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drawings/drawing1.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8.xml" ContentType="application/vnd.openxmlformats-officedocument.spreadsheetml.table+xml"/>
  <Override PartName="/xl/queryTables/queryTable4.xml" ContentType="application/vnd.openxmlformats-officedocument.spreadsheetml.queryTable+xml"/>
  <Override PartName="/xl/tables/table9.xml" ContentType="application/vnd.openxmlformats-officedocument.spreadsheetml.table+xml"/>
  <Override PartName="/xl/queryTables/queryTable5.xml" ContentType="application/vnd.openxmlformats-officedocument.spreadsheetml.queryTable+xml"/>
  <Override PartName="/xl/tables/table10.xml" ContentType="application/vnd.openxmlformats-officedocument.spreadsheetml.table+xml"/>
  <Override PartName="/xl/queryTables/queryTable6.xml" ContentType="application/vnd.openxmlformats-officedocument.spreadsheetml.queryTable+xml"/>
  <Override PartName="/xl/tables/table11.xml" ContentType="application/vnd.openxmlformats-officedocument.spreadsheetml.table+xml"/>
  <Override PartName="/xl/queryTables/queryTable7.xml" ContentType="application/vnd.openxmlformats-officedocument.spreadsheetml.queryTable+xml"/>
  <Override PartName="/xl/tables/table12.xml" ContentType="application/vnd.openxmlformats-officedocument.spreadsheetml.table+xml"/>
  <Override PartName="/xl/queryTables/queryTable8.xml" ContentType="application/vnd.openxmlformats-officedocument.spreadsheetml.queryTable+xml"/>
  <Override PartName="/xl/tables/table13.xml" ContentType="application/vnd.openxmlformats-officedocument.spreadsheetml.table+xml"/>
  <Override PartName="/xl/queryTables/queryTable9.xml" ContentType="application/vnd.openxmlformats-officedocument.spreadsheetml.queryTable+xml"/>
  <Override PartName="/xl/tables/table14.xml" ContentType="application/vnd.openxmlformats-officedocument.spreadsheetml.table+xml"/>
  <Override PartName="/xl/queryTables/queryTable10.xml" ContentType="application/vnd.openxmlformats-officedocument.spreadsheetml.queryTable+xml"/>
  <Override PartName="/xl/tables/table15.xml" ContentType="application/vnd.openxmlformats-officedocument.spreadsheetml.table+xml"/>
  <Override PartName="/xl/queryTables/queryTable11.xml" ContentType="application/vnd.openxmlformats-officedocument.spreadsheetml.queryTable+xml"/>
  <Override PartName="/xl/tables/table16.xml" ContentType="application/vnd.openxmlformats-officedocument.spreadsheetml.table+xml"/>
  <Override PartName="/xl/queryTables/queryTable1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Questa_cartella_di_lavoro"/>
  <mc:AlternateContent xmlns:mc="http://schemas.openxmlformats.org/markup-compatibility/2006">
    <mc:Choice Requires="x15">
      <x15ac:absPath xmlns:x15ac="http://schemas.microsoft.com/office/spreadsheetml/2010/11/ac" url="https://docs.regione.fvg.it/siti/x31/itaslo2127/20 SIGECO/RISK ASSESSMENT/METODOLOGIA DI CAMPIONAMENTO/MODIFICHE AGOSTO 2024/Post meeting 7.8.24/"/>
    </mc:Choice>
  </mc:AlternateContent>
  <xr:revisionPtr revIDLastSave="0" documentId="13_ncr:1_{3D2D245E-3C17-46B3-B0BB-018FA37E10C2}" xr6:coauthVersionLast="47" xr6:coauthVersionMax="47" xr10:uidLastSave="{00000000-0000-0000-0000-000000000000}"/>
  <bookViews>
    <workbookView xWindow="-120" yWindow="-120" windowWidth="29040" windowHeight="15840" tabRatio="906" xr2:uid="{00000000-000D-0000-FFFF-FFFF00000000}"/>
  </bookViews>
  <sheets>
    <sheet name="MY-REPORT-MAIN" sheetId="16" r:id="rId1"/>
    <sheet name="Foglio1" sheetId="33" state="hidden" r:id="rId2"/>
    <sheet name="Weight tables" sheetId="30" r:id="rId3"/>
    <sheet name="Ambito d'errore" sheetId="7" state="hidden" r:id="rId4"/>
    <sheet name="ReportSubmittedBL" sheetId="31" r:id="rId5"/>
    <sheet name="ReportValidatedBL" sheetId="9" r:id="rId6"/>
    <sheet name="Progetti" sheetId="28" state="hidden" r:id="rId7"/>
    <sheet name="SummaryNOT_VALIDATED-BL" sheetId="12" r:id="rId8"/>
    <sheet name="ListOFErrors" sheetId="8" r:id="rId9"/>
    <sheet name="Errors" sheetId="6" r:id="rId10"/>
    <sheet name="ParkedItems" sheetId="14" r:id="rId11"/>
    <sheet name="Public procurment" sheetId="32" r:id="rId12"/>
    <sheet name="ListOfExpenditure" sheetId="25" r:id="rId13"/>
    <sheet name="List_Of_chek_list" sheetId="20" r:id="rId14"/>
    <sheet name="elenco partner" sheetId="29" r:id="rId15"/>
    <sheet name="Interreg VI-A Italy-Slovenia_pr" sheetId="27" state="hidden" r:id="rId16"/>
    <sheet name="Partner data" sheetId="11" r:id="rId17"/>
    <sheet name="Varie Tabelle" sheetId="26" state="hidden" r:id="rId18"/>
    <sheet name="Partner" sheetId="10" r:id="rId19"/>
  </sheets>
  <definedNames>
    <definedName name="_xlnm._FilterDatabase" localSheetId="0" hidden="1">'MY-REPORT-MAIN'!$AE$1:$AJ$212</definedName>
    <definedName name="_xlnm._FilterDatabase" localSheetId="16" hidden="1">'Partner data'!$A$2:$EC$335</definedName>
    <definedName name="_xlnm._FilterDatabase" localSheetId="5" hidden="1">ReportValidatedBL!$A$1:$S$1</definedName>
    <definedName name="DatiEsterni_1" localSheetId="9" hidden="1">Errors!$A$1:$Q$265</definedName>
    <definedName name="DatiEsterni_1" localSheetId="15" hidden="1">'Interreg VI-A Italy-Slovenia_pr'!$A$1:$E$40</definedName>
    <definedName name="DatiEsterni_1" localSheetId="8" hidden="1">ListOFErrors!$A$1:$D$102</definedName>
    <definedName name="DatiEsterni_1" localSheetId="12" hidden="1">ListOfExpenditure!$A$1:$AL$1632</definedName>
    <definedName name="DatiEsterni_1" localSheetId="0" hidden="1">'MY-REPORT-MAIN'!$A$1:$W$191</definedName>
    <definedName name="DatiEsterni_1" localSheetId="10" hidden="1">ParkedItems!$A$1:$F$1481</definedName>
    <definedName name="DatiEsterni_1" localSheetId="18" hidden="1">Partner!$A$1:$M$175</definedName>
    <definedName name="DatiEsterni_1" localSheetId="11" hidden="1">'Public procurment'!$A$1:$R$401</definedName>
    <definedName name="DatiEsterni_1" localSheetId="4" hidden="1">ReportSubmittedBL!$A$1:$P$2071</definedName>
    <definedName name="DatiEsterni_1" localSheetId="5" hidden="1">ReportValidatedBL!$A$1:$P$2333</definedName>
    <definedName name="DatiEsterni_2" localSheetId="14" hidden="1">'elenco partner'!$A$1:$M$334</definedName>
    <definedName name="DatiEsterni_2" localSheetId="13" hidden="1">List_Of_chek_list!$A$1:$P$134</definedName>
    <definedName name="DatiEsterni_2" localSheetId="6" hidden="1">Progetti!$A$1:$J$59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 i="33" l="1"/>
  <c r="F8" i="33"/>
  <c r="D8" i="33"/>
  <c r="E8" i="33" s="1"/>
  <c r="C8" i="33"/>
  <c r="B8" i="33"/>
  <c r="A8" i="33"/>
  <c r="G5" i="33"/>
  <c r="F5" i="33"/>
  <c r="D5" i="33"/>
  <c r="BF175" i="16"/>
  <c r="BF176" i="16"/>
  <c r="BF177" i="16"/>
  <c r="BF178" i="16"/>
  <c r="BF179" i="16"/>
  <c r="BF180" i="16"/>
  <c r="BF181" i="16"/>
  <c r="BF182" i="16"/>
  <c r="BF183" i="16"/>
  <c r="BF184" i="16"/>
  <c r="BF185" i="16"/>
  <c r="BF186" i="16"/>
  <c r="BF187" i="16"/>
  <c r="BF188" i="16"/>
  <c r="BF189" i="16"/>
  <c r="BF190" i="16"/>
  <c r="BF191" i="16"/>
  <c r="BF192" i="16"/>
  <c r="BF193" i="16"/>
  <c r="BF194" i="16"/>
  <c r="BF195" i="16"/>
  <c r="BF196" i="16"/>
  <c r="BF197" i="16"/>
  <c r="BF198" i="16"/>
  <c r="BF199" i="16"/>
  <c r="BF200" i="16"/>
  <c r="BF201" i="16"/>
  <c r="BF202" i="16"/>
  <c r="BF203" i="16"/>
  <c r="BF204" i="16"/>
  <c r="BF205" i="16"/>
  <c r="BF206" i="16"/>
  <c r="BF207" i="16"/>
  <c r="BF208" i="16"/>
  <c r="BF209" i="16"/>
  <c r="BF210" i="16"/>
  <c r="BF211" i="16"/>
  <c r="BF212" i="16"/>
  <c r="BF174" i="16"/>
  <c r="B5" i="33"/>
  <c r="A5" i="33"/>
  <c r="A2" i="33"/>
  <c r="AN2" i="25"/>
  <c r="AN3" i="25"/>
  <c r="AN4" i="25"/>
  <c r="AN5" i="25"/>
  <c r="AP5" i="25" s="1"/>
  <c r="AN6" i="25"/>
  <c r="AN7" i="25"/>
  <c r="AN8" i="25"/>
  <c r="AN9" i="25"/>
  <c r="AP9" i="25" s="1"/>
  <c r="AN10" i="25"/>
  <c r="AN11" i="25"/>
  <c r="AN12" i="25"/>
  <c r="AN13" i="25"/>
  <c r="AP13" i="25" s="1"/>
  <c r="AN14" i="25"/>
  <c r="AN15" i="25"/>
  <c r="AN16" i="25"/>
  <c r="AN17" i="25"/>
  <c r="AP17" i="25" s="1"/>
  <c r="AN18" i="25"/>
  <c r="AN19" i="25"/>
  <c r="AN20" i="25"/>
  <c r="AN21" i="25"/>
  <c r="AP21" i="25" s="1"/>
  <c r="AN22" i="25"/>
  <c r="AN23" i="25"/>
  <c r="AN24" i="25"/>
  <c r="AN25" i="25"/>
  <c r="AP25" i="25" s="1"/>
  <c r="AN26" i="25"/>
  <c r="AN27" i="25"/>
  <c r="AN28" i="25"/>
  <c r="AN29" i="25"/>
  <c r="AP29" i="25" s="1"/>
  <c r="AN30" i="25"/>
  <c r="AN31" i="25"/>
  <c r="AN33" i="25"/>
  <c r="AN34" i="25"/>
  <c r="AN35" i="25"/>
  <c r="AN36" i="25"/>
  <c r="AN37" i="25"/>
  <c r="AN38" i="25"/>
  <c r="AN39" i="25"/>
  <c r="AN40" i="25"/>
  <c r="AN41" i="25"/>
  <c r="AN42" i="25"/>
  <c r="AN43" i="25"/>
  <c r="AN44" i="25"/>
  <c r="AN45" i="25"/>
  <c r="AN46" i="25"/>
  <c r="AN47" i="25"/>
  <c r="AN48" i="25"/>
  <c r="AN49" i="25"/>
  <c r="AN50" i="25"/>
  <c r="AN51" i="25"/>
  <c r="AN52" i="25"/>
  <c r="AN53" i="25"/>
  <c r="AN54" i="25"/>
  <c r="AN55" i="25"/>
  <c r="AN56" i="25"/>
  <c r="AN57" i="25"/>
  <c r="AN58" i="25"/>
  <c r="AN59" i="25"/>
  <c r="AN60" i="25"/>
  <c r="AN61" i="25"/>
  <c r="AN62" i="25"/>
  <c r="AN63" i="25"/>
  <c r="AN64" i="25"/>
  <c r="AN65" i="25"/>
  <c r="AN66" i="25"/>
  <c r="AN67" i="25"/>
  <c r="AN68" i="25"/>
  <c r="AN69" i="25"/>
  <c r="AN70" i="25"/>
  <c r="AN71" i="25"/>
  <c r="AN72" i="25"/>
  <c r="AN73" i="25"/>
  <c r="AN74" i="25"/>
  <c r="AN75" i="25"/>
  <c r="AN76" i="25"/>
  <c r="AN77" i="25"/>
  <c r="AN78" i="25"/>
  <c r="AN79" i="25"/>
  <c r="AN80" i="25"/>
  <c r="AN81" i="25"/>
  <c r="AN82" i="25"/>
  <c r="AN83" i="25"/>
  <c r="AN84" i="25"/>
  <c r="AN85" i="25"/>
  <c r="AN86" i="25"/>
  <c r="AN87" i="25"/>
  <c r="AN88" i="25"/>
  <c r="AN89" i="25"/>
  <c r="AN90" i="25"/>
  <c r="AN91" i="25"/>
  <c r="AN92" i="25"/>
  <c r="AN93" i="25"/>
  <c r="AN94" i="25"/>
  <c r="AN95" i="25"/>
  <c r="AN96" i="25"/>
  <c r="AN97" i="25"/>
  <c r="AN98" i="25"/>
  <c r="AN99" i="25"/>
  <c r="AN100" i="25"/>
  <c r="AN101" i="25"/>
  <c r="AN102" i="25"/>
  <c r="AN103" i="25"/>
  <c r="AN104" i="25"/>
  <c r="AN105" i="25"/>
  <c r="AN106" i="25"/>
  <c r="AN107" i="25"/>
  <c r="AN108" i="25"/>
  <c r="AN109" i="25"/>
  <c r="AN110" i="25"/>
  <c r="AN111" i="25"/>
  <c r="AN112" i="25"/>
  <c r="AN113" i="25"/>
  <c r="AN114" i="25"/>
  <c r="AN115" i="25"/>
  <c r="AN116" i="25"/>
  <c r="AN117" i="25"/>
  <c r="AN118" i="25"/>
  <c r="AN119" i="25"/>
  <c r="AN120" i="25"/>
  <c r="AN121" i="25"/>
  <c r="AN122" i="25"/>
  <c r="AN123" i="25"/>
  <c r="AN124" i="25"/>
  <c r="AN125" i="25"/>
  <c r="AN126" i="25"/>
  <c r="AN127" i="25"/>
  <c r="AN128" i="25"/>
  <c r="AN129" i="25"/>
  <c r="AN130" i="25"/>
  <c r="AN131" i="25"/>
  <c r="AN132" i="25"/>
  <c r="AN133" i="25"/>
  <c r="AN134" i="25"/>
  <c r="AN135" i="25"/>
  <c r="AN136" i="25"/>
  <c r="AN137" i="25"/>
  <c r="AN138" i="25"/>
  <c r="AN139" i="25"/>
  <c r="AN140" i="25"/>
  <c r="AN141" i="25"/>
  <c r="AN142" i="25"/>
  <c r="AN143" i="25"/>
  <c r="AN144" i="25"/>
  <c r="AN145" i="25"/>
  <c r="AN146" i="25"/>
  <c r="AN147" i="25"/>
  <c r="AN148" i="25"/>
  <c r="AN149" i="25"/>
  <c r="AN150" i="25"/>
  <c r="AN151" i="25"/>
  <c r="AN152" i="25"/>
  <c r="AN153" i="25"/>
  <c r="AN154" i="25"/>
  <c r="AN155" i="25"/>
  <c r="AN156" i="25"/>
  <c r="AN157" i="25"/>
  <c r="AN158" i="25"/>
  <c r="AN159" i="25"/>
  <c r="AN160" i="25"/>
  <c r="AN161" i="25"/>
  <c r="AN162" i="25"/>
  <c r="AN163" i="25"/>
  <c r="AN164" i="25"/>
  <c r="AN165" i="25"/>
  <c r="AN166" i="25"/>
  <c r="AN167" i="25"/>
  <c r="AN168" i="25"/>
  <c r="AN169" i="25"/>
  <c r="AN170" i="25"/>
  <c r="AN171" i="25"/>
  <c r="AN172" i="25"/>
  <c r="AN173" i="25"/>
  <c r="AN174" i="25"/>
  <c r="AN175" i="25"/>
  <c r="AN176" i="25"/>
  <c r="AN177" i="25"/>
  <c r="AN178" i="25"/>
  <c r="AN179" i="25"/>
  <c r="AN180" i="25"/>
  <c r="AN181" i="25"/>
  <c r="AN182" i="25"/>
  <c r="AN183" i="25"/>
  <c r="AN184" i="25"/>
  <c r="AN185" i="25"/>
  <c r="AN186" i="25"/>
  <c r="AN187" i="25"/>
  <c r="AN188" i="25"/>
  <c r="AN189" i="25"/>
  <c r="AN190" i="25"/>
  <c r="AN191" i="25"/>
  <c r="AN192" i="25"/>
  <c r="AN193" i="25"/>
  <c r="AN194" i="25"/>
  <c r="AN195" i="25"/>
  <c r="AN196" i="25"/>
  <c r="AN197" i="25"/>
  <c r="AN198" i="25"/>
  <c r="AN199" i="25"/>
  <c r="AN200" i="25"/>
  <c r="AN201" i="25"/>
  <c r="AN202" i="25"/>
  <c r="AN203" i="25"/>
  <c r="AN204" i="25"/>
  <c r="AN205" i="25"/>
  <c r="AN206" i="25"/>
  <c r="AN207" i="25"/>
  <c r="AN208" i="25"/>
  <c r="AN209" i="25"/>
  <c r="AN210" i="25"/>
  <c r="AN211" i="25"/>
  <c r="AN212" i="25"/>
  <c r="AN213" i="25"/>
  <c r="AN214" i="25"/>
  <c r="AN215" i="25"/>
  <c r="AN216" i="25"/>
  <c r="AN217" i="25"/>
  <c r="AN218" i="25"/>
  <c r="AN219" i="25"/>
  <c r="AN220" i="25"/>
  <c r="AN221" i="25"/>
  <c r="AN222" i="25"/>
  <c r="AN223" i="25"/>
  <c r="AN224" i="25"/>
  <c r="AN225" i="25"/>
  <c r="AN226" i="25"/>
  <c r="AN227" i="25"/>
  <c r="AN228" i="25"/>
  <c r="AN229" i="25"/>
  <c r="AN230" i="25"/>
  <c r="AN231" i="25"/>
  <c r="AN232" i="25"/>
  <c r="AN233" i="25"/>
  <c r="AN234" i="25"/>
  <c r="AN235" i="25"/>
  <c r="AN236" i="25"/>
  <c r="AN237" i="25"/>
  <c r="AN238" i="25"/>
  <c r="AN239" i="25"/>
  <c r="AN240" i="25"/>
  <c r="AN241" i="25"/>
  <c r="AN242" i="25"/>
  <c r="AN243" i="25"/>
  <c r="AN244" i="25"/>
  <c r="AN245" i="25"/>
  <c r="AN246" i="25"/>
  <c r="AN247" i="25"/>
  <c r="AN248" i="25"/>
  <c r="AN249" i="25"/>
  <c r="AN250" i="25"/>
  <c r="AN251" i="25"/>
  <c r="AN252" i="25"/>
  <c r="AN253" i="25"/>
  <c r="AN254" i="25"/>
  <c r="AN255" i="25"/>
  <c r="AN256" i="25"/>
  <c r="AN257" i="25"/>
  <c r="AN258" i="25"/>
  <c r="AN259" i="25"/>
  <c r="AN260" i="25"/>
  <c r="AN261" i="25"/>
  <c r="AN262" i="25"/>
  <c r="AN263" i="25"/>
  <c r="AN264" i="25"/>
  <c r="AN265" i="25"/>
  <c r="AN266" i="25"/>
  <c r="AN267" i="25"/>
  <c r="AN268" i="25"/>
  <c r="AN269" i="25"/>
  <c r="AN270" i="25"/>
  <c r="AN271" i="25"/>
  <c r="AN272" i="25"/>
  <c r="AN273" i="25"/>
  <c r="AN274" i="25"/>
  <c r="AN275" i="25"/>
  <c r="AN276" i="25"/>
  <c r="AN277" i="25"/>
  <c r="AN278" i="25"/>
  <c r="AN279" i="25"/>
  <c r="AN280" i="25"/>
  <c r="AN281" i="25"/>
  <c r="AN282" i="25"/>
  <c r="AN283" i="25"/>
  <c r="AN284" i="25"/>
  <c r="AN285" i="25"/>
  <c r="AN286" i="25"/>
  <c r="AN287" i="25"/>
  <c r="AN288" i="25"/>
  <c r="AN289" i="25"/>
  <c r="AN290" i="25"/>
  <c r="AN291" i="25"/>
  <c r="AN292" i="25"/>
  <c r="AN293" i="25"/>
  <c r="AN294" i="25"/>
  <c r="AN295" i="25"/>
  <c r="AN296" i="25"/>
  <c r="AN297" i="25"/>
  <c r="AN298" i="25"/>
  <c r="AN299" i="25"/>
  <c r="AN300" i="25"/>
  <c r="AN301" i="25"/>
  <c r="AN302" i="25"/>
  <c r="AN303" i="25"/>
  <c r="AN304" i="25"/>
  <c r="AN305" i="25"/>
  <c r="AN306" i="25"/>
  <c r="AN307" i="25"/>
  <c r="AN308" i="25"/>
  <c r="AN309" i="25"/>
  <c r="AN310" i="25"/>
  <c r="AN311" i="25"/>
  <c r="AN312" i="25"/>
  <c r="AN313" i="25"/>
  <c r="AN314" i="25"/>
  <c r="AN315" i="25"/>
  <c r="AN316" i="25"/>
  <c r="AN317" i="25"/>
  <c r="AN318" i="25"/>
  <c r="AN319" i="25"/>
  <c r="AN320" i="25"/>
  <c r="AN321" i="25"/>
  <c r="AN322" i="25"/>
  <c r="AN323" i="25"/>
  <c r="AN324" i="25"/>
  <c r="AN325" i="25"/>
  <c r="AN326" i="25"/>
  <c r="AN327" i="25"/>
  <c r="AN328" i="25"/>
  <c r="AN329" i="25"/>
  <c r="AN330" i="25"/>
  <c r="AN331" i="25"/>
  <c r="AN332" i="25"/>
  <c r="AN333" i="25"/>
  <c r="AN334" i="25"/>
  <c r="AN335" i="25"/>
  <c r="AN336" i="25"/>
  <c r="AN337" i="25"/>
  <c r="AN338" i="25"/>
  <c r="AN339" i="25"/>
  <c r="AN340" i="25"/>
  <c r="AN341" i="25"/>
  <c r="AN342" i="25"/>
  <c r="AN343" i="25"/>
  <c r="AN344" i="25"/>
  <c r="AN345" i="25"/>
  <c r="AN346" i="25"/>
  <c r="AN347" i="25"/>
  <c r="AN348" i="25"/>
  <c r="AN349" i="25"/>
  <c r="AN350" i="25"/>
  <c r="AN351" i="25"/>
  <c r="AN352" i="25"/>
  <c r="AN353" i="25"/>
  <c r="AN354" i="25"/>
  <c r="AN355" i="25"/>
  <c r="AN356" i="25"/>
  <c r="AN357" i="25"/>
  <c r="AN358" i="25"/>
  <c r="AN359" i="25"/>
  <c r="AN360" i="25"/>
  <c r="AN361" i="25"/>
  <c r="AN362" i="25"/>
  <c r="AN363" i="25"/>
  <c r="AN364" i="25"/>
  <c r="AN365" i="25"/>
  <c r="AN366" i="25"/>
  <c r="AN367" i="25"/>
  <c r="AN368" i="25"/>
  <c r="AN369" i="25"/>
  <c r="AN370" i="25"/>
  <c r="AN371" i="25"/>
  <c r="AN372" i="25"/>
  <c r="AN373" i="25"/>
  <c r="AN374" i="25"/>
  <c r="AN375" i="25"/>
  <c r="AN376" i="25"/>
  <c r="AN377" i="25"/>
  <c r="AN378" i="25"/>
  <c r="AN379" i="25"/>
  <c r="AN380" i="25"/>
  <c r="AN381" i="25"/>
  <c r="AN382" i="25"/>
  <c r="AN383" i="25"/>
  <c r="AN384" i="25"/>
  <c r="AN385" i="25"/>
  <c r="AN386" i="25"/>
  <c r="AN387" i="25"/>
  <c r="AN388" i="25"/>
  <c r="AN389" i="25"/>
  <c r="AN390" i="25"/>
  <c r="AN391" i="25"/>
  <c r="AN392" i="25"/>
  <c r="AN393" i="25"/>
  <c r="AN394" i="25"/>
  <c r="AN395" i="25"/>
  <c r="AN396" i="25"/>
  <c r="AN397" i="25"/>
  <c r="AN398" i="25"/>
  <c r="AN399" i="25"/>
  <c r="AN400" i="25"/>
  <c r="AN401" i="25"/>
  <c r="AN402" i="25"/>
  <c r="AN403" i="25"/>
  <c r="AN404" i="25"/>
  <c r="AN405" i="25"/>
  <c r="AN406" i="25"/>
  <c r="AN407" i="25"/>
  <c r="AN408" i="25"/>
  <c r="AN409" i="25"/>
  <c r="AN410" i="25"/>
  <c r="AN411" i="25"/>
  <c r="AN412" i="25"/>
  <c r="AN413" i="25"/>
  <c r="AN414" i="25"/>
  <c r="AN415" i="25"/>
  <c r="AN416" i="25"/>
  <c r="AN417" i="25"/>
  <c r="AN418" i="25"/>
  <c r="AN419" i="25"/>
  <c r="AN420" i="25"/>
  <c r="AN421" i="25"/>
  <c r="AN422" i="25"/>
  <c r="AN423" i="25"/>
  <c r="AN424" i="25"/>
  <c r="AN425" i="25"/>
  <c r="AN426" i="25"/>
  <c r="AN427" i="25"/>
  <c r="AN428" i="25"/>
  <c r="AN429" i="25"/>
  <c r="AN430" i="25"/>
  <c r="AN431" i="25"/>
  <c r="AN432" i="25"/>
  <c r="AN433" i="25"/>
  <c r="AN434" i="25"/>
  <c r="AN435" i="25"/>
  <c r="AN436" i="25"/>
  <c r="AN437" i="25"/>
  <c r="AN438" i="25"/>
  <c r="AN439" i="25"/>
  <c r="AN440" i="25"/>
  <c r="AN441" i="25"/>
  <c r="AN442" i="25"/>
  <c r="AN443" i="25"/>
  <c r="AN444" i="25"/>
  <c r="AN445" i="25"/>
  <c r="AN446" i="25"/>
  <c r="AN447" i="25"/>
  <c r="AN448" i="25"/>
  <c r="AN449" i="25"/>
  <c r="AN450" i="25"/>
  <c r="AN451" i="25"/>
  <c r="AN452" i="25"/>
  <c r="AN453" i="25"/>
  <c r="AN454" i="25"/>
  <c r="AN455" i="25"/>
  <c r="AN456" i="25"/>
  <c r="AN457" i="25"/>
  <c r="AN458" i="25"/>
  <c r="AN459" i="25"/>
  <c r="AN460" i="25"/>
  <c r="AN461" i="25"/>
  <c r="AN462" i="25"/>
  <c r="AN463" i="25"/>
  <c r="AN464" i="25"/>
  <c r="AN465" i="25"/>
  <c r="AN466" i="25"/>
  <c r="AN467" i="25"/>
  <c r="AN468" i="25"/>
  <c r="AN469" i="25"/>
  <c r="AN470" i="25"/>
  <c r="AN471" i="25"/>
  <c r="AN472" i="25"/>
  <c r="AN473" i="25"/>
  <c r="AN474" i="25"/>
  <c r="AN475" i="25"/>
  <c r="AN476" i="25"/>
  <c r="AN477" i="25"/>
  <c r="AN478" i="25"/>
  <c r="AN479" i="25"/>
  <c r="AN480" i="25"/>
  <c r="AN481" i="25"/>
  <c r="AN482" i="25"/>
  <c r="AN483" i="25"/>
  <c r="AN484" i="25"/>
  <c r="AN485" i="25"/>
  <c r="AN486" i="25"/>
  <c r="AN487" i="25"/>
  <c r="AN488" i="25"/>
  <c r="AN489" i="25"/>
  <c r="AN490" i="25"/>
  <c r="AN491" i="25"/>
  <c r="AN492" i="25"/>
  <c r="AN493" i="25"/>
  <c r="AN494" i="25"/>
  <c r="AN495" i="25"/>
  <c r="AN496" i="25"/>
  <c r="AN497" i="25"/>
  <c r="AN498" i="25"/>
  <c r="AN499" i="25"/>
  <c r="AN500" i="25"/>
  <c r="AN501" i="25"/>
  <c r="AN502" i="25"/>
  <c r="AN503" i="25"/>
  <c r="AN504" i="25"/>
  <c r="AN505" i="25"/>
  <c r="AN506" i="25"/>
  <c r="AN507" i="25"/>
  <c r="AN508" i="25"/>
  <c r="AN509" i="25"/>
  <c r="AN510" i="25"/>
  <c r="AN511" i="25"/>
  <c r="AN512" i="25"/>
  <c r="AN513" i="25"/>
  <c r="AN514" i="25"/>
  <c r="AN515" i="25"/>
  <c r="AN516" i="25"/>
  <c r="AN517" i="25"/>
  <c r="AN518" i="25"/>
  <c r="AN519" i="25"/>
  <c r="AN520" i="25"/>
  <c r="AN521" i="25"/>
  <c r="AN522" i="25"/>
  <c r="AN523" i="25"/>
  <c r="AN524" i="25"/>
  <c r="AN525" i="25"/>
  <c r="AN526" i="25"/>
  <c r="AN527" i="25"/>
  <c r="AN528" i="25"/>
  <c r="AN529" i="25"/>
  <c r="AN530" i="25"/>
  <c r="AN531" i="25"/>
  <c r="AN532" i="25"/>
  <c r="AN533" i="25"/>
  <c r="AN534" i="25"/>
  <c r="AN535" i="25"/>
  <c r="AN536" i="25"/>
  <c r="AN537" i="25"/>
  <c r="AN538" i="25"/>
  <c r="AN539" i="25"/>
  <c r="AN540" i="25"/>
  <c r="AN541" i="25"/>
  <c r="AN542" i="25"/>
  <c r="AN543" i="25"/>
  <c r="AN544" i="25"/>
  <c r="AN545" i="25"/>
  <c r="AN546" i="25"/>
  <c r="AN547" i="25"/>
  <c r="AN548" i="25"/>
  <c r="AN549" i="25"/>
  <c r="AN550" i="25"/>
  <c r="AN551" i="25"/>
  <c r="AN552" i="25"/>
  <c r="AN553" i="25"/>
  <c r="AN554" i="25"/>
  <c r="AN555" i="25"/>
  <c r="AN556" i="25"/>
  <c r="AN557" i="25"/>
  <c r="AN558" i="25"/>
  <c r="AN559" i="25"/>
  <c r="AN560" i="25"/>
  <c r="AN561" i="25"/>
  <c r="AN562" i="25"/>
  <c r="AN563" i="25"/>
  <c r="AN564" i="25"/>
  <c r="AN565" i="25"/>
  <c r="AN566" i="25"/>
  <c r="AN567" i="25"/>
  <c r="AN568" i="25"/>
  <c r="AN569" i="25"/>
  <c r="AN570" i="25"/>
  <c r="AN571" i="25"/>
  <c r="AN572" i="25"/>
  <c r="AN573" i="25"/>
  <c r="AN574" i="25"/>
  <c r="AN575" i="25"/>
  <c r="AN576" i="25"/>
  <c r="AN577" i="25"/>
  <c r="AN578" i="25"/>
  <c r="AN579" i="25"/>
  <c r="AN580" i="25"/>
  <c r="AN581" i="25"/>
  <c r="AN582" i="25"/>
  <c r="AN583" i="25"/>
  <c r="AN584" i="25"/>
  <c r="AN585" i="25"/>
  <c r="AN586" i="25"/>
  <c r="AN587" i="25"/>
  <c r="AN588" i="25"/>
  <c r="AN589" i="25"/>
  <c r="AN590" i="25"/>
  <c r="AN591" i="25"/>
  <c r="AN592" i="25"/>
  <c r="AN593" i="25"/>
  <c r="AN594" i="25"/>
  <c r="AN595" i="25"/>
  <c r="AN596" i="25"/>
  <c r="AN597" i="25"/>
  <c r="AN598" i="25"/>
  <c r="AN599" i="25"/>
  <c r="AN600" i="25"/>
  <c r="AN601" i="25"/>
  <c r="AN602" i="25"/>
  <c r="AN603" i="25"/>
  <c r="AN604" i="25"/>
  <c r="AN605" i="25"/>
  <c r="AN606" i="25"/>
  <c r="AN607" i="25"/>
  <c r="AN608" i="25"/>
  <c r="AN609" i="25"/>
  <c r="AN610" i="25"/>
  <c r="AN611" i="25"/>
  <c r="AN612" i="25"/>
  <c r="AN613" i="25"/>
  <c r="AN614" i="25"/>
  <c r="AN615" i="25"/>
  <c r="AN616" i="25"/>
  <c r="AN617" i="25"/>
  <c r="AN618" i="25"/>
  <c r="AN619" i="25"/>
  <c r="AN620" i="25"/>
  <c r="AN621" i="25"/>
  <c r="AN622" i="25"/>
  <c r="AN623" i="25"/>
  <c r="AN624" i="25"/>
  <c r="AN625" i="25"/>
  <c r="AN626" i="25"/>
  <c r="AN627" i="25"/>
  <c r="AN628" i="25"/>
  <c r="AN629" i="25"/>
  <c r="AN630" i="25"/>
  <c r="AN631" i="25"/>
  <c r="AN632" i="25"/>
  <c r="AN633" i="25"/>
  <c r="AN634" i="25"/>
  <c r="AN635" i="25"/>
  <c r="AN636" i="25"/>
  <c r="AN637" i="25"/>
  <c r="AN638" i="25"/>
  <c r="AN639" i="25"/>
  <c r="AN640" i="25"/>
  <c r="AN641" i="25"/>
  <c r="AN642" i="25"/>
  <c r="AN643" i="25"/>
  <c r="AN644" i="25"/>
  <c r="AN645" i="25"/>
  <c r="AN646" i="25"/>
  <c r="AN647" i="25"/>
  <c r="AN648" i="25"/>
  <c r="AN649" i="25"/>
  <c r="AN650" i="25"/>
  <c r="AN651" i="25"/>
  <c r="AN652" i="25"/>
  <c r="AN653" i="25"/>
  <c r="AN654" i="25"/>
  <c r="AN655" i="25"/>
  <c r="AN656" i="25"/>
  <c r="AN657" i="25"/>
  <c r="AN658" i="25"/>
  <c r="AN659" i="25"/>
  <c r="AN660" i="25"/>
  <c r="AN661" i="25"/>
  <c r="AN662" i="25"/>
  <c r="AN663" i="25"/>
  <c r="AN664" i="25"/>
  <c r="AN665" i="25"/>
  <c r="AN666" i="25"/>
  <c r="AN667" i="25"/>
  <c r="AN668" i="25"/>
  <c r="AN669" i="25"/>
  <c r="AN670" i="25"/>
  <c r="AN671" i="25"/>
  <c r="AN672" i="25"/>
  <c r="AN673" i="25"/>
  <c r="AN674" i="25"/>
  <c r="AN675" i="25"/>
  <c r="AN676" i="25"/>
  <c r="AN677" i="25"/>
  <c r="AN678" i="25"/>
  <c r="AN679" i="25"/>
  <c r="AN680" i="25"/>
  <c r="AN681" i="25"/>
  <c r="AN682" i="25"/>
  <c r="AN683" i="25"/>
  <c r="AN684" i="25"/>
  <c r="AN685" i="25"/>
  <c r="AN686" i="25"/>
  <c r="AN687" i="25"/>
  <c r="AN688" i="25"/>
  <c r="AN689" i="25"/>
  <c r="AN690" i="25"/>
  <c r="AN691" i="25"/>
  <c r="AN692" i="25"/>
  <c r="AN693" i="25"/>
  <c r="AN694" i="25"/>
  <c r="AN695" i="25"/>
  <c r="AN696" i="25"/>
  <c r="AN697" i="25"/>
  <c r="AN698" i="25"/>
  <c r="AN699" i="25"/>
  <c r="AN700" i="25"/>
  <c r="AN701" i="25"/>
  <c r="AN702" i="25"/>
  <c r="AN703" i="25"/>
  <c r="AN704" i="25"/>
  <c r="AN705" i="25"/>
  <c r="AN706" i="25"/>
  <c r="AN707" i="25"/>
  <c r="AN708" i="25"/>
  <c r="AN709" i="25"/>
  <c r="AN710" i="25"/>
  <c r="AN711" i="25"/>
  <c r="AN712" i="25"/>
  <c r="AN713" i="25"/>
  <c r="AN714" i="25"/>
  <c r="AN715" i="25"/>
  <c r="AN716" i="25"/>
  <c r="AN717" i="25"/>
  <c r="AN718" i="25"/>
  <c r="AN719" i="25"/>
  <c r="AN720" i="25"/>
  <c r="AN721" i="25"/>
  <c r="AN722" i="25"/>
  <c r="AN723" i="25"/>
  <c r="AN724" i="25"/>
  <c r="AN725" i="25"/>
  <c r="AN726" i="25"/>
  <c r="AN727" i="25"/>
  <c r="AN728" i="25"/>
  <c r="AN729" i="25"/>
  <c r="AN730" i="25"/>
  <c r="AN731" i="25"/>
  <c r="AN732" i="25"/>
  <c r="AN733" i="25"/>
  <c r="AN734" i="25"/>
  <c r="AN735" i="25"/>
  <c r="AN736" i="25"/>
  <c r="AN737" i="25"/>
  <c r="AN738" i="25"/>
  <c r="AN739" i="25"/>
  <c r="AN740" i="25"/>
  <c r="AN741" i="25"/>
  <c r="AN742" i="25"/>
  <c r="AN743" i="25"/>
  <c r="AN744" i="25"/>
  <c r="AN745" i="25"/>
  <c r="AN746" i="25"/>
  <c r="AN747" i="25"/>
  <c r="AN748" i="25"/>
  <c r="AN749" i="25"/>
  <c r="AN750" i="25"/>
  <c r="AN751" i="25"/>
  <c r="AN752" i="25"/>
  <c r="AN753" i="25"/>
  <c r="AN754" i="25"/>
  <c r="AN755" i="25"/>
  <c r="AN756" i="25"/>
  <c r="AN757" i="25"/>
  <c r="AN758" i="25"/>
  <c r="AN759" i="25"/>
  <c r="AN760" i="25"/>
  <c r="AN761" i="25"/>
  <c r="AN762" i="25"/>
  <c r="AN763" i="25"/>
  <c r="AN764" i="25"/>
  <c r="AN765" i="25"/>
  <c r="AN766" i="25"/>
  <c r="AN767" i="25"/>
  <c r="AN768" i="25"/>
  <c r="AN769" i="25"/>
  <c r="AN770" i="25"/>
  <c r="AN771" i="25"/>
  <c r="AN772" i="25"/>
  <c r="AN773" i="25"/>
  <c r="AN774" i="25"/>
  <c r="AN775" i="25"/>
  <c r="AN776" i="25"/>
  <c r="AN777" i="25"/>
  <c r="AN778" i="25"/>
  <c r="AN779" i="25"/>
  <c r="AN780" i="25"/>
  <c r="AN781" i="25"/>
  <c r="AN782" i="25"/>
  <c r="AN783" i="25"/>
  <c r="AN784" i="25"/>
  <c r="AN785" i="25"/>
  <c r="AN786" i="25"/>
  <c r="AN787" i="25"/>
  <c r="AN788" i="25"/>
  <c r="AN789" i="25"/>
  <c r="AN790" i="25"/>
  <c r="AN791" i="25"/>
  <c r="AN792" i="25"/>
  <c r="AN793" i="25"/>
  <c r="AN794" i="25"/>
  <c r="AN795" i="25"/>
  <c r="AN796" i="25"/>
  <c r="AN797" i="25"/>
  <c r="AN798" i="25"/>
  <c r="AN799" i="25"/>
  <c r="AN800" i="25"/>
  <c r="AN801" i="25"/>
  <c r="AN802" i="25"/>
  <c r="AN803" i="25"/>
  <c r="AN804" i="25"/>
  <c r="AN805" i="25"/>
  <c r="AN806" i="25"/>
  <c r="AN807" i="25"/>
  <c r="AN808" i="25"/>
  <c r="AN809" i="25"/>
  <c r="AN810" i="25"/>
  <c r="AN811" i="25"/>
  <c r="AN812" i="25"/>
  <c r="AN813" i="25"/>
  <c r="AN814" i="25"/>
  <c r="AN815" i="25"/>
  <c r="AN816" i="25"/>
  <c r="AN817" i="25"/>
  <c r="AN818" i="25"/>
  <c r="AN819" i="25"/>
  <c r="AN820" i="25"/>
  <c r="AN821" i="25"/>
  <c r="AN822" i="25"/>
  <c r="AN823" i="25"/>
  <c r="AN824" i="25"/>
  <c r="AN825" i="25"/>
  <c r="AN826" i="25"/>
  <c r="AN827" i="25"/>
  <c r="AN828" i="25"/>
  <c r="AN829" i="25"/>
  <c r="AN830" i="25"/>
  <c r="AN831" i="25"/>
  <c r="AN832" i="25"/>
  <c r="AN833" i="25"/>
  <c r="AN834" i="25"/>
  <c r="AN835" i="25"/>
  <c r="AN836" i="25"/>
  <c r="AN837" i="25"/>
  <c r="AN838" i="25"/>
  <c r="AN839" i="25"/>
  <c r="AN840" i="25"/>
  <c r="AN841" i="25"/>
  <c r="AN842" i="25"/>
  <c r="AN843" i="25"/>
  <c r="AN844" i="25"/>
  <c r="AN845" i="25"/>
  <c r="AN846" i="25"/>
  <c r="AN847" i="25"/>
  <c r="AN848" i="25"/>
  <c r="AN849" i="25"/>
  <c r="AN850" i="25"/>
  <c r="AN851" i="25"/>
  <c r="AN852" i="25"/>
  <c r="AN853" i="25"/>
  <c r="AN854" i="25"/>
  <c r="AN855" i="25"/>
  <c r="AN856" i="25"/>
  <c r="AN857" i="25"/>
  <c r="AN858" i="25"/>
  <c r="AN859" i="25"/>
  <c r="AN860" i="25"/>
  <c r="AN861" i="25"/>
  <c r="AN862" i="25"/>
  <c r="AN863" i="25"/>
  <c r="AN864" i="25"/>
  <c r="AN865" i="25"/>
  <c r="AN866" i="25"/>
  <c r="AN867" i="25"/>
  <c r="AN868" i="25"/>
  <c r="AN869" i="25"/>
  <c r="AN870" i="25"/>
  <c r="AN871" i="25"/>
  <c r="AN872" i="25"/>
  <c r="AN873" i="25"/>
  <c r="AN874" i="25"/>
  <c r="AN875" i="25"/>
  <c r="AN876" i="25"/>
  <c r="AN877" i="25"/>
  <c r="AN878" i="25"/>
  <c r="AN879" i="25"/>
  <c r="AN880" i="25"/>
  <c r="AN881" i="25"/>
  <c r="AN882" i="25"/>
  <c r="AN883" i="25"/>
  <c r="AN884" i="25"/>
  <c r="AN885" i="25"/>
  <c r="AN886" i="25"/>
  <c r="AN887" i="25"/>
  <c r="AN888" i="25"/>
  <c r="AN889" i="25"/>
  <c r="AN890" i="25"/>
  <c r="AN891" i="25"/>
  <c r="AN892" i="25"/>
  <c r="AN893" i="25"/>
  <c r="AN894" i="25"/>
  <c r="AN895" i="25"/>
  <c r="AN896" i="25"/>
  <c r="AN897" i="25"/>
  <c r="AN898" i="25"/>
  <c r="AN899" i="25"/>
  <c r="AN900" i="25"/>
  <c r="AN901" i="25"/>
  <c r="AN902" i="25"/>
  <c r="AN903" i="25"/>
  <c r="AN904" i="25"/>
  <c r="AN905" i="25"/>
  <c r="AN906" i="25"/>
  <c r="AN907" i="25"/>
  <c r="AN908" i="25"/>
  <c r="AN909" i="25"/>
  <c r="AN910" i="25"/>
  <c r="AN911" i="25"/>
  <c r="AN912" i="25"/>
  <c r="AN913" i="25"/>
  <c r="AN914" i="25"/>
  <c r="AN915" i="25"/>
  <c r="AN916" i="25"/>
  <c r="AN917" i="25"/>
  <c r="AN918" i="25"/>
  <c r="AN919" i="25"/>
  <c r="AN920" i="25"/>
  <c r="AN921" i="25"/>
  <c r="AN922" i="25"/>
  <c r="AN923" i="25"/>
  <c r="AN924" i="25"/>
  <c r="AN925" i="25"/>
  <c r="AN926" i="25"/>
  <c r="AN927" i="25"/>
  <c r="AN928" i="25"/>
  <c r="AN929" i="25"/>
  <c r="AN930" i="25"/>
  <c r="AN931" i="25"/>
  <c r="AN932" i="25"/>
  <c r="AN933" i="25"/>
  <c r="AN934" i="25"/>
  <c r="AN935" i="25"/>
  <c r="AN936" i="25"/>
  <c r="AN937" i="25"/>
  <c r="AN938" i="25"/>
  <c r="AN939" i="25"/>
  <c r="AN940" i="25"/>
  <c r="AN941" i="25"/>
  <c r="AN942" i="25"/>
  <c r="AN943" i="25"/>
  <c r="AN944" i="25"/>
  <c r="AN945" i="25"/>
  <c r="AN946" i="25"/>
  <c r="AN947" i="25"/>
  <c r="AN948" i="25"/>
  <c r="AN949" i="25"/>
  <c r="AN950" i="25"/>
  <c r="AN951" i="25"/>
  <c r="AN952" i="25"/>
  <c r="AN953" i="25"/>
  <c r="AN954" i="25"/>
  <c r="AN955" i="25"/>
  <c r="AN956" i="25"/>
  <c r="AN957" i="25"/>
  <c r="AN958" i="25"/>
  <c r="AN959" i="25"/>
  <c r="AN960" i="25"/>
  <c r="AN961" i="25"/>
  <c r="AN962" i="25"/>
  <c r="AN963" i="25"/>
  <c r="AN964" i="25"/>
  <c r="AN965" i="25"/>
  <c r="AN966" i="25"/>
  <c r="AN967" i="25"/>
  <c r="AN968" i="25"/>
  <c r="AN969" i="25"/>
  <c r="AN970" i="25"/>
  <c r="AN971" i="25"/>
  <c r="AN972" i="25"/>
  <c r="AN973" i="25"/>
  <c r="AN974" i="25"/>
  <c r="AN975" i="25"/>
  <c r="AN976" i="25"/>
  <c r="AN977" i="25"/>
  <c r="AN978" i="25"/>
  <c r="AN979" i="25"/>
  <c r="AN980" i="25"/>
  <c r="AN981" i="25"/>
  <c r="AN982" i="25"/>
  <c r="AN983" i="25"/>
  <c r="AN984" i="25"/>
  <c r="AN985" i="25"/>
  <c r="AN986" i="25"/>
  <c r="AN987" i="25"/>
  <c r="AN988" i="25"/>
  <c r="AN989" i="25"/>
  <c r="AN990" i="25"/>
  <c r="AN991" i="25"/>
  <c r="AN992" i="25"/>
  <c r="AN993" i="25"/>
  <c r="AN994" i="25"/>
  <c r="AN995" i="25"/>
  <c r="AN996" i="25"/>
  <c r="AN997" i="25"/>
  <c r="AN998" i="25"/>
  <c r="AN999" i="25"/>
  <c r="AN1000" i="25"/>
  <c r="AN1001" i="25"/>
  <c r="AN1002" i="25"/>
  <c r="AN1003" i="25"/>
  <c r="AN1004" i="25"/>
  <c r="AN1005" i="25"/>
  <c r="AN1006" i="25"/>
  <c r="AN1007" i="25"/>
  <c r="AN1008" i="25"/>
  <c r="AN1009" i="25"/>
  <c r="AN1010" i="25"/>
  <c r="AN1011" i="25"/>
  <c r="AN1012" i="25"/>
  <c r="AN1013" i="25"/>
  <c r="AN1014" i="25"/>
  <c r="AN1015" i="25"/>
  <c r="AN1016" i="25"/>
  <c r="AN1017" i="25"/>
  <c r="AN1018" i="25"/>
  <c r="AN1019" i="25"/>
  <c r="AN1020" i="25"/>
  <c r="AN1021" i="25"/>
  <c r="AN1022" i="25"/>
  <c r="AN1023" i="25"/>
  <c r="AN1024" i="25"/>
  <c r="AN1025" i="25"/>
  <c r="AN1026" i="25"/>
  <c r="AN1027" i="25"/>
  <c r="AN1028" i="25"/>
  <c r="AN1029" i="25"/>
  <c r="AN1030" i="25"/>
  <c r="AN1031" i="25"/>
  <c r="AN1032" i="25"/>
  <c r="AN1033" i="25"/>
  <c r="AN1034" i="25"/>
  <c r="AN1035" i="25"/>
  <c r="AN1036" i="25"/>
  <c r="AN1037" i="25"/>
  <c r="AN1038" i="25"/>
  <c r="AN1039" i="25"/>
  <c r="AN1040" i="25"/>
  <c r="AN1041" i="25"/>
  <c r="AN1042" i="25"/>
  <c r="AN1043" i="25"/>
  <c r="AN1044" i="25"/>
  <c r="AN1045" i="25"/>
  <c r="AN1046" i="25"/>
  <c r="AN1047" i="25"/>
  <c r="AN1048" i="25"/>
  <c r="AN1049" i="25"/>
  <c r="AN1050" i="25"/>
  <c r="AN1051" i="25"/>
  <c r="AN1052" i="25"/>
  <c r="AN1053" i="25"/>
  <c r="AN1054" i="25"/>
  <c r="AN1055" i="25"/>
  <c r="AN1056" i="25"/>
  <c r="AN1057" i="25"/>
  <c r="AN1058" i="25"/>
  <c r="AN1059" i="25"/>
  <c r="AN1060" i="25"/>
  <c r="AN1061" i="25"/>
  <c r="AN1062" i="25"/>
  <c r="AN1063" i="25"/>
  <c r="AN1064" i="25"/>
  <c r="AN1065" i="25"/>
  <c r="AN1066" i="25"/>
  <c r="AN1067" i="25"/>
  <c r="AN1068" i="25"/>
  <c r="AN1069" i="25"/>
  <c r="AN1070" i="25"/>
  <c r="AN1071" i="25"/>
  <c r="AN1072" i="25"/>
  <c r="AN1073" i="25"/>
  <c r="AN1074" i="25"/>
  <c r="AN1075" i="25"/>
  <c r="AN1076" i="25"/>
  <c r="AN1077" i="25"/>
  <c r="AN1078" i="25"/>
  <c r="AN1079" i="25"/>
  <c r="AN1080" i="25"/>
  <c r="AN1081" i="25"/>
  <c r="AN1082" i="25"/>
  <c r="AN1083" i="25"/>
  <c r="AN1084" i="25"/>
  <c r="AN1085" i="25"/>
  <c r="AN1086" i="25"/>
  <c r="AN1087" i="25"/>
  <c r="AN1088" i="25"/>
  <c r="AN1089" i="25"/>
  <c r="AN1090" i="25"/>
  <c r="AN1091" i="25"/>
  <c r="AN1092" i="25"/>
  <c r="AN1093" i="25"/>
  <c r="AN1094" i="25"/>
  <c r="AN1095" i="25"/>
  <c r="AN1096" i="25"/>
  <c r="AN1097" i="25"/>
  <c r="AN1098" i="25"/>
  <c r="AN1099" i="25"/>
  <c r="AN1100" i="25"/>
  <c r="AN1101" i="25"/>
  <c r="AN1102" i="25"/>
  <c r="AN1103" i="25"/>
  <c r="AN1104" i="25"/>
  <c r="AN1105" i="25"/>
  <c r="AN1106" i="25"/>
  <c r="AN1107" i="25"/>
  <c r="AN1108" i="25"/>
  <c r="AN1109" i="25"/>
  <c r="AN1110" i="25"/>
  <c r="AN1111" i="25"/>
  <c r="AN1112" i="25"/>
  <c r="AN1113" i="25"/>
  <c r="AN1114" i="25"/>
  <c r="AN1115" i="25"/>
  <c r="AN1116" i="25"/>
  <c r="AN1117" i="25"/>
  <c r="AN1118" i="25"/>
  <c r="AN1119" i="25"/>
  <c r="AN1120" i="25"/>
  <c r="AN1121" i="25"/>
  <c r="AN1122" i="25"/>
  <c r="AN1123" i="25"/>
  <c r="AN1124" i="25"/>
  <c r="AN1125" i="25"/>
  <c r="AN1126" i="25"/>
  <c r="AN1127" i="25"/>
  <c r="AN1128" i="25"/>
  <c r="AN1129" i="25"/>
  <c r="AN1130" i="25"/>
  <c r="AN1131" i="25"/>
  <c r="AN1132" i="25"/>
  <c r="AN1133" i="25"/>
  <c r="AN1134" i="25"/>
  <c r="AN1135" i="25"/>
  <c r="AN1136" i="25"/>
  <c r="AN1137" i="25"/>
  <c r="AN1138" i="25"/>
  <c r="AN1139" i="25"/>
  <c r="AN1140" i="25"/>
  <c r="AN1141" i="25"/>
  <c r="AN1142" i="25"/>
  <c r="AN1143" i="25"/>
  <c r="AN1144" i="25"/>
  <c r="AN1145" i="25"/>
  <c r="AN1146" i="25"/>
  <c r="AN1147" i="25"/>
  <c r="AN1148" i="25"/>
  <c r="AN1149" i="25"/>
  <c r="AN1150" i="25"/>
  <c r="AN1151" i="25"/>
  <c r="AN1152" i="25"/>
  <c r="AN1153" i="25"/>
  <c r="AN1154" i="25"/>
  <c r="AN1155" i="25"/>
  <c r="AN1156" i="25"/>
  <c r="AN1157" i="25"/>
  <c r="AN1158" i="25"/>
  <c r="AN1159" i="25"/>
  <c r="AN1160" i="25"/>
  <c r="AN1161" i="25"/>
  <c r="AN1162" i="25"/>
  <c r="AN1163" i="25"/>
  <c r="AN1164" i="25"/>
  <c r="AN1165" i="25"/>
  <c r="AN1166" i="25"/>
  <c r="AN1167" i="25"/>
  <c r="AN1168" i="25"/>
  <c r="AN1169" i="25"/>
  <c r="AN1170" i="25"/>
  <c r="AN1171" i="25"/>
  <c r="AN1172" i="25"/>
  <c r="AN1173" i="25"/>
  <c r="AN1174" i="25"/>
  <c r="AN1175" i="25"/>
  <c r="AN1176" i="25"/>
  <c r="AN1177" i="25"/>
  <c r="AN1178" i="25"/>
  <c r="AN1179" i="25"/>
  <c r="AN1180" i="25"/>
  <c r="AN1181" i="25"/>
  <c r="AN1182" i="25"/>
  <c r="AN1183" i="25"/>
  <c r="AN1184" i="25"/>
  <c r="AN1185" i="25"/>
  <c r="AN1186" i="25"/>
  <c r="AN1187" i="25"/>
  <c r="AN1188" i="25"/>
  <c r="AN1189" i="25"/>
  <c r="AN1190" i="25"/>
  <c r="AN1191" i="25"/>
  <c r="AN1192" i="25"/>
  <c r="AN1193" i="25"/>
  <c r="AN1194" i="25"/>
  <c r="AN1195" i="25"/>
  <c r="AN1196" i="25"/>
  <c r="AN1197" i="25"/>
  <c r="AN1198" i="25"/>
  <c r="AN1199" i="25"/>
  <c r="AN1200" i="25"/>
  <c r="AN1201" i="25"/>
  <c r="AN1202" i="25"/>
  <c r="AN1203" i="25"/>
  <c r="AN1204" i="25"/>
  <c r="AN1205" i="25"/>
  <c r="AN1206" i="25"/>
  <c r="AN1207" i="25"/>
  <c r="AN1208" i="25"/>
  <c r="AN1209" i="25"/>
  <c r="AN1210" i="25"/>
  <c r="AN1211" i="25"/>
  <c r="AN1212" i="25"/>
  <c r="AN1213" i="25"/>
  <c r="AN1214" i="25"/>
  <c r="AN1215" i="25"/>
  <c r="AN1216" i="25"/>
  <c r="AN1217" i="25"/>
  <c r="AN1218" i="25"/>
  <c r="AN1219" i="25"/>
  <c r="AN1220" i="25"/>
  <c r="AN1221" i="25"/>
  <c r="AN1222" i="25"/>
  <c r="AN1223" i="25"/>
  <c r="AN1224" i="25"/>
  <c r="AN1225" i="25"/>
  <c r="AN1226" i="25"/>
  <c r="AN1227" i="25"/>
  <c r="AN1228" i="25"/>
  <c r="AN1229" i="25"/>
  <c r="AN1230" i="25"/>
  <c r="AN1231" i="25"/>
  <c r="AN1232" i="25"/>
  <c r="AN1233" i="25"/>
  <c r="AN1234" i="25"/>
  <c r="AN1235" i="25"/>
  <c r="AN1236" i="25"/>
  <c r="AN1237" i="25"/>
  <c r="AN1238" i="25"/>
  <c r="AN1239" i="25"/>
  <c r="AN1240" i="25"/>
  <c r="AN1241" i="25"/>
  <c r="AN1242" i="25"/>
  <c r="AN1243" i="25"/>
  <c r="AN1244" i="25"/>
  <c r="AN1245" i="25"/>
  <c r="AN1246" i="25"/>
  <c r="AN1247" i="25"/>
  <c r="AN1248" i="25"/>
  <c r="AN1249" i="25"/>
  <c r="AN1250" i="25"/>
  <c r="AN1251" i="25"/>
  <c r="AN1252" i="25"/>
  <c r="AN1253" i="25"/>
  <c r="AN1254" i="25"/>
  <c r="AN1255" i="25"/>
  <c r="AN1256" i="25"/>
  <c r="AN1257" i="25"/>
  <c r="AN1258" i="25"/>
  <c r="AN1259" i="25"/>
  <c r="AN1260" i="25"/>
  <c r="AN1261" i="25"/>
  <c r="AN1262" i="25"/>
  <c r="AN1263" i="25"/>
  <c r="AN1264" i="25"/>
  <c r="AN1265" i="25"/>
  <c r="AN1266" i="25"/>
  <c r="AN1267" i="25"/>
  <c r="AN1268" i="25"/>
  <c r="AN1269" i="25"/>
  <c r="AN1270" i="25"/>
  <c r="AN1271" i="25"/>
  <c r="AN1272" i="25"/>
  <c r="AN1273" i="25"/>
  <c r="AN1274" i="25"/>
  <c r="AN1275" i="25"/>
  <c r="AN1276" i="25"/>
  <c r="AN1277" i="25"/>
  <c r="AN1278" i="25"/>
  <c r="AN1279" i="25"/>
  <c r="AN1280" i="25"/>
  <c r="AN1281" i="25"/>
  <c r="AN1282" i="25"/>
  <c r="AN1283" i="25"/>
  <c r="AN1284" i="25"/>
  <c r="AN1285" i="25"/>
  <c r="AN1286" i="25"/>
  <c r="AN1287" i="25"/>
  <c r="AN1288" i="25"/>
  <c r="AN1289" i="25"/>
  <c r="AN1290" i="25"/>
  <c r="AN1291" i="25"/>
  <c r="AN1292" i="25"/>
  <c r="AN1293" i="25"/>
  <c r="AN1294" i="25"/>
  <c r="AN1295" i="25"/>
  <c r="AN1296" i="25"/>
  <c r="AN1297" i="25"/>
  <c r="AN1298" i="25"/>
  <c r="AN1299" i="25"/>
  <c r="AN1300" i="25"/>
  <c r="AN1301" i="25"/>
  <c r="AN1302" i="25"/>
  <c r="AN1303" i="25"/>
  <c r="AN1304" i="25"/>
  <c r="AN1305" i="25"/>
  <c r="AN1306" i="25"/>
  <c r="AN1307" i="25"/>
  <c r="AN1308" i="25"/>
  <c r="AN1309" i="25"/>
  <c r="AN1310" i="25"/>
  <c r="AN1311" i="25"/>
  <c r="AN1312" i="25"/>
  <c r="AN1313" i="25"/>
  <c r="AN1314" i="25"/>
  <c r="AN1315" i="25"/>
  <c r="AN1316" i="25"/>
  <c r="AN1317" i="25"/>
  <c r="AN1318" i="25"/>
  <c r="AN1319" i="25"/>
  <c r="AN1320" i="25"/>
  <c r="AN1321" i="25"/>
  <c r="AN1322" i="25"/>
  <c r="AN1323" i="25"/>
  <c r="AN1324" i="25"/>
  <c r="AN1325" i="25"/>
  <c r="AN1326" i="25"/>
  <c r="AN1327" i="25"/>
  <c r="AN1328" i="25"/>
  <c r="AN1329" i="25"/>
  <c r="AN1330" i="25"/>
  <c r="AN1331" i="25"/>
  <c r="AN1332" i="25"/>
  <c r="AN1333" i="25"/>
  <c r="AN1334" i="25"/>
  <c r="AN1335" i="25"/>
  <c r="AN1336" i="25"/>
  <c r="AN1337" i="25"/>
  <c r="AN1338" i="25"/>
  <c r="AN1339" i="25"/>
  <c r="AN1340" i="25"/>
  <c r="AN1341" i="25"/>
  <c r="AN1342" i="25"/>
  <c r="AN1343" i="25"/>
  <c r="AN1344" i="25"/>
  <c r="AN1345" i="25"/>
  <c r="AN1346" i="25"/>
  <c r="AN1347" i="25"/>
  <c r="AN1348" i="25"/>
  <c r="AN1349" i="25"/>
  <c r="AN1350" i="25"/>
  <c r="AN1351" i="25"/>
  <c r="AN1352" i="25"/>
  <c r="AN1353" i="25"/>
  <c r="AN1354" i="25"/>
  <c r="AN1355" i="25"/>
  <c r="AN1356" i="25"/>
  <c r="AN1357" i="25"/>
  <c r="AN1358" i="25"/>
  <c r="AN1359" i="25"/>
  <c r="AN1360" i="25"/>
  <c r="AN1361" i="25"/>
  <c r="AN1362" i="25"/>
  <c r="AN1363" i="25"/>
  <c r="AN1364" i="25"/>
  <c r="AN1365" i="25"/>
  <c r="AN1366" i="25"/>
  <c r="AN1367" i="25"/>
  <c r="AN1368" i="25"/>
  <c r="AN1369" i="25"/>
  <c r="AN1370" i="25"/>
  <c r="AN1371" i="25"/>
  <c r="AN1372" i="25"/>
  <c r="AN1373" i="25"/>
  <c r="AN1374" i="25"/>
  <c r="AN1375" i="25"/>
  <c r="AN1376" i="25"/>
  <c r="AN1377" i="25"/>
  <c r="AN1378" i="25"/>
  <c r="AN1379" i="25"/>
  <c r="AN1380" i="25"/>
  <c r="AN1381" i="25"/>
  <c r="AN1382" i="25"/>
  <c r="AN1383" i="25"/>
  <c r="AN1384" i="25"/>
  <c r="AN1385" i="25"/>
  <c r="AN1386" i="25"/>
  <c r="AN1387" i="25"/>
  <c r="AN1388" i="25"/>
  <c r="AN1389" i="25"/>
  <c r="AN1390" i="25"/>
  <c r="AN1391" i="25"/>
  <c r="AN1392" i="25"/>
  <c r="AN1393" i="25"/>
  <c r="AN1394" i="25"/>
  <c r="AN1395" i="25"/>
  <c r="AN1396" i="25"/>
  <c r="AN1397" i="25"/>
  <c r="AN1398" i="25"/>
  <c r="AN1399" i="25"/>
  <c r="AN1400" i="25"/>
  <c r="AN1401" i="25"/>
  <c r="AN1402" i="25"/>
  <c r="AN1403" i="25"/>
  <c r="AN1404" i="25"/>
  <c r="AN1405" i="25"/>
  <c r="AN1406" i="25"/>
  <c r="AN1407" i="25"/>
  <c r="AN1408" i="25"/>
  <c r="AN1409" i="25"/>
  <c r="AN1410" i="25"/>
  <c r="AN1411" i="25"/>
  <c r="AN1412" i="25"/>
  <c r="AN1413" i="25"/>
  <c r="AN1414" i="25"/>
  <c r="AN1415" i="25"/>
  <c r="AN1416" i="25"/>
  <c r="AN1417" i="25"/>
  <c r="AN1418" i="25"/>
  <c r="AN1419" i="25"/>
  <c r="AN1420" i="25"/>
  <c r="AN1421" i="25"/>
  <c r="AN1422" i="25"/>
  <c r="AN1423" i="25"/>
  <c r="AN1424" i="25"/>
  <c r="AN1425" i="25"/>
  <c r="AN1426" i="25"/>
  <c r="AN1427" i="25"/>
  <c r="AN1428" i="25"/>
  <c r="AN1429" i="25"/>
  <c r="AN1430" i="25"/>
  <c r="AN1431" i="25"/>
  <c r="AN1432" i="25"/>
  <c r="AN1433" i="25"/>
  <c r="AN1434" i="25"/>
  <c r="AN1435" i="25"/>
  <c r="AN1436" i="25"/>
  <c r="AN1437" i="25"/>
  <c r="AN1438" i="25"/>
  <c r="AN1439" i="25"/>
  <c r="AN1440" i="25"/>
  <c r="AN1441" i="25"/>
  <c r="AN1442" i="25"/>
  <c r="AN1443" i="25"/>
  <c r="AN1444" i="25"/>
  <c r="AN1445" i="25"/>
  <c r="AN1446" i="25"/>
  <c r="AN1447" i="25"/>
  <c r="AN1448" i="25"/>
  <c r="AN1449" i="25"/>
  <c r="AN1450" i="25"/>
  <c r="AN1451" i="25"/>
  <c r="AN1452" i="25"/>
  <c r="AN1453" i="25"/>
  <c r="AN1454" i="25"/>
  <c r="AN1455" i="25"/>
  <c r="AN1456" i="25"/>
  <c r="AN1457" i="25"/>
  <c r="AN1458" i="25"/>
  <c r="AN1459" i="25"/>
  <c r="AN1460" i="25"/>
  <c r="AN1461" i="25"/>
  <c r="AN1462" i="25"/>
  <c r="AN1463" i="25"/>
  <c r="AN1464" i="25"/>
  <c r="AN1465" i="25"/>
  <c r="AN1466" i="25"/>
  <c r="AN1467" i="25"/>
  <c r="AN1468" i="25"/>
  <c r="AN1469" i="25"/>
  <c r="AN1470" i="25"/>
  <c r="AN1471" i="25"/>
  <c r="AN1472" i="25"/>
  <c r="AN1473" i="25"/>
  <c r="AN1474" i="25"/>
  <c r="AN1475" i="25"/>
  <c r="AN1476" i="25"/>
  <c r="AN1477" i="25"/>
  <c r="AN1478" i="25"/>
  <c r="AN1479" i="25"/>
  <c r="AN1480" i="25"/>
  <c r="AN1481" i="25"/>
  <c r="AN1482" i="25"/>
  <c r="AN1483" i="25"/>
  <c r="AN1484" i="25"/>
  <c r="AN1485" i="25"/>
  <c r="AN1486" i="25"/>
  <c r="AN1487" i="25"/>
  <c r="AN1488" i="25"/>
  <c r="AN1489" i="25"/>
  <c r="AN1490" i="25"/>
  <c r="AN1491" i="25"/>
  <c r="AN1492" i="25"/>
  <c r="AN1493" i="25"/>
  <c r="AN1494" i="25"/>
  <c r="AN1495" i="25"/>
  <c r="AN1496" i="25"/>
  <c r="AN1497" i="25"/>
  <c r="AN1498" i="25"/>
  <c r="AN1499" i="25"/>
  <c r="AN1500" i="25"/>
  <c r="AN1501" i="25"/>
  <c r="AN1502" i="25"/>
  <c r="AN1503" i="25"/>
  <c r="AN1504" i="25"/>
  <c r="AN1505" i="25"/>
  <c r="AN1506" i="25"/>
  <c r="AN1507" i="25"/>
  <c r="AN1508" i="25"/>
  <c r="AN1509" i="25"/>
  <c r="AN1510" i="25"/>
  <c r="AN1511" i="25"/>
  <c r="AN1512" i="25"/>
  <c r="AN1513" i="25"/>
  <c r="AN1514" i="25"/>
  <c r="AN1515" i="25"/>
  <c r="AN1516" i="25"/>
  <c r="AN1517" i="25"/>
  <c r="AN1518" i="25"/>
  <c r="AN1519" i="25"/>
  <c r="AN1520" i="25"/>
  <c r="AN1521" i="25"/>
  <c r="AN1522" i="25"/>
  <c r="AN1523" i="25"/>
  <c r="AN1524" i="25"/>
  <c r="AN1525" i="25"/>
  <c r="AN1526" i="25"/>
  <c r="AN1527" i="25"/>
  <c r="AN1528" i="25"/>
  <c r="AN1529" i="25"/>
  <c r="AN1530" i="25"/>
  <c r="AN1531" i="25"/>
  <c r="AN1532" i="25"/>
  <c r="AN1533" i="25"/>
  <c r="AN1534" i="25"/>
  <c r="AN1535" i="25"/>
  <c r="AN1536" i="25"/>
  <c r="AN1537" i="25"/>
  <c r="AN1538" i="25"/>
  <c r="AN1539" i="25"/>
  <c r="AN1540" i="25"/>
  <c r="AN1541" i="25"/>
  <c r="AN1542" i="25"/>
  <c r="AN1543" i="25"/>
  <c r="AN1544" i="25"/>
  <c r="AN1545" i="25"/>
  <c r="AN1546" i="25"/>
  <c r="AN1547" i="25"/>
  <c r="AN1548" i="25"/>
  <c r="AN1549" i="25"/>
  <c r="AN1550" i="25"/>
  <c r="AN1551" i="25"/>
  <c r="AN1552" i="25"/>
  <c r="AN1553" i="25"/>
  <c r="AN1554" i="25"/>
  <c r="AN1555" i="25"/>
  <c r="AN1556" i="25"/>
  <c r="AN1557" i="25"/>
  <c r="AN1558" i="25"/>
  <c r="AN1559" i="25"/>
  <c r="AN1560" i="25"/>
  <c r="AN1561" i="25"/>
  <c r="AN1562" i="25"/>
  <c r="AN1563" i="25"/>
  <c r="AN1564" i="25"/>
  <c r="AN1565" i="25"/>
  <c r="AN1566" i="25"/>
  <c r="AN1567" i="25"/>
  <c r="AN1568" i="25"/>
  <c r="AN1569" i="25"/>
  <c r="AN1570" i="25"/>
  <c r="AN1571" i="25"/>
  <c r="AN1572" i="25"/>
  <c r="AN1573" i="25"/>
  <c r="AN1574" i="25"/>
  <c r="AN1575" i="25"/>
  <c r="AN1576" i="25"/>
  <c r="AN1577" i="25"/>
  <c r="AN1578" i="25"/>
  <c r="AN1579" i="25"/>
  <c r="AN1580" i="25"/>
  <c r="AN1581" i="25"/>
  <c r="AN1582" i="25"/>
  <c r="AN1583" i="25"/>
  <c r="AN1584" i="25"/>
  <c r="AN1585" i="25"/>
  <c r="AN1586" i="25"/>
  <c r="AN1587" i="25"/>
  <c r="AN1588" i="25"/>
  <c r="AN1589" i="25"/>
  <c r="AN1590" i="25"/>
  <c r="AN1591" i="25"/>
  <c r="AN1592" i="25"/>
  <c r="AN1593" i="25"/>
  <c r="AN1594" i="25"/>
  <c r="AN1595" i="25"/>
  <c r="AN1596" i="25"/>
  <c r="AN1597" i="25"/>
  <c r="AN1598" i="25"/>
  <c r="AN1599" i="25"/>
  <c r="AN1600" i="25"/>
  <c r="AN1601" i="25"/>
  <c r="AN1602" i="25"/>
  <c r="AN1603" i="25"/>
  <c r="AN1604" i="25"/>
  <c r="AN1605" i="25"/>
  <c r="AN1606" i="25"/>
  <c r="AN1607" i="25"/>
  <c r="AN1608" i="25"/>
  <c r="AN1609" i="25"/>
  <c r="AN1610" i="25"/>
  <c r="AN1611" i="25"/>
  <c r="AN1612" i="25"/>
  <c r="AN1613" i="25"/>
  <c r="AN1614" i="25"/>
  <c r="AN1615" i="25"/>
  <c r="AN1616" i="25"/>
  <c r="AN1617" i="25"/>
  <c r="AN1618" i="25"/>
  <c r="AN1619" i="25"/>
  <c r="AN1620" i="25"/>
  <c r="AN1621" i="25"/>
  <c r="AN1622" i="25"/>
  <c r="AN1623" i="25"/>
  <c r="AN1624" i="25"/>
  <c r="AN1625" i="25"/>
  <c r="AN1626" i="25"/>
  <c r="AN1627" i="25"/>
  <c r="AN1628" i="25"/>
  <c r="AN1629" i="25"/>
  <c r="AN1630" i="25"/>
  <c r="AN1631" i="25"/>
  <c r="AN1632" i="25"/>
  <c r="AN32" i="25"/>
  <c r="AW3" i="16"/>
  <c r="AW4" i="16"/>
  <c r="AW5" i="16"/>
  <c r="AW6" i="16"/>
  <c r="AW7" i="16"/>
  <c r="AW8" i="16"/>
  <c r="AW9" i="16"/>
  <c r="AW10" i="16"/>
  <c r="AW11" i="16"/>
  <c r="AW12" i="16"/>
  <c r="AW13" i="16"/>
  <c r="AW14" i="16"/>
  <c r="AW15" i="16"/>
  <c r="AW16" i="16"/>
  <c r="AW17" i="16"/>
  <c r="AW18" i="16"/>
  <c r="AW19" i="16"/>
  <c r="AW20" i="16"/>
  <c r="AW21" i="16"/>
  <c r="AW22" i="16"/>
  <c r="AW23" i="16"/>
  <c r="AW24" i="16"/>
  <c r="AW25" i="16"/>
  <c r="AW26" i="16"/>
  <c r="AW27" i="16"/>
  <c r="AW28" i="16"/>
  <c r="AW29" i="16"/>
  <c r="AW30" i="16"/>
  <c r="AW31" i="16"/>
  <c r="AW32" i="16"/>
  <c r="AW33" i="16"/>
  <c r="AW34" i="16"/>
  <c r="AW35" i="16"/>
  <c r="AW36" i="16"/>
  <c r="AW37" i="16"/>
  <c r="AW38" i="16"/>
  <c r="AW39" i="16"/>
  <c r="AW40" i="16"/>
  <c r="AW41" i="16"/>
  <c r="AW42" i="16"/>
  <c r="AW43" i="16"/>
  <c r="AW44" i="16"/>
  <c r="AW45" i="16"/>
  <c r="AW46" i="16"/>
  <c r="AW47" i="16"/>
  <c r="AW48" i="16"/>
  <c r="AW49" i="16"/>
  <c r="AW50" i="16"/>
  <c r="AW51" i="16"/>
  <c r="AW52" i="16"/>
  <c r="AW53" i="16"/>
  <c r="AW54" i="16"/>
  <c r="AW55" i="16"/>
  <c r="AW56" i="16"/>
  <c r="AW57" i="16"/>
  <c r="AW58" i="16"/>
  <c r="AW59" i="16"/>
  <c r="AW60" i="16"/>
  <c r="AW61" i="16"/>
  <c r="AW62" i="16"/>
  <c r="AW63" i="16"/>
  <c r="AW64" i="16"/>
  <c r="AW65" i="16"/>
  <c r="AW66" i="16"/>
  <c r="AW67" i="16"/>
  <c r="AW68" i="16"/>
  <c r="AW69" i="16"/>
  <c r="AW70" i="16"/>
  <c r="AW71" i="16"/>
  <c r="AW72" i="16"/>
  <c r="AW73" i="16"/>
  <c r="AW74" i="16"/>
  <c r="AW75" i="16"/>
  <c r="AW76" i="16"/>
  <c r="AW77" i="16"/>
  <c r="AW78" i="16"/>
  <c r="AW79" i="16"/>
  <c r="AW80" i="16"/>
  <c r="AW81" i="16"/>
  <c r="AW82" i="16"/>
  <c r="AW83" i="16"/>
  <c r="AW84" i="16"/>
  <c r="AW85" i="16"/>
  <c r="AW86" i="16"/>
  <c r="AW87" i="16"/>
  <c r="AW88" i="16"/>
  <c r="AW89" i="16"/>
  <c r="AW90" i="16"/>
  <c r="AW91" i="16"/>
  <c r="AW92" i="16"/>
  <c r="AW93" i="16"/>
  <c r="AW94" i="16"/>
  <c r="AW95" i="16"/>
  <c r="AW96" i="16"/>
  <c r="AW97" i="16"/>
  <c r="AW98" i="16"/>
  <c r="AW99" i="16"/>
  <c r="AW100" i="16"/>
  <c r="AW101" i="16"/>
  <c r="AW102" i="16"/>
  <c r="AW103" i="16"/>
  <c r="AW104" i="16"/>
  <c r="AW105" i="16"/>
  <c r="AW106" i="16"/>
  <c r="AW107" i="16"/>
  <c r="AW108" i="16"/>
  <c r="AW109" i="16"/>
  <c r="AW110" i="16"/>
  <c r="AW111" i="16"/>
  <c r="AW112" i="16"/>
  <c r="AW113" i="16"/>
  <c r="AW114" i="16"/>
  <c r="AW115" i="16"/>
  <c r="AW116" i="16"/>
  <c r="AW117" i="16"/>
  <c r="AW118" i="16"/>
  <c r="AW119" i="16"/>
  <c r="AW120" i="16"/>
  <c r="AW121" i="16"/>
  <c r="AW122" i="16"/>
  <c r="AW123" i="16"/>
  <c r="AW124" i="16"/>
  <c r="AW125" i="16"/>
  <c r="AW126" i="16"/>
  <c r="AW127" i="16"/>
  <c r="AW128" i="16"/>
  <c r="AW129" i="16"/>
  <c r="AW130" i="16"/>
  <c r="AW131" i="16"/>
  <c r="AW132" i="16"/>
  <c r="AW133" i="16"/>
  <c r="AW134" i="16"/>
  <c r="AW135" i="16"/>
  <c r="AW136" i="16"/>
  <c r="AW137" i="16"/>
  <c r="AW138" i="16"/>
  <c r="AW139" i="16"/>
  <c r="AW140" i="16"/>
  <c r="AW141" i="16"/>
  <c r="AW142" i="16"/>
  <c r="AW143" i="16"/>
  <c r="AW144" i="16"/>
  <c r="AW145" i="16"/>
  <c r="AW146" i="16"/>
  <c r="AW147" i="16"/>
  <c r="AW148" i="16"/>
  <c r="AW149" i="16"/>
  <c r="AW150" i="16"/>
  <c r="AW151" i="16"/>
  <c r="AW152" i="16"/>
  <c r="AW153" i="16"/>
  <c r="AW154" i="16"/>
  <c r="AW155" i="16"/>
  <c r="AW156" i="16"/>
  <c r="AW157" i="16"/>
  <c r="AW158" i="16"/>
  <c r="AW159" i="16"/>
  <c r="AW160" i="16"/>
  <c r="AW161" i="16"/>
  <c r="AW162" i="16"/>
  <c r="AW163" i="16"/>
  <c r="AW164" i="16"/>
  <c r="AW165" i="16"/>
  <c r="AW166" i="16"/>
  <c r="AW167" i="16"/>
  <c r="AW168" i="16"/>
  <c r="AW169" i="16"/>
  <c r="AW170" i="16"/>
  <c r="AW171" i="16"/>
  <c r="AW172" i="16"/>
  <c r="AW173" i="16"/>
  <c r="AW174" i="16"/>
  <c r="AW175" i="16"/>
  <c r="AW176" i="16"/>
  <c r="AW177" i="16"/>
  <c r="AW178" i="16"/>
  <c r="AW179" i="16"/>
  <c r="AW180" i="16"/>
  <c r="AW181" i="16"/>
  <c r="AW182" i="16"/>
  <c r="AW183" i="16"/>
  <c r="AW184" i="16"/>
  <c r="AW185" i="16"/>
  <c r="AW186" i="16"/>
  <c r="AW187" i="16"/>
  <c r="AW188" i="16"/>
  <c r="AW189" i="16"/>
  <c r="AW190" i="16"/>
  <c r="AW191" i="16"/>
  <c r="AW192" i="16"/>
  <c r="AW193" i="16"/>
  <c r="AW194" i="16"/>
  <c r="AW195" i="16"/>
  <c r="AW196" i="16"/>
  <c r="AW197" i="16"/>
  <c r="AW198" i="16"/>
  <c r="AW199" i="16"/>
  <c r="AW200" i="16"/>
  <c r="AW201" i="16"/>
  <c r="AW202" i="16"/>
  <c r="AW203" i="16"/>
  <c r="AW204" i="16"/>
  <c r="AW205" i="16"/>
  <c r="AW206" i="16"/>
  <c r="AW207" i="16"/>
  <c r="AW208" i="16"/>
  <c r="AW209" i="16"/>
  <c r="AW210" i="16"/>
  <c r="AW211" i="16"/>
  <c r="AW212" i="16"/>
  <c r="AW2" i="16"/>
  <c r="AN95" i="16"/>
  <c r="AV95" i="16" s="1" a="1"/>
  <c r="AV95" i="16" s="1"/>
  <c r="AN109" i="16"/>
  <c r="AV109" i="16" s="1" a="1"/>
  <c r="AV109" i="16" s="1"/>
  <c r="AN112" i="16"/>
  <c r="AV112" i="16" s="1" a="1"/>
  <c r="AV112" i="16" s="1"/>
  <c r="AN116" i="16"/>
  <c r="AV116" i="16" s="1" a="1"/>
  <c r="AV116" i="16" s="1"/>
  <c r="AN119" i="16"/>
  <c r="AV119" i="16" s="1" a="1"/>
  <c r="AV119" i="16" s="1"/>
  <c r="AN128" i="16"/>
  <c r="AV128" i="16" s="1" a="1"/>
  <c r="AV128" i="16" s="1"/>
  <c r="AN132" i="16"/>
  <c r="AV132" i="16" s="1" a="1"/>
  <c r="AV132" i="16" s="1"/>
  <c r="AN134" i="16"/>
  <c r="AV134" i="16" s="1" a="1"/>
  <c r="AV134" i="16" s="1"/>
  <c r="AN136" i="16"/>
  <c r="AV136" i="16" s="1" a="1"/>
  <c r="AV136" i="16" s="1"/>
  <c r="AN137" i="16"/>
  <c r="AV137" i="16" s="1" a="1"/>
  <c r="AV137" i="16" s="1"/>
  <c r="AN138" i="16"/>
  <c r="AV138" i="16" s="1" a="1"/>
  <c r="AV138" i="16" s="1"/>
  <c r="AN141" i="16"/>
  <c r="AV141" i="16" s="1" a="1"/>
  <c r="AV141" i="16" s="1"/>
  <c r="AN142" i="16"/>
  <c r="AV142" i="16" s="1" a="1"/>
  <c r="AV142" i="16" s="1"/>
  <c r="AN143" i="16"/>
  <c r="AV143" i="16" s="1" a="1"/>
  <c r="AV143" i="16" s="1"/>
  <c r="AN145" i="16"/>
  <c r="AV145" i="16" s="1" a="1"/>
  <c r="AV145" i="16" s="1"/>
  <c r="AN146" i="16"/>
  <c r="AV146" i="16" s="1" a="1"/>
  <c r="AV146" i="16" s="1"/>
  <c r="AN147" i="16"/>
  <c r="AV147" i="16" s="1" a="1"/>
  <c r="AV147" i="16" s="1"/>
  <c r="AN152" i="16"/>
  <c r="AV152" i="16" s="1" a="1"/>
  <c r="AV152" i="16" s="1"/>
  <c r="AN153" i="16"/>
  <c r="AV153" i="16" s="1" a="1"/>
  <c r="AV153" i="16" s="1"/>
  <c r="AN155" i="16"/>
  <c r="AV155" i="16" s="1" a="1"/>
  <c r="AV155" i="16" s="1"/>
  <c r="AN157" i="16"/>
  <c r="AV157" i="16" s="1" a="1"/>
  <c r="AV157" i="16" s="1"/>
  <c r="AN159" i="16"/>
  <c r="AV159" i="16" s="1" a="1"/>
  <c r="AV159" i="16" s="1"/>
  <c r="AN160" i="16"/>
  <c r="AV160" i="16" s="1" a="1"/>
  <c r="AV160" i="16" s="1"/>
  <c r="AN161" i="16"/>
  <c r="AV161" i="16" s="1" a="1"/>
  <c r="AV161" i="16" s="1"/>
  <c r="AN164" i="16"/>
  <c r="AV164" i="16" s="1" a="1"/>
  <c r="AV164" i="16" s="1"/>
  <c r="AN168" i="16"/>
  <c r="AV168" i="16" s="1" a="1"/>
  <c r="AV168" i="16" s="1"/>
  <c r="AN172" i="16"/>
  <c r="AV172" i="16" s="1" a="1"/>
  <c r="AV172" i="16" s="1"/>
  <c r="AN173" i="16"/>
  <c r="AV173" i="16" s="1" a="1"/>
  <c r="AV173" i="16" s="1"/>
  <c r="AN174" i="16"/>
  <c r="AV174" i="16" s="1" a="1"/>
  <c r="AV174" i="16" s="1"/>
  <c r="AN175" i="16"/>
  <c r="AV175" i="16" s="1" a="1"/>
  <c r="AV175" i="16" s="1"/>
  <c r="AN176" i="16"/>
  <c r="AV176" i="16" s="1" a="1"/>
  <c r="AV176" i="16" s="1"/>
  <c r="AN177" i="16"/>
  <c r="AV177" i="16" s="1" a="1"/>
  <c r="AV177" i="16" s="1"/>
  <c r="AN178" i="16"/>
  <c r="AV178" i="16" s="1" a="1"/>
  <c r="AV178" i="16" s="1"/>
  <c r="AN179" i="16"/>
  <c r="AV179" i="16" s="1" a="1"/>
  <c r="AV179" i="16" s="1"/>
  <c r="AN180" i="16"/>
  <c r="AV180" i="16" s="1" a="1"/>
  <c r="AV180" i="16" s="1"/>
  <c r="AN181" i="16"/>
  <c r="AV181" i="16" s="1" a="1"/>
  <c r="AV181" i="16" s="1"/>
  <c r="AN182" i="16"/>
  <c r="AV182" i="16" s="1" a="1"/>
  <c r="AV182" i="16" s="1"/>
  <c r="AN183" i="16"/>
  <c r="AV183" i="16" s="1" a="1"/>
  <c r="AV183" i="16" s="1"/>
  <c r="AN184" i="16"/>
  <c r="AV184" i="16" s="1" a="1"/>
  <c r="AV184" i="16" s="1"/>
  <c r="AN185" i="16"/>
  <c r="AV185" i="16" s="1" a="1"/>
  <c r="AV185" i="16" s="1"/>
  <c r="AN186" i="16"/>
  <c r="AV186" i="16" s="1" a="1"/>
  <c r="AV186" i="16" s="1"/>
  <c r="AN187" i="16"/>
  <c r="AV187" i="16" s="1" a="1"/>
  <c r="AV187" i="16" s="1"/>
  <c r="AN188" i="16"/>
  <c r="AV188" i="16" s="1" a="1"/>
  <c r="AV188" i="16" s="1"/>
  <c r="AN189" i="16"/>
  <c r="AV189" i="16" s="1" a="1"/>
  <c r="AV189" i="16" s="1"/>
  <c r="AN190" i="16"/>
  <c r="AV190" i="16" s="1" a="1"/>
  <c r="AV190" i="16" s="1"/>
  <c r="AN191" i="16"/>
  <c r="AV191" i="16" s="1" a="1"/>
  <c r="AV191" i="16" s="1"/>
  <c r="AN192" i="16"/>
  <c r="AN193" i="16"/>
  <c r="AN194" i="16"/>
  <c r="AN195" i="16"/>
  <c r="AN196" i="16"/>
  <c r="AN197" i="16"/>
  <c r="AN198" i="16"/>
  <c r="AN199" i="16"/>
  <c r="AN200" i="16"/>
  <c r="AN201" i="16"/>
  <c r="AN202" i="16"/>
  <c r="AN203" i="16"/>
  <c r="AN204" i="16"/>
  <c r="AN205" i="16"/>
  <c r="AN206" i="16"/>
  <c r="AN207" i="16"/>
  <c r="AN208" i="16"/>
  <c r="AN209" i="16"/>
  <c r="AN210" i="16"/>
  <c r="AN211" i="16"/>
  <c r="AN212" i="16"/>
  <c r="AP3" i="25"/>
  <c r="AP4" i="25"/>
  <c r="AP6" i="25"/>
  <c r="AP7" i="25"/>
  <c r="AP8" i="25"/>
  <c r="AP10" i="25"/>
  <c r="AP11" i="25"/>
  <c r="AP12" i="25"/>
  <c r="AP14" i="25"/>
  <c r="AP15" i="25"/>
  <c r="AP16" i="25"/>
  <c r="AP18" i="25"/>
  <c r="AP19" i="25"/>
  <c r="AP20" i="25"/>
  <c r="AP22" i="25"/>
  <c r="AP23" i="25"/>
  <c r="AP24" i="25"/>
  <c r="AP26" i="25"/>
  <c r="AP27" i="25"/>
  <c r="AP28" i="25"/>
  <c r="AP30" i="25"/>
  <c r="AP31" i="25"/>
  <c r="AP32" i="25"/>
  <c r="AP33" i="25"/>
  <c r="AN56" i="16" s="1"/>
  <c r="AV56" i="16" s="1" a="1"/>
  <c r="AV56" i="16" s="1"/>
  <c r="AP34" i="25"/>
  <c r="AP35" i="25"/>
  <c r="AP36" i="25"/>
  <c r="AN3" i="16" s="1"/>
  <c r="AV3" i="16" s="1" a="1"/>
  <c r="AV3" i="16" s="1"/>
  <c r="AP37" i="25"/>
  <c r="AP38" i="25"/>
  <c r="AN125" i="16" s="1"/>
  <c r="AV125" i="16" s="1" a="1"/>
  <c r="AV125" i="16" s="1"/>
  <c r="AP39" i="25"/>
  <c r="AP40" i="25"/>
  <c r="AP41" i="25"/>
  <c r="AP42" i="25"/>
  <c r="AP43" i="25"/>
  <c r="AP44" i="25"/>
  <c r="AP45" i="25"/>
  <c r="AN7" i="16" s="1"/>
  <c r="AV7" i="16" s="1" a="1"/>
  <c r="AV7" i="16" s="1"/>
  <c r="AP46" i="25"/>
  <c r="AP47" i="25"/>
  <c r="AP48" i="25"/>
  <c r="AN16" i="16" s="1"/>
  <c r="AV16" i="16" s="1" a="1"/>
  <c r="AV16" i="16" s="1"/>
  <c r="AP49" i="25"/>
  <c r="AP50" i="25"/>
  <c r="AP51" i="25"/>
  <c r="AP52" i="25"/>
  <c r="AP53" i="25"/>
  <c r="AP54" i="25"/>
  <c r="AP55" i="25"/>
  <c r="AP56" i="25"/>
  <c r="AP57" i="25"/>
  <c r="AP58" i="25"/>
  <c r="AP59" i="25"/>
  <c r="AP60" i="25"/>
  <c r="AP61" i="25"/>
  <c r="AN70" i="16" s="1"/>
  <c r="AV70" i="16" s="1" a="1"/>
  <c r="AV70" i="16" s="1"/>
  <c r="AP62" i="25"/>
  <c r="AP63" i="25"/>
  <c r="AP64" i="25"/>
  <c r="AP65" i="25"/>
  <c r="AP66" i="25"/>
  <c r="AP67" i="25"/>
  <c r="AP68" i="25"/>
  <c r="AP69" i="25"/>
  <c r="AN13" i="16" s="1"/>
  <c r="AV13" i="16" s="1" a="1"/>
  <c r="AV13" i="16" s="1"/>
  <c r="AP70" i="25"/>
  <c r="AP71" i="25"/>
  <c r="AP72" i="25"/>
  <c r="AP73" i="25"/>
  <c r="AP74" i="25"/>
  <c r="AP75" i="25"/>
  <c r="AN44" i="16" s="1"/>
  <c r="AV44" i="16" s="1" a="1"/>
  <c r="AV44" i="16" s="1"/>
  <c r="AP76" i="25"/>
  <c r="AP77" i="25"/>
  <c r="AP78" i="25"/>
  <c r="AN81" i="16" s="1"/>
  <c r="AV81" i="16" s="1" a="1"/>
  <c r="AV81" i="16" s="1"/>
  <c r="AP79" i="25"/>
  <c r="AP80" i="25"/>
  <c r="AP81" i="25"/>
  <c r="AP82" i="25"/>
  <c r="AP83" i="25"/>
  <c r="AP84" i="25"/>
  <c r="AP85" i="25"/>
  <c r="AN50" i="16" s="1"/>
  <c r="AV50" i="16" s="1" a="1"/>
  <c r="AV50" i="16" s="1"/>
  <c r="AP86" i="25"/>
  <c r="AP87" i="25"/>
  <c r="AP88" i="25"/>
  <c r="AP89" i="25"/>
  <c r="AN57" i="16" s="1"/>
  <c r="AV57" i="16" s="1" a="1"/>
  <c r="AV57" i="16" s="1"/>
  <c r="AP90" i="25"/>
  <c r="AP91" i="25"/>
  <c r="AP92" i="25"/>
  <c r="AP93" i="25"/>
  <c r="AP94" i="25"/>
  <c r="AP95" i="25"/>
  <c r="AP96" i="25"/>
  <c r="AP97" i="25"/>
  <c r="AP98" i="25"/>
  <c r="AP99" i="25"/>
  <c r="AP100" i="25"/>
  <c r="AP101" i="25"/>
  <c r="AP102" i="25"/>
  <c r="AN48" i="16" s="1"/>
  <c r="AV48" i="16" s="1" a="1"/>
  <c r="AV48" i="16" s="1"/>
  <c r="AP103" i="25"/>
  <c r="AP104" i="25"/>
  <c r="AP105" i="25"/>
  <c r="AP106" i="25"/>
  <c r="AN171" i="16" s="1"/>
  <c r="AV171" i="16" s="1" a="1"/>
  <c r="AV171" i="16" s="1"/>
  <c r="AP107" i="25"/>
  <c r="AP108" i="25"/>
  <c r="AP109" i="25"/>
  <c r="AP110" i="25"/>
  <c r="AP111" i="25"/>
  <c r="AP112" i="25"/>
  <c r="AP113" i="25"/>
  <c r="AP114" i="25"/>
  <c r="AP115" i="25"/>
  <c r="AP116" i="25"/>
  <c r="AP117" i="25"/>
  <c r="AP118" i="25"/>
  <c r="AP119" i="25"/>
  <c r="AP120" i="25"/>
  <c r="AP121" i="25"/>
  <c r="AP122" i="25"/>
  <c r="AP123" i="25"/>
  <c r="AP124" i="25"/>
  <c r="AP125" i="25"/>
  <c r="AP126" i="25"/>
  <c r="AP127" i="25"/>
  <c r="AP128" i="25"/>
  <c r="AN102" i="16" s="1"/>
  <c r="AV102" i="16" s="1" a="1"/>
  <c r="AV102" i="16" s="1"/>
  <c r="AP129" i="25"/>
  <c r="AP130" i="25"/>
  <c r="AP131" i="25"/>
  <c r="AP132" i="25"/>
  <c r="AN85" i="16" s="1"/>
  <c r="AV85" i="16" s="1" a="1"/>
  <c r="AV85" i="16" s="1"/>
  <c r="AP133" i="25"/>
  <c r="AP134" i="25"/>
  <c r="AP135" i="25"/>
  <c r="AN88" i="16" s="1"/>
  <c r="AV88" i="16" s="1" a="1"/>
  <c r="AV88" i="16" s="1"/>
  <c r="AP136" i="25"/>
  <c r="AP137" i="25"/>
  <c r="AP138" i="25"/>
  <c r="AP139" i="25"/>
  <c r="AP140" i="25"/>
  <c r="AP141" i="25"/>
  <c r="AP142" i="25"/>
  <c r="AP143" i="25"/>
  <c r="AP144" i="25"/>
  <c r="AP145" i="25"/>
  <c r="AP146" i="25"/>
  <c r="AP147" i="25"/>
  <c r="AN74" i="16" s="1"/>
  <c r="AV74" i="16" s="1" a="1"/>
  <c r="AV74" i="16" s="1"/>
  <c r="AP148" i="25"/>
  <c r="AP149" i="25"/>
  <c r="AN101" i="16" s="1"/>
  <c r="AV101" i="16" s="1" a="1"/>
  <c r="AV101" i="16" s="1"/>
  <c r="AP150" i="25"/>
  <c r="AP151" i="25"/>
  <c r="AP152" i="25"/>
  <c r="AP153" i="25"/>
  <c r="AP154" i="25"/>
  <c r="AP155" i="25"/>
  <c r="AN83" i="16" s="1"/>
  <c r="AV83" i="16" s="1" a="1"/>
  <c r="AV83" i="16" s="1"/>
  <c r="AP156" i="25"/>
  <c r="AP157" i="25"/>
  <c r="AP158" i="25"/>
  <c r="AP159" i="25"/>
  <c r="AP160" i="25"/>
  <c r="AP161" i="25"/>
  <c r="AN77" i="16" s="1"/>
  <c r="AV77" i="16" s="1" a="1"/>
  <c r="AV77" i="16" s="1"/>
  <c r="AP162" i="25"/>
  <c r="AP163" i="25"/>
  <c r="AP164" i="25"/>
  <c r="AN108" i="16" s="1"/>
  <c r="AV108" i="16" s="1" a="1"/>
  <c r="AV108" i="16" s="1"/>
  <c r="AP165" i="25"/>
  <c r="AP166" i="25"/>
  <c r="AP167" i="25"/>
  <c r="AP168" i="25"/>
  <c r="AP169" i="25"/>
  <c r="AP170" i="25"/>
  <c r="AP171" i="25"/>
  <c r="AP172" i="25"/>
  <c r="AP173" i="25"/>
  <c r="AP174" i="25"/>
  <c r="AP175" i="25"/>
  <c r="AP176" i="25"/>
  <c r="AP177" i="25"/>
  <c r="AP178" i="25"/>
  <c r="AP179" i="25"/>
  <c r="AP180" i="25"/>
  <c r="AP181" i="25"/>
  <c r="AP182" i="25"/>
  <c r="AP183" i="25"/>
  <c r="AP184" i="25"/>
  <c r="AN135" i="16" s="1"/>
  <c r="AV135" i="16" s="1" a="1"/>
  <c r="AV135" i="16" s="1"/>
  <c r="AP185" i="25"/>
  <c r="AP186" i="25"/>
  <c r="AP187" i="25"/>
  <c r="AP188" i="25"/>
  <c r="AP189" i="25"/>
  <c r="AP190" i="25"/>
  <c r="AP191" i="25"/>
  <c r="AP192" i="25"/>
  <c r="AP193" i="25"/>
  <c r="AP194" i="25"/>
  <c r="AP195" i="25"/>
  <c r="AP196" i="25"/>
  <c r="AP197" i="25"/>
  <c r="AP198" i="25"/>
  <c r="AP199" i="25"/>
  <c r="AP200" i="25"/>
  <c r="AP201" i="25"/>
  <c r="AP202" i="25"/>
  <c r="AP203" i="25"/>
  <c r="AP204" i="25"/>
  <c r="AP205" i="25"/>
  <c r="AP206" i="25"/>
  <c r="AN89" i="16" s="1"/>
  <c r="AV89" i="16" s="1" a="1"/>
  <c r="AV89" i="16" s="1"/>
  <c r="AP207" i="25"/>
  <c r="AN121" i="16" s="1"/>
  <c r="AV121" i="16" s="1" a="1"/>
  <c r="AV121" i="16" s="1"/>
  <c r="AP208" i="25"/>
  <c r="AP209" i="25"/>
  <c r="AP210" i="25"/>
  <c r="AP211" i="25"/>
  <c r="AN110" i="16" s="1"/>
  <c r="AV110" i="16" s="1" a="1"/>
  <c r="AV110" i="16" s="1"/>
  <c r="AP212" i="25"/>
  <c r="AP213" i="25"/>
  <c r="AN87" i="16" s="1"/>
  <c r="AV87" i="16" s="1" a="1"/>
  <c r="AV87" i="16" s="1"/>
  <c r="AP214" i="25"/>
  <c r="AN117" i="16" s="1"/>
  <c r="AV117" i="16" s="1" a="1"/>
  <c r="AV117" i="16" s="1"/>
  <c r="AP215" i="25"/>
  <c r="AP216" i="25"/>
  <c r="AP217" i="25"/>
  <c r="AP218" i="25"/>
  <c r="AP219" i="25"/>
  <c r="AP220" i="25"/>
  <c r="AP221" i="25"/>
  <c r="AN167" i="16" s="1"/>
  <c r="AV167" i="16" s="1" a="1"/>
  <c r="AV167" i="16" s="1"/>
  <c r="AP222" i="25"/>
  <c r="AP223" i="25"/>
  <c r="AP224" i="25"/>
  <c r="AN139" i="16" s="1"/>
  <c r="AV139" i="16" s="1" a="1"/>
  <c r="AV139" i="16" s="1"/>
  <c r="AP225" i="25"/>
  <c r="AP226" i="25"/>
  <c r="AP227" i="25"/>
  <c r="AP228" i="25"/>
  <c r="AP229" i="25"/>
  <c r="AN166" i="16" s="1"/>
  <c r="AV166" i="16" s="1" a="1"/>
  <c r="AV166" i="16" s="1"/>
  <c r="AP230" i="25"/>
  <c r="AP231" i="25"/>
  <c r="AP232" i="25"/>
  <c r="AP233" i="25"/>
  <c r="AP234" i="25"/>
  <c r="AP235" i="25"/>
  <c r="AP236" i="25"/>
  <c r="AP237" i="25"/>
  <c r="AP238" i="25"/>
  <c r="AP239" i="25"/>
  <c r="AP240" i="25"/>
  <c r="AP241" i="25"/>
  <c r="AP242" i="25"/>
  <c r="AP243" i="25"/>
  <c r="AP244" i="25"/>
  <c r="AP245" i="25"/>
  <c r="AP246" i="25"/>
  <c r="AP247" i="25"/>
  <c r="AP248" i="25"/>
  <c r="AP249" i="25"/>
  <c r="AP250" i="25"/>
  <c r="AP251" i="25"/>
  <c r="AP252" i="25"/>
  <c r="AP253" i="25"/>
  <c r="AP254" i="25"/>
  <c r="AP255" i="25"/>
  <c r="AN64" i="16" s="1"/>
  <c r="AV64" i="16" s="1" a="1"/>
  <c r="AV64" i="16" s="1"/>
  <c r="AP256" i="25"/>
  <c r="AP257" i="25"/>
  <c r="AP258" i="25"/>
  <c r="AP259" i="25"/>
  <c r="AP260" i="25"/>
  <c r="AP261" i="25"/>
  <c r="AP262" i="25"/>
  <c r="AN72" i="16" s="1"/>
  <c r="AV72" i="16" s="1" a="1"/>
  <c r="AV72" i="16" s="1"/>
  <c r="AP263" i="25"/>
  <c r="AP264" i="25"/>
  <c r="AP265" i="25"/>
  <c r="AN126" i="16" s="1"/>
  <c r="AV126" i="16" s="1" a="1"/>
  <c r="AV126" i="16" s="1"/>
  <c r="AP266" i="25"/>
  <c r="AP267" i="25"/>
  <c r="AP268" i="25"/>
  <c r="AP269" i="25"/>
  <c r="AP270" i="25"/>
  <c r="AP271" i="25"/>
  <c r="AP272" i="25"/>
  <c r="AP273" i="25"/>
  <c r="AP274" i="25"/>
  <c r="AP275" i="25"/>
  <c r="AP276" i="25"/>
  <c r="AP277" i="25"/>
  <c r="AP278" i="25"/>
  <c r="AP279" i="25"/>
  <c r="AP280" i="25"/>
  <c r="AP281" i="25"/>
  <c r="AN67" i="16" s="1"/>
  <c r="AV67" i="16" s="1" a="1"/>
  <c r="AV67" i="16" s="1"/>
  <c r="AP282" i="25"/>
  <c r="AP283" i="25"/>
  <c r="AP284" i="25"/>
  <c r="AP285" i="25"/>
  <c r="AN80" i="16" s="1"/>
  <c r="AV80" i="16" s="1" a="1"/>
  <c r="AV80" i="16" s="1"/>
  <c r="AP286" i="25"/>
  <c r="AP287" i="25"/>
  <c r="AP288" i="25"/>
  <c r="AP289" i="25"/>
  <c r="AP290" i="25"/>
  <c r="AP291" i="25"/>
  <c r="AP292" i="25"/>
  <c r="AP293" i="25"/>
  <c r="AP294" i="25"/>
  <c r="AP295" i="25"/>
  <c r="AP296" i="25"/>
  <c r="AN61" i="16" s="1"/>
  <c r="AV61" i="16" s="1" a="1"/>
  <c r="AV61" i="16" s="1"/>
  <c r="AP297" i="25"/>
  <c r="AP298" i="25"/>
  <c r="AP299" i="25"/>
  <c r="AN127" i="16" s="1"/>
  <c r="AV127" i="16" s="1" a="1"/>
  <c r="AV127" i="16" s="1"/>
  <c r="AP300" i="25"/>
  <c r="AP301" i="25"/>
  <c r="AP302" i="25"/>
  <c r="AP303" i="25"/>
  <c r="AP304" i="25"/>
  <c r="AP305" i="25"/>
  <c r="AP306" i="25"/>
  <c r="AP307" i="25"/>
  <c r="AP308" i="25"/>
  <c r="AP309" i="25"/>
  <c r="AP310" i="25"/>
  <c r="AP311" i="25"/>
  <c r="AP312" i="25"/>
  <c r="AP313" i="25"/>
  <c r="AN86" i="16" s="1"/>
  <c r="AV86" i="16" s="1" a="1"/>
  <c r="AV86" i="16" s="1"/>
  <c r="AP314" i="25"/>
  <c r="AN96" i="16" s="1"/>
  <c r="AV96" i="16" s="1" a="1"/>
  <c r="AV96" i="16" s="1"/>
  <c r="AP315" i="25"/>
  <c r="AP316" i="25"/>
  <c r="AP317" i="25"/>
  <c r="AP318" i="25"/>
  <c r="AP319" i="25"/>
  <c r="AP320" i="25"/>
  <c r="AP321" i="25"/>
  <c r="AP322" i="25"/>
  <c r="AN63" i="16" s="1"/>
  <c r="AV63" i="16" s="1" a="1"/>
  <c r="AV63" i="16" s="1"/>
  <c r="AP323" i="25"/>
  <c r="AP324" i="25"/>
  <c r="AP325" i="25"/>
  <c r="AP326" i="25"/>
  <c r="AP327" i="25"/>
  <c r="AP328" i="25"/>
  <c r="AP329" i="25"/>
  <c r="AP330" i="25"/>
  <c r="AP331" i="25"/>
  <c r="AP332" i="25"/>
  <c r="AP333" i="25"/>
  <c r="AP334" i="25"/>
  <c r="AP335" i="25"/>
  <c r="AP336" i="25"/>
  <c r="AP337" i="25"/>
  <c r="AP338" i="25"/>
  <c r="AP339" i="25"/>
  <c r="AN104" i="16" s="1"/>
  <c r="AV104" i="16" s="1" a="1"/>
  <c r="AV104" i="16" s="1"/>
  <c r="AP340" i="25"/>
  <c r="AP341" i="25"/>
  <c r="AP342" i="25"/>
  <c r="AP343" i="25"/>
  <c r="AP344" i="25"/>
  <c r="AP345" i="25"/>
  <c r="AP346" i="25"/>
  <c r="AP347" i="25"/>
  <c r="AP348" i="25"/>
  <c r="AN66" i="16" s="1"/>
  <c r="AV66" i="16" s="1" a="1"/>
  <c r="AV66" i="16" s="1"/>
  <c r="AP349" i="25"/>
  <c r="AP350" i="25"/>
  <c r="AP351" i="25"/>
  <c r="AP352" i="25"/>
  <c r="AP353" i="25"/>
  <c r="AN123" i="16" s="1"/>
  <c r="AV123" i="16" s="1" a="1"/>
  <c r="AV123" i="16" s="1"/>
  <c r="AP354" i="25"/>
  <c r="AP355" i="25"/>
  <c r="AP356" i="25"/>
  <c r="AN42" i="16" s="1"/>
  <c r="AV42" i="16" s="1" a="1"/>
  <c r="AV42" i="16" s="1"/>
  <c r="AP357" i="25"/>
  <c r="AN55" i="16" s="1"/>
  <c r="AV55" i="16" s="1" a="1"/>
  <c r="AV55" i="16" s="1"/>
  <c r="AP358" i="25"/>
  <c r="AP359" i="25"/>
  <c r="AP360" i="25"/>
  <c r="AP361" i="25"/>
  <c r="AP362" i="25"/>
  <c r="AP363" i="25"/>
  <c r="AP364" i="25"/>
  <c r="AP365" i="25"/>
  <c r="AP366" i="25"/>
  <c r="AP367" i="25"/>
  <c r="AP368" i="25"/>
  <c r="AP369" i="25"/>
  <c r="AP370" i="25"/>
  <c r="AP371" i="25"/>
  <c r="AP372" i="25"/>
  <c r="AP373" i="25"/>
  <c r="AP374" i="25"/>
  <c r="AP375" i="25"/>
  <c r="AP376" i="25"/>
  <c r="AP377" i="25"/>
  <c r="AP378" i="25"/>
  <c r="AP379" i="25"/>
  <c r="AP380" i="25"/>
  <c r="AP381" i="25"/>
  <c r="AP382" i="25"/>
  <c r="AP383" i="25"/>
  <c r="AP384" i="25"/>
  <c r="AP385" i="25"/>
  <c r="AP386" i="25"/>
  <c r="AP387" i="25"/>
  <c r="AP388" i="25"/>
  <c r="AP389" i="25"/>
  <c r="AP390" i="25"/>
  <c r="AP391" i="25"/>
  <c r="AP392" i="25"/>
  <c r="AP393" i="25"/>
  <c r="AP394" i="25"/>
  <c r="AP395" i="25"/>
  <c r="AP396" i="25"/>
  <c r="AP397" i="25"/>
  <c r="AP398" i="25"/>
  <c r="AP399" i="25"/>
  <c r="AP400" i="25"/>
  <c r="AP401" i="25"/>
  <c r="AP402" i="25"/>
  <c r="AP403" i="25"/>
  <c r="AP404" i="25"/>
  <c r="AP405" i="25"/>
  <c r="AP406" i="25"/>
  <c r="AP407" i="25"/>
  <c r="AP408" i="25"/>
  <c r="AP409" i="25"/>
  <c r="AN54" i="16" s="1"/>
  <c r="AV54" i="16" s="1" a="1"/>
  <c r="AV54" i="16" s="1"/>
  <c r="AP410" i="25"/>
  <c r="AP411" i="25"/>
  <c r="AN144" i="16" s="1"/>
  <c r="AV144" i="16" s="1" a="1"/>
  <c r="AV144" i="16" s="1"/>
  <c r="AP412" i="25"/>
  <c r="AP413" i="25"/>
  <c r="AP414" i="25"/>
  <c r="AP415" i="25"/>
  <c r="AP416" i="25"/>
  <c r="AP417" i="25"/>
  <c r="AP418" i="25"/>
  <c r="AP419" i="25"/>
  <c r="AP420" i="25"/>
  <c r="AP421" i="25"/>
  <c r="AP422" i="25"/>
  <c r="AP423" i="25"/>
  <c r="AP424" i="25"/>
  <c r="AP425" i="25"/>
  <c r="AP426" i="25"/>
  <c r="AP427" i="25"/>
  <c r="AP428" i="25"/>
  <c r="AP429" i="25"/>
  <c r="AP430" i="25"/>
  <c r="AP431" i="25"/>
  <c r="AN14" i="16" s="1"/>
  <c r="AV14" i="16" s="1" a="1"/>
  <c r="AV14" i="16" s="1"/>
  <c r="AP432" i="25"/>
  <c r="AP433" i="25"/>
  <c r="AP434" i="25"/>
  <c r="AP435" i="25"/>
  <c r="AN39" i="16" s="1"/>
  <c r="AV39" i="16" s="1" a="1"/>
  <c r="AV39" i="16" s="1"/>
  <c r="AP436" i="25"/>
  <c r="AP437" i="25"/>
  <c r="AP438" i="25"/>
  <c r="AP439" i="25"/>
  <c r="AP440" i="25"/>
  <c r="AP441" i="25"/>
  <c r="AP442" i="25"/>
  <c r="AP443" i="25"/>
  <c r="AP444" i="25"/>
  <c r="AP445" i="25"/>
  <c r="AP446" i="25"/>
  <c r="AP447" i="25"/>
  <c r="AP448" i="25"/>
  <c r="AP449" i="25"/>
  <c r="AP450" i="25"/>
  <c r="AP451" i="25"/>
  <c r="AP452" i="25"/>
  <c r="AP453" i="25"/>
  <c r="AP454" i="25"/>
  <c r="AP455" i="25"/>
  <c r="AP456" i="25"/>
  <c r="AP457" i="25"/>
  <c r="AP458" i="25"/>
  <c r="AP459" i="25"/>
  <c r="AP460" i="25"/>
  <c r="AP461" i="25"/>
  <c r="AP462" i="25"/>
  <c r="AP463" i="25"/>
  <c r="AP464" i="25"/>
  <c r="AP465" i="25"/>
  <c r="AP466" i="25"/>
  <c r="AN84" i="16" s="1"/>
  <c r="AV84" i="16" s="1" a="1"/>
  <c r="AV84" i="16" s="1"/>
  <c r="AP467" i="25"/>
  <c r="AP468" i="25"/>
  <c r="AP469" i="25"/>
  <c r="AP470" i="25"/>
  <c r="AP471" i="25"/>
  <c r="AP472" i="25"/>
  <c r="AP473" i="25"/>
  <c r="AP474" i="25"/>
  <c r="AP475" i="25"/>
  <c r="AP476" i="25"/>
  <c r="AP477" i="25"/>
  <c r="AP478" i="25"/>
  <c r="AP479" i="25"/>
  <c r="AN79" i="16" s="1"/>
  <c r="AV79" i="16" s="1" a="1"/>
  <c r="AV79" i="16" s="1"/>
  <c r="AP480" i="25"/>
  <c r="AP481" i="25"/>
  <c r="AP482" i="25"/>
  <c r="AP483" i="25"/>
  <c r="AP484" i="25"/>
  <c r="AP485" i="25"/>
  <c r="AP486" i="25"/>
  <c r="AN106" i="16" s="1"/>
  <c r="AV106" i="16" s="1" a="1"/>
  <c r="AV106" i="16" s="1"/>
  <c r="AP487" i="25"/>
  <c r="AP488" i="25"/>
  <c r="AP489" i="25"/>
  <c r="AP490" i="25"/>
  <c r="AP491" i="25"/>
  <c r="AN43" i="16" s="1"/>
  <c r="AV43" i="16" s="1" a="1"/>
  <c r="AV43" i="16" s="1"/>
  <c r="AP492" i="25"/>
  <c r="AP493" i="25"/>
  <c r="AN111" i="16" s="1"/>
  <c r="AV111" i="16" s="1" a="1"/>
  <c r="AV111" i="16" s="1"/>
  <c r="AP494" i="25"/>
  <c r="AP495" i="25"/>
  <c r="AP496" i="25"/>
  <c r="AP497" i="25"/>
  <c r="AP498" i="25"/>
  <c r="AN100" i="16" s="1"/>
  <c r="AV100" i="16" s="1" a="1"/>
  <c r="AV100" i="16" s="1"/>
  <c r="AP499" i="25"/>
  <c r="AP500" i="25"/>
  <c r="AP501" i="25"/>
  <c r="AP502" i="25"/>
  <c r="AP503" i="25"/>
  <c r="AP504" i="25"/>
  <c r="AP505" i="25"/>
  <c r="AP506" i="25"/>
  <c r="AP507" i="25"/>
  <c r="AP508" i="25"/>
  <c r="AP509" i="25"/>
  <c r="AP510" i="25"/>
  <c r="AP511" i="25"/>
  <c r="AP512" i="25"/>
  <c r="AP513" i="25"/>
  <c r="AP514" i="25"/>
  <c r="AP515" i="25"/>
  <c r="AP516" i="25"/>
  <c r="AP517" i="25"/>
  <c r="AP518" i="25"/>
  <c r="AP519" i="25"/>
  <c r="AN73" i="16" s="1"/>
  <c r="AV73" i="16" s="1" a="1"/>
  <c r="AV73" i="16" s="1"/>
  <c r="AP520" i="25"/>
  <c r="AP521" i="25"/>
  <c r="AN105" i="16" s="1"/>
  <c r="AV105" i="16" s="1" a="1"/>
  <c r="AV105" i="16" s="1"/>
  <c r="AP522" i="25"/>
  <c r="AP523" i="25"/>
  <c r="AP524" i="25"/>
  <c r="AP525" i="25"/>
  <c r="AN41" i="16" s="1"/>
  <c r="AV41" i="16" s="1" a="1"/>
  <c r="AV41" i="16" s="1"/>
  <c r="AP526" i="25"/>
  <c r="AP527" i="25"/>
  <c r="AP528" i="25"/>
  <c r="AP529" i="25"/>
  <c r="AP530" i="25"/>
  <c r="AP531" i="25"/>
  <c r="AP532" i="25"/>
  <c r="AP533" i="25"/>
  <c r="AP534" i="25"/>
  <c r="AP535" i="25"/>
  <c r="AP536" i="25"/>
  <c r="AP537" i="25"/>
  <c r="AN78" i="16" s="1"/>
  <c r="AV78" i="16" s="1" a="1"/>
  <c r="AV78" i="16" s="1"/>
  <c r="AP538" i="25"/>
  <c r="AP539" i="25"/>
  <c r="AP540" i="25"/>
  <c r="AN131" i="16" s="1"/>
  <c r="AV131" i="16" s="1" a="1"/>
  <c r="AV131" i="16" s="1"/>
  <c r="AP541" i="25"/>
  <c r="AP542" i="25"/>
  <c r="AP543" i="25"/>
  <c r="AP544" i="25"/>
  <c r="AN98" i="16" s="1"/>
  <c r="AV98" i="16" s="1" a="1"/>
  <c r="AV98" i="16" s="1"/>
  <c r="AP545" i="25"/>
  <c r="AP546" i="25"/>
  <c r="AP547" i="25"/>
  <c r="AP548" i="25"/>
  <c r="AP549" i="25"/>
  <c r="AP550" i="25"/>
  <c r="AP551" i="25"/>
  <c r="AP552" i="25"/>
  <c r="AP553" i="25"/>
  <c r="AP554" i="25"/>
  <c r="AN163" i="16" s="1"/>
  <c r="AV163" i="16" s="1" a="1"/>
  <c r="AV163" i="16" s="1"/>
  <c r="AP555" i="25"/>
  <c r="AP556" i="25"/>
  <c r="AP557" i="25"/>
  <c r="AP558" i="25"/>
  <c r="AN33" i="16" s="1"/>
  <c r="AV33" i="16" s="1" a="1"/>
  <c r="AV33" i="16" s="1"/>
  <c r="AP559" i="25"/>
  <c r="AP560" i="25"/>
  <c r="AP561" i="25"/>
  <c r="AP562" i="25"/>
  <c r="AN120" i="16" s="1"/>
  <c r="AV120" i="16" s="1" a="1"/>
  <c r="AV120" i="16" s="1"/>
  <c r="AP563" i="25"/>
  <c r="AP564" i="25"/>
  <c r="AP565" i="25"/>
  <c r="AP566" i="25"/>
  <c r="AP567" i="25"/>
  <c r="AP568" i="25"/>
  <c r="AN28" i="16" s="1"/>
  <c r="AV28" i="16" s="1" a="1"/>
  <c r="AV28" i="16" s="1"/>
  <c r="AP569" i="25"/>
  <c r="AP570" i="25"/>
  <c r="AP571" i="25"/>
  <c r="AP572" i="25"/>
  <c r="AN158" i="16" s="1"/>
  <c r="AV158" i="16" s="1" a="1"/>
  <c r="AV158" i="16" s="1"/>
  <c r="AP573" i="25"/>
  <c r="AP574" i="25"/>
  <c r="AP575" i="25"/>
  <c r="AP576" i="25"/>
  <c r="AP577" i="25"/>
  <c r="AP578" i="25"/>
  <c r="AP579" i="25"/>
  <c r="AP580" i="25"/>
  <c r="AP581" i="25"/>
  <c r="AP582" i="25"/>
  <c r="AP583" i="25"/>
  <c r="AP584" i="25"/>
  <c r="AP585" i="25"/>
  <c r="AP586" i="25"/>
  <c r="AP587" i="25"/>
  <c r="AP588" i="25"/>
  <c r="AP589" i="25"/>
  <c r="AP590" i="25"/>
  <c r="AP591" i="25"/>
  <c r="AP592" i="25"/>
  <c r="AP593" i="25"/>
  <c r="AP594" i="25"/>
  <c r="AP595" i="25"/>
  <c r="AP596" i="25"/>
  <c r="AP597" i="25"/>
  <c r="AP598" i="25"/>
  <c r="AP599" i="25"/>
  <c r="AP600" i="25"/>
  <c r="AP601" i="25"/>
  <c r="AP602" i="25"/>
  <c r="AP603" i="25"/>
  <c r="AP604" i="25"/>
  <c r="AP605" i="25"/>
  <c r="AP606" i="25"/>
  <c r="AP607" i="25"/>
  <c r="AN35" i="16" s="1"/>
  <c r="AV35" i="16" s="1" a="1"/>
  <c r="AV35" i="16" s="1"/>
  <c r="AP608" i="25"/>
  <c r="AP609" i="25"/>
  <c r="AP610" i="25"/>
  <c r="AP611" i="25"/>
  <c r="AP612" i="25"/>
  <c r="AP613" i="25"/>
  <c r="AP614" i="25"/>
  <c r="AP615" i="25"/>
  <c r="AP616" i="25"/>
  <c r="AN38" i="16" s="1"/>
  <c r="AV38" i="16" s="1" a="1"/>
  <c r="AV38" i="16" s="1"/>
  <c r="AP617" i="25"/>
  <c r="AP618" i="25"/>
  <c r="AP619" i="25"/>
  <c r="AP620" i="25"/>
  <c r="AP621" i="25"/>
  <c r="AP622" i="25"/>
  <c r="AP623" i="25"/>
  <c r="AP624" i="25"/>
  <c r="AP625" i="25"/>
  <c r="AP626" i="25"/>
  <c r="AP627" i="25"/>
  <c r="AP628" i="25"/>
  <c r="AP629" i="25"/>
  <c r="AP630" i="25"/>
  <c r="AP631" i="25"/>
  <c r="AP632" i="25"/>
  <c r="AP633" i="25"/>
  <c r="AP634" i="25"/>
  <c r="AP635" i="25"/>
  <c r="AP636" i="25"/>
  <c r="AP637" i="25"/>
  <c r="AP638" i="25"/>
  <c r="AP639" i="25"/>
  <c r="AP640" i="25"/>
  <c r="AP641" i="25"/>
  <c r="AP642" i="25"/>
  <c r="AP643" i="25"/>
  <c r="AP644" i="25"/>
  <c r="AP645" i="25"/>
  <c r="AP646" i="25"/>
  <c r="AP647" i="25"/>
  <c r="AP648" i="25"/>
  <c r="AP649" i="25"/>
  <c r="AP650" i="25"/>
  <c r="AP651" i="25"/>
  <c r="AP652" i="25"/>
  <c r="AP653" i="25"/>
  <c r="AP654" i="25"/>
  <c r="AP655" i="25"/>
  <c r="AN58" i="16" s="1"/>
  <c r="AV58" i="16" s="1" a="1"/>
  <c r="AV58" i="16" s="1"/>
  <c r="AP656" i="25"/>
  <c r="AP657" i="25"/>
  <c r="AP658" i="25"/>
  <c r="AP659" i="25"/>
  <c r="AP660" i="25"/>
  <c r="AP661" i="25"/>
  <c r="AN162" i="16" s="1"/>
  <c r="AV162" i="16" s="1" a="1"/>
  <c r="AV162" i="16" s="1"/>
  <c r="AP662" i="25"/>
  <c r="AP663" i="25"/>
  <c r="AN24" i="16" s="1"/>
  <c r="AV24" i="16" s="1" a="1"/>
  <c r="AV24" i="16" s="1"/>
  <c r="AP664" i="25"/>
  <c r="AP665" i="25"/>
  <c r="AP666" i="25"/>
  <c r="AP667" i="25"/>
  <c r="AP668" i="25"/>
  <c r="AP669" i="25"/>
  <c r="AP670" i="25"/>
  <c r="AP671" i="25"/>
  <c r="AP672" i="25"/>
  <c r="AP673" i="25"/>
  <c r="AP674" i="25"/>
  <c r="AP675" i="25"/>
  <c r="AN65" i="16" s="1"/>
  <c r="AV65" i="16" s="1" a="1"/>
  <c r="AV65" i="16" s="1"/>
  <c r="AP676" i="25"/>
  <c r="AP677" i="25"/>
  <c r="AP678" i="25"/>
  <c r="AP679" i="25"/>
  <c r="AP680" i="25"/>
  <c r="AP681" i="25"/>
  <c r="AP682" i="25"/>
  <c r="AP683" i="25"/>
  <c r="AP684" i="25"/>
  <c r="AP685" i="25"/>
  <c r="AP686" i="25"/>
  <c r="AP687" i="25"/>
  <c r="AP688" i="25"/>
  <c r="AP689" i="25"/>
  <c r="AP690" i="25"/>
  <c r="AP691" i="25"/>
  <c r="AP692" i="25"/>
  <c r="AP693" i="25"/>
  <c r="AP694" i="25"/>
  <c r="AP695" i="25"/>
  <c r="AP696" i="25"/>
  <c r="AP697" i="25"/>
  <c r="AP698" i="25"/>
  <c r="AP699" i="25"/>
  <c r="AP700" i="25"/>
  <c r="AP701" i="25"/>
  <c r="AP702" i="25"/>
  <c r="AP703" i="25"/>
  <c r="AP704" i="25"/>
  <c r="AP705" i="25"/>
  <c r="AP706" i="25"/>
  <c r="AP707" i="25"/>
  <c r="AP708" i="25"/>
  <c r="AP709" i="25"/>
  <c r="AP710" i="25"/>
  <c r="AP711" i="25"/>
  <c r="AP712" i="25"/>
  <c r="AP713" i="25"/>
  <c r="AP714" i="25"/>
  <c r="AP715" i="25"/>
  <c r="AP716" i="25"/>
  <c r="AP717" i="25"/>
  <c r="AP718" i="25"/>
  <c r="AP719" i="25"/>
  <c r="AP720" i="25"/>
  <c r="AP721" i="25"/>
  <c r="AP722" i="25"/>
  <c r="AP723" i="25"/>
  <c r="AP724" i="25"/>
  <c r="AP725" i="25"/>
  <c r="AP726" i="25"/>
  <c r="AP727" i="25"/>
  <c r="AN31" i="16" s="1"/>
  <c r="AV31" i="16" s="1" a="1"/>
  <c r="AV31" i="16" s="1"/>
  <c r="AP728" i="25"/>
  <c r="AP729" i="25"/>
  <c r="AP730" i="25"/>
  <c r="AP731" i="25"/>
  <c r="AP732" i="25"/>
  <c r="AP733" i="25"/>
  <c r="AP734" i="25"/>
  <c r="AP735" i="25"/>
  <c r="AP736" i="25"/>
  <c r="AP737" i="25"/>
  <c r="AP738" i="25"/>
  <c r="AP739" i="25"/>
  <c r="AP740" i="25"/>
  <c r="AP741" i="25"/>
  <c r="AP742" i="25"/>
  <c r="AP743" i="25"/>
  <c r="AP744" i="25"/>
  <c r="AP745" i="25"/>
  <c r="AP746" i="25"/>
  <c r="AP747" i="25"/>
  <c r="AP748" i="25"/>
  <c r="AP749" i="25"/>
  <c r="AP750" i="25"/>
  <c r="AP751" i="25"/>
  <c r="AP752" i="25"/>
  <c r="AP753" i="25"/>
  <c r="AP754" i="25"/>
  <c r="AP755" i="25"/>
  <c r="AP756" i="25"/>
  <c r="AP757" i="25"/>
  <c r="AP758" i="25"/>
  <c r="AP759" i="25"/>
  <c r="AP760" i="25"/>
  <c r="AP761" i="25"/>
  <c r="AP762" i="25"/>
  <c r="AN97" i="16" s="1"/>
  <c r="AV97" i="16" s="1" a="1"/>
  <c r="AV97" i="16" s="1"/>
  <c r="AP763" i="25"/>
  <c r="AP764" i="25"/>
  <c r="AP765" i="25"/>
  <c r="AP766" i="25"/>
  <c r="AP767" i="25"/>
  <c r="AP768" i="25"/>
  <c r="AP769" i="25"/>
  <c r="AN4" i="16" s="1"/>
  <c r="AV4" i="16" s="1" a="1"/>
  <c r="AV4" i="16" s="1"/>
  <c r="AP770" i="25"/>
  <c r="AN34" i="16" s="1"/>
  <c r="AV34" i="16" s="1" a="1"/>
  <c r="AV34" i="16" s="1"/>
  <c r="AP771" i="25"/>
  <c r="AP772" i="25"/>
  <c r="AN124" i="16" s="1"/>
  <c r="AV124" i="16" s="1" a="1"/>
  <c r="AV124" i="16" s="1"/>
  <c r="AP773" i="25"/>
  <c r="AP774" i="25"/>
  <c r="AP775" i="25"/>
  <c r="AP776" i="25"/>
  <c r="AP777" i="25"/>
  <c r="AP778" i="25"/>
  <c r="AP779" i="25"/>
  <c r="AP780" i="25"/>
  <c r="AP781" i="25"/>
  <c r="AP782" i="25"/>
  <c r="AP783" i="25"/>
  <c r="AP784" i="25"/>
  <c r="AP785" i="25"/>
  <c r="AP786" i="25"/>
  <c r="AP787" i="25"/>
  <c r="AP788" i="25"/>
  <c r="AP789" i="25"/>
  <c r="AP790" i="25"/>
  <c r="AP791" i="25"/>
  <c r="AP792" i="25"/>
  <c r="AP793" i="25"/>
  <c r="AP794" i="25"/>
  <c r="AP795" i="25"/>
  <c r="AP796" i="25"/>
  <c r="AP797" i="25"/>
  <c r="AP798" i="25"/>
  <c r="AN11" i="16" s="1"/>
  <c r="AV11" i="16" s="1" a="1"/>
  <c r="AV11" i="16" s="1"/>
  <c r="AP799" i="25"/>
  <c r="AN118" i="16" s="1"/>
  <c r="AV118" i="16" s="1" a="1"/>
  <c r="AV118" i="16" s="1"/>
  <c r="AP800" i="25"/>
  <c r="AP801" i="25"/>
  <c r="AP802" i="25"/>
  <c r="AP803" i="25"/>
  <c r="AP804" i="25"/>
  <c r="AP805" i="25"/>
  <c r="AP806" i="25"/>
  <c r="AP807" i="25"/>
  <c r="AP808" i="25"/>
  <c r="AN103" i="16" s="1"/>
  <c r="AV103" i="16" s="1" a="1"/>
  <c r="AV103" i="16" s="1"/>
  <c r="AP809" i="25"/>
  <c r="AP810" i="25"/>
  <c r="AP811" i="25"/>
  <c r="AP812" i="25"/>
  <c r="AP813" i="25"/>
  <c r="AN90" i="16" s="1"/>
  <c r="AV90" i="16" s="1" a="1"/>
  <c r="AV90" i="16" s="1"/>
  <c r="AP814" i="25"/>
  <c r="AP815" i="25"/>
  <c r="AP816" i="25"/>
  <c r="AP817" i="25"/>
  <c r="AP818" i="25"/>
  <c r="AP819" i="25"/>
  <c r="AP820" i="25"/>
  <c r="AP821" i="25"/>
  <c r="AP822" i="25"/>
  <c r="AP823" i="25"/>
  <c r="AP824" i="25"/>
  <c r="AP825" i="25"/>
  <c r="AP826" i="25"/>
  <c r="AP827" i="25"/>
  <c r="AP828" i="25"/>
  <c r="AP829" i="25"/>
  <c r="AP830" i="25"/>
  <c r="AP831" i="25"/>
  <c r="AP832" i="25"/>
  <c r="AP833" i="25"/>
  <c r="AP834" i="25"/>
  <c r="AP835" i="25"/>
  <c r="AP836" i="25"/>
  <c r="AP837" i="25"/>
  <c r="AP838" i="25"/>
  <c r="AP839" i="25"/>
  <c r="AP840" i="25"/>
  <c r="AP841" i="25"/>
  <c r="AP842" i="25"/>
  <c r="AP843" i="25"/>
  <c r="AP844" i="25"/>
  <c r="AP845" i="25"/>
  <c r="AP846" i="25"/>
  <c r="AP847" i="25"/>
  <c r="AP848" i="25"/>
  <c r="AP849" i="25"/>
  <c r="AP850" i="25"/>
  <c r="AP851" i="25"/>
  <c r="AP852" i="25"/>
  <c r="AP853" i="25"/>
  <c r="AP854" i="25"/>
  <c r="AP855" i="25"/>
  <c r="AP856" i="25"/>
  <c r="AP857" i="25"/>
  <c r="AP858" i="25"/>
  <c r="AP859" i="25"/>
  <c r="AP860" i="25"/>
  <c r="AP861" i="25"/>
  <c r="AP862" i="25"/>
  <c r="AP863" i="25"/>
  <c r="AP864" i="25"/>
  <c r="AP865" i="25"/>
  <c r="AP866" i="25"/>
  <c r="AP867" i="25"/>
  <c r="AP868" i="25"/>
  <c r="AP869" i="25"/>
  <c r="AP870" i="25"/>
  <c r="AP871" i="25"/>
  <c r="AP872" i="25"/>
  <c r="AP873" i="25"/>
  <c r="AP874" i="25"/>
  <c r="AN122" i="16" s="1"/>
  <c r="AV122" i="16" s="1" a="1"/>
  <c r="AV122" i="16" s="1"/>
  <c r="AP875" i="25"/>
  <c r="AP876" i="25"/>
  <c r="AP877" i="25"/>
  <c r="AP878" i="25"/>
  <c r="AP879" i="25"/>
  <c r="AP880" i="25"/>
  <c r="AP881" i="25"/>
  <c r="AP882" i="25"/>
  <c r="AP883" i="25"/>
  <c r="AP884" i="25"/>
  <c r="AP885" i="25"/>
  <c r="AP886" i="25"/>
  <c r="AP887" i="25"/>
  <c r="AP888" i="25"/>
  <c r="AN12" i="16" s="1"/>
  <c r="AV12" i="16" s="1" a="1"/>
  <c r="AV12" i="16" s="1"/>
  <c r="AP889" i="25"/>
  <c r="AP890" i="25"/>
  <c r="AP891" i="25"/>
  <c r="AP892" i="25"/>
  <c r="AP893" i="25"/>
  <c r="AP894" i="25"/>
  <c r="AP895" i="25"/>
  <c r="AP896" i="25"/>
  <c r="AP897" i="25"/>
  <c r="AP898" i="25"/>
  <c r="AP899" i="25"/>
  <c r="AP900" i="25"/>
  <c r="AP901" i="25"/>
  <c r="AP902" i="25"/>
  <c r="AP903" i="25"/>
  <c r="AP904" i="25"/>
  <c r="AP905" i="25"/>
  <c r="AP906" i="25"/>
  <c r="AP907" i="25"/>
  <c r="AP908" i="25"/>
  <c r="AP909" i="25"/>
  <c r="AP910" i="25"/>
  <c r="AP911" i="25"/>
  <c r="AP912" i="25"/>
  <c r="AN68" i="16" s="1"/>
  <c r="AV68" i="16" s="1" a="1"/>
  <c r="AV68" i="16" s="1"/>
  <c r="AP913" i="25"/>
  <c r="AP914" i="25"/>
  <c r="AP915" i="25"/>
  <c r="AP916" i="25"/>
  <c r="AP917" i="25"/>
  <c r="AP918" i="25"/>
  <c r="AN26" i="16" s="1"/>
  <c r="AV26" i="16" s="1" a="1"/>
  <c r="AV26" i="16" s="1"/>
  <c r="AP919" i="25"/>
  <c r="AP920" i="25"/>
  <c r="AN17" i="16" s="1"/>
  <c r="AV17" i="16" s="1" a="1"/>
  <c r="AV17" i="16" s="1"/>
  <c r="AP921" i="25"/>
  <c r="AP922" i="25"/>
  <c r="AP923" i="25"/>
  <c r="AP924" i="25"/>
  <c r="AP925" i="25"/>
  <c r="AP926" i="25"/>
  <c r="AN29" i="16" s="1"/>
  <c r="AV29" i="16" s="1" a="1"/>
  <c r="AV29" i="16" s="1"/>
  <c r="AP927" i="25"/>
  <c r="AP928" i="25"/>
  <c r="AP929" i="25"/>
  <c r="AP930" i="25"/>
  <c r="AP931" i="25"/>
  <c r="AP932" i="25"/>
  <c r="AP933" i="25"/>
  <c r="AP934" i="25"/>
  <c r="AP935" i="25"/>
  <c r="AP936" i="25"/>
  <c r="AP937" i="25"/>
  <c r="AP938" i="25"/>
  <c r="AP939" i="25"/>
  <c r="AP940" i="25"/>
  <c r="AP941" i="25"/>
  <c r="AP942" i="25"/>
  <c r="AP943" i="25"/>
  <c r="AP944" i="25"/>
  <c r="AP945" i="25"/>
  <c r="AP946" i="25"/>
  <c r="AP947" i="25"/>
  <c r="AP948" i="25"/>
  <c r="AP949" i="25"/>
  <c r="AP950" i="25"/>
  <c r="AP951" i="25"/>
  <c r="AP952" i="25"/>
  <c r="AP953" i="25"/>
  <c r="AP954" i="25"/>
  <c r="AP955" i="25"/>
  <c r="AP956" i="25"/>
  <c r="AP957" i="25"/>
  <c r="AP958" i="25"/>
  <c r="AP959" i="25"/>
  <c r="AP960" i="25"/>
  <c r="AP961" i="25"/>
  <c r="AP962" i="25"/>
  <c r="AP963" i="25"/>
  <c r="AP964" i="25"/>
  <c r="AP965" i="25"/>
  <c r="AP966" i="25"/>
  <c r="AP967" i="25"/>
  <c r="AP968" i="25"/>
  <c r="AP969" i="25"/>
  <c r="AP970" i="25"/>
  <c r="AP971" i="25"/>
  <c r="AP972" i="25"/>
  <c r="AP973" i="25"/>
  <c r="AP974" i="25"/>
  <c r="AP975" i="25"/>
  <c r="AP976" i="25"/>
  <c r="AN25" i="16" s="1"/>
  <c r="AV25" i="16" s="1" a="1"/>
  <c r="AV25" i="16" s="1"/>
  <c r="AP977" i="25"/>
  <c r="AP978" i="25"/>
  <c r="AP979" i="25"/>
  <c r="AP980" i="25"/>
  <c r="AP981" i="25"/>
  <c r="AP982" i="25"/>
  <c r="AP983" i="25"/>
  <c r="AP984" i="25"/>
  <c r="AP985" i="25"/>
  <c r="AP986" i="25"/>
  <c r="AP987" i="25"/>
  <c r="AP988" i="25"/>
  <c r="AP989" i="25"/>
  <c r="AP990" i="25"/>
  <c r="AP991" i="25"/>
  <c r="AP992" i="25"/>
  <c r="AP993" i="25"/>
  <c r="AP994" i="25"/>
  <c r="AN129" i="16" s="1"/>
  <c r="AV129" i="16" s="1" a="1"/>
  <c r="AV129" i="16" s="1"/>
  <c r="AP995" i="25"/>
  <c r="AP996" i="25"/>
  <c r="AP997" i="25"/>
  <c r="AP998" i="25"/>
  <c r="AP999" i="25"/>
  <c r="AP1000" i="25"/>
  <c r="AP1001" i="25"/>
  <c r="AP1002" i="25"/>
  <c r="AP1003" i="25"/>
  <c r="AP1004" i="25"/>
  <c r="AP1005" i="25"/>
  <c r="AP1006" i="25"/>
  <c r="AP1007" i="25"/>
  <c r="AP1008" i="25"/>
  <c r="AP1009" i="25"/>
  <c r="AP1010" i="25"/>
  <c r="AP1011" i="25"/>
  <c r="AP1012" i="25"/>
  <c r="AP1013" i="25"/>
  <c r="AP1014" i="25"/>
  <c r="AN40" i="16" s="1"/>
  <c r="AV40" i="16" s="1" a="1"/>
  <c r="AV40" i="16" s="1"/>
  <c r="AP1015" i="25"/>
  <c r="AP1016" i="25"/>
  <c r="AP1017" i="25"/>
  <c r="AP1018" i="25"/>
  <c r="AP1019" i="25"/>
  <c r="AP1020" i="25"/>
  <c r="AP1021" i="25"/>
  <c r="AP1022" i="25"/>
  <c r="AP1023" i="25"/>
  <c r="AP1024" i="25"/>
  <c r="AP1025" i="25"/>
  <c r="AP1026" i="25"/>
  <c r="AP1027" i="25"/>
  <c r="AP1028" i="25"/>
  <c r="AP1029" i="25"/>
  <c r="AP1030" i="25"/>
  <c r="AP1031" i="25"/>
  <c r="AP1032" i="25"/>
  <c r="AP1033" i="25"/>
  <c r="AP1034" i="25"/>
  <c r="AP1035" i="25"/>
  <c r="AP1036" i="25"/>
  <c r="AP1037" i="25"/>
  <c r="AN10" i="16" s="1"/>
  <c r="AV10" i="16" s="1" a="1"/>
  <c r="AV10" i="16" s="1"/>
  <c r="AP1038" i="25"/>
  <c r="AP1039" i="25"/>
  <c r="AP1040" i="25"/>
  <c r="AP1041" i="25"/>
  <c r="AP1042" i="25"/>
  <c r="AN46" i="16" s="1"/>
  <c r="AV46" i="16" s="1" a="1"/>
  <c r="AV46" i="16" s="1"/>
  <c r="AP1043" i="25"/>
  <c r="AP1044" i="25"/>
  <c r="AP1045" i="25"/>
  <c r="AP1046" i="25"/>
  <c r="AN2" i="16" s="1"/>
  <c r="AV2" i="16" s="1" a="1"/>
  <c r="AV2" i="16" s="1"/>
  <c r="AP1047" i="25"/>
  <c r="AP1048" i="25"/>
  <c r="AP1049" i="25"/>
  <c r="AP1050" i="25"/>
  <c r="AN113" i="16" s="1"/>
  <c r="AV113" i="16" s="1" a="1"/>
  <c r="AV113" i="16" s="1"/>
  <c r="AP1051" i="25"/>
  <c r="AP1052" i="25"/>
  <c r="AP1053" i="25"/>
  <c r="AP1054" i="25"/>
  <c r="AP1055" i="25"/>
  <c r="AP1056" i="25"/>
  <c r="AP1057" i="25"/>
  <c r="AP1058" i="25"/>
  <c r="AP1059" i="25"/>
  <c r="AP1060" i="25"/>
  <c r="AN36" i="16" s="1"/>
  <c r="AV36" i="16" s="1" a="1"/>
  <c r="AV36" i="16" s="1"/>
  <c r="AP1061" i="25"/>
  <c r="AP1062" i="25"/>
  <c r="AP1063" i="25"/>
  <c r="AP1064" i="25"/>
  <c r="AN107" i="16" s="1"/>
  <c r="AV107" i="16" s="1" a="1"/>
  <c r="AV107" i="16" s="1"/>
  <c r="AP1065" i="25"/>
  <c r="AP1066" i="25"/>
  <c r="AP1067" i="25"/>
  <c r="AP1068" i="25"/>
  <c r="AP1069" i="25"/>
  <c r="AP1070" i="25"/>
  <c r="AP1071" i="25"/>
  <c r="AP1072" i="25"/>
  <c r="AP1073" i="25"/>
  <c r="AN22" i="16" s="1"/>
  <c r="AV22" i="16" s="1" a="1"/>
  <c r="AV22" i="16" s="1"/>
  <c r="AP1074" i="25"/>
  <c r="AP1075" i="25"/>
  <c r="AP1076" i="25"/>
  <c r="AP1077" i="25"/>
  <c r="AP1078" i="25"/>
  <c r="AP1079" i="25"/>
  <c r="AN5" i="16" s="1"/>
  <c r="AV5" i="16" s="1" a="1"/>
  <c r="AV5" i="16" s="1"/>
  <c r="AP1080" i="25"/>
  <c r="AP1081" i="25"/>
  <c r="AP1082" i="25"/>
  <c r="AN6" i="16" s="1"/>
  <c r="AV6" i="16" s="1" a="1"/>
  <c r="AV6" i="16" s="1"/>
  <c r="AP1083" i="25"/>
  <c r="AP1084" i="25"/>
  <c r="AP1085" i="25"/>
  <c r="AP1086" i="25"/>
  <c r="AP1087" i="25"/>
  <c r="AP1088" i="25"/>
  <c r="AP1089" i="25"/>
  <c r="AP1090" i="25"/>
  <c r="AP1091" i="25"/>
  <c r="AP1092" i="25"/>
  <c r="AP1093" i="25"/>
  <c r="AP1094" i="25"/>
  <c r="AP1095" i="25"/>
  <c r="AP1096" i="25"/>
  <c r="AP1097" i="25"/>
  <c r="AP1098" i="25"/>
  <c r="AP1099" i="25"/>
  <c r="AP1100" i="25"/>
  <c r="AP1101" i="25"/>
  <c r="AP1102" i="25"/>
  <c r="AP1103" i="25"/>
  <c r="AP1104" i="25"/>
  <c r="AP1105" i="25"/>
  <c r="AP1106" i="25"/>
  <c r="AP1107" i="25"/>
  <c r="AP1108" i="25"/>
  <c r="AP1109" i="25"/>
  <c r="AP1110" i="25"/>
  <c r="AP1111" i="25"/>
  <c r="AP1112" i="25"/>
  <c r="AP1113" i="25"/>
  <c r="AP1114" i="25"/>
  <c r="AP1115" i="25"/>
  <c r="AP1116" i="25"/>
  <c r="AP1117" i="25"/>
  <c r="AP1118" i="25"/>
  <c r="AP1119" i="25"/>
  <c r="AP1120" i="25"/>
  <c r="AP1121" i="25"/>
  <c r="AP1122" i="25"/>
  <c r="AP1123" i="25"/>
  <c r="AP1124" i="25"/>
  <c r="AP1125" i="25"/>
  <c r="AP1126" i="25"/>
  <c r="AP1127" i="25"/>
  <c r="AP1128" i="25"/>
  <c r="AP1129" i="25"/>
  <c r="AP1130" i="25"/>
  <c r="AP1131" i="25"/>
  <c r="AP1132" i="25"/>
  <c r="AP1133" i="25"/>
  <c r="AP1134" i="25"/>
  <c r="AP1135" i="25"/>
  <c r="AP1136" i="25"/>
  <c r="AP1137" i="25"/>
  <c r="AP1138" i="25"/>
  <c r="AP1139" i="25"/>
  <c r="AP1140" i="25"/>
  <c r="AP1141" i="25"/>
  <c r="AP1142" i="25"/>
  <c r="AP1143" i="25"/>
  <c r="AP1144" i="25"/>
  <c r="AP1145" i="25"/>
  <c r="AN130" i="16" s="1"/>
  <c r="AV130" i="16" s="1" a="1"/>
  <c r="AV130" i="16" s="1"/>
  <c r="AP1146" i="25"/>
  <c r="AN49" i="16" s="1"/>
  <c r="AV49" i="16" s="1" a="1"/>
  <c r="AV49" i="16" s="1"/>
  <c r="AP1147" i="25"/>
  <c r="AP1148" i="25"/>
  <c r="AP1149" i="25"/>
  <c r="AP1150" i="25"/>
  <c r="AP1151" i="25"/>
  <c r="AP1152" i="25"/>
  <c r="AP1153" i="25"/>
  <c r="AP1154" i="25"/>
  <c r="AP1155" i="25"/>
  <c r="AP1156" i="25"/>
  <c r="AP1157" i="25"/>
  <c r="AP1158" i="25"/>
  <c r="AP1159" i="25"/>
  <c r="AP1160" i="25"/>
  <c r="AP1161" i="25"/>
  <c r="AP1162" i="25"/>
  <c r="AP1163" i="25"/>
  <c r="AP1164" i="25"/>
  <c r="AP1165" i="25"/>
  <c r="AP1166" i="25"/>
  <c r="AP1167" i="25"/>
  <c r="AP1168" i="25"/>
  <c r="AN76" i="16" s="1"/>
  <c r="AV76" i="16" s="1" a="1"/>
  <c r="AV76" i="16" s="1"/>
  <c r="AP1169" i="25"/>
  <c r="AP1170" i="25"/>
  <c r="AP1171" i="25"/>
  <c r="AP1172" i="25"/>
  <c r="AN93" i="16" s="1"/>
  <c r="AV93" i="16" s="1" a="1"/>
  <c r="AV93" i="16" s="1"/>
  <c r="AP1173" i="25"/>
  <c r="AP1174" i="25"/>
  <c r="AN165" i="16" s="1"/>
  <c r="AV165" i="16" s="1" a="1"/>
  <c r="AV165" i="16" s="1"/>
  <c r="AP1175" i="25"/>
  <c r="AN154" i="16" s="1"/>
  <c r="AV154" i="16" s="1" a="1"/>
  <c r="AV154" i="16" s="1"/>
  <c r="AP1176" i="25"/>
  <c r="AP1177" i="25"/>
  <c r="AN115" i="16" s="1"/>
  <c r="AV115" i="16" s="1" a="1"/>
  <c r="AV115" i="16" s="1"/>
  <c r="AP1178" i="25"/>
  <c r="AP1179" i="25"/>
  <c r="AP1180" i="25"/>
  <c r="AP1181" i="25"/>
  <c r="AP1182" i="25"/>
  <c r="AN82" i="16" s="1"/>
  <c r="AV82" i="16" s="1" a="1"/>
  <c r="AV82" i="16" s="1"/>
  <c r="AP1183" i="25"/>
  <c r="AP1184" i="25"/>
  <c r="AP1185" i="25"/>
  <c r="AP1186" i="25"/>
  <c r="AP1187" i="25"/>
  <c r="AP1188" i="25"/>
  <c r="AP1189" i="25"/>
  <c r="AP1190" i="25"/>
  <c r="AP1191" i="25"/>
  <c r="AP1192" i="25"/>
  <c r="AP1193" i="25"/>
  <c r="AP1194" i="25"/>
  <c r="AN99" i="16" s="1"/>
  <c r="AV99" i="16" s="1" a="1"/>
  <c r="AV99" i="16" s="1"/>
  <c r="AP1195" i="25"/>
  <c r="AP1196" i="25"/>
  <c r="AP1197" i="25"/>
  <c r="AP1198" i="25"/>
  <c r="AN133" i="16" s="1"/>
  <c r="AV133" i="16" s="1" a="1"/>
  <c r="AV133" i="16" s="1"/>
  <c r="AP1199" i="25"/>
  <c r="AP1200" i="25"/>
  <c r="AP1201" i="25"/>
  <c r="AP1202" i="25"/>
  <c r="AN20" i="16" s="1"/>
  <c r="AV20" i="16" s="1" a="1"/>
  <c r="AV20" i="16" s="1"/>
  <c r="AP1203" i="25"/>
  <c r="AP1204" i="25"/>
  <c r="AP1205" i="25"/>
  <c r="AP1206" i="25"/>
  <c r="AP1207" i="25"/>
  <c r="AP1208" i="25"/>
  <c r="AN151" i="16" s="1"/>
  <c r="AV151" i="16" s="1" a="1"/>
  <c r="AV151" i="16" s="1"/>
  <c r="AP1209" i="25"/>
  <c r="AP1210" i="25"/>
  <c r="AP1211" i="25"/>
  <c r="AP1212" i="25"/>
  <c r="AP1213" i="25"/>
  <c r="AP1214" i="25"/>
  <c r="AP1215" i="25"/>
  <c r="AP1216" i="25"/>
  <c r="AP1217" i="25"/>
  <c r="AP1218" i="25"/>
  <c r="AP1219" i="25"/>
  <c r="AP1220" i="25"/>
  <c r="AP1221" i="25"/>
  <c r="AP1222" i="25"/>
  <c r="AP1223" i="25"/>
  <c r="AP1224" i="25"/>
  <c r="AP1225" i="25"/>
  <c r="AP1226" i="25"/>
  <c r="AP1227" i="25"/>
  <c r="AP1228" i="25"/>
  <c r="AN37" i="16" s="1"/>
  <c r="AV37" i="16" s="1" a="1"/>
  <c r="AV37" i="16" s="1"/>
  <c r="AP1229" i="25"/>
  <c r="AP1230" i="25"/>
  <c r="AP1231" i="25"/>
  <c r="AP1232" i="25"/>
  <c r="AP1233" i="25"/>
  <c r="AP1234" i="25"/>
  <c r="AP1235" i="25"/>
  <c r="AP1236" i="25"/>
  <c r="AP1237" i="25"/>
  <c r="AP1238" i="25"/>
  <c r="AP1239" i="25"/>
  <c r="AP1240" i="25"/>
  <c r="AN32" i="16" s="1"/>
  <c r="AV32" i="16" s="1" a="1"/>
  <c r="AV32" i="16" s="1"/>
  <c r="AP1241" i="25"/>
  <c r="AP1242" i="25"/>
  <c r="AP1243" i="25"/>
  <c r="AP1244" i="25"/>
  <c r="AP1245" i="25"/>
  <c r="AP1246" i="25"/>
  <c r="AP1247" i="25"/>
  <c r="AP1248" i="25"/>
  <c r="AP1249" i="25"/>
  <c r="AP1250" i="25"/>
  <c r="AP1251" i="25"/>
  <c r="AP1252" i="25"/>
  <c r="AP1253" i="25"/>
  <c r="AP1254" i="25"/>
  <c r="AP1255" i="25"/>
  <c r="AP1256" i="25"/>
  <c r="AP1257" i="25"/>
  <c r="AP1258" i="25"/>
  <c r="AP1259" i="25"/>
  <c r="AN148" i="16" s="1"/>
  <c r="AV148" i="16" s="1" a="1"/>
  <c r="AV148" i="16" s="1"/>
  <c r="AP1260" i="25"/>
  <c r="AP1261" i="25"/>
  <c r="AP1262" i="25"/>
  <c r="AP1263" i="25"/>
  <c r="AP1264" i="25"/>
  <c r="AP1265" i="25"/>
  <c r="AP1266" i="25"/>
  <c r="AP1267" i="25"/>
  <c r="AP1268" i="25"/>
  <c r="AP1269" i="25"/>
  <c r="AP1270" i="25"/>
  <c r="AP1271" i="25"/>
  <c r="AP1272" i="25"/>
  <c r="AP1273" i="25"/>
  <c r="AP1274" i="25"/>
  <c r="AP1275" i="25"/>
  <c r="AP1276" i="25"/>
  <c r="AP1277" i="25"/>
  <c r="AP1278" i="25"/>
  <c r="AP1279" i="25"/>
  <c r="AP1280" i="25"/>
  <c r="AP1281" i="25"/>
  <c r="AP1282" i="25"/>
  <c r="AP1283" i="25"/>
  <c r="AP1284" i="25"/>
  <c r="AP1285" i="25"/>
  <c r="AP1286" i="25"/>
  <c r="AN91" i="16" s="1"/>
  <c r="AV91" i="16" s="1" a="1"/>
  <c r="AV91" i="16" s="1"/>
  <c r="AP1287" i="25"/>
  <c r="AP1288" i="25"/>
  <c r="AP1289" i="25"/>
  <c r="AP1290" i="25"/>
  <c r="AP1291" i="25"/>
  <c r="AP1292" i="25"/>
  <c r="AP1293" i="25"/>
  <c r="AP1294" i="25"/>
  <c r="AP1295" i="25"/>
  <c r="AP1296" i="25"/>
  <c r="AP1297" i="25"/>
  <c r="AP1298" i="25"/>
  <c r="AN92" i="16" s="1"/>
  <c r="AV92" i="16" s="1" a="1"/>
  <c r="AV92" i="16" s="1"/>
  <c r="AP1299" i="25"/>
  <c r="AP1300" i="25"/>
  <c r="AP1301" i="25"/>
  <c r="AN52" i="16" s="1"/>
  <c r="AV52" i="16" s="1" a="1"/>
  <c r="AV52" i="16" s="1"/>
  <c r="AP1302" i="25"/>
  <c r="AP1303" i="25"/>
  <c r="AP1304" i="25"/>
  <c r="AP1305" i="25"/>
  <c r="AP1306" i="25"/>
  <c r="AP1307" i="25"/>
  <c r="AP1308" i="25"/>
  <c r="AP1309" i="25"/>
  <c r="AP1310" i="25"/>
  <c r="AP1311" i="25"/>
  <c r="AP1312" i="25"/>
  <c r="AP1313" i="25"/>
  <c r="AP1314" i="25"/>
  <c r="AN71" i="16" s="1"/>
  <c r="AV71" i="16" s="1" a="1"/>
  <c r="AV71" i="16" s="1"/>
  <c r="AP1315" i="25"/>
  <c r="AP1316" i="25"/>
  <c r="AP1317" i="25"/>
  <c r="AP1318" i="25"/>
  <c r="AP1319" i="25"/>
  <c r="AN27" i="16" s="1"/>
  <c r="AV27" i="16" s="1" a="1"/>
  <c r="AV27" i="16" s="1"/>
  <c r="AP1320" i="25"/>
  <c r="AP1321" i="25"/>
  <c r="AP1322" i="25"/>
  <c r="AP1323" i="25"/>
  <c r="AP1324" i="25"/>
  <c r="AP1325" i="25"/>
  <c r="AP1326" i="25"/>
  <c r="AP1327" i="25"/>
  <c r="AP1328" i="25"/>
  <c r="AP1329" i="25"/>
  <c r="AP1330" i="25"/>
  <c r="AP1331" i="25"/>
  <c r="AP1332" i="25"/>
  <c r="AP1333" i="25"/>
  <c r="AP1334" i="25"/>
  <c r="AP1335" i="25"/>
  <c r="AP1336" i="25"/>
  <c r="AP1337" i="25"/>
  <c r="AP1338" i="25"/>
  <c r="AP1339" i="25"/>
  <c r="AP1340" i="25"/>
  <c r="AP1341" i="25"/>
  <c r="AP1342" i="25"/>
  <c r="AP1343" i="25"/>
  <c r="AP1344" i="25"/>
  <c r="AP1345" i="25"/>
  <c r="AP1346" i="25"/>
  <c r="AP1347" i="25"/>
  <c r="AP1348" i="25"/>
  <c r="AP1349" i="25"/>
  <c r="AP1350" i="25"/>
  <c r="AP1351" i="25"/>
  <c r="AP1352" i="25"/>
  <c r="AP1353" i="25"/>
  <c r="AP1354" i="25"/>
  <c r="AP1355" i="25"/>
  <c r="AP1356" i="25"/>
  <c r="AP1357" i="25"/>
  <c r="AP1358" i="25"/>
  <c r="AP1359" i="25"/>
  <c r="AP1360" i="25"/>
  <c r="AP1361" i="25"/>
  <c r="AP1362" i="25"/>
  <c r="AP1363" i="25"/>
  <c r="AP1364" i="25"/>
  <c r="AN8" i="16" s="1"/>
  <c r="AV8" i="16" s="1" a="1"/>
  <c r="AV8" i="16" s="1"/>
  <c r="AP1365" i="25"/>
  <c r="AP1366" i="25"/>
  <c r="AP1367" i="25"/>
  <c r="AN75" i="16" s="1"/>
  <c r="AV75" i="16" s="1" a="1"/>
  <c r="AV75" i="16" s="1"/>
  <c r="AP1368" i="25"/>
  <c r="AP1369" i="25"/>
  <c r="AP1370" i="25"/>
  <c r="AP1371" i="25"/>
  <c r="AP1372" i="25"/>
  <c r="AP1373" i="25"/>
  <c r="AN18" i="16" s="1"/>
  <c r="AV18" i="16" s="1" a="1"/>
  <c r="AV18" i="16" s="1"/>
  <c r="AP1374" i="25"/>
  <c r="AP1375" i="25"/>
  <c r="AP1376" i="25"/>
  <c r="AP1377" i="25"/>
  <c r="AP1378" i="25"/>
  <c r="AN114" i="16" s="1"/>
  <c r="AV114" i="16" s="1" a="1"/>
  <c r="AV114" i="16" s="1"/>
  <c r="AP1379" i="25"/>
  <c r="AP1380" i="25"/>
  <c r="AP1381" i="25"/>
  <c r="AP1382" i="25"/>
  <c r="AP1383" i="25"/>
  <c r="AP1384" i="25"/>
  <c r="AP1385" i="25"/>
  <c r="AP1386" i="25"/>
  <c r="AP1387" i="25"/>
  <c r="AP1388" i="25"/>
  <c r="AP1389" i="25"/>
  <c r="AN9" i="16" s="1"/>
  <c r="AV9" i="16" s="1" a="1"/>
  <c r="AV9" i="16" s="1"/>
  <c r="AP1390" i="25"/>
  <c r="AP1391" i="25"/>
  <c r="AP1392" i="25"/>
  <c r="AP1393" i="25"/>
  <c r="AP1394" i="25"/>
  <c r="AN94" i="16" s="1"/>
  <c r="AV94" i="16" s="1" a="1"/>
  <c r="AV94" i="16" s="1"/>
  <c r="AP1395" i="25"/>
  <c r="AP1396" i="25"/>
  <c r="AP1397" i="25"/>
  <c r="AP1398" i="25"/>
  <c r="AP1399" i="25"/>
  <c r="AN51" i="16" s="1"/>
  <c r="AV51" i="16" s="1" a="1"/>
  <c r="AV51" i="16" s="1"/>
  <c r="AP1400" i="25"/>
  <c r="AP1401" i="25"/>
  <c r="AP1402" i="25"/>
  <c r="AP1403" i="25"/>
  <c r="AN53" i="16" s="1"/>
  <c r="AV53" i="16" s="1" a="1"/>
  <c r="AV53" i="16" s="1"/>
  <c r="AP1404" i="25"/>
  <c r="AP1405" i="25"/>
  <c r="AP1406" i="25"/>
  <c r="AP1407" i="25"/>
  <c r="AP1408" i="25"/>
  <c r="AP1409" i="25"/>
  <c r="AP1410" i="25"/>
  <c r="AP1411" i="25"/>
  <c r="AN69" i="16" s="1"/>
  <c r="AV69" i="16" s="1" a="1"/>
  <c r="AV69" i="16" s="1"/>
  <c r="AP1412" i="25"/>
  <c r="AP1413" i="25"/>
  <c r="AP1414" i="25"/>
  <c r="AP1415" i="25"/>
  <c r="AP1416" i="25"/>
  <c r="AN59" i="16" s="1"/>
  <c r="AV59" i="16" s="1" a="1"/>
  <c r="AV59" i="16" s="1"/>
  <c r="AP1417" i="25"/>
  <c r="AP1418" i="25"/>
  <c r="AN62" i="16" s="1"/>
  <c r="AV62" i="16" s="1" a="1"/>
  <c r="AV62" i="16" s="1"/>
  <c r="AP1419" i="25"/>
  <c r="AP1420" i="25"/>
  <c r="AP1421" i="25"/>
  <c r="AP1422" i="25"/>
  <c r="AP1423" i="25"/>
  <c r="AP1424" i="25"/>
  <c r="AP1425" i="25"/>
  <c r="AP1426" i="25"/>
  <c r="AP1427" i="25"/>
  <c r="AP1428" i="25"/>
  <c r="AP1429" i="25"/>
  <c r="AP1430" i="25"/>
  <c r="AP1431" i="25"/>
  <c r="AP1432" i="25"/>
  <c r="AP1433" i="25"/>
  <c r="AP1434" i="25"/>
  <c r="AP1435" i="25"/>
  <c r="AP1436" i="25"/>
  <c r="AP1437" i="25"/>
  <c r="AP1438" i="25"/>
  <c r="AP1439" i="25"/>
  <c r="AN47" i="16" s="1"/>
  <c r="AV47" i="16" s="1" a="1"/>
  <c r="AV47" i="16" s="1"/>
  <c r="AP1440" i="25"/>
  <c r="AP1441" i="25"/>
  <c r="AP1442" i="25"/>
  <c r="AP1443" i="25"/>
  <c r="AP1444" i="25"/>
  <c r="AP1445" i="25"/>
  <c r="AN60" i="16" s="1"/>
  <c r="AV60" i="16" s="1" a="1"/>
  <c r="AV60" i="16" s="1"/>
  <c r="AP1446" i="25"/>
  <c r="AP1447" i="25"/>
  <c r="AP1448" i="25"/>
  <c r="AP1449" i="25"/>
  <c r="AP1450" i="25"/>
  <c r="AP1451" i="25"/>
  <c r="AP1452" i="25"/>
  <c r="AP1453" i="25"/>
  <c r="AP1454" i="25"/>
  <c r="AP1455" i="25"/>
  <c r="AP1456" i="25"/>
  <c r="AN156" i="16" s="1"/>
  <c r="AV156" i="16" s="1" a="1"/>
  <c r="AV156" i="16" s="1"/>
  <c r="AP1457" i="25"/>
  <c r="AN140" i="16" s="1"/>
  <c r="AV140" i="16" s="1" a="1"/>
  <c r="AV140" i="16" s="1"/>
  <c r="AP1458" i="25"/>
  <c r="AP1459" i="25"/>
  <c r="AP1460" i="25"/>
  <c r="AP1461" i="25"/>
  <c r="AP1462" i="25"/>
  <c r="AP1463" i="25"/>
  <c r="AP1464" i="25"/>
  <c r="AP1465" i="25"/>
  <c r="AN170" i="16" s="1"/>
  <c r="AV170" i="16" s="1" a="1"/>
  <c r="AV170" i="16" s="1"/>
  <c r="AP1466" i="25"/>
  <c r="AP1467" i="25"/>
  <c r="AN150" i="16" s="1"/>
  <c r="AV150" i="16" s="1" a="1"/>
  <c r="AV150" i="16" s="1"/>
  <c r="AP1468" i="25"/>
  <c r="AP1469" i="25"/>
  <c r="AP1470" i="25"/>
  <c r="AP1471" i="25"/>
  <c r="AP1472" i="25"/>
  <c r="AP1473" i="25"/>
  <c r="AN15" i="16" s="1"/>
  <c r="AV15" i="16" s="1" a="1"/>
  <c r="AV15" i="16" s="1"/>
  <c r="AP1474" i="25"/>
  <c r="AP1475" i="25"/>
  <c r="AP1476" i="25"/>
  <c r="AP1477" i="25"/>
  <c r="AP1478" i="25"/>
  <c r="AN169" i="16" s="1"/>
  <c r="AV169" i="16" s="1" a="1"/>
  <c r="AV169" i="16" s="1"/>
  <c r="AP1479" i="25"/>
  <c r="AP1480" i="25"/>
  <c r="AP1481" i="25"/>
  <c r="AP1482" i="25"/>
  <c r="AP1483" i="25"/>
  <c r="AP1484" i="25"/>
  <c r="AP1485" i="25"/>
  <c r="AP1486" i="25"/>
  <c r="AP1487" i="25"/>
  <c r="AP1488" i="25"/>
  <c r="AP1489" i="25"/>
  <c r="AP1490" i="25"/>
  <c r="AP1491" i="25"/>
  <c r="AP1492" i="25"/>
  <c r="AP1493" i="25"/>
  <c r="AP1494" i="25"/>
  <c r="AP1495" i="25"/>
  <c r="AP1496" i="25"/>
  <c r="AP1497" i="25"/>
  <c r="AP1498" i="25"/>
  <c r="AP1499" i="25"/>
  <c r="AP1500" i="25"/>
  <c r="AP1501" i="25"/>
  <c r="AP1502" i="25"/>
  <c r="AP1503" i="25"/>
  <c r="AP1504" i="25"/>
  <c r="AP1505" i="25"/>
  <c r="AP1506" i="25"/>
  <c r="AP1507" i="25"/>
  <c r="AN21" i="16" s="1"/>
  <c r="AV21" i="16" s="1" a="1"/>
  <c r="AV21" i="16" s="1"/>
  <c r="AP1508" i="25"/>
  <c r="AP1509" i="25"/>
  <c r="AP1510" i="25"/>
  <c r="AP1511" i="25"/>
  <c r="AP1512" i="25"/>
  <c r="AP1513" i="25"/>
  <c r="AP1514" i="25"/>
  <c r="AP1515" i="25"/>
  <c r="AP1516" i="25"/>
  <c r="AP1517" i="25"/>
  <c r="AP1518" i="25"/>
  <c r="AP1519" i="25"/>
  <c r="AP1520" i="25"/>
  <c r="AN45" i="16" s="1"/>
  <c r="AV45" i="16" s="1" a="1"/>
  <c r="AV45" i="16" s="1"/>
  <c r="AP1521" i="25"/>
  <c r="AP1522" i="25"/>
  <c r="AP1523" i="25"/>
  <c r="AP1524" i="25"/>
  <c r="AP1525" i="25"/>
  <c r="AP1526" i="25"/>
  <c r="AP1527" i="25"/>
  <c r="AP1528" i="25"/>
  <c r="AP1529" i="25"/>
  <c r="AP1530" i="25"/>
  <c r="AP1531" i="25"/>
  <c r="AP1532" i="25"/>
  <c r="AP1533" i="25"/>
  <c r="AP1534" i="25"/>
  <c r="AP1535" i="25"/>
  <c r="AP1536" i="25"/>
  <c r="AP1537" i="25"/>
  <c r="AP1538" i="25"/>
  <c r="AP1539" i="25"/>
  <c r="AP1540" i="25"/>
  <c r="AP1541" i="25"/>
  <c r="AP1542" i="25"/>
  <c r="AP1543" i="25"/>
  <c r="AP1544" i="25"/>
  <c r="AP1545" i="25"/>
  <c r="AP1546" i="25"/>
  <c r="AP1547" i="25"/>
  <c r="AP1548" i="25"/>
  <c r="AP1549" i="25"/>
  <c r="AP1550" i="25"/>
  <c r="AP1551" i="25"/>
  <c r="AP1552" i="25"/>
  <c r="AP1553" i="25"/>
  <c r="AP1554" i="25"/>
  <c r="AP1555" i="25"/>
  <c r="AP1556" i="25"/>
  <c r="AP1557" i="25"/>
  <c r="AP1558" i="25"/>
  <c r="AP1559" i="25"/>
  <c r="AP1560" i="25"/>
  <c r="AP1561" i="25"/>
  <c r="AP1562" i="25"/>
  <c r="AP1563" i="25"/>
  <c r="AP1564" i="25"/>
  <c r="AP1565" i="25"/>
  <c r="AP1566" i="25"/>
  <c r="AP1567" i="25"/>
  <c r="AP1568" i="25"/>
  <c r="AP1569" i="25"/>
  <c r="AP1570" i="25"/>
  <c r="AP1571" i="25"/>
  <c r="AP1572" i="25"/>
  <c r="AP1573" i="25"/>
  <c r="AP1574" i="25"/>
  <c r="AP1575" i="25"/>
  <c r="AP1576" i="25"/>
  <c r="AP1577" i="25"/>
  <c r="AP1578" i="25"/>
  <c r="AP1579" i="25"/>
  <c r="AP1580" i="25"/>
  <c r="AP1581" i="25"/>
  <c r="AP1582" i="25"/>
  <c r="AP1583" i="25"/>
  <c r="AP1584" i="25"/>
  <c r="AP1585" i="25"/>
  <c r="AP1586" i="25"/>
  <c r="AP1587" i="25"/>
  <c r="AP1588" i="25"/>
  <c r="AN30" i="16" s="1"/>
  <c r="AV30" i="16" s="1" a="1"/>
  <c r="AV30" i="16" s="1"/>
  <c r="AP1589" i="25"/>
  <c r="AP1590" i="25"/>
  <c r="AP1591" i="25"/>
  <c r="AP1592" i="25"/>
  <c r="AP1593" i="25"/>
  <c r="AP1594" i="25"/>
  <c r="AP1595" i="25"/>
  <c r="AP1596" i="25"/>
  <c r="AP1597" i="25"/>
  <c r="AP1598" i="25"/>
  <c r="AP1599" i="25"/>
  <c r="AP1600" i="25"/>
  <c r="AP1601" i="25"/>
  <c r="AP1602" i="25"/>
  <c r="AP1603" i="25"/>
  <c r="AP1604" i="25"/>
  <c r="AP1605" i="25"/>
  <c r="AP1606" i="25"/>
  <c r="AP1607" i="25"/>
  <c r="AP1608" i="25"/>
  <c r="AP1609" i="25"/>
  <c r="AP1610" i="25"/>
  <c r="AP1611" i="25"/>
  <c r="AP1612" i="25"/>
  <c r="AP1613" i="25"/>
  <c r="AP1614" i="25"/>
  <c r="AP1615" i="25"/>
  <c r="AP1616" i="25"/>
  <c r="AP1617" i="25"/>
  <c r="AP1618" i="25"/>
  <c r="AP1619" i="25"/>
  <c r="AP1620" i="25"/>
  <c r="AP1621" i="25"/>
  <c r="AP1622" i="25"/>
  <c r="AP1623" i="25"/>
  <c r="AP1624" i="25"/>
  <c r="AP1625" i="25"/>
  <c r="AP1626" i="25"/>
  <c r="AP1627" i="25"/>
  <c r="AP1628" i="25"/>
  <c r="AP1629" i="25"/>
  <c r="AP1630" i="25"/>
  <c r="AP1631" i="25"/>
  <c r="AP1632" i="25"/>
  <c r="AP2" i="25"/>
  <c r="AO2" i="25"/>
  <c r="AO3" i="25"/>
  <c r="AO4" i="25"/>
  <c r="AO5" i="25"/>
  <c r="AO8" i="25"/>
  <c r="AO9" i="25"/>
  <c r="AO10" i="25"/>
  <c r="AO11" i="25"/>
  <c r="AO12" i="25"/>
  <c r="AO13" i="25"/>
  <c r="AO14" i="25"/>
  <c r="AO15" i="25"/>
  <c r="AO16" i="25"/>
  <c r="AO17" i="25"/>
  <c r="AO18" i="25"/>
  <c r="AO19" i="25"/>
  <c r="AO20" i="25"/>
  <c r="AO21" i="25"/>
  <c r="AO22" i="25"/>
  <c r="AO23" i="25"/>
  <c r="AO24" i="25"/>
  <c r="AO25" i="25"/>
  <c r="AO26" i="25"/>
  <c r="AO38" i="25"/>
  <c r="AO39" i="25"/>
  <c r="AO40" i="25"/>
  <c r="AO41" i="25"/>
  <c r="AO42" i="25"/>
  <c r="AO43" i="25"/>
  <c r="AO44" i="25"/>
  <c r="AO45" i="25"/>
  <c r="AO46" i="25"/>
  <c r="AO47" i="25"/>
  <c r="AO48" i="25"/>
  <c r="AO49" i="25"/>
  <c r="AO50" i="25"/>
  <c r="AO51" i="25"/>
  <c r="AO52" i="25"/>
  <c r="AO53" i="25"/>
  <c r="AO54" i="25"/>
  <c r="AO55" i="25"/>
  <c r="AO56" i="25"/>
  <c r="AO57" i="25"/>
  <c r="AO58" i="25"/>
  <c r="AO59" i="25"/>
  <c r="AO60" i="25"/>
  <c r="AO61" i="25"/>
  <c r="AO62" i="25"/>
  <c r="AO63" i="25"/>
  <c r="AO64" i="25"/>
  <c r="AO65" i="25"/>
  <c r="AO66" i="25"/>
  <c r="AO71" i="25"/>
  <c r="AO72" i="25"/>
  <c r="AO73" i="25"/>
  <c r="AO74" i="25"/>
  <c r="AO75" i="25"/>
  <c r="AO76" i="25"/>
  <c r="AO77" i="25"/>
  <c r="AO78" i="25"/>
  <c r="AO79" i="25"/>
  <c r="AO80" i="25"/>
  <c r="AO81" i="25"/>
  <c r="AO82" i="25"/>
  <c r="AO83" i="25"/>
  <c r="AO84" i="25"/>
  <c r="AO89" i="25"/>
  <c r="AO90" i="25"/>
  <c r="AO91" i="25"/>
  <c r="AO92" i="25"/>
  <c r="AO93" i="25"/>
  <c r="AO94" i="25"/>
  <c r="AO95" i="25"/>
  <c r="AO96" i="25"/>
  <c r="AO97" i="25"/>
  <c r="AO98" i="25"/>
  <c r="AO99" i="25"/>
  <c r="AO100" i="25"/>
  <c r="AO101" i="25"/>
  <c r="AO102" i="25"/>
  <c r="AO103" i="25"/>
  <c r="AO104" i="25"/>
  <c r="AO105" i="25"/>
  <c r="AO106" i="25"/>
  <c r="AO107" i="25"/>
  <c r="AO108" i="25"/>
  <c r="AO109" i="25"/>
  <c r="AO110" i="25"/>
  <c r="AO111" i="25"/>
  <c r="AO112" i="25"/>
  <c r="AO113" i="25"/>
  <c r="AO114" i="25"/>
  <c r="AO115" i="25"/>
  <c r="AO116" i="25"/>
  <c r="AO117" i="25"/>
  <c r="AO118" i="25"/>
  <c r="AO119" i="25"/>
  <c r="AO120" i="25"/>
  <c r="AO121" i="25"/>
  <c r="AO122" i="25"/>
  <c r="AO123" i="25"/>
  <c r="AO124" i="25"/>
  <c r="AO125" i="25"/>
  <c r="AO126" i="25"/>
  <c r="AO127" i="25"/>
  <c r="AO129" i="25"/>
  <c r="AO130" i="25"/>
  <c r="AO131" i="25"/>
  <c r="AO132" i="25"/>
  <c r="AO133" i="25"/>
  <c r="AO134" i="25"/>
  <c r="AO135" i="25"/>
  <c r="AO136" i="25"/>
  <c r="AO137" i="25"/>
  <c r="AO138" i="25"/>
  <c r="AO139" i="25"/>
  <c r="AO140" i="25"/>
  <c r="AO141" i="25"/>
  <c r="AO142" i="25"/>
  <c r="AO143" i="25"/>
  <c r="AO144" i="25"/>
  <c r="AO145" i="25"/>
  <c r="AO146" i="25"/>
  <c r="AO147" i="25"/>
  <c r="AO148" i="25"/>
  <c r="AO149" i="25"/>
  <c r="AO150" i="25"/>
  <c r="AO152" i="25"/>
  <c r="AO153" i="25"/>
  <c r="AO155" i="25"/>
  <c r="AO156" i="25"/>
  <c r="AO157" i="25"/>
  <c r="AO158" i="25"/>
  <c r="AO159" i="25"/>
  <c r="AO160" i="25"/>
  <c r="AO161" i="25"/>
  <c r="AO162" i="25"/>
  <c r="AO163" i="25"/>
  <c r="AO164" i="25"/>
  <c r="AO165" i="25"/>
  <c r="AO166" i="25"/>
  <c r="AO167" i="25"/>
  <c r="AO168" i="25"/>
  <c r="AO169" i="25"/>
  <c r="AO170" i="25"/>
  <c r="AO171" i="25"/>
  <c r="AO172" i="25"/>
  <c r="AO173" i="25"/>
  <c r="AO174" i="25"/>
  <c r="AO175" i="25"/>
  <c r="AO176" i="25"/>
  <c r="AO177" i="25"/>
  <c r="AO178" i="25"/>
  <c r="AO179" i="25"/>
  <c r="AO180" i="25"/>
  <c r="AO181" i="25"/>
  <c r="AO182" i="25"/>
  <c r="AO183" i="25"/>
  <c r="AO184" i="25"/>
  <c r="AO185" i="25"/>
  <c r="AO186" i="25"/>
  <c r="AO187" i="25"/>
  <c r="AO188" i="25"/>
  <c r="AO189" i="25"/>
  <c r="AO190" i="25"/>
  <c r="AO191" i="25"/>
  <c r="AO192" i="25"/>
  <c r="AO193" i="25"/>
  <c r="AO194" i="25"/>
  <c r="AO195" i="25"/>
  <c r="AO196" i="25"/>
  <c r="AO197" i="25"/>
  <c r="AO198" i="25"/>
  <c r="AO199" i="25"/>
  <c r="AO200" i="25"/>
  <c r="AO201" i="25"/>
  <c r="AO202" i="25"/>
  <c r="AO203" i="25"/>
  <c r="AO204" i="25"/>
  <c r="AO205" i="25"/>
  <c r="AO206" i="25"/>
  <c r="AO207" i="25"/>
  <c r="AO208" i="25"/>
  <c r="AO209" i="25"/>
  <c r="AO210" i="25"/>
  <c r="AO211" i="25"/>
  <c r="AO212" i="25"/>
  <c r="AO213" i="25"/>
  <c r="AO214" i="25"/>
  <c r="AO215" i="25"/>
  <c r="AO216" i="25"/>
  <c r="AO217" i="25"/>
  <c r="AO218" i="25"/>
  <c r="AO219" i="25"/>
  <c r="AO220" i="25"/>
  <c r="AO221" i="25"/>
  <c r="AO222" i="25"/>
  <c r="AO223" i="25"/>
  <c r="AO224" i="25"/>
  <c r="AO225" i="25"/>
  <c r="AO226" i="25"/>
  <c r="AO227" i="25"/>
  <c r="AO228" i="25"/>
  <c r="AO229" i="25"/>
  <c r="AO230" i="25"/>
  <c r="AO231" i="25"/>
  <c r="AO232" i="25"/>
  <c r="AO233" i="25"/>
  <c r="AO234" i="25"/>
  <c r="AO235" i="25"/>
  <c r="AO236" i="25"/>
  <c r="AO237" i="25"/>
  <c r="AO238" i="25"/>
  <c r="AO244" i="25"/>
  <c r="AO245" i="25"/>
  <c r="AO246" i="25"/>
  <c r="AO248" i="25"/>
  <c r="AO249" i="25"/>
  <c r="AO250" i="25"/>
  <c r="AO254" i="25"/>
  <c r="AO255" i="25"/>
  <c r="AO256" i="25"/>
  <c r="AO257" i="25"/>
  <c r="AO258" i="25"/>
  <c r="AO259" i="25"/>
  <c r="AO262" i="25"/>
  <c r="AO263" i="25"/>
  <c r="AO264" i="25"/>
  <c r="AO265" i="25"/>
  <c r="AO266" i="25"/>
  <c r="AO267" i="25"/>
  <c r="AO268" i="25"/>
  <c r="AO269" i="25"/>
  <c r="AO270" i="25"/>
  <c r="AO271" i="25"/>
  <c r="AO272" i="25"/>
  <c r="AO273" i="25"/>
  <c r="AO274" i="25"/>
  <c r="AO275" i="25"/>
  <c r="AO276" i="25"/>
  <c r="AO277" i="25"/>
  <c r="AO278" i="25"/>
  <c r="AO279" i="25"/>
  <c r="AO280" i="25"/>
  <c r="AO281" i="25"/>
  <c r="AO282" i="25"/>
  <c r="AO283" i="25"/>
  <c r="AO284" i="25"/>
  <c r="AO285" i="25"/>
  <c r="AO295" i="25"/>
  <c r="AO296" i="25"/>
  <c r="AO297" i="25"/>
  <c r="AO299" i="25"/>
  <c r="AO300" i="25"/>
  <c r="AO301" i="25"/>
  <c r="AO302" i="25"/>
  <c r="AO303" i="25"/>
  <c r="AO304" i="25"/>
  <c r="AO305" i="25"/>
  <c r="AO306" i="25"/>
  <c r="AO307" i="25"/>
  <c r="AO308" i="25"/>
  <c r="AO309" i="25"/>
  <c r="AO310" i="25"/>
  <c r="AO311" i="25"/>
  <c r="AO312" i="25"/>
  <c r="AO314" i="25"/>
  <c r="AO315" i="25"/>
  <c r="AO316" i="25"/>
  <c r="AO317" i="25"/>
  <c r="AO318" i="25"/>
  <c r="AO319" i="25"/>
  <c r="AO320" i="25"/>
  <c r="AO321" i="25"/>
  <c r="AO322" i="25"/>
  <c r="AO323" i="25"/>
  <c r="AO324" i="25"/>
  <c r="AO325" i="25"/>
  <c r="AO326" i="25"/>
  <c r="AO327" i="25"/>
  <c r="AO328" i="25"/>
  <c r="AO329" i="25"/>
  <c r="AO330" i="25"/>
  <c r="AO331" i="25"/>
  <c r="AO332" i="25"/>
  <c r="AO339" i="25"/>
  <c r="AO340" i="25"/>
  <c r="AO341" i="25"/>
  <c r="AO342" i="25"/>
  <c r="AO343" i="25"/>
  <c r="AO344" i="25"/>
  <c r="AO345" i="25"/>
  <c r="AO346" i="25"/>
  <c r="AO347" i="25"/>
  <c r="AO348" i="25"/>
  <c r="AO349" i="25"/>
  <c r="AO350" i="25"/>
  <c r="AO351" i="25"/>
  <c r="AO352" i="25"/>
  <c r="AO353" i="25"/>
  <c r="AO354" i="25"/>
  <c r="AO355" i="25"/>
  <c r="AO356" i="25"/>
  <c r="AO357" i="25"/>
  <c r="AO358" i="25"/>
  <c r="AO359" i="25"/>
  <c r="AO360" i="25"/>
  <c r="AO361" i="25"/>
  <c r="AO362" i="25"/>
  <c r="AO363" i="25"/>
  <c r="AO364" i="25"/>
  <c r="AO365" i="25"/>
  <c r="AO366" i="25"/>
  <c r="AO367" i="25"/>
  <c r="AO368" i="25"/>
  <c r="AO369" i="25"/>
  <c r="AO370" i="25"/>
  <c r="AO371" i="25"/>
  <c r="AO372" i="25"/>
  <c r="AO373" i="25"/>
  <c r="AO374" i="25"/>
  <c r="AO375" i="25"/>
  <c r="AO376" i="25"/>
  <c r="AO377" i="25"/>
  <c r="AO378" i="25"/>
  <c r="AO379" i="25"/>
  <c r="AO380" i="25"/>
  <c r="AO381" i="25"/>
  <c r="AO382" i="25"/>
  <c r="AO383" i="25"/>
  <c r="AO384" i="25"/>
  <c r="AO385" i="25"/>
  <c r="AO386" i="25"/>
  <c r="AO387" i="25"/>
  <c r="AO388" i="25"/>
  <c r="AO389" i="25"/>
  <c r="AO390" i="25"/>
  <c r="AO391" i="25"/>
  <c r="AO392" i="25"/>
  <c r="AO393" i="25"/>
  <c r="AO394" i="25"/>
  <c r="AO395" i="25"/>
  <c r="AO396" i="25"/>
  <c r="AO397" i="25"/>
  <c r="AO398" i="25"/>
  <c r="AO399" i="25"/>
  <c r="AO400" i="25"/>
  <c r="AO401" i="25"/>
  <c r="AO402" i="25"/>
  <c r="AO403" i="25"/>
  <c r="AO404" i="25"/>
  <c r="AO405" i="25"/>
  <c r="AO406" i="25"/>
  <c r="AO407" i="25"/>
  <c r="AO408" i="25"/>
  <c r="AO409" i="25"/>
  <c r="AO410" i="25"/>
  <c r="AO411" i="25"/>
  <c r="AO412" i="25"/>
  <c r="AO413" i="25"/>
  <c r="AO414" i="25"/>
  <c r="AO415" i="25"/>
  <c r="AO416" i="25"/>
  <c r="AO417" i="25"/>
  <c r="AO418" i="25"/>
  <c r="AO419" i="25"/>
  <c r="AO420" i="25"/>
  <c r="AO421" i="25"/>
  <c r="AO422" i="25"/>
  <c r="AO423" i="25"/>
  <c r="AO424" i="25"/>
  <c r="AO425" i="25"/>
  <c r="AO426" i="25"/>
  <c r="AO427" i="25"/>
  <c r="AO428" i="25"/>
  <c r="AO429" i="25"/>
  <c r="AO430" i="25"/>
  <c r="AO431" i="25"/>
  <c r="AO432" i="25"/>
  <c r="AO433" i="25"/>
  <c r="AO434" i="25"/>
  <c r="AO435" i="25"/>
  <c r="AO436" i="25"/>
  <c r="AO437" i="25"/>
  <c r="AO438" i="25"/>
  <c r="AO439" i="25"/>
  <c r="AO440" i="25"/>
  <c r="AO441" i="25"/>
  <c r="AO442" i="25"/>
  <c r="AO443" i="25"/>
  <c r="AO444" i="25"/>
  <c r="AO445" i="25"/>
  <c r="AO446" i="25"/>
  <c r="AO447" i="25"/>
  <c r="AO448" i="25"/>
  <c r="AO449" i="25"/>
  <c r="AO450" i="25"/>
  <c r="AO451" i="25"/>
  <c r="AO452" i="25"/>
  <c r="AO453" i="25"/>
  <c r="AO454" i="25"/>
  <c r="AO455" i="25"/>
  <c r="AO456" i="25"/>
  <c r="AO457" i="25"/>
  <c r="AO458" i="25"/>
  <c r="AO459" i="25"/>
  <c r="AO460" i="25"/>
  <c r="AO461" i="25"/>
  <c r="AO462" i="25"/>
  <c r="AO463" i="25"/>
  <c r="AO464" i="25"/>
  <c r="AO465" i="25"/>
  <c r="AO466" i="25"/>
  <c r="AO467" i="25"/>
  <c r="AO468" i="25"/>
  <c r="AO469" i="25"/>
  <c r="AO470" i="25"/>
  <c r="AO471" i="25"/>
  <c r="AO472" i="25"/>
  <c r="AO473" i="25"/>
  <c r="AO474" i="25"/>
  <c r="AO475" i="25"/>
  <c r="AO476" i="25"/>
  <c r="AO477" i="25"/>
  <c r="AO478" i="25"/>
  <c r="AO479" i="25"/>
  <c r="AO480" i="25"/>
  <c r="AO481" i="25"/>
  <c r="AO482" i="25"/>
  <c r="AO483" i="25"/>
  <c r="AO484" i="25"/>
  <c r="AO485" i="25"/>
  <c r="AO486" i="25"/>
  <c r="AO487" i="25"/>
  <c r="AO488" i="25"/>
  <c r="AO489" i="25"/>
  <c r="AO490" i="25"/>
  <c r="AO491" i="25"/>
  <c r="AO492" i="25"/>
  <c r="AO493" i="25"/>
  <c r="AO494" i="25"/>
  <c r="AO495" i="25"/>
  <c r="AO496" i="25"/>
  <c r="AO497" i="25"/>
  <c r="AO499" i="25"/>
  <c r="AO500" i="25"/>
  <c r="AO501" i="25"/>
  <c r="AO502" i="25"/>
  <c r="AO503" i="25"/>
  <c r="AO504" i="25"/>
  <c r="AO505" i="25"/>
  <c r="AO506" i="25"/>
  <c r="AO507" i="25"/>
  <c r="AO508" i="25"/>
  <c r="AO509" i="25"/>
  <c r="AO510" i="25"/>
  <c r="AO511" i="25"/>
  <c r="AO512" i="25"/>
  <c r="AO513" i="25"/>
  <c r="AO514" i="25"/>
  <c r="AO515" i="25"/>
  <c r="AO516" i="25"/>
  <c r="AO517" i="25"/>
  <c r="AO518" i="25"/>
  <c r="AO519" i="25"/>
  <c r="AO520" i="25"/>
  <c r="AO521" i="25"/>
  <c r="AO522" i="25"/>
  <c r="AO523" i="25"/>
  <c r="AO524" i="25"/>
  <c r="AO525" i="25"/>
  <c r="AO526" i="25"/>
  <c r="AO527" i="25"/>
  <c r="AO528" i="25"/>
  <c r="AO529" i="25"/>
  <c r="AO530" i="25"/>
  <c r="AO531" i="25"/>
  <c r="AO532" i="25"/>
  <c r="AO533" i="25"/>
  <c r="AO534" i="25"/>
  <c r="AO535" i="25"/>
  <c r="AO536" i="25"/>
  <c r="AO537" i="25"/>
  <c r="AO538" i="25"/>
  <c r="AO539" i="25"/>
  <c r="AO540" i="25"/>
  <c r="AO541" i="25"/>
  <c r="AO542" i="25"/>
  <c r="AO544" i="25"/>
  <c r="AO545" i="25"/>
  <c r="AO546" i="25"/>
  <c r="AO547" i="25"/>
  <c r="AO548" i="25"/>
  <c r="AO549" i="25"/>
  <c r="AO550" i="25"/>
  <c r="AO551" i="25"/>
  <c r="AO552" i="25"/>
  <c r="AO553" i="25"/>
  <c r="AO555" i="25"/>
  <c r="AO556" i="25"/>
  <c r="AO557" i="25"/>
  <c r="AO559" i="25"/>
  <c r="AO560" i="25"/>
  <c r="AO561" i="25"/>
  <c r="AO562" i="25"/>
  <c r="AO563" i="25"/>
  <c r="AO564" i="25"/>
  <c r="AO565" i="25"/>
  <c r="AO566" i="25"/>
  <c r="AO567" i="25"/>
  <c r="AO568" i="25"/>
  <c r="AO569" i="25"/>
  <c r="AO570" i="25"/>
  <c r="AO571" i="25"/>
  <c r="AO572" i="25"/>
  <c r="AO573" i="25"/>
  <c r="AO574" i="25"/>
  <c r="AO575" i="25"/>
  <c r="AO576" i="25"/>
  <c r="AO577" i="25"/>
  <c r="AO578" i="25"/>
  <c r="AO579" i="25"/>
  <c r="AO580" i="25"/>
  <c r="AO581" i="25"/>
  <c r="AO582" i="25"/>
  <c r="AO583" i="25"/>
  <c r="AO584" i="25"/>
  <c r="AO585" i="25"/>
  <c r="AO586" i="25"/>
  <c r="AO587" i="25"/>
  <c r="AO588" i="25"/>
  <c r="AO589" i="25"/>
  <c r="AO590" i="25"/>
  <c r="AO591" i="25"/>
  <c r="AO592" i="25"/>
  <c r="AO593" i="25"/>
  <c r="AO594" i="25"/>
  <c r="AO595" i="25"/>
  <c r="AO596" i="25"/>
  <c r="AO597" i="25"/>
  <c r="AO598" i="25"/>
  <c r="AO599" i="25"/>
  <c r="AO600" i="25"/>
  <c r="AO601" i="25"/>
  <c r="AO602" i="25"/>
  <c r="AO603" i="25"/>
  <c r="AO604" i="25"/>
  <c r="AO605" i="25"/>
  <c r="AO606" i="25"/>
  <c r="AO607" i="25"/>
  <c r="AO608" i="25"/>
  <c r="AO609" i="25"/>
  <c r="AO610" i="25"/>
  <c r="AO611" i="25"/>
  <c r="AO612" i="25"/>
  <c r="AO613" i="25"/>
  <c r="AO614" i="25"/>
  <c r="AO615" i="25"/>
  <c r="AO616" i="25"/>
  <c r="AO637" i="25"/>
  <c r="AO638" i="25"/>
  <c r="AO639" i="25"/>
  <c r="AO640" i="25"/>
  <c r="AO641" i="25"/>
  <c r="AO642" i="25"/>
  <c r="AO643" i="25"/>
  <c r="AO644" i="25"/>
  <c r="AO645" i="25"/>
  <c r="AO646" i="25"/>
  <c r="AO647" i="25"/>
  <c r="AO648" i="25"/>
  <c r="AO649" i="25"/>
  <c r="AO650" i="25"/>
  <c r="AO651" i="25"/>
  <c r="AO652" i="25"/>
  <c r="AO653" i="25"/>
  <c r="AO654" i="25"/>
  <c r="AO660" i="25"/>
  <c r="AO661" i="25"/>
  <c r="AO662" i="25"/>
  <c r="AO663" i="25"/>
  <c r="AO664" i="25"/>
  <c r="AO665" i="25"/>
  <c r="AO666" i="25"/>
  <c r="AO667" i="25"/>
  <c r="AO668" i="25"/>
  <c r="AO669" i="25"/>
  <c r="AO670" i="25"/>
  <c r="AO671" i="25"/>
  <c r="AO672" i="25"/>
  <c r="AO673" i="25"/>
  <c r="AO674" i="25"/>
  <c r="AO675" i="25"/>
  <c r="AO676" i="25"/>
  <c r="AO677" i="25"/>
  <c r="AO678" i="25"/>
  <c r="AO679" i="25"/>
  <c r="AO680" i="25"/>
  <c r="AO681" i="25"/>
  <c r="AO682" i="25"/>
  <c r="AO683" i="25"/>
  <c r="AO684" i="25"/>
  <c r="AO685" i="25"/>
  <c r="AO686" i="25"/>
  <c r="AO687" i="25"/>
  <c r="AO688" i="25"/>
  <c r="AO689" i="25"/>
  <c r="AO690" i="25"/>
  <c r="AO691" i="25"/>
  <c r="AO692" i="25"/>
  <c r="AO693" i="25"/>
  <c r="AO694" i="25"/>
  <c r="AO695" i="25"/>
  <c r="AO696" i="25"/>
  <c r="AO697" i="25"/>
  <c r="AO698" i="25"/>
  <c r="AO699" i="25"/>
  <c r="AO700" i="25"/>
  <c r="AO701" i="25"/>
  <c r="AO702" i="25"/>
  <c r="AO703" i="25"/>
  <c r="AO704" i="25"/>
  <c r="AO705" i="25"/>
  <c r="AO706" i="25"/>
  <c r="AO707" i="25"/>
  <c r="AO708" i="25"/>
  <c r="AO709" i="25"/>
  <c r="AO710" i="25"/>
  <c r="AO711" i="25"/>
  <c r="AO712" i="25"/>
  <c r="AO713" i="25"/>
  <c r="AO714" i="25"/>
  <c r="AO715" i="25"/>
  <c r="AO716" i="25"/>
  <c r="AO717" i="25"/>
  <c r="AO718" i="25"/>
  <c r="AO719" i="25"/>
  <c r="AO720" i="25"/>
  <c r="AO721" i="25"/>
  <c r="AO722" i="25"/>
  <c r="AO723" i="25"/>
  <c r="AO724" i="25"/>
  <c r="AO725" i="25"/>
  <c r="AO726" i="25"/>
  <c r="AO727" i="25"/>
  <c r="AO728" i="25"/>
  <c r="AO729" i="25"/>
  <c r="AO730" i="25"/>
  <c r="AO731" i="25"/>
  <c r="AO732" i="25"/>
  <c r="AO733" i="25"/>
  <c r="AO734" i="25"/>
  <c r="AO735" i="25"/>
  <c r="AO736" i="25"/>
  <c r="AO737" i="25"/>
  <c r="AO738" i="25"/>
  <c r="AO739" i="25"/>
  <c r="AO740" i="25"/>
  <c r="AO741" i="25"/>
  <c r="AO742" i="25"/>
  <c r="AO743" i="25"/>
  <c r="AO744" i="25"/>
  <c r="AO745" i="25"/>
  <c r="AO746" i="25"/>
  <c r="AO747" i="25"/>
  <c r="AO748" i="25"/>
  <c r="AO749" i="25"/>
  <c r="AO750" i="25"/>
  <c r="AO751" i="25"/>
  <c r="AO752" i="25"/>
  <c r="AO753" i="25"/>
  <c r="AO754" i="25"/>
  <c r="AO755" i="25"/>
  <c r="AO756" i="25"/>
  <c r="AO757" i="25"/>
  <c r="AO758" i="25"/>
  <c r="AO759" i="25"/>
  <c r="AO760" i="25"/>
  <c r="AO761" i="25"/>
  <c r="AO762" i="25"/>
  <c r="AO763" i="25"/>
  <c r="AO764" i="25"/>
  <c r="AO765" i="25"/>
  <c r="AO766" i="25"/>
  <c r="AO767" i="25"/>
  <c r="AO768" i="25"/>
  <c r="AO769" i="25"/>
  <c r="AO770" i="25"/>
  <c r="AO771" i="25"/>
  <c r="AO772" i="25"/>
  <c r="AO773" i="25"/>
  <c r="AO774" i="25"/>
  <c r="AO775" i="25"/>
  <c r="AO776" i="25"/>
  <c r="AO777" i="25"/>
  <c r="AO778" i="25"/>
  <c r="AO779" i="25"/>
  <c r="AO780" i="25"/>
  <c r="AO781" i="25"/>
  <c r="AO782" i="25"/>
  <c r="AO783" i="25"/>
  <c r="AO784" i="25"/>
  <c r="AO785" i="25"/>
  <c r="AO786" i="25"/>
  <c r="AO787" i="25"/>
  <c r="AO788" i="25"/>
  <c r="AO789" i="25"/>
  <c r="AO790" i="25"/>
  <c r="AO791" i="25"/>
  <c r="AO792" i="25"/>
  <c r="AO793" i="25"/>
  <c r="AO794" i="25"/>
  <c r="AO795" i="25"/>
  <c r="AO796" i="25"/>
  <c r="AO797" i="25"/>
  <c r="AO798" i="25"/>
  <c r="AO799" i="25"/>
  <c r="AO800" i="25"/>
  <c r="AO802" i="25"/>
  <c r="AO803" i="25"/>
  <c r="AO804" i="25"/>
  <c r="AO805" i="25"/>
  <c r="AO807" i="25"/>
  <c r="AO808" i="25"/>
  <c r="AO809" i="25"/>
  <c r="AO810" i="25"/>
  <c r="AO811" i="25"/>
  <c r="AO812" i="25"/>
  <c r="AO813" i="25"/>
  <c r="AO814" i="25"/>
  <c r="AO815" i="25"/>
  <c r="AO816" i="25"/>
  <c r="AO817" i="25"/>
  <c r="AO818" i="25"/>
  <c r="AO819" i="25"/>
  <c r="AO820" i="25"/>
  <c r="AO821" i="25"/>
  <c r="AO822" i="25"/>
  <c r="AO823" i="25"/>
  <c r="AO824" i="25"/>
  <c r="AO825" i="25"/>
  <c r="AO826" i="25"/>
  <c r="AO827" i="25"/>
  <c r="AO828" i="25"/>
  <c r="AO829" i="25"/>
  <c r="AO830" i="25"/>
  <c r="AO831" i="25"/>
  <c r="AO832" i="25"/>
  <c r="AO833" i="25"/>
  <c r="AO834" i="25"/>
  <c r="AO835" i="25"/>
  <c r="AO836" i="25"/>
  <c r="AO837" i="25"/>
  <c r="AO838" i="25"/>
  <c r="AO839" i="25"/>
  <c r="AO840" i="25"/>
  <c r="AO841" i="25"/>
  <c r="AO842" i="25"/>
  <c r="AO843" i="25"/>
  <c r="AO844" i="25"/>
  <c r="AO845" i="25"/>
  <c r="AO846" i="25"/>
  <c r="AO847" i="25"/>
  <c r="AO848" i="25"/>
  <c r="AO849" i="25"/>
  <c r="AO850" i="25"/>
  <c r="AO851" i="25"/>
  <c r="AO852" i="25"/>
  <c r="AO853" i="25"/>
  <c r="AO854" i="25"/>
  <c r="AO855" i="25"/>
  <c r="AO856" i="25"/>
  <c r="AO857" i="25"/>
  <c r="AO858" i="25"/>
  <c r="AO859" i="25"/>
  <c r="AO860" i="25"/>
  <c r="AO861" i="25"/>
  <c r="AO862" i="25"/>
  <c r="AO863" i="25"/>
  <c r="AO864" i="25"/>
  <c r="AO865" i="25"/>
  <c r="AO866" i="25"/>
  <c r="AO867" i="25"/>
  <c r="AO868" i="25"/>
  <c r="AO869" i="25"/>
  <c r="AO870" i="25"/>
  <c r="AO871" i="25"/>
  <c r="AO872" i="25"/>
  <c r="AO873" i="25"/>
  <c r="AO877" i="25"/>
  <c r="AO878" i="25"/>
  <c r="AO879" i="25"/>
  <c r="AO880" i="25"/>
  <c r="AO881" i="25"/>
  <c r="AO882" i="25"/>
  <c r="AO883" i="25"/>
  <c r="AO884" i="25"/>
  <c r="AO885" i="25"/>
  <c r="AO886" i="25"/>
  <c r="AO887" i="25"/>
  <c r="AO888" i="25"/>
  <c r="AO889" i="25"/>
  <c r="AO890" i="25"/>
  <c r="AO891" i="25"/>
  <c r="AO892" i="25"/>
  <c r="AO893" i="25"/>
  <c r="AO894" i="25"/>
  <c r="AO895" i="25"/>
  <c r="AO896" i="25"/>
  <c r="AO897" i="25"/>
  <c r="AO898" i="25"/>
  <c r="AO899" i="25"/>
  <c r="AO900" i="25"/>
  <c r="AO901" i="25"/>
  <c r="AO902" i="25"/>
  <c r="AO903" i="25"/>
  <c r="AO904" i="25"/>
  <c r="AO905" i="25"/>
  <c r="AO906" i="25"/>
  <c r="AO907" i="25"/>
  <c r="AO908" i="25"/>
  <c r="AO909" i="25"/>
  <c r="AO910" i="25"/>
  <c r="AO911" i="25"/>
  <c r="AO912" i="25"/>
  <c r="AO913" i="25"/>
  <c r="AO914" i="25"/>
  <c r="AO915" i="25"/>
  <c r="AO916" i="25"/>
  <c r="AO918" i="25"/>
  <c r="AO919" i="25"/>
  <c r="AO922" i="25"/>
  <c r="AO923" i="25"/>
  <c r="AO924" i="25"/>
  <c r="AO925" i="25"/>
  <c r="AO926" i="25"/>
  <c r="AO927" i="25"/>
  <c r="AO928" i="25"/>
  <c r="AO929" i="25"/>
  <c r="AO930" i="25"/>
  <c r="AO931" i="25"/>
  <c r="AO932" i="25"/>
  <c r="AO933" i="25"/>
  <c r="AO934" i="25"/>
  <c r="AO935" i="25"/>
  <c r="AO936" i="25"/>
  <c r="AO937" i="25"/>
  <c r="AO938" i="25"/>
  <c r="AO939" i="25"/>
  <c r="AO940" i="25"/>
  <c r="AO941" i="25"/>
  <c r="AO942" i="25"/>
  <c r="AO943" i="25"/>
  <c r="AO944" i="25"/>
  <c r="AO945" i="25"/>
  <c r="AO946" i="25"/>
  <c r="AO947" i="25"/>
  <c r="AO948" i="25"/>
  <c r="AO949" i="25"/>
  <c r="AO950" i="25"/>
  <c r="AO951" i="25"/>
  <c r="AO952" i="25"/>
  <c r="AO953" i="25"/>
  <c r="AO954" i="25"/>
  <c r="AO955" i="25"/>
  <c r="AO956" i="25"/>
  <c r="AO957" i="25"/>
  <c r="AO958" i="25"/>
  <c r="AO959" i="25"/>
  <c r="AO960" i="25"/>
  <c r="AO961" i="25"/>
  <c r="AO962" i="25"/>
  <c r="AO963" i="25"/>
  <c r="AO964" i="25"/>
  <c r="AO965" i="25"/>
  <c r="AO966" i="25"/>
  <c r="AO967" i="25"/>
  <c r="AO968" i="25"/>
  <c r="AO969" i="25"/>
  <c r="AO970" i="25"/>
  <c r="AO971" i="25"/>
  <c r="AO972" i="25"/>
  <c r="AO973" i="25"/>
  <c r="AO976" i="25"/>
  <c r="AO977" i="25"/>
  <c r="AO978" i="25"/>
  <c r="AO979" i="25"/>
  <c r="AO980" i="25"/>
  <c r="AO981" i="25"/>
  <c r="AO982" i="25"/>
  <c r="AO983" i="25"/>
  <c r="AO984" i="25"/>
  <c r="AO985" i="25"/>
  <c r="AO986" i="25"/>
  <c r="AO987" i="25"/>
  <c r="AO988" i="25"/>
  <c r="AO989" i="25"/>
  <c r="AO990" i="25"/>
  <c r="AO991" i="25"/>
  <c r="AO992" i="25"/>
  <c r="AO994" i="25"/>
  <c r="AO995" i="25"/>
  <c r="AO996" i="25"/>
  <c r="AO997" i="25"/>
  <c r="AO998" i="25"/>
  <c r="AO999" i="25"/>
  <c r="AO1000" i="25"/>
  <c r="AO1001" i="25"/>
  <c r="AO1002" i="25"/>
  <c r="AO1003" i="25"/>
  <c r="AO1004" i="25"/>
  <c r="AO1005" i="25"/>
  <c r="AO1006" i="25"/>
  <c r="AO1007" i="25"/>
  <c r="AO1008" i="25"/>
  <c r="AO1009" i="25"/>
  <c r="AO1010" i="25"/>
  <c r="AO1011" i="25"/>
  <c r="AO1012" i="25"/>
  <c r="AO1013" i="25"/>
  <c r="AO1014" i="25"/>
  <c r="AO1015" i="25"/>
  <c r="AO1016" i="25"/>
  <c r="AO1017" i="25"/>
  <c r="AO1018" i="25"/>
  <c r="AO1019" i="25"/>
  <c r="AO1020" i="25"/>
  <c r="AO1021" i="25"/>
  <c r="AO1022" i="25"/>
  <c r="AO1023" i="25"/>
  <c r="AO1024" i="25"/>
  <c r="AO1025" i="25"/>
  <c r="AO1026" i="25"/>
  <c r="AO1027" i="25"/>
  <c r="AO1028" i="25"/>
  <c r="AO1029" i="25"/>
  <c r="AO1030" i="25"/>
  <c r="AO1031" i="25"/>
  <c r="AO1032" i="25"/>
  <c r="AO1033" i="25"/>
  <c r="AO1034" i="25"/>
  <c r="AO1035" i="25"/>
  <c r="AO1036" i="25"/>
  <c r="AO1037" i="25"/>
  <c r="AO1038" i="25"/>
  <c r="AO1039" i="25"/>
  <c r="AO1040" i="25"/>
  <c r="AO1041" i="25"/>
  <c r="AO1042" i="25"/>
  <c r="AO1044" i="25"/>
  <c r="AO1045" i="25"/>
  <c r="AO1046" i="25"/>
  <c r="AO1047" i="25"/>
  <c r="AO1048" i="25"/>
  <c r="AO1049" i="25"/>
  <c r="AO1050" i="25"/>
  <c r="AO1051" i="25"/>
  <c r="AO1052" i="25"/>
  <c r="AO1057" i="25"/>
  <c r="AO1060" i="25"/>
  <c r="AO1061" i="25"/>
  <c r="AO1062" i="25"/>
  <c r="AO1063" i="25"/>
  <c r="AO1064" i="25"/>
  <c r="AO1065" i="25"/>
  <c r="AO1066" i="25"/>
  <c r="AO1067" i="25"/>
  <c r="AO1068" i="25"/>
  <c r="AO1069" i="25"/>
  <c r="AO1073" i="25"/>
  <c r="AO1074" i="25"/>
  <c r="AO1075" i="25"/>
  <c r="AO1076" i="25"/>
  <c r="AO1077" i="25"/>
  <c r="AO1078" i="25"/>
  <c r="AO1079" i="25"/>
  <c r="AO1080" i="25"/>
  <c r="AO1081" i="25"/>
  <c r="AO1082" i="25"/>
  <c r="AO1083" i="25"/>
  <c r="AO1084" i="25"/>
  <c r="AO1085" i="25"/>
  <c r="AO1086" i="25"/>
  <c r="AO1087" i="25"/>
  <c r="AO1088" i="25"/>
  <c r="AO1089" i="25"/>
  <c r="AO1090" i="25"/>
  <c r="AO1091" i="25"/>
  <c r="AO1092" i="25"/>
  <c r="AO1093" i="25"/>
  <c r="AO1094" i="25"/>
  <c r="AO1095" i="25"/>
  <c r="AO1096" i="25"/>
  <c r="AO1097" i="25"/>
  <c r="AO1098" i="25"/>
  <c r="AO1099" i="25"/>
  <c r="AO1100" i="25"/>
  <c r="AO1101" i="25"/>
  <c r="AO1102" i="25"/>
  <c r="AO1103" i="25"/>
  <c r="AO1104" i="25"/>
  <c r="AO1105" i="25"/>
  <c r="AO1106" i="25"/>
  <c r="AO1107" i="25"/>
  <c r="AO1108" i="25"/>
  <c r="AO1109" i="25"/>
  <c r="AO1110" i="25"/>
  <c r="AO1111" i="25"/>
  <c r="AO1112" i="25"/>
  <c r="AO1113" i="25"/>
  <c r="AO1114" i="25"/>
  <c r="AO1115" i="25"/>
  <c r="AO1116" i="25"/>
  <c r="AO1117" i="25"/>
  <c r="AO1118" i="25"/>
  <c r="AO1119" i="25"/>
  <c r="AO1120" i="25"/>
  <c r="AO1121" i="25"/>
  <c r="AO1122" i="25"/>
  <c r="AO1123" i="25"/>
  <c r="AO1124" i="25"/>
  <c r="AO1125" i="25"/>
  <c r="AO1126" i="25"/>
  <c r="AO1127" i="25"/>
  <c r="AO1128" i="25"/>
  <c r="AO1129" i="25"/>
  <c r="AO1130" i="25"/>
  <c r="AO1131" i="25"/>
  <c r="AO1132" i="25"/>
  <c r="AO1133" i="25"/>
  <c r="AO1134" i="25"/>
  <c r="AO1135" i="25"/>
  <c r="AO1136" i="25"/>
  <c r="AO1137" i="25"/>
  <c r="AO1138" i="25"/>
  <c r="AO1139" i="25"/>
  <c r="AO1140" i="25"/>
  <c r="AO1141" i="25"/>
  <c r="AO1142" i="25"/>
  <c r="AO1143" i="25"/>
  <c r="AO1144" i="25"/>
  <c r="AO1146" i="25"/>
  <c r="AO1147" i="25"/>
  <c r="AO1148" i="25"/>
  <c r="AO1149" i="25"/>
  <c r="AO1150" i="25"/>
  <c r="AO1151" i="25"/>
  <c r="AO1152" i="25"/>
  <c r="AO1153" i="25"/>
  <c r="AO1154" i="25"/>
  <c r="AO1155" i="25"/>
  <c r="AO1156" i="25"/>
  <c r="AO1157" i="25"/>
  <c r="AO1158" i="25"/>
  <c r="AO1159" i="25"/>
  <c r="AO1160" i="25"/>
  <c r="AO1161" i="25"/>
  <c r="AO1162" i="25"/>
  <c r="AO1163" i="25"/>
  <c r="AO1164" i="25"/>
  <c r="AO1165" i="25"/>
  <c r="AO1166" i="25"/>
  <c r="AO1167" i="25"/>
  <c r="AO1168" i="25"/>
  <c r="AO1169" i="25"/>
  <c r="AO1170" i="25"/>
  <c r="AO1171" i="25"/>
  <c r="AO1172" i="25"/>
  <c r="AO1173" i="25"/>
  <c r="AO1174" i="25"/>
  <c r="AO1175" i="25"/>
  <c r="AO1176" i="25"/>
  <c r="AO1177" i="25"/>
  <c r="AO1178" i="25"/>
  <c r="AO1179" i="25"/>
  <c r="AO1180" i="25"/>
  <c r="AO1181" i="25"/>
  <c r="AO1182" i="25"/>
  <c r="AO1183" i="25"/>
  <c r="AO1184" i="25"/>
  <c r="AO1185" i="25"/>
  <c r="AO1186" i="25"/>
  <c r="AO1187" i="25"/>
  <c r="AO1188" i="25"/>
  <c r="AO1189" i="25"/>
  <c r="AO1190" i="25"/>
  <c r="AO1191" i="25"/>
  <c r="AO1192" i="25"/>
  <c r="AO1193" i="25"/>
  <c r="AO1194" i="25"/>
  <c r="AO1195" i="25"/>
  <c r="AO1196" i="25"/>
  <c r="AO1197" i="25"/>
  <c r="AO1198" i="25"/>
  <c r="AO1199" i="25"/>
  <c r="AO1200" i="25"/>
  <c r="AO1201" i="25"/>
  <c r="AO1202" i="25"/>
  <c r="AO1203" i="25"/>
  <c r="AO1204" i="25"/>
  <c r="AO1205" i="25"/>
  <c r="AO1206" i="25"/>
  <c r="AO1207" i="25"/>
  <c r="AO1208" i="25"/>
  <c r="AO1209" i="25"/>
  <c r="AO1210" i="25"/>
  <c r="AO1211" i="25"/>
  <c r="AO1212" i="25"/>
  <c r="AO1213" i="25"/>
  <c r="AO1214" i="25"/>
  <c r="AO1215" i="25"/>
  <c r="AO1216" i="25"/>
  <c r="AO1217" i="25"/>
  <c r="AO1218" i="25"/>
  <c r="AO1219" i="25"/>
  <c r="AO1220" i="25"/>
  <c r="AO1221" i="25"/>
  <c r="AO1222" i="25"/>
  <c r="AO1223" i="25"/>
  <c r="AO1224" i="25"/>
  <c r="AO1225" i="25"/>
  <c r="AO1226" i="25"/>
  <c r="AO1227" i="25"/>
  <c r="AO1228" i="25"/>
  <c r="AO1229" i="25"/>
  <c r="AO1230" i="25"/>
  <c r="AO1231" i="25"/>
  <c r="AO1232" i="25"/>
  <c r="AO1233" i="25"/>
  <c r="AO1234" i="25"/>
  <c r="AO1235" i="25"/>
  <c r="AO1236" i="25"/>
  <c r="AO1237" i="25"/>
  <c r="AO1238" i="25"/>
  <c r="AO1239" i="25"/>
  <c r="AO1240" i="25"/>
  <c r="AO1241" i="25"/>
  <c r="AO1242" i="25"/>
  <c r="AO1243" i="25"/>
  <c r="AO1244" i="25"/>
  <c r="AO1245" i="25"/>
  <c r="AO1246" i="25"/>
  <c r="AO1247" i="25"/>
  <c r="AO1248" i="25"/>
  <c r="AO1249" i="25"/>
  <c r="AO1250" i="25"/>
  <c r="AO1251" i="25"/>
  <c r="AO1252" i="25"/>
  <c r="AO1253" i="25"/>
  <c r="AO1254" i="25"/>
  <c r="AO1255" i="25"/>
  <c r="AO1256" i="25"/>
  <c r="AO1257" i="25"/>
  <c r="AO1258" i="25"/>
  <c r="AO1259" i="25"/>
  <c r="AO1260" i="25"/>
  <c r="AO1261" i="25"/>
  <c r="AO1262" i="25"/>
  <c r="AO1263" i="25"/>
  <c r="AO1264" i="25"/>
  <c r="AO1265" i="25"/>
  <c r="AO1266" i="25"/>
  <c r="AO1267" i="25"/>
  <c r="AO1268" i="25"/>
  <c r="AO1269" i="25"/>
  <c r="AO1270" i="25"/>
  <c r="AO1271" i="25"/>
  <c r="AO1272" i="25"/>
  <c r="AO1273" i="25"/>
  <c r="AO1274" i="25"/>
  <c r="AO1275" i="25"/>
  <c r="AO1276" i="25"/>
  <c r="AO1277" i="25"/>
  <c r="AO1278" i="25"/>
  <c r="AO1279" i="25"/>
  <c r="AO1280" i="25"/>
  <c r="AO1281" i="25"/>
  <c r="AO1282" i="25"/>
  <c r="AO1283" i="25"/>
  <c r="AO1284" i="25"/>
  <c r="AO1285" i="25"/>
  <c r="AO1286" i="25"/>
  <c r="AO1287" i="25"/>
  <c r="AO1288" i="25"/>
  <c r="AO1289" i="25"/>
  <c r="AO1290" i="25"/>
  <c r="AO1291" i="25"/>
  <c r="AO1292" i="25"/>
  <c r="AO1293" i="25"/>
  <c r="AO1294" i="25"/>
  <c r="AO1295" i="25"/>
  <c r="AO1296" i="25"/>
  <c r="AO1297" i="25"/>
  <c r="AO1298" i="25"/>
  <c r="AO1299" i="25"/>
  <c r="AO1300" i="25"/>
  <c r="AO1301" i="25"/>
  <c r="AO1302" i="25"/>
  <c r="AO1303" i="25"/>
  <c r="AO1304" i="25"/>
  <c r="AO1305" i="25"/>
  <c r="AO1306" i="25"/>
  <c r="AO1307" i="25"/>
  <c r="AO1308" i="25"/>
  <c r="AO1309" i="25"/>
  <c r="AO1310" i="25"/>
  <c r="AO1311" i="25"/>
  <c r="AO1312" i="25"/>
  <c r="AO1313" i="25"/>
  <c r="AO1314" i="25"/>
  <c r="AO1315" i="25"/>
  <c r="AO1316" i="25"/>
  <c r="AO1317" i="25"/>
  <c r="AO1318" i="25"/>
  <c r="AO1323" i="25"/>
  <c r="AO1324" i="25"/>
  <c r="AO1325" i="25"/>
  <c r="AO1326" i="25"/>
  <c r="AO1327" i="25"/>
  <c r="AO1328" i="25"/>
  <c r="AO1329" i="25"/>
  <c r="AO1330" i="25"/>
  <c r="AO1331" i="25"/>
  <c r="AO1332" i="25"/>
  <c r="AO1333" i="25"/>
  <c r="AO1334" i="25"/>
  <c r="AO1335" i="25"/>
  <c r="AO1336" i="25"/>
  <c r="AO1337" i="25"/>
  <c r="AO1338" i="25"/>
  <c r="AO1339" i="25"/>
  <c r="AO1340" i="25"/>
  <c r="AO1341" i="25"/>
  <c r="AO1342" i="25"/>
  <c r="AO1343" i="25"/>
  <c r="AO1344" i="25"/>
  <c r="AO1345" i="25"/>
  <c r="AO1346" i="25"/>
  <c r="AO1347" i="25"/>
  <c r="AO1348" i="25"/>
  <c r="AO1349" i="25"/>
  <c r="AO1350" i="25"/>
  <c r="AO1351" i="25"/>
  <c r="AO1352" i="25"/>
  <c r="AO1353" i="25"/>
  <c r="AO1354" i="25"/>
  <c r="AO1355" i="25"/>
  <c r="AO1356" i="25"/>
  <c r="AO1357" i="25"/>
  <c r="AO1358" i="25"/>
  <c r="AO1359" i="25"/>
  <c r="AO1360" i="25"/>
  <c r="AO1361" i="25"/>
  <c r="AO1362" i="25"/>
  <c r="AO1363" i="25"/>
  <c r="AO1364" i="25"/>
  <c r="AO1365" i="25"/>
  <c r="AO1366" i="25"/>
  <c r="AO1367" i="25"/>
  <c r="AO1368" i="25"/>
  <c r="AO1369" i="25"/>
  <c r="AO1370" i="25"/>
  <c r="AO1371" i="25"/>
  <c r="AO1372" i="25"/>
  <c r="AO1373" i="25"/>
  <c r="AO1374" i="25"/>
  <c r="AO1375" i="25"/>
  <c r="AO1376" i="25"/>
  <c r="AO1377" i="25"/>
  <c r="AO1379" i="25"/>
  <c r="AO1380" i="25"/>
  <c r="AO1381" i="25"/>
  <c r="AO1382" i="25"/>
  <c r="AO1383" i="25"/>
  <c r="AO1384" i="25"/>
  <c r="AO1385" i="25"/>
  <c r="AO1386" i="25"/>
  <c r="AO1387" i="25"/>
  <c r="AO1388" i="25"/>
  <c r="AO1389" i="25"/>
  <c r="AO1390" i="25"/>
  <c r="AO1392" i="25"/>
  <c r="AO1393" i="25"/>
  <c r="AO1394" i="25"/>
  <c r="AO1395" i="25"/>
  <c r="AO1396" i="25"/>
  <c r="AO1397" i="25"/>
  <c r="AO1398" i="25"/>
  <c r="AO1399" i="25"/>
  <c r="AO1400" i="25"/>
  <c r="AO1401" i="25"/>
  <c r="AO1402" i="25"/>
  <c r="AO1403" i="25"/>
  <c r="AO1404" i="25"/>
  <c r="AO1405" i="25"/>
  <c r="AO1406" i="25"/>
  <c r="AO1407" i="25"/>
  <c r="AO1408" i="25"/>
  <c r="AO1409" i="25"/>
  <c r="AO1410" i="25"/>
  <c r="AO1411" i="25"/>
  <c r="AO1412" i="25"/>
  <c r="AO1413" i="25"/>
  <c r="AO1414" i="25"/>
  <c r="AO1415" i="25"/>
  <c r="AO1416" i="25"/>
  <c r="AO1417" i="25"/>
  <c r="AO1418" i="25"/>
  <c r="AO1419" i="25"/>
  <c r="AO1420" i="25"/>
  <c r="AO1421" i="25"/>
  <c r="AO1422" i="25"/>
  <c r="AO1423" i="25"/>
  <c r="AO1424" i="25"/>
  <c r="AO1425" i="25"/>
  <c r="AO1426" i="25"/>
  <c r="AO1427" i="25"/>
  <c r="AO1428" i="25"/>
  <c r="AO1429" i="25"/>
  <c r="AO1430" i="25"/>
  <c r="AO1431" i="25"/>
  <c r="AO1432" i="25"/>
  <c r="AO1433" i="25"/>
  <c r="AO1434" i="25"/>
  <c r="AO1435" i="25"/>
  <c r="AO1436" i="25"/>
  <c r="AO1437" i="25"/>
  <c r="AO1438" i="25"/>
  <c r="AO1439" i="25"/>
  <c r="AO1440" i="25"/>
  <c r="AO1441" i="25"/>
  <c r="AO1442" i="25"/>
  <c r="AO1443" i="25"/>
  <c r="AO1444" i="25"/>
  <c r="AO1445" i="25"/>
  <c r="AO1450" i="25"/>
  <c r="AO1451" i="25"/>
  <c r="AO1452" i="25"/>
  <c r="AO1453" i="25"/>
  <c r="AO1454" i="25"/>
  <c r="AO1455" i="25"/>
  <c r="AO1459" i="25"/>
  <c r="AO1460" i="25"/>
  <c r="AO1461" i="25"/>
  <c r="AO1462" i="25"/>
  <c r="AO1463" i="25"/>
  <c r="AO1464" i="25"/>
  <c r="AO1465" i="25"/>
  <c r="AO1466" i="25"/>
  <c r="AO1468" i="25"/>
  <c r="AO1469" i="25"/>
  <c r="AO1470" i="25"/>
  <c r="AO1471" i="25"/>
  <c r="AO1472" i="25"/>
  <c r="AO1473" i="25"/>
  <c r="AO1474" i="25"/>
  <c r="AO1475" i="25"/>
  <c r="AO1476" i="25"/>
  <c r="AO1477" i="25"/>
  <c r="AO1478" i="25"/>
  <c r="AO1479" i="25"/>
  <c r="AO1480" i="25"/>
  <c r="AO1481" i="25"/>
  <c r="AO1482" i="25"/>
  <c r="AO1483" i="25"/>
  <c r="AO1484" i="25"/>
  <c r="AO1485" i="25"/>
  <c r="AO1486" i="25"/>
  <c r="AO1487" i="25"/>
  <c r="AO1488" i="25"/>
  <c r="AO1489" i="25"/>
  <c r="AO1490" i="25"/>
  <c r="AO1491" i="25"/>
  <c r="AO1492" i="25"/>
  <c r="AO1493" i="25"/>
  <c r="AO1494" i="25"/>
  <c r="AO1495" i="25"/>
  <c r="AO1496" i="25"/>
  <c r="AO1497" i="25"/>
  <c r="AO1498" i="25"/>
  <c r="AO1499" i="25"/>
  <c r="AO1500" i="25"/>
  <c r="AO1501" i="25"/>
  <c r="AO1506" i="25"/>
  <c r="AO1507" i="25"/>
  <c r="AO1508" i="25"/>
  <c r="AO1509" i="25"/>
  <c r="AO1510" i="25"/>
  <c r="AO1511" i="25"/>
  <c r="AO1512" i="25"/>
  <c r="AO1513" i="25"/>
  <c r="AO1514" i="25"/>
  <c r="AO1515" i="25"/>
  <c r="AO1516" i="25"/>
  <c r="AO1517" i="25"/>
  <c r="AO1518" i="25"/>
  <c r="AO1519" i="25"/>
  <c r="AO1535" i="25"/>
  <c r="AO1536" i="25"/>
  <c r="AO1537" i="25"/>
  <c r="AO1538" i="25"/>
  <c r="AO1539" i="25"/>
  <c r="AO1540" i="25"/>
  <c r="AO1541" i="25"/>
  <c r="AO1542" i="25"/>
  <c r="AO1543" i="25"/>
  <c r="AO1544" i="25"/>
  <c r="AO1545" i="25"/>
  <c r="AO1546" i="25"/>
  <c r="AO1547" i="25"/>
  <c r="AO1548" i="25"/>
  <c r="AO1549" i="25"/>
  <c r="AO1550" i="25"/>
  <c r="AO1551" i="25"/>
  <c r="AO1552" i="25"/>
  <c r="AO1553" i="25"/>
  <c r="AO1554" i="25"/>
  <c r="AO1555" i="25"/>
  <c r="AO1556" i="25"/>
  <c r="AO1557" i="25"/>
  <c r="AO1558" i="25"/>
  <c r="AO1559" i="25"/>
  <c r="AO1560" i="25"/>
  <c r="AO1561" i="25"/>
  <c r="AO1562" i="25"/>
  <c r="AO1563" i="25"/>
  <c r="AO1564" i="25"/>
  <c r="AO1565" i="25"/>
  <c r="AO1566" i="25"/>
  <c r="AO1567" i="25"/>
  <c r="AO1568" i="25"/>
  <c r="AO1569" i="25"/>
  <c r="AO1570" i="25"/>
  <c r="AO1571" i="25"/>
  <c r="AO1572" i="25"/>
  <c r="AO1573" i="25"/>
  <c r="AO1574" i="25"/>
  <c r="AO1575" i="25"/>
  <c r="AO1576" i="25"/>
  <c r="AO1577" i="25"/>
  <c r="AO1578" i="25"/>
  <c r="AO1579" i="25"/>
  <c r="AO1580" i="25"/>
  <c r="AO1581" i="25"/>
  <c r="AO1582" i="25"/>
  <c r="AO1583" i="25"/>
  <c r="AO1584" i="25"/>
  <c r="AO1585" i="25"/>
  <c r="AO1586" i="25"/>
  <c r="AO1587" i="25"/>
  <c r="AO1589" i="25"/>
  <c r="AO1590" i="25"/>
  <c r="AO1591" i="25"/>
  <c r="AO1592" i="25"/>
  <c r="AO1593" i="25"/>
  <c r="AO1594" i="25"/>
  <c r="AO1595" i="25"/>
  <c r="AO1596" i="25"/>
  <c r="AO1597" i="25"/>
  <c r="AO1598" i="25"/>
  <c r="AO1599" i="25"/>
  <c r="AO1600" i="25"/>
  <c r="AO1601" i="25"/>
  <c r="AO1602" i="25"/>
  <c r="AO1603" i="25"/>
  <c r="AO1604" i="25"/>
  <c r="AO1605" i="25"/>
  <c r="AO1606" i="25"/>
  <c r="AO1607" i="25"/>
  <c r="AO1608" i="25"/>
  <c r="AO1609" i="25"/>
  <c r="AO1610" i="25"/>
  <c r="AO1611" i="25"/>
  <c r="AO1612" i="25"/>
  <c r="AO1613" i="25"/>
  <c r="AO1614" i="25"/>
  <c r="AO1615" i="25"/>
  <c r="AO1616" i="25"/>
  <c r="AO1617" i="25"/>
  <c r="AO1618" i="25"/>
  <c r="AO1619" i="25"/>
  <c r="AO1620" i="25"/>
  <c r="AO1621" i="25"/>
  <c r="AO1622" i="25"/>
  <c r="AO1623" i="25"/>
  <c r="AO1624" i="25"/>
  <c r="AO1625" i="25"/>
  <c r="AO1626" i="25"/>
  <c r="AO1627" i="25"/>
  <c r="AO1628" i="25"/>
  <c r="S3" i="32"/>
  <c r="AO7" i="25" s="1"/>
  <c r="S4" i="32"/>
  <c r="S5" i="32"/>
  <c r="S6" i="32"/>
  <c r="S7" i="32"/>
  <c r="S8" i="32"/>
  <c r="AO27" i="25" s="1"/>
  <c r="S9" i="32"/>
  <c r="AO28" i="25" s="1"/>
  <c r="S10" i="32"/>
  <c r="AO29" i="25" s="1"/>
  <c r="S11" i="32"/>
  <c r="AO30" i="25" s="1"/>
  <c r="S12" i="32"/>
  <c r="AO31" i="25" s="1"/>
  <c r="S13" i="32"/>
  <c r="AO32" i="25" s="1"/>
  <c r="S14" i="32"/>
  <c r="S15" i="32"/>
  <c r="S16" i="32"/>
  <c r="S17" i="32"/>
  <c r="S18" i="32"/>
  <c r="S19" i="32"/>
  <c r="S20" i="32"/>
  <c r="S21" i="32"/>
  <c r="S22" i="32"/>
  <c r="S23" i="32"/>
  <c r="S24" i="32"/>
  <c r="AO36" i="25" s="1"/>
  <c r="S25" i="32"/>
  <c r="AO33" i="25" s="1"/>
  <c r="S26" i="32"/>
  <c r="S27" i="32"/>
  <c r="AO34" i="25" s="1"/>
  <c r="S28" i="32"/>
  <c r="AO35" i="25" s="1"/>
  <c r="S29" i="32"/>
  <c r="S30" i="32"/>
  <c r="S31" i="32"/>
  <c r="S32" i="32"/>
  <c r="S33" i="32"/>
  <c r="S34" i="32"/>
  <c r="S35" i="32"/>
  <c r="S36" i="32"/>
  <c r="S37" i="32"/>
  <c r="S38" i="32"/>
  <c r="S39" i="32"/>
  <c r="S40" i="32"/>
  <c r="S41" i="32"/>
  <c r="S42" i="32"/>
  <c r="S43" i="32"/>
  <c r="S44" i="32"/>
  <c r="S45" i="32"/>
  <c r="S46" i="32"/>
  <c r="S47" i="32"/>
  <c r="S48" i="32"/>
  <c r="S49" i="32"/>
  <c r="S50" i="32"/>
  <c r="S51" i="32"/>
  <c r="S52" i="32"/>
  <c r="S53" i="32"/>
  <c r="S54" i="32"/>
  <c r="S55" i="32"/>
  <c r="AO69" i="25" s="1"/>
  <c r="S56" i="32"/>
  <c r="AO70" i="25" s="1"/>
  <c r="S57" i="32"/>
  <c r="AO67" i="25" s="1"/>
  <c r="S58" i="32"/>
  <c r="AO68" i="25" s="1"/>
  <c r="S59" i="32"/>
  <c r="S60" i="32"/>
  <c r="S61" i="32"/>
  <c r="S62" i="32"/>
  <c r="S63" i="32"/>
  <c r="S64" i="32"/>
  <c r="AO88" i="25" s="1"/>
  <c r="S65" i="32"/>
  <c r="AO87" i="25" s="1"/>
  <c r="S66" i="32"/>
  <c r="AO86" i="25" s="1"/>
  <c r="S67" i="32"/>
  <c r="AO85" i="25" s="1"/>
  <c r="S68" i="32"/>
  <c r="S69" i="32"/>
  <c r="S70" i="32"/>
  <c r="S71" i="32"/>
  <c r="S72" i="32"/>
  <c r="S73" i="32"/>
  <c r="S74" i="32"/>
  <c r="S75" i="32"/>
  <c r="AO128" i="25" s="1"/>
  <c r="S76" i="32"/>
  <c r="S77" i="32"/>
  <c r="S78" i="32"/>
  <c r="S79" i="32"/>
  <c r="S80" i="32"/>
  <c r="S81" i="32"/>
  <c r="S82" i="32"/>
  <c r="S83" i="32"/>
  <c r="S84" i="32"/>
  <c r="AO151" i="25" s="1"/>
  <c r="S85" i="32"/>
  <c r="AO154" i="25" s="1"/>
  <c r="S86" i="32"/>
  <c r="S87" i="32"/>
  <c r="S88" i="32"/>
  <c r="S89" i="32"/>
  <c r="S90" i="32"/>
  <c r="S91" i="32"/>
  <c r="S92" i="32"/>
  <c r="S93" i="32"/>
  <c r="S94" i="32"/>
  <c r="S95" i="32"/>
  <c r="S96" i="32"/>
  <c r="S97" i="32"/>
  <c r="S98" i="32"/>
  <c r="S99" i="32"/>
  <c r="S100" i="32"/>
  <c r="S101" i="32"/>
  <c r="S102" i="32"/>
  <c r="S103" i="32"/>
  <c r="S104" i="32"/>
  <c r="S105" i="32"/>
  <c r="AO251" i="25" s="1"/>
  <c r="S106" i="32"/>
  <c r="AO253" i="25" s="1"/>
  <c r="S107" i="32"/>
  <c r="AO243" i="25" s="1"/>
  <c r="S108" i="32"/>
  <c r="AO239" i="25" s="1"/>
  <c r="S109" i="32"/>
  <c r="S110" i="32"/>
  <c r="S111" i="32"/>
  <c r="AO261" i="25" s="1"/>
  <c r="S112" i="32"/>
  <c r="AO260" i="25" s="1"/>
  <c r="S113" i="32"/>
  <c r="S114" i="32"/>
  <c r="S115" i="32"/>
  <c r="S116" i="32"/>
  <c r="AO286" i="25" s="1"/>
  <c r="S117" i="32"/>
  <c r="AO287" i="25" s="1"/>
  <c r="S118" i="32"/>
  <c r="AO288" i="25" s="1"/>
  <c r="S119" i="32"/>
  <c r="AO289" i="25" s="1"/>
  <c r="S120" i="32"/>
  <c r="AO290" i="25" s="1"/>
  <c r="S121" i="32"/>
  <c r="AO291" i="25" s="1"/>
  <c r="S122" i="32"/>
  <c r="AO292" i="25" s="1"/>
  <c r="S123" i="32"/>
  <c r="AO293" i="25" s="1"/>
  <c r="S124" i="32"/>
  <c r="AO294" i="25" s="1"/>
  <c r="S125" i="32"/>
  <c r="S126" i="32"/>
  <c r="S127" i="32"/>
  <c r="AO298" i="25" s="1"/>
  <c r="S128" i="32"/>
  <c r="S129" i="32"/>
  <c r="AO313" i="25" s="1"/>
  <c r="S130" i="32"/>
  <c r="S131" i="32"/>
  <c r="AO333" i="25" s="1"/>
  <c r="S132" i="32"/>
  <c r="AO334" i="25" s="1"/>
  <c r="S133" i="32"/>
  <c r="AO335" i="25" s="1"/>
  <c r="S134" i="32"/>
  <c r="AO336" i="25" s="1"/>
  <c r="S135" i="32"/>
  <c r="AO337" i="25" s="1"/>
  <c r="S136" i="32"/>
  <c r="AO338" i="25" s="1"/>
  <c r="S137" i="32"/>
  <c r="S138" i="32"/>
  <c r="S139" i="32"/>
  <c r="S140" i="32"/>
  <c r="S141" i="32"/>
  <c r="S142" i="32"/>
  <c r="S143" i="32"/>
  <c r="S144" i="32"/>
  <c r="S145" i="32"/>
  <c r="S146" i="32"/>
  <c r="S147" i="32"/>
  <c r="S148" i="32"/>
  <c r="S149" i="32"/>
  <c r="S150" i="32"/>
  <c r="S151" i="32"/>
  <c r="S152" i="32"/>
  <c r="S153" i="32"/>
  <c r="S154" i="32"/>
  <c r="S155" i="32"/>
  <c r="S156" i="32"/>
  <c r="S157" i="32"/>
  <c r="S158" i="32"/>
  <c r="S159" i="32"/>
  <c r="S160" i="32"/>
  <c r="AO498" i="25" s="1"/>
  <c r="S161" i="32"/>
  <c r="S162" i="32"/>
  <c r="S163" i="32"/>
  <c r="S164" i="32"/>
  <c r="S165" i="32"/>
  <c r="S166" i="32"/>
  <c r="S167" i="32"/>
  <c r="S168" i="32"/>
  <c r="AO543" i="25" s="1"/>
  <c r="S169" i="32"/>
  <c r="S170" i="32"/>
  <c r="S171" i="32"/>
  <c r="S172" i="32"/>
  <c r="S173" i="32"/>
  <c r="S174" i="32"/>
  <c r="S175" i="32"/>
  <c r="AO554" i="25" s="1"/>
  <c r="S176" i="32"/>
  <c r="S177" i="32"/>
  <c r="S178" i="32"/>
  <c r="S179" i="32"/>
  <c r="S180" i="32"/>
  <c r="S181" i="32"/>
  <c r="S182" i="32"/>
  <c r="S183" i="32"/>
  <c r="AO618" i="25" s="1"/>
  <c r="S184" i="32"/>
  <c r="AO617" i="25" s="1"/>
  <c r="S185" i="32"/>
  <c r="AO619" i="25" s="1"/>
  <c r="S186" i="32"/>
  <c r="AO620" i="25" s="1"/>
  <c r="S187" i="32"/>
  <c r="AO621" i="25" s="1"/>
  <c r="S188" i="32"/>
  <c r="AO622" i="25" s="1"/>
  <c r="S189" i="32"/>
  <c r="AO623" i="25" s="1"/>
  <c r="S190" i="32"/>
  <c r="AO624" i="25" s="1"/>
  <c r="S191" i="32"/>
  <c r="AO625" i="25" s="1"/>
  <c r="S192" i="32"/>
  <c r="AO626" i="25" s="1"/>
  <c r="S193" i="32"/>
  <c r="AO627" i="25" s="1"/>
  <c r="S194" i="32"/>
  <c r="AO628" i="25" s="1"/>
  <c r="S195" i="32"/>
  <c r="AO629" i="25" s="1"/>
  <c r="S196" i="32"/>
  <c r="AO630" i="25" s="1"/>
  <c r="S197" i="32"/>
  <c r="AO631" i="25" s="1"/>
  <c r="S198" i="32"/>
  <c r="AO632" i="25" s="1"/>
  <c r="S199" i="32"/>
  <c r="AO633" i="25" s="1"/>
  <c r="S200" i="32"/>
  <c r="AO634" i="25" s="1"/>
  <c r="S201" i="32"/>
  <c r="AO635" i="25" s="1"/>
  <c r="S202" i="32"/>
  <c r="AO636" i="25" s="1"/>
  <c r="S203" i="32"/>
  <c r="S204" i="32"/>
  <c r="S205" i="32"/>
  <c r="S206" i="32"/>
  <c r="S207" i="32"/>
  <c r="S208" i="32"/>
  <c r="S209" i="32"/>
  <c r="S210" i="32"/>
  <c r="S211" i="32"/>
  <c r="S212" i="32"/>
  <c r="S213" i="32"/>
  <c r="S214" i="32"/>
  <c r="S215" i="32"/>
  <c r="S216" i="32"/>
  <c r="S217" i="32"/>
  <c r="S218" i="32"/>
  <c r="S219" i="32"/>
  <c r="S220" i="32"/>
  <c r="S221" i="32"/>
  <c r="S222" i="32"/>
  <c r="S223" i="32"/>
  <c r="AO659" i="25" s="1"/>
  <c r="S224" i="32"/>
  <c r="AO655" i="25" s="1"/>
  <c r="S225" i="32"/>
  <c r="AO657" i="25" s="1"/>
  <c r="S226" i="32"/>
  <c r="AO656" i="25" s="1"/>
  <c r="S227" i="32"/>
  <c r="S228" i="32"/>
  <c r="S229" i="32"/>
  <c r="S230" i="32"/>
  <c r="S231" i="32"/>
  <c r="AO658" i="25" s="1"/>
  <c r="S232" i="32"/>
  <c r="S233" i="32"/>
  <c r="S234" i="32"/>
  <c r="S235" i="32"/>
  <c r="S236" i="32"/>
  <c r="S237" i="32"/>
  <c r="S238" i="32"/>
  <c r="S239" i="32"/>
  <c r="S240" i="32"/>
  <c r="S241" i="32"/>
  <c r="S242" i="32"/>
  <c r="S243" i="32"/>
  <c r="S244" i="32"/>
  <c r="AO801" i="25" s="1"/>
  <c r="S245" i="32"/>
  <c r="S246" i="32"/>
  <c r="S247" i="32"/>
  <c r="S248" i="32"/>
  <c r="AO875" i="25" s="1"/>
  <c r="S249" i="32"/>
  <c r="S250" i="32"/>
  <c r="AO917" i="25" s="1"/>
  <c r="S251" i="32"/>
  <c r="S252" i="32"/>
  <c r="AO920" i="25" s="1"/>
  <c r="S253" i="32"/>
  <c r="AO921" i="25" s="1"/>
  <c r="S254" i="32"/>
  <c r="S255" i="32"/>
  <c r="S256" i="32"/>
  <c r="S257" i="32"/>
  <c r="S258" i="32"/>
  <c r="S259" i="32"/>
  <c r="AO974" i="25" s="1"/>
  <c r="S260" i="32"/>
  <c r="AO975" i="25" s="1"/>
  <c r="S261" i="32"/>
  <c r="S262" i="32"/>
  <c r="S263" i="32"/>
  <c r="AO993" i="25" s="1"/>
  <c r="S264" i="32"/>
  <c r="S265" i="32"/>
  <c r="S266" i="32"/>
  <c r="S267" i="32"/>
  <c r="AO1043" i="25" s="1"/>
  <c r="S268" i="32"/>
  <c r="S269" i="32"/>
  <c r="S270" i="32"/>
  <c r="AO1059" i="25" s="1"/>
  <c r="S271" i="32"/>
  <c r="AO1053" i="25" s="1"/>
  <c r="S272" i="32"/>
  <c r="AO1054" i="25" s="1"/>
  <c r="S273" i="32"/>
  <c r="AO1055" i="25" s="1"/>
  <c r="S274" i="32"/>
  <c r="AO1056" i="25" s="1"/>
  <c r="S275" i="32"/>
  <c r="AO1058" i="25" s="1"/>
  <c r="S276" i="32"/>
  <c r="S277" i="32"/>
  <c r="AO1072" i="25" s="1"/>
  <c r="S278" i="32"/>
  <c r="AO1071" i="25" s="1"/>
  <c r="S279" i="32"/>
  <c r="AO1070" i="25" s="1"/>
  <c r="S280" i="32"/>
  <c r="S281" i="32"/>
  <c r="S282" i="32"/>
  <c r="S283" i="32"/>
  <c r="S284" i="32"/>
  <c r="S285" i="32"/>
  <c r="S286" i="32"/>
  <c r="S287" i="32"/>
  <c r="S288" i="32"/>
  <c r="S289" i="32"/>
  <c r="S290" i="32"/>
  <c r="AO1145" i="25" s="1"/>
  <c r="S291" i="32"/>
  <c r="S292" i="32"/>
  <c r="S293" i="32"/>
  <c r="S294" i="32"/>
  <c r="S295" i="32"/>
  <c r="S296" i="32"/>
  <c r="S297" i="32"/>
  <c r="S298" i="32"/>
  <c r="S299" i="32"/>
  <c r="S300" i="32"/>
  <c r="S301" i="32"/>
  <c r="S302" i="32"/>
  <c r="S303" i="32"/>
  <c r="S304" i="32"/>
  <c r="S305" i="32"/>
  <c r="S306" i="32"/>
  <c r="S307" i="32"/>
  <c r="S308" i="32"/>
  <c r="S309" i="32"/>
  <c r="S310" i="32"/>
  <c r="S311" i="32"/>
  <c r="S312" i="32"/>
  <c r="S313" i="32"/>
  <c r="S314" i="32"/>
  <c r="S315" i="32"/>
  <c r="S316" i="32"/>
  <c r="S317" i="32"/>
  <c r="S318" i="32"/>
  <c r="S319" i="32"/>
  <c r="S320" i="32"/>
  <c r="S321" i="32"/>
  <c r="S322" i="32"/>
  <c r="S323" i="32"/>
  <c r="S324" i="32"/>
  <c r="AO1319" i="25" s="1"/>
  <c r="S325" i="32"/>
  <c r="AO1320" i="25" s="1"/>
  <c r="S326" i="32"/>
  <c r="AO1321" i="25" s="1"/>
  <c r="S327" i="32"/>
  <c r="AO1322" i="25" s="1"/>
  <c r="S328" i="32"/>
  <c r="S329" i="32"/>
  <c r="S330" i="32"/>
  <c r="S331" i="32"/>
  <c r="S332" i="32"/>
  <c r="S333" i="32"/>
  <c r="S334" i="32"/>
  <c r="S335" i="32"/>
  <c r="S336" i="32"/>
  <c r="S337" i="32"/>
  <c r="S338" i="32"/>
  <c r="S339" i="32"/>
  <c r="S340" i="32"/>
  <c r="S341" i="32"/>
  <c r="AO1391" i="25" s="1"/>
  <c r="S342" i="32"/>
  <c r="AO1378" i="25" s="1"/>
  <c r="S343" i="32"/>
  <c r="S344" i="32"/>
  <c r="S345" i="32"/>
  <c r="S346" i="32"/>
  <c r="S347" i="32"/>
  <c r="S348" i="32"/>
  <c r="S349" i="32"/>
  <c r="S350" i="32"/>
  <c r="S351" i="32"/>
  <c r="S352" i="32"/>
  <c r="S353" i="32"/>
  <c r="S354" i="32"/>
  <c r="S355" i="32"/>
  <c r="S356" i="32"/>
  <c r="S357" i="32"/>
  <c r="S358" i="32"/>
  <c r="AO1447" i="25" s="1"/>
  <c r="S359" i="32"/>
  <c r="AO1446" i="25" s="1"/>
  <c r="S360" i="32"/>
  <c r="AO1448" i="25" s="1"/>
  <c r="S361" i="32"/>
  <c r="AO1449" i="25" s="1"/>
  <c r="S362" i="32"/>
  <c r="S363" i="32"/>
  <c r="S364" i="32"/>
  <c r="S365" i="32"/>
  <c r="S366" i="32"/>
  <c r="S367" i="32"/>
  <c r="S368" i="32"/>
  <c r="AO1456" i="25" s="1"/>
  <c r="S369" i="32"/>
  <c r="AO1457" i="25" s="1"/>
  <c r="S370" i="32"/>
  <c r="S371" i="32"/>
  <c r="AO1467" i="25" s="1"/>
  <c r="S372" i="32"/>
  <c r="S373" i="32"/>
  <c r="AO1503" i="25" s="1"/>
  <c r="S374" i="32"/>
  <c r="AO1505" i="25" s="1"/>
  <c r="S375" i="32"/>
  <c r="AO1502" i="25" s="1"/>
  <c r="S376" i="32"/>
  <c r="S377" i="32"/>
  <c r="AO1588" i="25" s="1"/>
  <c r="S378" i="32"/>
  <c r="AO1630" i="25" s="1"/>
  <c r="S379" i="32"/>
  <c r="AO1629" i="25" s="1"/>
  <c r="S380" i="32"/>
  <c r="AO1631" i="25" s="1"/>
  <c r="S381" i="32"/>
  <c r="AO1632" i="25" s="1"/>
  <c r="S382" i="32"/>
  <c r="AO1520" i="25" s="1"/>
  <c r="S383" i="32"/>
  <c r="AO1521" i="25" s="1"/>
  <c r="S384" i="32"/>
  <c r="AO1522" i="25" s="1"/>
  <c r="S385" i="32"/>
  <c r="AO1525" i="25" s="1"/>
  <c r="S386" i="32"/>
  <c r="AO1523" i="25" s="1"/>
  <c r="S387" i="32"/>
  <c r="AO1524" i="25" s="1"/>
  <c r="S388" i="32"/>
  <c r="AO1526" i="25" s="1"/>
  <c r="S389" i="32"/>
  <c r="AO1527" i="25" s="1"/>
  <c r="S390" i="32"/>
  <c r="AO1528" i="25" s="1"/>
  <c r="S391" i="32"/>
  <c r="AO1529" i="25" s="1"/>
  <c r="S392" i="32"/>
  <c r="AO1530" i="25" s="1"/>
  <c r="S393" i="32"/>
  <c r="AO1531" i="25" s="1"/>
  <c r="S394" i="32"/>
  <c r="AO1532" i="25" s="1"/>
  <c r="S395" i="32"/>
  <c r="AO1533" i="25" s="1"/>
  <c r="S396" i="32"/>
  <c r="AO1534" i="25" s="1"/>
  <c r="S397" i="32"/>
  <c r="S398" i="32"/>
  <c r="S399" i="32"/>
  <c r="S400" i="32"/>
  <c r="S401" i="32"/>
  <c r="S2" i="32"/>
  <c r="AO6" i="25" s="1"/>
  <c r="U3" i="31"/>
  <c r="U4" i="31"/>
  <c r="U5" i="31"/>
  <c r="U6" i="31"/>
  <c r="U7" i="31"/>
  <c r="U8" i="31"/>
  <c r="U9" i="31"/>
  <c r="U10" i="31"/>
  <c r="U11" i="31"/>
  <c r="U12" i="31"/>
  <c r="U13" i="31"/>
  <c r="U14" i="31"/>
  <c r="U15" i="31"/>
  <c r="U16" i="31"/>
  <c r="U17" i="31"/>
  <c r="U18" i="31"/>
  <c r="U19" i="31"/>
  <c r="U20" i="31"/>
  <c r="U21" i="31"/>
  <c r="U22" i="31"/>
  <c r="U23" i="31"/>
  <c r="U24" i="31"/>
  <c r="U25" i="31"/>
  <c r="U26" i="31"/>
  <c r="U27" i="31"/>
  <c r="U28" i="31"/>
  <c r="U29" i="31"/>
  <c r="U30" i="31"/>
  <c r="U31" i="31"/>
  <c r="U32" i="31"/>
  <c r="U33" i="31"/>
  <c r="U34" i="31"/>
  <c r="U35" i="31"/>
  <c r="U36" i="31"/>
  <c r="U37" i="31"/>
  <c r="U38" i="31"/>
  <c r="U39" i="31"/>
  <c r="U40" i="31"/>
  <c r="U41" i="31"/>
  <c r="U42" i="31"/>
  <c r="U43" i="31"/>
  <c r="U44" i="31"/>
  <c r="U45" i="31"/>
  <c r="U46" i="31"/>
  <c r="U47" i="31"/>
  <c r="U48" i="31"/>
  <c r="U49" i="31"/>
  <c r="U50" i="31"/>
  <c r="U51" i="31"/>
  <c r="U52" i="31"/>
  <c r="U53" i="31"/>
  <c r="U54" i="31"/>
  <c r="U55" i="31"/>
  <c r="U56" i="31"/>
  <c r="U57" i="31"/>
  <c r="U58" i="31"/>
  <c r="U59" i="31"/>
  <c r="U60" i="31"/>
  <c r="U61" i="31"/>
  <c r="U62" i="31"/>
  <c r="U63" i="31"/>
  <c r="U64" i="31"/>
  <c r="U65" i="31"/>
  <c r="U66" i="31"/>
  <c r="U67" i="31"/>
  <c r="U68" i="31"/>
  <c r="U69" i="31"/>
  <c r="U70" i="31"/>
  <c r="U71" i="31"/>
  <c r="U72" i="31"/>
  <c r="U73" i="31"/>
  <c r="U74" i="31"/>
  <c r="U75" i="31"/>
  <c r="U76" i="31"/>
  <c r="U77" i="31"/>
  <c r="U78" i="31"/>
  <c r="U79" i="31"/>
  <c r="U80" i="31"/>
  <c r="U81" i="31"/>
  <c r="U82" i="31"/>
  <c r="U83" i="31"/>
  <c r="U84" i="31"/>
  <c r="U85" i="31"/>
  <c r="U86" i="31"/>
  <c r="U87" i="31"/>
  <c r="U88" i="31"/>
  <c r="U89" i="31"/>
  <c r="U90" i="31"/>
  <c r="U91" i="31"/>
  <c r="U92" i="31"/>
  <c r="U93" i="31"/>
  <c r="U94" i="31"/>
  <c r="U95" i="31"/>
  <c r="U96" i="31"/>
  <c r="U97" i="31"/>
  <c r="U98" i="31"/>
  <c r="U99" i="31"/>
  <c r="U100" i="31"/>
  <c r="U101" i="31"/>
  <c r="U102" i="31"/>
  <c r="U103" i="31"/>
  <c r="U104" i="31"/>
  <c r="U105" i="31"/>
  <c r="U106" i="31"/>
  <c r="U107" i="31"/>
  <c r="U108" i="31"/>
  <c r="U109" i="31"/>
  <c r="U110" i="31"/>
  <c r="U111" i="31"/>
  <c r="U112" i="31"/>
  <c r="U113" i="31"/>
  <c r="U114" i="31"/>
  <c r="U115" i="31"/>
  <c r="U116" i="31"/>
  <c r="U117" i="31"/>
  <c r="U118" i="31"/>
  <c r="U119" i="31"/>
  <c r="U120" i="31"/>
  <c r="U121" i="31"/>
  <c r="U122" i="31"/>
  <c r="U123" i="31"/>
  <c r="U124" i="31"/>
  <c r="U125" i="31"/>
  <c r="U126" i="31"/>
  <c r="U127" i="31"/>
  <c r="U128" i="31"/>
  <c r="U129" i="31"/>
  <c r="U130" i="31"/>
  <c r="U131" i="31"/>
  <c r="U132" i="31"/>
  <c r="U133" i="31"/>
  <c r="U134" i="31"/>
  <c r="U135" i="31"/>
  <c r="U136" i="31"/>
  <c r="U137" i="31"/>
  <c r="U138" i="31"/>
  <c r="U139" i="31"/>
  <c r="U140" i="31"/>
  <c r="U141" i="31"/>
  <c r="U142" i="31"/>
  <c r="U143" i="31"/>
  <c r="U144" i="31"/>
  <c r="U145" i="31"/>
  <c r="U146" i="31"/>
  <c r="U147" i="31"/>
  <c r="U148" i="31"/>
  <c r="U149" i="31"/>
  <c r="U150" i="31"/>
  <c r="U151" i="31"/>
  <c r="U152" i="31"/>
  <c r="U153" i="31"/>
  <c r="U154" i="31"/>
  <c r="U155" i="31"/>
  <c r="U156" i="31"/>
  <c r="U157" i="31"/>
  <c r="U158" i="31"/>
  <c r="U159" i="31"/>
  <c r="U160" i="31"/>
  <c r="U161" i="31"/>
  <c r="U162" i="31"/>
  <c r="U163" i="31"/>
  <c r="U164" i="31"/>
  <c r="U165" i="31"/>
  <c r="U166" i="31"/>
  <c r="U167" i="31"/>
  <c r="U168" i="31"/>
  <c r="U169" i="31"/>
  <c r="U170" i="31"/>
  <c r="U171" i="31"/>
  <c r="U172" i="31"/>
  <c r="U173" i="31"/>
  <c r="U174" i="31"/>
  <c r="U175" i="31"/>
  <c r="U176" i="31"/>
  <c r="U177" i="31"/>
  <c r="U178" i="31"/>
  <c r="U179" i="31"/>
  <c r="U180" i="31"/>
  <c r="U181" i="31"/>
  <c r="U182" i="31"/>
  <c r="U183" i="31"/>
  <c r="U184" i="31"/>
  <c r="U185" i="31"/>
  <c r="U186" i="31"/>
  <c r="U187" i="31"/>
  <c r="U188" i="31"/>
  <c r="U189" i="31"/>
  <c r="U190" i="31"/>
  <c r="U191" i="31"/>
  <c r="U192" i="31"/>
  <c r="U193" i="31"/>
  <c r="U194" i="31"/>
  <c r="U195" i="31"/>
  <c r="U196" i="31"/>
  <c r="U197" i="31"/>
  <c r="U198" i="31"/>
  <c r="U199" i="31"/>
  <c r="U200" i="31"/>
  <c r="U201" i="31"/>
  <c r="U202" i="31"/>
  <c r="U203" i="31"/>
  <c r="U204" i="31"/>
  <c r="U205" i="31"/>
  <c r="U206" i="31"/>
  <c r="U207" i="31"/>
  <c r="U208" i="31"/>
  <c r="U209" i="31"/>
  <c r="U210" i="31"/>
  <c r="U211" i="31"/>
  <c r="U212" i="31"/>
  <c r="U213" i="31"/>
  <c r="U214" i="31"/>
  <c r="U215" i="31"/>
  <c r="U216" i="31"/>
  <c r="U217" i="31"/>
  <c r="U218" i="31"/>
  <c r="U219" i="31"/>
  <c r="U220" i="31"/>
  <c r="U221" i="31"/>
  <c r="U222" i="31"/>
  <c r="U223" i="31"/>
  <c r="U224" i="31"/>
  <c r="U225" i="31"/>
  <c r="U226" i="31"/>
  <c r="U227" i="31"/>
  <c r="U228" i="31"/>
  <c r="U229" i="31"/>
  <c r="U230" i="31"/>
  <c r="U231" i="31"/>
  <c r="U232" i="31"/>
  <c r="U233" i="31"/>
  <c r="U234" i="31"/>
  <c r="U235" i="31"/>
  <c r="U236" i="31"/>
  <c r="U237" i="31"/>
  <c r="U238" i="31"/>
  <c r="U239" i="31"/>
  <c r="U240" i="31"/>
  <c r="U241" i="31"/>
  <c r="U242" i="31"/>
  <c r="U243" i="31"/>
  <c r="U244" i="31"/>
  <c r="U245" i="31"/>
  <c r="U246" i="31"/>
  <c r="U247" i="31"/>
  <c r="U248" i="31"/>
  <c r="U249" i="31"/>
  <c r="U250" i="31"/>
  <c r="U251" i="31"/>
  <c r="U252" i="31"/>
  <c r="U253" i="31"/>
  <c r="U254" i="31"/>
  <c r="U255" i="31"/>
  <c r="U256" i="31"/>
  <c r="U257" i="31"/>
  <c r="U258" i="31"/>
  <c r="U259" i="31"/>
  <c r="U260" i="31"/>
  <c r="U261" i="31"/>
  <c r="U262" i="31"/>
  <c r="U263" i="31"/>
  <c r="U264" i="31"/>
  <c r="U265" i="31"/>
  <c r="U266" i="31"/>
  <c r="U267" i="31"/>
  <c r="U268" i="31"/>
  <c r="U269" i="31"/>
  <c r="U270" i="31"/>
  <c r="U271" i="31"/>
  <c r="U272" i="31"/>
  <c r="U273" i="31"/>
  <c r="U274" i="31"/>
  <c r="U275" i="31"/>
  <c r="U276" i="31"/>
  <c r="U277" i="31"/>
  <c r="U278" i="31"/>
  <c r="U279" i="31"/>
  <c r="U280" i="31"/>
  <c r="U281" i="31"/>
  <c r="U282" i="31"/>
  <c r="U283" i="31"/>
  <c r="U284" i="31"/>
  <c r="U285" i="31"/>
  <c r="U286" i="31"/>
  <c r="U287" i="31"/>
  <c r="U288" i="31"/>
  <c r="U289" i="31"/>
  <c r="U290" i="31"/>
  <c r="U291" i="31"/>
  <c r="U292" i="31"/>
  <c r="U293" i="31"/>
  <c r="U294" i="31"/>
  <c r="U295" i="31"/>
  <c r="U296" i="31"/>
  <c r="U297" i="31"/>
  <c r="U298" i="31"/>
  <c r="U299" i="31"/>
  <c r="U300" i="31"/>
  <c r="U301" i="31"/>
  <c r="U302" i="31"/>
  <c r="U303" i="31"/>
  <c r="U304" i="31"/>
  <c r="U305" i="31"/>
  <c r="U306" i="31"/>
  <c r="U307" i="31"/>
  <c r="U308" i="31"/>
  <c r="U309" i="31"/>
  <c r="U310" i="31"/>
  <c r="U311" i="31"/>
  <c r="U312" i="31"/>
  <c r="U313" i="31"/>
  <c r="U314" i="31"/>
  <c r="U315" i="31"/>
  <c r="U316" i="31"/>
  <c r="U317" i="31"/>
  <c r="U318" i="31"/>
  <c r="U319" i="31"/>
  <c r="U320" i="31"/>
  <c r="U321" i="31"/>
  <c r="U322" i="31"/>
  <c r="U323" i="31"/>
  <c r="U324" i="31"/>
  <c r="U325" i="31"/>
  <c r="U326" i="31"/>
  <c r="U327" i="31"/>
  <c r="U328" i="31"/>
  <c r="U329" i="31"/>
  <c r="U330" i="31"/>
  <c r="U331" i="31"/>
  <c r="U332" i="31"/>
  <c r="U333" i="31"/>
  <c r="U334" i="31"/>
  <c r="U335" i="31"/>
  <c r="U336" i="31"/>
  <c r="U337" i="31"/>
  <c r="U338" i="31"/>
  <c r="U339" i="31"/>
  <c r="U340" i="31"/>
  <c r="U341" i="31"/>
  <c r="U342" i="31"/>
  <c r="U343" i="31"/>
  <c r="U344" i="31"/>
  <c r="U345" i="31"/>
  <c r="U346" i="31"/>
  <c r="U347" i="31"/>
  <c r="U348" i="31"/>
  <c r="U349" i="31"/>
  <c r="U350" i="31"/>
  <c r="U351" i="31"/>
  <c r="U352" i="31"/>
  <c r="U353" i="31"/>
  <c r="U354" i="31"/>
  <c r="U355" i="31"/>
  <c r="U356" i="31"/>
  <c r="U357" i="31"/>
  <c r="U358" i="31"/>
  <c r="U359" i="31"/>
  <c r="U360" i="31"/>
  <c r="U361" i="31"/>
  <c r="U362" i="31"/>
  <c r="U363" i="31"/>
  <c r="U364" i="31"/>
  <c r="U365" i="31"/>
  <c r="U366" i="31"/>
  <c r="U367" i="31"/>
  <c r="U368" i="31"/>
  <c r="U369" i="31"/>
  <c r="U370" i="31"/>
  <c r="U371" i="31"/>
  <c r="U372" i="31"/>
  <c r="U373" i="31"/>
  <c r="U374" i="31"/>
  <c r="U375" i="31"/>
  <c r="U376" i="31"/>
  <c r="U377" i="31"/>
  <c r="U378" i="31"/>
  <c r="U379" i="31"/>
  <c r="U380" i="31"/>
  <c r="U381" i="31"/>
  <c r="U382" i="31"/>
  <c r="U383" i="31"/>
  <c r="U384" i="31"/>
  <c r="U385" i="31"/>
  <c r="U386" i="31"/>
  <c r="U387" i="31"/>
  <c r="U388" i="31"/>
  <c r="U389" i="31"/>
  <c r="U390" i="31"/>
  <c r="U391" i="31"/>
  <c r="U392" i="31"/>
  <c r="U393" i="31"/>
  <c r="U394" i="31"/>
  <c r="U395" i="31"/>
  <c r="U396" i="31"/>
  <c r="U397" i="31"/>
  <c r="U398" i="31"/>
  <c r="U399" i="31"/>
  <c r="U400" i="31"/>
  <c r="U401" i="31"/>
  <c r="U402" i="31"/>
  <c r="U403" i="31"/>
  <c r="U404" i="31"/>
  <c r="U405" i="31"/>
  <c r="U406" i="31"/>
  <c r="U407" i="31"/>
  <c r="U408" i="31"/>
  <c r="U409" i="31"/>
  <c r="U410" i="31"/>
  <c r="U411" i="31"/>
  <c r="U412" i="31"/>
  <c r="U413" i="31"/>
  <c r="U414" i="31"/>
  <c r="U415" i="31"/>
  <c r="U416" i="31"/>
  <c r="U417" i="31"/>
  <c r="U418" i="31"/>
  <c r="U419" i="31"/>
  <c r="U420" i="31"/>
  <c r="U421" i="31"/>
  <c r="U422" i="31"/>
  <c r="U423" i="31"/>
  <c r="U424" i="31"/>
  <c r="U425" i="31"/>
  <c r="U426" i="31"/>
  <c r="U427" i="31"/>
  <c r="U428" i="31"/>
  <c r="U429" i="31"/>
  <c r="U430" i="31"/>
  <c r="U431" i="31"/>
  <c r="U432" i="31"/>
  <c r="U433" i="31"/>
  <c r="U434" i="31"/>
  <c r="U435" i="31"/>
  <c r="U436" i="31"/>
  <c r="U437" i="31"/>
  <c r="U438" i="31"/>
  <c r="U439" i="31"/>
  <c r="U440" i="31"/>
  <c r="U441" i="31"/>
  <c r="U442" i="31"/>
  <c r="U443" i="31"/>
  <c r="U444" i="31"/>
  <c r="U445" i="31"/>
  <c r="U446" i="31"/>
  <c r="U447" i="31"/>
  <c r="U448" i="31"/>
  <c r="U449" i="31"/>
  <c r="U450" i="31"/>
  <c r="U451" i="31"/>
  <c r="U452" i="31"/>
  <c r="U453" i="31"/>
  <c r="U454" i="31"/>
  <c r="U455" i="31"/>
  <c r="U456" i="31"/>
  <c r="U457" i="31"/>
  <c r="U458" i="31"/>
  <c r="U459" i="31"/>
  <c r="U460" i="31"/>
  <c r="U461" i="31"/>
  <c r="U462" i="31"/>
  <c r="U463" i="31"/>
  <c r="U464" i="31"/>
  <c r="U465" i="31"/>
  <c r="U466" i="31"/>
  <c r="U467" i="31"/>
  <c r="U468" i="31"/>
  <c r="U469" i="31"/>
  <c r="U470" i="31"/>
  <c r="U471" i="31"/>
  <c r="U472" i="31"/>
  <c r="U473" i="31"/>
  <c r="U474" i="31"/>
  <c r="U475" i="31"/>
  <c r="U476" i="31"/>
  <c r="U477" i="31"/>
  <c r="U478" i="31"/>
  <c r="U479" i="31"/>
  <c r="U480" i="31"/>
  <c r="U481" i="31"/>
  <c r="U482" i="31"/>
  <c r="U483" i="31"/>
  <c r="U484" i="31"/>
  <c r="U485" i="31"/>
  <c r="U486" i="31"/>
  <c r="U487" i="31"/>
  <c r="U488" i="31"/>
  <c r="U489" i="31"/>
  <c r="U490" i="31"/>
  <c r="U491" i="31"/>
  <c r="U492" i="31"/>
  <c r="U493" i="31"/>
  <c r="U494" i="31"/>
  <c r="U495" i="31"/>
  <c r="U496" i="31"/>
  <c r="U497" i="31"/>
  <c r="U498" i="31"/>
  <c r="U499" i="31"/>
  <c r="U500" i="31"/>
  <c r="U501" i="31"/>
  <c r="U502" i="31"/>
  <c r="U503" i="31"/>
  <c r="U504" i="31"/>
  <c r="U505" i="31"/>
  <c r="U506" i="31"/>
  <c r="U507" i="31"/>
  <c r="U508" i="31"/>
  <c r="U509" i="31"/>
  <c r="U510" i="31"/>
  <c r="U511" i="31"/>
  <c r="U512" i="31"/>
  <c r="U513" i="31"/>
  <c r="U514" i="31"/>
  <c r="U515" i="31"/>
  <c r="U516" i="31"/>
  <c r="U517" i="31"/>
  <c r="U518" i="31"/>
  <c r="U519" i="31"/>
  <c r="U520" i="31"/>
  <c r="U521" i="31"/>
  <c r="U522" i="31"/>
  <c r="U523" i="31"/>
  <c r="U524" i="31"/>
  <c r="U525" i="31"/>
  <c r="U526" i="31"/>
  <c r="U527" i="31"/>
  <c r="U528" i="31"/>
  <c r="U529" i="31"/>
  <c r="U530" i="31"/>
  <c r="U531" i="31"/>
  <c r="U532" i="31"/>
  <c r="U533" i="31"/>
  <c r="U534" i="31"/>
  <c r="U535" i="31"/>
  <c r="U536" i="31"/>
  <c r="U537" i="31"/>
  <c r="U538" i="31"/>
  <c r="U539" i="31"/>
  <c r="U540" i="31"/>
  <c r="U541" i="31"/>
  <c r="U542" i="31"/>
  <c r="U543" i="31"/>
  <c r="U544" i="31"/>
  <c r="U545" i="31"/>
  <c r="U546" i="31"/>
  <c r="U547" i="31"/>
  <c r="U548" i="31"/>
  <c r="U549" i="31"/>
  <c r="U550" i="31"/>
  <c r="U551" i="31"/>
  <c r="U552" i="31"/>
  <c r="U553" i="31"/>
  <c r="U554" i="31"/>
  <c r="U555" i="31"/>
  <c r="U556" i="31"/>
  <c r="U557" i="31"/>
  <c r="U558" i="31"/>
  <c r="U559" i="31"/>
  <c r="U560" i="31"/>
  <c r="U561" i="31"/>
  <c r="U562" i="31"/>
  <c r="U563" i="31"/>
  <c r="U564" i="31"/>
  <c r="U565" i="31"/>
  <c r="U566" i="31"/>
  <c r="U567" i="31"/>
  <c r="U568" i="31"/>
  <c r="U569" i="31"/>
  <c r="U570" i="31"/>
  <c r="U571" i="31"/>
  <c r="U572" i="31"/>
  <c r="U573" i="31"/>
  <c r="U574" i="31"/>
  <c r="U575" i="31"/>
  <c r="U576" i="31"/>
  <c r="U577" i="31"/>
  <c r="U578" i="31"/>
  <c r="U579" i="31"/>
  <c r="U580" i="31"/>
  <c r="U581" i="31"/>
  <c r="U582" i="31"/>
  <c r="U583" i="31"/>
  <c r="U584" i="31"/>
  <c r="U585" i="31"/>
  <c r="U586" i="31"/>
  <c r="U587" i="31"/>
  <c r="U588" i="31"/>
  <c r="U589" i="31"/>
  <c r="U590" i="31"/>
  <c r="U591" i="31"/>
  <c r="U592" i="31"/>
  <c r="U593" i="31"/>
  <c r="U594" i="31"/>
  <c r="U595" i="31"/>
  <c r="U596" i="31"/>
  <c r="U597" i="31"/>
  <c r="U598" i="31"/>
  <c r="U599" i="31"/>
  <c r="U600" i="31"/>
  <c r="U601" i="31"/>
  <c r="U602" i="31"/>
  <c r="U603" i="31"/>
  <c r="U604" i="31"/>
  <c r="U605" i="31"/>
  <c r="U606" i="31"/>
  <c r="U607" i="31"/>
  <c r="U608" i="31"/>
  <c r="U609" i="31"/>
  <c r="U610" i="31"/>
  <c r="U611" i="31"/>
  <c r="U612" i="31"/>
  <c r="U613" i="31"/>
  <c r="U614" i="31"/>
  <c r="U615" i="31"/>
  <c r="U616" i="31"/>
  <c r="U617" i="31"/>
  <c r="U618" i="31"/>
  <c r="U619" i="31"/>
  <c r="U620" i="31"/>
  <c r="U621" i="31"/>
  <c r="U622" i="31"/>
  <c r="U623" i="31"/>
  <c r="U624" i="31"/>
  <c r="U625" i="31"/>
  <c r="U626" i="31"/>
  <c r="U627" i="31"/>
  <c r="U628" i="31"/>
  <c r="U629" i="31"/>
  <c r="U630" i="31"/>
  <c r="U631" i="31"/>
  <c r="U632" i="31"/>
  <c r="U633" i="31"/>
  <c r="U634" i="31"/>
  <c r="U635" i="31"/>
  <c r="U636" i="31"/>
  <c r="U637" i="31"/>
  <c r="U638" i="31"/>
  <c r="U639" i="31"/>
  <c r="U640" i="31"/>
  <c r="U641" i="31"/>
  <c r="U642" i="31"/>
  <c r="U643" i="31"/>
  <c r="U644" i="31"/>
  <c r="U645" i="31"/>
  <c r="U646" i="31"/>
  <c r="U647" i="31"/>
  <c r="U648" i="31"/>
  <c r="U649" i="31"/>
  <c r="U650" i="31"/>
  <c r="U651" i="31"/>
  <c r="U652" i="31"/>
  <c r="U653" i="31"/>
  <c r="U654" i="31"/>
  <c r="U655" i="31"/>
  <c r="U656" i="31"/>
  <c r="U657" i="31"/>
  <c r="U658" i="31"/>
  <c r="U659" i="31"/>
  <c r="U660" i="31"/>
  <c r="U661" i="31"/>
  <c r="U662" i="31"/>
  <c r="U663" i="31"/>
  <c r="U664" i="31"/>
  <c r="U665" i="31"/>
  <c r="U666" i="31"/>
  <c r="U667" i="31"/>
  <c r="U668" i="31"/>
  <c r="U669" i="31"/>
  <c r="U670" i="31"/>
  <c r="U671" i="31"/>
  <c r="U672" i="31"/>
  <c r="U673" i="31"/>
  <c r="U674" i="31"/>
  <c r="U675" i="31"/>
  <c r="U676" i="31"/>
  <c r="U677" i="31"/>
  <c r="U678" i="31"/>
  <c r="U679" i="31"/>
  <c r="U680" i="31"/>
  <c r="U681" i="31"/>
  <c r="U682" i="31"/>
  <c r="U683" i="31"/>
  <c r="U684" i="31"/>
  <c r="U685" i="31"/>
  <c r="U686" i="31"/>
  <c r="U687" i="31"/>
  <c r="U688" i="31"/>
  <c r="U689" i="31"/>
  <c r="U690" i="31"/>
  <c r="U691" i="31"/>
  <c r="U692" i="31"/>
  <c r="U693" i="31"/>
  <c r="U694" i="31"/>
  <c r="U695" i="31"/>
  <c r="U696" i="31"/>
  <c r="U697" i="31"/>
  <c r="U698" i="31"/>
  <c r="U699" i="31"/>
  <c r="U700" i="31"/>
  <c r="U701" i="31"/>
  <c r="U702" i="31"/>
  <c r="U703" i="31"/>
  <c r="U704" i="31"/>
  <c r="U705" i="31"/>
  <c r="U706" i="31"/>
  <c r="U707" i="31"/>
  <c r="U708" i="31"/>
  <c r="U709" i="31"/>
  <c r="U710" i="31"/>
  <c r="U711" i="31"/>
  <c r="U712" i="31"/>
  <c r="U713" i="31"/>
  <c r="U714" i="31"/>
  <c r="U715" i="31"/>
  <c r="U716" i="31"/>
  <c r="U717" i="31"/>
  <c r="U718" i="31"/>
  <c r="U719" i="31"/>
  <c r="U720" i="31"/>
  <c r="U721" i="31"/>
  <c r="U722" i="31"/>
  <c r="U723" i="31"/>
  <c r="U724" i="31"/>
  <c r="U725" i="31"/>
  <c r="U726" i="31"/>
  <c r="U727" i="31"/>
  <c r="U728" i="31"/>
  <c r="U729" i="31"/>
  <c r="U730" i="31"/>
  <c r="U731" i="31"/>
  <c r="U732" i="31"/>
  <c r="U733" i="31"/>
  <c r="U734" i="31"/>
  <c r="U735" i="31"/>
  <c r="U736" i="31"/>
  <c r="U737" i="31"/>
  <c r="U738" i="31"/>
  <c r="U739" i="31"/>
  <c r="U740" i="31"/>
  <c r="U741" i="31"/>
  <c r="U742" i="31"/>
  <c r="U743" i="31"/>
  <c r="U744" i="31"/>
  <c r="U745" i="31"/>
  <c r="U746" i="31"/>
  <c r="U747" i="31"/>
  <c r="U748" i="31"/>
  <c r="U749" i="31"/>
  <c r="U750" i="31"/>
  <c r="U751" i="31"/>
  <c r="U752" i="31"/>
  <c r="U753" i="31"/>
  <c r="U754" i="31"/>
  <c r="U755" i="31"/>
  <c r="U756" i="31"/>
  <c r="U757" i="31"/>
  <c r="U758" i="31"/>
  <c r="U759" i="31"/>
  <c r="U760" i="31"/>
  <c r="U761" i="31"/>
  <c r="U762" i="31"/>
  <c r="U763" i="31"/>
  <c r="U764" i="31"/>
  <c r="U765" i="31"/>
  <c r="U766" i="31"/>
  <c r="U767" i="31"/>
  <c r="U768" i="31"/>
  <c r="U769" i="31"/>
  <c r="U770" i="31"/>
  <c r="U771" i="31"/>
  <c r="U772" i="31"/>
  <c r="U773" i="31"/>
  <c r="U774" i="31"/>
  <c r="U775" i="31"/>
  <c r="U776" i="31"/>
  <c r="U777" i="31"/>
  <c r="U778" i="31"/>
  <c r="U779" i="31"/>
  <c r="U780" i="31"/>
  <c r="U781" i="31"/>
  <c r="U782" i="31"/>
  <c r="U783" i="31"/>
  <c r="U784" i="31"/>
  <c r="U785" i="31"/>
  <c r="U786" i="31"/>
  <c r="U787" i="31"/>
  <c r="U788" i="31"/>
  <c r="U789" i="31"/>
  <c r="U790" i="31"/>
  <c r="U791" i="31"/>
  <c r="U792" i="31"/>
  <c r="U793" i="31"/>
  <c r="U794" i="31"/>
  <c r="U795" i="31"/>
  <c r="U796" i="31"/>
  <c r="U797" i="31"/>
  <c r="U798" i="31"/>
  <c r="U799" i="31"/>
  <c r="U800" i="31"/>
  <c r="U801" i="31"/>
  <c r="U802" i="31"/>
  <c r="U803" i="31"/>
  <c r="U804" i="31"/>
  <c r="U805" i="31"/>
  <c r="U806" i="31"/>
  <c r="U807" i="31"/>
  <c r="U808" i="31"/>
  <c r="U809" i="31"/>
  <c r="U810" i="31"/>
  <c r="U811" i="31"/>
  <c r="U812" i="31"/>
  <c r="U813" i="31"/>
  <c r="U814" i="31"/>
  <c r="U815" i="31"/>
  <c r="U816" i="31"/>
  <c r="U817" i="31"/>
  <c r="U818" i="31"/>
  <c r="U819" i="31"/>
  <c r="U820" i="31"/>
  <c r="U821" i="31"/>
  <c r="U822" i="31"/>
  <c r="U823" i="31"/>
  <c r="U824" i="31"/>
  <c r="U825" i="31"/>
  <c r="U826" i="31"/>
  <c r="U827" i="31"/>
  <c r="U828" i="31"/>
  <c r="U829" i="31"/>
  <c r="U830" i="31"/>
  <c r="U831" i="31"/>
  <c r="U832" i="31"/>
  <c r="U833" i="31"/>
  <c r="U834" i="31"/>
  <c r="U835" i="31"/>
  <c r="U836" i="31"/>
  <c r="U837" i="31"/>
  <c r="U838" i="31"/>
  <c r="U839" i="31"/>
  <c r="U840" i="31"/>
  <c r="U841" i="31"/>
  <c r="U842" i="31"/>
  <c r="U843" i="31"/>
  <c r="U844" i="31"/>
  <c r="U845" i="31"/>
  <c r="U846" i="31"/>
  <c r="U847" i="31"/>
  <c r="U848" i="31"/>
  <c r="U849" i="31"/>
  <c r="U850" i="31"/>
  <c r="U851" i="31"/>
  <c r="U852" i="31"/>
  <c r="U853" i="31"/>
  <c r="U854" i="31"/>
  <c r="U855" i="31"/>
  <c r="U856" i="31"/>
  <c r="U857" i="31"/>
  <c r="U858" i="31"/>
  <c r="U859" i="31"/>
  <c r="U860" i="31"/>
  <c r="U861" i="31"/>
  <c r="U862" i="31"/>
  <c r="U863" i="31"/>
  <c r="U864" i="31"/>
  <c r="U865" i="31"/>
  <c r="U866" i="31"/>
  <c r="U867" i="31"/>
  <c r="U868" i="31"/>
  <c r="U869" i="31"/>
  <c r="U870" i="31"/>
  <c r="U871" i="31"/>
  <c r="U872" i="31"/>
  <c r="U873" i="31"/>
  <c r="U874" i="31"/>
  <c r="U875" i="31"/>
  <c r="U876" i="31"/>
  <c r="U877" i="31"/>
  <c r="U878" i="31"/>
  <c r="U879" i="31"/>
  <c r="U880" i="31"/>
  <c r="U881" i="31"/>
  <c r="U882" i="31"/>
  <c r="U883" i="31"/>
  <c r="U884" i="31"/>
  <c r="U885" i="31"/>
  <c r="U886" i="31"/>
  <c r="U887" i="31"/>
  <c r="U888" i="31"/>
  <c r="U889" i="31"/>
  <c r="U890" i="31"/>
  <c r="U891" i="31"/>
  <c r="U892" i="31"/>
  <c r="U893" i="31"/>
  <c r="U894" i="31"/>
  <c r="U895" i="31"/>
  <c r="U896" i="31"/>
  <c r="U897" i="31"/>
  <c r="U898" i="31"/>
  <c r="U899" i="31"/>
  <c r="U900" i="31"/>
  <c r="U901" i="31"/>
  <c r="U902" i="31"/>
  <c r="U903" i="31"/>
  <c r="U904" i="31"/>
  <c r="U905" i="31"/>
  <c r="U906" i="31"/>
  <c r="U907" i="31"/>
  <c r="U908" i="31"/>
  <c r="U909" i="31"/>
  <c r="U910" i="31"/>
  <c r="U911" i="31"/>
  <c r="U912" i="31"/>
  <c r="U913" i="31"/>
  <c r="U914" i="31"/>
  <c r="U915" i="31"/>
  <c r="U916" i="31"/>
  <c r="U917" i="31"/>
  <c r="U918" i="31"/>
  <c r="U919" i="31"/>
  <c r="U920" i="31"/>
  <c r="U921" i="31"/>
  <c r="U922" i="31"/>
  <c r="U923" i="31"/>
  <c r="U924" i="31"/>
  <c r="U925" i="31"/>
  <c r="U926" i="31"/>
  <c r="U927" i="31"/>
  <c r="U928" i="31"/>
  <c r="U929" i="31"/>
  <c r="U930" i="31"/>
  <c r="U931" i="31"/>
  <c r="U932" i="31"/>
  <c r="U933" i="31"/>
  <c r="U934" i="31"/>
  <c r="U935" i="31"/>
  <c r="U936" i="31"/>
  <c r="U937" i="31"/>
  <c r="U938" i="31"/>
  <c r="U939" i="31"/>
  <c r="U940" i="31"/>
  <c r="U941" i="31"/>
  <c r="U942" i="31"/>
  <c r="U943" i="31"/>
  <c r="U944" i="31"/>
  <c r="U945" i="31"/>
  <c r="U946" i="31"/>
  <c r="U947" i="31"/>
  <c r="U948" i="31"/>
  <c r="U949" i="31"/>
  <c r="U950" i="31"/>
  <c r="U951" i="31"/>
  <c r="U952" i="31"/>
  <c r="U953" i="31"/>
  <c r="U954" i="31"/>
  <c r="U955" i="31"/>
  <c r="U956" i="31"/>
  <c r="U957" i="31"/>
  <c r="U958" i="31"/>
  <c r="U959" i="31"/>
  <c r="U960" i="31"/>
  <c r="U961" i="31"/>
  <c r="U962" i="31"/>
  <c r="U963" i="31"/>
  <c r="U964" i="31"/>
  <c r="U965" i="31"/>
  <c r="U966" i="31"/>
  <c r="U967" i="31"/>
  <c r="U968" i="31"/>
  <c r="U969" i="31"/>
  <c r="U970" i="31"/>
  <c r="U971" i="31"/>
  <c r="U972" i="31"/>
  <c r="U973" i="31"/>
  <c r="U974" i="31"/>
  <c r="U975" i="31"/>
  <c r="U976" i="31"/>
  <c r="U977" i="31"/>
  <c r="U978" i="31"/>
  <c r="U979" i="31"/>
  <c r="U980" i="31"/>
  <c r="U981" i="31"/>
  <c r="U982" i="31"/>
  <c r="U983" i="31"/>
  <c r="U984" i="31"/>
  <c r="U985" i="31"/>
  <c r="U986" i="31"/>
  <c r="U987" i="31"/>
  <c r="U988" i="31"/>
  <c r="U989" i="31"/>
  <c r="U990" i="31"/>
  <c r="U991" i="31"/>
  <c r="U992" i="31"/>
  <c r="U993" i="31"/>
  <c r="U994" i="31"/>
  <c r="U995" i="31"/>
  <c r="U996" i="31"/>
  <c r="U997" i="31"/>
  <c r="U998" i="31"/>
  <c r="U999" i="31"/>
  <c r="U1000" i="31"/>
  <c r="U1001" i="31"/>
  <c r="U1002" i="31"/>
  <c r="U1003" i="31"/>
  <c r="U1004" i="31"/>
  <c r="U1005" i="31"/>
  <c r="U1006" i="31"/>
  <c r="U1007" i="31"/>
  <c r="U1008" i="31"/>
  <c r="U1009" i="31"/>
  <c r="U1010" i="31"/>
  <c r="U1011" i="31"/>
  <c r="U1012" i="31"/>
  <c r="U1013" i="31"/>
  <c r="U1014" i="31"/>
  <c r="U1015" i="31"/>
  <c r="U1016" i="31"/>
  <c r="U1017" i="31"/>
  <c r="U1018" i="31"/>
  <c r="U1019" i="31"/>
  <c r="U1020" i="31"/>
  <c r="U1021" i="31"/>
  <c r="U1022" i="31"/>
  <c r="U1023" i="31"/>
  <c r="U1024" i="31"/>
  <c r="U1025" i="31"/>
  <c r="U1026" i="31"/>
  <c r="U1027" i="31"/>
  <c r="U1028" i="31"/>
  <c r="U1029" i="31"/>
  <c r="U1030" i="31"/>
  <c r="U1031" i="31"/>
  <c r="U1032" i="31"/>
  <c r="U1033" i="31"/>
  <c r="U1034" i="31"/>
  <c r="U1035" i="31"/>
  <c r="U1036" i="31"/>
  <c r="U1037" i="31"/>
  <c r="U1038" i="31"/>
  <c r="U1039" i="31"/>
  <c r="U1040" i="31"/>
  <c r="U1041" i="31"/>
  <c r="U1042" i="31"/>
  <c r="U1043" i="31"/>
  <c r="U1044" i="31"/>
  <c r="U1045" i="31"/>
  <c r="U1046" i="31"/>
  <c r="U1047" i="31"/>
  <c r="U1048" i="31"/>
  <c r="U1049" i="31"/>
  <c r="U1050" i="31"/>
  <c r="U1051" i="31"/>
  <c r="U1052" i="31"/>
  <c r="U1053" i="31"/>
  <c r="U1054" i="31"/>
  <c r="U1055" i="31"/>
  <c r="U1056" i="31"/>
  <c r="U1057" i="31"/>
  <c r="U1058" i="31"/>
  <c r="U1059" i="31"/>
  <c r="U1060" i="31"/>
  <c r="U1061" i="31"/>
  <c r="U1062" i="31"/>
  <c r="U1063" i="31"/>
  <c r="U1064" i="31"/>
  <c r="U1065" i="31"/>
  <c r="U1066" i="31"/>
  <c r="U1067" i="31"/>
  <c r="U1068" i="31"/>
  <c r="U1069" i="31"/>
  <c r="U1070" i="31"/>
  <c r="U1071" i="31"/>
  <c r="U1072" i="31"/>
  <c r="U1073" i="31"/>
  <c r="U1074" i="31"/>
  <c r="U1075" i="31"/>
  <c r="U1076" i="31"/>
  <c r="U1077" i="31"/>
  <c r="U1078" i="31"/>
  <c r="U1079" i="31"/>
  <c r="U1080" i="31"/>
  <c r="U1081" i="31"/>
  <c r="U1082" i="31"/>
  <c r="U1083" i="31"/>
  <c r="U1084" i="31"/>
  <c r="U1085" i="31"/>
  <c r="U1086" i="31"/>
  <c r="U1087" i="31"/>
  <c r="U1088" i="31"/>
  <c r="U1089" i="31"/>
  <c r="U1090" i="31"/>
  <c r="U1091" i="31"/>
  <c r="U1092" i="31"/>
  <c r="U1093" i="31"/>
  <c r="U1094" i="31"/>
  <c r="U1095" i="31"/>
  <c r="U1096" i="31"/>
  <c r="U1097" i="31"/>
  <c r="U1098" i="31"/>
  <c r="U1099" i="31"/>
  <c r="U1100" i="31"/>
  <c r="U1101" i="31"/>
  <c r="U1102" i="31"/>
  <c r="U1103" i="31"/>
  <c r="U1104" i="31"/>
  <c r="U1105" i="31"/>
  <c r="U1106" i="31"/>
  <c r="U1107" i="31"/>
  <c r="U1108" i="31"/>
  <c r="U1109" i="31"/>
  <c r="U1110" i="31"/>
  <c r="U1111" i="31"/>
  <c r="U1112" i="31"/>
  <c r="U1113" i="31"/>
  <c r="U1114" i="31"/>
  <c r="U1115" i="31"/>
  <c r="U1116" i="31"/>
  <c r="U1117" i="31"/>
  <c r="U1118" i="31"/>
  <c r="U1119" i="31"/>
  <c r="U1120" i="31"/>
  <c r="U1121" i="31"/>
  <c r="U1122" i="31"/>
  <c r="U1123" i="31"/>
  <c r="U1124" i="31"/>
  <c r="U1125" i="31"/>
  <c r="U1126" i="31"/>
  <c r="U1127" i="31"/>
  <c r="U1128" i="31"/>
  <c r="U1129" i="31"/>
  <c r="U1130" i="31"/>
  <c r="U1131" i="31"/>
  <c r="U1132" i="31"/>
  <c r="U1133" i="31"/>
  <c r="U1134" i="31"/>
  <c r="U1135" i="31"/>
  <c r="U1136" i="31"/>
  <c r="U1137" i="31"/>
  <c r="U1138" i="31"/>
  <c r="U1139" i="31"/>
  <c r="U1140" i="31"/>
  <c r="U1141" i="31"/>
  <c r="U1142" i="31"/>
  <c r="U1143" i="31"/>
  <c r="U1144" i="31"/>
  <c r="U1145" i="31"/>
  <c r="U1146" i="31"/>
  <c r="U1147" i="31"/>
  <c r="U1148" i="31"/>
  <c r="U1149" i="31"/>
  <c r="U1150" i="31"/>
  <c r="U1151" i="31"/>
  <c r="U1152" i="31"/>
  <c r="U1153" i="31"/>
  <c r="U1154" i="31"/>
  <c r="U1155" i="31"/>
  <c r="U1156" i="31"/>
  <c r="U1157" i="31"/>
  <c r="U1158" i="31"/>
  <c r="U1159" i="31"/>
  <c r="U1160" i="31"/>
  <c r="U1161" i="31"/>
  <c r="U1162" i="31"/>
  <c r="U1163" i="31"/>
  <c r="U1164" i="31"/>
  <c r="U1165" i="31"/>
  <c r="U1166" i="31"/>
  <c r="U1167" i="31"/>
  <c r="U1168" i="31"/>
  <c r="U1169" i="31"/>
  <c r="U1170" i="31"/>
  <c r="U1171" i="31"/>
  <c r="U1172" i="31"/>
  <c r="U1173" i="31"/>
  <c r="U1174" i="31"/>
  <c r="U1175" i="31"/>
  <c r="U1176" i="31"/>
  <c r="U1177" i="31"/>
  <c r="U1178" i="31"/>
  <c r="U1179" i="31"/>
  <c r="U1180" i="31"/>
  <c r="U1181" i="31"/>
  <c r="U1182" i="31"/>
  <c r="U1183" i="31"/>
  <c r="U1184" i="31"/>
  <c r="U1185" i="31"/>
  <c r="U1186" i="31"/>
  <c r="U1187" i="31"/>
  <c r="U1188" i="31"/>
  <c r="U1189" i="31"/>
  <c r="U1190" i="31"/>
  <c r="U1191" i="31"/>
  <c r="U1192" i="31"/>
  <c r="U1193" i="31"/>
  <c r="U1194" i="31"/>
  <c r="U1195" i="31"/>
  <c r="U1196" i="31"/>
  <c r="U1197" i="31"/>
  <c r="U1198" i="31"/>
  <c r="U1199" i="31"/>
  <c r="U1200" i="31"/>
  <c r="U1201" i="31"/>
  <c r="U1202" i="31"/>
  <c r="U1203" i="31"/>
  <c r="U1204" i="31"/>
  <c r="U1205" i="31"/>
  <c r="U1206" i="31"/>
  <c r="U1207" i="31"/>
  <c r="U1208" i="31"/>
  <c r="U1209" i="31"/>
  <c r="U1210" i="31"/>
  <c r="U1211" i="31"/>
  <c r="U1212" i="31"/>
  <c r="U1213" i="31"/>
  <c r="U1214" i="31"/>
  <c r="U1215" i="31"/>
  <c r="U1216" i="31"/>
  <c r="U1217" i="31"/>
  <c r="U1218" i="31"/>
  <c r="U1219" i="31"/>
  <c r="U1220" i="31"/>
  <c r="U1221" i="31"/>
  <c r="U1222" i="31"/>
  <c r="U1223" i="31"/>
  <c r="U1224" i="31"/>
  <c r="U1225" i="31"/>
  <c r="U1226" i="31"/>
  <c r="U1227" i="31"/>
  <c r="U1228" i="31"/>
  <c r="U1229" i="31"/>
  <c r="U1230" i="31"/>
  <c r="U1231" i="31"/>
  <c r="U1232" i="31"/>
  <c r="U1233" i="31"/>
  <c r="U1234" i="31"/>
  <c r="U1235" i="31"/>
  <c r="U1236" i="31"/>
  <c r="U1237" i="31"/>
  <c r="U1238" i="31"/>
  <c r="U1239" i="31"/>
  <c r="U1240" i="31"/>
  <c r="U1241" i="31"/>
  <c r="U1242" i="31"/>
  <c r="U1243" i="31"/>
  <c r="U1244" i="31"/>
  <c r="U1245" i="31"/>
  <c r="U1246" i="31"/>
  <c r="U1247" i="31"/>
  <c r="U1248" i="31"/>
  <c r="U1249" i="31"/>
  <c r="U1250" i="31"/>
  <c r="U1251" i="31"/>
  <c r="U1252" i="31"/>
  <c r="U1253" i="31"/>
  <c r="U1254" i="31"/>
  <c r="U1255" i="31"/>
  <c r="U1256" i="31"/>
  <c r="U1257" i="31"/>
  <c r="U1258" i="31"/>
  <c r="U1259" i="31"/>
  <c r="U1260" i="31"/>
  <c r="U1261" i="31"/>
  <c r="U1262" i="31"/>
  <c r="U1263" i="31"/>
  <c r="U1264" i="31"/>
  <c r="U1265" i="31"/>
  <c r="U1266" i="31"/>
  <c r="U1267" i="31"/>
  <c r="U1268" i="31"/>
  <c r="U1269" i="31"/>
  <c r="U1270" i="31"/>
  <c r="U1271" i="31"/>
  <c r="U1272" i="31"/>
  <c r="U1273" i="31"/>
  <c r="U1274" i="31"/>
  <c r="U1275" i="31"/>
  <c r="U1276" i="31"/>
  <c r="U1277" i="31"/>
  <c r="U1278" i="31"/>
  <c r="U1279" i="31"/>
  <c r="U1280" i="31"/>
  <c r="U1281" i="31"/>
  <c r="U1282" i="31"/>
  <c r="U1283" i="31"/>
  <c r="U1284" i="31"/>
  <c r="U1285" i="31"/>
  <c r="U1286" i="31"/>
  <c r="U1287" i="31"/>
  <c r="U1288" i="31"/>
  <c r="U1289" i="31"/>
  <c r="U1290" i="31"/>
  <c r="U1291" i="31"/>
  <c r="U1292" i="31"/>
  <c r="U1293" i="31"/>
  <c r="U1294" i="31"/>
  <c r="U1295" i="31"/>
  <c r="U1296" i="31"/>
  <c r="U1297" i="31"/>
  <c r="U1298" i="31"/>
  <c r="U1299" i="31"/>
  <c r="U1300" i="31"/>
  <c r="U1301" i="31"/>
  <c r="U1302" i="31"/>
  <c r="U1303" i="31"/>
  <c r="U1304" i="31"/>
  <c r="U1305" i="31"/>
  <c r="U1306" i="31"/>
  <c r="U1307" i="31"/>
  <c r="U1308" i="31"/>
  <c r="U1309" i="31"/>
  <c r="U1310" i="31"/>
  <c r="U1311" i="31"/>
  <c r="U1312" i="31"/>
  <c r="U1313" i="31"/>
  <c r="U1314" i="31"/>
  <c r="U1315" i="31"/>
  <c r="U1316" i="31"/>
  <c r="U1317" i="31"/>
  <c r="U1318" i="31"/>
  <c r="U1319" i="31"/>
  <c r="U1320" i="31"/>
  <c r="U1321" i="31"/>
  <c r="U1322" i="31"/>
  <c r="U1323" i="31"/>
  <c r="U1324" i="31"/>
  <c r="U1325" i="31"/>
  <c r="U1326" i="31"/>
  <c r="U1327" i="31"/>
  <c r="U1328" i="31"/>
  <c r="U1329" i="31"/>
  <c r="U1330" i="31"/>
  <c r="U1331" i="31"/>
  <c r="U1332" i="31"/>
  <c r="U1333" i="31"/>
  <c r="U1334" i="31"/>
  <c r="U1335" i="31"/>
  <c r="U1336" i="31"/>
  <c r="U1337" i="31"/>
  <c r="U1338" i="31"/>
  <c r="U1339" i="31"/>
  <c r="U1340" i="31"/>
  <c r="U1341" i="31"/>
  <c r="U1342" i="31"/>
  <c r="U1343" i="31"/>
  <c r="U1344" i="31"/>
  <c r="U1345" i="31"/>
  <c r="U1346" i="31"/>
  <c r="U1347" i="31"/>
  <c r="U1348" i="31"/>
  <c r="U1349" i="31"/>
  <c r="U1350" i="31"/>
  <c r="U1351" i="31"/>
  <c r="U1352" i="31"/>
  <c r="U1353" i="31"/>
  <c r="U1354" i="31"/>
  <c r="U1355" i="31"/>
  <c r="U1356" i="31"/>
  <c r="U1357" i="31"/>
  <c r="U1358" i="31"/>
  <c r="U1359" i="31"/>
  <c r="U1360" i="31"/>
  <c r="U1361" i="31"/>
  <c r="U1362" i="31"/>
  <c r="U1363" i="31"/>
  <c r="U1364" i="31"/>
  <c r="U1365" i="31"/>
  <c r="U1366" i="31"/>
  <c r="U1367" i="31"/>
  <c r="U1368" i="31"/>
  <c r="U1369" i="31"/>
  <c r="U1370" i="31"/>
  <c r="U1371" i="31"/>
  <c r="U1372" i="31"/>
  <c r="U1373" i="31"/>
  <c r="U1374" i="31"/>
  <c r="U1375" i="31"/>
  <c r="U1376" i="31"/>
  <c r="U1377" i="31"/>
  <c r="U1378" i="31"/>
  <c r="U1379" i="31"/>
  <c r="U1380" i="31"/>
  <c r="U1381" i="31"/>
  <c r="U1382" i="31"/>
  <c r="U1383" i="31"/>
  <c r="U1384" i="31"/>
  <c r="U1385" i="31"/>
  <c r="U1386" i="31"/>
  <c r="U1387" i="31"/>
  <c r="U1388" i="31"/>
  <c r="U1389" i="31"/>
  <c r="U1390" i="31"/>
  <c r="U1391" i="31"/>
  <c r="U1392" i="31"/>
  <c r="U1393" i="31"/>
  <c r="U1394" i="31"/>
  <c r="U1395" i="31"/>
  <c r="U1396" i="31"/>
  <c r="U1397" i="31"/>
  <c r="U1398" i="31"/>
  <c r="U1399" i="31"/>
  <c r="U1400" i="31"/>
  <c r="U1401" i="31"/>
  <c r="U1402" i="31"/>
  <c r="U1403" i="31"/>
  <c r="U1404" i="31"/>
  <c r="U1405" i="31"/>
  <c r="U1406" i="31"/>
  <c r="U1407" i="31"/>
  <c r="U1408" i="31"/>
  <c r="U1409" i="31"/>
  <c r="U1410" i="31"/>
  <c r="U1411" i="31"/>
  <c r="U1412" i="31"/>
  <c r="U1413" i="31"/>
  <c r="U1414" i="31"/>
  <c r="U1415" i="31"/>
  <c r="U1416" i="31"/>
  <c r="U1417" i="31"/>
  <c r="U1418" i="31"/>
  <c r="U1419" i="31"/>
  <c r="U1420" i="31"/>
  <c r="U1421" i="31"/>
  <c r="U1422" i="31"/>
  <c r="U1423" i="31"/>
  <c r="U1424" i="31"/>
  <c r="U1425" i="31"/>
  <c r="U1426" i="31"/>
  <c r="U1427" i="31"/>
  <c r="U1428" i="31"/>
  <c r="U1429" i="31"/>
  <c r="U1430" i="31"/>
  <c r="U1431" i="31"/>
  <c r="U1432" i="31"/>
  <c r="U1433" i="31"/>
  <c r="U1434" i="31"/>
  <c r="U1435" i="31"/>
  <c r="U1436" i="31"/>
  <c r="U1437" i="31"/>
  <c r="U1438" i="31"/>
  <c r="U1439" i="31"/>
  <c r="U1440" i="31"/>
  <c r="U1441" i="31"/>
  <c r="U1442" i="31"/>
  <c r="U1443" i="31"/>
  <c r="U1444" i="31"/>
  <c r="U1445" i="31"/>
  <c r="U1446" i="31"/>
  <c r="U1447" i="31"/>
  <c r="U1448" i="31"/>
  <c r="U1449" i="31"/>
  <c r="U1450" i="31"/>
  <c r="U1451" i="31"/>
  <c r="U1452" i="31"/>
  <c r="U1453" i="31"/>
  <c r="U1454" i="31"/>
  <c r="U1455" i="31"/>
  <c r="U1456" i="31"/>
  <c r="U1457" i="31"/>
  <c r="U1458" i="31"/>
  <c r="U1459" i="31"/>
  <c r="U1460" i="31"/>
  <c r="U1461" i="31"/>
  <c r="U1462" i="31"/>
  <c r="U1463" i="31"/>
  <c r="U1464" i="31"/>
  <c r="U1465" i="31"/>
  <c r="U1466" i="31"/>
  <c r="U1467" i="31"/>
  <c r="U1468" i="31"/>
  <c r="U1469" i="31"/>
  <c r="U1470" i="31"/>
  <c r="U1471" i="31"/>
  <c r="U1472" i="31"/>
  <c r="U1473" i="31"/>
  <c r="U1474" i="31"/>
  <c r="U1475" i="31"/>
  <c r="U1476" i="31"/>
  <c r="U1477" i="31"/>
  <c r="U1478" i="31"/>
  <c r="U1479" i="31"/>
  <c r="U1480" i="31"/>
  <c r="U1481" i="31"/>
  <c r="U1482" i="31"/>
  <c r="U1483" i="31"/>
  <c r="U1484" i="31"/>
  <c r="U1485" i="31"/>
  <c r="U1486" i="31"/>
  <c r="U1487" i="31"/>
  <c r="U1488" i="31"/>
  <c r="U1489" i="31"/>
  <c r="U1490" i="31"/>
  <c r="U1491" i="31"/>
  <c r="U1492" i="31"/>
  <c r="U1493" i="31"/>
  <c r="U1494" i="31"/>
  <c r="U1495" i="31"/>
  <c r="U1496" i="31"/>
  <c r="U1497" i="31"/>
  <c r="U1498" i="31"/>
  <c r="U1499" i="31"/>
  <c r="U1500" i="31"/>
  <c r="U1501" i="31"/>
  <c r="U1502" i="31"/>
  <c r="U1503" i="31"/>
  <c r="U1504" i="31"/>
  <c r="U1505" i="31"/>
  <c r="U1506" i="31"/>
  <c r="U1507" i="31"/>
  <c r="U1508" i="31"/>
  <c r="U1509" i="31"/>
  <c r="U1510" i="31"/>
  <c r="U1511" i="31"/>
  <c r="U1512" i="31"/>
  <c r="U1513" i="31"/>
  <c r="U1514" i="31"/>
  <c r="U1515" i="31"/>
  <c r="U1516" i="31"/>
  <c r="U1517" i="31"/>
  <c r="U1518" i="31"/>
  <c r="U1519" i="31"/>
  <c r="U1520" i="31"/>
  <c r="U1521" i="31"/>
  <c r="U1522" i="31"/>
  <c r="U1523" i="31"/>
  <c r="U1524" i="31"/>
  <c r="U1525" i="31"/>
  <c r="U1526" i="31"/>
  <c r="U1527" i="31"/>
  <c r="U1528" i="31"/>
  <c r="U1529" i="31"/>
  <c r="U1530" i="31"/>
  <c r="U1531" i="31"/>
  <c r="U1532" i="31"/>
  <c r="U1533" i="31"/>
  <c r="U1534" i="31"/>
  <c r="U1535" i="31"/>
  <c r="U1536" i="31"/>
  <c r="U1537" i="31"/>
  <c r="U1538" i="31"/>
  <c r="U1539" i="31"/>
  <c r="U1540" i="31"/>
  <c r="U1541" i="31"/>
  <c r="U1542" i="31"/>
  <c r="U1543" i="31"/>
  <c r="U1544" i="31"/>
  <c r="U1545" i="31"/>
  <c r="U1546" i="31"/>
  <c r="U1547" i="31"/>
  <c r="U1548" i="31"/>
  <c r="U1549" i="31"/>
  <c r="U1550" i="31"/>
  <c r="U1551" i="31"/>
  <c r="U1552" i="31"/>
  <c r="U1553" i="31"/>
  <c r="U1554" i="31"/>
  <c r="U1555" i="31"/>
  <c r="U1556" i="31"/>
  <c r="U1557" i="31"/>
  <c r="U1558" i="31"/>
  <c r="U1559" i="31"/>
  <c r="U1560" i="31"/>
  <c r="U1561" i="31"/>
  <c r="U1562" i="31"/>
  <c r="U1563" i="31"/>
  <c r="U1564" i="31"/>
  <c r="U1565" i="31"/>
  <c r="U1566" i="31"/>
  <c r="U1567" i="31"/>
  <c r="U1568" i="31"/>
  <c r="U1569" i="31"/>
  <c r="U1570" i="31"/>
  <c r="U1571" i="31"/>
  <c r="U1572" i="31"/>
  <c r="U1573" i="31"/>
  <c r="U1574" i="31"/>
  <c r="U1575" i="31"/>
  <c r="U1576" i="31"/>
  <c r="U1577" i="31"/>
  <c r="U1578" i="31"/>
  <c r="U1579" i="31"/>
  <c r="U1580" i="31"/>
  <c r="U1581" i="31"/>
  <c r="U1582" i="31"/>
  <c r="U1583" i="31"/>
  <c r="U1584" i="31"/>
  <c r="U1585" i="31"/>
  <c r="U1586" i="31"/>
  <c r="U1587" i="31"/>
  <c r="U1588" i="31"/>
  <c r="U1589" i="31"/>
  <c r="U1590" i="31"/>
  <c r="U1591" i="31"/>
  <c r="U1592" i="31"/>
  <c r="U1593" i="31"/>
  <c r="U1594" i="31"/>
  <c r="U1595" i="31"/>
  <c r="U1596" i="31"/>
  <c r="U1597" i="31"/>
  <c r="U1598" i="31"/>
  <c r="U1599" i="31"/>
  <c r="U1600" i="31"/>
  <c r="U1601" i="31"/>
  <c r="U1602" i="31"/>
  <c r="U1603" i="31"/>
  <c r="U1604" i="31"/>
  <c r="U1605" i="31"/>
  <c r="U1606" i="31"/>
  <c r="U1607" i="31"/>
  <c r="U1608" i="31"/>
  <c r="U1609" i="31"/>
  <c r="U1610" i="31"/>
  <c r="U1611" i="31"/>
  <c r="U1612" i="31"/>
  <c r="U1613" i="31"/>
  <c r="U1614" i="31"/>
  <c r="U1615" i="31"/>
  <c r="U1616" i="31"/>
  <c r="U1617" i="31"/>
  <c r="U1618" i="31"/>
  <c r="U1619" i="31"/>
  <c r="U1620" i="31"/>
  <c r="U1621" i="31"/>
  <c r="U1622" i="31"/>
  <c r="U1623" i="31"/>
  <c r="U1624" i="31"/>
  <c r="U1625" i="31"/>
  <c r="U1626" i="31"/>
  <c r="U1627" i="31"/>
  <c r="U1628" i="31"/>
  <c r="U1629" i="31"/>
  <c r="U1630" i="31"/>
  <c r="U1631" i="31"/>
  <c r="U1632" i="31"/>
  <c r="U1633" i="31"/>
  <c r="U1634" i="31"/>
  <c r="U1635" i="31"/>
  <c r="U1636" i="31"/>
  <c r="U1637" i="31"/>
  <c r="U1638" i="31"/>
  <c r="U1639" i="31"/>
  <c r="U1640" i="31"/>
  <c r="U1641" i="31"/>
  <c r="U1642" i="31"/>
  <c r="U1643" i="31"/>
  <c r="U1644" i="31"/>
  <c r="U1645" i="31"/>
  <c r="U1646" i="31"/>
  <c r="U1647" i="31"/>
  <c r="U1648" i="31"/>
  <c r="U1649" i="31"/>
  <c r="U1650" i="31"/>
  <c r="U1651" i="31"/>
  <c r="U1652" i="31"/>
  <c r="U1653" i="31"/>
  <c r="U1654" i="31"/>
  <c r="U1655" i="31"/>
  <c r="U1656" i="31"/>
  <c r="U1657" i="31"/>
  <c r="U1658" i="31"/>
  <c r="U1659" i="31"/>
  <c r="U1660" i="31"/>
  <c r="U1661" i="31"/>
  <c r="U1662" i="31"/>
  <c r="U1663" i="31"/>
  <c r="U1664" i="31"/>
  <c r="U1665" i="31"/>
  <c r="U1666" i="31"/>
  <c r="U1667" i="31"/>
  <c r="U1668" i="31"/>
  <c r="U1669" i="31"/>
  <c r="U1670" i="31"/>
  <c r="U1671" i="31"/>
  <c r="U1672" i="31"/>
  <c r="U1673" i="31"/>
  <c r="U1674" i="31"/>
  <c r="U1675" i="31"/>
  <c r="U1676" i="31"/>
  <c r="U1677" i="31"/>
  <c r="U1678" i="31"/>
  <c r="U1679" i="31"/>
  <c r="U1680" i="31"/>
  <c r="U1681" i="31"/>
  <c r="U1682" i="31"/>
  <c r="U1683" i="31"/>
  <c r="U1684" i="31"/>
  <c r="U1685" i="31"/>
  <c r="U1686" i="31"/>
  <c r="U1687" i="31"/>
  <c r="U1688" i="31"/>
  <c r="U1689" i="31"/>
  <c r="U1690" i="31"/>
  <c r="U1691" i="31"/>
  <c r="U1692" i="31"/>
  <c r="U1693" i="31"/>
  <c r="U1694" i="31"/>
  <c r="U1695" i="31"/>
  <c r="U1696" i="31"/>
  <c r="U1697" i="31"/>
  <c r="U1698" i="31"/>
  <c r="U1699" i="31"/>
  <c r="U1700" i="31"/>
  <c r="U1701" i="31"/>
  <c r="U1702" i="31"/>
  <c r="U1703" i="31"/>
  <c r="U1704" i="31"/>
  <c r="U1705" i="31"/>
  <c r="U1706" i="31"/>
  <c r="U1707" i="31"/>
  <c r="U1708" i="31"/>
  <c r="U1709" i="31"/>
  <c r="U1710" i="31"/>
  <c r="U1711" i="31"/>
  <c r="U1712" i="31"/>
  <c r="U1713" i="31"/>
  <c r="U1714" i="31"/>
  <c r="U1715" i="31"/>
  <c r="U1716" i="31"/>
  <c r="U1717" i="31"/>
  <c r="U1718" i="31"/>
  <c r="U1719" i="31"/>
  <c r="U1720" i="31"/>
  <c r="U1721" i="31"/>
  <c r="U1722" i="31"/>
  <c r="U1723" i="31"/>
  <c r="U1724" i="31"/>
  <c r="U1725" i="31"/>
  <c r="U1726" i="31"/>
  <c r="U1727" i="31"/>
  <c r="U1728" i="31"/>
  <c r="U1729" i="31"/>
  <c r="U1730" i="31"/>
  <c r="U1731" i="31"/>
  <c r="U1732" i="31"/>
  <c r="U1733" i="31"/>
  <c r="U1734" i="31"/>
  <c r="U1735" i="31"/>
  <c r="U1736" i="31"/>
  <c r="U1737" i="31"/>
  <c r="U1738" i="31"/>
  <c r="U1739" i="31"/>
  <c r="U1740" i="31"/>
  <c r="U1741" i="31"/>
  <c r="U1742" i="31"/>
  <c r="U1743" i="31"/>
  <c r="U1744" i="31"/>
  <c r="U1745" i="31"/>
  <c r="U1746" i="31"/>
  <c r="U1747" i="31"/>
  <c r="U1748" i="31"/>
  <c r="U1749" i="31"/>
  <c r="U1750" i="31"/>
  <c r="U1751" i="31"/>
  <c r="U1752" i="31"/>
  <c r="U1753" i="31"/>
  <c r="U1754" i="31"/>
  <c r="U1755" i="31"/>
  <c r="U1756" i="31"/>
  <c r="U1757" i="31"/>
  <c r="U1758" i="31"/>
  <c r="U1759" i="31"/>
  <c r="U1760" i="31"/>
  <c r="U1761" i="31"/>
  <c r="U1762" i="31"/>
  <c r="U1763" i="31"/>
  <c r="U1764" i="31"/>
  <c r="U1765" i="31"/>
  <c r="U1766" i="31"/>
  <c r="U1767" i="31"/>
  <c r="U1768" i="31"/>
  <c r="U1769" i="31"/>
  <c r="U1770" i="31"/>
  <c r="U1771" i="31"/>
  <c r="U1772" i="31"/>
  <c r="U1773" i="31"/>
  <c r="U1774" i="31"/>
  <c r="U1775" i="31"/>
  <c r="U1776" i="31"/>
  <c r="U1777" i="31"/>
  <c r="U1778" i="31"/>
  <c r="U1779" i="31"/>
  <c r="U1780" i="31"/>
  <c r="U1781" i="31"/>
  <c r="U1782" i="31"/>
  <c r="U1783" i="31"/>
  <c r="U1784" i="31"/>
  <c r="U1785" i="31"/>
  <c r="U1786" i="31"/>
  <c r="U1787" i="31"/>
  <c r="U1788" i="31"/>
  <c r="U1789" i="31"/>
  <c r="U1790" i="31"/>
  <c r="U1791" i="31"/>
  <c r="U1792" i="31"/>
  <c r="U1793" i="31"/>
  <c r="U1794" i="31"/>
  <c r="U1795" i="31"/>
  <c r="U1796" i="31"/>
  <c r="U1797" i="31"/>
  <c r="U1798" i="31"/>
  <c r="U1799" i="31"/>
  <c r="U1800" i="31"/>
  <c r="U1801" i="31"/>
  <c r="U1802" i="31"/>
  <c r="U1803" i="31"/>
  <c r="U1804" i="31"/>
  <c r="U1805" i="31"/>
  <c r="U1806" i="31"/>
  <c r="U1807" i="31"/>
  <c r="U1808" i="31"/>
  <c r="U1809" i="31"/>
  <c r="U1810" i="31"/>
  <c r="U1811" i="31"/>
  <c r="U1812" i="31"/>
  <c r="U1813" i="31"/>
  <c r="U1814" i="31"/>
  <c r="U1815" i="31"/>
  <c r="U1816" i="31"/>
  <c r="U1817" i="31"/>
  <c r="U1818" i="31"/>
  <c r="U1819" i="31"/>
  <c r="U1820" i="31"/>
  <c r="U1821" i="31"/>
  <c r="U1822" i="31"/>
  <c r="U1823" i="31"/>
  <c r="U1824" i="31"/>
  <c r="U1825" i="31"/>
  <c r="U1826" i="31"/>
  <c r="U1827" i="31"/>
  <c r="U1828" i="31"/>
  <c r="U1829" i="31"/>
  <c r="U1830" i="31"/>
  <c r="U1831" i="31"/>
  <c r="U1832" i="31"/>
  <c r="U1833" i="31"/>
  <c r="U1834" i="31"/>
  <c r="U1835" i="31"/>
  <c r="U1836" i="31"/>
  <c r="U1837" i="31"/>
  <c r="U1838" i="31"/>
  <c r="U1839" i="31"/>
  <c r="U1840" i="31"/>
  <c r="U1841" i="31"/>
  <c r="U1842" i="31"/>
  <c r="U1843" i="31"/>
  <c r="U1844" i="31"/>
  <c r="U1845" i="31"/>
  <c r="U1846" i="31"/>
  <c r="U1847" i="31"/>
  <c r="U1848" i="31"/>
  <c r="U1849" i="31"/>
  <c r="U1850" i="31"/>
  <c r="U1851" i="31"/>
  <c r="U1852" i="31"/>
  <c r="U1853" i="31"/>
  <c r="U1854" i="31"/>
  <c r="U1855" i="31"/>
  <c r="U1856" i="31"/>
  <c r="U1857" i="31"/>
  <c r="U1858" i="31"/>
  <c r="U1859" i="31"/>
  <c r="U1860" i="31"/>
  <c r="U1861" i="31"/>
  <c r="U1862" i="31"/>
  <c r="U1863" i="31"/>
  <c r="U1864" i="31"/>
  <c r="U1865" i="31"/>
  <c r="U1866" i="31"/>
  <c r="U1867" i="31"/>
  <c r="U1868" i="31"/>
  <c r="U1869" i="31"/>
  <c r="U1870" i="31"/>
  <c r="U1871" i="31"/>
  <c r="U1872" i="31"/>
  <c r="U1873" i="31"/>
  <c r="U1874" i="31"/>
  <c r="U1875" i="31"/>
  <c r="U1876" i="31"/>
  <c r="U1877" i="31"/>
  <c r="U1878" i="31"/>
  <c r="U1879" i="31"/>
  <c r="U1880" i="31"/>
  <c r="U1881" i="31"/>
  <c r="U1882" i="31"/>
  <c r="U1883" i="31"/>
  <c r="U1884" i="31"/>
  <c r="U1885" i="31"/>
  <c r="U1886" i="31"/>
  <c r="U1887" i="31"/>
  <c r="U1888" i="31"/>
  <c r="U1889" i="31"/>
  <c r="U1890" i="31"/>
  <c r="U1891" i="31"/>
  <c r="U1892" i="31"/>
  <c r="U1893" i="31"/>
  <c r="U1894" i="31"/>
  <c r="U1895" i="31"/>
  <c r="U1896" i="31"/>
  <c r="U1897" i="31"/>
  <c r="U1898" i="31"/>
  <c r="U1899" i="31"/>
  <c r="U1900" i="31"/>
  <c r="U1901" i="31"/>
  <c r="U1902" i="31"/>
  <c r="U1903" i="31"/>
  <c r="U1904" i="31"/>
  <c r="U1905" i="31"/>
  <c r="U1906" i="31"/>
  <c r="U1907" i="31"/>
  <c r="U1908" i="31"/>
  <c r="U1909" i="31"/>
  <c r="U1910" i="31"/>
  <c r="U1911" i="31"/>
  <c r="U1912" i="31"/>
  <c r="U1913" i="31"/>
  <c r="U1914" i="31"/>
  <c r="U1915" i="31"/>
  <c r="U1916" i="31"/>
  <c r="U1917" i="31"/>
  <c r="U1918" i="31"/>
  <c r="U1919" i="31"/>
  <c r="U1920" i="31"/>
  <c r="U1921" i="31"/>
  <c r="U1922" i="31"/>
  <c r="U1923" i="31"/>
  <c r="U1924" i="31"/>
  <c r="U1925" i="31"/>
  <c r="U1926" i="31"/>
  <c r="U1927" i="31"/>
  <c r="U1928" i="31"/>
  <c r="U1929" i="31"/>
  <c r="U1930" i="31"/>
  <c r="U1931" i="31"/>
  <c r="U1932" i="31"/>
  <c r="U1933" i="31"/>
  <c r="U1934" i="31"/>
  <c r="U1935" i="31"/>
  <c r="U1936" i="31"/>
  <c r="U1937" i="31"/>
  <c r="U1938" i="31"/>
  <c r="U1939" i="31"/>
  <c r="U1940" i="31"/>
  <c r="U1941" i="31"/>
  <c r="U1942" i="31"/>
  <c r="U1943" i="31"/>
  <c r="U1944" i="31"/>
  <c r="U1945" i="31"/>
  <c r="U1946" i="31"/>
  <c r="U1947" i="31"/>
  <c r="U1948" i="31"/>
  <c r="U1949" i="31"/>
  <c r="U1950" i="31"/>
  <c r="U1951" i="31"/>
  <c r="U1952" i="31"/>
  <c r="U1953" i="31"/>
  <c r="U1954" i="31"/>
  <c r="U1955" i="31"/>
  <c r="U1956" i="31"/>
  <c r="U1957" i="31"/>
  <c r="U1958" i="31"/>
  <c r="U1959" i="31"/>
  <c r="U1960" i="31"/>
  <c r="U1961" i="31"/>
  <c r="U1962" i="31"/>
  <c r="U1963" i="31"/>
  <c r="U1964" i="31"/>
  <c r="U1965" i="31"/>
  <c r="U1966" i="31"/>
  <c r="U1967" i="31"/>
  <c r="U1968" i="31"/>
  <c r="U1969" i="31"/>
  <c r="U1970" i="31"/>
  <c r="U1971" i="31"/>
  <c r="U1972" i="31"/>
  <c r="U1973" i="31"/>
  <c r="U1974" i="31"/>
  <c r="U1975" i="31"/>
  <c r="U1976" i="31"/>
  <c r="U1977" i="31"/>
  <c r="U1978" i="31"/>
  <c r="U1979" i="31"/>
  <c r="U1980" i="31"/>
  <c r="U1981" i="31"/>
  <c r="U1982" i="31"/>
  <c r="U1983" i="31"/>
  <c r="U1984" i="31"/>
  <c r="U1985" i="31"/>
  <c r="U1986" i="31"/>
  <c r="U1987" i="31"/>
  <c r="U1988" i="31"/>
  <c r="U1989" i="31"/>
  <c r="U1990" i="31"/>
  <c r="U1991" i="31"/>
  <c r="U1992" i="31"/>
  <c r="U1993" i="31"/>
  <c r="U1994" i="31"/>
  <c r="U1995" i="31"/>
  <c r="U1996" i="31"/>
  <c r="U1997" i="31"/>
  <c r="U1998" i="31"/>
  <c r="U1999" i="31"/>
  <c r="U2000" i="31"/>
  <c r="U2001" i="31"/>
  <c r="U2002" i="31"/>
  <c r="U2003" i="31"/>
  <c r="U2004" i="31"/>
  <c r="U2005" i="31"/>
  <c r="U2006" i="31"/>
  <c r="U2007" i="31"/>
  <c r="U2008" i="31"/>
  <c r="U2009" i="31"/>
  <c r="U2010" i="31"/>
  <c r="U2011" i="31"/>
  <c r="U2012" i="31"/>
  <c r="U2013" i="31"/>
  <c r="U2014" i="31"/>
  <c r="U2015" i="31"/>
  <c r="U2016" i="31"/>
  <c r="U2017" i="31"/>
  <c r="U2018" i="31"/>
  <c r="U2019" i="31"/>
  <c r="U2020" i="31"/>
  <c r="U2021" i="31"/>
  <c r="U2022" i="31"/>
  <c r="U2023" i="31"/>
  <c r="U2024" i="31"/>
  <c r="U2025" i="31"/>
  <c r="U2026" i="31"/>
  <c r="U2027" i="31"/>
  <c r="U2028" i="31"/>
  <c r="U2029" i="31"/>
  <c r="U2030" i="31"/>
  <c r="U2031" i="31"/>
  <c r="U2032" i="31"/>
  <c r="U2033" i="31"/>
  <c r="U2034" i="31"/>
  <c r="U2035" i="31"/>
  <c r="U2036" i="31"/>
  <c r="U2037" i="31"/>
  <c r="U2038" i="31"/>
  <c r="U2039" i="31"/>
  <c r="U2040" i="31"/>
  <c r="U2041" i="31"/>
  <c r="U2042" i="31"/>
  <c r="U2043" i="31"/>
  <c r="U2044" i="31"/>
  <c r="U2045" i="31"/>
  <c r="U2046" i="31"/>
  <c r="U2047" i="31"/>
  <c r="U2048" i="31"/>
  <c r="U2049" i="31"/>
  <c r="U2050" i="31"/>
  <c r="U2051" i="31"/>
  <c r="U2052" i="31"/>
  <c r="U2053" i="31"/>
  <c r="U2054" i="31"/>
  <c r="U2055" i="31"/>
  <c r="U2056" i="31"/>
  <c r="U2057" i="31"/>
  <c r="U2058" i="31"/>
  <c r="U2059" i="31"/>
  <c r="U2060" i="31"/>
  <c r="U2061" i="31"/>
  <c r="U2062" i="31"/>
  <c r="U2063" i="31"/>
  <c r="U2064" i="31"/>
  <c r="U2065" i="31"/>
  <c r="U2066" i="31"/>
  <c r="U2067" i="31"/>
  <c r="U2068" i="31"/>
  <c r="U2069" i="31"/>
  <c r="U2070" i="31"/>
  <c r="U2071" i="31"/>
  <c r="U2" i="31"/>
  <c r="C5" i="33" l="1"/>
  <c r="E5" i="33" s="1"/>
  <c r="AN149" i="16"/>
  <c r="AV149" i="16" s="1" a="1"/>
  <c r="AV149" i="16" s="1"/>
  <c r="AN19" i="16"/>
  <c r="AV19" i="16" s="1" a="1"/>
  <c r="AV19" i="16" s="1"/>
  <c r="AN23" i="16"/>
  <c r="AV23" i="16" s="1" a="1"/>
  <c r="AV23" i="16" s="1"/>
  <c r="AO1458" i="25"/>
  <c r="AO874" i="25"/>
  <c r="AO806" i="25"/>
  <c r="AO558" i="25"/>
  <c r="AO242" i="25"/>
  <c r="AO241" i="25"/>
  <c r="AO37" i="25"/>
  <c r="AO1504" i="25"/>
  <c r="AO876" i="25"/>
  <c r="AO252" i="25"/>
  <c r="AO240" i="25"/>
  <c r="AO247" i="25"/>
  <c r="J2063" i="31"/>
  <c r="J2064" i="31" s="1"/>
  <c r="S2064" i="31" s="1"/>
  <c r="J2056" i="31"/>
  <c r="S2056" i="31" s="1"/>
  <c r="J2055" i="31"/>
  <c r="S2055" i="31" s="1"/>
  <c r="J2051" i="31"/>
  <c r="S2051" i="31" s="1"/>
  <c r="J2038" i="31"/>
  <c r="J2037" i="31"/>
  <c r="S2037" i="31" s="1"/>
  <c r="J2027" i="31"/>
  <c r="J2028" i="31" s="1"/>
  <c r="S2028" i="31" s="1"/>
  <c r="J2020" i="31"/>
  <c r="S2020" i="31" s="1"/>
  <c r="J2019" i="31"/>
  <c r="S2019" i="31" s="1"/>
  <c r="J2009" i="31"/>
  <c r="J2011" i="31" s="1"/>
  <c r="S2011" i="31" s="1"/>
  <c r="J2002" i="31"/>
  <c r="S2002" i="31" s="1"/>
  <c r="J2001" i="31"/>
  <c r="S2001" i="31" s="1"/>
  <c r="J1993" i="31"/>
  <c r="S1993" i="31" s="1"/>
  <c r="J1992" i="31"/>
  <c r="J1984" i="31"/>
  <c r="S1984" i="31" s="1"/>
  <c r="J1983" i="31"/>
  <c r="S1983" i="31" s="1"/>
  <c r="J1975" i="31"/>
  <c r="S1975" i="31" s="1"/>
  <c r="J1974" i="31"/>
  <c r="S1974" i="31" s="1"/>
  <c r="J1957" i="31"/>
  <c r="S1957" i="31" s="1"/>
  <c r="J1956" i="31"/>
  <c r="S1956" i="31" s="1"/>
  <c r="J1948" i="31"/>
  <c r="S1948" i="31" s="1"/>
  <c r="J1947" i="31"/>
  <c r="S1947" i="31" s="1"/>
  <c r="J1939" i="31"/>
  <c r="S1939" i="31" s="1"/>
  <c r="J1938" i="31"/>
  <c r="S1938" i="31" s="1"/>
  <c r="J1928" i="31"/>
  <c r="S1928" i="31" s="1"/>
  <c r="J1921" i="31"/>
  <c r="J1920" i="31"/>
  <c r="S1920" i="31" s="1"/>
  <c r="J1912" i="31"/>
  <c r="S1912" i="31" s="1"/>
  <c r="J1911" i="31"/>
  <c r="S1911" i="31" s="1"/>
  <c r="Q1910" i="31"/>
  <c r="T1910" i="31" s="1"/>
  <c r="Q1911" i="31"/>
  <c r="T1911" i="31" s="1"/>
  <c r="Q1912" i="31"/>
  <c r="T1912" i="31" s="1"/>
  <c r="Q1913" i="31"/>
  <c r="T1913" i="31" s="1"/>
  <c r="Q1914" i="31"/>
  <c r="T1914" i="31" s="1"/>
  <c r="Q1915" i="31"/>
  <c r="T1915" i="31" s="1"/>
  <c r="Q1916" i="31"/>
  <c r="T1916" i="31" s="1"/>
  <c r="Q1917" i="31"/>
  <c r="T1917" i="31" s="1"/>
  <c r="Q1918" i="31"/>
  <c r="T1918" i="31" s="1"/>
  <c r="Q1919" i="31"/>
  <c r="T1919" i="31" s="1"/>
  <c r="Q1920" i="31"/>
  <c r="T1920" i="31" s="1"/>
  <c r="Q1921" i="31"/>
  <c r="T1921" i="31" s="1"/>
  <c r="Q1922" i="31"/>
  <c r="T1922" i="31" s="1"/>
  <c r="Q1923" i="31"/>
  <c r="T1923" i="31" s="1"/>
  <c r="Q1924" i="31"/>
  <c r="T1924" i="31" s="1"/>
  <c r="Q1925" i="31"/>
  <c r="T1925" i="31" s="1"/>
  <c r="Q1926" i="31"/>
  <c r="T1926" i="31" s="1"/>
  <c r="Q1927" i="31"/>
  <c r="T1927" i="31" s="1"/>
  <c r="Q1928" i="31"/>
  <c r="T1928" i="31" s="1"/>
  <c r="Q1929" i="31"/>
  <c r="T1929" i="31" s="1"/>
  <c r="Q1930" i="31"/>
  <c r="T1930" i="31" s="1"/>
  <c r="Q1931" i="31"/>
  <c r="T1931" i="31" s="1"/>
  <c r="Q1932" i="31"/>
  <c r="T1932" i="31" s="1"/>
  <c r="Q1933" i="31"/>
  <c r="T1933" i="31" s="1"/>
  <c r="Q1934" i="31"/>
  <c r="Q1935" i="31"/>
  <c r="T1935" i="31" s="1"/>
  <c r="Q1936" i="31"/>
  <c r="T1936" i="31" s="1"/>
  <c r="Q1937" i="31"/>
  <c r="T1937" i="31" s="1"/>
  <c r="Q1938" i="31"/>
  <c r="T1938" i="31" s="1"/>
  <c r="Q1939" i="31"/>
  <c r="T1939" i="31" s="1"/>
  <c r="Q1940" i="31"/>
  <c r="T1940" i="31" s="1"/>
  <c r="Q1941" i="31"/>
  <c r="T1941" i="31" s="1"/>
  <c r="Q1942" i="31"/>
  <c r="T1942" i="31" s="1"/>
  <c r="Q1943" i="31"/>
  <c r="T1943" i="31" s="1"/>
  <c r="Q1944" i="31"/>
  <c r="T1944" i="31" s="1"/>
  <c r="Q1945" i="31"/>
  <c r="T1945" i="31" s="1"/>
  <c r="Q1946" i="31"/>
  <c r="Q1947" i="31"/>
  <c r="T1947" i="31" s="1"/>
  <c r="Q1948" i="31"/>
  <c r="T1948" i="31" s="1"/>
  <c r="Q1949" i="31"/>
  <c r="T1949" i="31" s="1"/>
  <c r="Q1950" i="31"/>
  <c r="T1950" i="31" s="1"/>
  <c r="Q1951" i="31"/>
  <c r="T1951" i="31" s="1"/>
  <c r="Q1952" i="31"/>
  <c r="T1952" i="31" s="1"/>
  <c r="Q1953" i="31"/>
  <c r="T1953" i="31" s="1"/>
  <c r="Q1954" i="31"/>
  <c r="T1954" i="31" s="1"/>
  <c r="Q1955" i="31"/>
  <c r="T1955" i="31" s="1"/>
  <c r="Q1956" i="31"/>
  <c r="T1956" i="31" s="1"/>
  <c r="Q1957" i="31"/>
  <c r="T1957" i="31" s="1"/>
  <c r="Q1958" i="31"/>
  <c r="T1958" i="31" s="1"/>
  <c r="Q1959" i="31"/>
  <c r="T1959" i="31" s="1"/>
  <c r="Q1960" i="31"/>
  <c r="T1960" i="31" s="1"/>
  <c r="Q1961" i="31"/>
  <c r="T1961" i="31" s="1"/>
  <c r="Q1962" i="31"/>
  <c r="T1962" i="31" s="1"/>
  <c r="Q1963" i="31"/>
  <c r="T1963" i="31" s="1"/>
  <c r="Q1964" i="31"/>
  <c r="T1964" i="31" s="1"/>
  <c r="Q1965" i="31"/>
  <c r="T1965" i="31" s="1"/>
  <c r="Q1966" i="31"/>
  <c r="T1966" i="31" s="1"/>
  <c r="Q1967" i="31"/>
  <c r="T1967" i="31" s="1"/>
  <c r="Q1968" i="31"/>
  <c r="T1968" i="31" s="1"/>
  <c r="Q1969" i="31"/>
  <c r="T1969" i="31" s="1"/>
  <c r="Q1970" i="31"/>
  <c r="T1970" i="31" s="1"/>
  <c r="Q1971" i="31"/>
  <c r="T1971" i="31" s="1"/>
  <c r="Q1972" i="31"/>
  <c r="T1972" i="31" s="1"/>
  <c r="Q1973" i="31"/>
  <c r="T1973" i="31" s="1"/>
  <c r="Q1974" i="31"/>
  <c r="T1974" i="31" s="1"/>
  <c r="Q1975" i="31"/>
  <c r="T1975" i="31" s="1"/>
  <c r="Q1976" i="31"/>
  <c r="T1976" i="31" s="1"/>
  <c r="Q1977" i="31"/>
  <c r="T1977" i="31" s="1"/>
  <c r="Q1978" i="31"/>
  <c r="Q1979" i="31"/>
  <c r="T1979" i="31" s="1"/>
  <c r="Q1980" i="31"/>
  <c r="T1980" i="31" s="1"/>
  <c r="Q1981" i="31"/>
  <c r="T1981" i="31" s="1"/>
  <c r="Q1982" i="31"/>
  <c r="T1982" i="31" s="1"/>
  <c r="Q1983" i="31"/>
  <c r="T1983" i="31" s="1"/>
  <c r="Q1984" i="31"/>
  <c r="T1984" i="31" s="1"/>
  <c r="Q1985" i="31"/>
  <c r="T1985" i="31" s="1"/>
  <c r="Q1986" i="31"/>
  <c r="T1986" i="31" s="1"/>
  <c r="Q1987" i="31"/>
  <c r="T1987" i="31" s="1"/>
  <c r="Q1988" i="31"/>
  <c r="T1988" i="31" s="1"/>
  <c r="Q1989" i="31"/>
  <c r="T1989" i="31" s="1"/>
  <c r="Q1990" i="31"/>
  <c r="T1990" i="31" s="1"/>
  <c r="Q1991" i="31"/>
  <c r="T1991" i="31" s="1"/>
  <c r="Q1992" i="31"/>
  <c r="T1992" i="31" s="1"/>
  <c r="Q1993" i="31"/>
  <c r="T1993" i="31" s="1"/>
  <c r="Q1994" i="31"/>
  <c r="T1994" i="31" s="1"/>
  <c r="Q1995" i="31"/>
  <c r="T1995" i="31" s="1"/>
  <c r="Q1996" i="31"/>
  <c r="T1996" i="31" s="1"/>
  <c r="Q1997" i="31"/>
  <c r="T1997" i="31" s="1"/>
  <c r="Q1998" i="31"/>
  <c r="Q1999" i="31"/>
  <c r="T1999" i="31" s="1"/>
  <c r="Q2000" i="31"/>
  <c r="T2000" i="31" s="1"/>
  <c r="Q2001" i="31"/>
  <c r="T2001" i="31" s="1"/>
  <c r="Q2002" i="31"/>
  <c r="T2002" i="31" s="1"/>
  <c r="Q2003" i="31"/>
  <c r="T2003" i="31" s="1"/>
  <c r="Q2004" i="31"/>
  <c r="T2004" i="31" s="1"/>
  <c r="Q2005" i="31"/>
  <c r="T2005" i="31" s="1"/>
  <c r="Q2006" i="31"/>
  <c r="T2006" i="31" s="1"/>
  <c r="Q2007" i="31"/>
  <c r="T2007" i="31" s="1"/>
  <c r="Q2008" i="31"/>
  <c r="T2008" i="31" s="1"/>
  <c r="Q2009" i="31"/>
  <c r="T2009" i="31" s="1"/>
  <c r="Q2010" i="31"/>
  <c r="T2010" i="31" s="1"/>
  <c r="Q2011" i="31"/>
  <c r="T2011" i="31" s="1"/>
  <c r="Q2012" i="31"/>
  <c r="T2012" i="31" s="1"/>
  <c r="Q2013" i="31"/>
  <c r="T2013" i="31" s="1"/>
  <c r="Q2014" i="31"/>
  <c r="T2014" i="31" s="1"/>
  <c r="Q2015" i="31"/>
  <c r="T2015" i="31" s="1"/>
  <c r="Q2016" i="31"/>
  <c r="T2016" i="31" s="1"/>
  <c r="Q2017" i="31"/>
  <c r="T2017" i="31" s="1"/>
  <c r="Q2018" i="31"/>
  <c r="T2018" i="31" s="1"/>
  <c r="Q2019" i="31"/>
  <c r="T2019" i="31" s="1"/>
  <c r="Q2020" i="31"/>
  <c r="T2020" i="31" s="1"/>
  <c r="Q2021" i="31"/>
  <c r="T2021" i="31" s="1"/>
  <c r="Q2022" i="31"/>
  <c r="Q2023" i="31"/>
  <c r="T2023" i="31" s="1"/>
  <c r="Q2024" i="31"/>
  <c r="T2024" i="31" s="1"/>
  <c r="Q2025" i="31"/>
  <c r="T2025" i="31" s="1"/>
  <c r="Q2026" i="31"/>
  <c r="T2026" i="31" s="1"/>
  <c r="Q2027" i="31"/>
  <c r="T2027" i="31" s="1"/>
  <c r="Q2028" i="31"/>
  <c r="T2028" i="31" s="1"/>
  <c r="Q2029" i="31"/>
  <c r="T2029" i="31" s="1"/>
  <c r="Q2030" i="31"/>
  <c r="T2030" i="31" s="1"/>
  <c r="Q2031" i="31"/>
  <c r="T2031" i="31" s="1"/>
  <c r="Q2032" i="31"/>
  <c r="T2032" i="31" s="1"/>
  <c r="Q2033" i="31"/>
  <c r="T2033" i="31" s="1"/>
  <c r="Q2034" i="31"/>
  <c r="T2034" i="31" s="1"/>
  <c r="Q2035" i="31"/>
  <c r="T2035" i="31" s="1"/>
  <c r="Q2036" i="31"/>
  <c r="T2036" i="31" s="1"/>
  <c r="Q2037" i="31"/>
  <c r="T2037" i="31" s="1"/>
  <c r="Q2038" i="31"/>
  <c r="T2038" i="31" s="1"/>
  <c r="Q2039" i="31"/>
  <c r="T2039" i="31" s="1"/>
  <c r="Q2040" i="31"/>
  <c r="T2040" i="31" s="1"/>
  <c r="Q2041" i="31"/>
  <c r="T2041" i="31" s="1"/>
  <c r="Q2042" i="31"/>
  <c r="Q2043" i="31"/>
  <c r="T2043" i="31" s="1"/>
  <c r="Q2044" i="31"/>
  <c r="T2044" i="31" s="1"/>
  <c r="Q2045" i="31"/>
  <c r="T2045" i="31" s="1"/>
  <c r="Q2046" i="31"/>
  <c r="T2046" i="31" s="1"/>
  <c r="Q2047" i="31"/>
  <c r="T2047" i="31" s="1"/>
  <c r="Q2048" i="31"/>
  <c r="T2048" i="31" s="1"/>
  <c r="Q2049" i="31"/>
  <c r="T2049" i="31" s="1"/>
  <c r="Q2050" i="31"/>
  <c r="T2050" i="31" s="1"/>
  <c r="Q2051" i="31"/>
  <c r="T2051" i="31" s="1"/>
  <c r="Q2052" i="31"/>
  <c r="T2052" i="31" s="1"/>
  <c r="Q2053" i="31"/>
  <c r="T2053" i="31" s="1"/>
  <c r="Q2054" i="31"/>
  <c r="T2054" i="31" s="1"/>
  <c r="Q2055" i="31"/>
  <c r="T2055" i="31" s="1"/>
  <c r="Q2056" i="31"/>
  <c r="T2056" i="31" s="1"/>
  <c r="Q2057" i="31"/>
  <c r="T2057" i="31" s="1"/>
  <c r="Q2058" i="31"/>
  <c r="T2058" i="31" s="1"/>
  <c r="Q2059" i="31"/>
  <c r="T2059" i="31" s="1"/>
  <c r="Q2060" i="31"/>
  <c r="T2060" i="31" s="1"/>
  <c r="Q2061" i="31"/>
  <c r="T2061" i="31" s="1"/>
  <c r="Q2062" i="31"/>
  <c r="T2062" i="31" s="1"/>
  <c r="Q2063" i="31"/>
  <c r="T2063" i="31" s="1"/>
  <c r="Q2064" i="31"/>
  <c r="T2064" i="31" s="1"/>
  <c r="Q2065" i="31"/>
  <c r="T2065" i="31" s="1"/>
  <c r="Q2066" i="31"/>
  <c r="T2066" i="31" s="1"/>
  <c r="Q2067" i="31"/>
  <c r="T2067" i="31" s="1"/>
  <c r="Q2068" i="31"/>
  <c r="T2068" i="31" s="1"/>
  <c r="Q2069" i="31"/>
  <c r="T2069" i="31" s="1"/>
  <c r="Q2070" i="31"/>
  <c r="Q2071" i="31"/>
  <c r="T2071" i="31" s="1"/>
  <c r="R1910" i="31"/>
  <c r="R1911" i="31"/>
  <c r="R1912" i="31"/>
  <c r="R1913" i="31"/>
  <c r="R1914" i="31"/>
  <c r="R1915" i="31"/>
  <c r="R1916" i="31"/>
  <c r="R1917" i="31"/>
  <c r="R1918" i="31"/>
  <c r="R1919" i="31"/>
  <c r="R1920" i="31"/>
  <c r="R1921" i="31"/>
  <c r="R1922" i="31"/>
  <c r="R1923" i="31"/>
  <c r="R1924" i="31"/>
  <c r="R1925" i="31"/>
  <c r="R1926" i="31"/>
  <c r="R1927" i="31"/>
  <c r="R1928" i="31"/>
  <c r="R1929" i="31"/>
  <c r="R1930" i="31"/>
  <c r="R1931" i="31"/>
  <c r="R1932" i="31"/>
  <c r="R1933" i="31"/>
  <c r="R1934" i="31"/>
  <c r="R1935" i="31"/>
  <c r="R1936" i="31"/>
  <c r="R1937" i="31"/>
  <c r="R1938" i="31"/>
  <c r="R1939" i="31"/>
  <c r="R1940" i="31"/>
  <c r="R1941" i="31"/>
  <c r="R1942" i="31"/>
  <c r="R1943" i="31"/>
  <c r="R1944" i="31"/>
  <c r="R1945" i="31"/>
  <c r="R1946" i="31"/>
  <c r="R1947" i="31"/>
  <c r="R1948" i="31"/>
  <c r="R1949" i="31"/>
  <c r="R1950" i="31"/>
  <c r="R1951" i="31"/>
  <c r="R1952" i="31"/>
  <c r="R1953" i="31"/>
  <c r="R1954" i="31"/>
  <c r="R1955" i="31"/>
  <c r="R1956" i="31"/>
  <c r="R1957" i="31"/>
  <c r="R1958" i="31"/>
  <c r="R1959" i="31"/>
  <c r="R1960" i="31"/>
  <c r="R1961" i="31"/>
  <c r="R1962" i="31"/>
  <c r="R1963" i="31"/>
  <c r="R1964" i="31"/>
  <c r="R1965" i="31"/>
  <c r="R1966" i="31"/>
  <c r="R1967" i="31"/>
  <c r="R1968" i="31"/>
  <c r="R1969" i="31"/>
  <c r="R1970" i="31"/>
  <c r="R1971" i="31"/>
  <c r="R1972" i="31"/>
  <c r="R1973" i="31"/>
  <c r="R1974" i="31"/>
  <c r="R1975" i="31"/>
  <c r="R1976" i="31"/>
  <c r="R1977" i="31"/>
  <c r="R1978" i="31"/>
  <c r="R1979" i="31"/>
  <c r="R1980" i="31"/>
  <c r="R1981" i="31"/>
  <c r="R1982" i="31"/>
  <c r="R1983" i="31"/>
  <c r="R1984" i="31"/>
  <c r="R1985" i="31"/>
  <c r="R1986" i="31"/>
  <c r="R1987" i="31"/>
  <c r="R1988" i="31"/>
  <c r="R1989" i="31"/>
  <c r="R1990" i="31"/>
  <c r="R1991" i="31"/>
  <c r="R1992" i="31"/>
  <c r="R1993" i="31"/>
  <c r="R1994" i="31"/>
  <c r="R1995" i="31"/>
  <c r="R1996" i="31"/>
  <c r="R1997" i="31"/>
  <c r="R1998" i="31"/>
  <c r="R1999" i="31"/>
  <c r="R2000" i="31"/>
  <c r="R2001" i="31"/>
  <c r="R2002" i="31"/>
  <c r="R2003" i="31"/>
  <c r="R2004" i="31"/>
  <c r="R2005" i="31"/>
  <c r="R2006" i="31"/>
  <c r="R2007" i="31"/>
  <c r="R2008" i="31"/>
  <c r="R2009" i="31"/>
  <c r="R2010" i="31"/>
  <c r="R2011" i="31"/>
  <c r="R2012" i="31"/>
  <c r="R2013" i="31"/>
  <c r="R2014" i="31"/>
  <c r="R2015" i="31"/>
  <c r="R2016" i="31"/>
  <c r="R2017" i="31"/>
  <c r="R2018" i="31"/>
  <c r="R2019" i="31"/>
  <c r="R2020" i="31"/>
  <c r="R2021" i="31"/>
  <c r="R2022" i="31"/>
  <c r="R2023" i="31"/>
  <c r="R2024" i="31"/>
  <c r="R2025" i="31"/>
  <c r="R2026" i="31"/>
  <c r="R2027" i="31"/>
  <c r="R2028" i="31"/>
  <c r="R2029" i="31"/>
  <c r="R2030" i="31"/>
  <c r="R2031" i="31"/>
  <c r="R2032" i="31"/>
  <c r="R2033" i="31"/>
  <c r="R2034" i="31"/>
  <c r="R2035" i="31"/>
  <c r="R2036" i="31"/>
  <c r="R2037" i="31"/>
  <c r="R2038" i="31"/>
  <c r="R2039" i="31"/>
  <c r="R2040" i="31"/>
  <c r="R2041" i="31"/>
  <c r="R2042" i="31"/>
  <c r="R2043" i="31"/>
  <c r="R2044" i="31"/>
  <c r="R2045" i="31"/>
  <c r="R2046" i="31"/>
  <c r="R2047" i="31"/>
  <c r="R2048" i="31"/>
  <c r="R2049" i="31"/>
  <c r="R2050" i="31"/>
  <c r="R2051" i="31"/>
  <c r="R2052" i="31"/>
  <c r="R2053" i="31"/>
  <c r="R2054" i="31"/>
  <c r="R2055" i="31"/>
  <c r="R2056" i="31"/>
  <c r="R2057" i="31"/>
  <c r="R2058" i="31"/>
  <c r="R2059" i="31"/>
  <c r="R2060" i="31"/>
  <c r="R2061" i="31"/>
  <c r="R2062" i="31"/>
  <c r="R2063" i="31"/>
  <c r="R2064" i="31"/>
  <c r="R2065" i="31"/>
  <c r="R2066" i="31"/>
  <c r="R2067" i="31"/>
  <c r="R2068" i="31"/>
  <c r="R2069" i="31"/>
  <c r="R2070" i="31"/>
  <c r="R2071" i="31"/>
  <c r="S1910" i="31"/>
  <c r="S1913" i="31"/>
  <c r="S1914" i="31"/>
  <c r="S1915" i="31"/>
  <c r="S1916" i="31"/>
  <c r="S1917" i="31"/>
  <c r="S1918" i="31"/>
  <c r="S1919" i="31"/>
  <c r="S1921" i="31"/>
  <c r="S1922" i="31"/>
  <c r="S1923" i="31"/>
  <c r="S1924" i="31"/>
  <c r="S1925" i="31"/>
  <c r="S1926" i="31"/>
  <c r="S1927" i="31"/>
  <c r="S1931" i="31"/>
  <c r="S1932" i="31"/>
  <c r="S1933" i="31"/>
  <c r="S1934" i="31"/>
  <c r="S1935" i="31"/>
  <c r="S1936" i="31"/>
  <c r="S1937" i="31"/>
  <c r="S1940" i="31"/>
  <c r="S1941" i="31"/>
  <c r="S1942" i="31"/>
  <c r="S1943" i="31"/>
  <c r="S1944" i="31"/>
  <c r="S1945" i="31"/>
  <c r="S1946" i="31"/>
  <c r="S1949" i="31"/>
  <c r="S1950" i="31"/>
  <c r="S1951" i="31"/>
  <c r="S1952" i="31"/>
  <c r="S1953" i="31"/>
  <c r="S1954" i="31"/>
  <c r="S1955" i="31"/>
  <c r="S1958" i="31"/>
  <c r="S1959" i="31"/>
  <c r="S1960" i="31"/>
  <c r="S1961" i="31"/>
  <c r="S1962" i="31"/>
  <c r="S1963" i="31"/>
  <c r="S1964" i="31"/>
  <c r="S1965" i="31"/>
  <c r="S1966" i="31"/>
  <c r="S1967" i="31"/>
  <c r="S1968" i="31"/>
  <c r="S1969" i="31"/>
  <c r="S1970" i="31"/>
  <c r="S1971" i="31"/>
  <c r="S1972" i="31"/>
  <c r="S1973" i="31"/>
  <c r="S1976" i="31"/>
  <c r="S1977" i="31"/>
  <c r="S1978" i="31"/>
  <c r="S1979" i="31"/>
  <c r="S1980" i="31"/>
  <c r="S1981" i="31"/>
  <c r="S1982" i="31"/>
  <c r="S1985" i="31"/>
  <c r="S1986" i="31"/>
  <c r="S1987" i="31"/>
  <c r="S1988" i="31"/>
  <c r="S1989" i="31"/>
  <c r="S1990" i="31"/>
  <c r="S1991" i="31"/>
  <c r="S1992" i="31"/>
  <c r="S1994" i="31"/>
  <c r="S1995" i="31"/>
  <c r="S1996" i="31"/>
  <c r="S1997" i="31"/>
  <c r="S1998" i="31"/>
  <c r="S1999" i="31"/>
  <c r="S2000" i="31"/>
  <c r="S2003" i="31"/>
  <c r="S2004" i="31"/>
  <c r="S2005" i="31"/>
  <c r="S2006" i="31"/>
  <c r="S2007" i="31"/>
  <c r="S2008" i="31"/>
  <c r="S2012" i="31"/>
  <c r="S2013" i="31"/>
  <c r="S2014" i="31"/>
  <c r="S2015" i="31"/>
  <c r="S2016" i="31"/>
  <c r="S2017" i="31"/>
  <c r="S2018" i="31"/>
  <c r="S2021" i="31"/>
  <c r="S2022" i="31"/>
  <c r="S2023" i="31"/>
  <c r="S2024" i="31"/>
  <c r="S2025" i="31"/>
  <c r="S2026" i="31"/>
  <c r="S2030" i="31"/>
  <c r="S2031" i="31"/>
  <c r="S2032" i="31"/>
  <c r="S2033" i="31"/>
  <c r="S2034" i="31"/>
  <c r="S2035" i="31"/>
  <c r="S2036" i="31"/>
  <c r="S2038" i="31"/>
  <c r="S2039" i="31"/>
  <c r="S2040" i="31"/>
  <c r="S2041" i="31"/>
  <c r="S2042" i="31"/>
  <c r="S2043" i="31"/>
  <c r="S2044" i="31"/>
  <c r="S2045" i="31"/>
  <c r="S2046" i="31"/>
  <c r="S2047" i="31"/>
  <c r="S2048" i="31"/>
  <c r="S2049" i="31"/>
  <c r="S2050" i="31"/>
  <c r="S2052" i="31"/>
  <c r="S2053" i="31"/>
  <c r="S2054" i="31"/>
  <c r="S2057" i="31"/>
  <c r="S2058" i="31"/>
  <c r="S2059" i="31"/>
  <c r="S2060" i="31"/>
  <c r="S2061" i="31"/>
  <c r="S2062" i="31"/>
  <c r="S2063" i="31"/>
  <c r="S2066" i="31"/>
  <c r="S2067" i="31"/>
  <c r="S2068" i="31"/>
  <c r="S2069" i="31"/>
  <c r="S2070" i="31"/>
  <c r="S2071" i="31"/>
  <c r="T1934" i="31"/>
  <c r="T1946" i="31"/>
  <c r="T1978" i="31"/>
  <c r="T1998" i="31"/>
  <c r="T2022" i="31"/>
  <c r="T2042" i="31"/>
  <c r="T2070" i="31"/>
  <c r="X181" i="16"/>
  <c r="X182" i="16"/>
  <c r="X183" i="16"/>
  <c r="X184" i="16"/>
  <c r="X185" i="16"/>
  <c r="X186" i="16"/>
  <c r="X187" i="16"/>
  <c r="X188" i="16"/>
  <c r="X189" i="16"/>
  <c r="X190" i="16"/>
  <c r="X191" i="16"/>
  <c r="AE191" i="16" a="1"/>
  <c r="AE191" i="16" s="1"/>
  <c r="AF191" i="16" s="1"/>
  <c r="AT191" i="16" a="1"/>
  <c r="AT191" i="16" s="1"/>
  <c r="AE181" i="16" a="1"/>
  <c r="AE181" i="16" s="1"/>
  <c r="AF181" i="16" s="1"/>
  <c r="AT181" i="16" a="1"/>
  <c r="AT181" i="16" s="1"/>
  <c r="AE182" i="16" a="1"/>
  <c r="AE182" i="16" s="1"/>
  <c r="AF182" i="16" s="1"/>
  <c r="AT182" i="16" a="1"/>
  <c r="AT182" i="16" s="1"/>
  <c r="AE183" i="16" a="1"/>
  <c r="AE183" i="16" s="1"/>
  <c r="AF183" i="16" s="1"/>
  <c r="AT183" i="16" a="1"/>
  <c r="AT183" i="16" s="1"/>
  <c r="AE184" i="16" a="1"/>
  <c r="AE184" i="16" s="1"/>
  <c r="AF184" i="16" s="1"/>
  <c r="AT184" i="16" a="1"/>
  <c r="AT184" i="16" s="1"/>
  <c r="AE185" i="16" a="1"/>
  <c r="AE185" i="16" s="1"/>
  <c r="AF185" i="16" s="1"/>
  <c r="AT185" i="16" a="1"/>
  <c r="AT185" i="16" s="1"/>
  <c r="AE186" i="16" a="1"/>
  <c r="AE186" i="16" s="1"/>
  <c r="AF186" i="16" s="1"/>
  <c r="AT186" i="16" a="1"/>
  <c r="AT186" i="16" s="1"/>
  <c r="AE187" i="16" a="1"/>
  <c r="AE187" i="16" s="1"/>
  <c r="AF187" i="16" s="1"/>
  <c r="AT187" i="16" a="1"/>
  <c r="AT187" i="16" s="1"/>
  <c r="AE188" i="16" a="1"/>
  <c r="AE188" i="16" s="1"/>
  <c r="AF188" i="16" s="1"/>
  <c r="AT188" i="16" a="1"/>
  <c r="AT188" i="16" s="1"/>
  <c r="AE189" i="16" a="1"/>
  <c r="AE189" i="16" s="1"/>
  <c r="AF189" i="16" s="1"/>
  <c r="AT189" i="16" a="1"/>
  <c r="AT189" i="16" s="1"/>
  <c r="AE190" i="16" a="1"/>
  <c r="AE190" i="16" s="1"/>
  <c r="AF190" i="16" s="1"/>
  <c r="AT190" i="16" a="1"/>
  <c r="AT190" i="16" s="1"/>
  <c r="AT150" i="16" a="1"/>
  <c r="AT150" i="16" s="1"/>
  <c r="AT151" i="16" a="1"/>
  <c r="AT151" i="16" s="1"/>
  <c r="AT152" i="16" a="1"/>
  <c r="AT152" i="16" s="1"/>
  <c r="AT153" i="16" a="1"/>
  <c r="AT153" i="16" s="1"/>
  <c r="AT154" i="16" a="1"/>
  <c r="AT154" i="16" s="1"/>
  <c r="AT155" i="16" a="1"/>
  <c r="AT155" i="16" s="1"/>
  <c r="AT156" i="16" a="1"/>
  <c r="AT156" i="16" s="1"/>
  <c r="AT157" i="16" a="1"/>
  <c r="AT157" i="16" s="1"/>
  <c r="AT158" i="16" a="1"/>
  <c r="AT158" i="16" s="1"/>
  <c r="AT159" i="16" a="1"/>
  <c r="AT159" i="16" s="1"/>
  <c r="AT160" i="16" a="1"/>
  <c r="AT160" i="16" s="1"/>
  <c r="AT161" i="16" a="1"/>
  <c r="AT161" i="16" s="1"/>
  <c r="AT162" i="16" a="1"/>
  <c r="AT162" i="16" s="1"/>
  <c r="AT163" i="16" a="1"/>
  <c r="AT163" i="16" s="1"/>
  <c r="AT164" i="16" a="1"/>
  <c r="AT164" i="16" s="1"/>
  <c r="AT165" i="16" a="1"/>
  <c r="AT165" i="16" s="1"/>
  <c r="AT166" i="16" a="1"/>
  <c r="AT166" i="16" s="1"/>
  <c r="AT167" i="16" a="1"/>
  <c r="AT167" i="16" s="1"/>
  <c r="AT168" i="16" a="1"/>
  <c r="AT168" i="16" s="1"/>
  <c r="AT169" i="16" a="1"/>
  <c r="AT169" i="16" s="1"/>
  <c r="AT170" i="16" a="1"/>
  <c r="AT170" i="16" s="1"/>
  <c r="AT171" i="16" a="1"/>
  <c r="AT171" i="16" s="1"/>
  <c r="AT172" i="16" a="1"/>
  <c r="AT172" i="16" s="1"/>
  <c r="AT173" i="16" a="1"/>
  <c r="AT173" i="16" s="1"/>
  <c r="AT174" i="16" a="1"/>
  <c r="AT174" i="16" s="1"/>
  <c r="AT175" i="16" a="1"/>
  <c r="AT175" i="16" s="1"/>
  <c r="AT176" i="16" a="1"/>
  <c r="AT176" i="16" s="1"/>
  <c r="AT177" i="16" a="1"/>
  <c r="AT177" i="16" s="1"/>
  <c r="AT178" i="16" a="1"/>
  <c r="AT178" i="16" s="1"/>
  <c r="AT179" i="16" a="1"/>
  <c r="AT179" i="16" s="1"/>
  <c r="AT180" i="16" a="1"/>
  <c r="AT180" i="16" s="1"/>
  <c r="AE175" i="16" a="1"/>
  <c r="AE175" i="16" s="1"/>
  <c r="AF175" i="16" s="1"/>
  <c r="AE176" i="16" a="1"/>
  <c r="AE176" i="16" s="1"/>
  <c r="AF176" i="16" s="1"/>
  <c r="AE177" i="16" a="1"/>
  <c r="AE177" i="16" s="1"/>
  <c r="AF177" i="16" s="1"/>
  <c r="AE178" i="16" a="1"/>
  <c r="AE178" i="16" s="1"/>
  <c r="AF178" i="16" s="1"/>
  <c r="AE179" i="16" a="1"/>
  <c r="AE179" i="16" s="1"/>
  <c r="AF179" i="16" s="1"/>
  <c r="AE180" i="16" a="1"/>
  <c r="AE180" i="16" s="1"/>
  <c r="AF180" i="16" s="1"/>
  <c r="X175" i="16"/>
  <c r="X176" i="16"/>
  <c r="X177" i="16"/>
  <c r="X178" i="16"/>
  <c r="X179" i="16"/>
  <c r="X180" i="16"/>
  <c r="X174" i="16"/>
  <c r="AE126" i="16" a="1"/>
  <c r="AE126" i="16" s="1"/>
  <c r="AF126" i="16" s="1"/>
  <c r="AE127" i="16" a="1"/>
  <c r="AE127" i="16" s="1"/>
  <c r="AF127" i="16" s="1"/>
  <c r="AE128" i="16" a="1"/>
  <c r="AE128" i="16" s="1"/>
  <c r="AF128" i="16" s="1"/>
  <c r="AE129" i="16" a="1"/>
  <c r="AE129" i="16" s="1"/>
  <c r="AF129" i="16" s="1"/>
  <c r="AE130" i="16" a="1"/>
  <c r="AE130" i="16" s="1"/>
  <c r="AF130" i="16" s="1"/>
  <c r="AE131" i="16" a="1"/>
  <c r="AE131" i="16" s="1"/>
  <c r="AF131" i="16" s="1"/>
  <c r="AE132" i="16" a="1"/>
  <c r="AE132" i="16" s="1"/>
  <c r="AF132" i="16" s="1"/>
  <c r="AE133" i="16" a="1"/>
  <c r="AE133" i="16" s="1"/>
  <c r="AF133" i="16" s="1"/>
  <c r="AE134" i="16" a="1"/>
  <c r="AE134" i="16" s="1"/>
  <c r="AF134" i="16" s="1"/>
  <c r="AE135" i="16" a="1"/>
  <c r="AE135" i="16" s="1"/>
  <c r="AF135" i="16" s="1"/>
  <c r="AE136" i="16" a="1"/>
  <c r="AE136" i="16" s="1"/>
  <c r="AF136" i="16" s="1"/>
  <c r="AE137" i="16" a="1"/>
  <c r="AE137" i="16" s="1"/>
  <c r="AF137" i="16" s="1"/>
  <c r="AE138" i="16" a="1"/>
  <c r="AE138" i="16" s="1"/>
  <c r="AF138" i="16" s="1"/>
  <c r="AE139" i="16" a="1"/>
  <c r="AE139" i="16" s="1"/>
  <c r="AF139" i="16" s="1"/>
  <c r="AE140" i="16" a="1"/>
  <c r="AE140" i="16" s="1"/>
  <c r="AF140" i="16" s="1"/>
  <c r="AE141" i="16" a="1"/>
  <c r="AE141" i="16" s="1"/>
  <c r="AF141" i="16" s="1"/>
  <c r="AE142" i="16" a="1"/>
  <c r="AE142" i="16" s="1"/>
  <c r="AF142" i="16" s="1"/>
  <c r="AE143" i="16" a="1"/>
  <c r="AE143" i="16" s="1"/>
  <c r="AF143" i="16" s="1"/>
  <c r="AE144" i="16" a="1"/>
  <c r="AE144" i="16" s="1"/>
  <c r="AF144" i="16" s="1"/>
  <c r="AE145" i="16" a="1"/>
  <c r="AE145" i="16" s="1"/>
  <c r="AF145" i="16" s="1"/>
  <c r="AE146" i="16" a="1"/>
  <c r="AE146" i="16" s="1"/>
  <c r="AF146" i="16" s="1"/>
  <c r="AE147" i="16" a="1"/>
  <c r="AE147" i="16" s="1"/>
  <c r="AF147" i="16" s="1"/>
  <c r="AE148" i="16" a="1"/>
  <c r="AE148" i="16" s="1"/>
  <c r="AF148" i="16" s="1"/>
  <c r="AE149" i="16" a="1"/>
  <c r="AE149" i="16" s="1"/>
  <c r="AF149" i="16" s="1"/>
  <c r="AE150" i="16" a="1"/>
  <c r="AE150" i="16" s="1"/>
  <c r="AF150" i="16" s="1"/>
  <c r="AE151" i="16" a="1"/>
  <c r="AE151" i="16" s="1"/>
  <c r="AF151" i="16" s="1"/>
  <c r="AE152" i="16" a="1"/>
  <c r="AE152" i="16" s="1"/>
  <c r="AF152" i="16" s="1"/>
  <c r="AE153" i="16" a="1"/>
  <c r="AE153" i="16" s="1"/>
  <c r="AF153" i="16" s="1"/>
  <c r="AE154" i="16" a="1"/>
  <c r="AE154" i="16" s="1"/>
  <c r="AF154" i="16" s="1"/>
  <c r="AE155" i="16" a="1"/>
  <c r="AE155" i="16" s="1"/>
  <c r="AF155" i="16" s="1"/>
  <c r="AE156" i="16" a="1"/>
  <c r="AE156" i="16" s="1"/>
  <c r="AF156" i="16" s="1"/>
  <c r="AE157" i="16" a="1"/>
  <c r="AE157" i="16" s="1"/>
  <c r="AF157" i="16" s="1"/>
  <c r="AE158" i="16" a="1"/>
  <c r="AE158" i="16" s="1"/>
  <c r="AF158" i="16" s="1"/>
  <c r="AE159" i="16" a="1"/>
  <c r="AE159" i="16" s="1"/>
  <c r="AF159" i="16" s="1"/>
  <c r="AE160" i="16" a="1"/>
  <c r="AE160" i="16" s="1"/>
  <c r="AF160" i="16" s="1"/>
  <c r="AE161" i="16" a="1"/>
  <c r="AE161" i="16" s="1"/>
  <c r="AF161" i="16" s="1"/>
  <c r="AE162" i="16" a="1"/>
  <c r="AE162" i="16" s="1"/>
  <c r="AF162" i="16" s="1"/>
  <c r="AE163" i="16" a="1"/>
  <c r="AE163" i="16" s="1"/>
  <c r="AF163" i="16" s="1"/>
  <c r="AE164" i="16" a="1"/>
  <c r="AE164" i="16" s="1"/>
  <c r="AF164" i="16" s="1"/>
  <c r="AE165" i="16" a="1"/>
  <c r="AE165" i="16" s="1"/>
  <c r="AF165" i="16" s="1"/>
  <c r="AE166" i="16" a="1"/>
  <c r="AE166" i="16" s="1"/>
  <c r="AF166" i="16" s="1"/>
  <c r="AE167" i="16" a="1"/>
  <c r="AE167" i="16" s="1"/>
  <c r="AF167" i="16" s="1"/>
  <c r="AE168" i="16" a="1"/>
  <c r="AE168" i="16" s="1"/>
  <c r="AF168" i="16" s="1"/>
  <c r="AE169" i="16" a="1"/>
  <c r="AE169" i="16" s="1"/>
  <c r="AF169" i="16" s="1"/>
  <c r="AE170" i="16" a="1"/>
  <c r="AE170" i="16" s="1"/>
  <c r="AF170" i="16" s="1"/>
  <c r="AE171" i="16" a="1"/>
  <c r="AE171" i="16" s="1"/>
  <c r="AF171" i="16" s="1"/>
  <c r="AE172" i="16" a="1"/>
  <c r="AE172" i="16" s="1"/>
  <c r="AF172" i="16" s="1"/>
  <c r="AE173" i="16" a="1"/>
  <c r="AE173" i="16" s="1"/>
  <c r="AF173" i="16" s="1"/>
  <c r="AE174" i="16" a="1"/>
  <c r="AE174" i="16" s="1"/>
  <c r="AF174" i="16" s="1"/>
  <c r="V189" i="16"/>
  <c r="V190" i="16"/>
  <c r="V191" i="16"/>
  <c r="Y189" i="16"/>
  <c r="Y190" i="16"/>
  <c r="Y191" i="16"/>
  <c r="V182" i="16"/>
  <c r="V183" i="16"/>
  <c r="V184" i="16"/>
  <c r="V185" i="16"/>
  <c r="V186" i="16"/>
  <c r="V187" i="16"/>
  <c r="V188" i="16"/>
  <c r="Y182" i="16"/>
  <c r="Y183" i="16"/>
  <c r="Y184" i="16"/>
  <c r="Y185" i="16"/>
  <c r="Y186" i="16"/>
  <c r="Y187" i="16"/>
  <c r="Y188" i="16"/>
  <c r="V178" i="16"/>
  <c r="V179" i="16"/>
  <c r="V180" i="16"/>
  <c r="V181" i="16"/>
  <c r="Y178" i="16"/>
  <c r="Y179" i="16"/>
  <c r="Y180" i="16"/>
  <c r="Y181" i="16"/>
  <c r="V177" i="16"/>
  <c r="Y177" i="16"/>
  <c r="V176" i="16"/>
  <c r="Y176" i="16"/>
  <c r="V175" i="16"/>
  <c r="Y175" i="16"/>
  <c r="V174" i="16"/>
  <c r="Y174" i="16"/>
  <c r="V2" i="16"/>
  <c r="V3" i="16"/>
  <c r="V4" i="16"/>
  <c r="V5" i="16"/>
  <c r="V6" i="16"/>
  <c r="V7" i="16"/>
  <c r="V8" i="16"/>
  <c r="V9" i="16"/>
  <c r="V10" i="16"/>
  <c r="V11" i="16"/>
  <c r="V12" i="16"/>
  <c r="V13" i="16"/>
  <c r="V14" i="16"/>
  <c r="V15" i="16"/>
  <c r="V16" i="16"/>
  <c r="V17" i="16"/>
  <c r="V18" i="16"/>
  <c r="V19" i="16"/>
  <c r="V20" i="16"/>
  <c r="V21" i="16"/>
  <c r="V22" i="16"/>
  <c r="V23" i="16"/>
  <c r="V24" i="16"/>
  <c r="V25" i="16"/>
  <c r="V26" i="16"/>
  <c r="V27" i="16"/>
  <c r="V28" i="16"/>
  <c r="V29" i="16"/>
  <c r="V30" i="16"/>
  <c r="V31" i="16"/>
  <c r="V32" i="16"/>
  <c r="V33" i="16"/>
  <c r="V34" i="16"/>
  <c r="V35" i="16"/>
  <c r="V36" i="16"/>
  <c r="V37" i="16"/>
  <c r="V38" i="16"/>
  <c r="V39" i="16"/>
  <c r="V40" i="16"/>
  <c r="V41" i="16"/>
  <c r="V42" i="16"/>
  <c r="V43" i="16"/>
  <c r="V44" i="16"/>
  <c r="V45" i="16"/>
  <c r="V46" i="16"/>
  <c r="V47" i="16"/>
  <c r="V48" i="16"/>
  <c r="V49" i="16"/>
  <c r="V50" i="16"/>
  <c r="V51" i="16"/>
  <c r="V52" i="16"/>
  <c r="V53" i="16"/>
  <c r="V54" i="16"/>
  <c r="V55" i="16"/>
  <c r="V56" i="16"/>
  <c r="V57" i="16"/>
  <c r="V58" i="16"/>
  <c r="V59" i="16"/>
  <c r="V60" i="16"/>
  <c r="V61" i="16"/>
  <c r="V62" i="16"/>
  <c r="V63" i="16"/>
  <c r="V64" i="16"/>
  <c r="V65" i="16"/>
  <c r="V66" i="16"/>
  <c r="V67" i="16"/>
  <c r="V68" i="16"/>
  <c r="V69" i="16"/>
  <c r="V70" i="16"/>
  <c r="V71" i="16"/>
  <c r="V72" i="16"/>
  <c r="V73" i="16"/>
  <c r="V74" i="16"/>
  <c r="V75" i="16"/>
  <c r="V76" i="16"/>
  <c r="V77" i="16"/>
  <c r="V78" i="16"/>
  <c r="V79" i="16"/>
  <c r="V80" i="16"/>
  <c r="V81" i="16"/>
  <c r="V82" i="16"/>
  <c r="V83" i="16"/>
  <c r="V84" i="16"/>
  <c r="V85" i="16"/>
  <c r="V86" i="16"/>
  <c r="V87" i="16"/>
  <c r="V88" i="16"/>
  <c r="V89" i="16"/>
  <c r="V90" i="16"/>
  <c r="V91" i="16"/>
  <c r="V92" i="16"/>
  <c r="V93" i="16"/>
  <c r="V94" i="16"/>
  <c r="V95" i="16"/>
  <c r="V96" i="16"/>
  <c r="V97" i="16"/>
  <c r="V98" i="16"/>
  <c r="V99" i="16"/>
  <c r="V100" i="16"/>
  <c r="V101" i="16"/>
  <c r="V102" i="16"/>
  <c r="V103" i="16"/>
  <c r="V104" i="16"/>
  <c r="V105" i="16"/>
  <c r="V106" i="16"/>
  <c r="V107" i="16"/>
  <c r="V108" i="16"/>
  <c r="V109" i="16"/>
  <c r="V110" i="16"/>
  <c r="V111" i="16"/>
  <c r="V112" i="16"/>
  <c r="V113" i="16"/>
  <c r="V114" i="16"/>
  <c r="V115" i="16"/>
  <c r="V116" i="16"/>
  <c r="V117" i="16"/>
  <c r="V118" i="16"/>
  <c r="V119" i="16"/>
  <c r="V120" i="16"/>
  <c r="V121" i="16"/>
  <c r="V122" i="16"/>
  <c r="V123" i="16"/>
  <c r="V124" i="16"/>
  <c r="V125" i="16"/>
  <c r="V126" i="16"/>
  <c r="V127" i="16"/>
  <c r="V128" i="16"/>
  <c r="V129" i="16"/>
  <c r="V130" i="16"/>
  <c r="V131" i="16"/>
  <c r="V132" i="16"/>
  <c r="V133" i="16"/>
  <c r="V134" i="16"/>
  <c r="V135" i="16"/>
  <c r="V136" i="16"/>
  <c r="V137" i="16"/>
  <c r="V138" i="16"/>
  <c r="V139" i="16"/>
  <c r="V140" i="16"/>
  <c r="V141" i="16"/>
  <c r="V142" i="16"/>
  <c r="V143" i="16"/>
  <c r="V144" i="16"/>
  <c r="V145" i="16"/>
  <c r="V146" i="16"/>
  <c r="V147" i="16"/>
  <c r="V148" i="16"/>
  <c r="V149" i="16"/>
  <c r="V150" i="16"/>
  <c r="V151" i="16"/>
  <c r="V152" i="16"/>
  <c r="V153" i="16"/>
  <c r="V154" i="16"/>
  <c r="V155" i="16"/>
  <c r="V156" i="16"/>
  <c r="V157" i="16"/>
  <c r="V158" i="16"/>
  <c r="V159" i="16"/>
  <c r="V160" i="16"/>
  <c r="V161" i="16"/>
  <c r="V162" i="16"/>
  <c r="V163" i="16"/>
  <c r="V164" i="16"/>
  <c r="V165" i="16"/>
  <c r="V166" i="16"/>
  <c r="V167" i="16"/>
  <c r="V168" i="16"/>
  <c r="V169" i="16"/>
  <c r="V170" i="16"/>
  <c r="V171" i="16"/>
  <c r="V172" i="16"/>
  <c r="V173" i="16"/>
  <c r="X2" i="16"/>
  <c r="X3" i="16"/>
  <c r="X4" i="16"/>
  <c r="X5" i="16"/>
  <c r="X6" i="16"/>
  <c r="X7" i="16"/>
  <c r="X8" i="16"/>
  <c r="X9" i="16"/>
  <c r="X10" i="16"/>
  <c r="X11" i="16"/>
  <c r="X12" i="16"/>
  <c r="X13" i="16"/>
  <c r="X14" i="16"/>
  <c r="X15" i="16"/>
  <c r="X16" i="16"/>
  <c r="X17" i="16"/>
  <c r="X18" i="16"/>
  <c r="X19" i="16"/>
  <c r="X20" i="16"/>
  <c r="X21" i="16"/>
  <c r="X22" i="16"/>
  <c r="X23" i="16"/>
  <c r="X24" i="16"/>
  <c r="X25" i="16"/>
  <c r="X26" i="16"/>
  <c r="X27" i="16"/>
  <c r="X28" i="16"/>
  <c r="X29" i="16"/>
  <c r="X30" i="16"/>
  <c r="X31" i="16"/>
  <c r="X32" i="16"/>
  <c r="X33" i="16"/>
  <c r="X34" i="16"/>
  <c r="X35" i="16"/>
  <c r="X36" i="16"/>
  <c r="X37" i="16"/>
  <c r="X38" i="16"/>
  <c r="X39" i="16"/>
  <c r="X40" i="16"/>
  <c r="X41" i="16"/>
  <c r="X42" i="16"/>
  <c r="X43" i="16"/>
  <c r="X44" i="16"/>
  <c r="X45" i="16"/>
  <c r="X46" i="16"/>
  <c r="X47" i="16"/>
  <c r="X48" i="16"/>
  <c r="X49" i="16"/>
  <c r="X50" i="16"/>
  <c r="X51" i="16"/>
  <c r="X52" i="16"/>
  <c r="X53" i="16"/>
  <c r="X54" i="16"/>
  <c r="X55" i="16"/>
  <c r="X56" i="16"/>
  <c r="X57" i="16"/>
  <c r="X58" i="16"/>
  <c r="X59" i="16"/>
  <c r="X60" i="16"/>
  <c r="X61" i="16"/>
  <c r="X62" i="16"/>
  <c r="X63" i="16"/>
  <c r="X64" i="16"/>
  <c r="X65" i="16"/>
  <c r="X66" i="16"/>
  <c r="X67" i="16"/>
  <c r="X68" i="16"/>
  <c r="X69" i="16"/>
  <c r="X70" i="16"/>
  <c r="X71" i="16"/>
  <c r="X72" i="16"/>
  <c r="X73" i="16"/>
  <c r="X74" i="16"/>
  <c r="X75" i="16"/>
  <c r="X76" i="16"/>
  <c r="X77" i="16"/>
  <c r="X78" i="16"/>
  <c r="X79" i="16"/>
  <c r="X80" i="16"/>
  <c r="X81" i="16"/>
  <c r="X82" i="16"/>
  <c r="X83" i="16"/>
  <c r="X84" i="16"/>
  <c r="X85" i="16"/>
  <c r="X86" i="16"/>
  <c r="X87" i="16"/>
  <c r="X88" i="16"/>
  <c r="X89" i="16"/>
  <c r="X90" i="16"/>
  <c r="X91" i="16"/>
  <c r="X92" i="16"/>
  <c r="X93" i="16"/>
  <c r="X94" i="16"/>
  <c r="X95" i="16"/>
  <c r="X96" i="16"/>
  <c r="X97" i="16"/>
  <c r="X98" i="16"/>
  <c r="X99" i="16"/>
  <c r="X100" i="16"/>
  <c r="X101" i="16"/>
  <c r="X102" i="16"/>
  <c r="X103" i="16"/>
  <c r="X104" i="16"/>
  <c r="X105" i="16"/>
  <c r="X106" i="16"/>
  <c r="X107" i="16"/>
  <c r="X108" i="16"/>
  <c r="X109" i="16"/>
  <c r="X110" i="16"/>
  <c r="X111" i="16"/>
  <c r="X112" i="16"/>
  <c r="X113" i="16"/>
  <c r="X114" i="16"/>
  <c r="X115" i="16"/>
  <c r="X116" i="16"/>
  <c r="X117" i="16"/>
  <c r="X118" i="16"/>
  <c r="X119" i="16"/>
  <c r="X120" i="16"/>
  <c r="X121" i="16"/>
  <c r="X122" i="16"/>
  <c r="X123" i="16"/>
  <c r="X124" i="16"/>
  <c r="X125" i="16"/>
  <c r="X126" i="16"/>
  <c r="X127" i="16"/>
  <c r="X128" i="16"/>
  <c r="X129" i="16"/>
  <c r="X130" i="16"/>
  <c r="X131" i="16"/>
  <c r="X132" i="16"/>
  <c r="X133" i="16"/>
  <c r="X134" i="16"/>
  <c r="X135" i="16"/>
  <c r="X136" i="16"/>
  <c r="X137" i="16"/>
  <c r="X138" i="16"/>
  <c r="X139" i="16"/>
  <c r="X140" i="16"/>
  <c r="X141" i="16"/>
  <c r="X142" i="16"/>
  <c r="X143" i="16"/>
  <c r="X144" i="16"/>
  <c r="X145" i="16"/>
  <c r="X146" i="16"/>
  <c r="X147" i="16"/>
  <c r="X148" i="16"/>
  <c r="X149" i="16"/>
  <c r="X150" i="16"/>
  <c r="X151" i="16"/>
  <c r="X152" i="16"/>
  <c r="X153" i="16"/>
  <c r="X154" i="16"/>
  <c r="X155" i="16"/>
  <c r="X156" i="16"/>
  <c r="X157" i="16"/>
  <c r="X158" i="16"/>
  <c r="X159" i="16"/>
  <c r="X160" i="16"/>
  <c r="X161" i="16"/>
  <c r="X162" i="16"/>
  <c r="X163" i="16"/>
  <c r="X164" i="16"/>
  <c r="X165" i="16"/>
  <c r="X166" i="16"/>
  <c r="X167" i="16"/>
  <c r="X168" i="16"/>
  <c r="X169" i="16"/>
  <c r="X170" i="16"/>
  <c r="X171" i="16"/>
  <c r="X172" i="16"/>
  <c r="X173" i="16"/>
  <c r="Y2" i="16"/>
  <c r="Y3" i="16"/>
  <c r="Y4" i="16"/>
  <c r="Y5" i="16"/>
  <c r="Y6" i="16"/>
  <c r="Y7" i="16"/>
  <c r="Y8" i="16"/>
  <c r="Y9" i="16"/>
  <c r="Y10" i="16"/>
  <c r="Y11" i="16"/>
  <c r="Y12" i="16"/>
  <c r="Y13" i="16"/>
  <c r="Y14" i="16"/>
  <c r="Y15" i="16"/>
  <c r="Y16" i="16"/>
  <c r="Y17" i="16"/>
  <c r="Y18" i="16"/>
  <c r="Y19" i="16"/>
  <c r="Y20" i="16"/>
  <c r="Y21" i="16"/>
  <c r="Y22" i="16"/>
  <c r="Y23" i="16"/>
  <c r="Y24" i="16"/>
  <c r="Y25" i="16"/>
  <c r="Y26" i="16"/>
  <c r="Y27" i="16"/>
  <c r="Y28" i="16"/>
  <c r="Y29" i="16"/>
  <c r="Y30" i="16"/>
  <c r="Y31" i="16"/>
  <c r="Y32" i="16"/>
  <c r="Y33" i="16"/>
  <c r="Y34" i="16"/>
  <c r="Y35" i="16"/>
  <c r="Y36" i="16"/>
  <c r="Y37" i="16"/>
  <c r="Y38" i="16"/>
  <c r="Y39" i="16"/>
  <c r="Y40" i="16"/>
  <c r="Y41" i="16"/>
  <c r="Y42" i="16"/>
  <c r="Y43" i="16"/>
  <c r="Y44" i="16"/>
  <c r="Y45" i="16"/>
  <c r="Y46" i="16"/>
  <c r="Y47" i="16"/>
  <c r="Y48" i="16"/>
  <c r="Y49" i="16"/>
  <c r="Y50" i="16"/>
  <c r="Y51" i="16"/>
  <c r="Y52" i="16"/>
  <c r="Y53" i="16"/>
  <c r="Y54" i="16"/>
  <c r="Y55" i="16"/>
  <c r="Y56" i="16"/>
  <c r="Y57" i="16"/>
  <c r="Y58" i="16"/>
  <c r="Y59" i="16"/>
  <c r="Y60" i="16"/>
  <c r="Y61" i="16"/>
  <c r="Y62" i="16"/>
  <c r="Y63" i="16"/>
  <c r="Y64" i="16"/>
  <c r="Y65" i="16"/>
  <c r="Y66" i="16"/>
  <c r="Y67" i="16"/>
  <c r="Y68" i="16"/>
  <c r="Y69" i="16"/>
  <c r="Y70" i="16"/>
  <c r="Y71" i="16"/>
  <c r="Y72" i="16"/>
  <c r="Y73" i="16"/>
  <c r="Y74" i="16"/>
  <c r="Y75" i="16"/>
  <c r="Y76" i="16"/>
  <c r="Y77" i="16"/>
  <c r="Y78" i="16"/>
  <c r="Y79" i="16"/>
  <c r="Y80" i="16"/>
  <c r="Y81" i="16"/>
  <c r="Y82" i="16"/>
  <c r="Y83" i="16"/>
  <c r="Y84" i="16"/>
  <c r="Y85" i="16"/>
  <c r="Y86" i="16"/>
  <c r="Y87" i="16"/>
  <c r="Y88" i="16"/>
  <c r="Y89" i="16"/>
  <c r="Y90" i="16"/>
  <c r="Y91" i="16"/>
  <c r="Y92" i="16"/>
  <c r="Y93" i="16"/>
  <c r="Y94" i="16"/>
  <c r="Y95" i="16"/>
  <c r="Y96" i="16"/>
  <c r="Y97" i="16"/>
  <c r="Y98" i="16"/>
  <c r="Y99" i="16"/>
  <c r="Y100" i="16"/>
  <c r="Y101" i="16"/>
  <c r="Y102" i="16"/>
  <c r="Y103" i="16"/>
  <c r="Y104" i="16"/>
  <c r="Y105" i="16"/>
  <c r="Y106" i="16"/>
  <c r="Y107" i="16"/>
  <c r="Y108" i="16"/>
  <c r="Y109" i="16"/>
  <c r="Y110" i="16"/>
  <c r="Y111" i="16"/>
  <c r="Y112" i="16"/>
  <c r="Y113" i="16"/>
  <c r="Y114" i="16"/>
  <c r="Y115" i="16"/>
  <c r="Y116" i="16"/>
  <c r="Y117" i="16"/>
  <c r="Y118" i="16"/>
  <c r="Y119" i="16"/>
  <c r="Y120" i="16"/>
  <c r="Y121" i="16"/>
  <c r="Y122" i="16"/>
  <c r="Y123" i="16"/>
  <c r="Y124" i="16"/>
  <c r="Y125" i="16"/>
  <c r="Y126" i="16"/>
  <c r="Y127" i="16"/>
  <c r="Y128" i="16"/>
  <c r="Y129" i="16"/>
  <c r="Y130" i="16"/>
  <c r="Y131" i="16"/>
  <c r="Y132" i="16"/>
  <c r="Y133" i="16"/>
  <c r="Y134" i="16"/>
  <c r="Y135" i="16"/>
  <c r="Y136" i="16"/>
  <c r="Y137" i="16"/>
  <c r="Y138" i="16"/>
  <c r="Y139" i="16"/>
  <c r="Y140" i="16"/>
  <c r="Y141" i="16"/>
  <c r="Y142" i="16"/>
  <c r="Y143" i="16"/>
  <c r="Y144" i="16"/>
  <c r="Y145" i="16"/>
  <c r="Y146" i="16"/>
  <c r="Y147" i="16"/>
  <c r="Y148" i="16"/>
  <c r="Y149" i="16"/>
  <c r="Y150" i="16"/>
  <c r="Y151" i="16"/>
  <c r="Y152" i="16"/>
  <c r="Y153" i="16"/>
  <c r="Y154" i="16"/>
  <c r="Y155" i="16"/>
  <c r="Y156" i="16"/>
  <c r="Y157" i="16"/>
  <c r="Y158" i="16"/>
  <c r="Y159" i="16"/>
  <c r="Y160" i="16"/>
  <c r="Y161" i="16"/>
  <c r="Y162" i="16"/>
  <c r="Y163" i="16"/>
  <c r="Y164" i="16"/>
  <c r="Y165" i="16"/>
  <c r="Y166" i="16"/>
  <c r="Y167" i="16"/>
  <c r="Y168" i="16"/>
  <c r="Y169" i="16"/>
  <c r="Y170" i="16"/>
  <c r="Y171" i="16"/>
  <c r="Y172" i="16"/>
  <c r="Y173" i="16"/>
  <c r="Z2" i="16"/>
  <c r="Z3" i="16"/>
  <c r="Z4" i="16"/>
  <c r="Z5" i="16"/>
  <c r="Z6" i="16"/>
  <c r="Z7" i="16"/>
  <c r="Z8" i="16"/>
  <c r="Z9" i="16"/>
  <c r="Z10" i="16"/>
  <c r="Z11" i="16"/>
  <c r="Z12" i="16"/>
  <c r="Z13" i="16"/>
  <c r="Z14" i="16"/>
  <c r="Z15" i="16"/>
  <c r="Z16" i="16"/>
  <c r="Z17" i="16"/>
  <c r="Z18" i="16"/>
  <c r="Z19" i="16"/>
  <c r="Z20" i="16"/>
  <c r="Z21" i="16"/>
  <c r="Z22" i="16"/>
  <c r="Z23" i="16"/>
  <c r="Z24" i="16"/>
  <c r="Z25" i="16"/>
  <c r="Z26" i="16"/>
  <c r="Z27" i="16"/>
  <c r="Z28" i="16"/>
  <c r="Z29" i="16"/>
  <c r="Z30" i="16"/>
  <c r="Z31" i="16"/>
  <c r="Z32" i="16"/>
  <c r="Z33" i="16"/>
  <c r="Z34" i="16"/>
  <c r="Z35" i="16"/>
  <c r="Z36" i="16"/>
  <c r="Z37" i="16"/>
  <c r="Z38" i="16"/>
  <c r="Z39" i="1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Z139" i="16"/>
  <c r="Z140" i="16"/>
  <c r="Z141" i="16"/>
  <c r="Z142" i="16"/>
  <c r="Z143" i="16"/>
  <c r="Z144" i="16"/>
  <c r="Z145" i="16"/>
  <c r="Z146" i="16"/>
  <c r="Z147" i="16"/>
  <c r="Z148" i="16"/>
  <c r="Z149" i="16"/>
  <c r="Z150" i="16"/>
  <c r="Z151" i="16"/>
  <c r="Z152" i="16"/>
  <c r="Z153" i="16"/>
  <c r="Z154" i="16"/>
  <c r="Z155" i="16"/>
  <c r="Z156" i="16"/>
  <c r="Z157" i="16"/>
  <c r="Z158" i="16"/>
  <c r="Z159" i="16"/>
  <c r="Z160" i="16"/>
  <c r="Z161" i="16"/>
  <c r="Z162" i="16"/>
  <c r="Z163" i="16"/>
  <c r="Z164" i="16"/>
  <c r="Z165" i="16"/>
  <c r="Z166" i="16"/>
  <c r="Z167" i="16"/>
  <c r="Z168" i="16"/>
  <c r="Z169" i="16"/>
  <c r="Z170" i="16"/>
  <c r="Z171" i="16"/>
  <c r="Z172" i="16"/>
  <c r="Z173" i="16"/>
  <c r="AA2" i="16"/>
  <c r="AA3" i="16"/>
  <c r="AA4" i="16"/>
  <c r="AA5" i="16"/>
  <c r="AA6" i="16"/>
  <c r="AA7" i="16"/>
  <c r="AA8" i="16"/>
  <c r="AA9" i="16"/>
  <c r="AA10" i="16"/>
  <c r="AA11" i="16"/>
  <c r="AA12" i="16"/>
  <c r="AA13" i="16"/>
  <c r="AA14" i="16"/>
  <c r="AA15" i="16"/>
  <c r="AA16" i="16"/>
  <c r="AA17" i="16"/>
  <c r="AA18" i="16"/>
  <c r="AA19" i="16"/>
  <c r="AA20" i="16"/>
  <c r="AA21" i="16"/>
  <c r="AA22" i="16"/>
  <c r="AA23" i="16"/>
  <c r="AA24" i="16"/>
  <c r="AA25" i="16"/>
  <c r="AA26" i="16"/>
  <c r="AA27" i="16"/>
  <c r="AA28" i="16"/>
  <c r="AA29" i="16"/>
  <c r="AA30" i="16"/>
  <c r="AA31" i="16"/>
  <c r="AA32" i="16"/>
  <c r="AA33" i="16"/>
  <c r="AA34" i="16"/>
  <c r="AA35" i="16"/>
  <c r="AA36" i="16"/>
  <c r="AA37" i="16"/>
  <c r="AA38" i="16"/>
  <c r="AA39" i="16"/>
  <c r="AA40" i="16"/>
  <c r="AA41" i="16"/>
  <c r="AA42" i="16"/>
  <c r="AA43" i="16"/>
  <c r="AA44" i="16"/>
  <c r="AA45" i="16"/>
  <c r="AA46" i="16"/>
  <c r="AA47" i="16"/>
  <c r="AA48" i="16"/>
  <c r="AA49" i="16"/>
  <c r="AA50" i="16"/>
  <c r="AA51" i="16"/>
  <c r="AA52" i="16"/>
  <c r="AA53" i="16"/>
  <c r="AA54" i="16"/>
  <c r="AA55" i="16"/>
  <c r="AA56" i="16"/>
  <c r="AA57" i="16"/>
  <c r="AA58" i="16"/>
  <c r="AA59" i="16"/>
  <c r="AA60" i="16"/>
  <c r="AA61" i="16"/>
  <c r="AA62" i="16"/>
  <c r="AA63" i="16"/>
  <c r="AA64" i="16"/>
  <c r="AA65" i="16"/>
  <c r="AA66" i="16"/>
  <c r="AA67" i="16"/>
  <c r="AA68" i="16"/>
  <c r="AA69" i="16"/>
  <c r="AA70" i="16"/>
  <c r="AA71" i="16"/>
  <c r="AA72" i="16"/>
  <c r="AA73" i="16"/>
  <c r="AA74" i="16"/>
  <c r="AA75" i="16"/>
  <c r="AA76" i="16"/>
  <c r="AA77" i="16"/>
  <c r="AA78" i="16"/>
  <c r="AA79" i="16"/>
  <c r="AA80" i="16"/>
  <c r="AA81" i="16"/>
  <c r="AA82" i="16"/>
  <c r="AA83" i="16"/>
  <c r="AA84" i="16"/>
  <c r="AA85" i="16"/>
  <c r="AA86" i="16"/>
  <c r="AA87" i="16"/>
  <c r="AA88" i="16"/>
  <c r="AA89" i="16"/>
  <c r="AA90" i="16"/>
  <c r="AA91" i="16"/>
  <c r="AA92" i="16"/>
  <c r="AA93" i="16"/>
  <c r="AA94" i="16"/>
  <c r="AA95" i="16"/>
  <c r="AA96" i="16"/>
  <c r="AA97" i="16"/>
  <c r="AA98" i="16"/>
  <c r="AA99" i="16"/>
  <c r="AA100" i="16"/>
  <c r="AA101" i="16"/>
  <c r="AA102" i="16"/>
  <c r="AA103" i="16"/>
  <c r="AA104" i="16"/>
  <c r="AA105" i="16"/>
  <c r="AA106" i="16"/>
  <c r="AA107" i="16"/>
  <c r="AA108" i="16"/>
  <c r="AA109" i="16"/>
  <c r="AA110" i="16"/>
  <c r="AA111" i="16"/>
  <c r="AA112" i="16"/>
  <c r="AA113" i="16"/>
  <c r="AA114" i="16"/>
  <c r="AA115" i="16"/>
  <c r="AA116" i="16"/>
  <c r="AA117" i="16"/>
  <c r="AA118" i="16"/>
  <c r="AA119" i="16"/>
  <c r="AA120" i="16"/>
  <c r="AA121" i="16"/>
  <c r="AA122" i="16"/>
  <c r="AA123" i="16"/>
  <c r="AA124" i="16"/>
  <c r="AA125" i="16"/>
  <c r="AA126" i="16"/>
  <c r="AA127" i="16"/>
  <c r="AA128" i="16"/>
  <c r="AA129" i="16"/>
  <c r="AA130" i="16"/>
  <c r="AA131" i="16"/>
  <c r="AA132" i="16"/>
  <c r="AA133" i="16"/>
  <c r="AA134" i="16"/>
  <c r="AA135" i="16"/>
  <c r="AA136" i="16"/>
  <c r="AA137" i="16"/>
  <c r="AA138" i="16"/>
  <c r="AA139" i="16"/>
  <c r="AA140" i="16"/>
  <c r="AA141" i="16"/>
  <c r="AA142" i="16"/>
  <c r="AA143" i="16"/>
  <c r="AA144" i="16"/>
  <c r="AA145" i="16"/>
  <c r="AA146" i="16"/>
  <c r="AA147" i="16"/>
  <c r="AA148" i="16"/>
  <c r="AA149" i="16"/>
  <c r="AA150" i="16"/>
  <c r="AQ150" i="16" s="1"/>
  <c r="AA151" i="16"/>
  <c r="AQ151" i="16" s="1"/>
  <c r="AA152" i="16"/>
  <c r="AQ152" i="16" s="1"/>
  <c r="AA153" i="16"/>
  <c r="AQ153" i="16" s="1"/>
  <c r="AA154" i="16"/>
  <c r="AQ154" i="16" s="1"/>
  <c r="AA155" i="16"/>
  <c r="AQ155" i="16" s="1"/>
  <c r="AA156" i="16"/>
  <c r="AQ156" i="16" s="1"/>
  <c r="AA157" i="16"/>
  <c r="AQ157" i="16" s="1"/>
  <c r="AA158" i="16"/>
  <c r="AQ158" i="16" s="1"/>
  <c r="AA159" i="16"/>
  <c r="AQ159" i="16" s="1"/>
  <c r="AA160" i="16"/>
  <c r="AQ160" i="16" s="1"/>
  <c r="AA161" i="16"/>
  <c r="AQ161" i="16" s="1"/>
  <c r="AA162" i="16"/>
  <c r="AQ162" i="16" s="1"/>
  <c r="AA163" i="16"/>
  <c r="AQ163" i="16" s="1"/>
  <c r="AA164" i="16"/>
  <c r="AQ164" i="16" s="1"/>
  <c r="AA165" i="16"/>
  <c r="AQ165" i="16" s="1"/>
  <c r="AA166" i="16"/>
  <c r="AQ166" i="16" s="1"/>
  <c r="AA167" i="16"/>
  <c r="AQ167" i="16" s="1"/>
  <c r="AA168" i="16"/>
  <c r="AQ168" i="16" s="1"/>
  <c r="AA169" i="16"/>
  <c r="AQ169" i="16" s="1"/>
  <c r="AA170" i="16"/>
  <c r="AQ170" i="16" s="1"/>
  <c r="AA171" i="16"/>
  <c r="AQ171" i="16" s="1"/>
  <c r="AA172" i="16"/>
  <c r="AQ172" i="16" s="1"/>
  <c r="AA173" i="16"/>
  <c r="AQ173" i="16" s="1"/>
  <c r="AB2" i="16"/>
  <c r="AB3" i="16"/>
  <c r="AB4" i="16"/>
  <c r="AB5" i="16"/>
  <c r="AB6" i="16"/>
  <c r="AB7" i="16"/>
  <c r="AB8" i="16"/>
  <c r="AB9" i="16"/>
  <c r="AB10" i="16"/>
  <c r="AB11" i="16"/>
  <c r="AB12" i="16"/>
  <c r="AB13" i="16"/>
  <c r="AB14" i="16"/>
  <c r="AB15" i="16"/>
  <c r="AB16" i="16"/>
  <c r="AB17" i="16"/>
  <c r="AB18" i="16"/>
  <c r="AB19" i="16"/>
  <c r="AB20" i="16"/>
  <c r="AB21" i="16"/>
  <c r="AB22" i="16"/>
  <c r="AB23" i="16"/>
  <c r="AB24" i="16"/>
  <c r="AB25" i="16"/>
  <c r="AB26" i="16"/>
  <c r="AB27" i="16"/>
  <c r="AB28" i="16"/>
  <c r="AB29" i="16"/>
  <c r="AB30" i="16"/>
  <c r="AB31" i="16"/>
  <c r="AB32" i="16"/>
  <c r="AB33" i="16"/>
  <c r="AB34" i="16"/>
  <c r="AB35" i="16"/>
  <c r="AB36" i="16"/>
  <c r="AB37" i="16"/>
  <c r="AB38" i="16"/>
  <c r="AB39" i="16"/>
  <c r="AB40" i="16"/>
  <c r="AB41" i="16"/>
  <c r="AB42" i="16"/>
  <c r="AB43" i="16"/>
  <c r="AB44" i="16"/>
  <c r="AB45" i="16"/>
  <c r="AB46" i="16"/>
  <c r="AB47" i="16"/>
  <c r="AB48" i="16"/>
  <c r="AB49" i="16"/>
  <c r="AB50" i="16"/>
  <c r="AB51" i="16"/>
  <c r="AB52" i="16"/>
  <c r="AB53" i="16"/>
  <c r="AB54" i="16"/>
  <c r="AB55" i="16"/>
  <c r="AB56" i="16"/>
  <c r="AB57" i="16"/>
  <c r="AB58" i="16"/>
  <c r="AB59" i="16"/>
  <c r="AB60" i="16"/>
  <c r="AB61" i="16"/>
  <c r="AB62" i="16"/>
  <c r="AB63" i="16"/>
  <c r="AB64" i="16"/>
  <c r="AB65" i="16"/>
  <c r="AB66" i="16"/>
  <c r="AB67" i="16"/>
  <c r="AB68" i="16"/>
  <c r="AB69" i="16"/>
  <c r="AB70" i="16"/>
  <c r="AB71" i="16"/>
  <c r="AB72" i="16"/>
  <c r="AB73" i="16"/>
  <c r="AB74" i="16"/>
  <c r="AB75" i="16"/>
  <c r="AB76" i="16"/>
  <c r="AB77" i="16"/>
  <c r="AB78" i="16"/>
  <c r="AB79" i="16"/>
  <c r="AB80" i="16"/>
  <c r="AB81" i="16"/>
  <c r="AB82" i="16"/>
  <c r="AB83" i="16"/>
  <c r="AB84" i="16"/>
  <c r="AB85" i="16"/>
  <c r="AB86" i="16"/>
  <c r="AB87" i="16"/>
  <c r="AB88" i="16"/>
  <c r="AB89" i="16"/>
  <c r="AB90" i="16"/>
  <c r="AB91" i="16"/>
  <c r="AB92" i="16"/>
  <c r="AB93" i="16"/>
  <c r="AB94" i="16"/>
  <c r="AB95" i="16"/>
  <c r="AB96" i="16"/>
  <c r="AB97" i="16"/>
  <c r="AB98" i="16"/>
  <c r="AB99" i="16"/>
  <c r="AB100" i="16"/>
  <c r="AB101" i="16"/>
  <c r="AB102" i="16"/>
  <c r="AB103" i="16"/>
  <c r="AB104" i="16"/>
  <c r="AB105" i="16"/>
  <c r="AB106" i="16"/>
  <c r="AB107" i="16"/>
  <c r="AB108" i="16"/>
  <c r="AB109" i="16"/>
  <c r="AB110" i="16"/>
  <c r="AB111" i="16"/>
  <c r="AB112" i="16"/>
  <c r="AB113" i="16"/>
  <c r="AB114" i="16"/>
  <c r="AB115" i="16"/>
  <c r="AB116" i="16"/>
  <c r="AB117" i="16"/>
  <c r="AB118" i="16"/>
  <c r="AB119" i="16"/>
  <c r="AB120" i="16"/>
  <c r="AB121" i="16"/>
  <c r="AB122" i="16"/>
  <c r="AB123" i="16"/>
  <c r="AB124" i="16"/>
  <c r="AB125" i="16"/>
  <c r="AB126" i="16"/>
  <c r="AB127" i="16"/>
  <c r="AB128" i="16"/>
  <c r="AB129" i="16"/>
  <c r="AB130" i="16"/>
  <c r="AB131" i="16"/>
  <c r="AB132" i="16"/>
  <c r="AB133" i="16"/>
  <c r="AB134" i="16"/>
  <c r="AB135" i="16"/>
  <c r="AB136" i="16"/>
  <c r="AB137" i="16"/>
  <c r="AB138" i="16"/>
  <c r="AB139" i="16"/>
  <c r="AB140" i="16"/>
  <c r="AB141" i="16"/>
  <c r="AB142" i="16"/>
  <c r="AB143" i="16"/>
  <c r="AB144" i="16"/>
  <c r="AB145" i="16"/>
  <c r="AB146" i="16"/>
  <c r="AB147" i="16"/>
  <c r="AB148" i="16"/>
  <c r="AB149" i="16"/>
  <c r="AB150" i="16"/>
  <c r="AR150" i="16" s="1" a="1"/>
  <c r="AR150" i="16" s="1"/>
  <c r="AB151" i="16"/>
  <c r="AR151" i="16" s="1" a="1"/>
  <c r="AR151" i="16" s="1"/>
  <c r="AB152" i="16"/>
  <c r="AR152" i="16" s="1" a="1"/>
  <c r="AR152" i="16" s="1"/>
  <c r="AB153" i="16"/>
  <c r="AR153" i="16" s="1" a="1"/>
  <c r="AR153" i="16" s="1"/>
  <c r="AB154" i="16"/>
  <c r="AR154" i="16" s="1" a="1"/>
  <c r="AR154" i="16" s="1"/>
  <c r="AB155" i="16"/>
  <c r="AR155" i="16" s="1" a="1"/>
  <c r="AR155" i="16" s="1"/>
  <c r="AB156" i="16"/>
  <c r="AR156" i="16" s="1" a="1"/>
  <c r="AR156" i="16" s="1"/>
  <c r="AB157" i="16"/>
  <c r="AR157" i="16" s="1" a="1"/>
  <c r="AR157" i="16" s="1"/>
  <c r="AB158" i="16"/>
  <c r="AR158" i="16" s="1" a="1"/>
  <c r="AR158" i="16" s="1"/>
  <c r="AB159" i="16"/>
  <c r="AR159" i="16" s="1" a="1"/>
  <c r="AR159" i="16" s="1"/>
  <c r="AB160" i="16"/>
  <c r="AR160" i="16" s="1" a="1"/>
  <c r="AR160" i="16" s="1"/>
  <c r="AB161" i="16"/>
  <c r="AR161" i="16" s="1" a="1"/>
  <c r="AR161" i="16" s="1"/>
  <c r="AB162" i="16"/>
  <c r="AR162" i="16" s="1" a="1"/>
  <c r="AR162" i="16" s="1"/>
  <c r="AB163" i="16"/>
  <c r="AR163" i="16" s="1" a="1"/>
  <c r="AR163" i="16" s="1"/>
  <c r="AB164" i="16"/>
  <c r="AR164" i="16" s="1" a="1"/>
  <c r="AR164" i="16" s="1"/>
  <c r="AB165" i="16"/>
  <c r="AR165" i="16" s="1" a="1"/>
  <c r="AR165" i="16" s="1"/>
  <c r="AB166" i="16"/>
  <c r="AR166" i="16" s="1" a="1"/>
  <c r="AR166" i="16" s="1"/>
  <c r="AB167" i="16"/>
  <c r="AR167" i="16" s="1" a="1"/>
  <c r="AR167" i="16" s="1"/>
  <c r="AB168" i="16"/>
  <c r="AR168" i="16" s="1" a="1"/>
  <c r="AR168" i="16" s="1"/>
  <c r="AB169" i="16"/>
  <c r="AR169" i="16" s="1" a="1"/>
  <c r="AR169" i="16" s="1"/>
  <c r="AB170" i="16"/>
  <c r="AR170" i="16" s="1" a="1"/>
  <c r="AR170" i="16" s="1"/>
  <c r="AB171" i="16"/>
  <c r="AR171" i="16" s="1" a="1"/>
  <c r="AR171" i="16" s="1"/>
  <c r="AB172" i="16"/>
  <c r="AR172" i="16" s="1" a="1"/>
  <c r="AR172" i="16" s="1"/>
  <c r="AB173" i="16"/>
  <c r="AR173" i="16" s="1" a="1"/>
  <c r="AR173" i="16" s="1"/>
  <c r="AC2" i="16"/>
  <c r="AC3" i="16"/>
  <c r="AC4" i="16"/>
  <c r="AC5" i="16"/>
  <c r="AC6" i="16"/>
  <c r="AC7" i="16"/>
  <c r="AC8" i="16"/>
  <c r="AC9" i="16"/>
  <c r="AC10" i="16"/>
  <c r="AC11" i="16"/>
  <c r="AC12" i="16"/>
  <c r="AC13" i="16"/>
  <c r="AC14" i="16"/>
  <c r="AC15" i="16"/>
  <c r="AC16" i="16"/>
  <c r="AC17" i="16"/>
  <c r="AC18" i="16"/>
  <c r="AC19" i="16"/>
  <c r="AC20" i="16"/>
  <c r="AC21" i="16"/>
  <c r="AC22" i="16"/>
  <c r="AC23" i="16"/>
  <c r="AC24" i="16"/>
  <c r="AC25" i="16"/>
  <c r="AC26" i="16"/>
  <c r="AC27" i="16"/>
  <c r="AC28" i="16"/>
  <c r="AC29" i="16"/>
  <c r="AC30" i="16"/>
  <c r="AC31" i="16"/>
  <c r="AC32" i="16"/>
  <c r="AC33" i="16"/>
  <c r="AC34" i="16"/>
  <c r="AC35" i="16"/>
  <c r="AC36" i="16"/>
  <c r="AC37" i="16"/>
  <c r="AC38" i="16"/>
  <c r="AC39" i="16"/>
  <c r="AC40" i="16"/>
  <c r="AC41" i="16"/>
  <c r="AC42" i="16"/>
  <c r="AC43" i="16"/>
  <c r="AC44" i="16"/>
  <c r="AC45" i="16"/>
  <c r="AC46" i="16"/>
  <c r="AC47" i="16"/>
  <c r="AC48" i="16"/>
  <c r="AC49" i="16"/>
  <c r="AC50" i="16"/>
  <c r="AC51" i="16"/>
  <c r="AC52" i="16"/>
  <c r="AC53" i="16"/>
  <c r="AC54" i="16"/>
  <c r="AC55" i="16"/>
  <c r="AC56" i="16"/>
  <c r="AC57" i="16"/>
  <c r="AC58" i="16"/>
  <c r="AC59" i="16"/>
  <c r="AC60" i="16"/>
  <c r="AC61" i="16"/>
  <c r="AC62" i="16"/>
  <c r="AC63" i="16"/>
  <c r="AC64" i="16"/>
  <c r="AC65" i="16"/>
  <c r="AC66" i="16"/>
  <c r="AC67" i="16"/>
  <c r="AC68" i="16"/>
  <c r="AC69" i="16"/>
  <c r="AC70" i="16"/>
  <c r="AC71" i="16"/>
  <c r="AC72" i="16"/>
  <c r="AC73" i="16"/>
  <c r="AC74" i="16"/>
  <c r="AC75" i="16"/>
  <c r="AC76" i="16"/>
  <c r="AC77" i="16"/>
  <c r="AC78" i="16"/>
  <c r="AC79" i="16"/>
  <c r="AC80" i="16"/>
  <c r="AC81" i="16"/>
  <c r="AC82" i="16"/>
  <c r="AC83" i="16"/>
  <c r="AC84" i="16"/>
  <c r="AC85" i="16"/>
  <c r="AC86" i="16"/>
  <c r="AC87" i="16"/>
  <c r="AC88" i="16"/>
  <c r="AC89" i="16"/>
  <c r="AC90" i="16"/>
  <c r="AC91" i="16"/>
  <c r="AC92" i="16"/>
  <c r="AC93" i="16"/>
  <c r="AC94" i="16"/>
  <c r="AC95" i="16"/>
  <c r="AC96" i="16"/>
  <c r="AC97" i="16"/>
  <c r="AC98" i="16"/>
  <c r="AC99" i="16"/>
  <c r="AC100" i="16"/>
  <c r="AC101" i="16"/>
  <c r="AC102" i="16"/>
  <c r="AC103" i="16"/>
  <c r="AC104" i="16"/>
  <c r="AC105" i="16"/>
  <c r="AC106" i="16"/>
  <c r="AC107" i="16"/>
  <c r="AC108" i="16"/>
  <c r="AC109" i="16"/>
  <c r="AC110" i="16"/>
  <c r="AC111" i="16"/>
  <c r="AC112" i="16"/>
  <c r="AC113" i="16"/>
  <c r="AC114" i="16"/>
  <c r="AC115" i="16"/>
  <c r="AC116" i="16"/>
  <c r="AC117" i="16"/>
  <c r="AC118" i="16"/>
  <c r="AC119" i="16"/>
  <c r="AC120" i="16"/>
  <c r="AC121" i="16"/>
  <c r="AC122" i="16"/>
  <c r="AC123" i="16"/>
  <c r="AC124" i="16"/>
  <c r="AC125" i="16"/>
  <c r="AC126" i="16"/>
  <c r="AC127" i="16"/>
  <c r="AC128" i="16"/>
  <c r="AC129" i="16"/>
  <c r="AC130" i="16"/>
  <c r="AC131" i="16"/>
  <c r="AC132" i="16"/>
  <c r="AC133" i="16"/>
  <c r="AC134" i="16"/>
  <c r="AC135" i="16"/>
  <c r="AC136" i="16"/>
  <c r="AC137" i="16"/>
  <c r="AC138" i="16"/>
  <c r="AC139" i="16"/>
  <c r="AC140" i="16"/>
  <c r="AC141" i="16"/>
  <c r="AC142" i="16"/>
  <c r="AC143" i="16"/>
  <c r="AC144" i="16"/>
  <c r="AC145" i="16"/>
  <c r="AC146" i="16"/>
  <c r="AC147" i="16"/>
  <c r="AC148" i="16"/>
  <c r="AC149" i="16"/>
  <c r="AC150" i="16"/>
  <c r="AS150" i="16" s="1" a="1"/>
  <c r="AS150" i="16" s="1"/>
  <c r="AC151" i="16"/>
  <c r="AS151" i="16" s="1" a="1"/>
  <c r="AS151" i="16" s="1"/>
  <c r="AC152" i="16"/>
  <c r="AS152" i="16" s="1" a="1"/>
  <c r="AS152" i="16" s="1"/>
  <c r="AC153" i="16"/>
  <c r="AS153" i="16" s="1" a="1"/>
  <c r="AS153" i="16" s="1"/>
  <c r="AC154" i="16"/>
  <c r="AS154" i="16" s="1" a="1"/>
  <c r="AS154" i="16" s="1"/>
  <c r="AC155" i="16"/>
  <c r="AS155" i="16" s="1" a="1"/>
  <c r="AS155" i="16" s="1"/>
  <c r="AC156" i="16"/>
  <c r="AS156" i="16" s="1" a="1"/>
  <c r="AS156" i="16" s="1"/>
  <c r="AC157" i="16"/>
  <c r="AS157" i="16" s="1" a="1"/>
  <c r="AS157" i="16" s="1"/>
  <c r="AC158" i="16"/>
  <c r="AS158" i="16" s="1" a="1"/>
  <c r="AS158" i="16" s="1"/>
  <c r="AC159" i="16"/>
  <c r="AS159" i="16" s="1" a="1"/>
  <c r="AS159" i="16" s="1"/>
  <c r="AC160" i="16"/>
  <c r="AS160" i="16" s="1" a="1"/>
  <c r="AS160" i="16" s="1"/>
  <c r="AC161" i="16"/>
  <c r="AS161" i="16" s="1" a="1"/>
  <c r="AS161" i="16" s="1"/>
  <c r="AC162" i="16"/>
  <c r="AS162" i="16" s="1" a="1"/>
  <c r="AS162" i="16" s="1"/>
  <c r="AC163" i="16"/>
  <c r="AS163" i="16" s="1" a="1"/>
  <c r="AS163" i="16" s="1"/>
  <c r="AC164" i="16"/>
  <c r="AS164" i="16" s="1" a="1"/>
  <c r="AS164" i="16" s="1"/>
  <c r="AC165" i="16"/>
  <c r="AS165" i="16" s="1" a="1"/>
  <c r="AS165" i="16" s="1"/>
  <c r="AC166" i="16"/>
  <c r="AS166" i="16" s="1" a="1"/>
  <c r="AS166" i="16" s="1"/>
  <c r="AC167" i="16"/>
  <c r="AS167" i="16" s="1" a="1"/>
  <c r="AS167" i="16" s="1"/>
  <c r="AC168" i="16"/>
  <c r="AS168" i="16" s="1" a="1"/>
  <c r="AS168" i="16" s="1"/>
  <c r="AC169" i="16"/>
  <c r="AS169" i="16" s="1" a="1"/>
  <c r="AS169" i="16" s="1"/>
  <c r="AC170" i="16"/>
  <c r="AS170" i="16" s="1" a="1"/>
  <c r="AS170" i="16" s="1"/>
  <c r="AC171" i="16"/>
  <c r="AS171" i="16" s="1" a="1"/>
  <c r="AS171" i="16" s="1"/>
  <c r="AC172" i="16"/>
  <c r="AS172" i="16" s="1" a="1"/>
  <c r="AS172" i="16" s="1"/>
  <c r="AC173" i="16"/>
  <c r="AS173" i="16" s="1" a="1"/>
  <c r="AS173" i="16" s="1"/>
  <c r="S2027" i="31" l="1"/>
  <c r="J2029" i="31"/>
  <c r="S2029" i="31" s="1"/>
  <c r="V1947" i="31" a="1"/>
  <c r="V1947" i="31" s="1"/>
  <c r="W1947" i="31" s="1"/>
  <c r="V2062" i="31" a="1"/>
  <c r="V2062" i="31" s="1"/>
  <c r="W2062" i="31" s="1"/>
  <c r="V1970" i="31" a="1"/>
  <c r="V1970" i="31" s="1"/>
  <c r="W1970" i="31" s="1"/>
  <c r="V1966" i="31" a="1"/>
  <c r="V1966" i="31" s="1"/>
  <c r="W1966" i="31" s="1"/>
  <c r="V1954" i="31" a="1"/>
  <c r="V1954" i="31" s="1"/>
  <c r="W1954" i="31" s="1"/>
  <c r="V2046" i="31" a="1"/>
  <c r="V2046" i="31" s="1"/>
  <c r="W2046" i="31" s="1"/>
  <c r="V2038" i="31" a="1"/>
  <c r="V2038" i="31" s="1"/>
  <c r="W2038" i="31" s="1"/>
  <c r="V2026" i="31" a="1"/>
  <c r="V2026" i="31" s="1"/>
  <c r="W2026" i="31" s="1"/>
  <c r="V2042" i="31" a="1"/>
  <c r="V2042" i="31" s="1"/>
  <c r="W2042" i="31" s="1"/>
  <c r="V2006" i="31" a="1"/>
  <c r="V2006" i="31" s="1"/>
  <c r="W2006" i="31" s="1"/>
  <c r="V1990" i="31" a="1"/>
  <c r="V1990" i="31" s="1"/>
  <c r="W1990" i="31" s="1"/>
  <c r="V1918" i="31" a="1"/>
  <c r="V1918" i="31" s="1"/>
  <c r="W1918" i="31" s="1"/>
  <c r="V1948" i="31" a="1"/>
  <c r="V1948" i="31" s="1"/>
  <c r="W1948" i="31" s="1"/>
  <c r="J2065" i="31"/>
  <c r="S2065" i="31" s="1"/>
  <c r="V2065" i="31" s="1" a="1"/>
  <c r="V2065" i="31" s="1"/>
  <c r="W2065" i="31" s="1"/>
  <c r="V2071" i="31" a="1"/>
  <c r="V2071" i="31" s="1"/>
  <c r="W2071" i="31" s="1"/>
  <c r="V2027" i="31" a="1"/>
  <c r="V2027" i="31" s="1"/>
  <c r="W2027" i="31" s="1"/>
  <c r="V2019" i="31" a="1"/>
  <c r="V2019" i="31" s="1"/>
  <c r="W2019" i="31" s="1"/>
  <c r="V2015" i="31" a="1"/>
  <c r="V2015" i="31" s="1"/>
  <c r="W2015" i="31" s="1"/>
  <c r="V1983" i="31" a="1"/>
  <c r="V1983" i="31" s="1"/>
  <c r="W1983" i="31" s="1"/>
  <c r="V1979" i="31" a="1"/>
  <c r="V1979" i="31" s="1"/>
  <c r="W1979" i="31" s="1"/>
  <c r="V1975" i="31" a="1"/>
  <c r="V1975" i="31" s="1"/>
  <c r="W1975" i="31" s="1"/>
  <c r="V1963" i="31" a="1"/>
  <c r="V1963" i="31" s="1"/>
  <c r="W1963" i="31" s="1"/>
  <c r="V1911" i="31" a="1"/>
  <c r="V1911" i="31" s="1"/>
  <c r="W1911" i="31" s="1"/>
  <c r="V2002" i="31" a="1"/>
  <c r="V2002" i="31" s="1"/>
  <c r="W2002" i="31" s="1"/>
  <c r="V1938" i="31" a="1"/>
  <c r="V1938" i="31" s="1"/>
  <c r="W1938" i="31" s="1"/>
  <c r="J1929" i="31"/>
  <c r="S1929" i="31" s="1"/>
  <c r="V2069" i="31" a="1"/>
  <c r="V2069" i="31" s="1"/>
  <c r="W2069" i="31" s="1"/>
  <c r="V2053" i="31" a="1"/>
  <c r="V2053" i="31" s="1"/>
  <c r="W2053" i="31" s="1"/>
  <c r="V2037" i="31" a="1"/>
  <c r="V2037" i="31" s="1"/>
  <c r="W2037" i="31" s="1"/>
  <c r="V2029" i="31" a="1"/>
  <c r="V2029" i="31" s="1"/>
  <c r="W2029" i="31" s="1"/>
  <c r="V2001" i="31" a="1"/>
  <c r="V2001" i="31" s="1"/>
  <c r="W2001" i="31" s="1"/>
  <c r="V1997" i="31" a="1"/>
  <c r="V1997" i="31" s="1"/>
  <c r="W1997" i="31" s="1"/>
  <c r="V1993" i="31" a="1"/>
  <c r="V1993" i="31" s="1"/>
  <c r="W1993" i="31" s="1"/>
  <c r="V1981" i="31" a="1"/>
  <c r="V1981" i="31" s="1"/>
  <c r="W1981" i="31" s="1"/>
  <c r="V1965" i="31" a="1"/>
  <c r="V1965" i="31" s="1"/>
  <c r="W1965" i="31" s="1"/>
  <c r="V1961" i="31" a="1"/>
  <c r="V1961" i="31" s="1"/>
  <c r="W1961" i="31" s="1"/>
  <c r="V1957" i="31" a="1"/>
  <c r="V1957" i="31" s="1"/>
  <c r="W1957" i="31" s="1"/>
  <c r="V1945" i="31" a="1"/>
  <c r="V1945" i="31" s="1"/>
  <c r="W1945" i="31" s="1"/>
  <c r="V1925" i="31" a="1"/>
  <c r="V1925" i="31" s="1"/>
  <c r="W1925" i="31" s="1"/>
  <c r="V1921" i="31" a="1"/>
  <c r="V1921" i="31" s="1"/>
  <c r="W1921" i="31" s="1"/>
  <c r="J1930" i="31"/>
  <c r="S1930" i="31" s="1"/>
  <c r="J2010" i="31"/>
  <c r="S2010" i="31" s="1"/>
  <c r="V2010" i="31" s="1" a="1"/>
  <c r="V2010" i="31" s="1"/>
  <c r="W2010" i="31" s="1"/>
  <c r="V2017" i="31" a="1"/>
  <c r="V2017" i="31" s="1"/>
  <c r="W2017" i="31" s="1"/>
  <c r="V2063" i="31" a="1"/>
  <c r="V2063" i="31" s="1"/>
  <c r="W2063" i="31" s="1"/>
  <c r="V2055" i="31" a="1"/>
  <c r="V2055" i="31" s="1"/>
  <c r="W2055" i="31" s="1"/>
  <c r="V2051" i="31" a="1"/>
  <c r="V2051" i="31" s="1"/>
  <c r="W2051" i="31" s="1"/>
  <c r="V2047" i="31" a="1"/>
  <c r="V2047" i="31" s="1"/>
  <c r="W2047" i="31" s="1"/>
  <c r="V2035" i="31" a="1"/>
  <c r="V2035" i="31" s="1"/>
  <c r="W2035" i="31" s="1"/>
  <c r="V2011" i="31" a="1"/>
  <c r="V2011" i="31" s="1"/>
  <c r="W2011" i="31" s="1"/>
  <c r="V1999" i="31" a="1"/>
  <c r="V1999" i="31" s="1"/>
  <c r="W1999" i="31" s="1"/>
  <c r="V1943" i="31" a="1"/>
  <c r="V1943" i="31" s="1"/>
  <c r="W1943" i="31" s="1"/>
  <c r="V1939" i="31" a="1"/>
  <c r="V1939" i="31" s="1"/>
  <c r="W1939" i="31" s="1"/>
  <c r="V1927" i="31" a="1"/>
  <c r="V1927" i="31" s="1"/>
  <c r="W1927" i="31" s="1"/>
  <c r="V1974" i="31" a="1"/>
  <c r="V1974" i="31" s="1"/>
  <c r="W1974" i="31" s="1"/>
  <c r="V1934" i="31" a="1"/>
  <c r="V1934" i="31" s="1"/>
  <c r="W1934" i="31" s="1"/>
  <c r="S2009" i="31"/>
  <c r="V2009" i="31" s="1" a="1"/>
  <c r="V2009" i="31" s="1"/>
  <c r="W2009" i="31" s="1"/>
  <c r="V2064" i="31" a="1"/>
  <c r="V2064" i="31" s="1"/>
  <c r="W2064" i="31" s="1"/>
  <c r="V2060" i="31" a="1"/>
  <c r="V2060" i="31" s="1"/>
  <c r="W2060" i="31" s="1"/>
  <c r="V2056" i="31" a="1"/>
  <c r="V2056" i="31" s="1"/>
  <c r="W2056" i="31" s="1"/>
  <c r="V2048" i="31" a="1"/>
  <c r="V2048" i="31" s="1"/>
  <c r="W2048" i="31" s="1"/>
  <c r="V2044" i="31" a="1"/>
  <c r="V2044" i="31" s="1"/>
  <c r="W2044" i="31" s="1"/>
  <c r="V2028" i="31" a="1"/>
  <c r="V2028" i="31" s="1"/>
  <c r="W2028" i="31" s="1"/>
  <c r="V2024" i="31" a="1"/>
  <c r="V2024" i="31" s="1"/>
  <c r="W2024" i="31" s="1"/>
  <c r="V2020" i="31" a="1"/>
  <c r="V2020" i="31" s="1"/>
  <c r="W2020" i="31" s="1"/>
  <c r="V2008" i="31" a="1"/>
  <c r="V2008" i="31" s="1"/>
  <c r="W2008" i="31" s="1"/>
  <c r="V1992" i="31" a="1"/>
  <c r="V1992" i="31" s="1"/>
  <c r="W1992" i="31" s="1"/>
  <c r="V1988" i="31" a="1"/>
  <c r="V1988" i="31" s="1"/>
  <c r="W1988" i="31" s="1"/>
  <c r="V1984" i="31" a="1"/>
  <c r="V1984" i="31" s="1"/>
  <c r="W1984" i="31" s="1"/>
  <c r="V1972" i="31" a="1"/>
  <c r="V1972" i="31" s="1"/>
  <c r="W1972" i="31" s="1"/>
  <c r="V1964" i="31" a="1"/>
  <c r="V1964" i="31" s="1"/>
  <c r="W1964" i="31" s="1"/>
  <c r="V1956" i="31" a="1"/>
  <c r="V1956" i="31" s="1"/>
  <c r="W1956" i="31" s="1"/>
  <c r="V1952" i="31" a="1"/>
  <c r="V1952" i="31" s="1"/>
  <c r="W1952" i="31" s="1"/>
  <c r="V1936" i="31" a="1"/>
  <c r="V1936" i="31" s="1"/>
  <c r="W1936" i="31" s="1"/>
  <c r="V1928" i="31" a="1"/>
  <c r="V1928" i="31" s="1"/>
  <c r="W1928" i="31" s="1"/>
  <c r="V1920" i="31" a="1"/>
  <c r="V1920" i="31" s="1"/>
  <c r="W1920" i="31" s="1"/>
  <c r="V1916" i="31" a="1"/>
  <c r="V1916" i="31" s="1"/>
  <c r="W1916" i="31" s="1"/>
  <c r="V1912" i="31" a="1"/>
  <c r="V1912" i="31" s="1"/>
  <c r="W1912" i="31" s="1"/>
  <c r="V2033" i="31" a="1"/>
  <c r="V2033" i="31" s="1"/>
  <c r="W2033" i="31" s="1"/>
  <c r="AT3" i="16" a="1"/>
  <c r="AT3" i="16" s="1"/>
  <c r="AT4" i="16" a="1"/>
  <c r="AT4" i="16" s="1"/>
  <c r="AT5" i="16" a="1"/>
  <c r="AT5" i="16" s="1"/>
  <c r="AT6" i="16" a="1"/>
  <c r="AT6" i="16" s="1"/>
  <c r="AT7" i="16" a="1"/>
  <c r="AT7" i="16" s="1"/>
  <c r="AT8" i="16" a="1"/>
  <c r="AT8" i="16" s="1"/>
  <c r="AT9" i="16" a="1"/>
  <c r="AT9" i="16" s="1"/>
  <c r="AT10" i="16" a="1"/>
  <c r="AT10" i="16" s="1"/>
  <c r="AT11" i="16" a="1"/>
  <c r="AT11" i="16" s="1"/>
  <c r="AT12" i="16" a="1"/>
  <c r="AT12" i="16" s="1"/>
  <c r="AT13" i="16" a="1"/>
  <c r="AT13" i="16" s="1"/>
  <c r="AT14" i="16" a="1"/>
  <c r="AT14" i="16" s="1"/>
  <c r="AT15" i="16" a="1"/>
  <c r="AT15" i="16" s="1"/>
  <c r="AT16" i="16" a="1"/>
  <c r="AT16" i="16" s="1"/>
  <c r="AT17" i="16" a="1"/>
  <c r="AT17" i="16" s="1"/>
  <c r="AT18" i="16" a="1"/>
  <c r="AT18" i="16" s="1"/>
  <c r="AT19" i="16" a="1"/>
  <c r="AT19" i="16" s="1"/>
  <c r="AT20" i="16" a="1"/>
  <c r="AT20" i="16" s="1"/>
  <c r="AT21" i="16" a="1"/>
  <c r="AT21" i="16" s="1"/>
  <c r="AT22" i="16" a="1"/>
  <c r="AT22" i="16" s="1"/>
  <c r="AT23" i="16" a="1"/>
  <c r="AT23" i="16" s="1"/>
  <c r="AT24" i="16" a="1"/>
  <c r="AT24" i="16" s="1"/>
  <c r="AT25" i="16" a="1"/>
  <c r="AT25" i="16" s="1"/>
  <c r="AT26" i="16" a="1"/>
  <c r="AT26" i="16" s="1"/>
  <c r="AT27" i="16" a="1"/>
  <c r="AT27" i="16" s="1"/>
  <c r="AT28" i="16" a="1"/>
  <c r="AT28" i="16" s="1"/>
  <c r="AT29" i="16" a="1"/>
  <c r="AT29" i="16" s="1"/>
  <c r="AT30" i="16" a="1"/>
  <c r="AT30" i="16" s="1"/>
  <c r="AT31" i="16" a="1"/>
  <c r="AT31" i="16" s="1"/>
  <c r="AT32" i="16" a="1"/>
  <c r="AT32" i="16" s="1"/>
  <c r="AT33" i="16" a="1"/>
  <c r="AT33" i="16" s="1"/>
  <c r="AT34" i="16" a="1"/>
  <c r="AT34" i="16" s="1"/>
  <c r="AT35" i="16" a="1"/>
  <c r="AT35" i="16" s="1"/>
  <c r="AT36" i="16" a="1"/>
  <c r="AT36" i="16" s="1"/>
  <c r="AT37" i="16" a="1"/>
  <c r="AT37" i="16" s="1"/>
  <c r="AT38" i="16" a="1"/>
  <c r="AT38" i="16" s="1"/>
  <c r="AT39" i="16" a="1"/>
  <c r="AT39" i="16" s="1"/>
  <c r="AT40" i="16" a="1"/>
  <c r="AT40" i="16" s="1"/>
  <c r="AT41" i="16" a="1"/>
  <c r="AT41" i="16" s="1"/>
  <c r="AT42" i="16" a="1"/>
  <c r="AT42" i="16" s="1"/>
  <c r="AT43" i="16" a="1"/>
  <c r="AT43" i="16" s="1"/>
  <c r="AT44" i="16" a="1"/>
  <c r="AT44" i="16" s="1"/>
  <c r="AT45" i="16" a="1"/>
  <c r="AT45" i="16" s="1"/>
  <c r="AT46" i="16" a="1"/>
  <c r="AT46" i="16" s="1"/>
  <c r="AT47" i="16" a="1"/>
  <c r="AT47" i="16" s="1"/>
  <c r="AT48" i="16" a="1"/>
  <c r="AT48" i="16" s="1"/>
  <c r="AT49" i="16" a="1"/>
  <c r="AT49" i="16" s="1"/>
  <c r="AT50" i="16" a="1"/>
  <c r="AT50" i="16" s="1"/>
  <c r="AT51" i="16" a="1"/>
  <c r="AT51" i="16" s="1"/>
  <c r="AT52" i="16" a="1"/>
  <c r="AT52" i="16" s="1"/>
  <c r="AT53" i="16" a="1"/>
  <c r="AT53" i="16" s="1"/>
  <c r="AT54" i="16" a="1"/>
  <c r="AT54" i="16" s="1"/>
  <c r="AT55" i="16" a="1"/>
  <c r="AT55" i="16" s="1"/>
  <c r="AT56" i="16" a="1"/>
  <c r="AT56" i="16" s="1"/>
  <c r="AT57" i="16" a="1"/>
  <c r="AT57" i="16" s="1"/>
  <c r="AT58" i="16" a="1"/>
  <c r="AT58" i="16" s="1"/>
  <c r="AT59" i="16" a="1"/>
  <c r="AT59" i="16" s="1"/>
  <c r="AT60" i="16" a="1"/>
  <c r="AT60" i="16" s="1"/>
  <c r="AT61" i="16" a="1"/>
  <c r="AT61" i="16" s="1"/>
  <c r="AT62" i="16" a="1"/>
  <c r="AT62" i="16" s="1"/>
  <c r="AT63" i="16" a="1"/>
  <c r="AT63" i="16" s="1"/>
  <c r="AT64" i="16" a="1"/>
  <c r="AT64" i="16" s="1"/>
  <c r="AT65" i="16" a="1"/>
  <c r="AT65" i="16" s="1"/>
  <c r="AT66" i="16" a="1"/>
  <c r="AT66" i="16" s="1"/>
  <c r="AT67" i="16" a="1"/>
  <c r="AT67" i="16" s="1"/>
  <c r="AT68" i="16" a="1"/>
  <c r="AT68" i="16" s="1"/>
  <c r="AT69" i="16" a="1"/>
  <c r="AT69" i="16" s="1"/>
  <c r="AT70" i="16" a="1"/>
  <c r="AT70" i="16" s="1"/>
  <c r="AT71" i="16" a="1"/>
  <c r="AT71" i="16" s="1"/>
  <c r="AT72" i="16" a="1"/>
  <c r="AT72" i="16" s="1"/>
  <c r="AT73" i="16" a="1"/>
  <c r="AT73" i="16" s="1"/>
  <c r="AT74" i="16" a="1"/>
  <c r="AT74" i="16" s="1"/>
  <c r="AT75" i="16" a="1"/>
  <c r="AT75" i="16" s="1"/>
  <c r="AT76" i="16" a="1"/>
  <c r="AT76" i="16" s="1"/>
  <c r="AT77" i="16" a="1"/>
  <c r="AT77" i="16" s="1"/>
  <c r="AT78" i="16" a="1"/>
  <c r="AT78" i="16" s="1"/>
  <c r="AT79" i="16" a="1"/>
  <c r="AT79" i="16" s="1"/>
  <c r="AT80" i="16" a="1"/>
  <c r="AT80" i="16" s="1"/>
  <c r="AT81" i="16" a="1"/>
  <c r="AT81" i="16" s="1"/>
  <c r="AT82" i="16" a="1"/>
  <c r="AT82" i="16" s="1"/>
  <c r="AT83" i="16" a="1"/>
  <c r="AT83" i="16" s="1"/>
  <c r="AT84" i="16" a="1"/>
  <c r="AT84" i="16" s="1"/>
  <c r="AT85" i="16" a="1"/>
  <c r="AT85" i="16" s="1"/>
  <c r="AT86" i="16" a="1"/>
  <c r="AT86" i="16" s="1"/>
  <c r="AT87" i="16" a="1"/>
  <c r="AT87" i="16" s="1"/>
  <c r="AT88" i="16" a="1"/>
  <c r="AT88" i="16" s="1"/>
  <c r="AT89" i="16" a="1"/>
  <c r="AT89" i="16" s="1"/>
  <c r="AT90" i="16" a="1"/>
  <c r="AT90" i="16" s="1"/>
  <c r="AT91" i="16" a="1"/>
  <c r="AT91" i="16" s="1"/>
  <c r="AT92" i="16" a="1"/>
  <c r="AT92" i="16" s="1"/>
  <c r="AT93" i="16" a="1"/>
  <c r="AT93" i="16" s="1"/>
  <c r="AT94" i="16" a="1"/>
  <c r="AT94" i="16" s="1"/>
  <c r="AT95" i="16" a="1"/>
  <c r="AT95" i="16" s="1"/>
  <c r="AT96" i="16" a="1"/>
  <c r="AT96" i="16" s="1"/>
  <c r="AT97" i="16" a="1"/>
  <c r="AT97" i="16" s="1"/>
  <c r="AT98" i="16" a="1"/>
  <c r="AT98" i="16" s="1"/>
  <c r="AT99" i="16" a="1"/>
  <c r="AT99" i="16" s="1"/>
  <c r="AT100" i="16" a="1"/>
  <c r="AT100" i="16" s="1"/>
  <c r="AT101" i="16" a="1"/>
  <c r="AT101" i="16" s="1"/>
  <c r="AT102" i="16" a="1"/>
  <c r="AT102" i="16" s="1"/>
  <c r="AT103" i="16" a="1"/>
  <c r="AT103" i="16" s="1"/>
  <c r="AT104" i="16" a="1"/>
  <c r="AT104" i="16" s="1"/>
  <c r="AT105" i="16" a="1"/>
  <c r="AT105" i="16" s="1"/>
  <c r="AT106" i="16" a="1"/>
  <c r="AT106" i="16" s="1"/>
  <c r="AT107" i="16" a="1"/>
  <c r="AT107" i="16" s="1"/>
  <c r="AT108" i="16" a="1"/>
  <c r="AT108" i="16" s="1"/>
  <c r="AT109" i="16" a="1"/>
  <c r="AT109" i="16" s="1"/>
  <c r="AT110" i="16" a="1"/>
  <c r="AT110" i="16" s="1"/>
  <c r="AT111" i="16" a="1"/>
  <c r="AT111" i="16" s="1"/>
  <c r="AT112" i="16" a="1"/>
  <c r="AT112" i="16" s="1"/>
  <c r="AT113" i="16" a="1"/>
  <c r="AT113" i="16" s="1"/>
  <c r="AT114" i="16" a="1"/>
  <c r="AT114" i="16" s="1"/>
  <c r="AT115" i="16" a="1"/>
  <c r="AT115" i="16" s="1"/>
  <c r="AT116" i="16" a="1"/>
  <c r="AT116" i="16" s="1"/>
  <c r="AT117" i="16" a="1"/>
  <c r="AT117" i="16" s="1"/>
  <c r="AT118" i="16" a="1"/>
  <c r="AT118" i="16" s="1"/>
  <c r="AT119" i="16" a="1"/>
  <c r="AT119" i="16" s="1"/>
  <c r="AT120" i="16" a="1"/>
  <c r="AT120" i="16" s="1"/>
  <c r="AT121" i="16" a="1"/>
  <c r="AT121" i="16" s="1"/>
  <c r="AT122" i="16" a="1"/>
  <c r="AT122" i="16" s="1"/>
  <c r="AT123" i="16" a="1"/>
  <c r="AT123" i="16" s="1"/>
  <c r="AT124" i="16" a="1"/>
  <c r="AT124" i="16" s="1"/>
  <c r="AT125" i="16" a="1"/>
  <c r="AT125" i="16" s="1"/>
  <c r="AT126" i="16" a="1"/>
  <c r="AT126" i="16" s="1"/>
  <c r="AT127" i="16" a="1"/>
  <c r="AT127" i="16" s="1"/>
  <c r="AT128" i="16" a="1"/>
  <c r="AT128" i="16" s="1"/>
  <c r="AT129" i="16" a="1"/>
  <c r="AT129" i="16" s="1"/>
  <c r="AT130" i="16" a="1"/>
  <c r="AT130" i="16" s="1"/>
  <c r="AT131" i="16" a="1"/>
  <c r="AT131" i="16" s="1"/>
  <c r="AT132" i="16" a="1"/>
  <c r="AT132" i="16" s="1"/>
  <c r="AT133" i="16" a="1"/>
  <c r="AT133" i="16" s="1"/>
  <c r="AT134" i="16" a="1"/>
  <c r="AT134" i="16" s="1"/>
  <c r="AT135" i="16" a="1"/>
  <c r="AT135" i="16" s="1"/>
  <c r="AT136" i="16" a="1"/>
  <c r="AT136" i="16" s="1"/>
  <c r="AT137" i="16" a="1"/>
  <c r="AT137" i="16" s="1"/>
  <c r="AT138" i="16" a="1"/>
  <c r="AT138" i="16" s="1"/>
  <c r="AT139" i="16" a="1"/>
  <c r="AT139" i="16" s="1"/>
  <c r="AT140" i="16" a="1"/>
  <c r="AT140" i="16" s="1"/>
  <c r="AT141" i="16" a="1"/>
  <c r="AT141" i="16" s="1"/>
  <c r="AT142" i="16" a="1"/>
  <c r="AT142" i="16" s="1"/>
  <c r="AT143" i="16" a="1"/>
  <c r="AT143" i="16" s="1"/>
  <c r="AT144" i="16" a="1"/>
  <c r="AT144" i="16" s="1"/>
  <c r="AT145" i="16" a="1"/>
  <c r="AT145" i="16" s="1"/>
  <c r="AT146" i="16" a="1"/>
  <c r="AT146" i="16" s="1"/>
  <c r="AT147" i="16" a="1"/>
  <c r="AT147" i="16" s="1"/>
  <c r="AT148" i="16" a="1"/>
  <c r="AT148" i="16" s="1"/>
  <c r="AT149" i="16" a="1"/>
  <c r="AT149" i="16" s="1"/>
  <c r="AT2" i="16" a="1"/>
  <c r="AT2" i="16" s="1"/>
  <c r="AM7" i="25"/>
  <c r="AM8" i="25"/>
  <c r="AM9" i="25"/>
  <c r="AM10" i="25"/>
  <c r="AM11" i="25"/>
  <c r="AM12" i="25"/>
  <c r="AM13" i="25"/>
  <c r="AM14" i="25"/>
  <c r="AM15" i="25"/>
  <c r="AM16" i="25"/>
  <c r="AM17" i="25"/>
  <c r="AM18" i="25"/>
  <c r="AM19" i="25"/>
  <c r="AM20" i="25"/>
  <c r="AM21" i="25"/>
  <c r="AM22" i="25"/>
  <c r="AM23" i="25"/>
  <c r="AM24" i="25"/>
  <c r="AM25" i="25"/>
  <c r="AM26" i="25"/>
  <c r="AM27" i="25"/>
  <c r="AM28" i="25"/>
  <c r="AM29" i="25"/>
  <c r="AM30" i="25"/>
  <c r="AM31" i="25"/>
  <c r="AM32" i="25"/>
  <c r="AM33" i="25"/>
  <c r="AM34" i="25"/>
  <c r="AM35" i="25"/>
  <c r="AM36" i="25"/>
  <c r="AM37" i="25"/>
  <c r="AM38" i="25"/>
  <c r="AM39" i="25"/>
  <c r="AM40" i="25"/>
  <c r="AM41" i="25"/>
  <c r="AM42" i="25"/>
  <c r="AM43" i="25"/>
  <c r="AM44" i="25"/>
  <c r="AM45" i="25"/>
  <c r="AM46" i="25"/>
  <c r="AM47" i="25"/>
  <c r="AM48" i="25"/>
  <c r="AM49" i="25"/>
  <c r="AM50" i="25"/>
  <c r="AM51" i="25"/>
  <c r="AM52" i="25"/>
  <c r="AM53" i="25"/>
  <c r="AM54" i="25"/>
  <c r="AM55" i="25"/>
  <c r="AM56" i="25"/>
  <c r="AM57" i="25"/>
  <c r="AM58" i="25"/>
  <c r="AM59" i="25"/>
  <c r="AM60" i="25"/>
  <c r="AM61" i="25"/>
  <c r="AM62" i="25"/>
  <c r="AM63" i="25"/>
  <c r="AM64" i="25"/>
  <c r="AM65" i="25"/>
  <c r="AM66" i="25"/>
  <c r="AM67" i="25"/>
  <c r="AM68" i="25"/>
  <c r="AM69" i="25"/>
  <c r="AM70" i="25"/>
  <c r="AM71" i="25"/>
  <c r="AM72" i="25"/>
  <c r="AM73" i="25"/>
  <c r="AM74" i="25"/>
  <c r="AM75" i="25"/>
  <c r="AM76" i="25"/>
  <c r="AM77" i="25"/>
  <c r="AM78" i="25"/>
  <c r="AM79" i="25"/>
  <c r="AM80" i="25"/>
  <c r="AM81" i="25"/>
  <c r="AM82" i="25"/>
  <c r="AM83" i="25"/>
  <c r="AM84" i="25"/>
  <c r="AM85" i="25"/>
  <c r="AM86" i="25"/>
  <c r="AM87" i="25"/>
  <c r="AM88" i="25"/>
  <c r="AM89" i="25"/>
  <c r="AM90" i="25"/>
  <c r="AM91" i="25"/>
  <c r="AM92" i="25"/>
  <c r="AM93" i="25"/>
  <c r="AM94" i="25"/>
  <c r="AM95" i="25"/>
  <c r="AM96" i="25"/>
  <c r="AM97" i="25"/>
  <c r="AM98" i="25"/>
  <c r="AM99" i="25"/>
  <c r="AM100" i="25"/>
  <c r="AM101" i="25"/>
  <c r="AM102" i="25"/>
  <c r="AM103" i="25"/>
  <c r="AM104" i="25"/>
  <c r="AM105" i="25"/>
  <c r="AM106" i="25"/>
  <c r="AM107" i="25"/>
  <c r="AM108" i="25"/>
  <c r="AM109" i="25"/>
  <c r="AM110" i="25"/>
  <c r="AM111" i="25"/>
  <c r="AM112" i="25"/>
  <c r="AM113" i="25"/>
  <c r="AM114" i="25"/>
  <c r="AM115" i="25"/>
  <c r="AM116" i="25"/>
  <c r="AM117" i="25"/>
  <c r="AM118" i="25"/>
  <c r="AM119" i="25"/>
  <c r="AM120" i="25"/>
  <c r="AM121" i="25"/>
  <c r="AM122" i="25"/>
  <c r="AM123" i="25"/>
  <c r="AM124" i="25"/>
  <c r="AM125" i="25"/>
  <c r="AM126" i="25"/>
  <c r="AM127" i="25"/>
  <c r="AM128" i="25"/>
  <c r="AM129" i="25"/>
  <c r="AM130" i="25"/>
  <c r="AM131" i="25"/>
  <c r="AM132" i="25"/>
  <c r="AM133" i="25"/>
  <c r="AM134" i="25"/>
  <c r="AM135" i="25"/>
  <c r="AM136" i="25"/>
  <c r="AM137" i="25"/>
  <c r="AM138" i="25"/>
  <c r="AM139" i="25"/>
  <c r="AM140" i="25"/>
  <c r="AM141" i="25"/>
  <c r="AM142" i="25"/>
  <c r="AM143" i="25"/>
  <c r="AM144" i="25"/>
  <c r="AM145" i="25"/>
  <c r="AM146" i="25"/>
  <c r="AM147" i="25"/>
  <c r="AM148" i="25"/>
  <c r="AM149" i="25"/>
  <c r="AM150" i="25"/>
  <c r="AM151" i="25"/>
  <c r="AM152" i="25"/>
  <c r="AM153" i="25"/>
  <c r="AM154" i="25"/>
  <c r="AM155" i="25"/>
  <c r="AM156" i="25"/>
  <c r="AM157" i="25"/>
  <c r="AM158" i="25"/>
  <c r="AM159" i="25"/>
  <c r="AM160" i="25"/>
  <c r="AM161" i="25"/>
  <c r="AM162" i="25"/>
  <c r="AM163" i="25"/>
  <c r="AM164" i="25"/>
  <c r="AM165" i="25"/>
  <c r="AM166" i="25"/>
  <c r="AM167" i="25"/>
  <c r="AM168" i="25"/>
  <c r="AM169" i="25"/>
  <c r="AM170" i="25"/>
  <c r="AM171" i="25"/>
  <c r="AM172" i="25"/>
  <c r="AM173" i="25"/>
  <c r="AM174" i="25"/>
  <c r="AM175" i="25"/>
  <c r="AM176" i="25"/>
  <c r="AM177" i="25"/>
  <c r="AM178" i="25"/>
  <c r="AM179" i="25"/>
  <c r="AM180" i="25"/>
  <c r="AM181" i="25"/>
  <c r="AM182" i="25"/>
  <c r="AM183" i="25"/>
  <c r="AM184" i="25"/>
  <c r="AM185" i="25"/>
  <c r="AM186" i="25"/>
  <c r="AM187" i="25"/>
  <c r="AM188" i="25"/>
  <c r="AM189" i="25"/>
  <c r="AM190" i="25"/>
  <c r="AM191" i="25"/>
  <c r="AM192" i="25"/>
  <c r="AM193" i="25"/>
  <c r="AM194" i="25"/>
  <c r="AM195" i="25"/>
  <c r="AM196" i="25"/>
  <c r="AM197" i="25"/>
  <c r="AM198" i="25"/>
  <c r="AM199" i="25"/>
  <c r="AM200" i="25"/>
  <c r="AM201" i="25"/>
  <c r="AM202" i="25"/>
  <c r="AM203" i="25"/>
  <c r="AM204" i="25"/>
  <c r="AM205" i="25"/>
  <c r="AM206" i="25"/>
  <c r="AM207" i="25"/>
  <c r="AM208" i="25"/>
  <c r="AM209" i="25"/>
  <c r="AM210" i="25"/>
  <c r="AM211" i="25"/>
  <c r="AM212" i="25"/>
  <c r="AM213" i="25"/>
  <c r="AM214" i="25"/>
  <c r="AM215" i="25"/>
  <c r="AM216" i="25"/>
  <c r="AM217" i="25"/>
  <c r="AM218" i="25"/>
  <c r="AM219" i="25"/>
  <c r="AM220" i="25"/>
  <c r="AM221" i="25"/>
  <c r="AM222" i="25"/>
  <c r="AM223" i="25"/>
  <c r="AM224" i="25"/>
  <c r="AM225" i="25"/>
  <c r="AM226" i="25"/>
  <c r="AM227" i="25"/>
  <c r="AM228" i="25"/>
  <c r="AM229" i="25"/>
  <c r="AM230" i="25"/>
  <c r="AM231" i="25"/>
  <c r="AM232" i="25"/>
  <c r="AM233" i="25"/>
  <c r="AM234" i="25"/>
  <c r="AM235" i="25"/>
  <c r="AM236" i="25"/>
  <c r="AM237" i="25"/>
  <c r="AM238" i="25"/>
  <c r="AM239" i="25"/>
  <c r="AM240" i="25"/>
  <c r="AM241" i="25"/>
  <c r="AM242" i="25"/>
  <c r="AM243" i="25"/>
  <c r="AM244" i="25"/>
  <c r="AM245" i="25"/>
  <c r="AM246" i="25"/>
  <c r="AM247" i="25"/>
  <c r="AM248" i="25"/>
  <c r="AM249" i="25"/>
  <c r="AM250" i="25"/>
  <c r="AM251" i="25"/>
  <c r="AM252" i="25"/>
  <c r="AM253" i="25"/>
  <c r="AM254" i="25"/>
  <c r="AM255" i="25"/>
  <c r="AM256" i="25"/>
  <c r="AM257" i="25"/>
  <c r="AM258" i="25"/>
  <c r="AM259" i="25"/>
  <c r="AM260" i="25"/>
  <c r="AM261" i="25"/>
  <c r="AM262" i="25"/>
  <c r="AM263" i="25"/>
  <c r="AM264" i="25"/>
  <c r="AM265" i="25"/>
  <c r="AM266" i="25"/>
  <c r="AM267" i="25"/>
  <c r="AM268" i="25"/>
  <c r="AM269" i="25"/>
  <c r="AM270" i="25"/>
  <c r="AM271" i="25"/>
  <c r="AM272" i="25"/>
  <c r="AM273" i="25"/>
  <c r="AM274" i="25"/>
  <c r="AM275" i="25"/>
  <c r="AM276" i="25"/>
  <c r="AM277" i="25"/>
  <c r="AM278" i="25"/>
  <c r="AM279" i="25"/>
  <c r="AM280" i="25"/>
  <c r="AM281" i="25"/>
  <c r="AM282" i="25"/>
  <c r="AM283" i="25"/>
  <c r="AM284" i="25"/>
  <c r="AM285" i="25"/>
  <c r="AM286" i="25"/>
  <c r="AM287" i="25"/>
  <c r="AM288" i="25"/>
  <c r="AM289" i="25"/>
  <c r="AM290" i="25"/>
  <c r="AM291" i="25"/>
  <c r="AM292" i="25"/>
  <c r="AM293" i="25"/>
  <c r="AM294" i="25"/>
  <c r="AM295" i="25"/>
  <c r="AM296" i="25"/>
  <c r="AM297" i="25"/>
  <c r="AM298" i="25"/>
  <c r="AM299" i="25"/>
  <c r="AM300" i="25"/>
  <c r="AM301" i="25"/>
  <c r="AM302" i="25"/>
  <c r="AM303" i="25"/>
  <c r="AM304" i="25"/>
  <c r="AM305" i="25"/>
  <c r="AM306" i="25"/>
  <c r="AM307" i="25"/>
  <c r="AM308" i="25"/>
  <c r="AM309" i="25"/>
  <c r="AM310" i="25"/>
  <c r="AM311" i="25"/>
  <c r="AM312" i="25"/>
  <c r="AM313" i="25"/>
  <c r="AM314" i="25"/>
  <c r="AM315" i="25"/>
  <c r="AM316" i="25"/>
  <c r="AM317" i="25"/>
  <c r="AM318" i="25"/>
  <c r="AM319" i="25"/>
  <c r="AM320" i="25"/>
  <c r="AM321" i="25"/>
  <c r="AM322" i="25"/>
  <c r="AM323" i="25"/>
  <c r="AM324" i="25"/>
  <c r="AM325" i="25"/>
  <c r="AM326" i="25"/>
  <c r="AM327" i="25"/>
  <c r="AM328" i="25"/>
  <c r="AM329" i="25"/>
  <c r="AM330" i="25"/>
  <c r="AM331" i="25"/>
  <c r="AM332" i="25"/>
  <c r="AM333" i="25"/>
  <c r="AM334" i="25"/>
  <c r="AM335" i="25"/>
  <c r="AM336" i="25"/>
  <c r="AM337" i="25"/>
  <c r="AM338" i="25"/>
  <c r="AM339" i="25"/>
  <c r="AM340" i="25"/>
  <c r="AM341" i="25"/>
  <c r="AM342" i="25"/>
  <c r="AM343" i="25"/>
  <c r="AM344" i="25"/>
  <c r="AM345" i="25"/>
  <c r="AM346" i="25"/>
  <c r="AM347" i="25"/>
  <c r="AM348" i="25"/>
  <c r="AM349" i="25"/>
  <c r="AM350" i="25"/>
  <c r="AM351" i="25"/>
  <c r="AM352" i="25"/>
  <c r="AM353" i="25"/>
  <c r="AM354" i="25"/>
  <c r="AM355" i="25"/>
  <c r="AM356" i="25"/>
  <c r="AM357" i="25"/>
  <c r="AM358" i="25"/>
  <c r="AM359" i="25"/>
  <c r="AM360" i="25"/>
  <c r="AM361" i="25"/>
  <c r="AM362" i="25"/>
  <c r="AM363" i="25"/>
  <c r="AM364" i="25"/>
  <c r="AM365" i="25"/>
  <c r="AM366" i="25"/>
  <c r="AM367" i="25"/>
  <c r="AM368" i="25"/>
  <c r="AM369" i="25"/>
  <c r="AM370" i="25"/>
  <c r="AM371" i="25"/>
  <c r="AM372" i="25"/>
  <c r="AM373" i="25"/>
  <c r="AM374" i="25"/>
  <c r="AM375" i="25"/>
  <c r="AM376" i="25"/>
  <c r="AM377" i="25"/>
  <c r="AM378" i="25"/>
  <c r="AM379" i="25"/>
  <c r="AM380" i="25"/>
  <c r="AM381" i="25"/>
  <c r="AM382" i="25"/>
  <c r="AM383" i="25"/>
  <c r="AM384" i="25"/>
  <c r="AM385" i="25"/>
  <c r="AM386" i="25"/>
  <c r="AM387" i="25"/>
  <c r="AM388" i="25"/>
  <c r="AM389" i="25"/>
  <c r="AM390" i="25"/>
  <c r="AM391" i="25"/>
  <c r="AM392" i="25"/>
  <c r="AM393" i="25"/>
  <c r="AM394" i="25"/>
  <c r="AM395" i="25"/>
  <c r="AM396" i="25"/>
  <c r="AM397" i="25"/>
  <c r="AM398" i="25"/>
  <c r="AM399" i="25"/>
  <c r="AM400" i="25"/>
  <c r="AM401" i="25"/>
  <c r="AM402" i="25"/>
  <c r="AM403" i="25"/>
  <c r="AM404" i="25"/>
  <c r="AM405" i="25"/>
  <c r="AM406" i="25"/>
  <c r="AM407" i="25"/>
  <c r="AM408" i="25"/>
  <c r="AM409" i="25"/>
  <c r="AM410" i="25"/>
  <c r="AM411" i="25"/>
  <c r="AM412" i="25"/>
  <c r="AM413" i="25"/>
  <c r="AM414" i="25"/>
  <c r="AM415" i="25"/>
  <c r="AM416" i="25"/>
  <c r="AM417" i="25"/>
  <c r="AM418" i="25"/>
  <c r="AM419" i="25"/>
  <c r="AM420" i="25"/>
  <c r="AM421" i="25"/>
  <c r="AM422" i="25"/>
  <c r="AM423" i="25"/>
  <c r="AM424" i="25"/>
  <c r="AM425" i="25"/>
  <c r="AM426" i="25"/>
  <c r="AM427" i="25"/>
  <c r="AM428" i="25"/>
  <c r="AM429" i="25"/>
  <c r="AM430" i="25"/>
  <c r="AM431" i="25"/>
  <c r="AM432" i="25"/>
  <c r="AM433" i="25"/>
  <c r="AM434" i="25"/>
  <c r="AM435" i="25"/>
  <c r="AM436" i="25"/>
  <c r="AM437" i="25"/>
  <c r="AM438" i="25"/>
  <c r="AM439" i="25"/>
  <c r="AM440" i="25"/>
  <c r="AM441" i="25"/>
  <c r="AM442" i="25"/>
  <c r="AM443" i="25"/>
  <c r="AM444" i="25"/>
  <c r="AM445" i="25"/>
  <c r="AM446" i="25"/>
  <c r="AM447" i="25"/>
  <c r="AM448" i="25"/>
  <c r="AM449" i="25"/>
  <c r="AM450" i="25"/>
  <c r="AM451" i="25"/>
  <c r="AM452" i="25"/>
  <c r="AM453" i="25"/>
  <c r="AM454" i="25"/>
  <c r="AM455" i="25"/>
  <c r="AM456" i="25"/>
  <c r="AM457" i="25"/>
  <c r="AM458" i="25"/>
  <c r="AM459" i="25"/>
  <c r="AM460" i="25"/>
  <c r="AM461" i="25"/>
  <c r="AM462" i="25"/>
  <c r="AM463" i="25"/>
  <c r="AM464" i="25"/>
  <c r="AM465" i="25"/>
  <c r="AM466" i="25"/>
  <c r="AM467" i="25"/>
  <c r="AM468" i="25"/>
  <c r="AM469" i="25"/>
  <c r="AM470" i="25"/>
  <c r="AM471" i="25"/>
  <c r="AM472" i="25"/>
  <c r="AM473" i="25"/>
  <c r="AM474" i="25"/>
  <c r="AM475" i="25"/>
  <c r="AM476" i="25"/>
  <c r="AM477" i="25"/>
  <c r="AM478" i="25"/>
  <c r="AM479" i="25"/>
  <c r="AM480" i="25"/>
  <c r="AM481" i="25"/>
  <c r="AM482" i="25"/>
  <c r="AM483" i="25"/>
  <c r="AM484" i="25"/>
  <c r="AM485" i="25"/>
  <c r="AM486" i="25"/>
  <c r="AM487" i="25"/>
  <c r="AM488" i="25"/>
  <c r="AM489" i="25"/>
  <c r="AM490" i="25"/>
  <c r="AM491" i="25"/>
  <c r="AM492" i="25"/>
  <c r="AM493" i="25"/>
  <c r="AM494" i="25"/>
  <c r="AM495" i="25"/>
  <c r="AM496" i="25"/>
  <c r="AM497" i="25"/>
  <c r="AM498" i="25"/>
  <c r="AM499" i="25"/>
  <c r="AM500" i="25"/>
  <c r="AM501" i="25"/>
  <c r="AM502" i="25"/>
  <c r="AM503" i="25"/>
  <c r="AM504" i="25"/>
  <c r="AM505" i="25"/>
  <c r="AM506" i="25"/>
  <c r="AM507" i="25"/>
  <c r="AM508" i="25"/>
  <c r="AM509" i="25"/>
  <c r="AM510" i="25"/>
  <c r="AM511" i="25"/>
  <c r="AM512" i="25"/>
  <c r="AM513" i="25"/>
  <c r="AM514" i="25"/>
  <c r="AM515" i="25"/>
  <c r="AM516" i="25"/>
  <c r="AM517" i="25"/>
  <c r="AM518" i="25"/>
  <c r="AM519" i="25"/>
  <c r="AM520" i="25"/>
  <c r="AM521" i="25"/>
  <c r="AM522" i="25"/>
  <c r="AM523" i="25"/>
  <c r="AM524" i="25"/>
  <c r="AM525" i="25"/>
  <c r="AM526" i="25"/>
  <c r="AM527" i="25"/>
  <c r="AM528" i="25"/>
  <c r="AM529" i="25"/>
  <c r="AM530" i="25"/>
  <c r="AM531" i="25"/>
  <c r="AM532" i="25"/>
  <c r="AM533" i="25"/>
  <c r="AM534" i="25"/>
  <c r="AM535" i="25"/>
  <c r="AM536" i="25"/>
  <c r="AM537" i="25"/>
  <c r="AM538" i="25"/>
  <c r="AM539" i="25"/>
  <c r="AM540" i="25"/>
  <c r="AM541" i="25"/>
  <c r="AM542" i="25"/>
  <c r="AM543" i="25"/>
  <c r="AM544" i="25"/>
  <c r="AM545" i="25"/>
  <c r="AM546" i="25"/>
  <c r="AM547" i="25"/>
  <c r="AM548" i="25"/>
  <c r="AM549" i="25"/>
  <c r="AM550" i="25"/>
  <c r="AM551" i="25"/>
  <c r="AM552" i="25"/>
  <c r="AM553" i="25"/>
  <c r="AM554" i="25"/>
  <c r="AM555" i="25"/>
  <c r="AM556" i="25"/>
  <c r="AM557" i="25"/>
  <c r="AM558" i="25"/>
  <c r="AM559" i="25"/>
  <c r="AM560" i="25"/>
  <c r="AM561" i="25"/>
  <c r="AM562" i="25"/>
  <c r="AM563" i="25"/>
  <c r="AM564" i="25"/>
  <c r="AM565" i="25"/>
  <c r="AM566" i="25"/>
  <c r="AM567" i="25"/>
  <c r="AM568" i="25"/>
  <c r="AM569" i="25"/>
  <c r="AM570" i="25"/>
  <c r="AM571" i="25"/>
  <c r="AM572" i="25"/>
  <c r="AM573" i="25"/>
  <c r="AM574" i="25"/>
  <c r="AM575" i="25"/>
  <c r="AM576" i="25"/>
  <c r="AM577" i="25"/>
  <c r="AM578" i="25"/>
  <c r="AM579" i="25"/>
  <c r="AM580" i="25"/>
  <c r="AM581" i="25"/>
  <c r="AM582" i="25"/>
  <c r="AM583" i="25"/>
  <c r="AM584" i="25"/>
  <c r="AM585" i="25"/>
  <c r="AM586" i="25"/>
  <c r="AM587" i="25"/>
  <c r="AM588" i="25"/>
  <c r="AM589" i="25"/>
  <c r="AM590" i="25"/>
  <c r="AM591" i="25"/>
  <c r="AM592" i="25"/>
  <c r="AM593" i="25"/>
  <c r="AM594" i="25"/>
  <c r="AM595" i="25"/>
  <c r="AM596" i="25"/>
  <c r="AM597" i="25"/>
  <c r="AM598" i="25"/>
  <c r="AM599" i="25"/>
  <c r="AM600" i="25"/>
  <c r="AM601" i="25"/>
  <c r="AM602" i="25"/>
  <c r="AM603" i="25"/>
  <c r="AM604" i="25"/>
  <c r="AM605" i="25"/>
  <c r="AM606" i="25"/>
  <c r="AM607" i="25"/>
  <c r="AM608" i="25"/>
  <c r="AM609" i="25"/>
  <c r="AM610" i="25"/>
  <c r="AM611" i="25"/>
  <c r="AM612" i="25"/>
  <c r="AM613" i="25"/>
  <c r="AM614" i="25"/>
  <c r="AM615" i="25"/>
  <c r="AM616" i="25"/>
  <c r="AM617" i="25"/>
  <c r="AM618" i="25"/>
  <c r="AM619" i="25"/>
  <c r="AM620" i="25"/>
  <c r="AM621" i="25"/>
  <c r="AM622" i="25"/>
  <c r="AM623" i="25"/>
  <c r="AM624" i="25"/>
  <c r="AM625" i="25"/>
  <c r="AM626" i="25"/>
  <c r="AM627" i="25"/>
  <c r="AM628" i="25"/>
  <c r="AM629" i="25"/>
  <c r="AM630" i="25"/>
  <c r="AM631" i="25"/>
  <c r="AM632" i="25"/>
  <c r="AM633" i="25"/>
  <c r="AM634" i="25"/>
  <c r="AM635" i="25"/>
  <c r="AM636" i="25"/>
  <c r="AM637" i="25"/>
  <c r="AM638" i="25"/>
  <c r="AM639" i="25"/>
  <c r="AM640" i="25"/>
  <c r="AM641" i="25"/>
  <c r="AM642" i="25"/>
  <c r="AM643" i="25"/>
  <c r="AM644" i="25"/>
  <c r="AM645" i="25"/>
  <c r="AM646" i="25"/>
  <c r="AM647" i="25"/>
  <c r="AM648" i="25"/>
  <c r="AM649" i="25"/>
  <c r="AM650" i="25"/>
  <c r="AM651" i="25"/>
  <c r="AM652" i="25"/>
  <c r="AM653" i="25"/>
  <c r="AM654" i="25"/>
  <c r="AM655" i="25"/>
  <c r="AM656" i="25"/>
  <c r="AM657" i="25"/>
  <c r="AM658" i="25"/>
  <c r="AM659" i="25"/>
  <c r="AM660" i="25"/>
  <c r="AM661" i="25"/>
  <c r="AM662" i="25"/>
  <c r="AM663" i="25"/>
  <c r="AM664" i="25"/>
  <c r="AM665" i="25"/>
  <c r="AM666" i="25"/>
  <c r="AM667" i="25"/>
  <c r="AM668" i="25"/>
  <c r="AM669" i="25"/>
  <c r="AM670" i="25"/>
  <c r="AM671" i="25"/>
  <c r="AM672" i="25"/>
  <c r="AM673" i="25"/>
  <c r="AM674" i="25"/>
  <c r="AM675" i="25"/>
  <c r="AM676" i="25"/>
  <c r="AM677" i="25"/>
  <c r="AM678" i="25"/>
  <c r="AM679" i="25"/>
  <c r="AM680" i="25"/>
  <c r="AM681" i="25"/>
  <c r="AM682" i="25"/>
  <c r="AM683" i="25"/>
  <c r="AM684" i="25"/>
  <c r="AM685" i="25"/>
  <c r="AM686" i="25"/>
  <c r="AM687" i="25"/>
  <c r="AM688" i="25"/>
  <c r="AM689" i="25"/>
  <c r="AM690" i="25"/>
  <c r="AM691" i="25"/>
  <c r="AM692" i="25"/>
  <c r="AM693" i="25"/>
  <c r="AM694" i="25"/>
  <c r="AM695" i="25"/>
  <c r="AM696" i="25"/>
  <c r="AM697" i="25"/>
  <c r="AM698" i="25"/>
  <c r="AM699" i="25"/>
  <c r="AM700" i="25"/>
  <c r="AM701" i="25"/>
  <c r="AM702" i="25"/>
  <c r="AM703" i="25"/>
  <c r="AM704" i="25"/>
  <c r="AM705" i="25"/>
  <c r="AM706" i="25"/>
  <c r="AM707" i="25"/>
  <c r="AM708" i="25"/>
  <c r="AM709" i="25"/>
  <c r="AM710" i="25"/>
  <c r="AM711" i="25"/>
  <c r="AM712" i="25"/>
  <c r="AM713" i="25"/>
  <c r="AM714" i="25"/>
  <c r="AM715" i="25"/>
  <c r="AM716" i="25"/>
  <c r="AM717" i="25"/>
  <c r="AM718" i="25"/>
  <c r="AM719" i="25"/>
  <c r="AM720" i="25"/>
  <c r="AM721" i="25"/>
  <c r="AM722" i="25"/>
  <c r="AM723" i="25"/>
  <c r="AM724" i="25"/>
  <c r="AM725" i="25"/>
  <c r="AM726" i="25"/>
  <c r="AM727" i="25"/>
  <c r="AM728" i="25"/>
  <c r="AM729" i="25"/>
  <c r="AM730" i="25"/>
  <c r="AM731" i="25"/>
  <c r="AM732" i="25"/>
  <c r="AM733" i="25"/>
  <c r="AM734" i="25"/>
  <c r="AM735" i="25"/>
  <c r="AM736" i="25"/>
  <c r="AM737" i="25"/>
  <c r="AM738" i="25"/>
  <c r="AM739" i="25"/>
  <c r="AM740" i="25"/>
  <c r="AM741" i="25"/>
  <c r="AM742" i="25"/>
  <c r="AM743" i="25"/>
  <c r="AM744" i="25"/>
  <c r="AM745" i="25"/>
  <c r="AM746" i="25"/>
  <c r="AM747" i="25"/>
  <c r="AM748" i="25"/>
  <c r="AM749" i="25"/>
  <c r="AM750" i="25"/>
  <c r="AM751" i="25"/>
  <c r="AM752" i="25"/>
  <c r="AM753" i="25"/>
  <c r="AM754" i="25"/>
  <c r="AM755" i="25"/>
  <c r="AM756" i="25"/>
  <c r="AM757" i="25"/>
  <c r="AM758" i="25"/>
  <c r="AM759" i="25"/>
  <c r="AM760" i="25"/>
  <c r="AM761" i="25"/>
  <c r="AM762" i="25"/>
  <c r="AM763" i="25"/>
  <c r="AM764" i="25"/>
  <c r="AM765" i="25"/>
  <c r="AM766" i="25"/>
  <c r="AM767" i="25"/>
  <c r="AM768" i="25"/>
  <c r="AM769" i="25"/>
  <c r="AM770" i="25"/>
  <c r="AM771" i="25"/>
  <c r="AM772" i="25"/>
  <c r="AM773" i="25"/>
  <c r="AM774" i="25"/>
  <c r="AM775" i="25"/>
  <c r="AM776" i="25"/>
  <c r="AM777" i="25"/>
  <c r="AM778" i="25"/>
  <c r="AM779" i="25"/>
  <c r="AM780" i="25"/>
  <c r="AM781" i="25"/>
  <c r="AM782" i="25"/>
  <c r="AM783" i="25"/>
  <c r="AM784" i="25"/>
  <c r="AM785" i="25"/>
  <c r="AM786" i="25"/>
  <c r="AM787" i="25"/>
  <c r="AM788" i="25"/>
  <c r="AM789" i="25"/>
  <c r="AM790" i="25"/>
  <c r="AM791" i="25"/>
  <c r="AM792" i="25"/>
  <c r="AM793" i="25"/>
  <c r="AM794" i="25"/>
  <c r="AM795" i="25"/>
  <c r="AM796" i="25"/>
  <c r="AM797" i="25"/>
  <c r="AM798" i="25"/>
  <c r="AM799" i="25"/>
  <c r="AM800" i="25"/>
  <c r="AM801" i="25"/>
  <c r="AM802" i="25"/>
  <c r="AM803" i="25"/>
  <c r="AM804" i="25"/>
  <c r="AM805" i="25"/>
  <c r="AM806" i="25"/>
  <c r="AM807" i="25"/>
  <c r="AM808" i="25"/>
  <c r="AM809" i="25"/>
  <c r="AM810" i="25"/>
  <c r="AM811" i="25"/>
  <c r="AM812" i="25"/>
  <c r="AM813" i="25"/>
  <c r="AM814" i="25"/>
  <c r="AM815" i="25"/>
  <c r="AM816" i="25"/>
  <c r="AM817" i="25"/>
  <c r="AM818" i="25"/>
  <c r="AM819" i="25"/>
  <c r="AM820" i="25"/>
  <c r="AM821" i="25"/>
  <c r="AM822" i="25"/>
  <c r="AM823" i="25"/>
  <c r="AM824" i="25"/>
  <c r="AM825" i="25"/>
  <c r="AM826" i="25"/>
  <c r="AM827" i="25"/>
  <c r="AM828" i="25"/>
  <c r="AM829" i="25"/>
  <c r="AM830" i="25"/>
  <c r="AM831" i="25"/>
  <c r="AM832" i="25"/>
  <c r="AM833" i="25"/>
  <c r="AM834" i="25"/>
  <c r="AM835" i="25"/>
  <c r="AM836" i="25"/>
  <c r="AM837" i="25"/>
  <c r="AM838" i="25"/>
  <c r="AM839" i="25"/>
  <c r="AM840" i="25"/>
  <c r="AM841" i="25"/>
  <c r="AM842" i="25"/>
  <c r="AM843" i="25"/>
  <c r="AM844" i="25"/>
  <c r="AM845" i="25"/>
  <c r="AM846" i="25"/>
  <c r="AM847" i="25"/>
  <c r="AM848" i="25"/>
  <c r="AM849" i="25"/>
  <c r="AM850" i="25"/>
  <c r="AM851" i="25"/>
  <c r="AM852" i="25"/>
  <c r="AM853" i="25"/>
  <c r="AM854" i="25"/>
  <c r="AM855" i="25"/>
  <c r="AM856" i="25"/>
  <c r="AM857" i="25"/>
  <c r="AM858" i="25"/>
  <c r="AM859" i="25"/>
  <c r="AM860" i="25"/>
  <c r="AM861" i="25"/>
  <c r="AM862" i="25"/>
  <c r="AM863" i="25"/>
  <c r="AM864" i="25"/>
  <c r="AM865" i="25"/>
  <c r="AM866" i="25"/>
  <c r="AM867" i="25"/>
  <c r="AM868" i="25"/>
  <c r="AM869" i="25"/>
  <c r="AM870" i="25"/>
  <c r="AM871" i="25"/>
  <c r="AM872" i="25"/>
  <c r="AM873" i="25"/>
  <c r="AM874" i="25"/>
  <c r="AM875" i="25"/>
  <c r="AM876" i="25"/>
  <c r="AM877" i="25"/>
  <c r="AM878" i="25"/>
  <c r="AM879" i="25"/>
  <c r="AM880" i="25"/>
  <c r="AM881" i="25"/>
  <c r="AM882" i="25"/>
  <c r="AM883" i="25"/>
  <c r="AM884" i="25"/>
  <c r="AM885" i="25"/>
  <c r="AM886" i="25"/>
  <c r="AM887" i="25"/>
  <c r="AM888" i="25"/>
  <c r="AM889" i="25"/>
  <c r="AM890" i="25"/>
  <c r="AM891" i="25"/>
  <c r="AM892" i="25"/>
  <c r="AM893" i="25"/>
  <c r="AM894" i="25"/>
  <c r="AM895" i="25"/>
  <c r="AM896" i="25"/>
  <c r="AM897" i="25"/>
  <c r="AM898" i="25"/>
  <c r="AM899" i="25"/>
  <c r="AM900" i="25"/>
  <c r="AM901" i="25"/>
  <c r="AM902" i="25"/>
  <c r="AM903" i="25"/>
  <c r="AM904" i="25"/>
  <c r="AM905" i="25"/>
  <c r="AM906" i="25"/>
  <c r="AM907" i="25"/>
  <c r="AM908" i="25"/>
  <c r="AM909" i="25"/>
  <c r="AM910" i="25"/>
  <c r="AM911" i="25"/>
  <c r="AM912" i="25"/>
  <c r="AM913" i="25"/>
  <c r="AM914" i="25"/>
  <c r="AM915" i="25"/>
  <c r="AM916" i="25"/>
  <c r="AM917" i="25"/>
  <c r="AM918" i="25"/>
  <c r="AM919" i="25"/>
  <c r="AM920" i="25"/>
  <c r="AM921" i="25"/>
  <c r="AM922" i="25"/>
  <c r="AM923" i="25"/>
  <c r="AM924" i="25"/>
  <c r="AM925" i="25"/>
  <c r="AM926" i="25"/>
  <c r="AM927" i="25"/>
  <c r="AM928" i="25"/>
  <c r="AM929" i="25"/>
  <c r="AM930" i="25"/>
  <c r="AM931" i="25"/>
  <c r="AM932" i="25"/>
  <c r="AM933" i="25"/>
  <c r="AM934" i="25"/>
  <c r="AM935" i="25"/>
  <c r="AM936" i="25"/>
  <c r="AM937" i="25"/>
  <c r="AM938" i="25"/>
  <c r="AM939" i="25"/>
  <c r="AM940" i="25"/>
  <c r="AM941" i="25"/>
  <c r="AM942" i="25"/>
  <c r="AM943" i="25"/>
  <c r="AM944" i="25"/>
  <c r="AM945" i="25"/>
  <c r="AM946" i="25"/>
  <c r="AM947" i="25"/>
  <c r="AM948" i="25"/>
  <c r="AM949" i="25"/>
  <c r="AM950" i="25"/>
  <c r="AM951" i="25"/>
  <c r="AM952" i="25"/>
  <c r="AM953" i="25"/>
  <c r="AM954" i="25"/>
  <c r="AM955" i="25"/>
  <c r="AM956" i="25"/>
  <c r="AM957" i="25"/>
  <c r="AM958" i="25"/>
  <c r="AM959" i="25"/>
  <c r="AM960" i="25"/>
  <c r="AM961" i="25"/>
  <c r="AM962" i="25"/>
  <c r="AM963" i="25"/>
  <c r="AM964" i="25"/>
  <c r="AM965" i="25"/>
  <c r="AM966" i="25"/>
  <c r="AM967" i="25"/>
  <c r="AM968" i="25"/>
  <c r="AM969" i="25"/>
  <c r="AM970" i="25"/>
  <c r="AM971" i="25"/>
  <c r="AM972" i="25"/>
  <c r="AM973" i="25"/>
  <c r="AM974" i="25"/>
  <c r="AM975" i="25"/>
  <c r="AM976" i="25"/>
  <c r="AM977" i="25"/>
  <c r="AM978" i="25"/>
  <c r="AM979" i="25"/>
  <c r="AM980" i="25"/>
  <c r="AM981" i="25"/>
  <c r="AM982" i="25"/>
  <c r="AM983" i="25"/>
  <c r="AM984" i="25"/>
  <c r="AM985" i="25"/>
  <c r="AM986" i="25"/>
  <c r="AM987" i="25"/>
  <c r="AM988" i="25"/>
  <c r="AM989" i="25"/>
  <c r="AM990" i="25"/>
  <c r="AM991" i="25"/>
  <c r="AM992" i="25"/>
  <c r="AM993" i="25"/>
  <c r="AM994" i="25"/>
  <c r="AM995" i="25"/>
  <c r="AM996" i="25"/>
  <c r="AM997" i="25"/>
  <c r="AM998" i="25"/>
  <c r="AM999" i="25"/>
  <c r="AM1000" i="25"/>
  <c r="AM1001" i="25"/>
  <c r="AM1002" i="25"/>
  <c r="AM1003" i="25"/>
  <c r="AM1004" i="25"/>
  <c r="AM1005" i="25"/>
  <c r="AM1006" i="25"/>
  <c r="AM1007" i="25"/>
  <c r="AM1008" i="25"/>
  <c r="AM1009" i="25"/>
  <c r="AM1010" i="25"/>
  <c r="AM1011" i="25"/>
  <c r="AM1012" i="25"/>
  <c r="AM1013" i="25"/>
  <c r="AM1014" i="25"/>
  <c r="AM1015" i="25"/>
  <c r="AM1016" i="25"/>
  <c r="AM1017" i="25"/>
  <c r="AM1018" i="25"/>
  <c r="AM1019" i="25"/>
  <c r="AM1020" i="25"/>
  <c r="AM1021" i="25"/>
  <c r="AM1022" i="25"/>
  <c r="AM1023" i="25"/>
  <c r="AM1024" i="25"/>
  <c r="AM1025" i="25"/>
  <c r="AM1026" i="25"/>
  <c r="AM1027" i="25"/>
  <c r="AM1028" i="25"/>
  <c r="AM1029" i="25"/>
  <c r="AM1030" i="25"/>
  <c r="AM1031" i="25"/>
  <c r="AM1032" i="25"/>
  <c r="AM1033" i="25"/>
  <c r="AM1034" i="25"/>
  <c r="AM1035" i="25"/>
  <c r="AM1036" i="25"/>
  <c r="AM1037" i="25"/>
  <c r="AM1038" i="25"/>
  <c r="AM1039" i="25"/>
  <c r="AM1040" i="25"/>
  <c r="AM1041" i="25"/>
  <c r="AM1042" i="25"/>
  <c r="AM1043" i="25"/>
  <c r="AM1044" i="25"/>
  <c r="AM1045" i="25"/>
  <c r="AM1046" i="25"/>
  <c r="AM1047" i="25"/>
  <c r="AM1048" i="25"/>
  <c r="AM1049" i="25"/>
  <c r="AM1050" i="25"/>
  <c r="AM1051" i="25"/>
  <c r="AM1052" i="25"/>
  <c r="AM1053" i="25"/>
  <c r="AM1054" i="25"/>
  <c r="AM1055" i="25"/>
  <c r="AM1056" i="25"/>
  <c r="AM1057" i="25"/>
  <c r="AM1058" i="25"/>
  <c r="AM1059" i="25"/>
  <c r="AM1060" i="25"/>
  <c r="AM1061" i="25"/>
  <c r="AM1062" i="25"/>
  <c r="AM1063" i="25"/>
  <c r="AM1064" i="25"/>
  <c r="AM1065" i="25"/>
  <c r="AM1066" i="25"/>
  <c r="AM1067" i="25"/>
  <c r="AM1068" i="25"/>
  <c r="AM1069" i="25"/>
  <c r="AM1070" i="25"/>
  <c r="AM1071" i="25"/>
  <c r="AM1072" i="25"/>
  <c r="AM1073" i="25"/>
  <c r="AM1074" i="25"/>
  <c r="AM1075" i="25"/>
  <c r="AM1076" i="25"/>
  <c r="AM1077" i="25"/>
  <c r="AM1078" i="25"/>
  <c r="AM1079" i="25"/>
  <c r="AM1080" i="25"/>
  <c r="AM1081" i="25"/>
  <c r="AM1082" i="25"/>
  <c r="AM1083" i="25"/>
  <c r="AM1084" i="25"/>
  <c r="AM1085" i="25"/>
  <c r="AM1086" i="25"/>
  <c r="AM1087" i="25"/>
  <c r="AM1088" i="25"/>
  <c r="AM1089" i="25"/>
  <c r="AM1090" i="25"/>
  <c r="AM1091" i="25"/>
  <c r="AM1092" i="25"/>
  <c r="AM1093" i="25"/>
  <c r="AM1094" i="25"/>
  <c r="AM1095" i="25"/>
  <c r="AM1096" i="25"/>
  <c r="AM1097" i="25"/>
  <c r="AM1098" i="25"/>
  <c r="AM1099" i="25"/>
  <c r="AM1100" i="25"/>
  <c r="AM1101" i="25"/>
  <c r="AM1102" i="25"/>
  <c r="AM1103" i="25"/>
  <c r="AM1104" i="25"/>
  <c r="AM1105" i="25"/>
  <c r="AM1106" i="25"/>
  <c r="AM1107" i="25"/>
  <c r="AM1108" i="25"/>
  <c r="AM1109" i="25"/>
  <c r="AM1110" i="25"/>
  <c r="AM1111" i="25"/>
  <c r="AM1112" i="25"/>
  <c r="AM1113" i="25"/>
  <c r="AM1114" i="25"/>
  <c r="AM1115" i="25"/>
  <c r="AM1116" i="25"/>
  <c r="AM1117" i="25"/>
  <c r="AM1118" i="25"/>
  <c r="AM1119" i="25"/>
  <c r="AM1120" i="25"/>
  <c r="AM1121" i="25"/>
  <c r="AM1122" i="25"/>
  <c r="AM1123" i="25"/>
  <c r="AM1124" i="25"/>
  <c r="AM1125" i="25"/>
  <c r="AM1126" i="25"/>
  <c r="AM1127" i="25"/>
  <c r="AM1128" i="25"/>
  <c r="AM1129" i="25"/>
  <c r="AM1130" i="25"/>
  <c r="AM1131" i="25"/>
  <c r="AM1132" i="25"/>
  <c r="AM1133" i="25"/>
  <c r="AM1134" i="25"/>
  <c r="AM1135" i="25"/>
  <c r="AM1136" i="25"/>
  <c r="AM1137" i="25"/>
  <c r="AM1138" i="25"/>
  <c r="AM1139" i="25"/>
  <c r="AM1140" i="25"/>
  <c r="AM1141" i="25"/>
  <c r="AM1142" i="25"/>
  <c r="AM1143" i="25"/>
  <c r="AM1144" i="25"/>
  <c r="AM1145" i="25"/>
  <c r="AM1146" i="25"/>
  <c r="AM1147" i="25"/>
  <c r="AM1148" i="25"/>
  <c r="AM1149" i="25"/>
  <c r="AM1150" i="25"/>
  <c r="AM1151" i="25"/>
  <c r="AM1152" i="25"/>
  <c r="AM1153" i="25"/>
  <c r="AM1154" i="25"/>
  <c r="AM1155" i="25"/>
  <c r="AM1156" i="25"/>
  <c r="AM1157" i="25"/>
  <c r="AM1158" i="25"/>
  <c r="AM1159" i="25"/>
  <c r="AM1160" i="25"/>
  <c r="AM1161" i="25"/>
  <c r="AM1162" i="25"/>
  <c r="AM1163" i="25"/>
  <c r="AM1164" i="25"/>
  <c r="AM1165" i="25"/>
  <c r="AM1166" i="25"/>
  <c r="AM1167" i="25"/>
  <c r="AM1168" i="25"/>
  <c r="AM1169" i="25"/>
  <c r="AM1170" i="25"/>
  <c r="AM1171" i="25"/>
  <c r="AM1172" i="25"/>
  <c r="AM1173" i="25"/>
  <c r="AM1174" i="25"/>
  <c r="AM1175" i="25"/>
  <c r="AM1176" i="25"/>
  <c r="AM1177" i="25"/>
  <c r="AM1178" i="25"/>
  <c r="AM1179" i="25"/>
  <c r="AM1180" i="25"/>
  <c r="AM1181" i="25"/>
  <c r="AM1182" i="25"/>
  <c r="AM1183" i="25"/>
  <c r="AM1184" i="25"/>
  <c r="AM1185" i="25"/>
  <c r="AM1186" i="25"/>
  <c r="AM1187" i="25"/>
  <c r="AM1188" i="25"/>
  <c r="AM1189" i="25"/>
  <c r="AM1190" i="25"/>
  <c r="AM1191" i="25"/>
  <c r="AM1192" i="25"/>
  <c r="AM1193" i="25"/>
  <c r="AM1194" i="25"/>
  <c r="AM1195" i="25"/>
  <c r="AM1196" i="25"/>
  <c r="AM1197" i="25"/>
  <c r="AM1198" i="25"/>
  <c r="AM1199" i="25"/>
  <c r="AM1200" i="25"/>
  <c r="AM1201" i="25"/>
  <c r="AM1202" i="25"/>
  <c r="AM1203" i="25"/>
  <c r="AM1204" i="25"/>
  <c r="AM1205" i="25"/>
  <c r="AM1206" i="25"/>
  <c r="AM1207" i="25"/>
  <c r="AM1208" i="25"/>
  <c r="AM1209" i="25"/>
  <c r="AM1210" i="25"/>
  <c r="AM1211" i="25"/>
  <c r="AM1212" i="25"/>
  <c r="AM1213" i="25"/>
  <c r="AM1214" i="25"/>
  <c r="AM1215" i="25"/>
  <c r="AM1216" i="25"/>
  <c r="AM1217" i="25"/>
  <c r="AM1218" i="25"/>
  <c r="AM1219" i="25"/>
  <c r="AM1220" i="25"/>
  <c r="AM1221" i="25"/>
  <c r="AM1222" i="25"/>
  <c r="AM1223" i="25"/>
  <c r="AM1224" i="25"/>
  <c r="AM1225" i="25"/>
  <c r="AM1226" i="25"/>
  <c r="AM1227" i="25"/>
  <c r="AM1228" i="25"/>
  <c r="AM1229" i="25"/>
  <c r="AM1230" i="25"/>
  <c r="AM1231" i="25"/>
  <c r="AM1232" i="25"/>
  <c r="AM1233" i="25"/>
  <c r="AM1234" i="25"/>
  <c r="AM1235" i="25"/>
  <c r="AM1236" i="25"/>
  <c r="AM1237" i="25"/>
  <c r="AM1238" i="25"/>
  <c r="AM1239" i="25"/>
  <c r="AM1240" i="25"/>
  <c r="AM1241" i="25"/>
  <c r="AM1242" i="25"/>
  <c r="AM1243" i="25"/>
  <c r="AM1244" i="25"/>
  <c r="AM1245" i="25"/>
  <c r="AM1246" i="25"/>
  <c r="AM1247" i="25"/>
  <c r="AM1248" i="25"/>
  <c r="AM1249" i="25"/>
  <c r="AM1250" i="25"/>
  <c r="AM1251" i="25"/>
  <c r="AM1252" i="25"/>
  <c r="AM1253" i="25"/>
  <c r="AM1254" i="25"/>
  <c r="AM1255" i="25"/>
  <c r="AM1256" i="25"/>
  <c r="AM1257" i="25"/>
  <c r="AM1258" i="25"/>
  <c r="AM1259" i="25"/>
  <c r="AM1260" i="25"/>
  <c r="AM1261" i="25"/>
  <c r="AM1262" i="25"/>
  <c r="AM1263" i="25"/>
  <c r="AM1264" i="25"/>
  <c r="AM1265" i="25"/>
  <c r="AM1266" i="25"/>
  <c r="AM1267" i="25"/>
  <c r="AM1268" i="25"/>
  <c r="AM1269" i="25"/>
  <c r="AM1270" i="25"/>
  <c r="AM1271" i="25"/>
  <c r="AM1272" i="25"/>
  <c r="AM1273" i="25"/>
  <c r="AM1274" i="25"/>
  <c r="AM1275" i="25"/>
  <c r="AM1276" i="25"/>
  <c r="AM1277" i="25"/>
  <c r="AM1278" i="25"/>
  <c r="AM1279" i="25"/>
  <c r="AM1280" i="25"/>
  <c r="AM1281" i="25"/>
  <c r="AM1282" i="25"/>
  <c r="AM1283" i="25"/>
  <c r="AM1284" i="25"/>
  <c r="AM1285" i="25"/>
  <c r="AM1286" i="25"/>
  <c r="AM1287" i="25"/>
  <c r="AM1288" i="25"/>
  <c r="AM1289" i="25"/>
  <c r="AM1290" i="25"/>
  <c r="AM1291" i="25"/>
  <c r="AM1292" i="25"/>
  <c r="AM1293" i="25"/>
  <c r="AM1294" i="25"/>
  <c r="AM1295" i="25"/>
  <c r="AM1296" i="25"/>
  <c r="AM1297" i="25"/>
  <c r="AM1298" i="25"/>
  <c r="AM1299" i="25"/>
  <c r="AM1300" i="25"/>
  <c r="AM1301" i="25"/>
  <c r="AM1302" i="25"/>
  <c r="AM1303" i="25"/>
  <c r="AM1304" i="25"/>
  <c r="AM1305" i="25"/>
  <c r="AM1306" i="25"/>
  <c r="AM1307" i="25"/>
  <c r="AM1308" i="25"/>
  <c r="AM1309" i="25"/>
  <c r="AM1310" i="25"/>
  <c r="AM1311" i="25"/>
  <c r="AM1312" i="25"/>
  <c r="AM1313" i="25"/>
  <c r="AM1314" i="25"/>
  <c r="AM1315" i="25"/>
  <c r="AM1316" i="25"/>
  <c r="AM1317" i="25"/>
  <c r="AM1318" i="25"/>
  <c r="AM1319" i="25"/>
  <c r="AM1320" i="25"/>
  <c r="AM1321" i="25"/>
  <c r="AM1322" i="25"/>
  <c r="AM1323" i="25"/>
  <c r="AM1324" i="25"/>
  <c r="AM1325" i="25"/>
  <c r="AM1326" i="25"/>
  <c r="AM1327" i="25"/>
  <c r="AM1328" i="25"/>
  <c r="AM1329" i="25"/>
  <c r="AM1330" i="25"/>
  <c r="AM1331" i="25"/>
  <c r="AM1332" i="25"/>
  <c r="AM1333" i="25"/>
  <c r="AM1334" i="25"/>
  <c r="AM1335" i="25"/>
  <c r="AM1336" i="25"/>
  <c r="AM1337" i="25"/>
  <c r="AM1338" i="25"/>
  <c r="AM1339" i="25"/>
  <c r="AM1340" i="25"/>
  <c r="AM1341" i="25"/>
  <c r="AM1342" i="25"/>
  <c r="AM1343" i="25"/>
  <c r="AM1344" i="25"/>
  <c r="AM1345" i="25"/>
  <c r="AM1346" i="25"/>
  <c r="AM1347" i="25"/>
  <c r="AM1348" i="25"/>
  <c r="AM1349" i="25"/>
  <c r="AM1350" i="25"/>
  <c r="AM1351" i="25"/>
  <c r="AM1352" i="25"/>
  <c r="AM1353" i="25"/>
  <c r="AM1354" i="25"/>
  <c r="AM1355" i="25"/>
  <c r="AM1356" i="25"/>
  <c r="AM1357" i="25"/>
  <c r="AM1358" i="25"/>
  <c r="AM1359" i="25"/>
  <c r="AM1360" i="25"/>
  <c r="AM1361" i="25"/>
  <c r="AM1362" i="25"/>
  <c r="AM1363" i="25"/>
  <c r="AM1364" i="25"/>
  <c r="AM1365" i="25"/>
  <c r="AM1366" i="25"/>
  <c r="AM1367" i="25"/>
  <c r="AM1368" i="25"/>
  <c r="AM1369" i="25"/>
  <c r="AM1370" i="25"/>
  <c r="AM1371" i="25"/>
  <c r="AM1372" i="25"/>
  <c r="AM1373" i="25"/>
  <c r="AM1374" i="25"/>
  <c r="AM1375" i="25"/>
  <c r="AM1376" i="25"/>
  <c r="AM1377" i="25"/>
  <c r="AM1378" i="25"/>
  <c r="AM1379" i="25"/>
  <c r="AM1380" i="25"/>
  <c r="AM1381" i="25"/>
  <c r="AM1382" i="25"/>
  <c r="AM1383" i="25"/>
  <c r="AM1384" i="25"/>
  <c r="AM1385" i="25"/>
  <c r="AM1386" i="25"/>
  <c r="AM1387" i="25"/>
  <c r="AM1388" i="25"/>
  <c r="AM1389" i="25"/>
  <c r="AM1390" i="25"/>
  <c r="AM1391" i="25"/>
  <c r="AM1392" i="25"/>
  <c r="AM1393" i="25"/>
  <c r="AM1394" i="25"/>
  <c r="AM1395" i="25"/>
  <c r="AM1396" i="25"/>
  <c r="AM1397" i="25"/>
  <c r="AM1398" i="25"/>
  <c r="AM1399" i="25"/>
  <c r="AM1400" i="25"/>
  <c r="AM1401" i="25"/>
  <c r="AM1402" i="25"/>
  <c r="AM1403" i="25"/>
  <c r="AM1404" i="25"/>
  <c r="AM1405" i="25"/>
  <c r="AM1406" i="25"/>
  <c r="AM1407" i="25"/>
  <c r="AM1408" i="25"/>
  <c r="AM1409" i="25"/>
  <c r="AM1410" i="25"/>
  <c r="AM1411" i="25"/>
  <c r="AM1412" i="25"/>
  <c r="AM1413" i="25"/>
  <c r="AM1414" i="25"/>
  <c r="AM1415" i="25"/>
  <c r="AM1416" i="25"/>
  <c r="AM1417" i="25"/>
  <c r="AM1418" i="25"/>
  <c r="AM1419" i="25"/>
  <c r="AM1420" i="25"/>
  <c r="AM1421" i="25"/>
  <c r="AM1422" i="25"/>
  <c r="AM1423" i="25"/>
  <c r="AM1424" i="25"/>
  <c r="AM1425" i="25"/>
  <c r="AM1426" i="25"/>
  <c r="AM1427" i="25"/>
  <c r="AM1428" i="25"/>
  <c r="AM1429" i="25"/>
  <c r="AM1430" i="25"/>
  <c r="AM1431" i="25"/>
  <c r="AM1432" i="25"/>
  <c r="AM1433" i="25"/>
  <c r="AM1434" i="25"/>
  <c r="AM1435" i="25"/>
  <c r="AM1436" i="25"/>
  <c r="AM1437" i="25"/>
  <c r="AM1438" i="25"/>
  <c r="AM1439" i="25"/>
  <c r="AM1440" i="25"/>
  <c r="AM1441" i="25"/>
  <c r="AM1442" i="25"/>
  <c r="AM1443" i="25"/>
  <c r="AM1444" i="25"/>
  <c r="AM1445" i="25"/>
  <c r="AM1446" i="25"/>
  <c r="AM1447" i="25"/>
  <c r="AM1448" i="25"/>
  <c r="AM1449" i="25"/>
  <c r="AM1450" i="25"/>
  <c r="AM1451" i="25"/>
  <c r="AM1452" i="25"/>
  <c r="AM1453" i="25"/>
  <c r="AM1454" i="25"/>
  <c r="AM1455" i="25"/>
  <c r="AM1456" i="25"/>
  <c r="AM1457" i="25"/>
  <c r="AM1458" i="25"/>
  <c r="AM1459" i="25"/>
  <c r="AM1460" i="25"/>
  <c r="AM1461" i="25"/>
  <c r="AM1462" i="25"/>
  <c r="AM1463" i="25"/>
  <c r="AM1464" i="25"/>
  <c r="AM1465" i="25"/>
  <c r="AM1466" i="25"/>
  <c r="AM1467" i="25"/>
  <c r="AM1468" i="25"/>
  <c r="AM1469" i="25"/>
  <c r="AM1470" i="25"/>
  <c r="AM1471" i="25"/>
  <c r="AM1472" i="25"/>
  <c r="AM1473" i="25"/>
  <c r="AM1474" i="25"/>
  <c r="AM1475" i="25"/>
  <c r="AM1476" i="25"/>
  <c r="AM1477" i="25"/>
  <c r="AM1478" i="25"/>
  <c r="AM1479" i="25"/>
  <c r="AM1480" i="25"/>
  <c r="AM1481" i="25"/>
  <c r="AM1482" i="25"/>
  <c r="AM1483" i="25"/>
  <c r="AM1484" i="25"/>
  <c r="AM1485" i="25"/>
  <c r="AM1486" i="25"/>
  <c r="AM1487" i="25"/>
  <c r="AM1488" i="25"/>
  <c r="AM1489" i="25"/>
  <c r="AM1490" i="25"/>
  <c r="AM1491" i="25"/>
  <c r="AM1492" i="25"/>
  <c r="AM1493" i="25"/>
  <c r="AM1494" i="25"/>
  <c r="AM1495" i="25"/>
  <c r="AM1496" i="25"/>
  <c r="AM1497" i="25"/>
  <c r="AM1498" i="25"/>
  <c r="AM1499" i="25"/>
  <c r="AM1500" i="25"/>
  <c r="AM1501" i="25"/>
  <c r="AM1502" i="25"/>
  <c r="AM1503" i="25"/>
  <c r="AM1504" i="25"/>
  <c r="AM1505" i="25"/>
  <c r="AM1506" i="25"/>
  <c r="AM1507" i="25"/>
  <c r="AM1508" i="25"/>
  <c r="AM1509" i="25"/>
  <c r="AM1510" i="25"/>
  <c r="AM1511" i="25"/>
  <c r="AM1512" i="25"/>
  <c r="AM1513" i="25"/>
  <c r="AM1514" i="25"/>
  <c r="AM1515" i="25"/>
  <c r="AM1516" i="25"/>
  <c r="AM1517" i="25"/>
  <c r="AM1518" i="25"/>
  <c r="AM1519" i="25"/>
  <c r="AM1520" i="25"/>
  <c r="AM1521" i="25"/>
  <c r="AM1522" i="25"/>
  <c r="AM1523" i="25"/>
  <c r="AM1524" i="25"/>
  <c r="AM1525" i="25"/>
  <c r="AM1526" i="25"/>
  <c r="AM1527" i="25"/>
  <c r="AM1528" i="25"/>
  <c r="AM1529" i="25"/>
  <c r="AM1530" i="25"/>
  <c r="AM1531" i="25"/>
  <c r="AM1532" i="25"/>
  <c r="AM1533" i="25"/>
  <c r="AM1534" i="25"/>
  <c r="AM1535" i="25"/>
  <c r="AM1536" i="25"/>
  <c r="AM1537" i="25"/>
  <c r="AM1538" i="25"/>
  <c r="AM1539" i="25"/>
  <c r="AM1540" i="25"/>
  <c r="AM1541" i="25"/>
  <c r="AM1542" i="25"/>
  <c r="AM1543" i="25"/>
  <c r="AM1544" i="25"/>
  <c r="AM1545" i="25"/>
  <c r="AM1546" i="25"/>
  <c r="AM1547" i="25"/>
  <c r="AM1548" i="25"/>
  <c r="AM1549" i="25"/>
  <c r="AM1550" i="25"/>
  <c r="AM1551" i="25"/>
  <c r="AM1552" i="25"/>
  <c r="AM1553" i="25"/>
  <c r="AM1554" i="25"/>
  <c r="AM1555" i="25"/>
  <c r="AM1556" i="25"/>
  <c r="AM1557" i="25"/>
  <c r="AM1558" i="25"/>
  <c r="AM1559" i="25"/>
  <c r="AM1560" i="25"/>
  <c r="AM1561" i="25"/>
  <c r="AM1562" i="25"/>
  <c r="AM1563" i="25"/>
  <c r="AM1564" i="25"/>
  <c r="AM1565" i="25"/>
  <c r="AM1566" i="25"/>
  <c r="AM1567" i="25"/>
  <c r="AM1568" i="25"/>
  <c r="AM1569" i="25"/>
  <c r="AM1570" i="25"/>
  <c r="AM1571" i="25"/>
  <c r="AM1572" i="25"/>
  <c r="AM1573" i="25"/>
  <c r="AM1574" i="25"/>
  <c r="AM1575" i="25"/>
  <c r="AM1576" i="25"/>
  <c r="AM1577" i="25"/>
  <c r="AM1578" i="25"/>
  <c r="AM1579" i="25"/>
  <c r="AM1580" i="25"/>
  <c r="AM1581" i="25"/>
  <c r="AM1582" i="25"/>
  <c r="AM1583" i="25"/>
  <c r="AM1584" i="25"/>
  <c r="AM1585" i="25"/>
  <c r="AM1586" i="25"/>
  <c r="AM1587" i="25"/>
  <c r="AM1588" i="25"/>
  <c r="AM1589" i="25"/>
  <c r="AM1590" i="25"/>
  <c r="AM1591" i="25"/>
  <c r="AM1592" i="25"/>
  <c r="AM1593" i="25"/>
  <c r="AM1594" i="25"/>
  <c r="AM1595" i="25"/>
  <c r="AM1596" i="25"/>
  <c r="AM1597" i="25"/>
  <c r="AM1598" i="25"/>
  <c r="AM1599" i="25"/>
  <c r="AM1600" i="25"/>
  <c r="AM1601" i="25"/>
  <c r="AM1602" i="25"/>
  <c r="AM1603" i="25"/>
  <c r="AM1604" i="25"/>
  <c r="AM1605" i="25"/>
  <c r="AM1606" i="25"/>
  <c r="AM1607" i="25"/>
  <c r="AM1608" i="25"/>
  <c r="AM1609" i="25"/>
  <c r="AM1610" i="25"/>
  <c r="AM1611" i="25"/>
  <c r="AM1612" i="25"/>
  <c r="AM1613" i="25"/>
  <c r="AM1614" i="25"/>
  <c r="AM1615" i="25"/>
  <c r="AM1616" i="25"/>
  <c r="AM1617" i="25"/>
  <c r="AM1618" i="25"/>
  <c r="AM1619" i="25"/>
  <c r="AM1620" i="25"/>
  <c r="AM1621" i="25"/>
  <c r="AM1622" i="25"/>
  <c r="AM1623" i="25"/>
  <c r="AM1624" i="25"/>
  <c r="AM1625" i="25"/>
  <c r="AM1626" i="25"/>
  <c r="AM1627" i="25"/>
  <c r="AM1628" i="25"/>
  <c r="AM1629" i="25"/>
  <c r="AM1630" i="25"/>
  <c r="AM1631" i="25"/>
  <c r="AM1632" i="25"/>
  <c r="AM2" i="25"/>
  <c r="AM3" i="25"/>
  <c r="AM4" i="25"/>
  <c r="AM5" i="25"/>
  <c r="AM6" i="25"/>
  <c r="DG3" i="11" a="1"/>
  <c r="DG3" i="11" s="1"/>
  <c r="DG4" i="11" a="1"/>
  <c r="DG4" i="11" s="1"/>
  <c r="DG5" i="11" a="1"/>
  <c r="DG5" i="11" s="1"/>
  <c r="DG6" i="11" a="1"/>
  <c r="DG6" i="11" s="1"/>
  <c r="DG7" i="11" a="1"/>
  <c r="DG7" i="11" s="1"/>
  <c r="DG8" i="11" a="1"/>
  <c r="DG8" i="11" s="1"/>
  <c r="DS177" i="11"/>
  <c r="DT177" i="11" s="1"/>
  <c r="DU177" i="11" s="1"/>
  <c r="DV177" i="11" s="1"/>
  <c r="DW177" i="11" s="1"/>
  <c r="DX177" i="11" s="1"/>
  <c r="DY177" i="11" s="1"/>
  <c r="DZ177" i="11" s="1"/>
  <c r="EA177" i="11" s="1"/>
  <c r="EB177" i="11" s="1"/>
  <c r="DR177" i="11"/>
  <c r="DH177" i="11"/>
  <c r="DG177" i="11" a="1"/>
  <c r="DG177" i="11" s="1"/>
  <c r="DS176" i="11"/>
  <c r="DT176" i="11" s="1"/>
  <c r="DU176" i="11" s="1"/>
  <c r="DV176" i="11" s="1"/>
  <c r="DW176" i="11" s="1"/>
  <c r="DX176" i="11" s="1"/>
  <c r="DY176" i="11" s="1"/>
  <c r="DZ176" i="11" s="1"/>
  <c r="EA176" i="11" s="1"/>
  <c r="EB176" i="11" s="1"/>
  <c r="DR176" i="11"/>
  <c r="DH176" i="11"/>
  <c r="DL176" i="11" s="1"/>
  <c r="DM176" i="11" s="1"/>
  <c r="DG176" i="11" a="1"/>
  <c r="DG176" i="11" s="1"/>
  <c r="DS175" i="11"/>
  <c r="DT175" i="11" s="1"/>
  <c r="DU175" i="11" s="1"/>
  <c r="DV175" i="11" s="1"/>
  <c r="DW175" i="11" s="1"/>
  <c r="DX175" i="11" s="1"/>
  <c r="DY175" i="11" s="1"/>
  <c r="DZ175" i="11" s="1"/>
  <c r="EA175" i="11" s="1"/>
  <c r="EB175" i="11" s="1"/>
  <c r="DR175" i="11"/>
  <c r="DH175" i="11"/>
  <c r="DG175" i="11" a="1"/>
  <c r="DG175" i="11" s="1"/>
  <c r="DO175" i="11" s="1"/>
  <c r="DP175" i="11" s="1" a="1"/>
  <c r="DP175" i="11" s="1"/>
  <c r="DQ175" i="11" s="1"/>
  <c r="DS174" i="11"/>
  <c r="DT174" i="11" s="1"/>
  <c r="DU174" i="11" s="1"/>
  <c r="DV174" i="11" s="1"/>
  <c r="DW174" i="11" s="1"/>
  <c r="DX174" i="11" s="1"/>
  <c r="DY174" i="11" s="1"/>
  <c r="DZ174" i="11" s="1"/>
  <c r="EA174" i="11" s="1"/>
  <c r="EB174" i="11" s="1"/>
  <c r="DR174" i="11"/>
  <c r="DH174" i="11"/>
  <c r="DL174" i="11" s="1"/>
  <c r="DM174" i="11" s="1"/>
  <c r="DG174" i="11" a="1"/>
  <c r="DG174" i="11" s="1"/>
  <c r="DS173" i="11"/>
  <c r="DT173" i="11" s="1"/>
  <c r="DU173" i="11" s="1"/>
  <c r="DV173" i="11" s="1"/>
  <c r="DW173" i="11" s="1"/>
  <c r="DX173" i="11" s="1"/>
  <c r="DY173" i="11" s="1"/>
  <c r="DZ173" i="11" s="1"/>
  <c r="EA173" i="11" s="1"/>
  <c r="EB173" i="11" s="1"/>
  <c r="DR173" i="11"/>
  <c r="DH173" i="11"/>
  <c r="DL173" i="11" s="1"/>
  <c r="DM173" i="11" s="1"/>
  <c r="DG173" i="11" a="1"/>
  <c r="DG173" i="11" s="1"/>
  <c r="DS172" i="11"/>
  <c r="DT172" i="11" s="1"/>
  <c r="DU172" i="11" s="1"/>
  <c r="DV172" i="11" s="1"/>
  <c r="DW172" i="11" s="1"/>
  <c r="DX172" i="11" s="1"/>
  <c r="DY172" i="11" s="1"/>
  <c r="DZ172" i="11" s="1"/>
  <c r="EA172" i="11" s="1"/>
  <c r="EB172" i="11" s="1"/>
  <c r="DR172" i="11"/>
  <c r="DH172" i="11"/>
  <c r="DG172" i="11" a="1"/>
  <c r="DG172" i="11" s="1"/>
  <c r="DS183" i="11"/>
  <c r="DT183" i="11" s="1"/>
  <c r="DU183" i="11" s="1"/>
  <c r="DV183" i="11" s="1"/>
  <c r="DW183" i="11" s="1"/>
  <c r="DX183" i="11" s="1"/>
  <c r="DY183" i="11" s="1"/>
  <c r="DZ183" i="11" s="1"/>
  <c r="EA183" i="11" s="1"/>
  <c r="EB183" i="11" s="1"/>
  <c r="DR183" i="11"/>
  <c r="DH183" i="11"/>
  <c r="DL183" i="11" s="1"/>
  <c r="DM183" i="11" s="1"/>
  <c r="DG183" i="11" a="1"/>
  <c r="DG183" i="11" s="1"/>
  <c r="DO183" i="11" s="1"/>
  <c r="DP183" i="11" s="1" a="1"/>
  <c r="DP183" i="11" s="1"/>
  <c r="DQ183" i="11" s="1"/>
  <c r="DS182" i="11"/>
  <c r="DT182" i="11" s="1"/>
  <c r="DU182" i="11" s="1"/>
  <c r="DV182" i="11" s="1"/>
  <c r="DW182" i="11" s="1"/>
  <c r="DX182" i="11" s="1"/>
  <c r="DY182" i="11" s="1"/>
  <c r="DZ182" i="11" s="1"/>
  <c r="EA182" i="11" s="1"/>
  <c r="EB182" i="11" s="1"/>
  <c r="DR182" i="11"/>
  <c r="DH182" i="11"/>
  <c r="DL182" i="11" s="1"/>
  <c r="DM182" i="11" s="1"/>
  <c r="DG182" i="11" a="1"/>
  <c r="DG182" i="11" s="1"/>
  <c r="DS181" i="11"/>
  <c r="DT181" i="11" s="1"/>
  <c r="DU181" i="11" s="1"/>
  <c r="DV181" i="11" s="1"/>
  <c r="DW181" i="11" s="1"/>
  <c r="DX181" i="11" s="1"/>
  <c r="DY181" i="11" s="1"/>
  <c r="DZ181" i="11" s="1"/>
  <c r="EA181" i="11" s="1"/>
  <c r="EB181" i="11" s="1"/>
  <c r="DR181" i="11"/>
  <c r="DH181" i="11"/>
  <c r="DG181" i="11" a="1"/>
  <c r="DG181" i="11" s="1"/>
  <c r="DS180" i="11"/>
  <c r="DT180" i="11" s="1"/>
  <c r="DU180" i="11" s="1"/>
  <c r="DV180" i="11" s="1"/>
  <c r="DW180" i="11" s="1"/>
  <c r="DX180" i="11" s="1"/>
  <c r="DY180" i="11" s="1"/>
  <c r="DZ180" i="11" s="1"/>
  <c r="EA180" i="11" s="1"/>
  <c r="EB180" i="11" s="1"/>
  <c r="DR180" i="11"/>
  <c r="DH180" i="11"/>
  <c r="DL180" i="11" s="1"/>
  <c r="DM180" i="11" s="1"/>
  <c r="DG180" i="11" a="1"/>
  <c r="DG180" i="11" s="1"/>
  <c r="DS179" i="11"/>
  <c r="DT179" i="11" s="1"/>
  <c r="DU179" i="11" s="1"/>
  <c r="DV179" i="11" s="1"/>
  <c r="DW179" i="11" s="1"/>
  <c r="DX179" i="11" s="1"/>
  <c r="DY179" i="11" s="1"/>
  <c r="DZ179" i="11" s="1"/>
  <c r="EA179" i="11" s="1"/>
  <c r="EB179" i="11" s="1"/>
  <c r="DR179" i="11"/>
  <c r="DH179" i="11"/>
  <c r="DG179" i="11" a="1"/>
  <c r="DG179" i="11" s="1"/>
  <c r="DO179" i="11" s="1"/>
  <c r="DP179" i="11" s="1" a="1"/>
  <c r="DP179" i="11" s="1"/>
  <c r="DQ179" i="11" s="1"/>
  <c r="DS178" i="11"/>
  <c r="DT178" i="11" s="1"/>
  <c r="DU178" i="11" s="1"/>
  <c r="DV178" i="11" s="1"/>
  <c r="DW178" i="11" s="1"/>
  <c r="DX178" i="11" s="1"/>
  <c r="DY178" i="11" s="1"/>
  <c r="DZ178" i="11" s="1"/>
  <c r="EA178" i="11" s="1"/>
  <c r="EB178" i="11" s="1"/>
  <c r="DR178" i="11"/>
  <c r="DH178" i="11"/>
  <c r="DG178" i="11" a="1"/>
  <c r="DG178" i="11" s="1"/>
  <c r="DS187" i="11"/>
  <c r="DT187" i="11" s="1"/>
  <c r="DU187" i="11" s="1"/>
  <c r="DV187" i="11" s="1"/>
  <c r="DW187" i="11" s="1"/>
  <c r="DX187" i="11" s="1"/>
  <c r="DY187" i="11" s="1"/>
  <c r="DZ187" i="11" s="1"/>
  <c r="EA187" i="11" s="1"/>
  <c r="EB187" i="11" s="1"/>
  <c r="DR187" i="11"/>
  <c r="DH187" i="11"/>
  <c r="DL187" i="11" s="1"/>
  <c r="DM187" i="11" s="1"/>
  <c r="DG187" i="11" a="1"/>
  <c r="DG187" i="11" s="1"/>
  <c r="DS186" i="11"/>
  <c r="DT186" i="11" s="1"/>
  <c r="DU186" i="11" s="1"/>
  <c r="DV186" i="11" s="1"/>
  <c r="DW186" i="11" s="1"/>
  <c r="DX186" i="11" s="1"/>
  <c r="DY186" i="11" s="1"/>
  <c r="DZ186" i="11" s="1"/>
  <c r="EA186" i="11" s="1"/>
  <c r="EB186" i="11" s="1"/>
  <c r="DR186" i="11"/>
  <c r="DH186" i="11"/>
  <c r="DL186" i="11" s="1"/>
  <c r="DM186" i="11" s="1"/>
  <c r="DG186" i="11" a="1"/>
  <c r="DG186" i="11" s="1"/>
  <c r="DS185" i="11"/>
  <c r="DT185" i="11" s="1"/>
  <c r="DU185" i="11" s="1"/>
  <c r="DV185" i="11" s="1"/>
  <c r="DW185" i="11" s="1"/>
  <c r="DX185" i="11" s="1"/>
  <c r="DY185" i="11" s="1"/>
  <c r="DZ185" i="11" s="1"/>
  <c r="EA185" i="11" s="1"/>
  <c r="EB185" i="11" s="1"/>
  <c r="DR185" i="11"/>
  <c r="DH185" i="11"/>
  <c r="DL185" i="11" s="1"/>
  <c r="DM185" i="11" s="1"/>
  <c r="DG185" i="11" a="1"/>
  <c r="DG185" i="11" s="1"/>
  <c r="DJ185" i="11" s="1"/>
  <c r="DS184" i="11"/>
  <c r="DT184" i="11" s="1"/>
  <c r="DU184" i="11" s="1"/>
  <c r="DV184" i="11" s="1"/>
  <c r="DW184" i="11" s="1"/>
  <c r="DX184" i="11" s="1"/>
  <c r="DY184" i="11" s="1"/>
  <c r="DZ184" i="11" s="1"/>
  <c r="EA184" i="11" s="1"/>
  <c r="EB184" i="11" s="1"/>
  <c r="DR184" i="11"/>
  <c r="DH184" i="11"/>
  <c r="DL184" i="11" s="1"/>
  <c r="DM184" i="11" s="1"/>
  <c r="DG184" i="11" a="1"/>
  <c r="DG184" i="11" s="1"/>
  <c r="DS195" i="11"/>
  <c r="DT195" i="11" s="1"/>
  <c r="DU195" i="11" s="1"/>
  <c r="DV195" i="11" s="1"/>
  <c r="DW195" i="11" s="1"/>
  <c r="DX195" i="11" s="1"/>
  <c r="DY195" i="11" s="1"/>
  <c r="DZ195" i="11" s="1"/>
  <c r="EA195" i="11" s="1"/>
  <c r="EB195" i="11" s="1"/>
  <c r="DR195" i="11"/>
  <c r="DH195" i="11"/>
  <c r="DL195" i="11" s="1"/>
  <c r="DM195" i="11" s="1"/>
  <c r="DG195" i="11" a="1"/>
  <c r="DG195" i="11" s="1"/>
  <c r="DJ195" i="11" s="1"/>
  <c r="DS194" i="11"/>
  <c r="DT194" i="11" s="1"/>
  <c r="DU194" i="11" s="1"/>
  <c r="DV194" i="11" s="1"/>
  <c r="DW194" i="11" s="1"/>
  <c r="DX194" i="11" s="1"/>
  <c r="DY194" i="11" s="1"/>
  <c r="DZ194" i="11" s="1"/>
  <c r="EA194" i="11" s="1"/>
  <c r="EB194" i="11" s="1"/>
  <c r="DR194" i="11"/>
  <c r="DH194" i="11"/>
  <c r="DL194" i="11" s="1"/>
  <c r="DM194" i="11" s="1"/>
  <c r="DG194" i="11" a="1"/>
  <c r="DG194" i="11" s="1"/>
  <c r="DN194" i="11" s="1"/>
  <c r="DS193" i="11"/>
  <c r="DT193" i="11" s="1"/>
  <c r="DU193" i="11" s="1"/>
  <c r="DV193" i="11" s="1"/>
  <c r="DW193" i="11" s="1"/>
  <c r="DX193" i="11" s="1"/>
  <c r="DY193" i="11" s="1"/>
  <c r="DZ193" i="11" s="1"/>
  <c r="EA193" i="11" s="1"/>
  <c r="EB193" i="11" s="1"/>
  <c r="DR193" i="11"/>
  <c r="DH193" i="11"/>
  <c r="DL193" i="11" s="1"/>
  <c r="DM193" i="11" s="1"/>
  <c r="DG193" i="11" a="1"/>
  <c r="DG193" i="11" s="1"/>
  <c r="DS192" i="11"/>
  <c r="DT192" i="11" s="1"/>
  <c r="DU192" i="11" s="1"/>
  <c r="DV192" i="11" s="1"/>
  <c r="DW192" i="11" s="1"/>
  <c r="DX192" i="11" s="1"/>
  <c r="DY192" i="11" s="1"/>
  <c r="DZ192" i="11" s="1"/>
  <c r="EA192" i="11" s="1"/>
  <c r="EB192" i="11" s="1"/>
  <c r="DR192" i="11"/>
  <c r="DH192" i="11"/>
  <c r="DL192" i="11" s="1"/>
  <c r="DM192" i="11" s="1"/>
  <c r="DG192" i="11" a="1"/>
  <c r="DG192" i="11" s="1"/>
  <c r="DS191" i="11"/>
  <c r="DT191" i="11" s="1"/>
  <c r="DU191" i="11" s="1"/>
  <c r="DV191" i="11" s="1"/>
  <c r="DW191" i="11" s="1"/>
  <c r="DX191" i="11" s="1"/>
  <c r="DY191" i="11" s="1"/>
  <c r="DZ191" i="11" s="1"/>
  <c r="EA191" i="11" s="1"/>
  <c r="EB191" i="11" s="1"/>
  <c r="DR191" i="11"/>
  <c r="DH191" i="11"/>
  <c r="DL191" i="11" s="1"/>
  <c r="DM191" i="11" s="1"/>
  <c r="DG191" i="11" a="1"/>
  <c r="DG191" i="11" s="1"/>
  <c r="DS190" i="11"/>
  <c r="DT190" i="11" s="1"/>
  <c r="DU190" i="11" s="1"/>
  <c r="DV190" i="11" s="1"/>
  <c r="DW190" i="11" s="1"/>
  <c r="DX190" i="11" s="1"/>
  <c r="DY190" i="11" s="1"/>
  <c r="DZ190" i="11" s="1"/>
  <c r="EA190" i="11" s="1"/>
  <c r="EB190" i="11" s="1"/>
  <c r="DR190" i="11"/>
  <c r="DH190" i="11"/>
  <c r="DL190" i="11" s="1"/>
  <c r="DM190" i="11" s="1"/>
  <c r="DG190" i="11" a="1"/>
  <c r="DG190" i="11" s="1"/>
  <c r="DN190" i="11" s="1"/>
  <c r="DS189" i="11"/>
  <c r="DT189" i="11" s="1"/>
  <c r="DU189" i="11" s="1"/>
  <c r="DV189" i="11" s="1"/>
  <c r="DW189" i="11" s="1"/>
  <c r="DX189" i="11" s="1"/>
  <c r="DY189" i="11" s="1"/>
  <c r="DZ189" i="11" s="1"/>
  <c r="EA189" i="11" s="1"/>
  <c r="EB189" i="11" s="1"/>
  <c r="DR189" i="11"/>
  <c r="DH189" i="11"/>
  <c r="DL189" i="11" s="1"/>
  <c r="DM189" i="11" s="1"/>
  <c r="DG189" i="11" a="1"/>
  <c r="DG189" i="11" s="1"/>
  <c r="DS188" i="11"/>
  <c r="DT188" i="11" s="1"/>
  <c r="DU188" i="11" s="1"/>
  <c r="DV188" i="11" s="1"/>
  <c r="DW188" i="11" s="1"/>
  <c r="DX188" i="11" s="1"/>
  <c r="DY188" i="11" s="1"/>
  <c r="DZ188" i="11" s="1"/>
  <c r="EA188" i="11" s="1"/>
  <c r="EB188" i="11" s="1"/>
  <c r="DR188" i="11"/>
  <c r="DH188" i="11"/>
  <c r="DL188" i="11" s="1"/>
  <c r="DM188" i="11" s="1"/>
  <c r="DG188" i="11" a="1"/>
  <c r="DG188" i="11" s="1"/>
  <c r="DS201" i="11"/>
  <c r="DT201" i="11" s="1"/>
  <c r="DU201" i="11" s="1"/>
  <c r="DV201" i="11" s="1"/>
  <c r="DW201" i="11" s="1"/>
  <c r="DX201" i="11" s="1"/>
  <c r="DY201" i="11" s="1"/>
  <c r="DZ201" i="11" s="1"/>
  <c r="EA201" i="11" s="1"/>
  <c r="EB201" i="11" s="1"/>
  <c r="DR201" i="11"/>
  <c r="DH201" i="11"/>
  <c r="DL201" i="11" s="1"/>
  <c r="DM201" i="11" s="1"/>
  <c r="DG201" i="11" a="1"/>
  <c r="DG201" i="11" s="1"/>
  <c r="DS200" i="11"/>
  <c r="DT200" i="11" s="1"/>
  <c r="DU200" i="11" s="1"/>
  <c r="DV200" i="11" s="1"/>
  <c r="DW200" i="11" s="1"/>
  <c r="DX200" i="11" s="1"/>
  <c r="DY200" i="11" s="1"/>
  <c r="DZ200" i="11" s="1"/>
  <c r="EA200" i="11" s="1"/>
  <c r="EB200" i="11" s="1"/>
  <c r="DR200" i="11"/>
  <c r="DH200" i="11"/>
  <c r="DL200" i="11" s="1"/>
  <c r="DM200" i="11" s="1"/>
  <c r="DG200" i="11" a="1"/>
  <c r="DG200" i="11" s="1"/>
  <c r="DJ200" i="11" s="1"/>
  <c r="DS199" i="11"/>
  <c r="DT199" i="11" s="1"/>
  <c r="DU199" i="11" s="1"/>
  <c r="DV199" i="11" s="1"/>
  <c r="DW199" i="11" s="1"/>
  <c r="DX199" i="11" s="1"/>
  <c r="DY199" i="11" s="1"/>
  <c r="DZ199" i="11" s="1"/>
  <c r="EA199" i="11" s="1"/>
  <c r="EB199" i="11" s="1"/>
  <c r="DR199" i="11"/>
  <c r="DH199" i="11"/>
  <c r="DG199" i="11" a="1"/>
  <c r="DG199" i="11" s="1"/>
  <c r="DS198" i="11"/>
  <c r="DT198" i="11" s="1"/>
  <c r="DU198" i="11" s="1"/>
  <c r="DV198" i="11" s="1"/>
  <c r="DW198" i="11" s="1"/>
  <c r="DX198" i="11" s="1"/>
  <c r="DY198" i="11" s="1"/>
  <c r="DZ198" i="11" s="1"/>
  <c r="EA198" i="11" s="1"/>
  <c r="EB198" i="11" s="1"/>
  <c r="DR198" i="11"/>
  <c r="DH198" i="11"/>
  <c r="DG198" i="11" a="1"/>
  <c r="DG198" i="11" s="1"/>
  <c r="DS197" i="11"/>
  <c r="DT197" i="11" s="1"/>
  <c r="DU197" i="11" s="1"/>
  <c r="DV197" i="11" s="1"/>
  <c r="DW197" i="11" s="1"/>
  <c r="DX197" i="11" s="1"/>
  <c r="DY197" i="11" s="1"/>
  <c r="DZ197" i="11" s="1"/>
  <c r="EA197" i="11" s="1"/>
  <c r="EB197" i="11" s="1"/>
  <c r="DR197" i="11"/>
  <c r="DH197" i="11"/>
  <c r="DL197" i="11" s="1"/>
  <c r="DM197" i="11" s="1"/>
  <c r="DG197" i="11" a="1"/>
  <c r="DG197" i="11" s="1"/>
  <c r="DS196" i="11"/>
  <c r="DT196" i="11" s="1"/>
  <c r="DU196" i="11" s="1"/>
  <c r="DV196" i="11" s="1"/>
  <c r="DW196" i="11" s="1"/>
  <c r="DX196" i="11" s="1"/>
  <c r="DY196" i="11" s="1"/>
  <c r="DZ196" i="11" s="1"/>
  <c r="EA196" i="11" s="1"/>
  <c r="EB196" i="11" s="1"/>
  <c r="DR196" i="11"/>
  <c r="DH196" i="11"/>
  <c r="DL196" i="11" s="1"/>
  <c r="DM196" i="11" s="1"/>
  <c r="DG196" i="11" a="1"/>
  <c r="DG196" i="11" s="1"/>
  <c r="DS226" i="11"/>
  <c r="DT226" i="11" s="1"/>
  <c r="DU226" i="11" s="1"/>
  <c r="DV226" i="11" s="1"/>
  <c r="DW226" i="11" s="1"/>
  <c r="DX226" i="11" s="1"/>
  <c r="DY226" i="11" s="1"/>
  <c r="DZ226" i="11" s="1"/>
  <c r="EA226" i="11" s="1"/>
  <c r="EB226" i="11" s="1"/>
  <c r="DR226" i="11"/>
  <c r="DH226" i="11"/>
  <c r="DL226" i="11" s="1"/>
  <c r="DM226" i="11" s="1"/>
  <c r="DG226" i="11" a="1"/>
  <c r="DG226" i="11" s="1"/>
  <c r="DS225" i="11"/>
  <c r="DT225" i="11" s="1"/>
  <c r="DU225" i="11" s="1"/>
  <c r="DV225" i="11" s="1"/>
  <c r="DW225" i="11" s="1"/>
  <c r="DX225" i="11" s="1"/>
  <c r="DY225" i="11" s="1"/>
  <c r="DZ225" i="11" s="1"/>
  <c r="EA225" i="11" s="1"/>
  <c r="EB225" i="11" s="1"/>
  <c r="DR225" i="11"/>
  <c r="DH225" i="11"/>
  <c r="DL225" i="11" s="1"/>
  <c r="DM225" i="11" s="1"/>
  <c r="DG225" i="11" a="1"/>
  <c r="DG225" i="11" s="1"/>
  <c r="DO225" i="11" s="1"/>
  <c r="DP225" i="11" s="1" a="1"/>
  <c r="DP225" i="11" s="1"/>
  <c r="DQ225" i="11" s="1"/>
  <c r="DS224" i="11"/>
  <c r="DT224" i="11" s="1"/>
  <c r="DU224" i="11" s="1"/>
  <c r="DV224" i="11" s="1"/>
  <c r="DW224" i="11" s="1"/>
  <c r="DX224" i="11" s="1"/>
  <c r="DY224" i="11" s="1"/>
  <c r="DZ224" i="11" s="1"/>
  <c r="EA224" i="11" s="1"/>
  <c r="EB224" i="11" s="1"/>
  <c r="DR224" i="11"/>
  <c r="DH224" i="11"/>
  <c r="DL224" i="11" s="1"/>
  <c r="DM224" i="11" s="1"/>
  <c r="DG224" i="11" a="1"/>
  <c r="DG224" i="11" s="1"/>
  <c r="DO224" i="11" s="1"/>
  <c r="DP224" i="11" s="1" a="1"/>
  <c r="DP224" i="11" s="1"/>
  <c r="DQ224" i="11" s="1"/>
  <c r="DS223" i="11"/>
  <c r="DT223" i="11" s="1"/>
  <c r="DU223" i="11" s="1"/>
  <c r="DV223" i="11" s="1"/>
  <c r="DW223" i="11" s="1"/>
  <c r="DX223" i="11" s="1"/>
  <c r="DY223" i="11" s="1"/>
  <c r="DZ223" i="11" s="1"/>
  <c r="EA223" i="11" s="1"/>
  <c r="EB223" i="11" s="1"/>
  <c r="DR223" i="11"/>
  <c r="DH223" i="11"/>
  <c r="DL223" i="11" s="1"/>
  <c r="DM223" i="11" s="1"/>
  <c r="DG223" i="11" a="1"/>
  <c r="DG223" i="11" s="1"/>
  <c r="DS222" i="11"/>
  <c r="DT222" i="11" s="1"/>
  <c r="DU222" i="11" s="1"/>
  <c r="DV222" i="11" s="1"/>
  <c r="DW222" i="11" s="1"/>
  <c r="DX222" i="11" s="1"/>
  <c r="DY222" i="11" s="1"/>
  <c r="DZ222" i="11" s="1"/>
  <c r="EA222" i="11" s="1"/>
  <c r="EB222" i="11" s="1"/>
  <c r="DR222" i="11"/>
  <c r="DH222" i="11"/>
  <c r="DL222" i="11" s="1"/>
  <c r="DM222" i="11" s="1"/>
  <c r="DG222" i="11" a="1"/>
  <c r="DG222" i="11" s="1"/>
  <c r="DO222" i="11" s="1"/>
  <c r="DP222" i="11" s="1" a="1"/>
  <c r="DP222" i="11" s="1"/>
  <c r="DQ222" i="11" s="1"/>
  <c r="DS221" i="11"/>
  <c r="DT221" i="11" s="1"/>
  <c r="DU221" i="11" s="1"/>
  <c r="DV221" i="11" s="1"/>
  <c r="DW221" i="11" s="1"/>
  <c r="DX221" i="11" s="1"/>
  <c r="DY221" i="11" s="1"/>
  <c r="DZ221" i="11" s="1"/>
  <c r="EA221" i="11" s="1"/>
  <c r="EB221" i="11" s="1"/>
  <c r="DR221" i="11"/>
  <c r="DH221" i="11"/>
  <c r="DG221" i="11" a="1"/>
  <c r="DG221" i="11" s="1"/>
  <c r="DS220" i="11"/>
  <c r="DT220" i="11" s="1"/>
  <c r="DU220" i="11" s="1"/>
  <c r="DV220" i="11" s="1"/>
  <c r="DW220" i="11" s="1"/>
  <c r="DX220" i="11" s="1"/>
  <c r="DY220" i="11" s="1"/>
  <c r="DZ220" i="11" s="1"/>
  <c r="EA220" i="11" s="1"/>
  <c r="EB220" i="11" s="1"/>
  <c r="DR220" i="11"/>
  <c r="DH220" i="11"/>
  <c r="DG220" i="11" a="1"/>
  <c r="DG220" i="11" s="1"/>
  <c r="DI220" i="11" s="1"/>
  <c r="DS219" i="11"/>
  <c r="DT219" i="11" s="1"/>
  <c r="DU219" i="11" s="1"/>
  <c r="DV219" i="11" s="1"/>
  <c r="DW219" i="11" s="1"/>
  <c r="DX219" i="11" s="1"/>
  <c r="DY219" i="11" s="1"/>
  <c r="DZ219" i="11" s="1"/>
  <c r="EA219" i="11" s="1"/>
  <c r="EB219" i="11" s="1"/>
  <c r="DR219" i="11"/>
  <c r="DH219" i="11"/>
  <c r="DL219" i="11" s="1"/>
  <c r="DM219" i="11" s="1"/>
  <c r="DG219" i="11" a="1"/>
  <c r="DG219" i="11" s="1"/>
  <c r="DS218" i="11"/>
  <c r="DT218" i="11" s="1"/>
  <c r="DU218" i="11" s="1"/>
  <c r="DV218" i="11" s="1"/>
  <c r="DW218" i="11" s="1"/>
  <c r="DX218" i="11" s="1"/>
  <c r="DY218" i="11" s="1"/>
  <c r="DZ218" i="11" s="1"/>
  <c r="EA218" i="11" s="1"/>
  <c r="EB218" i="11" s="1"/>
  <c r="DR218" i="11"/>
  <c r="DH218" i="11"/>
  <c r="DG218" i="11" a="1"/>
  <c r="DG218" i="11" s="1"/>
  <c r="DJ218" i="11" s="1"/>
  <c r="DS217" i="11"/>
  <c r="DT217" i="11" s="1"/>
  <c r="DU217" i="11" s="1"/>
  <c r="DV217" i="11" s="1"/>
  <c r="DW217" i="11" s="1"/>
  <c r="DX217" i="11" s="1"/>
  <c r="DY217" i="11" s="1"/>
  <c r="DZ217" i="11" s="1"/>
  <c r="EA217" i="11" s="1"/>
  <c r="EB217" i="11" s="1"/>
  <c r="DR217" i="11"/>
  <c r="DH217" i="11"/>
  <c r="DL217" i="11" s="1"/>
  <c r="DM217" i="11" s="1"/>
  <c r="DG217" i="11" a="1"/>
  <c r="DG217" i="11" s="1"/>
  <c r="DN217" i="11" s="1"/>
  <c r="DS216" i="11"/>
  <c r="DT216" i="11" s="1"/>
  <c r="DU216" i="11" s="1"/>
  <c r="DV216" i="11" s="1"/>
  <c r="DW216" i="11" s="1"/>
  <c r="DX216" i="11" s="1"/>
  <c r="DY216" i="11" s="1"/>
  <c r="DZ216" i="11" s="1"/>
  <c r="EA216" i="11" s="1"/>
  <c r="EB216" i="11" s="1"/>
  <c r="DR216" i="11"/>
  <c r="DH216" i="11"/>
  <c r="DL216" i="11" s="1"/>
  <c r="DM216" i="11" s="1"/>
  <c r="DG216" i="11" a="1"/>
  <c r="DG216" i="11" s="1"/>
  <c r="DS215" i="11"/>
  <c r="DT215" i="11" s="1"/>
  <c r="DU215" i="11" s="1"/>
  <c r="DV215" i="11" s="1"/>
  <c r="DW215" i="11" s="1"/>
  <c r="DX215" i="11" s="1"/>
  <c r="DY215" i="11" s="1"/>
  <c r="DZ215" i="11" s="1"/>
  <c r="EA215" i="11" s="1"/>
  <c r="EB215" i="11" s="1"/>
  <c r="DR215" i="11"/>
  <c r="DH215" i="11"/>
  <c r="DL215" i="11" s="1"/>
  <c r="DM215" i="11" s="1"/>
  <c r="DG215" i="11" a="1"/>
  <c r="DG215" i="11" s="1"/>
  <c r="DI215" i="11" s="1"/>
  <c r="DS214" i="11"/>
  <c r="DT214" i="11" s="1"/>
  <c r="DU214" i="11" s="1"/>
  <c r="DV214" i="11" s="1"/>
  <c r="DW214" i="11" s="1"/>
  <c r="DX214" i="11" s="1"/>
  <c r="DY214" i="11" s="1"/>
  <c r="DZ214" i="11" s="1"/>
  <c r="EA214" i="11" s="1"/>
  <c r="EB214" i="11" s="1"/>
  <c r="DR214" i="11"/>
  <c r="DH214" i="11"/>
  <c r="DL214" i="11" s="1"/>
  <c r="DM214" i="11" s="1"/>
  <c r="DG214" i="11" a="1"/>
  <c r="DG214" i="11" s="1"/>
  <c r="DS213" i="11"/>
  <c r="DT213" i="11" s="1"/>
  <c r="DU213" i="11" s="1"/>
  <c r="DV213" i="11" s="1"/>
  <c r="DW213" i="11" s="1"/>
  <c r="DX213" i="11" s="1"/>
  <c r="DY213" i="11" s="1"/>
  <c r="DZ213" i="11" s="1"/>
  <c r="EA213" i="11" s="1"/>
  <c r="EB213" i="11" s="1"/>
  <c r="DR213" i="11"/>
  <c r="DH213" i="11"/>
  <c r="DL213" i="11" s="1"/>
  <c r="DM213" i="11" s="1"/>
  <c r="DG213" i="11" a="1"/>
  <c r="DG213" i="11" s="1"/>
  <c r="DS212" i="11"/>
  <c r="DT212" i="11" s="1"/>
  <c r="DU212" i="11" s="1"/>
  <c r="DV212" i="11" s="1"/>
  <c r="DW212" i="11" s="1"/>
  <c r="DX212" i="11" s="1"/>
  <c r="DY212" i="11" s="1"/>
  <c r="DZ212" i="11" s="1"/>
  <c r="EA212" i="11" s="1"/>
  <c r="EB212" i="11" s="1"/>
  <c r="DR212" i="11"/>
  <c r="DH212" i="11"/>
  <c r="DL212" i="11" s="1"/>
  <c r="DM212" i="11" s="1"/>
  <c r="DG212" i="11" a="1"/>
  <c r="DG212" i="11" s="1"/>
  <c r="DI212" i="11" s="1"/>
  <c r="DS211" i="11"/>
  <c r="DT211" i="11" s="1"/>
  <c r="DU211" i="11" s="1"/>
  <c r="DV211" i="11" s="1"/>
  <c r="DW211" i="11" s="1"/>
  <c r="DX211" i="11" s="1"/>
  <c r="DY211" i="11" s="1"/>
  <c r="DZ211" i="11" s="1"/>
  <c r="EA211" i="11" s="1"/>
  <c r="EB211" i="11" s="1"/>
  <c r="DR211" i="11"/>
  <c r="DH211" i="11"/>
  <c r="DL211" i="11" s="1"/>
  <c r="DM211" i="11" s="1"/>
  <c r="DG211" i="11" a="1"/>
  <c r="DG211" i="11" s="1"/>
  <c r="DO211" i="11" s="1"/>
  <c r="DP211" i="11" s="1" a="1"/>
  <c r="DP211" i="11" s="1"/>
  <c r="DQ211" i="11" s="1"/>
  <c r="DS210" i="11"/>
  <c r="DT210" i="11" s="1"/>
  <c r="DU210" i="11" s="1"/>
  <c r="DV210" i="11" s="1"/>
  <c r="DW210" i="11" s="1"/>
  <c r="DX210" i="11" s="1"/>
  <c r="DY210" i="11" s="1"/>
  <c r="DZ210" i="11" s="1"/>
  <c r="EA210" i="11" s="1"/>
  <c r="EB210" i="11" s="1"/>
  <c r="DR210" i="11"/>
  <c r="DH210" i="11"/>
  <c r="DL210" i="11" s="1"/>
  <c r="DM210" i="11" s="1"/>
  <c r="DG210" i="11" a="1"/>
  <c r="DG210" i="11" s="1"/>
  <c r="DI210" i="11" s="1"/>
  <c r="DS209" i="11"/>
  <c r="DT209" i="11" s="1"/>
  <c r="DU209" i="11" s="1"/>
  <c r="DV209" i="11" s="1"/>
  <c r="DW209" i="11" s="1"/>
  <c r="DX209" i="11" s="1"/>
  <c r="DY209" i="11" s="1"/>
  <c r="DZ209" i="11" s="1"/>
  <c r="EA209" i="11" s="1"/>
  <c r="EB209" i="11" s="1"/>
  <c r="DR209" i="11"/>
  <c r="DH209" i="11"/>
  <c r="DG209" i="11" a="1"/>
  <c r="DG209" i="11" s="1"/>
  <c r="DS208" i="11"/>
  <c r="DT208" i="11" s="1"/>
  <c r="DU208" i="11" s="1"/>
  <c r="DV208" i="11" s="1"/>
  <c r="DW208" i="11" s="1"/>
  <c r="DX208" i="11" s="1"/>
  <c r="DY208" i="11" s="1"/>
  <c r="DZ208" i="11" s="1"/>
  <c r="EA208" i="11" s="1"/>
  <c r="EB208" i="11" s="1"/>
  <c r="DR208" i="11"/>
  <c r="DH208" i="11"/>
  <c r="DL208" i="11" s="1"/>
  <c r="DM208" i="11" s="1"/>
  <c r="DG208" i="11" a="1"/>
  <c r="DG208" i="11" s="1"/>
  <c r="DS207" i="11"/>
  <c r="DT207" i="11" s="1"/>
  <c r="DU207" i="11" s="1"/>
  <c r="DV207" i="11" s="1"/>
  <c r="DW207" i="11" s="1"/>
  <c r="DX207" i="11" s="1"/>
  <c r="DY207" i="11" s="1"/>
  <c r="DZ207" i="11" s="1"/>
  <c r="EA207" i="11" s="1"/>
  <c r="EB207" i="11" s="1"/>
  <c r="DR207" i="11"/>
  <c r="DH207" i="11"/>
  <c r="DL207" i="11" s="1"/>
  <c r="DM207" i="11" s="1"/>
  <c r="DG207" i="11" a="1"/>
  <c r="DG207" i="11" s="1"/>
  <c r="DO207" i="11" s="1"/>
  <c r="DP207" i="11" s="1" a="1"/>
  <c r="DP207" i="11" s="1"/>
  <c r="DQ207" i="11" s="1"/>
  <c r="DS206" i="11"/>
  <c r="DT206" i="11" s="1"/>
  <c r="DU206" i="11" s="1"/>
  <c r="DV206" i="11" s="1"/>
  <c r="DW206" i="11" s="1"/>
  <c r="DX206" i="11" s="1"/>
  <c r="DY206" i="11" s="1"/>
  <c r="DZ206" i="11" s="1"/>
  <c r="EA206" i="11" s="1"/>
  <c r="EB206" i="11" s="1"/>
  <c r="DR206" i="11"/>
  <c r="DH206" i="11"/>
  <c r="DL206" i="11" s="1"/>
  <c r="DM206" i="11" s="1"/>
  <c r="DG206" i="11" a="1"/>
  <c r="DG206" i="11" s="1"/>
  <c r="DI206" i="11" s="1"/>
  <c r="DS205" i="11"/>
  <c r="DT205" i="11" s="1"/>
  <c r="DU205" i="11" s="1"/>
  <c r="DV205" i="11" s="1"/>
  <c r="DW205" i="11" s="1"/>
  <c r="DX205" i="11" s="1"/>
  <c r="DY205" i="11" s="1"/>
  <c r="DZ205" i="11" s="1"/>
  <c r="EA205" i="11" s="1"/>
  <c r="EB205" i="11" s="1"/>
  <c r="DR205" i="11"/>
  <c r="DH205" i="11"/>
  <c r="DL205" i="11" s="1"/>
  <c r="DM205" i="11" s="1"/>
  <c r="DG205" i="11" a="1"/>
  <c r="DG205" i="11" s="1"/>
  <c r="DS204" i="11"/>
  <c r="DT204" i="11" s="1"/>
  <c r="DU204" i="11" s="1"/>
  <c r="DV204" i="11" s="1"/>
  <c r="DW204" i="11" s="1"/>
  <c r="DX204" i="11" s="1"/>
  <c r="DY204" i="11" s="1"/>
  <c r="DZ204" i="11" s="1"/>
  <c r="EA204" i="11" s="1"/>
  <c r="EB204" i="11" s="1"/>
  <c r="DR204" i="11"/>
  <c r="DH204" i="11"/>
  <c r="DL204" i="11" s="1"/>
  <c r="DM204" i="11" s="1"/>
  <c r="DG204" i="11" a="1"/>
  <c r="DG204" i="11" s="1"/>
  <c r="DS203" i="11"/>
  <c r="DT203" i="11" s="1"/>
  <c r="DU203" i="11" s="1"/>
  <c r="DV203" i="11" s="1"/>
  <c r="DW203" i="11" s="1"/>
  <c r="DX203" i="11" s="1"/>
  <c r="DY203" i="11" s="1"/>
  <c r="DZ203" i="11" s="1"/>
  <c r="EA203" i="11" s="1"/>
  <c r="EB203" i="11" s="1"/>
  <c r="DR203" i="11"/>
  <c r="DH203" i="11"/>
  <c r="DG203" i="11" a="1"/>
  <c r="DG203" i="11" s="1"/>
  <c r="DO203" i="11" s="1"/>
  <c r="DP203" i="11" s="1" a="1"/>
  <c r="DP203" i="11" s="1"/>
  <c r="DQ203" i="11" s="1"/>
  <c r="DS202" i="11"/>
  <c r="DT202" i="11" s="1"/>
  <c r="DU202" i="11" s="1"/>
  <c r="DV202" i="11" s="1"/>
  <c r="DW202" i="11" s="1"/>
  <c r="DX202" i="11" s="1"/>
  <c r="DY202" i="11" s="1"/>
  <c r="DZ202" i="11" s="1"/>
  <c r="EA202" i="11" s="1"/>
  <c r="EB202" i="11" s="1"/>
  <c r="DR202" i="11"/>
  <c r="DH202" i="11"/>
  <c r="DL202" i="11" s="1"/>
  <c r="DM202" i="11" s="1"/>
  <c r="DG202" i="11" a="1"/>
  <c r="DG202" i="11" s="1"/>
  <c r="DS231" i="11"/>
  <c r="DT231" i="11" s="1"/>
  <c r="DU231" i="11" s="1"/>
  <c r="DV231" i="11" s="1"/>
  <c r="DW231" i="11" s="1"/>
  <c r="DX231" i="11" s="1"/>
  <c r="DY231" i="11" s="1"/>
  <c r="DZ231" i="11" s="1"/>
  <c r="EA231" i="11" s="1"/>
  <c r="EB231" i="11" s="1"/>
  <c r="DR231" i="11"/>
  <c r="DH231" i="11"/>
  <c r="DG231" i="11" a="1"/>
  <c r="DG231" i="11" s="1"/>
  <c r="DS230" i="11"/>
  <c r="DT230" i="11" s="1"/>
  <c r="DU230" i="11" s="1"/>
  <c r="DV230" i="11" s="1"/>
  <c r="DW230" i="11" s="1"/>
  <c r="DX230" i="11" s="1"/>
  <c r="DY230" i="11" s="1"/>
  <c r="DZ230" i="11" s="1"/>
  <c r="EA230" i="11" s="1"/>
  <c r="EB230" i="11" s="1"/>
  <c r="DR230" i="11"/>
  <c r="DH230" i="11"/>
  <c r="DL230" i="11" s="1"/>
  <c r="DM230" i="11" s="1"/>
  <c r="DG230" i="11" a="1"/>
  <c r="DG230" i="11" s="1"/>
  <c r="DS229" i="11"/>
  <c r="DT229" i="11" s="1"/>
  <c r="DU229" i="11" s="1"/>
  <c r="DV229" i="11" s="1"/>
  <c r="DW229" i="11" s="1"/>
  <c r="DX229" i="11" s="1"/>
  <c r="DY229" i="11" s="1"/>
  <c r="DZ229" i="11" s="1"/>
  <c r="EA229" i="11" s="1"/>
  <c r="EB229" i="11" s="1"/>
  <c r="DR229" i="11"/>
  <c r="DH229" i="11"/>
  <c r="DL229" i="11" s="1"/>
  <c r="DM229" i="11" s="1"/>
  <c r="DG229" i="11" a="1"/>
  <c r="DG229" i="11" s="1"/>
  <c r="DJ229" i="11" s="1"/>
  <c r="DS228" i="11"/>
  <c r="DT228" i="11" s="1"/>
  <c r="DU228" i="11" s="1"/>
  <c r="DV228" i="11" s="1"/>
  <c r="DW228" i="11" s="1"/>
  <c r="DX228" i="11" s="1"/>
  <c r="DY228" i="11" s="1"/>
  <c r="DZ228" i="11" s="1"/>
  <c r="EA228" i="11" s="1"/>
  <c r="EB228" i="11" s="1"/>
  <c r="DR228" i="11"/>
  <c r="DH228" i="11"/>
  <c r="DL228" i="11" s="1"/>
  <c r="DM228" i="11" s="1"/>
  <c r="DG228" i="11" a="1"/>
  <c r="DG228" i="11" s="1"/>
  <c r="DI228" i="11" s="1"/>
  <c r="DS227" i="11"/>
  <c r="DT227" i="11" s="1"/>
  <c r="DU227" i="11" s="1"/>
  <c r="DV227" i="11" s="1"/>
  <c r="DW227" i="11" s="1"/>
  <c r="DX227" i="11" s="1"/>
  <c r="DY227" i="11" s="1"/>
  <c r="DZ227" i="11" s="1"/>
  <c r="EA227" i="11" s="1"/>
  <c r="EB227" i="11" s="1"/>
  <c r="DR227" i="11"/>
  <c r="DH227" i="11"/>
  <c r="DG227" i="11" a="1"/>
  <c r="DG227" i="11" s="1"/>
  <c r="DS249" i="11"/>
  <c r="DT249" i="11" s="1"/>
  <c r="DU249" i="11" s="1"/>
  <c r="DV249" i="11" s="1"/>
  <c r="DW249" i="11" s="1"/>
  <c r="DX249" i="11" s="1"/>
  <c r="DY249" i="11" s="1"/>
  <c r="DZ249" i="11" s="1"/>
  <c r="EA249" i="11" s="1"/>
  <c r="EB249" i="11" s="1"/>
  <c r="DR249" i="11"/>
  <c r="DH249" i="11"/>
  <c r="DG249" i="11" a="1"/>
  <c r="DG249" i="11" s="1"/>
  <c r="DI249" i="11" s="1"/>
  <c r="DS248" i="11"/>
  <c r="DT248" i="11" s="1"/>
  <c r="DU248" i="11" s="1"/>
  <c r="DV248" i="11" s="1"/>
  <c r="DW248" i="11" s="1"/>
  <c r="DX248" i="11" s="1"/>
  <c r="DY248" i="11" s="1"/>
  <c r="DZ248" i="11" s="1"/>
  <c r="EA248" i="11" s="1"/>
  <c r="EB248" i="11" s="1"/>
  <c r="DR248" i="11"/>
  <c r="DH248" i="11"/>
  <c r="DL248" i="11" s="1"/>
  <c r="DM248" i="11" s="1"/>
  <c r="DG248" i="11" a="1"/>
  <c r="DG248" i="11" s="1"/>
  <c r="DJ248" i="11" s="1"/>
  <c r="DS247" i="11"/>
  <c r="DT247" i="11" s="1"/>
  <c r="DU247" i="11" s="1"/>
  <c r="DV247" i="11" s="1"/>
  <c r="DW247" i="11" s="1"/>
  <c r="DX247" i="11" s="1"/>
  <c r="DY247" i="11" s="1"/>
  <c r="DZ247" i="11" s="1"/>
  <c r="EA247" i="11" s="1"/>
  <c r="EB247" i="11" s="1"/>
  <c r="DR247" i="11"/>
  <c r="DH247" i="11"/>
  <c r="DG247" i="11" a="1"/>
  <c r="DG247" i="11" s="1"/>
  <c r="DI247" i="11" s="1"/>
  <c r="DS246" i="11"/>
  <c r="DT246" i="11" s="1"/>
  <c r="DU246" i="11" s="1"/>
  <c r="DV246" i="11" s="1"/>
  <c r="DW246" i="11" s="1"/>
  <c r="DX246" i="11" s="1"/>
  <c r="DY246" i="11" s="1"/>
  <c r="DZ246" i="11" s="1"/>
  <c r="EA246" i="11" s="1"/>
  <c r="EB246" i="11" s="1"/>
  <c r="DR246" i="11"/>
  <c r="DH246" i="11"/>
  <c r="DL246" i="11" s="1"/>
  <c r="DM246" i="11" s="1"/>
  <c r="DG246" i="11" a="1"/>
  <c r="DG246" i="11" s="1"/>
  <c r="DO246" i="11" s="1"/>
  <c r="DP246" i="11" s="1" a="1"/>
  <c r="DP246" i="11" s="1"/>
  <c r="DQ246" i="11" s="1"/>
  <c r="DS245" i="11"/>
  <c r="DT245" i="11" s="1"/>
  <c r="DU245" i="11" s="1"/>
  <c r="DV245" i="11" s="1"/>
  <c r="DW245" i="11" s="1"/>
  <c r="DX245" i="11" s="1"/>
  <c r="DY245" i="11" s="1"/>
  <c r="DZ245" i="11" s="1"/>
  <c r="EA245" i="11" s="1"/>
  <c r="EB245" i="11" s="1"/>
  <c r="DR245" i="11"/>
  <c r="DH245" i="11"/>
  <c r="DG245" i="11" a="1"/>
  <c r="DG245" i="11" s="1"/>
  <c r="DI245" i="11" s="1"/>
  <c r="DS244" i="11"/>
  <c r="DT244" i="11" s="1"/>
  <c r="DU244" i="11" s="1"/>
  <c r="DV244" i="11" s="1"/>
  <c r="DW244" i="11" s="1"/>
  <c r="DX244" i="11" s="1"/>
  <c r="DY244" i="11" s="1"/>
  <c r="DZ244" i="11" s="1"/>
  <c r="EA244" i="11" s="1"/>
  <c r="EB244" i="11" s="1"/>
  <c r="DR244" i="11"/>
  <c r="DH244" i="11"/>
  <c r="DL244" i="11" s="1"/>
  <c r="DM244" i="11" s="1"/>
  <c r="DG244" i="11" a="1"/>
  <c r="DG244" i="11" s="1"/>
  <c r="DO244" i="11" s="1"/>
  <c r="DP244" i="11" s="1" a="1"/>
  <c r="DP244" i="11" s="1"/>
  <c r="DQ244" i="11" s="1"/>
  <c r="DS243" i="11"/>
  <c r="DT243" i="11" s="1"/>
  <c r="DU243" i="11" s="1"/>
  <c r="DV243" i="11" s="1"/>
  <c r="DW243" i="11" s="1"/>
  <c r="DX243" i="11" s="1"/>
  <c r="DY243" i="11" s="1"/>
  <c r="DZ243" i="11" s="1"/>
  <c r="EA243" i="11" s="1"/>
  <c r="EB243" i="11" s="1"/>
  <c r="DR243" i="11"/>
  <c r="DH243" i="11"/>
  <c r="DG243" i="11" a="1"/>
  <c r="DG243" i="11" s="1"/>
  <c r="DI243" i="11" s="1"/>
  <c r="DS242" i="11"/>
  <c r="DT242" i="11" s="1"/>
  <c r="DU242" i="11" s="1"/>
  <c r="DV242" i="11" s="1"/>
  <c r="DW242" i="11" s="1"/>
  <c r="DX242" i="11" s="1"/>
  <c r="DY242" i="11" s="1"/>
  <c r="DZ242" i="11" s="1"/>
  <c r="EA242" i="11" s="1"/>
  <c r="EB242" i="11" s="1"/>
  <c r="DR242" i="11"/>
  <c r="DH242" i="11"/>
  <c r="DG242" i="11" a="1"/>
  <c r="DG242" i="11" s="1"/>
  <c r="DO242" i="11" s="1"/>
  <c r="DP242" i="11" s="1" a="1"/>
  <c r="DP242" i="11" s="1"/>
  <c r="DQ242" i="11" s="1"/>
  <c r="DS241" i="11"/>
  <c r="DT241" i="11" s="1"/>
  <c r="DU241" i="11" s="1"/>
  <c r="DV241" i="11" s="1"/>
  <c r="DW241" i="11" s="1"/>
  <c r="DX241" i="11" s="1"/>
  <c r="DY241" i="11" s="1"/>
  <c r="DZ241" i="11" s="1"/>
  <c r="EA241" i="11" s="1"/>
  <c r="EB241" i="11" s="1"/>
  <c r="DR241" i="11"/>
  <c r="DH241" i="11"/>
  <c r="DL241" i="11" s="1"/>
  <c r="DM241" i="11" s="1"/>
  <c r="DG241" i="11" a="1"/>
  <c r="DG241" i="11" s="1"/>
  <c r="DO241" i="11" s="1"/>
  <c r="DP241" i="11" s="1" a="1"/>
  <c r="DP241" i="11" s="1"/>
  <c r="DQ241" i="11" s="1"/>
  <c r="DS240" i="11"/>
  <c r="DT240" i="11" s="1"/>
  <c r="DU240" i="11" s="1"/>
  <c r="DV240" i="11" s="1"/>
  <c r="DW240" i="11" s="1"/>
  <c r="DX240" i="11" s="1"/>
  <c r="DY240" i="11" s="1"/>
  <c r="DZ240" i="11" s="1"/>
  <c r="EA240" i="11" s="1"/>
  <c r="EB240" i="11" s="1"/>
  <c r="DR240" i="11"/>
  <c r="DH240" i="11"/>
  <c r="DL240" i="11" s="1"/>
  <c r="DM240" i="11" s="1"/>
  <c r="DG240" i="11" a="1"/>
  <c r="DG240" i="11" s="1"/>
  <c r="DS239" i="11"/>
  <c r="DT239" i="11" s="1"/>
  <c r="DU239" i="11" s="1"/>
  <c r="DV239" i="11" s="1"/>
  <c r="DW239" i="11" s="1"/>
  <c r="DX239" i="11" s="1"/>
  <c r="DY239" i="11" s="1"/>
  <c r="DZ239" i="11" s="1"/>
  <c r="EA239" i="11" s="1"/>
  <c r="EB239" i="11" s="1"/>
  <c r="DR239" i="11"/>
  <c r="DH239" i="11"/>
  <c r="DL239" i="11" s="1"/>
  <c r="DM239" i="11" s="1"/>
  <c r="DG239" i="11" a="1"/>
  <c r="DG239" i="11" s="1"/>
  <c r="DI239" i="11" s="1"/>
  <c r="DS238" i="11"/>
  <c r="DT238" i="11" s="1"/>
  <c r="DU238" i="11" s="1"/>
  <c r="DV238" i="11" s="1"/>
  <c r="DW238" i="11" s="1"/>
  <c r="DX238" i="11" s="1"/>
  <c r="DY238" i="11" s="1"/>
  <c r="DZ238" i="11" s="1"/>
  <c r="EA238" i="11" s="1"/>
  <c r="EB238" i="11" s="1"/>
  <c r="DR238" i="11"/>
  <c r="DH238" i="11"/>
  <c r="DL238" i="11" s="1"/>
  <c r="DM238" i="11" s="1"/>
  <c r="DG238" i="11" a="1"/>
  <c r="DG238" i="11" s="1"/>
  <c r="DS237" i="11"/>
  <c r="DT237" i="11" s="1"/>
  <c r="DU237" i="11" s="1"/>
  <c r="DV237" i="11" s="1"/>
  <c r="DW237" i="11" s="1"/>
  <c r="DX237" i="11" s="1"/>
  <c r="DY237" i="11" s="1"/>
  <c r="DZ237" i="11" s="1"/>
  <c r="EA237" i="11" s="1"/>
  <c r="EB237" i="11" s="1"/>
  <c r="DR237" i="11"/>
  <c r="DH237" i="11"/>
  <c r="DL237" i="11" s="1"/>
  <c r="DM237" i="11" s="1"/>
  <c r="DG237" i="11" a="1"/>
  <c r="DG237" i="11" s="1"/>
  <c r="DI237" i="11" s="1"/>
  <c r="DS236" i="11"/>
  <c r="DT236" i="11" s="1"/>
  <c r="DU236" i="11" s="1"/>
  <c r="DV236" i="11" s="1"/>
  <c r="DW236" i="11" s="1"/>
  <c r="DX236" i="11" s="1"/>
  <c r="DY236" i="11" s="1"/>
  <c r="DZ236" i="11" s="1"/>
  <c r="EA236" i="11" s="1"/>
  <c r="EB236" i="11" s="1"/>
  <c r="DR236" i="11"/>
  <c r="DH236" i="11"/>
  <c r="DL236" i="11" s="1"/>
  <c r="DM236" i="11" s="1"/>
  <c r="DG236" i="11" a="1"/>
  <c r="DG236" i="11" s="1"/>
  <c r="DJ236" i="11" s="1"/>
  <c r="DS235" i="11"/>
  <c r="DT235" i="11" s="1"/>
  <c r="DU235" i="11" s="1"/>
  <c r="DV235" i="11" s="1"/>
  <c r="DW235" i="11" s="1"/>
  <c r="DX235" i="11" s="1"/>
  <c r="DY235" i="11" s="1"/>
  <c r="DZ235" i="11" s="1"/>
  <c r="EA235" i="11" s="1"/>
  <c r="EB235" i="11" s="1"/>
  <c r="DR235" i="11"/>
  <c r="DH235" i="11"/>
  <c r="DL235" i="11" s="1"/>
  <c r="DM235" i="11" s="1"/>
  <c r="DG235" i="11" a="1"/>
  <c r="DG235" i="11" s="1"/>
  <c r="DN235" i="11" s="1"/>
  <c r="DS234" i="11"/>
  <c r="DT234" i="11" s="1"/>
  <c r="DU234" i="11" s="1"/>
  <c r="DV234" i="11" s="1"/>
  <c r="DW234" i="11" s="1"/>
  <c r="DX234" i="11" s="1"/>
  <c r="DY234" i="11" s="1"/>
  <c r="DZ234" i="11" s="1"/>
  <c r="EA234" i="11" s="1"/>
  <c r="EB234" i="11" s="1"/>
  <c r="DR234" i="11"/>
  <c r="DH234" i="11"/>
  <c r="DL234" i="11" s="1"/>
  <c r="DM234" i="11" s="1"/>
  <c r="DG234" i="11" a="1"/>
  <c r="DG234" i="11" s="1"/>
  <c r="DS233" i="11"/>
  <c r="DT233" i="11" s="1"/>
  <c r="DU233" i="11" s="1"/>
  <c r="DV233" i="11" s="1"/>
  <c r="DW233" i="11" s="1"/>
  <c r="DX233" i="11" s="1"/>
  <c r="DY233" i="11" s="1"/>
  <c r="DZ233" i="11" s="1"/>
  <c r="EA233" i="11" s="1"/>
  <c r="EB233" i="11" s="1"/>
  <c r="DR233" i="11"/>
  <c r="DH233" i="11"/>
  <c r="DL233" i="11" s="1"/>
  <c r="DM233" i="11" s="1"/>
  <c r="DG233" i="11" a="1"/>
  <c r="DG233" i="11" s="1"/>
  <c r="DI233" i="11" s="1"/>
  <c r="DS232" i="11"/>
  <c r="DT232" i="11" s="1"/>
  <c r="DU232" i="11" s="1"/>
  <c r="DV232" i="11" s="1"/>
  <c r="DW232" i="11" s="1"/>
  <c r="DX232" i="11" s="1"/>
  <c r="DY232" i="11" s="1"/>
  <c r="DZ232" i="11" s="1"/>
  <c r="EA232" i="11" s="1"/>
  <c r="EB232" i="11" s="1"/>
  <c r="DR232" i="11"/>
  <c r="DH232" i="11"/>
  <c r="DL232" i="11" s="1"/>
  <c r="DM232" i="11" s="1"/>
  <c r="DG232" i="11" a="1"/>
  <c r="DG232" i="11" s="1"/>
  <c r="DJ232" i="11" s="1"/>
  <c r="DS255" i="11"/>
  <c r="DT255" i="11" s="1"/>
  <c r="DU255" i="11" s="1"/>
  <c r="DV255" i="11" s="1"/>
  <c r="DW255" i="11" s="1"/>
  <c r="DX255" i="11" s="1"/>
  <c r="DY255" i="11" s="1"/>
  <c r="DZ255" i="11" s="1"/>
  <c r="EA255" i="11" s="1"/>
  <c r="EB255" i="11" s="1"/>
  <c r="DR255" i="11"/>
  <c r="DH255" i="11"/>
  <c r="DL255" i="11" s="1"/>
  <c r="DM255" i="11" s="1"/>
  <c r="DG255" i="11" a="1"/>
  <c r="DG255" i="11" s="1"/>
  <c r="DI255" i="11" s="1"/>
  <c r="DS254" i="11"/>
  <c r="DT254" i="11" s="1"/>
  <c r="DU254" i="11" s="1"/>
  <c r="DV254" i="11" s="1"/>
  <c r="DW254" i="11" s="1"/>
  <c r="DX254" i="11" s="1"/>
  <c r="DY254" i="11" s="1"/>
  <c r="DZ254" i="11" s="1"/>
  <c r="EA254" i="11" s="1"/>
  <c r="EB254" i="11" s="1"/>
  <c r="DR254" i="11"/>
  <c r="DH254" i="11"/>
  <c r="DL254" i="11" s="1"/>
  <c r="DM254" i="11" s="1"/>
  <c r="DG254" i="11" a="1"/>
  <c r="DG254" i="11" s="1"/>
  <c r="DO254" i="11" s="1"/>
  <c r="DP254" i="11" s="1" a="1"/>
  <c r="DP254" i="11" s="1"/>
  <c r="DQ254" i="11" s="1"/>
  <c r="DS253" i="11"/>
  <c r="DT253" i="11" s="1"/>
  <c r="DU253" i="11" s="1"/>
  <c r="DV253" i="11" s="1"/>
  <c r="DW253" i="11" s="1"/>
  <c r="DX253" i="11" s="1"/>
  <c r="DY253" i="11" s="1"/>
  <c r="DZ253" i="11" s="1"/>
  <c r="EA253" i="11" s="1"/>
  <c r="EB253" i="11" s="1"/>
  <c r="DR253" i="11"/>
  <c r="DH253" i="11"/>
  <c r="DL253" i="11" s="1"/>
  <c r="DM253" i="11" s="1"/>
  <c r="DG253" i="11" a="1"/>
  <c r="DG253" i="11" s="1"/>
  <c r="DI253" i="11" s="1"/>
  <c r="DS252" i="11"/>
  <c r="DT252" i="11" s="1"/>
  <c r="DU252" i="11" s="1"/>
  <c r="DV252" i="11" s="1"/>
  <c r="DW252" i="11" s="1"/>
  <c r="DX252" i="11" s="1"/>
  <c r="DY252" i="11" s="1"/>
  <c r="DZ252" i="11" s="1"/>
  <c r="EA252" i="11" s="1"/>
  <c r="EB252" i="11" s="1"/>
  <c r="DR252" i="11"/>
  <c r="DH252" i="11"/>
  <c r="DL252" i="11" s="1"/>
  <c r="DM252" i="11" s="1"/>
  <c r="DG252" i="11" a="1"/>
  <c r="DG252" i="11" s="1"/>
  <c r="DO252" i="11" s="1"/>
  <c r="DP252" i="11" s="1" a="1"/>
  <c r="DP252" i="11" s="1"/>
  <c r="DQ252" i="11" s="1"/>
  <c r="DS251" i="11"/>
  <c r="DT251" i="11" s="1"/>
  <c r="DU251" i="11" s="1"/>
  <c r="DV251" i="11" s="1"/>
  <c r="DW251" i="11" s="1"/>
  <c r="DX251" i="11" s="1"/>
  <c r="DY251" i="11" s="1"/>
  <c r="DZ251" i="11" s="1"/>
  <c r="EA251" i="11" s="1"/>
  <c r="EB251" i="11" s="1"/>
  <c r="DR251" i="11"/>
  <c r="DH251" i="11"/>
  <c r="DL251" i="11" s="1"/>
  <c r="DM251" i="11" s="1"/>
  <c r="DG251" i="11" a="1"/>
  <c r="DG251" i="11" s="1"/>
  <c r="DI251" i="11" s="1"/>
  <c r="DS250" i="11"/>
  <c r="DT250" i="11" s="1"/>
  <c r="DU250" i="11" s="1"/>
  <c r="DV250" i="11" s="1"/>
  <c r="DW250" i="11" s="1"/>
  <c r="DX250" i="11" s="1"/>
  <c r="DY250" i="11" s="1"/>
  <c r="DZ250" i="11" s="1"/>
  <c r="EA250" i="11" s="1"/>
  <c r="EB250" i="11" s="1"/>
  <c r="DR250" i="11"/>
  <c r="DH250" i="11"/>
  <c r="DG250" i="11" a="1"/>
  <c r="DG250" i="11" s="1"/>
  <c r="DO250" i="11" s="1"/>
  <c r="DP250" i="11" s="1" a="1"/>
  <c r="DP250" i="11" s="1"/>
  <c r="DQ250" i="11" s="1"/>
  <c r="DS260" i="11"/>
  <c r="DT260" i="11" s="1"/>
  <c r="DU260" i="11" s="1"/>
  <c r="DV260" i="11" s="1"/>
  <c r="DW260" i="11" s="1"/>
  <c r="DX260" i="11" s="1"/>
  <c r="DY260" i="11" s="1"/>
  <c r="DZ260" i="11" s="1"/>
  <c r="EA260" i="11" s="1"/>
  <c r="EB260" i="11" s="1"/>
  <c r="DR260" i="11"/>
  <c r="DH260" i="11"/>
  <c r="DL260" i="11" s="1"/>
  <c r="DM260" i="11" s="1"/>
  <c r="DG260" i="11" a="1"/>
  <c r="DG260" i="11" s="1"/>
  <c r="DI260" i="11" s="1"/>
  <c r="DS259" i="11"/>
  <c r="DT259" i="11" s="1"/>
  <c r="DU259" i="11" s="1"/>
  <c r="DV259" i="11" s="1"/>
  <c r="DW259" i="11" s="1"/>
  <c r="DX259" i="11" s="1"/>
  <c r="DY259" i="11" s="1"/>
  <c r="DZ259" i="11" s="1"/>
  <c r="EA259" i="11" s="1"/>
  <c r="EB259" i="11" s="1"/>
  <c r="DR259" i="11"/>
  <c r="DH259" i="11"/>
  <c r="DL259" i="11" s="1"/>
  <c r="DM259" i="11" s="1"/>
  <c r="DG259" i="11" a="1"/>
  <c r="DG259" i="11" s="1"/>
  <c r="DO259" i="11" s="1"/>
  <c r="DP259" i="11" s="1" a="1"/>
  <c r="DP259" i="11" s="1"/>
  <c r="DQ259" i="11" s="1"/>
  <c r="DS258" i="11"/>
  <c r="DT258" i="11" s="1"/>
  <c r="DU258" i="11" s="1"/>
  <c r="DV258" i="11" s="1"/>
  <c r="DW258" i="11" s="1"/>
  <c r="DX258" i="11" s="1"/>
  <c r="DY258" i="11" s="1"/>
  <c r="DZ258" i="11" s="1"/>
  <c r="EA258" i="11" s="1"/>
  <c r="EB258" i="11" s="1"/>
  <c r="DR258" i="11"/>
  <c r="DH258" i="11"/>
  <c r="DL258" i="11" s="1"/>
  <c r="DM258" i="11" s="1"/>
  <c r="DG258" i="11" a="1"/>
  <c r="DG258" i="11" s="1"/>
  <c r="DI258" i="11" s="1"/>
  <c r="DS257" i="11"/>
  <c r="DT257" i="11" s="1"/>
  <c r="DU257" i="11" s="1"/>
  <c r="DV257" i="11" s="1"/>
  <c r="DW257" i="11" s="1"/>
  <c r="DX257" i="11" s="1"/>
  <c r="DY257" i="11" s="1"/>
  <c r="DZ257" i="11" s="1"/>
  <c r="EA257" i="11" s="1"/>
  <c r="EB257" i="11" s="1"/>
  <c r="DR257" i="11"/>
  <c r="DH257" i="11"/>
  <c r="DL257" i="11" s="1"/>
  <c r="DM257" i="11" s="1"/>
  <c r="DG257" i="11" a="1"/>
  <c r="DG257" i="11" s="1"/>
  <c r="DO257" i="11" s="1"/>
  <c r="DP257" i="11" s="1" a="1"/>
  <c r="DP257" i="11" s="1"/>
  <c r="DQ257" i="11" s="1"/>
  <c r="DS256" i="11"/>
  <c r="DT256" i="11" s="1"/>
  <c r="DU256" i="11" s="1"/>
  <c r="DV256" i="11" s="1"/>
  <c r="DW256" i="11" s="1"/>
  <c r="DX256" i="11" s="1"/>
  <c r="DY256" i="11" s="1"/>
  <c r="DZ256" i="11" s="1"/>
  <c r="EA256" i="11" s="1"/>
  <c r="EB256" i="11" s="1"/>
  <c r="DR256" i="11"/>
  <c r="DH256" i="11"/>
  <c r="DL256" i="11" s="1"/>
  <c r="DM256" i="11" s="1"/>
  <c r="DG256" i="11" a="1"/>
  <c r="DG256" i="11" s="1"/>
  <c r="DI256" i="11" s="1"/>
  <c r="DS272" i="11"/>
  <c r="DT272" i="11" s="1"/>
  <c r="DU272" i="11" s="1"/>
  <c r="DV272" i="11" s="1"/>
  <c r="DW272" i="11" s="1"/>
  <c r="DX272" i="11" s="1"/>
  <c r="DY272" i="11" s="1"/>
  <c r="DZ272" i="11" s="1"/>
  <c r="EA272" i="11" s="1"/>
  <c r="EB272" i="11" s="1"/>
  <c r="DR272" i="11"/>
  <c r="DH272" i="11"/>
  <c r="DL272" i="11" s="1"/>
  <c r="DM272" i="11" s="1"/>
  <c r="DG272" i="11" a="1"/>
  <c r="DG272" i="11" s="1"/>
  <c r="DO272" i="11" s="1"/>
  <c r="DP272" i="11" s="1" a="1"/>
  <c r="DP272" i="11" s="1"/>
  <c r="DQ272" i="11" s="1"/>
  <c r="DS271" i="11"/>
  <c r="DT271" i="11" s="1"/>
  <c r="DU271" i="11" s="1"/>
  <c r="DV271" i="11" s="1"/>
  <c r="DW271" i="11" s="1"/>
  <c r="DX271" i="11" s="1"/>
  <c r="DY271" i="11" s="1"/>
  <c r="DZ271" i="11" s="1"/>
  <c r="EA271" i="11" s="1"/>
  <c r="EB271" i="11" s="1"/>
  <c r="DR271" i="11"/>
  <c r="DH271" i="11"/>
  <c r="DL271" i="11" s="1"/>
  <c r="DM271" i="11" s="1"/>
  <c r="DG271" i="11" a="1"/>
  <c r="DG271" i="11" s="1"/>
  <c r="DI271" i="11" s="1"/>
  <c r="DS270" i="11"/>
  <c r="DT270" i="11" s="1"/>
  <c r="DU270" i="11" s="1"/>
  <c r="DV270" i="11" s="1"/>
  <c r="DW270" i="11" s="1"/>
  <c r="DX270" i="11" s="1"/>
  <c r="DY270" i="11" s="1"/>
  <c r="DZ270" i="11" s="1"/>
  <c r="EA270" i="11" s="1"/>
  <c r="EB270" i="11" s="1"/>
  <c r="DR270" i="11"/>
  <c r="DH270" i="11"/>
  <c r="DL270" i="11" s="1"/>
  <c r="DM270" i="11" s="1"/>
  <c r="DG270" i="11" a="1"/>
  <c r="DG270" i="11" s="1"/>
  <c r="DO270" i="11" s="1"/>
  <c r="DP270" i="11" s="1" a="1"/>
  <c r="DP270" i="11" s="1"/>
  <c r="DQ270" i="11" s="1"/>
  <c r="DS269" i="11"/>
  <c r="DT269" i="11" s="1"/>
  <c r="DU269" i="11" s="1"/>
  <c r="DV269" i="11" s="1"/>
  <c r="DW269" i="11" s="1"/>
  <c r="DX269" i="11" s="1"/>
  <c r="DY269" i="11" s="1"/>
  <c r="DZ269" i="11" s="1"/>
  <c r="EA269" i="11" s="1"/>
  <c r="EB269" i="11" s="1"/>
  <c r="DR269" i="11"/>
  <c r="DH269" i="11"/>
  <c r="DL269" i="11" s="1"/>
  <c r="DM269" i="11" s="1"/>
  <c r="DG269" i="11" a="1"/>
  <c r="DG269" i="11" s="1"/>
  <c r="DO269" i="11" s="1"/>
  <c r="DP269" i="11" s="1" a="1"/>
  <c r="DP269" i="11" s="1"/>
  <c r="DQ269" i="11" s="1"/>
  <c r="DS268" i="11"/>
  <c r="DT268" i="11" s="1"/>
  <c r="DU268" i="11" s="1"/>
  <c r="DV268" i="11" s="1"/>
  <c r="DW268" i="11" s="1"/>
  <c r="DX268" i="11" s="1"/>
  <c r="DY268" i="11" s="1"/>
  <c r="DZ268" i="11" s="1"/>
  <c r="EA268" i="11" s="1"/>
  <c r="EB268" i="11" s="1"/>
  <c r="DR268" i="11"/>
  <c r="DH268" i="11"/>
  <c r="DG268" i="11" a="1"/>
  <c r="DG268" i="11" s="1"/>
  <c r="DS267" i="11"/>
  <c r="DT267" i="11" s="1"/>
  <c r="DU267" i="11" s="1"/>
  <c r="DV267" i="11" s="1"/>
  <c r="DW267" i="11" s="1"/>
  <c r="DX267" i="11" s="1"/>
  <c r="DY267" i="11" s="1"/>
  <c r="DZ267" i="11" s="1"/>
  <c r="EA267" i="11" s="1"/>
  <c r="EB267" i="11" s="1"/>
  <c r="DR267" i="11"/>
  <c r="DH267" i="11"/>
  <c r="DL267" i="11" s="1"/>
  <c r="DM267" i="11" s="1"/>
  <c r="DG267" i="11" a="1"/>
  <c r="DG267" i="11" s="1"/>
  <c r="DI267" i="11" s="1"/>
  <c r="DS266" i="11"/>
  <c r="DT266" i="11" s="1"/>
  <c r="DU266" i="11" s="1"/>
  <c r="DV266" i="11" s="1"/>
  <c r="DW266" i="11" s="1"/>
  <c r="DX266" i="11" s="1"/>
  <c r="DY266" i="11" s="1"/>
  <c r="DZ266" i="11" s="1"/>
  <c r="EA266" i="11" s="1"/>
  <c r="EB266" i="11" s="1"/>
  <c r="DR266" i="11"/>
  <c r="DH266" i="11"/>
  <c r="DL266" i="11" s="1"/>
  <c r="DM266" i="11" s="1"/>
  <c r="DG266" i="11" a="1"/>
  <c r="DG266" i="11" s="1"/>
  <c r="DO266" i="11" s="1"/>
  <c r="DP266" i="11" s="1" a="1"/>
  <c r="DP266" i="11" s="1"/>
  <c r="DQ266" i="11" s="1"/>
  <c r="DS265" i="11"/>
  <c r="DT265" i="11" s="1"/>
  <c r="DU265" i="11" s="1"/>
  <c r="DV265" i="11" s="1"/>
  <c r="DW265" i="11" s="1"/>
  <c r="DX265" i="11" s="1"/>
  <c r="DY265" i="11" s="1"/>
  <c r="DZ265" i="11" s="1"/>
  <c r="EA265" i="11" s="1"/>
  <c r="EB265" i="11" s="1"/>
  <c r="DR265" i="11"/>
  <c r="DH265" i="11"/>
  <c r="DL265" i="11" s="1"/>
  <c r="DM265" i="11" s="1"/>
  <c r="DG265" i="11" a="1"/>
  <c r="DG265" i="11" s="1"/>
  <c r="DO265" i="11" s="1"/>
  <c r="DP265" i="11" s="1" a="1"/>
  <c r="DP265" i="11" s="1"/>
  <c r="DQ265" i="11" s="1"/>
  <c r="DS264" i="11"/>
  <c r="DT264" i="11" s="1"/>
  <c r="DU264" i="11" s="1"/>
  <c r="DV264" i="11" s="1"/>
  <c r="DW264" i="11" s="1"/>
  <c r="DX264" i="11" s="1"/>
  <c r="DY264" i="11" s="1"/>
  <c r="DZ264" i="11" s="1"/>
  <c r="EA264" i="11" s="1"/>
  <c r="EB264" i="11" s="1"/>
  <c r="DR264" i="11"/>
  <c r="DH264" i="11"/>
  <c r="DL264" i="11" s="1"/>
  <c r="DM264" i="11" s="1"/>
  <c r="DG264" i="11" a="1"/>
  <c r="DG264" i="11" s="1"/>
  <c r="DS263" i="11"/>
  <c r="DT263" i="11" s="1"/>
  <c r="DU263" i="11" s="1"/>
  <c r="DV263" i="11" s="1"/>
  <c r="DW263" i="11" s="1"/>
  <c r="DX263" i="11" s="1"/>
  <c r="DY263" i="11" s="1"/>
  <c r="DZ263" i="11" s="1"/>
  <c r="EA263" i="11" s="1"/>
  <c r="EB263" i="11" s="1"/>
  <c r="DR263" i="11"/>
  <c r="DH263" i="11"/>
  <c r="DL263" i="11" s="1"/>
  <c r="DM263" i="11" s="1"/>
  <c r="DG263" i="11" a="1"/>
  <c r="DG263" i="11" s="1"/>
  <c r="DS262" i="11"/>
  <c r="DT262" i="11" s="1"/>
  <c r="DU262" i="11" s="1"/>
  <c r="DV262" i="11" s="1"/>
  <c r="DW262" i="11" s="1"/>
  <c r="DX262" i="11" s="1"/>
  <c r="DY262" i="11" s="1"/>
  <c r="DZ262" i="11" s="1"/>
  <c r="EA262" i="11" s="1"/>
  <c r="EB262" i="11" s="1"/>
  <c r="DR262" i="11"/>
  <c r="DH262" i="11"/>
  <c r="DG262" i="11" a="1"/>
  <c r="DG262" i="11" s="1"/>
  <c r="DN262" i="11" s="1"/>
  <c r="DS261" i="11"/>
  <c r="DT261" i="11" s="1"/>
  <c r="DU261" i="11" s="1"/>
  <c r="DV261" i="11" s="1"/>
  <c r="DW261" i="11" s="1"/>
  <c r="DX261" i="11" s="1"/>
  <c r="DY261" i="11" s="1"/>
  <c r="DZ261" i="11" s="1"/>
  <c r="EA261" i="11" s="1"/>
  <c r="EB261" i="11" s="1"/>
  <c r="DR261" i="11"/>
  <c r="DH261" i="11"/>
  <c r="DG261" i="11" a="1"/>
  <c r="DG261" i="11" s="1"/>
  <c r="DS278" i="11"/>
  <c r="DT278" i="11" s="1"/>
  <c r="DU278" i="11" s="1"/>
  <c r="DV278" i="11" s="1"/>
  <c r="DW278" i="11" s="1"/>
  <c r="DX278" i="11" s="1"/>
  <c r="DY278" i="11" s="1"/>
  <c r="DZ278" i="11" s="1"/>
  <c r="EA278" i="11" s="1"/>
  <c r="EB278" i="11" s="1"/>
  <c r="DR278" i="11"/>
  <c r="DH278" i="11"/>
  <c r="DL278" i="11" s="1"/>
  <c r="DM278" i="11" s="1"/>
  <c r="DG278" i="11" a="1"/>
  <c r="DG278" i="11" s="1"/>
  <c r="DJ278" i="11" s="1"/>
  <c r="DS277" i="11"/>
  <c r="DT277" i="11" s="1"/>
  <c r="DU277" i="11" s="1"/>
  <c r="DV277" i="11" s="1"/>
  <c r="DW277" i="11" s="1"/>
  <c r="DX277" i="11" s="1"/>
  <c r="DY277" i="11" s="1"/>
  <c r="DZ277" i="11" s="1"/>
  <c r="EA277" i="11" s="1"/>
  <c r="EB277" i="11" s="1"/>
  <c r="DR277" i="11"/>
  <c r="DH277" i="11"/>
  <c r="DL277" i="11" s="1"/>
  <c r="DM277" i="11" s="1"/>
  <c r="DG277" i="11" a="1"/>
  <c r="DG277" i="11" s="1"/>
  <c r="DN277" i="11" s="1"/>
  <c r="DS276" i="11"/>
  <c r="DT276" i="11" s="1"/>
  <c r="DU276" i="11" s="1"/>
  <c r="DV276" i="11" s="1"/>
  <c r="DW276" i="11" s="1"/>
  <c r="DX276" i="11" s="1"/>
  <c r="DY276" i="11" s="1"/>
  <c r="DZ276" i="11" s="1"/>
  <c r="EA276" i="11" s="1"/>
  <c r="EB276" i="11" s="1"/>
  <c r="DR276" i="11"/>
  <c r="DH276" i="11"/>
  <c r="DL276" i="11" s="1"/>
  <c r="DM276" i="11" s="1"/>
  <c r="DG276" i="11" a="1"/>
  <c r="DG276" i="11" s="1"/>
  <c r="DN276" i="11" s="1"/>
  <c r="DS275" i="11"/>
  <c r="DT275" i="11" s="1"/>
  <c r="DU275" i="11" s="1"/>
  <c r="DV275" i="11" s="1"/>
  <c r="DW275" i="11" s="1"/>
  <c r="DX275" i="11" s="1"/>
  <c r="DY275" i="11" s="1"/>
  <c r="DZ275" i="11" s="1"/>
  <c r="EA275" i="11" s="1"/>
  <c r="EB275" i="11" s="1"/>
  <c r="DR275" i="11"/>
  <c r="DH275" i="11"/>
  <c r="DL275" i="11" s="1"/>
  <c r="DM275" i="11" s="1"/>
  <c r="DG275" i="11" a="1"/>
  <c r="DG275" i="11" s="1"/>
  <c r="DS274" i="11"/>
  <c r="DT274" i="11" s="1"/>
  <c r="DU274" i="11" s="1"/>
  <c r="DV274" i="11" s="1"/>
  <c r="DW274" i="11" s="1"/>
  <c r="DX274" i="11" s="1"/>
  <c r="DY274" i="11" s="1"/>
  <c r="DZ274" i="11" s="1"/>
  <c r="EA274" i="11" s="1"/>
  <c r="EB274" i="11" s="1"/>
  <c r="DR274" i="11"/>
  <c r="DH274" i="11"/>
  <c r="DL274" i="11" s="1"/>
  <c r="DM274" i="11" s="1"/>
  <c r="DG274" i="11" a="1"/>
  <c r="DG274" i="11" s="1"/>
  <c r="DJ274" i="11" s="1"/>
  <c r="DS273" i="11"/>
  <c r="DT273" i="11" s="1"/>
  <c r="DU273" i="11" s="1"/>
  <c r="DV273" i="11" s="1"/>
  <c r="DW273" i="11" s="1"/>
  <c r="DX273" i="11" s="1"/>
  <c r="DY273" i="11" s="1"/>
  <c r="DZ273" i="11" s="1"/>
  <c r="EA273" i="11" s="1"/>
  <c r="EB273" i="11" s="1"/>
  <c r="DR273" i="11"/>
  <c r="DH273" i="11"/>
  <c r="DL273" i="11" s="1"/>
  <c r="DM273" i="11" s="1"/>
  <c r="DG273" i="11" a="1"/>
  <c r="DG273" i="11" s="1"/>
  <c r="DS284" i="11"/>
  <c r="DT284" i="11" s="1"/>
  <c r="DU284" i="11" s="1"/>
  <c r="DV284" i="11" s="1"/>
  <c r="DW284" i="11" s="1"/>
  <c r="DX284" i="11" s="1"/>
  <c r="DY284" i="11" s="1"/>
  <c r="DZ284" i="11" s="1"/>
  <c r="EA284" i="11" s="1"/>
  <c r="EB284" i="11" s="1"/>
  <c r="DR284" i="11"/>
  <c r="DH284" i="11"/>
  <c r="DL284" i="11" s="1"/>
  <c r="DM284" i="11" s="1"/>
  <c r="DG284" i="11" a="1"/>
  <c r="DG284" i="11" s="1"/>
  <c r="DN284" i="11" s="1"/>
  <c r="DS283" i="11"/>
  <c r="DT283" i="11" s="1"/>
  <c r="DU283" i="11" s="1"/>
  <c r="DV283" i="11" s="1"/>
  <c r="DW283" i="11" s="1"/>
  <c r="DX283" i="11" s="1"/>
  <c r="DY283" i="11" s="1"/>
  <c r="DZ283" i="11" s="1"/>
  <c r="EA283" i="11" s="1"/>
  <c r="EB283" i="11" s="1"/>
  <c r="DR283" i="11"/>
  <c r="DH283" i="11"/>
  <c r="DL283" i="11" s="1"/>
  <c r="DM283" i="11" s="1"/>
  <c r="DG283" i="11" a="1"/>
  <c r="DG283" i="11" s="1"/>
  <c r="DI283" i="11" s="1"/>
  <c r="DS282" i="11"/>
  <c r="DT282" i="11" s="1"/>
  <c r="DU282" i="11" s="1"/>
  <c r="DV282" i="11" s="1"/>
  <c r="DW282" i="11" s="1"/>
  <c r="DX282" i="11" s="1"/>
  <c r="DY282" i="11" s="1"/>
  <c r="DZ282" i="11" s="1"/>
  <c r="EA282" i="11" s="1"/>
  <c r="EB282" i="11" s="1"/>
  <c r="DR282" i="11"/>
  <c r="DH282" i="11"/>
  <c r="DL282" i="11" s="1"/>
  <c r="DM282" i="11" s="1"/>
  <c r="DG282" i="11" a="1"/>
  <c r="DG282" i="11" s="1"/>
  <c r="DS281" i="11"/>
  <c r="DT281" i="11" s="1"/>
  <c r="DU281" i="11" s="1"/>
  <c r="DV281" i="11" s="1"/>
  <c r="DW281" i="11" s="1"/>
  <c r="DX281" i="11" s="1"/>
  <c r="DY281" i="11" s="1"/>
  <c r="DZ281" i="11" s="1"/>
  <c r="EA281" i="11" s="1"/>
  <c r="EB281" i="11" s="1"/>
  <c r="DR281" i="11"/>
  <c r="DH281" i="11"/>
  <c r="DL281" i="11" s="1"/>
  <c r="DM281" i="11" s="1"/>
  <c r="DG281" i="11" a="1"/>
  <c r="DG281" i="11" s="1"/>
  <c r="DS280" i="11"/>
  <c r="DT280" i="11" s="1"/>
  <c r="DU280" i="11" s="1"/>
  <c r="DV280" i="11" s="1"/>
  <c r="DW280" i="11" s="1"/>
  <c r="DX280" i="11" s="1"/>
  <c r="DY280" i="11" s="1"/>
  <c r="DZ280" i="11" s="1"/>
  <c r="EA280" i="11" s="1"/>
  <c r="EB280" i="11" s="1"/>
  <c r="DR280" i="11"/>
  <c r="DH280" i="11"/>
  <c r="DL280" i="11" s="1"/>
  <c r="DM280" i="11" s="1"/>
  <c r="DG280" i="11" a="1"/>
  <c r="DG280" i="11" s="1"/>
  <c r="DJ280" i="11" s="1"/>
  <c r="DS279" i="11"/>
  <c r="DT279" i="11" s="1"/>
  <c r="DU279" i="11" s="1"/>
  <c r="DV279" i="11" s="1"/>
  <c r="DW279" i="11" s="1"/>
  <c r="DX279" i="11" s="1"/>
  <c r="DY279" i="11" s="1"/>
  <c r="DZ279" i="11" s="1"/>
  <c r="EA279" i="11" s="1"/>
  <c r="EB279" i="11" s="1"/>
  <c r="DR279" i="11"/>
  <c r="DH279" i="11"/>
  <c r="DL279" i="11" s="1"/>
  <c r="DM279" i="11" s="1"/>
  <c r="DG279" i="11" a="1"/>
  <c r="DG279" i="11" s="1"/>
  <c r="DI279" i="11" s="1"/>
  <c r="DS301" i="11"/>
  <c r="DT301" i="11" s="1"/>
  <c r="DU301" i="11" s="1"/>
  <c r="DV301" i="11" s="1"/>
  <c r="DW301" i="11" s="1"/>
  <c r="DX301" i="11" s="1"/>
  <c r="DY301" i="11" s="1"/>
  <c r="DZ301" i="11" s="1"/>
  <c r="EA301" i="11" s="1"/>
  <c r="EB301" i="11" s="1"/>
  <c r="DR301" i="11"/>
  <c r="DH301" i="11"/>
  <c r="DG301" i="11" a="1"/>
  <c r="DG301" i="11" s="1"/>
  <c r="DS300" i="11"/>
  <c r="DT300" i="11" s="1"/>
  <c r="DU300" i="11" s="1"/>
  <c r="DV300" i="11" s="1"/>
  <c r="DW300" i="11" s="1"/>
  <c r="DX300" i="11" s="1"/>
  <c r="DY300" i="11" s="1"/>
  <c r="DZ300" i="11" s="1"/>
  <c r="EA300" i="11" s="1"/>
  <c r="EB300" i="11" s="1"/>
  <c r="DR300" i="11"/>
  <c r="DH300" i="11"/>
  <c r="DL300" i="11" s="1"/>
  <c r="DM300" i="11" s="1"/>
  <c r="DG300" i="11" a="1"/>
  <c r="DG300" i="11" s="1"/>
  <c r="DN300" i="11" s="1"/>
  <c r="DS299" i="11"/>
  <c r="DT299" i="11" s="1"/>
  <c r="DU299" i="11" s="1"/>
  <c r="DV299" i="11" s="1"/>
  <c r="DW299" i="11" s="1"/>
  <c r="DX299" i="11" s="1"/>
  <c r="DY299" i="11" s="1"/>
  <c r="DZ299" i="11" s="1"/>
  <c r="EA299" i="11" s="1"/>
  <c r="EB299" i="11" s="1"/>
  <c r="DR299" i="11"/>
  <c r="DH299" i="11"/>
  <c r="DL299" i="11" s="1"/>
  <c r="DM299" i="11" s="1"/>
  <c r="DG299" i="11" a="1"/>
  <c r="DG299" i="11" s="1"/>
  <c r="DS298" i="11"/>
  <c r="DT298" i="11" s="1"/>
  <c r="DU298" i="11" s="1"/>
  <c r="DV298" i="11" s="1"/>
  <c r="DW298" i="11" s="1"/>
  <c r="DX298" i="11" s="1"/>
  <c r="DY298" i="11" s="1"/>
  <c r="DZ298" i="11" s="1"/>
  <c r="EA298" i="11" s="1"/>
  <c r="EB298" i="11" s="1"/>
  <c r="DR298" i="11"/>
  <c r="DH298" i="11"/>
  <c r="DG298" i="11" a="1"/>
  <c r="DG298" i="11" s="1"/>
  <c r="DS297" i="11"/>
  <c r="DT297" i="11" s="1"/>
  <c r="DU297" i="11" s="1"/>
  <c r="DV297" i="11" s="1"/>
  <c r="DW297" i="11" s="1"/>
  <c r="DX297" i="11" s="1"/>
  <c r="DY297" i="11" s="1"/>
  <c r="DZ297" i="11" s="1"/>
  <c r="EA297" i="11" s="1"/>
  <c r="EB297" i="11" s="1"/>
  <c r="DR297" i="11"/>
  <c r="DH297" i="11"/>
  <c r="DL297" i="11" s="1"/>
  <c r="DM297" i="11" s="1"/>
  <c r="DG297" i="11" a="1"/>
  <c r="DG297" i="11" s="1"/>
  <c r="DS296" i="11"/>
  <c r="DT296" i="11" s="1"/>
  <c r="DU296" i="11" s="1"/>
  <c r="DV296" i="11" s="1"/>
  <c r="DW296" i="11" s="1"/>
  <c r="DX296" i="11" s="1"/>
  <c r="DY296" i="11" s="1"/>
  <c r="DZ296" i="11" s="1"/>
  <c r="EA296" i="11" s="1"/>
  <c r="EB296" i="11" s="1"/>
  <c r="DR296" i="11"/>
  <c r="DH296" i="11"/>
  <c r="DL296" i="11" s="1"/>
  <c r="DM296" i="11" s="1"/>
  <c r="DG296" i="11" a="1"/>
  <c r="DG296" i="11" s="1"/>
  <c r="DN296" i="11" s="1"/>
  <c r="DS295" i="11"/>
  <c r="DT295" i="11" s="1"/>
  <c r="DU295" i="11" s="1"/>
  <c r="DV295" i="11" s="1"/>
  <c r="DW295" i="11" s="1"/>
  <c r="DX295" i="11" s="1"/>
  <c r="DY295" i="11" s="1"/>
  <c r="DZ295" i="11" s="1"/>
  <c r="EA295" i="11" s="1"/>
  <c r="EB295" i="11" s="1"/>
  <c r="DR295" i="11"/>
  <c r="DH295" i="11"/>
  <c r="DL295" i="11" s="1"/>
  <c r="DM295" i="11" s="1"/>
  <c r="DG295" i="11" a="1"/>
  <c r="DG295" i="11" s="1"/>
  <c r="DS294" i="11"/>
  <c r="DT294" i="11" s="1"/>
  <c r="DU294" i="11" s="1"/>
  <c r="DV294" i="11" s="1"/>
  <c r="DW294" i="11" s="1"/>
  <c r="DX294" i="11" s="1"/>
  <c r="DY294" i="11" s="1"/>
  <c r="DZ294" i="11" s="1"/>
  <c r="EA294" i="11" s="1"/>
  <c r="EB294" i="11" s="1"/>
  <c r="DR294" i="11"/>
  <c r="DH294" i="11"/>
  <c r="DG294" i="11" a="1"/>
  <c r="DG294" i="11" s="1"/>
  <c r="DS293" i="11"/>
  <c r="DT293" i="11" s="1"/>
  <c r="DU293" i="11" s="1"/>
  <c r="DV293" i="11" s="1"/>
  <c r="DW293" i="11" s="1"/>
  <c r="DX293" i="11" s="1"/>
  <c r="DY293" i="11" s="1"/>
  <c r="DZ293" i="11" s="1"/>
  <c r="EA293" i="11" s="1"/>
  <c r="EB293" i="11" s="1"/>
  <c r="DR293" i="11"/>
  <c r="DH293" i="11"/>
  <c r="DG293" i="11" a="1"/>
  <c r="DG293" i="11" s="1"/>
  <c r="DS292" i="11"/>
  <c r="DT292" i="11" s="1"/>
  <c r="DU292" i="11" s="1"/>
  <c r="DV292" i="11" s="1"/>
  <c r="DW292" i="11" s="1"/>
  <c r="DX292" i="11" s="1"/>
  <c r="DY292" i="11" s="1"/>
  <c r="DZ292" i="11" s="1"/>
  <c r="EA292" i="11" s="1"/>
  <c r="EB292" i="11" s="1"/>
  <c r="DR292" i="11"/>
  <c r="DH292" i="11"/>
  <c r="DG292" i="11" a="1"/>
  <c r="DG292" i="11" s="1"/>
  <c r="DJ292" i="11" s="1"/>
  <c r="DS291" i="11"/>
  <c r="DT291" i="11" s="1"/>
  <c r="DU291" i="11" s="1"/>
  <c r="DV291" i="11" s="1"/>
  <c r="DW291" i="11" s="1"/>
  <c r="DX291" i="11" s="1"/>
  <c r="DY291" i="11" s="1"/>
  <c r="DZ291" i="11" s="1"/>
  <c r="EA291" i="11" s="1"/>
  <c r="EB291" i="11" s="1"/>
  <c r="DR291" i="11"/>
  <c r="DH291" i="11"/>
  <c r="DG291" i="11" a="1"/>
  <c r="DG291" i="11" s="1"/>
  <c r="DS313" i="11"/>
  <c r="DT313" i="11" s="1"/>
  <c r="DU313" i="11" s="1"/>
  <c r="DV313" i="11" s="1"/>
  <c r="DW313" i="11" s="1"/>
  <c r="DX313" i="11" s="1"/>
  <c r="DY313" i="11" s="1"/>
  <c r="DZ313" i="11" s="1"/>
  <c r="EA313" i="11" s="1"/>
  <c r="EB313" i="11" s="1"/>
  <c r="DR313" i="11"/>
  <c r="DH313" i="11"/>
  <c r="DG313" i="11" a="1"/>
  <c r="DG313" i="11" s="1"/>
  <c r="DS312" i="11"/>
  <c r="DT312" i="11" s="1"/>
  <c r="DU312" i="11" s="1"/>
  <c r="DV312" i="11" s="1"/>
  <c r="DW312" i="11" s="1"/>
  <c r="DX312" i="11" s="1"/>
  <c r="DY312" i="11" s="1"/>
  <c r="DZ312" i="11" s="1"/>
  <c r="EA312" i="11" s="1"/>
  <c r="EB312" i="11" s="1"/>
  <c r="DR312" i="11"/>
  <c r="DH312" i="11"/>
  <c r="DL312" i="11" s="1"/>
  <c r="DM312" i="11" s="1"/>
  <c r="DG312" i="11" a="1"/>
  <c r="DG312" i="11" s="1"/>
  <c r="DS311" i="11"/>
  <c r="DT311" i="11" s="1"/>
  <c r="DU311" i="11" s="1"/>
  <c r="DV311" i="11" s="1"/>
  <c r="DW311" i="11" s="1"/>
  <c r="DX311" i="11" s="1"/>
  <c r="DY311" i="11" s="1"/>
  <c r="DZ311" i="11" s="1"/>
  <c r="EA311" i="11" s="1"/>
  <c r="EB311" i="11" s="1"/>
  <c r="DR311" i="11"/>
  <c r="DH311" i="11"/>
  <c r="DL311" i="11" s="1"/>
  <c r="DM311" i="11" s="1"/>
  <c r="DG311" i="11" a="1"/>
  <c r="DG311" i="11" s="1"/>
  <c r="DJ311" i="11" s="1"/>
  <c r="DS310" i="11"/>
  <c r="DT310" i="11" s="1"/>
  <c r="DU310" i="11" s="1"/>
  <c r="DV310" i="11" s="1"/>
  <c r="DW310" i="11" s="1"/>
  <c r="DX310" i="11" s="1"/>
  <c r="DY310" i="11" s="1"/>
  <c r="DZ310" i="11" s="1"/>
  <c r="EA310" i="11" s="1"/>
  <c r="EB310" i="11" s="1"/>
  <c r="DR310" i="11"/>
  <c r="DH310" i="11"/>
  <c r="DL310" i="11" s="1"/>
  <c r="DM310" i="11" s="1"/>
  <c r="DG310" i="11" a="1"/>
  <c r="DG310" i="11" s="1"/>
  <c r="DS309" i="11"/>
  <c r="DT309" i="11" s="1"/>
  <c r="DU309" i="11" s="1"/>
  <c r="DV309" i="11" s="1"/>
  <c r="DW309" i="11" s="1"/>
  <c r="DX309" i="11" s="1"/>
  <c r="DY309" i="11" s="1"/>
  <c r="DZ309" i="11" s="1"/>
  <c r="EA309" i="11" s="1"/>
  <c r="EB309" i="11" s="1"/>
  <c r="DR309" i="11"/>
  <c r="DH309" i="11"/>
  <c r="DL309" i="11" s="1"/>
  <c r="DM309" i="11" s="1"/>
  <c r="DG309" i="11" a="1"/>
  <c r="DG309" i="11" s="1"/>
  <c r="DN309" i="11" s="1"/>
  <c r="DS308" i="11"/>
  <c r="DT308" i="11" s="1"/>
  <c r="DU308" i="11" s="1"/>
  <c r="DV308" i="11" s="1"/>
  <c r="DW308" i="11" s="1"/>
  <c r="DX308" i="11" s="1"/>
  <c r="DY308" i="11" s="1"/>
  <c r="DZ308" i="11" s="1"/>
  <c r="EA308" i="11" s="1"/>
  <c r="EB308" i="11" s="1"/>
  <c r="DR308" i="11"/>
  <c r="DH308" i="11"/>
  <c r="DL308" i="11" s="1"/>
  <c r="DM308" i="11" s="1"/>
  <c r="DG308" i="11" a="1"/>
  <c r="DG308" i="11" s="1"/>
  <c r="DS335" i="11"/>
  <c r="DT335" i="11" s="1"/>
  <c r="DU335" i="11" s="1"/>
  <c r="DV335" i="11" s="1"/>
  <c r="DW335" i="11" s="1"/>
  <c r="DX335" i="11" s="1"/>
  <c r="DY335" i="11" s="1"/>
  <c r="DZ335" i="11" s="1"/>
  <c r="EA335" i="11" s="1"/>
  <c r="EB335" i="11" s="1"/>
  <c r="DR335" i="11"/>
  <c r="DH335" i="11"/>
  <c r="DL335" i="11" s="1"/>
  <c r="DM335" i="11" s="1"/>
  <c r="DG335" i="11" a="1"/>
  <c r="DG335" i="11" s="1"/>
  <c r="DS334" i="11"/>
  <c r="DT334" i="11" s="1"/>
  <c r="DU334" i="11" s="1"/>
  <c r="DV334" i="11" s="1"/>
  <c r="DW334" i="11" s="1"/>
  <c r="DX334" i="11" s="1"/>
  <c r="DY334" i="11" s="1"/>
  <c r="DZ334" i="11" s="1"/>
  <c r="EA334" i="11" s="1"/>
  <c r="EB334" i="11" s="1"/>
  <c r="DR334" i="11"/>
  <c r="DH334" i="11"/>
  <c r="DL334" i="11" s="1"/>
  <c r="DM334" i="11" s="1"/>
  <c r="DG334" i="11" a="1"/>
  <c r="DG334" i="11" s="1"/>
  <c r="DN334" i="11" s="1"/>
  <c r="DS333" i="11"/>
  <c r="DT333" i="11" s="1"/>
  <c r="DU333" i="11" s="1"/>
  <c r="DV333" i="11" s="1"/>
  <c r="DW333" i="11" s="1"/>
  <c r="DX333" i="11" s="1"/>
  <c r="DY333" i="11" s="1"/>
  <c r="DZ333" i="11" s="1"/>
  <c r="EA333" i="11" s="1"/>
  <c r="EB333" i="11" s="1"/>
  <c r="DR333" i="11"/>
  <c r="DH333" i="11"/>
  <c r="DL333" i="11" s="1"/>
  <c r="DM333" i="11" s="1"/>
  <c r="DG333" i="11" a="1"/>
  <c r="DG333" i="11" s="1"/>
  <c r="DS332" i="11"/>
  <c r="DT332" i="11" s="1"/>
  <c r="DU332" i="11" s="1"/>
  <c r="DV332" i="11" s="1"/>
  <c r="DW332" i="11" s="1"/>
  <c r="DX332" i="11" s="1"/>
  <c r="DY332" i="11" s="1"/>
  <c r="DZ332" i="11" s="1"/>
  <c r="EA332" i="11" s="1"/>
  <c r="EB332" i="11" s="1"/>
  <c r="DR332" i="11"/>
  <c r="DH332" i="11"/>
  <c r="DL332" i="11" s="1"/>
  <c r="DM332" i="11" s="1"/>
  <c r="DG332" i="11" a="1"/>
  <c r="DG332" i="11" s="1"/>
  <c r="DS331" i="11"/>
  <c r="DT331" i="11" s="1"/>
  <c r="DU331" i="11" s="1"/>
  <c r="DV331" i="11" s="1"/>
  <c r="DW331" i="11" s="1"/>
  <c r="DX331" i="11" s="1"/>
  <c r="DY331" i="11" s="1"/>
  <c r="DZ331" i="11" s="1"/>
  <c r="EA331" i="11" s="1"/>
  <c r="EB331" i="11" s="1"/>
  <c r="DR331" i="11"/>
  <c r="DH331" i="11"/>
  <c r="DL331" i="11" s="1"/>
  <c r="DM331" i="11" s="1"/>
  <c r="DG331" i="11" a="1"/>
  <c r="DG331" i="11" s="1"/>
  <c r="DS330" i="11"/>
  <c r="DT330" i="11" s="1"/>
  <c r="DU330" i="11" s="1"/>
  <c r="DV330" i="11" s="1"/>
  <c r="DW330" i="11" s="1"/>
  <c r="DX330" i="11" s="1"/>
  <c r="DY330" i="11" s="1"/>
  <c r="DZ330" i="11" s="1"/>
  <c r="EA330" i="11" s="1"/>
  <c r="EB330" i="11" s="1"/>
  <c r="DR330" i="11"/>
  <c r="DH330" i="11"/>
  <c r="DL330" i="11" s="1"/>
  <c r="DM330" i="11" s="1"/>
  <c r="DG330" i="11" a="1"/>
  <c r="DG330" i="11" s="1"/>
  <c r="DN330" i="11" s="1"/>
  <c r="DS329" i="11"/>
  <c r="DT329" i="11" s="1"/>
  <c r="DU329" i="11" s="1"/>
  <c r="DV329" i="11" s="1"/>
  <c r="DW329" i="11" s="1"/>
  <c r="DX329" i="11" s="1"/>
  <c r="DY329" i="11" s="1"/>
  <c r="DZ329" i="11" s="1"/>
  <c r="EA329" i="11" s="1"/>
  <c r="EB329" i="11" s="1"/>
  <c r="DR329" i="11"/>
  <c r="DH329" i="11"/>
  <c r="DG329" i="11" a="1"/>
  <c r="DG329" i="11" s="1"/>
  <c r="DS328" i="11"/>
  <c r="DT328" i="11" s="1"/>
  <c r="DU328" i="11" s="1"/>
  <c r="DV328" i="11" s="1"/>
  <c r="DW328" i="11" s="1"/>
  <c r="DX328" i="11" s="1"/>
  <c r="DY328" i="11" s="1"/>
  <c r="DZ328" i="11" s="1"/>
  <c r="EA328" i="11" s="1"/>
  <c r="EB328" i="11" s="1"/>
  <c r="DR328" i="11"/>
  <c r="DH328" i="11"/>
  <c r="DL328" i="11" s="1"/>
  <c r="DM328" i="11" s="1"/>
  <c r="DG328" i="11" a="1"/>
  <c r="DG328" i="11" s="1"/>
  <c r="DS327" i="11"/>
  <c r="DT327" i="11" s="1"/>
  <c r="DU327" i="11" s="1"/>
  <c r="DV327" i="11" s="1"/>
  <c r="DW327" i="11" s="1"/>
  <c r="DX327" i="11" s="1"/>
  <c r="DY327" i="11" s="1"/>
  <c r="DZ327" i="11" s="1"/>
  <c r="EA327" i="11" s="1"/>
  <c r="EB327" i="11" s="1"/>
  <c r="DR327" i="11"/>
  <c r="DH327" i="11"/>
  <c r="DL327" i="11" s="1"/>
  <c r="DM327" i="11" s="1"/>
  <c r="DG327" i="11" a="1"/>
  <c r="DG327" i="11" s="1"/>
  <c r="DS326" i="11"/>
  <c r="DT326" i="11" s="1"/>
  <c r="DU326" i="11" s="1"/>
  <c r="DV326" i="11" s="1"/>
  <c r="DW326" i="11" s="1"/>
  <c r="DX326" i="11" s="1"/>
  <c r="DY326" i="11" s="1"/>
  <c r="DZ326" i="11" s="1"/>
  <c r="EA326" i="11" s="1"/>
  <c r="EB326" i="11" s="1"/>
  <c r="DR326" i="11"/>
  <c r="DH326" i="11"/>
  <c r="DL326" i="11" s="1"/>
  <c r="DM326" i="11" s="1"/>
  <c r="DG326" i="11" a="1"/>
  <c r="DG326" i="11" s="1"/>
  <c r="DN326" i="11" s="1"/>
  <c r="DS325" i="11"/>
  <c r="DT325" i="11" s="1"/>
  <c r="DU325" i="11" s="1"/>
  <c r="DV325" i="11" s="1"/>
  <c r="DW325" i="11" s="1"/>
  <c r="DX325" i="11" s="1"/>
  <c r="DY325" i="11" s="1"/>
  <c r="DZ325" i="11" s="1"/>
  <c r="EA325" i="11" s="1"/>
  <c r="EB325" i="11" s="1"/>
  <c r="DR325" i="11"/>
  <c r="DH325" i="11"/>
  <c r="DL325" i="11" s="1"/>
  <c r="DM325" i="11" s="1"/>
  <c r="DG325" i="11" a="1"/>
  <c r="DG325" i="11" s="1"/>
  <c r="DS324" i="11"/>
  <c r="DT324" i="11" s="1"/>
  <c r="DU324" i="11" s="1"/>
  <c r="DV324" i="11" s="1"/>
  <c r="DW324" i="11" s="1"/>
  <c r="DX324" i="11" s="1"/>
  <c r="DY324" i="11" s="1"/>
  <c r="DZ324" i="11" s="1"/>
  <c r="EA324" i="11" s="1"/>
  <c r="EB324" i="11" s="1"/>
  <c r="DR324" i="11"/>
  <c r="DH324" i="11"/>
  <c r="DL324" i="11" s="1"/>
  <c r="DM324" i="11" s="1"/>
  <c r="DG324" i="11" a="1"/>
  <c r="DG324" i="11" s="1"/>
  <c r="DS323" i="11"/>
  <c r="DT323" i="11" s="1"/>
  <c r="DU323" i="11" s="1"/>
  <c r="DV323" i="11" s="1"/>
  <c r="DW323" i="11" s="1"/>
  <c r="DX323" i="11" s="1"/>
  <c r="DY323" i="11" s="1"/>
  <c r="DZ323" i="11" s="1"/>
  <c r="EA323" i="11" s="1"/>
  <c r="EB323" i="11" s="1"/>
  <c r="DR323" i="11"/>
  <c r="DH323" i="11"/>
  <c r="DL323" i="11" s="1"/>
  <c r="DM323" i="11" s="1"/>
  <c r="DG323" i="11" a="1"/>
  <c r="DG323" i="11" s="1"/>
  <c r="DS322" i="11"/>
  <c r="DT322" i="11" s="1"/>
  <c r="DU322" i="11" s="1"/>
  <c r="DV322" i="11" s="1"/>
  <c r="DW322" i="11" s="1"/>
  <c r="DX322" i="11" s="1"/>
  <c r="DY322" i="11" s="1"/>
  <c r="DZ322" i="11" s="1"/>
  <c r="EA322" i="11" s="1"/>
  <c r="EB322" i="11" s="1"/>
  <c r="DR322" i="11"/>
  <c r="DH322" i="11"/>
  <c r="DL322" i="11" s="1"/>
  <c r="DM322" i="11" s="1"/>
  <c r="DG322" i="11" a="1"/>
  <c r="DG322" i="11" s="1"/>
  <c r="DJ322" i="11" s="1"/>
  <c r="DS321" i="11"/>
  <c r="DT321" i="11" s="1"/>
  <c r="DU321" i="11" s="1"/>
  <c r="DV321" i="11" s="1"/>
  <c r="DW321" i="11" s="1"/>
  <c r="DX321" i="11" s="1"/>
  <c r="DY321" i="11" s="1"/>
  <c r="DZ321" i="11" s="1"/>
  <c r="EA321" i="11" s="1"/>
  <c r="EB321" i="11" s="1"/>
  <c r="DR321" i="11"/>
  <c r="DH321" i="11"/>
  <c r="DL321" i="11" s="1"/>
  <c r="DM321" i="11" s="1"/>
  <c r="DG321" i="11" a="1"/>
  <c r="DG321" i="11" s="1"/>
  <c r="DS320" i="11"/>
  <c r="DT320" i="11" s="1"/>
  <c r="DU320" i="11" s="1"/>
  <c r="DV320" i="11" s="1"/>
  <c r="DW320" i="11" s="1"/>
  <c r="DX320" i="11" s="1"/>
  <c r="DY320" i="11" s="1"/>
  <c r="DZ320" i="11" s="1"/>
  <c r="EA320" i="11" s="1"/>
  <c r="EB320" i="11" s="1"/>
  <c r="DR320" i="11"/>
  <c r="DH320" i="11"/>
  <c r="DL320" i="11" s="1"/>
  <c r="DM320" i="11" s="1"/>
  <c r="DG320" i="11" a="1"/>
  <c r="DG320" i="11" s="1"/>
  <c r="R3" i="31"/>
  <c r="R4" i="31"/>
  <c r="R5" i="31"/>
  <c r="R6" i="31"/>
  <c r="R7" i="31"/>
  <c r="R8" i="31"/>
  <c r="R9" i="31"/>
  <c r="R10" i="31"/>
  <c r="R12" i="31"/>
  <c r="R13" i="31"/>
  <c r="R14" i="31"/>
  <c r="R15" i="31"/>
  <c r="R16" i="31"/>
  <c r="R17" i="31"/>
  <c r="R18" i="31"/>
  <c r="R19" i="31"/>
  <c r="R21" i="31"/>
  <c r="R22" i="31"/>
  <c r="R23" i="31"/>
  <c r="R24" i="31"/>
  <c r="R25" i="31"/>
  <c r="R26" i="31"/>
  <c r="R27" i="31"/>
  <c r="R28" i="31"/>
  <c r="R30" i="31"/>
  <c r="R31" i="31"/>
  <c r="R32" i="31"/>
  <c r="R33" i="31"/>
  <c r="R34" i="31"/>
  <c r="R35" i="31"/>
  <c r="R36" i="31"/>
  <c r="R37" i="31"/>
  <c r="R39" i="31"/>
  <c r="R40" i="31"/>
  <c r="R41" i="31"/>
  <c r="R42" i="31"/>
  <c r="R43" i="31"/>
  <c r="R44" i="31"/>
  <c r="R45" i="31"/>
  <c r="R46" i="31"/>
  <c r="R48" i="31"/>
  <c r="R49" i="31"/>
  <c r="R50" i="31"/>
  <c r="R51" i="31"/>
  <c r="R52" i="31"/>
  <c r="R53" i="31"/>
  <c r="R54" i="31"/>
  <c r="R55" i="31"/>
  <c r="R57" i="31"/>
  <c r="R58" i="31"/>
  <c r="R59" i="31"/>
  <c r="R60" i="31"/>
  <c r="R61" i="31"/>
  <c r="R62" i="31"/>
  <c r="R63" i="31"/>
  <c r="R64" i="31"/>
  <c r="R66" i="31"/>
  <c r="R67" i="31"/>
  <c r="R68" i="31"/>
  <c r="R69" i="31"/>
  <c r="R70" i="31"/>
  <c r="R71" i="31"/>
  <c r="R72" i="31"/>
  <c r="R73" i="31"/>
  <c r="R75" i="31"/>
  <c r="R76" i="31"/>
  <c r="R77" i="31"/>
  <c r="R78" i="31"/>
  <c r="R79" i="31"/>
  <c r="R80" i="31"/>
  <c r="R81" i="31"/>
  <c r="R82" i="31"/>
  <c r="R84" i="31"/>
  <c r="R85" i="31"/>
  <c r="R86" i="31"/>
  <c r="R87" i="31"/>
  <c r="R88" i="31"/>
  <c r="R89" i="31"/>
  <c r="R90" i="31"/>
  <c r="R91" i="31"/>
  <c r="R93" i="31"/>
  <c r="R94" i="31"/>
  <c r="R95" i="31"/>
  <c r="R96" i="31"/>
  <c r="R97" i="31"/>
  <c r="R98" i="31"/>
  <c r="R99" i="31"/>
  <c r="R100" i="31"/>
  <c r="R102" i="31"/>
  <c r="R103" i="31"/>
  <c r="R104" i="31"/>
  <c r="R105" i="31"/>
  <c r="R106" i="31"/>
  <c r="R107" i="31"/>
  <c r="R108" i="31"/>
  <c r="R109" i="31"/>
  <c r="R111" i="31"/>
  <c r="R112" i="31"/>
  <c r="R113" i="31"/>
  <c r="R114" i="31"/>
  <c r="R115" i="31"/>
  <c r="R116" i="31"/>
  <c r="R117" i="31"/>
  <c r="R118" i="31"/>
  <c r="R120" i="31"/>
  <c r="R121" i="31"/>
  <c r="R122" i="31"/>
  <c r="R123" i="31"/>
  <c r="R124" i="31"/>
  <c r="R125" i="31"/>
  <c r="R126" i="31"/>
  <c r="R127" i="31"/>
  <c r="R129" i="31"/>
  <c r="R130" i="31"/>
  <c r="R131" i="31"/>
  <c r="R132" i="31"/>
  <c r="R133" i="31"/>
  <c r="R134" i="31"/>
  <c r="R135" i="31"/>
  <c r="R136" i="31"/>
  <c r="R138" i="31"/>
  <c r="R139" i="31"/>
  <c r="R140" i="31"/>
  <c r="R141" i="31"/>
  <c r="R142" i="31"/>
  <c r="R143" i="31"/>
  <c r="R144" i="31"/>
  <c r="R145" i="31"/>
  <c r="R147" i="31"/>
  <c r="R148" i="31"/>
  <c r="R149" i="31"/>
  <c r="R150" i="31"/>
  <c r="R151" i="31"/>
  <c r="R152" i="31"/>
  <c r="R153" i="31"/>
  <c r="R154" i="31"/>
  <c r="R156" i="31"/>
  <c r="R157" i="31"/>
  <c r="R158" i="31"/>
  <c r="R159" i="31"/>
  <c r="R160" i="31"/>
  <c r="R161" i="31"/>
  <c r="R162" i="31"/>
  <c r="R163" i="31"/>
  <c r="R165" i="31"/>
  <c r="R166" i="31"/>
  <c r="R167" i="31"/>
  <c r="R168" i="31"/>
  <c r="R169" i="31"/>
  <c r="R170" i="31"/>
  <c r="R171" i="31"/>
  <c r="R172" i="31"/>
  <c r="R174" i="31"/>
  <c r="R175" i="31"/>
  <c r="R176" i="31"/>
  <c r="R177" i="31"/>
  <c r="R178" i="31"/>
  <c r="R179" i="31"/>
  <c r="R180" i="31"/>
  <c r="R181" i="31"/>
  <c r="R183" i="31"/>
  <c r="R184" i="31"/>
  <c r="R185" i="31"/>
  <c r="R186" i="31"/>
  <c r="R187" i="31"/>
  <c r="R188" i="31"/>
  <c r="R189" i="31"/>
  <c r="R190" i="31"/>
  <c r="R192" i="31"/>
  <c r="R193" i="31"/>
  <c r="R194" i="31"/>
  <c r="R195" i="31"/>
  <c r="R196" i="31"/>
  <c r="R197" i="31"/>
  <c r="R198" i="31"/>
  <c r="R199" i="31"/>
  <c r="R201" i="31"/>
  <c r="R202" i="31"/>
  <c r="R203" i="31"/>
  <c r="R204" i="31"/>
  <c r="R205" i="31"/>
  <c r="R206" i="31"/>
  <c r="R207" i="31"/>
  <c r="R208" i="31"/>
  <c r="R210" i="31"/>
  <c r="R211" i="31"/>
  <c r="R212" i="31"/>
  <c r="R213" i="31"/>
  <c r="R214" i="31"/>
  <c r="R215" i="31"/>
  <c r="R216" i="31"/>
  <c r="R217" i="31"/>
  <c r="R219" i="31"/>
  <c r="R220" i="31"/>
  <c r="R221" i="31"/>
  <c r="R222" i="31"/>
  <c r="R223" i="31"/>
  <c r="R224" i="31"/>
  <c r="R225" i="31"/>
  <c r="R226" i="31"/>
  <c r="R228" i="31"/>
  <c r="R229" i="31"/>
  <c r="R230" i="31"/>
  <c r="R231" i="31"/>
  <c r="R232" i="31"/>
  <c r="R233" i="31"/>
  <c r="R234" i="31"/>
  <c r="R235" i="31"/>
  <c r="R237" i="31"/>
  <c r="R238" i="31"/>
  <c r="R239" i="31"/>
  <c r="R240" i="31"/>
  <c r="R241" i="31"/>
  <c r="R242" i="31"/>
  <c r="R243" i="31"/>
  <c r="R244" i="31"/>
  <c r="R246" i="31"/>
  <c r="R247" i="31"/>
  <c r="R248" i="31"/>
  <c r="R249" i="31"/>
  <c r="R250" i="31"/>
  <c r="R251" i="31"/>
  <c r="R252" i="31"/>
  <c r="R253" i="31"/>
  <c r="R255" i="31"/>
  <c r="R256" i="31"/>
  <c r="R257" i="31"/>
  <c r="R258" i="31"/>
  <c r="R259" i="31"/>
  <c r="R260" i="31"/>
  <c r="R261" i="31"/>
  <c r="R262" i="31"/>
  <c r="R264" i="31"/>
  <c r="R265" i="31"/>
  <c r="R266" i="31"/>
  <c r="R267" i="31"/>
  <c r="R268" i="31"/>
  <c r="R269" i="31"/>
  <c r="R270" i="31"/>
  <c r="R271" i="31"/>
  <c r="R273" i="31"/>
  <c r="R274" i="31"/>
  <c r="R275" i="31"/>
  <c r="R276" i="31"/>
  <c r="R277" i="31"/>
  <c r="R278" i="31"/>
  <c r="R279" i="31"/>
  <c r="R280" i="31"/>
  <c r="R282" i="31"/>
  <c r="R283" i="31"/>
  <c r="R284" i="31"/>
  <c r="R285" i="31"/>
  <c r="R286" i="31"/>
  <c r="R287" i="31"/>
  <c r="R288" i="31"/>
  <c r="R289" i="31"/>
  <c r="R291" i="31"/>
  <c r="R292" i="31"/>
  <c r="R293" i="31"/>
  <c r="R294" i="31"/>
  <c r="R295" i="31"/>
  <c r="R296" i="31"/>
  <c r="R297" i="31"/>
  <c r="R298" i="31"/>
  <c r="R300" i="31"/>
  <c r="R301" i="31"/>
  <c r="R302" i="31"/>
  <c r="R303" i="31"/>
  <c r="R304" i="31"/>
  <c r="R305" i="31"/>
  <c r="R306" i="31"/>
  <c r="R307" i="31"/>
  <c r="R309" i="31"/>
  <c r="R310" i="31"/>
  <c r="R311" i="31"/>
  <c r="R312" i="31"/>
  <c r="R313" i="31"/>
  <c r="R314" i="31"/>
  <c r="R315" i="31"/>
  <c r="R316" i="31"/>
  <c r="R318" i="31"/>
  <c r="R319" i="31"/>
  <c r="R320" i="31"/>
  <c r="R321" i="31"/>
  <c r="R322" i="31"/>
  <c r="R323" i="31"/>
  <c r="R324" i="31"/>
  <c r="R325" i="31"/>
  <c r="R327" i="31"/>
  <c r="R328" i="31"/>
  <c r="R329" i="31"/>
  <c r="R330" i="31"/>
  <c r="R331" i="31"/>
  <c r="R332" i="31"/>
  <c r="R333" i="31"/>
  <c r="R334" i="31"/>
  <c r="R336" i="31"/>
  <c r="R337" i="31"/>
  <c r="R338" i="31"/>
  <c r="R339" i="31"/>
  <c r="R340" i="31"/>
  <c r="R341" i="31"/>
  <c r="R342" i="31"/>
  <c r="R343" i="31"/>
  <c r="R345" i="31"/>
  <c r="R346" i="31"/>
  <c r="R347" i="31"/>
  <c r="R348" i="31"/>
  <c r="R349" i="31"/>
  <c r="R350" i="31"/>
  <c r="R351" i="31"/>
  <c r="R352" i="31"/>
  <c r="R354" i="31"/>
  <c r="R355" i="31"/>
  <c r="R356" i="31"/>
  <c r="R357" i="31"/>
  <c r="R358" i="31"/>
  <c r="R359" i="31"/>
  <c r="R360" i="31"/>
  <c r="R361" i="31"/>
  <c r="R363" i="31"/>
  <c r="R364" i="31"/>
  <c r="R365" i="31"/>
  <c r="R366" i="31"/>
  <c r="R367" i="31"/>
  <c r="R368" i="31"/>
  <c r="R369" i="31"/>
  <c r="R370" i="31"/>
  <c r="R372" i="31"/>
  <c r="R373" i="31"/>
  <c r="R374" i="31"/>
  <c r="R375" i="31"/>
  <c r="R376" i="31"/>
  <c r="R377" i="31"/>
  <c r="R378" i="31"/>
  <c r="R379" i="31"/>
  <c r="R381" i="31"/>
  <c r="R382" i="31"/>
  <c r="R383" i="31"/>
  <c r="R384" i="31"/>
  <c r="R385" i="31"/>
  <c r="R386" i="31"/>
  <c r="R387" i="31"/>
  <c r="R388" i="31"/>
  <c r="R390" i="31"/>
  <c r="R391" i="31"/>
  <c r="R392" i="31"/>
  <c r="R393" i="31"/>
  <c r="R394" i="31"/>
  <c r="R395" i="31"/>
  <c r="R396" i="31"/>
  <c r="R397" i="31"/>
  <c r="R399" i="31"/>
  <c r="R400" i="31"/>
  <c r="R401" i="31"/>
  <c r="R402" i="31"/>
  <c r="R403" i="31"/>
  <c r="R404" i="31"/>
  <c r="R405" i="31"/>
  <c r="R406" i="31"/>
  <c r="R408" i="31"/>
  <c r="R409" i="31"/>
  <c r="R410" i="31"/>
  <c r="R411" i="31"/>
  <c r="R412" i="31"/>
  <c r="R413" i="31"/>
  <c r="R414" i="31"/>
  <c r="R415" i="31"/>
  <c r="R417" i="31"/>
  <c r="R418" i="31"/>
  <c r="R419" i="31"/>
  <c r="R420" i="31"/>
  <c r="R421" i="31"/>
  <c r="R422" i="31"/>
  <c r="R423" i="31"/>
  <c r="R424" i="31"/>
  <c r="R426" i="31"/>
  <c r="R427" i="31"/>
  <c r="R428" i="31"/>
  <c r="R429" i="31"/>
  <c r="R430" i="31"/>
  <c r="R431" i="31"/>
  <c r="R432" i="31"/>
  <c r="R433" i="31"/>
  <c r="R435" i="31"/>
  <c r="R436" i="31"/>
  <c r="R437" i="31"/>
  <c r="R438" i="31"/>
  <c r="R439" i="31"/>
  <c r="R440" i="31"/>
  <c r="R441" i="31"/>
  <c r="R442" i="31"/>
  <c r="R444" i="31"/>
  <c r="R445" i="31"/>
  <c r="R446" i="31"/>
  <c r="R447" i="31"/>
  <c r="R448" i="31"/>
  <c r="R449" i="31"/>
  <c r="R450" i="31"/>
  <c r="R451" i="31"/>
  <c r="R453" i="31"/>
  <c r="R454" i="31"/>
  <c r="R455" i="31"/>
  <c r="R456" i="31"/>
  <c r="R457" i="31"/>
  <c r="R458" i="31"/>
  <c r="R459" i="31"/>
  <c r="R460" i="31"/>
  <c r="R462" i="31"/>
  <c r="R463" i="31"/>
  <c r="R464" i="31"/>
  <c r="R465" i="31"/>
  <c r="R466" i="31"/>
  <c r="R467" i="31"/>
  <c r="R468" i="31"/>
  <c r="R469" i="31"/>
  <c r="R471" i="31"/>
  <c r="R472" i="31"/>
  <c r="R473" i="31"/>
  <c r="R474" i="31"/>
  <c r="R475" i="31"/>
  <c r="R476" i="31"/>
  <c r="R477" i="31"/>
  <c r="R478" i="31"/>
  <c r="R480" i="31"/>
  <c r="R481" i="31"/>
  <c r="R482" i="31"/>
  <c r="R483" i="31"/>
  <c r="R484" i="31"/>
  <c r="R485" i="31"/>
  <c r="R486" i="31"/>
  <c r="R487" i="31"/>
  <c r="R489" i="31"/>
  <c r="R490" i="31"/>
  <c r="R491" i="31"/>
  <c r="R492" i="31"/>
  <c r="R493" i="31"/>
  <c r="R494" i="31"/>
  <c r="R495" i="31"/>
  <c r="R496" i="31"/>
  <c r="R498" i="31"/>
  <c r="R499" i="31"/>
  <c r="R500" i="31"/>
  <c r="R501" i="31"/>
  <c r="R502" i="31"/>
  <c r="R503" i="31"/>
  <c r="R504" i="31"/>
  <c r="R505" i="31"/>
  <c r="R507" i="31"/>
  <c r="R508" i="31"/>
  <c r="R509" i="31"/>
  <c r="R510" i="31"/>
  <c r="R511" i="31"/>
  <c r="R512" i="31"/>
  <c r="R513" i="31"/>
  <c r="R514" i="31"/>
  <c r="R516" i="31"/>
  <c r="R517" i="31"/>
  <c r="R518" i="31"/>
  <c r="R519" i="31"/>
  <c r="R520" i="31"/>
  <c r="R521" i="31"/>
  <c r="R522" i="31"/>
  <c r="R523" i="31"/>
  <c r="R525" i="31"/>
  <c r="R526" i="31"/>
  <c r="R527" i="31"/>
  <c r="R528" i="31"/>
  <c r="R529" i="31"/>
  <c r="R530" i="31"/>
  <c r="R531" i="31"/>
  <c r="R532" i="31"/>
  <c r="R534" i="31"/>
  <c r="R535" i="31"/>
  <c r="R536" i="31"/>
  <c r="R537" i="31"/>
  <c r="R538" i="31"/>
  <c r="R539" i="31"/>
  <c r="R540" i="31"/>
  <c r="R541" i="31"/>
  <c r="R543" i="31"/>
  <c r="R544" i="31"/>
  <c r="R545" i="31"/>
  <c r="R546" i="31"/>
  <c r="R547" i="31"/>
  <c r="R548" i="31"/>
  <c r="R549" i="31"/>
  <c r="R550" i="31"/>
  <c r="R552" i="31"/>
  <c r="R553" i="31"/>
  <c r="R554" i="31"/>
  <c r="R555" i="31"/>
  <c r="R556" i="31"/>
  <c r="R557" i="31"/>
  <c r="R558" i="31"/>
  <c r="R559" i="31"/>
  <c r="R561" i="31"/>
  <c r="R562" i="31"/>
  <c r="R563" i="31"/>
  <c r="R564" i="31"/>
  <c r="R565" i="31"/>
  <c r="R566" i="31"/>
  <c r="R567" i="31"/>
  <c r="R568" i="31"/>
  <c r="R570" i="31"/>
  <c r="R571" i="31"/>
  <c r="R572" i="31"/>
  <c r="R573" i="31"/>
  <c r="R574" i="31"/>
  <c r="R575" i="31"/>
  <c r="R576" i="31"/>
  <c r="R577" i="31"/>
  <c r="R579" i="31"/>
  <c r="R580" i="31"/>
  <c r="R581" i="31"/>
  <c r="R582" i="31"/>
  <c r="R583" i="31"/>
  <c r="R584" i="31"/>
  <c r="R585" i="31"/>
  <c r="R586" i="31"/>
  <c r="R588" i="31"/>
  <c r="R589" i="31"/>
  <c r="R590" i="31"/>
  <c r="R591" i="31"/>
  <c r="R592" i="31"/>
  <c r="R593" i="31"/>
  <c r="R594" i="31"/>
  <c r="R595" i="31"/>
  <c r="R597" i="31"/>
  <c r="R598" i="31"/>
  <c r="R599" i="31"/>
  <c r="R600" i="31"/>
  <c r="R601" i="31"/>
  <c r="R602" i="31"/>
  <c r="R603" i="31"/>
  <c r="R604" i="31"/>
  <c r="R606" i="31"/>
  <c r="R607" i="31"/>
  <c r="R608" i="31"/>
  <c r="R609" i="31"/>
  <c r="R610" i="31"/>
  <c r="R611" i="31"/>
  <c r="R612" i="31"/>
  <c r="R613" i="31"/>
  <c r="R615" i="31"/>
  <c r="R616" i="31"/>
  <c r="R617" i="31"/>
  <c r="R618" i="31"/>
  <c r="R619" i="31"/>
  <c r="R620" i="31"/>
  <c r="R621" i="31"/>
  <c r="R622" i="31"/>
  <c r="R624" i="31"/>
  <c r="R625" i="31"/>
  <c r="R626" i="31"/>
  <c r="R627" i="31"/>
  <c r="R628" i="31"/>
  <c r="R629" i="31"/>
  <c r="R630" i="31"/>
  <c r="R631" i="31"/>
  <c r="R633" i="31"/>
  <c r="R634" i="31"/>
  <c r="R635" i="31"/>
  <c r="R636" i="31"/>
  <c r="R637" i="31"/>
  <c r="R638" i="31"/>
  <c r="R639" i="31"/>
  <c r="R640" i="31"/>
  <c r="R642" i="31"/>
  <c r="R643" i="31"/>
  <c r="R644" i="31"/>
  <c r="R645" i="31"/>
  <c r="R646" i="31"/>
  <c r="R647" i="31"/>
  <c r="R648" i="31"/>
  <c r="R649" i="31"/>
  <c r="R651" i="31"/>
  <c r="R652" i="31"/>
  <c r="R653" i="31"/>
  <c r="R654" i="31"/>
  <c r="R655" i="31"/>
  <c r="R656" i="31"/>
  <c r="R657" i="31"/>
  <c r="R658" i="31"/>
  <c r="R660" i="31"/>
  <c r="R661" i="31"/>
  <c r="R662" i="31"/>
  <c r="R663" i="31"/>
  <c r="R664" i="31"/>
  <c r="R665" i="31"/>
  <c r="R666" i="31"/>
  <c r="R667" i="31"/>
  <c r="R669" i="31"/>
  <c r="R670" i="31"/>
  <c r="R671" i="31"/>
  <c r="R672" i="31"/>
  <c r="R673" i="31"/>
  <c r="R674" i="31"/>
  <c r="R675" i="31"/>
  <c r="R676" i="31"/>
  <c r="R678" i="31"/>
  <c r="R679" i="31"/>
  <c r="R680" i="31"/>
  <c r="R681" i="31"/>
  <c r="R682" i="31"/>
  <c r="R683" i="31"/>
  <c r="R684" i="31"/>
  <c r="R685" i="31"/>
  <c r="R687" i="31"/>
  <c r="R688" i="31"/>
  <c r="R689" i="31"/>
  <c r="R690" i="31"/>
  <c r="R691" i="31"/>
  <c r="R692" i="31"/>
  <c r="R693" i="31"/>
  <c r="R694" i="31"/>
  <c r="R696" i="31"/>
  <c r="R697" i="31"/>
  <c r="R698" i="31"/>
  <c r="R699" i="31"/>
  <c r="R700" i="31"/>
  <c r="R701" i="31"/>
  <c r="R702" i="31"/>
  <c r="R703" i="31"/>
  <c r="R705" i="31"/>
  <c r="R706" i="31"/>
  <c r="R707" i="31"/>
  <c r="R708" i="31"/>
  <c r="R709" i="31"/>
  <c r="R710" i="31"/>
  <c r="R711" i="31"/>
  <c r="R712" i="31"/>
  <c r="R714" i="31"/>
  <c r="R715" i="31"/>
  <c r="R716" i="31"/>
  <c r="R717" i="31"/>
  <c r="R718" i="31"/>
  <c r="R719" i="31"/>
  <c r="R720" i="31"/>
  <c r="R721" i="31"/>
  <c r="R723" i="31"/>
  <c r="R724" i="31"/>
  <c r="R725" i="31"/>
  <c r="R726" i="31"/>
  <c r="R727" i="31"/>
  <c r="R728" i="31"/>
  <c r="R729" i="31"/>
  <c r="R730" i="31"/>
  <c r="R732" i="31"/>
  <c r="R733" i="31"/>
  <c r="R734" i="31"/>
  <c r="R735" i="31"/>
  <c r="R736" i="31"/>
  <c r="R737" i="31"/>
  <c r="R738" i="31"/>
  <c r="R739" i="31"/>
  <c r="R741" i="31"/>
  <c r="R742" i="31"/>
  <c r="R743" i="31"/>
  <c r="R744" i="31"/>
  <c r="R745" i="31"/>
  <c r="R746" i="31"/>
  <c r="R747" i="31"/>
  <c r="R748" i="31"/>
  <c r="R750" i="31"/>
  <c r="R751" i="31"/>
  <c r="R752" i="31"/>
  <c r="R753" i="31"/>
  <c r="R754" i="31"/>
  <c r="R755" i="31"/>
  <c r="R756" i="31"/>
  <c r="R757" i="31"/>
  <c r="R759" i="31"/>
  <c r="R760" i="31"/>
  <c r="R761" i="31"/>
  <c r="R762" i="31"/>
  <c r="R763" i="31"/>
  <c r="R764" i="31"/>
  <c r="R765" i="31"/>
  <c r="R766" i="31"/>
  <c r="R768" i="31"/>
  <c r="R769" i="31"/>
  <c r="R770" i="31"/>
  <c r="R771" i="31"/>
  <c r="R772" i="31"/>
  <c r="R773" i="31"/>
  <c r="R774" i="31"/>
  <c r="R775" i="31"/>
  <c r="R777" i="31"/>
  <c r="R778" i="31"/>
  <c r="R779" i="31"/>
  <c r="R780" i="31"/>
  <c r="R781" i="31"/>
  <c r="R782" i="31"/>
  <c r="R783" i="31"/>
  <c r="R784" i="31"/>
  <c r="R786" i="31"/>
  <c r="R787" i="31"/>
  <c r="R788" i="31"/>
  <c r="R789" i="31"/>
  <c r="R790" i="31"/>
  <c r="R791" i="31"/>
  <c r="R792" i="31"/>
  <c r="R793" i="31"/>
  <c r="R795" i="31"/>
  <c r="R796" i="31"/>
  <c r="R797" i="31"/>
  <c r="R798" i="31"/>
  <c r="R799" i="31"/>
  <c r="R800" i="31"/>
  <c r="R801" i="31"/>
  <c r="R802" i="31"/>
  <c r="R804" i="31"/>
  <c r="R805" i="31"/>
  <c r="R806" i="31"/>
  <c r="R807" i="31"/>
  <c r="R808" i="31"/>
  <c r="R809" i="31"/>
  <c r="R810" i="31"/>
  <c r="R811" i="31"/>
  <c r="R813" i="31"/>
  <c r="R814" i="31"/>
  <c r="R815" i="31"/>
  <c r="R816" i="31"/>
  <c r="R817" i="31"/>
  <c r="R818" i="31"/>
  <c r="R819" i="31"/>
  <c r="R820" i="31"/>
  <c r="R822" i="31"/>
  <c r="R823" i="31"/>
  <c r="R824" i="31"/>
  <c r="R825" i="31"/>
  <c r="R826" i="31"/>
  <c r="R827" i="31"/>
  <c r="R828" i="31"/>
  <c r="R829" i="31"/>
  <c r="R831" i="31"/>
  <c r="R832" i="31"/>
  <c r="R833" i="31"/>
  <c r="R834" i="31"/>
  <c r="R835" i="31"/>
  <c r="R836" i="31"/>
  <c r="R837" i="31"/>
  <c r="R838" i="31"/>
  <c r="R840" i="31"/>
  <c r="R841" i="31"/>
  <c r="R842" i="31"/>
  <c r="R843" i="31"/>
  <c r="R844" i="31"/>
  <c r="R845" i="31"/>
  <c r="R846" i="31"/>
  <c r="R847" i="31"/>
  <c r="R849" i="31"/>
  <c r="R850" i="31"/>
  <c r="R851" i="31"/>
  <c r="R852" i="31"/>
  <c r="R853" i="31"/>
  <c r="R854" i="31"/>
  <c r="R855" i="31"/>
  <c r="R856" i="31"/>
  <c r="R858" i="31"/>
  <c r="R859" i="31"/>
  <c r="R860" i="31"/>
  <c r="R861" i="31"/>
  <c r="R862" i="31"/>
  <c r="R863" i="31"/>
  <c r="R864" i="31"/>
  <c r="R865" i="31"/>
  <c r="R867" i="31"/>
  <c r="R868" i="31"/>
  <c r="R869" i="31"/>
  <c r="R870" i="31"/>
  <c r="R871" i="31"/>
  <c r="R872" i="31"/>
  <c r="R873" i="31"/>
  <c r="R874" i="31"/>
  <c r="R876" i="31"/>
  <c r="R877" i="31"/>
  <c r="R878" i="31"/>
  <c r="R879" i="31"/>
  <c r="R880" i="31"/>
  <c r="R881" i="31"/>
  <c r="R882" i="31"/>
  <c r="R883" i="31"/>
  <c r="R885" i="31"/>
  <c r="R886" i="31"/>
  <c r="R887" i="31"/>
  <c r="R888" i="31"/>
  <c r="R889" i="31"/>
  <c r="R890" i="31"/>
  <c r="R891" i="31"/>
  <c r="R892" i="31"/>
  <c r="R894" i="31"/>
  <c r="R895" i="31"/>
  <c r="R896" i="31"/>
  <c r="R897" i="31"/>
  <c r="R898" i="31"/>
  <c r="R899" i="31"/>
  <c r="R900" i="31"/>
  <c r="R901" i="31"/>
  <c r="R903" i="31"/>
  <c r="R904" i="31"/>
  <c r="R905" i="31"/>
  <c r="R906" i="31"/>
  <c r="R907" i="31"/>
  <c r="R908" i="31"/>
  <c r="R909" i="31"/>
  <c r="R910" i="31"/>
  <c r="R912" i="31"/>
  <c r="R913" i="31"/>
  <c r="R914" i="31"/>
  <c r="R915" i="31"/>
  <c r="R916" i="31"/>
  <c r="R917" i="31"/>
  <c r="R918" i="31"/>
  <c r="R919" i="31"/>
  <c r="R921" i="31"/>
  <c r="R922" i="31"/>
  <c r="R923" i="31"/>
  <c r="R924" i="31"/>
  <c r="R925" i="31"/>
  <c r="R926" i="31"/>
  <c r="R927" i="31"/>
  <c r="R928" i="31"/>
  <c r="R930" i="31"/>
  <c r="R931" i="31"/>
  <c r="R932" i="31"/>
  <c r="R933" i="31"/>
  <c r="R934" i="31"/>
  <c r="R935" i="31"/>
  <c r="R936" i="31"/>
  <c r="R937" i="31"/>
  <c r="R939" i="31"/>
  <c r="R940" i="31"/>
  <c r="R941" i="31"/>
  <c r="R942" i="31"/>
  <c r="R943" i="31"/>
  <c r="R944" i="31"/>
  <c r="R945" i="31"/>
  <c r="R946" i="31"/>
  <c r="R948" i="31"/>
  <c r="R949" i="31"/>
  <c r="R950" i="31"/>
  <c r="R951" i="31"/>
  <c r="R952" i="31"/>
  <c r="R953" i="31"/>
  <c r="R954" i="31"/>
  <c r="R955" i="31"/>
  <c r="R957" i="31"/>
  <c r="R958" i="31"/>
  <c r="R959" i="31"/>
  <c r="R960" i="31"/>
  <c r="R961" i="31"/>
  <c r="R962" i="31"/>
  <c r="R963" i="31"/>
  <c r="R964" i="31"/>
  <c r="R966" i="31"/>
  <c r="R967" i="31"/>
  <c r="R968" i="31"/>
  <c r="R969" i="31"/>
  <c r="R970" i="31"/>
  <c r="R971" i="31"/>
  <c r="R972" i="31"/>
  <c r="R973" i="31"/>
  <c r="R975" i="31"/>
  <c r="R976" i="31"/>
  <c r="R977" i="31"/>
  <c r="R978" i="31"/>
  <c r="R979" i="31"/>
  <c r="R980" i="31"/>
  <c r="R981" i="31"/>
  <c r="R982" i="31"/>
  <c r="R984" i="31"/>
  <c r="R985" i="31"/>
  <c r="R986" i="31"/>
  <c r="R987" i="31"/>
  <c r="R988" i="31"/>
  <c r="R989" i="31"/>
  <c r="R990" i="31"/>
  <c r="R991" i="31"/>
  <c r="R993" i="31"/>
  <c r="R994" i="31"/>
  <c r="R995" i="31"/>
  <c r="R996" i="31"/>
  <c r="R997" i="31"/>
  <c r="R998" i="31"/>
  <c r="R999" i="31"/>
  <c r="R1000" i="31"/>
  <c r="R1002" i="31"/>
  <c r="R1003" i="31"/>
  <c r="R1004" i="31"/>
  <c r="R1005" i="31"/>
  <c r="R1006" i="31"/>
  <c r="R1007" i="31"/>
  <c r="R1008" i="31"/>
  <c r="R1009" i="31"/>
  <c r="R1011" i="31"/>
  <c r="R1012" i="31"/>
  <c r="R1013" i="31"/>
  <c r="R1014" i="31"/>
  <c r="R1015" i="31"/>
  <c r="R1016" i="31"/>
  <c r="R1017" i="31"/>
  <c r="R1018" i="31"/>
  <c r="R1020" i="31"/>
  <c r="R1021" i="31"/>
  <c r="R1022" i="31"/>
  <c r="R1023" i="31"/>
  <c r="R1024" i="31"/>
  <c r="R1025" i="31"/>
  <c r="R1026" i="31"/>
  <c r="R1027" i="31"/>
  <c r="R1029" i="31"/>
  <c r="R1030" i="31"/>
  <c r="R1031" i="31"/>
  <c r="R1032" i="31"/>
  <c r="R1033" i="31"/>
  <c r="R1034" i="31"/>
  <c r="R1035" i="31"/>
  <c r="R1036" i="31"/>
  <c r="R1038" i="31"/>
  <c r="R1039" i="31"/>
  <c r="R1040" i="31"/>
  <c r="R1041" i="31"/>
  <c r="R1042" i="31"/>
  <c r="R1043" i="31"/>
  <c r="R1044" i="31"/>
  <c r="R1045" i="31"/>
  <c r="R1047" i="31"/>
  <c r="R1048" i="31"/>
  <c r="R1049" i="31"/>
  <c r="R1050" i="31"/>
  <c r="R1051" i="31"/>
  <c r="R1052" i="31"/>
  <c r="R1053" i="31"/>
  <c r="R1054" i="31"/>
  <c r="R1056" i="31"/>
  <c r="R1057" i="31"/>
  <c r="R1058" i="31"/>
  <c r="R1059" i="31"/>
  <c r="R1060" i="31"/>
  <c r="R1061" i="31"/>
  <c r="R1062" i="31"/>
  <c r="R1063" i="31"/>
  <c r="R1065" i="31"/>
  <c r="R1066" i="31"/>
  <c r="R1067" i="31"/>
  <c r="R1068" i="31"/>
  <c r="R1069" i="31"/>
  <c r="R1070" i="31"/>
  <c r="R1071" i="31"/>
  <c r="R1072" i="31"/>
  <c r="R1074" i="31"/>
  <c r="R1075" i="31"/>
  <c r="R1076" i="31"/>
  <c r="R1077" i="31"/>
  <c r="R1078" i="31"/>
  <c r="R1079" i="31"/>
  <c r="R1080" i="31"/>
  <c r="R1081" i="31"/>
  <c r="R1083" i="31"/>
  <c r="R1084" i="31"/>
  <c r="R1085" i="31"/>
  <c r="R1086" i="31"/>
  <c r="R1087" i="31"/>
  <c r="R1088" i="31"/>
  <c r="R1089" i="31"/>
  <c r="R1090" i="31"/>
  <c r="R1092" i="31"/>
  <c r="R1093" i="31"/>
  <c r="R1094" i="31"/>
  <c r="R1095" i="31"/>
  <c r="R1096" i="31"/>
  <c r="R1097" i="31"/>
  <c r="R1098" i="31"/>
  <c r="R1099" i="31"/>
  <c r="R1101" i="31"/>
  <c r="R1102" i="31"/>
  <c r="R1103" i="31"/>
  <c r="R1104" i="31"/>
  <c r="R1105" i="31"/>
  <c r="R1106" i="31"/>
  <c r="R1107" i="31"/>
  <c r="R1108" i="31"/>
  <c r="R1110" i="31"/>
  <c r="R1111" i="31"/>
  <c r="R1112" i="31"/>
  <c r="R1113" i="31"/>
  <c r="R1114" i="31"/>
  <c r="R1115" i="31"/>
  <c r="R1116" i="31"/>
  <c r="R1117" i="31"/>
  <c r="R1119" i="31"/>
  <c r="R1120" i="31"/>
  <c r="R1121" i="31"/>
  <c r="R1122" i="31"/>
  <c r="R1123" i="31"/>
  <c r="R1124" i="31"/>
  <c r="R1125" i="31"/>
  <c r="R1126" i="31"/>
  <c r="R1128" i="31"/>
  <c r="R1129" i="31"/>
  <c r="R1130" i="31"/>
  <c r="R1131" i="31"/>
  <c r="R1132" i="31"/>
  <c r="R1133" i="31"/>
  <c r="R1134" i="31"/>
  <c r="R1135" i="31"/>
  <c r="R1137" i="31"/>
  <c r="R1138" i="31"/>
  <c r="R1139" i="31"/>
  <c r="R1140" i="31"/>
  <c r="R1141" i="31"/>
  <c r="R1142" i="31"/>
  <c r="R1143" i="31"/>
  <c r="R1144" i="31"/>
  <c r="R1146" i="31"/>
  <c r="R1147" i="31"/>
  <c r="R1148" i="31"/>
  <c r="R1149" i="31"/>
  <c r="R1150" i="31"/>
  <c r="R1151" i="31"/>
  <c r="R1152" i="31"/>
  <c r="R1153" i="31"/>
  <c r="R1155" i="31"/>
  <c r="R1156" i="31"/>
  <c r="R1157" i="31"/>
  <c r="R1158" i="31"/>
  <c r="R1159" i="31"/>
  <c r="R1160" i="31"/>
  <c r="R1161" i="31"/>
  <c r="R1162" i="31"/>
  <c r="R1164" i="31"/>
  <c r="R1165" i="31"/>
  <c r="R1166" i="31"/>
  <c r="R1167" i="31"/>
  <c r="R1168" i="31"/>
  <c r="R1169" i="31"/>
  <c r="R1170" i="31"/>
  <c r="R1171" i="31"/>
  <c r="R1173" i="31"/>
  <c r="R1174" i="31"/>
  <c r="R1175" i="31"/>
  <c r="R1176" i="31"/>
  <c r="R1177" i="31"/>
  <c r="R1178" i="31"/>
  <c r="R1179" i="31"/>
  <c r="R1180" i="31"/>
  <c r="R1182" i="31"/>
  <c r="R1183" i="31"/>
  <c r="R1184" i="31"/>
  <c r="R1185" i="31"/>
  <c r="R1186" i="31"/>
  <c r="R1187" i="31"/>
  <c r="R1188" i="31"/>
  <c r="R1189" i="31"/>
  <c r="R1191" i="31"/>
  <c r="R1192" i="31"/>
  <c r="R1193" i="31"/>
  <c r="R1194" i="31"/>
  <c r="R1195" i="31"/>
  <c r="R1196" i="31"/>
  <c r="R1197" i="31"/>
  <c r="R1198" i="31"/>
  <c r="R1200" i="31"/>
  <c r="R1201" i="31"/>
  <c r="R1202" i="31"/>
  <c r="R1203" i="31"/>
  <c r="R1204" i="31"/>
  <c r="R1205" i="31"/>
  <c r="R1206" i="31"/>
  <c r="R1207" i="31"/>
  <c r="R1209" i="31"/>
  <c r="R1210" i="31"/>
  <c r="R1211" i="31"/>
  <c r="R1212" i="31"/>
  <c r="R1213" i="31"/>
  <c r="R1214" i="31"/>
  <c r="R1215" i="31"/>
  <c r="R1216" i="31"/>
  <c r="R1218" i="31"/>
  <c r="R1219" i="31"/>
  <c r="R1220" i="31"/>
  <c r="R1221" i="31"/>
  <c r="R1222" i="31"/>
  <c r="R1223" i="31"/>
  <c r="R1224" i="31"/>
  <c r="R1225" i="31"/>
  <c r="R1227" i="31"/>
  <c r="R1228" i="31"/>
  <c r="R1229" i="31"/>
  <c r="R1230" i="31"/>
  <c r="R1231" i="31"/>
  <c r="R1232" i="31"/>
  <c r="R1233" i="31"/>
  <c r="R1234" i="31"/>
  <c r="R1236" i="31"/>
  <c r="R1237" i="31"/>
  <c r="R1238" i="31"/>
  <c r="R1239" i="31"/>
  <c r="R1240" i="31"/>
  <c r="R1241" i="31"/>
  <c r="R1242" i="31"/>
  <c r="R1243" i="31"/>
  <c r="R1245" i="31"/>
  <c r="R1246" i="31"/>
  <c r="R1247" i="31"/>
  <c r="R1248" i="31"/>
  <c r="R1249" i="31"/>
  <c r="R1250" i="31"/>
  <c r="R1251" i="31"/>
  <c r="R1252" i="31"/>
  <c r="R1254" i="31"/>
  <c r="R1255" i="31"/>
  <c r="R1256" i="31"/>
  <c r="R1257" i="31"/>
  <c r="R1258" i="31"/>
  <c r="R1259" i="31"/>
  <c r="R1260" i="31"/>
  <c r="R1261" i="31"/>
  <c r="R1263" i="31"/>
  <c r="R1264" i="31"/>
  <c r="R1265" i="31"/>
  <c r="R1266" i="31"/>
  <c r="R1267" i="31"/>
  <c r="R1268" i="31"/>
  <c r="R1269" i="31"/>
  <c r="R1270" i="31"/>
  <c r="R1272" i="31"/>
  <c r="R1273" i="31"/>
  <c r="R1274" i="31"/>
  <c r="R1275" i="31"/>
  <c r="R1276" i="31"/>
  <c r="R1277" i="31"/>
  <c r="R1278" i="31"/>
  <c r="R1279" i="31"/>
  <c r="R1281" i="31"/>
  <c r="R1282" i="31"/>
  <c r="R1283" i="31"/>
  <c r="R1284" i="31"/>
  <c r="R1285" i="31"/>
  <c r="R1286" i="31"/>
  <c r="R1287" i="31"/>
  <c r="R1288" i="31"/>
  <c r="R1290" i="31"/>
  <c r="R1291" i="31"/>
  <c r="R1292" i="31"/>
  <c r="R1293" i="31"/>
  <c r="R1294" i="31"/>
  <c r="R1295" i="31"/>
  <c r="R1296" i="31"/>
  <c r="R1297" i="31"/>
  <c r="R1299" i="31"/>
  <c r="R1300" i="31"/>
  <c r="R1301" i="31"/>
  <c r="R1302" i="31"/>
  <c r="R1303" i="31"/>
  <c r="R1304" i="31"/>
  <c r="R1305" i="31"/>
  <c r="R1306" i="31"/>
  <c r="R1308" i="31"/>
  <c r="R1309" i="31"/>
  <c r="R1310" i="31"/>
  <c r="R1311" i="31"/>
  <c r="R1312" i="31"/>
  <c r="R1313" i="31"/>
  <c r="R1314" i="31"/>
  <c r="R1315" i="31"/>
  <c r="R1317" i="31"/>
  <c r="R1318" i="31"/>
  <c r="R1319" i="31"/>
  <c r="R1320" i="31"/>
  <c r="R1321" i="31"/>
  <c r="R1322" i="31"/>
  <c r="R1323" i="31"/>
  <c r="R1324" i="31"/>
  <c r="R1326" i="31"/>
  <c r="R1327" i="31"/>
  <c r="R1328" i="31"/>
  <c r="R1329" i="31"/>
  <c r="R1330" i="31"/>
  <c r="R1331" i="31"/>
  <c r="R1332" i="31"/>
  <c r="R1333" i="31"/>
  <c r="R1335" i="31"/>
  <c r="R1336" i="31"/>
  <c r="R1337" i="31"/>
  <c r="R1338" i="31"/>
  <c r="R1339" i="31"/>
  <c r="R1340" i="31"/>
  <c r="R1341" i="31"/>
  <c r="R1342" i="31"/>
  <c r="R1344" i="31"/>
  <c r="R1345" i="31"/>
  <c r="R1346" i="31"/>
  <c r="R1347" i="31"/>
  <c r="R1348" i="31"/>
  <c r="R1349" i="31"/>
  <c r="R1350" i="31"/>
  <c r="R1351" i="31"/>
  <c r="R1353" i="31"/>
  <c r="R1354" i="31"/>
  <c r="R1355" i="31"/>
  <c r="R1356" i="31"/>
  <c r="R1357" i="31"/>
  <c r="R1358" i="31"/>
  <c r="R1359" i="31"/>
  <c r="R1360" i="31"/>
  <c r="R1362" i="31"/>
  <c r="R1363" i="31"/>
  <c r="R1364" i="31"/>
  <c r="R1365" i="31"/>
  <c r="R1366" i="31"/>
  <c r="R1367" i="31"/>
  <c r="R1368" i="31"/>
  <c r="R1369" i="31"/>
  <c r="R1371" i="31"/>
  <c r="R1372" i="31"/>
  <c r="R1373" i="31"/>
  <c r="R1374" i="31"/>
  <c r="R1375" i="31"/>
  <c r="R1376" i="31"/>
  <c r="R1377" i="31"/>
  <c r="R1378" i="31"/>
  <c r="R1380" i="31"/>
  <c r="R1381" i="31"/>
  <c r="R1382" i="31"/>
  <c r="R1383" i="31"/>
  <c r="R1384" i="31"/>
  <c r="R1385" i="31"/>
  <c r="R1386" i="31"/>
  <c r="R1387" i="31"/>
  <c r="R1389" i="31"/>
  <c r="R1390" i="31"/>
  <c r="R1391" i="31"/>
  <c r="R1392" i="31"/>
  <c r="R1393" i="31"/>
  <c r="R1394" i="31"/>
  <c r="R1395" i="31"/>
  <c r="R1396" i="31"/>
  <c r="R1398" i="31"/>
  <c r="R1399" i="31"/>
  <c r="R1400" i="31"/>
  <c r="R1401" i="31"/>
  <c r="R1402" i="31"/>
  <c r="R1403" i="31"/>
  <c r="R1404" i="31"/>
  <c r="R1405" i="31"/>
  <c r="R1407" i="31"/>
  <c r="R1408" i="31"/>
  <c r="R1409" i="31"/>
  <c r="R1410" i="31"/>
  <c r="R1411" i="31"/>
  <c r="R1412" i="31"/>
  <c r="R1413" i="31"/>
  <c r="R1414" i="31"/>
  <c r="R1416" i="31"/>
  <c r="R1417" i="31"/>
  <c r="R1418" i="31"/>
  <c r="R1419" i="31"/>
  <c r="R1420" i="31"/>
  <c r="R1421" i="31"/>
  <c r="R1422" i="31"/>
  <c r="R1423" i="31"/>
  <c r="R1425" i="31"/>
  <c r="R1426" i="31"/>
  <c r="R1427" i="31"/>
  <c r="R1428" i="31"/>
  <c r="R1429" i="31"/>
  <c r="R1430" i="31"/>
  <c r="R1431" i="31"/>
  <c r="R1432" i="31"/>
  <c r="R1434" i="31"/>
  <c r="R1435" i="31"/>
  <c r="R1436" i="31"/>
  <c r="R1437" i="31"/>
  <c r="R1438" i="31"/>
  <c r="R1439" i="31"/>
  <c r="R1440" i="31"/>
  <c r="R1441" i="31"/>
  <c r="R1443" i="31"/>
  <c r="R1444" i="31"/>
  <c r="R1445" i="31"/>
  <c r="R1446" i="31"/>
  <c r="R1447" i="31"/>
  <c r="R1448" i="31"/>
  <c r="R1449" i="31"/>
  <c r="R1450" i="31"/>
  <c r="R1452" i="31"/>
  <c r="R1453" i="31"/>
  <c r="R1454" i="31"/>
  <c r="R1455" i="31"/>
  <c r="R1456" i="31"/>
  <c r="R1457" i="31"/>
  <c r="R1458" i="31"/>
  <c r="R1459" i="31"/>
  <c r="R1461" i="31"/>
  <c r="R1462" i="31"/>
  <c r="R1463" i="31"/>
  <c r="R1464" i="31"/>
  <c r="R1465" i="31"/>
  <c r="R1466" i="31"/>
  <c r="R1467" i="31"/>
  <c r="R1468" i="31"/>
  <c r="R1470" i="31"/>
  <c r="R1471" i="31"/>
  <c r="R1472" i="31"/>
  <c r="R1473" i="31"/>
  <c r="R1474" i="31"/>
  <c r="R1475" i="31"/>
  <c r="R1476" i="31"/>
  <c r="R1477" i="31"/>
  <c r="R1479" i="31"/>
  <c r="R1480" i="31"/>
  <c r="R1481" i="31"/>
  <c r="R1482" i="31"/>
  <c r="R1483" i="31"/>
  <c r="R1484" i="31"/>
  <c r="R1485" i="31"/>
  <c r="R1486" i="31"/>
  <c r="R1488" i="31"/>
  <c r="R1489" i="31"/>
  <c r="R1490" i="31"/>
  <c r="R1491" i="31"/>
  <c r="R1492" i="31"/>
  <c r="R1493" i="31"/>
  <c r="R1494" i="31"/>
  <c r="R1495" i="31"/>
  <c r="R1497" i="31"/>
  <c r="R1498" i="31"/>
  <c r="R1499" i="31"/>
  <c r="R1500" i="31"/>
  <c r="R1501" i="31"/>
  <c r="R1502" i="31"/>
  <c r="R1503" i="31"/>
  <c r="R1504" i="31"/>
  <c r="R1506" i="31"/>
  <c r="R1507" i="31"/>
  <c r="R1508" i="31"/>
  <c r="R1509" i="31"/>
  <c r="R1510" i="31"/>
  <c r="R1511" i="31"/>
  <c r="R1512" i="31"/>
  <c r="R1513" i="31"/>
  <c r="R1515" i="31"/>
  <c r="R1516" i="31"/>
  <c r="R1517" i="31"/>
  <c r="R1518" i="31"/>
  <c r="R1519" i="31"/>
  <c r="R1520" i="31"/>
  <c r="R1521" i="31"/>
  <c r="R1522" i="31"/>
  <c r="R1524" i="31"/>
  <c r="R1525" i="31"/>
  <c r="R1526" i="31"/>
  <c r="R1527" i="31"/>
  <c r="R1528" i="31"/>
  <c r="R1529" i="31"/>
  <c r="R1530" i="31"/>
  <c r="R1531" i="31"/>
  <c r="R1533" i="31"/>
  <c r="R1534" i="31"/>
  <c r="R1535" i="31"/>
  <c r="R1536" i="31"/>
  <c r="R1537" i="31"/>
  <c r="R1538" i="31"/>
  <c r="R1539" i="31"/>
  <c r="R1540" i="31"/>
  <c r="R1542" i="31"/>
  <c r="R1543" i="31"/>
  <c r="R1544" i="31"/>
  <c r="R1545" i="31"/>
  <c r="R1546" i="31"/>
  <c r="R1547" i="31"/>
  <c r="R1548" i="31"/>
  <c r="R1549" i="31"/>
  <c r="R1551" i="31"/>
  <c r="R1552" i="31"/>
  <c r="R1553" i="31"/>
  <c r="R1554" i="31"/>
  <c r="R1555" i="31"/>
  <c r="R1556" i="31"/>
  <c r="R1557" i="31"/>
  <c r="R1558" i="31"/>
  <c r="R1560" i="31"/>
  <c r="R1561" i="31"/>
  <c r="R1562" i="31"/>
  <c r="R1563" i="31"/>
  <c r="R1564" i="31"/>
  <c r="R1565" i="31"/>
  <c r="R1566" i="31"/>
  <c r="R1567" i="31"/>
  <c r="R1569" i="31"/>
  <c r="R1570" i="31"/>
  <c r="R1571" i="31"/>
  <c r="R1572" i="31"/>
  <c r="R1573" i="31"/>
  <c r="R1574" i="31"/>
  <c r="R1575" i="31"/>
  <c r="R1576" i="31"/>
  <c r="R1578" i="31"/>
  <c r="R1579" i="31"/>
  <c r="R1580" i="31"/>
  <c r="R1581" i="31"/>
  <c r="R1582" i="31"/>
  <c r="R1583" i="31"/>
  <c r="R1584" i="31"/>
  <c r="R1585" i="31"/>
  <c r="R1587" i="31"/>
  <c r="R1588" i="31"/>
  <c r="R1589" i="31"/>
  <c r="R1590" i="31"/>
  <c r="R1591" i="31"/>
  <c r="R1592" i="31"/>
  <c r="R1593" i="31"/>
  <c r="R1594" i="31"/>
  <c r="R1596" i="31"/>
  <c r="R1597" i="31"/>
  <c r="R1598" i="31"/>
  <c r="R1599" i="31"/>
  <c r="R1600" i="31"/>
  <c r="R1601" i="31"/>
  <c r="R1602" i="31"/>
  <c r="R1603" i="31"/>
  <c r="R1605" i="31"/>
  <c r="R1606" i="31"/>
  <c r="R1607" i="31"/>
  <c r="R1608" i="31"/>
  <c r="R1609" i="31"/>
  <c r="R1610" i="31"/>
  <c r="R1611" i="31"/>
  <c r="R1612" i="31"/>
  <c r="R1614" i="31"/>
  <c r="R1615" i="31"/>
  <c r="R1616" i="31"/>
  <c r="R1617" i="31"/>
  <c r="R1618" i="31"/>
  <c r="R1619" i="31"/>
  <c r="R1620" i="31"/>
  <c r="R1621" i="31"/>
  <c r="R1623" i="31"/>
  <c r="R1624" i="31"/>
  <c r="R1625" i="31"/>
  <c r="R1626" i="31"/>
  <c r="R1627" i="31"/>
  <c r="R1628" i="31"/>
  <c r="R1629" i="31"/>
  <c r="R1630" i="31"/>
  <c r="R1632" i="31"/>
  <c r="R1633" i="31"/>
  <c r="R1634" i="31"/>
  <c r="R1635" i="31"/>
  <c r="R1636" i="31"/>
  <c r="R1637" i="31"/>
  <c r="R1638" i="31"/>
  <c r="R1639" i="31"/>
  <c r="R1641" i="31"/>
  <c r="R1642" i="31"/>
  <c r="R1643" i="31"/>
  <c r="R1644" i="31"/>
  <c r="R1645" i="31"/>
  <c r="R1646" i="31"/>
  <c r="R1647" i="31"/>
  <c r="R1648" i="31"/>
  <c r="R1650" i="31"/>
  <c r="R1651" i="31"/>
  <c r="R1652" i="31"/>
  <c r="R1653" i="31"/>
  <c r="R1654" i="31"/>
  <c r="R1655" i="31"/>
  <c r="R1656" i="31"/>
  <c r="R1657" i="31"/>
  <c r="R1659" i="31"/>
  <c r="R1660" i="31"/>
  <c r="R1661" i="31"/>
  <c r="R1662" i="31"/>
  <c r="R1663" i="31"/>
  <c r="R1664" i="31"/>
  <c r="R1665" i="31"/>
  <c r="R1666" i="31"/>
  <c r="R1668" i="31"/>
  <c r="R1669" i="31"/>
  <c r="R1670" i="31"/>
  <c r="R1671" i="31"/>
  <c r="R1672" i="31"/>
  <c r="R1673" i="31"/>
  <c r="R1674" i="31"/>
  <c r="R1675" i="31"/>
  <c r="R1677" i="31"/>
  <c r="R1678" i="31"/>
  <c r="R1679" i="31"/>
  <c r="R1680" i="31"/>
  <c r="R1681" i="31"/>
  <c r="R1682" i="31"/>
  <c r="R1683" i="31"/>
  <c r="R1684" i="31"/>
  <c r="R1686" i="31"/>
  <c r="R1687" i="31"/>
  <c r="R1688" i="31"/>
  <c r="R1689" i="31"/>
  <c r="R1690" i="31"/>
  <c r="R1691" i="31"/>
  <c r="R1692" i="31"/>
  <c r="R1693" i="31"/>
  <c r="R1695" i="31"/>
  <c r="R1696" i="31"/>
  <c r="R1697" i="31"/>
  <c r="R1698" i="31"/>
  <c r="R1699" i="31"/>
  <c r="R1700" i="31"/>
  <c r="R1701" i="31"/>
  <c r="R1702" i="31"/>
  <c r="R1704" i="31"/>
  <c r="R1705" i="31"/>
  <c r="R1706" i="31"/>
  <c r="R1707" i="31"/>
  <c r="R1708" i="31"/>
  <c r="R1709" i="31"/>
  <c r="R1710" i="31"/>
  <c r="R1711" i="31"/>
  <c r="R1713" i="31"/>
  <c r="R1714" i="31"/>
  <c r="R1715" i="31"/>
  <c r="R1716" i="31"/>
  <c r="R1717" i="31"/>
  <c r="R1718" i="31"/>
  <c r="R1719" i="31"/>
  <c r="R1720" i="31"/>
  <c r="R1722" i="31"/>
  <c r="R1723" i="31"/>
  <c r="R1724" i="31"/>
  <c r="R1725" i="31"/>
  <c r="R1726" i="31"/>
  <c r="R1727" i="31"/>
  <c r="R1728" i="31"/>
  <c r="R1729" i="31"/>
  <c r="R1731" i="31"/>
  <c r="R1732" i="31"/>
  <c r="R1733" i="31"/>
  <c r="R1734" i="31"/>
  <c r="R1735" i="31"/>
  <c r="R1736" i="31"/>
  <c r="R1737" i="31"/>
  <c r="R1738" i="31"/>
  <c r="R1740" i="31"/>
  <c r="R1741" i="31"/>
  <c r="R1742" i="31"/>
  <c r="R1743" i="31"/>
  <c r="R1744" i="31"/>
  <c r="R1745" i="31"/>
  <c r="R1746" i="31"/>
  <c r="R1747" i="31"/>
  <c r="R1749" i="31"/>
  <c r="R1750" i="31"/>
  <c r="R1751" i="31"/>
  <c r="R1752" i="31"/>
  <c r="R1753" i="31"/>
  <c r="R1754" i="31"/>
  <c r="R1755" i="31"/>
  <c r="R1756" i="31"/>
  <c r="R1758" i="31"/>
  <c r="R1759" i="31"/>
  <c r="R1760" i="31"/>
  <c r="R1761" i="31"/>
  <c r="R1762" i="31"/>
  <c r="R1763" i="31"/>
  <c r="R1764" i="31"/>
  <c r="R1765" i="31"/>
  <c r="R1767" i="31"/>
  <c r="R1768" i="31"/>
  <c r="R1769" i="31"/>
  <c r="R1770" i="31"/>
  <c r="R1771" i="31"/>
  <c r="R1772" i="31"/>
  <c r="R1773" i="31"/>
  <c r="R1774" i="31"/>
  <c r="R1776" i="31"/>
  <c r="R1777" i="31"/>
  <c r="R1778" i="31"/>
  <c r="R1779" i="31"/>
  <c r="R1780" i="31"/>
  <c r="R1781" i="31"/>
  <c r="R1782" i="31"/>
  <c r="R1783" i="31"/>
  <c r="R1785" i="31"/>
  <c r="R1786" i="31"/>
  <c r="R1787" i="31"/>
  <c r="R1788" i="31"/>
  <c r="R1789" i="31"/>
  <c r="R1790" i="31"/>
  <c r="R1791" i="31"/>
  <c r="R1792" i="31"/>
  <c r="R1794" i="31"/>
  <c r="R1795" i="31"/>
  <c r="R1796" i="31"/>
  <c r="R1797" i="31"/>
  <c r="R1798" i="31"/>
  <c r="R1799" i="31"/>
  <c r="R1800" i="31"/>
  <c r="R1801" i="31"/>
  <c r="R1803" i="31"/>
  <c r="R1804" i="31"/>
  <c r="R1805" i="31"/>
  <c r="R1806" i="31"/>
  <c r="R1807" i="31"/>
  <c r="R1808" i="31"/>
  <c r="R1809" i="31"/>
  <c r="R1810" i="31"/>
  <c r="R1812" i="31"/>
  <c r="R1813" i="31"/>
  <c r="R1814" i="31"/>
  <c r="R1815" i="31"/>
  <c r="R1816" i="31"/>
  <c r="R1817" i="31"/>
  <c r="R1818" i="31"/>
  <c r="R1819" i="31"/>
  <c r="R1821" i="31"/>
  <c r="R1822" i="31"/>
  <c r="R1823" i="31"/>
  <c r="R1824" i="31"/>
  <c r="R1825" i="31"/>
  <c r="R1826" i="31"/>
  <c r="R1827" i="31"/>
  <c r="R1828" i="31"/>
  <c r="R1830" i="31"/>
  <c r="R1831" i="31"/>
  <c r="R1832" i="31"/>
  <c r="R1833" i="31"/>
  <c r="R1834" i="31"/>
  <c r="R1835" i="31"/>
  <c r="R1836" i="31"/>
  <c r="R1837" i="31"/>
  <c r="R1839" i="31"/>
  <c r="R1840" i="31"/>
  <c r="R1841" i="31"/>
  <c r="R1842" i="31"/>
  <c r="R1843" i="31"/>
  <c r="R1844" i="31"/>
  <c r="R1845" i="31"/>
  <c r="R1846" i="31"/>
  <c r="R1848" i="31"/>
  <c r="R1849" i="31"/>
  <c r="R1850" i="31"/>
  <c r="R1851" i="31"/>
  <c r="R1852" i="31"/>
  <c r="R1853" i="31"/>
  <c r="R1854" i="31"/>
  <c r="R1855" i="31"/>
  <c r="R1857" i="31"/>
  <c r="R1858" i="31"/>
  <c r="R1859" i="31"/>
  <c r="R1860" i="31"/>
  <c r="R1861" i="31"/>
  <c r="R1862" i="31"/>
  <c r="R1863" i="31"/>
  <c r="R1864" i="31"/>
  <c r="R1866" i="31"/>
  <c r="R1867" i="31"/>
  <c r="R1868" i="31"/>
  <c r="R1869" i="31"/>
  <c r="R1870" i="31"/>
  <c r="R1871" i="31"/>
  <c r="R1872" i="31"/>
  <c r="R1873" i="31"/>
  <c r="R1875" i="31"/>
  <c r="R1876" i="31"/>
  <c r="R1877" i="31"/>
  <c r="R1878" i="31"/>
  <c r="R1879" i="31"/>
  <c r="R1880" i="31"/>
  <c r="R1881" i="31"/>
  <c r="R1882" i="31"/>
  <c r="R1884" i="31"/>
  <c r="R1885" i="31"/>
  <c r="R1886" i="31"/>
  <c r="R1887" i="31"/>
  <c r="R1888" i="31"/>
  <c r="R1889" i="31"/>
  <c r="R1890" i="31"/>
  <c r="R1891" i="31"/>
  <c r="R1893" i="31"/>
  <c r="R1894" i="31"/>
  <c r="R1895" i="31"/>
  <c r="R1896" i="31"/>
  <c r="R1897" i="31"/>
  <c r="R1898" i="31"/>
  <c r="R1899" i="31"/>
  <c r="R1900" i="31"/>
  <c r="R1902" i="31"/>
  <c r="R1903" i="31"/>
  <c r="R1904" i="31"/>
  <c r="R1905" i="31"/>
  <c r="R1906" i="31"/>
  <c r="R1907" i="31"/>
  <c r="R1908" i="31"/>
  <c r="R1909" i="31"/>
  <c r="S2" i="31"/>
  <c r="S3" i="31"/>
  <c r="S4" i="31"/>
  <c r="S5" i="31"/>
  <c r="S6" i="31"/>
  <c r="S7" i="31"/>
  <c r="S8" i="31"/>
  <c r="S9" i="31"/>
  <c r="S10" i="31"/>
  <c r="S11" i="31"/>
  <c r="S12" i="31"/>
  <c r="S13" i="31"/>
  <c r="S14" i="31"/>
  <c r="S15" i="31"/>
  <c r="S16" i="31"/>
  <c r="S17" i="31"/>
  <c r="S18" i="31"/>
  <c r="S19" i="31"/>
  <c r="S20" i="31"/>
  <c r="S21" i="31"/>
  <c r="S22" i="31"/>
  <c r="S23" i="31"/>
  <c r="S24" i="31"/>
  <c r="S25" i="31"/>
  <c r="S26" i="31"/>
  <c r="S27" i="31"/>
  <c r="S28" i="31"/>
  <c r="S29" i="31"/>
  <c r="S30" i="31"/>
  <c r="S31" i="31"/>
  <c r="S32" i="31"/>
  <c r="S33" i="31"/>
  <c r="S34" i="31"/>
  <c r="S35" i="31"/>
  <c r="S36" i="31"/>
  <c r="S37" i="31"/>
  <c r="S38" i="31"/>
  <c r="S39" i="31"/>
  <c r="S40" i="31"/>
  <c r="S41" i="31"/>
  <c r="S42" i="31"/>
  <c r="S43" i="31"/>
  <c r="S44" i="31"/>
  <c r="S45" i="31"/>
  <c r="S46" i="31"/>
  <c r="S47" i="31"/>
  <c r="S48" i="31"/>
  <c r="S49" i="31"/>
  <c r="S50" i="31"/>
  <c r="S51" i="31"/>
  <c r="S52" i="31"/>
  <c r="S53" i="31"/>
  <c r="S54" i="31"/>
  <c r="S55" i="31"/>
  <c r="S56" i="31"/>
  <c r="S57" i="31"/>
  <c r="S58" i="31"/>
  <c r="S59" i="31"/>
  <c r="S60" i="31"/>
  <c r="S61" i="31"/>
  <c r="S62" i="31"/>
  <c r="S63" i="31"/>
  <c r="S64" i="31"/>
  <c r="S65" i="31"/>
  <c r="S66" i="31"/>
  <c r="S67" i="31"/>
  <c r="S68" i="31"/>
  <c r="S69" i="31"/>
  <c r="S70" i="31"/>
  <c r="S71" i="31"/>
  <c r="S72" i="31"/>
  <c r="S73" i="31"/>
  <c r="S74" i="31"/>
  <c r="S75" i="31"/>
  <c r="S76" i="31"/>
  <c r="S77" i="31"/>
  <c r="S78" i="31"/>
  <c r="S79" i="31"/>
  <c r="S80" i="31"/>
  <c r="S81" i="31"/>
  <c r="S82" i="31"/>
  <c r="S83" i="31"/>
  <c r="S84" i="31"/>
  <c r="S85" i="31"/>
  <c r="S86" i="31"/>
  <c r="S87" i="31"/>
  <c r="S88" i="31"/>
  <c r="S89" i="31"/>
  <c r="S90" i="31"/>
  <c r="S91" i="31"/>
  <c r="S92" i="31"/>
  <c r="S93" i="31"/>
  <c r="S94" i="31"/>
  <c r="S95" i="31"/>
  <c r="S96" i="31"/>
  <c r="S97" i="31"/>
  <c r="S98" i="31"/>
  <c r="S99" i="31"/>
  <c r="S100" i="31"/>
  <c r="S101" i="31"/>
  <c r="S102" i="31"/>
  <c r="S103" i="31"/>
  <c r="S104" i="31"/>
  <c r="S105" i="31"/>
  <c r="S106" i="31"/>
  <c r="S107" i="31"/>
  <c r="S108" i="31"/>
  <c r="S109" i="31"/>
  <c r="S110" i="31"/>
  <c r="S111" i="31"/>
  <c r="S112" i="31"/>
  <c r="S113" i="31"/>
  <c r="S114" i="31"/>
  <c r="S115" i="31"/>
  <c r="S116" i="31"/>
  <c r="S117" i="31"/>
  <c r="S118" i="31"/>
  <c r="S119" i="31"/>
  <c r="S120" i="31"/>
  <c r="S121" i="31"/>
  <c r="S122" i="31"/>
  <c r="S123" i="31"/>
  <c r="S124" i="31"/>
  <c r="S125" i="31"/>
  <c r="S126" i="31"/>
  <c r="S127" i="31"/>
  <c r="S128" i="31"/>
  <c r="S129" i="31"/>
  <c r="S130" i="31"/>
  <c r="S131" i="31"/>
  <c r="S132" i="31"/>
  <c r="S133" i="31"/>
  <c r="S134" i="31"/>
  <c r="S135" i="31"/>
  <c r="S136" i="31"/>
  <c r="S137" i="31"/>
  <c r="S138" i="31"/>
  <c r="S139" i="31"/>
  <c r="S140" i="31"/>
  <c r="S141" i="31"/>
  <c r="S142" i="31"/>
  <c r="S143" i="31"/>
  <c r="S144" i="31"/>
  <c r="S145" i="31"/>
  <c r="S146" i="31"/>
  <c r="S147" i="31"/>
  <c r="S148" i="31"/>
  <c r="S149" i="31"/>
  <c r="S150" i="31"/>
  <c r="S151" i="31"/>
  <c r="S152" i="31"/>
  <c r="S153" i="31"/>
  <c r="S154" i="31"/>
  <c r="S155" i="31"/>
  <c r="S156" i="31"/>
  <c r="S157" i="31"/>
  <c r="S158" i="31"/>
  <c r="S159" i="31"/>
  <c r="S160" i="31"/>
  <c r="S161" i="31"/>
  <c r="S162" i="31"/>
  <c r="S163" i="31"/>
  <c r="S164" i="31"/>
  <c r="S165" i="31"/>
  <c r="S166" i="31"/>
  <c r="S167" i="31"/>
  <c r="S168" i="31"/>
  <c r="S169" i="31"/>
  <c r="S170" i="31"/>
  <c r="S171" i="31"/>
  <c r="S172" i="31"/>
  <c r="S173" i="31"/>
  <c r="S174" i="31"/>
  <c r="S175" i="31"/>
  <c r="S176" i="31"/>
  <c r="S177" i="31"/>
  <c r="S178" i="31"/>
  <c r="S179" i="31"/>
  <c r="S180" i="31"/>
  <c r="S181" i="31"/>
  <c r="S182" i="31"/>
  <c r="S183" i="31"/>
  <c r="S184" i="31"/>
  <c r="S185" i="31"/>
  <c r="S186" i="31"/>
  <c r="S187" i="31"/>
  <c r="S188" i="31"/>
  <c r="S189" i="31"/>
  <c r="S190" i="31"/>
  <c r="S191" i="31"/>
  <c r="S192" i="31"/>
  <c r="S193" i="31"/>
  <c r="S194" i="31"/>
  <c r="S195" i="31"/>
  <c r="S196" i="31"/>
  <c r="S197" i="31"/>
  <c r="S198" i="31"/>
  <c r="S199" i="31"/>
  <c r="S200" i="31"/>
  <c r="S201" i="31"/>
  <c r="S202" i="31"/>
  <c r="S203" i="31"/>
  <c r="S204" i="31"/>
  <c r="S205" i="31"/>
  <c r="S206" i="31"/>
  <c r="S207" i="31"/>
  <c r="S208" i="31"/>
  <c r="S209" i="31"/>
  <c r="S210" i="31"/>
  <c r="S211" i="31"/>
  <c r="S212" i="31"/>
  <c r="S213" i="31"/>
  <c r="S214" i="31"/>
  <c r="S215" i="31"/>
  <c r="S216" i="31"/>
  <c r="S217" i="31"/>
  <c r="S218" i="31"/>
  <c r="S219" i="31"/>
  <c r="S220" i="31"/>
  <c r="S221" i="31"/>
  <c r="S222" i="31"/>
  <c r="S223" i="31"/>
  <c r="S224" i="31"/>
  <c r="S225" i="31"/>
  <c r="S226" i="31"/>
  <c r="S227" i="31"/>
  <c r="S228" i="31"/>
  <c r="S229" i="31"/>
  <c r="S230" i="31"/>
  <c r="S231" i="31"/>
  <c r="S232" i="31"/>
  <c r="S233" i="31"/>
  <c r="S234" i="31"/>
  <c r="S235" i="31"/>
  <c r="S236" i="31"/>
  <c r="S237" i="31"/>
  <c r="S238" i="31"/>
  <c r="S239" i="31"/>
  <c r="S240" i="31"/>
  <c r="S241" i="31"/>
  <c r="S242" i="31"/>
  <c r="S243" i="31"/>
  <c r="S244" i="31"/>
  <c r="S245" i="31"/>
  <c r="S246" i="31"/>
  <c r="S247" i="31"/>
  <c r="S248" i="31"/>
  <c r="S249" i="31"/>
  <c r="S250" i="31"/>
  <c r="S251" i="31"/>
  <c r="S252" i="31"/>
  <c r="S253" i="31"/>
  <c r="S254" i="31"/>
  <c r="S255" i="31"/>
  <c r="S256" i="31"/>
  <c r="S257" i="31"/>
  <c r="S258" i="31"/>
  <c r="S259" i="31"/>
  <c r="S260" i="31"/>
  <c r="S261" i="31"/>
  <c r="S262" i="31"/>
  <c r="S263" i="31"/>
  <c r="S264" i="31"/>
  <c r="S265" i="31"/>
  <c r="S266" i="31"/>
  <c r="S267" i="31"/>
  <c r="S268" i="31"/>
  <c r="S269" i="31"/>
  <c r="S270" i="31"/>
  <c r="S271" i="31"/>
  <c r="S272" i="31"/>
  <c r="S273" i="31"/>
  <c r="S274" i="31"/>
  <c r="S275" i="31"/>
  <c r="S276" i="31"/>
  <c r="S277" i="31"/>
  <c r="S278" i="31"/>
  <c r="S279" i="31"/>
  <c r="S280" i="31"/>
  <c r="S281" i="31"/>
  <c r="S282" i="31"/>
  <c r="S283" i="31"/>
  <c r="S284" i="31"/>
  <c r="S285" i="31"/>
  <c r="S286" i="31"/>
  <c r="S287" i="31"/>
  <c r="S288" i="31"/>
  <c r="S289" i="31"/>
  <c r="S290" i="31"/>
  <c r="S291" i="31"/>
  <c r="S292" i="31"/>
  <c r="S293" i="31"/>
  <c r="S294" i="31"/>
  <c r="S295" i="31"/>
  <c r="S296" i="31"/>
  <c r="S297" i="31"/>
  <c r="S298" i="31"/>
  <c r="S299" i="31"/>
  <c r="S300" i="31"/>
  <c r="S301" i="31"/>
  <c r="S302" i="31"/>
  <c r="S303" i="31"/>
  <c r="S304" i="31"/>
  <c r="S305" i="31"/>
  <c r="S306" i="31"/>
  <c r="S307" i="31"/>
  <c r="S308" i="31"/>
  <c r="S309" i="31"/>
  <c r="S310" i="31"/>
  <c r="S311" i="31"/>
  <c r="S312" i="31"/>
  <c r="S313" i="31"/>
  <c r="S314" i="31"/>
  <c r="S315" i="31"/>
  <c r="S316" i="31"/>
  <c r="S317" i="31"/>
  <c r="S318" i="31"/>
  <c r="S319" i="31"/>
  <c r="S320" i="31"/>
  <c r="S321" i="31"/>
  <c r="S322" i="31"/>
  <c r="S323" i="31"/>
  <c r="S324" i="31"/>
  <c r="S325" i="31"/>
  <c r="S326" i="31"/>
  <c r="S327" i="31"/>
  <c r="S328" i="31"/>
  <c r="S329" i="31"/>
  <c r="S330" i="31"/>
  <c r="S331" i="31"/>
  <c r="S332" i="31"/>
  <c r="S333" i="31"/>
  <c r="S334" i="31"/>
  <c r="S335" i="31"/>
  <c r="S336" i="31"/>
  <c r="S337" i="31"/>
  <c r="S338" i="31"/>
  <c r="S339" i="31"/>
  <c r="S340" i="31"/>
  <c r="S341" i="31"/>
  <c r="S342" i="31"/>
  <c r="S343" i="31"/>
  <c r="S344" i="31"/>
  <c r="S345" i="31"/>
  <c r="S346" i="31"/>
  <c r="S347" i="31"/>
  <c r="S348" i="31"/>
  <c r="S349" i="31"/>
  <c r="S350" i="31"/>
  <c r="S351" i="31"/>
  <c r="S352" i="31"/>
  <c r="S353" i="31"/>
  <c r="S354" i="31"/>
  <c r="S355" i="31"/>
  <c r="S356" i="31"/>
  <c r="S357" i="31"/>
  <c r="S358" i="31"/>
  <c r="S359" i="31"/>
  <c r="S360" i="31"/>
  <c r="S361" i="31"/>
  <c r="S362" i="31"/>
  <c r="S363" i="31"/>
  <c r="S364" i="31"/>
  <c r="S365" i="31"/>
  <c r="S366" i="31"/>
  <c r="S367" i="31"/>
  <c r="S368" i="31"/>
  <c r="S369" i="31"/>
  <c r="S370" i="31"/>
  <c r="S371" i="31"/>
  <c r="S372" i="31"/>
  <c r="S373" i="31"/>
  <c r="S374" i="31"/>
  <c r="S375" i="31"/>
  <c r="S376" i="31"/>
  <c r="S377" i="31"/>
  <c r="S378" i="31"/>
  <c r="S379" i="31"/>
  <c r="S380" i="31"/>
  <c r="S381" i="31"/>
  <c r="S382" i="31"/>
  <c r="S383" i="31"/>
  <c r="S384" i="31"/>
  <c r="S385" i="31"/>
  <c r="S386" i="31"/>
  <c r="S387" i="31"/>
  <c r="S388" i="31"/>
  <c r="S389" i="31"/>
  <c r="S390" i="31"/>
  <c r="S391" i="31"/>
  <c r="S392" i="31"/>
  <c r="S393" i="31"/>
  <c r="S394" i="31"/>
  <c r="S395" i="31"/>
  <c r="S396" i="31"/>
  <c r="S397" i="31"/>
  <c r="S398" i="31"/>
  <c r="S399" i="31"/>
  <c r="S400" i="31"/>
  <c r="S401" i="31"/>
  <c r="S402" i="31"/>
  <c r="S403" i="31"/>
  <c r="S404" i="31"/>
  <c r="S405" i="31"/>
  <c r="S406" i="31"/>
  <c r="S407" i="31"/>
  <c r="S408" i="31"/>
  <c r="S409" i="31"/>
  <c r="S410" i="31"/>
  <c r="S411" i="31"/>
  <c r="S412" i="31"/>
  <c r="S413" i="31"/>
  <c r="S414" i="31"/>
  <c r="S415" i="31"/>
  <c r="S416" i="31"/>
  <c r="S417" i="31"/>
  <c r="S418" i="31"/>
  <c r="S419" i="31"/>
  <c r="S420" i="31"/>
  <c r="S421" i="31"/>
  <c r="S422" i="31"/>
  <c r="S423" i="31"/>
  <c r="S424" i="31"/>
  <c r="S425" i="31"/>
  <c r="S426" i="31"/>
  <c r="S427" i="31"/>
  <c r="S428" i="31"/>
  <c r="S429" i="31"/>
  <c r="S430" i="31"/>
  <c r="S431" i="31"/>
  <c r="S432" i="31"/>
  <c r="S433" i="31"/>
  <c r="S434" i="31"/>
  <c r="S435" i="31"/>
  <c r="S436" i="31"/>
  <c r="S437" i="31"/>
  <c r="S438" i="31"/>
  <c r="S439" i="31"/>
  <c r="S440" i="31"/>
  <c r="S441" i="31"/>
  <c r="S442" i="31"/>
  <c r="S443" i="31"/>
  <c r="S444" i="31"/>
  <c r="S445" i="31"/>
  <c r="S446" i="31"/>
  <c r="S447" i="31"/>
  <c r="S448" i="31"/>
  <c r="S449" i="31"/>
  <c r="S450" i="31"/>
  <c r="S451" i="31"/>
  <c r="S452" i="31"/>
  <c r="S453" i="31"/>
  <c r="S454" i="31"/>
  <c r="S455" i="31"/>
  <c r="S456" i="31"/>
  <c r="S457" i="31"/>
  <c r="S458" i="31"/>
  <c r="S459" i="31"/>
  <c r="S460" i="31"/>
  <c r="S461" i="31"/>
  <c r="S462" i="31"/>
  <c r="S463" i="31"/>
  <c r="S464" i="31"/>
  <c r="S465" i="31"/>
  <c r="S466" i="31"/>
  <c r="S467" i="31"/>
  <c r="S468" i="31"/>
  <c r="S469" i="31"/>
  <c r="S470" i="31"/>
  <c r="S471" i="31"/>
  <c r="S472" i="31"/>
  <c r="S473" i="31"/>
  <c r="S474" i="31"/>
  <c r="S475" i="31"/>
  <c r="S476" i="31"/>
  <c r="S477" i="31"/>
  <c r="S478" i="31"/>
  <c r="S479" i="31"/>
  <c r="S480" i="31"/>
  <c r="S481" i="31"/>
  <c r="S482" i="31"/>
  <c r="S483" i="31"/>
  <c r="S484" i="31"/>
  <c r="S485" i="31"/>
  <c r="S486" i="31"/>
  <c r="S487" i="31"/>
  <c r="S488" i="31"/>
  <c r="S489" i="31"/>
  <c r="S490" i="31"/>
  <c r="S491" i="31"/>
  <c r="S492" i="31"/>
  <c r="S493" i="31"/>
  <c r="S494" i="31"/>
  <c r="S495" i="31"/>
  <c r="S496" i="31"/>
  <c r="S497" i="31"/>
  <c r="S498" i="31"/>
  <c r="S499" i="31"/>
  <c r="S500" i="31"/>
  <c r="S501" i="31"/>
  <c r="S502" i="31"/>
  <c r="S503" i="31"/>
  <c r="S504" i="31"/>
  <c r="S505" i="31"/>
  <c r="S506" i="31"/>
  <c r="S507" i="31"/>
  <c r="S508" i="31"/>
  <c r="S509" i="31"/>
  <c r="S510" i="31"/>
  <c r="S511" i="31"/>
  <c r="S512" i="31"/>
  <c r="S513" i="31"/>
  <c r="S514" i="31"/>
  <c r="S515" i="31"/>
  <c r="S516" i="31"/>
  <c r="S517" i="31"/>
  <c r="S518" i="31"/>
  <c r="S519" i="31"/>
  <c r="S520" i="31"/>
  <c r="S521" i="31"/>
  <c r="S522" i="31"/>
  <c r="S523" i="31"/>
  <c r="S524" i="31"/>
  <c r="S525" i="31"/>
  <c r="S526" i="31"/>
  <c r="S527" i="31"/>
  <c r="S528" i="31"/>
  <c r="S529" i="31"/>
  <c r="S530" i="31"/>
  <c r="S531" i="31"/>
  <c r="S532" i="31"/>
  <c r="S533" i="31"/>
  <c r="S534" i="31"/>
  <c r="S535" i="31"/>
  <c r="S536" i="31"/>
  <c r="S537" i="31"/>
  <c r="S538" i="31"/>
  <c r="S539" i="31"/>
  <c r="S540" i="31"/>
  <c r="S541" i="31"/>
  <c r="S542" i="31"/>
  <c r="S543" i="31"/>
  <c r="S544" i="31"/>
  <c r="S545" i="31"/>
  <c r="S546" i="31"/>
  <c r="S547" i="31"/>
  <c r="S548" i="31"/>
  <c r="S549" i="31"/>
  <c r="S550" i="31"/>
  <c r="S551" i="31"/>
  <c r="S552" i="31"/>
  <c r="S553" i="31"/>
  <c r="S554" i="31"/>
  <c r="S555" i="31"/>
  <c r="S556" i="31"/>
  <c r="S557" i="31"/>
  <c r="S558" i="31"/>
  <c r="S559" i="31"/>
  <c r="S560" i="31"/>
  <c r="S561" i="31"/>
  <c r="S562" i="31"/>
  <c r="S563" i="31"/>
  <c r="S564" i="31"/>
  <c r="S565" i="31"/>
  <c r="S566" i="31"/>
  <c r="S567" i="31"/>
  <c r="S568" i="31"/>
  <c r="S569" i="31"/>
  <c r="S570" i="31"/>
  <c r="S571" i="31"/>
  <c r="S572" i="31"/>
  <c r="S573" i="31"/>
  <c r="S574" i="31"/>
  <c r="S575" i="31"/>
  <c r="S576" i="31"/>
  <c r="S577" i="31"/>
  <c r="S578" i="31"/>
  <c r="S579" i="31"/>
  <c r="S580" i="31"/>
  <c r="S581" i="31"/>
  <c r="S582" i="31"/>
  <c r="S583" i="31"/>
  <c r="S584" i="31"/>
  <c r="S585" i="31"/>
  <c r="S586" i="31"/>
  <c r="S587" i="31"/>
  <c r="S588" i="31"/>
  <c r="S589" i="31"/>
  <c r="S590" i="31"/>
  <c r="S591" i="31"/>
  <c r="S592" i="31"/>
  <c r="S593" i="31"/>
  <c r="S594" i="31"/>
  <c r="S595" i="31"/>
  <c r="S596" i="31"/>
  <c r="S597" i="31"/>
  <c r="S598" i="31"/>
  <c r="S599" i="31"/>
  <c r="S600" i="31"/>
  <c r="S601" i="31"/>
  <c r="S602" i="31"/>
  <c r="S603" i="31"/>
  <c r="S604" i="31"/>
  <c r="S605" i="31"/>
  <c r="S606" i="31"/>
  <c r="S607" i="31"/>
  <c r="S608" i="31"/>
  <c r="S609" i="31"/>
  <c r="S610" i="31"/>
  <c r="S611" i="31"/>
  <c r="S612" i="31"/>
  <c r="S613" i="31"/>
  <c r="S614" i="31"/>
  <c r="S615" i="31"/>
  <c r="S616" i="31"/>
  <c r="S617" i="31"/>
  <c r="S618" i="31"/>
  <c r="S619" i="31"/>
  <c r="S620" i="31"/>
  <c r="S621" i="31"/>
  <c r="S622" i="31"/>
  <c r="S623" i="31"/>
  <c r="S624" i="31"/>
  <c r="S625" i="31"/>
  <c r="S626" i="31"/>
  <c r="S627" i="31"/>
  <c r="S628" i="31"/>
  <c r="S629" i="31"/>
  <c r="S630" i="31"/>
  <c r="S631" i="31"/>
  <c r="S632" i="31"/>
  <c r="S633" i="31"/>
  <c r="S634" i="31"/>
  <c r="S635" i="31"/>
  <c r="S636" i="31"/>
  <c r="S637" i="31"/>
  <c r="S638" i="31"/>
  <c r="S639" i="31"/>
  <c r="S640" i="31"/>
  <c r="S641" i="31"/>
  <c r="S642" i="31"/>
  <c r="S643" i="31"/>
  <c r="S644" i="31"/>
  <c r="S645" i="31"/>
  <c r="S646" i="31"/>
  <c r="S647" i="31"/>
  <c r="S648" i="31"/>
  <c r="S649" i="31"/>
  <c r="S650" i="31"/>
  <c r="S651" i="31"/>
  <c r="S652" i="31"/>
  <c r="S653" i="31"/>
  <c r="S654" i="31"/>
  <c r="S655" i="31"/>
  <c r="S656" i="31"/>
  <c r="S657" i="31"/>
  <c r="S658" i="31"/>
  <c r="S659" i="31"/>
  <c r="S660" i="31"/>
  <c r="S661" i="31"/>
  <c r="S662" i="31"/>
  <c r="S663" i="31"/>
  <c r="S664" i="31"/>
  <c r="S665" i="31"/>
  <c r="S666" i="31"/>
  <c r="S667" i="31"/>
  <c r="S668" i="31"/>
  <c r="S669" i="31"/>
  <c r="S670" i="31"/>
  <c r="S671" i="31"/>
  <c r="S672" i="31"/>
  <c r="S673" i="31"/>
  <c r="S674" i="31"/>
  <c r="S675" i="31"/>
  <c r="S676" i="31"/>
  <c r="S677" i="31"/>
  <c r="S678" i="31"/>
  <c r="S679" i="31"/>
  <c r="S680" i="31"/>
  <c r="S681" i="31"/>
  <c r="S682" i="31"/>
  <c r="S683" i="31"/>
  <c r="S684" i="31"/>
  <c r="S685" i="31"/>
  <c r="S686" i="31"/>
  <c r="S687" i="31"/>
  <c r="S688" i="31"/>
  <c r="S689" i="31"/>
  <c r="S690" i="31"/>
  <c r="S691" i="31"/>
  <c r="S692" i="31"/>
  <c r="S693" i="31"/>
  <c r="S694" i="31"/>
  <c r="S695" i="31"/>
  <c r="S696" i="31"/>
  <c r="S697" i="31"/>
  <c r="S698" i="31"/>
  <c r="S699" i="31"/>
  <c r="S700" i="31"/>
  <c r="S701" i="31"/>
  <c r="S702" i="31"/>
  <c r="S703" i="31"/>
  <c r="S704" i="31"/>
  <c r="S705" i="31"/>
  <c r="S706" i="31"/>
  <c r="S707" i="31"/>
  <c r="S708" i="31"/>
  <c r="S709" i="31"/>
  <c r="S710" i="31"/>
  <c r="S711" i="31"/>
  <c r="S712" i="31"/>
  <c r="S713" i="31"/>
  <c r="S714" i="31"/>
  <c r="S715" i="31"/>
  <c r="S716" i="31"/>
  <c r="S717" i="31"/>
  <c r="S718" i="31"/>
  <c r="S719" i="31"/>
  <c r="S720" i="31"/>
  <c r="S721" i="31"/>
  <c r="S722" i="31"/>
  <c r="S723" i="31"/>
  <c r="S724" i="31"/>
  <c r="S725" i="31"/>
  <c r="S726" i="31"/>
  <c r="S727" i="31"/>
  <c r="S728" i="31"/>
  <c r="S729" i="31"/>
  <c r="S730" i="31"/>
  <c r="S731" i="31"/>
  <c r="S732" i="31"/>
  <c r="S733" i="31"/>
  <c r="S734" i="31"/>
  <c r="S735" i="31"/>
  <c r="S736" i="31"/>
  <c r="S737" i="31"/>
  <c r="S738" i="31"/>
  <c r="S739" i="31"/>
  <c r="S740" i="31"/>
  <c r="S741" i="31"/>
  <c r="S742" i="31"/>
  <c r="S743" i="31"/>
  <c r="S744" i="31"/>
  <c r="S745" i="31"/>
  <c r="S746" i="31"/>
  <c r="S747" i="31"/>
  <c r="S748" i="31"/>
  <c r="S749" i="31"/>
  <c r="S750" i="31"/>
  <c r="S751" i="31"/>
  <c r="S752" i="31"/>
  <c r="S753" i="31"/>
  <c r="S754" i="31"/>
  <c r="S755" i="31"/>
  <c r="S756" i="31"/>
  <c r="S757" i="31"/>
  <c r="S758" i="31"/>
  <c r="S759" i="31"/>
  <c r="S760" i="31"/>
  <c r="S761" i="31"/>
  <c r="S762" i="31"/>
  <c r="S763" i="31"/>
  <c r="S764" i="31"/>
  <c r="S765" i="31"/>
  <c r="S766" i="31"/>
  <c r="S767" i="31"/>
  <c r="S768" i="31"/>
  <c r="S769" i="31"/>
  <c r="S770" i="31"/>
  <c r="S771" i="31"/>
  <c r="S772" i="31"/>
  <c r="S773" i="31"/>
  <c r="S774" i="31"/>
  <c r="S775" i="31"/>
  <c r="S776" i="31"/>
  <c r="S777" i="31"/>
  <c r="S778" i="31"/>
  <c r="S779" i="31"/>
  <c r="S780" i="31"/>
  <c r="S781" i="31"/>
  <c r="S782" i="31"/>
  <c r="S783" i="31"/>
  <c r="S784" i="31"/>
  <c r="S785" i="31"/>
  <c r="S786" i="31"/>
  <c r="S787" i="31"/>
  <c r="S788" i="31"/>
  <c r="S789" i="31"/>
  <c r="S790" i="31"/>
  <c r="S791" i="31"/>
  <c r="S792" i="31"/>
  <c r="S793" i="31"/>
  <c r="S794" i="31"/>
  <c r="S795" i="31"/>
  <c r="S796" i="31"/>
  <c r="S797" i="31"/>
  <c r="S798" i="31"/>
  <c r="S799" i="31"/>
  <c r="S800" i="31"/>
  <c r="S801" i="31"/>
  <c r="S802" i="31"/>
  <c r="S803" i="31"/>
  <c r="S804" i="31"/>
  <c r="S805" i="31"/>
  <c r="S806" i="31"/>
  <c r="S807" i="31"/>
  <c r="S808" i="31"/>
  <c r="S809" i="31"/>
  <c r="S810" i="31"/>
  <c r="S811" i="31"/>
  <c r="S812" i="31"/>
  <c r="S813" i="31"/>
  <c r="S814" i="31"/>
  <c r="S815" i="31"/>
  <c r="S816" i="31"/>
  <c r="S817" i="31"/>
  <c r="S818" i="31"/>
  <c r="S819" i="31"/>
  <c r="S820" i="31"/>
  <c r="S821" i="31"/>
  <c r="S822" i="31"/>
  <c r="S823" i="31"/>
  <c r="S824" i="31"/>
  <c r="S825" i="31"/>
  <c r="S826" i="31"/>
  <c r="S827" i="31"/>
  <c r="S828" i="31"/>
  <c r="S829" i="31"/>
  <c r="S830" i="31"/>
  <c r="S831" i="31"/>
  <c r="S832" i="31"/>
  <c r="S833" i="31"/>
  <c r="S834" i="31"/>
  <c r="S835" i="31"/>
  <c r="S836" i="31"/>
  <c r="S837" i="31"/>
  <c r="S838" i="31"/>
  <c r="S839" i="31"/>
  <c r="S840" i="31"/>
  <c r="S841" i="31"/>
  <c r="S842" i="31"/>
  <c r="S843" i="31"/>
  <c r="S844" i="31"/>
  <c r="S845" i="31"/>
  <c r="S846" i="31"/>
  <c r="S847" i="31"/>
  <c r="S848" i="31"/>
  <c r="S849" i="31"/>
  <c r="S850" i="31"/>
  <c r="S851" i="31"/>
  <c r="S852" i="31"/>
  <c r="S853" i="31"/>
  <c r="S854" i="31"/>
  <c r="S855" i="31"/>
  <c r="S856" i="31"/>
  <c r="S857" i="31"/>
  <c r="S858" i="31"/>
  <c r="S859" i="31"/>
  <c r="S860" i="31"/>
  <c r="S861" i="31"/>
  <c r="S862" i="31"/>
  <c r="S863" i="31"/>
  <c r="S864" i="31"/>
  <c r="S865" i="31"/>
  <c r="S866" i="31"/>
  <c r="S867" i="31"/>
  <c r="S868" i="31"/>
  <c r="S869" i="31"/>
  <c r="S870" i="31"/>
  <c r="S871" i="31"/>
  <c r="S872" i="31"/>
  <c r="S873" i="31"/>
  <c r="S874" i="31"/>
  <c r="S875" i="31"/>
  <c r="S876" i="31"/>
  <c r="S877" i="31"/>
  <c r="S878" i="31"/>
  <c r="S879" i="31"/>
  <c r="S880" i="31"/>
  <c r="S881" i="31"/>
  <c r="S882" i="31"/>
  <c r="S883" i="31"/>
  <c r="S884" i="31"/>
  <c r="S885" i="31"/>
  <c r="S886" i="31"/>
  <c r="S887" i="31"/>
  <c r="S888" i="31"/>
  <c r="S889" i="31"/>
  <c r="S890" i="31"/>
  <c r="S891" i="31"/>
  <c r="S892" i="31"/>
  <c r="S893" i="31"/>
  <c r="S894" i="31"/>
  <c r="S895" i="31"/>
  <c r="S896" i="31"/>
  <c r="S897" i="31"/>
  <c r="S898" i="31"/>
  <c r="S899" i="31"/>
  <c r="S900" i="31"/>
  <c r="S901" i="31"/>
  <c r="S902" i="31"/>
  <c r="S903" i="31"/>
  <c r="S904" i="31"/>
  <c r="S905" i="31"/>
  <c r="S906" i="31"/>
  <c r="S907" i="31"/>
  <c r="S908" i="31"/>
  <c r="S909" i="31"/>
  <c r="S910" i="31"/>
  <c r="S911" i="31"/>
  <c r="S912" i="31"/>
  <c r="S913" i="31"/>
  <c r="S914" i="31"/>
  <c r="S915" i="31"/>
  <c r="S916" i="31"/>
  <c r="S917" i="31"/>
  <c r="S918" i="31"/>
  <c r="S919" i="31"/>
  <c r="S920" i="31"/>
  <c r="S921" i="31"/>
  <c r="S922" i="31"/>
  <c r="S923" i="31"/>
  <c r="S924" i="31"/>
  <c r="S925" i="31"/>
  <c r="S926" i="31"/>
  <c r="S927" i="31"/>
  <c r="S928" i="31"/>
  <c r="S929" i="31"/>
  <c r="S930" i="31"/>
  <c r="S931" i="31"/>
  <c r="S932" i="31"/>
  <c r="S933" i="31"/>
  <c r="S934" i="31"/>
  <c r="S935" i="31"/>
  <c r="S936" i="31"/>
  <c r="S937" i="31"/>
  <c r="S938" i="31"/>
  <c r="S939" i="31"/>
  <c r="S940" i="31"/>
  <c r="S941" i="31"/>
  <c r="S942" i="31"/>
  <c r="S943" i="31"/>
  <c r="S944" i="31"/>
  <c r="S945" i="31"/>
  <c r="S946" i="31"/>
  <c r="S947" i="31"/>
  <c r="S948" i="31"/>
  <c r="S949" i="31"/>
  <c r="S950" i="31"/>
  <c r="S951" i="31"/>
  <c r="S952" i="31"/>
  <c r="S953" i="31"/>
  <c r="S954" i="31"/>
  <c r="S955" i="31"/>
  <c r="S956" i="31"/>
  <c r="S957" i="31"/>
  <c r="S958" i="31"/>
  <c r="S959" i="31"/>
  <c r="S960" i="31"/>
  <c r="S961" i="31"/>
  <c r="S962" i="31"/>
  <c r="S963" i="31"/>
  <c r="S964" i="31"/>
  <c r="S965" i="31"/>
  <c r="S966" i="31"/>
  <c r="S967" i="31"/>
  <c r="S968" i="31"/>
  <c r="S969" i="31"/>
  <c r="S970" i="31"/>
  <c r="S971" i="31"/>
  <c r="S972" i="31"/>
  <c r="S973" i="31"/>
  <c r="S974" i="31"/>
  <c r="S975" i="31"/>
  <c r="S976" i="31"/>
  <c r="S977" i="31"/>
  <c r="S978" i="31"/>
  <c r="S979" i="31"/>
  <c r="S980" i="31"/>
  <c r="S981" i="31"/>
  <c r="S982" i="31"/>
  <c r="S983" i="31"/>
  <c r="S984" i="31"/>
  <c r="S985" i="31"/>
  <c r="S986" i="31"/>
  <c r="S987" i="31"/>
  <c r="S988" i="31"/>
  <c r="S989" i="31"/>
  <c r="S990" i="31"/>
  <c r="S991" i="31"/>
  <c r="S992" i="31"/>
  <c r="S993" i="31"/>
  <c r="S994" i="31"/>
  <c r="S995" i="31"/>
  <c r="S996" i="31"/>
  <c r="S997" i="31"/>
  <c r="S998" i="31"/>
  <c r="S999" i="31"/>
  <c r="S1000" i="31"/>
  <c r="S1001" i="31"/>
  <c r="S1002" i="31"/>
  <c r="S1003" i="31"/>
  <c r="S1004" i="31"/>
  <c r="S1005" i="31"/>
  <c r="S1006" i="31"/>
  <c r="S1007" i="31"/>
  <c r="S1008" i="31"/>
  <c r="S1009" i="31"/>
  <c r="S1010" i="31"/>
  <c r="S1011" i="31"/>
  <c r="S1012" i="31"/>
  <c r="S1013" i="31"/>
  <c r="S1014" i="31"/>
  <c r="S1015" i="31"/>
  <c r="S1016" i="31"/>
  <c r="S1017" i="31"/>
  <c r="S1018" i="31"/>
  <c r="S1019" i="31"/>
  <c r="S1020" i="31"/>
  <c r="S1021" i="31"/>
  <c r="S1022" i="31"/>
  <c r="S1023" i="31"/>
  <c r="S1024" i="31"/>
  <c r="S1025" i="31"/>
  <c r="S1026" i="31"/>
  <c r="S1027" i="31"/>
  <c r="S1028" i="31"/>
  <c r="S1029" i="31"/>
  <c r="S1030" i="31"/>
  <c r="S1031" i="31"/>
  <c r="S1032" i="31"/>
  <c r="S1033" i="31"/>
  <c r="S1034" i="31"/>
  <c r="S1035" i="31"/>
  <c r="S1036" i="31"/>
  <c r="S1037" i="31"/>
  <c r="S1038" i="31"/>
  <c r="S1039" i="31"/>
  <c r="S1040" i="31"/>
  <c r="S1041" i="31"/>
  <c r="S1042" i="31"/>
  <c r="S1043" i="31"/>
  <c r="S1044" i="31"/>
  <c r="S1045" i="31"/>
  <c r="S1046" i="31"/>
  <c r="S1047" i="31"/>
  <c r="S1048" i="31"/>
  <c r="S1049" i="31"/>
  <c r="S1050" i="31"/>
  <c r="S1051" i="31"/>
  <c r="S1052" i="31"/>
  <c r="S1053" i="31"/>
  <c r="S1054" i="31"/>
  <c r="S1055" i="31"/>
  <c r="S1056" i="31"/>
  <c r="S1057" i="31"/>
  <c r="S1058" i="31"/>
  <c r="S1059" i="31"/>
  <c r="S1060" i="31"/>
  <c r="S1061" i="31"/>
  <c r="S1062" i="31"/>
  <c r="S1063" i="31"/>
  <c r="S1064" i="31"/>
  <c r="S1065" i="31"/>
  <c r="S1066" i="31"/>
  <c r="S1067" i="31"/>
  <c r="S1068" i="31"/>
  <c r="S1069" i="31"/>
  <c r="S1070" i="31"/>
  <c r="S1071" i="31"/>
  <c r="S1072" i="31"/>
  <c r="S1073" i="31"/>
  <c r="S1074" i="31"/>
  <c r="S1075" i="31"/>
  <c r="S1076" i="31"/>
  <c r="S1077" i="31"/>
  <c r="S1078" i="31"/>
  <c r="S1079" i="31"/>
  <c r="S1080" i="31"/>
  <c r="S1081" i="31"/>
  <c r="S1082" i="31"/>
  <c r="S1083" i="31"/>
  <c r="S1084" i="31"/>
  <c r="S1085" i="31"/>
  <c r="S1086" i="31"/>
  <c r="S1087" i="31"/>
  <c r="S1088" i="31"/>
  <c r="S1089" i="31"/>
  <c r="S1090" i="31"/>
  <c r="S1091" i="31"/>
  <c r="S1092" i="31"/>
  <c r="S1093" i="31"/>
  <c r="S1094" i="31"/>
  <c r="S1095" i="31"/>
  <c r="S1096" i="31"/>
  <c r="S1097" i="31"/>
  <c r="S1098" i="31"/>
  <c r="S1099" i="31"/>
  <c r="S1100" i="31"/>
  <c r="S1101" i="31"/>
  <c r="S1102" i="31"/>
  <c r="S1103" i="31"/>
  <c r="S1104" i="31"/>
  <c r="S1105" i="31"/>
  <c r="S1106" i="31"/>
  <c r="S1107" i="31"/>
  <c r="S1108" i="31"/>
  <c r="S1109" i="31"/>
  <c r="S1110" i="31"/>
  <c r="S1111" i="31"/>
  <c r="S1112" i="31"/>
  <c r="S1113" i="31"/>
  <c r="S1114" i="31"/>
  <c r="S1115" i="31"/>
  <c r="S1116" i="31"/>
  <c r="S1117" i="31"/>
  <c r="S1118" i="31"/>
  <c r="S1119" i="31"/>
  <c r="S1120" i="31"/>
  <c r="S1121" i="31"/>
  <c r="S1122" i="31"/>
  <c r="S1123" i="31"/>
  <c r="S1124" i="31"/>
  <c r="S1125" i="31"/>
  <c r="S1126" i="31"/>
  <c r="S1127" i="31"/>
  <c r="S1128" i="31"/>
  <c r="S1129" i="31"/>
  <c r="S1130" i="31"/>
  <c r="S1131" i="31"/>
  <c r="S1132" i="31"/>
  <c r="S1133" i="31"/>
  <c r="S1134" i="31"/>
  <c r="S1135" i="31"/>
  <c r="S1136" i="31"/>
  <c r="S1137" i="31"/>
  <c r="S1138" i="31"/>
  <c r="S1139" i="31"/>
  <c r="S1140" i="31"/>
  <c r="S1141" i="31"/>
  <c r="S1142" i="31"/>
  <c r="S1143" i="31"/>
  <c r="S1144" i="31"/>
  <c r="S1145" i="31"/>
  <c r="S1146" i="31"/>
  <c r="S1147" i="31"/>
  <c r="S1148" i="31"/>
  <c r="S1149" i="31"/>
  <c r="S1150" i="31"/>
  <c r="S1151" i="31"/>
  <c r="S1152" i="31"/>
  <c r="S1153" i="31"/>
  <c r="S1154" i="31"/>
  <c r="S1155" i="31"/>
  <c r="S1156" i="31"/>
  <c r="S1157" i="31"/>
  <c r="S1158" i="31"/>
  <c r="S1159" i="31"/>
  <c r="S1160" i="31"/>
  <c r="S1161" i="31"/>
  <c r="S1162" i="31"/>
  <c r="S1163" i="31"/>
  <c r="S1164" i="31"/>
  <c r="S1165" i="31"/>
  <c r="S1166" i="31"/>
  <c r="S1167" i="31"/>
  <c r="S1168" i="31"/>
  <c r="S1169" i="31"/>
  <c r="S1170" i="31"/>
  <c r="S1171" i="31"/>
  <c r="S1172" i="31"/>
  <c r="S1173" i="31"/>
  <c r="S1174" i="31"/>
  <c r="S1175" i="31"/>
  <c r="S1176" i="31"/>
  <c r="S1177" i="31"/>
  <c r="S1178" i="31"/>
  <c r="S1179" i="31"/>
  <c r="S1180" i="31"/>
  <c r="S1181" i="31"/>
  <c r="S1182" i="31"/>
  <c r="S1183" i="31"/>
  <c r="S1184" i="31"/>
  <c r="S1185" i="31"/>
  <c r="S1186" i="31"/>
  <c r="S1187" i="31"/>
  <c r="S1188" i="31"/>
  <c r="S1189" i="31"/>
  <c r="S1190" i="31"/>
  <c r="S1191" i="31"/>
  <c r="S1192" i="31"/>
  <c r="S1193" i="31"/>
  <c r="S1194" i="31"/>
  <c r="S1195" i="31"/>
  <c r="S1196" i="31"/>
  <c r="S1197" i="31"/>
  <c r="S1198" i="31"/>
  <c r="S1199" i="31"/>
  <c r="S1200" i="31"/>
  <c r="S1201" i="31"/>
  <c r="S1202" i="31"/>
  <c r="S1203" i="31"/>
  <c r="S1204" i="31"/>
  <c r="S1205" i="31"/>
  <c r="S1206" i="31"/>
  <c r="S1207" i="31"/>
  <c r="S1208" i="31"/>
  <c r="S1209" i="31"/>
  <c r="S1210" i="31"/>
  <c r="S1211" i="31"/>
  <c r="S1212" i="31"/>
  <c r="S1213" i="31"/>
  <c r="S1214" i="31"/>
  <c r="S1215" i="31"/>
  <c r="S1216" i="31"/>
  <c r="S1217" i="31"/>
  <c r="S1218" i="31"/>
  <c r="S1219" i="31"/>
  <c r="S1220" i="31"/>
  <c r="S1221" i="31"/>
  <c r="S1222" i="31"/>
  <c r="S1223" i="31"/>
  <c r="S1224" i="31"/>
  <c r="S1225" i="31"/>
  <c r="S1226" i="31"/>
  <c r="S1227" i="31"/>
  <c r="S1228" i="31"/>
  <c r="S1229" i="31"/>
  <c r="S1230" i="31"/>
  <c r="S1231" i="31"/>
  <c r="S1232" i="31"/>
  <c r="S1233" i="31"/>
  <c r="S1234" i="31"/>
  <c r="S1235" i="31"/>
  <c r="S1236" i="31"/>
  <c r="S1237" i="31"/>
  <c r="S1238" i="31"/>
  <c r="S1239" i="31"/>
  <c r="S1240" i="31"/>
  <c r="S1241" i="31"/>
  <c r="S1242" i="31"/>
  <c r="S1243" i="31"/>
  <c r="S1244" i="31"/>
  <c r="S1245" i="31"/>
  <c r="S1246" i="31"/>
  <c r="S1247" i="31"/>
  <c r="S1248" i="31"/>
  <c r="S1249" i="31"/>
  <c r="S1250" i="31"/>
  <c r="S1251" i="31"/>
  <c r="S1252" i="31"/>
  <c r="S1253" i="31"/>
  <c r="S1254" i="31"/>
  <c r="S1255" i="31"/>
  <c r="S1256" i="31"/>
  <c r="S1257" i="31"/>
  <c r="S1258" i="31"/>
  <c r="S1259" i="31"/>
  <c r="S1260" i="31"/>
  <c r="S1261" i="31"/>
  <c r="S1262" i="31"/>
  <c r="S1263" i="31"/>
  <c r="S1264" i="31"/>
  <c r="S1265" i="31"/>
  <c r="S1266" i="31"/>
  <c r="S1267" i="31"/>
  <c r="S1268" i="31"/>
  <c r="S1269" i="31"/>
  <c r="S1270" i="31"/>
  <c r="S1271" i="31"/>
  <c r="S1272" i="31"/>
  <c r="S1273" i="31"/>
  <c r="S1274" i="31"/>
  <c r="S1275" i="31"/>
  <c r="S1276" i="31"/>
  <c r="S1277" i="31"/>
  <c r="S1278" i="31"/>
  <c r="S1279" i="31"/>
  <c r="S1280" i="31"/>
  <c r="S1281" i="31"/>
  <c r="S1282" i="31"/>
  <c r="S1283" i="31"/>
  <c r="S1284" i="31"/>
  <c r="S1285" i="31"/>
  <c r="S1286" i="31"/>
  <c r="S1287" i="31"/>
  <c r="S1288" i="31"/>
  <c r="S1289" i="31"/>
  <c r="S1290" i="31"/>
  <c r="S1291" i="31"/>
  <c r="S1292" i="31"/>
  <c r="S1293" i="31"/>
  <c r="S1294" i="31"/>
  <c r="S1295" i="31"/>
  <c r="S1296" i="31"/>
  <c r="S1297" i="31"/>
  <c r="S1298" i="31"/>
  <c r="S1299" i="31"/>
  <c r="S1300" i="31"/>
  <c r="S1301" i="31"/>
  <c r="S1302" i="31"/>
  <c r="S1303" i="31"/>
  <c r="S1304" i="31"/>
  <c r="S1305" i="31"/>
  <c r="S1306" i="31"/>
  <c r="S1307" i="31"/>
  <c r="S1308" i="31"/>
  <c r="S1309" i="31"/>
  <c r="S1310" i="31"/>
  <c r="S1311" i="31"/>
  <c r="S1312" i="31"/>
  <c r="S1313" i="31"/>
  <c r="S1314" i="31"/>
  <c r="S1315" i="31"/>
  <c r="S1316" i="31"/>
  <c r="S1317" i="31"/>
  <c r="S1318" i="31"/>
  <c r="S1319" i="31"/>
  <c r="S1320" i="31"/>
  <c r="S1321" i="31"/>
  <c r="S1322" i="31"/>
  <c r="S1323" i="31"/>
  <c r="S1324" i="31"/>
  <c r="S1325" i="31"/>
  <c r="S1326" i="31"/>
  <c r="S1327" i="31"/>
  <c r="S1328" i="31"/>
  <c r="S1329" i="31"/>
  <c r="S1330" i="31"/>
  <c r="S1331" i="31"/>
  <c r="S1332" i="31"/>
  <c r="S1333" i="31"/>
  <c r="S1334" i="31"/>
  <c r="S1335" i="31"/>
  <c r="S1336" i="31"/>
  <c r="S1337" i="31"/>
  <c r="S1338" i="31"/>
  <c r="S1339" i="31"/>
  <c r="S1340" i="31"/>
  <c r="S1341" i="31"/>
  <c r="S1342" i="31"/>
  <c r="S1343" i="31"/>
  <c r="S1344" i="31"/>
  <c r="S1345" i="31"/>
  <c r="S1346" i="31"/>
  <c r="S1347" i="31"/>
  <c r="S1348" i="31"/>
  <c r="S1349" i="31"/>
  <c r="S1350" i="31"/>
  <c r="S1351" i="31"/>
  <c r="S1352" i="31"/>
  <c r="S1353" i="31"/>
  <c r="S1354" i="31"/>
  <c r="S1355" i="31"/>
  <c r="S1356" i="31"/>
  <c r="S1357" i="31"/>
  <c r="S1358" i="31"/>
  <c r="S1359" i="31"/>
  <c r="S1360" i="31"/>
  <c r="S1361" i="31"/>
  <c r="S1362" i="31"/>
  <c r="S1363" i="31"/>
  <c r="S1364" i="31"/>
  <c r="S1365" i="31"/>
  <c r="S1366" i="31"/>
  <c r="S1367" i="31"/>
  <c r="S1368" i="31"/>
  <c r="S1369" i="31"/>
  <c r="S1370" i="31"/>
  <c r="S1371" i="31"/>
  <c r="S1372" i="31"/>
  <c r="S1373" i="31"/>
  <c r="S1374" i="31"/>
  <c r="S1375" i="31"/>
  <c r="S1376" i="31"/>
  <c r="S1377" i="31"/>
  <c r="S1378" i="31"/>
  <c r="S1379" i="31"/>
  <c r="S1380" i="31"/>
  <c r="S1381" i="31"/>
  <c r="S1382" i="31"/>
  <c r="S1383" i="31"/>
  <c r="S1384" i="31"/>
  <c r="S1385" i="31"/>
  <c r="S1386" i="31"/>
  <c r="S1387" i="31"/>
  <c r="S1388" i="31"/>
  <c r="S1389" i="31"/>
  <c r="S1390" i="31"/>
  <c r="S1391" i="31"/>
  <c r="S1392" i="31"/>
  <c r="S1393" i="31"/>
  <c r="S1394" i="31"/>
  <c r="S1395" i="31"/>
  <c r="S1396" i="31"/>
  <c r="S1397" i="31"/>
  <c r="S1398" i="31"/>
  <c r="S1399" i="31"/>
  <c r="S1400" i="31"/>
  <c r="S1401" i="31"/>
  <c r="S1402" i="31"/>
  <c r="S1403" i="31"/>
  <c r="S1404" i="31"/>
  <c r="S1405" i="31"/>
  <c r="S1406" i="31"/>
  <c r="S1407" i="31"/>
  <c r="S1408" i="31"/>
  <c r="S1409" i="31"/>
  <c r="S1410" i="31"/>
  <c r="S1411" i="31"/>
  <c r="S1412" i="31"/>
  <c r="S1413" i="31"/>
  <c r="S1414" i="31"/>
  <c r="S1415" i="31"/>
  <c r="S1416" i="31"/>
  <c r="S1417" i="31"/>
  <c r="S1418" i="31"/>
  <c r="S1419" i="31"/>
  <c r="S1420" i="31"/>
  <c r="S1421" i="31"/>
  <c r="S1422" i="31"/>
  <c r="S1423" i="31"/>
  <c r="S1424" i="31"/>
  <c r="S1425" i="31"/>
  <c r="S1426" i="31"/>
  <c r="S1427" i="31"/>
  <c r="S1428" i="31"/>
  <c r="S1429" i="31"/>
  <c r="S1430" i="31"/>
  <c r="S1431" i="31"/>
  <c r="S1432" i="31"/>
  <c r="S1433" i="31"/>
  <c r="S1434" i="31"/>
  <c r="S1435" i="31"/>
  <c r="S1436" i="31"/>
  <c r="S1437" i="31"/>
  <c r="S1438" i="31"/>
  <c r="S1439" i="31"/>
  <c r="S1440" i="31"/>
  <c r="S1441" i="31"/>
  <c r="S1442" i="31"/>
  <c r="S1443" i="31"/>
  <c r="S1444" i="31"/>
  <c r="S1445" i="31"/>
  <c r="S1446" i="31"/>
  <c r="S1447" i="31"/>
  <c r="S1448" i="31"/>
  <c r="S1449" i="31"/>
  <c r="S1450" i="31"/>
  <c r="S1451" i="31"/>
  <c r="S1452" i="31"/>
  <c r="S1453" i="31"/>
  <c r="S1454" i="31"/>
  <c r="S1455" i="31"/>
  <c r="S1456" i="31"/>
  <c r="S1457" i="31"/>
  <c r="S1458" i="31"/>
  <c r="S1459" i="31"/>
  <c r="S1460" i="31"/>
  <c r="S1461" i="31"/>
  <c r="S1462" i="31"/>
  <c r="S1463" i="31"/>
  <c r="S1464" i="31"/>
  <c r="S1465" i="31"/>
  <c r="S1466" i="31"/>
  <c r="S1467" i="31"/>
  <c r="S1468" i="31"/>
  <c r="S1469" i="31"/>
  <c r="S1470" i="31"/>
  <c r="S1471" i="31"/>
  <c r="S1472" i="31"/>
  <c r="S1473" i="31"/>
  <c r="S1474" i="31"/>
  <c r="S1475" i="31"/>
  <c r="S1476" i="31"/>
  <c r="S1477" i="31"/>
  <c r="S1478" i="31"/>
  <c r="S1479" i="31"/>
  <c r="S1480" i="31"/>
  <c r="S1481" i="31"/>
  <c r="S1482" i="31"/>
  <c r="S1483" i="31"/>
  <c r="S1484" i="31"/>
  <c r="S1485" i="31"/>
  <c r="S1486" i="31"/>
  <c r="S1487" i="31"/>
  <c r="S1488" i="31"/>
  <c r="S1489" i="31"/>
  <c r="S1490" i="31"/>
  <c r="S1491" i="31"/>
  <c r="S1492" i="31"/>
  <c r="S1493" i="31"/>
  <c r="S1494" i="31"/>
  <c r="S1495" i="31"/>
  <c r="S1496" i="31"/>
  <c r="S1497" i="31"/>
  <c r="S1498" i="31"/>
  <c r="S1499" i="31"/>
  <c r="S1500" i="31"/>
  <c r="S1501" i="31"/>
  <c r="S1502" i="31"/>
  <c r="S1503" i="31"/>
  <c r="S1504" i="31"/>
  <c r="S1505" i="31"/>
  <c r="S1506" i="31"/>
  <c r="S1507" i="31"/>
  <c r="S1508" i="31"/>
  <c r="S1509" i="31"/>
  <c r="S1510" i="31"/>
  <c r="S1511" i="31"/>
  <c r="S1512" i="31"/>
  <c r="S1513" i="31"/>
  <c r="S1514" i="31"/>
  <c r="S1515" i="31"/>
  <c r="S1516" i="31"/>
  <c r="S1517" i="31"/>
  <c r="S1518" i="31"/>
  <c r="S1519" i="31"/>
  <c r="S1520" i="31"/>
  <c r="S1521" i="31"/>
  <c r="S1522" i="31"/>
  <c r="S1523" i="31"/>
  <c r="S1524" i="31"/>
  <c r="S1525" i="31"/>
  <c r="S1526" i="31"/>
  <c r="S1527" i="31"/>
  <c r="S1528" i="31"/>
  <c r="S1529" i="31"/>
  <c r="S1530" i="31"/>
  <c r="S1531" i="31"/>
  <c r="S1532" i="31"/>
  <c r="S1533" i="31"/>
  <c r="S1534" i="31"/>
  <c r="S1535" i="31"/>
  <c r="S1536" i="31"/>
  <c r="S1537" i="31"/>
  <c r="S1538" i="31"/>
  <c r="S1539" i="31"/>
  <c r="S1540" i="31"/>
  <c r="S1541" i="31"/>
  <c r="S1542" i="31"/>
  <c r="S1543" i="31"/>
  <c r="S1544" i="31"/>
  <c r="S1545" i="31"/>
  <c r="S1546" i="31"/>
  <c r="S1547" i="31"/>
  <c r="S1548" i="31"/>
  <c r="S1549" i="31"/>
  <c r="S1550" i="31"/>
  <c r="S1551" i="31"/>
  <c r="S1552" i="31"/>
  <c r="S1553" i="31"/>
  <c r="S1554" i="31"/>
  <c r="S1555" i="31"/>
  <c r="S1556" i="31"/>
  <c r="S1557" i="31"/>
  <c r="S1558" i="31"/>
  <c r="S1559" i="31"/>
  <c r="S1560" i="31"/>
  <c r="S1561" i="31"/>
  <c r="S1562" i="31"/>
  <c r="S1563" i="31"/>
  <c r="S1564" i="31"/>
  <c r="S1565" i="31"/>
  <c r="S1566" i="31"/>
  <c r="S1567" i="31"/>
  <c r="S1568" i="31"/>
  <c r="S1569" i="31"/>
  <c r="S1570" i="31"/>
  <c r="S1571" i="31"/>
  <c r="S1572" i="31"/>
  <c r="S1573" i="31"/>
  <c r="S1574" i="31"/>
  <c r="S1575" i="31"/>
  <c r="S1576" i="31"/>
  <c r="S1577" i="31"/>
  <c r="S1578" i="31"/>
  <c r="S1579" i="31"/>
  <c r="S1580" i="31"/>
  <c r="S1581" i="31"/>
  <c r="S1582" i="31"/>
  <c r="S1583" i="31"/>
  <c r="S1584" i="31"/>
  <c r="S1585" i="31"/>
  <c r="S1586" i="31"/>
  <c r="S1587" i="31"/>
  <c r="S1588" i="31"/>
  <c r="S1589" i="31"/>
  <c r="S1590" i="31"/>
  <c r="S1591" i="31"/>
  <c r="S1592" i="31"/>
  <c r="S1593" i="31"/>
  <c r="S1594" i="31"/>
  <c r="S1595" i="31"/>
  <c r="S1596" i="31"/>
  <c r="S1597" i="31"/>
  <c r="S1598" i="31"/>
  <c r="S1599" i="31"/>
  <c r="S1600" i="31"/>
  <c r="S1601" i="31"/>
  <c r="S1602" i="31"/>
  <c r="S1603" i="31"/>
  <c r="S1604" i="31"/>
  <c r="S1605" i="31"/>
  <c r="S1606" i="31"/>
  <c r="S1607" i="31"/>
  <c r="S1608" i="31"/>
  <c r="S1609" i="31"/>
  <c r="S1610" i="31"/>
  <c r="S1611" i="31"/>
  <c r="S1612" i="31"/>
  <c r="S1613" i="31"/>
  <c r="S1614" i="31"/>
  <c r="S1615" i="31"/>
  <c r="S1616" i="31"/>
  <c r="S1617" i="31"/>
  <c r="S1618" i="31"/>
  <c r="S1619" i="31"/>
  <c r="S1620" i="31"/>
  <c r="S1621" i="31"/>
  <c r="S1622" i="31"/>
  <c r="S1623" i="31"/>
  <c r="S1624" i="31"/>
  <c r="S1625" i="31"/>
  <c r="S1626" i="31"/>
  <c r="S1627" i="31"/>
  <c r="S1628" i="31"/>
  <c r="S1629" i="31"/>
  <c r="S1630" i="31"/>
  <c r="S1631" i="31"/>
  <c r="S1632" i="31"/>
  <c r="S1633" i="31"/>
  <c r="S1634" i="31"/>
  <c r="S1635" i="31"/>
  <c r="S1636" i="31"/>
  <c r="S1637" i="31"/>
  <c r="S1638" i="31"/>
  <c r="S1639" i="31"/>
  <c r="S1640" i="31"/>
  <c r="S1641" i="31"/>
  <c r="S1642" i="31"/>
  <c r="S1643" i="31"/>
  <c r="S1644" i="31"/>
  <c r="S1645" i="31"/>
  <c r="S1646" i="31"/>
  <c r="S1647" i="31"/>
  <c r="S1648" i="31"/>
  <c r="S1649" i="31"/>
  <c r="S1650" i="31"/>
  <c r="S1651" i="31"/>
  <c r="S1652" i="31"/>
  <c r="S1653" i="31"/>
  <c r="S1654" i="31"/>
  <c r="S1655" i="31"/>
  <c r="S1656" i="31"/>
  <c r="S1657" i="31"/>
  <c r="S1658" i="31"/>
  <c r="S1659" i="31"/>
  <c r="S1660" i="31"/>
  <c r="S1661" i="31"/>
  <c r="S1662" i="31"/>
  <c r="S1663" i="31"/>
  <c r="S1664" i="31"/>
  <c r="S1665" i="31"/>
  <c r="S1666" i="31"/>
  <c r="S1667" i="31"/>
  <c r="S1668" i="31"/>
  <c r="S1669" i="31"/>
  <c r="S1670" i="31"/>
  <c r="S1671" i="31"/>
  <c r="S1672" i="31"/>
  <c r="S1673" i="31"/>
  <c r="S1674" i="31"/>
  <c r="S1675" i="31"/>
  <c r="S1676" i="31"/>
  <c r="S1677" i="31"/>
  <c r="S1678" i="31"/>
  <c r="S1679" i="31"/>
  <c r="S1680" i="31"/>
  <c r="S1681" i="31"/>
  <c r="S1682" i="31"/>
  <c r="S1683" i="31"/>
  <c r="S1684" i="31"/>
  <c r="S1685" i="31"/>
  <c r="S1686" i="31"/>
  <c r="S1687" i="31"/>
  <c r="S1688" i="31"/>
  <c r="S1689" i="31"/>
  <c r="S1690" i="31"/>
  <c r="S1691" i="31"/>
  <c r="S1692" i="31"/>
  <c r="S1693" i="31"/>
  <c r="S1694" i="31"/>
  <c r="S1695" i="31"/>
  <c r="S1696" i="31"/>
  <c r="S1697" i="31"/>
  <c r="S1698" i="31"/>
  <c r="S1699" i="31"/>
  <c r="S1700" i="31"/>
  <c r="S1701" i="31"/>
  <c r="S1702" i="31"/>
  <c r="S1703" i="31"/>
  <c r="S1704" i="31"/>
  <c r="S1705" i="31"/>
  <c r="S1706" i="31"/>
  <c r="S1707" i="31"/>
  <c r="S1708" i="31"/>
  <c r="S1709" i="31"/>
  <c r="S1710" i="31"/>
  <c r="S1711" i="31"/>
  <c r="S1712" i="31"/>
  <c r="S1713" i="31"/>
  <c r="S1714" i="31"/>
  <c r="S1715" i="31"/>
  <c r="S1716" i="31"/>
  <c r="S1717" i="31"/>
  <c r="S1718" i="31"/>
  <c r="S1719" i="31"/>
  <c r="S1720" i="31"/>
  <c r="S1721" i="31"/>
  <c r="S1722" i="31"/>
  <c r="S1723" i="31"/>
  <c r="S1724" i="31"/>
  <c r="S1725" i="31"/>
  <c r="S1726" i="31"/>
  <c r="S1727" i="31"/>
  <c r="S1728" i="31"/>
  <c r="S1729" i="31"/>
  <c r="S1730" i="31"/>
  <c r="S1731" i="31"/>
  <c r="S1732" i="31"/>
  <c r="S1733" i="31"/>
  <c r="S1734" i="31"/>
  <c r="S1735" i="31"/>
  <c r="S1736" i="31"/>
  <c r="S1737" i="31"/>
  <c r="S1738" i="31"/>
  <c r="S1739" i="31"/>
  <c r="S1740" i="31"/>
  <c r="S1741" i="31"/>
  <c r="S1742" i="31"/>
  <c r="S1743" i="31"/>
  <c r="S1744" i="31"/>
  <c r="S1745" i="31"/>
  <c r="S1746" i="31"/>
  <c r="S1747" i="31"/>
  <c r="S1748" i="31"/>
  <c r="S1749" i="31"/>
  <c r="S1750" i="31"/>
  <c r="S1751" i="31"/>
  <c r="S1752" i="31"/>
  <c r="S1753" i="31"/>
  <c r="S1754" i="31"/>
  <c r="S1755" i="31"/>
  <c r="S1756" i="31"/>
  <c r="S1757" i="31"/>
  <c r="S1758" i="31"/>
  <c r="S1759" i="31"/>
  <c r="S1760" i="31"/>
  <c r="S1761" i="31"/>
  <c r="S1762" i="31"/>
  <c r="S1763" i="31"/>
  <c r="S1764" i="31"/>
  <c r="S1765" i="31"/>
  <c r="S1766" i="31"/>
  <c r="S1767" i="31"/>
  <c r="S1768" i="31"/>
  <c r="S1769" i="31"/>
  <c r="S1770" i="31"/>
  <c r="S1771" i="31"/>
  <c r="S1772" i="31"/>
  <c r="S1773" i="31"/>
  <c r="S1774" i="31"/>
  <c r="S1775" i="31"/>
  <c r="S1776" i="31"/>
  <c r="S1777" i="31"/>
  <c r="S1778" i="31"/>
  <c r="S1779" i="31"/>
  <c r="S1780" i="31"/>
  <c r="S1781" i="31"/>
  <c r="S1782" i="31"/>
  <c r="S1783" i="31"/>
  <c r="S1784" i="31"/>
  <c r="S1785" i="31"/>
  <c r="S1786" i="31"/>
  <c r="S1787" i="31"/>
  <c r="S1788" i="31"/>
  <c r="S1789" i="31"/>
  <c r="S1790" i="31"/>
  <c r="S1791" i="31"/>
  <c r="S1792" i="31"/>
  <c r="S1793" i="31"/>
  <c r="S1794" i="31"/>
  <c r="S1795" i="31"/>
  <c r="S1796" i="31"/>
  <c r="S1797" i="31"/>
  <c r="S1798" i="31"/>
  <c r="S1799" i="31"/>
  <c r="S1800" i="31"/>
  <c r="S1801" i="31"/>
  <c r="S1802" i="31"/>
  <c r="S1803" i="31"/>
  <c r="S1804" i="31"/>
  <c r="S1805" i="31"/>
  <c r="S1806" i="31"/>
  <c r="S1807" i="31"/>
  <c r="S1808" i="31"/>
  <c r="S1809" i="31"/>
  <c r="S1810" i="31"/>
  <c r="S1811" i="31"/>
  <c r="S1812" i="31"/>
  <c r="S1813" i="31"/>
  <c r="S1814" i="31"/>
  <c r="S1815" i="31"/>
  <c r="S1816" i="31"/>
  <c r="S1817" i="31"/>
  <c r="S1818" i="31"/>
  <c r="S1819" i="31"/>
  <c r="S1820" i="31"/>
  <c r="S1821" i="31"/>
  <c r="S1822" i="31"/>
  <c r="S1823" i="31"/>
  <c r="S1824" i="31"/>
  <c r="S1825" i="31"/>
  <c r="S1826" i="31"/>
  <c r="S1827" i="31"/>
  <c r="S1828" i="31"/>
  <c r="S1829" i="31"/>
  <c r="S1830" i="31"/>
  <c r="S1831" i="31"/>
  <c r="S1832" i="31"/>
  <c r="S1833" i="31"/>
  <c r="S1834" i="31"/>
  <c r="S1835" i="31"/>
  <c r="S1836" i="31"/>
  <c r="S1837" i="31"/>
  <c r="S1838" i="31"/>
  <c r="S1839" i="31"/>
  <c r="S1840" i="31"/>
  <c r="S1841" i="31"/>
  <c r="S1842" i="31"/>
  <c r="S1843" i="31"/>
  <c r="S1844" i="31"/>
  <c r="S1845" i="31"/>
  <c r="S1846" i="31"/>
  <c r="S1847" i="31"/>
  <c r="S1848" i="31"/>
  <c r="S1849" i="31"/>
  <c r="S1850" i="31"/>
  <c r="S1851" i="31"/>
  <c r="S1852" i="31"/>
  <c r="S1853" i="31"/>
  <c r="S1854" i="31"/>
  <c r="S1855" i="31"/>
  <c r="S1856" i="31"/>
  <c r="S1857" i="31"/>
  <c r="S1858" i="31"/>
  <c r="S1859" i="31"/>
  <c r="S1860" i="31"/>
  <c r="S1861" i="31"/>
  <c r="S1862" i="31"/>
  <c r="S1863" i="31"/>
  <c r="S1864" i="31"/>
  <c r="S1865" i="31"/>
  <c r="S1866" i="31"/>
  <c r="S1867" i="31"/>
  <c r="S1868" i="31"/>
  <c r="S1869" i="31"/>
  <c r="S1870" i="31"/>
  <c r="S1871" i="31"/>
  <c r="S1872" i="31"/>
  <c r="S1873" i="31"/>
  <c r="S1874" i="31"/>
  <c r="S1875" i="31"/>
  <c r="S1876" i="31"/>
  <c r="S1877" i="31"/>
  <c r="S1878" i="31"/>
  <c r="S1879" i="31"/>
  <c r="S1880" i="31"/>
  <c r="S1881" i="31"/>
  <c r="S1882" i="31"/>
  <c r="S1883" i="31"/>
  <c r="S1884" i="31"/>
  <c r="S1885" i="31"/>
  <c r="S1886" i="31"/>
  <c r="S1887" i="31"/>
  <c r="S1888" i="31"/>
  <c r="S1889" i="31"/>
  <c r="S1890" i="31"/>
  <c r="S1891" i="31"/>
  <c r="S1892" i="31"/>
  <c r="S1893" i="31"/>
  <c r="S1894" i="31"/>
  <c r="S1895" i="31"/>
  <c r="S1896" i="31"/>
  <c r="S1897" i="31"/>
  <c r="S1898" i="31"/>
  <c r="S1899" i="31"/>
  <c r="S1900" i="31"/>
  <c r="S1901" i="31"/>
  <c r="S1902" i="31"/>
  <c r="S1903" i="31"/>
  <c r="S1904" i="31"/>
  <c r="S1905" i="31"/>
  <c r="S1906" i="31"/>
  <c r="S1907" i="31"/>
  <c r="S1908" i="31"/>
  <c r="S1909" i="31"/>
  <c r="R3" i="6"/>
  <c r="R4" i="6"/>
  <c r="R5" i="6"/>
  <c r="R6" i="6"/>
  <c r="R7" i="6"/>
  <c r="R8" i="6"/>
  <c r="R9" i="6"/>
  <c r="R10" i="6"/>
  <c r="R11" i="6"/>
  <c r="R13" i="6"/>
  <c r="R14" i="6"/>
  <c r="R15" i="6"/>
  <c r="R16" i="6"/>
  <c r="R17" i="6"/>
  <c r="R19" i="6"/>
  <c r="R21" i="6"/>
  <c r="R23" i="6"/>
  <c r="R25" i="6"/>
  <c r="R26" i="6"/>
  <c r="R28" i="6"/>
  <c r="R29" i="6"/>
  <c r="R31" i="6"/>
  <c r="R33" i="6"/>
  <c r="R35" i="6"/>
  <c r="R37" i="6"/>
  <c r="R38" i="6"/>
  <c r="R39" i="6"/>
  <c r="R41" i="6"/>
  <c r="R43" i="6"/>
  <c r="R45" i="6"/>
  <c r="R46" i="6"/>
  <c r="R48" i="6"/>
  <c r="R50" i="6"/>
  <c r="R51" i="6"/>
  <c r="R52" i="6"/>
  <c r="R53" i="6"/>
  <c r="R54" i="6"/>
  <c r="R56" i="6"/>
  <c r="R57" i="6"/>
  <c r="R58" i="6"/>
  <c r="R59" i="6"/>
  <c r="R60" i="6"/>
  <c r="R61" i="6"/>
  <c r="R63" i="6"/>
  <c r="R65" i="6"/>
  <c r="R66" i="6"/>
  <c r="R67" i="6"/>
  <c r="R68" i="6"/>
  <c r="R69" i="6"/>
  <c r="R71" i="6"/>
  <c r="R72" i="6"/>
  <c r="R76" i="6"/>
  <c r="R77" i="6"/>
  <c r="R78" i="6"/>
  <c r="R79" i="6"/>
  <c r="R80" i="6"/>
  <c r="R81" i="6"/>
  <c r="R82" i="6"/>
  <c r="R83" i="6"/>
  <c r="R84" i="6"/>
  <c r="R85" i="6"/>
  <c r="R87" i="6"/>
  <c r="R88" i="6"/>
  <c r="R89" i="6"/>
  <c r="R90" i="6"/>
  <c r="R92" i="6"/>
  <c r="R93" i="6"/>
  <c r="R95" i="6"/>
  <c r="R96" i="6"/>
  <c r="R97" i="6"/>
  <c r="R99" i="6"/>
  <c r="R100" i="6"/>
  <c r="R102" i="6"/>
  <c r="R104" i="6"/>
  <c r="R105" i="6"/>
  <c r="R106" i="6"/>
  <c r="R107" i="6"/>
  <c r="R109" i="6"/>
  <c r="R110" i="6"/>
  <c r="R111" i="6"/>
  <c r="R112" i="6"/>
  <c r="R113" i="6"/>
  <c r="R114" i="6"/>
  <c r="R115" i="6"/>
  <c r="R118" i="6"/>
  <c r="R120" i="6"/>
  <c r="R121" i="6"/>
  <c r="R122" i="6"/>
  <c r="R124" i="6"/>
  <c r="R126" i="6"/>
  <c r="R127" i="6"/>
  <c r="R128" i="6"/>
  <c r="R129" i="6"/>
  <c r="R130" i="6"/>
  <c r="R131" i="6"/>
  <c r="R132" i="6"/>
  <c r="R134" i="6"/>
  <c r="R136" i="6"/>
  <c r="R137" i="6"/>
  <c r="R139" i="6"/>
  <c r="R140" i="6"/>
  <c r="R142" i="6"/>
  <c r="R144" i="6"/>
  <c r="R146" i="6"/>
  <c r="R147" i="6"/>
  <c r="R148" i="6"/>
  <c r="R150" i="6"/>
  <c r="R151" i="6"/>
  <c r="R153" i="6"/>
  <c r="R155" i="6"/>
  <c r="R158" i="6"/>
  <c r="R160" i="6"/>
  <c r="R162" i="6"/>
  <c r="R164" i="6"/>
  <c r="R165" i="6"/>
  <c r="R168" i="6"/>
  <c r="R170" i="6"/>
  <c r="R171" i="6"/>
  <c r="R173" i="6"/>
  <c r="R175" i="6"/>
  <c r="R176" i="6"/>
  <c r="R177" i="6"/>
  <c r="R179" i="6"/>
  <c r="R181" i="6"/>
  <c r="R182" i="6"/>
  <c r="R183" i="6"/>
  <c r="R185" i="6"/>
  <c r="R188" i="6"/>
  <c r="R189" i="6"/>
  <c r="R191" i="6"/>
  <c r="R193" i="6"/>
  <c r="R194" i="6"/>
  <c r="R196" i="6"/>
  <c r="R197" i="6"/>
  <c r="R198" i="6"/>
  <c r="R199" i="6"/>
  <c r="R200" i="6"/>
  <c r="R201" i="6"/>
  <c r="R202" i="6"/>
  <c r="R203" i="6"/>
  <c r="R204" i="6"/>
  <c r="R205" i="6"/>
  <c r="R206" i="6"/>
  <c r="R208" i="6"/>
  <c r="R210" i="6"/>
  <c r="R212" i="6"/>
  <c r="R215" i="6"/>
  <c r="R216" i="6"/>
  <c r="R217" i="6"/>
  <c r="R218" i="6"/>
  <c r="R219" i="6"/>
  <c r="R221" i="6"/>
  <c r="R222" i="6"/>
  <c r="R223" i="6"/>
  <c r="R224" i="6"/>
  <c r="R225" i="6"/>
  <c r="R226" i="6"/>
  <c r="R227" i="6"/>
  <c r="R229" i="6"/>
  <c r="R230" i="6"/>
  <c r="R232" i="6"/>
  <c r="R233" i="6"/>
  <c r="R234" i="6"/>
  <c r="R235" i="6"/>
  <c r="R236" i="6"/>
  <c r="R237" i="6"/>
  <c r="R238" i="6"/>
  <c r="R239" i="6"/>
  <c r="R241" i="6"/>
  <c r="R242" i="6"/>
  <c r="R244" i="6"/>
  <c r="R245" i="6"/>
  <c r="R246" i="6"/>
  <c r="R247" i="6"/>
  <c r="R249" i="6"/>
  <c r="R250" i="6"/>
  <c r="R251" i="6"/>
  <c r="R252" i="6"/>
  <c r="R253" i="6"/>
  <c r="R254" i="6"/>
  <c r="R255" i="6"/>
  <c r="R257" i="6"/>
  <c r="R260" i="6"/>
  <c r="R262" i="6"/>
  <c r="R265" i="6"/>
  <c r="F2" i="8"/>
  <c r="V1882" i="31" l="1" a="1"/>
  <c r="V1882" i="31" s="1"/>
  <c r="W1882" i="31" s="1"/>
  <c r="V1855" i="31" a="1"/>
  <c r="V1855" i="31" s="1"/>
  <c r="W1855" i="31" s="1"/>
  <c r="V1819" i="31" a="1"/>
  <c r="V1819" i="31" s="1"/>
  <c r="W1819" i="31" s="1"/>
  <c r="V1783" i="31" a="1"/>
  <c r="V1783" i="31" s="1"/>
  <c r="W1783" i="31" s="1"/>
  <c r="V1747" i="31" a="1"/>
  <c r="V1747" i="31" s="1"/>
  <c r="W1747" i="31" s="1"/>
  <c r="V1792" i="31" a="1"/>
  <c r="V1792" i="31" s="1"/>
  <c r="W1792" i="31" s="1"/>
  <c r="V1756" i="31" a="1"/>
  <c r="V1756" i="31" s="1"/>
  <c r="W1756" i="31" s="1"/>
  <c r="V1272" i="31" a="1"/>
  <c r="V1272" i="31" s="1"/>
  <c r="W1272" i="31" s="1"/>
  <c r="V1711" i="31" a="1"/>
  <c r="V1711" i="31" s="1"/>
  <c r="W1711" i="31" s="1"/>
  <c r="V1684" i="31" a="1"/>
  <c r="V1684" i="31" s="1"/>
  <c r="W1684" i="31" s="1"/>
  <c r="V1639" i="31" a="1"/>
  <c r="V1639" i="31" s="1"/>
  <c r="W1639" i="31" s="1"/>
  <c r="V1612" i="31" a="1"/>
  <c r="V1612" i="31" s="1"/>
  <c r="W1612" i="31" s="1"/>
  <c r="V1567" i="31" a="1"/>
  <c r="V1567" i="31" s="1"/>
  <c r="W1567" i="31" s="1"/>
  <c r="V1540" i="31" a="1"/>
  <c r="V1540" i="31" s="1"/>
  <c r="W1540" i="31" s="1"/>
  <c r="V1495" i="31" a="1"/>
  <c r="V1495" i="31" s="1"/>
  <c r="W1495" i="31" s="1"/>
  <c r="V1450" i="31" a="1"/>
  <c r="V1450" i="31" s="1"/>
  <c r="W1450" i="31" s="1"/>
  <c r="V1414" i="31" a="1"/>
  <c r="V1414" i="31" s="1"/>
  <c r="W1414" i="31" s="1"/>
  <c r="V1387" i="31" a="1"/>
  <c r="V1387" i="31" s="1"/>
  <c r="W1387" i="31" s="1"/>
  <c r="V1360" i="31" a="1"/>
  <c r="V1360" i="31" s="1"/>
  <c r="W1360" i="31" s="1"/>
  <c r="V1342" i="31" a="1"/>
  <c r="V1342" i="31" s="1"/>
  <c r="W1342" i="31" s="1"/>
  <c r="V1315" i="31" a="1"/>
  <c r="V1315" i="31" s="1"/>
  <c r="W1315" i="31" s="1"/>
  <c r="V1288" i="31" a="1"/>
  <c r="V1288" i="31" s="1"/>
  <c r="W1288" i="31" s="1"/>
  <c r="V1056" i="31" a="1"/>
  <c r="V1056" i="31" s="1"/>
  <c r="W1056" i="31" s="1"/>
  <c r="V912" i="31" a="1"/>
  <c r="V912" i="31" s="1"/>
  <c r="W912" i="31" s="1"/>
  <c r="V768" i="31" a="1"/>
  <c r="V768" i="31" s="1"/>
  <c r="W768" i="31" s="1"/>
  <c r="V1234" i="31" a="1"/>
  <c r="V1234" i="31" s="1"/>
  <c r="W1234" i="31" s="1"/>
  <c r="V1207" i="31" a="1"/>
  <c r="V1207" i="31" s="1"/>
  <c r="W1207" i="31" s="1"/>
  <c r="V1180" i="31" a="1"/>
  <c r="V1180" i="31" s="1"/>
  <c r="W1180" i="31" s="1"/>
  <c r="V1108" i="31" a="1"/>
  <c r="V1108" i="31" s="1"/>
  <c r="W1108" i="31" s="1"/>
  <c r="V1090" i="31" a="1"/>
  <c r="V1090" i="31" s="1"/>
  <c r="W1090" i="31" s="1"/>
  <c r="V1063" i="31" a="1"/>
  <c r="V1063" i="31" s="1"/>
  <c r="W1063" i="31" s="1"/>
  <c r="V1018" i="31" a="1"/>
  <c r="V1018" i="31" s="1"/>
  <c r="W1018" i="31" s="1"/>
  <c r="V991" i="31" a="1"/>
  <c r="V991" i="31" s="1"/>
  <c r="W991" i="31" s="1"/>
  <c r="V955" i="31" a="1"/>
  <c r="V955" i="31" s="1"/>
  <c r="W955" i="31" s="1"/>
  <c r="V928" i="31" a="1"/>
  <c r="V928" i="31" s="1"/>
  <c r="W928" i="31" s="1"/>
  <c r="V910" i="31" a="1"/>
  <c r="V910" i="31" s="1"/>
  <c r="W910" i="31" s="1"/>
  <c r="V883" i="31" a="1"/>
  <c r="V883" i="31" s="1"/>
  <c r="W883" i="31" s="1"/>
  <c r="V856" i="31" a="1"/>
  <c r="V856" i="31" s="1"/>
  <c r="W856" i="31" s="1"/>
  <c r="V838" i="31" a="1"/>
  <c r="V838" i="31" s="1"/>
  <c r="W838" i="31" s="1"/>
  <c r="V811" i="31" a="1"/>
  <c r="V811" i="31" s="1"/>
  <c r="W811" i="31" s="1"/>
  <c r="V784" i="31" a="1"/>
  <c r="V784" i="31" s="1"/>
  <c r="W784" i="31" s="1"/>
  <c r="V766" i="31" a="1"/>
  <c r="V766" i="31" s="1"/>
  <c r="W766" i="31" s="1"/>
  <c r="V1765" i="31" a="1"/>
  <c r="V1765" i="31" s="1"/>
  <c r="W1765" i="31" s="1"/>
  <c r="V1513" i="31" a="1"/>
  <c r="V1513" i="31" s="1"/>
  <c r="W1513" i="31" s="1"/>
  <c r="V1369" i="31" a="1"/>
  <c r="V1369" i="31" s="1"/>
  <c r="W1369" i="31" s="1"/>
  <c r="V1297" i="31" a="1"/>
  <c r="V1297" i="31" s="1"/>
  <c r="W1297" i="31" s="1"/>
  <c r="V1189" i="31" a="1"/>
  <c r="V1189" i="31" s="1"/>
  <c r="W1189" i="31" s="1"/>
  <c r="V1117" i="31" a="1"/>
  <c r="V1117" i="31" s="1"/>
  <c r="W1117" i="31" s="1"/>
  <c r="V1081" i="31" a="1"/>
  <c r="V1081" i="31" s="1"/>
  <c r="W1081" i="31" s="1"/>
  <c r="V1009" i="31" a="1"/>
  <c r="V1009" i="31" s="1"/>
  <c r="W1009" i="31" s="1"/>
  <c r="V937" i="31" a="1"/>
  <c r="V937" i="31" s="1"/>
  <c r="W937" i="31" s="1"/>
  <c r="V1863" i="31" a="1"/>
  <c r="V1863" i="31" s="1"/>
  <c r="W1863" i="31" s="1"/>
  <c r="V1836" i="31" a="1"/>
  <c r="V1836" i="31" s="1"/>
  <c r="W1836" i="31" s="1"/>
  <c r="V1818" i="31" a="1"/>
  <c r="V1818" i="31" s="1"/>
  <c r="W1818" i="31" s="1"/>
  <c r="V1791" i="31" a="1"/>
  <c r="V1791" i="31" s="1"/>
  <c r="W1791" i="31" s="1"/>
  <c r="V1773" i="31" a="1"/>
  <c r="V1773" i="31" s="1"/>
  <c r="W1773" i="31" s="1"/>
  <c r="V1737" i="31" a="1"/>
  <c r="V1737" i="31" s="1"/>
  <c r="W1737" i="31" s="1"/>
  <c r="V1701" i="31" a="1"/>
  <c r="V1701" i="31" s="1"/>
  <c r="W1701" i="31" s="1"/>
  <c r="V1674" i="31" a="1"/>
  <c r="V1674" i="31" s="1"/>
  <c r="W1674" i="31" s="1"/>
  <c r="V1656" i="31" a="1"/>
  <c r="V1656" i="31" s="1"/>
  <c r="W1656" i="31" s="1"/>
  <c r="V1647" i="31" a="1"/>
  <c r="V1647" i="31" s="1"/>
  <c r="W1647" i="31" s="1"/>
  <c r="V1629" i="31" a="1"/>
  <c r="V1629" i="31" s="1"/>
  <c r="W1629" i="31" s="1"/>
  <c r="V1894" i="31" a="1"/>
  <c r="V1894" i="31" s="1"/>
  <c r="W1894" i="31" s="1"/>
  <c r="V1880" i="31" a="1"/>
  <c r="V1880" i="31" s="1"/>
  <c r="W1880" i="31" s="1"/>
  <c r="V1876" i="31" a="1"/>
  <c r="V1876" i="31" s="1"/>
  <c r="W1876" i="31" s="1"/>
  <c r="V1862" i="31" a="1"/>
  <c r="V1862" i="31" s="1"/>
  <c r="W1862" i="31" s="1"/>
  <c r="V1858" i="31" a="1"/>
  <c r="V1858" i="31" s="1"/>
  <c r="W1858" i="31" s="1"/>
  <c r="V1840" i="31" a="1"/>
  <c r="V1840" i="31" s="1"/>
  <c r="W1840" i="31" s="1"/>
  <c r="V1822" i="31" a="1"/>
  <c r="V1822" i="31" s="1"/>
  <c r="W1822" i="31" s="1"/>
  <c r="V1808" i="31" a="1"/>
  <c r="V1808" i="31" s="1"/>
  <c r="W1808" i="31" s="1"/>
  <c r="V1804" i="31" a="1"/>
  <c r="V1804" i="31" s="1"/>
  <c r="W1804" i="31" s="1"/>
  <c r="V1790" i="31" a="1"/>
  <c r="V1790" i="31" s="1"/>
  <c r="W1790" i="31" s="1"/>
  <c r="V1786" i="31" a="1"/>
  <c r="V1786" i="31" s="1"/>
  <c r="W1786" i="31" s="1"/>
  <c r="V1768" i="31" a="1"/>
  <c r="V1768" i="31" s="1"/>
  <c r="W1768" i="31" s="1"/>
  <c r="V1750" i="31" a="1"/>
  <c r="V1750" i="31" s="1"/>
  <c r="W1750" i="31" s="1"/>
  <c r="V1736" i="31" a="1"/>
  <c r="V1736" i="31" s="1"/>
  <c r="W1736" i="31" s="1"/>
  <c r="V1732" i="31" a="1"/>
  <c r="V1732" i="31" s="1"/>
  <c r="W1732" i="31" s="1"/>
  <c r="V1718" i="31" a="1"/>
  <c r="V1718" i="31" s="1"/>
  <c r="W1718" i="31" s="1"/>
  <c r="V1714" i="31" a="1"/>
  <c r="V1714" i="31" s="1"/>
  <c r="W1714" i="31" s="1"/>
  <c r="V1696" i="31" a="1"/>
  <c r="V1696" i="31" s="1"/>
  <c r="W1696" i="31" s="1"/>
  <c r="V1678" i="31" a="1"/>
  <c r="V1678" i="31" s="1"/>
  <c r="W1678" i="31" s="1"/>
  <c r="V1664" i="31" a="1"/>
  <c r="V1664" i="31" s="1"/>
  <c r="W1664" i="31" s="1"/>
  <c r="V1660" i="31" a="1"/>
  <c r="V1660" i="31" s="1"/>
  <c r="W1660" i="31" s="1"/>
  <c r="V1646" i="31" a="1"/>
  <c r="V1646" i="31" s="1"/>
  <c r="W1646" i="31" s="1"/>
  <c r="V1642" i="31" a="1"/>
  <c r="V1642" i="31" s="1"/>
  <c r="W1642" i="31" s="1"/>
  <c r="V1624" i="31" a="1"/>
  <c r="V1624" i="31" s="1"/>
  <c r="W1624" i="31" s="1"/>
  <c r="V1606" i="31" a="1"/>
  <c r="V1606" i="31" s="1"/>
  <c r="W1606" i="31" s="1"/>
  <c r="V1592" i="31" a="1"/>
  <c r="V1592" i="31" s="1"/>
  <c r="W1592" i="31" s="1"/>
  <c r="V1588" i="31" a="1"/>
  <c r="V1588" i="31" s="1"/>
  <c r="W1588" i="31" s="1"/>
  <c r="V1574" i="31" a="1"/>
  <c r="V1574" i="31" s="1"/>
  <c r="W1574" i="31" s="1"/>
  <c r="V1570" i="31" a="1"/>
  <c r="V1570" i="31" s="1"/>
  <c r="W1570" i="31" s="1"/>
  <c r="V1552" i="31" a="1"/>
  <c r="V1552" i="31" s="1"/>
  <c r="W1552" i="31" s="1"/>
  <c r="V1534" i="31" a="1"/>
  <c r="V1534" i="31" s="1"/>
  <c r="W1534" i="31" s="1"/>
  <c r="V1520" i="31" a="1"/>
  <c r="V1520" i="31" s="1"/>
  <c r="W1520" i="31" s="1"/>
  <c r="V1516" i="31" a="1"/>
  <c r="V1516" i="31" s="1"/>
  <c r="W1516" i="31" s="1"/>
  <c r="V1502" i="31" a="1"/>
  <c r="V1502" i="31" s="1"/>
  <c r="W1502" i="31" s="1"/>
  <c r="V1498" i="31" a="1"/>
  <c r="V1498" i="31" s="1"/>
  <c r="W1498" i="31" s="1"/>
  <c r="V1480" i="31" a="1"/>
  <c r="V1480" i="31" s="1"/>
  <c r="W1480" i="31" s="1"/>
  <c r="V1462" i="31" a="1"/>
  <c r="V1462" i="31" s="1"/>
  <c r="W1462" i="31" s="1"/>
  <c r="V1448" i="31" a="1"/>
  <c r="V1448" i="31" s="1"/>
  <c r="W1448" i="31" s="1"/>
  <c r="V1444" i="31" a="1"/>
  <c r="V1444" i="31" s="1"/>
  <c r="W1444" i="31" s="1"/>
  <c r="V1430" i="31" a="1"/>
  <c r="V1430" i="31" s="1"/>
  <c r="W1430" i="31" s="1"/>
  <c r="V1426" i="31" a="1"/>
  <c r="V1426" i="31" s="1"/>
  <c r="W1426" i="31" s="1"/>
  <c r="V1408" i="31" a="1"/>
  <c r="V1408" i="31" s="1"/>
  <c r="W1408" i="31" s="1"/>
  <c r="V1390" i="31" a="1"/>
  <c r="V1390" i="31" s="1"/>
  <c r="W1390" i="31" s="1"/>
  <c r="V1376" i="31" a="1"/>
  <c r="V1376" i="31" s="1"/>
  <c r="W1376" i="31" s="1"/>
  <c r="V1372" i="31" a="1"/>
  <c r="V1372" i="31" s="1"/>
  <c r="W1372" i="31" s="1"/>
  <c r="V1358" i="31" a="1"/>
  <c r="V1358" i="31" s="1"/>
  <c r="W1358" i="31" s="1"/>
  <c r="V1354" i="31" a="1"/>
  <c r="V1354" i="31" s="1"/>
  <c r="W1354" i="31" s="1"/>
  <c r="V1336" i="31" a="1"/>
  <c r="V1336" i="31" s="1"/>
  <c r="W1336" i="31" s="1"/>
  <c r="V1318" i="31" a="1"/>
  <c r="V1318" i="31" s="1"/>
  <c r="W1318" i="31" s="1"/>
  <c r="V1304" i="31" a="1"/>
  <c r="V1304" i="31" s="1"/>
  <c r="W1304" i="31" s="1"/>
  <c r="V1300" i="31" a="1"/>
  <c r="V1300" i="31" s="1"/>
  <c r="W1300" i="31" s="1"/>
  <c r="V1286" i="31" a="1"/>
  <c r="V1286" i="31" s="1"/>
  <c r="W1286" i="31" s="1"/>
  <c r="V1282" i="31" a="1"/>
  <c r="V1282" i="31" s="1"/>
  <c r="W1282" i="31" s="1"/>
  <c r="V1264" i="31" a="1"/>
  <c r="V1264" i="31" s="1"/>
  <c r="W1264" i="31" s="1"/>
  <c r="V1246" i="31" a="1"/>
  <c r="V1246" i="31" s="1"/>
  <c r="W1246" i="31" s="1"/>
  <c r="V1232" i="31" a="1"/>
  <c r="V1232" i="31" s="1"/>
  <c r="W1232" i="31" s="1"/>
  <c r="V1873" i="31" a="1"/>
  <c r="V1873" i="31" s="1"/>
  <c r="W1873" i="31" s="1"/>
  <c r="V1893" i="31" a="1"/>
  <c r="V1893" i="31" s="1"/>
  <c r="W1893" i="31" s="1"/>
  <c r="V1857" i="31" a="1"/>
  <c r="V1857" i="31" s="1"/>
  <c r="W1857" i="31" s="1"/>
  <c r="V1821" i="31" a="1"/>
  <c r="V1821" i="31" s="1"/>
  <c r="W1821" i="31" s="1"/>
  <c r="V1785" i="31" a="1"/>
  <c r="V1785" i="31" s="1"/>
  <c r="W1785" i="31" s="1"/>
  <c r="V1749" i="31" a="1"/>
  <c r="V1749" i="31" s="1"/>
  <c r="W1749" i="31" s="1"/>
  <c r="V1713" i="31" a="1"/>
  <c r="V1713" i="31" s="1"/>
  <c r="W1713" i="31" s="1"/>
  <c r="V1677" i="31" a="1"/>
  <c r="V1677" i="31" s="1"/>
  <c r="W1677" i="31" s="1"/>
  <c r="V1641" i="31" a="1"/>
  <c r="V1641" i="31" s="1"/>
  <c r="W1641" i="31" s="1"/>
  <c r="V1605" i="31" a="1"/>
  <c r="V1605" i="31" s="1"/>
  <c r="W1605" i="31" s="1"/>
  <c r="V1569" i="31" a="1"/>
  <c r="V1569" i="31" s="1"/>
  <c r="W1569" i="31" s="1"/>
  <c r="V1533" i="31" a="1"/>
  <c r="V1533" i="31" s="1"/>
  <c r="W1533" i="31" s="1"/>
  <c r="V1497" i="31" a="1"/>
  <c r="V1497" i="31" s="1"/>
  <c r="W1497" i="31" s="1"/>
  <c r="V1461" i="31" a="1"/>
  <c r="V1461" i="31" s="1"/>
  <c r="W1461" i="31" s="1"/>
  <c r="V1425" i="31" a="1"/>
  <c r="V1425" i="31" s="1"/>
  <c r="W1425" i="31" s="1"/>
  <c r="V1389" i="31" a="1"/>
  <c r="V1389" i="31" s="1"/>
  <c r="W1389" i="31" s="1"/>
  <c r="V1353" i="31" a="1"/>
  <c r="V1353" i="31" s="1"/>
  <c r="W1353" i="31" s="1"/>
  <c r="V1317" i="31" a="1"/>
  <c r="V1317" i="31" s="1"/>
  <c r="W1317" i="31" s="1"/>
  <c r="V1281" i="31" a="1"/>
  <c r="V1281" i="31" s="1"/>
  <c r="W1281" i="31" s="1"/>
  <c r="V1245" i="31" a="1"/>
  <c r="V1245" i="31" s="1"/>
  <c r="W1245" i="31" s="1"/>
  <c r="V1209" i="31" a="1"/>
  <c r="V1209" i="31" s="1"/>
  <c r="W1209" i="31" s="1"/>
  <c r="V1182" i="31" a="1"/>
  <c r="V1182" i="31" s="1"/>
  <c r="W1182" i="31" s="1"/>
  <c r="V1155" i="31" a="1"/>
  <c r="V1155" i="31" s="1"/>
  <c r="W1155" i="31" s="1"/>
  <c r="V1137" i="31" a="1"/>
  <c r="V1137" i="31" s="1"/>
  <c r="W1137" i="31" s="1"/>
  <c r="V1065" i="31" a="1"/>
  <c r="V1065" i="31" s="1"/>
  <c r="W1065" i="31" s="1"/>
  <c r="V1038" i="31" a="1"/>
  <c r="V1038" i="31" s="1"/>
  <c r="W1038" i="31" s="1"/>
  <c r="V1011" i="31" a="1"/>
  <c r="V1011" i="31" s="1"/>
  <c r="W1011" i="31" s="1"/>
  <c r="V993" i="31" a="1"/>
  <c r="V993" i="31" s="1"/>
  <c r="W993" i="31" s="1"/>
  <c r="V966" i="31" a="1"/>
  <c r="V966" i="31" s="1"/>
  <c r="W966" i="31" s="1"/>
  <c r="V921" i="31" a="1"/>
  <c r="V921" i="31" s="1"/>
  <c r="W921" i="31" s="1"/>
  <c r="V867" i="31" a="1"/>
  <c r="V867" i="31" s="1"/>
  <c r="W867" i="31" s="1"/>
  <c r="V849" i="31" a="1"/>
  <c r="V849" i="31" s="1"/>
  <c r="W849" i="31" s="1"/>
  <c r="V777" i="31" a="1"/>
  <c r="V777" i="31" s="1"/>
  <c r="W777" i="31" s="1"/>
  <c r="V723" i="31" a="1"/>
  <c r="V723" i="31" s="1"/>
  <c r="W723" i="31" s="1"/>
  <c r="V705" i="31" a="1"/>
  <c r="V705" i="31" s="1"/>
  <c r="W705" i="31" s="1"/>
  <c r="V660" i="31" a="1"/>
  <c r="V660" i="31" s="1"/>
  <c r="W660" i="31" s="1"/>
  <c r="V642" i="31" a="1"/>
  <c r="V642" i="31" s="1"/>
  <c r="W642" i="31" s="1"/>
  <c r="V624" i="31" a="1"/>
  <c r="V624" i="31" s="1"/>
  <c r="W624" i="31" s="1"/>
  <c r="V525" i="31" a="1"/>
  <c r="V525" i="31" s="1"/>
  <c r="W525" i="31" s="1"/>
  <c r="V471" i="31" a="1"/>
  <c r="V471" i="31" s="1"/>
  <c r="W471" i="31" s="1"/>
  <c r="V435" i="31" a="1"/>
  <c r="V435" i="31" s="1"/>
  <c r="W435" i="31" s="1"/>
  <c r="V417" i="31" a="1"/>
  <c r="V417" i="31" s="1"/>
  <c r="W417" i="31" s="1"/>
  <c r="V381" i="31" a="1"/>
  <c r="V381" i="31" s="1"/>
  <c r="W381" i="31" s="1"/>
  <c r="V327" i="31" a="1"/>
  <c r="V327" i="31" s="1"/>
  <c r="W327" i="31" s="1"/>
  <c r="V291" i="31" a="1"/>
  <c r="V291" i="31" s="1"/>
  <c r="W291" i="31" s="1"/>
  <c r="V273" i="31" a="1"/>
  <c r="V273" i="31" s="1"/>
  <c r="W273" i="31" s="1"/>
  <c r="V237" i="31" a="1"/>
  <c r="V237" i="31" s="1"/>
  <c r="W237" i="31" s="1"/>
  <c r="V183" i="31" a="1"/>
  <c r="V183" i="31" s="1"/>
  <c r="W183" i="31" s="1"/>
  <c r="V147" i="31" a="1"/>
  <c r="V147" i="31" s="1"/>
  <c r="W147" i="31" s="1"/>
  <c r="V129" i="31" a="1"/>
  <c r="V129" i="31" s="1"/>
  <c r="W129" i="31" s="1"/>
  <c r="V93" i="31" a="1"/>
  <c r="V93" i="31" s="1"/>
  <c r="W93" i="31" s="1"/>
  <c r="V39" i="31" a="1"/>
  <c r="V39" i="31" s="1"/>
  <c r="W39" i="31" s="1"/>
  <c r="V3" i="31" a="1"/>
  <c r="V3" i="31" s="1"/>
  <c r="W3" i="31" s="1"/>
  <c r="V721" i="31" a="1"/>
  <c r="V721" i="31" s="1"/>
  <c r="W721" i="31" s="1"/>
  <c r="V694" i="31" a="1"/>
  <c r="V694" i="31" s="1"/>
  <c r="W694" i="31" s="1"/>
  <c r="V676" i="31" a="1"/>
  <c r="V676" i="31" s="1"/>
  <c r="W676" i="31" s="1"/>
  <c r="V658" i="31" a="1"/>
  <c r="V658" i="31" s="1"/>
  <c r="W658" i="31" s="1"/>
  <c r="V640" i="31" a="1"/>
  <c r="V640" i="31" s="1"/>
  <c r="W640" i="31" s="1"/>
  <c r="V622" i="31" a="1"/>
  <c r="V622" i="31" s="1"/>
  <c r="W622" i="31" s="1"/>
  <c r="V604" i="31" a="1"/>
  <c r="V604" i="31" s="1"/>
  <c r="W604" i="31" s="1"/>
  <c r="V586" i="31" a="1"/>
  <c r="V586" i="31" s="1"/>
  <c r="W586" i="31" s="1"/>
  <c r="V568" i="31" a="1"/>
  <c r="V568" i="31" s="1"/>
  <c r="W568" i="31" s="1"/>
  <c r="V550" i="31" a="1"/>
  <c r="V550" i="31" s="1"/>
  <c r="W550" i="31" s="1"/>
  <c r="V514" i="31" a="1"/>
  <c r="V514" i="31" s="1"/>
  <c r="W514" i="31" s="1"/>
  <c r="V478" i="31" a="1"/>
  <c r="V478" i="31" s="1"/>
  <c r="W478" i="31" s="1"/>
  <c r="V451" i="31" a="1"/>
  <c r="V451" i="31" s="1"/>
  <c r="W451" i="31" s="1"/>
  <c r="V433" i="31" a="1"/>
  <c r="V433" i="31" s="1"/>
  <c r="W433" i="31" s="1"/>
  <c r="V415" i="31" a="1"/>
  <c r="V415" i="31" s="1"/>
  <c r="W415" i="31" s="1"/>
  <c r="V397" i="31" a="1"/>
  <c r="V397" i="31" s="1"/>
  <c r="W397" i="31" s="1"/>
  <c r="V379" i="31" a="1"/>
  <c r="V379" i="31" s="1"/>
  <c r="W379" i="31" s="1"/>
  <c r="V361" i="31" a="1"/>
  <c r="V361" i="31" s="1"/>
  <c r="W361" i="31" s="1"/>
  <c r="V343" i="31" a="1"/>
  <c r="V343" i="31" s="1"/>
  <c r="W343" i="31" s="1"/>
  <c r="V325" i="31" a="1"/>
  <c r="V325" i="31" s="1"/>
  <c r="W325" i="31" s="1"/>
  <c r="V307" i="31" a="1"/>
  <c r="V307" i="31" s="1"/>
  <c r="W307" i="31" s="1"/>
  <c r="V289" i="31" a="1"/>
  <c r="V289" i="31" s="1"/>
  <c r="W289" i="31" s="1"/>
  <c r="V262" i="31" a="1"/>
  <c r="V262" i="31" s="1"/>
  <c r="W262" i="31" s="1"/>
  <c r="V244" i="31" a="1"/>
  <c r="V244" i="31" s="1"/>
  <c r="W244" i="31" s="1"/>
  <c r="V226" i="31" a="1"/>
  <c r="V226" i="31" s="1"/>
  <c r="W226" i="31" s="1"/>
  <c r="V190" i="31" a="1"/>
  <c r="V190" i="31" s="1"/>
  <c r="W190" i="31" s="1"/>
  <c r="V154" i="31" a="1"/>
  <c r="V154" i="31" s="1"/>
  <c r="W154" i="31" s="1"/>
  <c r="V145" i="31" a="1"/>
  <c r="V145" i="31" s="1"/>
  <c r="W145" i="31" s="1"/>
  <c r="V127" i="31" a="1"/>
  <c r="V127" i="31" s="1"/>
  <c r="W127" i="31" s="1"/>
  <c r="V109" i="31" a="1"/>
  <c r="V109" i="31" s="1"/>
  <c r="W109" i="31" s="1"/>
  <c r="V91" i="31" a="1"/>
  <c r="V91" i="31" s="1"/>
  <c r="W91" i="31" s="1"/>
  <c r="V55" i="31" a="1"/>
  <c r="V55" i="31" s="1"/>
  <c r="W55" i="31" s="1"/>
  <c r="V19" i="31" a="1"/>
  <c r="V19" i="31" s="1"/>
  <c r="W19" i="31" s="1"/>
  <c r="V1602" i="31" a="1"/>
  <c r="V1602" i="31" s="1"/>
  <c r="W1602" i="31" s="1"/>
  <c r="V1575" i="31" a="1"/>
  <c r="V1575" i="31" s="1"/>
  <c r="W1575" i="31" s="1"/>
  <c r="V1557" i="31" a="1"/>
  <c r="V1557" i="31" s="1"/>
  <c r="W1557" i="31" s="1"/>
  <c r="V1539" i="31" a="1"/>
  <c r="V1539" i="31" s="1"/>
  <c r="W1539" i="31" s="1"/>
  <c r="V1503" i="31" a="1"/>
  <c r="V1503" i="31" s="1"/>
  <c r="W1503" i="31" s="1"/>
  <c r="V1467" i="31" a="1"/>
  <c r="V1467" i="31" s="1"/>
  <c r="W1467" i="31" s="1"/>
  <c r="V1431" i="31" a="1"/>
  <c r="V1431" i="31" s="1"/>
  <c r="W1431" i="31" s="1"/>
  <c r="V1422" i="31" a="1"/>
  <c r="V1422" i="31" s="1"/>
  <c r="W1422" i="31" s="1"/>
  <c r="V1404" i="31" a="1"/>
  <c r="V1404" i="31" s="1"/>
  <c r="W1404" i="31" s="1"/>
  <c r="V1386" i="31" a="1"/>
  <c r="V1386" i="31" s="1"/>
  <c r="W1386" i="31" s="1"/>
  <c r="V1368" i="31" a="1"/>
  <c r="V1368" i="31" s="1"/>
  <c r="W1368" i="31" s="1"/>
  <c r="V1323" i="31" a="1"/>
  <c r="V1323" i="31" s="1"/>
  <c r="W1323" i="31" s="1"/>
  <c r="V1269" i="31" a="1"/>
  <c r="V1269" i="31" s="1"/>
  <c r="W1269" i="31" s="1"/>
  <c r="V1242" i="31" a="1"/>
  <c r="V1242" i="31" s="1"/>
  <c r="W1242" i="31" s="1"/>
  <c r="V1224" i="31" a="1"/>
  <c r="V1224" i="31" s="1"/>
  <c r="W1224" i="31" s="1"/>
  <c r="V1197" i="31" a="1"/>
  <c r="V1197" i="31" s="1"/>
  <c r="W1197" i="31" s="1"/>
  <c r="V1170" i="31" a="1"/>
  <c r="V1170" i="31" s="1"/>
  <c r="W1170" i="31" s="1"/>
  <c r="V1152" i="31" a="1"/>
  <c r="V1152" i="31" s="1"/>
  <c r="W1152" i="31" s="1"/>
  <c r="V1134" i="31" a="1"/>
  <c r="V1134" i="31" s="1"/>
  <c r="W1134" i="31" s="1"/>
  <c r="V1116" i="31" a="1"/>
  <c r="V1116" i="31" s="1"/>
  <c r="W1116" i="31" s="1"/>
  <c r="V1107" i="31" a="1"/>
  <c r="V1107" i="31" s="1"/>
  <c r="W1107" i="31" s="1"/>
  <c r="V1089" i="31" a="1"/>
  <c r="V1089" i="31" s="1"/>
  <c r="W1089" i="31" s="1"/>
  <c r="V1071" i="31" a="1"/>
  <c r="V1071" i="31" s="1"/>
  <c r="W1071" i="31" s="1"/>
  <c r="V1053" i="31" a="1"/>
  <c r="V1053" i="31" s="1"/>
  <c r="W1053" i="31" s="1"/>
  <c r="V1035" i="31" a="1"/>
  <c r="V1035" i="31" s="1"/>
  <c r="W1035" i="31" s="1"/>
  <c r="V1017" i="31" a="1"/>
  <c r="V1017" i="31" s="1"/>
  <c r="W1017" i="31" s="1"/>
  <c r="V990" i="31" a="1"/>
  <c r="V990" i="31" s="1"/>
  <c r="W990" i="31" s="1"/>
  <c r="V972" i="31" a="1"/>
  <c r="V972" i="31" s="1"/>
  <c r="W972" i="31" s="1"/>
  <c r="V963" i="31" a="1"/>
  <c r="V963" i="31" s="1"/>
  <c r="W963" i="31" s="1"/>
  <c r="V945" i="31" a="1"/>
  <c r="V945" i="31" s="1"/>
  <c r="W945" i="31" s="1"/>
  <c r="V927" i="31" a="1"/>
  <c r="V927" i="31" s="1"/>
  <c r="W927" i="31" s="1"/>
  <c r="V909" i="31" a="1"/>
  <c r="V909" i="31" s="1"/>
  <c r="W909" i="31" s="1"/>
  <c r="V864" i="31" a="1"/>
  <c r="V864" i="31" s="1"/>
  <c r="W864" i="31" s="1"/>
  <c r="V819" i="31" a="1"/>
  <c r="V819" i="31" s="1"/>
  <c r="W819" i="31" s="1"/>
  <c r="V801" i="31" a="1"/>
  <c r="V801" i="31" s="1"/>
  <c r="W801" i="31" s="1"/>
  <c r="V783" i="31" a="1"/>
  <c r="V783" i="31" s="1"/>
  <c r="W783" i="31" s="1"/>
  <c r="V738" i="31" a="1"/>
  <c r="V738" i="31" s="1"/>
  <c r="W738" i="31" s="1"/>
  <c r="V711" i="31" a="1"/>
  <c r="V711" i="31" s="1"/>
  <c r="W711" i="31" s="1"/>
  <c r="V693" i="31" a="1"/>
  <c r="V693" i="31" s="1"/>
  <c r="W693" i="31" s="1"/>
  <c r="V675" i="31" a="1"/>
  <c r="V675" i="31" s="1"/>
  <c r="W675" i="31" s="1"/>
  <c r="V657" i="31" a="1"/>
  <c r="V657" i="31" s="1"/>
  <c r="W657" i="31" s="1"/>
  <c r="V639" i="31" a="1"/>
  <c r="V639" i="31" s="1"/>
  <c r="W639" i="31" s="1"/>
  <c r="V621" i="31" a="1"/>
  <c r="V621" i="31" s="1"/>
  <c r="W621" i="31" s="1"/>
  <c r="V603" i="31" a="1"/>
  <c r="V603" i="31" s="1"/>
  <c r="W603" i="31" s="1"/>
  <c r="V585" i="31" a="1"/>
  <c r="V585" i="31" s="1"/>
  <c r="W585" i="31" s="1"/>
  <c r="V567" i="31" a="1"/>
  <c r="V567" i="31" s="1"/>
  <c r="W567" i="31" s="1"/>
  <c r="V549" i="31" a="1"/>
  <c r="V549" i="31" s="1"/>
  <c r="W549" i="31" s="1"/>
  <c r="V540" i="31" a="1"/>
  <c r="V540" i="31" s="1"/>
  <c r="W540" i="31" s="1"/>
  <c r="V504" i="31" a="1"/>
  <c r="V504" i="31" s="1"/>
  <c r="W504" i="31" s="1"/>
  <c r="V477" i="31" a="1"/>
  <c r="V477" i="31" s="1"/>
  <c r="W477" i="31" s="1"/>
  <c r="V459" i="31" a="1"/>
  <c r="V459" i="31" s="1"/>
  <c r="W459" i="31" s="1"/>
  <c r="V414" i="31" a="1"/>
  <c r="V414" i="31" s="1"/>
  <c r="W414" i="31" s="1"/>
  <c r="V378" i="31" a="1"/>
  <c r="V378" i="31" s="1"/>
  <c r="W378" i="31" s="1"/>
  <c r="V342" i="31" a="1"/>
  <c r="V342" i="31" s="1"/>
  <c r="W342" i="31" s="1"/>
  <c r="V297" i="31" a="1"/>
  <c r="V297" i="31" s="1"/>
  <c r="W297" i="31" s="1"/>
  <c r="V279" i="31" a="1"/>
  <c r="V279" i="31" s="1"/>
  <c r="W279" i="31" s="1"/>
  <c r="V261" i="31" a="1"/>
  <c r="V261" i="31" s="1"/>
  <c r="W261" i="31" s="1"/>
  <c r="V243" i="31" a="1"/>
  <c r="V243" i="31" s="1"/>
  <c r="W243" i="31" s="1"/>
  <c r="V216" i="31" a="1"/>
  <c r="V216" i="31" s="1"/>
  <c r="W216" i="31" s="1"/>
  <c r="V189" i="31" a="1"/>
  <c r="V189" i="31" s="1"/>
  <c r="W189" i="31" s="1"/>
  <c r="V162" i="31" a="1"/>
  <c r="V162" i="31" s="1"/>
  <c r="W162" i="31" s="1"/>
  <c r="V144" i="31" a="1"/>
  <c r="V144" i="31" s="1"/>
  <c r="W144" i="31" s="1"/>
  <c r="V108" i="31" a="1"/>
  <c r="V108" i="31" s="1"/>
  <c r="W108" i="31" s="1"/>
  <c r="V90" i="31" a="1"/>
  <c r="V90" i="31" s="1"/>
  <c r="W90" i="31" s="1"/>
  <c r="V63" i="31" a="1"/>
  <c r="V63" i="31" s="1"/>
  <c r="W63" i="31" s="1"/>
  <c r="V54" i="31" a="1"/>
  <c r="V54" i="31" s="1"/>
  <c r="W54" i="31" s="1"/>
  <c r="V27" i="31" a="1"/>
  <c r="V27" i="31" s="1"/>
  <c r="W27" i="31" s="1"/>
  <c r="V9" i="31" a="1"/>
  <c r="V9" i="31" s="1"/>
  <c r="W9" i="31" s="1"/>
  <c r="V1219" i="31" a="1"/>
  <c r="V1219" i="31" s="1"/>
  <c r="W1219" i="31" s="1"/>
  <c r="V1214" i="31" a="1"/>
  <c r="V1214" i="31" s="1"/>
  <c r="W1214" i="31" s="1"/>
  <c r="V1196" i="31" a="1"/>
  <c r="V1196" i="31" s="1"/>
  <c r="W1196" i="31" s="1"/>
  <c r="V1178" i="31" a="1"/>
  <c r="V1178" i="31" s="1"/>
  <c r="W1178" i="31" s="1"/>
  <c r="V1165" i="31" a="1"/>
  <c r="V1165" i="31" s="1"/>
  <c r="W1165" i="31" s="1"/>
  <c r="V1160" i="31" a="1"/>
  <c r="V1160" i="31" s="1"/>
  <c r="W1160" i="31" s="1"/>
  <c r="V1147" i="31" a="1"/>
  <c r="V1147" i="31" s="1"/>
  <c r="W1147" i="31" s="1"/>
  <c r="V1142" i="31" a="1"/>
  <c r="V1142" i="31" s="1"/>
  <c r="W1142" i="31" s="1"/>
  <c r="V1124" i="31" a="1"/>
  <c r="V1124" i="31" s="1"/>
  <c r="W1124" i="31" s="1"/>
  <c r="V1106" i="31" a="1"/>
  <c r="V1106" i="31" s="1"/>
  <c r="W1106" i="31" s="1"/>
  <c r="V1088" i="31" a="1"/>
  <c r="V1088" i="31" s="1"/>
  <c r="W1088" i="31" s="1"/>
  <c r="V1070" i="31" a="1"/>
  <c r="V1070" i="31" s="1"/>
  <c r="W1070" i="31" s="1"/>
  <c r="V1057" i="31" a="1"/>
  <c r="V1057" i="31" s="1"/>
  <c r="W1057" i="31" s="1"/>
  <c r="V1052" i="31" a="1"/>
  <c r="V1052" i="31" s="1"/>
  <c r="W1052" i="31" s="1"/>
  <c r="V1039" i="31" a="1"/>
  <c r="V1039" i="31" s="1"/>
  <c r="W1039" i="31" s="1"/>
  <c r="V1034" i="31" a="1"/>
  <c r="V1034" i="31" s="1"/>
  <c r="W1034" i="31" s="1"/>
  <c r="V1016" i="31" a="1"/>
  <c r="V1016" i="31" s="1"/>
  <c r="W1016" i="31" s="1"/>
  <c r="V998" i="31" a="1"/>
  <c r="V998" i="31" s="1"/>
  <c r="W998" i="31" s="1"/>
  <c r="V985" i="31" a="1"/>
  <c r="V985" i="31" s="1"/>
  <c r="W985" i="31" s="1"/>
  <c r="V980" i="31" a="1"/>
  <c r="V980" i="31" s="1"/>
  <c r="W980" i="31" s="1"/>
  <c r="V967" i="31" a="1"/>
  <c r="V967" i="31" s="1"/>
  <c r="W967" i="31" s="1"/>
  <c r="V962" i="31" a="1"/>
  <c r="V962" i="31" s="1"/>
  <c r="W962" i="31" s="1"/>
  <c r="V944" i="31" a="1"/>
  <c r="V944" i="31" s="1"/>
  <c r="W944" i="31" s="1"/>
  <c r="V926" i="31" a="1"/>
  <c r="V926" i="31" s="1"/>
  <c r="W926" i="31" s="1"/>
  <c r="V913" i="31" a="1"/>
  <c r="V913" i="31" s="1"/>
  <c r="W913" i="31" s="1"/>
  <c r="V908" i="31" a="1"/>
  <c r="V908" i="31" s="1"/>
  <c r="W908" i="31" s="1"/>
  <c r="V895" i="31" a="1"/>
  <c r="V895" i="31" s="1"/>
  <c r="W895" i="31" s="1"/>
  <c r="V890" i="31" a="1"/>
  <c r="V890" i="31" s="1"/>
  <c r="W890" i="31" s="1"/>
  <c r="V872" i="31" a="1"/>
  <c r="V872" i="31" s="1"/>
  <c r="W872" i="31" s="1"/>
  <c r="V854" i="31" a="1"/>
  <c r="V854" i="31" s="1"/>
  <c r="W854" i="31" s="1"/>
  <c r="V841" i="31" a="1"/>
  <c r="V841" i="31" s="1"/>
  <c r="W841" i="31" s="1"/>
  <c r="V836" i="31" a="1"/>
  <c r="V836" i="31" s="1"/>
  <c r="W836" i="31" s="1"/>
  <c r="V823" i="31" a="1"/>
  <c r="V823" i="31" s="1"/>
  <c r="W823" i="31" s="1"/>
  <c r="V818" i="31" a="1"/>
  <c r="V818" i="31" s="1"/>
  <c r="W818" i="31" s="1"/>
  <c r="V800" i="31" a="1"/>
  <c r="V800" i="31" s="1"/>
  <c r="W800" i="31" s="1"/>
  <c r="V782" i="31" a="1"/>
  <c r="V782" i="31" s="1"/>
  <c r="W782" i="31" s="1"/>
  <c r="V769" i="31" a="1"/>
  <c r="V769" i="31" s="1"/>
  <c r="W769" i="31" s="1"/>
  <c r="V764" i="31" a="1"/>
  <c r="V764" i="31" s="1"/>
  <c r="W764" i="31" s="1"/>
  <c r="V751" i="31" a="1"/>
  <c r="V751" i="31" s="1"/>
  <c r="W751" i="31" s="1"/>
  <c r="V746" i="31" a="1"/>
  <c r="V746" i="31" s="1"/>
  <c r="W746" i="31" s="1"/>
  <c r="V728" i="31" a="1"/>
  <c r="V728" i="31" s="1"/>
  <c r="W728" i="31" s="1"/>
  <c r="V710" i="31" a="1"/>
  <c r="V710" i="31" s="1"/>
  <c r="W710" i="31" s="1"/>
  <c r="V697" i="31" a="1"/>
  <c r="V697" i="31" s="1"/>
  <c r="W697" i="31" s="1"/>
  <c r="V692" i="31" a="1"/>
  <c r="V692" i="31" s="1"/>
  <c r="W692" i="31" s="1"/>
  <c r="V679" i="31" a="1"/>
  <c r="V679" i="31" s="1"/>
  <c r="W679" i="31" s="1"/>
  <c r="V674" i="31" a="1"/>
  <c r="V674" i="31" s="1"/>
  <c r="W674" i="31" s="1"/>
  <c r="V656" i="31" a="1"/>
  <c r="V656" i="31" s="1"/>
  <c r="W656" i="31" s="1"/>
  <c r="V638" i="31" a="1"/>
  <c r="V638" i="31" s="1"/>
  <c r="W638" i="31" s="1"/>
  <c r="V625" i="31" a="1"/>
  <c r="V625" i="31" s="1"/>
  <c r="W625" i="31" s="1"/>
  <c r="V620" i="31" a="1"/>
  <c r="V620" i="31" s="1"/>
  <c r="W620" i="31" s="1"/>
  <c r="V607" i="31" a="1"/>
  <c r="V607" i="31" s="1"/>
  <c r="W607" i="31" s="1"/>
  <c r="V602" i="31" a="1"/>
  <c r="V602" i="31" s="1"/>
  <c r="W602" i="31" s="1"/>
  <c r="V584" i="31" a="1"/>
  <c r="V584" i="31" s="1"/>
  <c r="W584" i="31" s="1"/>
  <c r="V566" i="31" a="1"/>
  <c r="V566" i="31" s="1"/>
  <c r="W566" i="31" s="1"/>
  <c r="V553" i="31" a="1"/>
  <c r="V553" i="31" s="1"/>
  <c r="W553" i="31" s="1"/>
  <c r="V548" i="31" a="1"/>
  <c r="V548" i="31" s="1"/>
  <c r="W548" i="31" s="1"/>
  <c r="V535" i="31" a="1"/>
  <c r="V535" i="31" s="1"/>
  <c r="W535" i="31" s="1"/>
  <c r="V530" i="31" a="1"/>
  <c r="V530" i="31" s="1"/>
  <c r="W530" i="31" s="1"/>
  <c r="V512" i="31" a="1"/>
  <c r="V512" i="31" s="1"/>
  <c r="W512" i="31" s="1"/>
  <c r="V494" i="31" a="1"/>
  <c r="V494" i="31" s="1"/>
  <c r="W494" i="31" s="1"/>
  <c r="V481" i="31" a="1"/>
  <c r="V481" i="31" s="1"/>
  <c r="W481" i="31" s="1"/>
  <c r="V476" i="31" a="1"/>
  <c r="V476" i="31" s="1"/>
  <c r="W476" i="31" s="1"/>
  <c r="V463" i="31" a="1"/>
  <c r="V463" i="31" s="1"/>
  <c r="W463" i="31" s="1"/>
  <c r="V458" i="31" a="1"/>
  <c r="V458" i="31" s="1"/>
  <c r="W458" i="31" s="1"/>
  <c r="V440" i="31" a="1"/>
  <c r="V440" i="31" s="1"/>
  <c r="W440" i="31" s="1"/>
  <c r="V422" i="31" a="1"/>
  <c r="V422" i="31" s="1"/>
  <c r="W422" i="31" s="1"/>
  <c r="V409" i="31" a="1"/>
  <c r="V409" i="31" s="1"/>
  <c r="W409" i="31" s="1"/>
  <c r="V404" i="31" a="1"/>
  <c r="V404" i="31" s="1"/>
  <c r="W404" i="31" s="1"/>
  <c r="V391" i="31" a="1"/>
  <c r="V391" i="31" s="1"/>
  <c r="W391" i="31" s="1"/>
  <c r="V386" i="31" a="1"/>
  <c r="V386" i="31" s="1"/>
  <c r="W386" i="31" s="1"/>
  <c r="V368" i="31" a="1"/>
  <c r="V368" i="31" s="1"/>
  <c r="W368" i="31" s="1"/>
  <c r="V350" i="31" a="1"/>
  <c r="V350" i="31" s="1"/>
  <c r="W350" i="31" s="1"/>
  <c r="V337" i="31" a="1"/>
  <c r="V337" i="31" s="1"/>
  <c r="W337" i="31" s="1"/>
  <c r="V332" i="31" a="1"/>
  <c r="V332" i="31" s="1"/>
  <c r="W332" i="31" s="1"/>
  <c r="V314" i="31" a="1"/>
  <c r="V314" i="31" s="1"/>
  <c r="W314" i="31" s="1"/>
  <c r="V301" i="31" a="1"/>
  <c r="V301" i="31" s="1"/>
  <c r="W301" i="31" s="1"/>
  <c r="V296" i="31" a="1"/>
  <c r="V296" i="31" s="1"/>
  <c r="W296" i="31" s="1"/>
  <c r="V283" i="31" a="1"/>
  <c r="V283" i="31" s="1"/>
  <c r="W283" i="31" s="1"/>
  <c r="V278" i="31" a="1"/>
  <c r="V278" i="31" s="1"/>
  <c r="W278" i="31" s="1"/>
  <c r="V260" i="31" a="1"/>
  <c r="V260" i="31" s="1"/>
  <c r="W260" i="31" s="1"/>
  <c r="V242" i="31" a="1"/>
  <c r="V242" i="31" s="1"/>
  <c r="W242" i="31" s="1"/>
  <c r="V229" i="31" a="1"/>
  <c r="V229" i="31" s="1"/>
  <c r="W229" i="31" s="1"/>
  <c r="V224" i="31" a="1"/>
  <c r="V224" i="31" s="1"/>
  <c r="W224" i="31" s="1"/>
  <c r="V211" i="31" a="1"/>
  <c r="V211" i="31" s="1"/>
  <c r="W211" i="31" s="1"/>
  <c r="V206" i="31" a="1"/>
  <c r="V206" i="31" s="1"/>
  <c r="W206" i="31" s="1"/>
  <c r="V188" i="31" a="1"/>
  <c r="V188" i="31" s="1"/>
  <c r="W188" i="31" s="1"/>
  <c r="V170" i="31" a="1"/>
  <c r="V170" i="31" s="1"/>
  <c r="W170" i="31" s="1"/>
  <c r="V157" i="31" a="1"/>
  <c r="V157" i="31" s="1"/>
  <c r="W157" i="31" s="1"/>
  <c r="V152" i="31" a="1"/>
  <c r="V152" i="31" s="1"/>
  <c r="W152" i="31" s="1"/>
  <c r="V139" i="31" a="1"/>
  <c r="V139" i="31" s="1"/>
  <c r="W139" i="31" s="1"/>
  <c r="V134" i="31" a="1"/>
  <c r="V134" i="31" s="1"/>
  <c r="W134" i="31" s="1"/>
  <c r="V116" i="31" a="1"/>
  <c r="V116" i="31" s="1"/>
  <c r="W116" i="31" s="1"/>
  <c r="V98" i="31" a="1"/>
  <c r="V98" i="31" s="1"/>
  <c r="W98" i="31" s="1"/>
  <c r="V85" i="31" a="1"/>
  <c r="V85" i="31" s="1"/>
  <c r="W85" i="31" s="1"/>
  <c r="V80" i="31" a="1"/>
  <c r="V80" i="31" s="1"/>
  <c r="W80" i="31" s="1"/>
  <c r="V67" i="31" a="1"/>
  <c r="V67" i="31" s="1"/>
  <c r="W67" i="31" s="1"/>
  <c r="V62" i="31" a="1"/>
  <c r="V62" i="31" s="1"/>
  <c r="W62" i="31" s="1"/>
  <c r="V44" i="31" a="1"/>
  <c r="V44" i="31" s="1"/>
  <c r="W44" i="31" s="1"/>
  <c r="V26" i="31" a="1"/>
  <c r="V26" i="31" s="1"/>
  <c r="W26" i="31" s="1"/>
  <c r="V13" i="31" a="1"/>
  <c r="V13" i="31" s="1"/>
  <c r="W13" i="31" s="1"/>
  <c r="V8" i="31" a="1"/>
  <c r="V8" i="31" s="1"/>
  <c r="W8" i="31" s="1"/>
  <c r="V1930" i="31" a="1"/>
  <c r="V1930" i="31" s="1"/>
  <c r="W1930" i="31" s="1"/>
  <c r="V1929" i="31" a="1"/>
  <c r="V1929" i="31" s="1"/>
  <c r="W1929" i="31" s="1"/>
  <c r="AM167" i="16"/>
  <c r="AY167" i="16"/>
  <c r="AY168" i="16"/>
  <c r="AM166" i="16"/>
  <c r="AY166" i="16"/>
  <c r="AM168" i="16"/>
  <c r="AM152" i="16"/>
  <c r="AY152" i="16"/>
  <c r="V1884" i="31" a="1"/>
  <c r="V1884" i="31" s="1"/>
  <c r="W1884" i="31" s="1"/>
  <c r="V1875" i="31" a="1"/>
  <c r="V1875" i="31" s="1"/>
  <c r="W1875" i="31" s="1"/>
  <c r="V1848" i="31" a="1"/>
  <c r="V1848" i="31" s="1"/>
  <c r="W1848" i="31" s="1"/>
  <c r="V1839" i="31" a="1"/>
  <c r="V1839" i="31" s="1"/>
  <c r="W1839" i="31" s="1"/>
  <c r="V1812" i="31" a="1"/>
  <c r="V1812" i="31" s="1"/>
  <c r="W1812" i="31" s="1"/>
  <c r="V1803" i="31" a="1"/>
  <c r="V1803" i="31" s="1"/>
  <c r="W1803" i="31" s="1"/>
  <c r="V1776" i="31" a="1"/>
  <c r="V1776" i="31" s="1"/>
  <c r="W1776" i="31" s="1"/>
  <c r="V1767" i="31" a="1"/>
  <c r="V1767" i="31" s="1"/>
  <c r="W1767" i="31" s="1"/>
  <c r="V1740" i="31" a="1"/>
  <c r="V1740" i="31" s="1"/>
  <c r="W1740" i="31" s="1"/>
  <c r="V1731" i="31" a="1"/>
  <c r="V1731" i="31" s="1"/>
  <c r="W1731" i="31" s="1"/>
  <c r="V1704" i="31" a="1"/>
  <c r="V1704" i="31" s="1"/>
  <c r="W1704" i="31" s="1"/>
  <c r="V1695" i="31" a="1"/>
  <c r="V1695" i="31" s="1"/>
  <c r="W1695" i="31" s="1"/>
  <c r="V1668" i="31" a="1"/>
  <c r="V1668" i="31" s="1"/>
  <c r="W1668" i="31" s="1"/>
  <c r="V1659" i="31" a="1"/>
  <c r="V1659" i="31" s="1"/>
  <c r="W1659" i="31" s="1"/>
  <c r="V1632" i="31" a="1"/>
  <c r="V1632" i="31" s="1"/>
  <c r="W1632" i="31" s="1"/>
  <c r="V1623" i="31" a="1"/>
  <c r="V1623" i="31" s="1"/>
  <c r="W1623" i="31" s="1"/>
  <c r="V1596" i="31" a="1"/>
  <c r="V1596" i="31" s="1"/>
  <c r="W1596" i="31" s="1"/>
  <c r="V1587" i="31" a="1"/>
  <c r="V1587" i="31" s="1"/>
  <c r="W1587" i="31" s="1"/>
  <c r="V1560" i="31" a="1"/>
  <c r="V1560" i="31" s="1"/>
  <c r="W1560" i="31" s="1"/>
  <c r="V1551" i="31" a="1"/>
  <c r="V1551" i="31" s="1"/>
  <c r="W1551" i="31" s="1"/>
  <c r="V1524" i="31" a="1"/>
  <c r="V1524" i="31" s="1"/>
  <c r="W1524" i="31" s="1"/>
  <c r="V1515" i="31" a="1"/>
  <c r="V1515" i="31" s="1"/>
  <c r="W1515" i="31" s="1"/>
  <c r="V1488" i="31" a="1"/>
  <c r="V1488" i="31" s="1"/>
  <c r="W1488" i="31" s="1"/>
  <c r="V1479" i="31" a="1"/>
  <c r="V1479" i="31" s="1"/>
  <c r="W1479" i="31" s="1"/>
  <c r="V1452" i="31" a="1"/>
  <c r="V1452" i="31" s="1"/>
  <c r="W1452" i="31" s="1"/>
  <c r="V1443" i="31" a="1"/>
  <c r="V1443" i="31" s="1"/>
  <c r="W1443" i="31" s="1"/>
  <c r="V1416" i="31" a="1"/>
  <c r="V1416" i="31" s="1"/>
  <c r="W1416" i="31" s="1"/>
  <c r="V1407" i="31" a="1"/>
  <c r="V1407" i="31" s="1"/>
  <c r="W1407" i="31" s="1"/>
  <c r="V1380" i="31" a="1"/>
  <c r="V1380" i="31" s="1"/>
  <c r="W1380" i="31" s="1"/>
  <c r="V1371" i="31" a="1"/>
  <c r="V1371" i="31" s="1"/>
  <c r="W1371" i="31" s="1"/>
  <c r="V1344" i="31" a="1"/>
  <c r="V1344" i="31" s="1"/>
  <c r="W1344" i="31" s="1"/>
  <c r="V1335" i="31" a="1"/>
  <c r="V1335" i="31" s="1"/>
  <c r="W1335" i="31" s="1"/>
  <c r="V1308" i="31" a="1"/>
  <c r="V1308" i="31" s="1"/>
  <c r="W1308" i="31" s="1"/>
  <c r="V1299" i="31" a="1"/>
  <c r="V1299" i="31" s="1"/>
  <c r="W1299" i="31" s="1"/>
  <c r="V1263" i="31" a="1"/>
  <c r="V1263" i="31" s="1"/>
  <c r="W1263" i="31" s="1"/>
  <c r="V1236" i="31" a="1"/>
  <c r="V1236" i="31" s="1"/>
  <c r="W1236" i="31" s="1"/>
  <c r="V1227" i="31" a="1"/>
  <c r="V1227" i="31" s="1"/>
  <c r="W1227" i="31" s="1"/>
  <c r="V1200" i="31" a="1"/>
  <c r="V1200" i="31" s="1"/>
  <c r="W1200" i="31" s="1"/>
  <c r="V1191" i="31" a="1"/>
  <c r="V1191" i="31" s="1"/>
  <c r="W1191" i="31" s="1"/>
  <c r="V1173" i="31" a="1"/>
  <c r="V1173" i="31" s="1"/>
  <c r="W1173" i="31" s="1"/>
  <c r="V1164" i="31" a="1"/>
  <c r="V1164" i="31" s="1"/>
  <c r="W1164" i="31" s="1"/>
  <c r="V1128" i="31" a="1"/>
  <c r="V1128" i="31" s="1"/>
  <c r="W1128" i="31" s="1"/>
  <c r="V1119" i="31" a="1"/>
  <c r="V1119" i="31" s="1"/>
  <c r="W1119" i="31" s="1"/>
  <c r="V1101" i="31" a="1"/>
  <c r="V1101" i="31" s="1"/>
  <c r="W1101" i="31" s="1"/>
  <c r="V1092" i="31" a="1"/>
  <c r="V1092" i="31" s="1"/>
  <c r="W1092" i="31" s="1"/>
  <c r="V1083" i="31" a="1"/>
  <c r="V1083" i="31" s="1"/>
  <c r="W1083" i="31" s="1"/>
  <c r="V1047" i="31" a="1"/>
  <c r="V1047" i="31" s="1"/>
  <c r="W1047" i="31" s="1"/>
  <c r="V1029" i="31" a="1"/>
  <c r="V1029" i="31" s="1"/>
  <c r="W1029" i="31" s="1"/>
  <c r="V1020" i="31" a="1"/>
  <c r="V1020" i="31" s="1"/>
  <c r="W1020" i="31" s="1"/>
  <c r="V984" i="31" a="1"/>
  <c r="V984" i="31" s="1"/>
  <c r="W984" i="31" s="1"/>
  <c r="V975" i="31" a="1"/>
  <c r="V975" i="31" s="1"/>
  <c r="W975" i="31" s="1"/>
  <c r="V957" i="31" a="1"/>
  <c r="V957" i="31" s="1"/>
  <c r="W957" i="31" s="1"/>
  <c r="V948" i="31" a="1"/>
  <c r="V948" i="31" s="1"/>
  <c r="W948" i="31" s="1"/>
  <c r="V939" i="31" a="1"/>
  <c r="V939" i="31" s="1"/>
  <c r="W939" i="31" s="1"/>
  <c r="V903" i="31" a="1"/>
  <c r="V903" i="31" s="1"/>
  <c r="W903" i="31" s="1"/>
  <c r="V885" i="31" a="1"/>
  <c r="V885" i="31" s="1"/>
  <c r="W885" i="31" s="1"/>
  <c r="V876" i="31" a="1"/>
  <c r="V876" i="31" s="1"/>
  <c r="W876" i="31" s="1"/>
  <c r="V840" i="31" a="1"/>
  <c r="V840" i="31" s="1"/>
  <c r="W840" i="31" s="1"/>
  <c r="V831" i="31" a="1"/>
  <c r="V831" i="31" s="1"/>
  <c r="W831" i="31" s="1"/>
  <c r="V813" i="31" a="1"/>
  <c r="V813" i="31" s="1"/>
  <c r="W813" i="31" s="1"/>
  <c r="V804" i="31" a="1"/>
  <c r="V804" i="31" s="1"/>
  <c r="W804" i="31" s="1"/>
  <c r="V795" i="31" a="1"/>
  <c r="V795" i="31" s="1"/>
  <c r="W795" i="31" s="1"/>
  <c r="V759" i="31" a="1"/>
  <c r="V759" i="31" s="1"/>
  <c r="W759" i="31" s="1"/>
  <c r="V741" i="31" a="1"/>
  <c r="V741" i="31" s="1"/>
  <c r="W741" i="31" s="1"/>
  <c r="V732" i="31" a="1"/>
  <c r="V732" i="31" s="1"/>
  <c r="W732" i="31" s="1"/>
  <c r="V696" i="31" a="1"/>
  <c r="V696" i="31" s="1"/>
  <c r="W696" i="31" s="1"/>
  <c r="V687" i="31" a="1"/>
  <c r="V687" i="31" s="1"/>
  <c r="W687" i="31" s="1"/>
  <c r="V669" i="31" a="1"/>
  <c r="V669" i="31" s="1"/>
  <c r="W669" i="31" s="1"/>
  <c r="V651" i="31" a="1"/>
  <c r="V651" i="31" s="1"/>
  <c r="W651" i="31" s="1"/>
  <c r="V633" i="31" a="1"/>
  <c r="V633" i="31" s="1"/>
  <c r="W633" i="31" s="1"/>
  <c r="V615" i="31" a="1"/>
  <c r="V615" i="31" s="1"/>
  <c r="W615" i="31" s="1"/>
  <c r="V597" i="31" a="1"/>
  <c r="V597" i="31" s="1"/>
  <c r="W597" i="31" s="1"/>
  <c r="V588" i="31" a="1"/>
  <c r="V588" i="31" s="1"/>
  <c r="W588" i="31" s="1"/>
  <c r="V579" i="31" a="1"/>
  <c r="V579" i="31" s="1"/>
  <c r="W579" i="31" s="1"/>
  <c r="V561" i="31" a="1"/>
  <c r="V561" i="31" s="1"/>
  <c r="W561" i="31" s="1"/>
  <c r="V552" i="31" a="1"/>
  <c r="V552" i="31" s="1"/>
  <c r="W552" i="31" s="1"/>
  <c r="V543" i="31" a="1"/>
  <c r="V543" i="31" s="1"/>
  <c r="W543" i="31" s="1"/>
  <c r="V516" i="31" a="1"/>
  <c r="V516" i="31" s="1"/>
  <c r="W516" i="31" s="1"/>
  <c r="V507" i="31" a="1"/>
  <c r="V507" i="31" s="1"/>
  <c r="W507" i="31" s="1"/>
  <c r="V489" i="31" a="1"/>
  <c r="V489" i="31" s="1"/>
  <c r="W489" i="31" s="1"/>
  <c r="V480" i="31" a="1"/>
  <c r="V480" i="31" s="1"/>
  <c r="W480" i="31" s="1"/>
  <c r="V453" i="31" a="1"/>
  <c r="V453" i="31" s="1"/>
  <c r="W453" i="31" s="1"/>
  <c r="V444" i="31" a="1"/>
  <c r="V444" i="31" s="1"/>
  <c r="W444" i="31" s="1"/>
  <c r="V408" i="31" a="1"/>
  <c r="V408" i="31" s="1"/>
  <c r="W408" i="31" s="1"/>
  <c r="V399" i="31" a="1"/>
  <c r="V399" i="31" s="1"/>
  <c r="W399" i="31" s="1"/>
  <c r="V372" i="31" a="1"/>
  <c r="V372" i="31" s="1"/>
  <c r="W372" i="31" s="1"/>
  <c r="V363" i="31" a="1"/>
  <c r="V363" i="31" s="1"/>
  <c r="W363" i="31" s="1"/>
  <c r="V345" i="31" a="1"/>
  <c r="V345" i="31" s="1"/>
  <c r="W345" i="31" s="1"/>
  <c r="V336" i="31" a="1"/>
  <c r="V336" i="31" s="1"/>
  <c r="W336" i="31" s="1"/>
  <c r="V309" i="31" a="1"/>
  <c r="V309" i="31" s="1"/>
  <c r="W309" i="31" s="1"/>
  <c r="V300" i="31" a="1"/>
  <c r="V300" i="31" s="1"/>
  <c r="W300" i="31" s="1"/>
  <c r="V264" i="31" a="1"/>
  <c r="V264" i="31" s="1"/>
  <c r="W264" i="31" s="1"/>
  <c r="V255" i="31" a="1"/>
  <c r="V255" i="31" s="1"/>
  <c r="W255" i="31" s="1"/>
  <c r="V228" i="31" a="1"/>
  <c r="V228" i="31" s="1"/>
  <c r="W228" i="31" s="1"/>
  <c r="V219" i="31" a="1"/>
  <c r="V219" i="31" s="1"/>
  <c r="W219" i="31" s="1"/>
  <c r="V201" i="31" a="1"/>
  <c r="V201" i="31" s="1"/>
  <c r="W201" i="31" s="1"/>
  <c r="V192" i="31" a="1"/>
  <c r="V192" i="31" s="1"/>
  <c r="W192" i="31" s="1"/>
  <c r="V165" i="31" a="1"/>
  <c r="V165" i="31" s="1"/>
  <c r="W165" i="31" s="1"/>
  <c r="V156" i="31" a="1"/>
  <c r="V156" i="31" s="1"/>
  <c r="W156" i="31" s="1"/>
  <c r="V120" i="31" a="1"/>
  <c r="V120" i="31" s="1"/>
  <c r="W120" i="31" s="1"/>
  <c r="V111" i="31" a="1"/>
  <c r="V111" i="31" s="1"/>
  <c r="W111" i="31" s="1"/>
  <c r="V84" i="31" a="1"/>
  <c r="V84" i="31" s="1"/>
  <c r="W84" i="31" s="1"/>
  <c r="V75" i="31" a="1"/>
  <c r="V75" i="31" s="1"/>
  <c r="W75" i="31" s="1"/>
  <c r="V57" i="31" a="1"/>
  <c r="V57" i="31" s="1"/>
  <c r="W57" i="31" s="1"/>
  <c r="V48" i="31" a="1"/>
  <c r="V48" i="31" s="1"/>
  <c r="W48" i="31" s="1"/>
  <c r="V21" i="31" a="1"/>
  <c r="V21" i="31" s="1"/>
  <c r="W21" i="31" s="1"/>
  <c r="V12" i="31" a="1"/>
  <c r="V12" i="31" s="1"/>
  <c r="W12" i="31" s="1"/>
  <c r="AY139" i="16"/>
  <c r="V1830" i="31" a="1"/>
  <c r="V1830" i="31" s="1"/>
  <c r="W1830" i="31" s="1"/>
  <c r="V1326" i="31" a="1"/>
  <c r="V1326" i="31" s="1"/>
  <c r="W1326" i="31" s="1"/>
  <c r="V1290" i="31" a="1"/>
  <c r="V1290" i="31" s="1"/>
  <c r="W1290" i="31" s="1"/>
  <c r="V1254" i="31" a="1"/>
  <c r="V1254" i="31" s="1"/>
  <c r="W1254" i="31" s="1"/>
  <c r="V1146" i="31" a="1"/>
  <c r="V1146" i="31" s="1"/>
  <c r="W1146" i="31" s="1"/>
  <c r="V858" i="31" a="1"/>
  <c r="V858" i="31" s="1"/>
  <c r="W858" i="31" s="1"/>
  <c r="V822" i="31" a="1"/>
  <c r="V822" i="31" s="1"/>
  <c r="W822" i="31" s="1"/>
  <c r="V210" i="31" a="1"/>
  <c r="V210" i="31" s="1"/>
  <c r="W210" i="31" s="1"/>
  <c r="V66" i="31" a="1"/>
  <c r="V66" i="31" s="1"/>
  <c r="W66" i="31" s="1"/>
  <c r="V1909" i="31" a="1"/>
  <c r="V1909" i="31" s="1"/>
  <c r="W1909" i="31" s="1"/>
  <c r="V1900" i="31" a="1"/>
  <c r="V1900" i="31" s="1"/>
  <c r="W1900" i="31" s="1"/>
  <c r="V1891" i="31" a="1"/>
  <c r="V1891" i="31" s="1"/>
  <c r="W1891" i="31" s="1"/>
  <c r="V1864" i="31" a="1"/>
  <c r="V1864" i="31" s="1"/>
  <c r="W1864" i="31" s="1"/>
  <c r="V1846" i="31" a="1"/>
  <c r="V1846" i="31" s="1"/>
  <c r="W1846" i="31" s="1"/>
  <c r="V1837" i="31" a="1"/>
  <c r="V1837" i="31" s="1"/>
  <c r="W1837" i="31" s="1"/>
  <c r="V1828" i="31" a="1"/>
  <c r="V1828" i="31" s="1"/>
  <c r="W1828" i="31" s="1"/>
  <c r="V1810" i="31" a="1"/>
  <c r="V1810" i="31" s="1"/>
  <c r="W1810" i="31" s="1"/>
  <c r="V1801" i="31" a="1"/>
  <c r="V1801" i="31" s="1"/>
  <c r="W1801" i="31" s="1"/>
  <c r="V1774" i="31" a="1"/>
  <c r="V1774" i="31" s="1"/>
  <c r="W1774" i="31" s="1"/>
  <c r="V1738" i="31" a="1"/>
  <c r="V1738" i="31" s="1"/>
  <c r="W1738" i="31" s="1"/>
  <c r="V1729" i="31" a="1"/>
  <c r="V1729" i="31" s="1"/>
  <c r="W1729" i="31" s="1"/>
  <c r="V1720" i="31" a="1"/>
  <c r="V1720" i="31" s="1"/>
  <c r="W1720" i="31" s="1"/>
  <c r="V1702" i="31" a="1"/>
  <c r="V1702" i="31" s="1"/>
  <c r="W1702" i="31" s="1"/>
  <c r="V1693" i="31" a="1"/>
  <c r="V1693" i="31" s="1"/>
  <c r="W1693" i="31" s="1"/>
  <c r="V1675" i="31" a="1"/>
  <c r="V1675" i="31" s="1"/>
  <c r="W1675" i="31" s="1"/>
  <c r="V1666" i="31" a="1"/>
  <c r="V1666" i="31" s="1"/>
  <c r="W1666" i="31" s="1"/>
  <c r="V1657" i="31" a="1"/>
  <c r="V1657" i="31" s="1"/>
  <c r="W1657" i="31" s="1"/>
  <c r="V1648" i="31" a="1"/>
  <c r="V1648" i="31" s="1"/>
  <c r="W1648" i="31" s="1"/>
  <c r="V1630" i="31" a="1"/>
  <c r="V1630" i="31" s="1"/>
  <c r="W1630" i="31" s="1"/>
  <c r="V1621" i="31" a="1"/>
  <c r="V1621" i="31" s="1"/>
  <c r="W1621" i="31" s="1"/>
  <c r="V1603" i="31" a="1"/>
  <c r="V1603" i="31" s="1"/>
  <c r="W1603" i="31" s="1"/>
  <c r="V1594" i="31" a="1"/>
  <c r="V1594" i="31" s="1"/>
  <c r="W1594" i="31" s="1"/>
  <c r="V1585" i="31" a="1"/>
  <c r="V1585" i="31" s="1"/>
  <c r="W1585" i="31" s="1"/>
  <c r="V1576" i="31" a="1"/>
  <c r="V1576" i="31" s="1"/>
  <c r="W1576" i="31" s="1"/>
  <c r="V1558" i="31" a="1"/>
  <c r="V1558" i="31" s="1"/>
  <c r="W1558" i="31" s="1"/>
  <c r="V1549" i="31" a="1"/>
  <c r="V1549" i="31" s="1"/>
  <c r="W1549" i="31" s="1"/>
  <c r="V1531" i="31" a="1"/>
  <c r="V1531" i="31" s="1"/>
  <c r="W1531" i="31" s="1"/>
  <c r="V1522" i="31" a="1"/>
  <c r="V1522" i="31" s="1"/>
  <c r="W1522" i="31" s="1"/>
  <c r="V1504" i="31" a="1"/>
  <c r="V1504" i="31" s="1"/>
  <c r="W1504" i="31" s="1"/>
  <c r="V1486" i="31" a="1"/>
  <c r="V1486" i="31" s="1"/>
  <c r="W1486" i="31" s="1"/>
  <c r="V1477" i="31" a="1"/>
  <c r="V1477" i="31" s="1"/>
  <c r="W1477" i="31" s="1"/>
  <c r="V1468" i="31" a="1"/>
  <c r="V1468" i="31" s="1"/>
  <c r="W1468" i="31" s="1"/>
  <c r="V1459" i="31" a="1"/>
  <c r="V1459" i="31" s="1"/>
  <c r="W1459" i="31" s="1"/>
  <c r="V1441" i="31" a="1"/>
  <c r="V1441" i="31" s="1"/>
  <c r="W1441" i="31" s="1"/>
  <c r="V1432" i="31" a="1"/>
  <c r="V1432" i="31" s="1"/>
  <c r="W1432" i="31" s="1"/>
  <c r="V1423" i="31" a="1"/>
  <c r="V1423" i="31" s="1"/>
  <c r="W1423" i="31" s="1"/>
  <c r="V1405" i="31" a="1"/>
  <c r="V1405" i="31" s="1"/>
  <c r="W1405" i="31" s="1"/>
  <c r="V1396" i="31" a="1"/>
  <c r="V1396" i="31" s="1"/>
  <c r="W1396" i="31" s="1"/>
  <c r="V1378" i="31" a="1"/>
  <c r="V1378" i="31" s="1"/>
  <c r="W1378" i="31" s="1"/>
  <c r="V1351" i="31" a="1"/>
  <c r="V1351" i="31" s="1"/>
  <c r="W1351" i="31" s="1"/>
  <c r="V1333" i="31" a="1"/>
  <c r="V1333" i="31" s="1"/>
  <c r="W1333" i="31" s="1"/>
  <c r="V1324" i="31" a="1"/>
  <c r="V1324" i="31" s="1"/>
  <c r="W1324" i="31" s="1"/>
  <c r="V1306" i="31" a="1"/>
  <c r="V1306" i="31" s="1"/>
  <c r="W1306" i="31" s="1"/>
  <c r="V1279" i="31" a="1"/>
  <c r="V1279" i="31" s="1"/>
  <c r="W1279" i="31" s="1"/>
  <c r="V1270" i="31" a="1"/>
  <c r="V1270" i="31" s="1"/>
  <c r="W1270" i="31" s="1"/>
  <c r="V1261" i="31" a="1"/>
  <c r="V1261" i="31" s="1"/>
  <c r="W1261" i="31" s="1"/>
  <c r="V1252" i="31" a="1"/>
  <c r="V1252" i="31" s="1"/>
  <c r="W1252" i="31" s="1"/>
  <c r="V1243" i="31" a="1"/>
  <c r="V1243" i="31" s="1"/>
  <c r="W1243" i="31" s="1"/>
  <c r="V1225" i="31" a="1"/>
  <c r="V1225" i="31" s="1"/>
  <c r="W1225" i="31" s="1"/>
  <c r="V1216" i="31" a="1"/>
  <c r="V1216" i="31" s="1"/>
  <c r="W1216" i="31" s="1"/>
  <c r="V1198" i="31" a="1"/>
  <c r="V1198" i="31" s="1"/>
  <c r="W1198" i="31" s="1"/>
  <c r="V1171" i="31" a="1"/>
  <c r="V1171" i="31" s="1"/>
  <c r="W1171" i="31" s="1"/>
  <c r="V1162" i="31" a="1"/>
  <c r="V1162" i="31" s="1"/>
  <c r="W1162" i="31" s="1"/>
  <c r="V1153" i="31" a="1"/>
  <c r="V1153" i="31" s="1"/>
  <c r="W1153" i="31" s="1"/>
  <c r="V1144" i="31" a="1"/>
  <c r="V1144" i="31" s="1"/>
  <c r="W1144" i="31" s="1"/>
  <c r="V1135" i="31" a="1"/>
  <c r="V1135" i="31" s="1"/>
  <c r="W1135" i="31" s="1"/>
  <c r="V1126" i="31" a="1"/>
  <c r="V1126" i="31" s="1"/>
  <c r="W1126" i="31" s="1"/>
  <c r="V1099" i="31" a="1"/>
  <c r="V1099" i="31" s="1"/>
  <c r="W1099" i="31" s="1"/>
  <c r="V1794" i="31" a="1"/>
  <c r="V1794" i="31" s="1"/>
  <c r="W1794" i="31" s="1"/>
  <c r="V1722" i="31" a="1"/>
  <c r="V1722" i="31" s="1"/>
  <c r="W1722" i="31" s="1"/>
  <c r="V1578" i="31" a="1"/>
  <c r="V1578" i="31" s="1"/>
  <c r="W1578" i="31" s="1"/>
  <c r="V1542" i="31" a="1"/>
  <c r="V1542" i="31" s="1"/>
  <c r="W1542" i="31" s="1"/>
  <c r="V1506" i="31" a="1"/>
  <c r="V1506" i="31" s="1"/>
  <c r="W1506" i="31" s="1"/>
  <c r="V1470" i="31" a="1"/>
  <c r="V1470" i="31" s="1"/>
  <c r="W1470" i="31" s="1"/>
  <c r="V1398" i="31" a="1"/>
  <c r="V1398" i="31" s="1"/>
  <c r="W1398" i="31" s="1"/>
  <c r="V1218" i="31" a="1"/>
  <c r="V1218" i="31" s="1"/>
  <c r="W1218" i="31" s="1"/>
  <c r="V1074" i="31" a="1"/>
  <c r="V1074" i="31" s="1"/>
  <c r="W1074" i="31" s="1"/>
  <c r="V786" i="31" a="1"/>
  <c r="V786" i="31" s="1"/>
  <c r="W786" i="31" s="1"/>
  <c r="V678" i="31" a="1"/>
  <c r="V678" i="31" s="1"/>
  <c r="W678" i="31" s="1"/>
  <c r="V606" i="31" a="1"/>
  <c r="V606" i="31" s="1"/>
  <c r="W606" i="31" s="1"/>
  <c r="V534" i="31" a="1"/>
  <c r="V534" i="31" s="1"/>
  <c r="W534" i="31" s="1"/>
  <c r="V462" i="31" a="1"/>
  <c r="V462" i="31" s="1"/>
  <c r="W462" i="31" s="1"/>
  <c r="V390" i="31" a="1"/>
  <c r="V390" i="31" s="1"/>
  <c r="W390" i="31" s="1"/>
  <c r="V282" i="31" a="1"/>
  <c r="V282" i="31" s="1"/>
  <c r="W282" i="31" s="1"/>
  <c r="V246" i="31" a="1"/>
  <c r="V246" i="31" s="1"/>
  <c r="W246" i="31" s="1"/>
  <c r="V138" i="31" a="1"/>
  <c r="V138" i="31" s="1"/>
  <c r="W138" i="31" s="1"/>
  <c r="V102" i="31" a="1"/>
  <c r="V102" i="31" s="1"/>
  <c r="W102" i="31" s="1"/>
  <c r="V30" i="31" a="1"/>
  <c r="V30" i="31" s="1"/>
  <c r="W30" i="31" s="1"/>
  <c r="V1908" i="31" a="1"/>
  <c r="V1908" i="31" s="1"/>
  <c r="W1908" i="31" s="1"/>
  <c r="V1899" i="31" a="1"/>
  <c r="V1899" i="31" s="1"/>
  <c r="W1899" i="31" s="1"/>
  <c r="V1890" i="31" a="1"/>
  <c r="V1890" i="31" s="1"/>
  <c r="W1890" i="31" s="1"/>
  <c r="V1881" i="31" a="1"/>
  <c r="V1881" i="31" s="1"/>
  <c r="W1881" i="31" s="1"/>
  <c r="V1872" i="31" a="1"/>
  <c r="V1872" i="31" s="1"/>
  <c r="W1872" i="31" s="1"/>
  <c r="V1854" i="31" a="1"/>
  <c r="V1854" i="31" s="1"/>
  <c r="W1854" i="31" s="1"/>
  <c r="V1845" i="31" a="1"/>
  <c r="V1845" i="31" s="1"/>
  <c r="W1845" i="31" s="1"/>
  <c r="V1827" i="31" a="1"/>
  <c r="V1827" i="31" s="1"/>
  <c r="W1827" i="31" s="1"/>
  <c r="V1809" i="31" a="1"/>
  <c r="V1809" i="31" s="1"/>
  <c r="W1809" i="31" s="1"/>
  <c r="V1800" i="31" a="1"/>
  <c r="V1800" i="31" s="1"/>
  <c r="W1800" i="31" s="1"/>
  <c r="V1782" i="31" a="1"/>
  <c r="V1782" i="31" s="1"/>
  <c r="W1782" i="31" s="1"/>
  <c r="V1764" i="31" a="1"/>
  <c r="V1764" i="31" s="1"/>
  <c r="W1764" i="31" s="1"/>
  <c r="V1755" i="31" a="1"/>
  <c r="V1755" i="31" s="1"/>
  <c r="W1755" i="31" s="1"/>
  <c r="V1746" i="31" a="1"/>
  <c r="V1746" i="31" s="1"/>
  <c r="W1746" i="31" s="1"/>
  <c r="V1728" i="31" a="1"/>
  <c r="V1728" i="31" s="1"/>
  <c r="W1728" i="31" s="1"/>
  <c r="V1719" i="31" a="1"/>
  <c r="V1719" i="31" s="1"/>
  <c r="W1719" i="31" s="1"/>
  <c r="V1710" i="31" a="1"/>
  <c r="V1710" i="31" s="1"/>
  <c r="W1710" i="31" s="1"/>
  <c r="V1692" i="31" a="1"/>
  <c r="V1692" i="31" s="1"/>
  <c r="W1692" i="31" s="1"/>
  <c r="V1683" i="31" a="1"/>
  <c r="V1683" i="31" s="1"/>
  <c r="W1683" i="31" s="1"/>
  <c r="V1665" i="31" a="1"/>
  <c r="V1665" i="31" s="1"/>
  <c r="W1665" i="31" s="1"/>
  <c r="V1638" i="31" a="1"/>
  <c r="V1638" i="31" s="1"/>
  <c r="W1638" i="31" s="1"/>
  <c r="V1620" i="31" a="1"/>
  <c r="V1620" i="31" s="1"/>
  <c r="W1620" i="31" s="1"/>
  <c r="V1611" i="31" a="1"/>
  <c r="V1611" i="31" s="1"/>
  <c r="W1611" i="31" s="1"/>
  <c r="V1593" i="31" a="1"/>
  <c r="V1593" i="31" s="1"/>
  <c r="W1593" i="31" s="1"/>
  <c r="V1584" i="31" a="1"/>
  <c r="V1584" i="31" s="1"/>
  <c r="W1584" i="31" s="1"/>
  <c r="V1566" i="31" a="1"/>
  <c r="V1566" i="31" s="1"/>
  <c r="W1566" i="31" s="1"/>
  <c r="V1548" i="31" a="1"/>
  <c r="V1548" i="31" s="1"/>
  <c r="W1548" i="31" s="1"/>
  <c r="V1530" i="31" a="1"/>
  <c r="V1530" i="31" s="1"/>
  <c r="W1530" i="31" s="1"/>
  <c r="V1521" i="31" a="1"/>
  <c r="V1521" i="31" s="1"/>
  <c r="W1521" i="31" s="1"/>
  <c r="V1512" i="31" a="1"/>
  <c r="V1512" i="31" s="1"/>
  <c r="W1512" i="31" s="1"/>
  <c r="V1494" i="31" a="1"/>
  <c r="V1494" i="31" s="1"/>
  <c r="W1494" i="31" s="1"/>
  <c r="V1485" i="31" a="1"/>
  <c r="V1485" i="31" s="1"/>
  <c r="W1485" i="31" s="1"/>
  <c r="V1476" i="31" a="1"/>
  <c r="V1476" i="31" s="1"/>
  <c r="W1476" i="31" s="1"/>
  <c r="V1458" i="31" a="1"/>
  <c r="V1458" i="31" s="1"/>
  <c r="W1458" i="31" s="1"/>
  <c r="V1449" i="31" a="1"/>
  <c r="V1449" i="31" s="1"/>
  <c r="W1449" i="31" s="1"/>
  <c r="V1440" i="31" a="1"/>
  <c r="V1440" i="31" s="1"/>
  <c r="W1440" i="31" s="1"/>
  <c r="V1413" i="31" a="1"/>
  <c r="V1413" i="31" s="1"/>
  <c r="W1413" i="31" s="1"/>
  <c r="V1395" i="31" a="1"/>
  <c r="V1395" i="31" s="1"/>
  <c r="W1395" i="31" s="1"/>
  <c r="V1377" i="31" a="1"/>
  <c r="V1377" i="31" s="1"/>
  <c r="W1377" i="31" s="1"/>
  <c r="V1359" i="31" a="1"/>
  <c r="V1359" i="31" s="1"/>
  <c r="W1359" i="31" s="1"/>
  <c r="V1350" i="31" a="1"/>
  <c r="V1350" i="31" s="1"/>
  <c r="W1350" i="31" s="1"/>
  <c r="V1341" i="31" a="1"/>
  <c r="V1341" i="31" s="1"/>
  <c r="W1341" i="31" s="1"/>
  <c r="V1332" i="31" a="1"/>
  <c r="V1332" i="31" s="1"/>
  <c r="W1332" i="31" s="1"/>
  <c r="V1314" i="31" a="1"/>
  <c r="V1314" i="31" s="1"/>
  <c r="W1314" i="31" s="1"/>
  <c r="V1305" i="31" a="1"/>
  <c r="V1305" i="31" s="1"/>
  <c r="W1305" i="31" s="1"/>
  <c r="V1296" i="31" a="1"/>
  <c r="V1296" i="31" s="1"/>
  <c r="W1296" i="31" s="1"/>
  <c r="V1287" i="31" a="1"/>
  <c r="V1287" i="31" s="1"/>
  <c r="W1287" i="31" s="1"/>
  <c r="V1278" i="31" a="1"/>
  <c r="V1278" i="31" s="1"/>
  <c r="W1278" i="31" s="1"/>
  <c r="V1260" i="31" a="1"/>
  <c r="V1260" i="31" s="1"/>
  <c r="W1260" i="31" s="1"/>
  <c r="V1251" i="31" a="1"/>
  <c r="V1251" i="31" s="1"/>
  <c r="W1251" i="31" s="1"/>
  <c r="V1233" i="31" a="1"/>
  <c r="V1233" i="31" s="1"/>
  <c r="W1233" i="31" s="1"/>
  <c r="V1215" i="31" a="1"/>
  <c r="V1215" i="31" s="1"/>
  <c r="W1215" i="31" s="1"/>
  <c r="V1206" i="31" a="1"/>
  <c r="V1206" i="31" s="1"/>
  <c r="W1206" i="31" s="1"/>
  <c r="V1188" i="31" a="1"/>
  <c r="V1188" i="31" s="1"/>
  <c r="W1188" i="31" s="1"/>
  <c r="V1179" i="31" a="1"/>
  <c r="V1179" i="31" s="1"/>
  <c r="W1179" i="31" s="1"/>
  <c r="V1161" i="31" a="1"/>
  <c r="V1161" i="31" s="1"/>
  <c r="W1161" i="31" s="1"/>
  <c r="V1143" i="31" a="1"/>
  <c r="V1143" i="31" s="1"/>
  <c r="W1143" i="31" s="1"/>
  <c r="V1125" i="31" a="1"/>
  <c r="V1125" i="31" s="1"/>
  <c r="W1125" i="31" s="1"/>
  <c r="V1098" i="31" a="1"/>
  <c r="V1098" i="31" s="1"/>
  <c r="W1098" i="31" s="1"/>
  <c r="V1902" i="31" a="1"/>
  <c r="V1902" i="31" s="1"/>
  <c r="W1902" i="31" s="1"/>
  <c r="V1866" i="31" a="1"/>
  <c r="V1866" i="31" s="1"/>
  <c r="W1866" i="31" s="1"/>
  <c r="V1758" i="31" a="1"/>
  <c r="V1758" i="31" s="1"/>
  <c r="W1758" i="31" s="1"/>
  <c r="V1686" i="31" a="1"/>
  <c r="V1686" i="31" s="1"/>
  <c r="W1686" i="31" s="1"/>
  <c r="V1650" i="31" a="1"/>
  <c r="V1650" i="31" s="1"/>
  <c r="W1650" i="31" s="1"/>
  <c r="V1614" i="31" a="1"/>
  <c r="V1614" i="31" s="1"/>
  <c r="W1614" i="31" s="1"/>
  <c r="V1434" i="31" a="1"/>
  <c r="V1434" i="31" s="1"/>
  <c r="W1434" i="31" s="1"/>
  <c r="V1362" i="31" a="1"/>
  <c r="V1362" i="31" s="1"/>
  <c r="W1362" i="31" s="1"/>
  <c r="V1110" i="31" a="1"/>
  <c r="V1110" i="31" s="1"/>
  <c r="W1110" i="31" s="1"/>
  <c r="V1002" i="31" a="1"/>
  <c r="V1002" i="31" s="1"/>
  <c r="W1002" i="31" s="1"/>
  <c r="V930" i="31" a="1"/>
  <c r="V930" i="31" s="1"/>
  <c r="W930" i="31" s="1"/>
  <c r="V894" i="31" a="1"/>
  <c r="V894" i="31" s="1"/>
  <c r="W894" i="31" s="1"/>
  <c r="V750" i="31" a="1"/>
  <c r="V750" i="31" s="1"/>
  <c r="W750" i="31" s="1"/>
  <c r="V714" i="31" a="1"/>
  <c r="V714" i="31" s="1"/>
  <c r="W714" i="31" s="1"/>
  <c r="V570" i="31" a="1"/>
  <c r="V570" i="31" s="1"/>
  <c r="W570" i="31" s="1"/>
  <c r="V498" i="31" a="1"/>
  <c r="V498" i="31" s="1"/>
  <c r="W498" i="31" s="1"/>
  <c r="V426" i="31" a="1"/>
  <c r="V426" i="31" s="1"/>
  <c r="W426" i="31" s="1"/>
  <c r="V354" i="31" a="1"/>
  <c r="V354" i="31" s="1"/>
  <c r="W354" i="31" s="1"/>
  <c r="V318" i="31" a="1"/>
  <c r="V318" i="31" s="1"/>
  <c r="W318" i="31" s="1"/>
  <c r="V174" i="31" a="1"/>
  <c r="V174" i="31" s="1"/>
  <c r="W174" i="31" s="1"/>
  <c r="V1907" i="31" a="1"/>
  <c r="V1907" i="31" s="1"/>
  <c r="W1907" i="31" s="1"/>
  <c r="V1903" i="31" a="1"/>
  <c r="V1903" i="31" s="1"/>
  <c r="W1903" i="31" s="1"/>
  <c r="V1898" i="31" a="1"/>
  <c r="V1898" i="31" s="1"/>
  <c r="W1898" i="31" s="1"/>
  <c r="V1889" i="31" a="1"/>
  <c r="V1889" i="31" s="1"/>
  <c r="W1889" i="31" s="1"/>
  <c r="V1885" i="31" a="1"/>
  <c r="V1885" i="31" s="1"/>
  <c r="W1885" i="31" s="1"/>
  <c r="V1871" i="31" a="1"/>
  <c r="V1871" i="31" s="1"/>
  <c r="W1871" i="31" s="1"/>
  <c r="V1867" i="31" a="1"/>
  <c r="V1867" i="31" s="1"/>
  <c r="W1867" i="31" s="1"/>
  <c r="V1853" i="31" a="1"/>
  <c r="V1853" i="31" s="1"/>
  <c r="W1853" i="31" s="1"/>
  <c r="V1849" i="31" a="1"/>
  <c r="V1849" i="31" s="1"/>
  <c r="W1849" i="31" s="1"/>
  <c r="V1844" i="31" a="1"/>
  <c r="V1844" i="31" s="1"/>
  <c r="W1844" i="31" s="1"/>
  <c r="V1835" i="31" a="1"/>
  <c r="V1835" i="31" s="1"/>
  <c r="W1835" i="31" s="1"/>
  <c r="V1831" i="31" a="1"/>
  <c r="V1831" i="31" s="1"/>
  <c r="W1831" i="31" s="1"/>
  <c r="V1826" i="31" a="1"/>
  <c r="V1826" i="31" s="1"/>
  <c r="W1826" i="31" s="1"/>
  <c r="V1817" i="31" a="1"/>
  <c r="V1817" i="31" s="1"/>
  <c r="W1817" i="31" s="1"/>
  <c r="V1813" i="31" a="1"/>
  <c r="V1813" i="31" s="1"/>
  <c r="W1813" i="31" s="1"/>
  <c r="V1799" i="31" a="1"/>
  <c r="V1799" i="31" s="1"/>
  <c r="W1799" i="31" s="1"/>
  <c r="V1795" i="31" a="1"/>
  <c r="V1795" i="31" s="1"/>
  <c r="W1795" i="31" s="1"/>
  <c r="V1781" i="31" a="1"/>
  <c r="V1781" i="31" s="1"/>
  <c r="W1781" i="31" s="1"/>
  <c r="V1777" i="31" a="1"/>
  <c r="V1777" i="31" s="1"/>
  <c r="W1777" i="31" s="1"/>
  <c r="V1772" i="31" a="1"/>
  <c r="V1772" i="31" s="1"/>
  <c r="W1772" i="31" s="1"/>
  <c r="V1763" i="31" a="1"/>
  <c r="V1763" i="31" s="1"/>
  <c r="W1763" i="31" s="1"/>
  <c r="V1759" i="31" a="1"/>
  <c r="V1759" i="31" s="1"/>
  <c r="W1759" i="31" s="1"/>
  <c r="V1754" i="31" a="1"/>
  <c r="V1754" i="31" s="1"/>
  <c r="W1754" i="31" s="1"/>
  <c r="V1745" i="31" a="1"/>
  <c r="V1745" i="31" s="1"/>
  <c r="W1745" i="31" s="1"/>
  <c r="V1741" i="31" a="1"/>
  <c r="V1741" i="31" s="1"/>
  <c r="W1741" i="31" s="1"/>
  <c r="V1727" i="31" a="1"/>
  <c r="V1727" i="31" s="1"/>
  <c r="W1727" i="31" s="1"/>
  <c r="V1723" i="31" a="1"/>
  <c r="V1723" i="31" s="1"/>
  <c r="W1723" i="31" s="1"/>
  <c r="V1709" i="31" a="1"/>
  <c r="V1709" i="31" s="1"/>
  <c r="W1709" i="31" s="1"/>
  <c r="V1705" i="31" a="1"/>
  <c r="V1705" i="31" s="1"/>
  <c r="W1705" i="31" s="1"/>
  <c r="V1700" i="31" a="1"/>
  <c r="V1700" i="31" s="1"/>
  <c r="W1700" i="31" s="1"/>
  <c r="V1691" i="31" a="1"/>
  <c r="V1691" i="31" s="1"/>
  <c r="W1691" i="31" s="1"/>
  <c r="V1687" i="31" a="1"/>
  <c r="V1687" i="31" s="1"/>
  <c r="W1687" i="31" s="1"/>
  <c r="V1682" i="31" a="1"/>
  <c r="V1682" i="31" s="1"/>
  <c r="W1682" i="31" s="1"/>
  <c r="V1673" i="31" a="1"/>
  <c r="V1673" i="31" s="1"/>
  <c r="W1673" i="31" s="1"/>
  <c r="V1669" i="31" a="1"/>
  <c r="V1669" i="31" s="1"/>
  <c r="W1669" i="31" s="1"/>
  <c r="V1655" i="31" a="1"/>
  <c r="V1655" i="31" s="1"/>
  <c r="W1655" i="31" s="1"/>
  <c r="V1651" i="31" a="1"/>
  <c r="V1651" i="31" s="1"/>
  <c r="W1651" i="31" s="1"/>
  <c r="V1637" i="31" a="1"/>
  <c r="V1637" i="31" s="1"/>
  <c r="W1637" i="31" s="1"/>
  <c r="V1633" i="31" a="1"/>
  <c r="V1633" i="31" s="1"/>
  <c r="W1633" i="31" s="1"/>
  <c r="V1628" i="31" a="1"/>
  <c r="V1628" i="31" s="1"/>
  <c r="W1628" i="31" s="1"/>
  <c r="V1619" i="31" a="1"/>
  <c r="V1619" i="31" s="1"/>
  <c r="W1619" i="31" s="1"/>
  <c r="V1615" i="31" a="1"/>
  <c r="V1615" i="31" s="1"/>
  <c r="W1615" i="31" s="1"/>
  <c r="V1610" i="31" a="1"/>
  <c r="V1610" i="31" s="1"/>
  <c r="W1610" i="31" s="1"/>
  <c r="V1601" i="31" a="1"/>
  <c r="V1601" i="31" s="1"/>
  <c r="W1601" i="31" s="1"/>
  <c r="V1597" i="31" a="1"/>
  <c r="V1597" i="31" s="1"/>
  <c r="W1597" i="31" s="1"/>
  <c r="V1583" i="31" a="1"/>
  <c r="V1583" i="31" s="1"/>
  <c r="W1583" i="31" s="1"/>
  <c r="V1579" i="31" a="1"/>
  <c r="V1579" i="31" s="1"/>
  <c r="W1579" i="31" s="1"/>
  <c r="V1565" i="31" a="1"/>
  <c r="V1565" i="31" s="1"/>
  <c r="W1565" i="31" s="1"/>
  <c r="V1561" i="31" a="1"/>
  <c r="V1561" i="31" s="1"/>
  <c r="W1561" i="31" s="1"/>
  <c r="V1556" i="31" a="1"/>
  <c r="V1556" i="31" s="1"/>
  <c r="W1556" i="31" s="1"/>
  <c r="V1547" i="31" a="1"/>
  <c r="V1547" i="31" s="1"/>
  <c r="W1547" i="31" s="1"/>
  <c r="V1543" i="31" a="1"/>
  <c r="V1543" i="31" s="1"/>
  <c r="W1543" i="31" s="1"/>
  <c r="V1538" i="31" a="1"/>
  <c r="V1538" i="31" s="1"/>
  <c r="W1538" i="31" s="1"/>
  <c r="V1529" i="31" a="1"/>
  <c r="V1529" i="31" s="1"/>
  <c r="W1529" i="31" s="1"/>
  <c r="V1525" i="31" a="1"/>
  <c r="V1525" i="31" s="1"/>
  <c r="W1525" i="31" s="1"/>
  <c r="V1511" i="31" a="1"/>
  <c r="V1511" i="31" s="1"/>
  <c r="W1511" i="31" s="1"/>
  <c r="V1507" i="31" a="1"/>
  <c r="V1507" i="31" s="1"/>
  <c r="W1507" i="31" s="1"/>
  <c r="V1493" i="31" a="1"/>
  <c r="V1493" i="31" s="1"/>
  <c r="W1493" i="31" s="1"/>
  <c r="V1489" i="31" a="1"/>
  <c r="V1489" i="31" s="1"/>
  <c r="W1489" i="31" s="1"/>
  <c r="V1484" i="31" a="1"/>
  <c r="V1484" i="31" s="1"/>
  <c r="W1484" i="31" s="1"/>
  <c r="V1475" i="31" a="1"/>
  <c r="V1475" i="31" s="1"/>
  <c r="W1475" i="31" s="1"/>
  <c r="V1471" i="31" a="1"/>
  <c r="V1471" i="31" s="1"/>
  <c r="W1471" i="31" s="1"/>
  <c r="V1466" i="31" a="1"/>
  <c r="V1466" i="31" s="1"/>
  <c r="W1466" i="31" s="1"/>
  <c r="V1457" i="31" a="1"/>
  <c r="V1457" i="31" s="1"/>
  <c r="W1457" i="31" s="1"/>
  <c r="V1453" i="31" a="1"/>
  <c r="V1453" i="31" s="1"/>
  <c r="W1453" i="31" s="1"/>
  <c r="V1439" i="31" a="1"/>
  <c r="V1439" i="31" s="1"/>
  <c r="W1439" i="31" s="1"/>
  <c r="V1435" i="31" a="1"/>
  <c r="V1435" i="31" s="1"/>
  <c r="W1435" i="31" s="1"/>
  <c r="V1421" i="31" a="1"/>
  <c r="V1421" i="31" s="1"/>
  <c r="W1421" i="31" s="1"/>
  <c r="V1417" i="31" a="1"/>
  <c r="V1417" i="31" s="1"/>
  <c r="W1417" i="31" s="1"/>
  <c r="V1412" i="31" a="1"/>
  <c r="V1412" i="31" s="1"/>
  <c r="W1412" i="31" s="1"/>
  <c r="V1403" i="31" a="1"/>
  <c r="V1403" i="31" s="1"/>
  <c r="W1403" i="31" s="1"/>
  <c r="V1399" i="31" a="1"/>
  <c r="V1399" i="31" s="1"/>
  <c r="W1399" i="31" s="1"/>
  <c r="V1394" i="31" a="1"/>
  <c r="V1394" i="31" s="1"/>
  <c r="W1394" i="31" s="1"/>
  <c r="V1385" i="31" a="1"/>
  <c r="V1385" i="31" s="1"/>
  <c r="W1385" i="31" s="1"/>
  <c r="V1381" i="31" a="1"/>
  <c r="V1381" i="31" s="1"/>
  <c r="W1381" i="31" s="1"/>
  <c r="V1367" i="31" a="1"/>
  <c r="V1367" i="31" s="1"/>
  <c r="W1367" i="31" s="1"/>
  <c r="V1363" i="31" a="1"/>
  <c r="V1363" i="31" s="1"/>
  <c r="W1363" i="31" s="1"/>
  <c r="V1349" i="31" a="1"/>
  <c r="V1349" i="31" s="1"/>
  <c r="W1349" i="31" s="1"/>
  <c r="V1345" i="31" a="1"/>
  <c r="V1345" i="31" s="1"/>
  <c r="W1345" i="31" s="1"/>
  <c r="V1340" i="31" a="1"/>
  <c r="V1340" i="31" s="1"/>
  <c r="W1340" i="31" s="1"/>
  <c r="V1331" i="31" a="1"/>
  <c r="V1331" i="31" s="1"/>
  <c r="W1331" i="31" s="1"/>
  <c r="V1327" i="31" a="1"/>
  <c r="V1327" i="31" s="1"/>
  <c r="W1327" i="31" s="1"/>
  <c r="V1322" i="31" a="1"/>
  <c r="V1322" i="31" s="1"/>
  <c r="W1322" i="31" s="1"/>
  <c r="V1313" i="31" a="1"/>
  <c r="V1313" i="31" s="1"/>
  <c r="W1313" i="31" s="1"/>
  <c r="V1309" i="31" a="1"/>
  <c r="V1309" i="31" s="1"/>
  <c r="W1309" i="31" s="1"/>
  <c r="V1295" i="31" a="1"/>
  <c r="V1295" i="31" s="1"/>
  <c r="W1295" i="31" s="1"/>
  <c r="V1291" i="31" a="1"/>
  <c r="V1291" i="31" s="1"/>
  <c r="W1291" i="31" s="1"/>
  <c r="V1277" i="31" a="1"/>
  <c r="V1277" i="31" s="1"/>
  <c r="W1277" i="31" s="1"/>
  <c r="V1273" i="31" a="1"/>
  <c r="V1273" i="31" s="1"/>
  <c r="W1273" i="31" s="1"/>
  <c r="V1268" i="31" a="1"/>
  <c r="V1268" i="31" s="1"/>
  <c r="W1268" i="31" s="1"/>
  <c r="V1259" i="31" a="1"/>
  <c r="V1259" i="31" s="1"/>
  <c r="W1259" i="31" s="1"/>
  <c r="V1255" i="31" a="1"/>
  <c r="V1255" i="31" s="1"/>
  <c r="W1255" i="31" s="1"/>
  <c r="V1250" i="31" a="1"/>
  <c r="V1250" i="31" s="1"/>
  <c r="W1250" i="31" s="1"/>
  <c r="V1241" i="31" a="1"/>
  <c r="V1241" i="31" s="1"/>
  <c r="W1241" i="31" s="1"/>
  <c r="V1237" i="31" a="1"/>
  <c r="V1237" i="31" s="1"/>
  <c r="W1237" i="31" s="1"/>
  <c r="V1228" i="31" a="1"/>
  <c r="V1228" i="31" s="1"/>
  <c r="W1228" i="31" s="1"/>
  <c r="V1223" i="31" a="1"/>
  <c r="V1223" i="31" s="1"/>
  <c r="W1223" i="31" s="1"/>
  <c r="V1210" i="31" a="1"/>
  <c r="V1210" i="31" s="1"/>
  <c r="W1210" i="31" s="1"/>
  <c r="V1205" i="31" a="1"/>
  <c r="V1205" i="31" s="1"/>
  <c r="W1205" i="31" s="1"/>
  <c r="V1201" i="31" a="1"/>
  <c r="V1201" i="31" s="1"/>
  <c r="W1201" i="31" s="1"/>
  <c r="V1192" i="31" a="1"/>
  <c r="V1192" i="31" s="1"/>
  <c r="W1192" i="31" s="1"/>
  <c r="V1187" i="31" a="1"/>
  <c r="V1187" i="31" s="1"/>
  <c r="W1187" i="31" s="1"/>
  <c r="V1183" i="31" a="1"/>
  <c r="V1183" i="31" s="1"/>
  <c r="W1183" i="31" s="1"/>
  <c r="V1174" i="31" a="1"/>
  <c r="V1174" i="31" s="1"/>
  <c r="W1174" i="31" s="1"/>
  <c r="V1169" i="31" a="1"/>
  <c r="V1169" i="31" s="1"/>
  <c r="W1169" i="31" s="1"/>
  <c r="V1156" i="31" a="1"/>
  <c r="V1156" i="31" s="1"/>
  <c r="W1156" i="31" s="1"/>
  <c r="V1151" i="31" a="1"/>
  <c r="V1151" i="31" s="1"/>
  <c r="W1151" i="31" s="1"/>
  <c r="V1138" i="31" a="1"/>
  <c r="V1138" i="31" s="1"/>
  <c r="W1138" i="31" s="1"/>
  <c r="V1133" i="31" a="1"/>
  <c r="V1133" i="31" s="1"/>
  <c r="W1133" i="31" s="1"/>
  <c r="V1129" i="31" a="1"/>
  <c r="V1129" i="31" s="1"/>
  <c r="W1129" i="31" s="1"/>
  <c r="V1120" i="31" a="1"/>
  <c r="V1120" i="31" s="1"/>
  <c r="W1120" i="31" s="1"/>
  <c r="V1115" i="31" a="1"/>
  <c r="V1115" i="31" s="1"/>
  <c r="W1115" i="31" s="1"/>
  <c r="V1111" i="31" a="1"/>
  <c r="V1111" i="31" s="1"/>
  <c r="W1111" i="31" s="1"/>
  <c r="V1102" i="31" a="1"/>
  <c r="V1102" i="31" s="1"/>
  <c r="W1102" i="31" s="1"/>
  <c r="V1097" i="31" a="1"/>
  <c r="V1097" i="31" s="1"/>
  <c r="W1097" i="31" s="1"/>
  <c r="V1072" i="31" a="1"/>
  <c r="V1072" i="31" s="1"/>
  <c r="W1072" i="31" s="1"/>
  <c r="V1054" i="31" a="1"/>
  <c r="V1054" i="31" s="1"/>
  <c r="W1054" i="31" s="1"/>
  <c r="V1045" i="31" a="1"/>
  <c r="V1045" i="31" s="1"/>
  <c r="W1045" i="31" s="1"/>
  <c r="V1036" i="31" a="1"/>
  <c r="V1036" i="31" s="1"/>
  <c r="W1036" i="31" s="1"/>
  <c r="V1027" i="31" a="1"/>
  <c r="V1027" i="31" s="1"/>
  <c r="W1027" i="31" s="1"/>
  <c r="V1000" i="31" a="1"/>
  <c r="V1000" i="31" s="1"/>
  <c r="W1000" i="31" s="1"/>
  <c r="V982" i="31" a="1"/>
  <c r="V982" i="31" s="1"/>
  <c r="W982" i="31" s="1"/>
  <c r="V973" i="31" a="1"/>
  <c r="V973" i="31" s="1"/>
  <c r="W973" i="31" s="1"/>
  <c r="V964" i="31" a="1"/>
  <c r="V964" i="31" s="1"/>
  <c r="W964" i="31" s="1"/>
  <c r="V946" i="31" a="1"/>
  <c r="V946" i="31" s="1"/>
  <c r="W946" i="31" s="1"/>
  <c r="V919" i="31" a="1"/>
  <c r="V919" i="31" s="1"/>
  <c r="W919" i="31" s="1"/>
  <c r="V901" i="31" a="1"/>
  <c r="V901" i="31" s="1"/>
  <c r="W901" i="31" s="1"/>
  <c r="V892" i="31" a="1"/>
  <c r="V892" i="31" s="1"/>
  <c r="W892" i="31" s="1"/>
  <c r="V874" i="31" a="1"/>
  <c r="V874" i="31" s="1"/>
  <c r="W874" i="31" s="1"/>
  <c r="V865" i="31" a="1"/>
  <c r="V865" i="31" s="1"/>
  <c r="W865" i="31" s="1"/>
  <c r="V847" i="31" a="1"/>
  <c r="V847" i="31" s="1"/>
  <c r="W847" i="31" s="1"/>
  <c r="V829" i="31" a="1"/>
  <c r="V829" i="31" s="1"/>
  <c r="W829" i="31" s="1"/>
  <c r="V820" i="31" a="1"/>
  <c r="V820" i="31" s="1"/>
  <c r="W820" i="31" s="1"/>
  <c r="V802" i="31" a="1"/>
  <c r="V802" i="31" s="1"/>
  <c r="W802" i="31" s="1"/>
  <c r="V793" i="31" a="1"/>
  <c r="V793" i="31" s="1"/>
  <c r="W793" i="31" s="1"/>
  <c r="V775" i="31" a="1"/>
  <c r="V775" i="31" s="1"/>
  <c r="W775" i="31" s="1"/>
  <c r="V757" i="31" a="1"/>
  <c r="V757" i="31" s="1"/>
  <c r="W757" i="31" s="1"/>
  <c r="V748" i="31" a="1"/>
  <c r="V748" i="31" s="1"/>
  <c r="W748" i="31" s="1"/>
  <c r="V739" i="31" a="1"/>
  <c r="V739" i="31" s="1"/>
  <c r="W739" i="31" s="1"/>
  <c r="V730" i="31" a="1"/>
  <c r="V730" i="31" s="1"/>
  <c r="W730" i="31" s="1"/>
  <c r="V712" i="31" a="1"/>
  <c r="V712" i="31" s="1"/>
  <c r="W712" i="31" s="1"/>
  <c r="V703" i="31" a="1"/>
  <c r="V703" i="31" s="1"/>
  <c r="W703" i="31" s="1"/>
  <c r="V685" i="31" a="1"/>
  <c r="V685" i="31" s="1"/>
  <c r="W685" i="31" s="1"/>
  <c r="V667" i="31" a="1"/>
  <c r="V667" i="31" s="1"/>
  <c r="W667" i="31" s="1"/>
  <c r="V649" i="31" a="1"/>
  <c r="V649" i="31" s="1"/>
  <c r="W649" i="31" s="1"/>
  <c r="V631" i="31" a="1"/>
  <c r="V631" i="31" s="1"/>
  <c r="W631" i="31" s="1"/>
  <c r="V613" i="31" a="1"/>
  <c r="V613" i="31" s="1"/>
  <c r="W613" i="31" s="1"/>
  <c r="V595" i="31" a="1"/>
  <c r="V595" i="31" s="1"/>
  <c r="W595" i="31" s="1"/>
  <c r="V577" i="31" a="1"/>
  <c r="V577" i="31" s="1"/>
  <c r="W577" i="31" s="1"/>
  <c r="V559" i="31" a="1"/>
  <c r="V559" i="31" s="1"/>
  <c r="W559" i="31" s="1"/>
  <c r="V541" i="31" a="1"/>
  <c r="V541" i="31" s="1"/>
  <c r="W541" i="31" s="1"/>
  <c r="V532" i="31" a="1"/>
  <c r="V532" i="31" s="1"/>
  <c r="W532" i="31" s="1"/>
  <c r="V523" i="31" a="1"/>
  <c r="V523" i="31" s="1"/>
  <c r="W523" i="31" s="1"/>
  <c r="V505" i="31" a="1"/>
  <c r="V505" i="31" s="1"/>
  <c r="W505" i="31" s="1"/>
  <c r="V496" i="31" a="1"/>
  <c r="V496" i="31" s="1"/>
  <c r="W496" i="31" s="1"/>
  <c r="V487" i="31" a="1"/>
  <c r="V487" i="31" s="1"/>
  <c r="W487" i="31" s="1"/>
  <c r="V469" i="31" a="1"/>
  <c r="V469" i="31" s="1"/>
  <c r="W469" i="31" s="1"/>
  <c r="V460" i="31" a="1"/>
  <c r="V460" i="31" s="1"/>
  <c r="W460" i="31" s="1"/>
  <c r="V442" i="31" a="1"/>
  <c r="V442" i="31" s="1"/>
  <c r="W442" i="31" s="1"/>
  <c r="V424" i="31" a="1"/>
  <c r="V424" i="31" s="1"/>
  <c r="W424" i="31" s="1"/>
  <c r="V406" i="31" a="1"/>
  <c r="V406" i="31" s="1"/>
  <c r="W406" i="31" s="1"/>
  <c r="V388" i="31" a="1"/>
  <c r="V388" i="31" s="1"/>
  <c r="W388" i="31" s="1"/>
  <c r="V370" i="31" a="1"/>
  <c r="V370" i="31" s="1"/>
  <c r="W370" i="31" s="1"/>
  <c r="V352" i="31" a="1"/>
  <c r="V352" i="31" s="1"/>
  <c r="W352" i="31" s="1"/>
  <c r="V334" i="31" a="1"/>
  <c r="V334" i="31" s="1"/>
  <c r="W334" i="31" s="1"/>
  <c r="V1080" i="31" a="1"/>
  <c r="V1080" i="31" s="1"/>
  <c r="W1080" i="31" s="1"/>
  <c r="V1062" i="31" a="1"/>
  <c r="V1062" i="31" s="1"/>
  <c r="W1062" i="31" s="1"/>
  <c r="V1044" i="31" a="1"/>
  <c r="V1044" i="31" s="1"/>
  <c r="W1044" i="31" s="1"/>
  <c r="V1026" i="31" a="1"/>
  <c r="V1026" i="31" s="1"/>
  <c r="W1026" i="31" s="1"/>
  <c r="V1008" i="31" a="1"/>
  <c r="V1008" i="31" s="1"/>
  <c r="W1008" i="31" s="1"/>
  <c r="V999" i="31" a="1"/>
  <c r="V999" i="31" s="1"/>
  <c r="W999" i="31" s="1"/>
  <c r="V981" i="31" a="1"/>
  <c r="V981" i="31" s="1"/>
  <c r="W981" i="31" s="1"/>
  <c r="V954" i="31" a="1"/>
  <c r="V954" i="31" s="1"/>
  <c r="W954" i="31" s="1"/>
  <c r="V936" i="31" a="1"/>
  <c r="V936" i="31" s="1"/>
  <c r="W936" i="31" s="1"/>
  <c r="V918" i="31" a="1"/>
  <c r="V918" i="31" s="1"/>
  <c r="W918" i="31" s="1"/>
  <c r="V900" i="31" a="1"/>
  <c r="V900" i="31" s="1"/>
  <c r="W900" i="31" s="1"/>
  <c r="V891" i="31" a="1"/>
  <c r="V891" i="31" s="1"/>
  <c r="W891" i="31" s="1"/>
  <c r="V882" i="31" a="1"/>
  <c r="V882" i="31" s="1"/>
  <c r="W882" i="31" s="1"/>
  <c r="V873" i="31" a="1"/>
  <c r="V873" i="31" s="1"/>
  <c r="W873" i="31" s="1"/>
  <c r="V855" i="31" a="1"/>
  <c r="V855" i="31" s="1"/>
  <c r="W855" i="31" s="1"/>
  <c r="V846" i="31" a="1"/>
  <c r="V846" i="31" s="1"/>
  <c r="W846" i="31" s="1"/>
  <c r="V837" i="31" a="1"/>
  <c r="V837" i="31" s="1"/>
  <c r="W837" i="31" s="1"/>
  <c r="V828" i="31" a="1"/>
  <c r="V828" i="31" s="1"/>
  <c r="W828" i="31" s="1"/>
  <c r="V810" i="31" a="1"/>
  <c r="V810" i="31" s="1"/>
  <c r="W810" i="31" s="1"/>
  <c r="V792" i="31" a="1"/>
  <c r="V792" i="31" s="1"/>
  <c r="W792" i="31" s="1"/>
  <c r="V774" i="31" a="1"/>
  <c r="V774" i="31" s="1"/>
  <c r="W774" i="31" s="1"/>
  <c r="V765" i="31" a="1"/>
  <c r="V765" i="31" s="1"/>
  <c r="W765" i="31" s="1"/>
  <c r="V756" i="31" a="1"/>
  <c r="V756" i="31" s="1"/>
  <c r="W756" i="31" s="1"/>
  <c r="V747" i="31" a="1"/>
  <c r="V747" i="31" s="1"/>
  <c r="W747" i="31" s="1"/>
  <c r="V729" i="31" a="1"/>
  <c r="V729" i="31" s="1"/>
  <c r="W729" i="31" s="1"/>
  <c r="V720" i="31" a="1"/>
  <c r="V720" i="31" s="1"/>
  <c r="W720" i="31" s="1"/>
  <c r="V702" i="31" a="1"/>
  <c r="V702" i="31" s="1"/>
  <c r="W702" i="31" s="1"/>
  <c r="V684" i="31" a="1"/>
  <c r="V684" i="31" s="1"/>
  <c r="W684" i="31" s="1"/>
  <c r="V666" i="31" a="1"/>
  <c r="V666" i="31" s="1"/>
  <c r="W666" i="31" s="1"/>
  <c r="V648" i="31" a="1"/>
  <c r="V648" i="31" s="1"/>
  <c r="W648" i="31" s="1"/>
  <c r="V630" i="31" a="1"/>
  <c r="V630" i="31" s="1"/>
  <c r="W630" i="31" s="1"/>
  <c r="V612" i="31" a="1"/>
  <c r="V612" i="31" s="1"/>
  <c r="W612" i="31" s="1"/>
  <c r="V594" i="31" a="1"/>
  <c r="V594" i="31" s="1"/>
  <c r="W594" i="31" s="1"/>
  <c r="V576" i="31" a="1"/>
  <c r="V576" i="31" s="1"/>
  <c r="W576" i="31" s="1"/>
  <c r="V558" i="31" a="1"/>
  <c r="V558" i="31" s="1"/>
  <c r="W558" i="31" s="1"/>
  <c r="V531" i="31" a="1"/>
  <c r="V531" i="31" s="1"/>
  <c r="W531" i="31" s="1"/>
  <c r="V522" i="31" a="1"/>
  <c r="V522" i="31" s="1"/>
  <c r="W522" i="31" s="1"/>
  <c r="V513" i="31" a="1"/>
  <c r="V513" i="31" s="1"/>
  <c r="W513" i="31" s="1"/>
  <c r="V495" i="31" a="1"/>
  <c r="V495" i="31" s="1"/>
  <c r="W495" i="31" s="1"/>
  <c r="V486" i="31" a="1"/>
  <c r="V486" i="31" s="1"/>
  <c r="W486" i="31" s="1"/>
  <c r="V468" i="31" a="1"/>
  <c r="V468" i="31" s="1"/>
  <c r="W468" i="31" s="1"/>
  <c r="V450" i="31" a="1"/>
  <c r="V450" i="31" s="1"/>
  <c r="W450" i="31" s="1"/>
  <c r="V441" i="31" a="1"/>
  <c r="V441" i="31" s="1"/>
  <c r="W441" i="31" s="1"/>
  <c r="V432" i="31" a="1"/>
  <c r="V432" i="31" s="1"/>
  <c r="W432" i="31" s="1"/>
  <c r="V423" i="31" a="1"/>
  <c r="V423" i="31" s="1"/>
  <c r="W423" i="31" s="1"/>
  <c r="V405" i="31" a="1"/>
  <c r="V405" i="31" s="1"/>
  <c r="W405" i="31" s="1"/>
  <c r="V396" i="31" a="1"/>
  <c r="V396" i="31" s="1"/>
  <c r="W396" i="31" s="1"/>
  <c r="V387" i="31" a="1"/>
  <c r="V387" i="31" s="1"/>
  <c r="W387" i="31" s="1"/>
  <c r="V369" i="31" a="1"/>
  <c r="V369" i="31" s="1"/>
  <c r="W369" i="31" s="1"/>
  <c r="V360" i="31" a="1"/>
  <c r="V360" i="31" s="1"/>
  <c r="W360" i="31" s="1"/>
  <c r="V351" i="31" a="1"/>
  <c r="V351" i="31" s="1"/>
  <c r="W351" i="31" s="1"/>
  <c r="V333" i="31" a="1"/>
  <c r="V333" i="31" s="1"/>
  <c r="W333" i="31" s="1"/>
  <c r="V1093" i="31" a="1"/>
  <c r="V1093" i="31" s="1"/>
  <c r="W1093" i="31" s="1"/>
  <c r="V1084" i="31" a="1"/>
  <c r="V1084" i="31" s="1"/>
  <c r="W1084" i="31" s="1"/>
  <c r="V1079" i="31" a="1"/>
  <c r="V1079" i="31" s="1"/>
  <c r="W1079" i="31" s="1"/>
  <c r="V1075" i="31" a="1"/>
  <c r="V1075" i="31" s="1"/>
  <c r="W1075" i="31" s="1"/>
  <c r="V1066" i="31" a="1"/>
  <c r="V1066" i="31" s="1"/>
  <c r="W1066" i="31" s="1"/>
  <c r="V1061" i="31" a="1"/>
  <c r="V1061" i="31" s="1"/>
  <c r="W1061" i="31" s="1"/>
  <c r="V1048" i="31" a="1"/>
  <c r="V1048" i="31" s="1"/>
  <c r="W1048" i="31" s="1"/>
  <c r="V1043" i="31" a="1"/>
  <c r="V1043" i="31" s="1"/>
  <c r="W1043" i="31" s="1"/>
  <c r="V1030" i="31" a="1"/>
  <c r="V1030" i="31" s="1"/>
  <c r="W1030" i="31" s="1"/>
  <c r="V1025" i="31" a="1"/>
  <c r="V1025" i="31" s="1"/>
  <c r="W1025" i="31" s="1"/>
  <c r="V1021" i="31" a="1"/>
  <c r="V1021" i="31" s="1"/>
  <c r="W1021" i="31" s="1"/>
  <c r="V1012" i="31" a="1"/>
  <c r="V1012" i="31" s="1"/>
  <c r="W1012" i="31" s="1"/>
  <c r="V1007" i="31" a="1"/>
  <c r="V1007" i="31" s="1"/>
  <c r="W1007" i="31" s="1"/>
  <c r="V1003" i="31" a="1"/>
  <c r="V1003" i="31" s="1"/>
  <c r="W1003" i="31" s="1"/>
  <c r="V994" i="31" a="1"/>
  <c r="V994" i="31" s="1"/>
  <c r="W994" i="31" s="1"/>
  <c r="V989" i="31" a="1"/>
  <c r="V989" i="31" s="1"/>
  <c r="W989" i="31" s="1"/>
  <c r="V976" i="31" a="1"/>
  <c r="V976" i="31" s="1"/>
  <c r="W976" i="31" s="1"/>
  <c r="V971" i="31" a="1"/>
  <c r="V971" i="31" s="1"/>
  <c r="W971" i="31" s="1"/>
  <c r="V958" i="31" a="1"/>
  <c r="V958" i="31" s="1"/>
  <c r="W958" i="31" s="1"/>
  <c r="V953" i="31" a="1"/>
  <c r="V953" i="31" s="1"/>
  <c r="W953" i="31" s="1"/>
  <c r="V949" i="31" a="1"/>
  <c r="V949" i="31" s="1"/>
  <c r="W949" i="31" s="1"/>
  <c r="V940" i="31" a="1"/>
  <c r="V940" i="31" s="1"/>
  <c r="W940" i="31" s="1"/>
  <c r="V935" i="31" a="1"/>
  <c r="V935" i="31" s="1"/>
  <c r="W935" i="31" s="1"/>
  <c r="V931" i="31" a="1"/>
  <c r="V931" i="31" s="1"/>
  <c r="W931" i="31" s="1"/>
  <c r="V922" i="31" a="1"/>
  <c r="V922" i="31" s="1"/>
  <c r="W922" i="31" s="1"/>
  <c r="V917" i="31" a="1"/>
  <c r="V917" i="31" s="1"/>
  <c r="W917" i="31" s="1"/>
  <c r="V904" i="31" a="1"/>
  <c r="V904" i="31" s="1"/>
  <c r="W904" i="31" s="1"/>
  <c r="V899" i="31" a="1"/>
  <c r="V899" i="31" s="1"/>
  <c r="W899" i="31" s="1"/>
  <c r="V886" i="31" a="1"/>
  <c r="V886" i="31" s="1"/>
  <c r="W886" i="31" s="1"/>
  <c r="V881" i="31" a="1"/>
  <c r="V881" i="31" s="1"/>
  <c r="W881" i="31" s="1"/>
  <c r="V877" i="31" a="1"/>
  <c r="V877" i="31" s="1"/>
  <c r="W877" i="31" s="1"/>
  <c r="V868" i="31" a="1"/>
  <c r="V868" i="31" s="1"/>
  <c r="W868" i="31" s="1"/>
  <c r="V863" i="31" a="1"/>
  <c r="V863" i="31" s="1"/>
  <c r="W863" i="31" s="1"/>
  <c r="V859" i="31" a="1"/>
  <c r="V859" i="31" s="1"/>
  <c r="W859" i="31" s="1"/>
  <c r="V850" i="31" a="1"/>
  <c r="V850" i="31" s="1"/>
  <c r="W850" i="31" s="1"/>
  <c r="V845" i="31" a="1"/>
  <c r="V845" i="31" s="1"/>
  <c r="W845" i="31" s="1"/>
  <c r="V832" i="31" a="1"/>
  <c r="V832" i="31" s="1"/>
  <c r="W832" i="31" s="1"/>
  <c r="V827" i="31" a="1"/>
  <c r="V827" i="31" s="1"/>
  <c r="W827" i="31" s="1"/>
  <c r="V814" i="31" a="1"/>
  <c r="V814" i="31" s="1"/>
  <c r="W814" i="31" s="1"/>
  <c r="V809" i="31" a="1"/>
  <c r="V809" i="31" s="1"/>
  <c r="W809" i="31" s="1"/>
  <c r="V805" i="31" a="1"/>
  <c r="V805" i="31" s="1"/>
  <c r="W805" i="31" s="1"/>
  <c r="V796" i="31" a="1"/>
  <c r="V796" i="31" s="1"/>
  <c r="W796" i="31" s="1"/>
  <c r="V791" i="31" a="1"/>
  <c r="V791" i="31" s="1"/>
  <c r="W791" i="31" s="1"/>
  <c r="V787" i="31" a="1"/>
  <c r="V787" i="31" s="1"/>
  <c r="W787" i="31" s="1"/>
  <c r="V778" i="31" a="1"/>
  <c r="V778" i="31" s="1"/>
  <c r="W778" i="31" s="1"/>
  <c r="V773" i="31" a="1"/>
  <c r="V773" i="31" s="1"/>
  <c r="W773" i="31" s="1"/>
  <c r="V760" i="31" a="1"/>
  <c r="V760" i="31" s="1"/>
  <c r="W760" i="31" s="1"/>
  <c r="V755" i="31" a="1"/>
  <c r="V755" i="31" s="1"/>
  <c r="W755" i="31" s="1"/>
  <c r="V742" i="31" a="1"/>
  <c r="V742" i="31" s="1"/>
  <c r="W742" i="31" s="1"/>
  <c r="V737" i="31" a="1"/>
  <c r="V737" i="31" s="1"/>
  <c r="W737" i="31" s="1"/>
  <c r="V733" i="31" a="1"/>
  <c r="V733" i="31" s="1"/>
  <c r="W733" i="31" s="1"/>
  <c r="V724" i="31" a="1"/>
  <c r="V724" i="31" s="1"/>
  <c r="W724" i="31" s="1"/>
  <c r="V719" i="31" a="1"/>
  <c r="V719" i="31" s="1"/>
  <c r="W719" i="31" s="1"/>
  <c r="V715" i="31" a="1"/>
  <c r="V715" i="31" s="1"/>
  <c r="W715" i="31" s="1"/>
  <c r="V706" i="31" a="1"/>
  <c r="V706" i="31" s="1"/>
  <c r="W706" i="31" s="1"/>
  <c r="V701" i="31" a="1"/>
  <c r="V701" i="31" s="1"/>
  <c r="W701" i="31" s="1"/>
  <c r="V688" i="31" a="1"/>
  <c r="V688" i="31" s="1"/>
  <c r="W688" i="31" s="1"/>
  <c r="V683" i="31" a="1"/>
  <c r="V683" i="31" s="1"/>
  <c r="W683" i="31" s="1"/>
  <c r="V670" i="31" a="1"/>
  <c r="V670" i="31" s="1"/>
  <c r="W670" i="31" s="1"/>
  <c r="V665" i="31" a="1"/>
  <c r="V665" i="31" s="1"/>
  <c r="W665" i="31" s="1"/>
  <c r="V661" i="31" a="1"/>
  <c r="V661" i="31" s="1"/>
  <c r="W661" i="31" s="1"/>
  <c r="V652" i="31" a="1"/>
  <c r="V652" i="31" s="1"/>
  <c r="W652" i="31" s="1"/>
  <c r="V647" i="31" a="1"/>
  <c r="V647" i="31" s="1"/>
  <c r="W647" i="31" s="1"/>
  <c r="V643" i="31" a="1"/>
  <c r="V643" i="31" s="1"/>
  <c r="W643" i="31" s="1"/>
  <c r="V634" i="31" a="1"/>
  <c r="V634" i="31" s="1"/>
  <c r="W634" i="31" s="1"/>
  <c r="V629" i="31" a="1"/>
  <c r="V629" i="31" s="1"/>
  <c r="W629" i="31" s="1"/>
  <c r="V616" i="31" a="1"/>
  <c r="V616" i="31" s="1"/>
  <c r="W616" i="31" s="1"/>
  <c r="V611" i="31" a="1"/>
  <c r="V611" i="31" s="1"/>
  <c r="W611" i="31" s="1"/>
  <c r="V598" i="31" a="1"/>
  <c r="V598" i="31" s="1"/>
  <c r="W598" i="31" s="1"/>
  <c r="V593" i="31" a="1"/>
  <c r="V593" i="31" s="1"/>
  <c r="W593" i="31" s="1"/>
  <c r="V589" i="31" a="1"/>
  <c r="V589" i="31" s="1"/>
  <c r="W589" i="31" s="1"/>
  <c r="V580" i="31" a="1"/>
  <c r="V580" i="31" s="1"/>
  <c r="W580" i="31" s="1"/>
  <c r="V575" i="31" a="1"/>
  <c r="V575" i="31" s="1"/>
  <c r="W575" i="31" s="1"/>
  <c r="V571" i="31" a="1"/>
  <c r="V571" i="31" s="1"/>
  <c r="W571" i="31" s="1"/>
  <c r="V562" i="31" a="1"/>
  <c r="V562" i="31" s="1"/>
  <c r="W562" i="31" s="1"/>
  <c r="V557" i="31" a="1"/>
  <c r="V557" i="31" s="1"/>
  <c r="W557" i="31" s="1"/>
  <c r="V544" i="31" a="1"/>
  <c r="V544" i="31" s="1"/>
  <c r="W544" i="31" s="1"/>
  <c r="V539" i="31" a="1"/>
  <c r="V539" i="31" s="1"/>
  <c r="W539" i="31" s="1"/>
  <c r="V526" i="31" a="1"/>
  <c r="V526" i="31" s="1"/>
  <c r="W526" i="31" s="1"/>
  <c r="V521" i="31" a="1"/>
  <c r="V521" i="31" s="1"/>
  <c r="W521" i="31" s="1"/>
  <c r="V517" i="31" a="1"/>
  <c r="V517" i="31" s="1"/>
  <c r="W517" i="31" s="1"/>
  <c r="V508" i="31" a="1"/>
  <c r="V508" i="31" s="1"/>
  <c r="W508" i="31" s="1"/>
  <c r="V503" i="31" a="1"/>
  <c r="V503" i="31" s="1"/>
  <c r="W503" i="31" s="1"/>
  <c r="V499" i="31" a="1"/>
  <c r="V499" i="31" s="1"/>
  <c r="W499" i="31" s="1"/>
  <c r="V490" i="31" a="1"/>
  <c r="V490" i="31" s="1"/>
  <c r="W490" i="31" s="1"/>
  <c r="V485" i="31" a="1"/>
  <c r="V485" i="31" s="1"/>
  <c r="W485" i="31" s="1"/>
  <c r="V472" i="31" a="1"/>
  <c r="V472" i="31" s="1"/>
  <c r="W472" i="31" s="1"/>
  <c r="V467" i="31" a="1"/>
  <c r="V467" i="31" s="1"/>
  <c r="W467" i="31" s="1"/>
  <c r="V454" i="31" a="1"/>
  <c r="V454" i="31" s="1"/>
  <c r="W454" i="31" s="1"/>
  <c r="V449" i="31" a="1"/>
  <c r="V449" i="31" s="1"/>
  <c r="W449" i="31" s="1"/>
  <c r="V445" i="31" a="1"/>
  <c r="V445" i="31" s="1"/>
  <c r="W445" i="31" s="1"/>
  <c r="V436" i="31" a="1"/>
  <c r="V436" i="31" s="1"/>
  <c r="W436" i="31" s="1"/>
  <c r="V431" i="31" a="1"/>
  <c r="V431" i="31" s="1"/>
  <c r="W431" i="31" s="1"/>
  <c r="V427" i="31" a="1"/>
  <c r="V427" i="31" s="1"/>
  <c r="W427" i="31" s="1"/>
  <c r="V418" i="31" a="1"/>
  <c r="V418" i="31" s="1"/>
  <c r="W418" i="31" s="1"/>
  <c r="V413" i="31" a="1"/>
  <c r="V413" i="31" s="1"/>
  <c r="W413" i="31" s="1"/>
  <c r="V400" i="31" a="1"/>
  <c r="V400" i="31" s="1"/>
  <c r="W400" i="31" s="1"/>
  <c r="V395" i="31" a="1"/>
  <c r="V395" i="31" s="1"/>
  <c r="W395" i="31" s="1"/>
  <c r="V382" i="31" a="1"/>
  <c r="V382" i="31" s="1"/>
  <c r="W382" i="31" s="1"/>
  <c r="V377" i="31" a="1"/>
  <c r="V377" i="31" s="1"/>
  <c r="W377" i="31" s="1"/>
  <c r="V373" i="31" a="1"/>
  <c r="V373" i="31" s="1"/>
  <c r="W373" i="31" s="1"/>
  <c r="V364" i="31" a="1"/>
  <c r="V364" i="31" s="1"/>
  <c r="W364" i="31" s="1"/>
  <c r="V359" i="31" a="1"/>
  <c r="V359" i="31" s="1"/>
  <c r="W359" i="31" s="1"/>
  <c r="V355" i="31" a="1"/>
  <c r="V355" i="31" s="1"/>
  <c r="W355" i="31" s="1"/>
  <c r="V346" i="31" a="1"/>
  <c r="V346" i="31" s="1"/>
  <c r="W346" i="31" s="1"/>
  <c r="V341" i="31" a="1"/>
  <c r="V341" i="31" s="1"/>
  <c r="W341" i="31" s="1"/>
  <c r="V316" i="31" a="1"/>
  <c r="V316" i="31" s="1"/>
  <c r="W316" i="31" s="1"/>
  <c r="V298" i="31" a="1"/>
  <c r="V298" i="31" s="1"/>
  <c r="W298" i="31" s="1"/>
  <c r="V280" i="31" a="1"/>
  <c r="V280" i="31" s="1"/>
  <c r="W280" i="31" s="1"/>
  <c r="V271" i="31" a="1"/>
  <c r="V271" i="31" s="1"/>
  <c r="W271" i="31" s="1"/>
  <c r="V253" i="31" a="1"/>
  <c r="V253" i="31" s="1"/>
  <c r="W253" i="31" s="1"/>
  <c r="V235" i="31" a="1"/>
  <c r="V235" i="31" s="1"/>
  <c r="W235" i="31" s="1"/>
  <c r="V217" i="31" a="1"/>
  <c r="V217" i="31" s="1"/>
  <c r="W217" i="31" s="1"/>
  <c r="V208" i="31" a="1"/>
  <c r="V208" i="31" s="1"/>
  <c r="W208" i="31" s="1"/>
  <c r="V199" i="31" a="1"/>
  <c r="V199" i="31" s="1"/>
  <c r="W199" i="31" s="1"/>
  <c r="V181" i="31" a="1"/>
  <c r="V181" i="31" s="1"/>
  <c r="W181" i="31" s="1"/>
  <c r="V172" i="31" a="1"/>
  <c r="V172" i="31" s="1"/>
  <c r="W172" i="31" s="1"/>
  <c r="V163" i="31" a="1"/>
  <c r="V163" i="31" s="1"/>
  <c r="W163" i="31" s="1"/>
  <c r="V136" i="31" a="1"/>
  <c r="V136" i="31" s="1"/>
  <c r="W136" i="31" s="1"/>
  <c r="V118" i="31" a="1"/>
  <c r="V118" i="31" s="1"/>
  <c r="W118" i="31" s="1"/>
  <c r="V100" i="31" a="1"/>
  <c r="V100" i="31" s="1"/>
  <c r="W100" i="31" s="1"/>
  <c r="V82" i="31" a="1"/>
  <c r="V82" i="31" s="1"/>
  <c r="W82" i="31" s="1"/>
  <c r="V73" i="31" a="1"/>
  <c r="V73" i="31" s="1"/>
  <c r="W73" i="31" s="1"/>
  <c r="V64" i="31" a="1"/>
  <c r="V64" i="31" s="1"/>
  <c r="W64" i="31" s="1"/>
  <c r="V46" i="31" a="1"/>
  <c r="V46" i="31" s="1"/>
  <c r="W46" i="31" s="1"/>
  <c r="V37" i="31" a="1"/>
  <c r="V37" i="31" s="1"/>
  <c r="W37" i="31" s="1"/>
  <c r="V28" i="31" a="1"/>
  <c r="V28" i="31" s="1"/>
  <c r="W28" i="31" s="1"/>
  <c r="V10" i="31" a="1"/>
  <c r="V10" i="31" s="1"/>
  <c r="W10" i="31" s="1"/>
  <c r="V324" i="31" a="1"/>
  <c r="V324" i="31" s="1"/>
  <c r="W324" i="31" s="1"/>
  <c r="V315" i="31" a="1"/>
  <c r="V315" i="31" s="1"/>
  <c r="W315" i="31" s="1"/>
  <c r="V306" i="31" a="1"/>
  <c r="V306" i="31" s="1"/>
  <c r="W306" i="31" s="1"/>
  <c r="V288" i="31" a="1"/>
  <c r="V288" i="31" s="1"/>
  <c r="W288" i="31" s="1"/>
  <c r="V270" i="31" a="1"/>
  <c r="V270" i="31" s="1"/>
  <c r="W270" i="31" s="1"/>
  <c r="V252" i="31" a="1"/>
  <c r="V252" i="31" s="1"/>
  <c r="W252" i="31" s="1"/>
  <c r="V234" i="31" a="1"/>
  <c r="V234" i="31" s="1"/>
  <c r="W234" i="31" s="1"/>
  <c r="V225" i="31" a="1"/>
  <c r="V225" i="31" s="1"/>
  <c r="W225" i="31" s="1"/>
  <c r="V207" i="31" a="1"/>
  <c r="V207" i="31" s="1"/>
  <c r="W207" i="31" s="1"/>
  <c r="V198" i="31" a="1"/>
  <c r="V198" i="31" s="1"/>
  <c r="W198" i="31" s="1"/>
  <c r="V180" i="31" a="1"/>
  <c r="V180" i="31" s="1"/>
  <c r="W180" i="31" s="1"/>
  <c r="V171" i="31" a="1"/>
  <c r="V171" i="31" s="1"/>
  <c r="W171" i="31" s="1"/>
  <c r="V153" i="31" a="1"/>
  <c r="V153" i="31" s="1"/>
  <c r="W153" i="31" s="1"/>
  <c r="V135" i="31" a="1"/>
  <c r="V135" i="31" s="1"/>
  <c r="W135" i="31" s="1"/>
  <c r="V126" i="31" a="1"/>
  <c r="V126" i="31" s="1"/>
  <c r="W126" i="31" s="1"/>
  <c r="V117" i="31" a="1"/>
  <c r="V117" i="31" s="1"/>
  <c r="W117" i="31" s="1"/>
  <c r="V99" i="31" a="1"/>
  <c r="V99" i="31" s="1"/>
  <c r="W99" i="31" s="1"/>
  <c r="V81" i="31" a="1"/>
  <c r="V81" i="31" s="1"/>
  <c r="W81" i="31" s="1"/>
  <c r="V72" i="31" a="1"/>
  <c r="V72" i="31" s="1"/>
  <c r="W72" i="31" s="1"/>
  <c r="V45" i="31" a="1"/>
  <c r="V45" i="31" s="1"/>
  <c r="W45" i="31" s="1"/>
  <c r="V36" i="31" a="1"/>
  <c r="V36" i="31" s="1"/>
  <c r="W36" i="31" s="1"/>
  <c r="V18" i="31" a="1"/>
  <c r="V18" i="31" s="1"/>
  <c r="W18" i="31" s="1"/>
  <c r="V328" i="31" a="1"/>
  <c r="V328" i="31" s="1"/>
  <c r="W328" i="31" s="1"/>
  <c r="V323" i="31" a="1"/>
  <c r="V323" i="31" s="1"/>
  <c r="W323" i="31" s="1"/>
  <c r="V319" i="31" a="1"/>
  <c r="V319" i="31" s="1"/>
  <c r="W319" i="31" s="1"/>
  <c r="V310" i="31" a="1"/>
  <c r="V310" i="31" s="1"/>
  <c r="W310" i="31" s="1"/>
  <c r="V305" i="31" a="1"/>
  <c r="V305" i="31" s="1"/>
  <c r="W305" i="31" s="1"/>
  <c r="V292" i="31" a="1"/>
  <c r="V292" i="31" s="1"/>
  <c r="W292" i="31" s="1"/>
  <c r="V287" i="31" a="1"/>
  <c r="V287" i="31" s="1"/>
  <c r="W287" i="31" s="1"/>
  <c r="V274" i="31" a="1"/>
  <c r="V274" i="31" s="1"/>
  <c r="W274" i="31" s="1"/>
  <c r="V269" i="31" a="1"/>
  <c r="V269" i="31" s="1"/>
  <c r="W269" i="31" s="1"/>
  <c r="V265" i="31" a="1"/>
  <c r="V265" i="31" s="1"/>
  <c r="W265" i="31" s="1"/>
  <c r="V256" i="31" a="1"/>
  <c r="V256" i="31" s="1"/>
  <c r="W256" i="31" s="1"/>
  <c r="V251" i="31" a="1"/>
  <c r="V251" i="31" s="1"/>
  <c r="W251" i="31" s="1"/>
  <c r="V247" i="31" a="1"/>
  <c r="V247" i="31" s="1"/>
  <c r="W247" i="31" s="1"/>
  <c r="V238" i="31" a="1"/>
  <c r="V238" i="31" s="1"/>
  <c r="W238" i="31" s="1"/>
  <c r="V233" i="31" a="1"/>
  <c r="V233" i="31" s="1"/>
  <c r="W233" i="31" s="1"/>
  <c r="V220" i="31" a="1"/>
  <c r="V220" i="31" s="1"/>
  <c r="W220" i="31" s="1"/>
  <c r="V215" i="31" a="1"/>
  <c r="V215" i="31" s="1"/>
  <c r="W215" i="31" s="1"/>
  <c r="V202" i="31" a="1"/>
  <c r="V202" i="31" s="1"/>
  <c r="W202" i="31" s="1"/>
  <c r="V197" i="31" a="1"/>
  <c r="V197" i="31" s="1"/>
  <c r="W197" i="31" s="1"/>
  <c r="V193" i="31" a="1"/>
  <c r="V193" i="31" s="1"/>
  <c r="W193" i="31" s="1"/>
  <c r="V184" i="31" a="1"/>
  <c r="V184" i="31" s="1"/>
  <c r="W184" i="31" s="1"/>
  <c r="V179" i="31" a="1"/>
  <c r="V179" i="31" s="1"/>
  <c r="W179" i="31" s="1"/>
  <c r="V175" i="31" a="1"/>
  <c r="V175" i="31" s="1"/>
  <c r="W175" i="31" s="1"/>
  <c r="V166" i="31" a="1"/>
  <c r="V166" i="31" s="1"/>
  <c r="W166" i="31" s="1"/>
  <c r="V161" i="31" a="1"/>
  <c r="V161" i="31" s="1"/>
  <c r="W161" i="31" s="1"/>
  <c r="V148" i="31" a="1"/>
  <c r="V148" i="31" s="1"/>
  <c r="W148" i="31" s="1"/>
  <c r="V143" i="31" a="1"/>
  <c r="V143" i="31" s="1"/>
  <c r="W143" i="31" s="1"/>
  <c r="V130" i="31" a="1"/>
  <c r="V130" i="31" s="1"/>
  <c r="W130" i="31" s="1"/>
  <c r="V125" i="31" a="1"/>
  <c r="V125" i="31" s="1"/>
  <c r="W125" i="31" s="1"/>
  <c r="V121" i="31" a="1"/>
  <c r="V121" i="31" s="1"/>
  <c r="W121" i="31" s="1"/>
  <c r="V112" i="31" a="1"/>
  <c r="V112" i="31" s="1"/>
  <c r="W112" i="31" s="1"/>
  <c r="V107" i="31" a="1"/>
  <c r="V107" i="31" s="1"/>
  <c r="W107" i="31" s="1"/>
  <c r="V103" i="31" a="1"/>
  <c r="V103" i="31" s="1"/>
  <c r="W103" i="31" s="1"/>
  <c r="V94" i="31" a="1"/>
  <c r="V94" i="31" s="1"/>
  <c r="W94" i="31" s="1"/>
  <c r="V89" i="31" a="1"/>
  <c r="V89" i="31" s="1"/>
  <c r="W89" i="31" s="1"/>
  <c r="V76" i="31" a="1"/>
  <c r="V76" i="31" s="1"/>
  <c r="W76" i="31" s="1"/>
  <c r="V71" i="31" a="1"/>
  <c r="V71" i="31" s="1"/>
  <c r="W71" i="31" s="1"/>
  <c r="V58" i="31" a="1"/>
  <c r="V58" i="31" s="1"/>
  <c r="W58" i="31" s="1"/>
  <c r="V53" i="31" a="1"/>
  <c r="V53" i="31" s="1"/>
  <c r="W53" i="31" s="1"/>
  <c r="V49" i="31" a="1"/>
  <c r="V49" i="31" s="1"/>
  <c r="W49" i="31" s="1"/>
  <c r="V40" i="31" a="1"/>
  <c r="V40" i="31" s="1"/>
  <c r="W40" i="31" s="1"/>
  <c r="V35" i="31" a="1"/>
  <c r="V35" i="31" s="1"/>
  <c r="W35" i="31" s="1"/>
  <c r="V31" i="31" a="1"/>
  <c r="V31" i="31" s="1"/>
  <c r="W31" i="31" s="1"/>
  <c r="V22" i="31" a="1"/>
  <c r="V22" i="31" s="1"/>
  <c r="W22" i="31" s="1"/>
  <c r="V17" i="31" a="1"/>
  <c r="V17" i="31" s="1"/>
  <c r="W17" i="31" s="1"/>
  <c r="V4" i="31" a="1"/>
  <c r="V4" i="31" s="1"/>
  <c r="W4" i="31" s="1"/>
  <c r="DL178" i="11"/>
  <c r="DO280" i="11"/>
  <c r="DP280" i="11" s="1" a="1"/>
  <c r="DP280" i="11" s="1"/>
  <c r="DQ280" i="11" s="1"/>
  <c r="DL262" i="11"/>
  <c r="DL291" i="11"/>
  <c r="DJ309" i="11"/>
  <c r="DN274" i="11"/>
  <c r="DO262" i="11"/>
  <c r="DP262" i="11" s="1" a="1"/>
  <c r="DP262" i="11" s="1"/>
  <c r="DQ262" i="11" s="1"/>
  <c r="DL220" i="11"/>
  <c r="DL329" i="11"/>
  <c r="DN325" i="11"/>
  <c r="DO325" i="11"/>
  <c r="DP325" i="11" s="1" a="1"/>
  <c r="DP325" i="11" s="1"/>
  <c r="DQ325" i="11" s="1"/>
  <c r="DN329" i="11"/>
  <c r="DO329" i="11"/>
  <c r="DP329" i="11" s="1" a="1"/>
  <c r="DP329" i="11" s="1"/>
  <c r="DQ329" i="11" s="1"/>
  <c r="DN333" i="11"/>
  <c r="DO333" i="11"/>
  <c r="DP333" i="11" s="1" a="1"/>
  <c r="DP333" i="11" s="1"/>
  <c r="DQ333" i="11" s="1"/>
  <c r="DI273" i="11"/>
  <c r="DJ273" i="11"/>
  <c r="DO273" i="11"/>
  <c r="DP273" i="11" s="1" a="1"/>
  <c r="DP273" i="11" s="1"/>
  <c r="DQ273" i="11" s="1"/>
  <c r="DI216" i="11"/>
  <c r="DO216" i="11"/>
  <c r="DP216" i="11" s="1" a="1"/>
  <c r="DP216" i="11" s="1"/>
  <c r="DQ216" i="11" s="1"/>
  <c r="DO277" i="11"/>
  <c r="DP277" i="11" s="1" a="1"/>
  <c r="DP277" i="11" s="1"/>
  <c r="DQ277" i="11" s="1"/>
  <c r="DI196" i="11"/>
  <c r="DO196" i="11"/>
  <c r="DP196" i="11" s="1" a="1"/>
  <c r="DP196" i="11" s="1"/>
  <c r="DQ196" i="11" s="1"/>
  <c r="DN196" i="11"/>
  <c r="DJ196" i="11"/>
  <c r="DN263" i="11"/>
  <c r="DO263" i="11"/>
  <c r="DP263" i="11" s="1" a="1"/>
  <c r="DP263" i="11" s="1"/>
  <c r="DQ263" i="11" s="1"/>
  <c r="DI202" i="11"/>
  <c r="DO202" i="11"/>
  <c r="DP202" i="11" s="1" a="1"/>
  <c r="DP202" i="11" s="1"/>
  <c r="DQ202" i="11" s="1"/>
  <c r="DI213" i="11"/>
  <c r="DN213" i="11"/>
  <c r="DN273" i="11"/>
  <c r="DN221" i="11"/>
  <c r="DO221" i="11"/>
  <c r="DP221" i="11" s="1" a="1"/>
  <c r="DP221" i="11" s="1"/>
  <c r="DQ221" i="11" s="1"/>
  <c r="DJ243" i="11"/>
  <c r="DK243" i="11" s="1"/>
  <c r="DO247" i="11"/>
  <c r="DP247" i="11" s="1" a="1"/>
  <c r="DP247" i="11" s="1"/>
  <c r="DQ247" i="11" s="1"/>
  <c r="DO228" i="11"/>
  <c r="DP228" i="11" s="1" a="1"/>
  <c r="DP228" i="11" s="1"/>
  <c r="DL199" i="11"/>
  <c r="DL175" i="11"/>
  <c r="DO243" i="11"/>
  <c r="DP243" i="11" s="1" a="1"/>
  <c r="DP243" i="11" s="1"/>
  <c r="DQ243" i="11" s="1"/>
  <c r="DO220" i="11"/>
  <c r="DP220" i="11" s="1" a="1"/>
  <c r="DP220" i="11" s="1"/>
  <c r="DQ220" i="11" s="1"/>
  <c r="DL179" i="11"/>
  <c r="DL292" i="11"/>
  <c r="DN267" i="11"/>
  <c r="DJ271" i="11"/>
  <c r="DK271" i="11" s="1"/>
  <c r="DL250" i="11"/>
  <c r="DO235" i="11"/>
  <c r="DP235" i="11" s="1" a="1"/>
  <c r="DP235" i="11" s="1"/>
  <c r="DQ235" i="11" s="1"/>
  <c r="DL242" i="11"/>
  <c r="DL203" i="11"/>
  <c r="DO206" i="11"/>
  <c r="DP206" i="11" s="1" a="1"/>
  <c r="DP206" i="11" s="1"/>
  <c r="DQ206" i="11" s="1"/>
  <c r="DO210" i="11"/>
  <c r="DP210" i="11" s="1" a="1"/>
  <c r="DP210" i="11" s="1"/>
  <c r="DQ210" i="11" s="1"/>
  <c r="DO217" i="11"/>
  <c r="DP217" i="11" s="1" a="1"/>
  <c r="DP217" i="11" s="1"/>
  <c r="DQ217" i="11" s="1"/>
  <c r="DL198" i="11"/>
  <c r="DO284" i="11"/>
  <c r="DP284" i="11" s="1" a="1"/>
  <c r="DP284" i="11" s="1"/>
  <c r="DQ284" i="11" s="1"/>
  <c r="DO276" i="11"/>
  <c r="DP276" i="11" s="1" a="1"/>
  <c r="DP276" i="11" s="1"/>
  <c r="DQ276" i="11" s="1"/>
  <c r="DJ247" i="11"/>
  <c r="DK247" i="11" s="1"/>
  <c r="DL227" i="11"/>
  <c r="DL221" i="11"/>
  <c r="DI281" i="11"/>
  <c r="DO281" i="11"/>
  <c r="DP281" i="11" s="1" a="1"/>
  <c r="DP281" i="11" s="1"/>
  <c r="DQ281" i="11" s="1"/>
  <c r="DJ281" i="11"/>
  <c r="DN281" i="11"/>
  <c r="DO282" i="11"/>
  <c r="DP282" i="11" s="1" a="1"/>
  <c r="DP282" i="11" s="1"/>
  <c r="DQ282" i="11" s="1"/>
  <c r="DN282" i="11"/>
  <c r="DI282" i="11"/>
  <c r="DO283" i="11"/>
  <c r="DP283" i="11" s="1" a="1"/>
  <c r="DP283" i="11" s="1"/>
  <c r="DQ283" i="11" s="1"/>
  <c r="DN283" i="11"/>
  <c r="DJ283" i="11"/>
  <c r="DK283" i="11" s="1"/>
  <c r="DN279" i="11"/>
  <c r="DJ279" i="11"/>
  <c r="DK279" i="11" s="1"/>
  <c r="DL261" i="11"/>
  <c r="DO261" i="11"/>
  <c r="DP261" i="11" s="1" a="1"/>
  <c r="DP261" i="11" s="1"/>
  <c r="DQ261" i="11" s="1"/>
  <c r="DN261" i="11"/>
  <c r="DJ261" i="11"/>
  <c r="DI261" i="11"/>
  <c r="DO279" i="11"/>
  <c r="DP279" i="11" s="1" a="1"/>
  <c r="DP279" i="11" s="1"/>
  <c r="DQ279" i="11" s="1"/>
  <c r="DI280" i="11"/>
  <c r="DK280" i="11" s="1"/>
  <c r="DN280" i="11"/>
  <c r="DJ282" i="11"/>
  <c r="DO275" i="11"/>
  <c r="DP275" i="11" s="1" a="1"/>
  <c r="DP275" i="11" s="1"/>
  <c r="DQ275" i="11" s="1"/>
  <c r="DN275" i="11"/>
  <c r="DJ275" i="11"/>
  <c r="DI275" i="11"/>
  <c r="DI274" i="11"/>
  <c r="DK274" i="11" s="1"/>
  <c r="DO274" i="11"/>
  <c r="DP274" i="11" s="1" a="1"/>
  <c r="DP274" i="11" s="1"/>
  <c r="DQ274" i="11" s="1"/>
  <c r="DO268" i="11"/>
  <c r="DP268" i="11" s="1" a="1"/>
  <c r="DP268" i="11" s="1"/>
  <c r="DQ268" i="11" s="1"/>
  <c r="DJ268" i="11"/>
  <c r="DN268" i="11"/>
  <c r="DI268" i="11"/>
  <c r="DI278" i="11"/>
  <c r="DK278" i="11" s="1"/>
  <c r="DO278" i="11"/>
  <c r="DP278" i="11" s="1" a="1"/>
  <c r="DP278" i="11" s="1"/>
  <c r="DQ278" i="11" s="1"/>
  <c r="DN278" i="11"/>
  <c r="DO264" i="11"/>
  <c r="DP264" i="11" s="1" a="1"/>
  <c r="DP264" i="11" s="1"/>
  <c r="DQ264" i="11" s="1"/>
  <c r="DJ264" i="11"/>
  <c r="DN264" i="11"/>
  <c r="DI264" i="11"/>
  <c r="DI284" i="11"/>
  <c r="DI276" i="11"/>
  <c r="DI262" i="11"/>
  <c r="DI265" i="11"/>
  <c r="DN265" i="11"/>
  <c r="DI266" i="11"/>
  <c r="DJ267" i="11"/>
  <c r="DK267" i="11" s="1"/>
  <c r="DO267" i="11"/>
  <c r="DP267" i="11" s="1" a="1"/>
  <c r="DP267" i="11" s="1"/>
  <c r="DQ267" i="11" s="1"/>
  <c r="DI269" i="11"/>
  <c r="DN269" i="11"/>
  <c r="DN271" i="11"/>
  <c r="DN272" i="11"/>
  <c r="DN258" i="11"/>
  <c r="DN259" i="11"/>
  <c r="DN251" i="11"/>
  <c r="DN252" i="11"/>
  <c r="DN255" i="11"/>
  <c r="DN237" i="11"/>
  <c r="DJ237" i="11"/>
  <c r="DK237" i="11" s="1"/>
  <c r="DO237" i="11"/>
  <c r="DP237" i="11" s="1" a="1"/>
  <c r="DP237" i="11" s="1"/>
  <c r="DQ237" i="11" s="1"/>
  <c r="DI238" i="11"/>
  <c r="DO238" i="11"/>
  <c r="DP238" i="11" s="1" a="1"/>
  <c r="DP238" i="11" s="1"/>
  <c r="DQ238" i="11" s="1"/>
  <c r="DN238" i="11"/>
  <c r="DJ238" i="11"/>
  <c r="DN240" i="11"/>
  <c r="DI240" i="11"/>
  <c r="DO240" i="11"/>
  <c r="DP240" i="11" s="1" a="1"/>
  <c r="DP240" i="11" s="1"/>
  <c r="DQ240" i="11" s="1"/>
  <c r="DJ240" i="11"/>
  <c r="DJ284" i="11"/>
  <c r="DJ276" i="11"/>
  <c r="DI277" i="11"/>
  <c r="DJ262" i="11"/>
  <c r="DM262" i="11" s="1"/>
  <c r="DI263" i="11"/>
  <c r="DJ265" i="11"/>
  <c r="DN266" i="11"/>
  <c r="DJ266" i="11"/>
  <c r="DL268" i="11"/>
  <c r="DJ269" i="11"/>
  <c r="DI270" i="11"/>
  <c r="DN270" i="11"/>
  <c r="DJ270" i="11"/>
  <c r="DO271" i="11"/>
  <c r="DP271" i="11" s="1" a="1"/>
  <c r="DP271" i="11" s="1"/>
  <c r="DQ271" i="11" s="1"/>
  <c r="DI272" i="11"/>
  <c r="DI257" i="11"/>
  <c r="DN257" i="11"/>
  <c r="DJ257" i="11"/>
  <c r="DO258" i="11"/>
  <c r="DP258" i="11" s="1" a="1"/>
  <c r="DP258" i="11" s="1"/>
  <c r="DQ258" i="11" s="1"/>
  <c r="DI259" i="11"/>
  <c r="DI250" i="11"/>
  <c r="DN250" i="11"/>
  <c r="DJ250" i="11"/>
  <c r="DM250" i="11" s="1"/>
  <c r="DO251" i="11"/>
  <c r="DP251" i="11" s="1" a="1"/>
  <c r="DP251" i="11" s="1"/>
  <c r="DQ251" i="11" s="1"/>
  <c r="DI252" i="11"/>
  <c r="DI254" i="11"/>
  <c r="DN254" i="11"/>
  <c r="DJ254" i="11"/>
  <c r="DO255" i="11"/>
  <c r="DP255" i="11" s="1" a="1"/>
  <c r="DP255" i="11" s="1"/>
  <c r="DQ255" i="11" s="1"/>
  <c r="DN233" i="11"/>
  <c r="DJ233" i="11"/>
  <c r="DK233" i="11" s="1"/>
  <c r="DO233" i="11"/>
  <c r="DP233" i="11" s="1" a="1"/>
  <c r="DP233" i="11" s="1"/>
  <c r="DQ233" i="11" s="1"/>
  <c r="DI234" i="11"/>
  <c r="DO234" i="11"/>
  <c r="DP234" i="11" s="1" a="1"/>
  <c r="DP234" i="11" s="1"/>
  <c r="DQ234" i="11" s="1"/>
  <c r="DN234" i="11"/>
  <c r="DJ234" i="11"/>
  <c r="DO236" i="11"/>
  <c r="DP236" i="11" s="1" a="1"/>
  <c r="DP236" i="11" s="1"/>
  <c r="DQ236" i="11" s="1"/>
  <c r="DI236" i="11"/>
  <c r="DK236" i="11" s="1"/>
  <c r="DN236" i="11"/>
  <c r="DJ277" i="11"/>
  <c r="DJ263" i="11"/>
  <c r="DJ272" i="11"/>
  <c r="DN256" i="11"/>
  <c r="DJ256" i="11"/>
  <c r="DK256" i="11" s="1"/>
  <c r="DO256" i="11"/>
  <c r="DP256" i="11" s="1" a="1"/>
  <c r="DP256" i="11" s="1"/>
  <c r="DQ256" i="11" s="1"/>
  <c r="DJ258" i="11"/>
  <c r="DK258" i="11" s="1"/>
  <c r="DJ259" i="11"/>
  <c r="DN260" i="11"/>
  <c r="DJ260" i="11"/>
  <c r="DK260" i="11" s="1"/>
  <c r="DO260" i="11"/>
  <c r="DP260" i="11" s="1" a="1"/>
  <c r="DP260" i="11" s="1"/>
  <c r="DQ260" i="11" s="1"/>
  <c r="DJ251" i="11"/>
  <c r="DK251" i="11" s="1"/>
  <c r="DJ252" i="11"/>
  <c r="DN253" i="11"/>
  <c r="DJ253" i="11"/>
  <c r="DK253" i="11" s="1"/>
  <c r="DO253" i="11"/>
  <c r="DP253" i="11" s="1" a="1"/>
  <c r="DP253" i="11" s="1"/>
  <c r="DQ253" i="11" s="1"/>
  <c r="DJ255" i="11"/>
  <c r="DK255" i="11" s="1"/>
  <c r="DO232" i="11"/>
  <c r="DP232" i="11" s="1" a="1"/>
  <c r="DP232" i="11" s="1"/>
  <c r="DQ232" i="11" s="1"/>
  <c r="DI232" i="11"/>
  <c r="DK232" i="11" s="1"/>
  <c r="DN232" i="11"/>
  <c r="DI235" i="11"/>
  <c r="DJ239" i="11"/>
  <c r="DK239" i="11" s="1"/>
  <c r="DO239" i="11"/>
  <c r="DP239" i="11" s="1" a="1"/>
  <c r="DP239" i="11" s="1"/>
  <c r="DQ239" i="11" s="1"/>
  <c r="DI241" i="11"/>
  <c r="DN241" i="11"/>
  <c r="DL243" i="11"/>
  <c r="DM243" i="11" s="1"/>
  <c r="DN243" i="11"/>
  <c r="DN244" i="11"/>
  <c r="DL247" i="11"/>
  <c r="DM247" i="11" s="1"/>
  <c r="DN247" i="11"/>
  <c r="DO230" i="11"/>
  <c r="DP230" i="11" s="1" a="1"/>
  <c r="DP230" i="11" s="1"/>
  <c r="DN230" i="11"/>
  <c r="DJ230" i="11"/>
  <c r="DI230" i="11"/>
  <c r="DN231" i="11"/>
  <c r="DJ231" i="11"/>
  <c r="DI231" i="11"/>
  <c r="DL231" i="11"/>
  <c r="DO231" i="11"/>
  <c r="DP231" i="11" s="1" a="1"/>
  <c r="DP231" i="11" s="1"/>
  <c r="DO204" i="11"/>
  <c r="DP204" i="11" s="1" a="1"/>
  <c r="DP204" i="11" s="1"/>
  <c r="DQ204" i="11" s="1"/>
  <c r="DN204" i="11"/>
  <c r="DJ204" i="11"/>
  <c r="DI204" i="11"/>
  <c r="DN205" i="11"/>
  <c r="DJ205" i="11"/>
  <c r="DI205" i="11"/>
  <c r="DO205" i="11"/>
  <c r="DP205" i="11" s="1" a="1"/>
  <c r="DP205" i="11" s="1"/>
  <c r="DQ205" i="11" s="1"/>
  <c r="DJ235" i="11"/>
  <c r="DJ241" i="11"/>
  <c r="DN242" i="11"/>
  <c r="DJ242" i="11"/>
  <c r="DM242" i="11" s="1"/>
  <c r="DI242" i="11"/>
  <c r="DI244" i="11"/>
  <c r="DN246" i="11"/>
  <c r="DJ246" i="11"/>
  <c r="DI246" i="11"/>
  <c r="DN227" i="11"/>
  <c r="DJ227" i="11"/>
  <c r="DM227" i="11" s="1"/>
  <c r="DI227" i="11"/>
  <c r="DO227" i="11"/>
  <c r="DP227" i="11" s="1" a="1"/>
  <c r="DP227" i="11" s="1"/>
  <c r="DO229" i="11"/>
  <c r="DP229" i="11" s="1" a="1"/>
  <c r="DP229" i="11" s="1"/>
  <c r="DI229" i="11"/>
  <c r="DN229" i="11"/>
  <c r="DO208" i="11"/>
  <c r="DP208" i="11" s="1" a="1"/>
  <c r="DP208" i="11" s="1"/>
  <c r="DQ208" i="11" s="1"/>
  <c r="DN208" i="11"/>
  <c r="DJ208" i="11"/>
  <c r="DI208" i="11"/>
  <c r="DN209" i="11"/>
  <c r="DJ209" i="11"/>
  <c r="DI209" i="11"/>
  <c r="DL209" i="11"/>
  <c r="DO209" i="11"/>
  <c r="DP209" i="11" s="1" a="1"/>
  <c r="DP209" i="11" s="1"/>
  <c r="DQ209" i="11" s="1"/>
  <c r="DJ244" i="11"/>
  <c r="DO245" i="11"/>
  <c r="DP245" i="11" s="1" a="1"/>
  <c r="DP245" i="11" s="1"/>
  <c r="DQ245" i="11" s="1"/>
  <c r="DN245" i="11"/>
  <c r="DJ245" i="11"/>
  <c r="DK245" i="11" s="1"/>
  <c r="DL245" i="11"/>
  <c r="DO249" i="11"/>
  <c r="DP249" i="11" s="1" a="1"/>
  <c r="DP249" i="11" s="1"/>
  <c r="DQ249" i="11" s="1"/>
  <c r="DN249" i="11"/>
  <c r="DJ249" i="11"/>
  <c r="DK249" i="11" s="1"/>
  <c r="DL249" i="11"/>
  <c r="DN239" i="11"/>
  <c r="DO248" i="11"/>
  <c r="DP248" i="11" s="1" a="1"/>
  <c r="DP248" i="11" s="1"/>
  <c r="DQ248" i="11" s="1"/>
  <c r="DI248" i="11"/>
  <c r="DK248" i="11" s="1"/>
  <c r="DN248" i="11"/>
  <c r="DJ228" i="11"/>
  <c r="DK228" i="11" s="1"/>
  <c r="DN228" i="11"/>
  <c r="DJ202" i="11"/>
  <c r="DK202" i="11" s="1"/>
  <c r="DN202" i="11"/>
  <c r="DI203" i="11"/>
  <c r="DJ206" i="11"/>
  <c r="DK206" i="11" s="1"/>
  <c r="DN206" i="11"/>
  <c r="DI207" i="11"/>
  <c r="DJ210" i="11"/>
  <c r="DK210" i="11" s="1"/>
  <c r="DN210" i="11"/>
  <c r="DI211" i="11"/>
  <c r="DJ212" i="11"/>
  <c r="DK212" i="11" s="1"/>
  <c r="DO212" i="11"/>
  <c r="DP212" i="11" s="1" a="1"/>
  <c r="DP212" i="11" s="1"/>
  <c r="DQ212" i="11" s="1"/>
  <c r="DO214" i="11"/>
  <c r="DP214" i="11" s="1" a="1"/>
  <c r="DP214" i="11" s="1"/>
  <c r="DQ214" i="11" s="1"/>
  <c r="DI214" i="11"/>
  <c r="DN219" i="11"/>
  <c r="DJ219" i="11"/>
  <c r="DO219" i="11"/>
  <c r="DP219" i="11" s="1" a="1"/>
  <c r="DP219" i="11" s="1"/>
  <c r="DQ219" i="11" s="1"/>
  <c r="DJ203" i="11"/>
  <c r="DM203" i="11" s="1"/>
  <c r="DN203" i="11"/>
  <c r="DJ207" i="11"/>
  <c r="DN207" i="11"/>
  <c r="DN211" i="11"/>
  <c r="DJ211" i="11"/>
  <c r="DN215" i="11"/>
  <c r="DJ215" i="11"/>
  <c r="DK215" i="11" s="1"/>
  <c r="DO215" i="11"/>
  <c r="DP215" i="11" s="1" a="1"/>
  <c r="DP215" i="11" s="1"/>
  <c r="DQ215" i="11" s="1"/>
  <c r="DO218" i="11"/>
  <c r="DP218" i="11" s="1" a="1"/>
  <c r="DP218" i="11" s="1"/>
  <c r="DQ218" i="11" s="1"/>
  <c r="DI218" i="11"/>
  <c r="DK218" i="11" s="1"/>
  <c r="DL218" i="11"/>
  <c r="DM218" i="11" s="1"/>
  <c r="DN218" i="11"/>
  <c r="DN223" i="11"/>
  <c r="DJ223" i="11"/>
  <c r="DI223" i="11"/>
  <c r="DO223" i="11"/>
  <c r="DP223" i="11" s="1" a="1"/>
  <c r="DP223" i="11" s="1"/>
  <c r="DQ223" i="11" s="1"/>
  <c r="DO213" i="11"/>
  <c r="DP213" i="11" s="1" a="1"/>
  <c r="DP213" i="11" s="1"/>
  <c r="DQ213" i="11" s="1"/>
  <c r="DN214" i="11"/>
  <c r="DN212" i="11"/>
  <c r="DJ213" i="11"/>
  <c r="DK213" i="11" s="1"/>
  <c r="DJ214" i="11"/>
  <c r="DI219" i="11"/>
  <c r="DO197" i="11"/>
  <c r="DP197" i="11" s="1" a="1"/>
  <c r="DP197" i="11" s="1"/>
  <c r="DQ197" i="11" s="1"/>
  <c r="DJ197" i="11"/>
  <c r="DI197" i="11"/>
  <c r="DN197" i="11"/>
  <c r="DJ216" i="11"/>
  <c r="DK216" i="11" s="1"/>
  <c r="DN216" i="11"/>
  <c r="DI217" i="11"/>
  <c r="DJ220" i="11"/>
  <c r="DM220" i="11" s="1"/>
  <c r="DN220" i="11"/>
  <c r="DI221" i="11"/>
  <c r="DI224" i="11"/>
  <c r="DN224" i="11"/>
  <c r="DN199" i="11"/>
  <c r="DJ199" i="11"/>
  <c r="DM199" i="11" s="1"/>
  <c r="DI199" i="11"/>
  <c r="DO199" i="11"/>
  <c r="DP199" i="11" s="1" a="1"/>
  <c r="DP199" i="11" s="1"/>
  <c r="DQ199" i="11" s="1"/>
  <c r="DI201" i="11"/>
  <c r="DO201" i="11"/>
  <c r="DP201" i="11" s="1" a="1"/>
  <c r="DP201" i="11" s="1"/>
  <c r="DQ201" i="11" s="1"/>
  <c r="DN201" i="11"/>
  <c r="DJ201" i="11"/>
  <c r="DI191" i="11"/>
  <c r="DO191" i="11"/>
  <c r="DP191" i="11" s="1" a="1"/>
  <c r="DP191" i="11" s="1"/>
  <c r="DQ191" i="11" s="1"/>
  <c r="DN191" i="11"/>
  <c r="DJ191" i="11"/>
  <c r="DJ217" i="11"/>
  <c r="DJ221" i="11"/>
  <c r="DM221" i="11" s="1"/>
  <c r="DI222" i="11"/>
  <c r="DJ224" i="11"/>
  <c r="DI225" i="11"/>
  <c r="DN225" i="11"/>
  <c r="DO189" i="11"/>
  <c r="DP189" i="11" s="1" a="1"/>
  <c r="DP189" i="11" s="1"/>
  <c r="DQ189" i="11" s="1"/>
  <c r="DN189" i="11"/>
  <c r="DJ189" i="11"/>
  <c r="DI189" i="11"/>
  <c r="DO193" i="11"/>
  <c r="DP193" i="11" s="1" a="1"/>
  <c r="DP193" i="11" s="1"/>
  <c r="DQ193" i="11" s="1"/>
  <c r="DN193" i="11"/>
  <c r="DJ193" i="11"/>
  <c r="DI193" i="11"/>
  <c r="DJ222" i="11"/>
  <c r="DN222" i="11"/>
  <c r="DJ225" i="11"/>
  <c r="DN226" i="11"/>
  <c r="DJ226" i="11"/>
  <c r="DI226" i="11"/>
  <c r="DI200" i="11"/>
  <c r="DK200" i="11" s="1"/>
  <c r="DO200" i="11"/>
  <c r="DP200" i="11" s="1" a="1"/>
  <c r="DP200" i="11" s="1"/>
  <c r="DQ200" i="11" s="1"/>
  <c r="DN200" i="11"/>
  <c r="DO226" i="11"/>
  <c r="DP226" i="11" s="1" a="1"/>
  <c r="DP226" i="11" s="1"/>
  <c r="DQ226" i="11" s="1"/>
  <c r="DO198" i="11"/>
  <c r="DP198" i="11" s="1" a="1"/>
  <c r="DP198" i="11" s="1"/>
  <c r="DQ198" i="11" s="1"/>
  <c r="DN198" i="11"/>
  <c r="DJ198" i="11"/>
  <c r="DM198" i="11" s="1"/>
  <c r="DI198" i="11"/>
  <c r="DO188" i="11"/>
  <c r="DP188" i="11" s="1" a="1"/>
  <c r="DP188" i="11" s="1"/>
  <c r="DQ188" i="11" s="1"/>
  <c r="DN188" i="11"/>
  <c r="DJ188" i="11"/>
  <c r="DI188" i="11"/>
  <c r="DO192" i="11"/>
  <c r="DP192" i="11" s="1" a="1"/>
  <c r="DP192" i="11" s="1"/>
  <c r="DQ192" i="11" s="1"/>
  <c r="DN192" i="11"/>
  <c r="DJ192" i="11"/>
  <c r="DI192" i="11"/>
  <c r="DO190" i="11"/>
  <c r="DP190" i="11" s="1" a="1"/>
  <c r="DP190" i="11" s="1"/>
  <c r="DQ190" i="11" s="1"/>
  <c r="DO194" i="11"/>
  <c r="DP194" i="11" s="1" a="1"/>
  <c r="DP194" i="11" s="1"/>
  <c r="DQ194" i="11" s="1"/>
  <c r="DN195" i="11"/>
  <c r="DI187" i="11"/>
  <c r="DO187" i="11"/>
  <c r="DP187" i="11" s="1" a="1"/>
  <c r="DP187" i="11" s="1"/>
  <c r="DQ187" i="11" s="1"/>
  <c r="DN187" i="11"/>
  <c r="DJ187" i="11"/>
  <c r="DI181" i="11"/>
  <c r="DL181" i="11"/>
  <c r="DO181" i="11"/>
  <c r="DP181" i="11" s="1" a="1"/>
  <c r="DP181" i="11" s="1"/>
  <c r="DQ181" i="11" s="1"/>
  <c r="DN181" i="11"/>
  <c r="DJ181" i="11"/>
  <c r="DN172" i="11"/>
  <c r="DJ172" i="11"/>
  <c r="DI172" i="11"/>
  <c r="DO172" i="11"/>
  <c r="DP172" i="11" s="1" a="1"/>
  <c r="DP172" i="11" s="1"/>
  <c r="DQ172" i="11" s="1"/>
  <c r="DN176" i="11"/>
  <c r="DJ176" i="11"/>
  <c r="DI176" i="11"/>
  <c r="DO176" i="11"/>
  <c r="DP176" i="11" s="1" a="1"/>
  <c r="DP176" i="11" s="1"/>
  <c r="DQ176" i="11" s="1"/>
  <c r="DN184" i="11"/>
  <c r="DJ184" i="11"/>
  <c r="DI184" i="11"/>
  <c r="DO184" i="11"/>
  <c r="DP184" i="11" s="1" a="1"/>
  <c r="DP184" i="11" s="1"/>
  <c r="DQ184" i="11" s="1"/>
  <c r="DN186" i="11"/>
  <c r="DJ186" i="11"/>
  <c r="DI186" i="11"/>
  <c r="DO186" i="11"/>
  <c r="DP186" i="11" s="1" a="1"/>
  <c r="DP186" i="11" s="1"/>
  <c r="DQ186" i="11" s="1"/>
  <c r="DN180" i="11"/>
  <c r="DJ180" i="11"/>
  <c r="DI180" i="11"/>
  <c r="DO180" i="11"/>
  <c r="DP180" i="11" s="1" a="1"/>
  <c r="DP180" i="11" s="1"/>
  <c r="DQ180" i="11" s="1"/>
  <c r="DO182" i="11"/>
  <c r="DP182" i="11" s="1" a="1"/>
  <c r="DP182" i="11" s="1"/>
  <c r="DQ182" i="11" s="1"/>
  <c r="DN182" i="11"/>
  <c r="DJ182" i="11"/>
  <c r="DI182" i="11"/>
  <c r="DK182" i="11" s="1"/>
  <c r="DL172" i="11"/>
  <c r="DO174" i="11"/>
  <c r="DP174" i="11" s="1" a="1"/>
  <c r="DP174" i="11" s="1"/>
  <c r="DQ174" i="11" s="1"/>
  <c r="DN174" i="11"/>
  <c r="DJ174" i="11"/>
  <c r="DI174" i="11"/>
  <c r="DI190" i="11"/>
  <c r="DI194" i="11"/>
  <c r="DO178" i="11"/>
  <c r="DP178" i="11" s="1" a="1"/>
  <c r="DP178" i="11" s="1"/>
  <c r="DQ178" i="11" s="1"/>
  <c r="DN178" i="11"/>
  <c r="DJ178" i="11"/>
  <c r="DM178" i="11" s="1"/>
  <c r="DI178" i="11"/>
  <c r="DJ190" i="11"/>
  <c r="DJ194" i="11"/>
  <c r="DI195" i="11"/>
  <c r="DK195" i="11" s="1"/>
  <c r="DO195" i="11"/>
  <c r="DP195" i="11" s="1" a="1"/>
  <c r="DP195" i="11" s="1"/>
  <c r="DQ195" i="11" s="1"/>
  <c r="DO185" i="11"/>
  <c r="DP185" i="11" s="1" a="1"/>
  <c r="DP185" i="11" s="1"/>
  <c r="DQ185" i="11" s="1"/>
  <c r="DI185" i="11"/>
  <c r="DK185" i="11" s="1"/>
  <c r="DN185" i="11"/>
  <c r="DI173" i="11"/>
  <c r="DO173" i="11"/>
  <c r="DP173" i="11" s="1" a="1"/>
  <c r="DP173" i="11" s="1"/>
  <c r="DQ173" i="11" s="1"/>
  <c r="DN173" i="11"/>
  <c r="DJ173" i="11"/>
  <c r="DI177" i="11"/>
  <c r="DL177" i="11"/>
  <c r="DO177" i="11"/>
  <c r="DP177" i="11" s="1" a="1"/>
  <c r="DP177" i="11" s="1"/>
  <c r="DQ177" i="11" s="1"/>
  <c r="DN177" i="11"/>
  <c r="DJ177" i="11"/>
  <c r="DI179" i="11"/>
  <c r="DI183" i="11"/>
  <c r="DI175" i="11"/>
  <c r="DJ179" i="11"/>
  <c r="DM179" i="11" s="1"/>
  <c r="DN179" i="11"/>
  <c r="DJ183" i="11"/>
  <c r="DN183" i="11"/>
  <c r="DJ175" i="11"/>
  <c r="DM175" i="11" s="1"/>
  <c r="DN175" i="11"/>
  <c r="DL293" i="11"/>
  <c r="DL301" i="11"/>
  <c r="DI292" i="11"/>
  <c r="DK292" i="11" s="1"/>
  <c r="DO292" i="11"/>
  <c r="DP292" i="11" s="1" a="1"/>
  <c r="DP292" i="11" s="1"/>
  <c r="DQ292" i="11" s="1"/>
  <c r="DN292" i="11"/>
  <c r="DL298" i="11"/>
  <c r="DO298" i="11"/>
  <c r="DP298" i="11" s="1" a="1"/>
  <c r="DP298" i="11" s="1"/>
  <c r="DQ298" i="11" s="1"/>
  <c r="DN298" i="11"/>
  <c r="DJ298" i="11"/>
  <c r="DI298" i="11"/>
  <c r="DM292" i="11"/>
  <c r="DL294" i="11"/>
  <c r="DO294" i="11"/>
  <c r="DP294" i="11" s="1" a="1"/>
  <c r="DP294" i="11" s="1"/>
  <c r="DQ294" i="11" s="1"/>
  <c r="DN294" i="11"/>
  <c r="DJ294" i="11"/>
  <c r="DI294" i="11"/>
  <c r="DI297" i="11"/>
  <c r="DO297" i="11"/>
  <c r="DP297" i="11" s="1" a="1"/>
  <c r="DP297" i="11" s="1"/>
  <c r="DQ297" i="11" s="1"/>
  <c r="DN297" i="11"/>
  <c r="DJ297" i="11"/>
  <c r="DO299" i="11"/>
  <c r="DP299" i="11" s="1" a="1"/>
  <c r="DP299" i="11" s="1"/>
  <c r="DQ299" i="11" s="1"/>
  <c r="DN299" i="11"/>
  <c r="DJ299" i="11"/>
  <c r="DI299" i="11"/>
  <c r="DN291" i="11"/>
  <c r="DJ291" i="11"/>
  <c r="DM291" i="11" s="1"/>
  <c r="DI291" i="11"/>
  <c r="DO291" i="11"/>
  <c r="DP291" i="11" s="1" a="1"/>
  <c r="DP291" i="11" s="1"/>
  <c r="DQ291" i="11" s="1"/>
  <c r="DI293" i="11"/>
  <c r="DO293" i="11"/>
  <c r="DP293" i="11" s="1" a="1"/>
  <c r="DP293" i="11" s="1"/>
  <c r="DQ293" i="11" s="1"/>
  <c r="DN293" i="11"/>
  <c r="DJ293" i="11"/>
  <c r="DO295" i="11"/>
  <c r="DP295" i="11" s="1" a="1"/>
  <c r="DP295" i="11" s="1"/>
  <c r="DQ295" i="11" s="1"/>
  <c r="DN295" i="11"/>
  <c r="DJ295" i="11"/>
  <c r="DI295" i="11"/>
  <c r="DI301" i="11"/>
  <c r="DO301" i="11"/>
  <c r="DP301" i="11" s="1" a="1"/>
  <c r="DP301" i="11" s="1"/>
  <c r="DQ301" i="11" s="1"/>
  <c r="DN301" i="11"/>
  <c r="DJ301" i="11"/>
  <c r="DO296" i="11"/>
  <c r="DP296" i="11" s="1" a="1"/>
  <c r="DP296" i="11" s="1"/>
  <c r="DQ296" i="11" s="1"/>
  <c r="DO300" i="11"/>
  <c r="DP300" i="11" s="1" a="1"/>
  <c r="DP300" i="11" s="1"/>
  <c r="DQ300" i="11" s="1"/>
  <c r="DI296" i="11"/>
  <c r="DI300" i="11"/>
  <c r="DJ296" i="11"/>
  <c r="DJ300" i="11"/>
  <c r="DN308" i="11"/>
  <c r="DI308" i="11"/>
  <c r="DJ308" i="11"/>
  <c r="DO308" i="11"/>
  <c r="DP308" i="11" s="1" a="1"/>
  <c r="DP308" i="11" s="1"/>
  <c r="DQ308" i="11" s="1"/>
  <c r="DI309" i="11"/>
  <c r="DK309" i="11" s="1"/>
  <c r="DO309" i="11"/>
  <c r="DP309" i="11" s="1" a="1"/>
  <c r="DP309" i="11" s="1"/>
  <c r="DQ309" i="11" s="1"/>
  <c r="DO311" i="11"/>
  <c r="DP311" i="11" s="1" a="1"/>
  <c r="DP311" i="11" s="1"/>
  <c r="DQ311" i="11" s="1"/>
  <c r="DI311" i="11"/>
  <c r="DK311" i="11" s="1"/>
  <c r="DN311" i="11"/>
  <c r="DL313" i="11"/>
  <c r="DN310" i="11"/>
  <c r="DJ310" i="11"/>
  <c r="DI310" i="11"/>
  <c r="DO310" i="11"/>
  <c r="DP310" i="11" s="1" a="1"/>
  <c r="DP310" i="11" s="1"/>
  <c r="DQ310" i="11" s="1"/>
  <c r="DN312" i="11"/>
  <c r="DJ312" i="11"/>
  <c r="DI312" i="11"/>
  <c r="DO312" i="11"/>
  <c r="DP312" i="11" s="1" a="1"/>
  <c r="DP312" i="11" s="1"/>
  <c r="DQ312" i="11" s="1"/>
  <c r="DI313" i="11"/>
  <c r="DO313" i="11"/>
  <c r="DP313" i="11" s="1" a="1"/>
  <c r="DP313" i="11" s="1"/>
  <c r="DQ313" i="11" s="1"/>
  <c r="DN313" i="11"/>
  <c r="DJ313" i="11"/>
  <c r="DI320" i="11"/>
  <c r="DN320" i="11"/>
  <c r="DJ320" i="11"/>
  <c r="DO320" i="11"/>
  <c r="DP320" i="11" s="1" a="1"/>
  <c r="DP320" i="11" s="1"/>
  <c r="DQ320" i="11" s="1"/>
  <c r="DI321" i="11"/>
  <c r="DJ321" i="11"/>
  <c r="DO321" i="11"/>
  <c r="DP321" i="11" s="1" a="1"/>
  <c r="DP321" i="11" s="1"/>
  <c r="DQ321" i="11" s="1"/>
  <c r="DN321" i="11"/>
  <c r="DI323" i="11"/>
  <c r="DO323" i="11"/>
  <c r="DP323" i="11" s="1" a="1"/>
  <c r="DP323" i="11" s="1"/>
  <c r="DQ323" i="11" s="1"/>
  <c r="DN323" i="11"/>
  <c r="DJ323" i="11"/>
  <c r="DO324" i="11"/>
  <c r="DP324" i="11" s="1" a="1"/>
  <c r="DP324" i="11" s="1"/>
  <c r="DQ324" i="11" s="1"/>
  <c r="DN324" i="11"/>
  <c r="DJ324" i="11"/>
  <c r="DI324" i="11"/>
  <c r="DI331" i="11"/>
  <c r="DO331" i="11"/>
  <c r="DP331" i="11" s="1" a="1"/>
  <c r="DP331" i="11" s="1"/>
  <c r="DQ331" i="11" s="1"/>
  <c r="DN331" i="11"/>
  <c r="DJ331" i="11"/>
  <c r="DO332" i="11"/>
  <c r="DP332" i="11" s="1" a="1"/>
  <c r="DP332" i="11" s="1"/>
  <c r="DQ332" i="11" s="1"/>
  <c r="DN332" i="11"/>
  <c r="DJ332" i="11"/>
  <c r="DI332" i="11"/>
  <c r="DI322" i="11"/>
  <c r="DK322" i="11" s="1"/>
  <c r="DO322" i="11"/>
  <c r="DP322" i="11" s="1" a="1"/>
  <c r="DP322" i="11" s="1"/>
  <c r="DQ322" i="11" s="1"/>
  <c r="DN322" i="11"/>
  <c r="DI327" i="11"/>
  <c r="DO327" i="11"/>
  <c r="DP327" i="11" s="1" a="1"/>
  <c r="DP327" i="11" s="1"/>
  <c r="DQ327" i="11" s="1"/>
  <c r="DN327" i="11"/>
  <c r="DJ327" i="11"/>
  <c r="DO328" i="11"/>
  <c r="DP328" i="11" s="1" a="1"/>
  <c r="DP328" i="11" s="1"/>
  <c r="DQ328" i="11" s="1"/>
  <c r="DN328" i="11"/>
  <c r="DJ328" i="11"/>
  <c r="DI328" i="11"/>
  <c r="DI335" i="11"/>
  <c r="DO335" i="11"/>
  <c r="DP335" i="11" s="1" a="1"/>
  <c r="DP335" i="11" s="1"/>
  <c r="DQ335" i="11" s="1"/>
  <c r="DN335" i="11"/>
  <c r="DJ335" i="11"/>
  <c r="DO326" i="11"/>
  <c r="DP326" i="11" s="1" a="1"/>
  <c r="DP326" i="11" s="1"/>
  <c r="DQ326" i="11" s="1"/>
  <c r="DO330" i="11"/>
  <c r="DP330" i="11" s="1" a="1"/>
  <c r="DP330" i="11" s="1"/>
  <c r="DQ330" i="11" s="1"/>
  <c r="DO334" i="11"/>
  <c r="DP334" i="11" s="1" a="1"/>
  <c r="DP334" i="11" s="1"/>
  <c r="DQ334" i="11" s="1"/>
  <c r="DI325" i="11"/>
  <c r="DI329" i="11"/>
  <c r="DI333" i="11"/>
  <c r="DJ325" i="11"/>
  <c r="DI326" i="11"/>
  <c r="DJ329" i="11"/>
  <c r="DM329" i="11" s="1"/>
  <c r="DI330" i="11"/>
  <c r="DJ333" i="11"/>
  <c r="DI334" i="11"/>
  <c r="DJ326" i="11"/>
  <c r="DJ330" i="11"/>
  <c r="DJ334" i="11"/>
  <c r="DQ231" i="11" l="1"/>
  <c r="Z191" i="16"/>
  <c r="AA191" i="16" s="1"/>
  <c r="DQ230" i="11"/>
  <c r="Z190" i="16"/>
  <c r="AA190" i="16" s="1"/>
  <c r="DQ229" i="11"/>
  <c r="Z189" i="16"/>
  <c r="AA189" i="16" s="1"/>
  <c r="DQ228" i="11"/>
  <c r="Z188" i="16"/>
  <c r="AA188" i="16" s="1"/>
  <c r="DQ227" i="11"/>
  <c r="Z187" i="16"/>
  <c r="AA187" i="16" s="1"/>
  <c r="DK275" i="11"/>
  <c r="DK229" i="11"/>
  <c r="DM209" i="11"/>
  <c r="DK203" i="11"/>
  <c r="DK331" i="11"/>
  <c r="DK323" i="11"/>
  <c r="DK320" i="11"/>
  <c r="DK301" i="11"/>
  <c r="DK293" i="11"/>
  <c r="DK297" i="11"/>
  <c r="DK334" i="11"/>
  <c r="DK325" i="11"/>
  <c r="DK335" i="11"/>
  <c r="DK327" i="11"/>
  <c r="DK332" i="11"/>
  <c r="DK324" i="11"/>
  <c r="DK295" i="11"/>
  <c r="DK231" i="11"/>
  <c r="DK173" i="11"/>
  <c r="DK220" i="11"/>
  <c r="DK187" i="11"/>
  <c r="DK192" i="11"/>
  <c r="DK188" i="11"/>
  <c r="DK198" i="11"/>
  <c r="DK226" i="11"/>
  <c r="DK225" i="11"/>
  <c r="DK191" i="11"/>
  <c r="DK201" i="11"/>
  <c r="DK321" i="11"/>
  <c r="DK326" i="11"/>
  <c r="DK299" i="11"/>
  <c r="DK294" i="11"/>
  <c r="DM294" i="11"/>
  <c r="DK178" i="11"/>
  <c r="DK194" i="11"/>
  <c r="DK180" i="11"/>
  <c r="DK186" i="11"/>
  <c r="DK184" i="11"/>
  <c r="DK176" i="11"/>
  <c r="DK193" i="11"/>
  <c r="DK189" i="11"/>
  <c r="DK199" i="11"/>
  <c r="DK197" i="11"/>
  <c r="DK204" i="11"/>
  <c r="DK254" i="11"/>
  <c r="DK219" i="11"/>
  <c r="DK209" i="11"/>
  <c r="DK284" i="11"/>
  <c r="DK196" i="11"/>
  <c r="DK273" i="11"/>
  <c r="DK330" i="11"/>
  <c r="DK333" i="11"/>
  <c r="DK328" i="11"/>
  <c r="DK312" i="11"/>
  <c r="DK310" i="11"/>
  <c r="DK222" i="11"/>
  <c r="DK224" i="11"/>
  <c r="DK217" i="11"/>
  <c r="DK214" i="11"/>
  <c r="DK211" i="11"/>
  <c r="DK329" i="11"/>
  <c r="DM181" i="11"/>
  <c r="DK246" i="11"/>
  <c r="DK242" i="11"/>
  <c r="DK241" i="11"/>
  <c r="DK270" i="11"/>
  <c r="DK264" i="11"/>
  <c r="DK175" i="11"/>
  <c r="DK221" i="11"/>
  <c r="DK223" i="11"/>
  <c r="DK207" i="11"/>
  <c r="DM249" i="11"/>
  <c r="DM245" i="11"/>
  <c r="DK208" i="11"/>
  <c r="DK227" i="11"/>
  <c r="DK272" i="11"/>
  <c r="DK277" i="11"/>
  <c r="DK269" i="11"/>
  <c r="DK183" i="11"/>
  <c r="DK190" i="11"/>
  <c r="DK181" i="11"/>
  <c r="DK265" i="11"/>
  <c r="DK281" i="11"/>
  <c r="DK179" i="11"/>
  <c r="DM177" i="11"/>
  <c r="DK174" i="11"/>
  <c r="DM172" i="11"/>
  <c r="DK172" i="11"/>
  <c r="DK244" i="11"/>
  <c r="DK205" i="11"/>
  <c r="DM231" i="11"/>
  <c r="DK230" i="11"/>
  <c r="DK234" i="11"/>
  <c r="DK252" i="11"/>
  <c r="DK250" i="11"/>
  <c r="DM268" i="11"/>
  <c r="DK263" i="11"/>
  <c r="DK240" i="11"/>
  <c r="DK262" i="11"/>
  <c r="DK261" i="11"/>
  <c r="DM261" i="11"/>
  <c r="DK177" i="11"/>
  <c r="DK235" i="11"/>
  <c r="DK259" i="11"/>
  <c r="DK257" i="11"/>
  <c r="DK238" i="11"/>
  <c r="DK266" i="11"/>
  <c r="DK276" i="11"/>
  <c r="DK268" i="11"/>
  <c r="DK282" i="11"/>
  <c r="DK300" i="11"/>
  <c r="DK296" i="11"/>
  <c r="DK291" i="11"/>
  <c r="DK298" i="11"/>
  <c r="DM298" i="11"/>
  <c r="DM301" i="11"/>
  <c r="DM293" i="11"/>
  <c r="DK313" i="11"/>
  <c r="DM313" i="11"/>
  <c r="DK308" i="11"/>
  <c r="I102" i="8" a="1"/>
  <c r="I102" i="8" s="1"/>
  <c r="AB187" i="16" l="1"/>
  <c r="AC187" i="16"/>
  <c r="AS187" i="16" s="1" a="1"/>
  <c r="AS187" i="16" s="1"/>
  <c r="AB188" i="16"/>
  <c r="AC188" i="16"/>
  <c r="AS188" i="16" s="1" a="1"/>
  <c r="AS188" i="16" s="1"/>
  <c r="AC189" i="16"/>
  <c r="AS189" i="16" s="1" a="1"/>
  <c r="AS189" i="16" s="1"/>
  <c r="AB189" i="16"/>
  <c r="AC190" i="16"/>
  <c r="AS190" i="16" s="1" a="1"/>
  <c r="AS190" i="16" s="1"/>
  <c r="AB190" i="16"/>
  <c r="AB191" i="16"/>
  <c r="AC191" i="16"/>
  <c r="AS191" i="16" s="1" a="1"/>
  <c r="AS191" i="16" s="1"/>
  <c r="Q1706" i="9"/>
  <c r="S1706" i="9"/>
  <c r="Q1707" i="9"/>
  <c r="Q1708" i="9"/>
  <c r="S1708" i="9"/>
  <c r="Q1709" i="9"/>
  <c r="S1709" i="9"/>
  <c r="Q1710" i="9"/>
  <c r="S1710" i="9"/>
  <c r="Q1711" i="9"/>
  <c r="S1711" i="9"/>
  <c r="Q1712" i="9"/>
  <c r="S1712" i="9"/>
  <c r="Q1713" i="9"/>
  <c r="S1713" i="9"/>
  <c r="Q1714" i="9"/>
  <c r="S1714" i="9"/>
  <c r="Q1715" i="9"/>
  <c r="S1715" i="9"/>
  <c r="Q1716" i="9"/>
  <c r="S1716" i="9"/>
  <c r="Q1717" i="9"/>
  <c r="S1717" i="9"/>
  <c r="Q1718" i="9"/>
  <c r="Q1719" i="9"/>
  <c r="S1719" i="9"/>
  <c r="Q1720" i="9"/>
  <c r="S1720" i="9"/>
  <c r="Q1721" i="9"/>
  <c r="S1721" i="9"/>
  <c r="Q1722" i="9"/>
  <c r="S1722" i="9"/>
  <c r="Q1723" i="9"/>
  <c r="S1723" i="9"/>
  <c r="Q1724" i="9"/>
  <c r="S1724" i="9"/>
  <c r="Q1725" i="9"/>
  <c r="S1725" i="9"/>
  <c r="Q1726" i="9"/>
  <c r="S1726" i="9"/>
  <c r="Q1727" i="9"/>
  <c r="S1727" i="9"/>
  <c r="Q1728" i="9"/>
  <c r="S1728" i="9"/>
  <c r="Q1729" i="9"/>
  <c r="Q1730" i="9"/>
  <c r="S1730" i="9"/>
  <c r="Q1731" i="9"/>
  <c r="S1731" i="9"/>
  <c r="Q1732" i="9"/>
  <c r="S1732" i="9"/>
  <c r="Q1733" i="9"/>
  <c r="S1733" i="9"/>
  <c r="Q1734" i="9"/>
  <c r="S1734" i="9"/>
  <c r="Q1735" i="9"/>
  <c r="S1735" i="9"/>
  <c r="Q1736" i="9"/>
  <c r="S1736" i="9"/>
  <c r="Q1737" i="9"/>
  <c r="S1737" i="9"/>
  <c r="Q1738" i="9"/>
  <c r="S1738" i="9"/>
  <c r="Q1739" i="9"/>
  <c r="S1739" i="9"/>
  <c r="Q1740" i="9"/>
  <c r="Q1741" i="9"/>
  <c r="S1741" i="9"/>
  <c r="Q1742" i="9"/>
  <c r="S1742" i="9"/>
  <c r="Q1743" i="9"/>
  <c r="S1743" i="9"/>
  <c r="Q1744" i="9"/>
  <c r="S1744" i="9"/>
  <c r="Q1745" i="9"/>
  <c r="S1745" i="9"/>
  <c r="Q1746" i="9"/>
  <c r="S1746" i="9"/>
  <c r="Q1747" i="9"/>
  <c r="S1747" i="9"/>
  <c r="Q1748" i="9"/>
  <c r="S1748" i="9"/>
  <c r="Q1749" i="9"/>
  <c r="S1749" i="9"/>
  <c r="Q1750" i="9"/>
  <c r="S1750" i="9"/>
  <c r="Q1751" i="9"/>
  <c r="Q1752" i="9"/>
  <c r="S1752" i="9"/>
  <c r="Q1753" i="9"/>
  <c r="S1753" i="9"/>
  <c r="Q1754" i="9"/>
  <c r="S1754" i="9"/>
  <c r="Q1755" i="9"/>
  <c r="S1755" i="9"/>
  <c r="Q1756" i="9"/>
  <c r="S1756" i="9"/>
  <c r="Q1757" i="9"/>
  <c r="S1757" i="9"/>
  <c r="Q1758" i="9"/>
  <c r="S1758" i="9"/>
  <c r="Q1759" i="9"/>
  <c r="S1759" i="9"/>
  <c r="Q1760" i="9"/>
  <c r="S1760" i="9"/>
  <c r="Q1761" i="9"/>
  <c r="S1761" i="9"/>
  <c r="Q1762" i="9"/>
  <c r="Q1763" i="9"/>
  <c r="S1763" i="9"/>
  <c r="Q1764" i="9"/>
  <c r="S1764" i="9"/>
  <c r="Q1765" i="9"/>
  <c r="S1765" i="9"/>
  <c r="Q1766" i="9"/>
  <c r="S1766" i="9"/>
  <c r="Q1767" i="9"/>
  <c r="S1767" i="9"/>
  <c r="Q1768" i="9"/>
  <c r="S1768" i="9"/>
  <c r="Q1769" i="9"/>
  <c r="S1769" i="9"/>
  <c r="Q1770" i="9"/>
  <c r="S1770" i="9"/>
  <c r="Q1771" i="9"/>
  <c r="S1771" i="9"/>
  <c r="Q1772" i="9"/>
  <c r="S1772" i="9"/>
  <c r="Q1773" i="9"/>
  <c r="Q1774" i="9"/>
  <c r="S1774" i="9"/>
  <c r="Q1775" i="9"/>
  <c r="S1775" i="9"/>
  <c r="Q1776" i="9"/>
  <c r="S1776" i="9"/>
  <c r="Q1777" i="9"/>
  <c r="S1777" i="9"/>
  <c r="Q1778" i="9"/>
  <c r="S1778" i="9"/>
  <c r="Q1779" i="9"/>
  <c r="S1779" i="9"/>
  <c r="Q1780" i="9"/>
  <c r="S1780" i="9"/>
  <c r="Q1781" i="9"/>
  <c r="S1781" i="9"/>
  <c r="Q1782" i="9"/>
  <c r="S1782" i="9"/>
  <c r="Q1783" i="9"/>
  <c r="S1783" i="9"/>
  <c r="Q1784" i="9"/>
  <c r="Q1785" i="9"/>
  <c r="S1785" i="9"/>
  <c r="Q1786" i="9"/>
  <c r="S1786" i="9"/>
  <c r="Q1787" i="9"/>
  <c r="S1787" i="9"/>
  <c r="Q1788" i="9"/>
  <c r="S1788" i="9"/>
  <c r="Q1789" i="9"/>
  <c r="S1789" i="9"/>
  <c r="Q1790" i="9"/>
  <c r="S1790" i="9"/>
  <c r="Q1791" i="9"/>
  <c r="S1791" i="9"/>
  <c r="Q1792" i="9"/>
  <c r="S1792" i="9"/>
  <c r="Q1793" i="9"/>
  <c r="S1793" i="9"/>
  <c r="Q1794" i="9"/>
  <c r="S1794" i="9"/>
  <c r="Q1795" i="9"/>
  <c r="Q1796" i="9"/>
  <c r="S1796" i="9"/>
  <c r="Q1797" i="9"/>
  <c r="S1797" i="9"/>
  <c r="Q1798" i="9"/>
  <c r="S1798" i="9"/>
  <c r="Q1799" i="9"/>
  <c r="S1799" i="9"/>
  <c r="Q1800" i="9"/>
  <c r="S1800" i="9"/>
  <c r="Q1801" i="9"/>
  <c r="S1801" i="9"/>
  <c r="Q1802" i="9"/>
  <c r="S1802" i="9"/>
  <c r="Q1803" i="9"/>
  <c r="S1803" i="9"/>
  <c r="Q1804" i="9"/>
  <c r="S1804" i="9"/>
  <c r="Q1805" i="9"/>
  <c r="S1805" i="9"/>
  <c r="Q1806" i="9"/>
  <c r="Q1807" i="9"/>
  <c r="S1807" i="9"/>
  <c r="Q1808" i="9"/>
  <c r="S1808" i="9"/>
  <c r="Q1809" i="9"/>
  <c r="S1809" i="9"/>
  <c r="Q1810" i="9"/>
  <c r="S1810" i="9"/>
  <c r="Q1811" i="9"/>
  <c r="S1811" i="9"/>
  <c r="Q1812" i="9"/>
  <c r="S1812" i="9"/>
  <c r="Q1813" i="9"/>
  <c r="S1813" i="9"/>
  <c r="Q1814" i="9"/>
  <c r="S1814" i="9"/>
  <c r="Q1815" i="9"/>
  <c r="S1815" i="9"/>
  <c r="Q1816" i="9"/>
  <c r="S1816" i="9"/>
  <c r="Q1817" i="9"/>
  <c r="Q1818" i="9"/>
  <c r="S1818" i="9"/>
  <c r="Q1819" i="9"/>
  <c r="S1819" i="9"/>
  <c r="Q1820" i="9"/>
  <c r="S1820" i="9"/>
  <c r="Q1821" i="9"/>
  <c r="S1821" i="9"/>
  <c r="Q1822" i="9"/>
  <c r="S1822" i="9"/>
  <c r="Q1823" i="9"/>
  <c r="S1823" i="9"/>
  <c r="Q1824" i="9"/>
  <c r="S1824" i="9"/>
  <c r="Q1825" i="9"/>
  <c r="S1825" i="9"/>
  <c r="Q1826" i="9"/>
  <c r="S1826" i="9"/>
  <c r="Q1827" i="9"/>
  <c r="S1827" i="9"/>
  <c r="Q1828" i="9"/>
  <c r="Q1829" i="9"/>
  <c r="S1829" i="9"/>
  <c r="Q1830" i="9"/>
  <c r="S1830" i="9"/>
  <c r="Q1831" i="9"/>
  <c r="S1831" i="9"/>
  <c r="Q1832" i="9"/>
  <c r="S1832" i="9"/>
  <c r="Q1833" i="9"/>
  <c r="S1833" i="9"/>
  <c r="Q1834" i="9"/>
  <c r="S1834" i="9"/>
  <c r="Q1835" i="9"/>
  <c r="S1835" i="9"/>
  <c r="Q1836" i="9"/>
  <c r="S1836" i="9"/>
  <c r="Q1837" i="9"/>
  <c r="S1837" i="9"/>
  <c r="Q1838" i="9"/>
  <c r="S1838" i="9"/>
  <c r="Q1839" i="9"/>
  <c r="Q1840" i="9"/>
  <c r="S1840" i="9"/>
  <c r="Q1841" i="9"/>
  <c r="S1841" i="9"/>
  <c r="Q1842" i="9"/>
  <c r="S1842" i="9"/>
  <c r="Q1843" i="9"/>
  <c r="S1843" i="9"/>
  <c r="Q1844" i="9"/>
  <c r="S1844" i="9"/>
  <c r="Q1845" i="9"/>
  <c r="S1845" i="9"/>
  <c r="Q1846" i="9"/>
  <c r="S1846" i="9"/>
  <c r="Q1847" i="9"/>
  <c r="S1847" i="9"/>
  <c r="Q1848" i="9"/>
  <c r="S1848" i="9"/>
  <c r="Q1849" i="9"/>
  <c r="S1849" i="9"/>
  <c r="Q1850" i="9"/>
  <c r="Q1851" i="9"/>
  <c r="S1851" i="9"/>
  <c r="Q1852" i="9"/>
  <c r="S1852" i="9"/>
  <c r="Q1853" i="9"/>
  <c r="S1853" i="9"/>
  <c r="Q1854" i="9"/>
  <c r="S1854" i="9"/>
  <c r="Q1855" i="9"/>
  <c r="S1855" i="9"/>
  <c r="Q1856" i="9"/>
  <c r="S1856" i="9"/>
  <c r="Q1857" i="9"/>
  <c r="S1857" i="9"/>
  <c r="Q1858" i="9"/>
  <c r="S1858" i="9"/>
  <c r="Q1859" i="9"/>
  <c r="S1859" i="9"/>
  <c r="Q1860" i="9"/>
  <c r="S1860" i="9"/>
  <c r="Q1861" i="9"/>
  <c r="Q1862" i="9"/>
  <c r="S1862" i="9"/>
  <c r="Q1863" i="9"/>
  <c r="S1863" i="9"/>
  <c r="Q1864" i="9"/>
  <c r="S1864" i="9"/>
  <c r="Q1865" i="9"/>
  <c r="S1865" i="9"/>
  <c r="Q1866" i="9"/>
  <c r="S1866" i="9"/>
  <c r="Q1867" i="9"/>
  <c r="S1867" i="9"/>
  <c r="Q1868" i="9"/>
  <c r="S1868" i="9"/>
  <c r="Q1869" i="9"/>
  <c r="S1869" i="9"/>
  <c r="Q1870" i="9"/>
  <c r="S1870" i="9"/>
  <c r="Q1871" i="9"/>
  <c r="S1871" i="9"/>
  <c r="Q1872" i="9"/>
  <c r="Q1873" i="9"/>
  <c r="S1873" i="9"/>
  <c r="Q1874" i="9"/>
  <c r="S1874" i="9"/>
  <c r="Q1875" i="9"/>
  <c r="S1875" i="9"/>
  <c r="Q1876" i="9"/>
  <c r="S1876" i="9"/>
  <c r="Q1877" i="9"/>
  <c r="S1877" i="9"/>
  <c r="Q1878" i="9"/>
  <c r="S1878" i="9"/>
  <c r="Q1879" i="9"/>
  <c r="S1879" i="9"/>
  <c r="Q1880" i="9"/>
  <c r="S1880" i="9"/>
  <c r="Q1881" i="9"/>
  <c r="S1881" i="9"/>
  <c r="Q1882" i="9"/>
  <c r="S1882" i="9"/>
  <c r="Q1883" i="9"/>
  <c r="Q1884" i="9"/>
  <c r="S1884" i="9"/>
  <c r="Q1885" i="9"/>
  <c r="S1885" i="9"/>
  <c r="Q1886" i="9"/>
  <c r="S1886" i="9"/>
  <c r="Q1887" i="9"/>
  <c r="S1887" i="9"/>
  <c r="Q1888" i="9"/>
  <c r="S1888" i="9"/>
  <c r="Q1889" i="9"/>
  <c r="S1889" i="9"/>
  <c r="Q1890" i="9"/>
  <c r="S1890" i="9"/>
  <c r="Q1891" i="9"/>
  <c r="S1891" i="9"/>
  <c r="Q1892" i="9"/>
  <c r="S1892" i="9"/>
  <c r="Q1893" i="9"/>
  <c r="S1893" i="9"/>
  <c r="Q1894" i="9"/>
  <c r="Q1895" i="9"/>
  <c r="S1895" i="9"/>
  <c r="Q1896" i="9"/>
  <c r="S1896" i="9"/>
  <c r="Q1897" i="9"/>
  <c r="S1897" i="9"/>
  <c r="Q1898" i="9"/>
  <c r="S1898" i="9"/>
  <c r="Q1899" i="9"/>
  <c r="S1899" i="9"/>
  <c r="Q1900" i="9"/>
  <c r="S1900" i="9"/>
  <c r="Q1901" i="9"/>
  <c r="S1901" i="9"/>
  <c r="Q1902" i="9"/>
  <c r="S1902" i="9"/>
  <c r="Q1903" i="9"/>
  <c r="S1903" i="9"/>
  <c r="Q1904" i="9"/>
  <c r="S1904" i="9"/>
  <c r="Q1905" i="9"/>
  <c r="Q1906" i="9"/>
  <c r="S1906" i="9"/>
  <c r="Q1907" i="9"/>
  <c r="S1907" i="9"/>
  <c r="Q1908" i="9"/>
  <c r="S1908" i="9"/>
  <c r="Q1909" i="9"/>
  <c r="S1909" i="9"/>
  <c r="Q1910" i="9"/>
  <c r="S1910" i="9"/>
  <c r="Q1911" i="9"/>
  <c r="S1911" i="9"/>
  <c r="Q1912" i="9"/>
  <c r="S1912" i="9"/>
  <c r="Q1913" i="9"/>
  <c r="S1913" i="9"/>
  <c r="Q1914" i="9"/>
  <c r="S1914" i="9"/>
  <c r="Q1915" i="9"/>
  <c r="S1915" i="9"/>
  <c r="Q1916" i="9"/>
  <c r="Q1917" i="9"/>
  <c r="S1917" i="9"/>
  <c r="Q1918" i="9"/>
  <c r="S1918" i="9"/>
  <c r="Q1919" i="9"/>
  <c r="S1919" i="9"/>
  <c r="Q1920" i="9"/>
  <c r="S1920" i="9"/>
  <c r="Q1921" i="9"/>
  <c r="S1921" i="9"/>
  <c r="Q1922" i="9"/>
  <c r="S1922" i="9"/>
  <c r="Q1923" i="9"/>
  <c r="S1923" i="9"/>
  <c r="Q1924" i="9"/>
  <c r="S1924" i="9"/>
  <c r="Q1925" i="9"/>
  <c r="S1925" i="9"/>
  <c r="Q1926" i="9"/>
  <c r="S1926" i="9"/>
  <c r="Q1927" i="9"/>
  <c r="Q1928" i="9"/>
  <c r="S1928" i="9"/>
  <c r="Q1929" i="9"/>
  <c r="S1929" i="9"/>
  <c r="Q1930" i="9"/>
  <c r="S1930" i="9"/>
  <c r="Q1931" i="9"/>
  <c r="S1931" i="9"/>
  <c r="Q1932" i="9"/>
  <c r="S1932" i="9"/>
  <c r="Q1933" i="9"/>
  <c r="S1933" i="9"/>
  <c r="Q1934" i="9"/>
  <c r="S1934" i="9"/>
  <c r="Q1935" i="9"/>
  <c r="S1935" i="9"/>
  <c r="Q1936" i="9"/>
  <c r="S1936" i="9"/>
  <c r="Q1937" i="9"/>
  <c r="S1937" i="9"/>
  <c r="Q1938" i="9"/>
  <c r="Q1939" i="9"/>
  <c r="S1939" i="9"/>
  <c r="Q1940" i="9"/>
  <c r="S1940" i="9"/>
  <c r="Q1941" i="9"/>
  <c r="S1941" i="9"/>
  <c r="Q1942" i="9"/>
  <c r="S1942" i="9"/>
  <c r="Q1943" i="9"/>
  <c r="S1943" i="9"/>
  <c r="Q1944" i="9"/>
  <c r="S1944" i="9"/>
  <c r="Q1945" i="9"/>
  <c r="S1945" i="9"/>
  <c r="Q1946" i="9"/>
  <c r="S1946" i="9"/>
  <c r="Q1947" i="9"/>
  <c r="S1947" i="9"/>
  <c r="Q1948" i="9"/>
  <c r="S1948" i="9"/>
  <c r="Q1949" i="9"/>
  <c r="Q1950" i="9"/>
  <c r="S1950" i="9"/>
  <c r="Q1951" i="9"/>
  <c r="S1951" i="9"/>
  <c r="Q1952" i="9"/>
  <c r="S1952" i="9"/>
  <c r="Q1953" i="9"/>
  <c r="S1953" i="9"/>
  <c r="Q1954" i="9"/>
  <c r="S1954" i="9"/>
  <c r="Q1955" i="9"/>
  <c r="S1955" i="9"/>
  <c r="Q1956" i="9"/>
  <c r="S1956" i="9"/>
  <c r="Q1957" i="9"/>
  <c r="S1957" i="9"/>
  <c r="Q1958" i="9"/>
  <c r="S1958" i="9"/>
  <c r="Q1959" i="9"/>
  <c r="S1959" i="9"/>
  <c r="Q1960" i="9"/>
  <c r="Q1961" i="9"/>
  <c r="S1961" i="9"/>
  <c r="Q1962" i="9"/>
  <c r="S1962" i="9"/>
  <c r="Q1963" i="9"/>
  <c r="S1963" i="9"/>
  <c r="Q1964" i="9"/>
  <c r="S1964" i="9"/>
  <c r="Q1965" i="9"/>
  <c r="S1965" i="9"/>
  <c r="Q1966" i="9"/>
  <c r="S1966" i="9"/>
  <c r="Q1967" i="9"/>
  <c r="S1967" i="9"/>
  <c r="Q1968" i="9"/>
  <c r="S1968" i="9"/>
  <c r="Q1969" i="9"/>
  <c r="S1969" i="9"/>
  <c r="Q1970" i="9"/>
  <c r="S1970" i="9"/>
  <c r="Q1971" i="9"/>
  <c r="Q1972" i="9"/>
  <c r="S1972" i="9"/>
  <c r="Q1973" i="9"/>
  <c r="S1973" i="9"/>
  <c r="Q1974" i="9"/>
  <c r="S1974" i="9"/>
  <c r="Q1975" i="9"/>
  <c r="S1975" i="9"/>
  <c r="Q1976" i="9"/>
  <c r="S1976" i="9"/>
  <c r="Q1977" i="9"/>
  <c r="S1977" i="9"/>
  <c r="Q1978" i="9"/>
  <c r="S1978" i="9"/>
  <c r="Q1979" i="9"/>
  <c r="S1979" i="9"/>
  <c r="Q1980" i="9"/>
  <c r="S1980" i="9"/>
  <c r="Q1981" i="9"/>
  <c r="S1981" i="9"/>
  <c r="Q1982" i="9"/>
  <c r="Q1983" i="9"/>
  <c r="S1983" i="9"/>
  <c r="Q1984" i="9"/>
  <c r="S1984" i="9"/>
  <c r="Q1985" i="9"/>
  <c r="S1985" i="9"/>
  <c r="Q1986" i="9"/>
  <c r="S1986" i="9"/>
  <c r="Q1987" i="9"/>
  <c r="S1987" i="9"/>
  <c r="Q1988" i="9"/>
  <c r="S1988" i="9"/>
  <c r="Q1989" i="9"/>
  <c r="S1989" i="9"/>
  <c r="Q1990" i="9"/>
  <c r="S1990" i="9"/>
  <c r="Q1991" i="9"/>
  <c r="S1991" i="9"/>
  <c r="Q1992" i="9"/>
  <c r="S1992" i="9"/>
  <c r="Q1993" i="9"/>
  <c r="Q1994" i="9"/>
  <c r="S1994" i="9"/>
  <c r="Q1995" i="9"/>
  <c r="S1995" i="9"/>
  <c r="Q1996" i="9"/>
  <c r="S1996" i="9"/>
  <c r="Q1997" i="9"/>
  <c r="S1997" i="9"/>
  <c r="Q1998" i="9"/>
  <c r="S1998" i="9"/>
  <c r="Q1999" i="9"/>
  <c r="S1999" i="9"/>
  <c r="Q2000" i="9"/>
  <c r="S2000" i="9"/>
  <c r="Q2001" i="9"/>
  <c r="S2001" i="9"/>
  <c r="Q2002" i="9"/>
  <c r="S2002" i="9"/>
  <c r="Q2003" i="9"/>
  <c r="S2003" i="9"/>
  <c r="Q2004" i="9"/>
  <c r="Q2005" i="9"/>
  <c r="S2005" i="9"/>
  <c r="Q2006" i="9"/>
  <c r="S2006" i="9"/>
  <c r="Q2007" i="9"/>
  <c r="S2007" i="9"/>
  <c r="Q2008" i="9"/>
  <c r="S2008" i="9"/>
  <c r="Q2009" i="9"/>
  <c r="S2009" i="9"/>
  <c r="Q2010" i="9"/>
  <c r="S2010" i="9"/>
  <c r="Q2011" i="9"/>
  <c r="S2011" i="9"/>
  <c r="Q2012" i="9"/>
  <c r="S2012" i="9"/>
  <c r="Q2013" i="9"/>
  <c r="S2013" i="9"/>
  <c r="Q2014" i="9"/>
  <c r="S2014" i="9"/>
  <c r="Q2015" i="9"/>
  <c r="Q2016" i="9"/>
  <c r="S2016" i="9"/>
  <c r="Q2017" i="9"/>
  <c r="S2017" i="9"/>
  <c r="Q2018" i="9"/>
  <c r="S2018" i="9"/>
  <c r="Q2019" i="9"/>
  <c r="S2019" i="9"/>
  <c r="Q2020" i="9"/>
  <c r="S2020" i="9"/>
  <c r="Q2021" i="9"/>
  <c r="S2021" i="9"/>
  <c r="Q2022" i="9"/>
  <c r="S2022" i="9"/>
  <c r="Q2023" i="9"/>
  <c r="S2023" i="9"/>
  <c r="Q2024" i="9"/>
  <c r="S2024" i="9"/>
  <c r="Q2025" i="9"/>
  <c r="S2025" i="9"/>
  <c r="Q2026" i="9"/>
  <c r="Q2027" i="9"/>
  <c r="S2027" i="9"/>
  <c r="Q2028" i="9"/>
  <c r="S2028" i="9"/>
  <c r="Q2029" i="9"/>
  <c r="S2029" i="9"/>
  <c r="Q2030" i="9"/>
  <c r="S2030" i="9"/>
  <c r="Q2031" i="9"/>
  <c r="S2031" i="9"/>
  <c r="Q2032" i="9"/>
  <c r="S2032" i="9"/>
  <c r="Q2033" i="9"/>
  <c r="S2033" i="9"/>
  <c r="Q2034" i="9"/>
  <c r="S2034" i="9"/>
  <c r="Q2035" i="9"/>
  <c r="S2035" i="9"/>
  <c r="Q2333" i="9"/>
  <c r="S2333" i="9"/>
  <c r="S1189" i="9"/>
  <c r="S1191" i="9"/>
  <c r="S1192" i="9"/>
  <c r="S1193" i="9"/>
  <c r="S1194" i="9"/>
  <c r="S1195" i="9"/>
  <c r="S1196" i="9"/>
  <c r="S1197" i="9"/>
  <c r="S1198" i="9"/>
  <c r="S1199" i="9"/>
  <c r="S1200" i="9"/>
  <c r="S1202" i="9"/>
  <c r="S1203" i="9"/>
  <c r="S1204" i="9"/>
  <c r="S1205" i="9"/>
  <c r="S1206" i="9"/>
  <c r="S1207" i="9"/>
  <c r="S1208" i="9"/>
  <c r="S1209" i="9"/>
  <c r="S1210" i="9"/>
  <c r="S1211" i="9"/>
  <c r="S1213" i="9"/>
  <c r="S1214" i="9"/>
  <c r="S1215" i="9"/>
  <c r="S1216" i="9"/>
  <c r="S1217" i="9"/>
  <c r="S1218" i="9"/>
  <c r="S1219" i="9"/>
  <c r="S1220" i="9"/>
  <c r="S1221" i="9"/>
  <c r="S1222" i="9"/>
  <c r="S1224" i="9"/>
  <c r="S1225" i="9"/>
  <c r="S1226" i="9"/>
  <c r="S1227" i="9"/>
  <c r="S1228" i="9"/>
  <c r="S1229" i="9"/>
  <c r="S1230" i="9"/>
  <c r="S1231" i="9"/>
  <c r="S1232" i="9"/>
  <c r="S1233" i="9"/>
  <c r="S1235" i="9"/>
  <c r="S1236" i="9"/>
  <c r="S1237" i="9"/>
  <c r="S1238" i="9"/>
  <c r="S1239" i="9"/>
  <c r="S1240" i="9"/>
  <c r="S1241" i="9"/>
  <c r="S1242" i="9"/>
  <c r="S1243" i="9"/>
  <c r="S1244" i="9"/>
  <c r="S1246" i="9"/>
  <c r="S1247" i="9"/>
  <c r="S1248" i="9"/>
  <c r="S1249" i="9"/>
  <c r="S1250" i="9"/>
  <c r="S1251" i="9"/>
  <c r="S1252" i="9"/>
  <c r="S1253" i="9"/>
  <c r="S1254" i="9"/>
  <c r="S1255" i="9"/>
  <c r="S1257" i="9"/>
  <c r="S1258" i="9"/>
  <c r="S1259" i="9"/>
  <c r="S1260" i="9"/>
  <c r="S1261" i="9"/>
  <c r="S1262" i="9"/>
  <c r="S1263" i="9"/>
  <c r="S1264" i="9"/>
  <c r="S1265" i="9"/>
  <c r="S1266" i="9"/>
  <c r="S1268" i="9"/>
  <c r="S1269" i="9"/>
  <c r="S1270" i="9"/>
  <c r="S1271" i="9"/>
  <c r="S1272" i="9"/>
  <c r="S1273" i="9"/>
  <c r="S1274" i="9"/>
  <c r="S1275" i="9"/>
  <c r="S1276" i="9"/>
  <c r="S1277" i="9"/>
  <c r="S1279" i="9"/>
  <c r="S1280" i="9"/>
  <c r="S1281" i="9"/>
  <c r="S1282" i="9"/>
  <c r="S1283" i="9"/>
  <c r="S1284" i="9"/>
  <c r="S1285" i="9"/>
  <c r="S1286" i="9"/>
  <c r="S1287" i="9"/>
  <c r="S1288" i="9"/>
  <c r="S1290" i="9"/>
  <c r="S1291" i="9"/>
  <c r="S1292" i="9"/>
  <c r="S1293" i="9"/>
  <c r="S1294" i="9"/>
  <c r="S1295" i="9"/>
  <c r="S1296" i="9"/>
  <c r="S1297" i="9"/>
  <c r="S1298" i="9"/>
  <c r="S1299" i="9"/>
  <c r="S1301" i="9"/>
  <c r="S1302" i="9"/>
  <c r="S1303" i="9"/>
  <c r="S1304" i="9"/>
  <c r="S1305" i="9"/>
  <c r="S1306" i="9"/>
  <c r="S1307" i="9"/>
  <c r="S1308" i="9"/>
  <c r="S1309" i="9"/>
  <c r="S1310" i="9"/>
  <c r="S1312" i="9"/>
  <c r="S1313" i="9"/>
  <c r="S1314" i="9"/>
  <c r="S1315" i="9"/>
  <c r="S1316" i="9"/>
  <c r="S1317" i="9"/>
  <c r="S1318" i="9"/>
  <c r="S1319" i="9"/>
  <c r="S1320" i="9"/>
  <c r="S1321" i="9"/>
  <c r="S1323" i="9"/>
  <c r="S1324" i="9"/>
  <c r="S1325" i="9"/>
  <c r="S1326" i="9"/>
  <c r="S1327" i="9"/>
  <c r="S1328" i="9"/>
  <c r="S1329" i="9"/>
  <c r="S1330" i="9"/>
  <c r="S1331" i="9"/>
  <c r="S1332" i="9"/>
  <c r="S1334" i="9"/>
  <c r="S1335" i="9"/>
  <c r="S1336" i="9"/>
  <c r="S1337" i="9"/>
  <c r="S1338" i="9"/>
  <c r="S1339" i="9"/>
  <c r="S1340" i="9"/>
  <c r="S1341" i="9"/>
  <c r="S1342" i="9"/>
  <c r="S1343" i="9"/>
  <c r="S1345" i="9"/>
  <c r="S1346" i="9"/>
  <c r="S1347" i="9"/>
  <c r="S1348" i="9"/>
  <c r="S1349" i="9"/>
  <c r="S1350" i="9"/>
  <c r="S1351" i="9"/>
  <c r="S1352" i="9"/>
  <c r="S1353" i="9"/>
  <c r="S1354" i="9"/>
  <c r="S1356" i="9"/>
  <c r="S1357" i="9"/>
  <c r="S1358" i="9"/>
  <c r="S1359" i="9"/>
  <c r="S1360" i="9"/>
  <c r="S1361" i="9"/>
  <c r="S1362" i="9"/>
  <c r="S1363" i="9"/>
  <c r="S1364" i="9"/>
  <c r="S1365" i="9"/>
  <c r="S1367" i="9"/>
  <c r="S1368" i="9"/>
  <c r="S1369" i="9"/>
  <c r="S1370" i="9"/>
  <c r="S1371" i="9"/>
  <c r="S1372" i="9"/>
  <c r="S1373" i="9"/>
  <c r="S1374" i="9"/>
  <c r="S1375" i="9"/>
  <c r="S1376" i="9"/>
  <c r="S1378" i="9"/>
  <c r="S1379" i="9"/>
  <c r="S1380" i="9"/>
  <c r="S1381" i="9"/>
  <c r="S1382" i="9"/>
  <c r="S1383" i="9"/>
  <c r="S1384" i="9"/>
  <c r="S1385" i="9"/>
  <c r="S1386" i="9"/>
  <c r="S1387" i="9"/>
  <c r="S1389" i="9"/>
  <c r="S1390" i="9"/>
  <c r="S1391" i="9"/>
  <c r="S1392" i="9"/>
  <c r="S1393" i="9"/>
  <c r="S1394" i="9"/>
  <c r="S1395" i="9"/>
  <c r="S1396" i="9"/>
  <c r="S1397" i="9"/>
  <c r="S1398" i="9"/>
  <c r="S1400" i="9"/>
  <c r="S1401" i="9"/>
  <c r="S1402" i="9"/>
  <c r="S1403" i="9"/>
  <c r="S1404" i="9"/>
  <c r="S1405" i="9"/>
  <c r="S1406" i="9"/>
  <c r="S1407" i="9"/>
  <c r="S1408" i="9"/>
  <c r="S1409" i="9"/>
  <c r="S1411" i="9"/>
  <c r="S1412" i="9"/>
  <c r="S1413" i="9"/>
  <c r="S1414" i="9"/>
  <c r="S1415" i="9"/>
  <c r="S1416" i="9"/>
  <c r="S1417" i="9"/>
  <c r="S1418" i="9"/>
  <c r="S1419" i="9"/>
  <c r="S1420" i="9"/>
  <c r="S1422" i="9"/>
  <c r="S1423" i="9"/>
  <c r="S1424" i="9"/>
  <c r="S1425" i="9"/>
  <c r="S1426" i="9"/>
  <c r="S1427" i="9"/>
  <c r="S1428" i="9"/>
  <c r="S1429" i="9"/>
  <c r="S1430" i="9"/>
  <c r="S1431" i="9"/>
  <c r="S1433" i="9"/>
  <c r="S1434" i="9"/>
  <c r="S1435" i="9"/>
  <c r="S1436" i="9"/>
  <c r="S1437" i="9"/>
  <c r="S1438" i="9"/>
  <c r="S1439" i="9"/>
  <c r="S1440" i="9"/>
  <c r="S1441" i="9"/>
  <c r="S1442" i="9"/>
  <c r="S1444" i="9"/>
  <c r="S1445" i="9"/>
  <c r="S1446" i="9"/>
  <c r="S1447" i="9"/>
  <c r="S1448" i="9"/>
  <c r="S1449" i="9"/>
  <c r="S1450" i="9"/>
  <c r="S1451" i="9"/>
  <c r="S1452" i="9"/>
  <c r="S1453" i="9"/>
  <c r="S1455" i="9"/>
  <c r="S1456" i="9"/>
  <c r="S1457" i="9"/>
  <c r="S1458" i="9"/>
  <c r="S1459" i="9"/>
  <c r="S1460" i="9"/>
  <c r="S1461" i="9"/>
  <c r="S1462" i="9"/>
  <c r="S1463" i="9"/>
  <c r="S1464" i="9"/>
  <c r="S1466" i="9"/>
  <c r="S1467" i="9"/>
  <c r="S1468" i="9"/>
  <c r="S1469" i="9"/>
  <c r="S1470" i="9"/>
  <c r="S1471" i="9"/>
  <c r="S1472" i="9"/>
  <c r="S1473" i="9"/>
  <c r="S1474" i="9"/>
  <c r="S1475" i="9"/>
  <c r="S1477" i="9"/>
  <c r="S1478" i="9"/>
  <c r="S1479" i="9"/>
  <c r="S1480" i="9"/>
  <c r="S1481" i="9"/>
  <c r="S1482" i="9"/>
  <c r="S1483" i="9"/>
  <c r="S1484" i="9"/>
  <c r="S1485" i="9"/>
  <c r="S1486" i="9"/>
  <c r="S1488" i="9"/>
  <c r="S1489" i="9"/>
  <c r="S1490" i="9"/>
  <c r="S1491" i="9"/>
  <c r="S1492" i="9"/>
  <c r="S1493" i="9"/>
  <c r="S1494" i="9"/>
  <c r="S1495" i="9"/>
  <c r="S1496" i="9"/>
  <c r="S1497" i="9"/>
  <c r="S1499" i="9"/>
  <c r="S1500" i="9"/>
  <c r="S1501" i="9"/>
  <c r="S1502" i="9"/>
  <c r="S1503" i="9"/>
  <c r="S1504" i="9"/>
  <c r="S1505" i="9"/>
  <c r="S1506" i="9"/>
  <c r="S1507" i="9"/>
  <c r="S1508" i="9"/>
  <c r="S1510" i="9"/>
  <c r="S1511" i="9"/>
  <c r="S1512" i="9"/>
  <c r="S1513" i="9"/>
  <c r="S1514" i="9"/>
  <c r="S1515" i="9"/>
  <c r="S1516" i="9"/>
  <c r="S1517" i="9"/>
  <c r="S1518" i="9"/>
  <c r="S1519" i="9"/>
  <c r="S1521" i="9"/>
  <c r="S1522" i="9"/>
  <c r="S1523" i="9"/>
  <c r="S1524" i="9"/>
  <c r="S1525" i="9"/>
  <c r="S1526" i="9"/>
  <c r="S1527" i="9"/>
  <c r="S1528" i="9"/>
  <c r="S1529" i="9"/>
  <c r="S1530" i="9"/>
  <c r="S1532" i="9"/>
  <c r="S1533" i="9"/>
  <c r="S1534" i="9"/>
  <c r="S1535" i="9"/>
  <c r="S1536" i="9"/>
  <c r="S1537" i="9"/>
  <c r="S1538" i="9"/>
  <c r="S1539" i="9"/>
  <c r="S1540" i="9"/>
  <c r="S1541" i="9"/>
  <c r="S1543" i="9"/>
  <c r="S1544" i="9"/>
  <c r="S1545" i="9"/>
  <c r="S1546" i="9"/>
  <c r="S1547" i="9"/>
  <c r="S1548" i="9"/>
  <c r="S1549" i="9"/>
  <c r="S1550" i="9"/>
  <c r="S1551" i="9"/>
  <c r="S1552" i="9"/>
  <c r="S1554" i="9"/>
  <c r="S1555" i="9"/>
  <c r="S1556" i="9"/>
  <c r="S1557" i="9"/>
  <c r="S1558" i="9"/>
  <c r="S1559" i="9"/>
  <c r="S1560" i="9"/>
  <c r="S1561" i="9"/>
  <c r="S1562" i="9"/>
  <c r="S1563" i="9"/>
  <c r="S1565" i="9"/>
  <c r="S1566" i="9"/>
  <c r="S1567" i="9"/>
  <c r="S1568" i="9"/>
  <c r="S1569" i="9"/>
  <c r="S1570" i="9"/>
  <c r="S1571" i="9"/>
  <c r="S1572" i="9"/>
  <c r="S1573" i="9"/>
  <c r="S1574" i="9"/>
  <c r="S1576" i="9"/>
  <c r="S1577" i="9"/>
  <c r="S1578" i="9"/>
  <c r="S1579" i="9"/>
  <c r="S1580" i="9"/>
  <c r="S1581" i="9"/>
  <c r="S1582" i="9"/>
  <c r="S1583" i="9"/>
  <c r="S1584" i="9"/>
  <c r="S1585" i="9"/>
  <c r="S1587" i="9"/>
  <c r="S1588" i="9"/>
  <c r="S1589" i="9"/>
  <c r="S1590" i="9"/>
  <c r="S1591" i="9"/>
  <c r="S1592" i="9"/>
  <c r="S1593" i="9"/>
  <c r="S1594" i="9"/>
  <c r="S1595" i="9"/>
  <c r="S1596" i="9"/>
  <c r="S1598" i="9"/>
  <c r="S1599" i="9"/>
  <c r="S1600" i="9"/>
  <c r="S1601" i="9"/>
  <c r="S1602" i="9"/>
  <c r="S1603" i="9"/>
  <c r="S1604" i="9"/>
  <c r="S1605" i="9"/>
  <c r="S1606" i="9"/>
  <c r="S1607" i="9"/>
  <c r="S1609" i="9"/>
  <c r="S1610" i="9"/>
  <c r="S1611" i="9"/>
  <c r="S1612" i="9"/>
  <c r="S1613" i="9"/>
  <c r="S1614" i="9"/>
  <c r="S1615" i="9"/>
  <c r="S1616" i="9"/>
  <c r="S1617" i="9"/>
  <c r="S1618" i="9"/>
  <c r="S1620" i="9"/>
  <c r="S1621" i="9"/>
  <c r="S1622" i="9"/>
  <c r="S1623" i="9"/>
  <c r="S1624" i="9"/>
  <c r="S1625" i="9"/>
  <c r="S1626" i="9"/>
  <c r="S1627" i="9"/>
  <c r="S1628" i="9"/>
  <c r="S1629" i="9"/>
  <c r="S1631" i="9"/>
  <c r="S1632" i="9"/>
  <c r="S1633" i="9"/>
  <c r="S1634" i="9"/>
  <c r="S1635" i="9"/>
  <c r="S1636" i="9"/>
  <c r="S1637" i="9"/>
  <c r="S1638" i="9"/>
  <c r="S1639" i="9"/>
  <c r="S1640" i="9"/>
  <c r="S1642" i="9"/>
  <c r="S1643" i="9"/>
  <c r="S1644" i="9"/>
  <c r="S1645" i="9"/>
  <c r="S1646" i="9"/>
  <c r="S1647" i="9"/>
  <c r="S1648" i="9"/>
  <c r="S1649" i="9"/>
  <c r="S1650" i="9"/>
  <c r="S1651" i="9"/>
  <c r="S1653" i="9"/>
  <c r="S1654" i="9"/>
  <c r="S1655" i="9"/>
  <c r="S1656" i="9"/>
  <c r="S1657" i="9"/>
  <c r="S1658" i="9"/>
  <c r="S1659" i="9"/>
  <c r="S1660" i="9"/>
  <c r="S1661" i="9"/>
  <c r="S1662" i="9"/>
  <c r="S1664" i="9"/>
  <c r="S1665" i="9"/>
  <c r="S1666" i="9"/>
  <c r="S1667" i="9"/>
  <c r="S1668" i="9"/>
  <c r="S1669" i="9"/>
  <c r="S1670" i="9"/>
  <c r="S1671" i="9"/>
  <c r="S1672" i="9"/>
  <c r="S1673" i="9"/>
  <c r="S1675" i="9"/>
  <c r="S1676" i="9"/>
  <c r="S1677" i="9"/>
  <c r="S1678" i="9"/>
  <c r="S1679" i="9"/>
  <c r="S1680" i="9"/>
  <c r="S1681" i="9"/>
  <c r="S1682" i="9"/>
  <c r="S1683" i="9"/>
  <c r="S1684" i="9"/>
  <c r="S1686" i="9"/>
  <c r="S1687" i="9"/>
  <c r="S1688" i="9"/>
  <c r="S1689" i="9"/>
  <c r="S1690" i="9"/>
  <c r="S1691" i="9"/>
  <c r="S1692" i="9"/>
  <c r="S1693" i="9"/>
  <c r="S1694" i="9"/>
  <c r="S1695" i="9"/>
  <c r="S1697" i="9"/>
  <c r="S1698" i="9"/>
  <c r="S1699" i="9"/>
  <c r="S1700" i="9"/>
  <c r="S1701" i="9"/>
  <c r="S1702" i="9"/>
  <c r="S1703" i="9"/>
  <c r="S1704" i="9"/>
  <c r="S1705" i="9"/>
  <c r="Q925" i="9"/>
  <c r="Q926" i="9"/>
  <c r="Q927" i="9"/>
  <c r="Q928" i="9"/>
  <c r="Q929" i="9"/>
  <c r="Q930" i="9"/>
  <c r="Q931" i="9"/>
  <c r="Q932" i="9"/>
  <c r="Q933" i="9"/>
  <c r="Q934" i="9"/>
  <c r="Q935" i="9"/>
  <c r="Q936" i="9"/>
  <c r="Q937" i="9"/>
  <c r="Q938" i="9"/>
  <c r="Q939" i="9"/>
  <c r="Q940" i="9"/>
  <c r="Q941" i="9"/>
  <c r="Q942" i="9"/>
  <c r="Q943" i="9"/>
  <c r="Q944" i="9"/>
  <c r="Q945" i="9"/>
  <c r="Q946" i="9"/>
  <c r="Q947" i="9"/>
  <c r="Q948" i="9"/>
  <c r="Q949" i="9"/>
  <c r="Q950" i="9"/>
  <c r="Q951" i="9"/>
  <c r="Q952" i="9"/>
  <c r="Q953" i="9"/>
  <c r="Q954" i="9"/>
  <c r="Q955" i="9"/>
  <c r="Q956" i="9"/>
  <c r="Q957" i="9"/>
  <c r="Q958" i="9"/>
  <c r="Q959" i="9"/>
  <c r="Q960" i="9"/>
  <c r="Q961" i="9"/>
  <c r="Q962" i="9"/>
  <c r="Q963" i="9"/>
  <c r="Q964" i="9"/>
  <c r="Q965" i="9"/>
  <c r="Q966" i="9"/>
  <c r="Q967" i="9"/>
  <c r="Q968" i="9"/>
  <c r="Q969" i="9"/>
  <c r="Q970" i="9"/>
  <c r="Q971" i="9"/>
  <c r="Q972" i="9"/>
  <c r="Q973" i="9"/>
  <c r="Q974" i="9"/>
  <c r="Q975" i="9"/>
  <c r="Q976" i="9"/>
  <c r="Q977" i="9"/>
  <c r="Q978" i="9"/>
  <c r="Q979" i="9"/>
  <c r="Q980" i="9"/>
  <c r="Q981" i="9"/>
  <c r="Q982" i="9"/>
  <c r="Q983" i="9"/>
  <c r="Q984" i="9"/>
  <c r="Q985" i="9"/>
  <c r="Q986" i="9"/>
  <c r="Q987" i="9"/>
  <c r="Q988" i="9"/>
  <c r="Q989" i="9"/>
  <c r="Q990" i="9"/>
  <c r="Q991" i="9"/>
  <c r="Q992" i="9"/>
  <c r="Q993" i="9"/>
  <c r="Q994" i="9"/>
  <c r="Q995" i="9"/>
  <c r="Q996" i="9"/>
  <c r="Q997" i="9"/>
  <c r="Q998" i="9"/>
  <c r="Q999" i="9"/>
  <c r="Q1000" i="9"/>
  <c r="Q1001" i="9"/>
  <c r="Q1002" i="9"/>
  <c r="Q1003" i="9"/>
  <c r="Q1004" i="9"/>
  <c r="Q1005" i="9"/>
  <c r="Q1006" i="9"/>
  <c r="Q1007" i="9"/>
  <c r="Q1008" i="9"/>
  <c r="Q1009" i="9"/>
  <c r="Q1010" i="9"/>
  <c r="Q1011" i="9"/>
  <c r="Q1012" i="9"/>
  <c r="Q1013" i="9"/>
  <c r="Q1014" i="9"/>
  <c r="Q1015" i="9"/>
  <c r="Q1016" i="9"/>
  <c r="Q1017" i="9"/>
  <c r="Q1018" i="9"/>
  <c r="Q1019" i="9"/>
  <c r="Q1020" i="9"/>
  <c r="Q1021" i="9"/>
  <c r="Q1022" i="9"/>
  <c r="Q1023" i="9"/>
  <c r="Q1024" i="9"/>
  <c r="Q1025" i="9"/>
  <c r="Q1026" i="9"/>
  <c r="Q1027" i="9"/>
  <c r="Q1028" i="9"/>
  <c r="Q1029" i="9"/>
  <c r="Q1030" i="9"/>
  <c r="Q1031" i="9"/>
  <c r="Q1032" i="9"/>
  <c r="Q1033" i="9"/>
  <c r="Q1034" i="9"/>
  <c r="Q1035" i="9"/>
  <c r="Q1036" i="9"/>
  <c r="Q1037" i="9"/>
  <c r="Q1038" i="9"/>
  <c r="Q1039" i="9"/>
  <c r="Q1040" i="9"/>
  <c r="Q1041" i="9"/>
  <c r="Q1042" i="9"/>
  <c r="Q1043" i="9"/>
  <c r="Q1044" i="9"/>
  <c r="Q1045" i="9"/>
  <c r="Q1046" i="9"/>
  <c r="Q1047" i="9"/>
  <c r="Q1048" i="9"/>
  <c r="Q1049" i="9"/>
  <c r="Q1050" i="9"/>
  <c r="Q1051" i="9"/>
  <c r="Q1052" i="9"/>
  <c r="Q1053" i="9"/>
  <c r="Q1054" i="9"/>
  <c r="Q1055" i="9"/>
  <c r="Q1056" i="9"/>
  <c r="Q1057" i="9"/>
  <c r="Q1058" i="9"/>
  <c r="Q1059" i="9"/>
  <c r="Q1060" i="9"/>
  <c r="Q1061" i="9"/>
  <c r="Q1062" i="9"/>
  <c r="Q1063" i="9"/>
  <c r="Q1064" i="9"/>
  <c r="Q1065" i="9"/>
  <c r="Q1066" i="9"/>
  <c r="Q1067" i="9"/>
  <c r="Q1068" i="9"/>
  <c r="Q1069" i="9"/>
  <c r="Q1070" i="9"/>
  <c r="Q1071" i="9"/>
  <c r="Q1072" i="9"/>
  <c r="Q1073" i="9"/>
  <c r="Q1074" i="9"/>
  <c r="Q1075" i="9"/>
  <c r="Q1076" i="9"/>
  <c r="Q1077" i="9"/>
  <c r="Q1078" i="9"/>
  <c r="Q1079" i="9"/>
  <c r="Q1080" i="9"/>
  <c r="Q1081" i="9"/>
  <c r="Q1082" i="9"/>
  <c r="Q1083" i="9"/>
  <c r="Q1084" i="9"/>
  <c r="Q1085" i="9"/>
  <c r="Q1086" i="9"/>
  <c r="Q1087" i="9"/>
  <c r="Q1088" i="9"/>
  <c r="Q1089" i="9"/>
  <c r="Q1090" i="9"/>
  <c r="Q1091" i="9"/>
  <c r="Q1092" i="9"/>
  <c r="Q1093" i="9"/>
  <c r="Q1094" i="9"/>
  <c r="Q1095" i="9"/>
  <c r="Q1096" i="9"/>
  <c r="Q1097" i="9"/>
  <c r="Q1098" i="9"/>
  <c r="Q1099" i="9"/>
  <c r="Q1100" i="9"/>
  <c r="Q1101" i="9"/>
  <c r="Q1102" i="9"/>
  <c r="Q1103" i="9"/>
  <c r="Q1104" i="9"/>
  <c r="Q1105" i="9"/>
  <c r="Q1106" i="9"/>
  <c r="Q1107" i="9"/>
  <c r="Q1108" i="9"/>
  <c r="Q1109" i="9"/>
  <c r="Q1110" i="9"/>
  <c r="Q1111" i="9"/>
  <c r="Q1112" i="9"/>
  <c r="Q1113" i="9"/>
  <c r="Q1114" i="9"/>
  <c r="Q1115" i="9"/>
  <c r="Q1116" i="9"/>
  <c r="Q1117" i="9"/>
  <c r="Q1118" i="9"/>
  <c r="Q1119" i="9"/>
  <c r="Q1120" i="9"/>
  <c r="Q1121" i="9"/>
  <c r="Q1122" i="9"/>
  <c r="Q1123" i="9"/>
  <c r="Q1124" i="9"/>
  <c r="Q1125" i="9"/>
  <c r="Q1126" i="9"/>
  <c r="Q1127" i="9"/>
  <c r="Q1128" i="9"/>
  <c r="Q1129" i="9"/>
  <c r="Q1130" i="9"/>
  <c r="Q1131" i="9"/>
  <c r="Q1132" i="9"/>
  <c r="Q1133" i="9"/>
  <c r="Q1134" i="9"/>
  <c r="Q1135" i="9"/>
  <c r="Q1136" i="9"/>
  <c r="Q1137" i="9"/>
  <c r="Q1138" i="9"/>
  <c r="Q1139" i="9"/>
  <c r="Q1140" i="9"/>
  <c r="Q1141" i="9"/>
  <c r="Q1142" i="9"/>
  <c r="Q1143" i="9"/>
  <c r="Q1144" i="9"/>
  <c r="Q1145" i="9"/>
  <c r="Q1146" i="9"/>
  <c r="Q1147" i="9"/>
  <c r="Q1148" i="9"/>
  <c r="Q1149" i="9"/>
  <c r="Q1150" i="9"/>
  <c r="Q1151" i="9"/>
  <c r="Q1152" i="9"/>
  <c r="Q1153" i="9"/>
  <c r="Q1154" i="9"/>
  <c r="Q1155" i="9"/>
  <c r="Q1156" i="9"/>
  <c r="Q1157" i="9"/>
  <c r="Q1158" i="9"/>
  <c r="Q1159" i="9"/>
  <c r="Q1160" i="9"/>
  <c r="Q1161" i="9"/>
  <c r="Q1162" i="9"/>
  <c r="Q1163" i="9"/>
  <c r="Q1164" i="9"/>
  <c r="Q1165" i="9"/>
  <c r="Q1166" i="9"/>
  <c r="Q1167" i="9"/>
  <c r="Q1168" i="9"/>
  <c r="Q1169" i="9"/>
  <c r="Q1170" i="9"/>
  <c r="Q1171" i="9"/>
  <c r="Q1172" i="9"/>
  <c r="Q1173" i="9"/>
  <c r="Q1174" i="9"/>
  <c r="Q1175" i="9"/>
  <c r="Q1176" i="9"/>
  <c r="Q1177" i="9"/>
  <c r="Q1178" i="9"/>
  <c r="Q1179" i="9"/>
  <c r="Q1180" i="9"/>
  <c r="Q1181" i="9"/>
  <c r="Q1182" i="9"/>
  <c r="Q1183" i="9"/>
  <c r="Q1184" i="9"/>
  <c r="Q1185" i="9"/>
  <c r="Q1186" i="9"/>
  <c r="Q1187" i="9"/>
  <c r="Q1188" i="9"/>
  <c r="Q1189" i="9"/>
  <c r="Q1190" i="9"/>
  <c r="Q1191" i="9"/>
  <c r="Q1192" i="9"/>
  <c r="Q1193" i="9"/>
  <c r="Q1194" i="9"/>
  <c r="Q1195" i="9"/>
  <c r="Q1196" i="9"/>
  <c r="Q1197" i="9"/>
  <c r="Q1198" i="9"/>
  <c r="Q1199" i="9"/>
  <c r="Q1200" i="9"/>
  <c r="Q1201" i="9"/>
  <c r="Q1202" i="9"/>
  <c r="Q1203" i="9"/>
  <c r="Q1204" i="9"/>
  <c r="Q1205" i="9"/>
  <c r="Q1206" i="9"/>
  <c r="Q1207" i="9"/>
  <c r="Q1208" i="9"/>
  <c r="Q1209" i="9"/>
  <c r="Q1210" i="9"/>
  <c r="Q1211" i="9"/>
  <c r="Q1212" i="9"/>
  <c r="Q1213" i="9"/>
  <c r="Q1214" i="9"/>
  <c r="Q1215" i="9"/>
  <c r="Q1216" i="9"/>
  <c r="Q1217" i="9"/>
  <c r="Q1218" i="9"/>
  <c r="Q1219" i="9"/>
  <c r="Q1220" i="9"/>
  <c r="Q1221" i="9"/>
  <c r="Q1222" i="9"/>
  <c r="Q1223" i="9"/>
  <c r="Q1224" i="9"/>
  <c r="Q1225" i="9"/>
  <c r="Q1226" i="9"/>
  <c r="Q1227" i="9"/>
  <c r="Q1228" i="9"/>
  <c r="Q1229" i="9"/>
  <c r="Q1230" i="9"/>
  <c r="Q1231" i="9"/>
  <c r="Q1232" i="9"/>
  <c r="Q1233" i="9"/>
  <c r="Q1234" i="9"/>
  <c r="Q1235" i="9"/>
  <c r="Q1236" i="9"/>
  <c r="Q1237" i="9"/>
  <c r="Q1238" i="9"/>
  <c r="Q1239" i="9"/>
  <c r="Q1240" i="9"/>
  <c r="Q1241" i="9"/>
  <c r="Q1242" i="9"/>
  <c r="Q1243" i="9"/>
  <c r="Q1244" i="9"/>
  <c r="Q1245" i="9"/>
  <c r="Q1246" i="9"/>
  <c r="Q1247" i="9"/>
  <c r="Q1248" i="9"/>
  <c r="Q1249" i="9"/>
  <c r="Q1250" i="9"/>
  <c r="Q1251" i="9"/>
  <c r="Q1252" i="9"/>
  <c r="Q1253" i="9"/>
  <c r="Q1254" i="9"/>
  <c r="Q1255" i="9"/>
  <c r="Q1256" i="9"/>
  <c r="Q1257" i="9"/>
  <c r="Q1258" i="9"/>
  <c r="Q1259" i="9"/>
  <c r="Q1260" i="9"/>
  <c r="Q1261" i="9"/>
  <c r="Q1262" i="9"/>
  <c r="Q1263" i="9"/>
  <c r="Q1264" i="9"/>
  <c r="Q1265" i="9"/>
  <c r="Q1266" i="9"/>
  <c r="Q1267" i="9"/>
  <c r="Q1268" i="9"/>
  <c r="Q1269" i="9"/>
  <c r="Q1270" i="9"/>
  <c r="Q1271" i="9"/>
  <c r="Q1272" i="9"/>
  <c r="Q1273" i="9"/>
  <c r="Q1274" i="9"/>
  <c r="Q1275" i="9"/>
  <c r="Q1276" i="9"/>
  <c r="Q1277" i="9"/>
  <c r="Q1278" i="9"/>
  <c r="Q1279" i="9"/>
  <c r="Q1280" i="9"/>
  <c r="Q1281" i="9"/>
  <c r="Q1282" i="9"/>
  <c r="Q1283" i="9"/>
  <c r="Q1284" i="9"/>
  <c r="Q1285" i="9"/>
  <c r="Q1286" i="9"/>
  <c r="Q1287" i="9"/>
  <c r="Q1288" i="9"/>
  <c r="Q1289" i="9"/>
  <c r="Q1290" i="9"/>
  <c r="Q1291" i="9"/>
  <c r="Q1292" i="9"/>
  <c r="Q1293" i="9"/>
  <c r="Q1294" i="9"/>
  <c r="Q1295" i="9"/>
  <c r="Q1296" i="9"/>
  <c r="Q1297" i="9"/>
  <c r="Q1298" i="9"/>
  <c r="Q1299" i="9"/>
  <c r="Q1300" i="9"/>
  <c r="Q1301" i="9"/>
  <c r="Q1302" i="9"/>
  <c r="Q1303" i="9"/>
  <c r="Q1304" i="9"/>
  <c r="Q1305" i="9"/>
  <c r="Q1306" i="9"/>
  <c r="Q1307" i="9"/>
  <c r="Q1308" i="9"/>
  <c r="Q1309" i="9"/>
  <c r="Q1310" i="9"/>
  <c r="Q1311" i="9"/>
  <c r="Q1312" i="9"/>
  <c r="Q1313" i="9"/>
  <c r="Q1314" i="9"/>
  <c r="Q1315" i="9"/>
  <c r="Q1316" i="9"/>
  <c r="Q1317" i="9"/>
  <c r="Q1318" i="9"/>
  <c r="Q1319" i="9"/>
  <c r="Q1320" i="9"/>
  <c r="Q1321" i="9"/>
  <c r="Q1322" i="9"/>
  <c r="Q1323" i="9"/>
  <c r="Q1324" i="9"/>
  <c r="Q1325" i="9"/>
  <c r="Q1326" i="9"/>
  <c r="Q1327" i="9"/>
  <c r="Q1328" i="9"/>
  <c r="Q1329" i="9"/>
  <c r="Q1330" i="9"/>
  <c r="Q1331" i="9"/>
  <c r="Q1332" i="9"/>
  <c r="Q1333" i="9"/>
  <c r="Q1334" i="9"/>
  <c r="Q1335" i="9"/>
  <c r="Q1336" i="9"/>
  <c r="Q1337" i="9"/>
  <c r="Q1338" i="9"/>
  <c r="Q1339" i="9"/>
  <c r="Q1340" i="9"/>
  <c r="Q1341" i="9"/>
  <c r="Q1342" i="9"/>
  <c r="Q1343" i="9"/>
  <c r="Q1344" i="9"/>
  <c r="Q1345" i="9"/>
  <c r="Q1346" i="9"/>
  <c r="Q1347" i="9"/>
  <c r="Q1348" i="9"/>
  <c r="Q1349" i="9"/>
  <c r="Q1350" i="9"/>
  <c r="Q1351" i="9"/>
  <c r="Q1352" i="9"/>
  <c r="Q1353" i="9"/>
  <c r="Q1354" i="9"/>
  <c r="Q1355" i="9"/>
  <c r="Q1356" i="9"/>
  <c r="Q1357" i="9"/>
  <c r="Q1358" i="9"/>
  <c r="Q1359" i="9"/>
  <c r="Q1360" i="9"/>
  <c r="Q1361" i="9"/>
  <c r="Q1362" i="9"/>
  <c r="Q1363" i="9"/>
  <c r="Q1364" i="9"/>
  <c r="Q1365" i="9"/>
  <c r="Q1366" i="9"/>
  <c r="Q1367" i="9"/>
  <c r="Q1368" i="9"/>
  <c r="Q1369" i="9"/>
  <c r="Q1370" i="9"/>
  <c r="Q1371" i="9"/>
  <c r="Q1372" i="9"/>
  <c r="Q1373" i="9"/>
  <c r="Q1374" i="9"/>
  <c r="Q1375" i="9"/>
  <c r="Q1376" i="9"/>
  <c r="Q1377" i="9"/>
  <c r="Q1378" i="9"/>
  <c r="Q1379" i="9"/>
  <c r="Q1380" i="9"/>
  <c r="Q1381" i="9"/>
  <c r="Q1382" i="9"/>
  <c r="Q1383" i="9"/>
  <c r="Q1384" i="9"/>
  <c r="Q1385" i="9"/>
  <c r="Q1386" i="9"/>
  <c r="Q1387" i="9"/>
  <c r="Q1388" i="9"/>
  <c r="Q1389" i="9"/>
  <c r="Q1390" i="9"/>
  <c r="Q1391" i="9"/>
  <c r="Q1392" i="9"/>
  <c r="Q1393" i="9"/>
  <c r="Q1394" i="9"/>
  <c r="Q1395" i="9"/>
  <c r="Q1396" i="9"/>
  <c r="Q1397" i="9"/>
  <c r="Q1398" i="9"/>
  <c r="Q1399" i="9"/>
  <c r="Q1400" i="9"/>
  <c r="Q1401" i="9"/>
  <c r="Q1402" i="9"/>
  <c r="Q1403" i="9"/>
  <c r="Q1404" i="9"/>
  <c r="Q1405" i="9"/>
  <c r="Q1406" i="9"/>
  <c r="Q1407" i="9"/>
  <c r="Q1408" i="9"/>
  <c r="Q1409" i="9"/>
  <c r="Q1410" i="9"/>
  <c r="Q1411" i="9"/>
  <c r="Q1412" i="9"/>
  <c r="Q1413" i="9"/>
  <c r="Q1414" i="9"/>
  <c r="Q1415" i="9"/>
  <c r="Q1416" i="9"/>
  <c r="Q1417" i="9"/>
  <c r="Q1418" i="9"/>
  <c r="Q1419" i="9"/>
  <c r="Q1420" i="9"/>
  <c r="Q1421" i="9"/>
  <c r="Q1422" i="9"/>
  <c r="Q1423" i="9"/>
  <c r="Q1424" i="9"/>
  <c r="Q1425" i="9"/>
  <c r="Q1426" i="9"/>
  <c r="Q1427" i="9"/>
  <c r="Q1428" i="9"/>
  <c r="Q1429" i="9"/>
  <c r="Q1430" i="9"/>
  <c r="Q1431" i="9"/>
  <c r="Q1432" i="9"/>
  <c r="Q1433" i="9"/>
  <c r="Q1434" i="9"/>
  <c r="Q1435" i="9"/>
  <c r="Q1436" i="9"/>
  <c r="Q1437" i="9"/>
  <c r="Q1438" i="9"/>
  <c r="Q1439" i="9"/>
  <c r="Q1440" i="9"/>
  <c r="Q1441" i="9"/>
  <c r="Q1442" i="9"/>
  <c r="Q1443" i="9"/>
  <c r="Q1444" i="9"/>
  <c r="Q1445" i="9"/>
  <c r="Q1446" i="9"/>
  <c r="Q1447" i="9"/>
  <c r="Q1448" i="9"/>
  <c r="Q1449" i="9"/>
  <c r="Q1450" i="9"/>
  <c r="Q1451" i="9"/>
  <c r="Q1452" i="9"/>
  <c r="Q1453" i="9"/>
  <c r="Q1454" i="9"/>
  <c r="Q1455" i="9"/>
  <c r="Q1456" i="9"/>
  <c r="Q1457" i="9"/>
  <c r="Q1458" i="9"/>
  <c r="Q1459" i="9"/>
  <c r="Q1460" i="9"/>
  <c r="Q1461" i="9"/>
  <c r="Q1462" i="9"/>
  <c r="Q1463" i="9"/>
  <c r="Q1464" i="9"/>
  <c r="Q1465" i="9"/>
  <c r="Q1466" i="9"/>
  <c r="Q1467" i="9"/>
  <c r="Q1468" i="9"/>
  <c r="Q1469" i="9"/>
  <c r="Q1470" i="9"/>
  <c r="Q1471" i="9"/>
  <c r="Q1472" i="9"/>
  <c r="Q1473" i="9"/>
  <c r="Q1474" i="9"/>
  <c r="Q1475" i="9"/>
  <c r="Q1476" i="9"/>
  <c r="Q1477" i="9"/>
  <c r="Q1478" i="9"/>
  <c r="Q1479" i="9"/>
  <c r="Q1480" i="9"/>
  <c r="Q1481" i="9"/>
  <c r="Q1482" i="9"/>
  <c r="Q1483" i="9"/>
  <c r="Q1484" i="9"/>
  <c r="Q1485" i="9"/>
  <c r="Q1486" i="9"/>
  <c r="Q1487" i="9"/>
  <c r="Q1488" i="9"/>
  <c r="Q1489" i="9"/>
  <c r="Q1490" i="9"/>
  <c r="Q1491" i="9"/>
  <c r="Q1492" i="9"/>
  <c r="Q1493" i="9"/>
  <c r="Q1494" i="9"/>
  <c r="Q1495" i="9"/>
  <c r="Q1496" i="9"/>
  <c r="Q1497" i="9"/>
  <c r="Q1498" i="9"/>
  <c r="Q1499" i="9"/>
  <c r="Q1500" i="9"/>
  <c r="Q1501" i="9"/>
  <c r="Q1502" i="9"/>
  <c r="Q1503" i="9"/>
  <c r="Q1504" i="9"/>
  <c r="Q1505" i="9"/>
  <c r="Q1506" i="9"/>
  <c r="Q1507" i="9"/>
  <c r="Q1508" i="9"/>
  <c r="Q1509" i="9"/>
  <c r="Q1510" i="9"/>
  <c r="Q1511" i="9"/>
  <c r="Q1512" i="9"/>
  <c r="Q1513" i="9"/>
  <c r="Q1514" i="9"/>
  <c r="Q1515" i="9"/>
  <c r="Q1516" i="9"/>
  <c r="Q1517" i="9"/>
  <c r="Q1518" i="9"/>
  <c r="Q1519" i="9"/>
  <c r="Q1520" i="9"/>
  <c r="Q1521" i="9"/>
  <c r="Q1522" i="9"/>
  <c r="Q1523" i="9"/>
  <c r="Q1524" i="9"/>
  <c r="Q1525" i="9"/>
  <c r="Q1526" i="9"/>
  <c r="Q1527" i="9"/>
  <c r="Q1528" i="9"/>
  <c r="Q1529" i="9"/>
  <c r="Q1530" i="9"/>
  <c r="Q1531" i="9"/>
  <c r="Q1532" i="9"/>
  <c r="Q1533" i="9"/>
  <c r="Q1534" i="9"/>
  <c r="Q1535" i="9"/>
  <c r="Q1536" i="9"/>
  <c r="Q1537" i="9"/>
  <c r="Q1538" i="9"/>
  <c r="Q1539" i="9"/>
  <c r="Q1540" i="9"/>
  <c r="Q1541" i="9"/>
  <c r="Q1542" i="9"/>
  <c r="Q1543" i="9"/>
  <c r="Q1544" i="9"/>
  <c r="Q1545" i="9"/>
  <c r="Q1546" i="9"/>
  <c r="Q1547" i="9"/>
  <c r="Q1548" i="9"/>
  <c r="Q1549" i="9"/>
  <c r="Q1550" i="9"/>
  <c r="Q1551" i="9"/>
  <c r="Q1552" i="9"/>
  <c r="Q1553" i="9"/>
  <c r="Q1554" i="9"/>
  <c r="Q1555" i="9"/>
  <c r="Q1556" i="9"/>
  <c r="Q1557" i="9"/>
  <c r="Q1558" i="9"/>
  <c r="Q1559" i="9"/>
  <c r="Q1560" i="9"/>
  <c r="Q1561" i="9"/>
  <c r="Q1562" i="9"/>
  <c r="Q1563" i="9"/>
  <c r="Q1564" i="9"/>
  <c r="Q1565" i="9"/>
  <c r="Q1566" i="9"/>
  <c r="Q1567" i="9"/>
  <c r="Q1568" i="9"/>
  <c r="Q1569" i="9"/>
  <c r="Q1570" i="9"/>
  <c r="Q1571" i="9"/>
  <c r="Q1572" i="9"/>
  <c r="Q1573" i="9"/>
  <c r="Q1574" i="9"/>
  <c r="Q1575" i="9"/>
  <c r="Q1576" i="9"/>
  <c r="Q1577" i="9"/>
  <c r="Q1578" i="9"/>
  <c r="Q1579" i="9"/>
  <c r="Q1580" i="9"/>
  <c r="Q1581" i="9"/>
  <c r="Q1582" i="9"/>
  <c r="Q1583" i="9"/>
  <c r="Q1584" i="9"/>
  <c r="Q1585" i="9"/>
  <c r="Q1586" i="9"/>
  <c r="Q1587" i="9"/>
  <c r="Q1588" i="9"/>
  <c r="Q1589" i="9"/>
  <c r="Q1590" i="9"/>
  <c r="Q1591" i="9"/>
  <c r="Q1592" i="9"/>
  <c r="Q1593" i="9"/>
  <c r="Q1594" i="9"/>
  <c r="Q1595" i="9"/>
  <c r="Q1596" i="9"/>
  <c r="Q1597" i="9"/>
  <c r="Q1598" i="9"/>
  <c r="Q1599" i="9"/>
  <c r="Q1600" i="9"/>
  <c r="Q1601" i="9"/>
  <c r="Q1602" i="9"/>
  <c r="Q1603" i="9"/>
  <c r="Q1604" i="9"/>
  <c r="Q1605" i="9"/>
  <c r="Q1606" i="9"/>
  <c r="Q1607" i="9"/>
  <c r="Q1608" i="9"/>
  <c r="Q1609" i="9"/>
  <c r="Q1610" i="9"/>
  <c r="Q1611" i="9"/>
  <c r="Q1612" i="9"/>
  <c r="Q1613" i="9"/>
  <c r="Q1614" i="9"/>
  <c r="Q1615" i="9"/>
  <c r="Q1616" i="9"/>
  <c r="Q1617" i="9"/>
  <c r="Q1618" i="9"/>
  <c r="Q1619" i="9"/>
  <c r="Q1620" i="9"/>
  <c r="Q1621" i="9"/>
  <c r="Q1622" i="9"/>
  <c r="Q1623" i="9"/>
  <c r="Q1624" i="9"/>
  <c r="Q1625" i="9"/>
  <c r="Q1626" i="9"/>
  <c r="Q1627" i="9"/>
  <c r="Q1628" i="9"/>
  <c r="Q1629" i="9"/>
  <c r="Q1630" i="9"/>
  <c r="Q1631" i="9"/>
  <c r="Q1632" i="9"/>
  <c r="Q1633" i="9"/>
  <c r="Q1634" i="9"/>
  <c r="Q1635" i="9"/>
  <c r="Q1636" i="9"/>
  <c r="Q1637" i="9"/>
  <c r="Q1638" i="9"/>
  <c r="Q1639" i="9"/>
  <c r="Q1640" i="9"/>
  <c r="Q1641" i="9"/>
  <c r="Q1642" i="9"/>
  <c r="Q1643" i="9"/>
  <c r="Q1644" i="9"/>
  <c r="Q1645" i="9"/>
  <c r="Q1646" i="9"/>
  <c r="Q1647" i="9"/>
  <c r="Q1648" i="9"/>
  <c r="Q1649" i="9"/>
  <c r="Q1650" i="9"/>
  <c r="Q1651" i="9"/>
  <c r="Q1652" i="9"/>
  <c r="Q1653" i="9"/>
  <c r="Q1654" i="9"/>
  <c r="Q1655" i="9"/>
  <c r="Q1656" i="9"/>
  <c r="Q1657" i="9"/>
  <c r="Q1658" i="9"/>
  <c r="Q1659" i="9"/>
  <c r="Q1660" i="9"/>
  <c r="Q1661" i="9"/>
  <c r="Q1662" i="9"/>
  <c r="Q1663" i="9"/>
  <c r="Q1664" i="9"/>
  <c r="Q1665" i="9"/>
  <c r="Q1666" i="9"/>
  <c r="Q1667" i="9"/>
  <c r="Q1668" i="9"/>
  <c r="Q1669" i="9"/>
  <c r="Q1670" i="9"/>
  <c r="Q1671" i="9"/>
  <c r="Q1672" i="9"/>
  <c r="Q1673" i="9"/>
  <c r="Q1674" i="9"/>
  <c r="Q1675" i="9"/>
  <c r="Q1676" i="9"/>
  <c r="Q1677" i="9"/>
  <c r="Q1678" i="9"/>
  <c r="Q1679" i="9"/>
  <c r="Q1680" i="9"/>
  <c r="Q1681" i="9"/>
  <c r="Q1682" i="9"/>
  <c r="Q1683" i="9"/>
  <c r="Q1684" i="9"/>
  <c r="Q1685" i="9"/>
  <c r="Q1686" i="9"/>
  <c r="Q1687" i="9"/>
  <c r="Q1688" i="9"/>
  <c r="Q1689" i="9"/>
  <c r="Q1690" i="9"/>
  <c r="Q1691" i="9"/>
  <c r="Q1692" i="9"/>
  <c r="Q1693" i="9"/>
  <c r="Q1694" i="9"/>
  <c r="Q1695" i="9"/>
  <c r="Q1696" i="9"/>
  <c r="Q1697" i="9"/>
  <c r="Q1698" i="9"/>
  <c r="Q1699" i="9"/>
  <c r="Q1700" i="9"/>
  <c r="Q1701" i="9"/>
  <c r="Q1702" i="9"/>
  <c r="Q1703" i="9"/>
  <c r="Q1704" i="9"/>
  <c r="Q1705" i="9"/>
  <c r="AS149" i="16" l="1" a="1"/>
  <c r="AS149" i="16" s="1"/>
  <c r="AR149" i="16" a="1"/>
  <c r="AR149" i="16" s="1"/>
  <c r="AS147" i="16" a="1"/>
  <c r="AS147" i="16" s="1"/>
  <c r="AR146" i="16" a="1"/>
  <c r="AR146" i="16" s="1"/>
  <c r="AQ145" i="16"/>
  <c r="AR145" i="16" a="1"/>
  <c r="AR145" i="16" s="1"/>
  <c r="AS145" i="16" a="1"/>
  <c r="AS145" i="16" s="1"/>
  <c r="AS144" i="16" a="1"/>
  <c r="AS144" i="16" s="1"/>
  <c r="AR143" i="16" a="1"/>
  <c r="AR143" i="16" s="1"/>
  <c r="AS143" i="16" a="1"/>
  <c r="AS143" i="16" s="1"/>
  <c r="AS142" i="16" a="1"/>
  <c r="AS142" i="16" s="1"/>
  <c r="AS141" i="16" a="1"/>
  <c r="AS141" i="16" s="1"/>
  <c r="AR141" i="16" a="1"/>
  <c r="AR141" i="16" s="1"/>
  <c r="AR140" i="16" a="1"/>
  <c r="AR140" i="16" s="1"/>
  <c r="AR138" i="16" a="1"/>
  <c r="AR138" i="16" s="1"/>
  <c r="AS138" i="16" a="1"/>
  <c r="AS138" i="16" s="1"/>
  <c r="AR136" i="16" a="1"/>
  <c r="AR136" i="16" s="1"/>
  <c r="AS133" i="16" a="1"/>
  <c r="AS133" i="16" s="1"/>
  <c r="AR133" i="16" a="1"/>
  <c r="AR133" i="16" s="1"/>
  <c r="AR130" i="16" a="1"/>
  <c r="AR130" i="16" s="1"/>
  <c r="AS130" i="16" a="1"/>
  <c r="AS130" i="16" s="1"/>
  <c r="AS129" i="16" a="1"/>
  <c r="AS129" i="16" s="1"/>
  <c r="AR128" i="16" a="1"/>
  <c r="AR128" i="16" s="1"/>
  <c r="AS128" i="16" a="1"/>
  <c r="AS128" i="16" s="1"/>
  <c r="AS127" i="16" a="1"/>
  <c r="AS127" i="16" s="1"/>
  <c r="AQ125" i="16"/>
  <c r="AR124" i="16" a="1"/>
  <c r="AR124" i="16" s="1"/>
  <c r="AS124" i="16" a="1"/>
  <c r="AS124" i="16" s="1"/>
  <c r="AQ123" i="16"/>
  <c r="AR122" i="16" a="1"/>
  <c r="AR122" i="16" s="1"/>
  <c r="AS122" i="16" a="1"/>
  <c r="AS122" i="16" s="1"/>
  <c r="AR120" i="16" a="1"/>
  <c r="AR120" i="16" s="1"/>
  <c r="AS120" i="16" a="1"/>
  <c r="AS120" i="16" s="1"/>
  <c r="AS119" i="16" a="1"/>
  <c r="AS119" i="16" s="1"/>
  <c r="AR118" i="16" a="1"/>
  <c r="AR118" i="16" s="1"/>
  <c r="AS118" i="16" a="1"/>
  <c r="AS118" i="16" s="1"/>
  <c r="AS116" i="16" a="1"/>
  <c r="AS116" i="16" s="1"/>
  <c r="AR114" i="16" a="1"/>
  <c r="AR114" i="16" s="1"/>
  <c r="AS114" i="16" a="1"/>
  <c r="AS114" i="16" s="1"/>
  <c r="AS113" i="16" a="1"/>
  <c r="AS113" i="16" s="1"/>
  <c r="AR112" i="16" a="1"/>
  <c r="AR112" i="16" s="1"/>
  <c r="AS112" i="16" a="1"/>
  <c r="AS112" i="16" s="1"/>
  <c r="AS109" i="16" a="1"/>
  <c r="AS109" i="16" s="1"/>
  <c r="AR109" i="16" a="1"/>
  <c r="AR109" i="16" s="1"/>
  <c r="AS108" i="16" a="1"/>
  <c r="AS108" i="16" s="1"/>
  <c r="AR107" i="16" a="1"/>
  <c r="AR107" i="16" s="1"/>
  <c r="AS107" i="16" a="1"/>
  <c r="AS107" i="16" s="1"/>
  <c r="AS106" i="16" a="1"/>
  <c r="AS106" i="16" s="1"/>
  <c r="AR105" i="16" a="1"/>
  <c r="AR105" i="16" s="1"/>
  <c r="AS105" i="16" a="1"/>
  <c r="AS105" i="16" s="1"/>
  <c r="AR103" i="16" a="1"/>
  <c r="AR103" i="16" s="1"/>
  <c r="AS103" i="16" a="1"/>
  <c r="AS103" i="16" s="1"/>
  <c r="AS102" i="16" a="1"/>
  <c r="AS102" i="16" s="1"/>
  <c r="AS101" i="16" a="1"/>
  <c r="AS101" i="16" s="1"/>
  <c r="AR101" i="16" a="1"/>
  <c r="AR101" i="16" s="1"/>
  <c r="AR99" i="16" a="1"/>
  <c r="AR99" i="16" s="1"/>
  <c r="AS99" i="16" a="1"/>
  <c r="AS99" i="16" s="1"/>
  <c r="AR97" i="16" a="1"/>
  <c r="AR97" i="16" s="1"/>
  <c r="AS97" i="16" a="1"/>
  <c r="AS97" i="16" s="1"/>
  <c r="AS96" i="16" a="1"/>
  <c r="AS96" i="16" s="1"/>
  <c r="AR95" i="16" a="1"/>
  <c r="AR95" i="16" s="1"/>
  <c r="AS95" i="16" a="1"/>
  <c r="AS95" i="16" s="1"/>
  <c r="AQ94" i="16"/>
  <c r="AR94" i="16" a="1"/>
  <c r="AR94" i="16" s="1"/>
  <c r="AS94" i="16" a="1"/>
  <c r="AS94" i="16" s="1"/>
  <c r="AR92" i="16" a="1"/>
  <c r="AR92" i="16" s="1"/>
  <c r="AR91" i="16" a="1"/>
  <c r="AR91" i="16" s="1"/>
  <c r="AS90" i="16" a="1"/>
  <c r="AS90" i="16" s="1"/>
  <c r="AR89" i="16" a="1"/>
  <c r="AR89" i="16" s="1"/>
  <c r="AR88" i="16" a="1"/>
  <c r="AR88" i="16" s="1"/>
  <c r="AS88" i="16" a="1"/>
  <c r="AS88" i="16" s="1"/>
  <c r="AR86" i="16" a="1"/>
  <c r="AR86" i="16" s="1"/>
  <c r="AS86" i="16" a="1"/>
  <c r="AS86" i="16" s="1"/>
  <c r="AS85" i="16" a="1"/>
  <c r="AS85" i="16" s="1"/>
  <c r="AR85" i="16" a="1"/>
  <c r="AR85" i="16" s="1"/>
  <c r="AS84" i="16" a="1"/>
  <c r="AS84" i="16" s="1"/>
  <c r="AR84" i="16" a="1"/>
  <c r="AR84" i="16" s="1"/>
  <c r="AR83" i="16" a="1"/>
  <c r="AR83" i="16" s="1"/>
  <c r="AS83" i="16" a="1"/>
  <c r="AS83" i="16" s="1"/>
  <c r="AS82" i="16" a="1"/>
  <c r="AS82" i="16" s="1"/>
  <c r="AR81" i="16" a="1"/>
  <c r="AR81" i="16" s="1"/>
  <c r="AS81" i="16" a="1"/>
  <c r="AS81" i="16" s="1"/>
  <c r="AS80" i="16" a="1"/>
  <c r="AS80" i="16" s="1"/>
  <c r="AR79" i="16" a="1"/>
  <c r="AR79" i="16" s="1"/>
  <c r="AS79" i="16" a="1"/>
  <c r="AS79" i="16" s="1"/>
  <c r="AR78" i="16" a="1"/>
  <c r="AR78" i="16" s="1"/>
  <c r="AS78" i="16" a="1"/>
  <c r="AS78" i="16" s="1"/>
  <c r="AS77" i="16" a="1"/>
  <c r="AS77" i="16" s="1"/>
  <c r="AR77" i="16" a="1"/>
  <c r="AR77" i="16" s="1"/>
  <c r="AS76" i="16" a="1"/>
  <c r="AS76" i="16" s="1"/>
  <c r="AR76" i="16" a="1"/>
  <c r="AR76" i="16" s="1"/>
  <c r="AR75" i="16" a="1"/>
  <c r="AR75" i="16" s="1"/>
  <c r="AS75" i="16" a="1"/>
  <c r="AS75" i="16" s="1"/>
  <c r="AS74" i="16" a="1"/>
  <c r="AS74" i="16" s="1"/>
  <c r="AQ72" i="16"/>
  <c r="AR72" i="16" a="1"/>
  <c r="AR72" i="16" s="1"/>
  <c r="AS71" i="16" a="1"/>
  <c r="AS71" i="16" s="1"/>
  <c r="AQ70" i="16"/>
  <c r="AR70" i="16" a="1"/>
  <c r="AR70" i="16" s="1"/>
  <c r="AR69" i="16" a="1"/>
  <c r="AR69" i="16" s="1"/>
  <c r="AS68" i="16" a="1"/>
  <c r="AS68" i="16" s="1"/>
  <c r="AR68" i="16" a="1"/>
  <c r="AR68" i="16" s="1"/>
  <c r="AS67" i="16" a="1"/>
  <c r="AS67" i="16" s="1"/>
  <c r="AR66" i="16" a="1"/>
  <c r="AR66" i="16" s="1"/>
  <c r="AS66" i="16" a="1"/>
  <c r="AS66" i="16" s="1"/>
  <c r="AR65" i="16" a="1"/>
  <c r="AR65" i="16" s="1"/>
  <c r="AS65" i="16" a="1"/>
  <c r="AS65" i="16" s="1"/>
  <c r="AR64" i="16" a="1"/>
  <c r="AR64" i="16" s="1"/>
  <c r="AS64" i="16" a="1"/>
  <c r="AS64" i="16" s="1"/>
  <c r="AR63" i="16" a="1"/>
  <c r="AR63" i="16" s="1"/>
  <c r="AS63" i="16" a="1"/>
  <c r="AS63" i="16" s="1"/>
  <c r="AR62" i="16" a="1"/>
  <c r="AR62" i="16" s="1"/>
  <c r="AS62" i="16" a="1"/>
  <c r="AS62" i="16" s="1"/>
  <c r="AR61" i="16" a="1"/>
  <c r="AR61" i="16" s="1"/>
  <c r="AS60" i="16" a="1"/>
  <c r="AS60" i="16" s="1"/>
  <c r="AR60" i="16" a="1"/>
  <c r="AR60" i="16" s="1"/>
  <c r="AR59" i="16" a="1"/>
  <c r="AR59" i="16" s="1"/>
  <c r="AS59" i="16" a="1"/>
  <c r="AS59" i="16" s="1"/>
  <c r="AS58" i="16" a="1"/>
  <c r="AS58" i="16" s="1"/>
  <c r="AR57" i="16" a="1"/>
  <c r="AR57" i="16" s="1"/>
  <c r="AS57" i="16" a="1"/>
  <c r="AS57" i="16" s="1"/>
  <c r="AQ56" i="16"/>
  <c r="AR56" i="16" a="1"/>
  <c r="AR56" i="16" s="1"/>
  <c r="AS56" i="16" a="1"/>
  <c r="AS56" i="16" s="1"/>
  <c r="AQ55" i="16"/>
  <c r="AS54" i="16" a="1"/>
  <c r="AS54" i="16" s="1"/>
  <c r="AR53" i="16" a="1"/>
  <c r="AR53" i="16" s="1"/>
  <c r="AR52" i="16" a="1"/>
  <c r="AR52" i="16" s="1"/>
  <c r="AR51" i="16" a="1"/>
  <c r="AR51" i="16" s="1"/>
  <c r="AS51" i="16" a="1"/>
  <c r="AS51" i="16" s="1"/>
  <c r="AQ50" i="16"/>
  <c r="AR50" i="16" a="1"/>
  <c r="AR50" i="16" s="1"/>
  <c r="AS50" i="16" a="1"/>
  <c r="AS50" i="16" s="1"/>
  <c r="AR49" i="16" a="1"/>
  <c r="AR49" i="16" s="1"/>
  <c r="AS49" i="16" a="1"/>
  <c r="AS49" i="16" s="1"/>
  <c r="AR48" i="16" a="1"/>
  <c r="AR48" i="16" s="1"/>
  <c r="AS48" i="16" a="1"/>
  <c r="AS48" i="16" s="1"/>
  <c r="AR47" i="16" a="1"/>
  <c r="AR47" i="16" s="1"/>
  <c r="AS47" i="16" a="1"/>
  <c r="AS47" i="16" s="1"/>
  <c r="AR46" i="16" a="1"/>
  <c r="AR46" i="16" s="1"/>
  <c r="AS46" i="16" a="1"/>
  <c r="AS46" i="16" s="1"/>
  <c r="AS45" i="16" a="1"/>
  <c r="AS45" i="16" s="1"/>
  <c r="AR45" i="16" a="1"/>
  <c r="AR45" i="16" s="1"/>
  <c r="AS44" i="16" a="1"/>
  <c r="AS44" i="16" s="1"/>
  <c r="AR44" i="16" a="1"/>
  <c r="AR44" i="16" s="1"/>
  <c r="AR43" i="16" a="1"/>
  <c r="AR43" i="16" s="1"/>
  <c r="AS43" i="16" a="1"/>
  <c r="AS43" i="16" s="1"/>
  <c r="AR42" i="16" a="1"/>
  <c r="AR42" i="16" s="1"/>
  <c r="AS42" i="16" a="1"/>
  <c r="AS42" i="16" s="1"/>
  <c r="AR41" i="16" a="1"/>
  <c r="AR41" i="16" s="1"/>
  <c r="AS41" i="16" a="1"/>
  <c r="AS41" i="16" s="1"/>
  <c r="AQ40" i="16"/>
  <c r="AR40" i="16" a="1"/>
  <c r="AR40" i="16" s="1"/>
  <c r="AS40" i="16" a="1"/>
  <c r="AS40" i="16" s="1"/>
  <c r="AR39" i="16" a="1"/>
  <c r="AR39" i="16" s="1"/>
  <c r="AS39" i="16" a="1"/>
  <c r="AS39" i="16" s="1"/>
  <c r="AR38" i="16" a="1"/>
  <c r="AR38" i="16" s="1"/>
  <c r="AS38" i="16" a="1"/>
  <c r="AS38" i="16" s="1"/>
  <c r="AS37" i="16" a="1"/>
  <c r="AS37" i="16" s="1"/>
  <c r="AR37" i="16" a="1"/>
  <c r="AR37" i="16" s="1"/>
  <c r="AR36" i="16" a="1"/>
  <c r="AR36" i="16" s="1"/>
  <c r="AR35" i="16" a="1"/>
  <c r="AR35" i="16" s="1"/>
  <c r="AS35" i="16" a="1"/>
  <c r="AS35" i="16" s="1"/>
  <c r="AQ34" i="16"/>
  <c r="AR34" i="16" a="1"/>
  <c r="AR34" i="16" s="1"/>
  <c r="AR33" i="16" a="1"/>
  <c r="AR33" i="16" s="1"/>
  <c r="AS33" i="16" a="1"/>
  <c r="AS33" i="16" s="1"/>
  <c r="AR32" i="16" a="1"/>
  <c r="AR32" i="16" s="1"/>
  <c r="AS32" i="16" a="1"/>
  <c r="AS32" i="16" s="1"/>
  <c r="AR31" i="16" a="1"/>
  <c r="AR31" i="16" s="1"/>
  <c r="AS31" i="16" a="1"/>
  <c r="AS31" i="16" s="1"/>
  <c r="AR30" i="16" a="1"/>
  <c r="AR30" i="16" s="1"/>
  <c r="AS30" i="16" a="1"/>
  <c r="AS30" i="16" s="1"/>
  <c r="AS29" i="16" a="1"/>
  <c r="AS29" i="16" s="1"/>
  <c r="AR29" i="16" a="1"/>
  <c r="AR29" i="16" s="1"/>
  <c r="AS28" i="16" a="1"/>
  <c r="AS28" i="16" s="1"/>
  <c r="AR28" i="16" a="1"/>
  <c r="AR28" i="16" s="1"/>
  <c r="AR27" i="16" a="1"/>
  <c r="AR27" i="16" s="1"/>
  <c r="AQ26" i="16"/>
  <c r="AR26" i="16" a="1"/>
  <c r="AR26" i="16" s="1"/>
  <c r="AS26" i="16" a="1"/>
  <c r="AS26" i="16" s="1"/>
  <c r="AS25" i="16" a="1"/>
  <c r="AS25" i="16" s="1"/>
  <c r="AS24" i="16" a="1"/>
  <c r="AS24" i="16" s="1"/>
  <c r="AR23" i="16" a="1"/>
  <c r="AR23" i="16" s="1"/>
  <c r="AS23" i="16" a="1"/>
  <c r="AS23" i="16" s="1"/>
  <c r="AR22" i="16" a="1"/>
  <c r="AR22" i="16" s="1"/>
  <c r="AS22" i="16" a="1"/>
  <c r="AS22" i="16" s="1"/>
  <c r="AS21" i="16" a="1"/>
  <c r="AS21" i="16" s="1"/>
  <c r="AR21" i="16" a="1"/>
  <c r="AR21" i="16" s="1"/>
  <c r="AQ20" i="16"/>
  <c r="AS20" i="16" a="1"/>
  <c r="AS20" i="16" s="1"/>
  <c r="AR20" i="16" a="1"/>
  <c r="AR20" i="16" s="1"/>
  <c r="AR19" i="16" a="1"/>
  <c r="AR19" i="16" s="1"/>
  <c r="AS19" i="16" a="1"/>
  <c r="AS19" i="16" s="1"/>
  <c r="AR18" i="16" a="1"/>
  <c r="AR18" i="16" s="1"/>
  <c r="AS18" i="16" a="1"/>
  <c r="AS18" i="16" s="1"/>
  <c r="AR17" i="16" a="1"/>
  <c r="AR17" i="16" s="1"/>
  <c r="AS17" i="16" a="1"/>
  <c r="AS17" i="16" s="1"/>
  <c r="AR16" i="16" a="1"/>
  <c r="AR16" i="16" s="1"/>
  <c r="AS16" i="16" a="1"/>
  <c r="AS16" i="16" s="1"/>
  <c r="AR15" i="16" a="1"/>
  <c r="AR15" i="16" s="1"/>
  <c r="AS15" i="16" a="1"/>
  <c r="AS15" i="16" s="1"/>
  <c r="AQ14" i="16"/>
  <c r="AR14" i="16" a="1"/>
  <c r="AR14" i="16" s="1"/>
  <c r="AS14" i="16" a="1"/>
  <c r="AS14" i="16" s="1"/>
  <c r="AS13" i="16" a="1"/>
  <c r="AS13" i="16" s="1"/>
  <c r="AR13" i="16" a="1"/>
  <c r="AR13" i="16" s="1"/>
  <c r="AR12" i="16" a="1"/>
  <c r="AR12" i="16" s="1"/>
  <c r="AR11" i="16" a="1"/>
  <c r="AR11" i="16" s="1"/>
  <c r="AS11" i="16" a="1"/>
  <c r="AS11" i="16" s="1"/>
  <c r="AQ10" i="16"/>
  <c r="AR10" i="16" a="1"/>
  <c r="AR10" i="16" s="1"/>
  <c r="AS10" i="16" a="1"/>
  <c r="AS10" i="16" s="1"/>
  <c r="AR9" i="16" a="1"/>
  <c r="AR9" i="16" s="1"/>
  <c r="AS9" i="16" a="1"/>
  <c r="AS9" i="16" s="1"/>
  <c r="AR8" i="16" a="1"/>
  <c r="AR8" i="16" s="1"/>
  <c r="AS8" i="16" a="1"/>
  <c r="AS8" i="16" s="1"/>
  <c r="AR7" i="16" a="1"/>
  <c r="AR7" i="16" s="1"/>
  <c r="AS7" i="16" a="1"/>
  <c r="AS7" i="16" s="1"/>
  <c r="AR6" i="16" a="1"/>
  <c r="AR6" i="16" s="1"/>
  <c r="AS6" i="16" a="1"/>
  <c r="AS6" i="16" s="1"/>
  <c r="AS5" i="16" a="1"/>
  <c r="AS5" i="16" s="1"/>
  <c r="AQ4" i="16"/>
  <c r="AS4" i="16" a="1"/>
  <c r="AS4" i="16" s="1"/>
  <c r="AR4" i="16" a="1"/>
  <c r="AR4" i="16" s="1"/>
  <c r="AR3" i="16" a="1"/>
  <c r="AR3" i="16" s="1"/>
  <c r="AS3" i="16" a="1"/>
  <c r="AS3" i="16" s="1"/>
  <c r="AQ2" i="16"/>
  <c r="AR2" i="16" a="1"/>
  <c r="AR2" i="16" s="1"/>
  <c r="AS2" i="16" a="1"/>
  <c r="AS2" i="16" s="1"/>
  <c r="AQ148" i="16"/>
  <c r="AS148" i="16" a="1"/>
  <c r="AS148" i="16" s="1"/>
  <c r="AR148" i="16" a="1"/>
  <c r="AR148" i="16" s="1"/>
  <c r="AQ144" i="16"/>
  <c r="AR144" i="16" a="1"/>
  <c r="AR144" i="16" s="1"/>
  <c r="AQ140" i="16"/>
  <c r="AS140" i="16" a="1"/>
  <c r="AS140" i="16" s="1"/>
  <c r="AR134" i="16" a="1"/>
  <c r="AR134" i="16" s="1"/>
  <c r="AS134" i="16" a="1"/>
  <c r="AS134" i="16" s="1"/>
  <c r="AR129" i="16" a="1"/>
  <c r="AR129" i="16" s="1"/>
  <c r="AQ124" i="16"/>
  <c r="AR116" i="16" a="1"/>
  <c r="AR116" i="16" s="1"/>
  <c r="AQ107" i="16"/>
  <c r="AQ103" i="16"/>
  <c r="AQ91" i="16"/>
  <c r="AS91" i="16" a="1"/>
  <c r="AS91" i="16" s="1"/>
  <c r="AS87" i="16" a="1"/>
  <c r="AS87" i="16" s="1"/>
  <c r="AR87" i="16" a="1"/>
  <c r="AR87" i="16" s="1"/>
  <c r="AQ83" i="16"/>
  <c r="AQ75" i="16"/>
  <c r="AQ71" i="16"/>
  <c r="AR71" i="16" a="1"/>
  <c r="AR71" i="16" s="1"/>
  <c r="AR67" i="16" a="1"/>
  <c r="AR67" i="16" s="1"/>
  <c r="AQ59" i="16"/>
  <c r="AS55" i="16" a="1"/>
  <c r="AS55" i="16" s="1"/>
  <c r="AR55" i="16" a="1"/>
  <c r="AR55" i="16" s="1"/>
  <c r="AQ51" i="16"/>
  <c r="AQ43" i="16"/>
  <c r="AQ35" i="16"/>
  <c r="AQ31" i="16"/>
  <c r="AQ27" i="16"/>
  <c r="AS27" i="16" a="1"/>
  <c r="AS27" i="16" s="1"/>
  <c r="AQ23" i="16"/>
  <c r="AQ19" i="16"/>
  <c r="AQ15" i="16"/>
  <c r="AQ11" i="16"/>
  <c r="AQ7" i="16"/>
  <c r="AQ3" i="16"/>
  <c r="AQ147" i="16"/>
  <c r="AR147" i="16" a="1"/>
  <c r="AR147" i="16" s="1"/>
  <c r="AQ133" i="16"/>
  <c r="AS123" i="16" a="1"/>
  <c r="AS123" i="16" s="1"/>
  <c r="AR123" i="16" a="1"/>
  <c r="AR123" i="16" s="1"/>
  <c r="AQ119" i="16"/>
  <c r="AR119" i="16" a="1"/>
  <c r="AR119" i="16" s="1"/>
  <c r="AS115" i="16" a="1"/>
  <c r="AS115" i="16" s="1"/>
  <c r="AR115" i="16" a="1"/>
  <c r="AR115" i="16" s="1"/>
  <c r="AQ111" i="16"/>
  <c r="AS111" i="16" a="1"/>
  <c r="AS111" i="16" s="1"/>
  <c r="AR111" i="16" a="1"/>
  <c r="AR111" i="16" s="1"/>
  <c r="AQ106" i="16"/>
  <c r="AR106" i="16" a="1"/>
  <c r="AR106" i="16" s="1"/>
  <c r="AR102" i="16" a="1"/>
  <c r="AR102" i="16" s="1"/>
  <c r="AQ98" i="16"/>
  <c r="AS98" i="16" a="1"/>
  <c r="AS98" i="16" s="1"/>
  <c r="AR98" i="16" a="1"/>
  <c r="AR98" i="16" s="1"/>
  <c r="AQ90" i="16"/>
  <c r="AR90" i="16" a="1"/>
  <c r="AR90" i="16" s="1"/>
  <c r="AQ86" i="16"/>
  <c r="AQ82" i="16"/>
  <c r="AR82" i="16" a="1"/>
  <c r="AR82" i="16" s="1"/>
  <c r="AQ78" i="16"/>
  <c r="AQ74" i="16"/>
  <c r="AR74" i="16" a="1"/>
  <c r="AR74" i="16" s="1"/>
  <c r="AS70" i="16" a="1"/>
  <c r="AS70" i="16" s="1"/>
  <c r="AQ66" i="16"/>
  <c r="AQ58" i="16"/>
  <c r="AR58" i="16" a="1"/>
  <c r="AR58" i="16" s="1"/>
  <c r="AQ54" i="16"/>
  <c r="AR54" i="16" a="1"/>
  <c r="AR54" i="16" s="1"/>
  <c r="AQ46" i="16"/>
  <c r="AQ42" i="16"/>
  <c r="AQ38" i="16"/>
  <c r="AS34" i="16" a="1"/>
  <c r="AS34" i="16" s="1"/>
  <c r="AQ30" i="16"/>
  <c r="AQ18" i="16"/>
  <c r="AQ102" i="16"/>
  <c r="AQ62" i="16"/>
  <c r="AQ47" i="16"/>
  <c r="AQ22" i="16"/>
  <c r="AQ6" i="16"/>
  <c r="AQ146" i="16"/>
  <c r="AS146" i="16" a="1"/>
  <c r="AS146" i="16" s="1"/>
  <c r="AQ142" i="16"/>
  <c r="AR142" i="16" a="1"/>
  <c r="AR142" i="16" s="1"/>
  <c r="AQ137" i="16"/>
  <c r="AS137" i="16" a="1"/>
  <c r="AS137" i="16" s="1"/>
  <c r="AR137" i="16" a="1"/>
  <c r="AR137" i="16" s="1"/>
  <c r="AQ132" i="16"/>
  <c r="AS132" i="16" a="1"/>
  <c r="AS132" i="16" s="1"/>
  <c r="AR132" i="16" a="1"/>
  <c r="AR132" i="16" s="1"/>
  <c r="AQ127" i="16"/>
  <c r="AR127" i="16" a="1"/>
  <c r="AR127" i="16" s="1"/>
  <c r="AQ122" i="16"/>
  <c r="AQ118" i="16"/>
  <c r="AQ114" i="16"/>
  <c r="AQ109" i="16"/>
  <c r="AQ105" i="16"/>
  <c r="AQ101" i="16"/>
  <c r="AQ97" i="16"/>
  <c r="AQ93" i="16"/>
  <c r="AR93" i="16" a="1"/>
  <c r="AR93" i="16" s="1"/>
  <c r="AS93" i="16" a="1"/>
  <c r="AS93" i="16" s="1"/>
  <c r="AQ89" i="16"/>
  <c r="AS89" i="16" a="1"/>
  <c r="AS89" i="16" s="1"/>
  <c r="AQ85" i="16"/>
  <c r="AQ81" i="16"/>
  <c r="AQ77" i="16"/>
  <c r="AQ73" i="16"/>
  <c r="AS73" i="16" a="1"/>
  <c r="AS73" i="16" s="1"/>
  <c r="AR73" i="16" a="1"/>
  <c r="AR73" i="16" s="1"/>
  <c r="AQ69" i="16"/>
  <c r="AS69" i="16" a="1"/>
  <c r="AS69" i="16" s="1"/>
  <c r="AQ65" i="16"/>
  <c r="AQ61" i="16"/>
  <c r="AS61" i="16" a="1"/>
  <c r="AS61" i="16" s="1"/>
  <c r="AQ57" i="16"/>
  <c r="AQ53" i="16"/>
  <c r="AS53" i="16" a="1"/>
  <c r="AS53" i="16" s="1"/>
  <c r="AQ49" i="16"/>
  <c r="AQ45" i="16"/>
  <c r="AQ41" i="16"/>
  <c r="AQ37" i="16"/>
  <c r="AQ33" i="16"/>
  <c r="AQ29" i="16"/>
  <c r="AQ25" i="16"/>
  <c r="AR25" i="16" a="1"/>
  <c r="AR25" i="16" s="1"/>
  <c r="AQ21" i="16"/>
  <c r="AQ17" i="16"/>
  <c r="AQ13" i="16"/>
  <c r="AQ9" i="16"/>
  <c r="AQ5" i="16"/>
  <c r="AR5" i="16" a="1"/>
  <c r="AR5" i="16" s="1"/>
  <c r="AQ149" i="16"/>
  <c r="AQ141" i="16"/>
  <c r="AS136" i="16" a="1"/>
  <c r="AS136" i="16" s="1"/>
  <c r="AQ130" i="16"/>
  <c r="AR125" i="16" a="1"/>
  <c r="AR125" i="16" s="1"/>
  <c r="AS125" i="16" a="1"/>
  <c r="AS125" i="16" s="1"/>
  <c r="AQ121" i="16"/>
  <c r="AS121" i="16" a="1"/>
  <c r="AS121" i="16" s="1"/>
  <c r="AR121" i="16" a="1"/>
  <c r="AR121" i="16" s="1"/>
  <c r="AQ117" i="16"/>
  <c r="AR117" i="16" a="1"/>
  <c r="AR117" i="16" s="1"/>
  <c r="AS117" i="16" a="1"/>
  <c r="AS117" i="16" s="1"/>
  <c r="AQ113" i="16"/>
  <c r="AR113" i="16" a="1"/>
  <c r="AR113" i="16" s="1"/>
  <c r="AQ108" i="16"/>
  <c r="AR108" i="16" a="1"/>
  <c r="AR108" i="16" s="1"/>
  <c r="AQ104" i="16"/>
  <c r="AS104" i="16" a="1"/>
  <c r="AS104" i="16" s="1"/>
  <c r="AR104" i="16" a="1"/>
  <c r="AR104" i="16" s="1"/>
  <c r="AQ100" i="16"/>
  <c r="AS100" i="16" a="1"/>
  <c r="AS100" i="16" s="1"/>
  <c r="AR100" i="16" a="1"/>
  <c r="AR100" i="16" s="1"/>
  <c r="AR96" i="16" a="1"/>
  <c r="AR96" i="16" s="1"/>
  <c r="AS92" i="16" a="1"/>
  <c r="AS92" i="16" s="1"/>
  <c r="AR80" i="16" a="1"/>
  <c r="AR80" i="16" s="1"/>
  <c r="AS72" i="16" a="1"/>
  <c r="AS72" i="16" s="1"/>
  <c r="AS52" i="16" a="1"/>
  <c r="AS52" i="16" s="1"/>
  <c r="AS36" i="16" a="1"/>
  <c r="AS36" i="16" s="1"/>
  <c r="AR24" i="16" a="1"/>
  <c r="AR24" i="16" s="1"/>
  <c r="AS12" i="16" a="1"/>
  <c r="AS12" i="16" s="1"/>
  <c r="AQ138" i="16"/>
  <c r="AQ116" i="16"/>
  <c r="AQ136" i="16"/>
  <c r="AQ87" i="16"/>
  <c r="AQ128" i="16"/>
  <c r="AQ115" i="16"/>
  <c r="AQ79" i="16"/>
  <c r="AQ120" i="16"/>
  <c r="AQ99" i="16"/>
  <c r="AQ67" i="16"/>
  <c r="AQ39" i="16"/>
  <c r="AQ88" i="16"/>
  <c r="AQ143" i="16"/>
  <c r="AQ129" i="16"/>
  <c r="AQ112" i="16"/>
  <c r="AQ134" i="16"/>
  <c r="AQ95" i="16"/>
  <c r="AQ63" i="16"/>
  <c r="AQ36" i="16"/>
  <c r="AQ8" i="16"/>
  <c r="AQ92" i="16"/>
  <c r="AQ84" i="16"/>
  <c r="AQ76" i="16"/>
  <c r="AQ68" i="16"/>
  <c r="AQ60" i="16"/>
  <c r="AQ52" i="16"/>
  <c r="AQ24" i="16"/>
  <c r="AQ44" i="16"/>
  <c r="AQ28" i="16"/>
  <c r="AQ12" i="16"/>
  <c r="AQ96" i="16"/>
  <c r="AQ80" i="16"/>
  <c r="AQ64" i="16"/>
  <c r="AQ48" i="16"/>
  <c r="AQ32" i="16"/>
  <c r="AQ16" i="16"/>
  <c r="DG319" i="11" a="1"/>
  <c r="DG319" i="11" s="1"/>
  <c r="DG318" i="11" a="1"/>
  <c r="DG318" i="11" s="1"/>
  <c r="DG317" i="11" a="1"/>
  <c r="DG317" i="11" s="1"/>
  <c r="DG316" i="11" a="1"/>
  <c r="DG316" i="11" s="1"/>
  <c r="DG315" i="11" a="1"/>
  <c r="DG315" i="11" s="1"/>
  <c r="DG314" i="11" a="1"/>
  <c r="DG314" i="11" s="1"/>
  <c r="DG307" i="11" a="1"/>
  <c r="DG307" i="11" s="1"/>
  <c r="DG306" i="11" a="1"/>
  <c r="DG306" i="11" s="1"/>
  <c r="DG305" i="11" a="1"/>
  <c r="DG305" i="11" s="1"/>
  <c r="DG304" i="11" a="1"/>
  <c r="DG304" i="11" s="1"/>
  <c r="DG303" i="11" a="1"/>
  <c r="DG303" i="11" s="1"/>
  <c r="DG302" i="11" a="1"/>
  <c r="DG302" i="11" s="1"/>
  <c r="DG290" i="11" a="1"/>
  <c r="DG290" i="11" s="1"/>
  <c r="DG289" i="11" a="1"/>
  <c r="DG289" i="11" s="1"/>
  <c r="DG288" i="11" a="1"/>
  <c r="DG288" i="11" s="1"/>
  <c r="DG287" i="11" a="1"/>
  <c r="DG287" i="11" s="1"/>
  <c r="DG286" i="11" a="1"/>
  <c r="DG286" i="11" s="1"/>
  <c r="DG285" i="11" a="1"/>
  <c r="DG285" i="11" s="1"/>
  <c r="DG171" i="11" a="1"/>
  <c r="DG171" i="11" s="1"/>
  <c r="DG170" i="11" a="1"/>
  <c r="DG170" i="11" s="1"/>
  <c r="DG169" i="11" a="1"/>
  <c r="DG169" i="11" s="1"/>
  <c r="DG168" i="11" a="1"/>
  <c r="DG168" i="11" s="1"/>
  <c r="DG167" i="11" a="1"/>
  <c r="DG167" i="11" s="1"/>
  <c r="DG166" i="11" a="1"/>
  <c r="DG166" i="11" s="1"/>
  <c r="DG165" i="11" a="1"/>
  <c r="DG165" i="11" s="1"/>
  <c r="DG164" i="11" a="1"/>
  <c r="DG164" i="11" s="1"/>
  <c r="DG163" i="11" a="1"/>
  <c r="DG163" i="11" s="1"/>
  <c r="DG162" i="11" a="1"/>
  <c r="DG162" i="11" s="1"/>
  <c r="DG161" i="11" a="1"/>
  <c r="DG161" i="11" s="1"/>
  <c r="DG160" i="11" a="1"/>
  <c r="DG160" i="11" s="1"/>
  <c r="DG159" i="11" a="1"/>
  <c r="DG159" i="11" s="1"/>
  <c r="DG158" i="11" a="1"/>
  <c r="DG158" i="11" s="1"/>
  <c r="DG157" i="11" a="1"/>
  <c r="DG157" i="11" s="1"/>
  <c r="DG156" i="11" a="1"/>
  <c r="DG156" i="11" s="1"/>
  <c r="DG155" i="11" a="1"/>
  <c r="DG155" i="11" s="1"/>
  <c r="DG154" i="11" a="1"/>
  <c r="DG154" i="11" s="1"/>
  <c r="DG153" i="11" a="1"/>
  <c r="DG153" i="11" s="1"/>
  <c r="DG152" i="11" a="1"/>
  <c r="DG152" i="11" s="1"/>
  <c r="DG151" i="11" a="1"/>
  <c r="DG151" i="11" s="1"/>
  <c r="DG150" i="11" a="1"/>
  <c r="DG150" i="11" s="1"/>
  <c r="DG149" i="11" a="1"/>
  <c r="DG149" i="11" s="1"/>
  <c r="DG148" i="11" a="1"/>
  <c r="DG148" i="11" s="1"/>
  <c r="DG147" i="11" a="1"/>
  <c r="DG147" i="11" s="1"/>
  <c r="DG146" i="11" a="1"/>
  <c r="DG146" i="11" s="1"/>
  <c r="DG145" i="11" a="1"/>
  <c r="DG145" i="11" s="1"/>
  <c r="DG144" i="11" a="1"/>
  <c r="DG144" i="11" s="1"/>
  <c r="DG143" i="11" a="1"/>
  <c r="DG143" i="11" s="1"/>
  <c r="DG142" i="11" a="1"/>
  <c r="DG142" i="11" s="1"/>
  <c r="DG141" i="11" a="1"/>
  <c r="DG141" i="11" s="1"/>
  <c r="DG140" i="11" a="1"/>
  <c r="DG140" i="11" s="1"/>
  <c r="DG139" i="11" a="1"/>
  <c r="DG139" i="11" s="1"/>
  <c r="DG138" i="11" a="1"/>
  <c r="DG138" i="11" s="1"/>
  <c r="DG137" i="11" a="1"/>
  <c r="DG137" i="11" s="1"/>
  <c r="DG136" i="11" a="1"/>
  <c r="DG136" i="11" s="1"/>
  <c r="DG135" i="11" a="1"/>
  <c r="DG135" i="11" s="1"/>
  <c r="DG134" i="11" a="1"/>
  <c r="DG134" i="11" s="1"/>
  <c r="DG133" i="11" a="1"/>
  <c r="DG133" i="11" s="1"/>
  <c r="DG132" i="11" a="1"/>
  <c r="DG132" i="11" s="1"/>
  <c r="DG131" i="11" a="1"/>
  <c r="DG131" i="11" s="1"/>
  <c r="DG130" i="11" a="1"/>
  <c r="DG130" i="11" s="1"/>
  <c r="DG129" i="11" a="1"/>
  <c r="DG129" i="11" s="1"/>
  <c r="DG128" i="11" a="1"/>
  <c r="DG128" i="11" s="1"/>
  <c r="DG127" i="11" a="1"/>
  <c r="DG127" i="11" s="1"/>
  <c r="DG126" i="11" a="1"/>
  <c r="DG126" i="11" s="1"/>
  <c r="DG125" i="11" a="1"/>
  <c r="DG125" i="11" s="1"/>
  <c r="DG124" i="11" a="1"/>
  <c r="DG124" i="11" s="1"/>
  <c r="DG123" i="11" a="1"/>
  <c r="DG123" i="11" s="1"/>
  <c r="DG122" i="11" a="1"/>
  <c r="DG122" i="11" s="1"/>
  <c r="DG121" i="11" a="1"/>
  <c r="DG121" i="11" s="1"/>
  <c r="DG120" i="11" a="1"/>
  <c r="DG120" i="11" s="1"/>
  <c r="DG119" i="11" a="1"/>
  <c r="DG119" i="11" s="1"/>
  <c r="DG118" i="11" a="1"/>
  <c r="DG118" i="11" s="1"/>
  <c r="DG117" i="11" a="1"/>
  <c r="DG117" i="11" s="1"/>
  <c r="DG116" i="11" a="1"/>
  <c r="DG116" i="11" s="1"/>
  <c r="DG115" i="11" a="1"/>
  <c r="DG115" i="11" s="1"/>
  <c r="DG114" i="11" a="1"/>
  <c r="DG114" i="11" s="1"/>
  <c r="DG113" i="11" a="1"/>
  <c r="DG113" i="11" s="1"/>
  <c r="DG112" i="11" a="1"/>
  <c r="DG112" i="11" s="1"/>
  <c r="DG111" i="11" a="1"/>
  <c r="DG111" i="11" s="1"/>
  <c r="DG110" i="11" a="1"/>
  <c r="DG110" i="11" s="1"/>
  <c r="DG109" i="11" a="1"/>
  <c r="DG109" i="11" s="1"/>
  <c r="DG108" i="11" a="1"/>
  <c r="DG108" i="11" s="1"/>
  <c r="DG107" i="11" a="1"/>
  <c r="DG107" i="11" s="1"/>
  <c r="DG106" i="11" a="1"/>
  <c r="DG106" i="11" s="1"/>
  <c r="DG105" i="11" a="1"/>
  <c r="DG105" i="11" s="1"/>
  <c r="DG104" i="11" a="1"/>
  <c r="DG104" i="11" s="1"/>
  <c r="DG103" i="11" a="1"/>
  <c r="DG103" i="11" s="1"/>
  <c r="DG102" i="11" a="1"/>
  <c r="DG102" i="11" s="1"/>
  <c r="DG101" i="11" a="1"/>
  <c r="DG101" i="11" s="1"/>
  <c r="DG100" i="11" a="1"/>
  <c r="DG100" i="11" s="1"/>
  <c r="DG99" i="11" a="1"/>
  <c r="DG99" i="11" s="1"/>
  <c r="DG98" i="11" a="1"/>
  <c r="DG98" i="11" s="1"/>
  <c r="DG97" i="11" a="1"/>
  <c r="DG97" i="11" s="1"/>
  <c r="DG96" i="11" a="1"/>
  <c r="DG96" i="11" s="1"/>
  <c r="DG95" i="11" a="1"/>
  <c r="DG95" i="11" s="1"/>
  <c r="DG94" i="11" a="1"/>
  <c r="DG94" i="11" s="1"/>
  <c r="DG93" i="11" a="1"/>
  <c r="DG93" i="11" s="1"/>
  <c r="DG92" i="11" a="1"/>
  <c r="DG92" i="11" s="1"/>
  <c r="DG91" i="11" a="1"/>
  <c r="DG91" i="11" s="1"/>
  <c r="DG90" i="11" a="1"/>
  <c r="DG90" i="11" s="1"/>
  <c r="DG89" i="11" a="1"/>
  <c r="DG89" i="11" s="1"/>
  <c r="DG88" i="11" a="1"/>
  <c r="DG88" i="11" s="1"/>
  <c r="DG87" i="11" a="1"/>
  <c r="DG87" i="11" s="1"/>
  <c r="DG86" i="11" a="1"/>
  <c r="DG86" i="11" s="1"/>
  <c r="DG85" i="11" a="1"/>
  <c r="DG85" i="11" s="1"/>
  <c r="DG84" i="11" a="1"/>
  <c r="DG84" i="11" s="1"/>
  <c r="DG83" i="11" a="1"/>
  <c r="DG83" i="11" s="1"/>
  <c r="DG82" i="11" a="1"/>
  <c r="DG82" i="11" s="1"/>
  <c r="DG81" i="11" a="1"/>
  <c r="DG81" i="11" s="1"/>
  <c r="DG80" i="11" a="1"/>
  <c r="DG80" i="11" s="1"/>
  <c r="DG79" i="11" a="1"/>
  <c r="DG79" i="11" s="1"/>
  <c r="DG78" i="11" a="1"/>
  <c r="DG78" i="11" s="1"/>
  <c r="DG77" i="11" a="1"/>
  <c r="DG77" i="11" s="1"/>
  <c r="DG76" i="11" a="1"/>
  <c r="DG76" i="11" s="1"/>
  <c r="DG75" i="11" a="1"/>
  <c r="DG75" i="11" s="1"/>
  <c r="DG74" i="11" a="1"/>
  <c r="DG74" i="11" s="1"/>
  <c r="DG73" i="11" a="1"/>
  <c r="DG73" i="11" s="1"/>
  <c r="DG72" i="11" a="1"/>
  <c r="DG72" i="11" s="1"/>
  <c r="DG71" i="11" a="1"/>
  <c r="DG71" i="11" s="1"/>
  <c r="DG70" i="11" a="1"/>
  <c r="DG70" i="11" s="1"/>
  <c r="DG69" i="11" a="1"/>
  <c r="DG69" i="11" s="1"/>
  <c r="DG68" i="11" a="1"/>
  <c r="DG68" i="11" s="1"/>
  <c r="DG67" i="11" a="1"/>
  <c r="DG67" i="11" s="1"/>
  <c r="DG66" i="11" a="1"/>
  <c r="DG66" i="11" s="1"/>
  <c r="DG65" i="11" a="1"/>
  <c r="DG65" i="11" s="1"/>
  <c r="DG64" i="11" a="1"/>
  <c r="DG64" i="11" s="1"/>
  <c r="DG63" i="11" a="1"/>
  <c r="DG63" i="11" s="1"/>
  <c r="DG62" i="11" a="1"/>
  <c r="DG62" i="11" s="1"/>
  <c r="DG61" i="11" a="1"/>
  <c r="DG61" i="11" s="1"/>
  <c r="DG60" i="11" a="1"/>
  <c r="DG60" i="11" s="1"/>
  <c r="DG59" i="11" a="1"/>
  <c r="DG59" i="11" s="1"/>
  <c r="DG58" i="11" a="1"/>
  <c r="DG58" i="11" s="1"/>
  <c r="DG57" i="11" a="1"/>
  <c r="DG57" i="11" s="1"/>
  <c r="DG56" i="11" a="1"/>
  <c r="DG56" i="11" s="1"/>
  <c r="DG55" i="11" a="1"/>
  <c r="DG55" i="11" s="1"/>
  <c r="DG54" i="11" a="1"/>
  <c r="DG54" i="11" s="1"/>
  <c r="DG53" i="11" a="1"/>
  <c r="DG53" i="11" s="1"/>
  <c r="DG52" i="11" a="1"/>
  <c r="DG52" i="11" s="1"/>
  <c r="DG51" i="11" a="1"/>
  <c r="DG51" i="11" s="1"/>
  <c r="DG50" i="11" a="1"/>
  <c r="DG50" i="11" s="1"/>
  <c r="DG49" i="11" a="1"/>
  <c r="DG49" i="11" s="1"/>
  <c r="DG48" i="11" a="1"/>
  <c r="DG48" i="11" s="1"/>
  <c r="DG47" i="11" a="1"/>
  <c r="DG47" i="11" s="1"/>
  <c r="DG46" i="11" a="1"/>
  <c r="DG46" i="11" s="1"/>
  <c r="DG45" i="11" a="1"/>
  <c r="DG45" i="11" s="1"/>
  <c r="DG44" i="11" a="1"/>
  <c r="DG44" i="11" s="1"/>
  <c r="DG43" i="11" a="1"/>
  <c r="DG43" i="11" s="1"/>
  <c r="DG42" i="11" a="1"/>
  <c r="DG42" i="11" s="1"/>
  <c r="DG41" i="11" a="1"/>
  <c r="DG41" i="11" s="1"/>
  <c r="DG40" i="11" a="1"/>
  <c r="DG40" i="11" s="1"/>
  <c r="DG39" i="11" a="1"/>
  <c r="DG39" i="11" s="1"/>
  <c r="DG38" i="11" a="1"/>
  <c r="DG38" i="11" s="1"/>
  <c r="DG37" i="11" a="1"/>
  <c r="DG37" i="11" s="1"/>
  <c r="DG36" i="11" a="1"/>
  <c r="DG36" i="11" s="1"/>
  <c r="DG35" i="11" a="1"/>
  <c r="DG35" i="11" s="1"/>
  <c r="DG34" i="11" a="1"/>
  <c r="DG34" i="11" s="1"/>
  <c r="DG33" i="11" a="1"/>
  <c r="DG33" i="11" s="1"/>
  <c r="DG32" i="11" a="1"/>
  <c r="DG32" i="11" s="1"/>
  <c r="DG31" i="11" a="1"/>
  <c r="DG31" i="11" s="1"/>
  <c r="DG30" i="11" a="1"/>
  <c r="DG30" i="11" s="1"/>
  <c r="DG29" i="11" a="1"/>
  <c r="DG29" i="11" s="1"/>
  <c r="DG28" i="11" a="1"/>
  <c r="DG28" i="11" s="1"/>
  <c r="DG27" i="11" a="1"/>
  <c r="DG27" i="11" s="1"/>
  <c r="DG26" i="11" a="1"/>
  <c r="DG26" i="11" s="1"/>
  <c r="DG25" i="11" a="1"/>
  <c r="DG25" i="11" s="1"/>
  <c r="DG24" i="11" a="1"/>
  <c r="DG24" i="11" s="1"/>
  <c r="DG23" i="11" a="1"/>
  <c r="DG23" i="11" s="1"/>
  <c r="DG22" i="11" a="1"/>
  <c r="DG22" i="11" s="1"/>
  <c r="DG21" i="11" a="1"/>
  <c r="DG21" i="11" s="1"/>
  <c r="DG20" i="11" a="1"/>
  <c r="DG20" i="11" s="1"/>
  <c r="DG19" i="11" a="1"/>
  <c r="DG19" i="11" s="1"/>
  <c r="DG18" i="11" a="1"/>
  <c r="DG18" i="11" s="1"/>
  <c r="DG17" i="11" a="1"/>
  <c r="DG17" i="11" s="1"/>
  <c r="DG16" i="11" a="1"/>
  <c r="DG16" i="11" s="1"/>
  <c r="DG15" i="11" a="1"/>
  <c r="DG15" i="11" s="1"/>
  <c r="DG14" i="11" a="1"/>
  <c r="DG14" i="11" s="1"/>
  <c r="DG13" i="11" a="1"/>
  <c r="DG13" i="11" s="1"/>
  <c r="DG12" i="11" a="1"/>
  <c r="DG12" i="11" s="1"/>
  <c r="DG11" i="11" a="1"/>
  <c r="DG11" i="11" s="1"/>
  <c r="DG10" i="11" a="1"/>
  <c r="DG10" i="11" s="1"/>
  <c r="DG9" i="11" a="1"/>
  <c r="DG9" i="11" s="1"/>
  <c r="DS319" i="11"/>
  <c r="DT319" i="11" s="1"/>
  <c r="DU319" i="11" s="1"/>
  <c r="DV319" i="11" s="1"/>
  <c r="DW319" i="11" s="1"/>
  <c r="DX319" i="11" s="1"/>
  <c r="DY319" i="11" s="1"/>
  <c r="DZ319" i="11" s="1"/>
  <c r="EA319" i="11" s="1"/>
  <c r="EB319" i="11" s="1"/>
  <c r="DR319" i="11"/>
  <c r="DI319" i="11"/>
  <c r="DH319" i="11"/>
  <c r="DS318" i="11"/>
  <c r="DT318" i="11" s="1"/>
  <c r="DU318" i="11" s="1"/>
  <c r="DV318" i="11" s="1"/>
  <c r="DW318" i="11" s="1"/>
  <c r="DX318" i="11" s="1"/>
  <c r="DY318" i="11" s="1"/>
  <c r="DZ318" i="11" s="1"/>
  <c r="EA318" i="11" s="1"/>
  <c r="EB318" i="11" s="1"/>
  <c r="DR318" i="11"/>
  <c r="DH318" i="11"/>
  <c r="DS317" i="11"/>
  <c r="DT317" i="11" s="1"/>
  <c r="DU317" i="11" s="1"/>
  <c r="DV317" i="11" s="1"/>
  <c r="DW317" i="11" s="1"/>
  <c r="DX317" i="11" s="1"/>
  <c r="DY317" i="11" s="1"/>
  <c r="DZ317" i="11" s="1"/>
  <c r="EA317" i="11" s="1"/>
  <c r="EB317" i="11" s="1"/>
  <c r="DR317" i="11"/>
  <c r="DJ317" i="11"/>
  <c r="DH317" i="11"/>
  <c r="DS316" i="11"/>
  <c r="DT316" i="11" s="1"/>
  <c r="DU316" i="11" s="1"/>
  <c r="DV316" i="11" s="1"/>
  <c r="DW316" i="11" s="1"/>
  <c r="DX316" i="11" s="1"/>
  <c r="DY316" i="11" s="1"/>
  <c r="DZ316" i="11" s="1"/>
  <c r="EA316" i="11" s="1"/>
  <c r="EB316" i="11" s="1"/>
  <c r="DR316" i="11"/>
  <c r="DH316" i="11"/>
  <c r="DL316" i="11" s="1"/>
  <c r="DM316" i="11" s="1"/>
  <c r="DS315" i="11"/>
  <c r="DT315" i="11" s="1"/>
  <c r="DU315" i="11" s="1"/>
  <c r="DV315" i="11" s="1"/>
  <c r="DW315" i="11" s="1"/>
  <c r="DX315" i="11" s="1"/>
  <c r="DY315" i="11" s="1"/>
  <c r="DZ315" i="11" s="1"/>
  <c r="EA315" i="11" s="1"/>
  <c r="EB315" i="11" s="1"/>
  <c r="DR315" i="11"/>
  <c r="DI315" i="11"/>
  <c r="DH315" i="11"/>
  <c r="DS314" i="11"/>
  <c r="DT314" i="11" s="1"/>
  <c r="DU314" i="11" s="1"/>
  <c r="DV314" i="11" s="1"/>
  <c r="DW314" i="11" s="1"/>
  <c r="DX314" i="11" s="1"/>
  <c r="DY314" i="11" s="1"/>
  <c r="DZ314" i="11" s="1"/>
  <c r="EA314" i="11" s="1"/>
  <c r="EB314" i="11" s="1"/>
  <c r="DR314" i="11"/>
  <c r="DH314" i="11"/>
  <c r="DL314" i="11" s="1"/>
  <c r="DM314" i="11" s="1"/>
  <c r="DS307" i="11"/>
  <c r="DT307" i="11" s="1"/>
  <c r="DU307" i="11" s="1"/>
  <c r="DV307" i="11" s="1"/>
  <c r="DW307" i="11" s="1"/>
  <c r="DX307" i="11" s="1"/>
  <c r="DY307" i="11" s="1"/>
  <c r="DZ307" i="11" s="1"/>
  <c r="EA307" i="11" s="1"/>
  <c r="EB307" i="11" s="1"/>
  <c r="DR307" i="11"/>
  <c r="DJ307" i="11"/>
  <c r="DH307" i="11"/>
  <c r="DL307" i="11" s="1"/>
  <c r="DM307" i="11" s="1"/>
  <c r="DS306" i="11"/>
  <c r="DT306" i="11" s="1"/>
  <c r="DU306" i="11" s="1"/>
  <c r="DV306" i="11" s="1"/>
  <c r="DW306" i="11" s="1"/>
  <c r="DX306" i="11" s="1"/>
  <c r="DY306" i="11" s="1"/>
  <c r="DZ306" i="11" s="1"/>
  <c r="EA306" i="11" s="1"/>
  <c r="EB306" i="11" s="1"/>
  <c r="DR306" i="11"/>
  <c r="DH306" i="11"/>
  <c r="DS305" i="11"/>
  <c r="DT305" i="11" s="1"/>
  <c r="DU305" i="11" s="1"/>
  <c r="DV305" i="11" s="1"/>
  <c r="DW305" i="11" s="1"/>
  <c r="DX305" i="11" s="1"/>
  <c r="DY305" i="11" s="1"/>
  <c r="DZ305" i="11" s="1"/>
  <c r="EA305" i="11" s="1"/>
  <c r="EB305" i="11" s="1"/>
  <c r="DR305" i="11"/>
  <c r="DI305" i="11"/>
  <c r="DH305" i="11"/>
  <c r="DL305" i="11" s="1"/>
  <c r="DM305" i="11" s="1"/>
  <c r="DS304" i="11"/>
  <c r="DT304" i="11" s="1"/>
  <c r="DU304" i="11" s="1"/>
  <c r="DV304" i="11" s="1"/>
  <c r="DW304" i="11" s="1"/>
  <c r="DX304" i="11" s="1"/>
  <c r="DY304" i="11" s="1"/>
  <c r="DZ304" i="11" s="1"/>
  <c r="EA304" i="11" s="1"/>
  <c r="EB304" i="11" s="1"/>
  <c r="DR304" i="11"/>
  <c r="DH304" i="11"/>
  <c r="DS303" i="11"/>
  <c r="DT303" i="11" s="1"/>
  <c r="DU303" i="11" s="1"/>
  <c r="DV303" i="11" s="1"/>
  <c r="DW303" i="11" s="1"/>
  <c r="DX303" i="11" s="1"/>
  <c r="DY303" i="11" s="1"/>
  <c r="DZ303" i="11" s="1"/>
  <c r="EA303" i="11" s="1"/>
  <c r="EB303" i="11" s="1"/>
  <c r="DR303" i="11"/>
  <c r="DJ303" i="11"/>
  <c r="DH303" i="11"/>
  <c r="DL303" i="11" s="1"/>
  <c r="DM303" i="11" s="1"/>
  <c r="DS302" i="11"/>
  <c r="DT302" i="11" s="1"/>
  <c r="DU302" i="11" s="1"/>
  <c r="DV302" i="11" s="1"/>
  <c r="DW302" i="11" s="1"/>
  <c r="DX302" i="11" s="1"/>
  <c r="DY302" i="11" s="1"/>
  <c r="DZ302" i="11" s="1"/>
  <c r="EA302" i="11" s="1"/>
  <c r="EB302" i="11" s="1"/>
  <c r="DR302" i="11"/>
  <c r="DH302" i="11"/>
  <c r="DL302" i="11" s="1"/>
  <c r="DM302" i="11" s="1"/>
  <c r="DS290" i="11"/>
  <c r="DT290" i="11" s="1"/>
  <c r="DU290" i="11" s="1"/>
  <c r="DV290" i="11" s="1"/>
  <c r="DW290" i="11" s="1"/>
  <c r="DX290" i="11" s="1"/>
  <c r="DY290" i="11" s="1"/>
  <c r="DZ290" i="11" s="1"/>
  <c r="EA290" i="11" s="1"/>
  <c r="EB290" i="11" s="1"/>
  <c r="DR290" i="11"/>
  <c r="DI290" i="11"/>
  <c r="DH290" i="11"/>
  <c r="DL290" i="11" s="1"/>
  <c r="DM290" i="11" s="1"/>
  <c r="DS289" i="11"/>
  <c r="DT289" i="11" s="1"/>
  <c r="DU289" i="11" s="1"/>
  <c r="DV289" i="11" s="1"/>
  <c r="DW289" i="11" s="1"/>
  <c r="DX289" i="11" s="1"/>
  <c r="DY289" i="11" s="1"/>
  <c r="DZ289" i="11" s="1"/>
  <c r="EA289" i="11" s="1"/>
  <c r="EB289" i="11" s="1"/>
  <c r="DR289" i="11"/>
  <c r="DH289" i="11"/>
  <c r="DS288" i="11"/>
  <c r="DT288" i="11" s="1"/>
  <c r="DU288" i="11" s="1"/>
  <c r="DV288" i="11" s="1"/>
  <c r="DW288" i="11" s="1"/>
  <c r="DX288" i="11" s="1"/>
  <c r="DY288" i="11" s="1"/>
  <c r="DZ288" i="11" s="1"/>
  <c r="EA288" i="11" s="1"/>
  <c r="EB288" i="11" s="1"/>
  <c r="DR288" i="11"/>
  <c r="DJ288" i="11"/>
  <c r="DH288" i="11"/>
  <c r="DL288" i="11" s="1"/>
  <c r="DM288" i="11" s="1"/>
  <c r="DS287" i="11"/>
  <c r="DT287" i="11" s="1"/>
  <c r="DU287" i="11" s="1"/>
  <c r="DV287" i="11" s="1"/>
  <c r="DW287" i="11" s="1"/>
  <c r="DX287" i="11" s="1"/>
  <c r="DY287" i="11" s="1"/>
  <c r="DZ287" i="11" s="1"/>
  <c r="EA287" i="11" s="1"/>
  <c r="EB287" i="11" s="1"/>
  <c r="DR287" i="11"/>
  <c r="DH287" i="11"/>
  <c r="DS286" i="11"/>
  <c r="DT286" i="11" s="1"/>
  <c r="DU286" i="11" s="1"/>
  <c r="DV286" i="11" s="1"/>
  <c r="DW286" i="11" s="1"/>
  <c r="DX286" i="11" s="1"/>
  <c r="DY286" i="11" s="1"/>
  <c r="DZ286" i="11" s="1"/>
  <c r="EA286" i="11" s="1"/>
  <c r="EB286" i="11" s="1"/>
  <c r="DR286" i="11"/>
  <c r="DJ286" i="11"/>
  <c r="DH286" i="11"/>
  <c r="DL286" i="11" s="1"/>
  <c r="DM286" i="11" s="1"/>
  <c r="DS285" i="11"/>
  <c r="DT285" i="11" s="1"/>
  <c r="DU285" i="11" s="1"/>
  <c r="DV285" i="11" s="1"/>
  <c r="DW285" i="11" s="1"/>
  <c r="DX285" i="11" s="1"/>
  <c r="DY285" i="11" s="1"/>
  <c r="DZ285" i="11" s="1"/>
  <c r="EA285" i="11" s="1"/>
  <c r="EB285" i="11" s="1"/>
  <c r="DR285" i="11"/>
  <c r="DH285" i="11"/>
  <c r="DL285" i="11" s="1"/>
  <c r="DM285" i="11" s="1"/>
  <c r="AG191" i="16" l="1"/>
  <c r="AH191" i="16" s="1"/>
  <c r="AI191" i="16" s="1" a="1"/>
  <c r="AI191" i="16" s="1"/>
  <c r="AJ191" i="16" s="1"/>
  <c r="AM191" i="16"/>
  <c r="AY186" i="16"/>
  <c r="BC186" i="16" s="1"/>
  <c r="AY191" i="16"/>
  <c r="AZ191" i="16" s="1"/>
  <c r="AM184" i="16"/>
  <c r="AG190" i="16"/>
  <c r="AH190" i="16" s="1"/>
  <c r="AI190" i="16" s="1" a="1"/>
  <c r="AI190" i="16" s="1"/>
  <c r="AJ190" i="16" s="1"/>
  <c r="AY183" i="16"/>
  <c r="BC183" i="16" s="1"/>
  <c r="AY190" i="16"/>
  <c r="AZ190" i="16" s="1"/>
  <c r="AG187" i="16"/>
  <c r="AH187" i="16" s="1"/>
  <c r="AI187" i="16" s="1" a="1"/>
  <c r="AI187" i="16" s="1"/>
  <c r="AJ187" i="16" s="1"/>
  <c r="AM181" i="16"/>
  <c r="AM187" i="16"/>
  <c r="AY181" i="16"/>
  <c r="AZ181" i="16" s="1"/>
  <c r="AM182" i="16"/>
  <c r="AM185" i="16"/>
  <c r="AY184" i="16"/>
  <c r="AZ184" i="16" s="1"/>
  <c r="AM188" i="16"/>
  <c r="AY187" i="16"/>
  <c r="BC187" i="16" s="1"/>
  <c r="AY188" i="16"/>
  <c r="AZ188" i="16" s="1"/>
  <c r="AY182" i="16"/>
  <c r="AZ182" i="16" s="1"/>
  <c r="AG188" i="16"/>
  <c r="AH188" i="16" s="1"/>
  <c r="AI188" i="16" s="1" a="1"/>
  <c r="AI188" i="16" s="1"/>
  <c r="AJ188" i="16" s="1"/>
  <c r="AY185" i="16"/>
  <c r="BC185" i="16" s="1"/>
  <c r="AG189" i="16"/>
  <c r="AH189" i="16" s="1"/>
  <c r="AI189" i="16" s="1" a="1"/>
  <c r="AI189" i="16" s="1"/>
  <c r="AJ189" i="16" s="1"/>
  <c r="AM186" i="16"/>
  <c r="AM189" i="16"/>
  <c r="AY189" i="16"/>
  <c r="BC189" i="16" s="1"/>
  <c r="AM183" i="16"/>
  <c r="AM190" i="16"/>
  <c r="AD188" i="16"/>
  <c r="AY154" i="16"/>
  <c r="AY164" i="16"/>
  <c r="AY170" i="16"/>
  <c r="AY178" i="16"/>
  <c r="AZ178" i="16" s="1"/>
  <c r="AM176" i="16"/>
  <c r="AM163" i="16"/>
  <c r="AM169" i="16"/>
  <c r="AM155" i="16"/>
  <c r="AM161" i="16"/>
  <c r="AM171" i="16"/>
  <c r="AM179" i="16"/>
  <c r="AM162" i="16"/>
  <c r="AM173" i="16"/>
  <c r="AM156" i="16"/>
  <c r="AM150" i="16"/>
  <c r="AY157" i="16"/>
  <c r="AM174" i="16"/>
  <c r="AY176" i="16"/>
  <c r="BC176" i="16" s="1"/>
  <c r="AY163" i="16"/>
  <c r="AY169" i="16"/>
  <c r="AY155" i="16"/>
  <c r="AY161" i="16"/>
  <c r="AY171" i="16"/>
  <c r="AY179" i="16"/>
  <c r="AY162" i="16"/>
  <c r="AY173" i="16"/>
  <c r="AY156" i="16"/>
  <c r="AY150" i="16"/>
  <c r="AY160" i="16"/>
  <c r="AY174" i="16"/>
  <c r="BC174" i="16" s="1"/>
  <c r="AM172" i="16"/>
  <c r="AM180" i="16"/>
  <c r="AM153" i="16"/>
  <c r="AM151" i="16"/>
  <c r="AM158" i="16"/>
  <c r="AM165" i="16"/>
  <c r="AM175" i="16"/>
  <c r="AY165" i="16"/>
  <c r="AM157" i="16"/>
  <c r="AM177" i="16"/>
  <c r="AM159" i="16"/>
  <c r="AM154" i="16"/>
  <c r="AM164" i="16"/>
  <c r="AM170" i="16"/>
  <c r="AM178" i="16"/>
  <c r="AY172" i="16"/>
  <c r="AY180" i="16"/>
  <c r="AZ180" i="16" s="1"/>
  <c r="AY153" i="16"/>
  <c r="AY151" i="16"/>
  <c r="AY158" i="16"/>
  <c r="AY175" i="16"/>
  <c r="BC175" i="16" s="1"/>
  <c r="AM160" i="16"/>
  <c r="AY177" i="16"/>
  <c r="AZ177" i="16" s="1"/>
  <c r="AY159" i="16"/>
  <c r="AD187" i="16"/>
  <c r="AD189" i="16"/>
  <c r="AD190" i="16"/>
  <c r="AD191" i="16"/>
  <c r="AY3" i="16"/>
  <c r="AY146" i="16"/>
  <c r="AY130" i="16"/>
  <c r="AY114" i="16"/>
  <c r="AY98" i="16"/>
  <c r="AY82" i="16"/>
  <c r="AY66" i="16"/>
  <c r="AY50" i="16"/>
  <c r="AY34" i="16"/>
  <c r="AY18" i="16"/>
  <c r="AY141" i="16"/>
  <c r="AY125" i="16"/>
  <c r="AY109" i="16"/>
  <c r="AY93" i="16"/>
  <c r="AY77" i="16"/>
  <c r="AY61" i="16"/>
  <c r="AY45" i="16"/>
  <c r="AY29" i="16"/>
  <c r="AY13" i="16"/>
  <c r="AY136" i="16"/>
  <c r="AY120" i="16"/>
  <c r="AY104" i="16"/>
  <c r="AY88" i="16"/>
  <c r="AY72" i="16"/>
  <c r="AY56" i="16"/>
  <c r="AY40" i="16"/>
  <c r="AY24" i="16"/>
  <c r="AY8" i="16"/>
  <c r="AY147" i="16"/>
  <c r="AY131" i="16"/>
  <c r="AY115" i="16"/>
  <c r="AY99" i="16"/>
  <c r="AY83" i="16"/>
  <c r="AY67" i="16"/>
  <c r="AY51" i="16"/>
  <c r="AY35" i="16"/>
  <c r="AY19" i="16"/>
  <c r="AY2" i="16"/>
  <c r="AY142" i="16"/>
  <c r="AY126" i="16"/>
  <c r="AY110" i="16"/>
  <c r="AY94" i="16"/>
  <c r="AY78" i="16"/>
  <c r="AY62" i="16"/>
  <c r="AY46" i="16"/>
  <c r="AY30" i="16"/>
  <c r="AY14" i="16"/>
  <c r="AY137" i="16"/>
  <c r="AY121" i="16"/>
  <c r="AY105" i="16"/>
  <c r="AY89" i="16"/>
  <c r="AY73" i="16"/>
  <c r="AY57" i="16"/>
  <c r="AY41" i="16"/>
  <c r="AY25" i="16"/>
  <c r="AY9" i="16"/>
  <c r="AY148" i="16"/>
  <c r="AY132" i="16"/>
  <c r="AY116" i="16"/>
  <c r="AY100" i="16"/>
  <c r="AY84" i="16"/>
  <c r="AY68" i="16"/>
  <c r="AY52" i="16"/>
  <c r="AY36" i="16"/>
  <c r="AY20" i="16"/>
  <c r="AY4" i="16"/>
  <c r="AY143" i="16"/>
  <c r="AY127" i="16"/>
  <c r="AY111" i="16"/>
  <c r="AY95" i="16"/>
  <c r="AY79" i="16"/>
  <c r="AY63" i="16"/>
  <c r="AY47" i="16"/>
  <c r="AY31" i="16"/>
  <c r="AY15" i="16"/>
  <c r="AY138" i="16"/>
  <c r="AY122" i="16"/>
  <c r="AY106" i="16"/>
  <c r="AY90" i="16"/>
  <c r="AY74" i="16"/>
  <c r="AY58" i="16"/>
  <c r="AY42" i="16"/>
  <c r="AY26" i="16"/>
  <c r="AY10" i="16"/>
  <c r="AY149" i="16"/>
  <c r="AY133" i="16"/>
  <c r="AY117" i="16"/>
  <c r="AY101" i="16"/>
  <c r="AY85" i="16"/>
  <c r="AY69" i="16"/>
  <c r="AY53" i="16"/>
  <c r="AY37" i="16"/>
  <c r="AY21" i="16"/>
  <c r="AY5" i="16"/>
  <c r="AY144" i="16"/>
  <c r="AY128" i="16"/>
  <c r="AY112" i="16"/>
  <c r="AY96" i="16"/>
  <c r="AY80" i="16"/>
  <c r="AY64" i="16"/>
  <c r="AY48" i="16"/>
  <c r="AY32" i="16"/>
  <c r="AY16" i="16"/>
  <c r="AY123" i="16"/>
  <c r="AY107" i="16"/>
  <c r="AY91" i="16"/>
  <c r="AY75" i="16"/>
  <c r="AY59" i="16"/>
  <c r="AY43" i="16"/>
  <c r="AY27" i="16"/>
  <c r="AY11" i="16"/>
  <c r="AY134" i="16"/>
  <c r="AY118" i="16"/>
  <c r="AY102" i="16"/>
  <c r="AY86" i="16"/>
  <c r="AY70" i="16"/>
  <c r="AY54" i="16"/>
  <c r="AY38" i="16"/>
  <c r="AY22" i="16"/>
  <c r="AY6" i="16"/>
  <c r="AY145" i="16"/>
  <c r="AY129" i="16"/>
  <c r="AY113" i="16"/>
  <c r="AY97" i="16"/>
  <c r="AY81" i="16"/>
  <c r="AY65" i="16"/>
  <c r="AY49" i="16"/>
  <c r="AY33" i="16"/>
  <c r="AY17" i="16"/>
  <c r="AY140" i="16"/>
  <c r="AY124" i="16"/>
  <c r="AY108" i="16"/>
  <c r="AY92" i="16"/>
  <c r="AY76" i="16"/>
  <c r="AY60" i="16"/>
  <c r="AY44" i="16"/>
  <c r="AY28" i="16"/>
  <c r="AY12" i="16"/>
  <c r="AY135" i="16"/>
  <c r="AY119" i="16"/>
  <c r="AY103" i="16"/>
  <c r="AY87" i="16"/>
  <c r="AY71" i="16"/>
  <c r="AY55" i="16"/>
  <c r="AY39" i="16"/>
  <c r="AY23" i="16"/>
  <c r="AY7" i="16"/>
  <c r="DN287" i="11"/>
  <c r="DL287" i="11"/>
  <c r="DN285" i="11"/>
  <c r="DJ285" i="11"/>
  <c r="DO285" i="11"/>
  <c r="DP285" i="11" s="1" a="1"/>
  <c r="DP285" i="11" s="1"/>
  <c r="DQ285" i="11" s="1"/>
  <c r="DI285" i="11"/>
  <c r="DN302" i="11"/>
  <c r="DO302" i="11"/>
  <c r="DP302" i="11" s="1" a="1"/>
  <c r="DP302" i="11" s="1"/>
  <c r="DQ302" i="11" s="1"/>
  <c r="DJ302" i="11"/>
  <c r="DI302" i="11"/>
  <c r="DN306" i="11"/>
  <c r="DO306" i="11"/>
  <c r="DP306" i="11" s="1" a="1"/>
  <c r="DP306" i="11" s="1"/>
  <c r="DQ306" i="11" s="1"/>
  <c r="DJ306" i="11"/>
  <c r="DI306" i="11"/>
  <c r="DN316" i="11"/>
  <c r="DO316" i="11"/>
  <c r="DP316" i="11" s="1" a="1"/>
  <c r="DP316" i="11" s="1"/>
  <c r="DQ316" i="11" s="1"/>
  <c r="DJ316" i="11"/>
  <c r="DI316" i="11"/>
  <c r="DO288" i="11"/>
  <c r="DP288" i="11" s="1" a="1"/>
  <c r="DP288" i="11" s="1"/>
  <c r="DQ288" i="11" s="1"/>
  <c r="DI288" i="11"/>
  <c r="DK288" i="11" s="1"/>
  <c r="DN288" i="11"/>
  <c r="DJ289" i="11"/>
  <c r="DO289" i="11"/>
  <c r="DP289" i="11" s="1" a="1"/>
  <c r="DP289" i="11" s="1"/>
  <c r="DQ289" i="11" s="1"/>
  <c r="DI289" i="11"/>
  <c r="DN289" i="11"/>
  <c r="DL289" i="11"/>
  <c r="DM289" i="11" s="1"/>
  <c r="DJ290" i="11"/>
  <c r="DK290" i="11" s="1"/>
  <c r="DN290" i="11"/>
  <c r="DO303" i="11"/>
  <c r="DP303" i="11" s="1" a="1"/>
  <c r="DP303" i="11" s="1"/>
  <c r="DQ303" i="11" s="1"/>
  <c r="DI303" i="11"/>
  <c r="DK303" i="11" s="1"/>
  <c r="DN303" i="11"/>
  <c r="DJ304" i="11"/>
  <c r="DO304" i="11"/>
  <c r="DP304" i="11" s="1" a="1"/>
  <c r="DP304" i="11" s="1"/>
  <c r="DQ304" i="11" s="1"/>
  <c r="DI304" i="11"/>
  <c r="DN304" i="11"/>
  <c r="DL304" i="11"/>
  <c r="DJ305" i="11"/>
  <c r="DK305" i="11" s="1"/>
  <c r="DN305" i="11"/>
  <c r="DO307" i="11"/>
  <c r="DP307" i="11" s="1" a="1"/>
  <c r="DP307" i="11" s="1"/>
  <c r="DQ307" i="11" s="1"/>
  <c r="DI307" i="11"/>
  <c r="DK307" i="11" s="1"/>
  <c r="DN307" i="11"/>
  <c r="DJ314" i="11"/>
  <c r="DO314" i="11"/>
  <c r="DP314" i="11" s="1" a="1"/>
  <c r="DP314" i="11" s="1"/>
  <c r="DQ314" i="11" s="1"/>
  <c r="DI314" i="11"/>
  <c r="DN314" i="11"/>
  <c r="DJ315" i="11"/>
  <c r="DK315" i="11" s="1"/>
  <c r="DN315" i="11"/>
  <c r="DL315" i="11"/>
  <c r="DO317" i="11"/>
  <c r="DP317" i="11" s="1" a="1"/>
  <c r="DP317" i="11" s="1"/>
  <c r="DQ317" i="11" s="1"/>
  <c r="DI317" i="11"/>
  <c r="DK317" i="11" s="1"/>
  <c r="DN317" i="11"/>
  <c r="DJ318" i="11"/>
  <c r="DO318" i="11"/>
  <c r="DP318" i="11" s="1" a="1"/>
  <c r="DP318" i="11" s="1"/>
  <c r="DQ318" i="11" s="1"/>
  <c r="DI318" i="11"/>
  <c r="DN318" i="11"/>
  <c r="DL318" i="11"/>
  <c r="DJ319" i="11"/>
  <c r="DK319" i="11" s="1"/>
  <c r="DN319" i="11"/>
  <c r="DL319" i="11"/>
  <c r="DO290" i="11"/>
  <c r="DP290" i="11" s="1" a="1"/>
  <c r="DP290" i="11" s="1"/>
  <c r="DQ290" i="11" s="1"/>
  <c r="DO305" i="11"/>
  <c r="DP305" i="11" s="1" a="1"/>
  <c r="DP305" i="11" s="1"/>
  <c r="DQ305" i="11" s="1"/>
  <c r="DO315" i="11"/>
  <c r="DP315" i="11" s="1" a="1"/>
  <c r="DP315" i="11" s="1"/>
  <c r="DQ315" i="11" s="1"/>
  <c r="DO319" i="11"/>
  <c r="DP319" i="11" s="1" a="1"/>
  <c r="DP319" i="11" s="1"/>
  <c r="DQ319" i="11" s="1"/>
  <c r="DO286" i="11"/>
  <c r="DP286" i="11" s="1" a="1"/>
  <c r="DP286" i="11" s="1"/>
  <c r="DQ286" i="11" s="1"/>
  <c r="DI286" i="11"/>
  <c r="DK286" i="11" s="1"/>
  <c r="DN286" i="11"/>
  <c r="DJ287" i="11"/>
  <c r="DM287" i="11" s="1"/>
  <c r="DO287" i="11"/>
  <c r="DP287" i="11" s="1" a="1"/>
  <c r="DP287" i="11" s="1"/>
  <c r="DQ287" i="11" s="1"/>
  <c r="DI287" i="11"/>
  <c r="DL306" i="11"/>
  <c r="DM306" i="11" s="1"/>
  <c r="DL317" i="11"/>
  <c r="DM317" i="11" s="1"/>
  <c r="AK188" i="16" l="1"/>
  <c r="AL188" i="16" s="1"/>
  <c r="AU188" i="16" s="1" a="1"/>
  <c r="AU188" i="16" s="1"/>
  <c r="AK189" i="16"/>
  <c r="AL189" i="16" s="1"/>
  <c r="AU189" i="16" s="1" a="1"/>
  <c r="AU189" i="16" s="1"/>
  <c r="AK190" i="16"/>
  <c r="AL190" i="16" s="1"/>
  <c r="AU190" i="16" s="1" a="1"/>
  <c r="AU190" i="16" s="1"/>
  <c r="AK187" i="16"/>
  <c r="AL187" i="16" s="1"/>
  <c r="AU187" i="16" s="1" a="1"/>
  <c r="AU187" i="16" s="1"/>
  <c r="AK191" i="16"/>
  <c r="AL191" i="16" s="1"/>
  <c r="AU191" i="16" s="1" a="1"/>
  <c r="AU191" i="16" s="1"/>
  <c r="AQ187" i="16"/>
  <c r="AR187" i="16" a="1"/>
  <c r="AR187" i="16" s="1"/>
  <c r="AQ188" i="16"/>
  <c r="AR188" i="16" a="1"/>
  <c r="AR188" i="16" s="1"/>
  <c r="AQ190" i="16"/>
  <c r="AR190" i="16" a="1"/>
  <c r="AR190" i="16" s="1"/>
  <c r="AZ179" i="16"/>
  <c r="AQ189" i="16"/>
  <c r="AR189" i="16" a="1"/>
  <c r="AR189" i="16" s="1"/>
  <c r="AQ191" i="16"/>
  <c r="AR191" i="16" a="1"/>
  <c r="AR191" i="16" s="1"/>
  <c r="DM304" i="11"/>
  <c r="DK287" i="11"/>
  <c r="DM319" i="11"/>
  <c r="DK304" i="11"/>
  <c r="DM318" i="11"/>
  <c r="DK316" i="11"/>
  <c r="DK314" i="11"/>
  <c r="DK285" i="11"/>
  <c r="DK306" i="11"/>
  <c r="DK289" i="11"/>
  <c r="DK318" i="11"/>
  <c r="DM315" i="11"/>
  <c r="DK302" i="11"/>
  <c r="DS171" i="11" l="1"/>
  <c r="DT171" i="11" s="1"/>
  <c r="DU171" i="11" s="1"/>
  <c r="DV171" i="11" s="1"/>
  <c r="DW171" i="11" s="1"/>
  <c r="DX171" i="11" s="1"/>
  <c r="DY171" i="11" s="1"/>
  <c r="DZ171" i="11" s="1"/>
  <c r="EA171" i="11" s="1"/>
  <c r="EB171" i="11" s="1"/>
  <c r="DS170" i="11"/>
  <c r="DT170" i="11" s="1"/>
  <c r="DU170" i="11" s="1"/>
  <c r="DV170" i="11" s="1"/>
  <c r="DW170" i="11" s="1"/>
  <c r="DX170" i="11" s="1"/>
  <c r="DY170" i="11" s="1"/>
  <c r="DZ170" i="11" s="1"/>
  <c r="EA170" i="11" s="1"/>
  <c r="EB170" i="11" s="1"/>
  <c r="DS169" i="11"/>
  <c r="DT169" i="11" s="1"/>
  <c r="DU169" i="11" s="1"/>
  <c r="DV169" i="11" s="1"/>
  <c r="DW169" i="11" s="1"/>
  <c r="DX169" i="11" s="1"/>
  <c r="DY169" i="11" s="1"/>
  <c r="DZ169" i="11" s="1"/>
  <c r="EA169" i="11" s="1"/>
  <c r="EB169" i="11" s="1"/>
  <c r="DS168" i="11"/>
  <c r="DT168" i="11" s="1"/>
  <c r="DU168" i="11" s="1"/>
  <c r="DV168" i="11" s="1"/>
  <c r="DW168" i="11" s="1"/>
  <c r="DX168" i="11" s="1"/>
  <c r="DY168" i="11" s="1"/>
  <c r="DZ168" i="11" s="1"/>
  <c r="EA168" i="11" s="1"/>
  <c r="EB168" i="11" s="1"/>
  <c r="DS167" i="11"/>
  <c r="DT167" i="11" s="1"/>
  <c r="DU167" i="11" s="1"/>
  <c r="DV167" i="11" s="1"/>
  <c r="DW167" i="11" s="1"/>
  <c r="DX167" i="11" s="1"/>
  <c r="DY167" i="11" s="1"/>
  <c r="DZ167" i="11" s="1"/>
  <c r="EA167" i="11" s="1"/>
  <c r="EB167" i="11" s="1"/>
  <c r="DS166" i="11"/>
  <c r="DT166" i="11" s="1"/>
  <c r="DU166" i="11" s="1"/>
  <c r="DV166" i="11" s="1"/>
  <c r="DW166" i="11" s="1"/>
  <c r="DX166" i="11" s="1"/>
  <c r="DY166" i="11" s="1"/>
  <c r="DZ166" i="11" s="1"/>
  <c r="EA166" i="11" s="1"/>
  <c r="EB166" i="11" s="1"/>
  <c r="DS165" i="11"/>
  <c r="DT165" i="11" s="1"/>
  <c r="DU165" i="11" s="1"/>
  <c r="DV165" i="11" s="1"/>
  <c r="DW165" i="11" s="1"/>
  <c r="DX165" i="11" s="1"/>
  <c r="DY165" i="11" s="1"/>
  <c r="DZ165" i="11" s="1"/>
  <c r="EA165" i="11" s="1"/>
  <c r="EB165" i="11" s="1"/>
  <c r="DS164" i="11"/>
  <c r="DT164" i="11" s="1"/>
  <c r="DU164" i="11" s="1"/>
  <c r="DV164" i="11" s="1"/>
  <c r="DW164" i="11" s="1"/>
  <c r="DX164" i="11" s="1"/>
  <c r="DY164" i="11" s="1"/>
  <c r="DZ164" i="11" s="1"/>
  <c r="EA164" i="11" s="1"/>
  <c r="EB164" i="11" s="1"/>
  <c r="DS163" i="11"/>
  <c r="DT163" i="11" s="1"/>
  <c r="DU163" i="11" s="1"/>
  <c r="DV163" i="11" s="1"/>
  <c r="DW163" i="11" s="1"/>
  <c r="DX163" i="11" s="1"/>
  <c r="DY163" i="11" s="1"/>
  <c r="DZ163" i="11" s="1"/>
  <c r="EA163" i="11" s="1"/>
  <c r="EB163" i="11" s="1"/>
  <c r="DS162" i="11"/>
  <c r="DT162" i="11" s="1"/>
  <c r="DU162" i="11" s="1"/>
  <c r="DV162" i="11" s="1"/>
  <c r="DW162" i="11" s="1"/>
  <c r="DX162" i="11" s="1"/>
  <c r="DY162" i="11" s="1"/>
  <c r="DZ162" i="11" s="1"/>
  <c r="EA162" i="11" s="1"/>
  <c r="EB162" i="11" s="1"/>
  <c r="DS161" i="11"/>
  <c r="DT161" i="11" s="1"/>
  <c r="DU161" i="11" s="1"/>
  <c r="DV161" i="11" s="1"/>
  <c r="DW161" i="11" s="1"/>
  <c r="DX161" i="11" s="1"/>
  <c r="DY161" i="11" s="1"/>
  <c r="DZ161" i="11" s="1"/>
  <c r="EA161" i="11" s="1"/>
  <c r="EB161" i="11" s="1"/>
  <c r="DS160" i="11"/>
  <c r="DT160" i="11" s="1"/>
  <c r="DU160" i="11" s="1"/>
  <c r="DV160" i="11" s="1"/>
  <c r="DW160" i="11" s="1"/>
  <c r="DX160" i="11" s="1"/>
  <c r="DY160" i="11" s="1"/>
  <c r="DZ160" i="11" s="1"/>
  <c r="EA160" i="11" s="1"/>
  <c r="EB160" i="11" s="1"/>
  <c r="DS159" i="11"/>
  <c r="DT159" i="11" s="1"/>
  <c r="DU159" i="11" s="1"/>
  <c r="DV159" i="11" s="1"/>
  <c r="DW159" i="11" s="1"/>
  <c r="DX159" i="11" s="1"/>
  <c r="DY159" i="11" s="1"/>
  <c r="DZ159" i="11" s="1"/>
  <c r="EA159" i="11" s="1"/>
  <c r="EB159" i="11" s="1"/>
  <c r="DS158" i="11"/>
  <c r="DT158" i="11" s="1"/>
  <c r="DU158" i="11" s="1"/>
  <c r="DV158" i="11" s="1"/>
  <c r="DW158" i="11" s="1"/>
  <c r="DX158" i="11" s="1"/>
  <c r="DY158" i="11" s="1"/>
  <c r="DZ158" i="11" s="1"/>
  <c r="EA158" i="11" s="1"/>
  <c r="EB158" i="11" s="1"/>
  <c r="DS157" i="11"/>
  <c r="DT157" i="11" s="1"/>
  <c r="DU157" i="11" s="1"/>
  <c r="DV157" i="11" s="1"/>
  <c r="DW157" i="11" s="1"/>
  <c r="DX157" i="11" s="1"/>
  <c r="DY157" i="11" s="1"/>
  <c r="DZ157" i="11" s="1"/>
  <c r="EA157" i="11" s="1"/>
  <c r="EB157" i="11" s="1"/>
  <c r="DS156" i="11"/>
  <c r="DT156" i="11" s="1"/>
  <c r="DU156" i="11" s="1"/>
  <c r="DV156" i="11" s="1"/>
  <c r="DW156" i="11" s="1"/>
  <c r="DX156" i="11" s="1"/>
  <c r="DY156" i="11" s="1"/>
  <c r="DZ156" i="11" s="1"/>
  <c r="EA156" i="11" s="1"/>
  <c r="EB156" i="11" s="1"/>
  <c r="DS155" i="11"/>
  <c r="DT155" i="11" s="1"/>
  <c r="DU155" i="11" s="1"/>
  <c r="DV155" i="11" s="1"/>
  <c r="DW155" i="11" s="1"/>
  <c r="DX155" i="11" s="1"/>
  <c r="DY155" i="11" s="1"/>
  <c r="DZ155" i="11" s="1"/>
  <c r="EA155" i="11" s="1"/>
  <c r="EB155" i="11" s="1"/>
  <c r="DS154" i="11"/>
  <c r="DT154" i="11" s="1"/>
  <c r="DU154" i="11" s="1"/>
  <c r="DV154" i="11" s="1"/>
  <c r="DW154" i="11" s="1"/>
  <c r="DX154" i="11" s="1"/>
  <c r="DY154" i="11" s="1"/>
  <c r="DZ154" i="11" s="1"/>
  <c r="EA154" i="11" s="1"/>
  <c r="EB154" i="11" s="1"/>
  <c r="DS153" i="11"/>
  <c r="DT153" i="11" s="1"/>
  <c r="DU153" i="11" s="1"/>
  <c r="DV153" i="11" s="1"/>
  <c r="DW153" i="11" s="1"/>
  <c r="DX153" i="11" s="1"/>
  <c r="DY153" i="11" s="1"/>
  <c r="DZ153" i="11" s="1"/>
  <c r="EA153" i="11" s="1"/>
  <c r="EB153" i="11" s="1"/>
  <c r="DS152" i="11"/>
  <c r="DT152" i="11" s="1"/>
  <c r="DU152" i="11" s="1"/>
  <c r="DV152" i="11" s="1"/>
  <c r="DW152" i="11" s="1"/>
  <c r="DX152" i="11" s="1"/>
  <c r="DY152" i="11" s="1"/>
  <c r="DZ152" i="11" s="1"/>
  <c r="EA152" i="11" s="1"/>
  <c r="EB152" i="11" s="1"/>
  <c r="DS151" i="11"/>
  <c r="DT151" i="11" s="1"/>
  <c r="DU151" i="11" s="1"/>
  <c r="DV151" i="11" s="1"/>
  <c r="DW151" i="11" s="1"/>
  <c r="DX151" i="11" s="1"/>
  <c r="DY151" i="11" s="1"/>
  <c r="DZ151" i="11" s="1"/>
  <c r="EA151" i="11" s="1"/>
  <c r="EB151" i="11" s="1"/>
  <c r="DS150" i="11"/>
  <c r="DT150" i="11" s="1"/>
  <c r="DU150" i="11" s="1"/>
  <c r="DV150" i="11" s="1"/>
  <c r="DW150" i="11" s="1"/>
  <c r="DX150" i="11" s="1"/>
  <c r="DY150" i="11" s="1"/>
  <c r="DZ150" i="11" s="1"/>
  <c r="EA150" i="11" s="1"/>
  <c r="EB150" i="11" s="1"/>
  <c r="DS149" i="11"/>
  <c r="DT149" i="11" s="1"/>
  <c r="DU149" i="11" s="1"/>
  <c r="DV149" i="11" s="1"/>
  <c r="DW149" i="11" s="1"/>
  <c r="DX149" i="11" s="1"/>
  <c r="DY149" i="11" s="1"/>
  <c r="DZ149" i="11" s="1"/>
  <c r="EA149" i="11" s="1"/>
  <c r="EB149" i="11" s="1"/>
  <c r="DS148" i="11"/>
  <c r="DT148" i="11" s="1"/>
  <c r="DU148" i="11" s="1"/>
  <c r="DV148" i="11" s="1"/>
  <c r="DW148" i="11" s="1"/>
  <c r="DX148" i="11" s="1"/>
  <c r="DY148" i="11" s="1"/>
  <c r="DZ148" i="11" s="1"/>
  <c r="EA148" i="11" s="1"/>
  <c r="EB148" i="11" s="1"/>
  <c r="DS147" i="11"/>
  <c r="DT147" i="11" s="1"/>
  <c r="DU147" i="11" s="1"/>
  <c r="DV147" i="11" s="1"/>
  <c r="DW147" i="11" s="1"/>
  <c r="DX147" i="11" s="1"/>
  <c r="DY147" i="11" s="1"/>
  <c r="DZ147" i="11" s="1"/>
  <c r="EA147" i="11" s="1"/>
  <c r="EB147" i="11" s="1"/>
  <c r="DS146" i="11"/>
  <c r="DT146" i="11" s="1"/>
  <c r="DU146" i="11" s="1"/>
  <c r="DV146" i="11" s="1"/>
  <c r="DW146" i="11" s="1"/>
  <c r="DX146" i="11" s="1"/>
  <c r="DY146" i="11" s="1"/>
  <c r="DZ146" i="11" s="1"/>
  <c r="EA146" i="11" s="1"/>
  <c r="EB146" i="11" s="1"/>
  <c r="DS145" i="11"/>
  <c r="DT145" i="11" s="1"/>
  <c r="DU145" i="11" s="1"/>
  <c r="DV145" i="11" s="1"/>
  <c r="DW145" i="11" s="1"/>
  <c r="DX145" i="11" s="1"/>
  <c r="DY145" i="11" s="1"/>
  <c r="DZ145" i="11" s="1"/>
  <c r="EA145" i="11" s="1"/>
  <c r="EB145" i="11" s="1"/>
  <c r="DS144" i="11"/>
  <c r="DT144" i="11" s="1"/>
  <c r="DU144" i="11" s="1"/>
  <c r="DV144" i="11" s="1"/>
  <c r="DW144" i="11" s="1"/>
  <c r="DX144" i="11" s="1"/>
  <c r="DY144" i="11" s="1"/>
  <c r="DZ144" i="11" s="1"/>
  <c r="EA144" i="11" s="1"/>
  <c r="EB144" i="11" s="1"/>
  <c r="DS143" i="11"/>
  <c r="DT143" i="11" s="1"/>
  <c r="DU143" i="11" s="1"/>
  <c r="DV143" i="11" s="1"/>
  <c r="DW143" i="11" s="1"/>
  <c r="DX143" i="11" s="1"/>
  <c r="DY143" i="11" s="1"/>
  <c r="DZ143" i="11" s="1"/>
  <c r="EA143" i="11" s="1"/>
  <c r="EB143" i="11" s="1"/>
  <c r="DS142" i="11"/>
  <c r="DT142" i="11" s="1"/>
  <c r="DU142" i="11" s="1"/>
  <c r="DV142" i="11" s="1"/>
  <c r="DW142" i="11" s="1"/>
  <c r="DX142" i="11" s="1"/>
  <c r="DY142" i="11" s="1"/>
  <c r="DZ142" i="11" s="1"/>
  <c r="EA142" i="11" s="1"/>
  <c r="EB142" i="11" s="1"/>
  <c r="DS141" i="11"/>
  <c r="DT141" i="11" s="1"/>
  <c r="DU141" i="11" s="1"/>
  <c r="DV141" i="11" s="1"/>
  <c r="DW141" i="11" s="1"/>
  <c r="DX141" i="11" s="1"/>
  <c r="DY141" i="11" s="1"/>
  <c r="DZ141" i="11" s="1"/>
  <c r="EA141" i="11" s="1"/>
  <c r="EB141" i="11" s="1"/>
  <c r="DS140" i="11"/>
  <c r="DT140" i="11" s="1"/>
  <c r="DU140" i="11" s="1"/>
  <c r="DV140" i="11" s="1"/>
  <c r="DW140" i="11" s="1"/>
  <c r="DX140" i="11" s="1"/>
  <c r="DY140" i="11" s="1"/>
  <c r="DZ140" i="11" s="1"/>
  <c r="EA140" i="11" s="1"/>
  <c r="EB140" i="11" s="1"/>
  <c r="DS139" i="11"/>
  <c r="DT139" i="11" s="1"/>
  <c r="DU139" i="11" s="1"/>
  <c r="DV139" i="11" s="1"/>
  <c r="DW139" i="11" s="1"/>
  <c r="DX139" i="11" s="1"/>
  <c r="DY139" i="11" s="1"/>
  <c r="DZ139" i="11" s="1"/>
  <c r="EA139" i="11" s="1"/>
  <c r="EB139" i="11" s="1"/>
  <c r="DS138" i="11"/>
  <c r="DT138" i="11" s="1"/>
  <c r="DU138" i="11" s="1"/>
  <c r="DV138" i="11" s="1"/>
  <c r="DW138" i="11" s="1"/>
  <c r="DX138" i="11" s="1"/>
  <c r="DY138" i="11" s="1"/>
  <c r="DZ138" i="11" s="1"/>
  <c r="EA138" i="11" s="1"/>
  <c r="EB138" i="11" s="1"/>
  <c r="DS137" i="11"/>
  <c r="DT137" i="11" s="1"/>
  <c r="DU137" i="11" s="1"/>
  <c r="DV137" i="11" s="1"/>
  <c r="DW137" i="11" s="1"/>
  <c r="DX137" i="11" s="1"/>
  <c r="DY137" i="11" s="1"/>
  <c r="DZ137" i="11" s="1"/>
  <c r="EA137" i="11" s="1"/>
  <c r="EB137" i="11" s="1"/>
  <c r="DS136" i="11"/>
  <c r="DT136" i="11" s="1"/>
  <c r="DU136" i="11" s="1"/>
  <c r="DV136" i="11" s="1"/>
  <c r="DW136" i="11" s="1"/>
  <c r="DX136" i="11" s="1"/>
  <c r="DY136" i="11" s="1"/>
  <c r="DZ136" i="11" s="1"/>
  <c r="EA136" i="11" s="1"/>
  <c r="EB136" i="11" s="1"/>
  <c r="DS135" i="11"/>
  <c r="DT135" i="11" s="1"/>
  <c r="DU135" i="11" s="1"/>
  <c r="DV135" i="11" s="1"/>
  <c r="DW135" i="11" s="1"/>
  <c r="DX135" i="11" s="1"/>
  <c r="DY135" i="11" s="1"/>
  <c r="DZ135" i="11" s="1"/>
  <c r="EA135" i="11" s="1"/>
  <c r="EB135" i="11" s="1"/>
  <c r="DS134" i="11"/>
  <c r="DT134" i="11" s="1"/>
  <c r="DU134" i="11" s="1"/>
  <c r="DV134" i="11" s="1"/>
  <c r="DW134" i="11" s="1"/>
  <c r="DX134" i="11" s="1"/>
  <c r="DY134" i="11" s="1"/>
  <c r="DZ134" i="11" s="1"/>
  <c r="EA134" i="11" s="1"/>
  <c r="EB134" i="11" s="1"/>
  <c r="DS133" i="11"/>
  <c r="DT133" i="11" s="1"/>
  <c r="DU133" i="11" s="1"/>
  <c r="DV133" i="11" s="1"/>
  <c r="DW133" i="11" s="1"/>
  <c r="DX133" i="11" s="1"/>
  <c r="DY133" i="11" s="1"/>
  <c r="DZ133" i="11" s="1"/>
  <c r="EA133" i="11" s="1"/>
  <c r="EB133" i="11" s="1"/>
  <c r="DS132" i="11"/>
  <c r="DT132" i="11" s="1"/>
  <c r="DU132" i="11" s="1"/>
  <c r="DV132" i="11" s="1"/>
  <c r="DW132" i="11" s="1"/>
  <c r="DX132" i="11" s="1"/>
  <c r="DY132" i="11" s="1"/>
  <c r="DZ132" i="11" s="1"/>
  <c r="EA132" i="11" s="1"/>
  <c r="EB132" i="11" s="1"/>
  <c r="DS131" i="11"/>
  <c r="DT131" i="11" s="1"/>
  <c r="DU131" i="11" s="1"/>
  <c r="DV131" i="11" s="1"/>
  <c r="DW131" i="11" s="1"/>
  <c r="DX131" i="11" s="1"/>
  <c r="DY131" i="11" s="1"/>
  <c r="DZ131" i="11" s="1"/>
  <c r="EA131" i="11" s="1"/>
  <c r="EB131" i="11" s="1"/>
  <c r="DS130" i="11"/>
  <c r="DT130" i="11" s="1"/>
  <c r="DU130" i="11" s="1"/>
  <c r="DV130" i="11" s="1"/>
  <c r="DW130" i="11" s="1"/>
  <c r="DX130" i="11" s="1"/>
  <c r="DY130" i="11" s="1"/>
  <c r="DZ130" i="11" s="1"/>
  <c r="EA130" i="11" s="1"/>
  <c r="EB130" i="11" s="1"/>
  <c r="DS129" i="11"/>
  <c r="DT129" i="11" s="1"/>
  <c r="DU129" i="11" s="1"/>
  <c r="DV129" i="11" s="1"/>
  <c r="DW129" i="11" s="1"/>
  <c r="DX129" i="11" s="1"/>
  <c r="DY129" i="11" s="1"/>
  <c r="DZ129" i="11" s="1"/>
  <c r="EA129" i="11" s="1"/>
  <c r="EB129" i="11" s="1"/>
  <c r="DS128" i="11"/>
  <c r="DT128" i="11" s="1"/>
  <c r="DU128" i="11" s="1"/>
  <c r="DV128" i="11" s="1"/>
  <c r="DW128" i="11" s="1"/>
  <c r="DX128" i="11" s="1"/>
  <c r="DY128" i="11" s="1"/>
  <c r="DZ128" i="11" s="1"/>
  <c r="EA128" i="11" s="1"/>
  <c r="EB128" i="11" s="1"/>
  <c r="DS127" i="11"/>
  <c r="DT127" i="11" s="1"/>
  <c r="DU127" i="11" s="1"/>
  <c r="DV127" i="11" s="1"/>
  <c r="DW127" i="11" s="1"/>
  <c r="DX127" i="11" s="1"/>
  <c r="DY127" i="11" s="1"/>
  <c r="DZ127" i="11" s="1"/>
  <c r="EA127" i="11" s="1"/>
  <c r="EB127" i="11" s="1"/>
  <c r="DS126" i="11"/>
  <c r="DT126" i="11" s="1"/>
  <c r="DU126" i="11" s="1"/>
  <c r="DV126" i="11" s="1"/>
  <c r="DW126" i="11" s="1"/>
  <c r="DX126" i="11" s="1"/>
  <c r="DY126" i="11" s="1"/>
  <c r="DZ126" i="11" s="1"/>
  <c r="EA126" i="11" s="1"/>
  <c r="EB126" i="11" s="1"/>
  <c r="DS125" i="11"/>
  <c r="DT125" i="11" s="1"/>
  <c r="DU125" i="11" s="1"/>
  <c r="DV125" i="11" s="1"/>
  <c r="DW125" i="11" s="1"/>
  <c r="DX125" i="11" s="1"/>
  <c r="DY125" i="11" s="1"/>
  <c r="DZ125" i="11" s="1"/>
  <c r="EA125" i="11" s="1"/>
  <c r="EB125" i="11" s="1"/>
  <c r="DS124" i="11"/>
  <c r="DT124" i="11" s="1"/>
  <c r="DU124" i="11" s="1"/>
  <c r="DV124" i="11" s="1"/>
  <c r="DW124" i="11" s="1"/>
  <c r="DX124" i="11" s="1"/>
  <c r="DY124" i="11" s="1"/>
  <c r="DZ124" i="11" s="1"/>
  <c r="EA124" i="11" s="1"/>
  <c r="EB124" i="11" s="1"/>
  <c r="DS123" i="11"/>
  <c r="DT123" i="11" s="1"/>
  <c r="DU123" i="11" s="1"/>
  <c r="DV123" i="11" s="1"/>
  <c r="DW123" i="11" s="1"/>
  <c r="DX123" i="11" s="1"/>
  <c r="DY123" i="11" s="1"/>
  <c r="DZ123" i="11" s="1"/>
  <c r="EA123" i="11" s="1"/>
  <c r="EB123" i="11" s="1"/>
  <c r="DS122" i="11"/>
  <c r="DT122" i="11" s="1"/>
  <c r="DU122" i="11" s="1"/>
  <c r="DV122" i="11" s="1"/>
  <c r="DW122" i="11" s="1"/>
  <c r="DX122" i="11" s="1"/>
  <c r="DY122" i="11" s="1"/>
  <c r="DZ122" i="11" s="1"/>
  <c r="EA122" i="11" s="1"/>
  <c r="EB122" i="11" s="1"/>
  <c r="DS121" i="11"/>
  <c r="DT121" i="11" s="1"/>
  <c r="DU121" i="11" s="1"/>
  <c r="DV121" i="11" s="1"/>
  <c r="DW121" i="11" s="1"/>
  <c r="DX121" i="11" s="1"/>
  <c r="DY121" i="11" s="1"/>
  <c r="DZ121" i="11" s="1"/>
  <c r="EA121" i="11" s="1"/>
  <c r="EB121" i="11" s="1"/>
  <c r="DS120" i="11"/>
  <c r="DT120" i="11" s="1"/>
  <c r="DU120" i="11" s="1"/>
  <c r="DV120" i="11" s="1"/>
  <c r="DW120" i="11" s="1"/>
  <c r="DX120" i="11" s="1"/>
  <c r="DY120" i="11" s="1"/>
  <c r="DZ120" i="11" s="1"/>
  <c r="EA120" i="11" s="1"/>
  <c r="EB120" i="11" s="1"/>
  <c r="DS119" i="11"/>
  <c r="DT119" i="11" s="1"/>
  <c r="DU119" i="11" s="1"/>
  <c r="DV119" i="11" s="1"/>
  <c r="DW119" i="11" s="1"/>
  <c r="DX119" i="11" s="1"/>
  <c r="DY119" i="11" s="1"/>
  <c r="DZ119" i="11" s="1"/>
  <c r="EA119" i="11" s="1"/>
  <c r="EB119" i="11" s="1"/>
  <c r="DS118" i="11"/>
  <c r="DT118" i="11" s="1"/>
  <c r="DU118" i="11" s="1"/>
  <c r="DV118" i="11" s="1"/>
  <c r="DW118" i="11" s="1"/>
  <c r="DX118" i="11" s="1"/>
  <c r="DY118" i="11" s="1"/>
  <c r="DZ118" i="11" s="1"/>
  <c r="EA118" i="11" s="1"/>
  <c r="EB118" i="11" s="1"/>
  <c r="DS117" i="11"/>
  <c r="DT117" i="11" s="1"/>
  <c r="DU117" i="11" s="1"/>
  <c r="DV117" i="11" s="1"/>
  <c r="DW117" i="11" s="1"/>
  <c r="DX117" i="11" s="1"/>
  <c r="DY117" i="11" s="1"/>
  <c r="DZ117" i="11" s="1"/>
  <c r="EA117" i="11" s="1"/>
  <c r="EB117" i="11" s="1"/>
  <c r="DS116" i="11"/>
  <c r="DT116" i="11" s="1"/>
  <c r="DU116" i="11" s="1"/>
  <c r="DV116" i="11" s="1"/>
  <c r="DW116" i="11" s="1"/>
  <c r="DX116" i="11" s="1"/>
  <c r="DY116" i="11" s="1"/>
  <c r="DZ116" i="11" s="1"/>
  <c r="EA116" i="11" s="1"/>
  <c r="EB116" i="11" s="1"/>
  <c r="DS115" i="11"/>
  <c r="DT115" i="11" s="1"/>
  <c r="DU115" i="11" s="1"/>
  <c r="DV115" i="11" s="1"/>
  <c r="DW115" i="11" s="1"/>
  <c r="DX115" i="11" s="1"/>
  <c r="DY115" i="11" s="1"/>
  <c r="DZ115" i="11" s="1"/>
  <c r="EA115" i="11" s="1"/>
  <c r="EB115" i="11" s="1"/>
  <c r="DS114" i="11"/>
  <c r="DT114" i="11" s="1"/>
  <c r="DU114" i="11" s="1"/>
  <c r="DV114" i="11" s="1"/>
  <c r="DW114" i="11" s="1"/>
  <c r="DX114" i="11" s="1"/>
  <c r="DY114" i="11" s="1"/>
  <c r="DZ114" i="11" s="1"/>
  <c r="EA114" i="11" s="1"/>
  <c r="EB114" i="11" s="1"/>
  <c r="DS113" i="11"/>
  <c r="DT113" i="11" s="1"/>
  <c r="DU113" i="11" s="1"/>
  <c r="DV113" i="11" s="1"/>
  <c r="DW113" i="11" s="1"/>
  <c r="DX113" i="11" s="1"/>
  <c r="DY113" i="11" s="1"/>
  <c r="DZ113" i="11" s="1"/>
  <c r="EA113" i="11" s="1"/>
  <c r="EB113" i="11" s="1"/>
  <c r="DS112" i="11"/>
  <c r="DT112" i="11" s="1"/>
  <c r="DU112" i="11" s="1"/>
  <c r="DV112" i="11" s="1"/>
  <c r="DW112" i="11" s="1"/>
  <c r="DX112" i="11" s="1"/>
  <c r="DY112" i="11" s="1"/>
  <c r="DZ112" i="11" s="1"/>
  <c r="EA112" i="11" s="1"/>
  <c r="EB112" i="11" s="1"/>
  <c r="DS111" i="11"/>
  <c r="DT111" i="11" s="1"/>
  <c r="DU111" i="11" s="1"/>
  <c r="DV111" i="11" s="1"/>
  <c r="DW111" i="11" s="1"/>
  <c r="DX111" i="11" s="1"/>
  <c r="DY111" i="11" s="1"/>
  <c r="DZ111" i="11" s="1"/>
  <c r="EA111" i="11" s="1"/>
  <c r="EB111" i="11" s="1"/>
  <c r="DS110" i="11"/>
  <c r="DT110" i="11" s="1"/>
  <c r="DU110" i="11" s="1"/>
  <c r="DV110" i="11" s="1"/>
  <c r="DW110" i="11" s="1"/>
  <c r="DX110" i="11" s="1"/>
  <c r="DY110" i="11" s="1"/>
  <c r="DZ110" i="11" s="1"/>
  <c r="EA110" i="11" s="1"/>
  <c r="EB110" i="11" s="1"/>
  <c r="DS109" i="11"/>
  <c r="DT109" i="11" s="1"/>
  <c r="DU109" i="11" s="1"/>
  <c r="DV109" i="11" s="1"/>
  <c r="DW109" i="11" s="1"/>
  <c r="DX109" i="11" s="1"/>
  <c r="DY109" i="11" s="1"/>
  <c r="DZ109" i="11" s="1"/>
  <c r="EA109" i="11" s="1"/>
  <c r="EB109" i="11" s="1"/>
  <c r="DS108" i="11"/>
  <c r="DT108" i="11" s="1"/>
  <c r="DU108" i="11" s="1"/>
  <c r="DV108" i="11" s="1"/>
  <c r="DW108" i="11" s="1"/>
  <c r="DX108" i="11" s="1"/>
  <c r="DY108" i="11" s="1"/>
  <c r="DZ108" i="11" s="1"/>
  <c r="EA108" i="11" s="1"/>
  <c r="EB108" i="11" s="1"/>
  <c r="DS107" i="11"/>
  <c r="DT107" i="11" s="1"/>
  <c r="DU107" i="11" s="1"/>
  <c r="DV107" i="11" s="1"/>
  <c r="DW107" i="11" s="1"/>
  <c r="DX107" i="11" s="1"/>
  <c r="DY107" i="11" s="1"/>
  <c r="DZ107" i="11" s="1"/>
  <c r="EA107" i="11" s="1"/>
  <c r="EB107" i="11" s="1"/>
  <c r="DS106" i="11"/>
  <c r="DT106" i="11" s="1"/>
  <c r="DU106" i="11" s="1"/>
  <c r="DV106" i="11" s="1"/>
  <c r="DW106" i="11" s="1"/>
  <c r="DX106" i="11" s="1"/>
  <c r="DY106" i="11" s="1"/>
  <c r="DZ106" i="11" s="1"/>
  <c r="EA106" i="11" s="1"/>
  <c r="EB106" i="11" s="1"/>
  <c r="DS105" i="11"/>
  <c r="DT105" i="11" s="1"/>
  <c r="DU105" i="11" s="1"/>
  <c r="DV105" i="11" s="1"/>
  <c r="DW105" i="11" s="1"/>
  <c r="DX105" i="11" s="1"/>
  <c r="DY105" i="11" s="1"/>
  <c r="DZ105" i="11" s="1"/>
  <c r="EA105" i="11" s="1"/>
  <c r="EB105" i="11" s="1"/>
  <c r="DS104" i="11"/>
  <c r="DT104" i="11" s="1"/>
  <c r="DU104" i="11" s="1"/>
  <c r="DV104" i="11" s="1"/>
  <c r="DW104" i="11" s="1"/>
  <c r="DX104" i="11" s="1"/>
  <c r="DY104" i="11" s="1"/>
  <c r="DZ104" i="11" s="1"/>
  <c r="EA104" i="11" s="1"/>
  <c r="EB104" i="11" s="1"/>
  <c r="DS103" i="11"/>
  <c r="DT103" i="11" s="1"/>
  <c r="DS102" i="11"/>
  <c r="DT102" i="11" s="1"/>
  <c r="DU102" i="11" s="1"/>
  <c r="DV102" i="11" s="1"/>
  <c r="DW102" i="11" s="1"/>
  <c r="DX102" i="11" s="1"/>
  <c r="DY102" i="11" s="1"/>
  <c r="DZ102" i="11" s="1"/>
  <c r="EA102" i="11" s="1"/>
  <c r="EB102" i="11" s="1"/>
  <c r="DS101" i="11"/>
  <c r="DT101" i="11" s="1"/>
  <c r="DU101" i="11" s="1"/>
  <c r="DV101" i="11" s="1"/>
  <c r="DW101" i="11" s="1"/>
  <c r="DX101" i="11" s="1"/>
  <c r="DY101" i="11" s="1"/>
  <c r="DZ101" i="11" s="1"/>
  <c r="EA101" i="11" s="1"/>
  <c r="EB101" i="11" s="1"/>
  <c r="DS100" i="11"/>
  <c r="DT100" i="11" s="1"/>
  <c r="DU100" i="11" s="1"/>
  <c r="DV100" i="11" s="1"/>
  <c r="DW100" i="11" s="1"/>
  <c r="DX100" i="11" s="1"/>
  <c r="DY100" i="11" s="1"/>
  <c r="DZ100" i="11" s="1"/>
  <c r="EA100" i="11" s="1"/>
  <c r="EB100" i="11" s="1"/>
  <c r="DS99" i="11"/>
  <c r="DT99" i="11" s="1"/>
  <c r="DU99" i="11" s="1"/>
  <c r="DV99" i="11" s="1"/>
  <c r="DW99" i="11" s="1"/>
  <c r="DX99" i="11" s="1"/>
  <c r="DY99" i="11" s="1"/>
  <c r="DZ99" i="11" s="1"/>
  <c r="EA99" i="11" s="1"/>
  <c r="EB99" i="11" s="1"/>
  <c r="DS98" i="11"/>
  <c r="DT98" i="11" s="1"/>
  <c r="DU98" i="11" s="1"/>
  <c r="DV98" i="11" s="1"/>
  <c r="DW98" i="11" s="1"/>
  <c r="DX98" i="11" s="1"/>
  <c r="DY98" i="11" s="1"/>
  <c r="DZ98" i="11" s="1"/>
  <c r="EA98" i="11" s="1"/>
  <c r="EB98" i="11" s="1"/>
  <c r="DS97" i="11"/>
  <c r="DT97" i="11" s="1"/>
  <c r="DU97" i="11" s="1"/>
  <c r="DV97" i="11" s="1"/>
  <c r="DW97" i="11" s="1"/>
  <c r="DX97" i="11" s="1"/>
  <c r="DY97" i="11" s="1"/>
  <c r="DZ97" i="11" s="1"/>
  <c r="EA97" i="11" s="1"/>
  <c r="EB97" i="11" s="1"/>
  <c r="DS96" i="11"/>
  <c r="DT96" i="11" s="1"/>
  <c r="DU96" i="11" s="1"/>
  <c r="DV96" i="11" s="1"/>
  <c r="DW96" i="11" s="1"/>
  <c r="DX96" i="11" s="1"/>
  <c r="DY96" i="11" s="1"/>
  <c r="DZ96" i="11" s="1"/>
  <c r="EA96" i="11" s="1"/>
  <c r="EB96" i="11" s="1"/>
  <c r="DS95" i="11"/>
  <c r="DT95" i="11" s="1"/>
  <c r="DU95" i="11" s="1"/>
  <c r="DV95" i="11" s="1"/>
  <c r="DW95" i="11" s="1"/>
  <c r="DX95" i="11" s="1"/>
  <c r="DY95" i="11" s="1"/>
  <c r="DZ95" i="11" s="1"/>
  <c r="EA95" i="11" s="1"/>
  <c r="EB95" i="11" s="1"/>
  <c r="DS94" i="11"/>
  <c r="DT94" i="11" s="1"/>
  <c r="DU94" i="11" s="1"/>
  <c r="DV94" i="11" s="1"/>
  <c r="DW94" i="11" s="1"/>
  <c r="DX94" i="11" s="1"/>
  <c r="DY94" i="11" s="1"/>
  <c r="DZ94" i="11" s="1"/>
  <c r="EA94" i="11" s="1"/>
  <c r="EB94" i="11" s="1"/>
  <c r="DS93" i="11"/>
  <c r="DT93" i="11" s="1"/>
  <c r="DU93" i="11" s="1"/>
  <c r="DV93" i="11" s="1"/>
  <c r="DW93" i="11" s="1"/>
  <c r="DX93" i="11" s="1"/>
  <c r="DY93" i="11" s="1"/>
  <c r="DZ93" i="11" s="1"/>
  <c r="EA93" i="11" s="1"/>
  <c r="EB93" i="11" s="1"/>
  <c r="DS92" i="11"/>
  <c r="DT92" i="11" s="1"/>
  <c r="DU92" i="11" s="1"/>
  <c r="DV92" i="11" s="1"/>
  <c r="DW92" i="11" s="1"/>
  <c r="DX92" i="11" s="1"/>
  <c r="DY92" i="11" s="1"/>
  <c r="DZ92" i="11" s="1"/>
  <c r="EA92" i="11" s="1"/>
  <c r="EB92" i="11" s="1"/>
  <c r="DS91" i="11"/>
  <c r="DT91" i="11" s="1"/>
  <c r="DU91" i="11" s="1"/>
  <c r="DV91" i="11" s="1"/>
  <c r="DW91" i="11" s="1"/>
  <c r="DX91" i="11" s="1"/>
  <c r="DY91" i="11" s="1"/>
  <c r="DZ91" i="11" s="1"/>
  <c r="EA91" i="11" s="1"/>
  <c r="EB91" i="11" s="1"/>
  <c r="DS90" i="11"/>
  <c r="DT90" i="11" s="1"/>
  <c r="DU90" i="11" s="1"/>
  <c r="DV90" i="11" s="1"/>
  <c r="DW90" i="11" s="1"/>
  <c r="DX90" i="11" s="1"/>
  <c r="DY90" i="11" s="1"/>
  <c r="DZ90" i="11" s="1"/>
  <c r="EA90" i="11" s="1"/>
  <c r="EB90" i="11" s="1"/>
  <c r="DS89" i="11"/>
  <c r="DT89" i="11" s="1"/>
  <c r="DU89" i="11" s="1"/>
  <c r="DV89" i="11" s="1"/>
  <c r="DW89" i="11" s="1"/>
  <c r="DX89" i="11" s="1"/>
  <c r="DY89" i="11" s="1"/>
  <c r="DZ89" i="11" s="1"/>
  <c r="EA89" i="11" s="1"/>
  <c r="EB89" i="11" s="1"/>
  <c r="DS88" i="11"/>
  <c r="DT88" i="11" s="1"/>
  <c r="DU88" i="11" s="1"/>
  <c r="DV88" i="11" s="1"/>
  <c r="DW88" i="11" s="1"/>
  <c r="DX88" i="11" s="1"/>
  <c r="DY88" i="11" s="1"/>
  <c r="DZ88" i="11" s="1"/>
  <c r="EA88" i="11" s="1"/>
  <c r="EB88" i="11" s="1"/>
  <c r="DS87" i="11"/>
  <c r="DT87" i="11" s="1"/>
  <c r="DU87" i="11" s="1"/>
  <c r="DV87" i="11" s="1"/>
  <c r="DW87" i="11" s="1"/>
  <c r="DX87" i="11" s="1"/>
  <c r="DY87" i="11" s="1"/>
  <c r="DZ87" i="11" s="1"/>
  <c r="EA87" i="11" s="1"/>
  <c r="EB87" i="11" s="1"/>
  <c r="DS86" i="11"/>
  <c r="DT86" i="11" s="1"/>
  <c r="DU86" i="11" s="1"/>
  <c r="DV86" i="11" s="1"/>
  <c r="DW86" i="11" s="1"/>
  <c r="DX86" i="11" s="1"/>
  <c r="DY86" i="11" s="1"/>
  <c r="DZ86" i="11" s="1"/>
  <c r="EA86" i="11" s="1"/>
  <c r="EB86" i="11" s="1"/>
  <c r="DS85" i="11"/>
  <c r="DT85" i="11" s="1"/>
  <c r="DU85" i="11" s="1"/>
  <c r="DV85" i="11" s="1"/>
  <c r="DW85" i="11" s="1"/>
  <c r="DX85" i="11" s="1"/>
  <c r="DY85" i="11" s="1"/>
  <c r="DZ85" i="11" s="1"/>
  <c r="EA85" i="11" s="1"/>
  <c r="EB85" i="11" s="1"/>
  <c r="DS84" i="11"/>
  <c r="DT84" i="11" s="1"/>
  <c r="DU84" i="11" s="1"/>
  <c r="DV84" i="11" s="1"/>
  <c r="DW84" i="11" s="1"/>
  <c r="DX84" i="11" s="1"/>
  <c r="DY84" i="11" s="1"/>
  <c r="DZ84" i="11" s="1"/>
  <c r="EA84" i="11" s="1"/>
  <c r="EB84" i="11" s="1"/>
  <c r="DS83" i="11"/>
  <c r="DT83" i="11" s="1"/>
  <c r="DU83" i="11" s="1"/>
  <c r="DV83" i="11" s="1"/>
  <c r="DW83" i="11" s="1"/>
  <c r="DX83" i="11" s="1"/>
  <c r="DY83" i="11" s="1"/>
  <c r="DZ83" i="11" s="1"/>
  <c r="EA83" i="11" s="1"/>
  <c r="EB83" i="11" s="1"/>
  <c r="DS82" i="11"/>
  <c r="DT82" i="11" s="1"/>
  <c r="DU82" i="11" s="1"/>
  <c r="DV82" i="11" s="1"/>
  <c r="DW82" i="11" s="1"/>
  <c r="DX82" i="11" s="1"/>
  <c r="DY82" i="11" s="1"/>
  <c r="DZ82" i="11" s="1"/>
  <c r="EA82" i="11" s="1"/>
  <c r="EB82" i="11" s="1"/>
  <c r="DS81" i="11"/>
  <c r="DT81" i="11" s="1"/>
  <c r="DU81" i="11" s="1"/>
  <c r="DV81" i="11" s="1"/>
  <c r="DW81" i="11" s="1"/>
  <c r="DX81" i="11" s="1"/>
  <c r="DY81" i="11" s="1"/>
  <c r="DZ81" i="11" s="1"/>
  <c r="EA81" i="11" s="1"/>
  <c r="EB81" i="11" s="1"/>
  <c r="DS80" i="11"/>
  <c r="DT80" i="11" s="1"/>
  <c r="DU80" i="11" s="1"/>
  <c r="DV80" i="11" s="1"/>
  <c r="DW80" i="11" s="1"/>
  <c r="DX80" i="11" s="1"/>
  <c r="DY80" i="11" s="1"/>
  <c r="DZ80" i="11" s="1"/>
  <c r="EA80" i="11" s="1"/>
  <c r="EB80" i="11" s="1"/>
  <c r="DS79" i="11"/>
  <c r="DT79" i="11" s="1"/>
  <c r="DU79" i="11" s="1"/>
  <c r="DV79" i="11" s="1"/>
  <c r="DW79" i="11" s="1"/>
  <c r="DX79" i="11" s="1"/>
  <c r="DY79" i="11" s="1"/>
  <c r="DZ79" i="11" s="1"/>
  <c r="EA79" i="11" s="1"/>
  <c r="EB79" i="11" s="1"/>
  <c r="DS78" i="11"/>
  <c r="DT78" i="11" s="1"/>
  <c r="DU78" i="11" s="1"/>
  <c r="DV78" i="11" s="1"/>
  <c r="DW78" i="11" s="1"/>
  <c r="DX78" i="11" s="1"/>
  <c r="DY78" i="11" s="1"/>
  <c r="DZ78" i="11" s="1"/>
  <c r="EA78" i="11" s="1"/>
  <c r="EB78" i="11" s="1"/>
  <c r="DS77" i="11"/>
  <c r="DT77" i="11" s="1"/>
  <c r="DU77" i="11" s="1"/>
  <c r="DV77" i="11" s="1"/>
  <c r="DW77" i="11" s="1"/>
  <c r="DX77" i="11" s="1"/>
  <c r="DY77" i="11" s="1"/>
  <c r="DZ77" i="11" s="1"/>
  <c r="EA77" i="11" s="1"/>
  <c r="EB77" i="11" s="1"/>
  <c r="DS76" i="11"/>
  <c r="DT76" i="11" s="1"/>
  <c r="DU76" i="11" s="1"/>
  <c r="DV76" i="11" s="1"/>
  <c r="DW76" i="11" s="1"/>
  <c r="DX76" i="11" s="1"/>
  <c r="DY76" i="11" s="1"/>
  <c r="DZ76" i="11" s="1"/>
  <c r="EA76" i="11" s="1"/>
  <c r="EB76" i="11" s="1"/>
  <c r="DS75" i="11"/>
  <c r="DT75" i="11" s="1"/>
  <c r="DU75" i="11" s="1"/>
  <c r="DV75" i="11" s="1"/>
  <c r="DW75" i="11" s="1"/>
  <c r="DX75" i="11" s="1"/>
  <c r="DY75" i="11" s="1"/>
  <c r="DZ75" i="11" s="1"/>
  <c r="EA75" i="11" s="1"/>
  <c r="EB75" i="11" s="1"/>
  <c r="DS74" i="11"/>
  <c r="DT74" i="11" s="1"/>
  <c r="DU74" i="11" s="1"/>
  <c r="DV74" i="11" s="1"/>
  <c r="DW74" i="11" s="1"/>
  <c r="DX74" i="11" s="1"/>
  <c r="DY74" i="11" s="1"/>
  <c r="DZ74" i="11" s="1"/>
  <c r="EA74" i="11" s="1"/>
  <c r="EB74" i="11" s="1"/>
  <c r="DS73" i="11"/>
  <c r="DT73" i="11" s="1"/>
  <c r="DU73" i="11" s="1"/>
  <c r="DV73" i="11" s="1"/>
  <c r="DW73" i="11" s="1"/>
  <c r="DX73" i="11" s="1"/>
  <c r="DY73" i="11" s="1"/>
  <c r="DZ73" i="11" s="1"/>
  <c r="EA73" i="11" s="1"/>
  <c r="EB73" i="11" s="1"/>
  <c r="DS72" i="11"/>
  <c r="DT72" i="11" s="1"/>
  <c r="DU72" i="11" s="1"/>
  <c r="DV72" i="11" s="1"/>
  <c r="DW72" i="11" s="1"/>
  <c r="DX72" i="11" s="1"/>
  <c r="DY72" i="11" s="1"/>
  <c r="DZ72" i="11" s="1"/>
  <c r="EA72" i="11" s="1"/>
  <c r="EB72" i="11" s="1"/>
  <c r="DS71" i="11"/>
  <c r="DT71" i="11" s="1"/>
  <c r="DU71" i="11" s="1"/>
  <c r="DV71" i="11" s="1"/>
  <c r="DW71" i="11" s="1"/>
  <c r="DX71" i="11" s="1"/>
  <c r="DY71" i="11" s="1"/>
  <c r="DZ71" i="11" s="1"/>
  <c r="EA71" i="11" s="1"/>
  <c r="EB71" i="11" s="1"/>
  <c r="DS70" i="11"/>
  <c r="DT70" i="11" s="1"/>
  <c r="DU70" i="11" s="1"/>
  <c r="DV70" i="11" s="1"/>
  <c r="DW70" i="11" s="1"/>
  <c r="DX70" i="11" s="1"/>
  <c r="DY70" i="11" s="1"/>
  <c r="DZ70" i="11" s="1"/>
  <c r="EA70" i="11" s="1"/>
  <c r="EB70" i="11" s="1"/>
  <c r="DS69" i="11"/>
  <c r="DT69" i="11" s="1"/>
  <c r="DU69" i="11" s="1"/>
  <c r="DV69" i="11" s="1"/>
  <c r="DW69" i="11" s="1"/>
  <c r="DX69" i="11" s="1"/>
  <c r="DY69" i="11" s="1"/>
  <c r="DZ69" i="11" s="1"/>
  <c r="EA69" i="11" s="1"/>
  <c r="EB69" i="11" s="1"/>
  <c r="DS68" i="11"/>
  <c r="DT68" i="11" s="1"/>
  <c r="DU68" i="11" s="1"/>
  <c r="DV68" i="11" s="1"/>
  <c r="DW68" i="11" s="1"/>
  <c r="DX68" i="11" s="1"/>
  <c r="DY68" i="11" s="1"/>
  <c r="DZ68" i="11" s="1"/>
  <c r="EA68" i="11" s="1"/>
  <c r="EB68" i="11" s="1"/>
  <c r="DS67" i="11"/>
  <c r="DT67" i="11" s="1"/>
  <c r="DU67" i="11" s="1"/>
  <c r="DV67" i="11" s="1"/>
  <c r="DW67" i="11" s="1"/>
  <c r="DX67" i="11" s="1"/>
  <c r="DY67" i="11" s="1"/>
  <c r="DZ67" i="11" s="1"/>
  <c r="EA67" i="11" s="1"/>
  <c r="EB67" i="11" s="1"/>
  <c r="DS66" i="11"/>
  <c r="DT66" i="11" s="1"/>
  <c r="DU66" i="11" s="1"/>
  <c r="DV66" i="11" s="1"/>
  <c r="DW66" i="11" s="1"/>
  <c r="DX66" i="11" s="1"/>
  <c r="DY66" i="11" s="1"/>
  <c r="DZ66" i="11" s="1"/>
  <c r="EA66" i="11" s="1"/>
  <c r="EB66" i="11" s="1"/>
  <c r="DS65" i="11"/>
  <c r="DT65" i="11" s="1"/>
  <c r="DU65" i="11" s="1"/>
  <c r="DV65" i="11" s="1"/>
  <c r="DW65" i="11" s="1"/>
  <c r="DX65" i="11" s="1"/>
  <c r="DY65" i="11" s="1"/>
  <c r="DZ65" i="11" s="1"/>
  <c r="EA65" i="11" s="1"/>
  <c r="EB65" i="11" s="1"/>
  <c r="DS64" i="11"/>
  <c r="DT64" i="11" s="1"/>
  <c r="DU64" i="11" s="1"/>
  <c r="DV64" i="11" s="1"/>
  <c r="DW64" i="11" s="1"/>
  <c r="DX64" i="11" s="1"/>
  <c r="DY64" i="11" s="1"/>
  <c r="DZ64" i="11" s="1"/>
  <c r="EA64" i="11" s="1"/>
  <c r="EB64" i="11" s="1"/>
  <c r="DS63" i="11"/>
  <c r="DT63" i="11" s="1"/>
  <c r="DU63" i="11" s="1"/>
  <c r="DV63" i="11" s="1"/>
  <c r="DW63" i="11" s="1"/>
  <c r="DX63" i="11" s="1"/>
  <c r="DY63" i="11" s="1"/>
  <c r="DZ63" i="11" s="1"/>
  <c r="EA63" i="11" s="1"/>
  <c r="EB63" i="11" s="1"/>
  <c r="DS62" i="11"/>
  <c r="DT62" i="11" s="1"/>
  <c r="DU62" i="11" s="1"/>
  <c r="DV62" i="11" s="1"/>
  <c r="DW62" i="11" s="1"/>
  <c r="DX62" i="11" s="1"/>
  <c r="DY62" i="11" s="1"/>
  <c r="DZ62" i="11" s="1"/>
  <c r="EA62" i="11" s="1"/>
  <c r="EB62" i="11" s="1"/>
  <c r="DS61" i="11"/>
  <c r="DT61" i="11" s="1"/>
  <c r="DU61" i="11" s="1"/>
  <c r="DV61" i="11" s="1"/>
  <c r="DW61" i="11" s="1"/>
  <c r="DX61" i="11" s="1"/>
  <c r="DY61" i="11" s="1"/>
  <c r="DZ61" i="11" s="1"/>
  <c r="EA61" i="11" s="1"/>
  <c r="EB61" i="11" s="1"/>
  <c r="DS60" i="11"/>
  <c r="DT60" i="11" s="1"/>
  <c r="DU60" i="11" s="1"/>
  <c r="DV60" i="11" s="1"/>
  <c r="DW60" i="11" s="1"/>
  <c r="DX60" i="11" s="1"/>
  <c r="DY60" i="11" s="1"/>
  <c r="DZ60" i="11" s="1"/>
  <c r="EA60" i="11" s="1"/>
  <c r="EB60" i="11" s="1"/>
  <c r="DS59" i="11"/>
  <c r="DT59" i="11" s="1"/>
  <c r="DU59" i="11" s="1"/>
  <c r="DV59" i="11" s="1"/>
  <c r="DW59" i="11" s="1"/>
  <c r="DX59" i="11" s="1"/>
  <c r="DY59" i="11" s="1"/>
  <c r="DZ59" i="11" s="1"/>
  <c r="EA59" i="11" s="1"/>
  <c r="EB59" i="11" s="1"/>
  <c r="DS58" i="11"/>
  <c r="DT58" i="11" s="1"/>
  <c r="DU58" i="11" s="1"/>
  <c r="DV58" i="11" s="1"/>
  <c r="DW58" i="11" s="1"/>
  <c r="DX58" i="11" s="1"/>
  <c r="DY58" i="11" s="1"/>
  <c r="DZ58" i="11" s="1"/>
  <c r="EA58" i="11" s="1"/>
  <c r="EB58" i="11" s="1"/>
  <c r="DS57" i="11"/>
  <c r="DT57" i="11" s="1"/>
  <c r="DU57" i="11" s="1"/>
  <c r="DV57" i="11" s="1"/>
  <c r="DW57" i="11" s="1"/>
  <c r="DX57" i="11" s="1"/>
  <c r="DY57" i="11" s="1"/>
  <c r="DZ57" i="11" s="1"/>
  <c r="EA57" i="11" s="1"/>
  <c r="EB57" i="11" s="1"/>
  <c r="DS56" i="11"/>
  <c r="DT56" i="11" s="1"/>
  <c r="DU56" i="11" s="1"/>
  <c r="DV56" i="11" s="1"/>
  <c r="DW56" i="11" s="1"/>
  <c r="DX56" i="11" s="1"/>
  <c r="DY56" i="11" s="1"/>
  <c r="DZ56" i="11" s="1"/>
  <c r="EA56" i="11" s="1"/>
  <c r="EB56" i="11" s="1"/>
  <c r="DS55" i="11"/>
  <c r="DT55" i="11" s="1"/>
  <c r="DU55" i="11" s="1"/>
  <c r="DV55" i="11" s="1"/>
  <c r="DW55" i="11" s="1"/>
  <c r="DX55" i="11" s="1"/>
  <c r="DY55" i="11" s="1"/>
  <c r="DZ55" i="11" s="1"/>
  <c r="EA55" i="11" s="1"/>
  <c r="EB55" i="11" s="1"/>
  <c r="DS54" i="11"/>
  <c r="DT54" i="11" s="1"/>
  <c r="DU54" i="11" s="1"/>
  <c r="DV54" i="11" s="1"/>
  <c r="DW54" i="11" s="1"/>
  <c r="DX54" i="11" s="1"/>
  <c r="DY54" i="11" s="1"/>
  <c r="DZ54" i="11" s="1"/>
  <c r="EA54" i="11" s="1"/>
  <c r="EB54" i="11" s="1"/>
  <c r="DS53" i="11"/>
  <c r="DT53" i="11" s="1"/>
  <c r="DU53" i="11" s="1"/>
  <c r="DV53" i="11" s="1"/>
  <c r="DW53" i="11" s="1"/>
  <c r="DX53" i="11" s="1"/>
  <c r="DY53" i="11" s="1"/>
  <c r="DZ53" i="11" s="1"/>
  <c r="EA53" i="11" s="1"/>
  <c r="EB53" i="11" s="1"/>
  <c r="DS52" i="11"/>
  <c r="DT52" i="11" s="1"/>
  <c r="DU52" i="11" s="1"/>
  <c r="DV52" i="11" s="1"/>
  <c r="DW52" i="11" s="1"/>
  <c r="DX52" i="11" s="1"/>
  <c r="DY52" i="11" s="1"/>
  <c r="DZ52" i="11" s="1"/>
  <c r="EA52" i="11" s="1"/>
  <c r="EB52" i="11" s="1"/>
  <c r="DS51" i="11"/>
  <c r="DT51" i="11" s="1"/>
  <c r="DU51" i="11" s="1"/>
  <c r="DV51" i="11" s="1"/>
  <c r="DW51" i="11" s="1"/>
  <c r="DX51" i="11" s="1"/>
  <c r="DY51" i="11" s="1"/>
  <c r="DZ51" i="11" s="1"/>
  <c r="EA51" i="11" s="1"/>
  <c r="EB51" i="11" s="1"/>
  <c r="DS50" i="11"/>
  <c r="DT50" i="11" s="1"/>
  <c r="DU50" i="11" s="1"/>
  <c r="DV50" i="11" s="1"/>
  <c r="DW50" i="11" s="1"/>
  <c r="DX50" i="11" s="1"/>
  <c r="DY50" i="11" s="1"/>
  <c r="DZ50" i="11" s="1"/>
  <c r="EA50" i="11" s="1"/>
  <c r="EB50" i="11" s="1"/>
  <c r="DS49" i="11"/>
  <c r="DT49" i="11" s="1"/>
  <c r="DU49" i="11" s="1"/>
  <c r="DV49" i="11" s="1"/>
  <c r="DW49" i="11" s="1"/>
  <c r="DX49" i="11" s="1"/>
  <c r="DY49" i="11" s="1"/>
  <c r="DZ49" i="11" s="1"/>
  <c r="EA49" i="11" s="1"/>
  <c r="EB49" i="11" s="1"/>
  <c r="DS48" i="11"/>
  <c r="DT48" i="11" s="1"/>
  <c r="DU48" i="11" s="1"/>
  <c r="DV48" i="11" s="1"/>
  <c r="DW48" i="11" s="1"/>
  <c r="DX48" i="11" s="1"/>
  <c r="DY48" i="11" s="1"/>
  <c r="DZ48" i="11" s="1"/>
  <c r="EA48" i="11" s="1"/>
  <c r="EB48" i="11" s="1"/>
  <c r="DS47" i="11"/>
  <c r="DT47" i="11" s="1"/>
  <c r="DU47" i="11" s="1"/>
  <c r="DV47" i="11" s="1"/>
  <c r="DW47" i="11" s="1"/>
  <c r="DX47" i="11" s="1"/>
  <c r="DY47" i="11" s="1"/>
  <c r="DZ47" i="11" s="1"/>
  <c r="EA47" i="11" s="1"/>
  <c r="EB47" i="11" s="1"/>
  <c r="DS46" i="11"/>
  <c r="DT46" i="11" s="1"/>
  <c r="DU46" i="11" s="1"/>
  <c r="DV46" i="11" s="1"/>
  <c r="DW46" i="11" s="1"/>
  <c r="DX46" i="11" s="1"/>
  <c r="DY46" i="11" s="1"/>
  <c r="DZ46" i="11" s="1"/>
  <c r="EA46" i="11" s="1"/>
  <c r="EB46" i="11" s="1"/>
  <c r="DS45" i="11"/>
  <c r="DT45" i="11" s="1"/>
  <c r="DU45" i="11" s="1"/>
  <c r="DV45" i="11" s="1"/>
  <c r="DW45" i="11" s="1"/>
  <c r="DX45" i="11" s="1"/>
  <c r="DY45" i="11" s="1"/>
  <c r="DZ45" i="11" s="1"/>
  <c r="EA45" i="11" s="1"/>
  <c r="EB45" i="11" s="1"/>
  <c r="DS44" i="11"/>
  <c r="DT44" i="11" s="1"/>
  <c r="DU44" i="11" s="1"/>
  <c r="DV44" i="11" s="1"/>
  <c r="DW44" i="11" s="1"/>
  <c r="DX44" i="11" s="1"/>
  <c r="DY44" i="11" s="1"/>
  <c r="DZ44" i="11" s="1"/>
  <c r="EA44" i="11" s="1"/>
  <c r="EB44" i="11" s="1"/>
  <c r="DS43" i="11"/>
  <c r="DT43" i="11" s="1"/>
  <c r="DU43" i="11" s="1"/>
  <c r="DV43" i="11" s="1"/>
  <c r="DW43" i="11" s="1"/>
  <c r="DX43" i="11" s="1"/>
  <c r="DY43" i="11" s="1"/>
  <c r="DZ43" i="11" s="1"/>
  <c r="EA43" i="11" s="1"/>
  <c r="EB43" i="11" s="1"/>
  <c r="DS42" i="11"/>
  <c r="DT42" i="11" s="1"/>
  <c r="DU42" i="11" s="1"/>
  <c r="DV42" i="11" s="1"/>
  <c r="DW42" i="11" s="1"/>
  <c r="DX42" i="11" s="1"/>
  <c r="DY42" i="11" s="1"/>
  <c r="DZ42" i="11" s="1"/>
  <c r="EA42" i="11" s="1"/>
  <c r="EB42" i="11" s="1"/>
  <c r="DS41" i="11"/>
  <c r="DT41" i="11" s="1"/>
  <c r="DU41" i="11" s="1"/>
  <c r="DV41" i="11" s="1"/>
  <c r="DW41" i="11" s="1"/>
  <c r="DX41" i="11" s="1"/>
  <c r="DY41" i="11" s="1"/>
  <c r="DZ41" i="11" s="1"/>
  <c r="EA41" i="11" s="1"/>
  <c r="EB41" i="11" s="1"/>
  <c r="DS40" i="11"/>
  <c r="DT40" i="11" s="1"/>
  <c r="DU40" i="11" s="1"/>
  <c r="DV40" i="11" s="1"/>
  <c r="DW40" i="11" s="1"/>
  <c r="DX40" i="11" s="1"/>
  <c r="DY40" i="11" s="1"/>
  <c r="DZ40" i="11" s="1"/>
  <c r="EA40" i="11" s="1"/>
  <c r="EB40" i="11" s="1"/>
  <c r="DS39" i="11"/>
  <c r="DT39" i="11" s="1"/>
  <c r="DU39" i="11" s="1"/>
  <c r="DV39" i="11" s="1"/>
  <c r="DW39" i="11" s="1"/>
  <c r="DX39" i="11" s="1"/>
  <c r="DY39" i="11" s="1"/>
  <c r="DZ39" i="11" s="1"/>
  <c r="EA39" i="11" s="1"/>
  <c r="EB39" i="11" s="1"/>
  <c r="DS38" i="11"/>
  <c r="DT38" i="11" s="1"/>
  <c r="DU38" i="11" s="1"/>
  <c r="DV38" i="11" s="1"/>
  <c r="DW38" i="11" s="1"/>
  <c r="DX38" i="11" s="1"/>
  <c r="DY38" i="11" s="1"/>
  <c r="DZ38" i="11" s="1"/>
  <c r="EA38" i="11" s="1"/>
  <c r="EB38" i="11" s="1"/>
  <c r="DS37" i="11"/>
  <c r="DT37" i="11" s="1"/>
  <c r="DU37" i="11" s="1"/>
  <c r="DV37" i="11" s="1"/>
  <c r="DW37" i="11" s="1"/>
  <c r="DX37" i="11" s="1"/>
  <c r="DY37" i="11" s="1"/>
  <c r="DZ37" i="11" s="1"/>
  <c r="EA37" i="11" s="1"/>
  <c r="EB37" i="11" s="1"/>
  <c r="DS36" i="11"/>
  <c r="DT36" i="11" s="1"/>
  <c r="DU36" i="11" s="1"/>
  <c r="DV36" i="11" s="1"/>
  <c r="DW36" i="11" s="1"/>
  <c r="DX36" i="11" s="1"/>
  <c r="DY36" i="11" s="1"/>
  <c r="DZ36" i="11" s="1"/>
  <c r="EA36" i="11" s="1"/>
  <c r="EB36" i="11" s="1"/>
  <c r="DS35" i="11"/>
  <c r="DT35" i="11" s="1"/>
  <c r="DU35" i="11" s="1"/>
  <c r="DV35" i="11" s="1"/>
  <c r="DW35" i="11" s="1"/>
  <c r="DX35" i="11" s="1"/>
  <c r="DY35" i="11" s="1"/>
  <c r="DZ35" i="11" s="1"/>
  <c r="EA35" i="11" s="1"/>
  <c r="EB35" i="11" s="1"/>
  <c r="DS34" i="11"/>
  <c r="DT34" i="11" s="1"/>
  <c r="DU34" i="11" s="1"/>
  <c r="DV34" i="11" s="1"/>
  <c r="DW34" i="11" s="1"/>
  <c r="DX34" i="11" s="1"/>
  <c r="DY34" i="11" s="1"/>
  <c r="DZ34" i="11" s="1"/>
  <c r="EA34" i="11" s="1"/>
  <c r="EB34" i="11" s="1"/>
  <c r="DS33" i="11"/>
  <c r="DT33" i="11" s="1"/>
  <c r="DU33" i="11" s="1"/>
  <c r="DV33" i="11" s="1"/>
  <c r="DW33" i="11" s="1"/>
  <c r="DX33" i="11" s="1"/>
  <c r="DY33" i="11" s="1"/>
  <c r="DZ33" i="11" s="1"/>
  <c r="EA33" i="11" s="1"/>
  <c r="EB33" i="11" s="1"/>
  <c r="DS32" i="11"/>
  <c r="DT32" i="11" s="1"/>
  <c r="DU32" i="11" s="1"/>
  <c r="DV32" i="11" s="1"/>
  <c r="DW32" i="11" s="1"/>
  <c r="DX32" i="11" s="1"/>
  <c r="DY32" i="11" s="1"/>
  <c r="DZ32" i="11" s="1"/>
  <c r="EA32" i="11" s="1"/>
  <c r="EB32" i="11" s="1"/>
  <c r="DS31" i="11"/>
  <c r="DT31" i="11" s="1"/>
  <c r="DU31" i="11" s="1"/>
  <c r="DV31" i="11" s="1"/>
  <c r="DW31" i="11" s="1"/>
  <c r="DX31" i="11" s="1"/>
  <c r="DY31" i="11" s="1"/>
  <c r="DZ31" i="11" s="1"/>
  <c r="EA31" i="11" s="1"/>
  <c r="EB31" i="11" s="1"/>
  <c r="DS30" i="11"/>
  <c r="DT30" i="11" s="1"/>
  <c r="DU30" i="11" s="1"/>
  <c r="DV30" i="11" s="1"/>
  <c r="DW30" i="11" s="1"/>
  <c r="DX30" i="11" s="1"/>
  <c r="DY30" i="11" s="1"/>
  <c r="DZ30" i="11" s="1"/>
  <c r="EA30" i="11" s="1"/>
  <c r="EB30" i="11" s="1"/>
  <c r="DS29" i="11"/>
  <c r="DT29" i="11" s="1"/>
  <c r="DU29" i="11" s="1"/>
  <c r="DV29" i="11" s="1"/>
  <c r="DW29" i="11" s="1"/>
  <c r="DX29" i="11" s="1"/>
  <c r="DY29" i="11" s="1"/>
  <c r="DZ29" i="11" s="1"/>
  <c r="EA29" i="11" s="1"/>
  <c r="EB29" i="11" s="1"/>
  <c r="DS28" i="11"/>
  <c r="DT28" i="11" s="1"/>
  <c r="DU28" i="11" s="1"/>
  <c r="DV28" i="11" s="1"/>
  <c r="DW28" i="11" s="1"/>
  <c r="DX28" i="11" s="1"/>
  <c r="DY28" i="11" s="1"/>
  <c r="DZ28" i="11" s="1"/>
  <c r="EA28" i="11" s="1"/>
  <c r="EB28" i="11" s="1"/>
  <c r="DS27" i="11"/>
  <c r="DT27" i="11" s="1"/>
  <c r="DU27" i="11" s="1"/>
  <c r="DV27" i="11" s="1"/>
  <c r="DW27" i="11" s="1"/>
  <c r="DX27" i="11" s="1"/>
  <c r="DY27" i="11" s="1"/>
  <c r="DZ27" i="11" s="1"/>
  <c r="EA27" i="11" s="1"/>
  <c r="EB27" i="11" s="1"/>
  <c r="DS26" i="11"/>
  <c r="DT26" i="11" s="1"/>
  <c r="DU26" i="11" s="1"/>
  <c r="DV26" i="11" s="1"/>
  <c r="DW26" i="11" s="1"/>
  <c r="DX26" i="11" s="1"/>
  <c r="DY26" i="11" s="1"/>
  <c r="DZ26" i="11" s="1"/>
  <c r="EA26" i="11" s="1"/>
  <c r="EB26" i="11" s="1"/>
  <c r="DS25" i="11"/>
  <c r="DT25" i="11" s="1"/>
  <c r="DU25" i="11" s="1"/>
  <c r="DV25" i="11" s="1"/>
  <c r="DW25" i="11" s="1"/>
  <c r="DX25" i="11" s="1"/>
  <c r="DY25" i="11" s="1"/>
  <c r="DZ25" i="11" s="1"/>
  <c r="EA25" i="11" s="1"/>
  <c r="EB25" i="11" s="1"/>
  <c r="DS24" i="11"/>
  <c r="DT24" i="11" s="1"/>
  <c r="DU24" i="11" s="1"/>
  <c r="DV24" i="11" s="1"/>
  <c r="DW24" i="11" s="1"/>
  <c r="DX24" i="11" s="1"/>
  <c r="DY24" i="11" s="1"/>
  <c r="DZ24" i="11" s="1"/>
  <c r="EA24" i="11" s="1"/>
  <c r="EB24" i="11" s="1"/>
  <c r="DS23" i="11"/>
  <c r="DT23" i="11" s="1"/>
  <c r="DU23" i="11" s="1"/>
  <c r="DV23" i="11" s="1"/>
  <c r="DW23" i="11" s="1"/>
  <c r="DX23" i="11" s="1"/>
  <c r="DY23" i="11" s="1"/>
  <c r="DZ23" i="11" s="1"/>
  <c r="EA23" i="11" s="1"/>
  <c r="EB23" i="11" s="1"/>
  <c r="DS22" i="11"/>
  <c r="DT22" i="11" s="1"/>
  <c r="DU22" i="11" s="1"/>
  <c r="DV22" i="11" s="1"/>
  <c r="DW22" i="11" s="1"/>
  <c r="DX22" i="11" s="1"/>
  <c r="DY22" i="11" s="1"/>
  <c r="DZ22" i="11" s="1"/>
  <c r="EA22" i="11" s="1"/>
  <c r="EB22" i="11" s="1"/>
  <c r="DS21" i="11"/>
  <c r="DT21" i="11" s="1"/>
  <c r="DU21" i="11" s="1"/>
  <c r="DV21" i="11" s="1"/>
  <c r="DW21" i="11" s="1"/>
  <c r="DX21" i="11" s="1"/>
  <c r="DY21" i="11" s="1"/>
  <c r="DZ21" i="11" s="1"/>
  <c r="EA21" i="11" s="1"/>
  <c r="EB21" i="11" s="1"/>
  <c r="DS20" i="11"/>
  <c r="DT20" i="11" s="1"/>
  <c r="DU20" i="11" s="1"/>
  <c r="DV20" i="11" s="1"/>
  <c r="DW20" i="11" s="1"/>
  <c r="DX20" i="11" s="1"/>
  <c r="DY20" i="11" s="1"/>
  <c r="DZ20" i="11" s="1"/>
  <c r="EA20" i="11" s="1"/>
  <c r="EB20" i="11" s="1"/>
  <c r="DS19" i="11"/>
  <c r="DT19" i="11" s="1"/>
  <c r="DU19" i="11" s="1"/>
  <c r="DV19" i="11" s="1"/>
  <c r="DW19" i="11" s="1"/>
  <c r="DX19" i="11" s="1"/>
  <c r="DY19" i="11" s="1"/>
  <c r="DZ19" i="11" s="1"/>
  <c r="EA19" i="11" s="1"/>
  <c r="EB19" i="11" s="1"/>
  <c r="DS18" i="11"/>
  <c r="DT18" i="11" s="1"/>
  <c r="DU18" i="11" s="1"/>
  <c r="DV18" i="11" s="1"/>
  <c r="DW18" i="11" s="1"/>
  <c r="DX18" i="11" s="1"/>
  <c r="DY18" i="11" s="1"/>
  <c r="DZ18" i="11" s="1"/>
  <c r="EA18" i="11" s="1"/>
  <c r="EB18" i="11" s="1"/>
  <c r="DS17" i="11"/>
  <c r="DT17" i="11" s="1"/>
  <c r="DU17" i="11" s="1"/>
  <c r="DV17" i="11" s="1"/>
  <c r="DW17" i="11" s="1"/>
  <c r="DX17" i="11" s="1"/>
  <c r="DY17" i="11" s="1"/>
  <c r="DZ17" i="11" s="1"/>
  <c r="EA17" i="11" s="1"/>
  <c r="EB17" i="11" s="1"/>
  <c r="DS16" i="11"/>
  <c r="DT16" i="11" s="1"/>
  <c r="DU16" i="11" s="1"/>
  <c r="DV16" i="11" s="1"/>
  <c r="DW16" i="11" s="1"/>
  <c r="DX16" i="11" s="1"/>
  <c r="DY16" i="11" s="1"/>
  <c r="DZ16" i="11" s="1"/>
  <c r="EA16" i="11" s="1"/>
  <c r="EB16" i="11" s="1"/>
  <c r="DS15" i="11"/>
  <c r="DT15" i="11" s="1"/>
  <c r="DU15" i="11" s="1"/>
  <c r="DV15" i="11" s="1"/>
  <c r="DW15" i="11" s="1"/>
  <c r="DX15" i="11" s="1"/>
  <c r="DY15" i="11" s="1"/>
  <c r="DZ15" i="11" s="1"/>
  <c r="EA15" i="11" s="1"/>
  <c r="EB15" i="11" s="1"/>
  <c r="DS14" i="11"/>
  <c r="DT14" i="11" s="1"/>
  <c r="DU14" i="11" s="1"/>
  <c r="DV14" i="11" s="1"/>
  <c r="DW14" i="11" s="1"/>
  <c r="DX14" i="11" s="1"/>
  <c r="DY14" i="11" s="1"/>
  <c r="DZ14" i="11" s="1"/>
  <c r="EA14" i="11" s="1"/>
  <c r="EB14" i="11" s="1"/>
  <c r="DS13" i="11"/>
  <c r="DT13" i="11" s="1"/>
  <c r="DU13" i="11" s="1"/>
  <c r="DV13" i="11" s="1"/>
  <c r="DW13" i="11" s="1"/>
  <c r="DX13" i="11" s="1"/>
  <c r="DY13" i="11" s="1"/>
  <c r="DZ13" i="11" s="1"/>
  <c r="EA13" i="11" s="1"/>
  <c r="EB13" i="11" s="1"/>
  <c r="DS12" i="11"/>
  <c r="DT12" i="11" s="1"/>
  <c r="DU12" i="11" s="1"/>
  <c r="DV12" i="11" s="1"/>
  <c r="DW12" i="11" s="1"/>
  <c r="DX12" i="11" s="1"/>
  <c r="DY12" i="11" s="1"/>
  <c r="DZ12" i="11" s="1"/>
  <c r="EA12" i="11" s="1"/>
  <c r="EB12" i="11" s="1"/>
  <c r="DS11" i="11"/>
  <c r="DT11" i="11" s="1"/>
  <c r="DU11" i="11" s="1"/>
  <c r="DV11" i="11" s="1"/>
  <c r="DW11" i="11" s="1"/>
  <c r="DX11" i="11" s="1"/>
  <c r="DY11" i="11" s="1"/>
  <c r="DZ11" i="11" s="1"/>
  <c r="EA11" i="11" s="1"/>
  <c r="EB11" i="11" s="1"/>
  <c r="DS10" i="11"/>
  <c r="DT10" i="11" s="1"/>
  <c r="DU10" i="11" s="1"/>
  <c r="DV10" i="11" s="1"/>
  <c r="DW10" i="11" s="1"/>
  <c r="DX10" i="11" s="1"/>
  <c r="DY10" i="11" s="1"/>
  <c r="DZ10" i="11" s="1"/>
  <c r="EA10" i="11" s="1"/>
  <c r="EB10" i="11" s="1"/>
  <c r="DS9" i="11"/>
  <c r="DT9" i="11" s="1"/>
  <c r="DU9" i="11" s="1"/>
  <c r="DV9" i="11" s="1"/>
  <c r="DW9" i="11" s="1"/>
  <c r="DX9" i="11" s="1"/>
  <c r="DY9" i="11" s="1"/>
  <c r="DZ9" i="11" s="1"/>
  <c r="EA9" i="11" s="1"/>
  <c r="EB9" i="11" s="1"/>
  <c r="DS8" i="11"/>
  <c r="DT8" i="11" s="1"/>
  <c r="DU8" i="11" s="1"/>
  <c r="DV8" i="11" s="1"/>
  <c r="DW8" i="11" s="1"/>
  <c r="DX8" i="11" s="1"/>
  <c r="DY8" i="11" s="1"/>
  <c r="DZ8" i="11" s="1"/>
  <c r="EA8" i="11" s="1"/>
  <c r="EB8" i="11" s="1"/>
  <c r="DS7" i="11"/>
  <c r="DT7" i="11" s="1"/>
  <c r="DU7" i="11" s="1"/>
  <c r="DV7" i="11" s="1"/>
  <c r="DW7" i="11" s="1"/>
  <c r="DX7" i="11" s="1"/>
  <c r="DY7" i="11" s="1"/>
  <c r="DZ7" i="11" s="1"/>
  <c r="EA7" i="11" s="1"/>
  <c r="EB7" i="11" s="1"/>
  <c r="DS6" i="11"/>
  <c r="DT6" i="11" s="1"/>
  <c r="DU6" i="11" s="1"/>
  <c r="DV6" i="11" s="1"/>
  <c r="DW6" i="11" s="1"/>
  <c r="DX6" i="11" s="1"/>
  <c r="DY6" i="11" s="1"/>
  <c r="DZ6" i="11" s="1"/>
  <c r="EA6" i="11" s="1"/>
  <c r="EB6" i="11" s="1"/>
  <c r="DS5" i="11"/>
  <c r="DT5" i="11" s="1"/>
  <c r="DU5" i="11" s="1"/>
  <c r="DV5" i="11" s="1"/>
  <c r="DW5" i="11" s="1"/>
  <c r="DX5" i="11" s="1"/>
  <c r="DY5" i="11" s="1"/>
  <c r="DZ5" i="11" s="1"/>
  <c r="EA5" i="11" s="1"/>
  <c r="EB5" i="11" s="1"/>
  <c r="DS4" i="11"/>
  <c r="DT4" i="11" s="1"/>
  <c r="DU4" i="11" s="1"/>
  <c r="DV4" i="11" s="1"/>
  <c r="DW4" i="11" s="1"/>
  <c r="DX4" i="11" s="1"/>
  <c r="DY4" i="11" s="1"/>
  <c r="DZ4" i="11" s="1"/>
  <c r="EA4" i="11" s="1"/>
  <c r="EB4" i="11" s="1"/>
  <c r="DS3" i="11"/>
  <c r="DT3" i="11" s="1"/>
  <c r="DU3" i="11" s="1"/>
  <c r="DV3" i="11" s="1"/>
  <c r="DW3" i="11" s="1"/>
  <c r="DX3" i="11" s="1"/>
  <c r="DY3" i="11" s="1"/>
  <c r="DZ3" i="11" s="1"/>
  <c r="EA3" i="11" s="1"/>
  <c r="EB3" i="11" s="1"/>
  <c r="DU103" i="11" l="1"/>
  <c r="DV103" i="11" s="1"/>
  <c r="DW103" i="11" s="1"/>
  <c r="DX103" i="11" s="1"/>
  <c r="DY103" i="11" s="1"/>
  <c r="DZ103" i="11" s="1"/>
  <c r="EA103" i="11" s="1"/>
  <c r="EB103" i="11" s="1"/>
  <c r="AE36" i="16" a="1"/>
  <c r="AE36" i="16" s="1"/>
  <c r="AF36" i="16" s="1"/>
  <c r="AE37" i="16" a="1"/>
  <c r="AE37" i="16" s="1"/>
  <c r="AF37" i="16" s="1"/>
  <c r="AE38" i="16" a="1"/>
  <c r="AE38" i="16" s="1"/>
  <c r="AF38" i="16" s="1"/>
  <c r="AE39" i="16" a="1"/>
  <c r="AE39" i="16" s="1"/>
  <c r="AF39" i="16" s="1"/>
  <c r="AE40" i="16" a="1"/>
  <c r="AE40" i="16" s="1"/>
  <c r="AF40" i="16" s="1"/>
  <c r="AE41" i="16" a="1"/>
  <c r="AE41" i="16" s="1"/>
  <c r="AF41" i="16" s="1"/>
  <c r="AE42" i="16" a="1"/>
  <c r="AE42" i="16" s="1"/>
  <c r="AF42" i="16" s="1"/>
  <c r="AE43" i="16" a="1"/>
  <c r="AE43" i="16" s="1"/>
  <c r="AF43" i="16" s="1"/>
  <c r="AE44" i="16" a="1"/>
  <c r="AE44" i="16" s="1"/>
  <c r="AF44" i="16" s="1"/>
  <c r="AE45" i="16" a="1"/>
  <c r="AE45" i="16" s="1"/>
  <c r="AF45" i="16" s="1"/>
  <c r="AE46" i="16" a="1"/>
  <c r="AE46" i="16" s="1"/>
  <c r="AF46" i="16" s="1"/>
  <c r="AE17" i="16" a="1"/>
  <c r="AE17" i="16" s="1"/>
  <c r="AF17" i="16" s="1"/>
  <c r="AE18" i="16" a="1"/>
  <c r="AE18" i="16" s="1"/>
  <c r="AF18" i="16" s="1"/>
  <c r="AE19" i="16" a="1"/>
  <c r="AE19" i="16" s="1"/>
  <c r="AF19" i="16" s="1"/>
  <c r="AE20" i="16" a="1"/>
  <c r="AE20" i="16" s="1"/>
  <c r="AF20" i="16" s="1"/>
  <c r="AE21" i="16" a="1"/>
  <c r="AE21" i="16" s="1"/>
  <c r="AF21" i="16" s="1"/>
  <c r="AE22" i="16" a="1"/>
  <c r="AE22" i="16" s="1"/>
  <c r="AF22" i="16" s="1"/>
  <c r="AE23" i="16" a="1"/>
  <c r="AE23" i="16" s="1"/>
  <c r="AF23" i="16" s="1"/>
  <c r="AE24" i="16" a="1"/>
  <c r="AE24" i="16" s="1"/>
  <c r="AF24" i="16" s="1"/>
  <c r="AE25" i="16" a="1"/>
  <c r="AE25" i="16" s="1"/>
  <c r="AF25" i="16" s="1"/>
  <c r="AE26" i="16" a="1"/>
  <c r="AE26" i="16" s="1"/>
  <c r="AF26" i="16" s="1"/>
  <c r="AE27" i="16" a="1"/>
  <c r="AE27" i="16" s="1"/>
  <c r="AF27" i="16" s="1"/>
  <c r="AE28" i="16" a="1"/>
  <c r="AE28" i="16" s="1"/>
  <c r="AF28" i="16" s="1"/>
  <c r="AE29" i="16" a="1"/>
  <c r="AE29" i="16" s="1"/>
  <c r="AF29" i="16" s="1"/>
  <c r="AE30" i="16" a="1"/>
  <c r="AE30" i="16" s="1"/>
  <c r="AF30" i="16" s="1"/>
  <c r="AE31" i="16" a="1"/>
  <c r="AE31" i="16" s="1"/>
  <c r="AF31" i="16" s="1"/>
  <c r="AE32" i="16" a="1"/>
  <c r="AE32" i="16" s="1"/>
  <c r="AF32" i="16" s="1"/>
  <c r="AE33" i="16" a="1"/>
  <c r="AE33" i="16" s="1"/>
  <c r="AF33" i="16" s="1"/>
  <c r="AE34" i="16" a="1"/>
  <c r="AE34" i="16" s="1"/>
  <c r="AF34" i="16" s="1"/>
  <c r="AE35" i="16" a="1"/>
  <c r="AE35" i="16" s="1"/>
  <c r="AF35" i="16" s="1"/>
  <c r="AE47" i="16" a="1"/>
  <c r="AE47" i="16" s="1"/>
  <c r="AF47" i="16" s="1"/>
  <c r="AE48" i="16" a="1"/>
  <c r="AE48" i="16" s="1"/>
  <c r="AF48" i="16" s="1"/>
  <c r="AE49" i="16" a="1"/>
  <c r="AE49" i="16" s="1"/>
  <c r="AF49" i="16" s="1"/>
  <c r="AE50" i="16" a="1"/>
  <c r="AE50" i="16" s="1"/>
  <c r="AF50" i="16" s="1"/>
  <c r="AE51" i="16" a="1"/>
  <c r="AE51" i="16" s="1"/>
  <c r="AF51" i="16" s="1"/>
  <c r="AE52" i="16" a="1"/>
  <c r="AE52" i="16" s="1"/>
  <c r="AF52" i="16" s="1"/>
  <c r="AE53" i="16" a="1"/>
  <c r="AE53" i="16" s="1"/>
  <c r="AF53" i="16" s="1"/>
  <c r="AE54" i="16" a="1"/>
  <c r="AE54" i="16" s="1"/>
  <c r="AF54" i="16" s="1"/>
  <c r="AE55" i="16" a="1"/>
  <c r="AE55" i="16" s="1"/>
  <c r="AF55" i="16" s="1"/>
  <c r="AE56" i="16" a="1"/>
  <c r="AE56" i="16" s="1"/>
  <c r="AF56" i="16" s="1"/>
  <c r="AE57" i="16" a="1"/>
  <c r="AE57" i="16" s="1"/>
  <c r="AF57" i="16" s="1"/>
  <c r="AE58" i="16" a="1"/>
  <c r="AE58" i="16" s="1"/>
  <c r="AF58" i="16" s="1"/>
  <c r="AE59" i="16" a="1"/>
  <c r="AE59" i="16" s="1"/>
  <c r="AF59" i="16" s="1"/>
  <c r="AE60" i="16" a="1"/>
  <c r="AE60" i="16" s="1"/>
  <c r="AF60" i="16" s="1"/>
  <c r="AE61" i="16" a="1"/>
  <c r="AE61" i="16" s="1"/>
  <c r="AF61" i="16" s="1"/>
  <c r="AE62" i="16" a="1"/>
  <c r="AE62" i="16" s="1"/>
  <c r="AF62" i="16" s="1"/>
  <c r="AE63" i="16" a="1"/>
  <c r="AE63" i="16" s="1"/>
  <c r="AF63" i="16" s="1"/>
  <c r="AE64" i="16" a="1"/>
  <c r="AE64" i="16" s="1"/>
  <c r="AF64" i="16" s="1"/>
  <c r="AE65" i="16" a="1"/>
  <c r="AE65" i="16" s="1"/>
  <c r="AF65" i="16" s="1"/>
  <c r="AE66" i="16" a="1"/>
  <c r="AE66" i="16" s="1"/>
  <c r="AF66" i="16" s="1"/>
  <c r="AE67" i="16" a="1"/>
  <c r="AE67" i="16" s="1"/>
  <c r="AF67" i="16" s="1"/>
  <c r="AE68" i="16" a="1"/>
  <c r="AE68" i="16" s="1"/>
  <c r="AF68" i="16" s="1"/>
  <c r="AE69" i="16" a="1"/>
  <c r="AE69" i="16" s="1"/>
  <c r="AF69" i="16" s="1"/>
  <c r="AE70" i="16" a="1"/>
  <c r="AE70" i="16" s="1"/>
  <c r="AF70" i="16" s="1"/>
  <c r="AE71" i="16" a="1"/>
  <c r="AE71" i="16" s="1"/>
  <c r="AF71" i="16" s="1"/>
  <c r="AE72" i="16" a="1"/>
  <c r="AE72" i="16" s="1"/>
  <c r="AF72" i="16" s="1"/>
  <c r="AE73" i="16" a="1"/>
  <c r="AE73" i="16" s="1"/>
  <c r="AF73" i="16" s="1"/>
  <c r="AE74" i="16" a="1"/>
  <c r="AE74" i="16" s="1"/>
  <c r="AF74" i="16" s="1"/>
  <c r="AE75" i="16" a="1"/>
  <c r="AE75" i="16" s="1"/>
  <c r="AF75" i="16" s="1"/>
  <c r="AE76" i="16" a="1"/>
  <c r="AE76" i="16" s="1"/>
  <c r="AF76" i="16" s="1"/>
  <c r="AE77" i="16" a="1"/>
  <c r="AE77" i="16" s="1"/>
  <c r="AF77" i="16" s="1"/>
  <c r="AE78" i="16" a="1"/>
  <c r="AE78" i="16" s="1"/>
  <c r="AF78" i="16" s="1"/>
  <c r="AE79" i="16" a="1"/>
  <c r="AE79" i="16" s="1"/>
  <c r="AF79" i="16" s="1"/>
  <c r="AE80" i="16" a="1"/>
  <c r="AE80" i="16" s="1"/>
  <c r="AF80" i="16" s="1"/>
  <c r="AE81" i="16" a="1"/>
  <c r="AE81" i="16" s="1"/>
  <c r="AF81" i="16" s="1"/>
  <c r="AE82" i="16" a="1"/>
  <c r="AE82" i="16" s="1"/>
  <c r="AF82" i="16" s="1"/>
  <c r="AE83" i="16" a="1"/>
  <c r="AE83" i="16" s="1"/>
  <c r="AF83" i="16" s="1"/>
  <c r="AE84" i="16" a="1"/>
  <c r="AE84" i="16" s="1"/>
  <c r="AF84" i="16" s="1"/>
  <c r="AE85" i="16" a="1"/>
  <c r="AE85" i="16" s="1"/>
  <c r="AF85" i="16" s="1"/>
  <c r="AE86" i="16" a="1"/>
  <c r="AE86" i="16" s="1"/>
  <c r="AF86" i="16" s="1"/>
  <c r="AE87" i="16" a="1"/>
  <c r="AE87" i="16" s="1"/>
  <c r="AF87" i="16" s="1"/>
  <c r="AE88" i="16" a="1"/>
  <c r="AE88" i="16" s="1"/>
  <c r="AF88" i="16" s="1"/>
  <c r="AE89" i="16" a="1"/>
  <c r="AE89" i="16" s="1"/>
  <c r="AF89" i="16" s="1"/>
  <c r="AE90" i="16" a="1"/>
  <c r="AE90" i="16" s="1"/>
  <c r="AF90" i="16" s="1"/>
  <c r="AE91" i="16" a="1"/>
  <c r="AE91" i="16" s="1"/>
  <c r="AF91" i="16" s="1"/>
  <c r="AE92" i="16" a="1"/>
  <c r="AE92" i="16" s="1"/>
  <c r="AF92" i="16" s="1"/>
  <c r="AE93" i="16" a="1"/>
  <c r="AE93" i="16" s="1"/>
  <c r="AF93" i="16" s="1"/>
  <c r="AE94" i="16" a="1"/>
  <c r="AE94" i="16" s="1"/>
  <c r="AF94" i="16" s="1"/>
  <c r="AE95" i="16" a="1"/>
  <c r="AE95" i="16" s="1"/>
  <c r="AF95" i="16" s="1"/>
  <c r="AE96" i="16" a="1"/>
  <c r="AE96" i="16" s="1"/>
  <c r="AF96" i="16" s="1"/>
  <c r="AE97" i="16" a="1"/>
  <c r="AE97" i="16" s="1"/>
  <c r="AF97" i="16" s="1"/>
  <c r="AE98" i="16" a="1"/>
  <c r="AE98" i="16" s="1"/>
  <c r="AF98" i="16" s="1"/>
  <c r="AE99" i="16" a="1"/>
  <c r="AE99" i="16" s="1"/>
  <c r="AF99" i="16" s="1"/>
  <c r="AE100" i="16" a="1"/>
  <c r="AE100" i="16" s="1"/>
  <c r="AF100" i="16" s="1"/>
  <c r="AE101" i="16" a="1"/>
  <c r="AE101" i="16" s="1"/>
  <c r="AF101" i="16" s="1"/>
  <c r="AE102" i="16" a="1"/>
  <c r="AE102" i="16" s="1"/>
  <c r="AF102" i="16" s="1"/>
  <c r="AE103" i="16" a="1"/>
  <c r="AE103" i="16" s="1"/>
  <c r="AF103" i="16" s="1"/>
  <c r="AE104" i="16" a="1"/>
  <c r="AE104" i="16" s="1"/>
  <c r="AF104" i="16" s="1"/>
  <c r="AE105" i="16" a="1"/>
  <c r="AE105" i="16" s="1"/>
  <c r="AF105" i="16" s="1"/>
  <c r="AE106" i="16" a="1"/>
  <c r="AE106" i="16" s="1"/>
  <c r="AF106" i="16" s="1"/>
  <c r="AE107" i="16" a="1"/>
  <c r="AE107" i="16" s="1"/>
  <c r="AF107" i="16" s="1"/>
  <c r="AE108" i="16" a="1"/>
  <c r="AE108" i="16" s="1"/>
  <c r="AF108" i="16" s="1"/>
  <c r="AE109" i="16" a="1"/>
  <c r="AE109" i="16" s="1"/>
  <c r="AF109" i="16" s="1"/>
  <c r="AE110" i="16" a="1"/>
  <c r="AE110" i="16" s="1"/>
  <c r="AF110" i="16" s="1"/>
  <c r="AE111" i="16" a="1"/>
  <c r="AE111" i="16" s="1"/>
  <c r="AF111" i="16" s="1"/>
  <c r="AE112" i="16" a="1"/>
  <c r="AE112" i="16" s="1"/>
  <c r="AF112" i="16" s="1"/>
  <c r="AE113" i="16" a="1"/>
  <c r="AE113" i="16" s="1"/>
  <c r="AF113" i="16" s="1"/>
  <c r="AE114" i="16" a="1"/>
  <c r="AE114" i="16" s="1"/>
  <c r="AF114" i="16" s="1"/>
  <c r="AE115" i="16" a="1"/>
  <c r="AE115" i="16" s="1"/>
  <c r="AF115" i="16" s="1"/>
  <c r="AE116" i="16" a="1"/>
  <c r="AE116" i="16" s="1"/>
  <c r="AF116" i="16" s="1"/>
  <c r="AE117" i="16" a="1"/>
  <c r="AE117" i="16" s="1"/>
  <c r="AF117" i="16" s="1"/>
  <c r="AE118" i="16" a="1"/>
  <c r="AE118" i="16" s="1"/>
  <c r="AF118" i="16" s="1"/>
  <c r="AE119" i="16" a="1"/>
  <c r="AE119" i="16" s="1"/>
  <c r="AF119" i="16" s="1"/>
  <c r="AE120" i="16" a="1"/>
  <c r="AE120" i="16" s="1"/>
  <c r="AF120" i="16" s="1"/>
  <c r="AE121" i="16" a="1"/>
  <c r="AE121" i="16" s="1"/>
  <c r="AF121" i="16" s="1"/>
  <c r="AE122" i="16" a="1"/>
  <c r="AE122" i="16" s="1"/>
  <c r="AF122" i="16" s="1"/>
  <c r="AE123" i="16" a="1"/>
  <c r="AE123" i="16" s="1"/>
  <c r="AF123" i="16" s="1"/>
  <c r="AE124" i="16" a="1"/>
  <c r="AE124" i="16" s="1"/>
  <c r="AF124" i="16" s="1"/>
  <c r="AE125" i="16" a="1"/>
  <c r="AE125" i="16" s="1"/>
  <c r="AF125" i="16" s="1"/>
  <c r="AE3" i="16" a="1"/>
  <c r="AE3" i="16" s="1"/>
  <c r="AF3" i="16" s="1"/>
  <c r="AE4" i="16" a="1"/>
  <c r="AE4" i="16" s="1"/>
  <c r="AF4" i="16" s="1"/>
  <c r="AE5" i="16" a="1"/>
  <c r="AE5" i="16" s="1"/>
  <c r="AF5" i="16" s="1"/>
  <c r="AE6" i="16" a="1"/>
  <c r="AE6" i="16" s="1"/>
  <c r="AF6" i="16" s="1"/>
  <c r="AE7" i="16" a="1"/>
  <c r="AE7" i="16" s="1"/>
  <c r="AF7" i="16" s="1"/>
  <c r="AE8" i="16" a="1"/>
  <c r="AE8" i="16" s="1"/>
  <c r="AF8" i="16" s="1"/>
  <c r="AE9" i="16" a="1"/>
  <c r="AE9" i="16" s="1"/>
  <c r="AF9" i="16" s="1"/>
  <c r="AE10" i="16" a="1"/>
  <c r="AE10" i="16" s="1"/>
  <c r="AF10" i="16" s="1"/>
  <c r="AE11" i="16" a="1"/>
  <c r="AE11" i="16" s="1"/>
  <c r="AF11" i="16" s="1"/>
  <c r="AE12" i="16" a="1"/>
  <c r="AE12" i="16" s="1"/>
  <c r="AF12" i="16" s="1"/>
  <c r="AE13" i="16" a="1"/>
  <c r="AE13" i="16" s="1"/>
  <c r="AF13" i="16" s="1"/>
  <c r="AE14" i="16" a="1"/>
  <c r="AE14" i="16" s="1"/>
  <c r="AF14" i="16" s="1"/>
  <c r="AE15" i="16" a="1"/>
  <c r="AE15" i="16" s="1"/>
  <c r="AF15" i="16" s="1"/>
  <c r="AE16" i="16" a="1"/>
  <c r="AE16" i="16" s="1"/>
  <c r="AF16" i="16" s="1"/>
  <c r="AE2" i="16" a="1"/>
  <c r="AE2" i="16" s="1"/>
  <c r="AF2" i="16" s="1"/>
  <c r="DR171" i="11"/>
  <c r="DR170" i="11"/>
  <c r="AG129" i="16" s="1"/>
  <c r="AH129" i="16" s="1"/>
  <c r="AI129" i="16" s="1" a="1"/>
  <c r="AI129" i="16" s="1"/>
  <c r="AJ129" i="16" s="1"/>
  <c r="DR169" i="11"/>
  <c r="AG146" i="16" s="1"/>
  <c r="AH146" i="16" s="1"/>
  <c r="AI146" i="16" s="1" a="1"/>
  <c r="AI146" i="16" s="1"/>
  <c r="AJ146" i="16" s="1"/>
  <c r="DR168" i="11"/>
  <c r="DR167" i="11"/>
  <c r="AG155" i="16" s="1"/>
  <c r="AH155" i="16" s="1"/>
  <c r="AI155" i="16" s="1" a="1"/>
  <c r="AI155" i="16" s="1"/>
  <c r="AJ155" i="16" s="1"/>
  <c r="AL155" i="16" s="1"/>
  <c r="AU155" i="16" s="1" a="1"/>
  <c r="AU155" i="16" s="1"/>
  <c r="DR166" i="11"/>
  <c r="DR165" i="11"/>
  <c r="DR164" i="11"/>
  <c r="AG145" i="16" s="1"/>
  <c r="AH145" i="16" s="1"/>
  <c r="AI145" i="16" s="1" a="1"/>
  <c r="AI145" i="16" s="1"/>
  <c r="AJ145" i="16" s="1"/>
  <c r="DR163" i="11"/>
  <c r="DR162" i="11"/>
  <c r="AG157" i="16" s="1"/>
  <c r="AH157" i="16" s="1"/>
  <c r="AI157" i="16" s="1" a="1"/>
  <c r="AI157" i="16" s="1"/>
  <c r="AJ157" i="16" s="1"/>
  <c r="AL157" i="16" s="1"/>
  <c r="AU157" i="16" s="1" a="1"/>
  <c r="AU157" i="16" s="1"/>
  <c r="DR161" i="11"/>
  <c r="DR160" i="11"/>
  <c r="DR159" i="11"/>
  <c r="DR158" i="11"/>
  <c r="DR157" i="11"/>
  <c r="DR156" i="11"/>
  <c r="DR155" i="11"/>
  <c r="AG163" i="16" s="1"/>
  <c r="AH163" i="16" s="1"/>
  <c r="AI163" i="16" s="1" a="1"/>
  <c r="AI163" i="16" s="1"/>
  <c r="AJ163" i="16" s="1"/>
  <c r="AL163" i="16" s="1"/>
  <c r="AU163" i="16" s="1" a="1"/>
  <c r="AU163" i="16" s="1"/>
  <c r="DR154" i="11"/>
  <c r="AG162" i="16" s="1"/>
  <c r="AH162" i="16" s="1"/>
  <c r="AI162" i="16" s="1" a="1"/>
  <c r="AI162" i="16" s="1"/>
  <c r="AJ162" i="16" s="1"/>
  <c r="AL162" i="16" s="1"/>
  <c r="AU162" i="16" s="1" a="1"/>
  <c r="AU162" i="16" s="1"/>
  <c r="DR153" i="11"/>
  <c r="AG158" i="16" s="1"/>
  <c r="AH158" i="16" s="1"/>
  <c r="AI158" i="16" s="1" a="1"/>
  <c r="AI158" i="16" s="1"/>
  <c r="AJ158" i="16" s="1"/>
  <c r="AL158" i="16" s="1"/>
  <c r="AU158" i="16" s="1" a="1"/>
  <c r="AU158" i="16" s="1"/>
  <c r="DR152" i="11"/>
  <c r="AG173" i="16" s="1"/>
  <c r="AH173" i="16" s="1"/>
  <c r="AI173" i="16" s="1" a="1"/>
  <c r="AI173" i="16" s="1"/>
  <c r="AJ173" i="16" s="1"/>
  <c r="AL173" i="16" s="1"/>
  <c r="AU173" i="16" s="1" a="1"/>
  <c r="AU173" i="16" s="1"/>
  <c r="DR151" i="11"/>
  <c r="DR150" i="11"/>
  <c r="DR149" i="11"/>
  <c r="AG134" i="16" s="1"/>
  <c r="AH134" i="16" s="1"/>
  <c r="AI134" i="16" s="1" a="1"/>
  <c r="AI134" i="16" s="1"/>
  <c r="AJ134" i="16" s="1"/>
  <c r="DR148" i="11"/>
  <c r="DR147" i="11"/>
  <c r="AG172" i="16" s="1"/>
  <c r="AH172" i="16" s="1"/>
  <c r="AI172" i="16" s="1" a="1"/>
  <c r="AI172" i="16" s="1"/>
  <c r="AJ172" i="16" s="1"/>
  <c r="AL172" i="16" s="1"/>
  <c r="AU172" i="16" s="1" a="1"/>
  <c r="AU172" i="16" s="1"/>
  <c r="DR146" i="11"/>
  <c r="AG180" i="16" s="1"/>
  <c r="AH180" i="16" s="1"/>
  <c r="AI180" i="16" s="1" a="1"/>
  <c r="AI180" i="16" s="1"/>
  <c r="AJ180" i="16" s="1"/>
  <c r="DR145" i="11"/>
  <c r="DR144" i="11"/>
  <c r="DR143" i="11"/>
  <c r="DR142" i="11"/>
  <c r="AG176" i="16" s="1"/>
  <c r="AH176" i="16" s="1"/>
  <c r="AI176" i="16" s="1" a="1"/>
  <c r="AI176" i="16" s="1"/>
  <c r="AJ176" i="16" s="1"/>
  <c r="DR141" i="11"/>
  <c r="AG175" i="16" s="1"/>
  <c r="AH175" i="16" s="1"/>
  <c r="AI175" i="16" s="1" a="1"/>
  <c r="AI175" i="16" s="1"/>
  <c r="AJ175" i="16" s="1"/>
  <c r="DR140" i="11"/>
  <c r="AG174" i="16" s="1"/>
  <c r="AH174" i="16" s="1"/>
  <c r="AI174" i="16" s="1" a="1"/>
  <c r="AI174" i="16" s="1"/>
  <c r="AJ174" i="16" s="1"/>
  <c r="DR139" i="11"/>
  <c r="AG107" i="16" s="1"/>
  <c r="DR138" i="11"/>
  <c r="DR137" i="11"/>
  <c r="DR136" i="11"/>
  <c r="DR135" i="11"/>
  <c r="DR134" i="11"/>
  <c r="DR133" i="11"/>
  <c r="DR132" i="11"/>
  <c r="DR131" i="11"/>
  <c r="AG160" i="16" s="1"/>
  <c r="AH160" i="16" s="1"/>
  <c r="AI160" i="16" s="1" a="1"/>
  <c r="AI160" i="16" s="1"/>
  <c r="AJ160" i="16" s="1"/>
  <c r="AL160" i="16" s="1"/>
  <c r="AU160" i="16" s="1" a="1"/>
  <c r="AU160" i="16" s="1"/>
  <c r="DR130" i="11"/>
  <c r="DR129" i="11"/>
  <c r="DR128" i="11"/>
  <c r="DR127" i="11"/>
  <c r="DR126" i="11"/>
  <c r="DR125" i="11"/>
  <c r="DR124" i="11"/>
  <c r="DR123" i="11"/>
  <c r="DR122" i="11"/>
  <c r="AG52" i="16" s="1"/>
  <c r="DR121" i="11"/>
  <c r="DR120" i="11"/>
  <c r="DR119" i="11"/>
  <c r="AG137" i="16" s="1"/>
  <c r="AH137" i="16" s="1"/>
  <c r="AI137" i="16" s="1" a="1"/>
  <c r="AI137" i="16" s="1"/>
  <c r="AJ137" i="16" s="1"/>
  <c r="DR118" i="11"/>
  <c r="DR117" i="11"/>
  <c r="DR116" i="11"/>
  <c r="AG133" i="16" s="1"/>
  <c r="AH133" i="16" s="1"/>
  <c r="AI133" i="16" s="1" a="1"/>
  <c r="AI133" i="16" s="1"/>
  <c r="AJ133" i="16" s="1"/>
  <c r="DR115" i="11"/>
  <c r="AG151" i="16" s="1"/>
  <c r="AH151" i="16" s="1"/>
  <c r="AI151" i="16" s="1" a="1"/>
  <c r="AI151" i="16" s="1"/>
  <c r="AJ151" i="16" s="1"/>
  <c r="AL151" i="16" s="1"/>
  <c r="AU151" i="16" s="1" a="1"/>
  <c r="AU151" i="16" s="1"/>
  <c r="DR114" i="11"/>
  <c r="DR113" i="11"/>
  <c r="AG148" i="16" s="1"/>
  <c r="AH148" i="16" s="1"/>
  <c r="AI148" i="16" s="1" a="1"/>
  <c r="AI148" i="16" s="1"/>
  <c r="AJ148" i="16" s="1"/>
  <c r="DR112" i="11"/>
  <c r="AG92" i="16" s="1"/>
  <c r="DR111" i="11"/>
  <c r="AG135" i="16" s="1"/>
  <c r="AH135" i="16" s="1"/>
  <c r="AI135" i="16" s="1" a="1"/>
  <c r="AI135" i="16" s="1"/>
  <c r="AJ135" i="16" s="1"/>
  <c r="DR110" i="11"/>
  <c r="AG125" i="16" s="1"/>
  <c r="DR109" i="11"/>
  <c r="DR108" i="11"/>
  <c r="DR107" i="11"/>
  <c r="DR106" i="11"/>
  <c r="DR105" i="11"/>
  <c r="AG97" i="16" s="1"/>
  <c r="DR104" i="11"/>
  <c r="AG147" i="16" s="1"/>
  <c r="AH147" i="16" s="1"/>
  <c r="AI147" i="16" s="1" a="1"/>
  <c r="AI147" i="16" s="1"/>
  <c r="AJ147" i="16" s="1"/>
  <c r="DR103" i="11"/>
  <c r="AG154" i="16" s="1"/>
  <c r="AH154" i="16" s="1"/>
  <c r="AI154" i="16" s="1" a="1"/>
  <c r="AI154" i="16" s="1"/>
  <c r="AJ154" i="16" s="1"/>
  <c r="AL154" i="16" s="1"/>
  <c r="AU154" i="16" s="1" a="1"/>
  <c r="AU154" i="16" s="1"/>
  <c r="DR102" i="11"/>
  <c r="AG132" i="16" s="1"/>
  <c r="AH132" i="16" s="1"/>
  <c r="AI132" i="16" s="1" a="1"/>
  <c r="AI132" i="16" s="1"/>
  <c r="AJ132" i="16" s="1"/>
  <c r="DR101" i="11"/>
  <c r="DR100" i="11"/>
  <c r="AG120" i="16" s="1"/>
  <c r="DR99" i="11"/>
  <c r="DR98" i="11"/>
  <c r="AG77" i="16" s="1"/>
  <c r="DR97" i="11"/>
  <c r="DR96" i="11"/>
  <c r="DR95" i="11"/>
  <c r="DR94" i="11"/>
  <c r="DR93" i="11"/>
  <c r="DR92" i="11"/>
  <c r="AG141" i="16" s="1"/>
  <c r="AH141" i="16" s="1"/>
  <c r="AI141" i="16" s="1" a="1"/>
  <c r="AI141" i="16" s="1"/>
  <c r="AJ141" i="16" s="1"/>
  <c r="DR91" i="11"/>
  <c r="AG110" i="16" s="1"/>
  <c r="DR90" i="11"/>
  <c r="DR89" i="11"/>
  <c r="DR88" i="11"/>
  <c r="AG117" i="16" s="1"/>
  <c r="DR87" i="11"/>
  <c r="DR86" i="11"/>
  <c r="DR85" i="11"/>
  <c r="DR84" i="11"/>
  <c r="AG108" i="16" s="1"/>
  <c r="DR83" i="11"/>
  <c r="DR82" i="11"/>
  <c r="DR81" i="11"/>
  <c r="AG130" i="16" s="1"/>
  <c r="AH130" i="16" s="1"/>
  <c r="AI130" i="16" s="1" a="1"/>
  <c r="AI130" i="16" s="1"/>
  <c r="AJ130" i="16" s="1"/>
  <c r="DR80" i="11"/>
  <c r="AG165" i="16" s="1"/>
  <c r="AH165" i="16" s="1"/>
  <c r="AI165" i="16" s="1" a="1"/>
  <c r="AI165" i="16" s="1"/>
  <c r="AJ165" i="16" s="1"/>
  <c r="AL165" i="16" s="1"/>
  <c r="AU165" i="16" s="1" a="1"/>
  <c r="AU165" i="16" s="1"/>
  <c r="DR79" i="11"/>
  <c r="DR78" i="11"/>
  <c r="DR77" i="11"/>
  <c r="DR76" i="11"/>
  <c r="DR75" i="11"/>
  <c r="DR74" i="11"/>
  <c r="AG142" i="16" s="1"/>
  <c r="AH142" i="16" s="1"/>
  <c r="AI142" i="16" s="1" a="1"/>
  <c r="AI142" i="16" s="1"/>
  <c r="AJ142" i="16" s="1"/>
  <c r="DR73" i="11"/>
  <c r="AG109" i="16" s="1"/>
  <c r="DR72" i="11"/>
  <c r="DR71" i="11"/>
  <c r="DR70" i="11"/>
  <c r="DR69" i="11"/>
  <c r="DR68" i="11"/>
  <c r="AG83" i="16" s="1"/>
  <c r="DR67" i="11"/>
  <c r="DR66" i="11"/>
  <c r="DR65" i="11"/>
  <c r="AG184" i="16" s="1"/>
  <c r="AH184" i="16" s="1"/>
  <c r="AI184" i="16" s="1" a="1"/>
  <c r="AI184" i="16" s="1"/>
  <c r="AJ184" i="16" s="1"/>
  <c r="DR64" i="11"/>
  <c r="DR63" i="11"/>
  <c r="DR62" i="11"/>
  <c r="DR61" i="11"/>
  <c r="AG164" i="16" s="1"/>
  <c r="AH164" i="16" s="1"/>
  <c r="AI164" i="16" s="1" a="1"/>
  <c r="AI164" i="16" s="1"/>
  <c r="AJ164" i="16" s="1"/>
  <c r="AL164" i="16" s="1"/>
  <c r="AU164" i="16" s="1" a="1"/>
  <c r="AU164" i="16" s="1"/>
  <c r="DR60" i="11"/>
  <c r="DR59" i="11"/>
  <c r="AG171" i="16" s="1"/>
  <c r="AH171" i="16" s="1"/>
  <c r="AI171" i="16" s="1" a="1"/>
  <c r="AI171" i="16" s="1"/>
  <c r="AJ171" i="16" s="1"/>
  <c r="AL171" i="16" s="1"/>
  <c r="AU171" i="16" s="1" a="1"/>
  <c r="AU171" i="16" s="1"/>
  <c r="DR58" i="11"/>
  <c r="DR57" i="11"/>
  <c r="AG159" i="16" s="1"/>
  <c r="AH159" i="16" s="1"/>
  <c r="AI159" i="16" s="1" a="1"/>
  <c r="AI159" i="16" s="1"/>
  <c r="AJ159" i="16" s="1"/>
  <c r="AL159" i="16" s="1"/>
  <c r="AU159" i="16" s="1" a="1"/>
  <c r="AU159" i="16" s="1"/>
  <c r="DR56" i="11"/>
  <c r="AG169" i="16" s="1"/>
  <c r="AH169" i="16" s="1"/>
  <c r="AI169" i="16" s="1" a="1"/>
  <c r="AI169" i="16" s="1"/>
  <c r="AJ169" i="16" s="1"/>
  <c r="AL169" i="16" s="1"/>
  <c r="AU169" i="16" s="1" a="1"/>
  <c r="AU169" i="16" s="1"/>
  <c r="DR55" i="11"/>
  <c r="AG170" i="16" s="1"/>
  <c r="AH170" i="16" s="1"/>
  <c r="AI170" i="16" s="1" a="1"/>
  <c r="AI170" i="16" s="1"/>
  <c r="AJ170" i="16" s="1"/>
  <c r="AL170" i="16" s="1"/>
  <c r="AU170" i="16" s="1" a="1"/>
  <c r="AU170" i="16" s="1"/>
  <c r="DR54" i="11"/>
  <c r="DR53" i="11"/>
  <c r="AG150" i="16" s="1"/>
  <c r="AH150" i="16" s="1"/>
  <c r="AI150" i="16" s="1" a="1"/>
  <c r="AI150" i="16" s="1"/>
  <c r="AJ150" i="16" s="1"/>
  <c r="AL150" i="16" s="1"/>
  <c r="AU150" i="16" s="1" a="1"/>
  <c r="AU150" i="16" s="1"/>
  <c r="DR52" i="11"/>
  <c r="DR51" i="11"/>
  <c r="AG75" i="16" s="1"/>
  <c r="DR50" i="11"/>
  <c r="AG91" i="16" s="1"/>
  <c r="DR49" i="11"/>
  <c r="DR48" i="11"/>
  <c r="AG127" i="16" s="1"/>
  <c r="AH127" i="16" s="1"/>
  <c r="AI127" i="16" s="1" a="1"/>
  <c r="AI127" i="16" s="1"/>
  <c r="AJ127" i="16" s="1"/>
  <c r="DR47" i="11"/>
  <c r="AG95" i="16" s="1"/>
  <c r="DR46" i="11"/>
  <c r="DR45" i="11"/>
  <c r="AG60" i="16" s="1"/>
  <c r="DR44" i="11"/>
  <c r="AG53" i="16" s="1"/>
  <c r="DR43" i="11"/>
  <c r="DR42" i="11"/>
  <c r="AG58" i="16" s="1"/>
  <c r="DR41" i="11"/>
  <c r="AG96" i="16" s="1"/>
  <c r="DR40" i="11"/>
  <c r="DR39" i="11"/>
  <c r="AG80" i="16" s="1"/>
  <c r="DR38" i="11"/>
  <c r="DR37" i="11"/>
  <c r="DR36" i="11"/>
  <c r="DR35" i="11"/>
  <c r="DR34" i="11"/>
  <c r="AG47" i="16" s="1"/>
  <c r="DR33" i="11"/>
  <c r="AG51" i="16" s="1"/>
  <c r="DR32" i="11"/>
  <c r="AG67" i="16" s="1"/>
  <c r="DR31" i="11"/>
  <c r="AG144" i="16" s="1"/>
  <c r="AH144" i="16" s="1"/>
  <c r="AI144" i="16" s="1" a="1"/>
  <c r="AI144" i="16" s="1"/>
  <c r="AJ144" i="16" s="1"/>
  <c r="DR30" i="11"/>
  <c r="DR29" i="11"/>
  <c r="AG68" i="16" s="1"/>
  <c r="DR28" i="11"/>
  <c r="AG153" i="16" s="1"/>
  <c r="AH153" i="16" s="1"/>
  <c r="AI153" i="16" s="1" a="1"/>
  <c r="AI153" i="16" s="1"/>
  <c r="AJ153" i="16" s="1"/>
  <c r="AL153" i="16" s="1"/>
  <c r="AU153" i="16" s="1" a="1"/>
  <c r="AU153" i="16" s="1"/>
  <c r="DR27" i="11"/>
  <c r="AG136" i="16" s="1"/>
  <c r="AH136" i="16" s="1"/>
  <c r="AI136" i="16" s="1" a="1"/>
  <c r="AI136" i="16" s="1"/>
  <c r="AJ136" i="16" s="1"/>
  <c r="DR26" i="11"/>
  <c r="DR25" i="11"/>
  <c r="AG93" i="16" s="1"/>
  <c r="DR24" i="11"/>
  <c r="AG113" i="16" s="1"/>
  <c r="DR23" i="11"/>
  <c r="AG131" i="16" s="1"/>
  <c r="AH131" i="16" s="1"/>
  <c r="AI131" i="16" s="1" a="1"/>
  <c r="AI131" i="16" s="1"/>
  <c r="AJ131" i="16" s="1"/>
  <c r="DR22" i="11"/>
  <c r="AG126" i="16" s="1"/>
  <c r="AH126" i="16" s="1"/>
  <c r="AI126" i="16" s="1" a="1"/>
  <c r="AI126" i="16" s="1"/>
  <c r="AJ126" i="16" s="1"/>
  <c r="DR21" i="11"/>
  <c r="AG86" i="16" s="1"/>
  <c r="DR20" i="11"/>
  <c r="DR19" i="11"/>
  <c r="DR18" i="11"/>
  <c r="DR17" i="11"/>
  <c r="DR16" i="11"/>
  <c r="AG161" i="16" s="1"/>
  <c r="AH161" i="16" s="1"/>
  <c r="AI161" i="16" s="1" a="1"/>
  <c r="AI161" i="16" s="1"/>
  <c r="AJ161" i="16" s="1"/>
  <c r="AL161" i="16" s="1"/>
  <c r="AU161" i="16" s="1" a="1"/>
  <c r="AU161" i="16" s="1"/>
  <c r="DR15" i="11"/>
  <c r="AG156" i="16" s="1"/>
  <c r="AH156" i="16" s="1"/>
  <c r="AI156" i="16" s="1" a="1"/>
  <c r="AI156" i="16" s="1"/>
  <c r="AJ156" i="16" s="1"/>
  <c r="AL156" i="16" s="1"/>
  <c r="AU156" i="16" s="1" a="1"/>
  <c r="AU156" i="16" s="1"/>
  <c r="DR14" i="11"/>
  <c r="DR13" i="11"/>
  <c r="AG140" i="16" s="1"/>
  <c r="AH140" i="16" s="1"/>
  <c r="AI140" i="16" s="1" a="1"/>
  <c r="AI140" i="16" s="1"/>
  <c r="AJ140" i="16" s="1"/>
  <c r="DR12" i="11"/>
  <c r="DR11" i="11"/>
  <c r="DR10" i="11"/>
  <c r="DR9" i="11"/>
  <c r="AG105" i="16" s="1"/>
  <c r="DR8" i="11"/>
  <c r="DR7" i="11"/>
  <c r="AG152" i="16" s="1"/>
  <c r="AH152" i="16" s="1"/>
  <c r="AI152" i="16" s="1" a="1"/>
  <c r="AI152" i="16" s="1"/>
  <c r="AJ152" i="16" s="1"/>
  <c r="AL152" i="16" s="1"/>
  <c r="AU152" i="16" s="1" a="1"/>
  <c r="AU152" i="16" s="1"/>
  <c r="DR6" i="11"/>
  <c r="AG139" i="16" s="1"/>
  <c r="AH139" i="16" s="1"/>
  <c r="AI139" i="16" s="1" a="1"/>
  <c r="AI139" i="16" s="1"/>
  <c r="AJ139" i="16" s="1"/>
  <c r="DR5" i="11"/>
  <c r="AG168" i="16" s="1"/>
  <c r="AH168" i="16" s="1"/>
  <c r="AI168" i="16" s="1" a="1"/>
  <c r="AI168" i="16" s="1"/>
  <c r="AJ168" i="16" s="1"/>
  <c r="AL168" i="16" s="1"/>
  <c r="AU168" i="16" s="1" a="1"/>
  <c r="AU168" i="16" s="1"/>
  <c r="DR4" i="11"/>
  <c r="AG167" i="16" s="1"/>
  <c r="AH167" i="16" s="1"/>
  <c r="AI167" i="16" s="1" a="1"/>
  <c r="AI167" i="16" s="1"/>
  <c r="AJ167" i="16" s="1"/>
  <c r="AL167" i="16" s="1"/>
  <c r="AU167" i="16" s="1" a="1"/>
  <c r="AU167" i="16" s="1"/>
  <c r="DR3" i="11"/>
  <c r="AG166" i="16" s="1"/>
  <c r="AH166" i="16" s="1"/>
  <c r="AI166" i="16" s="1" a="1"/>
  <c r="AI166" i="16" s="1"/>
  <c r="AJ166" i="16" s="1"/>
  <c r="AL166" i="16" s="1"/>
  <c r="AU166" i="16" s="1" a="1"/>
  <c r="AU166" i="16" s="1"/>
  <c r="AK176" i="16" l="1"/>
  <c r="AL176" i="16" s="1"/>
  <c r="AU176" i="16" s="1" a="1"/>
  <c r="AU176" i="16" s="1"/>
  <c r="AK180" i="16"/>
  <c r="AL180" i="16" s="1"/>
  <c r="AU180" i="16" s="1" a="1"/>
  <c r="AU180" i="16" s="1"/>
  <c r="AK184" i="16"/>
  <c r="AL184" i="16" s="1"/>
  <c r="AU184" i="16" s="1" a="1"/>
  <c r="AU184" i="16" s="1"/>
  <c r="AK175" i="16"/>
  <c r="AL175" i="16" s="1"/>
  <c r="AU175" i="16" s="1" a="1"/>
  <c r="AU175" i="16" s="1"/>
  <c r="AK174" i="16"/>
  <c r="AL174" i="16" s="1"/>
  <c r="AU174" i="16" s="1" a="1"/>
  <c r="AU174" i="16" s="1"/>
  <c r="AG119" i="16"/>
  <c r="AG50" i="16"/>
  <c r="AG65" i="16"/>
  <c r="AG138" i="16"/>
  <c r="AH138" i="16" s="1"/>
  <c r="AI138" i="16" s="1" a="1"/>
  <c r="AI138" i="16" s="1"/>
  <c r="AJ138" i="16" s="1"/>
  <c r="AG181" i="16"/>
  <c r="AH181" i="16" s="1"/>
  <c r="AI181" i="16" s="1" a="1"/>
  <c r="AI181" i="16" s="1"/>
  <c r="AJ181" i="16" s="1"/>
  <c r="AG63" i="16"/>
  <c r="AG185" i="16"/>
  <c r="AH185" i="16" s="1"/>
  <c r="AI185" i="16" s="1" a="1"/>
  <c r="AI185" i="16" s="1"/>
  <c r="AJ185" i="16" s="1"/>
  <c r="AG70" i="16"/>
  <c r="AG115" i="16"/>
  <c r="AG182" i="16"/>
  <c r="AH182" i="16" s="1"/>
  <c r="AI182" i="16" s="1" a="1"/>
  <c r="AI182" i="16" s="1"/>
  <c r="AJ182" i="16" s="1"/>
  <c r="AG87" i="16"/>
  <c r="AG186" i="16"/>
  <c r="AH186" i="16" s="1"/>
  <c r="AI186" i="16" s="1" a="1"/>
  <c r="AI186" i="16" s="1"/>
  <c r="AJ186" i="16" s="1"/>
  <c r="AG88" i="16"/>
  <c r="AG121" i="16"/>
  <c r="AG183" i="16"/>
  <c r="AH183" i="16" s="1"/>
  <c r="AI183" i="16" s="1" a="1"/>
  <c r="AI183" i="16" s="1"/>
  <c r="AJ183" i="16" s="1"/>
  <c r="AG179" i="16"/>
  <c r="AH179" i="16" s="1"/>
  <c r="AI179" i="16" s="1" a="1"/>
  <c r="AI179" i="16" s="1"/>
  <c r="AJ179" i="16" s="1"/>
  <c r="AG143" i="16"/>
  <c r="AH143" i="16" s="1"/>
  <c r="AI143" i="16" s="1" a="1"/>
  <c r="AI143" i="16" s="1"/>
  <c r="AJ143" i="16" s="1"/>
  <c r="AG149" i="16"/>
  <c r="AH149" i="16" s="1"/>
  <c r="AI149" i="16" s="1" a="1"/>
  <c r="AI149" i="16" s="1"/>
  <c r="AJ149" i="16" s="1"/>
  <c r="AG177" i="16"/>
  <c r="AH177" i="16" s="1"/>
  <c r="AI177" i="16" s="1" a="1"/>
  <c r="AI177" i="16" s="1"/>
  <c r="AJ177" i="16" s="1"/>
  <c r="AG178" i="16"/>
  <c r="AH178" i="16" s="1"/>
  <c r="AI178" i="16" s="1" a="1"/>
  <c r="AI178" i="16" s="1"/>
  <c r="AJ178" i="16" s="1"/>
  <c r="AG128" i="16"/>
  <c r="AH128" i="16" s="1"/>
  <c r="AI128" i="16" s="1" a="1"/>
  <c r="AI128" i="16" s="1"/>
  <c r="AJ128" i="16" s="1"/>
  <c r="AG72" i="16"/>
  <c r="AG59" i="16"/>
  <c r="AG103" i="16"/>
  <c r="AG111" i="16"/>
  <c r="AG123" i="16"/>
  <c r="AG66" i="16"/>
  <c r="AG74" i="16"/>
  <c r="AG73" i="16"/>
  <c r="AG55" i="16"/>
  <c r="AG64" i="16"/>
  <c r="AG90" i="16"/>
  <c r="AG116" i="16"/>
  <c r="AG100" i="16"/>
  <c r="AG99" i="16"/>
  <c r="AG57" i="16"/>
  <c r="AG62" i="16"/>
  <c r="AG61" i="16"/>
  <c r="AG48" i="16"/>
  <c r="AG101" i="16"/>
  <c r="AG114" i="16"/>
  <c r="AG102" i="16"/>
  <c r="AG78" i="16"/>
  <c r="AG81" i="16"/>
  <c r="AG76" i="16"/>
  <c r="AG98" i="16"/>
  <c r="AG94" i="16"/>
  <c r="AG104" i="16"/>
  <c r="AG106" i="16"/>
  <c r="AH67" i="16"/>
  <c r="AI67" i="16" s="1" a="1"/>
  <c r="AI67" i="16" s="1"/>
  <c r="AG12" i="16"/>
  <c r="AG38" i="16"/>
  <c r="AG14" i="16"/>
  <c r="AG82" i="16"/>
  <c r="AG32" i="16"/>
  <c r="AG36" i="16"/>
  <c r="AG54" i="16"/>
  <c r="AG10" i="16"/>
  <c r="AG11" i="16"/>
  <c r="AG29" i="16"/>
  <c r="AG69" i="16"/>
  <c r="AG3" i="16"/>
  <c r="AG5" i="16"/>
  <c r="AG112" i="16"/>
  <c r="AG4" i="16"/>
  <c r="AG46" i="16"/>
  <c r="AG34" i="16"/>
  <c r="AG20" i="16"/>
  <c r="AG43" i="16"/>
  <c r="AG30" i="16"/>
  <c r="AG16" i="16"/>
  <c r="AG84" i="16"/>
  <c r="AG41" i="16"/>
  <c r="AG79" i="16"/>
  <c r="AG37" i="16"/>
  <c r="AG13" i="16"/>
  <c r="AG49" i="16"/>
  <c r="AG7" i="16"/>
  <c r="AG17" i="16"/>
  <c r="AG21" i="16"/>
  <c r="AG89" i="16"/>
  <c r="AG9" i="16"/>
  <c r="AG118" i="16"/>
  <c r="AG44" i="16"/>
  <c r="AG27" i="16"/>
  <c r="AG45" i="16"/>
  <c r="AG40" i="16"/>
  <c r="AG39" i="16"/>
  <c r="AG26" i="16"/>
  <c r="AG124" i="16"/>
  <c r="AG35" i="16"/>
  <c r="AG33" i="16"/>
  <c r="AG85" i="16"/>
  <c r="AG18" i="16"/>
  <c r="AG23" i="16"/>
  <c r="AG25" i="16"/>
  <c r="AG31" i="16"/>
  <c r="AG24" i="16"/>
  <c r="AG8" i="16"/>
  <c r="AG19" i="16"/>
  <c r="AG42" i="16"/>
  <c r="AG122" i="16"/>
  <c r="AG28" i="16"/>
  <c r="AG22" i="16"/>
  <c r="AG71" i="16"/>
  <c r="AG56" i="16"/>
  <c r="AG2" i="16"/>
  <c r="AG6" i="16"/>
  <c r="AG15" i="16"/>
  <c r="AK182" i="16" l="1"/>
  <c r="AL182" i="16" s="1"/>
  <c r="AU182" i="16" s="1" a="1"/>
  <c r="AU182" i="16" s="1"/>
  <c r="AK181" i="16"/>
  <c r="AL181" i="16" s="1"/>
  <c r="AU181" i="16" s="1" a="1"/>
  <c r="AU181" i="16" s="1"/>
  <c r="AK178" i="16"/>
  <c r="AL178" i="16" s="1"/>
  <c r="AU178" i="16" s="1" a="1"/>
  <c r="AU178" i="16" s="1"/>
  <c r="AK179" i="16"/>
  <c r="AL179" i="16" s="1"/>
  <c r="AU179" i="16" s="1" a="1"/>
  <c r="AU179" i="16" s="1"/>
  <c r="AK186" i="16"/>
  <c r="AL186" i="16" s="1"/>
  <c r="AU186" i="16" s="1" a="1"/>
  <c r="AU186" i="16" s="1"/>
  <c r="AK177" i="16"/>
  <c r="AL177" i="16" s="1"/>
  <c r="AU177" i="16" s="1" a="1"/>
  <c r="AU177" i="16" s="1"/>
  <c r="AK183" i="16"/>
  <c r="AL183" i="16" s="1"/>
  <c r="AU183" i="16" s="1" a="1"/>
  <c r="AU183" i="16" s="1"/>
  <c r="AK185" i="16"/>
  <c r="AL185" i="16" s="1"/>
  <c r="AU185" i="16" s="1" a="1"/>
  <c r="AU185" i="16" s="1"/>
  <c r="S14" i="9"/>
  <c r="S15" i="9"/>
  <c r="S16" i="9"/>
  <c r="S17" i="9"/>
  <c r="S18" i="9"/>
  <c r="S19" i="9"/>
  <c r="S20" i="9"/>
  <c r="S21" i="9"/>
  <c r="S22" i="9"/>
  <c r="S23" i="9"/>
  <c r="S25" i="9"/>
  <c r="S26" i="9"/>
  <c r="S27" i="9"/>
  <c r="S28" i="9"/>
  <c r="S29" i="9"/>
  <c r="S30" i="9"/>
  <c r="S31" i="9"/>
  <c r="S32" i="9"/>
  <c r="S33" i="9"/>
  <c r="S34" i="9"/>
  <c r="S36" i="9"/>
  <c r="S37" i="9"/>
  <c r="S38" i="9"/>
  <c r="S39" i="9"/>
  <c r="S40" i="9"/>
  <c r="S41" i="9"/>
  <c r="S42" i="9"/>
  <c r="S43" i="9"/>
  <c r="S44" i="9"/>
  <c r="S45" i="9"/>
  <c r="S47" i="9"/>
  <c r="S48" i="9"/>
  <c r="S49" i="9"/>
  <c r="S50" i="9"/>
  <c r="S51" i="9"/>
  <c r="S52" i="9"/>
  <c r="S53" i="9"/>
  <c r="S54" i="9"/>
  <c r="S55" i="9"/>
  <c r="S56" i="9"/>
  <c r="S58" i="9"/>
  <c r="S59" i="9"/>
  <c r="S60" i="9"/>
  <c r="S61" i="9"/>
  <c r="S62" i="9"/>
  <c r="S63" i="9"/>
  <c r="S64" i="9"/>
  <c r="S65" i="9"/>
  <c r="S66" i="9"/>
  <c r="S67" i="9"/>
  <c r="S69" i="9"/>
  <c r="S70" i="9"/>
  <c r="S71" i="9"/>
  <c r="S72" i="9"/>
  <c r="S73" i="9"/>
  <c r="S74" i="9"/>
  <c r="S75" i="9"/>
  <c r="S76" i="9"/>
  <c r="S77" i="9"/>
  <c r="S78" i="9"/>
  <c r="S80" i="9"/>
  <c r="S81" i="9"/>
  <c r="S82" i="9"/>
  <c r="S83" i="9"/>
  <c r="S84" i="9"/>
  <c r="S85" i="9"/>
  <c r="S86" i="9"/>
  <c r="S87" i="9"/>
  <c r="S88" i="9"/>
  <c r="S89" i="9"/>
  <c r="S91" i="9"/>
  <c r="S92" i="9"/>
  <c r="S93" i="9"/>
  <c r="S94" i="9"/>
  <c r="S95" i="9"/>
  <c r="S96" i="9"/>
  <c r="S97" i="9"/>
  <c r="S98" i="9"/>
  <c r="S99" i="9"/>
  <c r="S100" i="9"/>
  <c r="S102" i="9"/>
  <c r="S103" i="9"/>
  <c r="S104" i="9"/>
  <c r="S105" i="9"/>
  <c r="S106" i="9"/>
  <c r="S107" i="9"/>
  <c r="S108" i="9"/>
  <c r="S109" i="9"/>
  <c r="S110" i="9"/>
  <c r="S111" i="9"/>
  <c r="S113" i="9"/>
  <c r="S114" i="9"/>
  <c r="S115" i="9"/>
  <c r="S116" i="9"/>
  <c r="S117" i="9"/>
  <c r="S118" i="9"/>
  <c r="S119" i="9"/>
  <c r="S120" i="9"/>
  <c r="S121" i="9"/>
  <c r="S122" i="9"/>
  <c r="S124" i="9"/>
  <c r="S125" i="9"/>
  <c r="S126" i="9"/>
  <c r="S127" i="9"/>
  <c r="S128" i="9"/>
  <c r="S129" i="9"/>
  <c r="S130" i="9"/>
  <c r="S131" i="9"/>
  <c r="S132" i="9"/>
  <c r="S133" i="9"/>
  <c r="S135" i="9"/>
  <c r="S136" i="9"/>
  <c r="S137" i="9"/>
  <c r="S138" i="9"/>
  <c r="S139" i="9"/>
  <c r="S140" i="9"/>
  <c r="S141" i="9"/>
  <c r="S142" i="9"/>
  <c r="S143" i="9"/>
  <c r="S144" i="9"/>
  <c r="S146" i="9"/>
  <c r="S147" i="9"/>
  <c r="S148" i="9"/>
  <c r="S149" i="9"/>
  <c r="S150" i="9"/>
  <c r="S151" i="9"/>
  <c r="S152" i="9"/>
  <c r="S153" i="9"/>
  <c r="S154" i="9"/>
  <c r="S155" i="9"/>
  <c r="S157" i="9"/>
  <c r="S158" i="9"/>
  <c r="S159" i="9"/>
  <c r="S160" i="9"/>
  <c r="S161" i="9"/>
  <c r="S162" i="9"/>
  <c r="S163" i="9"/>
  <c r="S164" i="9"/>
  <c r="S165" i="9"/>
  <c r="S166" i="9"/>
  <c r="S168" i="9"/>
  <c r="S169" i="9"/>
  <c r="S170" i="9"/>
  <c r="S171" i="9"/>
  <c r="S172" i="9"/>
  <c r="S173" i="9"/>
  <c r="S174" i="9"/>
  <c r="S175" i="9"/>
  <c r="S176" i="9"/>
  <c r="S177" i="9"/>
  <c r="S179" i="9"/>
  <c r="S180" i="9"/>
  <c r="S181" i="9"/>
  <c r="S182" i="9"/>
  <c r="S183" i="9"/>
  <c r="S184" i="9"/>
  <c r="S185" i="9"/>
  <c r="S186" i="9"/>
  <c r="S187" i="9"/>
  <c r="S188" i="9"/>
  <c r="S190" i="9"/>
  <c r="S191" i="9"/>
  <c r="S192" i="9"/>
  <c r="S193" i="9"/>
  <c r="S194" i="9"/>
  <c r="S195" i="9"/>
  <c r="S196" i="9"/>
  <c r="S197" i="9"/>
  <c r="S198" i="9"/>
  <c r="S199" i="9"/>
  <c r="S201" i="9"/>
  <c r="S202" i="9"/>
  <c r="S203" i="9"/>
  <c r="S204" i="9"/>
  <c r="S205" i="9"/>
  <c r="S206" i="9"/>
  <c r="S207" i="9"/>
  <c r="S208" i="9"/>
  <c r="S209" i="9"/>
  <c r="S210" i="9"/>
  <c r="S212" i="9"/>
  <c r="S213" i="9"/>
  <c r="S214" i="9"/>
  <c r="S215" i="9"/>
  <c r="S216" i="9"/>
  <c r="S217" i="9"/>
  <c r="S218" i="9"/>
  <c r="S219" i="9"/>
  <c r="S220" i="9"/>
  <c r="S221" i="9"/>
  <c r="S223" i="9"/>
  <c r="S224" i="9"/>
  <c r="S225" i="9"/>
  <c r="S226" i="9"/>
  <c r="S227" i="9"/>
  <c r="S228" i="9"/>
  <c r="S229" i="9"/>
  <c r="S230" i="9"/>
  <c r="S231" i="9"/>
  <c r="S232" i="9"/>
  <c r="S234" i="9"/>
  <c r="S235" i="9"/>
  <c r="S236" i="9"/>
  <c r="S237" i="9"/>
  <c r="S238" i="9"/>
  <c r="S239" i="9"/>
  <c r="S240" i="9"/>
  <c r="S241" i="9"/>
  <c r="S242" i="9"/>
  <c r="S243" i="9"/>
  <c r="S245" i="9"/>
  <c r="S246" i="9"/>
  <c r="S247" i="9"/>
  <c r="S248" i="9"/>
  <c r="S249" i="9"/>
  <c r="S250" i="9"/>
  <c r="S251" i="9"/>
  <c r="S252" i="9"/>
  <c r="S253" i="9"/>
  <c r="S254" i="9"/>
  <c r="S256" i="9"/>
  <c r="S257" i="9"/>
  <c r="S258" i="9"/>
  <c r="S259" i="9"/>
  <c r="S260" i="9"/>
  <c r="S261" i="9"/>
  <c r="S262" i="9"/>
  <c r="S263" i="9"/>
  <c r="S264" i="9"/>
  <c r="S265" i="9"/>
  <c r="S267" i="9"/>
  <c r="S268" i="9"/>
  <c r="S269" i="9"/>
  <c r="S270" i="9"/>
  <c r="S271" i="9"/>
  <c r="S272" i="9"/>
  <c r="S273" i="9"/>
  <c r="S274" i="9"/>
  <c r="S275" i="9"/>
  <c r="S276" i="9"/>
  <c r="S278" i="9"/>
  <c r="S279" i="9"/>
  <c r="S280" i="9"/>
  <c r="S281" i="9"/>
  <c r="S282" i="9"/>
  <c r="S283" i="9"/>
  <c r="S284" i="9"/>
  <c r="S285" i="9"/>
  <c r="S286" i="9"/>
  <c r="S287" i="9"/>
  <c r="S289" i="9"/>
  <c r="S290" i="9"/>
  <c r="S291" i="9"/>
  <c r="S292" i="9"/>
  <c r="S293" i="9"/>
  <c r="S294" i="9"/>
  <c r="S295" i="9"/>
  <c r="S296" i="9"/>
  <c r="S297" i="9"/>
  <c r="S298" i="9"/>
  <c r="S300" i="9"/>
  <c r="S301" i="9"/>
  <c r="S302" i="9"/>
  <c r="S303" i="9"/>
  <c r="S304" i="9"/>
  <c r="S305" i="9"/>
  <c r="S306" i="9"/>
  <c r="S307" i="9"/>
  <c r="S308" i="9"/>
  <c r="S309" i="9"/>
  <c r="S311" i="9"/>
  <c r="S312" i="9"/>
  <c r="S313" i="9"/>
  <c r="S314" i="9"/>
  <c r="S315" i="9"/>
  <c r="S316" i="9"/>
  <c r="S317" i="9"/>
  <c r="S318" i="9"/>
  <c r="S319" i="9"/>
  <c r="S320" i="9"/>
  <c r="S322" i="9"/>
  <c r="S323" i="9"/>
  <c r="S324" i="9"/>
  <c r="S325" i="9"/>
  <c r="S326" i="9"/>
  <c r="S327" i="9"/>
  <c r="S328" i="9"/>
  <c r="S329" i="9"/>
  <c r="S330" i="9"/>
  <c r="S331" i="9"/>
  <c r="S333" i="9"/>
  <c r="S334" i="9"/>
  <c r="S335" i="9"/>
  <c r="S336" i="9"/>
  <c r="S337" i="9"/>
  <c r="S338" i="9"/>
  <c r="S339" i="9"/>
  <c r="S340" i="9"/>
  <c r="S341" i="9"/>
  <c r="S342" i="9"/>
  <c r="S344" i="9"/>
  <c r="S345" i="9"/>
  <c r="S346" i="9"/>
  <c r="S347" i="9"/>
  <c r="S348" i="9"/>
  <c r="S349" i="9"/>
  <c r="S350" i="9"/>
  <c r="S351" i="9"/>
  <c r="S352" i="9"/>
  <c r="S353" i="9"/>
  <c r="S355" i="9"/>
  <c r="S356" i="9"/>
  <c r="S357" i="9"/>
  <c r="S358" i="9"/>
  <c r="S359" i="9"/>
  <c r="S360" i="9"/>
  <c r="S361" i="9"/>
  <c r="S362" i="9"/>
  <c r="S363" i="9"/>
  <c r="S364" i="9"/>
  <c r="S366" i="9"/>
  <c r="S367" i="9"/>
  <c r="S368" i="9"/>
  <c r="S369" i="9"/>
  <c r="S370" i="9"/>
  <c r="S371" i="9"/>
  <c r="S372" i="9"/>
  <c r="S373" i="9"/>
  <c r="S374" i="9"/>
  <c r="S375" i="9"/>
  <c r="S377" i="9"/>
  <c r="S378" i="9"/>
  <c r="S379" i="9"/>
  <c r="S380" i="9"/>
  <c r="S381" i="9"/>
  <c r="S382" i="9"/>
  <c r="S383" i="9"/>
  <c r="S384" i="9"/>
  <c r="S385" i="9"/>
  <c r="S386" i="9"/>
  <c r="S388" i="9"/>
  <c r="S389" i="9"/>
  <c r="S390" i="9"/>
  <c r="S391" i="9"/>
  <c r="S392" i="9"/>
  <c r="S393" i="9"/>
  <c r="S394" i="9"/>
  <c r="S395" i="9"/>
  <c r="S396" i="9"/>
  <c r="S397" i="9"/>
  <c r="S399" i="9"/>
  <c r="S400" i="9"/>
  <c r="S401" i="9"/>
  <c r="S402" i="9"/>
  <c r="S403" i="9"/>
  <c r="S404" i="9"/>
  <c r="S405" i="9"/>
  <c r="S406" i="9"/>
  <c r="S407" i="9"/>
  <c r="S408" i="9"/>
  <c r="S410" i="9"/>
  <c r="S411" i="9"/>
  <c r="S412" i="9"/>
  <c r="S413" i="9"/>
  <c r="S414" i="9"/>
  <c r="S415" i="9"/>
  <c r="S416" i="9"/>
  <c r="S417" i="9"/>
  <c r="S418" i="9"/>
  <c r="S419" i="9"/>
  <c r="S421" i="9"/>
  <c r="S422" i="9"/>
  <c r="S423" i="9"/>
  <c r="S424" i="9"/>
  <c r="S425" i="9"/>
  <c r="S426" i="9"/>
  <c r="S427" i="9"/>
  <c r="S428" i="9"/>
  <c r="S429" i="9"/>
  <c r="S430" i="9"/>
  <c r="S432" i="9"/>
  <c r="S433" i="9"/>
  <c r="S434" i="9"/>
  <c r="S435" i="9"/>
  <c r="S436" i="9"/>
  <c r="S437" i="9"/>
  <c r="S438" i="9"/>
  <c r="S439" i="9"/>
  <c r="S440" i="9"/>
  <c r="S441" i="9"/>
  <c r="S443" i="9"/>
  <c r="S444" i="9"/>
  <c r="S445" i="9"/>
  <c r="S446" i="9"/>
  <c r="S447" i="9"/>
  <c r="S448" i="9"/>
  <c r="S449" i="9"/>
  <c r="S450" i="9"/>
  <c r="S451" i="9"/>
  <c r="S452" i="9"/>
  <c r="S454" i="9"/>
  <c r="S455" i="9"/>
  <c r="S456" i="9"/>
  <c r="S457" i="9"/>
  <c r="S458" i="9"/>
  <c r="S459" i="9"/>
  <c r="S460" i="9"/>
  <c r="S461" i="9"/>
  <c r="S462" i="9"/>
  <c r="S463" i="9"/>
  <c r="S465" i="9"/>
  <c r="S466" i="9"/>
  <c r="S467" i="9"/>
  <c r="S468" i="9"/>
  <c r="S469" i="9"/>
  <c r="S470" i="9"/>
  <c r="S471" i="9"/>
  <c r="S472" i="9"/>
  <c r="S473" i="9"/>
  <c r="S474" i="9"/>
  <c r="S476" i="9"/>
  <c r="S477" i="9"/>
  <c r="S478" i="9"/>
  <c r="S479" i="9"/>
  <c r="S480" i="9"/>
  <c r="S481" i="9"/>
  <c r="S482" i="9"/>
  <c r="S483" i="9"/>
  <c r="S484" i="9"/>
  <c r="S485" i="9"/>
  <c r="S487" i="9"/>
  <c r="S488" i="9"/>
  <c r="S489" i="9"/>
  <c r="S490" i="9"/>
  <c r="S491" i="9"/>
  <c r="S492" i="9"/>
  <c r="S493" i="9"/>
  <c r="S494" i="9"/>
  <c r="S495" i="9"/>
  <c r="S496" i="9"/>
  <c r="S498" i="9"/>
  <c r="S499" i="9"/>
  <c r="S500" i="9"/>
  <c r="S501" i="9"/>
  <c r="S502" i="9"/>
  <c r="S503" i="9"/>
  <c r="S504" i="9"/>
  <c r="S505" i="9"/>
  <c r="S506" i="9"/>
  <c r="S507" i="9"/>
  <c r="S509" i="9"/>
  <c r="S510" i="9"/>
  <c r="S511" i="9"/>
  <c r="S512" i="9"/>
  <c r="S513" i="9"/>
  <c r="S514" i="9"/>
  <c r="S515" i="9"/>
  <c r="S516" i="9"/>
  <c r="S517" i="9"/>
  <c r="S518" i="9"/>
  <c r="S520" i="9"/>
  <c r="S521" i="9"/>
  <c r="S522" i="9"/>
  <c r="S523" i="9"/>
  <c r="S524" i="9"/>
  <c r="S525" i="9"/>
  <c r="S526" i="9"/>
  <c r="S527" i="9"/>
  <c r="S528" i="9"/>
  <c r="S529" i="9"/>
  <c r="S531" i="9"/>
  <c r="S532" i="9"/>
  <c r="S533" i="9"/>
  <c r="S534" i="9"/>
  <c r="S535" i="9"/>
  <c r="S536" i="9"/>
  <c r="S537" i="9"/>
  <c r="S538" i="9"/>
  <c r="S539" i="9"/>
  <c r="S540" i="9"/>
  <c r="S542" i="9"/>
  <c r="S543" i="9"/>
  <c r="S544" i="9"/>
  <c r="S545" i="9"/>
  <c r="S546" i="9"/>
  <c r="S547" i="9"/>
  <c r="S548" i="9"/>
  <c r="S549" i="9"/>
  <c r="S550" i="9"/>
  <c r="S551" i="9"/>
  <c r="S553" i="9"/>
  <c r="S554" i="9"/>
  <c r="S555" i="9"/>
  <c r="S556" i="9"/>
  <c r="S557" i="9"/>
  <c r="S558" i="9"/>
  <c r="S559" i="9"/>
  <c r="S560" i="9"/>
  <c r="S561" i="9"/>
  <c r="S562" i="9"/>
  <c r="S564" i="9"/>
  <c r="S565" i="9"/>
  <c r="S566" i="9"/>
  <c r="S567" i="9"/>
  <c r="S568" i="9"/>
  <c r="S569" i="9"/>
  <c r="S570" i="9"/>
  <c r="S571" i="9"/>
  <c r="S572" i="9"/>
  <c r="S573" i="9"/>
  <c r="S575" i="9"/>
  <c r="S576" i="9"/>
  <c r="S577" i="9"/>
  <c r="S578" i="9"/>
  <c r="S579" i="9"/>
  <c r="S580" i="9"/>
  <c r="S581" i="9"/>
  <c r="S582" i="9"/>
  <c r="S583" i="9"/>
  <c r="S584" i="9"/>
  <c r="S586" i="9"/>
  <c r="S587" i="9"/>
  <c r="S588" i="9"/>
  <c r="S589" i="9"/>
  <c r="S590" i="9"/>
  <c r="S591" i="9"/>
  <c r="S592" i="9"/>
  <c r="S593" i="9"/>
  <c r="S594" i="9"/>
  <c r="S595" i="9"/>
  <c r="S597" i="9"/>
  <c r="S598" i="9"/>
  <c r="S599" i="9"/>
  <c r="S600" i="9"/>
  <c r="S601" i="9"/>
  <c r="S602" i="9"/>
  <c r="S603" i="9"/>
  <c r="S604" i="9"/>
  <c r="S605" i="9"/>
  <c r="S606" i="9"/>
  <c r="S608" i="9"/>
  <c r="S609" i="9"/>
  <c r="S610" i="9"/>
  <c r="S611" i="9"/>
  <c r="S612" i="9"/>
  <c r="S613" i="9"/>
  <c r="S614" i="9"/>
  <c r="S615" i="9"/>
  <c r="S616" i="9"/>
  <c r="S617" i="9"/>
  <c r="S619" i="9"/>
  <c r="S620" i="9"/>
  <c r="S621" i="9"/>
  <c r="S622" i="9"/>
  <c r="S623" i="9"/>
  <c r="S624" i="9"/>
  <c r="S625" i="9"/>
  <c r="S626" i="9"/>
  <c r="S627" i="9"/>
  <c r="S628" i="9"/>
  <c r="S630" i="9"/>
  <c r="S631" i="9"/>
  <c r="S632" i="9"/>
  <c r="S633" i="9"/>
  <c r="S634" i="9"/>
  <c r="S635" i="9"/>
  <c r="S636" i="9"/>
  <c r="S637" i="9"/>
  <c r="S638" i="9"/>
  <c r="S639" i="9"/>
  <c r="S641" i="9"/>
  <c r="S642" i="9"/>
  <c r="S643" i="9"/>
  <c r="S644" i="9"/>
  <c r="S645" i="9"/>
  <c r="S646" i="9"/>
  <c r="S647" i="9"/>
  <c r="S648" i="9"/>
  <c r="S649" i="9"/>
  <c r="S650" i="9"/>
  <c r="S652" i="9"/>
  <c r="S653" i="9"/>
  <c r="S654" i="9"/>
  <c r="S655" i="9"/>
  <c r="S656" i="9"/>
  <c r="S657" i="9"/>
  <c r="S658" i="9"/>
  <c r="S659" i="9"/>
  <c r="S660" i="9"/>
  <c r="S661" i="9"/>
  <c r="S663" i="9"/>
  <c r="S664" i="9"/>
  <c r="S665" i="9"/>
  <c r="S666" i="9"/>
  <c r="S667" i="9"/>
  <c r="S668" i="9"/>
  <c r="S669" i="9"/>
  <c r="S670" i="9"/>
  <c r="S671" i="9"/>
  <c r="S672" i="9"/>
  <c r="S674" i="9"/>
  <c r="S675" i="9"/>
  <c r="S676" i="9"/>
  <c r="S677" i="9"/>
  <c r="S678" i="9"/>
  <c r="S679" i="9"/>
  <c r="S680" i="9"/>
  <c r="S681" i="9"/>
  <c r="S682" i="9"/>
  <c r="S683" i="9"/>
  <c r="S685" i="9"/>
  <c r="S686" i="9"/>
  <c r="S687" i="9"/>
  <c r="S688" i="9"/>
  <c r="S689" i="9"/>
  <c r="S690" i="9"/>
  <c r="S691" i="9"/>
  <c r="S692" i="9"/>
  <c r="S693" i="9"/>
  <c r="S694" i="9"/>
  <c r="S696" i="9"/>
  <c r="S697" i="9"/>
  <c r="S698" i="9"/>
  <c r="S699" i="9"/>
  <c r="S700" i="9"/>
  <c r="S701" i="9"/>
  <c r="S702" i="9"/>
  <c r="S703" i="9"/>
  <c r="S704" i="9"/>
  <c r="S705" i="9"/>
  <c r="S707" i="9"/>
  <c r="S708" i="9"/>
  <c r="S709" i="9"/>
  <c r="S710" i="9"/>
  <c r="S711" i="9"/>
  <c r="S712" i="9"/>
  <c r="S713" i="9"/>
  <c r="S714" i="9"/>
  <c r="S715" i="9"/>
  <c r="S716" i="9"/>
  <c r="S718" i="9"/>
  <c r="S719" i="9"/>
  <c r="S720" i="9"/>
  <c r="S721" i="9"/>
  <c r="S722" i="9"/>
  <c r="S723" i="9"/>
  <c r="S724" i="9"/>
  <c r="S725" i="9"/>
  <c r="S726" i="9"/>
  <c r="S727" i="9"/>
  <c r="S729" i="9"/>
  <c r="S730" i="9"/>
  <c r="S731" i="9"/>
  <c r="S732" i="9"/>
  <c r="S733" i="9"/>
  <c r="S734" i="9"/>
  <c r="S735" i="9"/>
  <c r="S736" i="9"/>
  <c r="S737" i="9"/>
  <c r="S738" i="9"/>
  <c r="S740" i="9"/>
  <c r="S741" i="9"/>
  <c r="S742" i="9"/>
  <c r="S743" i="9"/>
  <c r="S744" i="9"/>
  <c r="S745" i="9"/>
  <c r="S746" i="9"/>
  <c r="S747" i="9"/>
  <c r="S748" i="9"/>
  <c r="S749" i="9"/>
  <c r="S751" i="9"/>
  <c r="S752" i="9"/>
  <c r="S753" i="9"/>
  <c r="S754" i="9"/>
  <c r="S755" i="9"/>
  <c r="S756" i="9"/>
  <c r="S757" i="9"/>
  <c r="S758" i="9"/>
  <c r="S759" i="9"/>
  <c r="S760" i="9"/>
  <c r="S762" i="9"/>
  <c r="S763" i="9"/>
  <c r="S764" i="9"/>
  <c r="S765" i="9"/>
  <c r="S766" i="9"/>
  <c r="S767" i="9"/>
  <c r="S768" i="9"/>
  <c r="S769" i="9"/>
  <c r="S770" i="9"/>
  <c r="S771" i="9"/>
  <c r="S773" i="9"/>
  <c r="S774" i="9"/>
  <c r="S775" i="9"/>
  <c r="S776" i="9"/>
  <c r="S777" i="9"/>
  <c r="S778" i="9"/>
  <c r="S779" i="9"/>
  <c r="S780" i="9"/>
  <c r="S781" i="9"/>
  <c r="S782" i="9"/>
  <c r="S784" i="9"/>
  <c r="S785" i="9"/>
  <c r="S786" i="9"/>
  <c r="S787" i="9"/>
  <c r="S788" i="9"/>
  <c r="S789" i="9"/>
  <c r="S790" i="9"/>
  <c r="S791" i="9"/>
  <c r="S792" i="9"/>
  <c r="S793" i="9"/>
  <c r="S795" i="9"/>
  <c r="S796" i="9"/>
  <c r="S797" i="9"/>
  <c r="S798" i="9"/>
  <c r="S799" i="9"/>
  <c r="S800" i="9"/>
  <c r="S801" i="9"/>
  <c r="S802" i="9"/>
  <c r="S803" i="9"/>
  <c r="S804" i="9"/>
  <c r="S806" i="9"/>
  <c r="S807" i="9"/>
  <c r="S808" i="9"/>
  <c r="S809" i="9"/>
  <c r="S810" i="9"/>
  <c r="S811" i="9"/>
  <c r="S812" i="9"/>
  <c r="S813" i="9"/>
  <c r="S814" i="9"/>
  <c r="S815" i="9"/>
  <c r="S817" i="9"/>
  <c r="S818" i="9"/>
  <c r="S819" i="9"/>
  <c r="S820" i="9"/>
  <c r="S821" i="9"/>
  <c r="S822" i="9"/>
  <c r="S823" i="9"/>
  <c r="S824" i="9"/>
  <c r="S825" i="9"/>
  <c r="S826" i="9"/>
  <c r="S828" i="9"/>
  <c r="S829" i="9"/>
  <c r="S830" i="9"/>
  <c r="S831" i="9"/>
  <c r="S832" i="9"/>
  <c r="S833" i="9"/>
  <c r="S834" i="9"/>
  <c r="S835" i="9"/>
  <c r="S836" i="9"/>
  <c r="S837" i="9"/>
  <c r="S839" i="9"/>
  <c r="S840" i="9"/>
  <c r="S841" i="9"/>
  <c r="S842" i="9"/>
  <c r="S843" i="9"/>
  <c r="S844" i="9"/>
  <c r="S845" i="9"/>
  <c r="S846" i="9"/>
  <c r="S847" i="9"/>
  <c r="S848" i="9"/>
  <c r="S850" i="9"/>
  <c r="S851" i="9"/>
  <c r="S852" i="9"/>
  <c r="S853" i="9"/>
  <c r="S854" i="9"/>
  <c r="S855" i="9"/>
  <c r="S856" i="9"/>
  <c r="S857" i="9"/>
  <c r="S858" i="9"/>
  <c r="S859" i="9"/>
  <c r="S861" i="9"/>
  <c r="S862" i="9"/>
  <c r="S863" i="9"/>
  <c r="S864" i="9"/>
  <c r="S865" i="9"/>
  <c r="S866" i="9"/>
  <c r="S867" i="9"/>
  <c r="S868" i="9"/>
  <c r="S869" i="9"/>
  <c r="S870" i="9"/>
  <c r="S872" i="9"/>
  <c r="S873" i="9"/>
  <c r="S874" i="9"/>
  <c r="S875" i="9"/>
  <c r="S876" i="9"/>
  <c r="S877" i="9"/>
  <c r="S878" i="9"/>
  <c r="S879" i="9"/>
  <c r="S880" i="9"/>
  <c r="S881" i="9"/>
  <c r="S883" i="9"/>
  <c r="S884" i="9"/>
  <c r="S885" i="9"/>
  <c r="S886" i="9"/>
  <c r="S887" i="9"/>
  <c r="S888" i="9"/>
  <c r="S889" i="9"/>
  <c r="S890" i="9"/>
  <c r="S891" i="9"/>
  <c r="S892" i="9"/>
  <c r="S894" i="9"/>
  <c r="S895" i="9"/>
  <c r="S896" i="9"/>
  <c r="S897" i="9"/>
  <c r="S898" i="9"/>
  <c r="S899" i="9"/>
  <c r="S900" i="9"/>
  <c r="S901" i="9"/>
  <c r="S902" i="9"/>
  <c r="S903" i="9"/>
  <c r="S905" i="9"/>
  <c r="S906" i="9"/>
  <c r="S907" i="9"/>
  <c r="S908" i="9"/>
  <c r="S909" i="9"/>
  <c r="S910" i="9"/>
  <c r="S911" i="9"/>
  <c r="S912" i="9"/>
  <c r="S913" i="9"/>
  <c r="S914" i="9"/>
  <c r="S916" i="9"/>
  <c r="S917" i="9"/>
  <c r="S918" i="9"/>
  <c r="S919" i="9"/>
  <c r="S920" i="9"/>
  <c r="S921" i="9"/>
  <c r="S922" i="9"/>
  <c r="S923" i="9"/>
  <c r="S924" i="9"/>
  <c r="S925" i="9"/>
  <c r="S927" i="9"/>
  <c r="S928" i="9"/>
  <c r="S929" i="9"/>
  <c r="S930" i="9"/>
  <c r="S931" i="9"/>
  <c r="S932" i="9"/>
  <c r="S933" i="9"/>
  <c r="S934" i="9"/>
  <c r="S935" i="9"/>
  <c r="S936" i="9"/>
  <c r="S938" i="9"/>
  <c r="S939" i="9"/>
  <c r="S940" i="9"/>
  <c r="S941" i="9"/>
  <c r="S942" i="9"/>
  <c r="S943" i="9"/>
  <c r="S944" i="9"/>
  <c r="S945" i="9"/>
  <c r="S946" i="9"/>
  <c r="S947" i="9"/>
  <c r="S949" i="9"/>
  <c r="S950" i="9"/>
  <c r="S951" i="9"/>
  <c r="S952" i="9"/>
  <c r="S953" i="9"/>
  <c r="S954" i="9"/>
  <c r="S955" i="9"/>
  <c r="S956" i="9"/>
  <c r="S957" i="9"/>
  <c r="S958" i="9"/>
  <c r="S960" i="9"/>
  <c r="S961" i="9"/>
  <c r="S962" i="9"/>
  <c r="S963" i="9"/>
  <c r="S964" i="9"/>
  <c r="S965" i="9"/>
  <c r="S966" i="9"/>
  <c r="S967" i="9"/>
  <c r="S968" i="9"/>
  <c r="S969" i="9"/>
  <c r="S971" i="9"/>
  <c r="S972" i="9"/>
  <c r="S973" i="9"/>
  <c r="S974" i="9"/>
  <c r="S975" i="9"/>
  <c r="S976" i="9"/>
  <c r="S977" i="9"/>
  <c r="S978" i="9"/>
  <c r="S979" i="9"/>
  <c r="S980" i="9"/>
  <c r="S982" i="9"/>
  <c r="S983" i="9"/>
  <c r="S984" i="9"/>
  <c r="S985" i="9"/>
  <c r="S986" i="9"/>
  <c r="S987" i="9"/>
  <c r="S988" i="9"/>
  <c r="S989" i="9"/>
  <c r="S990" i="9"/>
  <c r="S991" i="9"/>
  <c r="S993" i="9"/>
  <c r="S994" i="9"/>
  <c r="S995" i="9"/>
  <c r="S996" i="9"/>
  <c r="S997" i="9"/>
  <c r="S998" i="9"/>
  <c r="S999" i="9"/>
  <c r="S1000" i="9"/>
  <c r="S1001" i="9"/>
  <c r="S1002" i="9"/>
  <c r="S1004" i="9"/>
  <c r="S1005" i="9"/>
  <c r="S1006" i="9"/>
  <c r="S1007" i="9"/>
  <c r="S1008" i="9"/>
  <c r="S1009" i="9"/>
  <c r="S1010" i="9"/>
  <c r="S1011" i="9"/>
  <c r="S1012" i="9"/>
  <c r="S1013" i="9"/>
  <c r="S1015" i="9"/>
  <c r="S1016" i="9"/>
  <c r="S1017" i="9"/>
  <c r="S1018" i="9"/>
  <c r="S1019" i="9"/>
  <c r="S1020" i="9"/>
  <c r="S1021" i="9"/>
  <c r="S1022" i="9"/>
  <c r="S1023" i="9"/>
  <c r="S1024" i="9"/>
  <c r="S1026" i="9"/>
  <c r="S1027" i="9"/>
  <c r="S1028" i="9"/>
  <c r="S1029" i="9"/>
  <c r="S1030" i="9"/>
  <c r="S1031" i="9"/>
  <c r="S1032" i="9"/>
  <c r="S1033" i="9"/>
  <c r="S1034" i="9"/>
  <c r="S1035" i="9"/>
  <c r="S1037" i="9"/>
  <c r="S1038" i="9"/>
  <c r="S1039" i="9"/>
  <c r="S1040" i="9"/>
  <c r="S1041" i="9"/>
  <c r="S1042" i="9"/>
  <c r="S1043" i="9"/>
  <c r="S1044" i="9"/>
  <c r="S1045" i="9"/>
  <c r="S1046" i="9"/>
  <c r="S1048" i="9"/>
  <c r="S1049" i="9"/>
  <c r="S1050" i="9"/>
  <c r="S1051" i="9"/>
  <c r="S1052" i="9"/>
  <c r="S1053" i="9"/>
  <c r="S1054" i="9"/>
  <c r="S1055" i="9"/>
  <c r="S1056" i="9"/>
  <c r="S1057" i="9"/>
  <c r="S1059" i="9"/>
  <c r="S1060" i="9"/>
  <c r="S1061" i="9"/>
  <c r="S1062" i="9"/>
  <c r="S1063" i="9"/>
  <c r="S1064" i="9"/>
  <c r="S1065" i="9"/>
  <c r="S1066" i="9"/>
  <c r="S1067" i="9"/>
  <c r="S1068" i="9"/>
  <c r="S1070" i="9"/>
  <c r="S1071" i="9"/>
  <c r="S1072" i="9"/>
  <c r="S1073" i="9"/>
  <c r="S1074" i="9"/>
  <c r="S1075" i="9"/>
  <c r="S1076" i="9"/>
  <c r="S1077" i="9"/>
  <c r="S1078" i="9"/>
  <c r="S1079" i="9"/>
  <c r="S1081" i="9"/>
  <c r="S1082" i="9"/>
  <c r="S1083" i="9"/>
  <c r="S1084" i="9"/>
  <c r="S1085" i="9"/>
  <c r="S1086" i="9"/>
  <c r="S1087" i="9"/>
  <c r="S1088" i="9"/>
  <c r="S1089" i="9"/>
  <c r="S1090" i="9"/>
  <c r="S1092" i="9"/>
  <c r="S1093" i="9"/>
  <c r="S1094" i="9"/>
  <c r="S1095" i="9"/>
  <c r="S1096" i="9"/>
  <c r="S1097" i="9"/>
  <c r="S1098" i="9"/>
  <c r="S1099" i="9"/>
  <c r="S1100" i="9"/>
  <c r="S1101" i="9"/>
  <c r="S1103" i="9"/>
  <c r="S1104" i="9"/>
  <c r="S1105" i="9"/>
  <c r="S1106" i="9"/>
  <c r="S1107" i="9"/>
  <c r="S1108" i="9"/>
  <c r="S1109" i="9"/>
  <c r="S1110" i="9"/>
  <c r="S1111" i="9"/>
  <c r="S1112" i="9"/>
  <c r="S1114" i="9"/>
  <c r="S1115" i="9"/>
  <c r="S1116" i="9"/>
  <c r="S1117" i="9"/>
  <c r="S1118" i="9"/>
  <c r="S1119" i="9"/>
  <c r="S1120" i="9"/>
  <c r="S1121" i="9"/>
  <c r="S1122" i="9"/>
  <c r="S1123" i="9"/>
  <c r="S1125" i="9"/>
  <c r="S1126" i="9"/>
  <c r="S1127" i="9"/>
  <c r="S1128" i="9"/>
  <c r="S1129" i="9"/>
  <c r="S1130" i="9"/>
  <c r="S1131" i="9"/>
  <c r="S1132" i="9"/>
  <c r="S1133" i="9"/>
  <c r="S1134" i="9"/>
  <c r="S1136" i="9"/>
  <c r="S1137" i="9"/>
  <c r="S1138" i="9"/>
  <c r="S1139" i="9"/>
  <c r="S1140" i="9"/>
  <c r="S1141" i="9"/>
  <c r="S1142" i="9"/>
  <c r="S1143" i="9"/>
  <c r="S1144" i="9"/>
  <c r="S1145" i="9"/>
  <c r="S1147" i="9"/>
  <c r="S1148" i="9"/>
  <c r="S1149" i="9"/>
  <c r="S1150" i="9"/>
  <c r="S1151" i="9"/>
  <c r="S1152" i="9"/>
  <c r="S1153" i="9"/>
  <c r="S1154" i="9"/>
  <c r="S1155" i="9"/>
  <c r="S1156" i="9"/>
  <c r="S1158" i="9"/>
  <c r="S1159" i="9"/>
  <c r="S1160" i="9"/>
  <c r="S1161" i="9"/>
  <c r="S1162" i="9"/>
  <c r="S1163" i="9"/>
  <c r="S1164" i="9"/>
  <c r="S1165" i="9"/>
  <c r="S1166" i="9"/>
  <c r="S1167" i="9"/>
  <c r="S1169" i="9"/>
  <c r="S1170" i="9"/>
  <c r="S1171" i="9"/>
  <c r="S1172" i="9"/>
  <c r="S1173" i="9"/>
  <c r="S1174" i="9"/>
  <c r="S1175" i="9"/>
  <c r="S1176" i="9"/>
  <c r="S1177" i="9"/>
  <c r="S1178" i="9"/>
  <c r="S1180" i="9"/>
  <c r="S1181" i="9"/>
  <c r="S1182" i="9"/>
  <c r="S1183" i="9"/>
  <c r="S1184" i="9"/>
  <c r="S1185" i="9"/>
  <c r="S1186" i="9"/>
  <c r="S1187" i="9"/>
  <c r="S1188" i="9"/>
  <c r="S3" i="9"/>
  <c r="S4" i="9"/>
  <c r="S5" i="9"/>
  <c r="S6" i="9"/>
  <c r="S7" i="9"/>
  <c r="S8" i="9"/>
  <c r="S9" i="9"/>
  <c r="S10" i="9"/>
  <c r="S11" i="9"/>
  <c r="S12" i="9"/>
  <c r="DH171" i="11" l="1"/>
  <c r="DL171" i="11" s="1"/>
  <c r="DM171" i="11" s="1"/>
  <c r="DH170" i="11"/>
  <c r="DL170" i="11" s="1"/>
  <c r="DM170" i="11" s="1"/>
  <c r="DH169" i="11"/>
  <c r="DL169" i="11" s="1"/>
  <c r="DM169" i="11" s="1"/>
  <c r="DH168" i="11"/>
  <c r="DL168" i="11" s="1"/>
  <c r="DM168" i="11" s="1"/>
  <c r="DH167" i="11"/>
  <c r="DL167" i="11" s="1"/>
  <c r="DM167" i="11" s="1"/>
  <c r="DH166" i="11"/>
  <c r="DL166" i="11" s="1"/>
  <c r="DM166" i="11" s="1"/>
  <c r="DH165" i="11"/>
  <c r="DL165" i="11" s="1"/>
  <c r="DM165" i="11" s="1"/>
  <c r="DH164" i="11"/>
  <c r="DL164" i="11" s="1"/>
  <c r="DM164" i="11" s="1"/>
  <c r="DH163" i="11"/>
  <c r="DH162" i="11"/>
  <c r="DL162" i="11" s="1"/>
  <c r="DM162" i="11" s="1"/>
  <c r="DH161" i="11"/>
  <c r="DL161" i="11" s="1"/>
  <c r="DM161" i="11" s="1"/>
  <c r="DH160" i="11"/>
  <c r="DH159" i="11"/>
  <c r="DL159" i="11" s="1"/>
  <c r="DM159" i="11" s="1"/>
  <c r="DH158" i="11"/>
  <c r="DL158" i="11" s="1"/>
  <c r="DM158" i="11" s="1"/>
  <c r="DH157" i="11"/>
  <c r="DL157" i="11" s="1"/>
  <c r="DM157" i="11" s="1"/>
  <c r="DH156" i="11"/>
  <c r="DH155" i="11"/>
  <c r="DL155" i="11" s="1"/>
  <c r="DM155" i="11" s="1"/>
  <c r="DH154" i="11"/>
  <c r="DL154" i="11" s="1"/>
  <c r="DM154" i="11" s="1"/>
  <c r="DH153" i="11"/>
  <c r="DL153" i="11" s="1"/>
  <c r="DM153" i="11" s="1"/>
  <c r="DH152" i="11"/>
  <c r="DL152" i="11" s="1"/>
  <c r="DM152" i="11" s="1"/>
  <c r="DH151" i="11"/>
  <c r="DL151" i="11" s="1"/>
  <c r="DM151" i="11" s="1"/>
  <c r="DH150" i="11"/>
  <c r="DL150" i="11" s="1"/>
  <c r="DM150" i="11" s="1"/>
  <c r="DH149" i="11"/>
  <c r="DL149" i="11" s="1"/>
  <c r="DM149" i="11" s="1"/>
  <c r="DH148" i="11"/>
  <c r="DL148" i="11" s="1"/>
  <c r="DM148" i="11" s="1"/>
  <c r="DH147" i="11"/>
  <c r="DH146" i="11"/>
  <c r="DL146" i="11" s="1"/>
  <c r="DM146" i="11" s="1"/>
  <c r="DH145" i="11"/>
  <c r="DL145" i="11" s="1"/>
  <c r="DM145" i="11" s="1"/>
  <c r="DH144" i="11"/>
  <c r="DL144" i="11" s="1"/>
  <c r="DM144" i="11" s="1"/>
  <c r="DH143" i="11"/>
  <c r="DL143" i="11" s="1"/>
  <c r="DM143" i="11" s="1"/>
  <c r="DH142" i="11"/>
  <c r="DH141" i="11"/>
  <c r="DL141" i="11" s="1"/>
  <c r="DM141" i="11" s="1"/>
  <c r="DH140" i="11"/>
  <c r="DL140" i="11" s="1"/>
  <c r="DM140" i="11" s="1"/>
  <c r="DH139" i="11"/>
  <c r="DH138" i="11"/>
  <c r="DL138" i="11" s="1"/>
  <c r="DM138" i="11" s="1"/>
  <c r="DH137" i="11"/>
  <c r="DL137" i="11" s="1"/>
  <c r="DM137" i="11" s="1"/>
  <c r="DH136" i="11"/>
  <c r="DL136" i="11" s="1"/>
  <c r="DM136" i="11" s="1"/>
  <c r="DH135" i="11"/>
  <c r="DH134" i="11"/>
  <c r="DL134" i="11" s="1"/>
  <c r="DM134" i="11" s="1"/>
  <c r="DH133" i="11"/>
  <c r="DH132" i="11"/>
  <c r="DH131" i="11"/>
  <c r="DL131" i="11" s="1"/>
  <c r="DM131" i="11" s="1"/>
  <c r="DH130" i="11"/>
  <c r="DL130" i="11" s="1"/>
  <c r="DM130" i="11" s="1"/>
  <c r="DH129" i="11"/>
  <c r="DH128" i="11"/>
  <c r="DL128" i="11" s="1"/>
  <c r="DM128" i="11" s="1"/>
  <c r="DH127" i="11"/>
  <c r="DL127" i="11" s="1"/>
  <c r="DM127" i="11" s="1"/>
  <c r="DH126" i="11"/>
  <c r="DL126" i="11" s="1"/>
  <c r="DM126" i="11" s="1"/>
  <c r="DH125" i="11"/>
  <c r="DL125" i="11" s="1"/>
  <c r="DM125" i="11" s="1"/>
  <c r="DH124" i="11"/>
  <c r="DL124" i="11" s="1"/>
  <c r="DM124" i="11" s="1"/>
  <c r="DH123" i="11"/>
  <c r="DL123" i="11" s="1"/>
  <c r="DM123" i="11" s="1"/>
  <c r="DH122" i="11"/>
  <c r="DL122" i="11" s="1"/>
  <c r="DM122" i="11" s="1"/>
  <c r="DH121" i="11"/>
  <c r="DH120" i="11"/>
  <c r="DL120" i="11" s="1"/>
  <c r="DM120" i="11" s="1"/>
  <c r="DH119" i="11"/>
  <c r="DH118" i="11"/>
  <c r="DL118" i="11" s="1"/>
  <c r="DM118" i="11" s="1"/>
  <c r="DH117" i="11"/>
  <c r="DL117" i="11" s="1"/>
  <c r="DM117" i="11" s="1"/>
  <c r="DH116" i="11"/>
  <c r="DL116" i="11" s="1"/>
  <c r="DM116" i="11" s="1"/>
  <c r="DH115" i="11"/>
  <c r="DL115" i="11" s="1"/>
  <c r="DM115" i="11" s="1"/>
  <c r="DH114" i="11"/>
  <c r="DL114" i="11" s="1"/>
  <c r="DM114" i="11" s="1"/>
  <c r="DH113" i="11"/>
  <c r="DL113" i="11" s="1"/>
  <c r="DM113" i="11" s="1"/>
  <c r="DH112" i="11"/>
  <c r="DL112" i="11" s="1"/>
  <c r="DM112" i="11" s="1"/>
  <c r="DH111" i="11"/>
  <c r="DL111" i="11" s="1"/>
  <c r="DM111" i="11" s="1"/>
  <c r="DH110" i="11"/>
  <c r="DL110" i="11" s="1"/>
  <c r="DM110" i="11" s="1"/>
  <c r="DH109" i="11"/>
  <c r="DL109" i="11" s="1"/>
  <c r="DM109" i="11" s="1"/>
  <c r="DH108" i="11"/>
  <c r="DL108" i="11" s="1"/>
  <c r="DM108" i="11" s="1"/>
  <c r="DH107" i="11"/>
  <c r="DL107" i="11" s="1"/>
  <c r="DM107" i="11" s="1"/>
  <c r="DH106" i="11"/>
  <c r="DL106" i="11" s="1"/>
  <c r="DM106" i="11" s="1"/>
  <c r="DH105" i="11"/>
  <c r="DL105" i="11" s="1"/>
  <c r="DM105" i="11" s="1"/>
  <c r="DH104" i="11"/>
  <c r="DL104" i="11" s="1"/>
  <c r="DM104" i="11" s="1"/>
  <c r="DH103" i="11"/>
  <c r="DL103" i="11" s="1"/>
  <c r="DM103" i="11" s="1"/>
  <c r="DH102" i="11"/>
  <c r="DL102" i="11" s="1"/>
  <c r="DM102" i="11" s="1"/>
  <c r="DH101" i="11"/>
  <c r="DL101" i="11" s="1"/>
  <c r="DM101" i="11" s="1"/>
  <c r="DH100" i="11"/>
  <c r="DL100" i="11" s="1"/>
  <c r="DM100" i="11" s="1"/>
  <c r="DH99" i="11"/>
  <c r="DH98" i="11"/>
  <c r="DL98" i="11" s="1"/>
  <c r="DM98" i="11" s="1"/>
  <c r="DH97" i="11"/>
  <c r="DH96" i="11"/>
  <c r="DH95" i="11"/>
  <c r="DL95" i="11" s="1"/>
  <c r="DM95" i="11" s="1"/>
  <c r="DH94" i="11"/>
  <c r="DH93" i="11"/>
  <c r="DH92" i="11"/>
  <c r="DL92" i="11" s="1"/>
  <c r="DM92" i="11" s="1"/>
  <c r="DH91" i="11"/>
  <c r="DL91" i="11" s="1"/>
  <c r="DM91" i="11" s="1"/>
  <c r="DH90" i="11"/>
  <c r="DL90" i="11" s="1"/>
  <c r="DM90" i="11" s="1"/>
  <c r="DH89" i="11"/>
  <c r="DL89" i="11" s="1"/>
  <c r="DM89" i="11" s="1"/>
  <c r="DH88" i="11"/>
  <c r="DL88" i="11" s="1"/>
  <c r="DM88" i="11" s="1"/>
  <c r="DH87" i="11"/>
  <c r="DL87" i="11" s="1"/>
  <c r="DM87" i="11" s="1"/>
  <c r="DH86" i="11"/>
  <c r="DL86" i="11" s="1"/>
  <c r="DM86" i="11" s="1"/>
  <c r="DH85" i="11"/>
  <c r="DL85" i="11" s="1"/>
  <c r="DM85" i="11" s="1"/>
  <c r="DH84" i="11"/>
  <c r="DL84" i="11" s="1"/>
  <c r="DM84" i="11" s="1"/>
  <c r="DH83" i="11"/>
  <c r="DH82" i="11"/>
  <c r="DL82" i="11" s="1"/>
  <c r="DM82" i="11" s="1"/>
  <c r="DH81" i="11"/>
  <c r="DL81" i="11" s="1"/>
  <c r="DM81" i="11" s="1"/>
  <c r="DH80" i="11"/>
  <c r="DH79" i="11"/>
  <c r="DH78" i="11"/>
  <c r="DL78" i="11" s="1"/>
  <c r="DM78" i="11" s="1"/>
  <c r="DH77" i="11"/>
  <c r="DH76" i="11"/>
  <c r="DH75" i="11"/>
  <c r="DL75" i="11" s="1"/>
  <c r="DM75" i="11" s="1"/>
  <c r="DH74" i="11"/>
  <c r="DH73" i="11"/>
  <c r="DL73" i="11" s="1"/>
  <c r="DM73" i="11" s="1"/>
  <c r="DH72" i="11"/>
  <c r="DL72" i="11" s="1"/>
  <c r="DM72" i="11" s="1"/>
  <c r="DH71" i="11"/>
  <c r="DL71" i="11" s="1"/>
  <c r="DM71" i="11" s="1"/>
  <c r="DH70" i="11"/>
  <c r="DL70" i="11" s="1"/>
  <c r="DM70" i="11" s="1"/>
  <c r="DH69" i="11"/>
  <c r="DL69" i="11" s="1"/>
  <c r="DM69" i="11" s="1"/>
  <c r="DH68" i="11"/>
  <c r="DL68" i="11" s="1"/>
  <c r="DM68" i="11" s="1"/>
  <c r="DH67" i="11"/>
  <c r="DL67" i="11" s="1"/>
  <c r="DM67" i="11" s="1"/>
  <c r="DH66" i="11"/>
  <c r="DH65" i="11"/>
  <c r="DL65" i="11" s="1"/>
  <c r="DM65" i="11" s="1"/>
  <c r="DH64" i="11"/>
  <c r="DL64" i="11" s="1"/>
  <c r="DM64" i="11" s="1"/>
  <c r="DH63" i="11"/>
  <c r="DL63" i="11" s="1"/>
  <c r="DM63" i="11" s="1"/>
  <c r="DH62" i="11"/>
  <c r="DL62" i="11" s="1"/>
  <c r="DM62" i="11" s="1"/>
  <c r="DH61" i="11"/>
  <c r="DH60" i="11"/>
  <c r="DH59" i="11"/>
  <c r="DL59" i="11" s="1"/>
  <c r="DM59" i="11" s="1"/>
  <c r="DH58" i="11"/>
  <c r="DH57" i="11"/>
  <c r="DH56" i="11"/>
  <c r="DL56" i="11" s="1"/>
  <c r="DM56" i="11" s="1"/>
  <c r="DH55" i="11"/>
  <c r="DL55" i="11" s="1"/>
  <c r="DM55" i="11" s="1"/>
  <c r="DH54" i="11"/>
  <c r="DL54" i="11" s="1"/>
  <c r="DM54" i="11" s="1"/>
  <c r="DH53" i="11"/>
  <c r="DL53" i="11" s="1"/>
  <c r="DM53" i="11" s="1"/>
  <c r="DH52" i="11"/>
  <c r="DL52" i="11" s="1"/>
  <c r="DM52" i="11" s="1"/>
  <c r="DH51" i="11"/>
  <c r="DL51" i="11" s="1"/>
  <c r="DM51" i="11" s="1"/>
  <c r="DH50" i="11"/>
  <c r="DH49" i="11"/>
  <c r="DL49" i="11" s="1"/>
  <c r="DM49" i="11" s="1"/>
  <c r="DH48" i="11"/>
  <c r="DL48" i="11" s="1"/>
  <c r="DM48" i="11" s="1"/>
  <c r="DH47" i="11"/>
  <c r="DH46" i="11"/>
  <c r="DH45" i="11"/>
  <c r="DH44" i="11"/>
  <c r="DL44" i="11" s="1"/>
  <c r="DM44" i="11" s="1"/>
  <c r="DH43" i="11"/>
  <c r="DL43" i="11" s="1"/>
  <c r="DM43" i="11" s="1"/>
  <c r="DH42" i="11"/>
  <c r="DL42" i="11" s="1"/>
  <c r="DM42" i="11" s="1"/>
  <c r="DH41" i="11"/>
  <c r="DL41" i="11" s="1"/>
  <c r="DM41" i="11" s="1"/>
  <c r="DH40" i="11"/>
  <c r="DL40" i="11" s="1"/>
  <c r="DM40" i="11" s="1"/>
  <c r="DH39" i="11"/>
  <c r="DL39" i="11" s="1"/>
  <c r="DM39" i="11" s="1"/>
  <c r="DH38" i="11"/>
  <c r="DH37" i="11"/>
  <c r="DL37" i="11" s="1"/>
  <c r="DM37" i="11" s="1"/>
  <c r="DH36" i="11"/>
  <c r="DL36" i="11" s="1"/>
  <c r="DM36" i="11" s="1"/>
  <c r="DH35" i="11"/>
  <c r="DH34" i="11"/>
  <c r="DL34" i="11" s="1"/>
  <c r="DM34" i="11" s="1"/>
  <c r="DH33" i="11"/>
  <c r="DL33" i="11" s="1"/>
  <c r="DM33" i="11" s="1"/>
  <c r="DH32" i="11"/>
  <c r="DL32" i="11" s="1"/>
  <c r="DM32" i="11" s="1"/>
  <c r="DH31" i="11"/>
  <c r="DL31" i="11" s="1"/>
  <c r="DM31" i="11" s="1"/>
  <c r="DH30" i="11"/>
  <c r="DL30" i="11" s="1"/>
  <c r="DM30" i="11" s="1"/>
  <c r="DH29" i="11"/>
  <c r="DL29" i="11" s="1"/>
  <c r="DM29" i="11" s="1"/>
  <c r="DH28" i="11"/>
  <c r="DL28" i="11" s="1"/>
  <c r="DM28" i="11" s="1"/>
  <c r="DH27" i="11"/>
  <c r="DL27" i="11" s="1"/>
  <c r="DM27" i="11" s="1"/>
  <c r="DH26" i="11"/>
  <c r="DL26" i="11" s="1"/>
  <c r="DM26" i="11" s="1"/>
  <c r="DH25" i="11"/>
  <c r="DL25" i="11" s="1"/>
  <c r="DM25" i="11" s="1"/>
  <c r="DH24" i="11"/>
  <c r="DL24" i="11" s="1"/>
  <c r="DM24" i="11" s="1"/>
  <c r="DH23" i="11"/>
  <c r="DL23" i="11" s="1"/>
  <c r="DM23" i="11" s="1"/>
  <c r="DH22" i="11"/>
  <c r="DL22" i="11" s="1"/>
  <c r="DM22" i="11" s="1"/>
  <c r="DH21" i="11"/>
  <c r="DL21" i="11" s="1"/>
  <c r="DM21" i="11" s="1"/>
  <c r="DH20" i="11"/>
  <c r="DL20" i="11" s="1"/>
  <c r="DM20" i="11" s="1"/>
  <c r="DH19" i="11"/>
  <c r="DH18" i="11"/>
  <c r="DL18" i="11" s="1"/>
  <c r="DM18" i="11" s="1"/>
  <c r="DH17" i="11"/>
  <c r="DH16" i="11"/>
  <c r="DL16" i="11" s="1"/>
  <c r="DM16" i="11" s="1"/>
  <c r="DH15" i="11"/>
  <c r="DH14" i="11"/>
  <c r="DL14" i="11" s="1"/>
  <c r="DH13" i="11"/>
  <c r="DH12" i="11"/>
  <c r="DH11" i="11"/>
  <c r="DL11" i="11" s="1"/>
  <c r="DM11" i="11" s="1"/>
  <c r="DH10" i="11"/>
  <c r="DL10" i="11" s="1"/>
  <c r="DM10" i="11" s="1"/>
  <c r="DH9" i="11"/>
  <c r="DL9" i="11" s="1"/>
  <c r="DM9" i="11" s="1"/>
  <c r="DH4" i="11"/>
  <c r="DH5" i="11"/>
  <c r="DH6" i="11"/>
  <c r="DH7" i="11"/>
  <c r="DH8" i="11"/>
  <c r="DH3" i="11"/>
  <c r="DL8" i="11" l="1"/>
  <c r="DM8" i="11" s="1"/>
  <c r="DL4" i="11"/>
  <c r="DM4" i="11" s="1"/>
  <c r="DL7" i="11"/>
  <c r="DM7" i="11" s="1"/>
  <c r="DL6" i="11"/>
  <c r="DM6" i="11" s="1"/>
  <c r="DL3" i="11"/>
  <c r="DM3" i="11" s="1"/>
  <c r="DL5" i="11"/>
  <c r="DM5" i="11" s="1"/>
  <c r="F3" i="8"/>
  <c r="F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102" i="8"/>
  <c r="Q826" i="9"/>
  <c r="Q827" i="9"/>
  <c r="Q828" i="9"/>
  <c r="Q829" i="9"/>
  <c r="Q830" i="9"/>
  <c r="Q831" i="9"/>
  <c r="Q832" i="9"/>
  <c r="Q833" i="9"/>
  <c r="Q834" i="9"/>
  <c r="Q835" i="9"/>
  <c r="Q836" i="9"/>
  <c r="Q837" i="9"/>
  <c r="Q838" i="9"/>
  <c r="Q839" i="9"/>
  <c r="Q840" i="9"/>
  <c r="Q841" i="9"/>
  <c r="Q842" i="9"/>
  <c r="Q843" i="9"/>
  <c r="Q844" i="9"/>
  <c r="Q845" i="9"/>
  <c r="Q846" i="9"/>
  <c r="Q847" i="9"/>
  <c r="Q848" i="9"/>
  <c r="Q849" i="9"/>
  <c r="Q850" i="9"/>
  <c r="Q851" i="9"/>
  <c r="Q852" i="9"/>
  <c r="Q853" i="9"/>
  <c r="Q854" i="9"/>
  <c r="Q855" i="9"/>
  <c r="Q856" i="9"/>
  <c r="Q857" i="9"/>
  <c r="Q858" i="9"/>
  <c r="Q859" i="9"/>
  <c r="Q860" i="9"/>
  <c r="Q861" i="9"/>
  <c r="Q862" i="9"/>
  <c r="Q863" i="9"/>
  <c r="Q864" i="9"/>
  <c r="Q865" i="9"/>
  <c r="Q866" i="9"/>
  <c r="Q867" i="9"/>
  <c r="Q868" i="9"/>
  <c r="Q869" i="9"/>
  <c r="Q870" i="9"/>
  <c r="Q871" i="9"/>
  <c r="Q872" i="9"/>
  <c r="Q873" i="9"/>
  <c r="Q874" i="9"/>
  <c r="Q875" i="9"/>
  <c r="Q876" i="9"/>
  <c r="Q877" i="9"/>
  <c r="Q878" i="9"/>
  <c r="Q879" i="9"/>
  <c r="Q880" i="9"/>
  <c r="Q881" i="9"/>
  <c r="Q882" i="9"/>
  <c r="Q883" i="9"/>
  <c r="Q884" i="9"/>
  <c r="Q885" i="9"/>
  <c r="Q886" i="9"/>
  <c r="Q887" i="9"/>
  <c r="Q888" i="9"/>
  <c r="Q889" i="9"/>
  <c r="Q890" i="9"/>
  <c r="Q891" i="9"/>
  <c r="Q892" i="9"/>
  <c r="Q893" i="9"/>
  <c r="Q894" i="9"/>
  <c r="Q895" i="9"/>
  <c r="Q896" i="9"/>
  <c r="Q897" i="9"/>
  <c r="Q898" i="9"/>
  <c r="Q899" i="9"/>
  <c r="Q900" i="9"/>
  <c r="Q901" i="9"/>
  <c r="Q902" i="9"/>
  <c r="Q903" i="9"/>
  <c r="Q904" i="9"/>
  <c r="Q905" i="9"/>
  <c r="Q906" i="9"/>
  <c r="Q907" i="9"/>
  <c r="Q908" i="9"/>
  <c r="Q909" i="9"/>
  <c r="Q910" i="9"/>
  <c r="Q911" i="9"/>
  <c r="Q912" i="9"/>
  <c r="Q913" i="9"/>
  <c r="Q914" i="9"/>
  <c r="Q915" i="9"/>
  <c r="Q916" i="9"/>
  <c r="Q917" i="9"/>
  <c r="Q918" i="9"/>
  <c r="Q919" i="9"/>
  <c r="Q920" i="9"/>
  <c r="Q921" i="9"/>
  <c r="Q922" i="9"/>
  <c r="Q923" i="9"/>
  <c r="Q924" i="9"/>
  <c r="Q606" i="9"/>
  <c r="Q607" i="9"/>
  <c r="Q608" i="9"/>
  <c r="Q609" i="9"/>
  <c r="Q610" i="9"/>
  <c r="Q611" i="9"/>
  <c r="Q612" i="9"/>
  <c r="Q613" i="9"/>
  <c r="Q614" i="9"/>
  <c r="Q615" i="9"/>
  <c r="Q616" i="9"/>
  <c r="Q617" i="9"/>
  <c r="Q618" i="9"/>
  <c r="Q619" i="9"/>
  <c r="Q620" i="9"/>
  <c r="Q621" i="9"/>
  <c r="Q622" i="9"/>
  <c r="Q623" i="9"/>
  <c r="Q624" i="9"/>
  <c r="Q625" i="9"/>
  <c r="Q626" i="9"/>
  <c r="Q627" i="9"/>
  <c r="Q628" i="9"/>
  <c r="Q629" i="9"/>
  <c r="Q630" i="9"/>
  <c r="Q631" i="9"/>
  <c r="Q632" i="9"/>
  <c r="Q633" i="9"/>
  <c r="Q634" i="9"/>
  <c r="Q635" i="9"/>
  <c r="Q636" i="9"/>
  <c r="Q637" i="9"/>
  <c r="Q638" i="9"/>
  <c r="Q639" i="9"/>
  <c r="Q640" i="9"/>
  <c r="Q641" i="9"/>
  <c r="Q642" i="9"/>
  <c r="Q643" i="9"/>
  <c r="Q644" i="9"/>
  <c r="Q645" i="9"/>
  <c r="Q646" i="9"/>
  <c r="Q647" i="9"/>
  <c r="Q648" i="9"/>
  <c r="Q649" i="9"/>
  <c r="Q650" i="9"/>
  <c r="Q651" i="9"/>
  <c r="Q652" i="9"/>
  <c r="Q653" i="9"/>
  <c r="Q654" i="9"/>
  <c r="Q655" i="9"/>
  <c r="Q656" i="9"/>
  <c r="Q657" i="9"/>
  <c r="Q658" i="9"/>
  <c r="Q659" i="9"/>
  <c r="Q660" i="9"/>
  <c r="Q661" i="9"/>
  <c r="Q662" i="9"/>
  <c r="Q663" i="9"/>
  <c r="Q664" i="9"/>
  <c r="Q665" i="9"/>
  <c r="Q666" i="9"/>
  <c r="Q667" i="9"/>
  <c r="Q668" i="9"/>
  <c r="Q669" i="9"/>
  <c r="Q670" i="9"/>
  <c r="Q671" i="9"/>
  <c r="Q672" i="9"/>
  <c r="Q673" i="9"/>
  <c r="Q674" i="9"/>
  <c r="Q675" i="9"/>
  <c r="Q676" i="9"/>
  <c r="Q677" i="9"/>
  <c r="Q678" i="9"/>
  <c r="Q679" i="9"/>
  <c r="Q680" i="9"/>
  <c r="Q681" i="9"/>
  <c r="Q682" i="9"/>
  <c r="Q683" i="9"/>
  <c r="Q684" i="9"/>
  <c r="Q685" i="9"/>
  <c r="Q686" i="9"/>
  <c r="Q687" i="9"/>
  <c r="Q688" i="9"/>
  <c r="Q689" i="9"/>
  <c r="Q690" i="9"/>
  <c r="Q691" i="9"/>
  <c r="Q692" i="9"/>
  <c r="Q693" i="9"/>
  <c r="Q694" i="9"/>
  <c r="Q695" i="9"/>
  <c r="Q696" i="9"/>
  <c r="Q697" i="9"/>
  <c r="Q698" i="9"/>
  <c r="Q699" i="9"/>
  <c r="Q700" i="9"/>
  <c r="Q701" i="9"/>
  <c r="Q702" i="9"/>
  <c r="Q703" i="9"/>
  <c r="Q704" i="9"/>
  <c r="Q705" i="9"/>
  <c r="Q706" i="9"/>
  <c r="Q707" i="9"/>
  <c r="Q708" i="9"/>
  <c r="Q709" i="9"/>
  <c r="Q710" i="9"/>
  <c r="Q711" i="9"/>
  <c r="Q712" i="9"/>
  <c r="Q713" i="9"/>
  <c r="Q714" i="9"/>
  <c r="Q715" i="9"/>
  <c r="Q716" i="9"/>
  <c r="Q717" i="9"/>
  <c r="Q718" i="9"/>
  <c r="Q719" i="9"/>
  <c r="Q720" i="9"/>
  <c r="Q721" i="9"/>
  <c r="Q722" i="9"/>
  <c r="Q723" i="9"/>
  <c r="Q724" i="9"/>
  <c r="Q725" i="9"/>
  <c r="Q726" i="9"/>
  <c r="Q727" i="9"/>
  <c r="Q728" i="9"/>
  <c r="Q729" i="9"/>
  <c r="Q730" i="9"/>
  <c r="Q731" i="9"/>
  <c r="Q732" i="9"/>
  <c r="Q733" i="9"/>
  <c r="Q734" i="9"/>
  <c r="Q735" i="9"/>
  <c r="Q736" i="9"/>
  <c r="Q737" i="9"/>
  <c r="Q738" i="9"/>
  <c r="Q739" i="9"/>
  <c r="Q740" i="9"/>
  <c r="Q741" i="9"/>
  <c r="Q742" i="9"/>
  <c r="Q743" i="9"/>
  <c r="Q744" i="9"/>
  <c r="Q745" i="9"/>
  <c r="Q746" i="9"/>
  <c r="Q747" i="9"/>
  <c r="Q748" i="9"/>
  <c r="Q749" i="9"/>
  <c r="Q750" i="9"/>
  <c r="Q751" i="9"/>
  <c r="Q752" i="9"/>
  <c r="Q753" i="9"/>
  <c r="Q754" i="9"/>
  <c r="Q755" i="9"/>
  <c r="Q756" i="9"/>
  <c r="Q757" i="9"/>
  <c r="Q758" i="9"/>
  <c r="Q759" i="9"/>
  <c r="Q760" i="9"/>
  <c r="Q761" i="9"/>
  <c r="Q762" i="9"/>
  <c r="Q763" i="9"/>
  <c r="Q764" i="9"/>
  <c r="Q765" i="9"/>
  <c r="Q766" i="9"/>
  <c r="Q767" i="9"/>
  <c r="Q768" i="9"/>
  <c r="Q769" i="9"/>
  <c r="Q770" i="9"/>
  <c r="Q771" i="9"/>
  <c r="Q772" i="9"/>
  <c r="Q773" i="9"/>
  <c r="Q774" i="9"/>
  <c r="Q775" i="9"/>
  <c r="Q776" i="9"/>
  <c r="Q777" i="9"/>
  <c r="Q778" i="9"/>
  <c r="Q779" i="9"/>
  <c r="Q780" i="9"/>
  <c r="Q781" i="9"/>
  <c r="Q782" i="9"/>
  <c r="Q783" i="9"/>
  <c r="Q784" i="9"/>
  <c r="Q785" i="9"/>
  <c r="Q786" i="9"/>
  <c r="Q787" i="9"/>
  <c r="Q788" i="9"/>
  <c r="Q789" i="9"/>
  <c r="Q790" i="9"/>
  <c r="Q791" i="9"/>
  <c r="Q792" i="9"/>
  <c r="Q793" i="9"/>
  <c r="Q794" i="9"/>
  <c r="Q795" i="9"/>
  <c r="Q796" i="9"/>
  <c r="Q797" i="9"/>
  <c r="Q798" i="9"/>
  <c r="Q799" i="9"/>
  <c r="Q800" i="9"/>
  <c r="Q801" i="9"/>
  <c r="Q802" i="9"/>
  <c r="Q803" i="9"/>
  <c r="Q804" i="9"/>
  <c r="Q805" i="9"/>
  <c r="Q806" i="9"/>
  <c r="Q807" i="9"/>
  <c r="Q808" i="9"/>
  <c r="Q809" i="9"/>
  <c r="Q810" i="9"/>
  <c r="Q811" i="9"/>
  <c r="Q812" i="9"/>
  <c r="Q813" i="9"/>
  <c r="Q814" i="9"/>
  <c r="Q815" i="9"/>
  <c r="Q816" i="9"/>
  <c r="Q817" i="9"/>
  <c r="Q818" i="9"/>
  <c r="Q819" i="9"/>
  <c r="Q820" i="9"/>
  <c r="Q821" i="9"/>
  <c r="Q822" i="9"/>
  <c r="Q823" i="9"/>
  <c r="Q824" i="9"/>
  <c r="Q825" i="9"/>
  <c r="DO171" i="11"/>
  <c r="DP171" i="11" s="1" a="1"/>
  <c r="DP171" i="11" s="1"/>
  <c r="DQ171" i="11" s="1"/>
  <c r="DO170" i="11"/>
  <c r="DP170" i="11" s="1" a="1"/>
  <c r="DP170" i="11" s="1"/>
  <c r="DQ170" i="11" s="1"/>
  <c r="DO169" i="11"/>
  <c r="DP169" i="11" s="1" a="1"/>
  <c r="DP169" i="11" s="1"/>
  <c r="DO168" i="11"/>
  <c r="DP168" i="11" s="1" a="1"/>
  <c r="DP168" i="11" s="1"/>
  <c r="DO167" i="11"/>
  <c r="DP167" i="11" s="1" a="1"/>
  <c r="DP167" i="11" s="1"/>
  <c r="DO166" i="11"/>
  <c r="DP166" i="11" s="1" a="1"/>
  <c r="DP166" i="11" s="1"/>
  <c r="DQ166" i="11" s="1"/>
  <c r="DO165" i="11"/>
  <c r="DP165" i="11" s="1" a="1"/>
  <c r="DP165" i="11" s="1"/>
  <c r="DQ165" i="11" s="1"/>
  <c r="DO164" i="11"/>
  <c r="DP164" i="11" s="1" a="1"/>
  <c r="DP164" i="11" s="1"/>
  <c r="DO163" i="11"/>
  <c r="DP163" i="11" s="1" a="1"/>
  <c r="DP163" i="11" s="1"/>
  <c r="DQ163" i="11" s="1"/>
  <c r="DO162" i="11"/>
  <c r="DP162" i="11" s="1" a="1"/>
  <c r="DP162" i="11" s="1"/>
  <c r="DO161" i="11"/>
  <c r="DP161" i="11" s="1" a="1"/>
  <c r="DP161" i="11" s="1"/>
  <c r="DO160" i="11"/>
  <c r="DP160" i="11" s="1" a="1"/>
  <c r="DP160" i="11" s="1"/>
  <c r="DQ160" i="11" s="1"/>
  <c r="DO159" i="11"/>
  <c r="DP159" i="11" s="1" a="1"/>
  <c r="DP159" i="11" s="1"/>
  <c r="DO158" i="11"/>
  <c r="DP158" i="11" s="1" a="1"/>
  <c r="DP158" i="11" s="1"/>
  <c r="DO157" i="11"/>
  <c r="DP157" i="11" s="1" a="1"/>
  <c r="DP157" i="11" s="1"/>
  <c r="DQ157" i="11" s="1"/>
  <c r="DO156" i="11"/>
  <c r="DP156" i="11" s="1" a="1"/>
  <c r="DP156" i="11" s="1"/>
  <c r="DQ156" i="11" s="1"/>
  <c r="DO155" i="11"/>
  <c r="DP155" i="11" s="1" a="1"/>
  <c r="DP155" i="11" s="1"/>
  <c r="DQ155" i="11" s="1"/>
  <c r="DO154" i="11"/>
  <c r="DP154" i="11" s="1" a="1"/>
  <c r="DP154" i="11" s="1"/>
  <c r="DO153" i="11"/>
  <c r="DP153" i="11" s="1" a="1"/>
  <c r="DP153" i="11" s="1"/>
  <c r="DO152" i="11"/>
  <c r="DP152" i="11" s="1" a="1"/>
  <c r="DP152" i="11" s="1"/>
  <c r="DO151" i="11"/>
  <c r="DP151" i="11" s="1" a="1"/>
  <c r="DP151" i="11" s="1"/>
  <c r="DQ151" i="11" s="1"/>
  <c r="DO150" i="11"/>
  <c r="DP150" i="11" s="1" a="1"/>
  <c r="DP150" i="11" s="1"/>
  <c r="DQ150" i="11" s="1"/>
  <c r="DO149" i="11"/>
  <c r="DP149" i="11" s="1" a="1"/>
  <c r="DP149" i="11" s="1"/>
  <c r="DO148" i="11"/>
  <c r="DP148" i="11" s="1" a="1"/>
  <c r="DP148" i="11" s="1"/>
  <c r="DQ148" i="11" s="1"/>
  <c r="DO147" i="11"/>
  <c r="DP147" i="11" s="1" a="1"/>
  <c r="DP147" i="11" s="1"/>
  <c r="DO146" i="11"/>
  <c r="DP146" i="11" s="1" a="1"/>
  <c r="DP146" i="11" s="1"/>
  <c r="DO145" i="11"/>
  <c r="DP145" i="11" s="1" a="1"/>
  <c r="DP145" i="11" s="1"/>
  <c r="Z179" i="16" s="1"/>
  <c r="AA179" i="16" s="1"/>
  <c r="DO144" i="11"/>
  <c r="DP144" i="11" s="1" a="1"/>
  <c r="DP144" i="11" s="1"/>
  <c r="Z178" i="16" s="1"/>
  <c r="AA178" i="16" s="1"/>
  <c r="DO143" i="11"/>
  <c r="DP143" i="11" s="1" a="1"/>
  <c r="DP143" i="11" s="1"/>
  <c r="Z177" i="16" s="1"/>
  <c r="DO142" i="11"/>
  <c r="DP142" i="11" s="1" a="1"/>
  <c r="DP142" i="11" s="1"/>
  <c r="DO141" i="11"/>
  <c r="DP141" i="11" s="1" a="1"/>
  <c r="DP141" i="11" s="1"/>
  <c r="DO140" i="11"/>
  <c r="DP140" i="11" s="1" a="1"/>
  <c r="DP140" i="11" s="1"/>
  <c r="Z174" i="16" s="1"/>
  <c r="DO139" i="11"/>
  <c r="DP139" i="11" s="1" a="1"/>
  <c r="DP139" i="11" s="1"/>
  <c r="DQ139" i="11" s="1"/>
  <c r="DO138" i="11"/>
  <c r="DP138" i="11" s="1" a="1"/>
  <c r="DP138" i="11" s="1"/>
  <c r="DQ138" i="11" s="1"/>
  <c r="DO137" i="11"/>
  <c r="DP137" i="11" s="1" a="1"/>
  <c r="DP137" i="11" s="1"/>
  <c r="DQ137" i="11" s="1"/>
  <c r="DO136" i="11"/>
  <c r="DP136" i="11" s="1" a="1"/>
  <c r="DP136" i="11" s="1"/>
  <c r="DQ136" i="11" s="1"/>
  <c r="DO135" i="11"/>
  <c r="DP135" i="11" s="1" a="1"/>
  <c r="DP135" i="11" s="1"/>
  <c r="DQ135" i="11" s="1"/>
  <c r="DO134" i="11"/>
  <c r="DP134" i="11" s="1" a="1"/>
  <c r="DP134" i="11" s="1"/>
  <c r="DO133" i="11"/>
  <c r="DP133" i="11" s="1" a="1"/>
  <c r="DP133" i="11" s="1"/>
  <c r="DQ133" i="11" s="1"/>
  <c r="DO132" i="11"/>
  <c r="DP132" i="11" s="1" a="1"/>
  <c r="DP132" i="11" s="1"/>
  <c r="DQ132" i="11" s="1"/>
  <c r="DO131" i="11"/>
  <c r="DP131" i="11" s="1" a="1"/>
  <c r="DP131" i="11" s="1"/>
  <c r="DO130" i="11"/>
  <c r="DP130" i="11" s="1" a="1"/>
  <c r="DP130" i="11" s="1"/>
  <c r="DQ130" i="11" s="1"/>
  <c r="DO129" i="11"/>
  <c r="DP129" i="11" s="1" a="1"/>
  <c r="DP129" i="11" s="1"/>
  <c r="DQ129" i="11" s="1"/>
  <c r="DO128" i="11"/>
  <c r="DP128" i="11" s="1" a="1"/>
  <c r="DP128" i="11" s="1"/>
  <c r="DQ128" i="11" s="1"/>
  <c r="DO127" i="11"/>
  <c r="DP127" i="11" s="1" a="1"/>
  <c r="DP127" i="11" s="1"/>
  <c r="DQ127" i="11" s="1"/>
  <c r="DO126" i="11"/>
  <c r="DP126" i="11" s="1" a="1"/>
  <c r="DP126" i="11" s="1"/>
  <c r="DO125" i="11"/>
  <c r="DP125" i="11" s="1" a="1"/>
  <c r="DP125" i="11" s="1"/>
  <c r="DQ125" i="11" s="1"/>
  <c r="DO124" i="11"/>
  <c r="DP124" i="11" s="1" a="1"/>
  <c r="DP124" i="11" s="1"/>
  <c r="DQ124" i="11" s="1"/>
  <c r="DO123" i="11"/>
  <c r="DP123" i="11" s="1" a="1"/>
  <c r="DP123" i="11" s="1"/>
  <c r="DO122" i="11"/>
  <c r="DP122" i="11" s="1" a="1"/>
  <c r="DP122" i="11" s="1"/>
  <c r="DQ122" i="11" s="1"/>
  <c r="DO121" i="11"/>
  <c r="DP121" i="11" s="1" a="1"/>
  <c r="DP121" i="11" s="1"/>
  <c r="DQ121" i="11" s="1"/>
  <c r="DO120" i="11"/>
  <c r="DP120" i="11" s="1" a="1"/>
  <c r="DP120" i="11" s="1"/>
  <c r="DQ120" i="11" s="1"/>
  <c r="DO119" i="11"/>
  <c r="DP119" i="11" s="1" a="1"/>
  <c r="DP119" i="11" s="1"/>
  <c r="DO118" i="11"/>
  <c r="DP118" i="11" s="1" a="1"/>
  <c r="DP118" i="11" s="1"/>
  <c r="DQ118" i="11" s="1"/>
  <c r="DO117" i="11"/>
  <c r="DP117" i="11" s="1" a="1"/>
  <c r="DP117" i="11" s="1"/>
  <c r="DQ117" i="11" s="1"/>
  <c r="DO116" i="11"/>
  <c r="DP116" i="11" s="1" a="1"/>
  <c r="DP116" i="11" s="1"/>
  <c r="DO115" i="11"/>
  <c r="DP115" i="11" s="1" a="1"/>
  <c r="DP115" i="11" s="1"/>
  <c r="DO114" i="11"/>
  <c r="DP114" i="11" s="1" a="1"/>
  <c r="DP114" i="11" s="1"/>
  <c r="DQ114" i="11" s="1"/>
  <c r="DO113" i="11"/>
  <c r="DP113" i="11" s="1" a="1"/>
  <c r="DP113" i="11" s="1"/>
  <c r="DO112" i="11"/>
  <c r="DP112" i="11" s="1" a="1"/>
  <c r="DP112" i="11" s="1"/>
  <c r="DQ112" i="11" s="1"/>
  <c r="DO111" i="11"/>
  <c r="DP111" i="11" s="1" a="1"/>
  <c r="DP111" i="11" s="1"/>
  <c r="DO110" i="11"/>
  <c r="DP110" i="11" s="1" a="1"/>
  <c r="DP110" i="11" s="1"/>
  <c r="DQ110" i="11" s="1"/>
  <c r="DO109" i="11"/>
  <c r="DP109" i="11" s="1" a="1"/>
  <c r="DP109" i="11" s="1"/>
  <c r="DO108" i="11"/>
  <c r="DP108" i="11" s="1" a="1"/>
  <c r="DP108" i="11" s="1"/>
  <c r="DQ108" i="11" s="1"/>
  <c r="DO107" i="11"/>
  <c r="DP107" i="11" s="1" a="1"/>
  <c r="DP107" i="11" s="1"/>
  <c r="DQ107" i="11" s="1"/>
  <c r="DO106" i="11"/>
  <c r="DP106" i="11" s="1" a="1"/>
  <c r="DP106" i="11" s="1"/>
  <c r="DQ106" i="11" s="1"/>
  <c r="DO105" i="11"/>
  <c r="DP105" i="11" s="1" a="1"/>
  <c r="DP105" i="11" s="1"/>
  <c r="DQ105" i="11" s="1"/>
  <c r="DO104" i="11"/>
  <c r="DP104" i="11" s="1" a="1"/>
  <c r="DP104" i="11" s="1"/>
  <c r="DO103" i="11"/>
  <c r="DP103" i="11" s="1" a="1"/>
  <c r="DP103" i="11" s="1"/>
  <c r="DO102" i="11"/>
  <c r="DP102" i="11" s="1" a="1"/>
  <c r="DP102" i="11" s="1"/>
  <c r="DO101" i="11"/>
  <c r="DP101" i="11" s="1" a="1"/>
  <c r="DP101" i="11" s="1"/>
  <c r="DQ101" i="11" s="1"/>
  <c r="DO100" i="11"/>
  <c r="DP100" i="11" s="1" a="1"/>
  <c r="DP100" i="11" s="1"/>
  <c r="DO99" i="11"/>
  <c r="DP99" i="11" s="1" a="1"/>
  <c r="DP99" i="11" s="1"/>
  <c r="DQ99" i="11" s="1"/>
  <c r="DO98" i="11"/>
  <c r="DP98" i="11" s="1" a="1"/>
  <c r="DP98" i="11" s="1"/>
  <c r="DQ98" i="11" s="1"/>
  <c r="DO97" i="11"/>
  <c r="DP97" i="11" s="1" a="1"/>
  <c r="DP97" i="11" s="1"/>
  <c r="DQ97" i="11" s="1"/>
  <c r="DO96" i="11"/>
  <c r="DP96" i="11" s="1" a="1"/>
  <c r="DP96" i="11" s="1"/>
  <c r="DQ96" i="11" s="1"/>
  <c r="DO95" i="11"/>
  <c r="DP95" i="11" s="1" a="1"/>
  <c r="DP95" i="11" s="1"/>
  <c r="DQ95" i="11" s="1"/>
  <c r="DO94" i="11"/>
  <c r="DP94" i="11" s="1" a="1"/>
  <c r="DP94" i="11" s="1"/>
  <c r="DQ94" i="11" s="1"/>
  <c r="DO93" i="11"/>
  <c r="DP93" i="11" s="1" a="1"/>
  <c r="DP93" i="11" s="1"/>
  <c r="DQ93" i="11" s="1"/>
  <c r="DO92" i="11"/>
  <c r="DP92" i="11" s="1" a="1"/>
  <c r="DP92" i="11" s="1"/>
  <c r="DO91" i="11"/>
  <c r="DP91" i="11" s="1" a="1"/>
  <c r="DP91" i="11" s="1"/>
  <c r="DO90" i="11"/>
  <c r="DP90" i="11" s="1" a="1"/>
  <c r="DP90" i="11" s="1"/>
  <c r="DQ90" i="11" s="1"/>
  <c r="DO89" i="11"/>
  <c r="DP89" i="11" s="1" a="1"/>
  <c r="DP89" i="11" s="1"/>
  <c r="DQ89" i="11" s="1"/>
  <c r="DO88" i="11"/>
  <c r="DP88" i="11" s="1" a="1"/>
  <c r="DP88" i="11" s="1"/>
  <c r="DQ88" i="11" s="1"/>
  <c r="DO87" i="11"/>
  <c r="DP87" i="11" s="1" a="1"/>
  <c r="DP87" i="11" s="1"/>
  <c r="DQ87" i="11" s="1"/>
  <c r="DO86" i="11"/>
  <c r="DP86" i="11" s="1" a="1"/>
  <c r="DP86" i="11" s="1"/>
  <c r="DO85" i="11"/>
  <c r="DP85" i="11" s="1" a="1"/>
  <c r="DP85" i="11" s="1"/>
  <c r="DQ85" i="11" s="1"/>
  <c r="DO84" i="11"/>
  <c r="DP84" i="11" s="1" a="1"/>
  <c r="DP84" i="11" s="1"/>
  <c r="DQ84" i="11" s="1"/>
  <c r="DO83" i="11"/>
  <c r="DP83" i="11" s="1" a="1"/>
  <c r="DP83" i="11" s="1"/>
  <c r="DQ83" i="11" s="1"/>
  <c r="DO82" i="11"/>
  <c r="DP82" i="11" s="1" a="1"/>
  <c r="DP82" i="11" s="1"/>
  <c r="DQ82" i="11" s="1"/>
  <c r="DO81" i="11"/>
  <c r="DP81" i="11" s="1" a="1"/>
  <c r="DP81" i="11" s="1"/>
  <c r="DO80" i="11"/>
  <c r="DP80" i="11" s="1" a="1"/>
  <c r="DP80" i="11" s="1"/>
  <c r="DQ80" i="11" s="1"/>
  <c r="DO79" i="11"/>
  <c r="DP79" i="11" s="1" a="1"/>
  <c r="DP79" i="11" s="1"/>
  <c r="DQ79" i="11" s="1"/>
  <c r="DO78" i="11"/>
  <c r="DP78" i="11" s="1" a="1"/>
  <c r="DP78" i="11" s="1"/>
  <c r="DQ78" i="11" s="1"/>
  <c r="DO77" i="11"/>
  <c r="DP77" i="11" s="1" a="1"/>
  <c r="DP77" i="11" s="1"/>
  <c r="DQ77" i="11" s="1"/>
  <c r="DO76" i="11"/>
  <c r="DP76" i="11" s="1" a="1"/>
  <c r="DP76" i="11" s="1"/>
  <c r="DQ76" i="11" s="1"/>
  <c r="DO75" i="11"/>
  <c r="DP75" i="11" s="1" a="1"/>
  <c r="DP75" i="11" s="1"/>
  <c r="DQ75" i="11" s="1"/>
  <c r="DO74" i="11"/>
  <c r="DP74" i="11" s="1" a="1"/>
  <c r="DP74" i="11" s="1"/>
  <c r="DO73" i="11"/>
  <c r="DP73" i="11" s="1" a="1"/>
  <c r="DP73" i="11" s="1"/>
  <c r="DQ73" i="11" s="1"/>
  <c r="DO72" i="11"/>
  <c r="DP72" i="11" s="1" a="1"/>
  <c r="DP72" i="11" s="1"/>
  <c r="DQ72" i="11" s="1"/>
  <c r="DO71" i="11"/>
  <c r="DP71" i="11" s="1" a="1"/>
  <c r="DP71" i="11" s="1"/>
  <c r="DQ71" i="11" s="1"/>
  <c r="DO70" i="11"/>
  <c r="DP70" i="11" s="1" a="1"/>
  <c r="DP70" i="11" s="1"/>
  <c r="DQ70" i="11" s="1"/>
  <c r="DO69" i="11"/>
  <c r="DP69" i="11" s="1" a="1"/>
  <c r="DP69" i="11" s="1"/>
  <c r="DQ69" i="11" s="1"/>
  <c r="DO68" i="11"/>
  <c r="DP68" i="11" s="1" a="1"/>
  <c r="DP68" i="11" s="1"/>
  <c r="DQ68" i="11" s="1"/>
  <c r="DO67" i="11"/>
  <c r="DP67" i="11" s="1" a="1"/>
  <c r="DP67" i="11" s="1"/>
  <c r="DO66" i="11"/>
  <c r="DP66" i="11" s="1" a="1"/>
  <c r="DP66" i="11" s="1"/>
  <c r="DO65" i="11"/>
  <c r="DP65" i="11" s="1" a="1"/>
  <c r="DP65" i="11" s="1"/>
  <c r="DO64" i="11"/>
  <c r="DP64" i="11" s="1" a="1"/>
  <c r="DP64" i="11" s="1"/>
  <c r="Z183" i="16" s="1"/>
  <c r="AA183" i="16" s="1"/>
  <c r="DO63" i="11"/>
  <c r="DP63" i="11" s="1" a="1"/>
  <c r="DP63" i="11" s="1"/>
  <c r="DO62" i="11"/>
  <c r="DP62" i="11" s="1" a="1"/>
  <c r="DP62" i="11" s="1"/>
  <c r="Z181" i="16" s="1"/>
  <c r="AA181" i="16" s="1"/>
  <c r="DO61" i="11"/>
  <c r="DP61" i="11" s="1" a="1"/>
  <c r="DP61" i="11" s="1"/>
  <c r="DO60" i="11"/>
  <c r="DP60" i="11" s="1" a="1"/>
  <c r="DP60" i="11" s="1"/>
  <c r="DQ60" i="11" s="1"/>
  <c r="DO59" i="11"/>
  <c r="DP59" i="11" s="1" a="1"/>
  <c r="DP59" i="11" s="1"/>
  <c r="DQ59" i="11" s="1"/>
  <c r="DO58" i="11"/>
  <c r="DP58" i="11" s="1" a="1"/>
  <c r="DP58" i="11" s="1"/>
  <c r="DQ58" i="11" s="1"/>
  <c r="DO57" i="11"/>
  <c r="DP57" i="11" s="1" a="1"/>
  <c r="DP57" i="11" s="1"/>
  <c r="DO56" i="11"/>
  <c r="DP56" i="11" s="1" a="1"/>
  <c r="DP56" i="11" s="1"/>
  <c r="DO55" i="11"/>
  <c r="DP55" i="11" s="1" a="1"/>
  <c r="DP55" i="11" s="1"/>
  <c r="DO54" i="11"/>
  <c r="DP54" i="11" s="1" a="1"/>
  <c r="DP54" i="11" s="1"/>
  <c r="DQ54" i="11" s="1"/>
  <c r="DO53" i="11"/>
  <c r="DP53" i="11" s="1" a="1"/>
  <c r="DP53" i="11" s="1"/>
  <c r="DO52" i="11"/>
  <c r="DP52" i="11" s="1" a="1"/>
  <c r="DP52" i="11" s="1"/>
  <c r="DQ52" i="11" s="1"/>
  <c r="DO51" i="11"/>
  <c r="DP51" i="11" s="1" a="1"/>
  <c r="DP51" i="11" s="1"/>
  <c r="DQ51" i="11" s="1"/>
  <c r="DO50" i="11"/>
  <c r="DP50" i="11" s="1" a="1"/>
  <c r="DP50" i="11" s="1"/>
  <c r="DQ50" i="11" s="1"/>
  <c r="DO49" i="11"/>
  <c r="DP49" i="11" s="1" a="1"/>
  <c r="DP49" i="11" s="1"/>
  <c r="DQ49" i="11" s="1"/>
  <c r="DO48" i="11"/>
  <c r="DP48" i="11" s="1" a="1"/>
  <c r="DP48" i="11" s="1"/>
  <c r="DQ48" i="11" s="1"/>
  <c r="DO47" i="11"/>
  <c r="DP47" i="11" s="1" a="1"/>
  <c r="DP47" i="11" s="1"/>
  <c r="DQ47" i="11" s="1"/>
  <c r="DO46" i="11"/>
  <c r="DP46" i="11" s="1" a="1"/>
  <c r="DP46" i="11" s="1"/>
  <c r="DQ46" i="11" s="1"/>
  <c r="DO45" i="11"/>
  <c r="DP45" i="11" s="1" a="1"/>
  <c r="DP45" i="11" s="1"/>
  <c r="DQ45" i="11" s="1"/>
  <c r="DO44" i="11"/>
  <c r="DP44" i="11" s="1" a="1"/>
  <c r="DP44" i="11" s="1"/>
  <c r="DQ44" i="11" s="1"/>
  <c r="DO43" i="11"/>
  <c r="DP43" i="11" s="1" a="1"/>
  <c r="DP43" i="11" s="1"/>
  <c r="DQ43" i="11" s="1"/>
  <c r="DO42" i="11"/>
  <c r="DP42" i="11" s="1" a="1"/>
  <c r="DP42" i="11" s="1"/>
  <c r="DQ42" i="11" s="1"/>
  <c r="DO41" i="11"/>
  <c r="DP41" i="11" s="1" a="1"/>
  <c r="DP41" i="11" s="1"/>
  <c r="DQ41" i="11" s="1"/>
  <c r="DO40" i="11"/>
  <c r="DP40" i="11" s="1" a="1"/>
  <c r="DP40" i="11" s="1"/>
  <c r="DQ40" i="11" s="1"/>
  <c r="DO39" i="11"/>
  <c r="DP39" i="11" s="1" a="1"/>
  <c r="DP39" i="11" s="1"/>
  <c r="DQ39" i="11" s="1"/>
  <c r="DO38" i="11"/>
  <c r="DP38" i="11" s="1" a="1"/>
  <c r="DP38" i="11" s="1"/>
  <c r="DQ38" i="11" s="1"/>
  <c r="DO37" i="11"/>
  <c r="DP37" i="11" s="1" a="1"/>
  <c r="DP37" i="11" s="1"/>
  <c r="DQ37" i="11" s="1"/>
  <c r="DO36" i="11"/>
  <c r="DP36" i="11" s="1" a="1"/>
  <c r="DP36" i="11" s="1"/>
  <c r="DQ36" i="11" s="1"/>
  <c r="DO35" i="11"/>
  <c r="DP35" i="11" s="1" a="1"/>
  <c r="DP35" i="11" s="1"/>
  <c r="DQ35" i="11" s="1"/>
  <c r="DO34" i="11"/>
  <c r="DP34" i="11" s="1" a="1"/>
  <c r="DP34" i="11" s="1"/>
  <c r="DQ34" i="11" s="1"/>
  <c r="DO33" i="11"/>
  <c r="DP33" i="11" s="1" a="1"/>
  <c r="DP33" i="11" s="1"/>
  <c r="DQ33" i="11" s="1"/>
  <c r="DO32" i="11"/>
  <c r="DP32" i="11" s="1" a="1"/>
  <c r="DP32" i="11" s="1"/>
  <c r="DQ32" i="11" s="1"/>
  <c r="DO31" i="11"/>
  <c r="DP31" i="11" s="1" a="1"/>
  <c r="DP31" i="11" s="1"/>
  <c r="DO30" i="11"/>
  <c r="DP30" i="11" s="1" a="1"/>
  <c r="DP30" i="11" s="1"/>
  <c r="DO29" i="11"/>
  <c r="DP29" i="11" s="1" a="1"/>
  <c r="DP29" i="11" s="1"/>
  <c r="DQ29" i="11" s="1"/>
  <c r="DO28" i="11"/>
  <c r="DP28" i="11" s="1" a="1"/>
  <c r="DP28" i="11" s="1"/>
  <c r="DO27" i="11"/>
  <c r="DP27" i="11" s="1" a="1"/>
  <c r="DP27" i="11" s="1"/>
  <c r="DO26" i="11"/>
  <c r="DP26" i="11" s="1" a="1"/>
  <c r="DP26" i="11" s="1"/>
  <c r="DQ26" i="11" s="1"/>
  <c r="DO25" i="11"/>
  <c r="DP25" i="11" s="1" a="1"/>
  <c r="DP25" i="11" s="1"/>
  <c r="DQ25" i="11" s="1"/>
  <c r="DO24" i="11"/>
  <c r="DP24" i="11" s="1" a="1"/>
  <c r="DP24" i="11" s="1"/>
  <c r="DO23" i="11"/>
  <c r="DP23" i="11" s="1" a="1"/>
  <c r="DP23" i="11" s="1"/>
  <c r="DO22" i="11"/>
  <c r="DP22" i="11" s="1" a="1"/>
  <c r="DP22" i="11" s="1"/>
  <c r="DQ22" i="11" s="1"/>
  <c r="DO21" i="11"/>
  <c r="DP21" i="11" s="1" a="1"/>
  <c r="DP21" i="11" s="1"/>
  <c r="DQ21" i="11" s="1"/>
  <c r="DO20" i="11"/>
  <c r="DP20" i="11" s="1" a="1"/>
  <c r="DP20" i="11" s="1"/>
  <c r="DQ20" i="11" s="1"/>
  <c r="DO19" i="11"/>
  <c r="DP19" i="11" s="1" a="1"/>
  <c r="DP19" i="11" s="1"/>
  <c r="DQ19" i="11" s="1"/>
  <c r="DO18" i="11"/>
  <c r="DP18" i="11" s="1" a="1"/>
  <c r="DP18" i="11" s="1"/>
  <c r="DO17" i="11"/>
  <c r="DP17" i="11" s="1" a="1"/>
  <c r="DP17" i="11" s="1"/>
  <c r="DQ17" i="11" s="1"/>
  <c r="DO16" i="11"/>
  <c r="DP16" i="11" s="1" a="1"/>
  <c r="DP16" i="11" s="1"/>
  <c r="DO15" i="11"/>
  <c r="DP15" i="11" s="1" a="1"/>
  <c r="DP15" i="11" s="1"/>
  <c r="DO14" i="11"/>
  <c r="DP14" i="11" s="1" a="1"/>
  <c r="DP14" i="11" s="1"/>
  <c r="DQ14" i="11" s="1"/>
  <c r="DO13" i="11"/>
  <c r="DP13" i="11" s="1" a="1"/>
  <c r="DP13" i="11" s="1"/>
  <c r="DO12" i="11"/>
  <c r="DP12" i="11" s="1" a="1"/>
  <c r="DP12" i="11" s="1"/>
  <c r="DO11" i="11"/>
  <c r="DP11" i="11" s="1" a="1"/>
  <c r="DP11" i="11" s="1"/>
  <c r="DQ11" i="11" s="1"/>
  <c r="DO10" i="11"/>
  <c r="DP10" i="11" s="1" a="1"/>
  <c r="DP10" i="11" s="1"/>
  <c r="DQ10" i="11" s="1"/>
  <c r="DO9" i="11"/>
  <c r="DP9" i="11" s="1" a="1"/>
  <c r="DP9" i="11" s="1"/>
  <c r="DQ9" i="11" s="1"/>
  <c r="DO8" i="11"/>
  <c r="DP8" i="11" s="1" a="1"/>
  <c r="DP8" i="11" s="1"/>
  <c r="DQ8" i="11" s="1"/>
  <c r="DO7" i="11"/>
  <c r="DP7" i="11" s="1" a="1"/>
  <c r="DP7" i="11" s="1"/>
  <c r="DO6" i="11"/>
  <c r="DP6" i="11" s="1" a="1"/>
  <c r="DP6" i="11" s="1"/>
  <c r="DO5" i="11"/>
  <c r="DP5" i="11" s="1" a="1"/>
  <c r="DP5" i="11" s="1"/>
  <c r="DO4" i="11"/>
  <c r="DP4" i="11" s="1" a="1"/>
  <c r="DP4" i="11" s="1"/>
  <c r="AC181" i="16" l="1"/>
  <c r="AS181" i="16" s="1" a="1"/>
  <c r="AS181" i="16" s="1"/>
  <c r="AB181" i="16"/>
  <c r="AB183" i="16"/>
  <c r="AC183" i="16"/>
  <c r="AS183" i="16" s="1" a="1"/>
  <c r="AS183" i="16" s="1"/>
  <c r="AB174" i="16"/>
  <c r="AR174" i="16" s="1" a="1"/>
  <c r="AR174" i="16" s="1"/>
  <c r="AC174" i="16"/>
  <c r="AS174" i="16" s="1" a="1"/>
  <c r="AS174" i="16" s="1"/>
  <c r="AB177" i="16"/>
  <c r="AR177" i="16" s="1" a="1"/>
  <c r="AR177" i="16" s="1"/>
  <c r="AB178" i="16"/>
  <c r="AR178" i="16" s="1" a="1"/>
  <c r="AR178" i="16" s="1"/>
  <c r="AB179" i="16"/>
  <c r="AR179" i="16" s="1" a="1"/>
  <c r="AR179" i="16" s="1"/>
  <c r="AC179" i="16"/>
  <c r="AS179" i="16" s="1" a="1"/>
  <c r="AS179" i="16" s="1"/>
  <c r="DQ63" i="11"/>
  <c r="Z182" i="16"/>
  <c r="AA182" i="16" s="1"/>
  <c r="DQ67" i="11"/>
  <c r="Z186" i="16"/>
  <c r="AA186" i="16" s="1"/>
  <c r="AA177" i="16"/>
  <c r="AQ177" i="16" s="1"/>
  <c r="AR183" i="16" a="1"/>
  <c r="AR183" i="16" s="1"/>
  <c r="AQ183" i="16"/>
  <c r="AA174" i="16"/>
  <c r="AQ174" i="16" s="1"/>
  <c r="AQ178" i="16"/>
  <c r="DQ65" i="11"/>
  <c r="Z184" i="16"/>
  <c r="AA184" i="16" s="1"/>
  <c r="DQ141" i="11"/>
  <c r="Z175" i="16"/>
  <c r="AQ179" i="16"/>
  <c r="AQ181" i="16"/>
  <c r="AR181" i="16" a="1"/>
  <c r="AR181" i="16" s="1"/>
  <c r="DQ66" i="11"/>
  <c r="Z185" i="16"/>
  <c r="AA185" i="16" s="1"/>
  <c r="DQ142" i="11"/>
  <c r="Z176" i="16"/>
  <c r="DQ146" i="11"/>
  <c r="Z180" i="16"/>
  <c r="AA180" i="16" s="1"/>
  <c r="F103" i="8"/>
  <c r="G2" i="8" s="1"/>
  <c r="DQ5" i="11"/>
  <c r="DQ13" i="11"/>
  <c r="DQ53" i="11"/>
  <c r="DQ57" i="11"/>
  <c r="DQ61" i="11"/>
  <c r="DQ81" i="11"/>
  <c r="DQ109" i="11"/>
  <c r="DQ113" i="11"/>
  <c r="DQ145" i="11"/>
  <c r="DQ149" i="11"/>
  <c r="DQ153" i="11"/>
  <c r="DQ161" i="11"/>
  <c r="DQ169" i="11"/>
  <c r="DQ7" i="11"/>
  <c r="DQ6" i="11"/>
  <c r="DQ18" i="11"/>
  <c r="DQ30" i="11"/>
  <c r="DQ62" i="11"/>
  <c r="DQ74" i="11"/>
  <c r="DQ86" i="11"/>
  <c r="DQ102" i="11"/>
  <c r="DQ126" i="11"/>
  <c r="DQ134" i="11"/>
  <c r="DQ154" i="11"/>
  <c r="DQ158" i="11"/>
  <c r="DQ162" i="11"/>
  <c r="DQ15" i="11"/>
  <c r="DQ23" i="11"/>
  <c r="DQ27" i="11"/>
  <c r="DQ31" i="11"/>
  <c r="DQ55" i="11"/>
  <c r="DQ91" i="11"/>
  <c r="DQ103" i="11"/>
  <c r="DQ111" i="11"/>
  <c r="DQ115" i="11"/>
  <c r="DQ119" i="11"/>
  <c r="DQ123" i="11"/>
  <c r="DQ131" i="11"/>
  <c r="DQ143" i="11"/>
  <c r="DQ147" i="11"/>
  <c r="DQ159" i="11"/>
  <c r="DQ167" i="11"/>
  <c r="DQ4" i="11"/>
  <c r="DQ12" i="11"/>
  <c r="DQ16" i="11"/>
  <c r="DQ24" i="11"/>
  <c r="DQ28" i="11"/>
  <c r="DQ56" i="11"/>
  <c r="DQ64" i="11"/>
  <c r="DQ92" i="11"/>
  <c r="DQ100" i="11"/>
  <c r="DQ104" i="11"/>
  <c r="DQ116" i="11"/>
  <c r="DQ140" i="11"/>
  <c r="DQ144" i="11"/>
  <c r="DQ152" i="11"/>
  <c r="DQ164" i="11"/>
  <c r="DQ168" i="11"/>
  <c r="DO3" i="11"/>
  <c r="DP3" i="11" s="1" a="1"/>
  <c r="DP3" i="11" s="1"/>
  <c r="DN5" i="11"/>
  <c r="DN9" i="11"/>
  <c r="DN13" i="11"/>
  <c r="DN17" i="11"/>
  <c r="DN21" i="11"/>
  <c r="DN25" i="11"/>
  <c r="DN29" i="11"/>
  <c r="DN33" i="11"/>
  <c r="DN37" i="11"/>
  <c r="DN41" i="11"/>
  <c r="DN45" i="11"/>
  <c r="DN49" i="11"/>
  <c r="DN53" i="11"/>
  <c r="DN57" i="11"/>
  <c r="DN61" i="11"/>
  <c r="DN65" i="11"/>
  <c r="DN69" i="11"/>
  <c r="DN73" i="11"/>
  <c r="DN77" i="11"/>
  <c r="DN81" i="11"/>
  <c r="DN85" i="11"/>
  <c r="DN89" i="11"/>
  <c r="DN93" i="11"/>
  <c r="DN97" i="11"/>
  <c r="DN101" i="11"/>
  <c r="DN105" i="11"/>
  <c r="DN109" i="11"/>
  <c r="DN113" i="11"/>
  <c r="DN117" i="11"/>
  <c r="DN121" i="11"/>
  <c r="DN125" i="11"/>
  <c r="DN129" i="11"/>
  <c r="DN133" i="11"/>
  <c r="DN137" i="11"/>
  <c r="DN141" i="11"/>
  <c r="DN145" i="11"/>
  <c r="DN149" i="11"/>
  <c r="DN153" i="11"/>
  <c r="DN157" i="11"/>
  <c r="DN161" i="11"/>
  <c r="DN165" i="11"/>
  <c r="DN169" i="11"/>
  <c r="DN6" i="11"/>
  <c r="DN10" i="11"/>
  <c r="DN14" i="11"/>
  <c r="DN18" i="11"/>
  <c r="DN22" i="11"/>
  <c r="DN26" i="11"/>
  <c r="DN30" i="11"/>
  <c r="DN34" i="11"/>
  <c r="DN38" i="11"/>
  <c r="DN42" i="11"/>
  <c r="DN46" i="11"/>
  <c r="DN50" i="11"/>
  <c r="DN54" i="11"/>
  <c r="DN58" i="11"/>
  <c r="DN62" i="11"/>
  <c r="DN66" i="11"/>
  <c r="DN70" i="11"/>
  <c r="DL74" i="11"/>
  <c r="DN74" i="11"/>
  <c r="DN78" i="11"/>
  <c r="DN82" i="11"/>
  <c r="DN86" i="11"/>
  <c r="DN90" i="11"/>
  <c r="DN94" i="11"/>
  <c r="DN98" i="11"/>
  <c r="DN102" i="11"/>
  <c r="DN106" i="11"/>
  <c r="DN110" i="11"/>
  <c r="DN114" i="11"/>
  <c r="DN118" i="11"/>
  <c r="DN122" i="11"/>
  <c r="DN126" i="11"/>
  <c r="DN130" i="11"/>
  <c r="DN134" i="11"/>
  <c r="DN138" i="11"/>
  <c r="DL142" i="11"/>
  <c r="DN142" i="11"/>
  <c r="DN146" i="11"/>
  <c r="DN150" i="11"/>
  <c r="DN154" i="11"/>
  <c r="DN158" i="11"/>
  <c r="DN162" i="11"/>
  <c r="DN166" i="11"/>
  <c r="DN170" i="11"/>
  <c r="DN3" i="11"/>
  <c r="DN7" i="11"/>
  <c r="DN11" i="11"/>
  <c r="DN15" i="11"/>
  <c r="DN19" i="11"/>
  <c r="DN23" i="11"/>
  <c r="DN27" i="11"/>
  <c r="DN31" i="11"/>
  <c r="DL35" i="11"/>
  <c r="DN35" i="11"/>
  <c r="DN39" i="11"/>
  <c r="DN43" i="11"/>
  <c r="DL47" i="11"/>
  <c r="DN47" i="11"/>
  <c r="DN51" i="11"/>
  <c r="DN55" i="11"/>
  <c r="DN59" i="11"/>
  <c r="DN63" i="11"/>
  <c r="DN67" i="11"/>
  <c r="DN71" i="11"/>
  <c r="DN75" i="11"/>
  <c r="DN79" i="11"/>
  <c r="DN83" i="11"/>
  <c r="DN87" i="11"/>
  <c r="DN91" i="11"/>
  <c r="DN95" i="11"/>
  <c r="DN99" i="11"/>
  <c r="DN103" i="11"/>
  <c r="DN107" i="11"/>
  <c r="DN111" i="11"/>
  <c r="DN115" i="11"/>
  <c r="DL119" i="11"/>
  <c r="DN119" i="11"/>
  <c r="DN123" i="11"/>
  <c r="DN127" i="11"/>
  <c r="DN131" i="11"/>
  <c r="DL135" i="11"/>
  <c r="DN135" i="11"/>
  <c r="DL139" i="11"/>
  <c r="DN139" i="11"/>
  <c r="DN143" i="11"/>
  <c r="DL147" i="11"/>
  <c r="DN147" i="11"/>
  <c r="DN151" i="11"/>
  <c r="DN155" i="11"/>
  <c r="DN159" i="11"/>
  <c r="DN163" i="11"/>
  <c r="DN167" i="11"/>
  <c r="DN171" i="11"/>
  <c r="DN4" i="11"/>
  <c r="DN8" i="11"/>
  <c r="DN12" i="11"/>
  <c r="DN16" i="11"/>
  <c r="DN20" i="11"/>
  <c r="DN24" i="11"/>
  <c r="DN28" i="11"/>
  <c r="DN32" i="11"/>
  <c r="DN36" i="11"/>
  <c r="DN40" i="11"/>
  <c r="DN44" i="11"/>
  <c r="DN48" i="11"/>
  <c r="DN52" i="11"/>
  <c r="DN56" i="11"/>
  <c r="DL60" i="11"/>
  <c r="DN60" i="11"/>
  <c r="DN64" i="11"/>
  <c r="DN68" i="11"/>
  <c r="DN72" i="11"/>
  <c r="DL76" i="11"/>
  <c r="DN76" i="11"/>
  <c r="DL80" i="11"/>
  <c r="DN80" i="11"/>
  <c r="DN84" i="11"/>
  <c r="DN88" i="11"/>
  <c r="DN92" i="11"/>
  <c r="DN96" i="11"/>
  <c r="DN100" i="11"/>
  <c r="DN104" i="11"/>
  <c r="DN108" i="11"/>
  <c r="DN112" i="11"/>
  <c r="DN116" i="11"/>
  <c r="DN120" i="11"/>
  <c r="DN124" i="11"/>
  <c r="DN128" i="11"/>
  <c r="DL132" i="11"/>
  <c r="DN132" i="11"/>
  <c r="DN136" i="11"/>
  <c r="DN140" i="11"/>
  <c r="DN144" i="11"/>
  <c r="DN148" i="11"/>
  <c r="DN152" i="11"/>
  <c r="DL156" i="11"/>
  <c r="DN156" i="11"/>
  <c r="DL160" i="11"/>
  <c r="DN160" i="11"/>
  <c r="DN164" i="11"/>
  <c r="DN168" i="11"/>
  <c r="DJ9" i="11"/>
  <c r="DI9" i="11"/>
  <c r="AD90" i="16" s="1"/>
  <c r="DJ13" i="11"/>
  <c r="DI13" i="11"/>
  <c r="AD140" i="16" s="1"/>
  <c r="DJ17" i="11"/>
  <c r="DI17" i="11"/>
  <c r="DJ21" i="11"/>
  <c r="DI21" i="11"/>
  <c r="AD72" i="16" s="1"/>
  <c r="DJ25" i="11"/>
  <c r="DI25" i="11"/>
  <c r="AD78" i="16" s="1"/>
  <c r="DJ29" i="11"/>
  <c r="DI29" i="11"/>
  <c r="AD55" i="16" s="1"/>
  <c r="DJ33" i="11"/>
  <c r="DI33" i="11"/>
  <c r="AD42" i="16" s="1"/>
  <c r="DJ37" i="11"/>
  <c r="DI37" i="11"/>
  <c r="DJ41" i="11"/>
  <c r="DI41" i="11"/>
  <c r="AD81" i="16" s="1"/>
  <c r="DJ45" i="11"/>
  <c r="DI45" i="11"/>
  <c r="AD50" i="16" s="1"/>
  <c r="DJ49" i="11"/>
  <c r="DI49" i="11"/>
  <c r="DJ53" i="11"/>
  <c r="DI53" i="11"/>
  <c r="DJ57" i="11"/>
  <c r="DI57" i="11"/>
  <c r="AD159" i="16" s="1"/>
  <c r="DJ61" i="11"/>
  <c r="DI61" i="11"/>
  <c r="AD164" i="16" s="1"/>
  <c r="DJ65" i="11"/>
  <c r="DI65" i="11"/>
  <c r="DJ69" i="11"/>
  <c r="DI69" i="11"/>
  <c r="AD59" i="16" s="1"/>
  <c r="DJ73" i="11"/>
  <c r="DI73" i="11"/>
  <c r="AD94" i="16" s="1"/>
  <c r="DJ77" i="11"/>
  <c r="DI77" i="11"/>
  <c r="DJ81" i="11"/>
  <c r="DI81" i="11"/>
  <c r="AD130" i="16" s="1"/>
  <c r="DJ85" i="11"/>
  <c r="DI85" i="11"/>
  <c r="AD49" i="16" s="1"/>
  <c r="DJ89" i="11"/>
  <c r="DI89" i="11"/>
  <c r="AD88" i="16" s="1"/>
  <c r="DJ93" i="11"/>
  <c r="DI93" i="11"/>
  <c r="DJ97" i="11"/>
  <c r="DI97" i="11"/>
  <c r="DJ101" i="11"/>
  <c r="DI101" i="11"/>
  <c r="AD96" i="16" s="1"/>
  <c r="DJ105" i="11"/>
  <c r="DI105" i="11"/>
  <c r="AD82" i="16" s="1"/>
  <c r="DJ109" i="11"/>
  <c r="DI109" i="11"/>
  <c r="AD119" i="16" s="1"/>
  <c r="DJ113" i="11"/>
  <c r="DI113" i="11"/>
  <c r="DJ117" i="11"/>
  <c r="DI117" i="11"/>
  <c r="AD106" i="16" s="1"/>
  <c r="DJ121" i="11"/>
  <c r="DI121" i="11"/>
  <c r="DJ125" i="11"/>
  <c r="DI125" i="11"/>
  <c r="AD121" i="16" s="1"/>
  <c r="DJ129" i="11"/>
  <c r="DI129" i="11"/>
  <c r="AD60" i="16" s="1"/>
  <c r="DJ133" i="11"/>
  <c r="DI133" i="11"/>
  <c r="DJ137" i="11"/>
  <c r="DI137" i="11"/>
  <c r="DJ141" i="11"/>
  <c r="DI141" i="11"/>
  <c r="AD175" i="16" s="1"/>
  <c r="DJ145" i="11"/>
  <c r="DI145" i="11"/>
  <c r="AD179" i="16" s="1"/>
  <c r="DJ149" i="11"/>
  <c r="DI149" i="11"/>
  <c r="DJ153" i="11"/>
  <c r="DI153" i="11"/>
  <c r="DJ157" i="11"/>
  <c r="DI157" i="11"/>
  <c r="DJ161" i="11"/>
  <c r="DI161" i="11"/>
  <c r="DJ165" i="11"/>
  <c r="DI165" i="11"/>
  <c r="DJ169" i="11"/>
  <c r="DI169" i="11"/>
  <c r="DL133" i="11"/>
  <c r="DM133" i="11" s="1"/>
  <c r="DL93" i="11"/>
  <c r="DL45" i="11"/>
  <c r="DJ6" i="11"/>
  <c r="DI6" i="11"/>
  <c r="AD139" i="16" s="1"/>
  <c r="DI10" i="11"/>
  <c r="AD103" i="16" s="1"/>
  <c r="DJ10" i="11"/>
  <c r="DJ14" i="11"/>
  <c r="DI14" i="11"/>
  <c r="DI18" i="11"/>
  <c r="AD116" i="16" s="1"/>
  <c r="DJ18" i="11"/>
  <c r="DJ22" i="11"/>
  <c r="DI22" i="11"/>
  <c r="AD126" i="16" s="1"/>
  <c r="DI26" i="11"/>
  <c r="AD41" i="16" s="1"/>
  <c r="DJ26" i="11"/>
  <c r="DJ30" i="11"/>
  <c r="DI30" i="11"/>
  <c r="AD112" i="16" s="1"/>
  <c r="DI34" i="11"/>
  <c r="AD39" i="16" s="1"/>
  <c r="DJ34" i="11"/>
  <c r="DJ38" i="11"/>
  <c r="DI38" i="11"/>
  <c r="DI42" i="11"/>
  <c r="AD48" i="16" s="1"/>
  <c r="DJ42" i="11"/>
  <c r="DJ46" i="11"/>
  <c r="DI46" i="11"/>
  <c r="DI50" i="11"/>
  <c r="DJ50" i="11"/>
  <c r="DJ54" i="11"/>
  <c r="DI54" i="11"/>
  <c r="DI58" i="11"/>
  <c r="DJ58" i="11"/>
  <c r="DJ62" i="11"/>
  <c r="DI62" i="11"/>
  <c r="DI66" i="11"/>
  <c r="AD185" i="16" s="1"/>
  <c r="DJ66" i="11"/>
  <c r="DJ70" i="11"/>
  <c r="DI70" i="11"/>
  <c r="AD53" i="16" s="1"/>
  <c r="DI74" i="11"/>
  <c r="DJ74" i="11"/>
  <c r="DJ78" i="11"/>
  <c r="DI78" i="11"/>
  <c r="DI82" i="11"/>
  <c r="AD76" i="16" s="1"/>
  <c r="DJ82" i="11"/>
  <c r="DJ86" i="11"/>
  <c r="DI86" i="11"/>
  <c r="AD101" i="16" s="1"/>
  <c r="DI90" i="11"/>
  <c r="AD85" i="16" s="1"/>
  <c r="DJ90" i="11"/>
  <c r="DJ94" i="11"/>
  <c r="DI94" i="11"/>
  <c r="DI98" i="11"/>
  <c r="AD63" i="16" s="1"/>
  <c r="DJ98" i="11"/>
  <c r="DJ102" i="11"/>
  <c r="DI102" i="11"/>
  <c r="AD132" i="16" s="1"/>
  <c r="DI106" i="11"/>
  <c r="AD115" i="16" s="1"/>
  <c r="DJ106" i="11"/>
  <c r="DJ110" i="11"/>
  <c r="DI110" i="11"/>
  <c r="AD108" i="16" s="1"/>
  <c r="DI114" i="11"/>
  <c r="DJ114" i="11"/>
  <c r="DJ118" i="11"/>
  <c r="DI118" i="11"/>
  <c r="AD84" i="16" s="1"/>
  <c r="DI122" i="11"/>
  <c r="AD43" i="16" s="1"/>
  <c r="DJ122" i="11"/>
  <c r="DI126" i="11"/>
  <c r="AD117" i="16" s="1"/>
  <c r="DJ126" i="11"/>
  <c r="DI130" i="11"/>
  <c r="AD47" i="16" s="1"/>
  <c r="DJ130" i="11"/>
  <c r="DI134" i="11"/>
  <c r="AD109" i="16" s="1"/>
  <c r="DJ134" i="11"/>
  <c r="DI138" i="11"/>
  <c r="AD52" i="16" s="1"/>
  <c r="DJ138" i="11"/>
  <c r="DI142" i="11"/>
  <c r="AD176" i="16" s="1"/>
  <c r="DJ142" i="11"/>
  <c r="DI146" i="11"/>
  <c r="AD180" i="16" s="1"/>
  <c r="DJ146" i="11"/>
  <c r="DI150" i="11"/>
  <c r="DJ150" i="11"/>
  <c r="DI154" i="11"/>
  <c r="AD162" i="16" s="1"/>
  <c r="DJ154" i="11"/>
  <c r="DI158" i="11"/>
  <c r="DJ158" i="11"/>
  <c r="DI162" i="11"/>
  <c r="DJ162" i="11"/>
  <c r="DI166" i="11"/>
  <c r="DJ166" i="11"/>
  <c r="DI170" i="11"/>
  <c r="DJ170" i="11"/>
  <c r="DL50" i="11"/>
  <c r="DL129" i="11"/>
  <c r="DL77" i="11"/>
  <c r="DL17" i="11"/>
  <c r="DM17" i="11" s="1"/>
  <c r="DL66" i="11"/>
  <c r="DI3" i="11"/>
  <c r="AD166" i="16" s="1"/>
  <c r="DJ3" i="11"/>
  <c r="DJ7" i="11"/>
  <c r="DI7" i="11"/>
  <c r="AD152" i="16" s="1"/>
  <c r="DI11" i="11"/>
  <c r="DJ11" i="11"/>
  <c r="DJ15" i="11"/>
  <c r="DI15" i="11"/>
  <c r="AD156" i="16" s="1"/>
  <c r="DI19" i="11"/>
  <c r="DJ19" i="11"/>
  <c r="DJ23" i="11"/>
  <c r="DI23" i="11"/>
  <c r="AD131" i="16" s="1"/>
  <c r="DI27" i="11"/>
  <c r="AD136" i="16" s="1"/>
  <c r="DJ27" i="11"/>
  <c r="DJ31" i="11"/>
  <c r="DI31" i="11"/>
  <c r="DI35" i="11"/>
  <c r="AD123" i="16" s="1"/>
  <c r="DJ35" i="11"/>
  <c r="DJ39" i="11"/>
  <c r="DI39" i="11"/>
  <c r="AD66" i="16" s="1"/>
  <c r="DI43" i="11"/>
  <c r="AD57" i="16" s="1"/>
  <c r="DJ43" i="11"/>
  <c r="DJ47" i="11"/>
  <c r="DI47" i="11"/>
  <c r="AD80" i="16" s="1"/>
  <c r="DI51" i="11"/>
  <c r="AD61" i="16" s="1"/>
  <c r="DJ51" i="11"/>
  <c r="DJ55" i="11"/>
  <c r="DI55" i="11"/>
  <c r="AD170" i="16" s="1"/>
  <c r="DI59" i="11"/>
  <c r="AD171" i="16" s="1"/>
  <c r="DJ59" i="11"/>
  <c r="DJ63" i="11"/>
  <c r="DI63" i="11"/>
  <c r="DI67" i="11"/>
  <c r="DJ67" i="11"/>
  <c r="DJ71" i="11"/>
  <c r="DI71" i="11"/>
  <c r="AD51" i="16" s="1"/>
  <c r="DI75" i="11"/>
  <c r="DJ75" i="11"/>
  <c r="DJ79" i="11"/>
  <c r="DI79" i="11"/>
  <c r="DI83" i="11"/>
  <c r="DJ83" i="11"/>
  <c r="DJ87" i="11"/>
  <c r="DI87" i="11"/>
  <c r="AD74" i="16" s="1"/>
  <c r="DI91" i="11"/>
  <c r="AD95" i="16" s="1"/>
  <c r="DJ91" i="11"/>
  <c r="DJ95" i="11"/>
  <c r="DI95" i="11"/>
  <c r="DI99" i="11"/>
  <c r="AD86" i="16" s="1"/>
  <c r="DJ99" i="11"/>
  <c r="DJ103" i="11"/>
  <c r="DI103" i="11"/>
  <c r="AD154" i="16" s="1"/>
  <c r="DI107" i="11"/>
  <c r="AD99" i="16" s="1"/>
  <c r="DJ107" i="11"/>
  <c r="DJ111" i="11"/>
  <c r="DI111" i="11"/>
  <c r="AD135" i="16" s="1"/>
  <c r="DI115" i="11"/>
  <c r="DJ115" i="11"/>
  <c r="DJ119" i="11"/>
  <c r="DI119" i="11"/>
  <c r="AD137" i="16" s="1"/>
  <c r="DJ123" i="11"/>
  <c r="DI123" i="11"/>
  <c r="AD110" i="16" s="1"/>
  <c r="DJ127" i="11"/>
  <c r="DI127" i="11"/>
  <c r="AD87" i="16" s="1"/>
  <c r="DJ131" i="11"/>
  <c r="DI131" i="11"/>
  <c r="AD160" i="16" s="1"/>
  <c r="DJ135" i="11"/>
  <c r="DI135" i="11"/>
  <c r="DJ139" i="11"/>
  <c r="DI139" i="11"/>
  <c r="AD92" i="16" s="1"/>
  <c r="DJ143" i="11"/>
  <c r="DI143" i="11"/>
  <c r="AD177" i="16" s="1"/>
  <c r="DJ147" i="11"/>
  <c r="DI147" i="11"/>
  <c r="DJ151" i="11"/>
  <c r="DI151" i="11"/>
  <c r="DJ155" i="11"/>
  <c r="DI155" i="11"/>
  <c r="DJ159" i="11"/>
  <c r="DI159" i="11"/>
  <c r="DJ163" i="11"/>
  <c r="DI163" i="11"/>
  <c r="DJ167" i="11"/>
  <c r="DI167" i="11"/>
  <c r="DJ171" i="11"/>
  <c r="DI171" i="11"/>
  <c r="DL99" i="11"/>
  <c r="DL19" i="11"/>
  <c r="DM19" i="11" s="1"/>
  <c r="DL121" i="11"/>
  <c r="DL61" i="11"/>
  <c r="DM61" i="11" s="1"/>
  <c r="DL13" i="11"/>
  <c r="DM13" i="11" s="1"/>
  <c r="DL79" i="11"/>
  <c r="DL58" i="11"/>
  <c r="DJ5" i="11"/>
  <c r="DI5" i="11"/>
  <c r="AD168" i="16" s="1"/>
  <c r="DJ4" i="11"/>
  <c r="DI4" i="11"/>
  <c r="AD167" i="16" s="1"/>
  <c r="DJ8" i="11"/>
  <c r="DI8" i="11"/>
  <c r="DJ12" i="11"/>
  <c r="DI12" i="11"/>
  <c r="AD118" i="16" s="1"/>
  <c r="DJ16" i="11"/>
  <c r="DI16" i="11"/>
  <c r="AD161" i="16" s="1"/>
  <c r="DJ20" i="11"/>
  <c r="DI20" i="11"/>
  <c r="AD64" i="16" s="1"/>
  <c r="DJ24" i="11"/>
  <c r="DI24" i="11"/>
  <c r="AD98" i="16" s="1"/>
  <c r="DJ28" i="11"/>
  <c r="DI28" i="11"/>
  <c r="AD153" i="16" s="1"/>
  <c r="DJ32" i="11"/>
  <c r="DI32" i="11"/>
  <c r="AD54" i="16" s="1"/>
  <c r="DJ36" i="11"/>
  <c r="DI36" i="11"/>
  <c r="DJ40" i="11"/>
  <c r="DI40" i="11"/>
  <c r="DJ44" i="11"/>
  <c r="DI44" i="11"/>
  <c r="AD44" i="16" s="1"/>
  <c r="DJ48" i="11"/>
  <c r="DI48" i="11"/>
  <c r="AD127" i="16" s="1"/>
  <c r="DJ52" i="11"/>
  <c r="DI52" i="11"/>
  <c r="AD67" i="16" s="1"/>
  <c r="DJ56" i="11"/>
  <c r="DI56" i="11"/>
  <c r="DJ60" i="11"/>
  <c r="DI60" i="11"/>
  <c r="DJ64" i="11"/>
  <c r="DI64" i="11"/>
  <c r="DJ68" i="11"/>
  <c r="DI68" i="11"/>
  <c r="AD69" i="16" s="1"/>
  <c r="DJ72" i="11"/>
  <c r="DI72" i="11"/>
  <c r="AD62" i="16" s="1"/>
  <c r="DJ76" i="11"/>
  <c r="DI76" i="11"/>
  <c r="DJ80" i="11"/>
  <c r="DI80" i="11"/>
  <c r="AD165" i="16" s="1"/>
  <c r="DJ84" i="11"/>
  <c r="DI84" i="11"/>
  <c r="AD93" i="16" s="1"/>
  <c r="DJ88" i="11"/>
  <c r="DI88" i="11"/>
  <c r="AD102" i="16" s="1"/>
  <c r="DJ92" i="11"/>
  <c r="DI92" i="11"/>
  <c r="AD141" i="16" s="1"/>
  <c r="DJ96" i="11"/>
  <c r="DI96" i="11"/>
  <c r="DJ100" i="11"/>
  <c r="DI100" i="11"/>
  <c r="AD104" i="16" s="1"/>
  <c r="DJ104" i="11"/>
  <c r="DI104" i="11"/>
  <c r="AD147" i="16" s="1"/>
  <c r="DJ108" i="11"/>
  <c r="DI108" i="11"/>
  <c r="AD83" i="16" s="1"/>
  <c r="DJ112" i="11"/>
  <c r="DI112" i="11"/>
  <c r="AD77" i="16" s="1"/>
  <c r="DJ116" i="11"/>
  <c r="DI116" i="11"/>
  <c r="DJ120" i="11"/>
  <c r="DI120" i="11"/>
  <c r="AD79" i="16" s="1"/>
  <c r="DJ124" i="11"/>
  <c r="DI124" i="11"/>
  <c r="DJ128" i="11"/>
  <c r="DI128" i="11"/>
  <c r="AD89" i="16" s="1"/>
  <c r="DJ132" i="11"/>
  <c r="DI132" i="11"/>
  <c r="DJ136" i="11"/>
  <c r="DI136" i="11"/>
  <c r="AD91" i="16" s="1"/>
  <c r="DJ140" i="11"/>
  <c r="DI140" i="11"/>
  <c r="AD174" i="16" s="1"/>
  <c r="DJ144" i="11"/>
  <c r="DI144" i="11"/>
  <c r="AD178" i="16" s="1"/>
  <c r="DJ148" i="11"/>
  <c r="DI148" i="11"/>
  <c r="DJ152" i="11"/>
  <c r="DI152" i="11"/>
  <c r="DJ156" i="11"/>
  <c r="DI156" i="11"/>
  <c r="AD58" i="16" s="1"/>
  <c r="DJ160" i="11"/>
  <c r="DI160" i="11"/>
  <c r="DJ164" i="11"/>
  <c r="DI164" i="11"/>
  <c r="DJ168" i="11"/>
  <c r="DI168" i="11"/>
  <c r="DL83" i="11"/>
  <c r="DL94" i="11"/>
  <c r="DL38" i="11"/>
  <c r="DL97" i="11"/>
  <c r="DM97" i="11" s="1"/>
  <c r="DL57" i="11"/>
  <c r="DM57" i="11" s="1"/>
  <c r="DL163" i="11"/>
  <c r="DL15" i="11"/>
  <c r="DM15" i="11" s="1"/>
  <c r="DL46" i="11"/>
  <c r="DM46" i="11" s="1"/>
  <c r="DL96" i="11"/>
  <c r="DL12" i="11"/>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Q318" i="9"/>
  <c r="Q319" i="9"/>
  <c r="Q320" i="9"/>
  <c r="Q321" i="9"/>
  <c r="Q322" i="9"/>
  <c r="Q323" i="9"/>
  <c r="Q324" i="9"/>
  <c r="Q325" i="9"/>
  <c r="Q326" i="9"/>
  <c r="Q327" i="9"/>
  <c r="Q328" i="9"/>
  <c r="Q329" i="9"/>
  <c r="Q330" i="9"/>
  <c r="Q331" i="9"/>
  <c r="Q332" i="9"/>
  <c r="Q333" i="9"/>
  <c r="Q334" i="9"/>
  <c r="Q335" i="9"/>
  <c r="Q336" i="9"/>
  <c r="Q337" i="9"/>
  <c r="Q338" i="9"/>
  <c r="Q339" i="9"/>
  <c r="Q340" i="9"/>
  <c r="Q341" i="9"/>
  <c r="Q342" i="9"/>
  <c r="Q343" i="9"/>
  <c r="Q344" i="9"/>
  <c r="Q345" i="9"/>
  <c r="Q346" i="9"/>
  <c r="Q347" i="9"/>
  <c r="Q348" i="9"/>
  <c r="Q349" i="9"/>
  <c r="Q350" i="9"/>
  <c r="Q351" i="9"/>
  <c r="Q352" i="9"/>
  <c r="Q353" i="9"/>
  <c r="Q354" i="9"/>
  <c r="Q355" i="9"/>
  <c r="Q356" i="9"/>
  <c r="Q357" i="9"/>
  <c r="Q358" i="9"/>
  <c r="Q359" i="9"/>
  <c r="Q360" i="9"/>
  <c r="Q361" i="9"/>
  <c r="Q362" i="9"/>
  <c r="Q363" i="9"/>
  <c r="Q364" i="9"/>
  <c r="Q365" i="9"/>
  <c r="Q366" i="9"/>
  <c r="Q367" i="9"/>
  <c r="Q368" i="9"/>
  <c r="Q369" i="9"/>
  <c r="Q370" i="9"/>
  <c r="Q371" i="9"/>
  <c r="Q372" i="9"/>
  <c r="Q373" i="9"/>
  <c r="Q374" i="9"/>
  <c r="Q375" i="9"/>
  <c r="Q376" i="9"/>
  <c r="Q377" i="9"/>
  <c r="Q378" i="9"/>
  <c r="Q379" i="9"/>
  <c r="Q380" i="9"/>
  <c r="Q381" i="9"/>
  <c r="Q382" i="9"/>
  <c r="Q383" i="9"/>
  <c r="Q384" i="9"/>
  <c r="Q385" i="9"/>
  <c r="Q386" i="9"/>
  <c r="Q387" i="9"/>
  <c r="Q388" i="9"/>
  <c r="Q389" i="9"/>
  <c r="Q390" i="9"/>
  <c r="Q391" i="9"/>
  <c r="Q392" i="9"/>
  <c r="Q393" i="9"/>
  <c r="Q394" i="9"/>
  <c r="Q395" i="9"/>
  <c r="Q396" i="9"/>
  <c r="Q397" i="9"/>
  <c r="Q398" i="9"/>
  <c r="Q399" i="9"/>
  <c r="Q400" i="9"/>
  <c r="Q401" i="9"/>
  <c r="Q402" i="9"/>
  <c r="Q403" i="9"/>
  <c r="Q404" i="9"/>
  <c r="Q405" i="9"/>
  <c r="Q406" i="9"/>
  <c r="Q407" i="9"/>
  <c r="Q408" i="9"/>
  <c r="Q409" i="9"/>
  <c r="Q410" i="9"/>
  <c r="Q411" i="9"/>
  <c r="Q412" i="9"/>
  <c r="Q413" i="9"/>
  <c r="Q414" i="9"/>
  <c r="Q415" i="9"/>
  <c r="Q416" i="9"/>
  <c r="Q417" i="9"/>
  <c r="Q418" i="9"/>
  <c r="Q419" i="9"/>
  <c r="Q420" i="9"/>
  <c r="Q421" i="9"/>
  <c r="Q422" i="9"/>
  <c r="Q423" i="9"/>
  <c r="Q424" i="9"/>
  <c r="Q425" i="9"/>
  <c r="Q426" i="9"/>
  <c r="Q427" i="9"/>
  <c r="Q428" i="9"/>
  <c r="Q429" i="9"/>
  <c r="Q430" i="9"/>
  <c r="Q431" i="9"/>
  <c r="Q432" i="9"/>
  <c r="Q433" i="9"/>
  <c r="Q434" i="9"/>
  <c r="Q435" i="9"/>
  <c r="Q436" i="9"/>
  <c r="Q437" i="9"/>
  <c r="Q438" i="9"/>
  <c r="Q439" i="9"/>
  <c r="Q440" i="9"/>
  <c r="Q441" i="9"/>
  <c r="Q442" i="9"/>
  <c r="Q443" i="9"/>
  <c r="Q444" i="9"/>
  <c r="Q445" i="9"/>
  <c r="Q446" i="9"/>
  <c r="Q447" i="9"/>
  <c r="Q448" i="9"/>
  <c r="Q449" i="9"/>
  <c r="Q450" i="9"/>
  <c r="Q451" i="9"/>
  <c r="Q452" i="9"/>
  <c r="Q453" i="9"/>
  <c r="Q454" i="9"/>
  <c r="Q455" i="9"/>
  <c r="Q456" i="9"/>
  <c r="Q457" i="9"/>
  <c r="Q458" i="9"/>
  <c r="Q459" i="9"/>
  <c r="Q460" i="9"/>
  <c r="Q461" i="9"/>
  <c r="Q462" i="9"/>
  <c r="Q463" i="9"/>
  <c r="Q464" i="9"/>
  <c r="Q465" i="9"/>
  <c r="Q466" i="9"/>
  <c r="Q467" i="9"/>
  <c r="Q468" i="9"/>
  <c r="Q469" i="9"/>
  <c r="Q470" i="9"/>
  <c r="Q471" i="9"/>
  <c r="Q472" i="9"/>
  <c r="Q473" i="9"/>
  <c r="Q474" i="9"/>
  <c r="Q475" i="9"/>
  <c r="Q476" i="9"/>
  <c r="Q477" i="9"/>
  <c r="Q478" i="9"/>
  <c r="Q479" i="9"/>
  <c r="Q480" i="9"/>
  <c r="Q481" i="9"/>
  <c r="Q482" i="9"/>
  <c r="Q483" i="9"/>
  <c r="Q484" i="9"/>
  <c r="Q485" i="9"/>
  <c r="Q486" i="9"/>
  <c r="Q487" i="9"/>
  <c r="Q488" i="9"/>
  <c r="Q489" i="9"/>
  <c r="Q490" i="9"/>
  <c r="Q491" i="9"/>
  <c r="Q492" i="9"/>
  <c r="Q493" i="9"/>
  <c r="Q494" i="9"/>
  <c r="Q495" i="9"/>
  <c r="Q496" i="9"/>
  <c r="Q497" i="9"/>
  <c r="Q498" i="9"/>
  <c r="Q499" i="9"/>
  <c r="Q500" i="9"/>
  <c r="Q501" i="9"/>
  <c r="Q502" i="9"/>
  <c r="Q503" i="9"/>
  <c r="Q504" i="9"/>
  <c r="Q505" i="9"/>
  <c r="Q506" i="9"/>
  <c r="Q507" i="9"/>
  <c r="Q508" i="9"/>
  <c r="Q509" i="9"/>
  <c r="Q510" i="9"/>
  <c r="Q511" i="9"/>
  <c r="Q512" i="9"/>
  <c r="Q513" i="9"/>
  <c r="Q514" i="9"/>
  <c r="Q515" i="9"/>
  <c r="Q516" i="9"/>
  <c r="Q517" i="9"/>
  <c r="Q518" i="9"/>
  <c r="Q519" i="9"/>
  <c r="Q520" i="9"/>
  <c r="Q521" i="9"/>
  <c r="Q522" i="9"/>
  <c r="Q523" i="9"/>
  <c r="Q524" i="9"/>
  <c r="Q525" i="9"/>
  <c r="Q526" i="9"/>
  <c r="Q527" i="9"/>
  <c r="Q528" i="9"/>
  <c r="Q529" i="9"/>
  <c r="Q530" i="9"/>
  <c r="Q531" i="9"/>
  <c r="Q532" i="9"/>
  <c r="Q533" i="9"/>
  <c r="Q534" i="9"/>
  <c r="Q535" i="9"/>
  <c r="Q536" i="9"/>
  <c r="Q537" i="9"/>
  <c r="Q538" i="9"/>
  <c r="Q539" i="9"/>
  <c r="Q540" i="9"/>
  <c r="Q541" i="9"/>
  <c r="Q542" i="9"/>
  <c r="Q543" i="9"/>
  <c r="Q544" i="9"/>
  <c r="Q545" i="9"/>
  <c r="Q546" i="9"/>
  <c r="Q547" i="9"/>
  <c r="Q548" i="9"/>
  <c r="Q549" i="9"/>
  <c r="Q550" i="9"/>
  <c r="Q551" i="9"/>
  <c r="Q552" i="9"/>
  <c r="Q553" i="9"/>
  <c r="Q554" i="9"/>
  <c r="Q555" i="9"/>
  <c r="Q556" i="9"/>
  <c r="Q557" i="9"/>
  <c r="Q558" i="9"/>
  <c r="Q559" i="9"/>
  <c r="Q560" i="9"/>
  <c r="Q561" i="9"/>
  <c r="Q562" i="9"/>
  <c r="Q563" i="9"/>
  <c r="Q564" i="9"/>
  <c r="Q565" i="9"/>
  <c r="Q566" i="9"/>
  <c r="Q567" i="9"/>
  <c r="Q568" i="9"/>
  <c r="Q569" i="9"/>
  <c r="Q570" i="9"/>
  <c r="Q571" i="9"/>
  <c r="Q572" i="9"/>
  <c r="Q573" i="9"/>
  <c r="Q574" i="9"/>
  <c r="Q575" i="9"/>
  <c r="Q576" i="9"/>
  <c r="Q577" i="9"/>
  <c r="Q578" i="9"/>
  <c r="Q579" i="9"/>
  <c r="Q580" i="9"/>
  <c r="Q581" i="9"/>
  <c r="Q582" i="9"/>
  <c r="Q583" i="9"/>
  <c r="Q584" i="9"/>
  <c r="Q585" i="9"/>
  <c r="Q586" i="9"/>
  <c r="Q587" i="9"/>
  <c r="Q588" i="9"/>
  <c r="Q589" i="9"/>
  <c r="Q590" i="9"/>
  <c r="Q591" i="9"/>
  <c r="Q592" i="9"/>
  <c r="Q593" i="9"/>
  <c r="Q594" i="9"/>
  <c r="Q595" i="9"/>
  <c r="Q596" i="9"/>
  <c r="Q597" i="9"/>
  <c r="Q598" i="9"/>
  <c r="Q599" i="9"/>
  <c r="Q600" i="9"/>
  <c r="Q601" i="9"/>
  <c r="Q602" i="9"/>
  <c r="Q603" i="9"/>
  <c r="Q604" i="9"/>
  <c r="Q605" i="9"/>
  <c r="Q12" i="9"/>
  <c r="C105" i="8"/>
  <c r="E2" i="8"/>
  <c r="AB180" i="16" l="1"/>
  <c r="AR180" i="16" s="1" a="1"/>
  <c r="AR180" i="16" s="1"/>
  <c r="AC180" i="16"/>
  <c r="AS180" i="16" s="1" a="1"/>
  <c r="AS180" i="16" s="1"/>
  <c r="AB176" i="16"/>
  <c r="AC176" i="16"/>
  <c r="AS176" i="16" s="1" a="1"/>
  <c r="AS176" i="16" s="1"/>
  <c r="AC185" i="16"/>
  <c r="AS185" i="16" s="1" a="1"/>
  <c r="AS185" i="16" s="1"/>
  <c r="AB185" i="16"/>
  <c r="AB175" i="16"/>
  <c r="AC175" i="16"/>
  <c r="AS175" i="16" s="1" a="1"/>
  <c r="AS175" i="16" s="1"/>
  <c r="AC186" i="16"/>
  <c r="AS186" i="16" s="1" a="1"/>
  <c r="AS186" i="16" s="1"/>
  <c r="AB186" i="16"/>
  <c r="AR186" i="16" s="1" a="1"/>
  <c r="AR186" i="16" s="1"/>
  <c r="AR175" i="16" a="1"/>
  <c r="AR175" i="16" s="1"/>
  <c r="AA175" i="16"/>
  <c r="AQ175" i="16" s="1"/>
  <c r="AQ186" i="16"/>
  <c r="AQ184" i="16"/>
  <c r="AQ182" i="16"/>
  <c r="AQ180" i="16"/>
  <c r="AQ185" i="16"/>
  <c r="AR185" i="16" a="1"/>
  <c r="AR185" i="16" s="1"/>
  <c r="AR176" i="16" a="1"/>
  <c r="AR176" i="16" s="1"/>
  <c r="AA176" i="16"/>
  <c r="AQ176" i="16" s="1"/>
  <c r="AD73" i="16"/>
  <c r="AD186" i="16"/>
  <c r="AD111" i="16"/>
  <c r="AD184" i="16"/>
  <c r="AD105" i="16"/>
  <c r="AD183" i="16"/>
  <c r="AD100" i="16"/>
  <c r="AD182" i="16"/>
  <c r="AD138" i="16"/>
  <c r="AD181" i="16"/>
  <c r="AD5" i="16"/>
  <c r="AD145" i="16"/>
  <c r="AD7" i="16"/>
  <c r="AD125" i="16"/>
  <c r="AD107" i="16"/>
  <c r="AD22" i="16"/>
  <c r="AD34" i="16"/>
  <c r="AD124" i="16"/>
  <c r="AD122" i="16"/>
  <c r="AD12" i="16"/>
  <c r="AD2" i="16"/>
  <c r="AD46" i="16"/>
  <c r="AD173" i="16"/>
  <c r="AD24" i="16"/>
  <c r="AD16" i="16"/>
  <c r="AD128" i="16"/>
  <c r="AD21" i="16"/>
  <c r="AD169" i="16"/>
  <c r="AD163" i="16"/>
  <c r="AD33" i="16"/>
  <c r="AD38" i="16"/>
  <c r="AD172" i="16"/>
  <c r="AD25" i="16"/>
  <c r="AD129" i="16"/>
  <c r="AD17" i="16"/>
  <c r="AD157" i="16"/>
  <c r="AD142" i="16"/>
  <c r="AD8" i="16"/>
  <c r="AD10" i="16"/>
  <c r="AD40" i="16"/>
  <c r="AD31" i="16"/>
  <c r="AD65" i="16"/>
  <c r="AD11" i="16"/>
  <c r="AD134" i="16"/>
  <c r="AD13" i="16"/>
  <c r="AD70" i="16"/>
  <c r="AD15" i="16"/>
  <c r="AD150" i="16"/>
  <c r="AD27" i="16"/>
  <c r="AD71" i="16"/>
  <c r="AD133" i="16"/>
  <c r="AD20" i="16"/>
  <c r="AD151" i="16"/>
  <c r="AD37" i="16"/>
  <c r="AD75" i="16"/>
  <c r="AD18" i="16"/>
  <c r="AD9" i="16"/>
  <c r="AD114" i="16"/>
  <c r="AD45" i="16"/>
  <c r="AD30" i="16"/>
  <c r="AD155" i="16"/>
  <c r="AD29" i="16"/>
  <c r="AD23" i="16"/>
  <c r="AD149" i="16"/>
  <c r="AD14" i="16"/>
  <c r="AD144" i="16"/>
  <c r="AD113" i="16"/>
  <c r="AD36" i="16"/>
  <c r="AD28" i="16"/>
  <c r="AD120" i="16"/>
  <c r="AD97" i="16"/>
  <c r="AD4" i="16"/>
  <c r="AD3" i="16"/>
  <c r="AD56" i="16"/>
  <c r="AD6" i="16"/>
  <c r="AD146" i="16"/>
  <c r="AD26" i="16"/>
  <c r="AD68" i="16"/>
  <c r="AD35" i="16"/>
  <c r="AD158" i="16"/>
  <c r="AD19" i="16"/>
  <c r="AD143" i="16"/>
  <c r="AD148" i="16"/>
  <c r="AD32" i="16"/>
  <c r="DM35" i="11"/>
  <c r="G50" i="8"/>
  <c r="I50" i="8" s="1" a="1"/>
  <c r="I50" i="8" s="1"/>
  <c r="G31" i="8"/>
  <c r="I31" i="8" s="1" a="1"/>
  <c r="I31" i="8" s="1"/>
  <c r="G95" i="8"/>
  <c r="I95" i="8" s="1" a="1"/>
  <c r="I95" i="8" s="1"/>
  <c r="G56" i="8"/>
  <c r="I56" i="8" s="1" a="1"/>
  <c r="I56" i="8" s="1"/>
  <c r="G33" i="8"/>
  <c r="I33" i="8" s="1" a="1"/>
  <c r="I33" i="8" s="1"/>
  <c r="G47" i="8"/>
  <c r="I47" i="8" s="1" a="1"/>
  <c r="I47" i="8" s="1"/>
  <c r="G8" i="8"/>
  <c r="I8" i="8" s="1" a="1"/>
  <c r="I8" i="8" s="1"/>
  <c r="G72" i="8"/>
  <c r="I72" i="8" s="1" a="1"/>
  <c r="I72" i="8" s="1"/>
  <c r="G49" i="8"/>
  <c r="I49" i="8" s="1" a="1"/>
  <c r="I49" i="8" s="1"/>
  <c r="G63" i="8"/>
  <c r="I63" i="8" s="1" a="1"/>
  <c r="I63" i="8" s="1"/>
  <c r="G24" i="8"/>
  <c r="I24" i="8" s="1" a="1"/>
  <c r="I24" i="8" s="1"/>
  <c r="G82" i="8"/>
  <c r="I82" i="8" s="1" a="1"/>
  <c r="I82" i="8" s="1"/>
  <c r="G65" i="8"/>
  <c r="I65" i="8" s="1" a="1"/>
  <c r="I65" i="8" s="1"/>
  <c r="G15" i="8"/>
  <c r="I15" i="8" s="1" a="1"/>
  <c r="I15" i="8" s="1"/>
  <c r="G79" i="8"/>
  <c r="I79" i="8" s="1" a="1"/>
  <c r="I79" i="8" s="1"/>
  <c r="G40" i="8"/>
  <c r="I40" i="8" s="1" a="1"/>
  <c r="I40" i="8" s="1"/>
  <c r="G17" i="8"/>
  <c r="I17" i="8" s="1" a="1"/>
  <c r="I17" i="8" s="1"/>
  <c r="G81" i="8"/>
  <c r="I81" i="8" s="1" a="1"/>
  <c r="I81" i="8" s="1"/>
  <c r="G3" i="8"/>
  <c r="I3" i="8" s="1" a="1"/>
  <c r="I3" i="8" s="1"/>
  <c r="G19" i="8"/>
  <c r="I19" i="8" s="1" a="1"/>
  <c r="I19" i="8" s="1"/>
  <c r="G35" i="8"/>
  <c r="I35" i="8" s="1" a="1"/>
  <c r="I35" i="8" s="1"/>
  <c r="G51" i="8"/>
  <c r="I51" i="8" s="1" a="1"/>
  <c r="I51" i="8" s="1"/>
  <c r="G67" i="8"/>
  <c r="I67" i="8" s="1" a="1"/>
  <c r="I67" i="8" s="1"/>
  <c r="G83" i="8"/>
  <c r="I83" i="8" s="1" a="1"/>
  <c r="I83" i="8" s="1"/>
  <c r="G80" i="8"/>
  <c r="I80" i="8" s="1" a="1"/>
  <c r="I80" i="8" s="1"/>
  <c r="G12" i="8"/>
  <c r="I12" i="8" s="1" a="1"/>
  <c r="I12" i="8" s="1"/>
  <c r="G28" i="8"/>
  <c r="I28" i="8" s="1" a="1"/>
  <c r="I28" i="8" s="1"/>
  <c r="G44" i="8"/>
  <c r="I44" i="8" s="1" a="1"/>
  <c r="I44" i="8" s="1"/>
  <c r="G60" i="8"/>
  <c r="I60" i="8" s="1" a="1"/>
  <c r="I60" i="8" s="1"/>
  <c r="G76" i="8"/>
  <c r="I76" i="8" s="1" a="1"/>
  <c r="I76" i="8" s="1"/>
  <c r="G5" i="8"/>
  <c r="I5" i="8" s="1" a="1"/>
  <c r="I5" i="8" s="1"/>
  <c r="G21" i="8"/>
  <c r="I21" i="8" s="1" a="1"/>
  <c r="I21" i="8" s="1"/>
  <c r="G37" i="8"/>
  <c r="I37" i="8" s="1" a="1"/>
  <c r="I37" i="8" s="1"/>
  <c r="G53" i="8"/>
  <c r="I53" i="8" s="1" a="1"/>
  <c r="I53" i="8" s="1"/>
  <c r="G69" i="8"/>
  <c r="I69" i="8" s="1" a="1"/>
  <c r="I69" i="8" s="1"/>
  <c r="G85" i="8"/>
  <c r="I85" i="8" s="1" a="1"/>
  <c r="I85" i="8" s="1"/>
  <c r="I2" i="8" a="1"/>
  <c r="I2" i="8" s="1"/>
  <c r="G74" i="8"/>
  <c r="I74" i="8" s="1" a="1"/>
  <c r="I74" i="8" s="1"/>
  <c r="G94" i="8"/>
  <c r="I94" i="8" s="1" a="1"/>
  <c r="I94" i="8" s="1"/>
  <c r="G18" i="8"/>
  <c r="I18" i="8" s="1" a="1"/>
  <c r="I18" i="8" s="1"/>
  <c r="G34" i="8"/>
  <c r="I34" i="8" s="1" a="1"/>
  <c r="I34" i="8" s="1"/>
  <c r="G97" i="8"/>
  <c r="I97" i="8" s="1" a="1"/>
  <c r="I97" i="8" s="1"/>
  <c r="G101" i="8"/>
  <c r="I101" i="8" s="1" a="1"/>
  <c r="I101" i="8" s="1"/>
  <c r="G98" i="8"/>
  <c r="I98" i="8" s="1" a="1"/>
  <c r="I98" i="8" s="1"/>
  <c r="G99" i="8"/>
  <c r="I99" i="8" s="1" a="1"/>
  <c r="I99" i="8" s="1"/>
  <c r="G96" i="8"/>
  <c r="I96" i="8" s="1" a="1"/>
  <c r="I96" i="8" s="1"/>
  <c r="G100" i="8"/>
  <c r="I100" i="8" s="1" a="1"/>
  <c r="I100" i="8" s="1"/>
  <c r="G70" i="8"/>
  <c r="I70" i="8" s="1" a="1"/>
  <c r="I70" i="8" s="1"/>
  <c r="G90" i="8"/>
  <c r="I90" i="8" s="1" a="1"/>
  <c r="I90" i="8" s="1"/>
  <c r="G14" i="8"/>
  <c r="I14" i="8" s="1" a="1"/>
  <c r="I14" i="8" s="1"/>
  <c r="G30" i="8"/>
  <c r="I30" i="8" s="1" a="1"/>
  <c r="I30" i="8" s="1"/>
  <c r="G46" i="8"/>
  <c r="I46" i="8" s="1" a="1"/>
  <c r="I46" i="8" s="1"/>
  <c r="G7" i="8"/>
  <c r="I7" i="8" s="1" a="1"/>
  <c r="I7" i="8" s="1"/>
  <c r="G23" i="8"/>
  <c r="I23" i="8" s="1" a="1"/>
  <c r="I23" i="8" s="1"/>
  <c r="G39" i="8"/>
  <c r="I39" i="8" s="1" a="1"/>
  <c r="I39" i="8" s="1"/>
  <c r="G55" i="8"/>
  <c r="I55" i="8" s="1" a="1"/>
  <c r="I55" i="8" s="1"/>
  <c r="G71" i="8"/>
  <c r="I71" i="8" s="1" a="1"/>
  <c r="I71" i="8" s="1"/>
  <c r="G87" i="8"/>
  <c r="I87" i="8" s="1" a="1"/>
  <c r="I87" i="8" s="1"/>
  <c r="G88" i="8"/>
  <c r="I88" i="8" s="1" a="1"/>
  <c r="I88" i="8" s="1"/>
  <c r="G16" i="8"/>
  <c r="I16" i="8" s="1" a="1"/>
  <c r="I16" i="8" s="1"/>
  <c r="G32" i="8"/>
  <c r="I32" i="8" s="1" a="1"/>
  <c r="I32" i="8" s="1"/>
  <c r="G48" i="8"/>
  <c r="I48" i="8" s="1" a="1"/>
  <c r="I48" i="8" s="1"/>
  <c r="G64" i="8"/>
  <c r="I64" i="8" s="1" a="1"/>
  <c r="I64" i="8" s="1"/>
  <c r="G84" i="8"/>
  <c r="I84" i="8" s="1" a="1"/>
  <c r="I84" i="8" s="1"/>
  <c r="G9" i="8"/>
  <c r="I9" i="8" s="1" a="1"/>
  <c r="I9" i="8" s="1"/>
  <c r="G25" i="8"/>
  <c r="I25" i="8" s="1" a="1"/>
  <c r="I25" i="8" s="1"/>
  <c r="G41" i="8"/>
  <c r="I41" i="8" s="1" a="1"/>
  <c r="I41" i="8" s="1"/>
  <c r="G57" i="8"/>
  <c r="I57" i="8" s="1" a="1"/>
  <c r="I57" i="8" s="1"/>
  <c r="G73" i="8"/>
  <c r="I73" i="8" s="1" a="1"/>
  <c r="I73" i="8" s="1"/>
  <c r="G89" i="8"/>
  <c r="I89" i="8" s="1" a="1"/>
  <c r="I89" i="8" s="1"/>
  <c r="G62" i="8"/>
  <c r="I62" i="8" s="1" a="1"/>
  <c r="I62" i="8" s="1"/>
  <c r="G78" i="8"/>
  <c r="I78" i="8" s="1" a="1"/>
  <c r="I78" i="8" s="1"/>
  <c r="G6" i="8"/>
  <c r="I6" i="8" s="1" a="1"/>
  <c r="I6" i="8" s="1"/>
  <c r="G22" i="8"/>
  <c r="I22" i="8" s="1" a="1"/>
  <c r="I22" i="8" s="1"/>
  <c r="G38" i="8"/>
  <c r="I38" i="8" s="1" a="1"/>
  <c r="I38" i="8" s="1"/>
  <c r="G54" i="8"/>
  <c r="I54" i="8" s="1" a="1"/>
  <c r="I54" i="8" s="1"/>
  <c r="G11" i="8"/>
  <c r="I11" i="8" s="1" a="1"/>
  <c r="I11" i="8" s="1"/>
  <c r="G27" i="8"/>
  <c r="I27" i="8" s="1" a="1"/>
  <c r="I27" i="8" s="1"/>
  <c r="G43" i="8"/>
  <c r="I43" i="8" s="1" a="1"/>
  <c r="I43" i="8" s="1"/>
  <c r="G59" i="8"/>
  <c r="I59" i="8" s="1" a="1"/>
  <c r="I59" i="8" s="1"/>
  <c r="G75" i="8"/>
  <c r="I75" i="8" s="1" a="1"/>
  <c r="I75" i="8" s="1"/>
  <c r="G91" i="8"/>
  <c r="I91" i="8" s="1" a="1"/>
  <c r="I91" i="8" s="1"/>
  <c r="G4" i="8"/>
  <c r="I4" i="8" s="1" a="1"/>
  <c r="I4" i="8" s="1"/>
  <c r="G20" i="8"/>
  <c r="I20" i="8" s="1" a="1"/>
  <c r="I20" i="8" s="1"/>
  <c r="G36" i="8"/>
  <c r="I36" i="8" s="1" a="1"/>
  <c r="I36" i="8" s="1"/>
  <c r="G52" i="8"/>
  <c r="I52" i="8" s="1" a="1"/>
  <c r="I52" i="8" s="1"/>
  <c r="G68" i="8"/>
  <c r="I68" i="8" s="1" a="1"/>
  <c r="I68" i="8" s="1"/>
  <c r="G92" i="8"/>
  <c r="I92" i="8" s="1" a="1"/>
  <c r="I92" i="8" s="1"/>
  <c r="G13" i="8"/>
  <c r="I13" i="8" s="1" a="1"/>
  <c r="I13" i="8" s="1"/>
  <c r="G29" i="8"/>
  <c r="I29" i="8" s="1" a="1"/>
  <c r="I29" i="8" s="1"/>
  <c r="G45" i="8"/>
  <c r="I45" i="8" s="1" a="1"/>
  <c r="I45" i="8" s="1"/>
  <c r="G61" i="8"/>
  <c r="I61" i="8" s="1" a="1"/>
  <c r="I61" i="8" s="1"/>
  <c r="G77" i="8"/>
  <c r="I77" i="8" s="1" a="1"/>
  <c r="I77" i="8" s="1"/>
  <c r="G93" i="8"/>
  <c r="I93" i="8" s="1" a="1"/>
  <c r="I93" i="8" s="1"/>
  <c r="G66" i="8"/>
  <c r="I66" i="8" s="1" a="1"/>
  <c r="I66" i="8" s="1"/>
  <c r="G86" i="8"/>
  <c r="I86" i="8" s="1" a="1"/>
  <c r="I86" i="8" s="1"/>
  <c r="G10" i="8"/>
  <c r="I10" i="8" s="1" a="1"/>
  <c r="I10" i="8" s="1"/>
  <c r="G26" i="8"/>
  <c r="I26" i="8" s="1" a="1"/>
  <c r="I26" i="8" s="1"/>
  <c r="G42" i="8"/>
  <c r="I42" i="8" s="1" a="1"/>
  <c r="I42" i="8" s="1"/>
  <c r="G58" i="8"/>
  <c r="I58" i="8" s="1" a="1"/>
  <c r="I58" i="8" s="1"/>
  <c r="DM58" i="11"/>
  <c r="DM121" i="11"/>
  <c r="DM66" i="11"/>
  <c r="DM50" i="11"/>
  <c r="DQ3" i="11"/>
  <c r="DM38" i="11"/>
  <c r="DM99" i="11"/>
  <c r="DM94" i="11"/>
  <c r="DM96" i="11"/>
  <c r="DM83" i="11"/>
  <c r="DM79" i="11"/>
  <c r="DM14" i="11"/>
  <c r="DK3" i="11"/>
  <c r="DM129" i="11"/>
  <c r="DK118" i="11"/>
  <c r="DK110" i="11"/>
  <c r="DK102" i="11"/>
  <c r="DK94" i="11"/>
  <c r="DK86" i="11"/>
  <c r="DK78" i="11"/>
  <c r="DK70" i="11"/>
  <c r="DK62" i="11"/>
  <c r="DK54" i="11"/>
  <c r="DK46" i="11"/>
  <c r="DK38" i="11"/>
  <c r="DK30" i="11"/>
  <c r="DK22" i="11"/>
  <c r="DK14" i="11"/>
  <c r="DK6" i="11"/>
  <c r="DM45" i="11"/>
  <c r="DM12" i="11"/>
  <c r="DM163" i="11"/>
  <c r="DM77" i="11"/>
  <c r="DM93" i="11"/>
  <c r="DM132" i="11"/>
  <c r="DM80" i="11"/>
  <c r="DM76" i="11"/>
  <c r="DM139" i="11"/>
  <c r="DM135" i="11"/>
  <c r="DM47" i="11"/>
  <c r="DM142" i="11"/>
  <c r="DM74" i="11"/>
  <c r="DM160" i="11"/>
  <c r="DM156" i="11"/>
  <c r="DM60" i="11"/>
  <c r="DM147" i="11"/>
  <c r="DM119" i="11"/>
  <c r="DK164" i="11"/>
  <c r="DK156" i="11"/>
  <c r="DK148" i="11"/>
  <c r="DK140" i="11"/>
  <c r="DK132" i="11"/>
  <c r="DK124" i="11"/>
  <c r="DK116" i="11"/>
  <c r="DK108" i="11"/>
  <c r="DK100" i="11"/>
  <c r="DK92" i="11"/>
  <c r="DK84" i="11"/>
  <c r="DK76" i="11"/>
  <c r="DK68" i="11"/>
  <c r="DK60" i="11"/>
  <c r="DK52" i="11"/>
  <c r="DK44" i="11"/>
  <c r="DK36" i="11"/>
  <c r="DK28" i="11"/>
  <c r="DK20" i="11"/>
  <c r="DK12" i="11"/>
  <c r="DK4" i="11"/>
  <c r="DK171" i="11"/>
  <c r="DK163" i="11"/>
  <c r="DK155" i="11"/>
  <c r="DK147" i="11"/>
  <c r="DK139" i="11"/>
  <c r="DK131" i="11"/>
  <c r="DK123" i="11"/>
  <c r="DK143" i="11"/>
  <c r="DK135" i="11"/>
  <c r="DK127" i="11"/>
  <c r="DK119" i="11"/>
  <c r="DK111" i="11"/>
  <c r="DK103" i="11"/>
  <c r="DK95" i="11"/>
  <c r="DK87" i="11"/>
  <c r="DK79" i="11"/>
  <c r="DK71" i="11"/>
  <c r="DK63" i="11"/>
  <c r="DK55" i="11"/>
  <c r="DK47" i="11"/>
  <c r="DK39" i="11"/>
  <c r="DK31" i="11"/>
  <c r="DK23" i="11"/>
  <c r="DK15" i="11"/>
  <c r="DK7" i="11"/>
  <c r="DK168" i="11"/>
  <c r="DK160" i="11"/>
  <c r="DK136" i="11"/>
  <c r="DK128" i="11"/>
  <c r="DK120" i="11"/>
  <c r="DK112" i="11"/>
  <c r="DK104" i="11"/>
  <c r="DK96" i="11"/>
  <c r="DK88" i="11"/>
  <c r="DK80" i="11"/>
  <c r="DK72" i="11"/>
  <c r="DK64" i="11"/>
  <c r="DK56" i="11"/>
  <c r="DK48" i="11"/>
  <c r="DK40" i="11"/>
  <c r="DK32" i="11"/>
  <c r="DK24" i="11"/>
  <c r="DK16" i="11"/>
  <c r="DK8" i="11"/>
  <c r="DK5" i="11"/>
  <c r="DK167" i="11"/>
  <c r="DK159" i="11"/>
  <c r="DK151" i="11"/>
  <c r="DK170" i="11"/>
  <c r="DK162" i="11"/>
  <c r="DK154" i="11"/>
  <c r="DK146" i="11"/>
  <c r="DK138" i="11"/>
  <c r="DK130" i="11"/>
  <c r="DK122" i="11"/>
  <c r="DK114" i="11"/>
  <c r="DK106" i="11"/>
  <c r="DK98" i="11"/>
  <c r="DK90" i="11"/>
  <c r="DK82" i="11"/>
  <c r="DK74" i="11"/>
  <c r="DK66" i="11"/>
  <c r="DK58" i="11"/>
  <c r="DK50" i="11"/>
  <c r="DK42" i="11"/>
  <c r="DK34" i="11"/>
  <c r="DK26" i="11"/>
  <c r="DK18" i="11"/>
  <c r="DK10" i="11"/>
  <c r="DK165" i="11"/>
  <c r="DK157" i="11"/>
  <c r="DK149" i="11"/>
  <c r="DK141" i="11"/>
  <c r="DK133" i="11"/>
  <c r="DK125" i="11"/>
  <c r="DK117" i="11"/>
  <c r="DK109" i="11"/>
  <c r="DK101" i="11"/>
  <c r="DK93" i="11"/>
  <c r="DK85" i="11"/>
  <c r="DK77" i="11"/>
  <c r="DK69" i="11"/>
  <c r="DK61" i="11"/>
  <c r="DK53" i="11"/>
  <c r="DK45" i="11"/>
  <c r="DK37" i="11"/>
  <c r="DK29" i="11"/>
  <c r="DK21" i="11"/>
  <c r="DK13" i="11"/>
  <c r="DK115" i="11"/>
  <c r="DK107" i="11"/>
  <c r="DK99" i="11"/>
  <c r="DK91" i="11"/>
  <c r="DK83" i="11"/>
  <c r="DK75" i="11"/>
  <c r="DK67" i="11"/>
  <c r="DK59" i="11"/>
  <c r="DK51" i="11"/>
  <c r="DK43" i="11"/>
  <c r="DK35" i="11"/>
  <c r="DK27" i="11"/>
  <c r="DK19" i="11"/>
  <c r="DK11" i="11"/>
  <c r="DK166" i="11"/>
  <c r="DK158" i="11"/>
  <c r="DK150" i="11"/>
  <c r="DK142" i="11"/>
  <c r="DK134" i="11"/>
  <c r="DK126" i="11"/>
  <c r="DK169" i="11"/>
  <c r="DK161" i="11"/>
  <c r="DK153" i="11"/>
  <c r="DK145" i="11"/>
  <c r="DK137" i="11"/>
  <c r="DK129" i="11"/>
  <c r="DK121" i="11"/>
  <c r="DK113" i="11"/>
  <c r="DK105" i="11"/>
  <c r="DK97" i="11"/>
  <c r="DK89" i="11"/>
  <c r="DK81" i="11"/>
  <c r="DK73" i="11"/>
  <c r="DK65" i="11"/>
  <c r="DK57" i="11"/>
  <c r="DK49" i="11"/>
  <c r="DK41" i="11"/>
  <c r="DK33" i="11"/>
  <c r="DK25" i="11"/>
  <c r="DK17" i="11"/>
  <c r="DK9" i="11"/>
  <c r="DK152" i="11"/>
  <c r="DK144" i="11"/>
  <c r="Q11" i="9"/>
  <c r="Q10" i="9"/>
  <c r="Q9" i="9"/>
  <c r="Q8" i="9"/>
  <c r="Q7" i="9"/>
  <c r="Q6" i="9"/>
  <c r="Q5" i="9"/>
  <c r="Q4" i="9"/>
  <c r="Q3" i="9"/>
  <c r="Q2" i="9"/>
  <c r="H59" i="12" l="1"/>
  <c r="C60" i="12"/>
  <c r="G61" i="12"/>
  <c r="H62" i="12"/>
  <c r="C63" i="12"/>
  <c r="C59" i="12"/>
  <c r="D63" i="12"/>
  <c r="D59" i="12"/>
  <c r="G64" i="12"/>
  <c r="G60" i="12"/>
  <c r="H57" i="12"/>
  <c r="H61" i="12"/>
  <c r="D64" i="12"/>
  <c r="H58" i="12"/>
  <c r="C62" i="12"/>
  <c r="C58" i="12"/>
  <c r="D62" i="12"/>
  <c r="D58" i="12"/>
  <c r="G63" i="12"/>
  <c r="G59" i="12"/>
  <c r="H64" i="12"/>
  <c r="H60" i="12"/>
  <c r="C64" i="12"/>
  <c r="D60" i="12"/>
  <c r="G57" i="12"/>
  <c r="C57" i="12"/>
  <c r="C61" i="12"/>
  <c r="D57" i="12"/>
  <c r="D61" i="12"/>
  <c r="G62" i="12"/>
  <c r="G58" i="12"/>
  <c r="H63" i="12"/>
  <c r="C17" i="7"/>
  <c r="D3" i="12"/>
  <c r="D4" i="12"/>
  <c r="D5" i="12"/>
  <c r="D6" i="12"/>
  <c r="D7" i="12"/>
  <c r="D8" i="12"/>
  <c r="D9" i="12"/>
  <c r="D2" i="12"/>
  <c r="C3" i="12"/>
  <c r="E3" i="12" s="1"/>
  <c r="F3" i="12" s="1"/>
  <c r="C4" i="12"/>
  <c r="C5" i="12"/>
  <c r="E5" i="12" s="1"/>
  <c r="F5" i="12" s="1"/>
  <c r="C6" i="12"/>
  <c r="C7" i="12"/>
  <c r="C8" i="12"/>
  <c r="C9" i="12"/>
  <c r="E9" i="12" s="1"/>
  <c r="F9" i="12" s="1"/>
  <c r="C2" i="12"/>
  <c r="G5" i="12" l="1" a="1"/>
  <c r="G5" i="12" s="1"/>
  <c r="G3" i="12" a="1"/>
  <c r="G3" i="12" s="1"/>
  <c r="G9" i="12" a="1"/>
  <c r="G9" i="12" s="1"/>
  <c r="E4" i="12"/>
  <c r="F4" i="12" s="1"/>
  <c r="E8" i="12"/>
  <c r="F8" i="12" s="1"/>
  <c r="E6" i="12"/>
  <c r="F6" i="12" s="1"/>
  <c r="E7" i="12"/>
  <c r="F7" i="12" s="1"/>
  <c r="E2" i="12"/>
  <c r="F2" i="12" s="1"/>
  <c r="G2" i="12" s="1" a="1"/>
  <c r="G2" i="12" s="1"/>
  <c r="E57" i="12"/>
  <c r="C65" i="12"/>
  <c r="D65" i="12"/>
  <c r="C10" i="12"/>
  <c r="C85" i="12" s="1"/>
  <c r="I64" i="12"/>
  <c r="F64" i="12"/>
  <c r="F63" i="12"/>
  <c r="F61" i="12"/>
  <c r="F59" i="12"/>
  <c r="G4" i="12" l="1" a="1"/>
  <c r="G4" i="12" s="1"/>
  <c r="G7" i="12" a="1"/>
  <c r="G7" i="12" s="1"/>
  <c r="G6" i="12" a="1"/>
  <c r="G6" i="12" s="1"/>
  <c r="G8" i="12" a="1"/>
  <c r="G8" i="12" s="1"/>
  <c r="E10" i="12"/>
  <c r="F10" i="12" s="1"/>
  <c r="G10" i="12" s="1" a="1"/>
  <c r="G10" i="12" s="1"/>
  <c r="J57" i="12"/>
  <c r="J58" i="12"/>
  <c r="J61" i="12"/>
  <c r="J63" i="12"/>
  <c r="F57" i="12"/>
  <c r="F58" i="12"/>
  <c r="F62" i="12"/>
  <c r="I59" i="12"/>
  <c r="I60" i="12"/>
  <c r="J64" i="12"/>
  <c r="I63" i="12"/>
  <c r="J59" i="12"/>
  <c r="J62" i="12"/>
  <c r="E60" i="12"/>
  <c r="E61" i="12"/>
  <c r="E64" i="12"/>
  <c r="J60" i="12"/>
  <c r="F60" i="12"/>
  <c r="C89" i="12"/>
  <c r="C86" i="12"/>
  <c r="C88" i="12"/>
  <c r="C90" i="12"/>
  <c r="C92" i="12"/>
  <c r="D10" i="12"/>
  <c r="F86" i="12"/>
  <c r="G65" i="12"/>
  <c r="G90" i="12" s="1"/>
  <c r="C87" i="12"/>
  <c r="C91" i="12"/>
  <c r="H65" i="12"/>
  <c r="I57" i="12"/>
  <c r="E58" i="12"/>
  <c r="I58" i="12"/>
  <c r="E59" i="12"/>
  <c r="I61" i="12"/>
  <c r="E62" i="12"/>
  <c r="I62" i="12"/>
  <c r="E63" i="12"/>
  <c r="J65" i="12" l="1"/>
  <c r="F89" i="12"/>
  <c r="E65" i="12"/>
  <c r="G87" i="12"/>
  <c r="F87" i="12"/>
  <c r="G92" i="12"/>
  <c r="G89" i="12"/>
  <c r="F65" i="12"/>
  <c r="B67" i="12"/>
  <c r="G86" i="12"/>
  <c r="C93" i="12"/>
  <c r="I65" i="12"/>
  <c r="G88" i="12"/>
  <c r="F92" i="12"/>
  <c r="G85" i="12"/>
  <c r="F90" i="12"/>
  <c r="F85" i="12"/>
  <c r="G91" i="12"/>
  <c r="F88" i="12"/>
  <c r="F91" i="12"/>
  <c r="B66" i="12"/>
  <c r="F93" i="12" l="1"/>
  <c r="G93" i="12"/>
  <c r="Q381" i="31" l="1"/>
  <c r="T381" i="31" s="1"/>
  <c r="Q397" i="31"/>
  <c r="T397" i="31" s="1"/>
  <c r="Q413" i="31"/>
  <c r="T413" i="31" s="1"/>
  <c r="Q429" i="31"/>
  <c r="T429" i="31" s="1"/>
  <c r="Q394" i="31"/>
  <c r="T394" i="31" s="1"/>
  <c r="Q415" i="31"/>
  <c r="T415" i="31" s="1"/>
  <c r="Q384" i="31"/>
  <c r="T384" i="31" s="1"/>
  <c r="Q406" i="31"/>
  <c r="T406" i="31" s="1"/>
  <c r="Q427" i="31"/>
  <c r="T427" i="31" s="1"/>
  <c r="Q403" i="31"/>
  <c r="T403" i="31" s="1"/>
  <c r="Q396" i="31"/>
  <c r="T396" i="31" s="1"/>
  <c r="Q387" i="31"/>
  <c r="T387" i="31" s="1"/>
  <c r="Q430" i="31"/>
  <c r="T430" i="31" s="1"/>
  <c r="Q423" i="31"/>
  <c r="T423" i="31" s="1"/>
  <c r="Q385" i="31"/>
  <c r="T385" i="31" s="1"/>
  <c r="Q401" i="31"/>
  <c r="T401" i="31" s="1"/>
  <c r="Q417" i="31"/>
  <c r="T417" i="31" s="1"/>
  <c r="Q433" i="31"/>
  <c r="T433" i="31" s="1"/>
  <c r="Q399" i="31"/>
  <c r="T399" i="31" s="1"/>
  <c r="Q420" i="31"/>
  <c r="T420" i="31" s="1"/>
  <c r="Q390" i="31"/>
  <c r="T390" i="31" s="1"/>
  <c r="Q411" i="31"/>
  <c r="T411" i="31" s="1"/>
  <c r="Q432" i="31"/>
  <c r="T432" i="31" s="1"/>
  <c r="Q414" i="31"/>
  <c r="T414" i="31" s="1"/>
  <c r="Q407" i="31"/>
  <c r="T407" i="31" s="1"/>
  <c r="Q398" i="31"/>
  <c r="T398" i="31" s="1"/>
  <c r="Q391" i="31"/>
  <c r="T391" i="31" s="1"/>
  <c r="Q380" i="31"/>
  <c r="T380" i="31" s="1"/>
  <c r="Q389" i="31"/>
  <c r="T389" i="31" s="1"/>
  <c r="Q405" i="31"/>
  <c r="T405" i="31" s="1"/>
  <c r="Q421" i="31"/>
  <c r="T421" i="31" s="1"/>
  <c r="Q383" i="31"/>
  <c r="T383" i="31" s="1"/>
  <c r="Q404" i="31"/>
  <c r="T404" i="31" s="1"/>
  <c r="Q426" i="31"/>
  <c r="T426" i="31" s="1"/>
  <c r="Q395" i="31"/>
  <c r="T395" i="31" s="1"/>
  <c r="Q416" i="31"/>
  <c r="T416" i="31" s="1"/>
  <c r="Q382" i="31"/>
  <c r="T382" i="31" s="1"/>
  <c r="Q424" i="31"/>
  <c r="T424" i="31" s="1"/>
  <c r="Q418" i="31"/>
  <c r="T418" i="31" s="1"/>
  <c r="Q408" i="31"/>
  <c r="T408" i="31" s="1"/>
  <c r="Q402" i="31"/>
  <c r="T402" i="31" s="1"/>
  <c r="Q393" i="31"/>
  <c r="T393" i="31" s="1"/>
  <c r="Q409" i="31"/>
  <c r="T409" i="31" s="1"/>
  <c r="Q425" i="31"/>
  <c r="T425" i="31" s="1"/>
  <c r="Q388" i="31"/>
  <c r="T388" i="31" s="1"/>
  <c r="Q410" i="31"/>
  <c r="T410" i="31" s="1"/>
  <c r="Q431" i="31"/>
  <c r="T431" i="31" s="1"/>
  <c r="Q400" i="31"/>
  <c r="T400" i="31" s="1"/>
  <c r="Q422" i="31"/>
  <c r="T422" i="31" s="1"/>
  <c r="Q392" i="31"/>
  <c r="T392" i="31" s="1"/>
  <c r="Q386" i="31"/>
  <c r="T386" i="31" s="1"/>
  <c r="Q428" i="31"/>
  <c r="T428" i="31" s="1"/>
  <c r="Q419" i="31"/>
  <c r="T419" i="31" s="1"/>
  <c r="Q412" i="31"/>
  <c r="T412" i="31" s="1"/>
  <c r="R398" i="31"/>
  <c r="R425" i="31"/>
  <c r="R380" i="31"/>
  <c r="R416" i="31"/>
  <c r="R407" i="31"/>
  <c r="R389" i="31"/>
  <c r="AK171" i="16"/>
  <c r="Q2" i="31"/>
  <c r="T2" i="31" s="1"/>
  <c r="Q18" i="31"/>
  <c r="T18" i="31" s="1"/>
  <c r="Q34" i="31"/>
  <c r="T34" i="31" s="1"/>
  <c r="Q50" i="31"/>
  <c r="T50" i="31" s="1"/>
  <c r="Q66" i="31"/>
  <c r="T66" i="31" s="1"/>
  <c r="Q82" i="31"/>
  <c r="T82" i="31" s="1"/>
  <c r="Q98" i="31"/>
  <c r="T98" i="31" s="1"/>
  <c r="Q114" i="31"/>
  <c r="T114" i="31" s="1"/>
  <c r="Q130" i="31"/>
  <c r="T130" i="31" s="1"/>
  <c r="Q146" i="31"/>
  <c r="T146" i="31" s="1"/>
  <c r="Q162" i="31"/>
  <c r="T162" i="31" s="1"/>
  <c r="Q178" i="31"/>
  <c r="T178" i="31" s="1"/>
  <c r="Q194" i="31"/>
  <c r="T194" i="31" s="1"/>
  <c r="Q210" i="31"/>
  <c r="T210" i="31" s="1"/>
  <c r="Q226" i="31"/>
  <c r="T226" i="31" s="1"/>
  <c r="Q242" i="31"/>
  <c r="T242" i="31" s="1"/>
  <c r="Q258" i="31"/>
  <c r="T258" i="31" s="1"/>
  <c r="Q274" i="31"/>
  <c r="T274" i="31" s="1"/>
  <c r="Q290" i="31"/>
  <c r="T290" i="31" s="1"/>
  <c r="Q306" i="31"/>
  <c r="T306" i="31" s="1"/>
  <c r="Q11" i="31"/>
  <c r="T11" i="31" s="1"/>
  <c r="Q27" i="31"/>
  <c r="T27" i="31" s="1"/>
  <c r="Q43" i="31"/>
  <c r="T43" i="31" s="1"/>
  <c r="Q59" i="31"/>
  <c r="T59" i="31" s="1"/>
  <c r="Q75" i="31"/>
  <c r="T75" i="31" s="1"/>
  <c r="Q91" i="31"/>
  <c r="T91" i="31" s="1"/>
  <c r="Q107" i="31"/>
  <c r="T107" i="31" s="1"/>
  <c r="Q123" i="31"/>
  <c r="T123" i="31" s="1"/>
  <c r="Q139" i="31"/>
  <c r="T139" i="31" s="1"/>
  <c r="Q155" i="31"/>
  <c r="T155" i="31" s="1"/>
  <c r="Q171" i="31"/>
  <c r="T171" i="31" s="1"/>
  <c r="Q187" i="31"/>
  <c r="T187" i="31" s="1"/>
  <c r="Q203" i="31"/>
  <c r="T203" i="31" s="1"/>
  <c r="Q219" i="31"/>
  <c r="T219" i="31" s="1"/>
  <c r="Q235" i="31"/>
  <c r="T235" i="31" s="1"/>
  <c r="Q251" i="31"/>
  <c r="T251" i="31" s="1"/>
  <c r="Q267" i="31"/>
  <c r="T267" i="31" s="1"/>
  <c r="Q283" i="31"/>
  <c r="T283" i="31" s="1"/>
  <c r="Q299" i="31"/>
  <c r="T299" i="31" s="1"/>
  <c r="Q315" i="31"/>
  <c r="T315" i="31" s="1"/>
  <c r="Q331" i="31"/>
  <c r="T331" i="31" s="1"/>
  <c r="Q12" i="31"/>
  <c r="T12" i="31" s="1"/>
  <c r="Q44" i="31"/>
  <c r="T44" i="31" s="1"/>
  <c r="Q76" i="31"/>
  <c r="T76" i="31" s="1"/>
  <c r="Q108" i="31"/>
  <c r="T108" i="31" s="1"/>
  <c r="Q140" i="31"/>
  <c r="T140" i="31" s="1"/>
  <c r="Q172" i="31"/>
  <c r="T172" i="31" s="1"/>
  <c r="Q204" i="31"/>
  <c r="T204" i="31" s="1"/>
  <c r="Q236" i="31"/>
  <c r="T236" i="31" s="1"/>
  <c r="Q268" i="31"/>
  <c r="T268" i="31" s="1"/>
  <c r="Q300" i="31"/>
  <c r="T300" i="31" s="1"/>
  <c r="Q325" i="31"/>
  <c r="T325" i="31" s="1"/>
  <c r="Q345" i="31"/>
  <c r="T345" i="31" s="1"/>
  <c r="Q361" i="31"/>
  <c r="T361" i="31" s="1"/>
  <c r="Q377" i="31"/>
  <c r="T377" i="31" s="1"/>
  <c r="Q441" i="31"/>
  <c r="T441" i="31" s="1"/>
  <c r="Q457" i="31"/>
  <c r="T457" i="31" s="1"/>
  <c r="Q473" i="31"/>
  <c r="T473" i="31" s="1"/>
  <c r="Q489" i="31"/>
  <c r="T489" i="31" s="1"/>
  <c r="Q5" i="31"/>
  <c r="T5" i="31" s="1"/>
  <c r="Q37" i="31"/>
  <c r="T37" i="31" s="1"/>
  <c r="Q69" i="31"/>
  <c r="T69" i="31" s="1"/>
  <c r="Q101" i="31"/>
  <c r="T101" i="31" s="1"/>
  <c r="Q133" i="31"/>
  <c r="T133" i="31" s="1"/>
  <c r="Q165" i="31"/>
  <c r="T165" i="31" s="1"/>
  <c r="Q197" i="31"/>
  <c r="T197" i="31" s="1"/>
  <c r="Q229" i="31"/>
  <c r="T229" i="31" s="1"/>
  <c r="Q24" i="31"/>
  <c r="T24" i="31" s="1"/>
  <c r="Q88" i="31"/>
  <c r="T88" i="31" s="1"/>
  <c r="Q152" i="31"/>
  <c r="T152" i="31" s="1"/>
  <c r="Q216" i="31"/>
  <c r="T216" i="31" s="1"/>
  <c r="Q269" i="31"/>
  <c r="T269" i="31" s="1"/>
  <c r="Q312" i="31"/>
  <c r="T312" i="31" s="1"/>
  <c r="Q340" i="31"/>
  <c r="T340" i="31" s="1"/>
  <c r="Q362" i="31"/>
  <c r="T362" i="31" s="1"/>
  <c r="Q447" i="31"/>
  <c r="T447" i="31" s="1"/>
  <c r="Q468" i="31"/>
  <c r="T468" i="31" s="1"/>
  <c r="Q490" i="31"/>
  <c r="T490" i="31" s="1"/>
  <c r="Q509" i="31"/>
  <c r="T509" i="31" s="1"/>
  <c r="Q525" i="31"/>
  <c r="T525" i="31" s="1"/>
  <c r="Q541" i="31"/>
  <c r="T541" i="31" s="1"/>
  <c r="Q557" i="31"/>
  <c r="T557" i="31" s="1"/>
  <c r="Q573" i="31"/>
  <c r="T573" i="31" s="1"/>
  <c r="Q589" i="31"/>
  <c r="T589" i="31" s="1"/>
  <c r="Q6" i="31"/>
  <c r="T6" i="31" s="1"/>
  <c r="Q22" i="31"/>
  <c r="T22" i="31" s="1"/>
  <c r="Q38" i="31"/>
  <c r="T38" i="31" s="1"/>
  <c r="Q54" i="31"/>
  <c r="T54" i="31" s="1"/>
  <c r="Q70" i="31"/>
  <c r="T70" i="31" s="1"/>
  <c r="Q86" i="31"/>
  <c r="T86" i="31" s="1"/>
  <c r="Q102" i="31"/>
  <c r="T102" i="31" s="1"/>
  <c r="Q118" i="31"/>
  <c r="T118" i="31" s="1"/>
  <c r="Q134" i="31"/>
  <c r="T134" i="31" s="1"/>
  <c r="Q150" i="31"/>
  <c r="T150" i="31" s="1"/>
  <c r="Q166" i="31"/>
  <c r="T166" i="31" s="1"/>
  <c r="Q182" i="31"/>
  <c r="T182" i="31" s="1"/>
  <c r="Q198" i="31"/>
  <c r="T198" i="31" s="1"/>
  <c r="Q214" i="31"/>
  <c r="T214" i="31" s="1"/>
  <c r="Q230" i="31"/>
  <c r="T230" i="31" s="1"/>
  <c r="Q246" i="31"/>
  <c r="T246" i="31" s="1"/>
  <c r="Q262" i="31"/>
  <c r="T262" i="31" s="1"/>
  <c r="Q278" i="31"/>
  <c r="T278" i="31" s="1"/>
  <c r="Q294" i="31"/>
  <c r="T294" i="31" s="1"/>
  <c r="Q310" i="31"/>
  <c r="T310" i="31" s="1"/>
  <c r="Q15" i="31"/>
  <c r="T15" i="31" s="1"/>
  <c r="Q31" i="31"/>
  <c r="T31" i="31" s="1"/>
  <c r="Q47" i="31"/>
  <c r="T47" i="31" s="1"/>
  <c r="Q63" i="31"/>
  <c r="T63" i="31" s="1"/>
  <c r="Q79" i="31"/>
  <c r="T79" i="31" s="1"/>
  <c r="Q95" i="31"/>
  <c r="T95" i="31" s="1"/>
  <c r="Q111" i="31"/>
  <c r="T111" i="31" s="1"/>
  <c r="Q127" i="31"/>
  <c r="T127" i="31" s="1"/>
  <c r="Q143" i="31"/>
  <c r="T143" i="31" s="1"/>
  <c r="Q159" i="31"/>
  <c r="T159" i="31" s="1"/>
  <c r="Q175" i="31"/>
  <c r="T175" i="31" s="1"/>
  <c r="Q191" i="31"/>
  <c r="T191" i="31" s="1"/>
  <c r="Q207" i="31"/>
  <c r="T207" i="31" s="1"/>
  <c r="Q223" i="31"/>
  <c r="T223" i="31" s="1"/>
  <c r="Q239" i="31"/>
  <c r="T239" i="31" s="1"/>
  <c r="Q255" i="31"/>
  <c r="T255" i="31" s="1"/>
  <c r="Q271" i="31"/>
  <c r="T271" i="31" s="1"/>
  <c r="Q287" i="31"/>
  <c r="T287" i="31" s="1"/>
  <c r="Q303" i="31"/>
  <c r="T303" i="31" s="1"/>
  <c r="Q319" i="31"/>
  <c r="T319" i="31" s="1"/>
  <c r="Q335" i="31"/>
  <c r="T335" i="31" s="1"/>
  <c r="Q20" i="31"/>
  <c r="T20" i="31" s="1"/>
  <c r="Q52" i="31"/>
  <c r="T52" i="31" s="1"/>
  <c r="Q84" i="31"/>
  <c r="T84" i="31" s="1"/>
  <c r="Q116" i="31"/>
  <c r="T116" i="31" s="1"/>
  <c r="Q148" i="31"/>
  <c r="T148" i="31" s="1"/>
  <c r="Q180" i="31"/>
  <c r="T180" i="31" s="1"/>
  <c r="Q212" i="31"/>
  <c r="T212" i="31" s="1"/>
  <c r="Q244" i="31"/>
  <c r="T244" i="31" s="1"/>
  <c r="Q276" i="31"/>
  <c r="T276" i="31" s="1"/>
  <c r="Q308" i="31"/>
  <c r="T308" i="31" s="1"/>
  <c r="Q330" i="31"/>
  <c r="T330" i="31" s="1"/>
  <c r="Q349" i="31"/>
  <c r="T349" i="31" s="1"/>
  <c r="Q365" i="31"/>
  <c r="T365" i="31" s="1"/>
  <c r="Q445" i="31"/>
  <c r="T445" i="31" s="1"/>
  <c r="Q461" i="31"/>
  <c r="T461" i="31" s="1"/>
  <c r="Q477" i="31"/>
  <c r="T477" i="31" s="1"/>
  <c r="Q493" i="31"/>
  <c r="T493" i="31" s="1"/>
  <c r="Q13" i="31"/>
  <c r="Q45" i="31"/>
  <c r="T45" i="31" s="1"/>
  <c r="Q77" i="31"/>
  <c r="T77" i="31" s="1"/>
  <c r="Q109" i="31"/>
  <c r="T109" i="31" s="1"/>
  <c r="Q141" i="31"/>
  <c r="T141" i="31" s="1"/>
  <c r="Q173" i="31"/>
  <c r="T173" i="31" s="1"/>
  <c r="Q205" i="31"/>
  <c r="T205" i="31" s="1"/>
  <c r="Q237" i="31"/>
  <c r="T237" i="31" s="1"/>
  <c r="Q40" i="31"/>
  <c r="T40" i="31" s="1"/>
  <c r="Q104" i="31"/>
  <c r="T104" i="31" s="1"/>
  <c r="Q168" i="31"/>
  <c r="T168" i="31" s="1"/>
  <c r="Q232" i="31"/>
  <c r="T232" i="31" s="1"/>
  <c r="Q280" i="31"/>
  <c r="T280" i="31" s="1"/>
  <c r="Q318" i="31"/>
  <c r="T318" i="31" s="1"/>
  <c r="Q346" i="31"/>
  <c r="T346" i="31" s="1"/>
  <c r="Q367" i="31"/>
  <c r="T367" i="31" s="1"/>
  <c r="Q452" i="31"/>
  <c r="T452" i="31" s="1"/>
  <c r="Q474" i="31"/>
  <c r="T474" i="31" s="1"/>
  <c r="Q495" i="31"/>
  <c r="T495" i="31" s="1"/>
  <c r="Q513" i="31"/>
  <c r="T513" i="31" s="1"/>
  <c r="Q529" i="31"/>
  <c r="T529" i="31" s="1"/>
  <c r="Q545" i="31"/>
  <c r="T545" i="31" s="1"/>
  <c r="Q561" i="31"/>
  <c r="T561" i="31" s="1"/>
  <c r="Q10" i="31"/>
  <c r="T10" i="31" s="1"/>
  <c r="Q26" i="31"/>
  <c r="T26" i="31" s="1"/>
  <c r="Q42" i="31"/>
  <c r="T42" i="31" s="1"/>
  <c r="Q58" i="31"/>
  <c r="T58" i="31" s="1"/>
  <c r="Q74" i="31"/>
  <c r="T74" i="31" s="1"/>
  <c r="Q90" i="31"/>
  <c r="T90" i="31" s="1"/>
  <c r="Q106" i="31"/>
  <c r="T106" i="31" s="1"/>
  <c r="Q122" i="31"/>
  <c r="T122" i="31" s="1"/>
  <c r="Q138" i="31"/>
  <c r="T138" i="31" s="1"/>
  <c r="Q154" i="31"/>
  <c r="T154" i="31" s="1"/>
  <c r="Q170" i="31"/>
  <c r="T170" i="31" s="1"/>
  <c r="Q186" i="31"/>
  <c r="T186" i="31" s="1"/>
  <c r="Q202" i="31"/>
  <c r="T202" i="31" s="1"/>
  <c r="Q218" i="31"/>
  <c r="T218" i="31" s="1"/>
  <c r="Q234" i="31"/>
  <c r="T234" i="31" s="1"/>
  <c r="Q250" i="31"/>
  <c r="T250" i="31" s="1"/>
  <c r="Q266" i="31"/>
  <c r="T266" i="31" s="1"/>
  <c r="Q282" i="31"/>
  <c r="T282" i="31" s="1"/>
  <c r="Q298" i="31"/>
  <c r="T298" i="31" s="1"/>
  <c r="Q3" i="31"/>
  <c r="T3" i="31" s="1"/>
  <c r="Q19" i="31"/>
  <c r="T19" i="31" s="1"/>
  <c r="Q35" i="31"/>
  <c r="T35" i="31" s="1"/>
  <c r="Q51" i="31"/>
  <c r="T51" i="31" s="1"/>
  <c r="Q67" i="31"/>
  <c r="T67" i="31" s="1"/>
  <c r="Q83" i="31"/>
  <c r="T83" i="31" s="1"/>
  <c r="Q99" i="31"/>
  <c r="T99" i="31" s="1"/>
  <c r="Q115" i="31"/>
  <c r="T115" i="31" s="1"/>
  <c r="Q131" i="31"/>
  <c r="T131" i="31" s="1"/>
  <c r="Q147" i="31"/>
  <c r="T147" i="31" s="1"/>
  <c r="Q163" i="31"/>
  <c r="T163" i="31" s="1"/>
  <c r="Q179" i="31"/>
  <c r="T179" i="31" s="1"/>
  <c r="Q195" i="31"/>
  <c r="T195" i="31" s="1"/>
  <c r="Q211" i="31"/>
  <c r="T211" i="31" s="1"/>
  <c r="Q227" i="31"/>
  <c r="T227" i="31" s="1"/>
  <c r="Q243" i="31"/>
  <c r="T243" i="31" s="1"/>
  <c r="Q259" i="31"/>
  <c r="T259" i="31" s="1"/>
  <c r="Q275" i="31"/>
  <c r="T275" i="31" s="1"/>
  <c r="Q291" i="31"/>
  <c r="T291" i="31" s="1"/>
  <c r="Q307" i="31"/>
  <c r="T307" i="31" s="1"/>
  <c r="Q323" i="31"/>
  <c r="T323" i="31" s="1"/>
  <c r="Q339" i="31"/>
  <c r="T339" i="31" s="1"/>
  <c r="Q28" i="31"/>
  <c r="T28" i="31" s="1"/>
  <c r="Q60" i="31"/>
  <c r="T60" i="31" s="1"/>
  <c r="Q92" i="31"/>
  <c r="T92" i="31" s="1"/>
  <c r="Q124" i="31"/>
  <c r="T124" i="31" s="1"/>
  <c r="Q156" i="31"/>
  <c r="T156" i="31" s="1"/>
  <c r="Q188" i="31"/>
  <c r="T188" i="31" s="1"/>
  <c r="Q220" i="31"/>
  <c r="T220" i="31" s="1"/>
  <c r="Q252" i="31"/>
  <c r="T252" i="31" s="1"/>
  <c r="Q284" i="31"/>
  <c r="T284" i="31" s="1"/>
  <c r="Q314" i="31"/>
  <c r="T314" i="31" s="1"/>
  <c r="Q336" i="31"/>
  <c r="T336" i="31" s="1"/>
  <c r="Q353" i="31"/>
  <c r="T353" i="31" s="1"/>
  <c r="Q369" i="31"/>
  <c r="T369" i="31" s="1"/>
  <c r="Q449" i="31"/>
  <c r="T449" i="31" s="1"/>
  <c r="Q465" i="31"/>
  <c r="T465" i="31" s="1"/>
  <c r="Q481" i="31"/>
  <c r="T481" i="31" s="1"/>
  <c r="Q497" i="31"/>
  <c r="T497" i="31" s="1"/>
  <c r="Q21" i="31"/>
  <c r="T21" i="31" s="1"/>
  <c r="Q53" i="31"/>
  <c r="T53" i="31" s="1"/>
  <c r="Q85" i="31"/>
  <c r="T85" i="31" s="1"/>
  <c r="Q117" i="31"/>
  <c r="T117" i="31" s="1"/>
  <c r="Q149" i="31"/>
  <c r="T149" i="31" s="1"/>
  <c r="Q181" i="31"/>
  <c r="T181" i="31" s="1"/>
  <c r="Q213" i="31"/>
  <c r="T213" i="31" s="1"/>
  <c r="Q245" i="31"/>
  <c r="T245" i="31" s="1"/>
  <c r="Q56" i="31"/>
  <c r="T56" i="31" s="1"/>
  <c r="Q120" i="31"/>
  <c r="T120" i="31" s="1"/>
  <c r="Q184" i="31"/>
  <c r="T184" i="31" s="1"/>
  <c r="Q248" i="31"/>
  <c r="T248" i="31" s="1"/>
  <c r="Q289" i="31"/>
  <c r="T289" i="31" s="1"/>
  <c r="Q326" i="31"/>
  <c r="T326" i="31" s="1"/>
  <c r="Q351" i="31"/>
  <c r="T351" i="31" s="1"/>
  <c r="Q372" i="31"/>
  <c r="T372" i="31" s="1"/>
  <c r="Q436" i="31"/>
  <c r="T436" i="31" s="1"/>
  <c r="Q458" i="31"/>
  <c r="T458" i="31" s="1"/>
  <c r="Q479" i="31"/>
  <c r="T479" i="31" s="1"/>
  <c r="Q500" i="31"/>
  <c r="T500" i="31" s="1"/>
  <c r="Q517" i="31"/>
  <c r="T517" i="31" s="1"/>
  <c r="Q533" i="31"/>
  <c r="T533" i="31" s="1"/>
  <c r="Q549" i="31"/>
  <c r="T549" i="31" s="1"/>
  <c r="Q565" i="31"/>
  <c r="T565" i="31" s="1"/>
  <c r="Q581" i="31"/>
  <c r="T581" i="31" s="1"/>
  <c r="Q597" i="31"/>
  <c r="T597" i="31" s="1"/>
  <c r="Q613" i="31"/>
  <c r="T613" i="31" s="1"/>
  <c r="Q14" i="31"/>
  <c r="T14" i="31" s="1"/>
  <c r="Q30" i="31"/>
  <c r="T30" i="31" s="1"/>
  <c r="Q46" i="31"/>
  <c r="T46" i="31" s="1"/>
  <c r="Q62" i="31"/>
  <c r="T62" i="31" s="1"/>
  <c r="Q78" i="31"/>
  <c r="T78" i="31" s="1"/>
  <c r="Q94" i="31"/>
  <c r="T94" i="31" s="1"/>
  <c r="Q110" i="31"/>
  <c r="T110" i="31" s="1"/>
  <c r="Q126" i="31"/>
  <c r="T126" i="31" s="1"/>
  <c r="Q142" i="31"/>
  <c r="T142" i="31" s="1"/>
  <c r="Q158" i="31"/>
  <c r="T158" i="31" s="1"/>
  <c r="Q174" i="31"/>
  <c r="T174" i="31" s="1"/>
  <c r="Q190" i="31"/>
  <c r="T190" i="31" s="1"/>
  <c r="Q206" i="31"/>
  <c r="T206" i="31" s="1"/>
  <c r="Q222" i="31"/>
  <c r="T222" i="31" s="1"/>
  <c r="Q238" i="31"/>
  <c r="T238" i="31" s="1"/>
  <c r="Q254" i="31"/>
  <c r="T254" i="31" s="1"/>
  <c r="Q270" i="31"/>
  <c r="T270" i="31" s="1"/>
  <c r="Q286" i="31"/>
  <c r="T286" i="31" s="1"/>
  <c r="Q302" i="31"/>
  <c r="T302" i="31" s="1"/>
  <c r="Q7" i="31"/>
  <c r="T7" i="31" s="1"/>
  <c r="Q23" i="31"/>
  <c r="T23" i="31" s="1"/>
  <c r="Q39" i="31"/>
  <c r="T39" i="31" s="1"/>
  <c r="Q55" i="31"/>
  <c r="T55" i="31" s="1"/>
  <c r="Q71" i="31"/>
  <c r="T71" i="31" s="1"/>
  <c r="Q87" i="31"/>
  <c r="T87" i="31" s="1"/>
  <c r="Q103" i="31"/>
  <c r="T103" i="31" s="1"/>
  <c r="Q119" i="31"/>
  <c r="T119" i="31" s="1"/>
  <c r="Q135" i="31"/>
  <c r="T135" i="31" s="1"/>
  <c r="Q151" i="31"/>
  <c r="T151" i="31" s="1"/>
  <c r="Q167" i="31"/>
  <c r="T167" i="31" s="1"/>
  <c r="Q183" i="31"/>
  <c r="T183" i="31" s="1"/>
  <c r="Q199" i="31"/>
  <c r="T199" i="31" s="1"/>
  <c r="Q215" i="31"/>
  <c r="T215" i="31" s="1"/>
  <c r="Q231" i="31"/>
  <c r="T231" i="31" s="1"/>
  <c r="Q247" i="31"/>
  <c r="T247" i="31" s="1"/>
  <c r="Q263" i="31"/>
  <c r="T263" i="31" s="1"/>
  <c r="Q279" i="31"/>
  <c r="T279" i="31" s="1"/>
  <c r="Q295" i="31"/>
  <c r="T295" i="31" s="1"/>
  <c r="Q311" i="31"/>
  <c r="T311" i="31" s="1"/>
  <c r="Q327" i="31"/>
  <c r="T327" i="31" s="1"/>
  <c r="Q4" i="31"/>
  <c r="T4" i="31" s="1"/>
  <c r="Q36" i="31"/>
  <c r="T36" i="31" s="1"/>
  <c r="Q68" i="31"/>
  <c r="T68" i="31" s="1"/>
  <c r="Q100" i="31"/>
  <c r="T100" i="31" s="1"/>
  <c r="Q132" i="31"/>
  <c r="T132" i="31" s="1"/>
  <c r="Q164" i="31"/>
  <c r="T164" i="31" s="1"/>
  <c r="Q196" i="31"/>
  <c r="T196" i="31" s="1"/>
  <c r="Q228" i="31"/>
  <c r="T228" i="31" s="1"/>
  <c r="Q260" i="31"/>
  <c r="T260" i="31" s="1"/>
  <c r="Q292" i="31"/>
  <c r="T292" i="31" s="1"/>
  <c r="Q320" i="31"/>
  <c r="T320" i="31" s="1"/>
  <c r="Q341" i="31"/>
  <c r="T341" i="31" s="1"/>
  <c r="Q357" i="31"/>
  <c r="T357" i="31" s="1"/>
  <c r="Q373" i="31"/>
  <c r="T373" i="31" s="1"/>
  <c r="Q437" i="31"/>
  <c r="T437" i="31" s="1"/>
  <c r="Q453" i="31"/>
  <c r="T453" i="31" s="1"/>
  <c r="Q469" i="31"/>
  <c r="T469" i="31" s="1"/>
  <c r="Q485" i="31"/>
  <c r="T485" i="31" s="1"/>
  <c r="Q501" i="31"/>
  <c r="T501" i="31" s="1"/>
  <c r="Q29" i="31"/>
  <c r="T29" i="31" s="1"/>
  <c r="Q61" i="31"/>
  <c r="T61" i="31" s="1"/>
  <c r="Q93" i="31"/>
  <c r="T93" i="31" s="1"/>
  <c r="Q125" i="31"/>
  <c r="T125" i="31" s="1"/>
  <c r="Q157" i="31"/>
  <c r="T157" i="31" s="1"/>
  <c r="Q189" i="31"/>
  <c r="T189" i="31" s="1"/>
  <c r="Q221" i="31"/>
  <c r="T221" i="31" s="1"/>
  <c r="Q8" i="31"/>
  <c r="T8" i="31" s="1"/>
  <c r="Q72" i="31"/>
  <c r="T72" i="31" s="1"/>
  <c r="Q136" i="31"/>
  <c r="T136" i="31" s="1"/>
  <c r="Q200" i="31"/>
  <c r="T200" i="31" s="1"/>
  <c r="Q257" i="31"/>
  <c r="T257" i="31" s="1"/>
  <c r="Q301" i="31"/>
  <c r="T301" i="31" s="1"/>
  <c r="Q333" i="31"/>
  <c r="T333" i="31" s="1"/>
  <c r="Q356" i="31"/>
  <c r="T356" i="31" s="1"/>
  <c r="Q378" i="31"/>
  <c r="T378" i="31" s="1"/>
  <c r="Q442" i="31"/>
  <c r="T442" i="31" s="1"/>
  <c r="Q463" i="31"/>
  <c r="T463" i="31" s="1"/>
  <c r="Q484" i="31"/>
  <c r="T484" i="31" s="1"/>
  <c r="Q505" i="31"/>
  <c r="T505" i="31" s="1"/>
  <c r="Q521" i="31"/>
  <c r="T521" i="31" s="1"/>
  <c r="Q537" i="31"/>
  <c r="T537" i="31" s="1"/>
  <c r="Q553" i="31"/>
  <c r="T553" i="31" s="1"/>
  <c r="Q569" i="31"/>
  <c r="T569" i="31" s="1"/>
  <c r="Q585" i="31"/>
  <c r="T585" i="31" s="1"/>
  <c r="Q601" i="31"/>
  <c r="T601" i="31" s="1"/>
  <c r="Q577" i="31"/>
  <c r="T577" i="31" s="1"/>
  <c r="Q617" i="31"/>
  <c r="T617" i="31" s="1"/>
  <c r="Q633" i="31"/>
  <c r="T633" i="31" s="1"/>
  <c r="Q649" i="31"/>
  <c r="T649" i="31" s="1"/>
  <c r="Q665" i="31"/>
  <c r="T665" i="31" s="1"/>
  <c r="Q681" i="31"/>
  <c r="T681" i="31" s="1"/>
  <c r="Q697" i="31"/>
  <c r="T697" i="31" s="1"/>
  <c r="Q713" i="31"/>
  <c r="T713" i="31" s="1"/>
  <c r="Q729" i="31"/>
  <c r="T729" i="31" s="1"/>
  <c r="Q745" i="31"/>
  <c r="T745" i="31" s="1"/>
  <c r="Q761" i="31"/>
  <c r="T761" i="31" s="1"/>
  <c r="Q777" i="31"/>
  <c r="T777" i="31" s="1"/>
  <c r="Q793" i="31"/>
  <c r="T793" i="31" s="1"/>
  <c r="Q809" i="31"/>
  <c r="T809" i="31" s="1"/>
  <c r="Q825" i="31"/>
  <c r="T825" i="31" s="1"/>
  <c r="Q841" i="31"/>
  <c r="T841" i="31" s="1"/>
  <c r="Q857" i="31"/>
  <c r="T857" i="31" s="1"/>
  <c r="Q873" i="31"/>
  <c r="T873" i="31" s="1"/>
  <c r="Q889" i="31"/>
  <c r="T889" i="31" s="1"/>
  <c r="Q905" i="31"/>
  <c r="T905" i="31" s="1"/>
  <c r="Q921" i="31"/>
  <c r="T921" i="31" s="1"/>
  <c r="Q937" i="31"/>
  <c r="T937" i="31" s="1"/>
  <c r="Q953" i="31"/>
  <c r="T953" i="31" s="1"/>
  <c r="Q41" i="31"/>
  <c r="T41" i="31" s="1"/>
  <c r="Q105" i="31"/>
  <c r="T105" i="31" s="1"/>
  <c r="Q169" i="31"/>
  <c r="T169" i="31" s="1"/>
  <c r="Q233" i="31"/>
  <c r="T233" i="31" s="1"/>
  <c r="Q281" i="31"/>
  <c r="T281" i="31" s="1"/>
  <c r="Q321" i="31"/>
  <c r="T321" i="31" s="1"/>
  <c r="Q347" i="31"/>
  <c r="T347" i="31" s="1"/>
  <c r="Q368" i="31"/>
  <c r="T368" i="31" s="1"/>
  <c r="Q454" i="31"/>
  <c r="T454" i="31" s="1"/>
  <c r="Q475" i="31"/>
  <c r="T475" i="31" s="1"/>
  <c r="Q496" i="31"/>
  <c r="T496" i="31" s="1"/>
  <c r="Q514" i="31"/>
  <c r="T514" i="31" s="1"/>
  <c r="Q530" i="31"/>
  <c r="T530" i="31" s="1"/>
  <c r="Q546" i="31"/>
  <c r="T546" i="31" s="1"/>
  <c r="Q562" i="31"/>
  <c r="T562" i="31" s="1"/>
  <c r="Q578" i="31"/>
  <c r="T578" i="31" s="1"/>
  <c r="Q594" i="31"/>
  <c r="T594" i="31" s="1"/>
  <c r="Q610" i="31"/>
  <c r="T610" i="31" s="1"/>
  <c r="Q17" i="31"/>
  <c r="T17" i="31" s="1"/>
  <c r="Q145" i="31"/>
  <c r="T145" i="31" s="1"/>
  <c r="Q265" i="31"/>
  <c r="T265" i="31" s="1"/>
  <c r="Q338" i="31"/>
  <c r="T338" i="31" s="1"/>
  <c r="Q467" i="31"/>
  <c r="T467" i="31" s="1"/>
  <c r="Q508" i="31"/>
  <c r="T508" i="31" s="1"/>
  <c r="Q540" i="31"/>
  <c r="T540" i="31" s="1"/>
  <c r="Q572" i="31"/>
  <c r="T572" i="31" s="1"/>
  <c r="Q604" i="31"/>
  <c r="T604" i="31" s="1"/>
  <c r="Q631" i="31"/>
  <c r="T631" i="31" s="1"/>
  <c r="Q652" i="31"/>
  <c r="T652" i="31" s="1"/>
  <c r="Q674" i="31"/>
  <c r="T674" i="31" s="1"/>
  <c r="Q695" i="31"/>
  <c r="T695" i="31" s="1"/>
  <c r="Q716" i="31"/>
  <c r="T716" i="31" s="1"/>
  <c r="Q738" i="31"/>
  <c r="T738" i="31" s="1"/>
  <c r="Q759" i="31"/>
  <c r="T759" i="31" s="1"/>
  <c r="Q780" i="31"/>
  <c r="T780" i="31" s="1"/>
  <c r="Q802" i="31"/>
  <c r="T802" i="31" s="1"/>
  <c r="Q32" i="31"/>
  <c r="T32" i="31" s="1"/>
  <c r="Q160" i="31"/>
  <c r="T160" i="31" s="1"/>
  <c r="Q273" i="31"/>
  <c r="T273" i="31" s="1"/>
  <c r="Q343" i="31"/>
  <c r="T343" i="31" s="1"/>
  <c r="Q471" i="31"/>
  <c r="T471" i="31" s="1"/>
  <c r="Q511" i="31"/>
  <c r="T511" i="31" s="1"/>
  <c r="Q543" i="31"/>
  <c r="T543" i="31" s="1"/>
  <c r="Q575" i="31"/>
  <c r="T575" i="31" s="1"/>
  <c r="Q607" i="31"/>
  <c r="T607" i="31" s="1"/>
  <c r="Q632" i="31"/>
  <c r="T632" i="31" s="1"/>
  <c r="Q654" i="31"/>
  <c r="T654" i="31" s="1"/>
  <c r="Q675" i="31"/>
  <c r="T675" i="31" s="1"/>
  <c r="Q696" i="31"/>
  <c r="T696" i="31" s="1"/>
  <c r="Q718" i="31"/>
  <c r="T718" i="31" s="1"/>
  <c r="Q739" i="31"/>
  <c r="T739" i="31" s="1"/>
  <c r="Q760" i="31"/>
  <c r="T760" i="31" s="1"/>
  <c r="Q782" i="31"/>
  <c r="T782" i="31" s="1"/>
  <c r="Q803" i="31"/>
  <c r="T803" i="31" s="1"/>
  <c r="Q824" i="31"/>
  <c r="T824" i="31" s="1"/>
  <c r="Q65" i="31"/>
  <c r="T65" i="31" s="1"/>
  <c r="Q193" i="31"/>
  <c r="T193" i="31" s="1"/>
  <c r="Q297" i="31"/>
  <c r="T297" i="31" s="1"/>
  <c r="Q355" i="31"/>
  <c r="T355" i="31" s="1"/>
  <c r="Q440" i="31"/>
  <c r="T440" i="31" s="1"/>
  <c r="Q483" i="31"/>
  <c r="T483" i="31" s="1"/>
  <c r="Q520" i="31"/>
  <c r="T520" i="31" s="1"/>
  <c r="Q552" i="31"/>
  <c r="T552" i="31" s="1"/>
  <c r="Q584" i="31"/>
  <c r="T584" i="31" s="1"/>
  <c r="Q616" i="31"/>
  <c r="T616" i="31" s="1"/>
  <c r="Q639" i="31"/>
  <c r="T639" i="31" s="1"/>
  <c r="Q660" i="31"/>
  <c r="T660" i="31" s="1"/>
  <c r="Q682" i="31"/>
  <c r="T682" i="31" s="1"/>
  <c r="Q703" i="31"/>
  <c r="T703" i="31" s="1"/>
  <c r="Q724" i="31"/>
  <c r="T724" i="31" s="1"/>
  <c r="Q746" i="31"/>
  <c r="T746" i="31" s="1"/>
  <c r="Q767" i="31"/>
  <c r="T767" i="31" s="1"/>
  <c r="Q788" i="31"/>
  <c r="T788" i="31" s="1"/>
  <c r="Q810" i="31"/>
  <c r="T810" i="31" s="1"/>
  <c r="Q831" i="31"/>
  <c r="T831" i="31" s="1"/>
  <c r="Q48" i="31"/>
  <c r="T48" i="31" s="1"/>
  <c r="Q547" i="31"/>
  <c r="T547" i="31" s="1"/>
  <c r="Q656" i="31"/>
  <c r="T656" i="31" s="1"/>
  <c r="Q742" i="31"/>
  <c r="T742" i="31" s="1"/>
  <c r="Q823" i="31"/>
  <c r="T823" i="31" s="1"/>
  <c r="Q855" i="31"/>
  <c r="T855" i="31" s="1"/>
  <c r="Q876" i="31"/>
  <c r="T876" i="31" s="1"/>
  <c r="Q898" i="31"/>
  <c r="T898" i="31" s="1"/>
  <c r="Q919" i="31"/>
  <c r="T919" i="31" s="1"/>
  <c r="Q940" i="31"/>
  <c r="T940" i="31" s="1"/>
  <c r="Q961" i="31"/>
  <c r="T961" i="31" s="1"/>
  <c r="Q977" i="31"/>
  <c r="T977" i="31" s="1"/>
  <c r="Q993" i="31"/>
  <c r="T993" i="31" s="1"/>
  <c r="Q1009" i="31"/>
  <c r="T1009" i="31" s="1"/>
  <c r="Q1025" i="31"/>
  <c r="T1025" i="31" s="1"/>
  <c r="Q1041" i="31"/>
  <c r="T1041" i="31" s="1"/>
  <c r="Q1057" i="31"/>
  <c r="T1057" i="31" s="1"/>
  <c r="Q1073" i="31"/>
  <c r="T1073" i="31" s="1"/>
  <c r="Q1089" i="31"/>
  <c r="T1089" i="31" s="1"/>
  <c r="Q1105" i="31"/>
  <c r="T1105" i="31" s="1"/>
  <c r="Q1121" i="31"/>
  <c r="T1121" i="31" s="1"/>
  <c r="Q1137" i="31"/>
  <c r="T1137" i="31" s="1"/>
  <c r="Q1153" i="31"/>
  <c r="T1153" i="31" s="1"/>
  <c r="Q1169" i="31"/>
  <c r="T1169" i="31" s="1"/>
  <c r="Q1185" i="31"/>
  <c r="T1185" i="31" s="1"/>
  <c r="Q1201" i="31"/>
  <c r="T1201" i="31" s="1"/>
  <c r="Q1217" i="31"/>
  <c r="T1217" i="31" s="1"/>
  <c r="Q1233" i="31"/>
  <c r="T1233" i="31" s="1"/>
  <c r="Q1249" i="31"/>
  <c r="T1249" i="31" s="1"/>
  <c r="Q1265" i="31"/>
  <c r="T1265" i="31" s="1"/>
  <c r="Q1281" i="31"/>
  <c r="T1281" i="31" s="1"/>
  <c r="Q1297" i="31"/>
  <c r="T1297" i="31" s="1"/>
  <c r="Q1313" i="31"/>
  <c r="T1313" i="31" s="1"/>
  <c r="Q359" i="31"/>
  <c r="T359" i="31" s="1"/>
  <c r="Q523" i="31"/>
  <c r="T523" i="31" s="1"/>
  <c r="Q640" i="31"/>
  <c r="T640" i="31" s="1"/>
  <c r="Q726" i="31"/>
  <c r="T726" i="31" s="1"/>
  <c r="Q811" i="31"/>
  <c r="T811" i="31" s="1"/>
  <c r="Q851" i="31"/>
  <c r="T851" i="31" s="1"/>
  <c r="Q872" i="31"/>
  <c r="T872" i="31" s="1"/>
  <c r="Q894" i="31"/>
  <c r="T894" i="31" s="1"/>
  <c r="Q915" i="31"/>
  <c r="T915" i="31" s="1"/>
  <c r="Q936" i="31"/>
  <c r="T936" i="31" s="1"/>
  <c r="Q958" i="31"/>
  <c r="T958" i="31" s="1"/>
  <c r="Q974" i="31"/>
  <c r="T974" i="31" s="1"/>
  <c r="Q990" i="31"/>
  <c r="T990" i="31" s="1"/>
  <c r="Q1006" i="31"/>
  <c r="T1006" i="31" s="1"/>
  <c r="Q1022" i="31"/>
  <c r="T1022" i="31" s="1"/>
  <c r="Q1038" i="31"/>
  <c r="T1038" i="31" s="1"/>
  <c r="Q593" i="31"/>
  <c r="T593" i="31" s="1"/>
  <c r="Q621" i="31"/>
  <c r="T621" i="31" s="1"/>
  <c r="Q637" i="31"/>
  <c r="T637" i="31" s="1"/>
  <c r="Q653" i="31"/>
  <c r="T653" i="31" s="1"/>
  <c r="Q669" i="31"/>
  <c r="T669" i="31" s="1"/>
  <c r="Q685" i="31"/>
  <c r="T685" i="31" s="1"/>
  <c r="Q701" i="31"/>
  <c r="T701" i="31" s="1"/>
  <c r="Q717" i="31"/>
  <c r="T717" i="31" s="1"/>
  <c r="Q733" i="31"/>
  <c r="T733" i="31" s="1"/>
  <c r="Q749" i="31"/>
  <c r="T749" i="31" s="1"/>
  <c r="Q765" i="31"/>
  <c r="T765" i="31" s="1"/>
  <c r="Q781" i="31"/>
  <c r="T781" i="31" s="1"/>
  <c r="Q797" i="31"/>
  <c r="T797" i="31" s="1"/>
  <c r="Q813" i="31"/>
  <c r="T813" i="31" s="1"/>
  <c r="Q829" i="31"/>
  <c r="T829" i="31" s="1"/>
  <c r="Q845" i="31"/>
  <c r="T845" i="31" s="1"/>
  <c r="Q861" i="31"/>
  <c r="T861" i="31" s="1"/>
  <c r="Q877" i="31"/>
  <c r="T877" i="31" s="1"/>
  <c r="Q893" i="31"/>
  <c r="T893" i="31" s="1"/>
  <c r="Q909" i="31"/>
  <c r="T909" i="31" s="1"/>
  <c r="Q925" i="31"/>
  <c r="T925" i="31" s="1"/>
  <c r="Q941" i="31"/>
  <c r="T941" i="31" s="1"/>
  <c r="Q957" i="31"/>
  <c r="T957" i="31" s="1"/>
  <c r="Q57" i="31"/>
  <c r="T57" i="31" s="1"/>
  <c r="Q121" i="31"/>
  <c r="T121" i="31" s="1"/>
  <c r="Q185" i="31"/>
  <c r="T185" i="31" s="1"/>
  <c r="Q249" i="31"/>
  <c r="T249" i="31" s="1"/>
  <c r="Q293" i="31"/>
  <c r="T293" i="31" s="1"/>
  <c r="Q328" i="31"/>
  <c r="T328" i="31" s="1"/>
  <c r="Q352" i="31"/>
  <c r="T352" i="31" s="1"/>
  <c r="Q374" i="31"/>
  <c r="T374" i="31" s="1"/>
  <c r="Q438" i="31"/>
  <c r="T438" i="31" s="1"/>
  <c r="Q459" i="31"/>
  <c r="T459" i="31" s="1"/>
  <c r="Q480" i="31"/>
  <c r="T480" i="31" s="1"/>
  <c r="Q502" i="31"/>
  <c r="T502" i="31" s="1"/>
  <c r="Q518" i="31"/>
  <c r="T518" i="31" s="1"/>
  <c r="Q534" i="31"/>
  <c r="T534" i="31" s="1"/>
  <c r="Q550" i="31"/>
  <c r="T550" i="31" s="1"/>
  <c r="Q566" i="31"/>
  <c r="T566" i="31" s="1"/>
  <c r="Q582" i="31"/>
  <c r="T582" i="31" s="1"/>
  <c r="Q598" i="31"/>
  <c r="T598" i="31" s="1"/>
  <c r="Q614" i="31"/>
  <c r="T614" i="31" s="1"/>
  <c r="Q49" i="31"/>
  <c r="T49" i="31" s="1"/>
  <c r="Q177" i="31"/>
  <c r="T177" i="31" s="1"/>
  <c r="Q288" i="31"/>
  <c r="T288" i="31" s="1"/>
  <c r="Q350" i="31"/>
  <c r="T350" i="31" s="1"/>
  <c r="Q435" i="31"/>
  <c r="T435" i="31" s="1"/>
  <c r="Q478" i="31"/>
  <c r="T478" i="31" s="1"/>
  <c r="Q516" i="31"/>
  <c r="T516" i="31" s="1"/>
  <c r="Q548" i="31"/>
  <c r="T548" i="31" s="1"/>
  <c r="Q580" i="31"/>
  <c r="T580" i="31" s="1"/>
  <c r="Q612" i="31"/>
  <c r="T612" i="31" s="1"/>
  <c r="Q636" i="31"/>
  <c r="T636" i="31" s="1"/>
  <c r="Q658" i="31"/>
  <c r="T658" i="31" s="1"/>
  <c r="Q679" i="31"/>
  <c r="T679" i="31" s="1"/>
  <c r="Q700" i="31"/>
  <c r="T700" i="31" s="1"/>
  <c r="Q722" i="31"/>
  <c r="T722" i="31" s="1"/>
  <c r="Q743" i="31"/>
  <c r="T743" i="31" s="1"/>
  <c r="Q764" i="31"/>
  <c r="T764" i="31" s="1"/>
  <c r="Q786" i="31"/>
  <c r="T786" i="31" s="1"/>
  <c r="Q807" i="31"/>
  <c r="T807" i="31" s="1"/>
  <c r="Q64" i="31"/>
  <c r="T64" i="31" s="1"/>
  <c r="Q192" i="31"/>
  <c r="T192" i="31" s="1"/>
  <c r="Q296" i="31"/>
  <c r="T296" i="31" s="1"/>
  <c r="Q354" i="31"/>
  <c r="T354" i="31" s="1"/>
  <c r="Q439" i="31"/>
  <c r="T439" i="31" s="1"/>
  <c r="Q482" i="31"/>
  <c r="T482" i="31" s="1"/>
  <c r="Q519" i="31"/>
  <c r="T519" i="31" s="1"/>
  <c r="Q551" i="31"/>
  <c r="T551" i="31" s="1"/>
  <c r="Q583" i="31"/>
  <c r="T583" i="31" s="1"/>
  <c r="Q615" i="31"/>
  <c r="T615" i="31" s="1"/>
  <c r="Q638" i="31"/>
  <c r="T638" i="31" s="1"/>
  <c r="Q659" i="31"/>
  <c r="T659" i="31" s="1"/>
  <c r="Q680" i="31"/>
  <c r="T680" i="31" s="1"/>
  <c r="Q702" i="31"/>
  <c r="T702" i="31" s="1"/>
  <c r="Q723" i="31"/>
  <c r="T723" i="31" s="1"/>
  <c r="Q744" i="31"/>
  <c r="T744" i="31" s="1"/>
  <c r="Q766" i="31"/>
  <c r="T766" i="31" s="1"/>
  <c r="Q787" i="31"/>
  <c r="T787" i="31" s="1"/>
  <c r="Q808" i="31"/>
  <c r="T808" i="31" s="1"/>
  <c r="Q830" i="31"/>
  <c r="T830" i="31" s="1"/>
  <c r="Q97" i="31"/>
  <c r="T97" i="31" s="1"/>
  <c r="Q225" i="31"/>
  <c r="T225" i="31" s="1"/>
  <c r="Q317" i="31"/>
  <c r="T317" i="31" s="1"/>
  <c r="Q366" i="31"/>
  <c r="T366" i="31" s="1"/>
  <c r="Q451" i="31"/>
  <c r="T451" i="31" s="1"/>
  <c r="Q494" i="31"/>
  <c r="T494" i="31" s="1"/>
  <c r="Q528" i="31"/>
  <c r="T528" i="31" s="1"/>
  <c r="Q560" i="31"/>
  <c r="T560" i="31" s="1"/>
  <c r="Q592" i="31"/>
  <c r="T592" i="31" s="1"/>
  <c r="Q623" i="31"/>
  <c r="T623" i="31" s="1"/>
  <c r="Q644" i="31"/>
  <c r="T644" i="31" s="1"/>
  <c r="Q666" i="31"/>
  <c r="T666" i="31" s="1"/>
  <c r="Q687" i="31"/>
  <c r="T687" i="31" s="1"/>
  <c r="Q708" i="31"/>
  <c r="T708" i="31" s="1"/>
  <c r="Q730" i="31"/>
  <c r="T730" i="31" s="1"/>
  <c r="Q751" i="31"/>
  <c r="T751" i="31" s="1"/>
  <c r="Q772" i="31"/>
  <c r="T772" i="31" s="1"/>
  <c r="Q794" i="31"/>
  <c r="T794" i="31" s="1"/>
  <c r="Q815" i="31"/>
  <c r="T815" i="31" s="1"/>
  <c r="Q836" i="31"/>
  <c r="T836" i="31" s="1"/>
  <c r="Q176" i="31"/>
  <c r="T176" i="31" s="1"/>
  <c r="Q434" i="31"/>
  <c r="T434" i="31" s="1"/>
  <c r="Q579" i="31"/>
  <c r="T579" i="31" s="1"/>
  <c r="Q678" i="31"/>
  <c r="T678" i="31" s="1"/>
  <c r="Q763" i="31"/>
  <c r="T763" i="31" s="1"/>
  <c r="Q834" i="31"/>
  <c r="T834" i="31" s="1"/>
  <c r="Q860" i="31"/>
  <c r="T860" i="31" s="1"/>
  <c r="Q882" i="31"/>
  <c r="T882" i="31" s="1"/>
  <c r="Q903" i="31"/>
  <c r="T903" i="31" s="1"/>
  <c r="Q924" i="31"/>
  <c r="T924" i="31" s="1"/>
  <c r="Q946" i="31"/>
  <c r="T946" i="31" s="1"/>
  <c r="Q965" i="31"/>
  <c r="T965" i="31" s="1"/>
  <c r="Q981" i="31"/>
  <c r="T981" i="31" s="1"/>
  <c r="Q997" i="31"/>
  <c r="T997" i="31" s="1"/>
  <c r="Q1013" i="31"/>
  <c r="T1013" i="31" s="1"/>
  <c r="Q1029" i="31"/>
  <c r="T1029" i="31" s="1"/>
  <c r="Q1045" i="31"/>
  <c r="T1045" i="31" s="1"/>
  <c r="Q1061" i="31"/>
  <c r="T1061" i="31" s="1"/>
  <c r="Q1077" i="31"/>
  <c r="T1077" i="31" s="1"/>
  <c r="Q1093" i="31"/>
  <c r="T1093" i="31" s="1"/>
  <c r="Q1109" i="31"/>
  <c r="T1109" i="31" s="1"/>
  <c r="Q1125" i="31"/>
  <c r="T1125" i="31" s="1"/>
  <c r="Q1141" i="31"/>
  <c r="T1141" i="31" s="1"/>
  <c r="Q1157" i="31"/>
  <c r="T1157" i="31" s="1"/>
  <c r="Q1173" i="31"/>
  <c r="T1173" i="31" s="1"/>
  <c r="Q1189" i="31"/>
  <c r="T1189" i="31" s="1"/>
  <c r="Q1205" i="31"/>
  <c r="T1205" i="31" s="1"/>
  <c r="Q1221" i="31"/>
  <c r="T1221" i="31" s="1"/>
  <c r="Q1237" i="31"/>
  <c r="T1237" i="31" s="1"/>
  <c r="Q1253" i="31"/>
  <c r="T1253" i="31" s="1"/>
  <c r="Q1269" i="31"/>
  <c r="T1269" i="31" s="1"/>
  <c r="Q1285" i="31"/>
  <c r="T1285" i="31" s="1"/>
  <c r="Q1301" i="31"/>
  <c r="T1301" i="31" s="1"/>
  <c r="Q80" i="31"/>
  <c r="T80" i="31" s="1"/>
  <c r="Q555" i="31"/>
  <c r="T555" i="31" s="1"/>
  <c r="Q662" i="31"/>
  <c r="T662" i="31" s="1"/>
  <c r="Q747" i="31"/>
  <c r="T747" i="31" s="1"/>
  <c r="Q827" i="31"/>
  <c r="T827" i="31" s="1"/>
  <c r="Q856" i="31"/>
  <c r="T856" i="31" s="1"/>
  <c r="Q878" i="31"/>
  <c r="T878" i="31" s="1"/>
  <c r="Q899" i="31"/>
  <c r="T899" i="31" s="1"/>
  <c r="Q920" i="31"/>
  <c r="T920" i="31" s="1"/>
  <c r="Q942" i="31"/>
  <c r="T942" i="31" s="1"/>
  <c r="Q962" i="31"/>
  <c r="T962" i="31" s="1"/>
  <c r="Q978" i="31"/>
  <c r="T978" i="31" s="1"/>
  <c r="Q994" i="31"/>
  <c r="T994" i="31" s="1"/>
  <c r="Q1010" i="31"/>
  <c r="T1010" i="31" s="1"/>
  <c r="Q1026" i="31"/>
  <c r="T1026" i="31" s="1"/>
  <c r="Q1042" i="31"/>
  <c r="T1042" i="31" s="1"/>
  <c r="Q1058" i="31"/>
  <c r="T1058" i="31" s="1"/>
  <c r="Q1074" i="31"/>
  <c r="T1074" i="31" s="1"/>
  <c r="Q1090" i="31"/>
  <c r="T1090" i="31" s="1"/>
  <c r="Q1106" i="31"/>
  <c r="T1106" i="31" s="1"/>
  <c r="Q1122" i="31"/>
  <c r="T1122" i="31" s="1"/>
  <c r="Q1138" i="31"/>
  <c r="T1138" i="31" s="1"/>
  <c r="Q1154" i="31"/>
  <c r="T1154" i="31" s="1"/>
  <c r="Q1170" i="31"/>
  <c r="T1170" i="31" s="1"/>
  <c r="Q1186" i="31"/>
  <c r="T1186" i="31" s="1"/>
  <c r="Q1202" i="31"/>
  <c r="T1202" i="31" s="1"/>
  <c r="Q1218" i="31"/>
  <c r="T1218" i="31" s="1"/>
  <c r="Q1234" i="31"/>
  <c r="T1234" i="31" s="1"/>
  <c r="Q1250" i="31"/>
  <c r="T1250" i="31" s="1"/>
  <c r="Q1266" i="31"/>
  <c r="T1266" i="31" s="1"/>
  <c r="Q1282" i="31"/>
  <c r="T1282" i="31" s="1"/>
  <c r="Q1298" i="31"/>
  <c r="T1298" i="31" s="1"/>
  <c r="Q112" i="31"/>
  <c r="T112" i="31" s="1"/>
  <c r="Q563" i="31"/>
  <c r="T563" i="31" s="1"/>
  <c r="Q667" i="31"/>
  <c r="T667" i="31" s="1"/>
  <c r="Q752" i="31"/>
  <c r="T752" i="31" s="1"/>
  <c r="Q605" i="31"/>
  <c r="T605" i="31" s="1"/>
  <c r="Q625" i="31"/>
  <c r="T625" i="31" s="1"/>
  <c r="Q641" i="31"/>
  <c r="T641" i="31" s="1"/>
  <c r="Q657" i="31"/>
  <c r="T657" i="31" s="1"/>
  <c r="Q673" i="31"/>
  <c r="T673" i="31" s="1"/>
  <c r="Q689" i="31"/>
  <c r="T689" i="31" s="1"/>
  <c r="Q705" i="31"/>
  <c r="T705" i="31" s="1"/>
  <c r="Q721" i="31"/>
  <c r="T721" i="31" s="1"/>
  <c r="Q737" i="31"/>
  <c r="T737" i="31" s="1"/>
  <c r="Q753" i="31"/>
  <c r="T753" i="31" s="1"/>
  <c r="Q769" i="31"/>
  <c r="T769" i="31" s="1"/>
  <c r="Q785" i="31"/>
  <c r="T785" i="31" s="1"/>
  <c r="Q801" i="31"/>
  <c r="T801" i="31" s="1"/>
  <c r="Q817" i="31"/>
  <c r="T817" i="31" s="1"/>
  <c r="Q833" i="31"/>
  <c r="T833" i="31" s="1"/>
  <c r="Q849" i="31"/>
  <c r="T849" i="31" s="1"/>
  <c r="Q865" i="31"/>
  <c r="T865" i="31" s="1"/>
  <c r="Q881" i="31"/>
  <c r="T881" i="31" s="1"/>
  <c r="Q897" i="31"/>
  <c r="T897" i="31" s="1"/>
  <c r="Q913" i="31"/>
  <c r="T913" i="31" s="1"/>
  <c r="Q929" i="31"/>
  <c r="T929" i="31" s="1"/>
  <c r="Q945" i="31"/>
  <c r="T945" i="31" s="1"/>
  <c r="Q9" i="31"/>
  <c r="T9" i="31" s="1"/>
  <c r="Q73" i="31"/>
  <c r="T73" i="31" s="1"/>
  <c r="Q137" i="31"/>
  <c r="T137" i="31" s="1"/>
  <c r="Q201" i="31"/>
  <c r="T201" i="31" s="1"/>
  <c r="Q261" i="31"/>
  <c r="T261" i="31" s="1"/>
  <c r="Q304" i="31"/>
  <c r="T304" i="31" s="1"/>
  <c r="Q334" i="31"/>
  <c r="T334" i="31" s="1"/>
  <c r="Q358" i="31"/>
  <c r="T358" i="31" s="1"/>
  <c r="Q379" i="31"/>
  <c r="T379" i="31" s="1"/>
  <c r="Q443" i="31"/>
  <c r="T443" i="31" s="1"/>
  <c r="Q464" i="31"/>
  <c r="T464" i="31" s="1"/>
  <c r="Q486" i="31"/>
  <c r="T486" i="31" s="1"/>
  <c r="Q506" i="31"/>
  <c r="T506" i="31" s="1"/>
  <c r="Q522" i="31"/>
  <c r="T522" i="31" s="1"/>
  <c r="Q538" i="31"/>
  <c r="T538" i="31" s="1"/>
  <c r="Q554" i="31"/>
  <c r="T554" i="31" s="1"/>
  <c r="Q570" i="31"/>
  <c r="T570" i="31" s="1"/>
  <c r="Q586" i="31"/>
  <c r="T586" i="31" s="1"/>
  <c r="Q602" i="31"/>
  <c r="T602" i="31" s="1"/>
  <c r="Q618" i="31"/>
  <c r="T618" i="31" s="1"/>
  <c r="Q81" i="31"/>
  <c r="T81" i="31" s="1"/>
  <c r="Q209" i="31"/>
  <c r="T209" i="31" s="1"/>
  <c r="Q309" i="31"/>
  <c r="T309" i="31" s="1"/>
  <c r="Q360" i="31"/>
  <c r="T360" i="31" s="1"/>
  <c r="Q446" i="31"/>
  <c r="T446" i="31" s="1"/>
  <c r="Q488" i="31"/>
  <c r="T488" i="31" s="1"/>
  <c r="Q524" i="31"/>
  <c r="T524" i="31" s="1"/>
  <c r="Q556" i="31"/>
  <c r="T556" i="31" s="1"/>
  <c r="Q588" i="31"/>
  <c r="T588" i="31" s="1"/>
  <c r="Q620" i="31"/>
  <c r="T620" i="31" s="1"/>
  <c r="Q642" i="31"/>
  <c r="T642" i="31" s="1"/>
  <c r="Q663" i="31"/>
  <c r="T663" i="31" s="1"/>
  <c r="Q684" i="31"/>
  <c r="T684" i="31" s="1"/>
  <c r="Q706" i="31"/>
  <c r="T706" i="31" s="1"/>
  <c r="Q727" i="31"/>
  <c r="T727" i="31" s="1"/>
  <c r="Q748" i="31"/>
  <c r="T748" i="31" s="1"/>
  <c r="Q770" i="31"/>
  <c r="T770" i="31" s="1"/>
  <c r="Q791" i="31"/>
  <c r="T791" i="31" s="1"/>
  <c r="Q812" i="31"/>
  <c r="T812" i="31" s="1"/>
  <c r="Q96" i="31"/>
  <c r="T96" i="31" s="1"/>
  <c r="Q224" i="31"/>
  <c r="T224" i="31" s="1"/>
  <c r="Q316" i="31"/>
  <c r="T316" i="31" s="1"/>
  <c r="Q364" i="31"/>
  <c r="T364" i="31" s="1"/>
  <c r="Q450" i="31"/>
  <c r="T450" i="31" s="1"/>
  <c r="Q492" i="31"/>
  <c r="T492" i="31" s="1"/>
  <c r="Q527" i="31"/>
  <c r="T527" i="31" s="1"/>
  <c r="Q559" i="31"/>
  <c r="T559" i="31" s="1"/>
  <c r="Q591" i="31"/>
  <c r="T591" i="31" s="1"/>
  <c r="Q622" i="31"/>
  <c r="T622" i="31" s="1"/>
  <c r="Q643" i="31"/>
  <c r="T643" i="31" s="1"/>
  <c r="Q664" i="31"/>
  <c r="T664" i="31" s="1"/>
  <c r="Q686" i="31"/>
  <c r="T686" i="31" s="1"/>
  <c r="Q707" i="31"/>
  <c r="T707" i="31" s="1"/>
  <c r="Q728" i="31"/>
  <c r="T728" i="31" s="1"/>
  <c r="Q750" i="31"/>
  <c r="T750" i="31" s="1"/>
  <c r="Q771" i="31"/>
  <c r="T771" i="31" s="1"/>
  <c r="Q792" i="31"/>
  <c r="T792" i="31" s="1"/>
  <c r="Q814" i="31"/>
  <c r="T814" i="31" s="1"/>
  <c r="Q835" i="31"/>
  <c r="T835" i="31" s="1"/>
  <c r="Q129" i="31"/>
  <c r="T129" i="31" s="1"/>
  <c r="Q256" i="31"/>
  <c r="T256" i="31" s="1"/>
  <c r="Q332" i="31"/>
  <c r="T332" i="31" s="1"/>
  <c r="Q376" i="31"/>
  <c r="T376" i="31" s="1"/>
  <c r="Q462" i="31"/>
  <c r="T462" i="31" s="1"/>
  <c r="Q504" i="31"/>
  <c r="T504" i="31" s="1"/>
  <c r="Q536" i="31"/>
  <c r="T536" i="31" s="1"/>
  <c r="Q568" i="31"/>
  <c r="T568" i="31" s="1"/>
  <c r="Q600" i="31"/>
  <c r="T600" i="31" s="1"/>
  <c r="Q628" i="31"/>
  <c r="T628" i="31" s="1"/>
  <c r="Q650" i="31"/>
  <c r="T650" i="31" s="1"/>
  <c r="Q671" i="31"/>
  <c r="T671" i="31" s="1"/>
  <c r="Q692" i="31"/>
  <c r="T692" i="31" s="1"/>
  <c r="Q714" i="31"/>
  <c r="T714" i="31" s="1"/>
  <c r="Q735" i="31"/>
  <c r="T735" i="31" s="1"/>
  <c r="Q756" i="31"/>
  <c r="T756" i="31" s="1"/>
  <c r="Q778" i="31"/>
  <c r="T778" i="31" s="1"/>
  <c r="Q799" i="31"/>
  <c r="T799" i="31" s="1"/>
  <c r="Q820" i="31"/>
  <c r="T820" i="31" s="1"/>
  <c r="Q842" i="31"/>
  <c r="T842" i="31" s="1"/>
  <c r="Q285" i="31"/>
  <c r="T285" i="31" s="1"/>
  <c r="Q476" i="31"/>
  <c r="T476" i="31" s="1"/>
  <c r="Q611" i="31"/>
  <c r="T611" i="31" s="1"/>
  <c r="Q699" i="31"/>
  <c r="T699" i="31" s="1"/>
  <c r="Q784" i="31"/>
  <c r="T784" i="31" s="1"/>
  <c r="Q843" i="31"/>
  <c r="T843" i="31" s="1"/>
  <c r="Q866" i="31"/>
  <c r="T866" i="31" s="1"/>
  <c r="Q887" i="31"/>
  <c r="T887" i="31" s="1"/>
  <c r="Q908" i="31"/>
  <c r="T908" i="31" s="1"/>
  <c r="Q930" i="31"/>
  <c r="T930" i="31" s="1"/>
  <c r="Q951" i="31"/>
  <c r="T951" i="31" s="1"/>
  <c r="Q969" i="31"/>
  <c r="T969" i="31" s="1"/>
  <c r="Q985" i="31"/>
  <c r="T985" i="31" s="1"/>
  <c r="Q1001" i="31"/>
  <c r="T1001" i="31" s="1"/>
  <c r="Q1017" i="31"/>
  <c r="T1017" i="31" s="1"/>
  <c r="Q1033" i="31"/>
  <c r="T1033" i="31" s="1"/>
  <c r="Q1049" i="31"/>
  <c r="T1049" i="31" s="1"/>
  <c r="Q1065" i="31"/>
  <c r="T1065" i="31" s="1"/>
  <c r="Q1081" i="31"/>
  <c r="T1081" i="31" s="1"/>
  <c r="Q1097" i="31"/>
  <c r="T1097" i="31" s="1"/>
  <c r="Q1113" i="31"/>
  <c r="T1113" i="31" s="1"/>
  <c r="Q1129" i="31"/>
  <c r="T1129" i="31" s="1"/>
  <c r="Q1145" i="31"/>
  <c r="T1145" i="31" s="1"/>
  <c r="Q1161" i="31"/>
  <c r="T1161" i="31" s="1"/>
  <c r="Q1177" i="31"/>
  <c r="T1177" i="31" s="1"/>
  <c r="Q1193" i="31"/>
  <c r="T1193" i="31" s="1"/>
  <c r="Q1209" i="31"/>
  <c r="T1209" i="31" s="1"/>
  <c r="Q1225" i="31"/>
  <c r="T1225" i="31" s="1"/>
  <c r="Q1241" i="31"/>
  <c r="T1241" i="31" s="1"/>
  <c r="Q1257" i="31"/>
  <c r="T1257" i="31" s="1"/>
  <c r="Q1273" i="31"/>
  <c r="T1273" i="31" s="1"/>
  <c r="Q1289" i="31"/>
  <c r="T1289" i="31" s="1"/>
  <c r="Q1305" i="31"/>
  <c r="T1305" i="31" s="1"/>
  <c r="Q208" i="31"/>
  <c r="T208" i="31" s="1"/>
  <c r="Q444" i="31"/>
  <c r="T444" i="31" s="1"/>
  <c r="Q587" i="31"/>
  <c r="T587" i="31" s="1"/>
  <c r="Q683" i="31"/>
  <c r="T683" i="31" s="1"/>
  <c r="Q768" i="31"/>
  <c r="T768" i="31" s="1"/>
  <c r="Q838" i="31"/>
  <c r="T838" i="31" s="1"/>
  <c r="Q862" i="31"/>
  <c r="T862" i="31" s="1"/>
  <c r="Q883" i="31"/>
  <c r="T883" i="31" s="1"/>
  <c r="Q904" i="31"/>
  <c r="T904" i="31" s="1"/>
  <c r="Q926" i="31"/>
  <c r="T926" i="31" s="1"/>
  <c r="Q947" i="31"/>
  <c r="T947" i="31" s="1"/>
  <c r="Q966" i="31"/>
  <c r="T966" i="31" s="1"/>
  <c r="Q982" i="31"/>
  <c r="T982" i="31" s="1"/>
  <c r="Q998" i="31"/>
  <c r="T998" i="31" s="1"/>
  <c r="Q1014" i="31"/>
  <c r="T1014" i="31" s="1"/>
  <c r="Q1030" i="31"/>
  <c r="T1030" i="31" s="1"/>
  <c r="Q1046" i="31"/>
  <c r="T1046" i="31" s="1"/>
  <c r="Q1062" i="31"/>
  <c r="T1062" i="31" s="1"/>
  <c r="Q1078" i="31"/>
  <c r="T1078" i="31" s="1"/>
  <c r="Q1094" i="31"/>
  <c r="T1094" i="31" s="1"/>
  <c r="Q1110" i="31"/>
  <c r="T1110" i="31" s="1"/>
  <c r="Q1126" i="31"/>
  <c r="T1126" i="31" s="1"/>
  <c r="Q1142" i="31"/>
  <c r="T1142" i="31" s="1"/>
  <c r="Q1158" i="31"/>
  <c r="T1158" i="31" s="1"/>
  <c r="Q1174" i="31"/>
  <c r="T1174" i="31" s="1"/>
  <c r="Q1190" i="31"/>
  <c r="T1190" i="31" s="1"/>
  <c r="Q1206" i="31"/>
  <c r="T1206" i="31" s="1"/>
  <c r="Q1222" i="31"/>
  <c r="T1222" i="31" s="1"/>
  <c r="Q1238" i="31"/>
  <c r="T1238" i="31" s="1"/>
  <c r="Q1254" i="31"/>
  <c r="T1254" i="31" s="1"/>
  <c r="Q1270" i="31"/>
  <c r="T1270" i="31" s="1"/>
  <c r="Q1286" i="31"/>
  <c r="T1286" i="31" s="1"/>
  <c r="Q1302" i="31"/>
  <c r="T1302" i="31" s="1"/>
  <c r="Q240" i="31"/>
  <c r="T240" i="31" s="1"/>
  <c r="Q455" i="31"/>
  <c r="T455" i="31" s="1"/>
  <c r="Q595" i="31"/>
  <c r="T595" i="31" s="1"/>
  <c r="Q688" i="31"/>
  <c r="T688" i="31" s="1"/>
  <c r="Q774" i="31"/>
  <c r="T774" i="31" s="1"/>
  <c r="Q609" i="31"/>
  <c r="T609" i="31" s="1"/>
  <c r="Q629" i="31"/>
  <c r="T629" i="31" s="1"/>
  <c r="Q645" i="31"/>
  <c r="T645" i="31" s="1"/>
  <c r="Q661" i="31"/>
  <c r="T661" i="31" s="1"/>
  <c r="Q677" i="31"/>
  <c r="T677" i="31" s="1"/>
  <c r="Q693" i="31"/>
  <c r="T693" i="31" s="1"/>
  <c r="Q709" i="31"/>
  <c r="T709" i="31" s="1"/>
  <c r="Q725" i="31"/>
  <c r="T725" i="31" s="1"/>
  <c r="Q741" i="31"/>
  <c r="T741" i="31" s="1"/>
  <c r="Q757" i="31"/>
  <c r="T757" i="31" s="1"/>
  <c r="Q773" i="31"/>
  <c r="T773" i="31" s="1"/>
  <c r="Q789" i="31"/>
  <c r="T789" i="31" s="1"/>
  <c r="Q805" i="31"/>
  <c r="T805" i="31" s="1"/>
  <c r="Q821" i="31"/>
  <c r="T821" i="31" s="1"/>
  <c r="Q837" i="31"/>
  <c r="T837" i="31" s="1"/>
  <c r="Q853" i="31"/>
  <c r="T853" i="31" s="1"/>
  <c r="Q869" i="31"/>
  <c r="T869" i="31" s="1"/>
  <c r="Q885" i="31"/>
  <c r="T885" i="31" s="1"/>
  <c r="Q901" i="31"/>
  <c r="T901" i="31" s="1"/>
  <c r="Q917" i="31"/>
  <c r="T917" i="31" s="1"/>
  <c r="Q933" i="31"/>
  <c r="T933" i="31" s="1"/>
  <c r="Q949" i="31"/>
  <c r="T949" i="31" s="1"/>
  <c r="Q25" i="31"/>
  <c r="T25" i="31" s="1"/>
  <c r="Q89" i="31"/>
  <c r="T89" i="31" s="1"/>
  <c r="Q153" i="31"/>
  <c r="T153" i="31" s="1"/>
  <c r="Q217" i="31"/>
  <c r="T217" i="31" s="1"/>
  <c r="Q272" i="31"/>
  <c r="T272" i="31" s="1"/>
  <c r="Q313" i="31"/>
  <c r="T313" i="31" s="1"/>
  <c r="Q342" i="31"/>
  <c r="T342" i="31" s="1"/>
  <c r="Q363" i="31"/>
  <c r="T363" i="31" s="1"/>
  <c r="Q448" i="31"/>
  <c r="T448" i="31" s="1"/>
  <c r="Q470" i="31"/>
  <c r="T470" i="31" s="1"/>
  <c r="Q491" i="31"/>
  <c r="T491" i="31" s="1"/>
  <c r="Q510" i="31"/>
  <c r="T510" i="31" s="1"/>
  <c r="Q526" i="31"/>
  <c r="T526" i="31" s="1"/>
  <c r="Q542" i="31"/>
  <c r="T542" i="31" s="1"/>
  <c r="Q558" i="31"/>
  <c r="T558" i="31" s="1"/>
  <c r="Q574" i="31"/>
  <c r="T574" i="31" s="1"/>
  <c r="Q590" i="31"/>
  <c r="T590" i="31" s="1"/>
  <c r="Q606" i="31"/>
  <c r="T606" i="31" s="1"/>
  <c r="Q16" i="31"/>
  <c r="T16" i="31" s="1"/>
  <c r="Q113" i="31"/>
  <c r="T113" i="31" s="1"/>
  <c r="Q241" i="31"/>
  <c r="T241" i="31" s="1"/>
  <c r="Q324" i="31"/>
  <c r="T324" i="31" s="1"/>
  <c r="Q371" i="31"/>
  <c r="T371" i="31" s="1"/>
  <c r="Q456" i="31"/>
  <c r="T456" i="31" s="1"/>
  <c r="Q499" i="31"/>
  <c r="T499" i="31" s="1"/>
  <c r="Q532" i="31"/>
  <c r="T532" i="31" s="1"/>
  <c r="Q564" i="31"/>
  <c r="T564" i="31" s="1"/>
  <c r="Q596" i="31"/>
  <c r="T596" i="31" s="1"/>
  <c r="Q626" i="31"/>
  <c r="T626" i="31" s="1"/>
  <c r="Q647" i="31"/>
  <c r="T647" i="31" s="1"/>
  <c r="Q668" i="31"/>
  <c r="T668" i="31" s="1"/>
  <c r="Q690" i="31"/>
  <c r="T690" i="31" s="1"/>
  <c r="Q711" i="31"/>
  <c r="T711" i="31" s="1"/>
  <c r="Q732" i="31"/>
  <c r="T732" i="31" s="1"/>
  <c r="Q754" i="31"/>
  <c r="T754" i="31" s="1"/>
  <c r="Q775" i="31"/>
  <c r="T775" i="31" s="1"/>
  <c r="Q796" i="31"/>
  <c r="T796" i="31" s="1"/>
  <c r="Q818" i="31"/>
  <c r="T818" i="31" s="1"/>
  <c r="Q128" i="31"/>
  <c r="T128" i="31" s="1"/>
  <c r="Q253" i="31"/>
  <c r="T253" i="31" s="1"/>
  <c r="Q329" i="31"/>
  <c r="T329" i="31" s="1"/>
  <c r="Q375" i="31"/>
  <c r="T375" i="31" s="1"/>
  <c r="Q460" i="31"/>
  <c r="T460" i="31" s="1"/>
  <c r="Q503" i="31"/>
  <c r="T503" i="31" s="1"/>
  <c r="Q535" i="31"/>
  <c r="T535" i="31" s="1"/>
  <c r="Q567" i="31"/>
  <c r="T567" i="31" s="1"/>
  <c r="Q599" i="31"/>
  <c r="T599" i="31" s="1"/>
  <c r="Q627" i="31"/>
  <c r="T627" i="31" s="1"/>
  <c r="Q648" i="31"/>
  <c r="T648" i="31" s="1"/>
  <c r="Q670" i="31"/>
  <c r="T670" i="31" s="1"/>
  <c r="Q691" i="31"/>
  <c r="T691" i="31" s="1"/>
  <c r="Q712" i="31"/>
  <c r="T712" i="31" s="1"/>
  <c r="Q734" i="31"/>
  <c r="T734" i="31" s="1"/>
  <c r="Q755" i="31"/>
  <c r="T755" i="31" s="1"/>
  <c r="Q776" i="31"/>
  <c r="T776" i="31" s="1"/>
  <c r="Q798" i="31"/>
  <c r="T798" i="31" s="1"/>
  <c r="Q819" i="31"/>
  <c r="T819" i="31" s="1"/>
  <c r="Q33" i="31"/>
  <c r="T33" i="31" s="1"/>
  <c r="Q161" i="31"/>
  <c r="T161" i="31" s="1"/>
  <c r="Q277" i="31"/>
  <c r="T277" i="31" s="1"/>
  <c r="Q344" i="31"/>
  <c r="T344" i="31" s="1"/>
  <c r="Q472" i="31"/>
  <c r="T472" i="31" s="1"/>
  <c r="Q512" i="31"/>
  <c r="T512" i="31" s="1"/>
  <c r="Q544" i="31"/>
  <c r="T544" i="31" s="1"/>
  <c r="Q576" i="31"/>
  <c r="T576" i="31" s="1"/>
  <c r="Q608" i="31"/>
  <c r="T608" i="31" s="1"/>
  <c r="Q634" i="31"/>
  <c r="T634" i="31" s="1"/>
  <c r="Q655" i="31"/>
  <c r="T655" i="31" s="1"/>
  <c r="Q676" i="31"/>
  <c r="T676" i="31" s="1"/>
  <c r="Q698" i="31"/>
  <c r="T698" i="31" s="1"/>
  <c r="Q719" i="31"/>
  <c r="T719" i="31" s="1"/>
  <c r="Q740" i="31"/>
  <c r="T740" i="31" s="1"/>
  <c r="Q762" i="31"/>
  <c r="T762" i="31" s="1"/>
  <c r="Q783" i="31"/>
  <c r="T783" i="31" s="1"/>
  <c r="Q804" i="31"/>
  <c r="T804" i="31" s="1"/>
  <c r="Q826" i="31"/>
  <c r="T826" i="31" s="1"/>
  <c r="Q847" i="31"/>
  <c r="T847" i="31" s="1"/>
  <c r="Q348" i="31"/>
  <c r="T348" i="31" s="1"/>
  <c r="Q515" i="31"/>
  <c r="T515" i="31" s="1"/>
  <c r="Q635" i="31"/>
  <c r="T635" i="31" s="1"/>
  <c r="Q720" i="31"/>
  <c r="T720" i="31" s="1"/>
  <c r="Q806" i="31"/>
  <c r="T806" i="31" s="1"/>
  <c r="Q850" i="31"/>
  <c r="T850" i="31" s="1"/>
  <c r="Q871" i="31"/>
  <c r="T871" i="31" s="1"/>
  <c r="Q892" i="31"/>
  <c r="T892" i="31" s="1"/>
  <c r="Q914" i="31"/>
  <c r="T914" i="31" s="1"/>
  <c r="Q935" i="31"/>
  <c r="T935" i="31" s="1"/>
  <c r="Q956" i="31"/>
  <c r="T956" i="31" s="1"/>
  <c r="Q973" i="31"/>
  <c r="T973" i="31" s="1"/>
  <c r="Q989" i="31"/>
  <c r="T989" i="31" s="1"/>
  <c r="Q1005" i="31"/>
  <c r="T1005" i="31" s="1"/>
  <c r="Q1021" i="31"/>
  <c r="T1021" i="31" s="1"/>
  <c r="Q1037" i="31"/>
  <c r="T1037" i="31" s="1"/>
  <c r="Q1053" i="31"/>
  <c r="T1053" i="31" s="1"/>
  <c r="Q1069" i="31"/>
  <c r="T1069" i="31" s="1"/>
  <c r="Q1085" i="31"/>
  <c r="T1085" i="31" s="1"/>
  <c r="Q1101" i="31"/>
  <c r="T1101" i="31" s="1"/>
  <c r="Q1117" i="31"/>
  <c r="T1117" i="31" s="1"/>
  <c r="Q1133" i="31"/>
  <c r="T1133" i="31" s="1"/>
  <c r="Q1149" i="31"/>
  <c r="T1149" i="31" s="1"/>
  <c r="Q1165" i="31"/>
  <c r="T1165" i="31" s="1"/>
  <c r="Q1181" i="31"/>
  <c r="T1181" i="31" s="1"/>
  <c r="Q1197" i="31"/>
  <c r="T1197" i="31" s="1"/>
  <c r="Q1213" i="31"/>
  <c r="T1213" i="31" s="1"/>
  <c r="Q1229" i="31"/>
  <c r="T1229" i="31" s="1"/>
  <c r="Q1245" i="31"/>
  <c r="T1245" i="31" s="1"/>
  <c r="Q1261" i="31"/>
  <c r="T1261" i="31" s="1"/>
  <c r="Q1277" i="31"/>
  <c r="T1277" i="31" s="1"/>
  <c r="Q1293" i="31"/>
  <c r="T1293" i="31" s="1"/>
  <c r="Q1309" i="31"/>
  <c r="T1309" i="31" s="1"/>
  <c r="Q305" i="31"/>
  <c r="T305" i="31" s="1"/>
  <c r="Q487" i="31"/>
  <c r="T487" i="31" s="1"/>
  <c r="Q619" i="31"/>
  <c r="T619" i="31" s="1"/>
  <c r="Q704" i="31"/>
  <c r="T704" i="31" s="1"/>
  <c r="Q790" i="31"/>
  <c r="T790" i="31" s="1"/>
  <c r="Q844" i="31"/>
  <c r="T844" i="31" s="1"/>
  <c r="Q867" i="31"/>
  <c r="T867" i="31" s="1"/>
  <c r="Q888" i="31"/>
  <c r="T888" i="31" s="1"/>
  <c r="Q910" i="31"/>
  <c r="T910" i="31" s="1"/>
  <c r="Q931" i="31"/>
  <c r="T931" i="31" s="1"/>
  <c r="Q952" i="31"/>
  <c r="T952" i="31" s="1"/>
  <c r="Q970" i="31"/>
  <c r="T970" i="31" s="1"/>
  <c r="Q986" i="31"/>
  <c r="T986" i="31" s="1"/>
  <c r="Q1002" i="31"/>
  <c r="T1002" i="31" s="1"/>
  <c r="Q1018" i="31"/>
  <c r="T1018" i="31" s="1"/>
  <c r="Q1034" i="31"/>
  <c r="T1034" i="31" s="1"/>
  <c r="Q1050" i="31"/>
  <c r="T1050" i="31" s="1"/>
  <c r="Q1066" i="31"/>
  <c r="T1066" i="31" s="1"/>
  <c r="Q1082" i="31"/>
  <c r="T1082" i="31" s="1"/>
  <c r="Q1098" i="31"/>
  <c r="T1098" i="31" s="1"/>
  <c r="Q1114" i="31"/>
  <c r="T1114" i="31" s="1"/>
  <c r="Q1130" i="31"/>
  <c r="T1130" i="31" s="1"/>
  <c r="Q1146" i="31"/>
  <c r="T1146" i="31" s="1"/>
  <c r="Q1162" i="31"/>
  <c r="T1162" i="31" s="1"/>
  <c r="Q1178" i="31"/>
  <c r="T1178" i="31" s="1"/>
  <c r="Q1194" i="31"/>
  <c r="T1194" i="31" s="1"/>
  <c r="Q1210" i="31"/>
  <c r="T1210" i="31" s="1"/>
  <c r="Q1226" i="31"/>
  <c r="T1226" i="31" s="1"/>
  <c r="Q1242" i="31"/>
  <c r="T1242" i="31" s="1"/>
  <c r="Q1258" i="31"/>
  <c r="T1258" i="31" s="1"/>
  <c r="Q1274" i="31"/>
  <c r="T1274" i="31" s="1"/>
  <c r="Q1290" i="31"/>
  <c r="T1290" i="31" s="1"/>
  <c r="Q1306" i="31"/>
  <c r="T1306" i="31" s="1"/>
  <c r="Q322" i="31"/>
  <c r="T322" i="31" s="1"/>
  <c r="Q498" i="31"/>
  <c r="T498" i="31" s="1"/>
  <c r="Q624" i="31"/>
  <c r="T624" i="31" s="1"/>
  <c r="Q710" i="31"/>
  <c r="T710" i="31" s="1"/>
  <c r="Q795" i="31"/>
  <c r="T795" i="31" s="1"/>
  <c r="Q1070" i="31"/>
  <c r="T1070" i="31" s="1"/>
  <c r="Q1134" i="31"/>
  <c r="T1134" i="31" s="1"/>
  <c r="Q1198" i="31"/>
  <c r="T1198" i="31" s="1"/>
  <c r="Q1262" i="31"/>
  <c r="T1262" i="31" s="1"/>
  <c r="Q370" i="31"/>
  <c r="T370" i="31" s="1"/>
  <c r="Q731" i="31"/>
  <c r="T731" i="31" s="1"/>
  <c r="Q846" i="31"/>
  <c r="T846" i="31" s="1"/>
  <c r="Q868" i="31"/>
  <c r="T868" i="31" s="1"/>
  <c r="Q890" i="31"/>
  <c r="T890" i="31" s="1"/>
  <c r="Q911" i="31"/>
  <c r="T911" i="31" s="1"/>
  <c r="Q932" i="31"/>
  <c r="T932" i="31" s="1"/>
  <c r="Q954" i="31"/>
  <c r="T954" i="31" s="1"/>
  <c r="Q971" i="31"/>
  <c r="T971" i="31" s="1"/>
  <c r="Q987" i="31"/>
  <c r="T987" i="31" s="1"/>
  <c r="Q1003" i="31"/>
  <c r="T1003" i="31" s="1"/>
  <c r="Q1019" i="31"/>
  <c r="T1019" i="31" s="1"/>
  <c r="Q1035" i="31"/>
  <c r="T1035" i="31" s="1"/>
  <c r="Q1051" i="31"/>
  <c r="T1051" i="31" s="1"/>
  <c r="Q1067" i="31"/>
  <c r="T1067" i="31" s="1"/>
  <c r="Q1083" i="31"/>
  <c r="T1083" i="31" s="1"/>
  <c r="Q1099" i="31"/>
  <c r="T1099" i="31" s="1"/>
  <c r="Q1115" i="31"/>
  <c r="T1115" i="31" s="1"/>
  <c r="Q1131" i="31"/>
  <c r="T1131" i="31" s="1"/>
  <c r="Q1147" i="31"/>
  <c r="T1147" i="31" s="1"/>
  <c r="Q1163" i="31"/>
  <c r="T1163" i="31" s="1"/>
  <c r="Q1179" i="31"/>
  <c r="T1179" i="31" s="1"/>
  <c r="Q1195" i="31"/>
  <c r="T1195" i="31" s="1"/>
  <c r="Q1211" i="31"/>
  <c r="T1211" i="31" s="1"/>
  <c r="Q1227" i="31"/>
  <c r="T1227" i="31" s="1"/>
  <c r="Q1243" i="31"/>
  <c r="T1243" i="31" s="1"/>
  <c r="Q1259" i="31"/>
  <c r="T1259" i="31" s="1"/>
  <c r="Q1275" i="31"/>
  <c r="T1275" i="31" s="1"/>
  <c r="Q1291" i="31"/>
  <c r="T1291" i="31" s="1"/>
  <c r="Q1307" i="31"/>
  <c r="T1307" i="31" s="1"/>
  <c r="Q1323" i="31"/>
  <c r="T1323" i="31" s="1"/>
  <c r="Q1339" i="31"/>
  <c r="T1339" i="31" s="1"/>
  <c r="Q1355" i="31"/>
  <c r="T1355" i="31" s="1"/>
  <c r="Q1371" i="31"/>
  <c r="T1371" i="31" s="1"/>
  <c r="Q1387" i="31"/>
  <c r="T1387" i="31" s="1"/>
  <c r="Q1403" i="31"/>
  <c r="T1403" i="31" s="1"/>
  <c r="Q1419" i="31"/>
  <c r="T1419" i="31" s="1"/>
  <c r="Q1435" i="31"/>
  <c r="T1435" i="31" s="1"/>
  <c r="Q1451" i="31"/>
  <c r="T1451" i="31" s="1"/>
  <c r="Q144" i="31"/>
  <c r="T144" i="31" s="1"/>
  <c r="Q758" i="31"/>
  <c r="T758" i="31" s="1"/>
  <c r="Q902" i="31"/>
  <c r="T902" i="31" s="1"/>
  <c r="Q980" i="31"/>
  <c r="T980" i="31" s="1"/>
  <c r="Q1044" i="31"/>
  <c r="T1044" i="31" s="1"/>
  <c r="Q1108" i="31"/>
  <c r="T1108" i="31" s="1"/>
  <c r="Q1172" i="31"/>
  <c r="T1172" i="31" s="1"/>
  <c r="Q1236" i="31"/>
  <c r="T1236" i="31" s="1"/>
  <c r="Q1300" i="31"/>
  <c r="T1300" i="31" s="1"/>
  <c r="Q1330" i="31"/>
  <c r="T1330" i="31" s="1"/>
  <c r="Q1352" i="31"/>
  <c r="T1352" i="31" s="1"/>
  <c r="Q1373" i="31"/>
  <c r="T1373" i="31" s="1"/>
  <c r="Q1394" i="31"/>
  <c r="T1394" i="31" s="1"/>
  <c r="Q1416" i="31"/>
  <c r="T1416" i="31" s="1"/>
  <c r="Q1437" i="31"/>
  <c r="T1437" i="31" s="1"/>
  <c r="Q1458" i="31"/>
  <c r="T1458" i="31" s="1"/>
  <c r="Q1476" i="31"/>
  <c r="T1476" i="31" s="1"/>
  <c r="Q1492" i="31"/>
  <c r="T1492" i="31" s="1"/>
  <c r="Q1508" i="31"/>
  <c r="T1508" i="31" s="1"/>
  <c r="Q1524" i="31"/>
  <c r="T1524" i="31" s="1"/>
  <c r="Q1540" i="31"/>
  <c r="T1540" i="31" s="1"/>
  <c r="Q1556" i="31"/>
  <c r="T1556" i="31" s="1"/>
  <c r="Q1572" i="31"/>
  <c r="T1572" i="31" s="1"/>
  <c r="Q1588" i="31"/>
  <c r="T1588" i="31" s="1"/>
  <c r="Q1604" i="31"/>
  <c r="T1604" i="31" s="1"/>
  <c r="Q1620" i="31"/>
  <c r="T1620" i="31" s="1"/>
  <c r="Q1636" i="31"/>
  <c r="T1636" i="31" s="1"/>
  <c r="Q1652" i="31"/>
  <c r="T1652" i="31" s="1"/>
  <c r="Q1668" i="31"/>
  <c r="T1668" i="31" s="1"/>
  <c r="Q1684" i="31"/>
  <c r="T1684" i="31" s="1"/>
  <c r="Q1700" i="31"/>
  <c r="T1700" i="31" s="1"/>
  <c r="Q1716" i="31"/>
  <c r="T1716" i="31" s="1"/>
  <c r="Q1732" i="31"/>
  <c r="T1732" i="31" s="1"/>
  <c r="Q1748" i="31"/>
  <c r="T1748" i="31" s="1"/>
  <c r="Q1764" i="31"/>
  <c r="T1764" i="31" s="1"/>
  <c r="Q1780" i="31"/>
  <c r="T1780" i="31" s="1"/>
  <c r="Q1796" i="31"/>
  <c r="T1796" i="31" s="1"/>
  <c r="Q1812" i="31"/>
  <c r="T1812" i="31" s="1"/>
  <c r="Q1828" i="31"/>
  <c r="T1828" i="31" s="1"/>
  <c r="Q1844" i="31"/>
  <c r="T1844" i="31" s="1"/>
  <c r="Q1860" i="31"/>
  <c r="T1860" i="31" s="1"/>
  <c r="Q1876" i="31"/>
  <c r="T1876" i="31" s="1"/>
  <c r="Q1892" i="31"/>
  <c r="T1892" i="31" s="1"/>
  <c r="Q466" i="31"/>
  <c r="T466" i="31" s="1"/>
  <c r="Q840" i="31"/>
  <c r="T840" i="31" s="1"/>
  <c r="Q928" i="31"/>
  <c r="T928" i="31" s="1"/>
  <c r="Q1000" i="31"/>
  <c r="T1000" i="31" s="1"/>
  <c r="Q1064" i="31"/>
  <c r="T1064" i="31" s="1"/>
  <c r="Q1128" i="31"/>
  <c r="T1128" i="31" s="1"/>
  <c r="Q1192" i="31"/>
  <c r="T1192" i="31" s="1"/>
  <c r="Q1256" i="31"/>
  <c r="T1256" i="31" s="1"/>
  <c r="Q1316" i="31"/>
  <c r="T1316" i="31" s="1"/>
  <c r="Q1337" i="31"/>
  <c r="T1337" i="31" s="1"/>
  <c r="Q1358" i="31"/>
  <c r="T1358" i="31" s="1"/>
  <c r="Q1380" i="31"/>
  <c r="T1380" i="31" s="1"/>
  <c r="Q1401" i="31"/>
  <c r="T1401" i="31" s="1"/>
  <c r="Q1422" i="31"/>
  <c r="T1422" i="31" s="1"/>
  <c r="Q1444" i="31"/>
  <c r="T1444" i="31" s="1"/>
  <c r="Q1465" i="31"/>
  <c r="T1465" i="31" s="1"/>
  <c r="Q1481" i="31"/>
  <c r="T1481" i="31" s="1"/>
  <c r="Q1497" i="31"/>
  <c r="T1497" i="31" s="1"/>
  <c r="Q1513" i="31"/>
  <c r="T1513" i="31" s="1"/>
  <c r="Q1529" i="31"/>
  <c r="T1529" i="31" s="1"/>
  <c r="Q1545" i="31"/>
  <c r="T1545" i="31" s="1"/>
  <c r="Q1561" i="31"/>
  <c r="T1561" i="31" s="1"/>
  <c r="Q1577" i="31"/>
  <c r="T1577" i="31" s="1"/>
  <c r="Q1593" i="31"/>
  <c r="T1593" i="31" s="1"/>
  <c r="Q1609" i="31"/>
  <c r="T1609" i="31" s="1"/>
  <c r="Q1625" i="31"/>
  <c r="T1625" i="31" s="1"/>
  <c r="Q1641" i="31"/>
  <c r="T1641" i="31" s="1"/>
  <c r="Q1657" i="31"/>
  <c r="T1657" i="31" s="1"/>
  <c r="Q1673" i="31"/>
  <c r="T1673" i="31" s="1"/>
  <c r="Q1689" i="31"/>
  <c r="T1689" i="31" s="1"/>
  <c r="Q1705" i="31"/>
  <c r="T1705" i="31" s="1"/>
  <c r="Q1721" i="31"/>
  <c r="T1721" i="31" s="1"/>
  <c r="Q1737" i="31"/>
  <c r="T1737" i="31" s="1"/>
  <c r="Q1753" i="31"/>
  <c r="T1753" i="31" s="1"/>
  <c r="Q1769" i="31"/>
  <c r="T1769" i="31" s="1"/>
  <c r="Q1785" i="31"/>
  <c r="T1785" i="31" s="1"/>
  <c r="Q1801" i="31"/>
  <c r="T1801" i="31" s="1"/>
  <c r="Q1817" i="31"/>
  <c r="T1817" i="31" s="1"/>
  <c r="Q1833" i="31"/>
  <c r="T1833" i="31" s="1"/>
  <c r="Q1849" i="31"/>
  <c r="T1849" i="31" s="1"/>
  <c r="Q1865" i="31"/>
  <c r="T1865" i="31" s="1"/>
  <c r="Q1881" i="31"/>
  <c r="T1881" i="31" s="1"/>
  <c r="Q1897" i="31"/>
  <c r="T1897" i="31" s="1"/>
  <c r="Q715" i="31"/>
  <c r="T715" i="31" s="1"/>
  <c r="Q891" i="31"/>
  <c r="T891" i="31" s="1"/>
  <c r="Q972" i="31"/>
  <c r="T972" i="31" s="1"/>
  <c r="Q1036" i="31"/>
  <c r="T1036" i="31" s="1"/>
  <c r="Q1100" i="31"/>
  <c r="T1100" i="31" s="1"/>
  <c r="Q1164" i="31"/>
  <c r="T1164" i="31" s="1"/>
  <c r="Q1228" i="31"/>
  <c r="T1228" i="31" s="1"/>
  <c r="Q1292" i="31"/>
  <c r="T1292" i="31" s="1"/>
  <c r="Q1328" i="31"/>
  <c r="T1328" i="31" s="1"/>
  <c r="Q1349" i="31"/>
  <c r="T1349" i="31" s="1"/>
  <c r="Q1370" i="31"/>
  <c r="T1370" i="31" s="1"/>
  <c r="Q1392" i="31"/>
  <c r="T1392" i="31" s="1"/>
  <c r="Q1413" i="31"/>
  <c r="T1413" i="31" s="1"/>
  <c r="Q1434" i="31"/>
  <c r="T1434" i="31" s="1"/>
  <c r="Q1456" i="31"/>
  <c r="T1456" i="31" s="1"/>
  <c r="Q1474" i="31"/>
  <c r="T1474" i="31" s="1"/>
  <c r="Q1490" i="31"/>
  <c r="T1490" i="31" s="1"/>
  <c r="Q1506" i="31"/>
  <c r="T1506" i="31" s="1"/>
  <c r="Q1522" i="31"/>
  <c r="T1522" i="31" s="1"/>
  <c r="Q1538" i="31"/>
  <c r="T1538" i="31" s="1"/>
  <c r="Q1554" i="31"/>
  <c r="T1554" i="31" s="1"/>
  <c r="Q1570" i="31"/>
  <c r="T1570" i="31" s="1"/>
  <c r="Q1586" i="31"/>
  <c r="T1586" i="31" s="1"/>
  <c r="Q1602" i="31"/>
  <c r="T1602" i="31" s="1"/>
  <c r="Q1618" i="31"/>
  <c r="T1618" i="31" s="1"/>
  <c r="Q1634" i="31"/>
  <c r="T1634" i="31" s="1"/>
  <c r="Q1650" i="31"/>
  <c r="T1650" i="31" s="1"/>
  <c r="Q1666" i="31"/>
  <c r="T1666" i="31" s="1"/>
  <c r="Q1682" i="31"/>
  <c r="T1682" i="31" s="1"/>
  <c r="Q1698" i="31"/>
  <c r="T1698" i="31" s="1"/>
  <c r="Q1714" i="31"/>
  <c r="T1714" i="31" s="1"/>
  <c r="Q1730" i="31"/>
  <c r="T1730" i="31" s="1"/>
  <c r="Q1746" i="31"/>
  <c r="T1746" i="31" s="1"/>
  <c r="Q1762" i="31"/>
  <c r="T1762" i="31" s="1"/>
  <c r="Q1778" i="31"/>
  <c r="T1778" i="31" s="1"/>
  <c r="Q1794" i="31"/>
  <c r="T1794" i="31" s="1"/>
  <c r="Q1810" i="31"/>
  <c r="T1810" i="31" s="1"/>
  <c r="Q1826" i="31"/>
  <c r="T1826" i="31" s="1"/>
  <c r="Q1842" i="31"/>
  <c r="T1842" i="31" s="1"/>
  <c r="Q1858" i="31"/>
  <c r="T1858" i="31" s="1"/>
  <c r="Q1874" i="31"/>
  <c r="T1874" i="31" s="1"/>
  <c r="Q1890" i="31"/>
  <c r="T1890" i="31" s="1"/>
  <c r="Q1906" i="31"/>
  <c r="T1906" i="31" s="1"/>
  <c r="R110" i="31"/>
  <c r="R254" i="31"/>
  <c r="Q1056" i="31"/>
  <c r="T1056" i="31" s="1"/>
  <c r="Q1312" i="31"/>
  <c r="T1312" i="31" s="1"/>
  <c r="Q1398" i="31"/>
  <c r="T1398" i="31" s="1"/>
  <c r="Q1479" i="31"/>
  <c r="T1479" i="31" s="1"/>
  <c r="Q1543" i="31"/>
  <c r="T1543" i="31" s="1"/>
  <c r="Q1607" i="31"/>
  <c r="T1607" i="31" s="1"/>
  <c r="Q1671" i="31"/>
  <c r="T1671" i="31" s="1"/>
  <c r="Q1735" i="31"/>
  <c r="T1735" i="31" s="1"/>
  <c r="Q1799" i="31"/>
  <c r="T1799" i="31" s="1"/>
  <c r="Q1863" i="31"/>
  <c r="T1863" i="31" s="1"/>
  <c r="Q1909" i="31"/>
  <c r="T1909" i="31" s="1"/>
  <c r="R191" i="31"/>
  <c r="R524" i="31"/>
  <c r="R668" i="31"/>
  <c r="R812" i="31"/>
  <c r="R956" i="31"/>
  <c r="R1100" i="31"/>
  <c r="R1244" i="31"/>
  <c r="R1388" i="31"/>
  <c r="R1532" i="31"/>
  <c r="R1676" i="31"/>
  <c r="R1820" i="31"/>
  <c r="Q854" i="31"/>
  <c r="T854" i="31" s="1"/>
  <c r="Q1136" i="31"/>
  <c r="T1136" i="31" s="1"/>
  <c r="Q1340" i="31"/>
  <c r="T1340" i="31" s="1"/>
  <c r="Q1425" i="31"/>
  <c r="T1425" i="31" s="1"/>
  <c r="Q1499" i="31"/>
  <c r="T1499" i="31" s="1"/>
  <c r="Q1563" i="31"/>
  <c r="T1563" i="31" s="1"/>
  <c r="Q1627" i="31"/>
  <c r="T1627" i="31" s="1"/>
  <c r="Q1691" i="31"/>
  <c r="T1691" i="31" s="1"/>
  <c r="Q1755" i="31"/>
  <c r="T1755" i="31" s="1"/>
  <c r="Q1819" i="31"/>
  <c r="T1819" i="31" s="1"/>
  <c r="Q1883" i="31"/>
  <c r="T1883" i="31" s="1"/>
  <c r="R56" i="31"/>
  <c r="R245" i="31"/>
  <c r="R569" i="31"/>
  <c r="R713" i="31"/>
  <c r="R857" i="31"/>
  <c r="R1001" i="31"/>
  <c r="R1145" i="31"/>
  <c r="R1289" i="31"/>
  <c r="R1433" i="31"/>
  <c r="R1577" i="31"/>
  <c r="R1721" i="31"/>
  <c r="R1865" i="31"/>
  <c r="Q960" i="31"/>
  <c r="T960" i="31" s="1"/>
  <c r="Q1216" i="31"/>
  <c r="T1216" i="31" s="1"/>
  <c r="Q1366" i="31"/>
  <c r="T1366" i="31" s="1"/>
  <c r="Q1452" i="31"/>
  <c r="T1452" i="31" s="1"/>
  <c r="Q1519" i="31"/>
  <c r="T1519" i="31" s="1"/>
  <c r="Q1583" i="31"/>
  <c r="T1583" i="31" s="1"/>
  <c r="Q1647" i="31"/>
  <c r="T1647" i="31" s="1"/>
  <c r="Q1711" i="31"/>
  <c r="T1711" i="31" s="1"/>
  <c r="Q1775" i="31"/>
  <c r="T1775" i="31" s="1"/>
  <c r="Q1839" i="31"/>
  <c r="T1839" i="31" s="1"/>
  <c r="Q1901" i="31"/>
  <c r="T1901" i="31" s="1"/>
  <c r="R119" i="31"/>
  <c r="R308" i="31"/>
  <c r="R470" i="31"/>
  <c r="R614" i="31"/>
  <c r="R758" i="31"/>
  <c r="R902" i="31"/>
  <c r="R1046" i="31"/>
  <c r="R1190" i="31"/>
  <c r="R1334" i="31"/>
  <c r="R1478" i="31"/>
  <c r="R1622" i="31"/>
  <c r="R1766" i="31"/>
  <c r="Q736" i="31"/>
  <c r="T736" i="31" s="1"/>
  <c r="Q1491" i="31"/>
  <c r="T1491" i="31" s="1"/>
  <c r="Q1747" i="31"/>
  <c r="T1747" i="31" s="1"/>
  <c r="R227" i="31"/>
  <c r="R839" i="31"/>
  <c r="R1415" i="31"/>
  <c r="Q896" i="31"/>
  <c r="T896" i="31" s="1"/>
  <c r="Q1507" i="31"/>
  <c r="T1507" i="31" s="1"/>
  <c r="Q1763" i="31"/>
  <c r="T1763" i="31" s="1"/>
  <c r="R272" i="31"/>
  <c r="R875" i="31"/>
  <c r="R1451" i="31"/>
  <c r="Q976" i="31"/>
  <c r="T976" i="31" s="1"/>
  <c r="Q1523" i="31"/>
  <c r="T1523" i="31" s="1"/>
  <c r="Q1779" i="31"/>
  <c r="T1779" i="31" s="1"/>
  <c r="R317" i="31"/>
  <c r="R911" i="31"/>
  <c r="R1487" i="31"/>
  <c r="Q1539" i="31"/>
  <c r="T1539" i="31" s="1"/>
  <c r="R1523" i="31"/>
  <c r="Q1296" i="31"/>
  <c r="T1296" i="31" s="1"/>
  <c r="R1091" i="31"/>
  <c r="Q1393" i="31"/>
  <c r="T1393" i="31" s="1"/>
  <c r="R1235" i="31"/>
  <c r="Q1731" i="31"/>
  <c r="T1731" i="31" s="1"/>
  <c r="Q1086" i="31"/>
  <c r="T1086" i="31" s="1"/>
  <c r="Q1150" i="31"/>
  <c r="T1150" i="31" s="1"/>
  <c r="Q1214" i="31"/>
  <c r="T1214" i="31" s="1"/>
  <c r="Q1278" i="31"/>
  <c r="T1278" i="31" s="1"/>
  <c r="Q816" i="31"/>
  <c r="T816" i="31" s="1"/>
  <c r="Q852" i="31"/>
  <c r="T852" i="31" s="1"/>
  <c r="Q874" i="31"/>
  <c r="T874" i="31" s="1"/>
  <c r="Q895" i="31"/>
  <c r="T895" i="31" s="1"/>
  <c r="Q916" i="31"/>
  <c r="T916" i="31" s="1"/>
  <c r="Q938" i="31"/>
  <c r="T938" i="31" s="1"/>
  <c r="Q959" i="31"/>
  <c r="T959" i="31" s="1"/>
  <c r="Q975" i="31"/>
  <c r="T975" i="31" s="1"/>
  <c r="Q991" i="31"/>
  <c r="T991" i="31" s="1"/>
  <c r="Q1007" i="31"/>
  <c r="T1007" i="31" s="1"/>
  <c r="Q1023" i="31"/>
  <c r="T1023" i="31" s="1"/>
  <c r="Q1039" i="31"/>
  <c r="T1039" i="31" s="1"/>
  <c r="Q1055" i="31"/>
  <c r="T1055" i="31" s="1"/>
  <c r="Q1071" i="31"/>
  <c r="T1071" i="31" s="1"/>
  <c r="Q1087" i="31"/>
  <c r="T1087" i="31" s="1"/>
  <c r="Q1103" i="31"/>
  <c r="T1103" i="31" s="1"/>
  <c r="Q1119" i="31"/>
  <c r="T1119" i="31" s="1"/>
  <c r="Q1135" i="31"/>
  <c r="T1135" i="31" s="1"/>
  <c r="Q1151" i="31"/>
  <c r="T1151" i="31" s="1"/>
  <c r="Q1167" i="31"/>
  <c r="T1167" i="31" s="1"/>
  <c r="Q1183" i="31"/>
  <c r="T1183" i="31" s="1"/>
  <c r="Q1199" i="31"/>
  <c r="T1199" i="31" s="1"/>
  <c r="Q1215" i="31"/>
  <c r="T1215" i="31" s="1"/>
  <c r="Q1231" i="31"/>
  <c r="T1231" i="31" s="1"/>
  <c r="Q1247" i="31"/>
  <c r="T1247" i="31" s="1"/>
  <c r="Q1263" i="31"/>
  <c r="T1263" i="31" s="1"/>
  <c r="Q1279" i="31"/>
  <c r="T1279" i="31" s="1"/>
  <c r="Q1295" i="31"/>
  <c r="T1295" i="31" s="1"/>
  <c r="Q1311" i="31"/>
  <c r="T1311" i="31" s="1"/>
  <c r="Q1327" i="31"/>
  <c r="T1327" i="31" s="1"/>
  <c r="Q1343" i="31"/>
  <c r="T1343" i="31" s="1"/>
  <c r="Q1359" i="31"/>
  <c r="T1359" i="31" s="1"/>
  <c r="Q1375" i="31"/>
  <c r="T1375" i="31" s="1"/>
  <c r="Q1391" i="31"/>
  <c r="T1391" i="31" s="1"/>
  <c r="Q1407" i="31"/>
  <c r="T1407" i="31" s="1"/>
  <c r="Q1423" i="31"/>
  <c r="T1423" i="31" s="1"/>
  <c r="Q1439" i="31"/>
  <c r="T1439" i="31" s="1"/>
  <c r="Q1455" i="31"/>
  <c r="T1455" i="31" s="1"/>
  <c r="Q832" i="31"/>
  <c r="T832" i="31" s="1"/>
  <c r="Q923" i="31"/>
  <c r="T923" i="31" s="1"/>
  <c r="Q996" i="31"/>
  <c r="T996" i="31" s="1"/>
  <c r="Q1060" i="31"/>
  <c r="T1060" i="31" s="1"/>
  <c r="Q1124" i="31"/>
  <c r="T1124" i="31" s="1"/>
  <c r="Q1188" i="31"/>
  <c r="T1188" i="31" s="1"/>
  <c r="Q1252" i="31"/>
  <c r="T1252" i="31" s="1"/>
  <c r="Q1314" i="31"/>
  <c r="T1314" i="31" s="1"/>
  <c r="Q1336" i="31"/>
  <c r="T1336" i="31" s="1"/>
  <c r="Q1357" i="31"/>
  <c r="T1357" i="31" s="1"/>
  <c r="Q1378" i="31"/>
  <c r="T1378" i="31" s="1"/>
  <c r="Q1400" i="31"/>
  <c r="T1400" i="31" s="1"/>
  <c r="Q1421" i="31"/>
  <c r="T1421" i="31" s="1"/>
  <c r="Q1442" i="31"/>
  <c r="T1442" i="31" s="1"/>
  <c r="Q1464" i="31"/>
  <c r="T1464" i="31" s="1"/>
  <c r="Q1480" i="31"/>
  <c r="T1480" i="31" s="1"/>
  <c r="Q1496" i="31"/>
  <c r="T1496" i="31" s="1"/>
  <c r="Q1512" i="31"/>
  <c r="T1512" i="31" s="1"/>
  <c r="Q1528" i="31"/>
  <c r="T1528" i="31" s="1"/>
  <c r="Q1544" i="31"/>
  <c r="T1544" i="31" s="1"/>
  <c r="Q1560" i="31"/>
  <c r="T1560" i="31" s="1"/>
  <c r="Q1576" i="31"/>
  <c r="T1576" i="31" s="1"/>
  <c r="Q1592" i="31"/>
  <c r="T1592" i="31" s="1"/>
  <c r="Q1608" i="31"/>
  <c r="T1608" i="31" s="1"/>
  <c r="Q1624" i="31"/>
  <c r="T1624" i="31" s="1"/>
  <c r="Q1640" i="31"/>
  <c r="T1640" i="31" s="1"/>
  <c r="Q1656" i="31"/>
  <c r="T1656" i="31" s="1"/>
  <c r="Q1672" i="31"/>
  <c r="T1672" i="31" s="1"/>
  <c r="Q1688" i="31"/>
  <c r="T1688" i="31" s="1"/>
  <c r="Q1704" i="31"/>
  <c r="T1704" i="31" s="1"/>
  <c r="Q1720" i="31"/>
  <c r="T1720" i="31" s="1"/>
  <c r="Q1736" i="31"/>
  <c r="T1736" i="31" s="1"/>
  <c r="Q1752" i="31"/>
  <c r="T1752" i="31" s="1"/>
  <c r="Q1768" i="31"/>
  <c r="T1768" i="31" s="1"/>
  <c r="Q1784" i="31"/>
  <c r="T1784" i="31" s="1"/>
  <c r="Q1800" i="31"/>
  <c r="T1800" i="31" s="1"/>
  <c r="Q1816" i="31"/>
  <c r="T1816" i="31" s="1"/>
  <c r="Q1832" i="31"/>
  <c r="T1832" i="31" s="1"/>
  <c r="Q1848" i="31"/>
  <c r="T1848" i="31" s="1"/>
  <c r="Q1864" i="31"/>
  <c r="T1864" i="31" s="1"/>
  <c r="Q1880" i="31"/>
  <c r="T1880" i="31" s="1"/>
  <c r="Q1896" i="31"/>
  <c r="T1896" i="31" s="1"/>
  <c r="Q603" i="31"/>
  <c r="T603" i="31" s="1"/>
  <c r="Q864" i="31"/>
  <c r="T864" i="31" s="1"/>
  <c r="Q950" i="31"/>
  <c r="T950" i="31" s="1"/>
  <c r="Q1016" i="31"/>
  <c r="T1016" i="31" s="1"/>
  <c r="Q1080" i="31"/>
  <c r="T1080" i="31" s="1"/>
  <c r="Q1144" i="31"/>
  <c r="T1144" i="31" s="1"/>
  <c r="Q1208" i="31"/>
  <c r="T1208" i="31" s="1"/>
  <c r="Q1272" i="31"/>
  <c r="T1272" i="31" s="1"/>
  <c r="Q1321" i="31"/>
  <c r="T1321" i="31" s="1"/>
  <c r="Q1342" i="31"/>
  <c r="T1342" i="31" s="1"/>
  <c r="Q1364" i="31"/>
  <c r="T1364" i="31" s="1"/>
  <c r="Q1385" i="31"/>
  <c r="T1385" i="31" s="1"/>
  <c r="Q1406" i="31"/>
  <c r="T1406" i="31" s="1"/>
  <c r="Q1428" i="31"/>
  <c r="T1428" i="31" s="1"/>
  <c r="Q1449" i="31"/>
  <c r="T1449" i="31" s="1"/>
  <c r="Q1469" i="31"/>
  <c r="T1469" i="31" s="1"/>
  <c r="Q1485" i="31"/>
  <c r="T1485" i="31" s="1"/>
  <c r="Q1501" i="31"/>
  <c r="T1501" i="31" s="1"/>
  <c r="Q1517" i="31"/>
  <c r="T1517" i="31" s="1"/>
  <c r="Q1533" i="31"/>
  <c r="T1533" i="31" s="1"/>
  <c r="Q1549" i="31"/>
  <c r="T1549" i="31" s="1"/>
  <c r="Q1565" i="31"/>
  <c r="T1565" i="31" s="1"/>
  <c r="Q1581" i="31"/>
  <c r="T1581" i="31" s="1"/>
  <c r="Q1597" i="31"/>
  <c r="T1597" i="31" s="1"/>
  <c r="Q1613" i="31"/>
  <c r="T1613" i="31" s="1"/>
  <c r="Q1629" i="31"/>
  <c r="T1629" i="31" s="1"/>
  <c r="Q1645" i="31"/>
  <c r="T1645" i="31" s="1"/>
  <c r="Q1661" i="31"/>
  <c r="T1661" i="31" s="1"/>
  <c r="Q1677" i="31"/>
  <c r="T1677" i="31" s="1"/>
  <c r="Q1693" i="31"/>
  <c r="T1693" i="31" s="1"/>
  <c r="Q1709" i="31"/>
  <c r="T1709" i="31" s="1"/>
  <c r="Q1725" i="31"/>
  <c r="T1725" i="31" s="1"/>
  <c r="Q1741" i="31"/>
  <c r="T1741" i="31" s="1"/>
  <c r="Q1757" i="31"/>
  <c r="T1757" i="31" s="1"/>
  <c r="Q1773" i="31"/>
  <c r="T1773" i="31" s="1"/>
  <c r="Q1789" i="31"/>
  <c r="T1789" i="31" s="1"/>
  <c r="Q1805" i="31"/>
  <c r="T1805" i="31" s="1"/>
  <c r="Q1821" i="31"/>
  <c r="T1821" i="31" s="1"/>
  <c r="Q1837" i="31"/>
  <c r="T1837" i="31" s="1"/>
  <c r="Q1853" i="31"/>
  <c r="T1853" i="31" s="1"/>
  <c r="Q1869" i="31"/>
  <c r="T1869" i="31" s="1"/>
  <c r="Q1885" i="31"/>
  <c r="T1885" i="31" s="1"/>
  <c r="Q337" i="31"/>
  <c r="T337" i="31" s="1"/>
  <c r="Q800" i="31"/>
  <c r="T800" i="31" s="1"/>
  <c r="Q912" i="31"/>
  <c r="T912" i="31" s="1"/>
  <c r="Q988" i="31"/>
  <c r="T988" i="31" s="1"/>
  <c r="Q1052" i="31"/>
  <c r="T1052" i="31" s="1"/>
  <c r="Q1116" i="31"/>
  <c r="T1116" i="31" s="1"/>
  <c r="Q1180" i="31"/>
  <c r="T1180" i="31" s="1"/>
  <c r="Q1244" i="31"/>
  <c r="T1244" i="31" s="1"/>
  <c r="Q1308" i="31"/>
  <c r="T1308" i="31" s="1"/>
  <c r="Q1333" i="31"/>
  <c r="T1333" i="31" s="1"/>
  <c r="Q1354" i="31"/>
  <c r="T1354" i="31" s="1"/>
  <c r="Q1376" i="31"/>
  <c r="T1376" i="31" s="1"/>
  <c r="Q1397" i="31"/>
  <c r="T1397" i="31" s="1"/>
  <c r="Q1418" i="31"/>
  <c r="T1418" i="31" s="1"/>
  <c r="Q1440" i="31"/>
  <c r="T1440" i="31" s="1"/>
  <c r="Q1461" i="31"/>
  <c r="T1461" i="31" s="1"/>
  <c r="Q1478" i="31"/>
  <c r="T1478" i="31" s="1"/>
  <c r="Q1494" i="31"/>
  <c r="T1494" i="31" s="1"/>
  <c r="Q1510" i="31"/>
  <c r="T1510" i="31" s="1"/>
  <c r="Q1526" i="31"/>
  <c r="T1526" i="31" s="1"/>
  <c r="Q1542" i="31"/>
  <c r="T1542" i="31" s="1"/>
  <c r="Q1558" i="31"/>
  <c r="T1558" i="31" s="1"/>
  <c r="Q1574" i="31"/>
  <c r="T1574" i="31" s="1"/>
  <c r="Q1590" i="31"/>
  <c r="T1590" i="31" s="1"/>
  <c r="Q1606" i="31"/>
  <c r="T1606" i="31" s="1"/>
  <c r="Q1622" i="31"/>
  <c r="T1622" i="31" s="1"/>
  <c r="Q1638" i="31"/>
  <c r="T1638" i="31" s="1"/>
  <c r="Q1654" i="31"/>
  <c r="T1654" i="31" s="1"/>
  <c r="Q1670" i="31"/>
  <c r="T1670" i="31" s="1"/>
  <c r="Q1686" i="31"/>
  <c r="T1686" i="31" s="1"/>
  <c r="Q1702" i="31"/>
  <c r="T1702" i="31" s="1"/>
  <c r="Q1718" i="31"/>
  <c r="T1718" i="31" s="1"/>
  <c r="Q1734" i="31"/>
  <c r="T1734" i="31" s="1"/>
  <c r="Q1750" i="31"/>
  <c r="T1750" i="31" s="1"/>
  <c r="Q1766" i="31"/>
  <c r="T1766" i="31" s="1"/>
  <c r="Q1782" i="31"/>
  <c r="T1782" i="31" s="1"/>
  <c r="Q1798" i="31"/>
  <c r="T1798" i="31" s="1"/>
  <c r="Q1814" i="31"/>
  <c r="T1814" i="31" s="1"/>
  <c r="Q1830" i="31"/>
  <c r="T1830" i="31" s="1"/>
  <c r="Q1846" i="31"/>
  <c r="T1846" i="31" s="1"/>
  <c r="Q1862" i="31"/>
  <c r="T1862" i="31" s="1"/>
  <c r="Q1878" i="31"/>
  <c r="T1878" i="31" s="1"/>
  <c r="Q1894" i="31"/>
  <c r="T1894" i="31" s="1"/>
  <c r="R2" i="31"/>
  <c r="R146" i="31"/>
  <c r="R290" i="31"/>
  <c r="Q822" i="31"/>
  <c r="T822" i="31" s="1"/>
  <c r="Q1120" i="31"/>
  <c r="T1120" i="31" s="1"/>
  <c r="Q1334" i="31"/>
  <c r="T1334" i="31" s="1"/>
  <c r="Q1420" i="31"/>
  <c r="T1420" i="31" s="1"/>
  <c r="Q1495" i="31"/>
  <c r="T1495" i="31" s="1"/>
  <c r="Q1559" i="31"/>
  <c r="T1559" i="31" s="1"/>
  <c r="Q1623" i="31"/>
  <c r="T1623" i="31" s="1"/>
  <c r="Q1687" i="31"/>
  <c r="T1687" i="31" s="1"/>
  <c r="Q1751" i="31"/>
  <c r="T1751" i="31" s="1"/>
  <c r="Q1815" i="31"/>
  <c r="T1815" i="31" s="1"/>
  <c r="Q1879" i="31"/>
  <c r="T1879" i="31" s="1"/>
  <c r="R47" i="31"/>
  <c r="R236" i="31"/>
  <c r="R560" i="31"/>
  <c r="R704" i="31"/>
  <c r="R848" i="31"/>
  <c r="R992" i="31"/>
  <c r="R1136" i="31"/>
  <c r="R1280" i="31"/>
  <c r="R1424" i="31"/>
  <c r="R1568" i="31"/>
  <c r="R1712" i="31"/>
  <c r="R1856" i="31"/>
  <c r="Q939" i="31"/>
  <c r="T939" i="31" s="1"/>
  <c r="Q1200" i="31"/>
  <c r="T1200" i="31" s="1"/>
  <c r="Q1361" i="31"/>
  <c r="T1361" i="31" s="1"/>
  <c r="Q1446" i="31"/>
  <c r="T1446" i="31" s="1"/>
  <c r="Q1515" i="31"/>
  <c r="T1515" i="31" s="1"/>
  <c r="Q1579" i="31"/>
  <c r="T1579" i="31" s="1"/>
  <c r="Q1643" i="31"/>
  <c r="T1643" i="31" s="1"/>
  <c r="Q1707" i="31"/>
  <c r="T1707" i="31" s="1"/>
  <c r="Q1771" i="31"/>
  <c r="T1771" i="31" s="1"/>
  <c r="Q1835" i="31"/>
  <c r="T1835" i="31" s="1"/>
  <c r="Q1899" i="31"/>
  <c r="T1899" i="31" s="1"/>
  <c r="R101" i="31"/>
  <c r="R299" i="31"/>
  <c r="R461" i="31"/>
  <c r="R605" i="31"/>
  <c r="R749" i="31"/>
  <c r="R893" i="31"/>
  <c r="R1037" i="31"/>
  <c r="R1181" i="31"/>
  <c r="R1325" i="31"/>
  <c r="R1469" i="31"/>
  <c r="R1613" i="31"/>
  <c r="R1757" i="31"/>
  <c r="R1901" i="31"/>
  <c r="Q1024" i="31"/>
  <c r="T1024" i="31" s="1"/>
  <c r="Q1280" i="31"/>
  <c r="T1280" i="31" s="1"/>
  <c r="Q1388" i="31"/>
  <c r="T1388" i="31" s="1"/>
  <c r="Q1471" i="31"/>
  <c r="T1471" i="31" s="1"/>
  <c r="Q1535" i="31"/>
  <c r="T1535" i="31" s="1"/>
  <c r="Q1599" i="31"/>
  <c r="T1599" i="31" s="1"/>
  <c r="Q1663" i="31"/>
  <c r="T1663" i="31" s="1"/>
  <c r="Q1727" i="31"/>
  <c r="T1727" i="31" s="1"/>
  <c r="Q1791" i="31"/>
  <c r="T1791" i="31" s="1"/>
  <c r="Q1855" i="31"/>
  <c r="T1855" i="31" s="1"/>
  <c r="Q1907" i="31"/>
  <c r="T1907" i="31" s="1"/>
  <c r="R164" i="31"/>
  <c r="R353" i="31"/>
  <c r="R506" i="31"/>
  <c r="R650" i="31"/>
  <c r="R794" i="31"/>
  <c r="R938" i="31"/>
  <c r="R1082" i="31"/>
  <c r="R1226" i="31"/>
  <c r="R1370" i="31"/>
  <c r="R1514" i="31"/>
  <c r="R1658" i="31"/>
  <c r="R1802" i="31"/>
  <c r="Q1104" i="31"/>
  <c r="T1104" i="31" s="1"/>
  <c r="Q1555" i="31"/>
  <c r="T1555" i="31" s="1"/>
  <c r="Q1811" i="31"/>
  <c r="T1811" i="31" s="1"/>
  <c r="R983" i="31"/>
  <c r="R1559" i="31"/>
  <c r="Q1168" i="31"/>
  <c r="T1168" i="31" s="1"/>
  <c r="Q1571" i="31"/>
  <c r="T1571" i="31" s="1"/>
  <c r="Q1827" i="31"/>
  <c r="T1827" i="31" s="1"/>
  <c r="R443" i="31"/>
  <c r="R1019" i="31"/>
  <c r="R1595" i="31"/>
  <c r="Q1232" i="31"/>
  <c r="T1232" i="31" s="1"/>
  <c r="Q1587" i="31"/>
  <c r="T1587" i="31" s="1"/>
  <c r="Q1843" i="31"/>
  <c r="T1843" i="31" s="1"/>
  <c r="R479" i="31"/>
  <c r="R1055" i="31"/>
  <c r="R1631" i="31"/>
  <c r="Q1795" i="31"/>
  <c r="T1795" i="31" s="1"/>
  <c r="Q1603" i="31"/>
  <c r="T1603" i="31" s="1"/>
  <c r="R1667" i="31"/>
  <c r="Q1667" i="31"/>
  <c r="T1667" i="31" s="1"/>
  <c r="R1811" i="31"/>
  <c r="Q1475" i="31"/>
  <c r="T1475" i="31" s="1"/>
  <c r="R173" i="31"/>
  <c r="Q1102" i="31"/>
  <c r="T1102" i="31" s="1"/>
  <c r="Q1166" i="31"/>
  <c r="T1166" i="31" s="1"/>
  <c r="Q1230" i="31"/>
  <c r="T1230" i="31" s="1"/>
  <c r="Q1294" i="31"/>
  <c r="T1294" i="31" s="1"/>
  <c r="Q531" i="31"/>
  <c r="T531" i="31" s="1"/>
  <c r="Q828" i="31"/>
  <c r="T828" i="31" s="1"/>
  <c r="Q858" i="31"/>
  <c r="T858" i="31" s="1"/>
  <c r="Q879" i="31"/>
  <c r="T879" i="31" s="1"/>
  <c r="Q900" i="31"/>
  <c r="T900" i="31" s="1"/>
  <c r="Q922" i="31"/>
  <c r="T922" i="31" s="1"/>
  <c r="Q943" i="31"/>
  <c r="T943" i="31" s="1"/>
  <c r="Q963" i="31"/>
  <c r="T963" i="31" s="1"/>
  <c r="Q979" i="31"/>
  <c r="T979" i="31" s="1"/>
  <c r="Q995" i="31"/>
  <c r="T995" i="31" s="1"/>
  <c r="Q1011" i="31"/>
  <c r="T1011" i="31" s="1"/>
  <c r="Q1027" i="31"/>
  <c r="T1027" i="31" s="1"/>
  <c r="Q1043" i="31"/>
  <c r="T1043" i="31" s="1"/>
  <c r="Q1059" i="31"/>
  <c r="T1059" i="31" s="1"/>
  <c r="Q1075" i="31"/>
  <c r="T1075" i="31" s="1"/>
  <c r="Q1091" i="31"/>
  <c r="T1091" i="31" s="1"/>
  <c r="Q1107" i="31"/>
  <c r="T1107" i="31" s="1"/>
  <c r="Q1123" i="31"/>
  <c r="T1123" i="31" s="1"/>
  <c r="Q1139" i="31"/>
  <c r="T1139" i="31" s="1"/>
  <c r="Q1155" i="31"/>
  <c r="T1155" i="31" s="1"/>
  <c r="Q1171" i="31"/>
  <c r="T1171" i="31" s="1"/>
  <c r="Q1187" i="31"/>
  <c r="T1187" i="31" s="1"/>
  <c r="Q1203" i="31"/>
  <c r="T1203" i="31" s="1"/>
  <c r="Q1219" i="31"/>
  <c r="T1219" i="31" s="1"/>
  <c r="Q1235" i="31"/>
  <c r="T1235" i="31" s="1"/>
  <c r="Q1251" i="31"/>
  <c r="T1251" i="31" s="1"/>
  <c r="Q1267" i="31"/>
  <c r="T1267" i="31" s="1"/>
  <c r="Q1283" i="31"/>
  <c r="T1283" i="31" s="1"/>
  <c r="Q1299" i="31"/>
  <c r="T1299" i="31" s="1"/>
  <c r="Q1315" i="31"/>
  <c r="T1315" i="31" s="1"/>
  <c r="Q1331" i="31"/>
  <c r="T1331" i="31" s="1"/>
  <c r="Q1347" i="31"/>
  <c r="T1347" i="31" s="1"/>
  <c r="Q1363" i="31"/>
  <c r="T1363" i="31" s="1"/>
  <c r="Q1379" i="31"/>
  <c r="T1379" i="31" s="1"/>
  <c r="Q1395" i="31"/>
  <c r="T1395" i="31" s="1"/>
  <c r="Q1411" i="31"/>
  <c r="T1411" i="31" s="1"/>
  <c r="Q1427" i="31"/>
  <c r="T1427" i="31" s="1"/>
  <c r="Q1443" i="31"/>
  <c r="T1443" i="31" s="1"/>
  <c r="Q1459" i="31"/>
  <c r="T1459" i="31" s="1"/>
  <c r="Q571" i="31"/>
  <c r="T571" i="31" s="1"/>
  <c r="Q859" i="31"/>
  <c r="T859" i="31" s="1"/>
  <c r="Q944" i="31"/>
  <c r="T944" i="31" s="1"/>
  <c r="Q1012" i="31"/>
  <c r="T1012" i="31" s="1"/>
  <c r="Q1076" i="31"/>
  <c r="T1076" i="31" s="1"/>
  <c r="Q1140" i="31"/>
  <c r="T1140" i="31" s="1"/>
  <c r="Q1204" i="31"/>
  <c r="T1204" i="31" s="1"/>
  <c r="Q1268" i="31"/>
  <c r="T1268" i="31" s="1"/>
  <c r="Q1320" i="31"/>
  <c r="T1320" i="31" s="1"/>
  <c r="Q1341" i="31"/>
  <c r="T1341" i="31" s="1"/>
  <c r="Q1362" i="31"/>
  <c r="T1362" i="31" s="1"/>
  <c r="Q1384" i="31"/>
  <c r="T1384" i="31" s="1"/>
  <c r="Q1405" i="31"/>
  <c r="T1405" i="31" s="1"/>
  <c r="Q1426" i="31"/>
  <c r="T1426" i="31" s="1"/>
  <c r="Q1448" i="31"/>
  <c r="T1448" i="31" s="1"/>
  <c r="Q1468" i="31"/>
  <c r="T1468" i="31" s="1"/>
  <c r="Q1484" i="31"/>
  <c r="T1484" i="31" s="1"/>
  <c r="Q1500" i="31"/>
  <c r="T1500" i="31" s="1"/>
  <c r="Q1516" i="31"/>
  <c r="T1516" i="31" s="1"/>
  <c r="Q1532" i="31"/>
  <c r="T1532" i="31" s="1"/>
  <c r="Q1548" i="31"/>
  <c r="T1548" i="31" s="1"/>
  <c r="Q1564" i="31"/>
  <c r="T1564" i="31" s="1"/>
  <c r="Q1580" i="31"/>
  <c r="T1580" i="31" s="1"/>
  <c r="Q1596" i="31"/>
  <c r="T1596" i="31" s="1"/>
  <c r="Q1612" i="31"/>
  <c r="T1612" i="31" s="1"/>
  <c r="Q1628" i="31"/>
  <c r="T1628" i="31" s="1"/>
  <c r="Q1644" i="31"/>
  <c r="T1644" i="31" s="1"/>
  <c r="Q1660" i="31"/>
  <c r="T1660" i="31" s="1"/>
  <c r="Q1676" i="31"/>
  <c r="T1676" i="31" s="1"/>
  <c r="Q1692" i="31"/>
  <c r="T1692" i="31" s="1"/>
  <c r="Q1708" i="31"/>
  <c r="T1708" i="31" s="1"/>
  <c r="Q1724" i="31"/>
  <c r="T1724" i="31" s="1"/>
  <c r="Q1740" i="31"/>
  <c r="T1740" i="31" s="1"/>
  <c r="Q1756" i="31"/>
  <c r="T1756" i="31" s="1"/>
  <c r="Q1772" i="31"/>
  <c r="T1772" i="31" s="1"/>
  <c r="Q1788" i="31"/>
  <c r="T1788" i="31" s="1"/>
  <c r="Q1804" i="31"/>
  <c r="T1804" i="31" s="1"/>
  <c r="Q1820" i="31"/>
  <c r="T1820" i="31" s="1"/>
  <c r="Q1836" i="31"/>
  <c r="T1836" i="31" s="1"/>
  <c r="Q1852" i="31"/>
  <c r="T1852" i="31" s="1"/>
  <c r="Q1868" i="31"/>
  <c r="T1868" i="31" s="1"/>
  <c r="Q1884" i="31"/>
  <c r="T1884" i="31" s="1"/>
  <c r="Q1900" i="31"/>
  <c r="T1900" i="31" s="1"/>
  <c r="Q694" i="31"/>
  <c r="T694" i="31" s="1"/>
  <c r="Q886" i="31"/>
  <c r="T886" i="31" s="1"/>
  <c r="Q968" i="31"/>
  <c r="T968" i="31" s="1"/>
  <c r="Q1032" i="31"/>
  <c r="T1032" i="31" s="1"/>
  <c r="Q1096" i="31"/>
  <c r="T1096" i="31" s="1"/>
  <c r="Q1160" i="31"/>
  <c r="T1160" i="31" s="1"/>
  <c r="Q1224" i="31"/>
  <c r="T1224" i="31" s="1"/>
  <c r="Q1288" i="31"/>
  <c r="T1288" i="31" s="1"/>
  <c r="Q1326" i="31"/>
  <c r="T1326" i="31" s="1"/>
  <c r="Q1348" i="31"/>
  <c r="T1348" i="31" s="1"/>
  <c r="Q1369" i="31"/>
  <c r="T1369" i="31" s="1"/>
  <c r="Q1390" i="31"/>
  <c r="T1390" i="31" s="1"/>
  <c r="Q1412" i="31"/>
  <c r="T1412" i="31" s="1"/>
  <c r="Q1433" i="31"/>
  <c r="T1433" i="31" s="1"/>
  <c r="Q1454" i="31"/>
  <c r="T1454" i="31" s="1"/>
  <c r="Q1473" i="31"/>
  <c r="T1473" i="31" s="1"/>
  <c r="Q1489" i="31"/>
  <c r="T1489" i="31" s="1"/>
  <c r="Q1505" i="31"/>
  <c r="T1505" i="31" s="1"/>
  <c r="Q1521" i="31"/>
  <c r="T1521" i="31" s="1"/>
  <c r="Q1537" i="31"/>
  <c r="T1537" i="31" s="1"/>
  <c r="Q1553" i="31"/>
  <c r="T1553" i="31" s="1"/>
  <c r="Q1569" i="31"/>
  <c r="T1569" i="31" s="1"/>
  <c r="Q1585" i="31"/>
  <c r="T1585" i="31" s="1"/>
  <c r="Q1601" i="31"/>
  <c r="T1601" i="31" s="1"/>
  <c r="Q1617" i="31"/>
  <c r="T1617" i="31" s="1"/>
  <c r="Q1633" i="31"/>
  <c r="T1633" i="31" s="1"/>
  <c r="Q1649" i="31"/>
  <c r="T1649" i="31" s="1"/>
  <c r="Q1665" i="31"/>
  <c r="T1665" i="31" s="1"/>
  <c r="Q1681" i="31"/>
  <c r="T1681" i="31" s="1"/>
  <c r="Q1697" i="31"/>
  <c r="T1697" i="31" s="1"/>
  <c r="Q1713" i="31"/>
  <c r="T1713" i="31" s="1"/>
  <c r="Q1729" i="31"/>
  <c r="T1729" i="31" s="1"/>
  <c r="Q1745" i="31"/>
  <c r="T1745" i="31" s="1"/>
  <c r="Q1761" i="31"/>
  <c r="T1761" i="31" s="1"/>
  <c r="Q1777" i="31"/>
  <c r="T1777" i="31" s="1"/>
  <c r="Q1793" i="31"/>
  <c r="T1793" i="31" s="1"/>
  <c r="Q1809" i="31"/>
  <c r="T1809" i="31" s="1"/>
  <c r="Q1825" i="31"/>
  <c r="T1825" i="31" s="1"/>
  <c r="Q1841" i="31"/>
  <c r="T1841" i="31" s="1"/>
  <c r="Q1857" i="31"/>
  <c r="T1857" i="31" s="1"/>
  <c r="Q1873" i="31"/>
  <c r="T1873" i="31" s="1"/>
  <c r="Q1889" i="31"/>
  <c r="T1889" i="31" s="1"/>
  <c r="Q507" i="31"/>
  <c r="T507" i="31" s="1"/>
  <c r="Q848" i="31"/>
  <c r="T848" i="31" s="1"/>
  <c r="Q934" i="31"/>
  <c r="T934" i="31" s="1"/>
  <c r="Q1004" i="31"/>
  <c r="T1004" i="31" s="1"/>
  <c r="Q1068" i="31"/>
  <c r="T1068" i="31" s="1"/>
  <c r="Q1132" i="31"/>
  <c r="T1132" i="31" s="1"/>
  <c r="Q1196" i="31"/>
  <c r="T1196" i="31" s="1"/>
  <c r="Q1260" i="31"/>
  <c r="T1260" i="31" s="1"/>
  <c r="Q1317" i="31"/>
  <c r="T1317" i="31" s="1"/>
  <c r="Q1338" i="31"/>
  <c r="T1338" i="31" s="1"/>
  <c r="Q1360" i="31"/>
  <c r="T1360" i="31" s="1"/>
  <c r="Q1381" i="31"/>
  <c r="T1381" i="31" s="1"/>
  <c r="Q1402" i="31"/>
  <c r="T1402" i="31" s="1"/>
  <c r="Q1424" i="31"/>
  <c r="T1424" i="31" s="1"/>
  <c r="Q1445" i="31"/>
  <c r="T1445" i="31" s="1"/>
  <c r="Q1466" i="31"/>
  <c r="T1466" i="31" s="1"/>
  <c r="Q1482" i="31"/>
  <c r="T1482" i="31" s="1"/>
  <c r="Q1498" i="31"/>
  <c r="T1498" i="31" s="1"/>
  <c r="Q1514" i="31"/>
  <c r="T1514" i="31" s="1"/>
  <c r="Q1530" i="31"/>
  <c r="T1530" i="31" s="1"/>
  <c r="Q1546" i="31"/>
  <c r="T1546" i="31" s="1"/>
  <c r="Q1562" i="31"/>
  <c r="T1562" i="31" s="1"/>
  <c r="Q1578" i="31"/>
  <c r="T1578" i="31" s="1"/>
  <c r="Q1594" i="31"/>
  <c r="T1594" i="31" s="1"/>
  <c r="Q1610" i="31"/>
  <c r="T1610" i="31" s="1"/>
  <c r="Q1626" i="31"/>
  <c r="T1626" i="31" s="1"/>
  <c r="Q1642" i="31"/>
  <c r="T1642" i="31" s="1"/>
  <c r="Q1658" i="31"/>
  <c r="T1658" i="31" s="1"/>
  <c r="Q1674" i="31"/>
  <c r="T1674" i="31" s="1"/>
  <c r="Q1690" i="31"/>
  <c r="T1690" i="31" s="1"/>
  <c r="Q1706" i="31"/>
  <c r="T1706" i="31" s="1"/>
  <c r="Q1722" i="31"/>
  <c r="T1722" i="31" s="1"/>
  <c r="Q1738" i="31"/>
  <c r="T1738" i="31" s="1"/>
  <c r="Q1754" i="31"/>
  <c r="T1754" i="31" s="1"/>
  <c r="Q1770" i="31"/>
  <c r="T1770" i="31" s="1"/>
  <c r="Q1786" i="31"/>
  <c r="T1786" i="31" s="1"/>
  <c r="Q1802" i="31"/>
  <c r="T1802" i="31" s="1"/>
  <c r="Q1818" i="31"/>
  <c r="T1818" i="31" s="1"/>
  <c r="Q1834" i="31"/>
  <c r="T1834" i="31" s="1"/>
  <c r="Q1850" i="31"/>
  <c r="T1850" i="31" s="1"/>
  <c r="Q1866" i="31"/>
  <c r="T1866" i="31" s="1"/>
  <c r="Q1882" i="31"/>
  <c r="T1882" i="31" s="1"/>
  <c r="Q1898" i="31"/>
  <c r="T1898" i="31" s="1"/>
  <c r="R38" i="31"/>
  <c r="R182" i="31"/>
  <c r="R326" i="31"/>
  <c r="Q918" i="31"/>
  <c r="T918" i="31" s="1"/>
  <c r="Q1184" i="31"/>
  <c r="T1184" i="31" s="1"/>
  <c r="Q1356" i="31"/>
  <c r="T1356" i="31" s="1"/>
  <c r="Q1441" i="31"/>
  <c r="T1441" i="31" s="1"/>
  <c r="Q1511" i="31"/>
  <c r="T1511" i="31" s="1"/>
  <c r="Q1575" i="31"/>
  <c r="T1575" i="31" s="1"/>
  <c r="Q1639" i="31"/>
  <c r="T1639" i="31" s="1"/>
  <c r="Q1703" i="31"/>
  <c r="T1703" i="31" s="1"/>
  <c r="Q1767" i="31"/>
  <c r="T1767" i="31" s="1"/>
  <c r="Q1831" i="31"/>
  <c r="T1831" i="31" s="1"/>
  <c r="Q1895" i="31"/>
  <c r="T1895" i="31" s="1"/>
  <c r="R92" i="31"/>
  <c r="R281" i="31"/>
  <c r="R452" i="31"/>
  <c r="R596" i="31"/>
  <c r="R740" i="31"/>
  <c r="R884" i="31"/>
  <c r="R1028" i="31"/>
  <c r="R1172" i="31"/>
  <c r="R1316" i="31"/>
  <c r="R1460" i="31"/>
  <c r="R1604" i="31"/>
  <c r="R1748" i="31"/>
  <c r="R1892" i="31"/>
  <c r="Q1008" i="31"/>
  <c r="T1008" i="31" s="1"/>
  <c r="Q1264" i="31"/>
  <c r="T1264" i="31" s="1"/>
  <c r="Q1382" i="31"/>
  <c r="T1382" i="31" s="1"/>
  <c r="Q1467" i="31"/>
  <c r="T1467" i="31" s="1"/>
  <c r="Q1531" i="31"/>
  <c r="T1531" i="31" s="1"/>
  <c r="Q1595" i="31"/>
  <c r="T1595" i="31" s="1"/>
  <c r="Q1659" i="31"/>
  <c r="T1659" i="31" s="1"/>
  <c r="Q1723" i="31"/>
  <c r="T1723" i="31" s="1"/>
  <c r="Q1787" i="31"/>
  <c r="T1787" i="31" s="1"/>
  <c r="Q1851" i="31"/>
  <c r="T1851" i="31" s="1"/>
  <c r="Q1905" i="31"/>
  <c r="T1905" i="31" s="1"/>
  <c r="R155" i="31"/>
  <c r="R344" i="31"/>
  <c r="R497" i="31"/>
  <c r="R641" i="31"/>
  <c r="R785" i="31"/>
  <c r="R929" i="31"/>
  <c r="R1073" i="31"/>
  <c r="R1217" i="31"/>
  <c r="R1361" i="31"/>
  <c r="R1505" i="31"/>
  <c r="R1649" i="31"/>
  <c r="R1793" i="31"/>
  <c r="Q651" i="31"/>
  <c r="T651" i="31" s="1"/>
  <c r="Q1088" i="31"/>
  <c r="T1088" i="31" s="1"/>
  <c r="Q1324" i="31"/>
  <c r="T1324" i="31" s="1"/>
  <c r="Q1409" i="31"/>
  <c r="T1409" i="31" s="1"/>
  <c r="Q1487" i="31"/>
  <c r="T1487" i="31" s="1"/>
  <c r="Q1551" i="31"/>
  <c r="T1551" i="31" s="1"/>
  <c r="Q1615" i="31"/>
  <c r="T1615" i="31" s="1"/>
  <c r="Q1679" i="31"/>
  <c r="T1679" i="31" s="1"/>
  <c r="Q1743" i="31"/>
  <c r="T1743" i="31" s="1"/>
  <c r="Q1807" i="31"/>
  <c r="T1807" i="31" s="1"/>
  <c r="Q1871" i="31"/>
  <c r="T1871" i="31" s="1"/>
  <c r="R20" i="31"/>
  <c r="R209" i="31"/>
  <c r="R542" i="31"/>
  <c r="R686" i="31"/>
  <c r="R830" i="31"/>
  <c r="R974" i="31"/>
  <c r="R1118" i="31"/>
  <c r="R1262" i="31"/>
  <c r="R1406" i="31"/>
  <c r="R1550" i="31"/>
  <c r="R1694" i="31"/>
  <c r="R1838" i="31"/>
  <c r="Q1329" i="31"/>
  <c r="T1329" i="31" s="1"/>
  <c r="Q1619" i="31"/>
  <c r="T1619" i="31" s="1"/>
  <c r="Q1875" i="31"/>
  <c r="T1875" i="31" s="1"/>
  <c r="R551" i="31"/>
  <c r="R1127" i="31"/>
  <c r="R1703" i="31"/>
  <c r="Q1350" i="31"/>
  <c r="T1350" i="31" s="1"/>
  <c r="Q1635" i="31"/>
  <c r="T1635" i="31" s="1"/>
  <c r="Q1891" i="31"/>
  <c r="T1891" i="31" s="1"/>
  <c r="R587" i="31"/>
  <c r="R1163" i="31"/>
  <c r="R1739" i="31"/>
  <c r="Q1372" i="31"/>
  <c r="T1372" i="31" s="1"/>
  <c r="Q1651" i="31"/>
  <c r="T1651" i="31" s="1"/>
  <c r="Q1903" i="31"/>
  <c r="T1903" i="31" s="1"/>
  <c r="R623" i="31"/>
  <c r="R1199" i="31"/>
  <c r="R1775" i="31"/>
  <c r="R371" i="31"/>
  <c r="Q1859" i="31"/>
  <c r="T1859" i="31" s="1"/>
  <c r="Q1908" i="31"/>
  <c r="T1908" i="31" s="1"/>
  <c r="R1379" i="31"/>
  <c r="R803" i="31"/>
  <c r="Q1054" i="31"/>
  <c r="T1054" i="31" s="1"/>
  <c r="Q1118" i="31"/>
  <c r="T1118" i="31" s="1"/>
  <c r="Q1182" i="31"/>
  <c r="T1182" i="31" s="1"/>
  <c r="Q1246" i="31"/>
  <c r="T1246" i="31" s="1"/>
  <c r="Q1310" i="31"/>
  <c r="T1310" i="31" s="1"/>
  <c r="Q646" i="31"/>
  <c r="T646" i="31" s="1"/>
  <c r="Q839" i="31"/>
  <c r="T839" i="31" s="1"/>
  <c r="Q863" i="31"/>
  <c r="T863" i="31" s="1"/>
  <c r="Q884" i="31"/>
  <c r="T884" i="31" s="1"/>
  <c r="Q906" i="31"/>
  <c r="T906" i="31" s="1"/>
  <c r="Q927" i="31"/>
  <c r="T927" i="31" s="1"/>
  <c r="Q948" i="31"/>
  <c r="T948" i="31" s="1"/>
  <c r="Q967" i="31"/>
  <c r="T967" i="31" s="1"/>
  <c r="Q983" i="31"/>
  <c r="T983" i="31" s="1"/>
  <c r="Q999" i="31"/>
  <c r="T999" i="31" s="1"/>
  <c r="Q1015" i="31"/>
  <c r="T1015" i="31" s="1"/>
  <c r="Q1031" i="31"/>
  <c r="T1031" i="31" s="1"/>
  <c r="Q1047" i="31"/>
  <c r="T1047" i="31" s="1"/>
  <c r="Q1063" i="31"/>
  <c r="T1063" i="31" s="1"/>
  <c r="Q1079" i="31"/>
  <c r="T1079" i="31" s="1"/>
  <c r="Q1095" i="31"/>
  <c r="T1095" i="31" s="1"/>
  <c r="Q1111" i="31"/>
  <c r="T1111" i="31" s="1"/>
  <c r="Q1127" i="31"/>
  <c r="T1127" i="31" s="1"/>
  <c r="Q1143" i="31"/>
  <c r="T1143" i="31" s="1"/>
  <c r="Q1159" i="31"/>
  <c r="T1159" i="31" s="1"/>
  <c r="Q1175" i="31"/>
  <c r="T1175" i="31" s="1"/>
  <c r="Q1191" i="31"/>
  <c r="T1191" i="31" s="1"/>
  <c r="Q1207" i="31"/>
  <c r="T1207" i="31" s="1"/>
  <c r="Q1223" i="31"/>
  <c r="T1223" i="31" s="1"/>
  <c r="Q1239" i="31"/>
  <c r="T1239" i="31" s="1"/>
  <c r="Q1255" i="31"/>
  <c r="T1255" i="31" s="1"/>
  <c r="Q1271" i="31"/>
  <c r="T1271" i="31" s="1"/>
  <c r="Q1287" i="31"/>
  <c r="T1287" i="31" s="1"/>
  <c r="Q1303" i="31"/>
  <c r="T1303" i="31" s="1"/>
  <c r="Q1319" i="31"/>
  <c r="T1319" i="31" s="1"/>
  <c r="Q1335" i="31"/>
  <c r="T1335" i="31" s="1"/>
  <c r="Q1351" i="31"/>
  <c r="T1351" i="31" s="1"/>
  <c r="Q1367" i="31"/>
  <c r="T1367" i="31" s="1"/>
  <c r="Q1383" i="31"/>
  <c r="T1383" i="31" s="1"/>
  <c r="Q1399" i="31"/>
  <c r="T1399" i="31" s="1"/>
  <c r="Q1415" i="31"/>
  <c r="T1415" i="31" s="1"/>
  <c r="Q1431" i="31"/>
  <c r="T1431" i="31" s="1"/>
  <c r="Q1447" i="31"/>
  <c r="T1447" i="31" s="1"/>
  <c r="Q1463" i="31"/>
  <c r="T1463" i="31" s="1"/>
  <c r="Q672" i="31"/>
  <c r="T672" i="31" s="1"/>
  <c r="Q880" i="31"/>
  <c r="T880" i="31" s="1"/>
  <c r="Q964" i="31"/>
  <c r="T964" i="31" s="1"/>
  <c r="Q1028" i="31"/>
  <c r="T1028" i="31" s="1"/>
  <c r="Q1092" i="31"/>
  <c r="T1092" i="31" s="1"/>
  <c r="Q1156" i="31"/>
  <c r="T1156" i="31" s="1"/>
  <c r="Q1220" i="31"/>
  <c r="T1220" i="31" s="1"/>
  <c r="Q1284" i="31"/>
  <c r="T1284" i="31" s="1"/>
  <c r="Q1325" i="31"/>
  <c r="T1325" i="31" s="1"/>
  <c r="Q1346" i="31"/>
  <c r="T1346" i="31" s="1"/>
  <c r="Q1368" i="31"/>
  <c r="T1368" i="31" s="1"/>
  <c r="Q1389" i="31"/>
  <c r="T1389" i="31" s="1"/>
  <c r="Q1410" i="31"/>
  <c r="T1410" i="31" s="1"/>
  <c r="Q1432" i="31"/>
  <c r="T1432" i="31" s="1"/>
  <c r="Q1453" i="31"/>
  <c r="T1453" i="31" s="1"/>
  <c r="Q1472" i="31"/>
  <c r="T1472" i="31" s="1"/>
  <c r="Q1488" i="31"/>
  <c r="T1488" i="31" s="1"/>
  <c r="Q1504" i="31"/>
  <c r="T1504" i="31" s="1"/>
  <c r="Q1520" i="31"/>
  <c r="T1520" i="31" s="1"/>
  <c r="Q1536" i="31"/>
  <c r="T1536" i="31" s="1"/>
  <c r="Q1552" i="31"/>
  <c r="T1552" i="31" s="1"/>
  <c r="Q1568" i="31"/>
  <c r="T1568" i="31" s="1"/>
  <c r="Q1584" i="31"/>
  <c r="T1584" i="31" s="1"/>
  <c r="Q1600" i="31"/>
  <c r="T1600" i="31" s="1"/>
  <c r="Q1616" i="31"/>
  <c r="T1616" i="31" s="1"/>
  <c r="Q1632" i="31"/>
  <c r="T1632" i="31" s="1"/>
  <c r="Q1648" i="31"/>
  <c r="T1648" i="31" s="1"/>
  <c r="Q1664" i="31"/>
  <c r="T1664" i="31" s="1"/>
  <c r="Q1680" i="31"/>
  <c r="T1680" i="31" s="1"/>
  <c r="Q1696" i="31"/>
  <c r="T1696" i="31" s="1"/>
  <c r="Q1712" i="31"/>
  <c r="T1712" i="31" s="1"/>
  <c r="Q1728" i="31"/>
  <c r="T1728" i="31" s="1"/>
  <c r="Q1744" i="31"/>
  <c r="T1744" i="31" s="1"/>
  <c r="Q1760" i="31"/>
  <c r="T1760" i="31" s="1"/>
  <c r="Q1776" i="31"/>
  <c r="T1776" i="31" s="1"/>
  <c r="Q1792" i="31"/>
  <c r="T1792" i="31" s="1"/>
  <c r="Q1808" i="31"/>
  <c r="T1808" i="31" s="1"/>
  <c r="Q1824" i="31"/>
  <c r="T1824" i="31" s="1"/>
  <c r="Q1840" i="31"/>
  <c r="T1840" i="31" s="1"/>
  <c r="Q1856" i="31"/>
  <c r="T1856" i="31" s="1"/>
  <c r="Q1872" i="31"/>
  <c r="T1872" i="31" s="1"/>
  <c r="Q1888" i="31"/>
  <c r="T1888" i="31" s="1"/>
  <c r="Q264" i="31"/>
  <c r="T264" i="31" s="1"/>
  <c r="Q779" i="31"/>
  <c r="T779" i="31" s="1"/>
  <c r="Q907" i="31"/>
  <c r="T907" i="31" s="1"/>
  <c r="Q984" i="31"/>
  <c r="T984" i="31" s="1"/>
  <c r="Q1048" i="31"/>
  <c r="T1048" i="31" s="1"/>
  <c r="Q1112" i="31"/>
  <c r="T1112" i="31" s="1"/>
  <c r="Q1176" i="31"/>
  <c r="T1176" i="31" s="1"/>
  <c r="Q1240" i="31"/>
  <c r="T1240" i="31" s="1"/>
  <c r="Q1304" i="31"/>
  <c r="T1304" i="31" s="1"/>
  <c r="Q1332" i="31"/>
  <c r="T1332" i="31" s="1"/>
  <c r="Q1353" i="31"/>
  <c r="T1353" i="31" s="1"/>
  <c r="Q1374" i="31"/>
  <c r="T1374" i="31" s="1"/>
  <c r="Q1396" i="31"/>
  <c r="T1396" i="31" s="1"/>
  <c r="Q1417" i="31"/>
  <c r="T1417" i="31" s="1"/>
  <c r="Q1438" i="31"/>
  <c r="T1438" i="31" s="1"/>
  <c r="Q1460" i="31"/>
  <c r="T1460" i="31" s="1"/>
  <c r="Q1477" i="31"/>
  <c r="T1477" i="31" s="1"/>
  <c r="Q1493" i="31"/>
  <c r="T1493" i="31" s="1"/>
  <c r="Q1509" i="31"/>
  <c r="T1509" i="31" s="1"/>
  <c r="Q1525" i="31"/>
  <c r="T1525" i="31" s="1"/>
  <c r="Q1541" i="31"/>
  <c r="T1541" i="31" s="1"/>
  <c r="Q1557" i="31"/>
  <c r="T1557" i="31" s="1"/>
  <c r="Q1573" i="31"/>
  <c r="T1573" i="31" s="1"/>
  <c r="Q1589" i="31"/>
  <c r="T1589" i="31" s="1"/>
  <c r="Q1605" i="31"/>
  <c r="T1605" i="31" s="1"/>
  <c r="Q1621" i="31"/>
  <c r="T1621" i="31" s="1"/>
  <c r="Q1637" i="31"/>
  <c r="T1637" i="31" s="1"/>
  <c r="Q1653" i="31"/>
  <c r="T1653" i="31" s="1"/>
  <c r="Q1669" i="31"/>
  <c r="T1669" i="31" s="1"/>
  <c r="Q1685" i="31"/>
  <c r="T1685" i="31" s="1"/>
  <c r="Q1701" i="31"/>
  <c r="T1701" i="31" s="1"/>
  <c r="Q1717" i="31"/>
  <c r="T1717" i="31" s="1"/>
  <c r="Q1733" i="31"/>
  <c r="T1733" i="31" s="1"/>
  <c r="Q1749" i="31"/>
  <c r="T1749" i="31" s="1"/>
  <c r="Q1765" i="31"/>
  <c r="T1765" i="31" s="1"/>
  <c r="Q1781" i="31"/>
  <c r="T1781" i="31" s="1"/>
  <c r="Q1797" i="31"/>
  <c r="T1797" i="31" s="1"/>
  <c r="Q1813" i="31"/>
  <c r="T1813" i="31" s="1"/>
  <c r="Q1829" i="31"/>
  <c r="T1829" i="31" s="1"/>
  <c r="Q1845" i="31"/>
  <c r="T1845" i="31" s="1"/>
  <c r="Q1861" i="31"/>
  <c r="T1861" i="31" s="1"/>
  <c r="Q1877" i="31"/>
  <c r="T1877" i="31" s="1"/>
  <c r="Q1893" i="31"/>
  <c r="T1893" i="31" s="1"/>
  <c r="Q630" i="31"/>
  <c r="T630" i="31" s="1"/>
  <c r="Q870" i="31"/>
  <c r="T870" i="31" s="1"/>
  <c r="Q955" i="31"/>
  <c r="T955" i="31" s="1"/>
  <c r="Q1020" i="31"/>
  <c r="T1020" i="31" s="1"/>
  <c r="Q1084" i="31"/>
  <c r="T1084" i="31" s="1"/>
  <c r="Q1148" i="31"/>
  <c r="T1148" i="31" s="1"/>
  <c r="Q1212" i="31"/>
  <c r="T1212" i="31" s="1"/>
  <c r="Q1276" i="31"/>
  <c r="T1276" i="31" s="1"/>
  <c r="Q1322" i="31"/>
  <c r="T1322" i="31" s="1"/>
  <c r="Q1344" i="31"/>
  <c r="T1344" i="31" s="1"/>
  <c r="Q1365" i="31"/>
  <c r="T1365" i="31" s="1"/>
  <c r="Q1386" i="31"/>
  <c r="T1386" i="31" s="1"/>
  <c r="Q1408" i="31"/>
  <c r="T1408" i="31" s="1"/>
  <c r="Q1429" i="31"/>
  <c r="T1429" i="31" s="1"/>
  <c r="Q1450" i="31"/>
  <c r="T1450" i="31" s="1"/>
  <c r="Q1470" i="31"/>
  <c r="T1470" i="31" s="1"/>
  <c r="Q1486" i="31"/>
  <c r="T1486" i="31" s="1"/>
  <c r="Q1502" i="31"/>
  <c r="T1502" i="31" s="1"/>
  <c r="Q1518" i="31"/>
  <c r="T1518" i="31" s="1"/>
  <c r="Q1534" i="31"/>
  <c r="T1534" i="31" s="1"/>
  <c r="Q1550" i="31"/>
  <c r="T1550" i="31" s="1"/>
  <c r="Q1566" i="31"/>
  <c r="T1566" i="31" s="1"/>
  <c r="Q1582" i="31"/>
  <c r="T1582" i="31" s="1"/>
  <c r="Q1598" i="31"/>
  <c r="T1598" i="31" s="1"/>
  <c r="Q1614" i="31"/>
  <c r="T1614" i="31" s="1"/>
  <c r="Q1630" i="31"/>
  <c r="T1630" i="31" s="1"/>
  <c r="Q1646" i="31"/>
  <c r="T1646" i="31" s="1"/>
  <c r="Q1662" i="31"/>
  <c r="T1662" i="31" s="1"/>
  <c r="Q1678" i="31"/>
  <c r="T1678" i="31" s="1"/>
  <c r="Q1694" i="31"/>
  <c r="T1694" i="31" s="1"/>
  <c r="Q1710" i="31"/>
  <c r="T1710" i="31" s="1"/>
  <c r="Q1726" i="31"/>
  <c r="T1726" i="31" s="1"/>
  <c r="Q1742" i="31"/>
  <c r="T1742" i="31" s="1"/>
  <c r="Q1758" i="31"/>
  <c r="T1758" i="31" s="1"/>
  <c r="Q1774" i="31"/>
  <c r="T1774" i="31" s="1"/>
  <c r="Q1790" i="31"/>
  <c r="T1790" i="31" s="1"/>
  <c r="Q1806" i="31"/>
  <c r="T1806" i="31" s="1"/>
  <c r="Q1822" i="31"/>
  <c r="T1822" i="31" s="1"/>
  <c r="Q1838" i="31"/>
  <c r="T1838" i="31" s="1"/>
  <c r="Q1854" i="31"/>
  <c r="T1854" i="31" s="1"/>
  <c r="Q1870" i="31"/>
  <c r="T1870" i="31" s="1"/>
  <c r="Q1886" i="31"/>
  <c r="T1886" i="31" s="1"/>
  <c r="Q1902" i="31"/>
  <c r="T1902" i="31" s="1"/>
  <c r="R74" i="31"/>
  <c r="R218" i="31"/>
  <c r="R362" i="31"/>
  <c r="Q992" i="31"/>
  <c r="T992" i="31" s="1"/>
  <c r="Q1248" i="31"/>
  <c r="T1248" i="31" s="1"/>
  <c r="Q1377" i="31"/>
  <c r="T1377" i="31" s="1"/>
  <c r="Q1462" i="31"/>
  <c r="T1462" i="31" s="1"/>
  <c r="Q1527" i="31"/>
  <c r="T1527" i="31" s="1"/>
  <c r="Q1591" i="31"/>
  <c r="T1591" i="31" s="1"/>
  <c r="Q1655" i="31"/>
  <c r="T1655" i="31" s="1"/>
  <c r="Q1719" i="31"/>
  <c r="T1719" i="31" s="1"/>
  <c r="Q1783" i="31"/>
  <c r="T1783" i="31" s="1"/>
  <c r="Q1847" i="31"/>
  <c r="T1847" i="31" s="1"/>
  <c r="Q1904" i="31"/>
  <c r="T1904" i="31" s="1"/>
  <c r="R137" i="31"/>
  <c r="R335" i="31"/>
  <c r="R488" i="31"/>
  <c r="R632" i="31"/>
  <c r="R776" i="31"/>
  <c r="R920" i="31"/>
  <c r="R1064" i="31"/>
  <c r="R1208" i="31"/>
  <c r="R1352" i="31"/>
  <c r="R1496" i="31"/>
  <c r="R1640" i="31"/>
  <c r="R1784" i="31"/>
  <c r="Q539" i="31"/>
  <c r="T539" i="31" s="1"/>
  <c r="Q1072" i="31"/>
  <c r="T1072" i="31" s="1"/>
  <c r="Q1318" i="31"/>
  <c r="T1318" i="31" s="1"/>
  <c r="Q1404" i="31"/>
  <c r="T1404" i="31" s="1"/>
  <c r="Q1483" i="31"/>
  <c r="T1483" i="31" s="1"/>
  <c r="Q1547" i="31"/>
  <c r="T1547" i="31" s="1"/>
  <c r="Q1611" i="31"/>
  <c r="T1611" i="31" s="1"/>
  <c r="Q1675" i="31"/>
  <c r="T1675" i="31" s="1"/>
  <c r="Q1739" i="31"/>
  <c r="T1739" i="31" s="1"/>
  <c r="Q1803" i="31"/>
  <c r="T1803" i="31" s="1"/>
  <c r="Q1867" i="31"/>
  <c r="T1867" i="31" s="1"/>
  <c r="R11" i="31"/>
  <c r="R200" i="31"/>
  <c r="R533" i="31"/>
  <c r="R677" i="31"/>
  <c r="R821" i="31"/>
  <c r="R965" i="31"/>
  <c r="R1109" i="31"/>
  <c r="R1253" i="31"/>
  <c r="R1397" i="31"/>
  <c r="R1541" i="31"/>
  <c r="R1685" i="31"/>
  <c r="R1829" i="31"/>
  <c r="Q875" i="31"/>
  <c r="T875" i="31" s="1"/>
  <c r="Q1152" i="31"/>
  <c r="T1152" i="31" s="1"/>
  <c r="Q1345" i="31"/>
  <c r="T1345" i="31" s="1"/>
  <c r="Q1430" i="31"/>
  <c r="T1430" i="31" s="1"/>
  <c r="Q1503" i="31"/>
  <c r="T1503" i="31" s="1"/>
  <c r="Q1567" i="31"/>
  <c r="T1567" i="31" s="1"/>
  <c r="Q1631" i="31"/>
  <c r="T1631" i="31" s="1"/>
  <c r="Q1695" i="31"/>
  <c r="T1695" i="31" s="1"/>
  <c r="Q1759" i="31"/>
  <c r="T1759" i="31" s="1"/>
  <c r="Q1823" i="31"/>
  <c r="T1823" i="31" s="1"/>
  <c r="Q1887" i="31"/>
  <c r="T1887" i="31" s="1"/>
  <c r="R65" i="31"/>
  <c r="R263" i="31"/>
  <c r="R434" i="31"/>
  <c r="R578" i="31"/>
  <c r="R722" i="31"/>
  <c r="R866" i="31"/>
  <c r="R1010" i="31"/>
  <c r="R1154" i="31"/>
  <c r="R1298" i="31"/>
  <c r="R1442" i="31"/>
  <c r="R1586" i="31"/>
  <c r="R1730" i="31"/>
  <c r="R1874" i="31"/>
  <c r="Q1414" i="31"/>
  <c r="T1414" i="31" s="1"/>
  <c r="Q1683" i="31"/>
  <c r="T1683" i="31" s="1"/>
  <c r="R29" i="31"/>
  <c r="R695" i="31"/>
  <c r="R1271" i="31"/>
  <c r="R1847" i="31"/>
  <c r="Q1436" i="31"/>
  <c r="T1436" i="31" s="1"/>
  <c r="Q1699" i="31"/>
  <c r="T1699" i="31" s="1"/>
  <c r="R83" i="31"/>
  <c r="R731" i="31"/>
  <c r="R1307" i="31"/>
  <c r="R1883" i="31"/>
  <c r="Q1457" i="31"/>
  <c r="T1457" i="31" s="1"/>
  <c r="Q1715" i="31"/>
  <c r="T1715" i="31" s="1"/>
  <c r="R128" i="31"/>
  <c r="R767" i="31"/>
  <c r="R1343" i="31"/>
  <c r="Q1040" i="31"/>
  <c r="T1040" i="31" s="1"/>
  <c r="R947" i="31"/>
  <c r="R515" i="31"/>
  <c r="R659" i="31"/>
  <c r="AM67" i="16"/>
  <c r="AJ67" i="16"/>
  <c r="AK67" i="16" s="1"/>
  <c r="S1740" i="9"/>
  <c r="R1807" i="9"/>
  <c r="R1811" i="9"/>
  <c r="R1815" i="9"/>
  <c r="R1843" i="9"/>
  <c r="R1847" i="9"/>
  <c r="R1857" i="9"/>
  <c r="S1905" i="9"/>
  <c r="R1977" i="9"/>
  <c r="R1722" i="9"/>
  <c r="R1865" i="9"/>
  <c r="R1917" i="9"/>
  <c r="R1921" i="9"/>
  <c r="R1925" i="9"/>
  <c r="R1934" i="9"/>
  <c r="R1980" i="9"/>
  <c r="R2008" i="9"/>
  <c r="R2012" i="9"/>
  <c r="R2018" i="9"/>
  <c r="R2030" i="9"/>
  <c r="R2034" i="9"/>
  <c r="R1727" i="9"/>
  <c r="R1861" i="9"/>
  <c r="R1895" i="9"/>
  <c r="S1938" i="9"/>
  <c r="R1983" i="9"/>
  <c r="R1987" i="9"/>
  <c r="R1991" i="9"/>
  <c r="R2021" i="9"/>
  <c r="R2025" i="9"/>
  <c r="R1816" i="9"/>
  <c r="R1867" i="9"/>
  <c r="R1932" i="9"/>
  <c r="R1963" i="9"/>
  <c r="R1967" i="9"/>
  <c r="R1971" i="9"/>
  <c r="S1993" i="9"/>
  <c r="S2026" i="9"/>
  <c r="R1709" i="9"/>
  <c r="R1713" i="9"/>
  <c r="R1717" i="9"/>
  <c r="R1753" i="9"/>
  <c r="R1757" i="9"/>
  <c r="R1761" i="9"/>
  <c r="R1797" i="9"/>
  <c r="R1801" i="9"/>
  <c r="R1805" i="9"/>
  <c r="S1718" i="9"/>
  <c r="R1744" i="9"/>
  <c r="R1748" i="9"/>
  <c r="S1762" i="9"/>
  <c r="R1788" i="9"/>
  <c r="R1792" i="9"/>
  <c r="S1806" i="9"/>
  <c r="R1832" i="9"/>
  <c r="R1836" i="9"/>
  <c r="S1850" i="9"/>
  <c r="R1876" i="9"/>
  <c r="R1880" i="9"/>
  <c r="S1894" i="9"/>
  <c r="R1732" i="9"/>
  <c r="R1736" i="9"/>
  <c r="R1740" i="9"/>
  <c r="R1776" i="9"/>
  <c r="R1780" i="9"/>
  <c r="R1784" i="9"/>
  <c r="R1820" i="9"/>
  <c r="R1824" i="9"/>
  <c r="R1828" i="9"/>
  <c r="R1729" i="9"/>
  <c r="R1856" i="9"/>
  <c r="R1907" i="9"/>
  <c r="R1911" i="9"/>
  <c r="R1915" i="9"/>
  <c r="R1951" i="9"/>
  <c r="R1955" i="9"/>
  <c r="R1959" i="9"/>
  <c r="R1995" i="9"/>
  <c r="R1999" i="9"/>
  <c r="R2003" i="9"/>
  <c r="R1724" i="9"/>
  <c r="R1773" i="9"/>
  <c r="R1859" i="9"/>
  <c r="R1887" i="9"/>
  <c r="R1891" i="9"/>
  <c r="R1897" i="9"/>
  <c r="R1901" i="9"/>
  <c r="R1905" i="9"/>
  <c r="R1941" i="9"/>
  <c r="R1945" i="9"/>
  <c r="R1949" i="9"/>
  <c r="R1764" i="9"/>
  <c r="R1808" i="9"/>
  <c r="R1812" i="9"/>
  <c r="R1840" i="9"/>
  <c r="R1844" i="9"/>
  <c r="R1848" i="9"/>
  <c r="R1862" i="9"/>
  <c r="R1931" i="9"/>
  <c r="R1981" i="9"/>
  <c r="R1763" i="9"/>
  <c r="R1869" i="9"/>
  <c r="R1918" i="9"/>
  <c r="R1922" i="9"/>
  <c r="R1926" i="9"/>
  <c r="R1938" i="9"/>
  <c r="R2005" i="9"/>
  <c r="R2009" i="9"/>
  <c r="R2013" i="9"/>
  <c r="R2027" i="9"/>
  <c r="R2031" i="9"/>
  <c r="R2035" i="9"/>
  <c r="R1768" i="9"/>
  <c r="R1864" i="9"/>
  <c r="R1929" i="9"/>
  <c r="S1949" i="9"/>
  <c r="R1984" i="9"/>
  <c r="R1988" i="9"/>
  <c r="R1992" i="9"/>
  <c r="R2022" i="9"/>
  <c r="R2026" i="9"/>
  <c r="S1828" i="9"/>
  <c r="R1871" i="9"/>
  <c r="R1936" i="9"/>
  <c r="R1964" i="9"/>
  <c r="R1968" i="9"/>
  <c r="R1974" i="9"/>
  <c r="S2004" i="9"/>
  <c r="R1710" i="9"/>
  <c r="R1714" i="9"/>
  <c r="R1718" i="9"/>
  <c r="R1754" i="9"/>
  <c r="R1758" i="9"/>
  <c r="R1762" i="9"/>
  <c r="R1798" i="9"/>
  <c r="R1802" i="9"/>
  <c r="R1806" i="9"/>
  <c r="R1741" i="9"/>
  <c r="R1745" i="9"/>
  <c r="R1749" i="9"/>
  <c r="R1785" i="9"/>
  <c r="R1789" i="9"/>
  <c r="R1793" i="9"/>
  <c r="R1829" i="9"/>
  <c r="R1833" i="9"/>
  <c r="R1837" i="9"/>
  <c r="R1873" i="9"/>
  <c r="R1877" i="9"/>
  <c r="R1881" i="9"/>
  <c r="S1707" i="9"/>
  <c r="R1733" i="9"/>
  <c r="R1737" i="9"/>
  <c r="S1751" i="9"/>
  <c r="R1777" i="9"/>
  <c r="R1781" i="9"/>
  <c r="S1795" i="9"/>
  <c r="R1821" i="9"/>
  <c r="R1825" i="9"/>
  <c r="S1839" i="9"/>
  <c r="R1766" i="9"/>
  <c r="R1860" i="9"/>
  <c r="R1908" i="9"/>
  <c r="R1912" i="9"/>
  <c r="R1916" i="9"/>
  <c r="R1952" i="9"/>
  <c r="R1956" i="9"/>
  <c r="R1960" i="9"/>
  <c r="R1996" i="9"/>
  <c r="R2000" i="9"/>
  <c r="R2004" i="9"/>
  <c r="R1728" i="9"/>
  <c r="R1817" i="9"/>
  <c r="R1884" i="9"/>
  <c r="R1888" i="9"/>
  <c r="R1892" i="9"/>
  <c r="R1772" i="9"/>
  <c r="R1809" i="9"/>
  <c r="R1813" i="9"/>
  <c r="R1841" i="9"/>
  <c r="R1845" i="9"/>
  <c r="R1849" i="9"/>
  <c r="R1866" i="9"/>
  <c r="R1935" i="9"/>
  <c r="S1982" i="9"/>
  <c r="R1771" i="9"/>
  <c r="S1883" i="9"/>
  <c r="R1919" i="9"/>
  <c r="R1923" i="9"/>
  <c r="R1927" i="9"/>
  <c r="R1972" i="9"/>
  <c r="R2006" i="9"/>
  <c r="R2010" i="9"/>
  <c r="R2014" i="9"/>
  <c r="R2028" i="9"/>
  <c r="R2032" i="9"/>
  <c r="R2333" i="9"/>
  <c r="S1817" i="9"/>
  <c r="R1868" i="9"/>
  <c r="R1933" i="9"/>
  <c r="R1975" i="9"/>
  <c r="R1985" i="9"/>
  <c r="R1989" i="9"/>
  <c r="R1993" i="9"/>
  <c r="R2023" i="9"/>
  <c r="R1726" i="9"/>
  <c r="R1858" i="9"/>
  <c r="S1872" i="9"/>
  <c r="R1961" i="9"/>
  <c r="R1965" i="9"/>
  <c r="R1969" i="9"/>
  <c r="R1978" i="9"/>
  <c r="R2016" i="9"/>
  <c r="R1711" i="9"/>
  <c r="R1715" i="9"/>
  <c r="S1729" i="9"/>
  <c r="R1755" i="9"/>
  <c r="R1759" i="9"/>
  <c r="S1773" i="9"/>
  <c r="R1799" i="9"/>
  <c r="R1803" i="9"/>
  <c r="R1706" i="9"/>
  <c r="R1742" i="9"/>
  <c r="R1746" i="9"/>
  <c r="R1750" i="9"/>
  <c r="R1786" i="9"/>
  <c r="R1790" i="9"/>
  <c r="R1794" i="9"/>
  <c r="R1830" i="9"/>
  <c r="R1834" i="9"/>
  <c r="R1838" i="9"/>
  <c r="R1874" i="9"/>
  <c r="R1878" i="9"/>
  <c r="R1882" i="9"/>
  <c r="R1730" i="9"/>
  <c r="R1734" i="9"/>
  <c r="R1738" i="9"/>
  <c r="R1774" i="9"/>
  <c r="R1778" i="9"/>
  <c r="R1782" i="9"/>
  <c r="R1818" i="9"/>
  <c r="R1822" i="9"/>
  <c r="R1826" i="9"/>
  <c r="R1721" i="9"/>
  <c r="R1770" i="9"/>
  <c r="S1861" i="9"/>
  <c r="R1909" i="9"/>
  <c r="R1913" i="9"/>
  <c r="S1927" i="9"/>
  <c r="R1953" i="9"/>
  <c r="R1957" i="9"/>
  <c r="S1971" i="9"/>
  <c r="R1997" i="9"/>
  <c r="R2001" i="9"/>
  <c r="S2015" i="9"/>
  <c r="R1765" i="9"/>
  <c r="R1851" i="9"/>
  <c r="R1885" i="9"/>
  <c r="R1889" i="9"/>
  <c r="R1893" i="9"/>
  <c r="R1899" i="9"/>
  <c r="R1903" i="9"/>
  <c r="R1939" i="9"/>
  <c r="R1943" i="9"/>
  <c r="R1947" i="9"/>
  <c r="R1723" i="9"/>
  <c r="S1784" i="9"/>
  <c r="R1810" i="9"/>
  <c r="R1814" i="9"/>
  <c r="R1842" i="9"/>
  <c r="R1846" i="9"/>
  <c r="R1850" i="9"/>
  <c r="R1870" i="9"/>
  <c r="R1973" i="9"/>
  <c r="R2019" i="9"/>
  <c r="R1854" i="9"/>
  <c r="R1896" i="9"/>
  <c r="R1920" i="9"/>
  <c r="R1924" i="9"/>
  <c r="R1930" i="9"/>
  <c r="R1976" i="9"/>
  <c r="R2007" i="9"/>
  <c r="R2011" i="9"/>
  <c r="R2015" i="9"/>
  <c r="R2029" i="9"/>
  <c r="R2033" i="9"/>
  <c r="R1719" i="9"/>
  <c r="R1853" i="9"/>
  <c r="R1872" i="9"/>
  <c r="R1937" i="9"/>
  <c r="R1979" i="9"/>
  <c r="R1986" i="9"/>
  <c r="R1990" i="9"/>
  <c r="R2017" i="9"/>
  <c r="R2024" i="9"/>
  <c r="R1767" i="9"/>
  <c r="R1863" i="9"/>
  <c r="R1928" i="9"/>
  <c r="R1962" i="9"/>
  <c r="R1966" i="9"/>
  <c r="R1970" i="9"/>
  <c r="R1982" i="9"/>
  <c r="R2020" i="9"/>
  <c r="R1752" i="9"/>
  <c r="R1800" i="9"/>
  <c r="R1747" i="9"/>
  <c r="R1795" i="9"/>
  <c r="R1875" i="9"/>
  <c r="R1735" i="9"/>
  <c r="R1783" i="9"/>
  <c r="R1725" i="9"/>
  <c r="R1914" i="9"/>
  <c r="R1994" i="9"/>
  <c r="R1769" i="9"/>
  <c r="R1894" i="9"/>
  <c r="R1904" i="9"/>
  <c r="R1944" i="9"/>
  <c r="R1708" i="9"/>
  <c r="R1756" i="9"/>
  <c r="R1804" i="9"/>
  <c r="R1751" i="9"/>
  <c r="R1831" i="9"/>
  <c r="R1879" i="9"/>
  <c r="R1739" i="9"/>
  <c r="R1819" i="9"/>
  <c r="R1852" i="9"/>
  <c r="R1950" i="9"/>
  <c r="R1998" i="9"/>
  <c r="R1855" i="9"/>
  <c r="R1898" i="9"/>
  <c r="S1916" i="9"/>
  <c r="R1946" i="9"/>
  <c r="R1712" i="9"/>
  <c r="R1760" i="9"/>
  <c r="R1707" i="9"/>
  <c r="R1787" i="9"/>
  <c r="R1835" i="9"/>
  <c r="R1883" i="9"/>
  <c r="R1775" i="9"/>
  <c r="R1823" i="9"/>
  <c r="R1906" i="9"/>
  <c r="R1954" i="9"/>
  <c r="R2002" i="9"/>
  <c r="R1886" i="9"/>
  <c r="R1900" i="9"/>
  <c r="R1940" i="9"/>
  <c r="R1948" i="9"/>
  <c r="R1716" i="9"/>
  <c r="R1796" i="9"/>
  <c r="R1743" i="9"/>
  <c r="R1791" i="9"/>
  <c r="R1839" i="9"/>
  <c r="R1731" i="9"/>
  <c r="R1779" i="9"/>
  <c r="R1827" i="9"/>
  <c r="R1910" i="9"/>
  <c r="R1958" i="9"/>
  <c r="R1720" i="9"/>
  <c r="R1890" i="9"/>
  <c r="R1902" i="9"/>
  <c r="R1942" i="9"/>
  <c r="S1960" i="9"/>
  <c r="S1333" i="9"/>
  <c r="S1509" i="9"/>
  <c r="S1696" i="9"/>
  <c r="S1366" i="9"/>
  <c r="S1542" i="9"/>
  <c r="S1685" i="9"/>
  <c r="R932" i="9"/>
  <c r="S1212" i="9"/>
  <c r="S1399" i="9"/>
  <c r="S1575" i="9"/>
  <c r="R927" i="9"/>
  <c r="R944" i="9"/>
  <c r="R952" i="9"/>
  <c r="R960" i="9"/>
  <c r="R968" i="9"/>
  <c r="R976" i="9"/>
  <c r="R984" i="9"/>
  <c r="R992" i="9"/>
  <c r="R1000" i="9"/>
  <c r="R1008" i="9"/>
  <c r="R1016" i="9"/>
  <c r="R1024" i="9"/>
  <c r="R1032" i="9"/>
  <c r="R1040" i="9"/>
  <c r="R1048" i="9"/>
  <c r="R1056" i="9"/>
  <c r="R1064" i="9"/>
  <c r="R1072" i="9"/>
  <c r="S1564" i="9"/>
  <c r="S1245" i="9"/>
  <c r="R931" i="9"/>
  <c r="R945" i="9"/>
  <c r="R953" i="9"/>
  <c r="R961" i="9"/>
  <c r="R969" i="9"/>
  <c r="R977" i="9"/>
  <c r="R985" i="9"/>
  <c r="R993" i="9"/>
  <c r="R1001" i="9"/>
  <c r="R1009" i="9"/>
  <c r="R1017" i="9"/>
  <c r="R1025" i="9"/>
  <c r="R1033" i="9"/>
  <c r="R1041" i="9"/>
  <c r="R1049" i="9"/>
  <c r="R1057" i="9"/>
  <c r="R1065" i="9"/>
  <c r="R1073" i="9"/>
  <c r="R1391" i="9"/>
  <c r="R1409" i="9"/>
  <c r="R1425" i="9"/>
  <c r="R1077" i="9"/>
  <c r="R1085" i="9"/>
  <c r="R1093" i="9"/>
  <c r="R1101" i="9"/>
  <c r="R1109" i="9"/>
  <c r="R1117" i="9"/>
  <c r="R1125" i="9"/>
  <c r="R1133" i="9"/>
  <c r="R1141" i="9"/>
  <c r="R1149" i="9"/>
  <c r="R1157" i="9"/>
  <c r="R1165" i="9"/>
  <c r="R1173" i="9"/>
  <c r="R1181" i="9"/>
  <c r="R1189" i="9"/>
  <c r="R1197" i="9"/>
  <c r="R1205" i="9"/>
  <c r="R1213" i="9"/>
  <c r="R1221" i="9"/>
  <c r="R1229" i="9"/>
  <c r="R1237" i="9"/>
  <c r="R1245" i="9"/>
  <c r="R1253" i="9"/>
  <c r="R1261" i="9"/>
  <c r="R1269" i="9"/>
  <c r="R1277" i="9"/>
  <c r="R1285" i="9"/>
  <c r="R1293" i="9"/>
  <c r="R1301" i="9"/>
  <c r="R1309" i="9"/>
  <c r="R1317" i="9"/>
  <c r="R1325" i="9"/>
  <c r="R1333" i="9"/>
  <c r="R1341" i="9"/>
  <c r="R1351" i="9"/>
  <c r="R1359" i="9"/>
  <c r="R1367" i="9"/>
  <c r="R1375" i="9"/>
  <c r="R1383" i="9"/>
  <c r="R1393" i="9"/>
  <c r="R1407" i="9"/>
  <c r="R1423" i="9"/>
  <c r="R1094" i="9"/>
  <c r="R1126" i="9"/>
  <c r="R1158" i="9"/>
  <c r="R1190" i="9"/>
  <c r="R1222" i="9"/>
  <c r="R1254" i="9"/>
  <c r="R1286" i="9"/>
  <c r="R1318" i="9"/>
  <c r="R1350" i="9"/>
  <c r="R1382" i="9"/>
  <c r="R1414" i="9"/>
  <c r="R1518" i="9"/>
  <c r="R1532" i="9"/>
  <c r="R1548" i="9"/>
  <c r="R1562" i="9"/>
  <c r="R1578" i="9"/>
  <c r="R1594" i="9"/>
  <c r="R1608" i="9"/>
  <c r="R1624" i="9"/>
  <c r="R1638" i="9"/>
  <c r="R1652" i="9"/>
  <c r="R1668" i="9"/>
  <c r="R1684" i="9"/>
  <c r="R1698" i="9"/>
  <c r="R1084" i="9"/>
  <c r="R1116" i="9"/>
  <c r="R1148" i="9"/>
  <c r="R1180" i="9"/>
  <c r="R1212" i="9"/>
  <c r="R1244" i="9"/>
  <c r="R1276" i="9"/>
  <c r="R1308" i="9"/>
  <c r="R1340" i="9"/>
  <c r="R1372" i="9"/>
  <c r="R1404" i="9"/>
  <c r="R1430" i="9"/>
  <c r="R1438" i="9"/>
  <c r="R1446" i="9"/>
  <c r="R1454" i="9"/>
  <c r="S1190" i="9"/>
  <c r="S1377" i="9"/>
  <c r="S1553" i="9"/>
  <c r="S1223" i="9"/>
  <c r="S1410" i="9"/>
  <c r="S1586" i="9"/>
  <c r="R926" i="9"/>
  <c r="R934" i="9"/>
  <c r="S1267" i="9"/>
  <c r="S1443" i="9"/>
  <c r="S1344" i="9"/>
  <c r="R935" i="9"/>
  <c r="R946" i="9"/>
  <c r="R954" i="9"/>
  <c r="R962" i="9"/>
  <c r="R970" i="9"/>
  <c r="R978" i="9"/>
  <c r="R986" i="9"/>
  <c r="R994" i="9"/>
  <c r="R1002" i="9"/>
  <c r="R1010" i="9"/>
  <c r="R1018" i="9"/>
  <c r="R1026" i="9"/>
  <c r="R1034" i="9"/>
  <c r="R1042" i="9"/>
  <c r="R1050" i="9"/>
  <c r="R1058" i="9"/>
  <c r="R1066" i="9"/>
  <c r="R1074" i="9"/>
  <c r="S1619" i="9"/>
  <c r="S1256" i="9"/>
  <c r="R939" i="9"/>
  <c r="R947" i="9"/>
  <c r="R955" i="9"/>
  <c r="R963" i="9"/>
  <c r="R971" i="9"/>
  <c r="R979" i="9"/>
  <c r="R987" i="9"/>
  <c r="R995" i="9"/>
  <c r="R1003" i="9"/>
  <c r="R1011" i="9"/>
  <c r="R1019" i="9"/>
  <c r="R1027" i="9"/>
  <c r="R1035" i="9"/>
  <c r="R1043" i="9"/>
  <c r="R1051" i="9"/>
  <c r="R1059" i="9"/>
  <c r="R1067" i="9"/>
  <c r="R1075" i="9"/>
  <c r="R1397" i="9"/>
  <c r="R1413" i="9"/>
  <c r="R1427" i="9"/>
  <c r="R1079" i="9"/>
  <c r="R1087" i="9"/>
  <c r="R1095" i="9"/>
  <c r="R1103" i="9"/>
  <c r="R1111" i="9"/>
  <c r="R1119" i="9"/>
  <c r="R1127" i="9"/>
  <c r="R1135" i="9"/>
  <c r="R1143" i="9"/>
  <c r="R1151" i="9"/>
  <c r="R1159" i="9"/>
  <c r="R1167" i="9"/>
  <c r="R1175" i="9"/>
  <c r="R1183" i="9"/>
  <c r="R1191" i="9"/>
  <c r="R1199" i="9"/>
  <c r="R1207" i="9"/>
  <c r="R1215" i="9"/>
  <c r="R1223" i="9"/>
  <c r="R1231" i="9"/>
  <c r="R1239" i="9"/>
  <c r="R1247" i="9"/>
  <c r="R1255" i="9"/>
  <c r="R1263" i="9"/>
  <c r="R1271" i="9"/>
  <c r="R1279" i="9"/>
  <c r="R1287" i="9"/>
  <c r="R1295" i="9"/>
  <c r="R1303" i="9"/>
  <c r="R1311" i="9"/>
  <c r="R1319" i="9"/>
  <c r="R1327" i="9"/>
  <c r="R1335" i="9"/>
  <c r="R1343" i="9"/>
  <c r="R1353" i="9"/>
  <c r="R1361" i="9"/>
  <c r="R1369" i="9"/>
  <c r="R1377" i="9"/>
  <c r="R1385" i="9"/>
  <c r="R1395" i="9"/>
  <c r="R1411" i="9"/>
  <c r="R929" i="9"/>
  <c r="R1102" i="9"/>
  <c r="R1134" i="9"/>
  <c r="R1166" i="9"/>
  <c r="R1198" i="9"/>
  <c r="R1230" i="9"/>
  <c r="R1262" i="9"/>
  <c r="R1294" i="9"/>
  <c r="R1326" i="9"/>
  <c r="R1358" i="9"/>
  <c r="R1390" i="9"/>
  <c r="R1422" i="9"/>
  <c r="R1522" i="9"/>
  <c r="R1536" i="9"/>
  <c r="R1552" i="9"/>
  <c r="R1568" i="9"/>
  <c r="R1582" i="9"/>
  <c r="R1596" i="9"/>
  <c r="R1612" i="9"/>
  <c r="R1626" i="9"/>
  <c r="R1642" i="9"/>
  <c r="R1656" i="9"/>
  <c r="R1672" i="9"/>
  <c r="R1686" i="9"/>
  <c r="R1702" i="9"/>
  <c r="R1092" i="9"/>
  <c r="R1124" i="9"/>
  <c r="R1156" i="9"/>
  <c r="R1188" i="9"/>
  <c r="R1220" i="9"/>
  <c r="R1252" i="9"/>
  <c r="R1284" i="9"/>
  <c r="R1316" i="9"/>
  <c r="R1348" i="9"/>
  <c r="R1380" i="9"/>
  <c r="R1412" i="9"/>
  <c r="R1432" i="9"/>
  <c r="R1440" i="9"/>
  <c r="R1448" i="9"/>
  <c r="R1456" i="9"/>
  <c r="R1464" i="9"/>
  <c r="R1472" i="9"/>
  <c r="R1482" i="9"/>
  <c r="R1490" i="9"/>
  <c r="R1498" i="9"/>
  <c r="R1506" i="9"/>
  <c r="R1516" i="9"/>
  <c r="R1534" i="9"/>
  <c r="R1550" i="9"/>
  <c r="R1566" i="9"/>
  <c r="R1584" i="9"/>
  <c r="R1602" i="9"/>
  <c r="R1618" i="9"/>
  <c r="R1636" i="9"/>
  <c r="R1654" i="9"/>
  <c r="R1670" i="9"/>
  <c r="R1688" i="9"/>
  <c r="R1704" i="9"/>
  <c r="R1106" i="9"/>
  <c r="R1138" i="9"/>
  <c r="R1170" i="9"/>
  <c r="R1202" i="9"/>
  <c r="R1234" i="9"/>
  <c r="R1266" i="9"/>
  <c r="S1234" i="9"/>
  <c r="S1421" i="9"/>
  <c r="S1608" i="9"/>
  <c r="S1278" i="9"/>
  <c r="S1454" i="9"/>
  <c r="S1597" i="9"/>
  <c r="R928" i="9"/>
  <c r="R936" i="9"/>
  <c r="S1311" i="9"/>
  <c r="S1487" i="9"/>
  <c r="S1520" i="9"/>
  <c r="R940" i="9"/>
  <c r="R948" i="9"/>
  <c r="R956" i="9"/>
  <c r="R964" i="9"/>
  <c r="R972" i="9"/>
  <c r="R980" i="9"/>
  <c r="R988" i="9"/>
  <c r="R996" i="9"/>
  <c r="R1004" i="9"/>
  <c r="R1012" i="9"/>
  <c r="R1020" i="9"/>
  <c r="R1028" i="9"/>
  <c r="R1036" i="9"/>
  <c r="R1044" i="9"/>
  <c r="R1052" i="9"/>
  <c r="R1060" i="9"/>
  <c r="R1068" i="9"/>
  <c r="S1201" i="9"/>
  <c r="R925" i="9"/>
  <c r="S1432" i="9"/>
  <c r="R941" i="9"/>
  <c r="R949" i="9"/>
  <c r="R957" i="9"/>
  <c r="R965" i="9"/>
  <c r="R973" i="9"/>
  <c r="R981" i="9"/>
  <c r="R989" i="9"/>
  <c r="R997" i="9"/>
  <c r="R1005" i="9"/>
  <c r="R1013" i="9"/>
  <c r="R1021" i="9"/>
  <c r="R1029" i="9"/>
  <c r="R1037" i="9"/>
  <c r="R1045" i="9"/>
  <c r="R1053" i="9"/>
  <c r="R1061" i="9"/>
  <c r="R1069" i="9"/>
  <c r="S1300" i="9"/>
  <c r="R1401" i="9"/>
  <c r="R1417" i="9"/>
  <c r="S1476" i="9"/>
  <c r="R1081" i="9"/>
  <c r="R1089" i="9"/>
  <c r="R1097" i="9"/>
  <c r="R1105" i="9"/>
  <c r="R1113" i="9"/>
  <c r="R1121" i="9"/>
  <c r="R1129" i="9"/>
  <c r="R1137" i="9"/>
  <c r="R1145" i="9"/>
  <c r="R1153" i="9"/>
  <c r="R1161" i="9"/>
  <c r="R1169" i="9"/>
  <c r="R1177" i="9"/>
  <c r="R1185" i="9"/>
  <c r="R1193" i="9"/>
  <c r="R1201" i="9"/>
  <c r="R1209" i="9"/>
  <c r="R1217" i="9"/>
  <c r="R1225" i="9"/>
  <c r="R1233" i="9"/>
  <c r="R1241" i="9"/>
  <c r="R1249" i="9"/>
  <c r="R1257" i="9"/>
  <c r="R1265" i="9"/>
  <c r="R1273" i="9"/>
  <c r="R1281" i="9"/>
  <c r="R1289" i="9"/>
  <c r="R1297" i="9"/>
  <c r="R1305" i="9"/>
  <c r="R1313" i="9"/>
  <c r="R1321" i="9"/>
  <c r="R1329" i="9"/>
  <c r="R1337" i="9"/>
  <c r="R1345" i="9"/>
  <c r="R1355" i="9"/>
  <c r="R1363" i="9"/>
  <c r="R1371" i="9"/>
  <c r="R1379" i="9"/>
  <c r="R1387" i="9"/>
  <c r="R1399" i="9"/>
  <c r="R1415" i="9"/>
  <c r="R1078" i="9"/>
  <c r="R1110" i="9"/>
  <c r="R1142" i="9"/>
  <c r="R1174" i="9"/>
  <c r="R1206" i="9"/>
  <c r="R1238" i="9"/>
  <c r="R1270" i="9"/>
  <c r="R1302" i="9"/>
  <c r="R1334" i="9"/>
  <c r="R1366" i="9"/>
  <c r="R1398" i="9"/>
  <c r="R1478" i="9"/>
  <c r="R1526" i="9"/>
  <c r="R1540" i="9"/>
  <c r="R1556" i="9"/>
  <c r="R1572" i="9"/>
  <c r="R1586" i="9"/>
  <c r="R1600" i="9"/>
  <c r="R1616" i="9"/>
  <c r="R1630" i="9"/>
  <c r="R1646" i="9"/>
  <c r="R1660" i="9"/>
  <c r="R1676" i="9"/>
  <c r="R1690" i="9"/>
  <c r="R937" i="9"/>
  <c r="R1100" i="9"/>
  <c r="R1132" i="9"/>
  <c r="R1164" i="9"/>
  <c r="R1196" i="9"/>
  <c r="R1228" i="9"/>
  <c r="R1260" i="9"/>
  <c r="R1292" i="9"/>
  <c r="R1324" i="9"/>
  <c r="R1356" i="9"/>
  <c r="R1388" i="9"/>
  <c r="R1420" i="9"/>
  <c r="R1434" i="9"/>
  <c r="R1442" i="9"/>
  <c r="R1450" i="9"/>
  <c r="R1458" i="9"/>
  <c r="R1466" i="9"/>
  <c r="R1474" i="9"/>
  <c r="R1484" i="9"/>
  <c r="R1492" i="9"/>
  <c r="R1500" i="9"/>
  <c r="R1508" i="9"/>
  <c r="R1520" i="9"/>
  <c r="R1538" i="9"/>
  <c r="R1554" i="9"/>
  <c r="R1570" i="9"/>
  <c r="R1588" i="9"/>
  <c r="R1606" i="9"/>
  <c r="R1622" i="9"/>
  <c r="R1640" i="9"/>
  <c r="R1658" i="9"/>
  <c r="R1674" i="9"/>
  <c r="R1692" i="9"/>
  <c r="R1082" i="9"/>
  <c r="R1114" i="9"/>
  <c r="R1146" i="9"/>
  <c r="R1178" i="9"/>
  <c r="R1210" i="9"/>
  <c r="R1242" i="9"/>
  <c r="R1274" i="9"/>
  <c r="R1306" i="9"/>
  <c r="R1338" i="9"/>
  <c r="R1370" i="9"/>
  <c r="R1402" i="9"/>
  <c r="R1080" i="9"/>
  <c r="R1112" i="9"/>
  <c r="R1144" i="9"/>
  <c r="R1176" i="9"/>
  <c r="R1208" i="9"/>
  <c r="R1240" i="9"/>
  <c r="R1272" i="9"/>
  <c r="R1304" i="9"/>
  <c r="R1336" i="9"/>
  <c r="S1322" i="9"/>
  <c r="R938" i="9"/>
  <c r="R942" i="9"/>
  <c r="R974" i="9"/>
  <c r="R1006" i="9"/>
  <c r="R1038" i="9"/>
  <c r="R1070" i="9"/>
  <c r="R943" i="9"/>
  <c r="R975" i="9"/>
  <c r="R1007" i="9"/>
  <c r="R1039" i="9"/>
  <c r="R1071" i="9"/>
  <c r="S1663" i="9"/>
  <c r="R1107" i="9"/>
  <c r="R1139" i="9"/>
  <c r="R1171" i="9"/>
  <c r="R1203" i="9"/>
  <c r="R1235" i="9"/>
  <c r="R1267" i="9"/>
  <c r="R1299" i="9"/>
  <c r="R1331" i="9"/>
  <c r="R1365" i="9"/>
  <c r="R1403" i="9"/>
  <c r="R1150" i="9"/>
  <c r="R1278" i="9"/>
  <c r="R1406" i="9"/>
  <c r="R1558" i="9"/>
  <c r="R1620" i="9"/>
  <c r="R1680" i="9"/>
  <c r="R1140" i="9"/>
  <c r="R1268" i="9"/>
  <c r="R1396" i="9"/>
  <c r="R1452" i="9"/>
  <c r="R1470" i="9"/>
  <c r="R1488" i="9"/>
  <c r="R1504" i="9"/>
  <c r="R1530" i="9"/>
  <c r="R1564" i="9"/>
  <c r="R1598" i="9"/>
  <c r="R1632" i="9"/>
  <c r="R1666" i="9"/>
  <c r="R1700" i="9"/>
  <c r="R1130" i="9"/>
  <c r="R1194" i="9"/>
  <c r="R1258" i="9"/>
  <c r="R1314" i="9"/>
  <c r="R1354" i="9"/>
  <c r="R1394" i="9"/>
  <c r="R1088" i="9"/>
  <c r="R1128" i="9"/>
  <c r="R1168" i="9"/>
  <c r="R1216" i="9"/>
  <c r="R1256" i="9"/>
  <c r="R1296" i="9"/>
  <c r="R1344" i="9"/>
  <c r="R1376" i="9"/>
  <c r="R1441" i="9"/>
  <c r="R1473" i="9"/>
  <c r="R1505" i="9"/>
  <c r="R1537" i="9"/>
  <c r="R1569" i="9"/>
  <c r="R1601" i="9"/>
  <c r="R1633" i="9"/>
  <c r="R1665" i="9"/>
  <c r="R1697" i="9"/>
  <c r="R1475" i="9"/>
  <c r="R1555" i="9"/>
  <c r="R1659" i="9"/>
  <c r="R1431" i="9"/>
  <c r="R1463" i="9"/>
  <c r="R1495" i="9"/>
  <c r="R1527" i="9"/>
  <c r="R1559" i="9"/>
  <c r="R1591" i="9"/>
  <c r="R1623" i="9"/>
  <c r="R1655" i="9"/>
  <c r="R1687" i="9"/>
  <c r="R1467" i="9"/>
  <c r="R1571" i="9"/>
  <c r="R1667" i="9"/>
  <c r="R1437" i="9"/>
  <c r="R1469" i="9"/>
  <c r="R1501" i="9"/>
  <c r="R1533" i="9"/>
  <c r="R1565" i="9"/>
  <c r="R1597" i="9"/>
  <c r="R1629" i="9"/>
  <c r="R1661" i="9"/>
  <c r="R1693" i="9"/>
  <c r="R1459" i="9"/>
  <c r="R1563" i="9"/>
  <c r="R1651" i="9"/>
  <c r="S1289" i="9"/>
  <c r="S1498" i="9"/>
  <c r="S1355" i="9"/>
  <c r="R950" i="9"/>
  <c r="R982" i="9"/>
  <c r="R1014" i="9"/>
  <c r="R1046" i="9"/>
  <c r="S1388" i="9"/>
  <c r="R951" i="9"/>
  <c r="R983" i="9"/>
  <c r="R1015" i="9"/>
  <c r="R1047" i="9"/>
  <c r="R1349" i="9"/>
  <c r="R1083" i="9"/>
  <c r="R1115" i="9"/>
  <c r="R1147" i="9"/>
  <c r="R1179" i="9"/>
  <c r="R1211" i="9"/>
  <c r="R1243" i="9"/>
  <c r="R1275" i="9"/>
  <c r="R1307" i="9"/>
  <c r="R1339" i="9"/>
  <c r="R1373" i="9"/>
  <c r="R1419" i="9"/>
  <c r="R1182" i="9"/>
  <c r="R1310" i="9"/>
  <c r="R1514" i="9"/>
  <c r="R1574" i="9"/>
  <c r="R1634" i="9"/>
  <c r="R1694" i="9"/>
  <c r="R1172" i="9"/>
  <c r="R1300" i="9"/>
  <c r="R1428" i="9"/>
  <c r="R1460" i="9"/>
  <c r="R1476" i="9"/>
  <c r="R1494" i="9"/>
  <c r="R1510" i="9"/>
  <c r="R1542" i="9"/>
  <c r="R1576" i="9"/>
  <c r="R1610" i="9"/>
  <c r="R1644" i="9"/>
  <c r="R1678" i="9"/>
  <c r="R1090" i="9"/>
  <c r="R1154" i="9"/>
  <c r="R1218" i="9"/>
  <c r="R1282" i="9"/>
  <c r="R1322" i="9"/>
  <c r="R1362" i="9"/>
  <c r="R1410" i="9"/>
  <c r="R1096" i="9"/>
  <c r="R1136" i="9"/>
  <c r="R1184" i="9"/>
  <c r="R1224" i="9"/>
  <c r="R1264" i="9"/>
  <c r="R1312" i="9"/>
  <c r="R1352" i="9"/>
  <c r="R1392" i="9"/>
  <c r="R1449" i="9"/>
  <c r="R1481" i="9"/>
  <c r="R1513" i="9"/>
  <c r="R1545" i="9"/>
  <c r="R1577" i="9"/>
  <c r="R1609" i="9"/>
  <c r="R1641" i="9"/>
  <c r="R1673" i="9"/>
  <c r="R1705" i="9"/>
  <c r="R1491" i="9"/>
  <c r="R1579" i="9"/>
  <c r="R1675" i="9"/>
  <c r="R1439" i="9"/>
  <c r="R1471" i="9"/>
  <c r="R1503" i="9"/>
  <c r="R1535" i="9"/>
  <c r="R1567" i="9"/>
  <c r="R1599" i="9"/>
  <c r="R1631" i="9"/>
  <c r="R1663" i="9"/>
  <c r="R1695" i="9"/>
  <c r="R1499" i="9"/>
  <c r="R1595" i="9"/>
  <c r="R1699" i="9"/>
  <c r="R1445" i="9"/>
  <c r="R1477" i="9"/>
  <c r="R1509" i="9"/>
  <c r="R1541" i="9"/>
  <c r="R1573" i="9"/>
  <c r="R1605" i="9"/>
  <c r="R1637" i="9"/>
  <c r="R1669" i="9"/>
  <c r="R1701" i="9"/>
  <c r="R1483" i="9"/>
  <c r="R1587" i="9"/>
  <c r="R1683" i="9"/>
  <c r="S1465" i="9"/>
  <c r="S1641" i="9"/>
  <c r="S1531" i="9"/>
  <c r="R958" i="9"/>
  <c r="R990" i="9"/>
  <c r="R1022" i="9"/>
  <c r="R1054" i="9"/>
  <c r="R933" i="9"/>
  <c r="R959" i="9"/>
  <c r="R991" i="9"/>
  <c r="R1023" i="9"/>
  <c r="R1055" i="9"/>
  <c r="R1405" i="9"/>
  <c r="R1091" i="9"/>
  <c r="R1123" i="9"/>
  <c r="R1155" i="9"/>
  <c r="R1187" i="9"/>
  <c r="R1219" i="9"/>
  <c r="R1251" i="9"/>
  <c r="R1283" i="9"/>
  <c r="R1315" i="9"/>
  <c r="R1347" i="9"/>
  <c r="R1381" i="9"/>
  <c r="R1086" i="9"/>
  <c r="R1214" i="9"/>
  <c r="R1342" i="9"/>
  <c r="R1528" i="9"/>
  <c r="R1590" i="9"/>
  <c r="R1648" i="9"/>
  <c r="R1076" i="9"/>
  <c r="R1204" i="9"/>
  <c r="R1332" i="9"/>
  <c r="R1436" i="9"/>
  <c r="R1462" i="9"/>
  <c r="R1480" i="9"/>
  <c r="R1496" i="9"/>
  <c r="R1512" i="9"/>
  <c r="R1546" i="9"/>
  <c r="R1580" i="9"/>
  <c r="R1614" i="9"/>
  <c r="R1650" i="9"/>
  <c r="R1682" i="9"/>
  <c r="R1098" i="9"/>
  <c r="R1162" i="9"/>
  <c r="R1226" i="9"/>
  <c r="R1290" i="9"/>
  <c r="R1330" i="9"/>
  <c r="R1378" i="9"/>
  <c r="R1418" i="9"/>
  <c r="R1104" i="9"/>
  <c r="R1152" i="9"/>
  <c r="R1192" i="9"/>
  <c r="R1232" i="9"/>
  <c r="R1280" i="9"/>
  <c r="R1320" i="9"/>
  <c r="R1360" i="9"/>
  <c r="R1424" i="9"/>
  <c r="R1457" i="9"/>
  <c r="R1489" i="9"/>
  <c r="R1521" i="9"/>
  <c r="R1553" i="9"/>
  <c r="R1585" i="9"/>
  <c r="R1617" i="9"/>
  <c r="R1649" i="9"/>
  <c r="R1681" i="9"/>
  <c r="R1416" i="9"/>
  <c r="R1507" i="9"/>
  <c r="R1603" i="9"/>
  <c r="R1691" i="9"/>
  <c r="R1447" i="9"/>
  <c r="R1479" i="9"/>
  <c r="R1511" i="9"/>
  <c r="R1543" i="9"/>
  <c r="R1575" i="9"/>
  <c r="R1607" i="9"/>
  <c r="R1639" i="9"/>
  <c r="R1671" i="9"/>
  <c r="R1703" i="9"/>
  <c r="R1523" i="9"/>
  <c r="R1619" i="9"/>
  <c r="R1408" i="9"/>
  <c r="R1453" i="9"/>
  <c r="R1485" i="9"/>
  <c r="R1517" i="9"/>
  <c r="R1549" i="9"/>
  <c r="R1581" i="9"/>
  <c r="R1613" i="9"/>
  <c r="R1645" i="9"/>
  <c r="R1677" i="9"/>
  <c r="R1384" i="9"/>
  <c r="R1515" i="9"/>
  <c r="R1611" i="9"/>
  <c r="S1652" i="9"/>
  <c r="R930" i="9"/>
  <c r="S1630" i="9"/>
  <c r="R966" i="9"/>
  <c r="R998" i="9"/>
  <c r="R1030" i="9"/>
  <c r="R1062" i="9"/>
  <c r="S1674" i="9"/>
  <c r="R967" i="9"/>
  <c r="R999" i="9"/>
  <c r="R1031" i="9"/>
  <c r="R1063" i="9"/>
  <c r="R1421" i="9"/>
  <c r="R1099" i="9"/>
  <c r="R1131" i="9"/>
  <c r="R1163" i="9"/>
  <c r="R1195" i="9"/>
  <c r="R1227" i="9"/>
  <c r="R1259" i="9"/>
  <c r="R1291" i="9"/>
  <c r="R1323" i="9"/>
  <c r="R1357" i="9"/>
  <c r="R1389" i="9"/>
  <c r="R1118" i="9"/>
  <c r="R1246" i="9"/>
  <c r="R1374" i="9"/>
  <c r="R1544" i="9"/>
  <c r="R1604" i="9"/>
  <c r="R1664" i="9"/>
  <c r="R1108" i="9"/>
  <c r="R1236" i="9"/>
  <c r="R1364" i="9"/>
  <c r="R1444" i="9"/>
  <c r="R1468" i="9"/>
  <c r="R1486" i="9"/>
  <c r="R1502" i="9"/>
  <c r="R1524" i="9"/>
  <c r="R1560" i="9"/>
  <c r="R1592" i="9"/>
  <c r="R1628" i="9"/>
  <c r="R1662" i="9"/>
  <c r="R1696" i="9"/>
  <c r="R1122" i="9"/>
  <c r="R1186" i="9"/>
  <c r="R1250" i="9"/>
  <c r="R1298" i="9"/>
  <c r="R1346" i="9"/>
  <c r="R1386" i="9"/>
  <c r="R1426" i="9"/>
  <c r="R1120" i="9"/>
  <c r="R1160" i="9"/>
  <c r="R1200" i="9"/>
  <c r="R1248" i="9"/>
  <c r="R1288" i="9"/>
  <c r="R1328" i="9"/>
  <c r="R1368" i="9"/>
  <c r="R1433" i="9"/>
  <c r="R1465" i="9"/>
  <c r="R1497" i="9"/>
  <c r="R1529" i="9"/>
  <c r="R1561" i="9"/>
  <c r="R1593" i="9"/>
  <c r="R1625" i="9"/>
  <c r="R1657" i="9"/>
  <c r="R1689" i="9"/>
  <c r="R1451" i="9"/>
  <c r="R1531" i="9"/>
  <c r="R1627" i="9"/>
  <c r="R1400" i="9"/>
  <c r="R1455" i="9"/>
  <c r="R1487" i="9"/>
  <c r="R1519" i="9"/>
  <c r="R1551" i="9"/>
  <c r="R1583" i="9"/>
  <c r="R1615" i="9"/>
  <c r="R1647" i="9"/>
  <c r="R1679" i="9"/>
  <c r="R1435" i="9"/>
  <c r="R1547" i="9"/>
  <c r="R1643" i="9"/>
  <c r="R1429" i="9"/>
  <c r="R1461" i="9"/>
  <c r="R1493" i="9"/>
  <c r="R1525" i="9"/>
  <c r="R1557" i="9"/>
  <c r="R1685" i="9"/>
  <c r="R1589" i="9"/>
  <c r="R1443" i="9"/>
  <c r="R1621" i="9"/>
  <c r="R1539" i="9"/>
  <c r="R1653" i="9"/>
  <c r="R1635" i="9"/>
  <c r="AM4" i="16"/>
  <c r="AM8" i="16"/>
  <c r="AM12" i="16"/>
  <c r="AM16" i="16"/>
  <c r="AM20" i="16"/>
  <c r="AM24" i="16"/>
  <c r="AM28" i="16"/>
  <c r="AM32" i="16"/>
  <c r="AM36" i="16"/>
  <c r="AM40" i="16"/>
  <c r="AM44" i="16"/>
  <c r="AM48" i="16"/>
  <c r="AM52" i="16"/>
  <c r="AM56" i="16"/>
  <c r="AM60" i="16"/>
  <c r="AM64" i="16"/>
  <c r="AM68" i="16"/>
  <c r="AM72" i="16"/>
  <c r="AM76" i="16"/>
  <c r="AM80" i="16"/>
  <c r="AM84" i="16"/>
  <c r="AM88" i="16"/>
  <c r="AM92" i="16"/>
  <c r="AM96" i="16"/>
  <c r="AM100" i="16"/>
  <c r="AM3" i="16"/>
  <c r="AM9" i="16"/>
  <c r="AM14" i="16"/>
  <c r="AM19" i="16"/>
  <c r="AM25" i="16"/>
  <c r="AM30" i="16"/>
  <c r="AM35" i="16"/>
  <c r="AM41" i="16"/>
  <c r="AM46" i="16"/>
  <c r="AM51" i="16"/>
  <c r="AM57" i="16"/>
  <c r="AM62" i="16"/>
  <c r="AM73" i="16"/>
  <c r="AM78" i="16"/>
  <c r="AM83" i="16"/>
  <c r="AM89" i="16"/>
  <c r="AM94" i="16"/>
  <c r="AM99" i="16"/>
  <c r="AM104" i="16"/>
  <c r="AM108" i="16"/>
  <c r="AM112" i="16"/>
  <c r="AM116" i="16"/>
  <c r="AM120" i="16"/>
  <c r="AM124" i="16"/>
  <c r="AM128" i="16"/>
  <c r="AM132" i="16"/>
  <c r="AM136" i="16"/>
  <c r="AM140" i="16"/>
  <c r="AM144" i="16"/>
  <c r="AM148" i="16"/>
  <c r="AM5" i="16"/>
  <c r="AM15" i="16"/>
  <c r="AM21" i="16"/>
  <c r="AM26" i="16"/>
  <c r="AM31" i="16"/>
  <c r="AM42" i="16"/>
  <c r="AM47" i="16"/>
  <c r="AM58" i="16"/>
  <c r="AM69" i="16"/>
  <c r="AM79" i="16"/>
  <c r="AM90" i="16"/>
  <c r="AM101" i="16"/>
  <c r="AM105" i="16"/>
  <c r="AM113" i="16"/>
  <c r="AM121" i="16"/>
  <c r="AM129" i="16"/>
  <c r="AM133" i="16"/>
  <c r="AM141" i="16"/>
  <c r="AM149" i="16"/>
  <c r="AM86" i="16"/>
  <c r="AM106" i="16"/>
  <c r="AM118" i="16"/>
  <c r="AM130" i="16"/>
  <c r="AM142" i="16"/>
  <c r="AM146" i="16"/>
  <c r="AM10" i="16"/>
  <c r="AM37" i="16"/>
  <c r="AM53" i="16"/>
  <c r="AM63" i="16"/>
  <c r="AM74" i="16"/>
  <c r="AM85" i="16"/>
  <c r="AM95" i="16"/>
  <c r="AM109" i="16"/>
  <c r="AM117" i="16"/>
  <c r="AM125" i="16"/>
  <c r="AM137" i="16"/>
  <c r="AM145" i="16"/>
  <c r="AM91" i="16"/>
  <c r="AM110" i="16"/>
  <c r="AM126" i="16"/>
  <c r="AM138" i="16"/>
  <c r="AM7" i="16"/>
  <c r="AM18" i="16"/>
  <c r="AM29" i="16"/>
  <c r="AM39" i="16"/>
  <c r="AM50" i="16"/>
  <c r="AM61" i="16"/>
  <c r="AM71" i="16"/>
  <c r="AM87" i="16"/>
  <c r="AM98" i="16"/>
  <c r="AM103" i="16"/>
  <c r="AM115" i="16"/>
  <c r="AM119" i="16"/>
  <c r="AM127" i="16"/>
  <c r="AM139" i="16"/>
  <c r="AM147" i="16"/>
  <c r="AM6" i="16"/>
  <c r="AM11" i="16"/>
  <c r="AM17" i="16"/>
  <c r="AM22" i="16"/>
  <c r="AM27" i="16"/>
  <c r="AM33" i="16"/>
  <c r="AM38" i="16"/>
  <c r="AM43" i="16"/>
  <c r="AM49" i="16"/>
  <c r="AM54" i="16"/>
  <c r="AM59" i="16"/>
  <c r="AM65" i="16"/>
  <c r="AM70" i="16"/>
  <c r="AM75" i="16"/>
  <c r="AM81" i="16"/>
  <c r="AM97" i="16"/>
  <c r="AM102" i="16"/>
  <c r="AM114" i="16"/>
  <c r="AM122" i="16"/>
  <c r="AM134" i="16"/>
  <c r="AM2" i="16"/>
  <c r="AM13" i="16"/>
  <c r="AM23" i="16"/>
  <c r="AM34" i="16"/>
  <c r="AM45" i="16"/>
  <c r="AM55" i="16"/>
  <c r="AM66" i="16"/>
  <c r="AM77" i="16"/>
  <c r="AM82" i="16"/>
  <c r="AM93" i="16"/>
  <c r="AM107" i="16"/>
  <c r="AM111" i="16"/>
  <c r="AM123" i="16"/>
  <c r="AM131" i="16"/>
  <c r="AM135" i="16"/>
  <c r="AM143" i="16"/>
  <c r="AH17" i="16"/>
  <c r="AI17" i="16" s="1" a="1"/>
  <c r="AI17" i="16" s="1"/>
  <c r="AJ17" i="16" s="1"/>
  <c r="AH33" i="16"/>
  <c r="AI33" i="16" s="1" a="1"/>
  <c r="AI33" i="16" s="1"/>
  <c r="AJ33" i="16" s="1"/>
  <c r="AH49" i="16"/>
  <c r="AI49" i="16" s="1" a="1"/>
  <c r="AI49" i="16" s="1"/>
  <c r="AJ49" i="16" s="1"/>
  <c r="AK49" i="16" s="1"/>
  <c r="AH65" i="16"/>
  <c r="AI65" i="16" s="1" a="1"/>
  <c r="AI65" i="16" s="1"/>
  <c r="AJ65" i="16" s="1"/>
  <c r="AK65" i="16" s="1"/>
  <c r="AH81" i="16"/>
  <c r="AI81" i="16" s="1" a="1"/>
  <c r="AI81" i="16" s="1"/>
  <c r="AJ81" i="16" s="1"/>
  <c r="AK81" i="16" s="1"/>
  <c r="AH6" i="16"/>
  <c r="AI6" i="16" s="1" a="1"/>
  <c r="AI6" i="16" s="1"/>
  <c r="AJ6" i="16" s="1"/>
  <c r="AH22" i="16"/>
  <c r="AI22" i="16" s="1" a="1"/>
  <c r="AI22" i="16" s="1"/>
  <c r="AJ22" i="16" s="1"/>
  <c r="AH38" i="16"/>
  <c r="AI38" i="16" s="1" a="1"/>
  <c r="AI38" i="16" s="1"/>
  <c r="AJ38" i="16" s="1"/>
  <c r="AH54" i="16"/>
  <c r="AI54" i="16" s="1" a="1"/>
  <c r="AI54" i="16" s="1"/>
  <c r="AJ54" i="16" s="1"/>
  <c r="AK54" i="16" s="1"/>
  <c r="AH70" i="16"/>
  <c r="AI70" i="16" s="1" a="1"/>
  <c r="AI70" i="16" s="1"/>
  <c r="AJ70" i="16" s="1"/>
  <c r="AK70" i="16" s="1"/>
  <c r="AH86" i="16"/>
  <c r="AI86" i="16" s="1" a="1"/>
  <c r="AI86" i="16" s="1"/>
  <c r="AJ86" i="16" s="1"/>
  <c r="AK86" i="16" s="1"/>
  <c r="AH102" i="16"/>
  <c r="AI102" i="16" s="1" a="1"/>
  <c r="AI102" i="16" s="1"/>
  <c r="AJ102" i="16" s="1"/>
  <c r="AK102" i="16" s="1"/>
  <c r="AH31" i="16"/>
  <c r="AI31" i="16" s="1" a="1"/>
  <c r="AI31" i="16" s="1"/>
  <c r="AJ31" i="16" s="1"/>
  <c r="AH63" i="16"/>
  <c r="AI63" i="16" s="1" a="1"/>
  <c r="AI63" i="16" s="1"/>
  <c r="AJ63" i="16" s="1"/>
  <c r="AK63" i="16" s="1"/>
  <c r="AH95" i="16"/>
  <c r="AI95" i="16" s="1" a="1"/>
  <c r="AI95" i="16" s="1"/>
  <c r="AJ95" i="16" s="1"/>
  <c r="AK95" i="16" s="1"/>
  <c r="AH113" i="16"/>
  <c r="AI113" i="16" s="1" a="1"/>
  <c r="AI113" i="16" s="1"/>
  <c r="AJ113" i="16" s="1"/>
  <c r="AK113" i="16" s="1"/>
  <c r="AK129" i="16"/>
  <c r="AK145" i="16"/>
  <c r="AK161" i="16"/>
  <c r="AH16" i="16"/>
  <c r="AI16" i="16" s="1" a="1"/>
  <c r="AI16" i="16" s="1"/>
  <c r="AJ16" i="16" s="1"/>
  <c r="AH48" i="16"/>
  <c r="AI48" i="16" s="1" a="1"/>
  <c r="AI48" i="16" s="1"/>
  <c r="AJ48" i="16" s="1"/>
  <c r="AK48" i="16" s="1"/>
  <c r="AH80" i="16"/>
  <c r="AI80" i="16" s="1" a="1"/>
  <c r="AI80" i="16" s="1"/>
  <c r="AJ80" i="16" s="1"/>
  <c r="AK80" i="16" s="1"/>
  <c r="AH106" i="16"/>
  <c r="AI106" i="16" s="1" a="1"/>
  <c r="AI106" i="16" s="1"/>
  <c r="AJ106" i="16" s="1"/>
  <c r="AK106" i="16" s="1"/>
  <c r="AH122" i="16"/>
  <c r="AI122" i="16" s="1" a="1"/>
  <c r="AI122" i="16" s="1"/>
  <c r="AJ122" i="16" s="1"/>
  <c r="AK122" i="16" s="1"/>
  <c r="AK138" i="16"/>
  <c r="AK154" i="16"/>
  <c r="AK170" i="16"/>
  <c r="AH3" i="16"/>
  <c r="AI3" i="16" s="1" a="1"/>
  <c r="AI3" i="16" s="1"/>
  <c r="AJ3" i="16" s="1"/>
  <c r="AH35" i="16"/>
  <c r="AI35" i="16" s="1" a="1"/>
  <c r="AI35" i="16" s="1"/>
  <c r="AJ35" i="16" s="1"/>
  <c r="AH75" i="16"/>
  <c r="AI75" i="16" s="1" a="1"/>
  <c r="AI75" i="16" s="1"/>
  <c r="AJ75" i="16" s="1"/>
  <c r="AK75" i="16" s="1"/>
  <c r="AH103" i="16"/>
  <c r="AI103" i="16" s="1" a="1"/>
  <c r="AI103" i="16" s="1"/>
  <c r="AJ103" i="16" s="1"/>
  <c r="AK103" i="16" s="1"/>
  <c r="AH119" i="16"/>
  <c r="AI119" i="16" s="1" a="1"/>
  <c r="AI119" i="16" s="1"/>
  <c r="AJ119" i="16" s="1"/>
  <c r="AK119" i="16" s="1"/>
  <c r="AK135" i="16"/>
  <c r="AK151" i="16"/>
  <c r="AK167" i="16"/>
  <c r="AH28" i="16"/>
  <c r="AI28" i="16" s="1" a="1"/>
  <c r="AI28" i="16" s="1"/>
  <c r="AJ28" i="16" s="1"/>
  <c r="AH124" i="16"/>
  <c r="AI124" i="16" s="1" a="1"/>
  <c r="AI124" i="16" s="1"/>
  <c r="AJ124" i="16" s="1"/>
  <c r="AK124" i="16" s="1"/>
  <c r="AH92" i="16"/>
  <c r="AI92" i="16" s="1" a="1"/>
  <c r="AI92" i="16" s="1"/>
  <c r="AJ92" i="16" s="1"/>
  <c r="AK92" i="16" s="1"/>
  <c r="AK160" i="16"/>
  <c r="AH12" i="16"/>
  <c r="AI12" i="16" s="1" a="1"/>
  <c r="AI12" i="16" s="1"/>
  <c r="AJ12" i="16" s="1"/>
  <c r="AH116" i="16"/>
  <c r="AI116" i="16" s="1" a="1"/>
  <c r="AI116" i="16" s="1"/>
  <c r="AJ116" i="16" s="1"/>
  <c r="AK116" i="16" s="1"/>
  <c r="AH52" i="16"/>
  <c r="AI52" i="16" s="1" a="1"/>
  <c r="AI52" i="16" s="1"/>
  <c r="AJ52" i="16" s="1"/>
  <c r="AK52" i="16" s="1"/>
  <c r="AK136" i="16"/>
  <c r="AH5" i="16"/>
  <c r="AI5" i="16" s="1" a="1"/>
  <c r="AI5" i="16" s="1"/>
  <c r="AJ5" i="16" s="1"/>
  <c r="AH21" i="16"/>
  <c r="AI21" i="16" s="1" a="1"/>
  <c r="AI21" i="16" s="1"/>
  <c r="AJ21" i="16" s="1"/>
  <c r="AH37" i="16"/>
  <c r="AI37" i="16" s="1" a="1"/>
  <c r="AI37" i="16" s="1"/>
  <c r="AJ37" i="16" s="1"/>
  <c r="AH53" i="16"/>
  <c r="AI53" i="16" s="1" a="1"/>
  <c r="AI53" i="16" s="1"/>
  <c r="AJ53" i="16" s="1"/>
  <c r="AK53" i="16" s="1"/>
  <c r="AH69" i="16"/>
  <c r="AI69" i="16" s="1" a="1"/>
  <c r="AI69" i="16" s="1"/>
  <c r="AJ69" i="16" s="1"/>
  <c r="AK69" i="16" s="1"/>
  <c r="AH85" i="16"/>
  <c r="AI85" i="16" s="1" a="1"/>
  <c r="AI85" i="16" s="1"/>
  <c r="AJ85" i="16" s="1"/>
  <c r="AK85" i="16" s="1"/>
  <c r="AH10" i="16"/>
  <c r="AI10" i="16" s="1" a="1"/>
  <c r="AI10" i="16" s="1"/>
  <c r="AJ10" i="16" s="1"/>
  <c r="AH26" i="16"/>
  <c r="AI26" i="16" s="1" a="1"/>
  <c r="AI26" i="16" s="1"/>
  <c r="AJ26" i="16" s="1"/>
  <c r="AH42" i="16"/>
  <c r="AI42" i="16" s="1" a="1"/>
  <c r="AI42" i="16" s="1"/>
  <c r="AJ42" i="16" s="1"/>
  <c r="AH58" i="16"/>
  <c r="AI58" i="16" s="1" a="1"/>
  <c r="AI58" i="16" s="1"/>
  <c r="AJ58" i="16" s="1"/>
  <c r="AK58" i="16" s="1"/>
  <c r="AH74" i="16"/>
  <c r="AI74" i="16" s="1" a="1"/>
  <c r="AI74" i="16" s="1"/>
  <c r="AJ74" i="16" s="1"/>
  <c r="AK74" i="16" s="1"/>
  <c r="AH90" i="16"/>
  <c r="AI90" i="16" s="1" a="1"/>
  <c r="AI90" i="16" s="1"/>
  <c r="AJ90" i="16" s="1"/>
  <c r="AK90" i="16" s="1"/>
  <c r="AH7" i="16"/>
  <c r="AI7" i="16" s="1" a="1"/>
  <c r="AI7" i="16" s="1"/>
  <c r="AJ7" i="16" s="1"/>
  <c r="AH39" i="16"/>
  <c r="AI39" i="16" s="1" a="1"/>
  <c r="AI39" i="16" s="1"/>
  <c r="AJ39" i="16" s="1"/>
  <c r="AH71" i="16"/>
  <c r="AI71" i="16" s="1" a="1"/>
  <c r="AI71" i="16" s="1"/>
  <c r="AJ71" i="16" s="1"/>
  <c r="AK71" i="16" s="1"/>
  <c r="AH100" i="16"/>
  <c r="AI100" i="16" s="1" a="1"/>
  <c r="AI100" i="16" s="1"/>
  <c r="AJ100" i="16" s="1"/>
  <c r="AK100" i="16" s="1"/>
  <c r="AH117" i="16"/>
  <c r="AI117" i="16" s="1" a="1"/>
  <c r="AI117" i="16" s="1"/>
  <c r="AJ117" i="16" s="1"/>
  <c r="AK117" i="16" s="1"/>
  <c r="AK133" i="16"/>
  <c r="AK149" i="16"/>
  <c r="AK165" i="16"/>
  <c r="AH24" i="16"/>
  <c r="AI24" i="16" s="1" a="1"/>
  <c r="AI24" i="16" s="1"/>
  <c r="AJ24" i="16" s="1"/>
  <c r="AH56" i="16"/>
  <c r="AI56" i="16" s="1" a="1"/>
  <c r="AI56" i="16" s="1"/>
  <c r="AJ56" i="16" s="1"/>
  <c r="AK56" i="16" s="1"/>
  <c r="AH88" i="16"/>
  <c r="AI88" i="16" s="1" a="1"/>
  <c r="AI88" i="16" s="1"/>
  <c r="AJ88" i="16" s="1"/>
  <c r="AK88" i="16" s="1"/>
  <c r="AH110" i="16"/>
  <c r="AI110" i="16" s="1" a="1"/>
  <c r="AI110" i="16" s="1"/>
  <c r="AJ110" i="16" s="1"/>
  <c r="AK110" i="16" s="1"/>
  <c r="AK126" i="16"/>
  <c r="AK142" i="16"/>
  <c r="AK158" i="16"/>
  <c r="AH11" i="16"/>
  <c r="AI11" i="16" s="1" a="1"/>
  <c r="AI11" i="16" s="1"/>
  <c r="AJ11" i="16" s="1"/>
  <c r="AH43" i="16"/>
  <c r="AI43" i="16" s="1" a="1"/>
  <c r="AI43" i="16" s="1"/>
  <c r="AJ43" i="16" s="1"/>
  <c r="AH83" i="16"/>
  <c r="AI83" i="16" s="1" a="1"/>
  <c r="AI83" i="16" s="1"/>
  <c r="AJ83" i="16" s="1"/>
  <c r="AK83" i="16" s="1"/>
  <c r="AH107" i="16"/>
  <c r="AI107" i="16" s="1" a="1"/>
  <c r="AI107" i="16" s="1"/>
  <c r="AJ107" i="16" s="1"/>
  <c r="AK107" i="16" s="1"/>
  <c r="AH123" i="16"/>
  <c r="AI123" i="16" s="1" a="1"/>
  <c r="AI123" i="16" s="1"/>
  <c r="AJ123" i="16" s="1"/>
  <c r="AK123" i="16" s="1"/>
  <c r="AK139" i="16"/>
  <c r="AK155" i="16"/>
  <c r="AH60" i="16"/>
  <c r="AI60" i="16" s="1" a="1"/>
  <c r="AI60" i="16" s="1"/>
  <c r="AJ60" i="16" s="1"/>
  <c r="AK60" i="16" s="1"/>
  <c r="AK140" i="16"/>
  <c r="AH112" i="16"/>
  <c r="AI112" i="16" s="1" a="1"/>
  <c r="AI112" i="16" s="1"/>
  <c r="AJ112" i="16" s="1"/>
  <c r="AK112" i="16" s="1"/>
  <c r="AH44" i="16"/>
  <c r="AI44" i="16" s="1" a="1"/>
  <c r="AI44" i="16" s="1"/>
  <c r="AJ44" i="16" s="1"/>
  <c r="AK132" i="16"/>
  <c r="AH76" i="16"/>
  <c r="AI76" i="16" s="1" a="1"/>
  <c r="AI76" i="16" s="1"/>
  <c r="AJ76" i="16" s="1"/>
  <c r="AK76" i="16" s="1"/>
  <c r="AK152" i="16"/>
  <c r="AH9" i="16"/>
  <c r="AI9" i="16" s="1" a="1"/>
  <c r="AI9" i="16" s="1"/>
  <c r="AJ9" i="16" s="1"/>
  <c r="AH25" i="16"/>
  <c r="AI25" i="16" s="1" a="1"/>
  <c r="AI25" i="16" s="1"/>
  <c r="AJ25" i="16" s="1"/>
  <c r="AH41" i="16"/>
  <c r="AI41" i="16" s="1" a="1"/>
  <c r="AI41" i="16" s="1"/>
  <c r="AJ41" i="16" s="1"/>
  <c r="AH57" i="16"/>
  <c r="AI57" i="16" s="1" a="1"/>
  <c r="AI57" i="16" s="1"/>
  <c r="AJ57" i="16" s="1"/>
  <c r="AK57" i="16" s="1"/>
  <c r="AH73" i="16"/>
  <c r="AI73" i="16" s="1" a="1"/>
  <c r="AI73" i="16" s="1"/>
  <c r="AJ73" i="16" s="1"/>
  <c r="AK73" i="16" s="1"/>
  <c r="AH89" i="16"/>
  <c r="AI89" i="16" s="1" a="1"/>
  <c r="AI89" i="16" s="1"/>
  <c r="AJ89" i="16" s="1"/>
  <c r="AK89" i="16" s="1"/>
  <c r="AH14" i="16"/>
  <c r="AI14" i="16" s="1" a="1"/>
  <c r="AI14" i="16" s="1"/>
  <c r="AJ14" i="16" s="1"/>
  <c r="AH30" i="16"/>
  <c r="AI30" i="16" s="1" a="1"/>
  <c r="AI30" i="16" s="1"/>
  <c r="AJ30" i="16" s="1"/>
  <c r="AH46" i="16"/>
  <c r="AI46" i="16" s="1" a="1"/>
  <c r="AI46" i="16" s="1"/>
  <c r="AJ46" i="16" s="1"/>
  <c r="AH62" i="16"/>
  <c r="AI62" i="16" s="1" a="1"/>
  <c r="AI62" i="16" s="1"/>
  <c r="AJ62" i="16" s="1"/>
  <c r="AK62" i="16" s="1"/>
  <c r="AH78" i="16"/>
  <c r="AI78" i="16" s="1" a="1"/>
  <c r="AI78" i="16" s="1"/>
  <c r="AJ78" i="16" s="1"/>
  <c r="AK78" i="16" s="1"/>
  <c r="AH94" i="16"/>
  <c r="AI94" i="16" s="1" a="1"/>
  <c r="AI94" i="16" s="1"/>
  <c r="AJ94" i="16" s="1"/>
  <c r="AK94" i="16" s="1"/>
  <c r="AH15" i="16"/>
  <c r="AI15" i="16" s="1" a="1"/>
  <c r="AI15" i="16" s="1"/>
  <c r="AJ15" i="16" s="1"/>
  <c r="AH47" i="16"/>
  <c r="AI47" i="16" s="1" a="1"/>
  <c r="AI47" i="16" s="1"/>
  <c r="AJ47" i="16" s="1"/>
  <c r="AK47" i="16" s="1"/>
  <c r="AH79" i="16"/>
  <c r="AI79" i="16" s="1" a="1"/>
  <c r="AI79" i="16" s="1"/>
  <c r="AJ79" i="16" s="1"/>
  <c r="AK79" i="16" s="1"/>
  <c r="AH105" i="16"/>
  <c r="AI105" i="16" s="1" a="1"/>
  <c r="AI105" i="16" s="1"/>
  <c r="AJ105" i="16" s="1"/>
  <c r="AK105" i="16" s="1"/>
  <c r="AH121" i="16"/>
  <c r="AI121" i="16" s="1" a="1"/>
  <c r="AI121" i="16" s="1"/>
  <c r="AJ121" i="16" s="1"/>
  <c r="AK121" i="16" s="1"/>
  <c r="AK137" i="16"/>
  <c r="AK153" i="16"/>
  <c r="AK169" i="16"/>
  <c r="AH32" i="16"/>
  <c r="AI32" i="16" s="1" a="1"/>
  <c r="AI32" i="16" s="1"/>
  <c r="AJ32" i="16" s="1"/>
  <c r="AH64" i="16"/>
  <c r="AI64" i="16" s="1" a="1"/>
  <c r="AI64" i="16" s="1"/>
  <c r="AJ64" i="16" s="1"/>
  <c r="AK64" i="16" s="1"/>
  <c r="AH96" i="16"/>
  <c r="AI96" i="16" s="1" a="1"/>
  <c r="AI96" i="16" s="1"/>
  <c r="AJ96" i="16" s="1"/>
  <c r="AK96" i="16" s="1"/>
  <c r="AH114" i="16"/>
  <c r="AI114" i="16" s="1" a="1"/>
  <c r="AI114" i="16" s="1"/>
  <c r="AJ114" i="16" s="1"/>
  <c r="AK114" i="16" s="1"/>
  <c r="AK130" i="16"/>
  <c r="AK146" i="16"/>
  <c r="AK162" i="16"/>
  <c r="AH19" i="16"/>
  <c r="AI19" i="16" s="1" a="1"/>
  <c r="AI19" i="16" s="1"/>
  <c r="AJ19" i="16" s="1"/>
  <c r="AH51" i="16"/>
  <c r="AI51" i="16" s="1" a="1"/>
  <c r="AI51" i="16" s="1"/>
  <c r="AJ51" i="16" s="1"/>
  <c r="AK51" i="16" s="1"/>
  <c r="AH91" i="16"/>
  <c r="AI91" i="16" s="1" a="1"/>
  <c r="AI91" i="16" s="1"/>
  <c r="AJ91" i="16" s="1"/>
  <c r="AK91" i="16" s="1"/>
  <c r="AH111" i="16"/>
  <c r="AI111" i="16" s="1" a="1"/>
  <c r="AI111" i="16" s="1"/>
  <c r="AJ111" i="16" s="1"/>
  <c r="AK111" i="16" s="1"/>
  <c r="AK127" i="16"/>
  <c r="AK143" i="16"/>
  <c r="AK159" i="16"/>
  <c r="AH84" i="16"/>
  <c r="AI84" i="16" s="1" a="1"/>
  <c r="AI84" i="16" s="1"/>
  <c r="AJ84" i="16" s="1"/>
  <c r="AK84" i="16" s="1"/>
  <c r="AK156" i="16"/>
  <c r="AH4" i="16"/>
  <c r="AI4" i="16" s="1" a="1"/>
  <c r="AI4" i="16" s="1"/>
  <c r="AJ4" i="16" s="1"/>
  <c r="AK128" i="16"/>
  <c r="AH68" i="16"/>
  <c r="AI68" i="16" s="1" a="1"/>
  <c r="AI68" i="16" s="1"/>
  <c r="AJ68" i="16" s="1"/>
  <c r="AK68" i="16" s="1"/>
  <c r="AK148" i="16"/>
  <c r="AH104" i="16"/>
  <c r="AI104" i="16" s="1" a="1"/>
  <c r="AI104" i="16" s="1"/>
  <c r="AJ104" i="16" s="1"/>
  <c r="AK104" i="16" s="1"/>
  <c r="AK168" i="16"/>
  <c r="AH13" i="16"/>
  <c r="AI13" i="16" s="1" a="1"/>
  <c r="AI13" i="16" s="1"/>
  <c r="AJ13" i="16" s="1"/>
  <c r="AH29" i="16"/>
  <c r="AI29" i="16" s="1" a="1"/>
  <c r="AI29" i="16" s="1"/>
  <c r="AJ29" i="16" s="1"/>
  <c r="AH45" i="16"/>
  <c r="AI45" i="16" s="1" a="1"/>
  <c r="AI45" i="16" s="1"/>
  <c r="AJ45" i="16" s="1"/>
  <c r="AH61" i="16"/>
  <c r="AI61" i="16" s="1" a="1"/>
  <c r="AI61" i="16" s="1"/>
  <c r="AJ61" i="16" s="1"/>
  <c r="AK61" i="16" s="1"/>
  <c r="AH77" i="16"/>
  <c r="AI77" i="16" s="1" a="1"/>
  <c r="AI77" i="16" s="1"/>
  <c r="AJ77" i="16" s="1"/>
  <c r="AK77" i="16" s="1"/>
  <c r="AH93" i="16"/>
  <c r="AI93" i="16" s="1" a="1"/>
  <c r="AI93" i="16" s="1"/>
  <c r="AJ93" i="16" s="1"/>
  <c r="AK93" i="16" s="1"/>
  <c r="AH18" i="16"/>
  <c r="AI18" i="16" s="1" a="1"/>
  <c r="AI18" i="16" s="1"/>
  <c r="AJ18" i="16" s="1"/>
  <c r="AH34" i="16"/>
  <c r="AI34" i="16" s="1" a="1"/>
  <c r="AI34" i="16" s="1"/>
  <c r="AJ34" i="16" s="1"/>
  <c r="AH50" i="16"/>
  <c r="AI50" i="16" s="1" a="1"/>
  <c r="AI50" i="16" s="1"/>
  <c r="AJ50" i="16" s="1"/>
  <c r="AK50" i="16" s="1"/>
  <c r="AH82" i="16"/>
  <c r="AI82" i="16" s="1" a="1"/>
  <c r="AI82" i="16" s="1"/>
  <c r="AJ82" i="16" s="1"/>
  <c r="AK82" i="16" s="1"/>
  <c r="AH98" i="16"/>
  <c r="AI98" i="16" s="1" a="1"/>
  <c r="AI98" i="16" s="1"/>
  <c r="AJ98" i="16" s="1"/>
  <c r="AK98" i="16" s="1"/>
  <c r="AH23" i="16"/>
  <c r="AI23" i="16" s="1" a="1"/>
  <c r="AI23" i="16" s="1"/>
  <c r="AJ23" i="16" s="1"/>
  <c r="AH55" i="16"/>
  <c r="AI55" i="16" s="1" a="1"/>
  <c r="AI55" i="16" s="1"/>
  <c r="AJ55" i="16" s="1"/>
  <c r="AK55" i="16" s="1"/>
  <c r="AH87" i="16"/>
  <c r="AI87" i="16" s="1" a="1"/>
  <c r="AI87" i="16" s="1"/>
  <c r="AJ87" i="16" s="1"/>
  <c r="AK87" i="16" s="1"/>
  <c r="AH109" i="16"/>
  <c r="AI109" i="16" s="1" a="1"/>
  <c r="AI109" i="16" s="1"/>
  <c r="AJ109" i="16" s="1"/>
  <c r="AK109" i="16" s="1"/>
  <c r="AH125" i="16"/>
  <c r="AI125" i="16" s="1" a="1"/>
  <c r="AI125" i="16" s="1"/>
  <c r="AJ125" i="16" s="1"/>
  <c r="AK125" i="16" s="1"/>
  <c r="AK141" i="16"/>
  <c r="AK157" i="16"/>
  <c r="AK173" i="16"/>
  <c r="AH8" i="16"/>
  <c r="AI8" i="16" s="1" a="1"/>
  <c r="AI8" i="16" s="1"/>
  <c r="AJ8" i="16" s="1"/>
  <c r="AH40" i="16"/>
  <c r="AI40" i="16" s="1" a="1"/>
  <c r="AI40" i="16" s="1"/>
  <c r="AJ40" i="16" s="1"/>
  <c r="AH72" i="16"/>
  <c r="AI72" i="16" s="1" a="1"/>
  <c r="AI72" i="16" s="1"/>
  <c r="AJ72" i="16" s="1"/>
  <c r="AK72" i="16" s="1"/>
  <c r="AH101" i="16"/>
  <c r="AI101" i="16" s="1" a="1"/>
  <c r="AI101" i="16" s="1"/>
  <c r="AJ101" i="16" s="1"/>
  <c r="AK101" i="16" s="1"/>
  <c r="AH118" i="16"/>
  <c r="AI118" i="16" s="1" a="1"/>
  <c r="AI118" i="16" s="1"/>
  <c r="AJ118" i="16" s="1"/>
  <c r="AK118" i="16" s="1"/>
  <c r="AK134" i="16"/>
  <c r="AK150" i="16"/>
  <c r="AK166" i="16"/>
  <c r="AH2" i="16"/>
  <c r="AI2" i="16" s="1" a="1"/>
  <c r="AI2" i="16" s="1"/>
  <c r="AJ2" i="16" s="1"/>
  <c r="AH27" i="16"/>
  <c r="AI27" i="16" s="1" a="1"/>
  <c r="AI27" i="16" s="1"/>
  <c r="AJ27" i="16" s="1"/>
  <c r="AH59" i="16"/>
  <c r="AI59" i="16" s="1" a="1"/>
  <c r="AI59" i="16" s="1"/>
  <c r="AJ59" i="16" s="1"/>
  <c r="AK59" i="16" s="1"/>
  <c r="AH97" i="16"/>
  <c r="AI97" i="16" s="1" a="1"/>
  <c r="AI97" i="16" s="1"/>
  <c r="AJ97" i="16" s="1"/>
  <c r="AK97" i="16" s="1"/>
  <c r="AH115" i="16"/>
  <c r="AI115" i="16" s="1" a="1"/>
  <c r="AI115" i="16" s="1"/>
  <c r="AJ115" i="16" s="1"/>
  <c r="AK115" i="16" s="1"/>
  <c r="AK131" i="16"/>
  <c r="AK147" i="16"/>
  <c r="AK163" i="16"/>
  <c r="AH108" i="16"/>
  <c r="AI108" i="16" s="1" a="1"/>
  <c r="AI108" i="16" s="1"/>
  <c r="AJ108" i="16" s="1"/>
  <c r="AK108" i="16" s="1"/>
  <c r="AK172" i="16"/>
  <c r="AH36" i="16"/>
  <c r="AI36" i="16" s="1" a="1"/>
  <c r="AI36" i="16" s="1"/>
  <c r="AJ36" i="16" s="1"/>
  <c r="AK144" i="16"/>
  <c r="AH99" i="16"/>
  <c r="AI99" i="16" s="1" a="1"/>
  <c r="AI99" i="16" s="1"/>
  <c r="AJ99" i="16" s="1"/>
  <c r="AK99" i="16" s="1"/>
  <c r="AK164" i="16"/>
  <c r="AH20" i="16"/>
  <c r="AI20" i="16" s="1" a="1"/>
  <c r="AI20" i="16" s="1"/>
  <c r="AJ20" i="16" s="1"/>
  <c r="AH120" i="16"/>
  <c r="AI120" i="16" s="1" a="1"/>
  <c r="AI120" i="16" s="1"/>
  <c r="AJ120" i="16" s="1"/>
  <c r="AK120" i="16" s="1"/>
  <c r="S112" i="9"/>
  <c r="S288" i="9"/>
  <c r="S464" i="9"/>
  <c r="S640" i="9"/>
  <c r="S57" i="9"/>
  <c r="S233" i="9"/>
  <c r="S409" i="9"/>
  <c r="S585" i="9"/>
  <c r="S761" i="9"/>
  <c r="S937" i="9"/>
  <c r="S1113" i="9"/>
  <c r="S134" i="9"/>
  <c r="S310" i="9"/>
  <c r="S486" i="9"/>
  <c r="S662" i="9"/>
  <c r="S838" i="9"/>
  <c r="S1014" i="9"/>
  <c r="S13" i="9"/>
  <c r="S695" i="9"/>
  <c r="S1091" i="9"/>
  <c r="S35" i="9"/>
  <c r="S739" i="9"/>
  <c r="S1080" i="9"/>
  <c r="S255" i="9"/>
  <c r="S871" i="9"/>
  <c r="S123" i="9"/>
  <c r="S1124" i="9"/>
  <c r="S156" i="9"/>
  <c r="S332" i="9"/>
  <c r="S508" i="9"/>
  <c r="S684" i="9"/>
  <c r="S101" i="9"/>
  <c r="S277" i="9"/>
  <c r="S453" i="9"/>
  <c r="S629" i="9"/>
  <c r="S805" i="9"/>
  <c r="S981" i="9"/>
  <c r="S1157" i="9"/>
  <c r="S178" i="9"/>
  <c r="S354" i="9"/>
  <c r="S530" i="9"/>
  <c r="S706" i="9"/>
  <c r="S882" i="9"/>
  <c r="S1058" i="9"/>
  <c r="S167" i="9"/>
  <c r="S827" i="9"/>
  <c r="S1179" i="9"/>
  <c r="S211" i="9"/>
  <c r="S816" i="9"/>
  <c r="S1168" i="9"/>
  <c r="S431" i="9"/>
  <c r="S959" i="9"/>
  <c r="S299" i="9"/>
  <c r="S24" i="9"/>
  <c r="S200" i="9"/>
  <c r="S376" i="9"/>
  <c r="S552" i="9"/>
  <c r="S728" i="9"/>
  <c r="S145" i="9"/>
  <c r="S321" i="9"/>
  <c r="S497" i="9"/>
  <c r="S673" i="9"/>
  <c r="S849" i="9"/>
  <c r="S1025" i="9"/>
  <c r="S46" i="9"/>
  <c r="S222" i="9"/>
  <c r="S398" i="9"/>
  <c r="S574" i="9"/>
  <c r="S750" i="9"/>
  <c r="S926" i="9"/>
  <c r="S1102" i="9"/>
  <c r="S343" i="9"/>
  <c r="S915" i="9"/>
  <c r="S475" i="9"/>
  <c r="S387" i="9"/>
  <c r="S904" i="9"/>
  <c r="S651" i="9"/>
  <c r="S607" i="9"/>
  <c r="S1047" i="9"/>
  <c r="S948" i="9"/>
  <c r="S68" i="9"/>
  <c r="S244" i="9"/>
  <c r="S420" i="9"/>
  <c r="S596" i="9"/>
  <c r="S772" i="9"/>
  <c r="S189" i="9"/>
  <c r="S365" i="9"/>
  <c r="S541" i="9"/>
  <c r="S717" i="9"/>
  <c r="S893" i="9"/>
  <c r="S1069" i="9"/>
  <c r="S90" i="9"/>
  <c r="S266" i="9"/>
  <c r="S442" i="9"/>
  <c r="S618" i="9"/>
  <c r="S794" i="9"/>
  <c r="S970" i="9"/>
  <c r="S1146" i="9"/>
  <c r="S519" i="9"/>
  <c r="S1003" i="9"/>
  <c r="S860" i="9"/>
  <c r="S563" i="9"/>
  <c r="S992" i="9"/>
  <c r="S79" i="9"/>
  <c r="S783" i="9"/>
  <c r="S1135" i="9"/>
  <c r="S1036" i="9"/>
  <c r="R677" i="9"/>
  <c r="R773" i="9"/>
  <c r="R701" i="9"/>
  <c r="R828" i="9"/>
  <c r="R836" i="9"/>
  <c r="R844" i="9"/>
  <c r="R852" i="9"/>
  <c r="R860" i="9"/>
  <c r="R868" i="9"/>
  <c r="R876" i="9"/>
  <c r="R884" i="9"/>
  <c r="R892" i="9"/>
  <c r="R900" i="9"/>
  <c r="R908" i="9"/>
  <c r="R916" i="9"/>
  <c r="R924" i="9"/>
  <c r="R612" i="9"/>
  <c r="R620" i="9"/>
  <c r="R628" i="9"/>
  <c r="R636" i="9"/>
  <c r="R644" i="9"/>
  <c r="R652" i="9"/>
  <c r="R660" i="9"/>
  <c r="R668" i="9"/>
  <c r="R676" i="9"/>
  <c r="R684" i="9"/>
  <c r="R692" i="9"/>
  <c r="R700" i="9"/>
  <c r="R708" i="9"/>
  <c r="R716" i="9"/>
  <c r="R724" i="9"/>
  <c r="R732" i="9"/>
  <c r="R740" i="9"/>
  <c r="R748" i="9"/>
  <c r="R756" i="9"/>
  <c r="R764" i="9"/>
  <c r="R772" i="9"/>
  <c r="R780" i="9"/>
  <c r="R788" i="9"/>
  <c r="R796" i="9"/>
  <c r="R804" i="9"/>
  <c r="R812" i="9"/>
  <c r="R820" i="9"/>
  <c r="R829" i="9"/>
  <c r="R837" i="9"/>
  <c r="R845" i="9"/>
  <c r="R853" i="9"/>
  <c r="R861" i="9"/>
  <c r="R869" i="9"/>
  <c r="R877" i="9"/>
  <c r="R885" i="9"/>
  <c r="R893" i="9"/>
  <c r="R901" i="9"/>
  <c r="R909" i="9"/>
  <c r="R917" i="9"/>
  <c r="R613" i="9"/>
  <c r="R621" i="9"/>
  <c r="R629" i="9"/>
  <c r="R637" i="9"/>
  <c r="R645" i="9"/>
  <c r="R653" i="9"/>
  <c r="R661" i="9"/>
  <c r="R669" i="9"/>
  <c r="R807" i="9"/>
  <c r="R735" i="9"/>
  <c r="R809" i="9"/>
  <c r="R777" i="9"/>
  <c r="R745" i="9"/>
  <c r="R713" i="9"/>
  <c r="R681" i="9"/>
  <c r="R765" i="9"/>
  <c r="R685" i="9"/>
  <c r="R783" i="9"/>
  <c r="R727" i="9"/>
  <c r="R687" i="9"/>
  <c r="R803" i="9"/>
  <c r="R771" i="9"/>
  <c r="R739" i="9"/>
  <c r="R707" i="9"/>
  <c r="R2" i="9"/>
  <c r="R693" i="9"/>
  <c r="R757" i="9"/>
  <c r="R805" i="9"/>
  <c r="R830" i="9"/>
  <c r="R838" i="9"/>
  <c r="R846" i="9"/>
  <c r="R854" i="9"/>
  <c r="R862" i="9"/>
  <c r="R870" i="9"/>
  <c r="R878" i="9"/>
  <c r="R886" i="9"/>
  <c r="R894" i="9"/>
  <c r="R902" i="9"/>
  <c r="R910" i="9"/>
  <c r="R918" i="9"/>
  <c r="R606" i="9"/>
  <c r="R614" i="9"/>
  <c r="R622" i="9"/>
  <c r="R630" i="9"/>
  <c r="R638" i="9"/>
  <c r="R646" i="9"/>
  <c r="R654" i="9"/>
  <c r="R662" i="9"/>
  <c r="R670" i="9"/>
  <c r="R678" i="9"/>
  <c r="R686" i="9"/>
  <c r="R694" i="9"/>
  <c r="R702" i="9"/>
  <c r="R710" i="9"/>
  <c r="R718" i="9"/>
  <c r="R726" i="9"/>
  <c r="R734" i="9"/>
  <c r="R742" i="9"/>
  <c r="R750" i="9"/>
  <c r="R758" i="9"/>
  <c r="R766" i="9"/>
  <c r="R774" i="9"/>
  <c r="R782" i="9"/>
  <c r="R790" i="9"/>
  <c r="R798" i="9"/>
  <c r="R806" i="9"/>
  <c r="R814" i="9"/>
  <c r="R822" i="9"/>
  <c r="R831" i="9"/>
  <c r="R839" i="9"/>
  <c r="R847" i="9"/>
  <c r="R855" i="9"/>
  <c r="R863" i="9"/>
  <c r="R871" i="9"/>
  <c r="R879" i="9"/>
  <c r="R887" i="9"/>
  <c r="R895" i="9"/>
  <c r="R903" i="9"/>
  <c r="R911" i="9"/>
  <c r="R919" i="9"/>
  <c r="R607" i="9"/>
  <c r="R615" i="9"/>
  <c r="R623" i="9"/>
  <c r="R631" i="9"/>
  <c r="R639" i="9"/>
  <c r="R647" i="9"/>
  <c r="R655" i="9"/>
  <c r="R663" i="9"/>
  <c r="R671" i="9"/>
  <c r="R703" i="9"/>
  <c r="R813" i="9"/>
  <c r="R733" i="9"/>
  <c r="R741" i="9"/>
  <c r="R832" i="9"/>
  <c r="R840" i="9"/>
  <c r="R848" i="9"/>
  <c r="R856" i="9"/>
  <c r="R864" i="9"/>
  <c r="R872" i="9"/>
  <c r="R880" i="9"/>
  <c r="R888" i="9"/>
  <c r="R896" i="9"/>
  <c r="R904" i="9"/>
  <c r="R912" i="9"/>
  <c r="R920" i="9"/>
  <c r="R608" i="9"/>
  <c r="R616" i="9"/>
  <c r="R624" i="9"/>
  <c r="R632" i="9"/>
  <c r="R640" i="9"/>
  <c r="R648" i="9"/>
  <c r="R656" i="9"/>
  <c r="R664" i="9"/>
  <c r="R672" i="9"/>
  <c r="R680" i="9"/>
  <c r="R688" i="9"/>
  <c r="R696" i="9"/>
  <c r="R704" i="9"/>
  <c r="R712" i="9"/>
  <c r="R720" i="9"/>
  <c r="R728" i="9"/>
  <c r="R736" i="9"/>
  <c r="R744" i="9"/>
  <c r="R752" i="9"/>
  <c r="R760" i="9"/>
  <c r="R768" i="9"/>
  <c r="R776" i="9"/>
  <c r="R784" i="9"/>
  <c r="R792" i="9"/>
  <c r="R800" i="9"/>
  <c r="R808" i="9"/>
  <c r="R816" i="9"/>
  <c r="R824" i="9"/>
  <c r="R833" i="9"/>
  <c r="R841" i="9"/>
  <c r="R849" i="9"/>
  <c r="R857" i="9"/>
  <c r="R865" i="9"/>
  <c r="R873" i="9"/>
  <c r="R881" i="9"/>
  <c r="R889" i="9"/>
  <c r="R897" i="9"/>
  <c r="R905" i="9"/>
  <c r="R913" i="9"/>
  <c r="R921" i="9"/>
  <c r="R609" i="9"/>
  <c r="R617" i="9"/>
  <c r="R625" i="9"/>
  <c r="R633" i="9"/>
  <c r="R641" i="9"/>
  <c r="R649" i="9"/>
  <c r="R657" i="9"/>
  <c r="R665" i="9"/>
  <c r="R673" i="9"/>
  <c r="R789" i="9"/>
  <c r="R834" i="9"/>
  <c r="R866" i="9"/>
  <c r="R898" i="9"/>
  <c r="R610" i="9"/>
  <c r="R642" i="9"/>
  <c r="R674" i="9"/>
  <c r="R706" i="9"/>
  <c r="R738" i="9"/>
  <c r="R770" i="9"/>
  <c r="R802" i="9"/>
  <c r="R835" i="9"/>
  <c r="R867" i="9"/>
  <c r="R899" i="9"/>
  <c r="R611" i="9"/>
  <c r="R643" i="9"/>
  <c r="R675" i="9"/>
  <c r="R825" i="9"/>
  <c r="R785" i="9"/>
  <c r="R737" i="9"/>
  <c r="R697" i="9"/>
  <c r="R781" i="9"/>
  <c r="R823" i="9"/>
  <c r="R759" i="9"/>
  <c r="R695" i="9"/>
  <c r="R795" i="9"/>
  <c r="R755" i="9"/>
  <c r="R715" i="9"/>
  <c r="R826" i="9"/>
  <c r="R890" i="9"/>
  <c r="R666" i="9"/>
  <c r="R762" i="9"/>
  <c r="R923" i="9"/>
  <c r="R751" i="9"/>
  <c r="R705" i="9"/>
  <c r="R767" i="9"/>
  <c r="R723" i="9"/>
  <c r="R709" i="9"/>
  <c r="R842" i="9"/>
  <c r="R874" i="9"/>
  <c r="R906" i="9"/>
  <c r="R618" i="9"/>
  <c r="R650" i="9"/>
  <c r="R682" i="9"/>
  <c r="R714" i="9"/>
  <c r="R746" i="9"/>
  <c r="R778" i="9"/>
  <c r="R810" i="9"/>
  <c r="R843" i="9"/>
  <c r="R875" i="9"/>
  <c r="R907" i="9"/>
  <c r="R619" i="9"/>
  <c r="R651" i="9"/>
  <c r="R791" i="9"/>
  <c r="R817" i="9"/>
  <c r="R769" i="9"/>
  <c r="R729" i="9"/>
  <c r="R689" i="9"/>
  <c r="R749" i="9"/>
  <c r="R815" i="9"/>
  <c r="R743" i="9"/>
  <c r="R679" i="9"/>
  <c r="R787" i="9"/>
  <c r="R747" i="9"/>
  <c r="R699" i="9"/>
  <c r="R691" i="9"/>
  <c r="R858" i="9"/>
  <c r="R634" i="9"/>
  <c r="R730" i="9"/>
  <c r="R827" i="9"/>
  <c r="R891" i="9"/>
  <c r="R667" i="9"/>
  <c r="R793" i="9"/>
  <c r="R797" i="9"/>
  <c r="R711" i="9"/>
  <c r="R811" i="9"/>
  <c r="R683" i="9"/>
  <c r="R850" i="9"/>
  <c r="R882" i="9"/>
  <c r="R914" i="9"/>
  <c r="R626" i="9"/>
  <c r="R658" i="9"/>
  <c r="R690" i="9"/>
  <c r="R722" i="9"/>
  <c r="R754" i="9"/>
  <c r="R786" i="9"/>
  <c r="R818" i="9"/>
  <c r="R851" i="9"/>
  <c r="R883" i="9"/>
  <c r="R915" i="9"/>
  <c r="R627" i="9"/>
  <c r="R659" i="9"/>
  <c r="R775" i="9"/>
  <c r="R801" i="9"/>
  <c r="R761" i="9"/>
  <c r="R721" i="9"/>
  <c r="R821" i="9"/>
  <c r="R725" i="9"/>
  <c r="R799" i="9"/>
  <c r="R719" i="9"/>
  <c r="R819" i="9"/>
  <c r="R779" i="9"/>
  <c r="R731" i="9"/>
  <c r="S2" i="9"/>
  <c r="R922" i="9"/>
  <c r="R698" i="9"/>
  <c r="R794" i="9"/>
  <c r="R859" i="9"/>
  <c r="R635" i="9"/>
  <c r="R753" i="9"/>
  <c r="R717" i="9"/>
  <c r="R763" i="9"/>
  <c r="R14" i="9"/>
  <c r="R16" i="9"/>
  <c r="R18" i="9"/>
  <c r="R20" i="9"/>
  <c r="R22" i="9"/>
  <c r="R24" i="9"/>
  <c r="R26" i="9"/>
  <c r="R28" i="9"/>
  <c r="R30" i="9"/>
  <c r="R32" i="9"/>
  <c r="R34" i="9"/>
  <c r="R36" i="9"/>
  <c r="R38" i="9"/>
  <c r="R40" i="9"/>
  <c r="R42" i="9"/>
  <c r="R44" i="9"/>
  <c r="R46" i="9"/>
  <c r="R48" i="9"/>
  <c r="R50" i="9"/>
  <c r="R52" i="9"/>
  <c r="R54" i="9"/>
  <c r="R56" i="9"/>
  <c r="R58" i="9"/>
  <c r="R60" i="9"/>
  <c r="R62" i="9"/>
  <c r="R64" i="9"/>
  <c r="R66" i="9"/>
  <c r="R68" i="9"/>
  <c r="R70" i="9"/>
  <c r="R72" i="9"/>
  <c r="R74" i="9"/>
  <c r="R76" i="9"/>
  <c r="R78" i="9"/>
  <c r="R80" i="9"/>
  <c r="R82" i="9"/>
  <c r="R84" i="9"/>
  <c r="R86" i="9"/>
  <c r="R88" i="9"/>
  <c r="R90" i="9"/>
  <c r="R92" i="9"/>
  <c r="R94" i="9"/>
  <c r="R96" i="9"/>
  <c r="R98" i="9"/>
  <c r="R100" i="9"/>
  <c r="R102" i="9"/>
  <c r="R104" i="9"/>
  <c r="R106" i="9"/>
  <c r="R108" i="9"/>
  <c r="R110" i="9"/>
  <c r="R112" i="9"/>
  <c r="R114" i="9"/>
  <c r="R116" i="9"/>
  <c r="R118" i="9"/>
  <c r="R120" i="9"/>
  <c r="R122" i="9"/>
  <c r="R124" i="9"/>
  <c r="R126" i="9"/>
  <c r="R128" i="9"/>
  <c r="R130" i="9"/>
  <c r="R132" i="9"/>
  <c r="R134" i="9"/>
  <c r="R136" i="9"/>
  <c r="R138" i="9"/>
  <c r="R140" i="9"/>
  <c r="R142" i="9"/>
  <c r="R144" i="9"/>
  <c r="R146" i="9"/>
  <c r="R148" i="9"/>
  <c r="R150" i="9"/>
  <c r="R152" i="9"/>
  <c r="R154" i="9"/>
  <c r="R156" i="9"/>
  <c r="R158" i="9"/>
  <c r="R160" i="9"/>
  <c r="R162" i="9"/>
  <c r="R164" i="9"/>
  <c r="R166" i="9"/>
  <c r="R168" i="9"/>
  <c r="R170" i="9"/>
  <c r="R172" i="9"/>
  <c r="R174" i="9"/>
  <c r="R176" i="9"/>
  <c r="R178" i="9"/>
  <c r="R180" i="9"/>
  <c r="R13" i="9"/>
  <c r="R15" i="9"/>
  <c r="R17" i="9"/>
  <c r="R19" i="9"/>
  <c r="R21" i="9"/>
  <c r="R23" i="9"/>
  <c r="R25" i="9"/>
  <c r="R27" i="9"/>
  <c r="R29" i="9"/>
  <c r="R31" i="9"/>
  <c r="R33" i="9"/>
  <c r="R35" i="9"/>
  <c r="R37" i="9"/>
  <c r="R39" i="9"/>
  <c r="R41" i="9"/>
  <c r="R43" i="9"/>
  <c r="R45" i="9"/>
  <c r="R47" i="9"/>
  <c r="R49" i="9"/>
  <c r="R51" i="9"/>
  <c r="R53" i="9"/>
  <c r="R55" i="9"/>
  <c r="R57" i="9"/>
  <c r="R59" i="9"/>
  <c r="R61" i="9"/>
  <c r="R63" i="9"/>
  <c r="R65" i="9"/>
  <c r="R67" i="9"/>
  <c r="R69" i="9"/>
  <c r="R71" i="9"/>
  <c r="R73" i="9"/>
  <c r="R75" i="9"/>
  <c r="R77" i="9"/>
  <c r="R79" i="9"/>
  <c r="R81" i="9"/>
  <c r="R83" i="9"/>
  <c r="R85" i="9"/>
  <c r="R87" i="9"/>
  <c r="R89" i="9"/>
  <c r="R91" i="9"/>
  <c r="R93" i="9"/>
  <c r="R95" i="9"/>
  <c r="R97" i="9"/>
  <c r="R99" i="9"/>
  <c r="R101" i="9"/>
  <c r="R103" i="9"/>
  <c r="R105" i="9"/>
  <c r="R107" i="9"/>
  <c r="R109" i="9"/>
  <c r="R111" i="9"/>
  <c r="R113" i="9"/>
  <c r="R115" i="9"/>
  <c r="R117" i="9"/>
  <c r="R119" i="9"/>
  <c r="R121" i="9"/>
  <c r="R123" i="9"/>
  <c r="R125" i="9"/>
  <c r="R127" i="9"/>
  <c r="R129" i="9"/>
  <c r="R131" i="9"/>
  <c r="R133" i="9"/>
  <c r="R135" i="9"/>
  <c r="R137" i="9"/>
  <c r="R139" i="9"/>
  <c r="R141" i="9"/>
  <c r="R143" i="9"/>
  <c r="R145" i="9"/>
  <c r="R147" i="9"/>
  <c r="R149" i="9"/>
  <c r="R151" i="9"/>
  <c r="R153" i="9"/>
  <c r="R155" i="9"/>
  <c r="R157" i="9"/>
  <c r="R159" i="9"/>
  <c r="R161" i="9"/>
  <c r="R163" i="9"/>
  <c r="R165" i="9"/>
  <c r="R167" i="9"/>
  <c r="R169" i="9"/>
  <c r="R171" i="9"/>
  <c r="R173" i="9"/>
  <c r="R175" i="9"/>
  <c r="R177" i="9"/>
  <c r="R179" i="9"/>
  <c r="R182" i="9"/>
  <c r="R184" i="9"/>
  <c r="R186" i="9"/>
  <c r="R188" i="9"/>
  <c r="R190" i="9"/>
  <c r="R192" i="9"/>
  <c r="R194" i="9"/>
  <c r="R196" i="9"/>
  <c r="R198" i="9"/>
  <c r="R200" i="9"/>
  <c r="R202" i="9"/>
  <c r="R204" i="9"/>
  <c r="R206" i="9"/>
  <c r="R208" i="9"/>
  <c r="R210" i="9"/>
  <c r="R212" i="9"/>
  <c r="R214" i="9"/>
  <c r="R216" i="9"/>
  <c r="R218" i="9"/>
  <c r="R220" i="9"/>
  <c r="R222" i="9"/>
  <c r="R224" i="9"/>
  <c r="R226" i="9"/>
  <c r="R228" i="9"/>
  <c r="R230" i="9"/>
  <c r="R232" i="9"/>
  <c r="R234" i="9"/>
  <c r="R236" i="9"/>
  <c r="R238" i="9"/>
  <c r="R240" i="9"/>
  <c r="R242" i="9"/>
  <c r="R244" i="9"/>
  <c r="R246" i="9"/>
  <c r="R248" i="9"/>
  <c r="R250" i="9"/>
  <c r="R252" i="9"/>
  <c r="R254" i="9"/>
  <c r="R256" i="9"/>
  <c r="R258" i="9"/>
  <c r="R260" i="9"/>
  <c r="R262" i="9"/>
  <c r="R264" i="9"/>
  <c r="R266" i="9"/>
  <c r="R268" i="9"/>
  <c r="R270" i="9"/>
  <c r="R272" i="9"/>
  <c r="R274" i="9"/>
  <c r="R276" i="9"/>
  <c r="R278" i="9"/>
  <c r="R280" i="9"/>
  <c r="R282" i="9"/>
  <c r="R284" i="9"/>
  <c r="R286" i="9"/>
  <c r="R288" i="9"/>
  <c r="R290" i="9"/>
  <c r="R292" i="9"/>
  <c r="R294" i="9"/>
  <c r="R296" i="9"/>
  <c r="R298" i="9"/>
  <c r="R300" i="9"/>
  <c r="R302" i="9"/>
  <c r="R304" i="9"/>
  <c r="R306" i="9"/>
  <c r="R308" i="9"/>
  <c r="R310" i="9"/>
  <c r="R312" i="9"/>
  <c r="R314" i="9"/>
  <c r="R316" i="9"/>
  <c r="R318" i="9"/>
  <c r="R320" i="9"/>
  <c r="R322" i="9"/>
  <c r="R324" i="9"/>
  <c r="R326" i="9"/>
  <c r="R328" i="9"/>
  <c r="R330" i="9"/>
  <c r="R332" i="9"/>
  <c r="R334" i="9"/>
  <c r="R336" i="9"/>
  <c r="R338" i="9"/>
  <c r="R340" i="9"/>
  <c r="R342" i="9"/>
  <c r="R344" i="9"/>
  <c r="R346" i="9"/>
  <c r="R348" i="9"/>
  <c r="R183" i="9"/>
  <c r="R191" i="9"/>
  <c r="R199" i="9"/>
  <c r="R207" i="9"/>
  <c r="R215" i="9"/>
  <c r="R223" i="9"/>
  <c r="R231" i="9"/>
  <c r="R239" i="9"/>
  <c r="R247" i="9"/>
  <c r="R255" i="9"/>
  <c r="R263" i="9"/>
  <c r="R271" i="9"/>
  <c r="R279" i="9"/>
  <c r="R287" i="9"/>
  <c r="R295" i="9"/>
  <c r="R303" i="9"/>
  <c r="R311" i="9"/>
  <c r="R319" i="9"/>
  <c r="R327" i="9"/>
  <c r="R335" i="9"/>
  <c r="R343" i="9"/>
  <c r="R283" i="9"/>
  <c r="R307" i="9"/>
  <c r="R315" i="9"/>
  <c r="R323" i="9"/>
  <c r="R339" i="9"/>
  <c r="R185" i="9"/>
  <c r="R193" i="9"/>
  <c r="R225" i="9"/>
  <c r="R233" i="9"/>
  <c r="R249" i="9"/>
  <c r="R257" i="9"/>
  <c r="R273" i="9"/>
  <c r="R181" i="9"/>
  <c r="R189" i="9"/>
  <c r="R197" i="9"/>
  <c r="R205" i="9"/>
  <c r="R213" i="9"/>
  <c r="R221" i="9"/>
  <c r="R229" i="9"/>
  <c r="R237" i="9"/>
  <c r="R245" i="9"/>
  <c r="R253" i="9"/>
  <c r="R261" i="9"/>
  <c r="R269" i="9"/>
  <c r="R277" i="9"/>
  <c r="R285" i="9"/>
  <c r="R293" i="9"/>
  <c r="R301" i="9"/>
  <c r="R309" i="9"/>
  <c r="R317" i="9"/>
  <c r="R325" i="9"/>
  <c r="R333" i="9"/>
  <c r="R341" i="9"/>
  <c r="R349" i="9"/>
  <c r="R351" i="9"/>
  <c r="R353" i="9"/>
  <c r="R355" i="9"/>
  <c r="R357" i="9"/>
  <c r="R359" i="9"/>
  <c r="R361" i="9"/>
  <c r="R363" i="9"/>
  <c r="R365" i="9"/>
  <c r="R367" i="9"/>
  <c r="R369" i="9"/>
  <c r="R371" i="9"/>
  <c r="R373" i="9"/>
  <c r="R375" i="9"/>
  <c r="R377" i="9"/>
  <c r="R379" i="9"/>
  <c r="R381" i="9"/>
  <c r="R383" i="9"/>
  <c r="R385" i="9"/>
  <c r="R387" i="9"/>
  <c r="R389" i="9"/>
  <c r="R391" i="9"/>
  <c r="R393" i="9"/>
  <c r="R395" i="9"/>
  <c r="R397" i="9"/>
  <c r="R399" i="9"/>
  <c r="R401" i="9"/>
  <c r="R403" i="9"/>
  <c r="R405" i="9"/>
  <c r="R407" i="9"/>
  <c r="R409" i="9"/>
  <c r="R411" i="9"/>
  <c r="R413" i="9"/>
  <c r="R415" i="9"/>
  <c r="R417" i="9"/>
  <c r="R419" i="9"/>
  <c r="R421" i="9"/>
  <c r="R423" i="9"/>
  <c r="R425" i="9"/>
  <c r="R427" i="9"/>
  <c r="R429" i="9"/>
  <c r="R431" i="9"/>
  <c r="R433" i="9"/>
  <c r="R435" i="9"/>
  <c r="R437" i="9"/>
  <c r="R439" i="9"/>
  <c r="R441" i="9"/>
  <c r="R443" i="9"/>
  <c r="R445" i="9"/>
  <c r="R447" i="9"/>
  <c r="R449" i="9"/>
  <c r="R451" i="9"/>
  <c r="R453" i="9"/>
  <c r="R455" i="9"/>
  <c r="R457" i="9"/>
  <c r="R459" i="9"/>
  <c r="R461" i="9"/>
  <c r="R463" i="9"/>
  <c r="R465" i="9"/>
  <c r="R467" i="9"/>
  <c r="R469" i="9"/>
  <c r="R471" i="9"/>
  <c r="R473" i="9"/>
  <c r="R475" i="9"/>
  <c r="R477" i="9"/>
  <c r="R479" i="9"/>
  <c r="R481" i="9"/>
  <c r="R483" i="9"/>
  <c r="R485" i="9"/>
  <c r="R487" i="9"/>
  <c r="R489" i="9"/>
  <c r="R491" i="9"/>
  <c r="R493" i="9"/>
  <c r="R495" i="9"/>
  <c r="R497" i="9"/>
  <c r="R499" i="9"/>
  <c r="R501" i="9"/>
  <c r="R503" i="9"/>
  <c r="R505" i="9"/>
  <c r="R507" i="9"/>
  <c r="R509" i="9"/>
  <c r="R511" i="9"/>
  <c r="R513" i="9"/>
  <c r="R515" i="9"/>
  <c r="R517" i="9"/>
  <c r="R519" i="9"/>
  <c r="R521" i="9"/>
  <c r="R523" i="9"/>
  <c r="R525" i="9"/>
  <c r="R527" i="9"/>
  <c r="R529" i="9"/>
  <c r="R531" i="9"/>
  <c r="R533" i="9"/>
  <c r="R535" i="9"/>
  <c r="R537" i="9"/>
  <c r="R539" i="9"/>
  <c r="R541" i="9"/>
  <c r="R543" i="9"/>
  <c r="R545" i="9"/>
  <c r="R547" i="9"/>
  <c r="R549" i="9"/>
  <c r="R551" i="9"/>
  <c r="R553" i="9"/>
  <c r="R555" i="9"/>
  <c r="R557" i="9"/>
  <c r="R559" i="9"/>
  <c r="R561" i="9"/>
  <c r="R563" i="9"/>
  <c r="R565" i="9"/>
  <c r="R567" i="9"/>
  <c r="R569" i="9"/>
  <c r="R571" i="9"/>
  <c r="R573" i="9"/>
  <c r="R575" i="9"/>
  <c r="R577" i="9"/>
  <c r="R579" i="9"/>
  <c r="R581" i="9"/>
  <c r="R583" i="9"/>
  <c r="R585" i="9"/>
  <c r="R587" i="9"/>
  <c r="R589" i="9"/>
  <c r="R591" i="9"/>
  <c r="R593" i="9"/>
  <c r="R595" i="9"/>
  <c r="R597" i="9"/>
  <c r="R599" i="9"/>
  <c r="R601" i="9"/>
  <c r="R603" i="9"/>
  <c r="R605" i="9"/>
  <c r="R12" i="9"/>
  <c r="R187" i="9"/>
  <c r="R195" i="9"/>
  <c r="R203" i="9"/>
  <c r="R211" i="9"/>
  <c r="R219" i="9"/>
  <c r="R227" i="9"/>
  <c r="R235" i="9"/>
  <c r="R243" i="9"/>
  <c r="R251" i="9"/>
  <c r="R259" i="9"/>
  <c r="R267" i="9"/>
  <c r="R275" i="9"/>
  <c r="R291" i="9"/>
  <c r="R299" i="9"/>
  <c r="R331" i="9"/>
  <c r="R347" i="9"/>
  <c r="R265" i="9"/>
  <c r="R281" i="9"/>
  <c r="R201" i="9"/>
  <c r="R209" i="9"/>
  <c r="R217" i="9"/>
  <c r="R241" i="9"/>
  <c r="R313" i="9"/>
  <c r="R345" i="9"/>
  <c r="R354" i="9"/>
  <c r="R362" i="9"/>
  <c r="R370" i="9"/>
  <c r="R378" i="9"/>
  <c r="R386" i="9"/>
  <c r="R394" i="9"/>
  <c r="R402" i="9"/>
  <c r="R410" i="9"/>
  <c r="R418" i="9"/>
  <c r="R426" i="9"/>
  <c r="R434" i="9"/>
  <c r="R442" i="9"/>
  <c r="R450" i="9"/>
  <c r="R458" i="9"/>
  <c r="R466" i="9"/>
  <c r="R474" i="9"/>
  <c r="R482" i="9"/>
  <c r="R490" i="9"/>
  <c r="R498" i="9"/>
  <c r="R506" i="9"/>
  <c r="R514" i="9"/>
  <c r="R522" i="9"/>
  <c r="R530" i="9"/>
  <c r="R538" i="9"/>
  <c r="R546" i="9"/>
  <c r="R554" i="9"/>
  <c r="R562" i="9"/>
  <c r="R570" i="9"/>
  <c r="R578" i="9"/>
  <c r="R586" i="9"/>
  <c r="R594" i="9"/>
  <c r="R602" i="9"/>
  <c r="R337" i="9"/>
  <c r="R372" i="9"/>
  <c r="R388" i="9"/>
  <c r="R420" i="9"/>
  <c r="R444" i="9"/>
  <c r="R460" i="9"/>
  <c r="R484" i="9"/>
  <c r="R516" i="9"/>
  <c r="R540" i="9"/>
  <c r="R564" i="9"/>
  <c r="R580" i="9"/>
  <c r="R604" i="9"/>
  <c r="R289" i="9"/>
  <c r="R321" i="9"/>
  <c r="R352" i="9"/>
  <c r="R360" i="9"/>
  <c r="R368" i="9"/>
  <c r="R376" i="9"/>
  <c r="R384" i="9"/>
  <c r="R392" i="9"/>
  <c r="R400" i="9"/>
  <c r="R408" i="9"/>
  <c r="R416" i="9"/>
  <c r="R424" i="9"/>
  <c r="R432" i="9"/>
  <c r="R440" i="9"/>
  <c r="R448" i="9"/>
  <c r="R456" i="9"/>
  <c r="R464" i="9"/>
  <c r="R472" i="9"/>
  <c r="R480" i="9"/>
  <c r="R488" i="9"/>
  <c r="R496" i="9"/>
  <c r="R504" i="9"/>
  <c r="R512" i="9"/>
  <c r="R520" i="9"/>
  <c r="R528" i="9"/>
  <c r="R536" i="9"/>
  <c r="R544" i="9"/>
  <c r="R552" i="9"/>
  <c r="R560" i="9"/>
  <c r="R568" i="9"/>
  <c r="R576" i="9"/>
  <c r="R584" i="9"/>
  <c r="R592" i="9"/>
  <c r="R600" i="9"/>
  <c r="R412" i="9"/>
  <c r="R428" i="9"/>
  <c r="R468" i="9"/>
  <c r="R492" i="9"/>
  <c r="R508" i="9"/>
  <c r="R532" i="9"/>
  <c r="R556" i="9"/>
  <c r="R588" i="9"/>
  <c r="R596" i="9"/>
  <c r="R297" i="9"/>
  <c r="R329" i="9"/>
  <c r="R350" i="9"/>
  <c r="R358" i="9"/>
  <c r="R366" i="9"/>
  <c r="R374" i="9"/>
  <c r="R382" i="9"/>
  <c r="R390" i="9"/>
  <c r="R398" i="9"/>
  <c r="R406" i="9"/>
  <c r="R414" i="9"/>
  <c r="R422" i="9"/>
  <c r="R430" i="9"/>
  <c r="R438" i="9"/>
  <c r="R446" i="9"/>
  <c r="R454" i="9"/>
  <c r="R462" i="9"/>
  <c r="R470" i="9"/>
  <c r="R478" i="9"/>
  <c r="R486" i="9"/>
  <c r="R494" i="9"/>
  <c r="R502" i="9"/>
  <c r="R510" i="9"/>
  <c r="R518" i="9"/>
  <c r="R526" i="9"/>
  <c r="R534" i="9"/>
  <c r="R542" i="9"/>
  <c r="R550" i="9"/>
  <c r="R558" i="9"/>
  <c r="R566" i="9"/>
  <c r="R574" i="9"/>
  <c r="R582" i="9"/>
  <c r="R590" i="9"/>
  <c r="R598" i="9"/>
  <c r="R305" i="9"/>
  <c r="R356" i="9"/>
  <c r="R364" i="9"/>
  <c r="R380" i="9"/>
  <c r="R396" i="9"/>
  <c r="R404" i="9"/>
  <c r="R436" i="9"/>
  <c r="R452" i="9"/>
  <c r="R476" i="9"/>
  <c r="R500" i="9"/>
  <c r="R524" i="9"/>
  <c r="R548" i="9"/>
  <c r="R572" i="9"/>
  <c r="R9" i="9"/>
  <c r="R5" i="9"/>
  <c r="R7" i="9"/>
  <c r="R3" i="9"/>
  <c r="R8" i="9"/>
  <c r="R4" i="9"/>
  <c r="R11" i="9"/>
  <c r="R10" i="9"/>
  <c r="R6" i="9"/>
  <c r="E102" i="8"/>
  <c r="E3" i="8"/>
  <c r="E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V515" i="31" l="1" a="1"/>
  <c r="V515" i="31" s="1"/>
  <c r="W515" i="31" s="1"/>
  <c r="V695" i="31" a="1"/>
  <c r="V695" i="31" s="1"/>
  <c r="W695" i="31" s="1"/>
  <c r="V722" i="31" a="1"/>
  <c r="V722" i="31" s="1"/>
  <c r="W722" i="31" s="1"/>
  <c r="V65" i="31" a="1"/>
  <c r="V65" i="31" s="1"/>
  <c r="W65" i="31" s="1"/>
  <c r="V1829" i="31" a="1"/>
  <c r="V1829" i="31" s="1"/>
  <c r="W1829" i="31" s="1"/>
  <c r="V1253" i="31" a="1"/>
  <c r="V1253" i="31" s="1"/>
  <c r="W1253" i="31" s="1"/>
  <c r="V1640" i="31" a="1"/>
  <c r="V1640" i="31" s="1"/>
  <c r="W1640" i="31" s="1"/>
  <c r="V488" i="31" a="1"/>
  <c r="V488" i="31" s="1"/>
  <c r="W488" i="31" s="1"/>
  <c r="V1379" i="31" a="1"/>
  <c r="V1379" i="31" s="1"/>
  <c r="W1379" i="31" s="1"/>
  <c r="V1838" i="31" a="1"/>
  <c r="V1838" i="31" s="1"/>
  <c r="W1838" i="31" s="1"/>
  <c r="V1262" i="31" a="1"/>
  <c r="V1262" i="31" s="1"/>
  <c r="W1262" i="31" s="1"/>
  <c r="V686" i="31" a="1"/>
  <c r="V686" i="31" s="1"/>
  <c r="W686" i="31" s="1"/>
  <c r="V497" i="31" a="1"/>
  <c r="V497" i="31" s="1"/>
  <c r="W497" i="31" s="1"/>
  <c r="V1604" i="31" a="1"/>
  <c r="V1604" i="31" s="1"/>
  <c r="W1604" i="31" s="1"/>
  <c r="V848" i="31" a="1"/>
  <c r="V848" i="31" s="1"/>
  <c r="W848" i="31" s="1"/>
  <c r="V875" i="31" a="1"/>
  <c r="V875" i="31" s="1"/>
  <c r="W875" i="31" s="1"/>
  <c r="V1622" i="31" a="1"/>
  <c r="V1622" i="31" s="1"/>
  <c r="W1622" i="31" s="1"/>
  <c r="V1001" i="31" a="1"/>
  <c r="V1001" i="31" s="1"/>
  <c r="W1001" i="31" s="1"/>
  <c r="V947" i="31" a="1"/>
  <c r="V947" i="31" s="1"/>
  <c r="W947" i="31" s="1"/>
  <c r="V29" i="31" a="1"/>
  <c r="V29" i="31" s="1"/>
  <c r="W29" i="31" s="1"/>
  <c r="V1685" i="31" a="1"/>
  <c r="V1685" i="31" s="1"/>
  <c r="W1685" i="31" s="1"/>
  <c r="V1109" i="31" a="1"/>
  <c r="V1109" i="31" s="1"/>
  <c r="W1109" i="31" s="1"/>
  <c r="V533" i="31" a="1"/>
  <c r="V533" i="31" s="1"/>
  <c r="W533" i="31" s="1"/>
  <c r="V371" i="31" a="1"/>
  <c r="V371" i="31" s="1"/>
  <c r="W371" i="31" s="1"/>
  <c r="V1694" i="31" a="1"/>
  <c r="V1694" i="31" s="1"/>
  <c r="W1694" i="31" s="1"/>
  <c r="V1631" i="31" a="1"/>
  <c r="V1631" i="31" s="1"/>
  <c r="W1631" i="31" s="1"/>
  <c r="V443" i="31" a="1"/>
  <c r="V443" i="31" s="1"/>
  <c r="W443" i="31" s="1"/>
  <c r="V1487" i="31" a="1"/>
  <c r="V1487" i="31" s="1"/>
  <c r="W1487" i="31" s="1"/>
  <c r="V1478" i="31" a="1"/>
  <c r="V1478" i="31" s="1"/>
  <c r="W1478" i="31" s="1"/>
  <c r="V857" i="31" a="1"/>
  <c r="V857" i="31" s="1"/>
  <c r="W857" i="31" s="1"/>
  <c r="V56" i="31" a="1"/>
  <c r="V56" i="31" s="1"/>
  <c r="W56" i="31" s="1"/>
  <c r="V1820" i="31" a="1"/>
  <c r="V1820" i="31" s="1"/>
  <c r="W1820" i="31" s="1"/>
  <c r="V398" i="31" a="1"/>
  <c r="V398" i="31" s="1"/>
  <c r="W398" i="31" s="1"/>
  <c r="V1010" i="31" a="1"/>
  <c r="V1010" i="31" s="1"/>
  <c r="W1010" i="31" s="1"/>
  <c r="V965" i="31" a="1"/>
  <c r="V965" i="31" s="1"/>
  <c r="W965" i="31" s="1"/>
  <c r="V1352" i="31" a="1"/>
  <c r="V1352" i="31" s="1"/>
  <c r="W1352" i="31" s="1"/>
  <c r="V137" i="31" a="1"/>
  <c r="V137" i="31" s="1"/>
  <c r="W137" i="31" s="1"/>
  <c r="V1775" i="31" a="1"/>
  <c r="V1775" i="31" s="1"/>
  <c r="W1775" i="31" s="1"/>
  <c r="V587" i="31" a="1"/>
  <c r="V587" i="31" s="1"/>
  <c r="W587" i="31" s="1"/>
  <c r="V1550" i="31" a="1"/>
  <c r="V1550" i="31" s="1"/>
  <c r="W1550" i="31" s="1"/>
  <c r="V974" i="31" a="1"/>
  <c r="V974" i="31" s="1"/>
  <c r="W974" i="31" s="1"/>
  <c r="V209" i="31" a="1"/>
  <c r="V209" i="31" s="1"/>
  <c r="W209" i="31" s="1"/>
  <c r="V155" i="31" a="1"/>
  <c r="V155" i="31" s="1"/>
  <c r="W155" i="31" s="1"/>
  <c r="V740" i="31" a="1"/>
  <c r="V740" i="31" s="1"/>
  <c r="W740" i="31" s="1"/>
  <c r="V983" i="31" a="1"/>
  <c r="V983" i="31" s="1"/>
  <c r="W983" i="31" s="1"/>
  <c r="V1802" i="31" a="1"/>
  <c r="V1802" i="31" s="1"/>
  <c r="W1802" i="31" s="1"/>
  <c r="V1757" i="31" a="1"/>
  <c r="V1757" i="31" s="1"/>
  <c r="W1757" i="31" s="1"/>
  <c r="V605" i="31" a="1"/>
  <c r="V605" i="31" s="1"/>
  <c r="W605" i="31" s="1"/>
  <c r="V1271" i="31" a="1"/>
  <c r="V1271" i="31" s="1"/>
  <c r="W1271" i="31" s="1"/>
  <c r="V866" i="31" a="1"/>
  <c r="V866" i="31" s="1"/>
  <c r="W866" i="31" s="1"/>
  <c r="V1397" i="31" a="1"/>
  <c r="V1397" i="31" s="1"/>
  <c r="W1397" i="31" s="1"/>
  <c r="V218" i="31" a="1"/>
  <c r="V218" i="31" s="1"/>
  <c r="W218" i="31" s="1"/>
  <c r="V1127" i="31" a="1"/>
  <c r="V1127" i="31" s="1"/>
  <c r="W1127" i="31" s="1"/>
  <c r="V20" i="31" a="1"/>
  <c r="V20" i="31" s="1"/>
  <c r="W20" i="31" s="1"/>
  <c r="V1793" i="31" a="1"/>
  <c r="V1793" i="31" s="1"/>
  <c r="W1793" i="31" s="1"/>
  <c r="V596" i="31" a="1"/>
  <c r="V596" i="31" s="1"/>
  <c r="W596" i="31" s="1"/>
  <c r="V182" i="31" a="1"/>
  <c r="V182" i="31" s="1"/>
  <c r="W182" i="31" s="1"/>
  <c r="V1595" i="31" a="1"/>
  <c r="V1595" i="31" s="1"/>
  <c r="W1595" i="31" s="1"/>
  <c r="V1613" i="31" a="1"/>
  <c r="V1613" i="31" s="1"/>
  <c r="W1613" i="31" s="1"/>
  <c r="V1568" i="31" a="1"/>
  <c r="V1568" i="31" s="1"/>
  <c r="W1568" i="31" s="1"/>
  <c r="V992" i="31" a="1"/>
  <c r="V992" i="31" s="1"/>
  <c r="W992" i="31" s="1"/>
  <c r="V614" i="31" a="1"/>
  <c r="V614" i="31" s="1"/>
  <c r="W614" i="31" s="1"/>
  <c r="V569" i="31" a="1"/>
  <c r="V569" i="31" s="1"/>
  <c r="W569" i="31" s="1"/>
  <c r="V956" i="31" a="1"/>
  <c r="V956" i="31" s="1"/>
  <c r="W956" i="31" s="1"/>
  <c r="V191" i="31" a="1"/>
  <c r="V191" i="31" s="1"/>
  <c r="W191" i="31" s="1"/>
  <c r="AL20" i="16"/>
  <c r="AU20" i="16" s="1" a="1"/>
  <c r="AU20" i="16" s="1"/>
  <c r="AK20" i="16"/>
  <c r="AL36" i="16"/>
  <c r="AU36" i="16" s="1" a="1"/>
  <c r="AU36" i="16" s="1"/>
  <c r="AK36" i="16"/>
  <c r="AL27" i="16"/>
  <c r="AU27" i="16" s="1" a="1"/>
  <c r="AU27" i="16" s="1"/>
  <c r="AK27" i="16"/>
  <c r="AL40" i="16"/>
  <c r="AU40" i="16" s="1" a="1"/>
  <c r="AU40" i="16" s="1"/>
  <c r="AK40" i="16"/>
  <c r="AL8" i="16"/>
  <c r="AU8" i="16" s="1" a="1"/>
  <c r="AU8" i="16" s="1"/>
  <c r="AK8" i="16"/>
  <c r="AL23" i="16"/>
  <c r="AU23" i="16" s="1" a="1"/>
  <c r="AU23" i="16" s="1"/>
  <c r="AK23" i="16"/>
  <c r="AL34" i="16"/>
  <c r="AU34" i="16" s="1" a="1"/>
  <c r="AU34" i="16" s="1"/>
  <c r="AK34" i="16"/>
  <c r="AL18" i="16"/>
  <c r="AU18" i="16" s="1" a="1"/>
  <c r="AU18" i="16" s="1"/>
  <c r="AK18" i="16"/>
  <c r="AL45" i="16"/>
  <c r="AU45" i="16" s="1" a="1"/>
  <c r="AU45" i="16" s="1"/>
  <c r="AK45" i="16"/>
  <c r="AL29" i="16"/>
  <c r="AU29" i="16" s="1" a="1"/>
  <c r="AU29" i="16" s="1"/>
  <c r="AK29" i="16"/>
  <c r="AL13" i="16"/>
  <c r="AU13" i="16" s="1" a="1"/>
  <c r="AU13" i="16" s="1"/>
  <c r="AK13" i="16"/>
  <c r="AL4" i="16"/>
  <c r="AU4" i="16" s="1" a="1"/>
  <c r="AU4" i="16" s="1"/>
  <c r="AK4" i="16"/>
  <c r="AL19" i="16"/>
  <c r="AU19" i="16" s="1" a="1"/>
  <c r="AU19" i="16" s="1"/>
  <c r="AK19" i="16"/>
  <c r="AL32" i="16"/>
  <c r="AU32" i="16" s="1" a="1"/>
  <c r="AU32" i="16" s="1"/>
  <c r="AK32" i="16"/>
  <c r="AL15" i="16"/>
  <c r="AU15" i="16" s="1" a="1"/>
  <c r="AU15" i="16" s="1"/>
  <c r="AK15" i="16"/>
  <c r="AL46" i="16"/>
  <c r="AU46" i="16" s="1" a="1"/>
  <c r="AU46" i="16" s="1"/>
  <c r="AK46" i="16"/>
  <c r="AL30" i="16"/>
  <c r="AU30" i="16" s="1" a="1"/>
  <c r="AU30" i="16" s="1"/>
  <c r="AK30" i="16"/>
  <c r="AL14" i="16"/>
  <c r="AU14" i="16" s="1" a="1"/>
  <c r="AU14" i="16" s="1"/>
  <c r="AK14" i="16"/>
  <c r="AL41" i="16"/>
  <c r="AU41" i="16" s="1" a="1"/>
  <c r="AU41" i="16" s="1"/>
  <c r="AK41" i="16"/>
  <c r="AL25" i="16"/>
  <c r="AU25" i="16" s="1" a="1"/>
  <c r="AU25" i="16" s="1"/>
  <c r="AK25" i="16"/>
  <c r="AL9" i="16"/>
  <c r="AU9" i="16" s="1" a="1"/>
  <c r="AU9" i="16" s="1"/>
  <c r="AK9" i="16"/>
  <c r="AL44" i="16"/>
  <c r="AU44" i="16" s="1" a="1"/>
  <c r="AU44" i="16" s="1"/>
  <c r="AK44" i="16"/>
  <c r="AL43" i="16"/>
  <c r="AU43" i="16" s="1" a="1"/>
  <c r="AU43" i="16" s="1"/>
  <c r="AK43" i="16"/>
  <c r="AL11" i="16"/>
  <c r="AU11" i="16" s="1" a="1"/>
  <c r="AU11" i="16" s="1"/>
  <c r="AK11" i="16"/>
  <c r="AL24" i="16"/>
  <c r="AU24" i="16" s="1" a="1"/>
  <c r="AU24" i="16" s="1"/>
  <c r="AK24" i="16"/>
  <c r="AL39" i="16"/>
  <c r="AU39" i="16" s="1" a="1"/>
  <c r="AU39" i="16" s="1"/>
  <c r="AK39" i="16"/>
  <c r="AL7" i="16"/>
  <c r="AU7" i="16" s="1" a="1"/>
  <c r="AU7" i="16" s="1"/>
  <c r="AK7" i="16"/>
  <c r="AL42" i="16"/>
  <c r="AU42" i="16" s="1" a="1"/>
  <c r="AU42" i="16" s="1"/>
  <c r="AK42" i="16"/>
  <c r="AL26" i="16"/>
  <c r="AU26" i="16" s="1" a="1"/>
  <c r="AU26" i="16" s="1"/>
  <c r="AK26" i="16"/>
  <c r="AL10" i="16"/>
  <c r="AU10" i="16" s="1" a="1"/>
  <c r="AU10" i="16" s="1"/>
  <c r="AK10" i="16"/>
  <c r="AL37" i="16"/>
  <c r="AU37" i="16" s="1" a="1"/>
  <c r="AU37" i="16" s="1"/>
  <c r="AK37" i="16"/>
  <c r="AL21" i="16"/>
  <c r="AU21" i="16" s="1" a="1"/>
  <c r="AU21" i="16" s="1"/>
  <c r="AK21" i="16"/>
  <c r="AL5" i="16"/>
  <c r="AU5" i="16" s="1" a="1"/>
  <c r="AU5" i="16" s="1"/>
  <c r="AK5" i="16"/>
  <c r="AL12" i="16"/>
  <c r="AU12" i="16" s="1" a="1"/>
  <c r="AU12" i="16" s="1"/>
  <c r="AK12" i="16"/>
  <c r="AL28" i="16"/>
  <c r="AU28" i="16" s="1" a="1"/>
  <c r="AU28" i="16" s="1"/>
  <c r="AK28" i="16"/>
  <c r="AL35" i="16"/>
  <c r="AU35" i="16" s="1" a="1"/>
  <c r="AU35" i="16" s="1"/>
  <c r="AK35" i="16"/>
  <c r="AL3" i="16"/>
  <c r="AU3" i="16" s="1" a="1"/>
  <c r="AU3" i="16" s="1"/>
  <c r="AK3" i="16"/>
  <c r="AL16" i="16"/>
  <c r="AU16" i="16" s="1" a="1"/>
  <c r="AU16" i="16" s="1"/>
  <c r="AK16" i="16"/>
  <c r="AL31" i="16"/>
  <c r="AU31" i="16" s="1" a="1"/>
  <c r="AU31" i="16" s="1"/>
  <c r="AK31" i="16"/>
  <c r="AL38" i="16"/>
  <c r="AU38" i="16" s="1" a="1"/>
  <c r="AU38" i="16" s="1"/>
  <c r="AK38" i="16"/>
  <c r="AL22" i="16"/>
  <c r="AU22" i="16" s="1" a="1"/>
  <c r="AU22" i="16" s="1"/>
  <c r="AK22" i="16"/>
  <c r="AL6" i="16"/>
  <c r="AU6" i="16" s="1" a="1"/>
  <c r="AU6" i="16" s="1"/>
  <c r="AK6" i="16"/>
  <c r="AL33" i="16"/>
  <c r="AU33" i="16" s="1" a="1"/>
  <c r="AU33" i="16" s="1"/>
  <c r="AK33" i="16"/>
  <c r="AL17" i="16"/>
  <c r="AU17" i="16" s="1" a="1"/>
  <c r="AU17" i="16" s="1"/>
  <c r="AK17" i="16"/>
  <c r="AL67" i="16"/>
  <c r="AU67" i="16" s="1" a="1"/>
  <c r="AU67" i="16" s="1"/>
  <c r="AR126" i="16" a="1"/>
  <c r="AR126" i="16" s="1"/>
  <c r="AS126" i="16" a="1"/>
  <c r="AS126" i="16" s="1"/>
  <c r="AR131" i="16" a="1"/>
  <c r="AR131" i="16" s="1"/>
  <c r="AS131" i="16" a="1"/>
  <c r="AS131" i="16" s="1"/>
  <c r="AR135" i="16" a="1"/>
  <c r="AR135" i="16" s="1"/>
  <c r="AS135" i="16" a="1"/>
  <c r="AS135" i="16" s="1"/>
  <c r="AR139" i="16" a="1"/>
  <c r="AR139" i="16" s="1"/>
  <c r="AS139" i="16" a="1"/>
  <c r="AS139" i="16" s="1"/>
  <c r="AR110" i="16" a="1"/>
  <c r="AR110" i="16" s="1"/>
  <c r="AS110" i="16" a="1"/>
  <c r="AS110" i="16" s="1"/>
  <c r="AL120" i="16"/>
  <c r="AU120" i="16" s="1" a="1"/>
  <c r="AU120" i="16" s="1"/>
  <c r="AL99" i="16"/>
  <c r="AU99" i="16" s="1" a="1"/>
  <c r="AU99" i="16" s="1"/>
  <c r="AL144" i="16"/>
  <c r="AU144" i="16" s="1" a="1"/>
  <c r="AU144" i="16" s="1"/>
  <c r="AL108" i="16"/>
  <c r="AU108" i="16" s="1" a="1"/>
  <c r="AU108" i="16" s="1"/>
  <c r="AL147" i="16"/>
  <c r="AU147" i="16" s="1" a="1"/>
  <c r="AU147" i="16" s="1"/>
  <c r="AL131" i="16"/>
  <c r="AU131" i="16" s="1" a="1"/>
  <c r="AU131" i="16" s="1"/>
  <c r="AL115" i="16"/>
  <c r="AU115" i="16" s="1" a="1"/>
  <c r="AU115" i="16" s="1"/>
  <c r="AL97" i="16"/>
  <c r="AU97" i="16" s="1" a="1"/>
  <c r="AU97" i="16" s="1"/>
  <c r="AL59" i="16"/>
  <c r="AU59" i="16" s="1" a="1"/>
  <c r="AU59" i="16" s="1"/>
  <c r="AK2" i="16"/>
  <c r="AL2" i="16"/>
  <c r="AU2" i="16" s="1" a="1"/>
  <c r="AU2" i="16" s="1"/>
  <c r="AL134" i="16"/>
  <c r="AU134" i="16" s="1" a="1"/>
  <c r="AU134" i="16" s="1"/>
  <c r="AL118" i="16"/>
  <c r="AU118" i="16" s="1" a="1"/>
  <c r="AU118" i="16" s="1"/>
  <c r="AL101" i="16"/>
  <c r="AU101" i="16" s="1" a="1"/>
  <c r="AU101" i="16" s="1"/>
  <c r="AL72" i="16"/>
  <c r="AU72" i="16" s="1" a="1"/>
  <c r="AU72" i="16" s="1"/>
  <c r="AL141" i="16"/>
  <c r="AU141" i="16" s="1" a="1"/>
  <c r="AU141" i="16" s="1"/>
  <c r="AL125" i="16"/>
  <c r="AU125" i="16" s="1" a="1"/>
  <c r="AU125" i="16" s="1"/>
  <c r="AL109" i="16"/>
  <c r="AU109" i="16" s="1" a="1"/>
  <c r="AU109" i="16" s="1"/>
  <c r="AL87" i="16"/>
  <c r="AU87" i="16" s="1" a="1"/>
  <c r="AU87" i="16" s="1"/>
  <c r="AL55" i="16"/>
  <c r="AU55" i="16" s="1" a="1"/>
  <c r="AU55" i="16" s="1"/>
  <c r="AL98" i="16"/>
  <c r="AU98" i="16" s="1" a="1"/>
  <c r="AU98" i="16" s="1"/>
  <c r="AL82" i="16"/>
  <c r="AU82" i="16" s="1" a="1"/>
  <c r="AU82" i="16" s="1"/>
  <c r="AL50" i="16"/>
  <c r="AU50" i="16" s="1" a="1"/>
  <c r="AU50" i="16" s="1"/>
  <c r="AL93" i="16"/>
  <c r="AU93" i="16" s="1" a="1"/>
  <c r="AU93" i="16" s="1"/>
  <c r="AL77" i="16"/>
  <c r="AU77" i="16" s="1" a="1"/>
  <c r="AU77" i="16" s="1"/>
  <c r="AL61" i="16"/>
  <c r="AU61" i="16" s="1" a="1"/>
  <c r="AU61" i="16" s="1"/>
  <c r="AL104" i="16"/>
  <c r="AU104" i="16" s="1" a="1"/>
  <c r="AU104" i="16" s="1"/>
  <c r="AL148" i="16"/>
  <c r="AU148" i="16" s="1" a="1"/>
  <c r="AU148" i="16" s="1"/>
  <c r="AL68" i="16"/>
  <c r="AU68" i="16" s="1" a="1"/>
  <c r="AU68" i="16" s="1"/>
  <c r="AL128" i="16"/>
  <c r="AU128" i="16" s="1" a="1"/>
  <c r="AU128" i="16" s="1"/>
  <c r="AL84" i="16"/>
  <c r="AU84" i="16" s="1" a="1"/>
  <c r="AU84" i="16" s="1"/>
  <c r="AL143" i="16"/>
  <c r="AU143" i="16" s="1" a="1"/>
  <c r="AU143" i="16" s="1"/>
  <c r="AL127" i="16"/>
  <c r="AU127" i="16" s="1" a="1"/>
  <c r="AU127" i="16" s="1"/>
  <c r="AL111" i="16"/>
  <c r="AU111" i="16" s="1" a="1"/>
  <c r="AU111" i="16" s="1"/>
  <c r="AL91" i="16"/>
  <c r="AU91" i="16" s="1" a="1"/>
  <c r="AU91" i="16" s="1"/>
  <c r="AL51" i="16"/>
  <c r="AU51" i="16" s="1" a="1"/>
  <c r="AU51" i="16" s="1"/>
  <c r="AL146" i="16"/>
  <c r="AU146" i="16" s="1" a="1"/>
  <c r="AU146" i="16" s="1"/>
  <c r="AL130" i="16"/>
  <c r="AU130" i="16" s="1" a="1"/>
  <c r="AU130" i="16" s="1"/>
  <c r="AL114" i="16"/>
  <c r="AU114" i="16" s="1" a="1"/>
  <c r="AU114" i="16" s="1"/>
  <c r="AL96" i="16"/>
  <c r="AU96" i="16" s="1" a="1"/>
  <c r="AU96" i="16" s="1"/>
  <c r="AL64" i="16"/>
  <c r="AU64" i="16" s="1" a="1"/>
  <c r="AU64" i="16" s="1"/>
  <c r="AL137" i="16"/>
  <c r="AU137" i="16" s="1" a="1"/>
  <c r="AU137" i="16" s="1"/>
  <c r="AL121" i="16"/>
  <c r="AU121" i="16" s="1" a="1"/>
  <c r="AU121" i="16" s="1"/>
  <c r="AL105" i="16"/>
  <c r="AU105" i="16" s="1" a="1"/>
  <c r="AU105" i="16" s="1"/>
  <c r="AL79" i="16"/>
  <c r="AU79" i="16" s="1" a="1"/>
  <c r="AU79" i="16" s="1"/>
  <c r="AL47" i="16"/>
  <c r="AU47" i="16" s="1" a="1"/>
  <c r="AU47" i="16" s="1"/>
  <c r="AL94" i="16"/>
  <c r="AU94" i="16" s="1" a="1"/>
  <c r="AU94" i="16" s="1"/>
  <c r="AL78" i="16"/>
  <c r="AU78" i="16" s="1" a="1"/>
  <c r="AU78" i="16" s="1"/>
  <c r="AL62" i="16"/>
  <c r="AU62" i="16" s="1" a="1"/>
  <c r="AU62" i="16" s="1"/>
  <c r="AL89" i="16"/>
  <c r="AU89" i="16" s="1" a="1"/>
  <c r="AU89" i="16" s="1"/>
  <c r="AL73" i="16"/>
  <c r="AU73" i="16" s="1" a="1"/>
  <c r="AU73" i="16" s="1"/>
  <c r="AL57" i="16"/>
  <c r="AU57" i="16" s="1" a="1"/>
  <c r="AU57" i="16" s="1"/>
  <c r="AL76" i="16"/>
  <c r="AU76" i="16" s="1" a="1"/>
  <c r="AU76" i="16" s="1"/>
  <c r="AL132" i="16"/>
  <c r="AU132" i="16" s="1" a="1"/>
  <c r="AU132" i="16" s="1"/>
  <c r="AL112" i="16"/>
  <c r="AU112" i="16" s="1" a="1"/>
  <c r="AU112" i="16" s="1"/>
  <c r="AL140" i="16"/>
  <c r="AU140" i="16" s="1" a="1"/>
  <c r="AU140" i="16" s="1"/>
  <c r="AL60" i="16"/>
  <c r="AU60" i="16" s="1" a="1"/>
  <c r="AU60" i="16" s="1"/>
  <c r="AL139" i="16"/>
  <c r="AU139" i="16" s="1" a="1"/>
  <c r="AU139" i="16" s="1"/>
  <c r="AL123" i="16"/>
  <c r="AU123" i="16" s="1" a="1"/>
  <c r="AU123" i="16" s="1"/>
  <c r="AL107" i="16"/>
  <c r="AU107" i="16" s="1" a="1"/>
  <c r="AU107" i="16" s="1"/>
  <c r="AL83" i="16"/>
  <c r="AU83" i="16" s="1" a="1"/>
  <c r="AU83" i="16" s="1"/>
  <c r="AL142" i="16"/>
  <c r="AU142" i="16" s="1" a="1"/>
  <c r="AU142" i="16" s="1"/>
  <c r="AL126" i="16"/>
  <c r="AU126" i="16" s="1" a="1"/>
  <c r="AU126" i="16" s="1"/>
  <c r="AL110" i="16"/>
  <c r="AU110" i="16" s="1" a="1"/>
  <c r="AU110" i="16" s="1"/>
  <c r="AL88" i="16"/>
  <c r="AU88" i="16" s="1" a="1"/>
  <c r="AU88" i="16" s="1"/>
  <c r="AL56" i="16"/>
  <c r="AU56" i="16" s="1" a="1"/>
  <c r="AU56" i="16" s="1"/>
  <c r="AL149" i="16"/>
  <c r="AU149" i="16" s="1" a="1"/>
  <c r="AU149" i="16" s="1"/>
  <c r="AL133" i="16"/>
  <c r="AU133" i="16" s="1" a="1"/>
  <c r="AU133" i="16" s="1"/>
  <c r="AL117" i="16"/>
  <c r="AU117" i="16" s="1" a="1"/>
  <c r="AU117" i="16" s="1"/>
  <c r="AL100" i="16"/>
  <c r="AU100" i="16" s="1" a="1"/>
  <c r="AU100" i="16" s="1"/>
  <c r="AL71" i="16"/>
  <c r="AU71" i="16" s="1" a="1"/>
  <c r="AU71" i="16" s="1"/>
  <c r="AL90" i="16"/>
  <c r="AU90" i="16" s="1" a="1"/>
  <c r="AU90" i="16" s="1"/>
  <c r="AL74" i="16"/>
  <c r="AU74" i="16" s="1" a="1"/>
  <c r="AU74" i="16" s="1"/>
  <c r="AL58" i="16"/>
  <c r="AU58" i="16" s="1" a="1"/>
  <c r="AU58" i="16" s="1"/>
  <c r="AL85" i="16"/>
  <c r="AU85" i="16" s="1" a="1"/>
  <c r="AU85" i="16" s="1"/>
  <c r="AL69" i="16"/>
  <c r="AU69" i="16" s="1" a="1"/>
  <c r="AU69" i="16" s="1"/>
  <c r="AL53" i="16"/>
  <c r="AU53" i="16" s="1" a="1"/>
  <c r="AU53" i="16" s="1"/>
  <c r="AL136" i="16"/>
  <c r="AU136" i="16" s="1" a="1"/>
  <c r="AU136" i="16" s="1"/>
  <c r="AL52" i="16"/>
  <c r="AU52" i="16" s="1" a="1"/>
  <c r="AU52" i="16" s="1"/>
  <c r="AL116" i="16"/>
  <c r="AU116" i="16" s="1" a="1"/>
  <c r="AU116" i="16" s="1"/>
  <c r="AL92" i="16"/>
  <c r="AU92" i="16" s="1" a="1"/>
  <c r="AU92" i="16" s="1"/>
  <c r="AL124" i="16"/>
  <c r="AU124" i="16" s="1" a="1"/>
  <c r="AU124" i="16" s="1"/>
  <c r="AL135" i="16"/>
  <c r="AU135" i="16" s="1" a="1"/>
  <c r="AU135" i="16" s="1"/>
  <c r="AL119" i="16"/>
  <c r="AU119" i="16" s="1" a="1"/>
  <c r="AU119" i="16" s="1"/>
  <c r="AL103" i="16"/>
  <c r="AU103" i="16" s="1" a="1"/>
  <c r="AU103" i="16" s="1"/>
  <c r="AL75" i="16"/>
  <c r="AU75" i="16" s="1" a="1"/>
  <c r="AU75" i="16" s="1"/>
  <c r="AL138" i="16"/>
  <c r="AU138" i="16" s="1" a="1"/>
  <c r="AU138" i="16" s="1"/>
  <c r="AL122" i="16"/>
  <c r="AU122" i="16" s="1" a="1"/>
  <c r="AU122" i="16" s="1"/>
  <c r="AL106" i="16"/>
  <c r="AU106" i="16" s="1" a="1"/>
  <c r="AU106" i="16" s="1"/>
  <c r="AL80" i="16"/>
  <c r="AU80" i="16" s="1" a="1"/>
  <c r="AU80" i="16" s="1"/>
  <c r="AL48" i="16"/>
  <c r="AU48" i="16" s="1" a="1"/>
  <c r="AU48" i="16" s="1"/>
  <c r="AL145" i="16"/>
  <c r="AU145" i="16" s="1" a="1"/>
  <c r="AU145" i="16" s="1"/>
  <c r="AL129" i="16"/>
  <c r="AU129" i="16" s="1" a="1"/>
  <c r="AU129" i="16" s="1"/>
  <c r="AL113" i="16"/>
  <c r="AU113" i="16" s="1" a="1"/>
  <c r="AU113" i="16" s="1"/>
  <c r="AL95" i="16"/>
  <c r="AU95" i="16" s="1" a="1"/>
  <c r="AU95" i="16" s="1"/>
  <c r="AL63" i="16"/>
  <c r="AU63" i="16" s="1" a="1"/>
  <c r="AU63" i="16" s="1"/>
  <c r="AL102" i="16"/>
  <c r="AU102" i="16" s="1" a="1"/>
  <c r="AU102" i="16" s="1"/>
  <c r="AL86" i="16"/>
  <c r="AU86" i="16" s="1" a="1"/>
  <c r="AU86" i="16" s="1"/>
  <c r="AL70" i="16"/>
  <c r="AU70" i="16" s="1" a="1"/>
  <c r="AU70" i="16" s="1"/>
  <c r="AL54" i="16"/>
  <c r="AU54" i="16" s="1" a="1"/>
  <c r="AU54" i="16" s="1"/>
  <c r="AL81" i="16"/>
  <c r="AU81" i="16" s="1" a="1"/>
  <c r="AU81" i="16" s="1"/>
  <c r="AL65" i="16"/>
  <c r="AU65" i="16" s="1" a="1"/>
  <c r="AU65" i="16" s="1"/>
  <c r="AL49" i="16"/>
  <c r="AU49" i="16" s="1" a="1"/>
  <c r="AU49" i="16" s="1"/>
  <c r="AQ110" i="16"/>
  <c r="AQ135" i="16"/>
  <c r="AQ131" i="16"/>
  <c r="AQ126" i="16"/>
  <c r="AQ139" i="16"/>
  <c r="AH66" i="16"/>
  <c r="AI66" i="16" s="1" a="1"/>
  <c r="AI66" i="16" s="1"/>
  <c r="AJ66" i="16" s="1"/>
  <c r="AK66" i="16" s="1"/>
  <c r="H36" i="12"/>
  <c r="G37" i="12"/>
  <c r="G36" i="12"/>
  <c r="H35" i="12"/>
  <c r="G35" i="12"/>
  <c r="H37" i="12"/>
  <c r="C36" i="12"/>
  <c r="D35" i="12"/>
  <c r="D36" i="12"/>
  <c r="C37" i="12"/>
  <c r="D37" i="12"/>
  <c r="C35" i="12"/>
  <c r="D16" i="12"/>
  <c r="C14" i="12"/>
  <c r="D14" i="12"/>
  <c r="C15" i="12"/>
  <c r="D15" i="12"/>
  <c r="C16" i="12"/>
  <c r="C14" i="7"/>
  <c r="C24" i="12"/>
  <c r="D26" i="12"/>
  <c r="E103" i="8"/>
  <c r="H31" i="12"/>
  <c r="G31" i="12"/>
  <c r="H27" i="12"/>
  <c r="G27" i="12"/>
  <c r="H28" i="12"/>
  <c r="G28" i="12"/>
  <c r="G30" i="12"/>
  <c r="H30" i="12"/>
  <c r="H25" i="12"/>
  <c r="G25" i="12"/>
  <c r="H29" i="12"/>
  <c r="G29" i="12"/>
  <c r="H24" i="12"/>
  <c r="G24" i="12"/>
  <c r="G26" i="12"/>
  <c r="H26" i="12"/>
  <c r="C9" i="7"/>
  <c r="C13" i="7"/>
  <c r="C8" i="7"/>
  <c r="D25" i="12"/>
  <c r="C25" i="12"/>
  <c r="D29" i="12"/>
  <c r="C29" i="12"/>
  <c r="D31" i="12"/>
  <c r="C31" i="12"/>
  <c r="D30" i="12"/>
  <c r="C30" i="12"/>
  <c r="D27" i="12"/>
  <c r="C27" i="12"/>
  <c r="C28" i="12"/>
  <c r="D28" i="12"/>
  <c r="D24" i="12"/>
  <c r="C26" i="12"/>
  <c r="C4" i="7"/>
  <c r="C3" i="7"/>
  <c r="C7" i="7"/>
  <c r="C11" i="7"/>
  <c r="C2" i="7"/>
  <c r="C10" i="7"/>
  <c r="C5" i="7"/>
  <c r="C12" i="7"/>
  <c r="C6" i="7"/>
  <c r="H2" i="8" l="1"/>
  <c r="H5" i="8"/>
  <c r="H21" i="8"/>
  <c r="H37" i="8"/>
  <c r="H53" i="8"/>
  <c r="H69" i="8"/>
  <c r="H85" i="8"/>
  <c r="H101" i="8"/>
  <c r="H70" i="8"/>
  <c r="H90" i="8"/>
  <c r="H76" i="8"/>
  <c r="H10" i="8"/>
  <c r="H26" i="8"/>
  <c r="H42" i="8"/>
  <c r="H82" i="8"/>
  <c r="H3" i="8"/>
  <c r="H19" i="8"/>
  <c r="H35" i="8"/>
  <c r="H51" i="8"/>
  <c r="H67" i="8"/>
  <c r="H83" i="8"/>
  <c r="H99" i="8"/>
  <c r="H28" i="8"/>
  <c r="H60" i="8"/>
  <c r="H4" i="8"/>
  <c r="H40" i="8"/>
  <c r="H9" i="8"/>
  <c r="H25" i="8"/>
  <c r="H41" i="8"/>
  <c r="H57" i="8"/>
  <c r="H73" i="8"/>
  <c r="H89" i="8"/>
  <c r="H46" i="8"/>
  <c r="H74" i="8"/>
  <c r="H98" i="8"/>
  <c r="H92" i="8"/>
  <c r="H14" i="8"/>
  <c r="H30" i="8"/>
  <c r="H50" i="8"/>
  <c r="H94" i="8"/>
  <c r="H7" i="8"/>
  <c r="H23" i="8"/>
  <c r="H39" i="8"/>
  <c r="H55" i="8"/>
  <c r="H71" i="8"/>
  <c r="H87" i="8"/>
  <c r="H12" i="8"/>
  <c r="H36" i="8"/>
  <c r="H68" i="8"/>
  <c r="H8" i="8"/>
  <c r="H72" i="8"/>
  <c r="H13" i="8"/>
  <c r="H29" i="8"/>
  <c r="H45" i="8"/>
  <c r="H61" i="8"/>
  <c r="H77" i="8"/>
  <c r="H93" i="8"/>
  <c r="H54" i="8"/>
  <c r="H78" i="8"/>
  <c r="H56" i="8"/>
  <c r="H102" i="8"/>
  <c r="H18" i="8"/>
  <c r="H34" i="8"/>
  <c r="H58" i="8"/>
  <c r="H52" i="8"/>
  <c r="H11" i="8"/>
  <c r="H27" i="8"/>
  <c r="H43" i="8"/>
  <c r="H59" i="8"/>
  <c r="H75" i="8"/>
  <c r="H91" i="8"/>
  <c r="H16" i="8"/>
  <c r="H44" i="8"/>
  <c r="H80" i="8"/>
  <c r="H24" i="8"/>
  <c r="H84" i="8"/>
  <c r="H17" i="8"/>
  <c r="H33" i="8"/>
  <c r="H49" i="8"/>
  <c r="H65" i="8"/>
  <c r="H81" i="8"/>
  <c r="H97" i="8"/>
  <c r="H62" i="8"/>
  <c r="H86" i="8"/>
  <c r="H64" i="8"/>
  <c r="H6" i="8"/>
  <c r="H22" i="8"/>
  <c r="H38" i="8"/>
  <c r="H66" i="8"/>
  <c r="H88" i="8"/>
  <c r="H15" i="8"/>
  <c r="H31" i="8"/>
  <c r="H47" i="8"/>
  <c r="H63" i="8"/>
  <c r="H79" i="8"/>
  <c r="H95" i="8"/>
  <c r="H20" i="8"/>
  <c r="H48" i="8"/>
  <c r="H96" i="8"/>
  <c r="H32" i="8"/>
  <c r="H100" i="8"/>
  <c r="E104" i="8"/>
  <c r="AL66" i="16"/>
  <c r="AU66" i="16" s="1" a="1"/>
  <c r="AU66" i="16" s="1"/>
  <c r="E16" i="12"/>
  <c r="F16" i="12" s="1"/>
  <c r="E37" i="12"/>
  <c r="E36" i="12"/>
  <c r="E35" i="12"/>
  <c r="F35" i="12" s="1"/>
  <c r="E15" i="12"/>
  <c r="F15" i="12" s="1"/>
  <c r="E14" i="12"/>
  <c r="C32" i="12"/>
  <c r="D86" i="12" s="1"/>
  <c r="E29" i="12"/>
  <c r="F29" i="12" s="1"/>
  <c r="C15" i="7"/>
  <c r="C18" i="7" s="1"/>
  <c r="I26" i="12"/>
  <c r="G32" i="12"/>
  <c r="E88" i="12" s="1"/>
  <c r="I24" i="12"/>
  <c r="J24" i="12" s="1"/>
  <c r="I30" i="12"/>
  <c r="J30" i="12" s="1"/>
  <c r="I29" i="12"/>
  <c r="J29" i="12" s="1"/>
  <c r="I27" i="12"/>
  <c r="J27" i="12" s="1"/>
  <c r="H32" i="12"/>
  <c r="I25" i="12"/>
  <c r="I28" i="12"/>
  <c r="J28" i="12" s="1"/>
  <c r="I31" i="12"/>
  <c r="D32" i="12"/>
  <c r="E30" i="12"/>
  <c r="F30" i="12" s="1"/>
  <c r="E28" i="12"/>
  <c r="F28" i="12" s="1"/>
  <c r="E27" i="12"/>
  <c r="F27" i="12" s="1"/>
  <c r="E26" i="12"/>
  <c r="E31" i="12"/>
  <c r="E24" i="12"/>
  <c r="F24" i="12" s="1"/>
  <c r="E25" i="12"/>
  <c r="V1113" i="31" l="1" a="1"/>
  <c r="V1113" i="31" s="1"/>
  <c r="W1113" i="31" s="1"/>
  <c r="V1941" i="31" a="1"/>
  <c r="V1941" i="31" s="1"/>
  <c r="W1941" i="31" s="1"/>
  <c r="V294" i="31" a="1"/>
  <c r="V294" i="31" s="1"/>
  <c r="W294" i="31" s="1"/>
  <c r="V2004" i="31" a="1"/>
  <c r="V2004" i="31" s="1"/>
  <c r="W2004" i="31" s="1"/>
  <c r="V1284" i="31" a="1"/>
  <c r="V1284" i="31" s="1"/>
  <c r="W1284" i="31" s="1"/>
  <c r="V1114" i="31" a="1"/>
  <c r="V1114" i="31" s="1"/>
  <c r="W1114" i="31" s="1"/>
  <c r="V173" i="31" a="1"/>
  <c r="V173" i="31" s="1"/>
  <c r="W173" i="31" s="1"/>
  <c r="V389" i="31" a="1"/>
  <c r="V389" i="31" s="1"/>
  <c r="W389" i="31" s="1"/>
  <c r="AO139" i="16" s="1"/>
  <c r="V677" i="31" a="1"/>
  <c r="V677" i="31" s="1"/>
  <c r="W677" i="31" s="1"/>
  <c r="V821" i="31" a="1"/>
  <c r="V821" i="31" s="1"/>
  <c r="W821" i="31" s="1"/>
  <c r="V1073" i="31" a="1"/>
  <c r="V1073" i="31" s="1"/>
  <c r="W1073" i="31" s="1"/>
  <c r="V1505" i="31" a="1"/>
  <c r="V1505" i="31" s="1"/>
  <c r="W1505" i="31" s="1"/>
  <c r="V1721" i="31" a="1"/>
  <c r="V1721" i="31" s="1"/>
  <c r="W1721" i="31" s="1"/>
  <c r="V1937" i="31" a="1"/>
  <c r="V1937" i="31" s="1"/>
  <c r="W1937" i="31" s="1"/>
  <c r="V1973" i="31" a="1"/>
  <c r="V1973" i="31" s="1"/>
  <c r="W1973" i="31" s="1"/>
  <c r="V2045" i="31" a="1"/>
  <c r="V2045" i="31" s="1"/>
  <c r="W2045" i="31" s="1"/>
  <c r="V434" i="31" a="1"/>
  <c r="V434" i="31" s="1"/>
  <c r="W434" i="31" s="1"/>
  <c r="V758" i="31" a="1"/>
  <c r="V758" i="31" s="1"/>
  <c r="W758" i="31" s="1"/>
  <c r="V1082" i="31" a="1"/>
  <c r="V1082" i="31" s="1"/>
  <c r="W1082" i="31" s="1"/>
  <c r="V272" i="31" a="1"/>
  <c r="V272" i="31" s="1"/>
  <c r="W272" i="31" s="1"/>
  <c r="V560" i="31" a="1"/>
  <c r="V560" i="31" s="1"/>
  <c r="W560" i="31" s="1"/>
  <c r="V911" i="31" a="1"/>
  <c r="V911" i="31" s="1"/>
  <c r="W911" i="31" s="1"/>
  <c r="V1514" i="31" a="1"/>
  <c r="V1514" i="31" s="1"/>
  <c r="W1514" i="31" s="1"/>
  <c r="V1784" i="31" a="1"/>
  <c r="V1784" i="31" s="1"/>
  <c r="W1784" i="31" s="1"/>
  <c r="V1982" i="31" a="1"/>
  <c r="V1982" i="31" s="1"/>
  <c r="W1982" i="31" s="1"/>
  <c r="V1991" i="31" a="1"/>
  <c r="V1991" i="31" s="1"/>
  <c r="W1991" i="31" s="1"/>
  <c r="V2036" i="31" a="1"/>
  <c r="V2036" i="31" s="1"/>
  <c r="W2036" i="31" s="1"/>
  <c r="V1019" i="31" a="1"/>
  <c r="V1019" i="31" s="1"/>
  <c r="W1019" i="31" s="1"/>
  <c r="V1946" i="31" a="1"/>
  <c r="V1946" i="31" s="1"/>
  <c r="W1946" i="31" s="1"/>
  <c r="V2054" i="31" a="1"/>
  <c r="V2054" i="31" s="1"/>
  <c r="W2054" i="31" s="1"/>
  <c r="V308" i="31" a="1"/>
  <c r="V308" i="31" s="1"/>
  <c r="W308" i="31" s="1"/>
  <c r="V1334" i="31" a="1"/>
  <c r="V1334" i="31" s="1"/>
  <c r="W1334" i="31" s="1"/>
  <c r="V1676" i="31" a="1"/>
  <c r="V1676" i="31" s="1"/>
  <c r="W1676" i="31" s="1"/>
  <c r="V2000" i="31" a="1"/>
  <c r="V2000" i="31" s="1"/>
  <c r="W2000" i="31" s="1"/>
  <c r="V92" i="31" a="1"/>
  <c r="V92" i="31" s="1"/>
  <c r="W92" i="31" s="1"/>
  <c r="V767" i="31" a="1"/>
  <c r="V767" i="31" s="1"/>
  <c r="W767" i="31" s="1"/>
  <c r="V1199" i="31" a="1"/>
  <c r="V1199" i="31" s="1"/>
  <c r="W1199" i="31" s="1"/>
  <c r="V1766" i="31" a="1"/>
  <c r="V1766" i="31" s="1"/>
  <c r="W1766" i="31" s="1"/>
  <c r="V1955" i="31" a="1"/>
  <c r="V1955" i="31" s="1"/>
  <c r="W1955" i="31" s="1"/>
  <c r="V407" i="31" a="1"/>
  <c r="V407" i="31" s="1"/>
  <c r="W407" i="31" s="1"/>
  <c r="V839" i="31" a="1"/>
  <c r="V839" i="31" s="1"/>
  <c r="W839" i="31" s="1"/>
  <c r="V1154" i="31" a="1"/>
  <c r="V1154" i="31" s="1"/>
  <c r="W1154" i="31" s="1"/>
  <c r="V1028" i="31" a="1"/>
  <c r="V1028" i="31" s="1"/>
  <c r="W1028" i="31" s="1"/>
  <c r="V5" i="31" a="1"/>
  <c r="V5" i="31" s="1"/>
  <c r="W5" i="31" s="1"/>
  <c r="V185" i="31" a="1"/>
  <c r="V185" i="31" s="1"/>
  <c r="W185" i="31" s="1"/>
  <c r="V797" i="31" a="1"/>
  <c r="V797" i="31" s="1"/>
  <c r="W797" i="31" s="1"/>
  <c r="V1301" i="31" a="1"/>
  <c r="V1301" i="31" s="1"/>
  <c r="W1301" i="31" s="1"/>
  <c r="V1841" i="31" a="1"/>
  <c r="V1841" i="31" s="1"/>
  <c r="W1841" i="31" s="1"/>
  <c r="V1949" i="31" a="1"/>
  <c r="V1949" i="31" s="1"/>
  <c r="W1949" i="31" s="1"/>
  <c r="V1985" i="31" a="1"/>
  <c r="V1985" i="31" s="1"/>
  <c r="W1985" i="31" s="1"/>
  <c r="V230" i="31" a="1"/>
  <c r="V230" i="31" s="1"/>
  <c r="W230" i="31" s="1"/>
  <c r="V2057" i="31" a="1"/>
  <c r="V2057" i="31" s="1"/>
  <c r="W2057" i="31" s="1"/>
  <c r="V68" i="31" a="1"/>
  <c r="V68" i="31" s="1"/>
  <c r="W68" i="31" s="1"/>
  <c r="V1184" i="31" a="1"/>
  <c r="V1184" i="31" s="1"/>
  <c r="W1184" i="31" s="1"/>
  <c r="V1796" i="31" a="1"/>
  <c r="V1796" i="31" s="1"/>
  <c r="W1796" i="31" s="1"/>
  <c r="V1922" i="31" a="1"/>
  <c r="V1922" i="31" s="1"/>
  <c r="W1922" i="31" s="1"/>
  <c r="V2003" i="31" a="1"/>
  <c r="V2003" i="31" s="1"/>
  <c r="W2003" i="31" s="1"/>
  <c r="V1283" i="31" a="1"/>
  <c r="V1283" i="31" s="1"/>
  <c r="W1283" i="31" s="1"/>
  <c r="V1976" i="31" a="1"/>
  <c r="V1976" i="31" s="1"/>
  <c r="W1976" i="31" s="1"/>
  <c r="V2066" i="31" a="1"/>
  <c r="V2066" i="31" s="1"/>
  <c r="W2066" i="31" s="1"/>
  <c r="V455" i="31" a="1"/>
  <c r="V455" i="31" s="1"/>
  <c r="W455" i="31" s="1"/>
  <c r="V1931" i="31" a="1"/>
  <c r="V1931" i="31" s="1"/>
  <c r="W1931" i="31" s="1"/>
  <c r="V1940" i="31" a="1"/>
  <c r="V1940" i="31" s="1"/>
  <c r="W1940" i="31" s="1"/>
  <c r="V1310" i="31" a="1"/>
  <c r="V1310" i="31" s="1"/>
  <c r="W1310" i="31" s="1"/>
  <c r="V419" i="31" a="1"/>
  <c r="V419" i="31" s="1"/>
  <c r="W419" i="31" s="1"/>
  <c r="V887" i="31" a="1"/>
  <c r="V887" i="31" s="1"/>
  <c r="W887" i="31" s="1"/>
  <c r="V1670" i="31" a="1"/>
  <c r="V1670" i="31" s="1"/>
  <c r="W1670" i="31" s="1"/>
  <c r="V1994" i="31" a="1"/>
  <c r="V1994" i="31" s="1"/>
  <c r="W1994" i="31" s="1"/>
  <c r="V1958" i="31" a="1"/>
  <c r="V1958" i="31" s="1"/>
  <c r="W1958" i="31" s="1"/>
  <c r="V1913" i="31" a="1"/>
  <c r="V1913" i="31" s="1"/>
  <c r="W1913" i="31" s="1"/>
  <c r="V1932" i="31" a="1"/>
  <c r="V1932" i="31" s="1"/>
  <c r="W1932" i="31" s="1"/>
  <c r="V1986" i="31" a="1"/>
  <c r="V1986" i="31" s="1"/>
  <c r="W1986" i="31" s="1"/>
  <c r="V2040" i="31" a="1"/>
  <c r="V2040" i="31" s="1"/>
  <c r="W2040" i="31" s="1"/>
  <c r="V1968" i="31" a="1"/>
  <c r="V1968" i="31" s="1"/>
  <c r="W1968" i="31" s="1"/>
  <c r="V1914" i="31" a="1"/>
  <c r="V1914" i="31" s="1"/>
  <c r="W1914" i="31" s="1"/>
  <c r="V2022" i="31" a="1"/>
  <c r="V2022" i="31" s="1"/>
  <c r="W2022" i="31" s="1"/>
  <c r="V2049" i="31" a="1"/>
  <c r="V2049" i="31" s="1"/>
  <c r="W2049" i="31" s="1"/>
  <c r="V2058" i="31" a="1"/>
  <c r="V2058" i="31" s="1"/>
  <c r="W2058" i="31" s="1"/>
  <c r="V1923" i="31" a="1"/>
  <c r="V1923" i="31" s="1"/>
  <c r="W1923" i="31" s="1"/>
  <c r="V1977" i="31" a="1"/>
  <c r="V1977" i="31" s="1"/>
  <c r="W1977" i="31" s="1"/>
  <c r="V2067" i="31" a="1"/>
  <c r="V2067" i="31" s="1"/>
  <c r="W2067" i="31" s="1"/>
  <c r="V2013" i="31" a="1"/>
  <c r="V2013" i="31" s="1"/>
  <c r="W2013" i="31" s="1"/>
  <c r="V1995" i="31" a="1"/>
  <c r="V1995" i="31" s="1"/>
  <c r="W1995" i="31" s="1"/>
  <c r="V2031" i="31" a="1"/>
  <c r="V2031" i="31" s="1"/>
  <c r="W2031" i="31" s="1"/>
  <c r="V1950" i="31" a="1"/>
  <c r="V1950" i="31" s="1"/>
  <c r="W1950" i="31" s="1"/>
  <c r="V1962" i="31" a="1"/>
  <c r="V1962" i="31" s="1"/>
  <c r="W1962" i="31" s="1"/>
  <c r="V2052" i="31" a="1"/>
  <c r="V2052" i="31" s="1"/>
  <c r="W2052" i="31" s="1"/>
  <c r="V2034" i="31" a="1"/>
  <c r="V2034" i="31" s="1"/>
  <c r="W2034" i="31" s="1"/>
  <c r="V2070" i="31" a="1"/>
  <c r="V2070" i="31" s="1"/>
  <c r="W2070" i="31" s="1"/>
  <c r="V1980" i="31" a="1"/>
  <c r="V1980" i="31" s="1"/>
  <c r="W1980" i="31" s="1"/>
  <c r="V2016" i="31" a="1"/>
  <c r="V2016" i="31" s="1"/>
  <c r="W2016" i="31" s="1"/>
  <c r="V1926" i="31" a="1"/>
  <c r="V1926" i="31" s="1"/>
  <c r="W1926" i="31" s="1"/>
  <c r="V1989" i="31" a="1"/>
  <c r="V1989" i="31" s="1"/>
  <c r="W1989" i="31" s="1"/>
  <c r="V1944" i="31" a="1"/>
  <c r="V1944" i="31" s="1"/>
  <c r="W1944" i="31" s="1"/>
  <c r="V1998" i="31" a="1"/>
  <c r="V1998" i="31" s="1"/>
  <c r="W1998" i="31" s="1"/>
  <c r="V1971" i="31" a="1"/>
  <c r="V1971" i="31" s="1"/>
  <c r="W1971" i="31" s="1"/>
  <c r="V2025" i="31" a="1"/>
  <c r="V2025" i="31" s="1"/>
  <c r="W2025" i="31" s="1"/>
  <c r="V1917" i="31" a="1"/>
  <c r="V1917" i="31" s="1"/>
  <c r="W1917" i="31" s="1"/>
  <c r="V2043" i="31" a="1"/>
  <c r="V2043" i="31" s="1"/>
  <c r="W2043" i="31" s="1"/>
  <c r="V2007" i="31" a="1"/>
  <c r="V2007" i="31" s="1"/>
  <c r="W2007" i="31" s="1"/>
  <c r="V2061" i="31" a="1"/>
  <c r="V2061" i="31" s="1"/>
  <c r="W2061" i="31" s="1"/>
  <c r="V1953" i="31" a="1"/>
  <c r="V1953" i="31" s="1"/>
  <c r="W1953" i="31" s="1"/>
  <c r="V1935" i="31" a="1"/>
  <c r="V1935" i="31" s="1"/>
  <c r="W1935" i="31" s="1"/>
  <c r="V2012" i="31" a="1"/>
  <c r="V2012" i="31" s="1"/>
  <c r="W2012" i="31" s="1"/>
  <c r="AO185" i="16" s="1"/>
  <c r="V2021" i="31" a="1"/>
  <c r="V2021" i="31" s="1"/>
  <c r="W2021" i="31" s="1"/>
  <c r="V2030" i="31" a="1"/>
  <c r="V2030" i="31" s="1"/>
  <c r="W2030" i="31" s="1"/>
  <c r="V1967" i="31" a="1"/>
  <c r="V1967" i="31" s="1"/>
  <c r="W1967" i="31" s="1"/>
  <c r="V2039" i="31" a="1"/>
  <c r="V2039" i="31" s="1"/>
  <c r="W2039" i="31" s="1"/>
  <c r="V1959" i="31" a="1"/>
  <c r="V1959" i="31" s="1"/>
  <c r="W1959" i="31" s="1"/>
  <c r="V2068" i="31" a="1"/>
  <c r="V2068" i="31" s="1"/>
  <c r="W2068" i="31" s="1"/>
  <c r="V2014" i="31" a="1"/>
  <c r="V2014" i="31" s="1"/>
  <c r="W2014" i="31" s="1"/>
  <c r="V1924" i="31" a="1"/>
  <c r="V1924" i="31" s="1"/>
  <c r="W1924" i="31" s="1"/>
  <c r="V1969" i="31" a="1"/>
  <c r="V1969" i="31" s="1"/>
  <c r="W1969" i="31" s="1"/>
  <c r="V2032" i="31" a="1"/>
  <c r="V2032" i="31" s="1"/>
  <c r="W2032" i="31" s="1"/>
  <c r="V2050" i="31" a="1"/>
  <c r="V2050" i="31" s="1"/>
  <c r="W2050" i="31" s="1"/>
  <c r="V2041" i="31" a="1"/>
  <c r="V2041" i="31" s="1"/>
  <c r="W2041" i="31" s="1"/>
  <c r="V1942" i="31" a="1"/>
  <c r="V1942" i="31" s="1"/>
  <c r="W1942" i="31" s="1"/>
  <c r="V2059" i="31" a="1"/>
  <c r="V2059" i="31" s="1"/>
  <c r="W2059" i="31" s="1"/>
  <c r="V2023" i="31" a="1"/>
  <c r="V2023" i="31" s="1"/>
  <c r="W2023" i="31" s="1"/>
  <c r="V1933" i="31" a="1"/>
  <c r="V1933" i="31" s="1"/>
  <c r="W1933" i="31" s="1"/>
  <c r="V1951" i="31" a="1"/>
  <c r="V1951" i="31" s="1"/>
  <c r="W1951" i="31" s="1"/>
  <c r="V1915" i="31" a="1"/>
  <c r="V1915" i="31" s="1"/>
  <c r="W1915" i="31" s="1"/>
  <c r="V1987" i="31" a="1"/>
  <c r="V1987" i="31" s="1"/>
  <c r="W1987" i="31" s="1"/>
  <c r="V1960" i="31" a="1"/>
  <c r="V1960" i="31" s="1"/>
  <c r="W1960" i="31" s="1"/>
  <c r="V2005" i="31" a="1"/>
  <c r="V2005" i="31" s="1"/>
  <c r="W2005" i="31" s="1"/>
  <c r="V1996" i="31" a="1"/>
  <c r="V1996" i="31" s="1"/>
  <c r="W1996" i="31" s="1"/>
  <c r="V1978" i="31" a="1"/>
  <c r="V1978" i="31" s="1"/>
  <c r="W1978" i="31" s="1"/>
  <c r="V416" i="31" a="1"/>
  <c r="V416" i="31" s="1"/>
  <c r="W416" i="31" s="1"/>
  <c r="V425" i="31" a="1"/>
  <c r="V425" i="31" s="1"/>
  <c r="W425" i="31" s="1"/>
  <c r="V1442" i="31" a="1"/>
  <c r="V1442" i="31" s="1"/>
  <c r="W1442" i="31" s="1"/>
  <c r="V632" i="31" a="1"/>
  <c r="V632" i="31" s="1"/>
  <c r="W632" i="31" s="1"/>
  <c r="V641" i="31" a="1"/>
  <c r="V641" i="31" s="1"/>
  <c r="W641" i="31" s="1"/>
  <c r="V1658" i="31" a="1"/>
  <c r="V1658" i="31" s="1"/>
  <c r="W1658" i="31" s="1"/>
  <c r="V1037" i="31" a="1"/>
  <c r="V1037" i="31" s="1"/>
  <c r="W1037" i="31" s="1"/>
  <c r="V317" i="31" a="1"/>
  <c r="V317" i="31" s="1"/>
  <c r="W317" i="31" s="1"/>
  <c r="V1190" i="31" a="1"/>
  <c r="V1190" i="31" s="1"/>
  <c r="W1190" i="31" s="1"/>
  <c r="V1145" i="31" a="1"/>
  <c r="V1145" i="31" s="1"/>
  <c r="W1145" i="31" s="1"/>
  <c r="V1883" i="31" a="1"/>
  <c r="V1883" i="31" s="1"/>
  <c r="W1883" i="31" s="1"/>
  <c r="V938" i="31" a="1"/>
  <c r="V938" i="31" s="1"/>
  <c r="W938" i="31" s="1"/>
  <c r="V299" i="31" a="1"/>
  <c r="V299" i="31" s="1"/>
  <c r="W299" i="31" s="1"/>
  <c r="V1046" i="31" a="1"/>
  <c r="V1046" i="31" s="1"/>
  <c r="W1046" i="31" s="1"/>
  <c r="V335" i="31" a="1"/>
  <c r="V335" i="31" s="1"/>
  <c r="W335" i="31" s="1"/>
  <c r="V884" i="31" a="1"/>
  <c r="V884" i="31" s="1"/>
  <c r="W884" i="31" s="1"/>
  <c r="V164" i="31" a="1"/>
  <c r="V164" i="31" s="1"/>
  <c r="W164" i="31" s="1"/>
  <c r="V101" i="31" a="1"/>
  <c r="V101" i="31" s="1"/>
  <c r="W101" i="31" s="1"/>
  <c r="V146" i="31" a="1"/>
  <c r="V146" i="31" s="1"/>
  <c r="W146" i="31" s="1"/>
  <c r="V1244" i="31" a="1"/>
  <c r="V1244" i="31" s="1"/>
  <c r="W1244" i="31" s="1"/>
  <c r="V1586" i="31" a="1"/>
  <c r="V1586" i="31" s="1"/>
  <c r="W1586" i="31" s="1"/>
  <c r="V1541" i="31" a="1"/>
  <c r="V1541" i="31" s="1"/>
  <c r="W1541" i="31" s="1"/>
  <c r="V1361" i="31" a="1"/>
  <c r="V1361" i="31" s="1"/>
  <c r="W1361" i="31" s="1"/>
  <c r="V1892" i="31" a="1"/>
  <c r="V1892" i="31" s="1"/>
  <c r="W1892" i="31" s="1"/>
  <c r="V1055" i="31" a="1"/>
  <c r="V1055" i="31" s="1"/>
  <c r="W1055" i="31" s="1"/>
  <c r="V1226" i="31" a="1"/>
  <c r="V1226" i="31" s="1"/>
  <c r="W1226" i="31" s="1"/>
  <c r="V1091" i="31" a="1"/>
  <c r="V1091" i="31" s="1"/>
  <c r="W1091" i="31" s="1"/>
  <c r="V1289" i="31" a="1"/>
  <c r="V1289" i="31" s="1"/>
  <c r="W1289" i="31" s="1"/>
  <c r="V524" i="31" a="1"/>
  <c r="V524" i="31" s="1"/>
  <c r="W524" i="31" s="1"/>
  <c r="V1343" i="31" a="1"/>
  <c r="V1343" i="31" s="1"/>
  <c r="W1343" i="31" s="1"/>
  <c r="V11" i="31" a="1"/>
  <c r="V11" i="31" s="1"/>
  <c r="W11" i="31" s="1"/>
  <c r="V1748" i="31" a="1"/>
  <c r="V1748" i="31" s="1"/>
  <c r="W1748" i="31" s="1"/>
  <c r="V461" i="31" a="1"/>
  <c r="V461" i="31" s="1"/>
  <c r="W461" i="31" s="1"/>
  <c r="V236" i="31" a="1"/>
  <c r="V236" i="31" s="1"/>
  <c r="W236" i="31" s="1"/>
  <c r="V1451" i="31" a="1"/>
  <c r="V1451" i="31" s="1"/>
  <c r="W1451" i="31" s="1"/>
  <c r="V659" i="31" a="1"/>
  <c r="V659" i="31" s="1"/>
  <c r="W659" i="31" s="1"/>
  <c r="V452" i="31" a="1"/>
  <c r="V452" i="31" s="1"/>
  <c r="W452" i="31" s="1"/>
  <c r="V353" i="31" a="1"/>
  <c r="V353" i="31" s="1"/>
  <c r="W353" i="31" s="1"/>
  <c r="V1424" i="31" a="1"/>
  <c r="V1424" i="31" s="1"/>
  <c r="W1424" i="31" s="1"/>
  <c r="V470" i="31" a="1"/>
  <c r="V470" i="31" s="1"/>
  <c r="W470" i="31" s="1"/>
  <c r="V245" i="31" a="1"/>
  <c r="V245" i="31" s="1"/>
  <c r="W245" i="31" s="1"/>
  <c r="V929" i="31" a="1"/>
  <c r="V929" i="31" s="1"/>
  <c r="W929" i="31" s="1"/>
  <c r="V1559" i="31" a="1"/>
  <c r="V1559" i="31" s="1"/>
  <c r="W1559" i="31" s="1"/>
  <c r="V1901" i="31" a="1"/>
  <c r="V1901" i="31" s="1"/>
  <c r="W1901" i="31" s="1"/>
  <c r="V902" i="31" a="1"/>
  <c r="V902" i="31" s="1"/>
  <c r="W902" i="31" s="1"/>
  <c r="V668" i="31" a="1"/>
  <c r="V668" i="31" s="1"/>
  <c r="W668" i="31" s="1"/>
  <c r="V785" i="31" a="1"/>
  <c r="V785" i="31" s="1"/>
  <c r="W785" i="31" s="1"/>
  <c r="V2" i="31" a="1"/>
  <c r="V2" i="31" s="1"/>
  <c r="W2" i="31" s="1"/>
  <c r="V713" i="31" a="1"/>
  <c r="V713" i="31" s="1"/>
  <c r="W713" i="31" s="1"/>
  <c r="V263" i="31" a="1"/>
  <c r="V263" i="31" s="1"/>
  <c r="W263" i="31" s="1"/>
  <c r="V803" i="31" a="1"/>
  <c r="V803" i="31" s="1"/>
  <c r="W803" i="31" s="1"/>
  <c r="V506" i="31" a="1"/>
  <c r="V506" i="31" s="1"/>
  <c r="W506" i="31" s="1"/>
  <c r="V227" i="31" a="1"/>
  <c r="V227" i="31" s="1"/>
  <c r="W227" i="31" s="1"/>
  <c r="V1532" i="31" a="1"/>
  <c r="V1532" i="31" s="1"/>
  <c r="W1532" i="31" s="1"/>
  <c r="V1874" i="31" a="1"/>
  <c r="V1874" i="31" s="1"/>
  <c r="W1874" i="31" s="1"/>
  <c r="V551" i="31" a="1"/>
  <c r="V551" i="31" s="1"/>
  <c r="W551" i="31" s="1"/>
  <c r="V38" i="31" a="1"/>
  <c r="V38" i="31" s="1"/>
  <c r="W38" i="31" s="1"/>
  <c r="V1469" i="31" a="1"/>
  <c r="V1469" i="31" s="1"/>
  <c r="W1469" i="31" s="1"/>
  <c r="V1577" i="31" a="1"/>
  <c r="V1577" i="31" s="1"/>
  <c r="W1577" i="31" s="1"/>
  <c r="V1496" i="31" a="1"/>
  <c r="V1496" i="31" s="1"/>
  <c r="W1496" i="31" s="1"/>
  <c r="V1118" i="31" a="1"/>
  <c r="V1118" i="31" s="1"/>
  <c r="W1118" i="31" s="1"/>
  <c r="V344" i="31" a="1"/>
  <c r="V344" i="31" s="1"/>
  <c r="W344" i="31" s="1"/>
  <c r="V1280" i="31" a="1"/>
  <c r="V1280" i="31" s="1"/>
  <c r="W1280" i="31" s="1"/>
  <c r="V200" i="31" a="1"/>
  <c r="V200" i="31" s="1"/>
  <c r="W200" i="31" s="1"/>
  <c r="V1811" i="31" a="1"/>
  <c r="V1811" i="31" s="1"/>
  <c r="W1811" i="31" s="1"/>
  <c r="V1208" i="31" a="1"/>
  <c r="V1208" i="31" s="1"/>
  <c r="W1208" i="31" s="1"/>
  <c r="V1217" i="31" a="1"/>
  <c r="V1217" i="31" s="1"/>
  <c r="W1217" i="31" s="1"/>
  <c r="V1523" i="31" a="1"/>
  <c r="V1523" i="31" s="1"/>
  <c r="W1523" i="31" s="1"/>
  <c r="V1064" i="31" a="1"/>
  <c r="V1064" i="31" s="1"/>
  <c r="W1064" i="31" s="1"/>
  <c r="V1649" i="31" a="1"/>
  <c r="V1649" i="31" s="1"/>
  <c r="W1649" i="31" s="1"/>
  <c r="V893" i="31" a="1"/>
  <c r="V893" i="31" s="1"/>
  <c r="W893" i="31" s="1"/>
  <c r="V47" i="31" a="1"/>
  <c r="V47" i="31" s="1"/>
  <c r="W47" i="31" s="1"/>
  <c r="V812" i="31" a="1"/>
  <c r="V812" i="31" s="1"/>
  <c r="W812" i="31" s="1"/>
  <c r="V920" i="31" a="1"/>
  <c r="V920" i="31" s="1"/>
  <c r="W920" i="31" s="1"/>
  <c r="V542" i="31" a="1"/>
  <c r="V542" i="31" s="1"/>
  <c r="W542" i="31" s="1"/>
  <c r="V1460" i="31" a="1"/>
  <c r="V1460" i="31" s="1"/>
  <c r="W1460" i="31" s="1"/>
  <c r="V749" i="31" a="1"/>
  <c r="V749" i="31" s="1"/>
  <c r="W749" i="31" s="1"/>
  <c r="V704" i="31" a="1"/>
  <c r="V704" i="31" s="1"/>
  <c r="W704" i="31" s="1"/>
  <c r="V1433" i="31" a="1"/>
  <c r="V1433" i="31" s="1"/>
  <c r="W1433" i="31" s="1"/>
  <c r="V1667" i="31" a="1"/>
  <c r="V1667" i="31" s="1"/>
  <c r="W1667" i="31" s="1"/>
  <c r="V1181" i="31" a="1"/>
  <c r="V1181" i="31" s="1"/>
  <c r="W1181" i="31" s="1"/>
  <c r="V1136" i="31" a="1"/>
  <c r="V1136" i="31" s="1"/>
  <c r="W1136" i="31" s="1"/>
  <c r="V1235" i="31" a="1"/>
  <c r="V1235" i="31" s="1"/>
  <c r="W1235" i="31" s="1"/>
  <c r="V1100" i="31" a="1"/>
  <c r="V1100" i="31" s="1"/>
  <c r="W1100" i="31" s="1"/>
  <c r="V149" i="31" a="1"/>
  <c r="V149" i="31" s="1"/>
  <c r="W149" i="31" s="1"/>
  <c r="V221" i="31" a="1"/>
  <c r="V221" i="31" s="1"/>
  <c r="W221" i="31" s="1"/>
  <c r="V257" i="31" a="1"/>
  <c r="V257" i="31" s="1"/>
  <c r="W257" i="31" s="1"/>
  <c r="V293" i="31" a="1"/>
  <c r="V293" i="31" s="1"/>
  <c r="W293" i="31" s="1"/>
  <c r="V329" i="31" a="1"/>
  <c r="V329" i="31" s="1"/>
  <c r="W329" i="31" s="1"/>
  <c r="V365" i="31" a="1"/>
  <c r="V365" i="31" s="1"/>
  <c r="W365" i="31" s="1"/>
  <c r="V401" i="31" a="1"/>
  <c r="V401" i="31" s="1"/>
  <c r="W401" i="31" s="1"/>
  <c r="V437" i="31" a="1"/>
  <c r="V437" i="31" s="1"/>
  <c r="W437" i="31" s="1"/>
  <c r="V473" i="31" a="1"/>
  <c r="V473" i="31" s="1"/>
  <c r="W473" i="31" s="1"/>
  <c r="V509" i="31" a="1"/>
  <c r="V509" i="31" s="1"/>
  <c r="W509" i="31" s="1"/>
  <c r="V581" i="31" a="1"/>
  <c r="V581" i="31" s="1"/>
  <c r="W581" i="31" s="1"/>
  <c r="V617" i="31" a="1"/>
  <c r="V617" i="31" s="1"/>
  <c r="W617" i="31" s="1"/>
  <c r="V653" i="31" a="1"/>
  <c r="V653" i="31" s="1"/>
  <c r="W653" i="31" s="1"/>
  <c r="V689" i="31" a="1"/>
  <c r="V689" i="31" s="1"/>
  <c r="W689" i="31" s="1"/>
  <c r="V869" i="31" a="1"/>
  <c r="V869" i="31" s="1"/>
  <c r="W869" i="31" s="1"/>
  <c r="V14" i="31" a="1"/>
  <c r="V14" i="31" s="1"/>
  <c r="W14" i="31" s="1"/>
  <c r="V86" i="31" a="1"/>
  <c r="V86" i="31" s="1"/>
  <c r="W86" i="31" s="1"/>
  <c r="V194" i="31" a="1"/>
  <c r="V194" i="31" s="1"/>
  <c r="W194" i="31" s="1"/>
  <c r="V266" i="31" a="1"/>
  <c r="V266" i="31" s="1"/>
  <c r="W266" i="31" s="1"/>
  <c r="V302" i="31" a="1"/>
  <c r="V302" i="31" s="1"/>
  <c r="W302" i="31" s="1"/>
  <c r="V338" i="31" a="1"/>
  <c r="V338" i="31" s="1"/>
  <c r="W338" i="31" s="1"/>
  <c r="V374" i="31" a="1"/>
  <c r="V374" i="31" s="1"/>
  <c r="W374" i="31" s="1"/>
  <c r="V410" i="31" a="1"/>
  <c r="V410" i="31" s="1"/>
  <c r="W410" i="31" s="1"/>
  <c r="V446" i="31" a="1"/>
  <c r="V446" i="31" s="1"/>
  <c r="W446" i="31" s="1"/>
  <c r="V482" i="31" a="1"/>
  <c r="V482" i="31" s="1"/>
  <c r="W482" i="31" s="1"/>
  <c r="V518" i="31" a="1"/>
  <c r="V518" i="31" s="1"/>
  <c r="W518" i="31" s="1"/>
  <c r="V590" i="31" a="1"/>
  <c r="V590" i="31" s="1"/>
  <c r="W590" i="31" s="1"/>
  <c r="V626" i="31" a="1"/>
  <c r="V626" i="31" s="1"/>
  <c r="W626" i="31" s="1"/>
  <c r="V662" i="31" a="1"/>
  <c r="V662" i="31" s="1"/>
  <c r="W662" i="31" s="1"/>
  <c r="V698" i="31" a="1"/>
  <c r="V698" i="31" s="1"/>
  <c r="W698" i="31" s="1"/>
  <c r="V734" i="31" a="1"/>
  <c r="V734" i="31" s="1"/>
  <c r="W734" i="31" s="1"/>
  <c r="V806" i="31" a="1"/>
  <c r="V806" i="31" s="1"/>
  <c r="W806" i="31" s="1"/>
  <c r="V842" i="31" a="1"/>
  <c r="V842" i="31" s="1"/>
  <c r="W842" i="31" s="1"/>
  <c r="V878" i="31" a="1"/>
  <c r="V878" i="31" s="1"/>
  <c r="W878" i="31" s="1"/>
  <c r="V914" i="31" a="1"/>
  <c r="V914" i="31" s="1"/>
  <c r="W914" i="31" s="1"/>
  <c r="V950" i="31" a="1"/>
  <c r="V950" i="31" s="1"/>
  <c r="W950" i="31" s="1"/>
  <c r="V986" i="31" a="1"/>
  <c r="V986" i="31" s="1"/>
  <c r="W986" i="31" s="1"/>
  <c r="V1022" i="31" a="1"/>
  <c r="V1022" i="31" s="1"/>
  <c r="W1022" i="31" s="1"/>
  <c r="V1058" i="31" a="1"/>
  <c r="V1058" i="31" s="1"/>
  <c r="W1058" i="31" s="1"/>
  <c r="V1094" i="31" a="1"/>
  <c r="V1094" i="31" s="1"/>
  <c r="W1094" i="31" s="1"/>
  <c r="V1130" i="31" a="1"/>
  <c r="V1130" i="31" s="1"/>
  <c r="W1130" i="31" s="1"/>
  <c r="V1166" i="31" a="1"/>
  <c r="V1166" i="31" s="1"/>
  <c r="W1166" i="31" s="1"/>
  <c r="V1202" i="31" a="1"/>
  <c r="V1202" i="31" s="1"/>
  <c r="W1202" i="31" s="1"/>
  <c r="V1274" i="31" a="1"/>
  <c r="V1274" i="31" s="1"/>
  <c r="W1274" i="31" s="1"/>
  <c r="V1346" i="31" a="1"/>
  <c r="V1346" i="31" s="1"/>
  <c r="W1346" i="31" s="1"/>
  <c r="V1382" i="31" a="1"/>
  <c r="V1382" i="31" s="1"/>
  <c r="W1382" i="31" s="1"/>
  <c r="V1418" i="31" a="1"/>
  <c r="V1418" i="31" s="1"/>
  <c r="W1418" i="31" s="1"/>
  <c r="V1454" i="31" a="1"/>
  <c r="V1454" i="31" s="1"/>
  <c r="W1454" i="31" s="1"/>
  <c r="V1490" i="31" a="1"/>
  <c r="V1490" i="31" s="1"/>
  <c r="W1490" i="31" s="1"/>
  <c r="V1526" i="31" a="1"/>
  <c r="V1526" i="31" s="1"/>
  <c r="W1526" i="31" s="1"/>
  <c r="V1562" i="31" a="1"/>
  <c r="V1562" i="31" s="1"/>
  <c r="W1562" i="31" s="1"/>
  <c r="V1598" i="31" a="1"/>
  <c r="V1598" i="31" s="1"/>
  <c r="W1598" i="31" s="1"/>
  <c r="V1634" i="31" a="1"/>
  <c r="V1634" i="31" s="1"/>
  <c r="W1634" i="31" s="1"/>
  <c r="V1706" i="31" a="1"/>
  <c r="V1706" i="31" s="1"/>
  <c r="W1706" i="31" s="1"/>
  <c r="V1742" i="31" a="1"/>
  <c r="V1742" i="31" s="1"/>
  <c r="W1742" i="31" s="1"/>
  <c r="V1778" i="31" a="1"/>
  <c r="V1778" i="31" s="1"/>
  <c r="W1778" i="31" s="1"/>
  <c r="V1814" i="31" a="1"/>
  <c r="V1814" i="31" s="1"/>
  <c r="W1814" i="31" s="1"/>
  <c r="V1850" i="31" a="1"/>
  <c r="V1850" i="31" s="1"/>
  <c r="W1850" i="31" s="1"/>
  <c r="V1886" i="31" a="1"/>
  <c r="V1886" i="31" s="1"/>
  <c r="W1886" i="31" s="1"/>
  <c r="V23" i="31" a="1"/>
  <c r="V23" i="31" s="1"/>
  <c r="W23" i="31" s="1"/>
  <c r="V95" i="31" a="1"/>
  <c r="V95" i="31" s="1"/>
  <c r="W95" i="31" s="1"/>
  <c r="V239" i="31" a="1"/>
  <c r="V239" i="31" s="1"/>
  <c r="W239" i="31" s="1"/>
  <c r="V275" i="31" a="1"/>
  <c r="V275" i="31" s="1"/>
  <c r="W275" i="31" s="1"/>
  <c r="V347" i="31" a="1"/>
  <c r="V347" i="31" s="1"/>
  <c r="W347" i="31" s="1"/>
  <c r="V383" i="31" a="1"/>
  <c r="V383" i="31" s="1"/>
  <c r="W383" i="31" s="1"/>
  <c r="V527" i="31" a="1"/>
  <c r="V527" i="31" s="1"/>
  <c r="W527" i="31" s="1"/>
  <c r="V563" i="31" a="1"/>
  <c r="V563" i="31" s="1"/>
  <c r="W563" i="31" s="1"/>
  <c r="V599" i="31" a="1"/>
  <c r="V599" i="31" s="1"/>
  <c r="W599" i="31" s="1"/>
  <c r="V635" i="31" a="1"/>
  <c r="V635" i="31" s="1"/>
  <c r="W635" i="31" s="1"/>
  <c r="V671" i="31" a="1"/>
  <c r="V671" i="31" s="1"/>
  <c r="W671" i="31" s="1"/>
  <c r="V707" i="31" a="1"/>
  <c r="V707" i="31" s="1"/>
  <c r="W707" i="31" s="1"/>
  <c r="V743" i="31" a="1"/>
  <c r="V743" i="31" s="1"/>
  <c r="W743" i="31" s="1"/>
  <c r="V779" i="31" a="1"/>
  <c r="V779" i="31" s="1"/>
  <c r="W779" i="31" s="1"/>
  <c r="V815" i="31" a="1"/>
  <c r="V815" i="31" s="1"/>
  <c r="W815" i="31" s="1"/>
  <c r="V851" i="31" a="1"/>
  <c r="V851" i="31" s="1"/>
  <c r="W851" i="31" s="1"/>
  <c r="V923" i="31" a="1"/>
  <c r="V923" i="31" s="1"/>
  <c r="W923" i="31" s="1"/>
  <c r="V959" i="31" a="1"/>
  <c r="V959" i="31" s="1"/>
  <c r="W959" i="31" s="1"/>
  <c r="V1031" i="31" a="1"/>
  <c r="V1031" i="31" s="1"/>
  <c r="W1031" i="31" s="1"/>
  <c r="V1067" i="31" a="1"/>
  <c r="V1067" i="31" s="1"/>
  <c r="W1067" i="31" s="1"/>
  <c r="V1103" i="31" a="1"/>
  <c r="V1103" i="31" s="1"/>
  <c r="W1103" i="31" s="1"/>
  <c r="V1139" i="31" a="1"/>
  <c r="V1139" i="31" s="1"/>
  <c r="W1139" i="31" s="1"/>
  <c r="V1175" i="31" a="1"/>
  <c r="V1175" i="31" s="1"/>
  <c r="W1175" i="31" s="1"/>
  <c r="V1247" i="31" a="1"/>
  <c r="V1247" i="31" s="1"/>
  <c r="W1247" i="31" s="1"/>
  <c r="V1391" i="31" a="1"/>
  <c r="V1391" i="31" s="1"/>
  <c r="W1391" i="31" s="1"/>
  <c r="V1463" i="31" a="1"/>
  <c r="V1463" i="31" s="1"/>
  <c r="W1463" i="31" s="1"/>
  <c r="V1499" i="31" a="1"/>
  <c r="V1499" i="31" s="1"/>
  <c r="W1499" i="31" s="1"/>
  <c r="V1535" i="31" a="1"/>
  <c r="V1535" i="31" s="1"/>
  <c r="W1535" i="31" s="1"/>
  <c r="V1607" i="31" a="1"/>
  <c r="V1607" i="31" s="1"/>
  <c r="W1607" i="31" s="1"/>
  <c r="V1643" i="31" a="1"/>
  <c r="V1643" i="31" s="1"/>
  <c r="W1643" i="31" s="1"/>
  <c r="V1715" i="31" a="1"/>
  <c r="V1715" i="31" s="1"/>
  <c r="W1715" i="31" s="1"/>
  <c r="V1751" i="31" a="1"/>
  <c r="V1751" i="31" s="1"/>
  <c r="W1751" i="31" s="1"/>
  <c r="V1823" i="31" a="1"/>
  <c r="V1823" i="31" s="1"/>
  <c r="W1823" i="31" s="1"/>
  <c r="V464" i="31" a="1"/>
  <c r="V464" i="31" s="1"/>
  <c r="W464" i="31" s="1"/>
  <c r="V500" i="31" a="1"/>
  <c r="V500" i="31" s="1"/>
  <c r="W500" i="31" s="1"/>
  <c r="V572" i="31" a="1"/>
  <c r="V572" i="31" s="1"/>
  <c r="W572" i="31" s="1"/>
  <c r="V824" i="31" a="1"/>
  <c r="V824" i="31" s="1"/>
  <c r="W824" i="31" s="1"/>
  <c r="V860" i="31" a="1"/>
  <c r="V860" i="31" s="1"/>
  <c r="W860" i="31" s="1"/>
  <c r="V1049" i="31" a="1"/>
  <c r="V1049" i="31" s="1"/>
  <c r="W1049" i="31" s="1"/>
  <c r="V1085" i="31" a="1"/>
  <c r="V1085" i="31" s="1"/>
  <c r="W1085" i="31" s="1"/>
  <c r="V1157" i="31" a="1"/>
  <c r="V1157" i="31" s="1"/>
  <c r="W1157" i="31" s="1"/>
  <c r="V1409" i="31" a="1"/>
  <c r="V1409" i="31" s="1"/>
  <c r="W1409" i="31" s="1"/>
  <c r="V1445" i="31" a="1"/>
  <c r="V1445" i="31" s="1"/>
  <c r="W1445" i="31" s="1"/>
  <c r="V1481" i="31" a="1"/>
  <c r="V1481" i="31" s="1"/>
  <c r="W1481" i="31" s="1"/>
  <c r="V1517" i="31" a="1"/>
  <c r="V1517" i="31" s="1"/>
  <c r="W1517" i="31" s="1"/>
  <c r="V1553" i="31" a="1"/>
  <c r="V1553" i="31" s="1"/>
  <c r="W1553" i="31" s="1"/>
  <c r="V1580" i="31" a="1"/>
  <c r="V1580" i="31" s="1"/>
  <c r="W1580" i="31" s="1"/>
  <c r="V1616" i="31" a="1"/>
  <c r="V1616" i="31" s="1"/>
  <c r="W1616" i="31" s="1"/>
  <c r="V1688" i="31" a="1"/>
  <c r="V1688" i="31" s="1"/>
  <c r="W1688" i="31" s="1"/>
  <c r="V1724" i="31" a="1"/>
  <c r="V1724" i="31" s="1"/>
  <c r="W1724" i="31" s="1"/>
  <c r="V176" i="31" a="1"/>
  <c r="V176" i="31" s="1"/>
  <c r="W176" i="31" s="1"/>
  <c r="V716" i="31" a="1"/>
  <c r="V716" i="31" s="1"/>
  <c r="W716" i="31" s="1"/>
  <c r="V932" i="31" a="1"/>
  <c r="V932" i="31" s="1"/>
  <c r="W932" i="31" s="1"/>
  <c r="V1868" i="31" a="1"/>
  <c r="V1868" i="31" s="1"/>
  <c r="W1868" i="31" s="1"/>
  <c r="V140" i="31" a="1"/>
  <c r="V140" i="31" s="1"/>
  <c r="W140" i="31" s="1"/>
  <c r="V1328" i="31" a="1"/>
  <c r="V1328" i="31" s="1"/>
  <c r="W1328" i="31" s="1"/>
  <c r="V1733" i="31" a="1"/>
  <c r="V1733" i="31" s="1"/>
  <c r="W1733" i="31" s="1"/>
  <c r="V1760" i="31" a="1"/>
  <c r="V1760" i="31" s="1"/>
  <c r="W1760" i="31" s="1"/>
  <c r="V284" i="31" a="1"/>
  <c r="V284" i="31" s="1"/>
  <c r="W284" i="31" s="1"/>
  <c r="V320" i="31" a="1"/>
  <c r="V320" i="31" s="1"/>
  <c r="W320" i="31" s="1"/>
  <c r="V356" i="31" a="1"/>
  <c r="V356" i="31" s="1"/>
  <c r="W356" i="31" s="1"/>
  <c r="V392" i="31" a="1"/>
  <c r="V392" i="31" s="1"/>
  <c r="W392" i="31" s="1"/>
  <c r="V941" i="31" a="1"/>
  <c r="V941" i="31" s="1"/>
  <c r="W941" i="31" s="1"/>
  <c r="V1004" i="31" a="1"/>
  <c r="V1004" i="31" s="1"/>
  <c r="W1004" i="31" s="1"/>
  <c r="V1040" i="31" a="1"/>
  <c r="V1040" i="31" s="1"/>
  <c r="W1040" i="31" s="1"/>
  <c r="V1076" i="31" a="1"/>
  <c r="V1076" i="31" s="1"/>
  <c r="W1076" i="31" s="1"/>
  <c r="V1148" i="31" a="1"/>
  <c r="V1148" i="31" s="1"/>
  <c r="W1148" i="31" s="1"/>
  <c r="V1373" i="31" a="1"/>
  <c r="V1373" i="31" s="1"/>
  <c r="W1373" i="31" s="1"/>
  <c r="V1400" i="31" a="1"/>
  <c r="V1400" i="31" s="1"/>
  <c r="W1400" i="31" s="1"/>
  <c r="V1436" i="31" a="1"/>
  <c r="V1436" i="31" s="1"/>
  <c r="W1436" i="31" s="1"/>
  <c r="V1472" i="31" a="1"/>
  <c r="V1472" i="31" s="1"/>
  <c r="W1472" i="31" s="1"/>
  <c r="V1508" i="31" a="1"/>
  <c r="V1508" i="31" s="1"/>
  <c r="W1508" i="31" s="1"/>
  <c r="V1769" i="31" a="1"/>
  <c r="V1769" i="31" s="1"/>
  <c r="W1769" i="31" s="1"/>
  <c r="V1805" i="31" a="1"/>
  <c r="V1805" i="31" s="1"/>
  <c r="W1805" i="31" s="1"/>
  <c r="V644" i="31" a="1"/>
  <c r="V644" i="31" s="1"/>
  <c r="W644" i="31" s="1"/>
  <c r="V752" i="31" a="1"/>
  <c r="V752" i="31" s="1"/>
  <c r="W752" i="31" s="1"/>
  <c r="V1229" i="31" a="1"/>
  <c r="V1229" i="31" s="1"/>
  <c r="W1229" i="31" s="1"/>
  <c r="V608" i="31" a="1"/>
  <c r="V608" i="31" s="1"/>
  <c r="W608" i="31" s="1"/>
  <c r="V1292" i="31" a="1"/>
  <c r="V1292" i="31" s="1"/>
  <c r="W1292" i="31" s="1"/>
  <c r="V1697" i="31" a="1"/>
  <c r="V1697" i="31" s="1"/>
  <c r="W1697" i="31" s="1"/>
  <c r="V680" i="31" a="1"/>
  <c r="V680" i="31" s="1"/>
  <c r="W680" i="31" s="1"/>
  <c r="V788" i="31" a="1"/>
  <c r="V788" i="31" s="1"/>
  <c r="W788" i="31" s="1"/>
  <c r="V32" i="31" a="1"/>
  <c r="V32" i="31" s="1"/>
  <c r="W32" i="31" s="1"/>
  <c r="V1220" i="31" a="1"/>
  <c r="V1220" i="31" s="1"/>
  <c r="W1220" i="31" s="1"/>
  <c r="V1364" i="31" a="1"/>
  <c r="V1364" i="31" s="1"/>
  <c r="W1364" i="31" s="1"/>
  <c r="V1661" i="31" a="1"/>
  <c r="V1661" i="31" s="1"/>
  <c r="W1661" i="31" s="1"/>
  <c r="V1571" i="31" a="1"/>
  <c r="V1571" i="31" s="1"/>
  <c r="W1571" i="31" s="1"/>
  <c r="V105" i="31" a="1"/>
  <c r="V105" i="31" s="1"/>
  <c r="W105" i="31" s="1"/>
  <c r="V213" i="31" a="1"/>
  <c r="V213" i="31" s="1"/>
  <c r="W213" i="31" s="1"/>
  <c r="V150" i="31" a="1"/>
  <c r="V150" i="31" s="1"/>
  <c r="W150" i="31" s="1"/>
  <c r="V978" i="31" a="1"/>
  <c r="V978" i="31" s="1"/>
  <c r="W978" i="31" s="1"/>
  <c r="V1878" i="31" a="1"/>
  <c r="V1878" i="31" s="1"/>
  <c r="W1878" i="31" s="1"/>
  <c r="V555" i="31" a="1"/>
  <c r="V555" i="31" s="1"/>
  <c r="W555" i="31" s="1"/>
  <c r="V699" i="31" a="1"/>
  <c r="V699" i="31" s="1"/>
  <c r="W699" i="31" s="1"/>
  <c r="V1167" i="31" a="1"/>
  <c r="V1167" i="31" s="1"/>
  <c r="W1167" i="31" s="1"/>
  <c r="V1221" i="31" a="1"/>
  <c r="V1221" i="31" s="1"/>
  <c r="W1221" i="31" s="1"/>
  <c r="V456" i="31" a="1"/>
  <c r="V456" i="31" s="1"/>
  <c r="W456" i="31" s="1"/>
  <c r="V1248" i="31" a="1"/>
  <c r="V1248" i="31" s="1"/>
  <c r="W1248" i="31" s="1"/>
  <c r="V1905" i="31" a="1"/>
  <c r="V1905" i="31" s="1"/>
  <c r="W1905" i="31" s="1"/>
  <c r="V1428" i="31" a="1"/>
  <c r="V1428" i="31" s="1"/>
  <c r="W1428" i="31" s="1"/>
  <c r="V276" i="31" a="1"/>
  <c r="V276" i="31" s="1"/>
  <c r="W276" i="31" s="1"/>
  <c r="V1149" i="31" a="1"/>
  <c r="V1149" i="31" s="1"/>
  <c r="W1149" i="31" s="1"/>
  <c r="V1788" i="31" a="1"/>
  <c r="V1788" i="31" s="1"/>
  <c r="W1788" i="31" s="1"/>
  <c r="V969" i="31" a="1"/>
  <c r="V969" i="31" s="1"/>
  <c r="W969" i="31" s="1"/>
  <c r="V33" i="31" a="1"/>
  <c r="V33" i="31" s="1"/>
  <c r="W33" i="31" s="1"/>
  <c r="V69" i="31" a="1"/>
  <c r="V69" i="31" s="1"/>
  <c r="W69" i="31" s="1"/>
  <c r="V141" i="31" a="1"/>
  <c r="V141" i="31" s="1"/>
  <c r="W141" i="31" s="1"/>
  <c r="V249" i="31" a="1"/>
  <c r="V249" i="31" s="1"/>
  <c r="W249" i="31" s="1"/>
  <c r="V285" i="31" a="1"/>
  <c r="V285" i="31" s="1"/>
  <c r="W285" i="31" s="1"/>
  <c r="V321" i="31" a="1"/>
  <c r="V321" i="31" s="1"/>
  <c r="W321" i="31" s="1"/>
  <c r="V357" i="31" a="1"/>
  <c r="V357" i="31" s="1"/>
  <c r="W357" i="31" s="1"/>
  <c r="V393" i="31" a="1"/>
  <c r="V393" i="31" s="1"/>
  <c r="W393" i="31" s="1"/>
  <c r="V429" i="31" a="1"/>
  <c r="V429" i="31" s="1"/>
  <c r="W429" i="31" s="1"/>
  <c r="V465" i="31" a="1"/>
  <c r="V465" i="31" s="1"/>
  <c r="W465" i="31" s="1"/>
  <c r="V501" i="31" a="1"/>
  <c r="V501" i="31" s="1"/>
  <c r="W501" i="31" s="1"/>
  <c r="V537" i="31" a="1"/>
  <c r="V537" i="31" s="1"/>
  <c r="W537" i="31" s="1"/>
  <c r="V573" i="31" a="1"/>
  <c r="V573" i="31" s="1"/>
  <c r="W573" i="31" s="1"/>
  <c r="V609" i="31" a="1"/>
  <c r="V609" i="31" s="1"/>
  <c r="W609" i="31" s="1"/>
  <c r="V645" i="31" a="1"/>
  <c r="V645" i="31" s="1"/>
  <c r="W645" i="31" s="1"/>
  <c r="V681" i="31" a="1"/>
  <c r="V681" i="31" s="1"/>
  <c r="W681" i="31" s="1"/>
  <c r="V717" i="31" a="1"/>
  <c r="V717" i="31" s="1"/>
  <c r="W717" i="31" s="1"/>
  <c r="V753" i="31" a="1"/>
  <c r="V753" i="31" s="1"/>
  <c r="W753" i="31" s="1"/>
  <c r="V789" i="31" a="1"/>
  <c r="V789" i="31" s="1"/>
  <c r="W789" i="31" s="1"/>
  <c r="V825" i="31" a="1"/>
  <c r="V825" i="31" s="1"/>
  <c r="W825" i="31" s="1"/>
  <c r="V861" i="31" a="1"/>
  <c r="V861" i="31" s="1"/>
  <c r="W861" i="31" s="1"/>
  <c r="V6" i="31" a="1"/>
  <c r="V6" i="31" s="1"/>
  <c r="W6" i="31" s="1"/>
  <c r="V42" i="31" a="1"/>
  <c r="V42" i="31" s="1"/>
  <c r="W42" i="31" s="1"/>
  <c r="V78" i="31" a="1"/>
  <c r="V78" i="31" s="1"/>
  <c r="W78" i="31" s="1"/>
  <c r="V114" i="31" a="1"/>
  <c r="V114" i="31" s="1"/>
  <c r="W114" i="31" s="1"/>
  <c r="V186" i="31" a="1"/>
  <c r="V186" i="31" s="1"/>
  <c r="W186" i="31" s="1"/>
  <c r="V222" i="31" a="1"/>
  <c r="V222" i="31" s="1"/>
  <c r="W222" i="31" s="1"/>
  <c r="V258" i="31" a="1"/>
  <c r="V258" i="31" s="1"/>
  <c r="W258" i="31" s="1"/>
  <c r="V330" i="31" a="1"/>
  <c r="V330" i="31" s="1"/>
  <c r="W330" i="31" s="1"/>
  <c r="V366" i="31" a="1"/>
  <c r="V366" i="31" s="1"/>
  <c r="W366" i="31" s="1"/>
  <c r="V402" i="31" a="1"/>
  <c r="V402" i="31" s="1"/>
  <c r="W402" i="31" s="1"/>
  <c r="V438" i="31" a="1"/>
  <c r="V438" i="31" s="1"/>
  <c r="W438" i="31" s="1"/>
  <c r="V474" i="31" a="1"/>
  <c r="V474" i="31" s="1"/>
  <c r="W474" i="31" s="1"/>
  <c r="V510" i="31" a="1"/>
  <c r="V510" i="31" s="1"/>
  <c r="W510" i="31" s="1"/>
  <c r="V546" i="31" a="1"/>
  <c r="V546" i="31" s="1"/>
  <c r="W546" i="31" s="1"/>
  <c r="V582" i="31" a="1"/>
  <c r="V582" i="31" s="1"/>
  <c r="W582" i="31" s="1"/>
  <c r="V618" i="31" a="1"/>
  <c r="V618" i="31" s="1"/>
  <c r="W618" i="31" s="1"/>
  <c r="V654" i="31" a="1"/>
  <c r="V654" i="31" s="1"/>
  <c r="W654" i="31" s="1"/>
  <c r="V690" i="31" a="1"/>
  <c r="V690" i="31" s="1"/>
  <c r="W690" i="31" s="1"/>
  <c r="V726" i="31" a="1"/>
  <c r="V726" i="31" s="1"/>
  <c r="W726" i="31" s="1"/>
  <c r="V762" i="31" a="1"/>
  <c r="V762" i="31" s="1"/>
  <c r="W762" i="31" s="1"/>
  <c r="V798" i="31" a="1"/>
  <c r="V798" i="31" s="1"/>
  <c r="W798" i="31" s="1"/>
  <c r="V834" i="31" a="1"/>
  <c r="V834" i="31" s="1"/>
  <c r="W834" i="31" s="1"/>
  <c r="V870" i="31" a="1"/>
  <c r="V870" i="31" s="1"/>
  <c r="W870" i="31" s="1"/>
  <c r="V906" i="31" a="1"/>
  <c r="V906" i="31" s="1"/>
  <c r="W906" i="31" s="1"/>
  <c r="V942" i="31" a="1"/>
  <c r="V942" i="31" s="1"/>
  <c r="W942" i="31" s="1"/>
  <c r="V1014" i="31" a="1"/>
  <c r="V1014" i="31" s="1"/>
  <c r="W1014" i="31" s="1"/>
  <c r="V1050" i="31" a="1"/>
  <c r="V1050" i="31" s="1"/>
  <c r="W1050" i="31" s="1"/>
  <c r="V1086" i="31" a="1"/>
  <c r="V1086" i="31" s="1"/>
  <c r="W1086" i="31" s="1"/>
  <c r="V1122" i="31" a="1"/>
  <c r="V1122" i="31" s="1"/>
  <c r="W1122" i="31" s="1"/>
  <c r="V1158" i="31" a="1"/>
  <c r="V1158" i="31" s="1"/>
  <c r="W1158" i="31" s="1"/>
  <c r="V1194" i="31" a="1"/>
  <c r="V1194" i="31" s="1"/>
  <c r="W1194" i="31" s="1"/>
  <c r="V1230" i="31" a="1"/>
  <c r="V1230" i="31" s="1"/>
  <c r="W1230" i="31" s="1"/>
  <c r="V1266" i="31" a="1"/>
  <c r="V1266" i="31" s="1"/>
  <c r="W1266" i="31" s="1"/>
  <c r="V1302" i="31" a="1"/>
  <c r="V1302" i="31" s="1"/>
  <c r="W1302" i="31" s="1"/>
  <c r="V1338" i="31" a="1"/>
  <c r="V1338" i="31" s="1"/>
  <c r="W1338" i="31" s="1"/>
  <c r="V1374" i="31" a="1"/>
  <c r="V1374" i="31" s="1"/>
  <c r="W1374" i="31" s="1"/>
  <c r="V1410" i="31" a="1"/>
  <c r="V1410" i="31" s="1"/>
  <c r="W1410" i="31" s="1"/>
  <c r="V1446" i="31" a="1"/>
  <c r="V1446" i="31" s="1"/>
  <c r="W1446" i="31" s="1"/>
  <c r="V1482" i="31" a="1"/>
  <c r="V1482" i="31" s="1"/>
  <c r="W1482" i="31" s="1"/>
  <c r="V1518" i="31" a="1"/>
  <c r="V1518" i="31" s="1"/>
  <c r="W1518" i="31" s="1"/>
  <c r="V1554" i="31" a="1"/>
  <c r="V1554" i="31" s="1"/>
  <c r="W1554" i="31" s="1"/>
  <c r="V1590" i="31" a="1"/>
  <c r="V1590" i="31" s="1"/>
  <c r="W1590" i="31" s="1"/>
  <c r="V1626" i="31" a="1"/>
  <c r="V1626" i="31" s="1"/>
  <c r="W1626" i="31" s="1"/>
  <c r="V1662" i="31" a="1"/>
  <c r="V1662" i="31" s="1"/>
  <c r="W1662" i="31" s="1"/>
  <c r="V1698" i="31" a="1"/>
  <c r="V1698" i="31" s="1"/>
  <c r="W1698" i="31" s="1"/>
  <c r="V1734" i="31" a="1"/>
  <c r="V1734" i="31" s="1"/>
  <c r="W1734" i="31" s="1"/>
  <c r="V1770" i="31" a="1"/>
  <c r="V1770" i="31" s="1"/>
  <c r="W1770" i="31" s="1"/>
  <c r="V1806" i="31" a="1"/>
  <c r="V1806" i="31" s="1"/>
  <c r="W1806" i="31" s="1"/>
  <c r="V1842" i="31" a="1"/>
  <c r="V1842" i="31" s="1"/>
  <c r="W1842" i="31" s="1"/>
  <c r="V15" i="31" a="1"/>
  <c r="V15" i="31" s="1"/>
  <c r="W15" i="31" s="1"/>
  <c r="V51" i="31" a="1"/>
  <c r="V51" i="31" s="1"/>
  <c r="W51" i="31" s="1"/>
  <c r="V87" i="31" a="1"/>
  <c r="V87" i="31" s="1"/>
  <c r="W87" i="31" s="1"/>
  <c r="V123" i="31" a="1"/>
  <c r="V123" i="31" s="1"/>
  <c r="W123" i="31" s="1"/>
  <c r="V159" i="31" a="1"/>
  <c r="V159" i="31" s="1"/>
  <c r="W159" i="31" s="1"/>
  <c r="V195" i="31" a="1"/>
  <c r="V195" i="31" s="1"/>
  <c r="W195" i="31" s="1"/>
  <c r="V231" i="31" a="1"/>
  <c r="V231" i="31" s="1"/>
  <c r="W231" i="31" s="1"/>
  <c r="V267" i="31" a="1"/>
  <c r="V267" i="31" s="1"/>
  <c r="W267" i="31" s="1"/>
  <c r="V303" i="31" a="1"/>
  <c r="V303" i="31" s="1"/>
  <c r="W303" i="31" s="1"/>
  <c r="V339" i="31" a="1"/>
  <c r="V339" i="31" s="1"/>
  <c r="W339" i="31" s="1"/>
  <c r="V375" i="31" a="1"/>
  <c r="V375" i="31" s="1"/>
  <c r="W375" i="31" s="1"/>
  <c r="V411" i="31" a="1"/>
  <c r="V411" i="31" s="1"/>
  <c r="W411" i="31" s="1"/>
  <c r="V447" i="31" a="1"/>
  <c r="V447" i="31" s="1"/>
  <c r="W447" i="31" s="1"/>
  <c r="V483" i="31" a="1"/>
  <c r="V483" i="31" s="1"/>
  <c r="W483" i="31" s="1"/>
  <c r="V519" i="31" a="1"/>
  <c r="V519" i="31" s="1"/>
  <c r="W519" i="31" s="1"/>
  <c r="V591" i="31" a="1"/>
  <c r="V591" i="31" s="1"/>
  <c r="W591" i="31" s="1"/>
  <c r="V627" i="31" a="1"/>
  <c r="V627" i="31" s="1"/>
  <c r="W627" i="31" s="1"/>
  <c r="V663" i="31" a="1"/>
  <c r="V663" i="31" s="1"/>
  <c r="W663" i="31" s="1"/>
  <c r="V735" i="31" a="1"/>
  <c r="V735" i="31" s="1"/>
  <c r="W735" i="31" s="1"/>
  <c r="V771" i="31" a="1"/>
  <c r="V771" i="31" s="1"/>
  <c r="W771" i="31" s="1"/>
  <c r="V843" i="31" a="1"/>
  <c r="V843" i="31" s="1"/>
  <c r="W843" i="31" s="1"/>
  <c r="V879" i="31" a="1"/>
  <c r="V879" i="31" s="1"/>
  <c r="W879" i="31" s="1"/>
  <c r="V915" i="31" a="1"/>
  <c r="V915" i="31" s="1"/>
  <c r="W915" i="31" s="1"/>
  <c r="V951" i="31" a="1"/>
  <c r="V951" i="31" s="1"/>
  <c r="W951" i="31" s="1"/>
  <c r="V987" i="31" a="1"/>
  <c r="V987" i="31" s="1"/>
  <c r="W987" i="31" s="1"/>
  <c r="V1023" i="31" a="1"/>
  <c r="V1023" i="31" s="1"/>
  <c r="W1023" i="31" s="1"/>
  <c r="V1059" i="31" a="1"/>
  <c r="V1059" i="31" s="1"/>
  <c r="W1059" i="31" s="1"/>
  <c r="V1095" i="31" a="1"/>
  <c r="V1095" i="31" s="1"/>
  <c r="W1095" i="31" s="1"/>
  <c r="V1131" i="31" a="1"/>
  <c r="V1131" i="31" s="1"/>
  <c r="W1131" i="31" s="1"/>
  <c r="V1203" i="31" a="1"/>
  <c r="V1203" i="31" s="1"/>
  <c r="W1203" i="31" s="1"/>
  <c r="V1239" i="31" a="1"/>
  <c r="V1239" i="31" s="1"/>
  <c r="W1239" i="31" s="1"/>
  <c r="V1275" i="31" a="1"/>
  <c r="V1275" i="31" s="1"/>
  <c r="W1275" i="31" s="1"/>
  <c r="V1311" i="31" a="1"/>
  <c r="V1311" i="31" s="1"/>
  <c r="W1311" i="31" s="1"/>
  <c r="V1347" i="31" a="1"/>
  <c r="V1347" i="31" s="1"/>
  <c r="W1347" i="31" s="1"/>
  <c r="V1419" i="31" a="1"/>
  <c r="V1419" i="31" s="1"/>
  <c r="W1419" i="31" s="1"/>
  <c r="V1455" i="31" a="1"/>
  <c r="V1455" i="31" s="1"/>
  <c r="W1455" i="31" s="1"/>
  <c r="V1491" i="31" a="1"/>
  <c r="V1491" i="31" s="1"/>
  <c r="W1491" i="31" s="1"/>
  <c r="V1527" i="31" a="1"/>
  <c r="V1527" i="31" s="1"/>
  <c r="W1527" i="31" s="1"/>
  <c r="V1563" i="31" a="1"/>
  <c r="V1563" i="31" s="1"/>
  <c r="W1563" i="31" s="1"/>
  <c r="V1599" i="31" a="1"/>
  <c r="V1599" i="31" s="1"/>
  <c r="W1599" i="31" s="1"/>
  <c r="V1635" i="31" a="1"/>
  <c r="V1635" i="31" s="1"/>
  <c r="W1635" i="31" s="1"/>
  <c r="V1671" i="31" a="1"/>
  <c r="V1671" i="31" s="1"/>
  <c r="W1671" i="31" s="1"/>
  <c r="V1707" i="31" a="1"/>
  <c r="V1707" i="31" s="1"/>
  <c r="W1707" i="31" s="1"/>
  <c r="V1743" i="31" a="1"/>
  <c r="V1743" i="31" s="1"/>
  <c r="W1743" i="31" s="1"/>
  <c r="V1779" i="31" a="1"/>
  <c r="V1779" i="31" s="1"/>
  <c r="W1779" i="31" s="1"/>
  <c r="V1815" i="31" a="1"/>
  <c r="V1815" i="31" s="1"/>
  <c r="W1815" i="31" s="1"/>
  <c r="V1851" i="31" a="1"/>
  <c r="V1851" i="31" s="1"/>
  <c r="W1851" i="31" s="1"/>
  <c r="V1887" i="31" a="1"/>
  <c r="V1887" i="31" s="1"/>
  <c r="W1887" i="31" s="1"/>
  <c r="V168" i="31" a="1"/>
  <c r="V168" i="31" s="1"/>
  <c r="W168" i="31" s="1"/>
  <c r="V636" i="31" a="1"/>
  <c r="V636" i="31" s="1"/>
  <c r="W636" i="31" s="1"/>
  <c r="V672" i="31" a="1"/>
  <c r="V672" i="31" s="1"/>
  <c r="W672" i="31" s="1"/>
  <c r="V708" i="31" a="1"/>
  <c r="V708" i="31" s="1"/>
  <c r="W708" i="31" s="1"/>
  <c r="V744" i="31" a="1"/>
  <c r="V744" i="31" s="1"/>
  <c r="W744" i="31" s="1"/>
  <c r="V780" i="31" a="1"/>
  <c r="V780" i="31" s="1"/>
  <c r="W780" i="31" s="1"/>
  <c r="V1257" i="31" a="1"/>
  <c r="V1257" i="31" s="1"/>
  <c r="W1257" i="31" s="1"/>
  <c r="V1293" i="31" a="1"/>
  <c r="V1293" i="31" s="1"/>
  <c r="W1293" i="31" s="1"/>
  <c r="V1329" i="31" a="1"/>
  <c r="V1329" i="31" s="1"/>
  <c r="W1329" i="31" s="1"/>
  <c r="V1365" i="31" a="1"/>
  <c r="V1365" i="31" s="1"/>
  <c r="W1365" i="31" s="1"/>
  <c r="V1608" i="31" a="1"/>
  <c r="V1608" i="31" s="1"/>
  <c r="W1608" i="31" s="1"/>
  <c r="V1644" i="31" a="1"/>
  <c r="V1644" i="31" s="1"/>
  <c r="W1644" i="31" s="1"/>
  <c r="V1680" i="31" a="1"/>
  <c r="V1680" i="31" s="1"/>
  <c r="W1680" i="31" s="1"/>
  <c r="V1716" i="31" a="1"/>
  <c r="V1716" i="31" s="1"/>
  <c r="W1716" i="31" s="1"/>
  <c r="V1752" i="31" a="1"/>
  <c r="V1752" i="31" s="1"/>
  <c r="W1752" i="31" s="1"/>
  <c r="V1761" i="31" a="1"/>
  <c r="V1761" i="31" s="1"/>
  <c r="W1761" i="31" s="1"/>
  <c r="V924" i="31" a="1"/>
  <c r="V924" i="31" s="1"/>
  <c r="W924" i="31" s="1"/>
  <c r="V1077" i="31" a="1"/>
  <c r="V1077" i="31" s="1"/>
  <c r="W1077" i="31" s="1"/>
  <c r="V1437" i="31" a="1"/>
  <c r="V1437" i="31" s="1"/>
  <c r="W1437" i="31" s="1"/>
  <c r="V1473" i="31" a="1"/>
  <c r="V1473" i="31" s="1"/>
  <c r="W1473" i="31" s="1"/>
  <c r="V1509" i="31" a="1"/>
  <c r="V1509" i="31" s="1"/>
  <c r="W1509" i="31" s="1"/>
  <c r="V1860" i="31" a="1"/>
  <c r="V1860" i="31" s="1"/>
  <c r="W1860" i="31" s="1"/>
  <c r="V204" i="31" a="1"/>
  <c r="V204" i="31" s="1"/>
  <c r="W204" i="31" s="1"/>
  <c r="V348" i="31" a="1"/>
  <c r="V348" i="31" s="1"/>
  <c r="W348" i="31" s="1"/>
  <c r="V420" i="31" a="1"/>
  <c r="V420" i="31" s="1"/>
  <c r="W420" i="31" s="1"/>
  <c r="V1869" i="31" a="1"/>
  <c r="V1869" i="31" s="1"/>
  <c r="W1869" i="31" s="1"/>
  <c r="V24" i="31" a="1"/>
  <c r="V24" i="31" s="1"/>
  <c r="W24" i="31" s="1"/>
  <c r="V60" i="31" a="1"/>
  <c r="V60" i="31" s="1"/>
  <c r="W60" i="31" s="1"/>
  <c r="V96" i="31" a="1"/>
  <c r="V96" i="31" s="1"/>
  <c r="W96" i="31" s="1"/>
  <c r="V132" i="31" a="1"/>
  <c r="V132" i="31" s="1"/>
  <c r="W132" i="31" s="1"/>
  <c r="V1032" i="31" a="1"/>
  <c r="V1032" i="31" s="1"/>
  <c r="W1032" i="31" s="1"/>
  <c r="V1068" i="31" a="1"/>
  <c r="V1068" i="31" s="1"/>
  <c r="W1068" i="31" s="1"/>
  <c r="V1104" i="31" a="1"/>
  <c r="V1104" i="31" s="1"/>
  <c r="W1104" i="31" s="1"/>
  <c r="V1140" i="31" a="1"/>
  <c r="V1140" i="31" s="1"/>
  <c r="W1140" i="31" s="1"/>
  <c r="V1176" i="31" a="1"/>
  <c r="V1176" i="31" s="1"/>
  <c r="W1176" i="31" s="1"/>
  <c r="V1185" i="31" a="1"/>
  <c r="V1185" i="31" s="1"/>
  <c r="W1185" i="31" s="1"/>
  <c r="V1392" i="31" a="1"/>
  <c r="V1392" i="31" s="1"/>
  <c r="W1392" i="31" s="1"/>
  <c r="V1464" i="31" a="1"/>
  <c r="V1464" i="31" s="1"/>
  <c r="W1464" i="31" s="1"/>
  <c r="V1500" i="31" a="1"/>
  <c r="V1500" i="31" s="1"/>
  <c r="W1500" i="31" s="1"/>
  <c r="V1536" i="31" a="1"/>
  <c r="V1536" i="31" s="1"/>
  <c r="W1536" i="31" s="1"/>
  <c r="V1572" i="31" a="1"/>
  <c r="V1572" i="31" s="1"/>
  <c r="W1572" i="31" s="1"/>
  <c r="V1581" i="31" a="1"/>
  <c r="V1581" i="31" s="1"/>
  <c r="W1581" i="31" s="1"/>
  <c r="V1617" i="31" a="1"/>
  <c r="V1617" i="31" s="1"/>
  <c r="W1617" i="31" s="1"/>
  <c r="V1653" i="31" a="1"/>
  <c r="V1653" i="31" s="1"/>
  <c r="W1653" i="31" s="1"/>
  <c r="V1689" i="31" a="1"/>
  <c r="V1689" i="31" s="1"/>
  <c r="W1689" i="31" s="1"/>
  <c r="V1725" i="31" a="1"/>
  <c r="V1725" i="31" s="1"/>
  <c r="W1725" i="31" s="1"/>
  <c r="V492" i="31" a="1"/>
  <c r="V492" i="31" s="1"/>
  <c r="W492" i="31" s="1"/>
  <c r="V528" i="31" a="1"/>
  <c r="V528" i="31" s="1"/>
  <c r="W528" i="31" s="1"/>
  <c r="V564" i="31" a="1"/>
  <c r="V564" i="31" s="1"/>
  <c r="W564" i="31" s="1"/>
  <c r="V600" i="31" a="1"/>
  <c r="V600" i="31" s="1"/>
  <c r="W600" i="31" s="1"/>
  <c r="V888" i="31" a="1"/>
  <c r="V888" i="31" s="1"/>
  <c r="W888" i="31" s="1"/>
  <c r="V960" i="31" a="1"/>
  <c r="V960" i="31" s="1"/>
  <c r="W960" i="31" s="1"/>
  <c r="V1041" i="31" a="1"/>
  <c r="V1041" i="31" s="1"/>
  <c r="W1041" i="31" s="1"/>
  <c r="V1401" i="31" a="1"/>
  <c r="V1401" i="31" s="1"/>
  <c r="W1401" i="31" s="1"/>
  <c r="V1545" i="31" a="1"/>
  <c r="V1545" i="31" s="1"/>
  <c r="W1545" i="31" s="1"/>
  <c r="V1824" i="31" a="1"/>
  <c r="V1824" i="31" s="1"/>
  <c r="W1824" i="31" s="1"/>
  <c r="V240" i="31" a="1"/>
  <c r="V240" i="31" s="1"/>
  <c r="W240" i="31" s="1"/>
  <c r="V312" i="31" a="1"/>
  <c r="V312" i="31" s="1"/>
  <c r="W312" i="31" s="1"/>
  <c r="V384" i="31" a="1"/>
  <c r="V384" i="31" s="1"/>
  <c r="W384" i="31" s="1"/>
  <c r="V1320" i="31" a="1"/>
  <c r="V1320" i="31" s="1"/>
  <c r="W1320" i="31" s="1"/>
  <c r="V1356" i="31" a="1"/>
  <c r="V1356" i="31" s="1"/>
  <c r="W1356" i="31" s="1"/>
  <c r="V1797" i="31" a="1"/>
  <c r="V1797" i="31" s="1"/>
  <c r="W1797" i="31" s="1"/>
  <c r="V1833" i="31" a="1"/>
  <c r="V1833" i="31" s="1"/>
  <c r="W1833" i="31" s="1"/>
  <c r="V816" i="31" a="1"/>
  <c r="V816" i="31" s="1"/>
  <c r="W816" i="31" s="1"/>
  <c r="V852" i="31" a="1"/>
  <c r="V852" i="31" s="1"/>
  <c r="W852" i="31" s="1"/>
  <c r="V996" i="31" a="1"/>
  <c r="V996" i="31" s="1"/>
  <c r="W996" i="31" s="1"/>
  <c r="V1005" i="31" a="1"/>
  <c r="V1005" i="31" s="1"/>
  <c r="W1005" i="31" s="1"/>
  <c r="V1896" i="31" a="1"/>
  <c r="V1896" i="31" s="1"/>
  <c r="W1896" i="31" s="1"/>
  <c r="V897" i="31" a="1"/>
  <c r="V897" i="31" s="1"/>
  <c r="W897" i="31" s="1"/>
  <c r="V933" i="31" a="1"/>
  <c r="V933" i="31" s="1"/>
  <c r="W933" i="31" s="1"/>
  <c r="V1212" i="31" a="1"/>
  <c r="V1212" i="31" s="1"/>
  <c r="W1212" i="31" s="1"/>
  <c r="V807" i="31" a="1"/>
  <c r="V807" i="31" s="1"/>
  <c r="W807" i="31" s="1"/>
  <c r="V1383" i="31" a="1"/>
  <c r="V1383" i="31" s="1"/>
  <c r="W1383" i="31" s="1"/>
  <c r="V177" i="31" a="1"/>
  <c r="V177" i="31" s="1"/>
  <c r="W177" i="31" s="1"/>
  <c r="V25" i="31" a="1"/>
  <c r="V25" i="31" s="1"/>
  <c r="W25" i="31" s="1"/>
  <c r="V61" i="31" a="1"/>
  <c r="V61" i="31" s="1"/>
  <c r="W61" i="31" s="1"/>
  <c r="V97" i="31" a="1"/>
  <c r="V97" i="31" s="1"/>
  <c r="W97" i="31" s="1"/>
  <c r="V133" i="31" a="1"/>
  <c r="V133" i="31" s="1"/>
  <c r="W133" i="31" s="1"/>
  <c r="V205" i="31" a="1"/>
  <c r="V205" i="31" s="1"/>
  <c r="W205" i="31" s="1"/>
  <c r="V241" i="31" a="1"/>
  <c r="V241" i="31" s="1"/>
  <c r="W241" i="31" s="1"/>
  <c r="V277" i="31" a="1"/>
  <c r="V277" i="31" s="1"/>
  <c r="W277" i="31" s="1"/>
  <c r="V313" i="31" a="1"/>
  <c r="V313" i="31" s="1"/>
  <c r="W313" i="31" s="1"/>
  <c r="V349" i="31" a="1"/>
  <c r="V349" i="31" s="1"/>
  <c r="W349" i="31" s="1"/>
  <c r="V385" i="31" a="1"/>
  <c r="V385" i="31" s="1"/>
  <c r="W385" i="31" s="1"/>
  <c r="V421" i="31" a="1"/>
  <c r="V421" i="31" s="1"/>
  <c r="W421" i="31" s="1"/>
  <c r="V457" i="31" a="1"/>
  <c r="V457" i="31" s="1"/>
  <c r="W457" i="31" s="1"/>
  <c r="V493" i="31" a="1"/>
  <c r="V493" i="31" s="1"/>
  <c r="W493" i="31" s="1"/>
  <c r="V529" i="31" a="1"/>
  <c r="V529" i="31" s="1"/>
  <c r="W529" i="31" s="1"/>
  <c r="V565" i="31" a="1"/>
  <c r="V565" i="31" s="1"/>
  <c r="W565" i="31" s="1"/>
  <c r="V601" i="31" a="1"/>
  <c r="V601" i="31" s="1"/>
  <c r="W601" i="31" s="1"/>
  <c r="V637" i="31" a="1"/>
  <c r="V637" i="31" s="1"/>
  <c r="W637" i="31" s="1"/>
  <c r="V673" i="31" a="1"/>
  <c r="V673" i="31" s="1"/>
  <c r="W673" i="31" s="1"/>
  <c r="V709" i="31" a="1"/>
  <c r="V709" i="31" s="1"/>
  <c r="W709" i="31" s="1"/>
  <c r="V745" i="31" a="1"/>
  <c r="V745" i="31" s="1"/>
  <c r="W745" i="31" s="1"/>
  <c r="V781" i="31" a="1"/>
  <c r="V781" i="31" s="1"/>
  <c r="W781" i="31" s="1"/>
  <c r="V817" i="31" a="1"/>
  <c r="V817" i="31" s="1"/>
  <c r="W817" i="31" s="1"/>
  <c r="V853" i="31" a="1"/>
  <c r="V853" i="31" s="1"/>
  <c r="W853" i="31" s="1"/>
  <c r="V34" i="31" a="1"/>
  <c r="V34" i="31" s="1"/>
  <c r="W34" i="31" s="1"/>
  <c r="V70" i="31" a="1"/>
  <c r="V70" i="31" s="1"/>
  <c r="W70" i="31" s="1"/>
  <c r="V106" i="31" a="1"/>
  <c r="V106" i="31" s="1"/>
  <c r="W106" i="31" s="1"/>
  <c r="V142" i="31" a="1"/>
  <c r="V142" i="31" s="1"/>
  <c r="W142" i="31" s="1"/>
  <c r="V178" i="31" a="1"/>
  <c r="V178" i="31" s="1"/>
  <c r="W178" i="31" s="1"/>
  <c r="V214" i="31" a="1"/>
  <c r="V214" i="31" s="1"/>
  <c r="W214" i="31" s="1"/>
  <c r="V250" i="31" a="1"/>
  <c r="V250" i="31" s="1"/>
  <c r="W250" i="31" s="1"/>
  <c r="V286" i="31" a="1"/>
  <c r="V286" i="31" s="1"/>
  <c r="W286" i="31" s="1"/>
  <c r="V322" i="31" a="1"/>
  <c r="V322" i="31" s="1"/>
  <c r="W322" i="31" s="1"/>
  <c r="V358" i="31" a="1"/>
  <c r="V358" i="31" s="1"/>
  <c r="W358" i="31" s="1"/>
  <c r="V394" i="31" a="1"/>
  <c r="V394" i="31" s="1"/>
  <c r="W394" i="31" s="1"/>
  <c r="V430" i="31" a="1"/>
  <c r="V430" i="31" s="1"/>
  <c r="W430" i="31" s="1"/>
  <c r="V466" i="31" a="1"/>
  <c r="V466" i="31" s="1"/>
  <c r="W466" i="31" s="1"/>
  <c r="V502" i="31" a="1"/>
  <c r="V502" i="31" s="1"/>
  <c r="W502" i="31" s="1"/>
  <c r="V538" i="31" a="1"/>
  <c r="V538" i="31" s="1"/>
  <c r="W538" i="31" s="1"/>
  <c r="V574" i="31" a="1"/>
  <c r="V574" i="31" s="1"/>
  <c r="W574" i="31" s="1"/>
  <c r="V610" i="31" a="1"/>
  <c r="V610" i="31" s="1"/>
  <c r="W610" i="31" s="1"/>
  <c r="V646" i="31" a="1"/>
  <c r="V646" i="31" s="1"/>
  <c r="W646" i="31" s="1"/>
  <c r="V682" i="31" a="1"/>
  <c r="V682" i="31" s="1"/>
  <c r="W682" i="31" s="1"/>
  <c r="V718" i="31" a="1"/>
  <c r="V718" i="31" s="1"/>
  <c r="W718" i="31" s="1"/>
  <c r="V754" i="31" a="1"/>
  <c r="V754" i="31" s="1"/>
  <c r="W754" i="31" s="1"/>
  <c r="V790" i="31" a="1"/>
  <c r="V790" i="31" s="1"/>
  <c r="W790" i="31" s="1"/>
  <c r="V826" i="31" a="1"/>
  <c r="V826" i="31" s="1"/>
  <c r="W826" i="31" s="1"/>
  <c r="V862" i="31" a="1"/>
  <c r="V862" i="31" s="1"/>
  <c r="W862" i="31" s="1"/>
  <c r="V898" i="31" a="1"/>
  <c r="V898" i="31" s="1"/>
  <c r="W898" i="31" s="1"/>
  <c r="V934" i="31" a="1"/>
  <c r="V934" i="31" s="1"/>
  <c r="W934" i="31" s="1"/>
  <c r="V970" i="31" a="1"/>
  <c r="V970" i="31" s="1"/>
  <c r="W970" i="31" s="1"/>
  <c r="V1006" i="31" a="1"/>
  <c r="V1006" i="31" s="1"/>
  <c r="W1006" i="31" s="1"/>
  <c r="V1042" i="31" a="1"/>
  <c r="V1042" i="31" s="1"/>
  <c r="W1042" i="31" s="1"/>
  <c r="V1078" i="31" a="1"/>
  <c r="V1078" i="31" s="1"/>
  <c r="W1078" i="31" s="1"/>
  <c r="V1150" i="31" a="1"/>
  <c r="V1150" i="31" s="1"/>
  <c r="W1150" i="31" s="1"/>
  <c r="V1186" i="31" a="1"/>
  <c r="V1186" i="31" s="1"/>
  <c r="W1186" i="31" s="1"/>
  <c r="V1222" i="31" a="1"/>
  <c r="V1222" i="31" s="1"/>
  <c r="W1222" i="31" s="1"/>
  <c r="V1258" i="31" a="1"/>
  <c r="V1258" i="31" s="1"/>
  <c r="W1258" i="31" s="1"/>
  <c r="V1294" i="31" a="1"/>
  <c r="V1294" i="31" s="1"/>
  <c r="W1294" i="31" s="1"/>
  <c r="V1330" i="31" a="1"/>
  <c r="V1330" i="31" s="1"/>
  <c r="W1330" i="31" s="1"/>
  <c r="V1366" i="31" a="1"/>
  <c r="V1366" i="31" s="1"/>
  <c r="W1366" i="31" s="1"/>
  <c r="V1402" i="31" a="1"/>
  <c r="V1402" i="31" s="1"/>
  <c r="W1402" i="31" s="1"/>
  <c r="V1438" i="31" a="1"/>
  <c r="V1438" i="31" s="1"/>
  <c r="W1438" i="31" s="1"/>
  <c r="V1474" i="31" a="1"/>
  <c r="V1474" i="31" s="1"/>
  <c r="W1474" i="31" s="1"/>
  <c r="V1510" i="31" a="1"/>
  <c r="V1510" i="31" s="1"/>
  <c r="W1510" i="31" s="1"/>
  <c r="V1546" i="31" a="1"/>
  <c r="V1546" i="31" s="1"/>
  <c r="W1546" i="31" s="1"/>
  <c r="V1582" i="31" a="1"/>
  <c r="V1582" i="31" s="1"/>
  <c r="W1582" i="31" s="1"/>
  <c r="V1618" i="31" a="1"/>
  <c r="V1618" i="31" s="1"/>
  <c r="W1618" i="31" s="1"/>
  <c r="V1654" i="31" a="1"/>
  <c r="V1654" i="31" s="1"/>
  <c r="W1654" i="31" s="1"/>
  <c r="V1690" i="31" a="1"/>
  <c r="V1690" i="31" s="1"/>
  <c r="W1690" i="31" s="1"/>
  <c r="V1726" i="31" a="1"/>
  <c r="V1726" i="31" s="1"/>
  <c r="W1726" i="31" s="1"/>
  <c r="V1762" i="31" a="1"/>
  <c r="V1762" i="31" s="1"/>
  <c r="W1762" i="31" s="1"/>
  <c r="V1798" i="31" a="1"/>
  <c r="V1798" i="31" s="1"/>
  <c r="W1798" i="31" s="1"/>
  <c r="V1834" i="31" a="1"/>
  <c r="V1834" i="31" s="1"/>
  <c r="W1834" i="31" s="1"/>
  <c r="V1870" i="31" a="1"/>
  <c r="V1870" i="31" s="1"/>
  <c r="W1870" i="31" s="1"/>
  <c r="V1906" i="31" a="1"/>
  <c r="V1906" i="31" s="1"/>
  <c r="W1906" i="31" s="1"/>
  <c r="V7" i="31" a="1"/>
  <c r="V7" i="31" s="1"/>
  <c r="W7" i="31" s="1"/>
  <c r="V43" i="31" a="1"/>
  <c r="V43" i="31" s="1"/>
  <c r="W43" i="31" s="1"/>
  <c r="V79" i="31" a="1"/>
  <c r="V79" i="31" s="1"/>
  <c r="W79" i="31" s="1"/>
  <c r="V115" i="31" a="1"/>
  <c r="V115" i="31" s="1"/>
  <c r="W115" i="31" s="1"/>
  <c r="V151" i="31" a="1"/>
  <c r="V151" i="31" s="1"/>
  <c r="W151" i="31" s="1"/>
  <c r="V187" i="31" a="1"/>
  <c r="V187" i="31" s="1"/>
  <c r="W187" i="31" s="1"/>
  <c r="V223" i="31" a="1"/>
  <c r="V223" i="31" s="1"/>
  <c r="W223" i="31" s="1"/>
  <c r="V259" i="31" a="1"/>
  <c r="V259" i="31" s="1"/>
  <c r="W259" i="31" s="1"/>
  <c r="V295" i="31" a="1"/>
  <c r="V295" i="31" s="1"/>
  <c r="W295" i="31" s="1"/>
  <c r="V331" i="31" a="1"/>
  <c r="V331" i="31" s="1"/>
  <c r="W331" i="31" s="1"/>
  <c r="V367" i="31" a="1"/>
  <c r="V367" i="31" s="1"/>
  <c r="W367" i="31" s="1"/>
  <c r="V403" i="31" a="1"/>
  <c r="V403" i="31" s="1"/>
  <c r="W403" i="31" s="1"/>
  <c r="V439" i="31" a="1"/>
  <c r="V439" i="31" s="1"/>
  <c r="W439" i="31" s="1"/>
  <c r="V475" i="31" a="1"/>
  <c r="V475" i="31" s="1"/>
  <c r="W475" i="31" s="1"/>
  <c r="V511" i="31" a="1"/>
  <c r="V511" i="31" s="1"/>
  <c r="W511" i="31" s="1"/>
  <c r="V583" i="31" a="1"/>
  <c r="V583" i="31" s="1"/>
  <c r="W583" i="31" s="1"/>
  <c r="V619" i="31" a="1"/>
  <c r="V619" i="31" s="1"/>
  <c r="W619" i="31" s="1"/>
  <c r="V655" i="31" a="1"/>
  <c r="V655" i="31" s="1"/>
  <c r="W655" i="31" s="1"/>
  <c r="V691" i="31" a="1"/>
  <c r="V691" i="31" s="1"/>
  <c r="W691" i="31" s="1"/>
  <c r="V727" i="31" a="1"/>
  <c r="V727" i="31" s="1"/>
  <c r="W727" i="31" s="1"/>
  <c r="V763" i="31" a="1"/>
  <c r="V763" i="31" s="1"/>
  <c r="W763" i="31" s="1"/>
  <c r="V835" i="31" a="1"/>
  <c r="V835" i="31" s="1"/>
  <c r="W835" i="31" s="1"/>
  <c r="V871" i="31" a="1"/>
  <c r="V871" i="31" s="1"/>
  <c r="W871" i="31" s="1"/>
  <c r="V907" i="31" a="1"/>
  <c r="V907" i="31" s="1"/>
  <c r="W907" i="31" s="1"/>
  <c r="V943" i="31" a="1"/>
  <c r="V943" i="31" s="1"/>
  <c r="W943" i="31" s="1"/>
  <c r="V979" i="31" a="1"/>
  <c r="V979" i="31" s="1"/>
  <c r="W979" i="31" s="1"/>
  <c r="V1015" i="31" a="1"/>
  <c r="V1015" i="31" s="1"/>
  <c r="W1015" i="31" s="1"/>
  <c r="V1051" i="31" a="1"/>
  <c r="V1051" i="31" s="1"/>
  <c r="W1051" i="31" s="1"/>
  <c r="V1087" i="31" a="1"/>
  <c r="V1087" i="31" s="1"/>
  <c r="W1087" i="31" s="1"/>
  <c r="V1123" i="31" a="1"/>
  <c r="V1123" i="31" s="1"/>
  <c r="W1123" i="31" s="1"/>
  <c r="V1159" i="31" a="1"/>
  <c r="V1159" i="31" s="1"/>
  <c r="W1159" i="31" s="1"/>
  <c r="V1195" i="31" a="1"/>
  <c r="V1195" i="31" s="1"/>
  <c r="W1195" i="31" s="1"/>
  <c r="V1231" i="31" a="1"/>
  <c r="V1231" i="31" s="1"/>
  <c r="W1231" i="31" s="1"/>
  <c r="V1267" i="31" a="1"/>
  <c r="V1267" i="31" s="1"/>
  <c r="W1267" i="31" s="1"/>
  <c r="V1303" i="31" a="1"/>
  <c r="V1303" i="31" s="1"/>
  <c r="W1303" i="31" s="1"/>
  <c r="V1339" i="31" a="1"/>
  <c r="V1339" i="31" s="1"/>
  <c r="W1339" i="31" s="1"/>
  <c r="V1411" i="31" a="1"/>
  <c r="V1411" i="31" s="1"/>
  <c r="W1411" i="31" s="1"/>
  <c r="V1447" i="31" a="1"/>
  <c r="V1447" i="31" s="1"/>
  <c r="W1447" i="31" s="1"/>
  <c r="V1483" i="31" a="1"/>
  <c r="V1483" i="31" s="1"/>
  <c r="W1483" i="31" s="1"/>
  <c r="V1519" i="31" a="1"/>
  <c r="V1519" i="31" s="1"/>
  <c r="W1519" i="31" s="1"/>
  <c r="V1555" i="31" a="1"/>
  <c r="V1555" i="31" s="1"/>
  <c r="W1555" i="31" s="1"/>
  <c r="V1591" i="31" a="1"/>
  <c r="V1591" i="31" s="1"/>
  <c r="W1591" i="31" s="1"/>
  <c r="V1627" i="31" a="1"/>
  <c r="V1627" i="31" s="1"/>
  <c r="W1627" i="31" s="1"/>
  <c r="V1663" i="31" a="1"/>
  <c r="V1663" i="31" s="1"/>
  <c r="W1663" i="31" s="1"/>
  <c r="V1699" i="31" a="1"/>
  <c r="V1699" i="31" s="1"/>
  <c r="W1699" i="31" s="1"/>
  <c r="V1735" i="31" a="1"/>
  <c r="V1735" i="31" s="1"/>
  <c r="W1735" i="31" s="1"/>
  <c r="V1771" i="31" a="1"/>
  <c r="V1771" i="31" s="1"/>
  <c r="W1771" i="31" s="1"/>
  <c r="V1807" i="31" a="1"/>
  <c r="V1807" i="31" s="1"/>
  <c r="W1807" i="31" s="1"/>
  <c r="V1843" i="31" a="1"/>
  <c r="V1843" i="31" s="1"/>
  <c r="W1843" i="31" s="1"/>
  <c r="V1879" i="31" a="1"/>
  <c r="V1879" i="31" s="1"/>
  <c r="W1879" i="31" s="1"/>
  <c r="V196" i="31" a="1"/>
  <c r="V196" i="31" s="1"/>
  <c r="W196" i="31" s="1"/>
  <c r="V232" i="31" a="1"/>
  <c r="V232" i="31" s="1"/>
  <c r="W232" i="31" s="1"/>
  <c r="V268" i="31" a="1"/>
  <c r="V268" i="31" s="1"/>
  <c r="W268" i="31" s="1"/>
  <c r="V304" i="31" a="1"/>
  <c r="V304" i="31" s="1"/>
  <c r="W304" i="31" s="1"/>
  <c r="V340" i="31" a="1"/>
  <c r="V340" i="31" s="1"/>
  <c r="W340" i="31" s="1"/>
  <c r="V376" i="31" a="1"/>
  <c r="V376" i="31" s="1"/>
  <c r="W376" i="31" s="1"/>
  <c r="V412" i="31" a="1"/>
  <c r="V412" i="31" s="1"/>
  <c r="W412" i="31" s="1"/>
  <c r="V808" i="31" a="1"/>
  <c r="V808" i="31" s="1"/>
  <c r="W808" i="31" s="1"/>
  <c r="V1204" i="31" a="1"/>
  <c r="V1204" i="31" s="1"/>
  <c r="W1204" i="31" s="1"/>
  <c r="V1240" i="31" a="1"/>
  <c r="V1240" i="31" s="1"/>
  <c r="W1240" i="31" s="1"/>
  <c r="V1249" i="31" a="1"/>
  <c r="V1249" i="31" s="1"/>
  <c r="W1249" i="31" s="1"/>
  <c r="V1276" i="31" a="1"/>
  <c r="V1276" i="31" s="1"/>
  <c r="W1276" i="31" s="1"/>
  <c r="V1312" i="31" a="1"/>
  <c r="V1312" i="31" s="1"/>
  <c r="W1312" i="31" s="1"/>
  <c r="V1321" i="31" a="1"/>
  <c r="V1321" i="31" s="1"/>
  <c r="W1321" i="31" s="1"/>
  <c r="V1348" i="31" a="1"/>
  <c r="V1348" i="31" s="1"/>
  <c r="W1348" i="31" s="1"/>
  <c r="V1357" i="31" a="1"/>
  <c r="V1357" i="31" s="1"/>
  <c r="W1357" i="31" s="1"/>
  <c r="V16" i="31" a="1"/>
  <c r="V16" i="31" s="1"/>
  <c r="W16" i="31" s="1"/>
  <c r="V1033" i="31" a="1"/>
  <c r="V1033" i="31" s="1"/>
  <c r="W1033" i="31" s="1"/>
  <c r="V1060" i="31" a="1"/>
  <c r="V1060" i="31" s="1"/>
  <c r="W1060" i="31" s="1"/>
  <c r="V1096" i="31" a="1"/>
  <c r="V1096" i="31" s="1"/>
  <c r="W1096" i="31" s="1"/>
  <c r="V1141" i="31" a="1"/>
  <c r="V1141" i="31" s="1"/>
  <c r="W1141" i="31" s="1"/>
  <c r="V1393" i="31" a="1"/>
  <c r="V1393" i="31" s="1"/>
  <c r="W1393" i="31" s="1"/>
  <c r="V1420" i="31" a="1"/>
  <c r="V1420" i="31" s="1"/>
  <c r="W1420" i="31" s="1"/>
  <c r="V1456" i="31" a="1"/>
  <c r="V1456" i="31" s="1"/>
  <c r="W1456" i="31" s="1"/>
  <c r="V1492" i="31" a="1"/>
  <c r="V1492" i="31" s="1"/>
  <c r="W1492" i="31" s="1"/>
  <c r="V1537" i="31" a="1"/>
  <c r="V1537" i="31" s="1"/>
  <c r="W1537" i="31" s="1"/>
  <c r="V448" i="31" a="1"/>
  <c r="V448" i="31" s="1"/>
  <c r="W448" i="31" s="1"/>
  <c r="V880" i="31" a="1"/>
  <c r="V880" i="31" s="1"/>
  <c r="W880" i="31" s="1"/>
  <c r="V961" i="31" a="1"/>
  <c r="V961" i="31" s="1"/>
  <c r="W961" i="31" s="1"/>
  <c r="V988" i="31" a="1"/>
  <c r="V988" i="31" s="1"/>
  <c r="W988" i="31" s="1"/>
  <c r="V1780" i="31" a="1"/>
  <c r="V1780" i="31" s="1"/>
  <c r="W1780" i="31" s="1"/>
  <c r="V1789" i="31" a="1"/>
  <c r="V1789" i="31" s="1"/>
  <c r="W1789" i="31" s="1"/>
  <c r="V1888" i="31" a="1"/>
  <c r="V1888" i="31" s="1"/>
  <c r="W1888" i="31" s="1"/>
  <c r="V628" i="31" a="1"/>
  <c r="V628" i="31" s="1"/>
  <c r="W628" i="31" s="1"/>
  <c r="V664" i="31" a="1"/>
  <c r="V664" i="31" s="1"/>
  <c r="W664" i="31" s="1"/>
  <c r="V700" i="31" a="1"/>
  <c r="V700" i="31" s="1"/>
  <c r="W700" i="31" s="1"/>
  <c r="V736" i="31" a="1"/>
  <c r="V736" i="31" s="1"/>
  <c r="W736" i="31" s="1"/>
  <c r="V772" i="31" a="1"/>
  <c r="V772" i="31" s="1"/>
  <c r="W772" i="31" s="1"/>
  <c r="V1600" i="31" a="1"/>
  <c r="V1600" i="31" s="1"/>
  <c r="W1600" i="31" s="1"/>
  <c r="V1609" i="31" a="1"/>
  <c r="V1609" i="31" s="1"/>
  <c r="W1609" i="31" s="1"/>
  <c r="V1636" i="31" a="1"/>
  <c r="V1636" i="31" s="1"/>
  <c r="W1636" i="31" s="1"/>
  <c r="V1645" i="31" a="1"/>
  <c r="V1645" i="31" s="1"/>
  <c r="W1645" i="31" s="1"/>
  <c r="V1672" i="31" a="1"/>
  <c r="V1672" i="31" s="1"/>
  <c r="W1672" i="31" s="1"/>
  <c r="V1681" i="31" a="1"/>
  <c r="V1681" i="31" s="1"/>
  <c r="W1681" i="31" s="1"/>
  <c r="V1708" i="31" a="1"/>
  <c r="V1708" i="31" s="1"/>
  <c r="W1708" i="31" s="1"/>
  <c r="V1717" i="31" a="1"/>
  <c r="V1717" i="31" s="1"/>
  <c r="W1717" i="31" s="1"/>
  <c r="V1744" i="31" a="1"/>
  <c r="V1744" i="31" s="1"/>
  <c r="W1744" i="31" s="1"/>
  <c r="V1753" i="31" a="1"/>
  <c r="V1753" i="31" s="1"/>
  <c r="W1753" i="31" s="1"/>
  <c r="V88" i="31" a="1"/>
  <c r="V88" i="31" s="1"/>
  <c r="W88" i="31" s="1"/>
  <c r="V160" i="31" a="1"/>
  <c r="V160" i="31" s="1"/>
  <c r="W160" i="31" s="1"/>
  <c r="V1069" i="31" a="1"/>
  <c r="V1069" i="31" s="1"/>
  <c r="W1069" i="31" s="1"/>
  <c r="V1177" i="31" a="1"/>
  <c r="V1177" i="31" s="1"/>
  <c r="W1177" i="31" s="1"/>
  <c r="V1465" i="31" a="1"/>
  <c r="V1465" i="31" s="1"/>
  <c r="W1465" i="31" s="1"/>
  <c r="V1528" i="31" a="1"/>
  <c r="V1528" i="31" s="1"/>
  <c r="W1528" i="31" s="1"/>
  <c r="V1564" i="31" a="1"/>
  <c r="V1564" i="31" s="1"/>
  <c r="W1564" i="31" s="1"/>
  <c r="V1573" i="31" a="1"/>
  <c r="V1573" i="31" s="1"/>
  <c r="W1573" i="31" s="1"/>
  <c r="V484" i="31" a="1"/>
  <c r="V484" i="31" s="1"/>
  <c r="W484" i="31" s="1"/>
  <c r="V916" i="31" a="1"/>
  <c r="V916" i="31" s="1"/>
  <c r="W916" i="31" s="1"/>
  <c r="V925" i="31" a="1"/>
  <c r="V925" i="31" s="1"/>
  <c r="W925" i="31" s="1"/>
  <c r="V1816" i="31" a="1"/>
  <c r="V1816" i="31" s="1"/>
  <c r="W1816" i="31" s="1"/>
  <c r="V1852" i="31" a="1"/>
  <c r="V1852" i="31" s="1"/>
  <c r="W1852" i="31" s="1"/>
  <c r="V1861" i="31" a="1"/>
  <c r="V1861" i="31" s="1"/>
  <c r="W1861" i="31" s="1"/>
  <c r="V52" i="31" a="1"/>
  <c r="V52" i="31" s="1"/>
  <c r="W52" i="31" s="1"/>
  <c r="V124" i="31" a="1"/>
  <c r="V124" i="31" s="1"/>
  <c r="W124" i="31" s="1"/>
  <c r="V1024" i="31" a="1"/>
  <c r="V1024" i="31" s="1"/>
  <c r="W1024" i="31" s="1"/>
  <c r="V1105" i="31" a="1"/>
  <c r="V1105" i="31" s="1"/>
  <c r="W1105" i="31" s="1"/>
  <c r="V1132" i="31" a="1"/>
  <c r="V1132" i="31" s="1"/>
  <c r="W1132" i="31" s="1"/>
  <c r="V1168" i="31" a="1"/>
  <c r="V1168" i="31" s="1"/>
  <c r="W1168" i="31" s="1"/>
  <c r="V1429" i="31" a="1"/>
  <c r="V1429" i="31" s="1"/>
  <c r="W1429" i="31" s="1"/>
  <c r="V1501" i="31" a="1"/>
  <c r="V1501" i="31" s="1"/>
  <c r="W1501" i="31" s="1"/>
  <c r="V520" i="31" a="1"/>
  <c r="V520" i="31" s="1"/>
  <c r="W520" i="31" s="1"/>
  <c r="V592" i="31" a="1"/>
  <c r="V592" i="31" s="1"/>
  <c r="W592" i="31" s="1"/>
  <c r="V844" i="31" a="1"/>
  <c r="V844" i="31" s="1"/>
  <c r="W844" i="31" s="1"/>
  <c r="V889" i="31" a="1"/>
  <c r="V889" i="31" s="1"/>
  <c r="W889" i="31" s="1"/>
  <c r="V952" i="31" a="1"/>
  <c r="V952" i="31" s="1"/>
  <c r="W952" i="31" s="1"/>
  <c r="V997" i="31" a="1"/>
  <c r="V997" i="31" s="1"/>
  <c r="W997" i="31" s="1"/>
  <c r="V1384" i="31" a="1"/>
  <c r="V1384" i="31" s="1"/>
  <c r="W1384" i="31" s="1"/>
  <c r="V1825" i="31" a="1"/>
  <c r="V1825" i="31" s="1"/>
  <c r="W1825" i="31" s="1"/>
  <c r="V1897" i="31" a="1"/>
  <c r="V1897" i="31" s="1"/>
  <c r="W1897" i="31" s="1"/>
  <c r="V169" i="31" a="1"/>
  <c r="V169" i="31" s="1"/>
  <c r="W169" i="31" s="1"/>
  <c r="V799" i="31" a="1"/>
  <c r="V799" i="31" s="1"/>
  <c r="W799" i="31" s="1"/>
  <c r="V1375" i="31" a="1"/>
  <c r="V1375" i="31" s="1"/>
  <c r="W1375" i="31" s="1"/>
  <c r="V547" i="31" a="1"/>
  <c r="V547" i="31" s="1"/>
  <c r="W547" i="31" s="1"/>
  <c r="V1213" i="31" a="1"/>
  <c r="V1213" i="31" s="1"/>
  <c r="W1213" i="31" s="1"/>
  <c r="V1285" i="31" a="1"/>
  <c r="V1285" i="31" s="1"/>
  <c r="W1285" i="31" s="1"/>
  <c r="V556" i="31" a="1"/>
  <c r="V556" i="31" s="1"/>
  <c r="W556" i="31" s="1"/>
  <c r="V41" i="31" a="1"/>
  <c r="V41" i="31" s="1"/>
  <c r="W41" i="31" s="1"/>
  <c r="V77" i="31" a="1"/>
  <c r="V77" i="31" s="1"/>
  <c r="W77" i="31" s="1"/>
  <c r="V113" i="31" a="1"/>
  <c r="V113" i="31" s="1"/>
  <c r="W113" i="31" s="1"/>
  <c r="V545" i="31" a="1"/>
  <c r="V545" i="31" s="1"/>
  <c r="W545" i="31" s="1"/>
  <c r="V725" i="31" a="1"/>
  <c r="V725" i="31" s="1"/>
  <c r="W725" i="31" s="1"/>
  <c r="V761" i="31" a="1"/>
  <c r="V761" i="31" s="1"/>
  <c r="W761" i="31" s="1"/>
  <c r="V833" i="31" a="1"/>
  <c r="V833" i="31" s="1"/>
  <c r="W833" i="31" s="1"/>
  <c r="V50" i="31" a="1"/>
  <c r="V50" i="31" s="1"/>
  <c r="W50" i="31" s="1"/>
  <c r="V122" i="31" a="1"/>
  <c r="V122" i="31" s="1"/>
  <c r="W122" i="31" s="1"/>
  <c r="V158" i="31" a="1"/>
  <c r="V158" i="31" s="1"/>
  <c r="W158" i="31" s="1"/>
  <c r="V554" i="31" a="1"/>
  <c r="V554" i="31" s="1"/>
  <c r="W554" i="31" s="1"/>
  <c r="V770" i="31" a="1"/>
  <c r="V770" i="31" s="1"/>
  <c r="W770" i="31" s="1"/>
  <c r="V1238" i="31" a="1"/>
  <c r="V1238" i="31" s="1"/>
  <c r="W1238" i="31" s="1"/>
  <c r="V59" i="31" a="1"/>
  <c r="V59" i="31" s="1"/>
  <c r="W59" i="31" s="1"/>
  <c r="V131" i="31" a="1"/>
  <c r="V131" i="31" s="1"/>
  <c r="W131" i="31" s="1"/>
  <c r="V167" i="31" a="1"/>
  <c r="V167" i="31" s="1"/>
  <c r="W167" i="31" s="1"/>
  <c r="V203" i="31" a="1"/>
  <c r="V203" i="31" s="1"/>
  <c r="W203" i="31" s="1"/>
  <c r="V311" i="31" a="1"/>
  <c r="V311" i="31" s="1"/>
  <c r="W311" i="31" s="1"/>
  <c r="V491" i="31" a="1"/>
  <c r="V491" i="31" s="1"/>
  <c r="W491" i="31" s="1"/>
  <c r="AO80" i="16" s="1"/>
  <c r="V1211" i="31" a="1"/>
  <c r="V1211" i="31" s="1"/>
  <c r="W1211" i="31" s="1"/>
  <c r="V1319" i="31" a="1"/>
  <c r="V1319" i="31" s="1"/>
  <c r="W1319" i="31" s="1"/>
  <c r="V1355" i="31" a="1"/>
  <c r="V1355" i="31" s="1"/>
  <c r="W1355" i="31" s="1"/>
  <c r="V1427" i="31" a="1"/>
  <c r="V1427" i="31" s="1"/>
  <c r="W1427" i="31" s="1"/>
  <c r="V1679" i="31" a="1"/>
  <c r="V1679" i="31" s="1"/>
  <c r="W1679" i="31" s="1"/>
  <c r="V1787" i="31" a="1"/>
  <c r="V1787" i="31" s="1"/>
  <c r="W1787" i="31" s="1"/>
  <c r="V1859" i="31" a="1"/>
  <c r="V1859" i="31" s="1"/>
  <c r="W1859" i="31" s="1"/>
  <c r="V1895" i="31" a="1"/>
  <c r="V1895" i="31" s="1"/>
  <c r="W1895" i="31" s="1"/>
  <c r="V428" i="31" a="1"/>
  <c r="V428" i="31" s="1"/>
  <c r="W428" i="31" s="1"/>
  <c r="V536" i="31" a="1"/>
  <c r="V536" i="31" s="1"/>
  <c r="W536" i="31" s="1"/>
  <c r="V1013" i="31" a="1"/>
  <c r="V1013" i="31" s="1"/>
  <c r="W1013" i="31" s="1"/>
  <c r="V1121" i="31" a="1"/>
  <c r="V1121" i="31" s="1"/>
  <c r="W1121" i="31" s="1"/>
  <c r="V1652" i="31" a="1"/>
  <c r="V1652" i="31" s="1"/>
  <c r="W1652" i="31" s="1"/>
  <c r="V1337" i="31" a="1"/>
  <c r="V1337" i="31" s="1"/>
  <c r="W1337" i="31" s="1"/>
  <c r="V1904" i="31" a="1"/>
  <c r="V1904" i="31" s="1"/>
  <c r="W1904" i="31" s="1"/>
  <c r="V1589" i="31" a="1"/>
  <c r="V1589" i="31" s="1"/>
  <c r="W1589" i="31" s="1"/>
  <c r="V1625" i="31" a="1"/>
  <c r="V1625" i="31" s="1"/>
  <c r="W1625" i="31" s="1"/>
  <c r="V212" i="31" a="1"/>
  <c r="V212" i="31" s="1"/>
  <c r="W212" i="31" s="1"/>
  <c r="AO164" i="16" s="1"/>
  <c r="V248" i="31" a="1"/>
  <c r="V248" i="31" s="1"/>
  <c r="W248" i="31" s="1"/>
  <c r="V905" i="31" a="1"/>
  <c r="V905" i="31" s="1"/>
  <c r="W905" i="31" s="1"/>
  <c r="V977" i="31" a="1"/>
  <c r="V977" i="31" s="1"/>
  <c r="W977" i="31" s="1"/>
  <c r="AO38" i="16" s="1"/>
  <c r="V1112" i="31" a="1"/>
  <c r="V1112" i="31" s="1"/>
  <c r="W1112" i="31" s="1"/>
  <c r="V1544" i="31" a="1"/>
  <c r="V1544" i="31" s="1"/>
  <c r="W1544" i="31" s="1"/>
  <c r="V1877" i="31" a="1"/>
  <c r="V1877" i="31" s="1"/>
  <c r="W1877" i="31" s="1"/>
  <c r="V968" i="31" a="1"/>
  <c r="V968" i="31" s="1"/>
  <c r="W968" i="31" s="1"/>
  <c r="V1193" i="31" a="1"/>
  <c r="V1193" i="31" s="1"/>
  <c r="W1193" i="31" s="1"/>
  <c r="V1265" i="31" a="1"/>
  <c r="V1265" i="31" s="1"/>
  <c r="W1265" i="31" s="1"/>
  <c r="V1832" i="31" a="1"/>
  <c r="V1832" i="31" s="1"/>
  <c r="V104" i="31" a="1"/>
  <c r="V104" i="31" s="1"/>
  <c r="W104" i="31" s="1"/>
  <c r="V896" i="31" a="1"/>
  <c r="V896" i="31" s="1"/>
  <c r="W896" i="31" s="1"/>
  <c r="V1256" i="31" a="1"/>
  <c r="V1256" i="31" s="1"/>
  <c r="W1256" i="31" s="1"/>
  <c r="AO46" i="16" s="1"/>
  <c r="V995" i="31" a="1"/>
  <c r="V995" i="31" s="1"/>
  <c r="W995" i="31" s="1"/>
  <c r="AO58" i="16" s="1"/>
  <c r="H103" i="8"/>
  <c r="J2" i="8" a="1"/>
  <c r="J2" i="8" s="1"/>
  <c r="K2" i="8" s="1"/>
  <c r="J57" i="8" a="1"/>
  <c r="J57" i="8" s="1"/>
  <c r="K57" i="8" s="1"/>
  <c r="J41" i="8" a="1"/>
  <c r="J41" i="8" s="1"/>
  <c r="K41" i="8" s="1"/>
  <c r="J20" i="8" a="1"/>
  <c r="J20" i="8" s="1"/>
  <c r="K20" i="8" s="1"/>
  <c r="J12" i="8" a="1"/>
  <c r="J12" i="8" s="1"/>
  <c r="K12" i="8" s="1"/>
  <c r="J87" i="8" a="1"/>
  <c r="J87" i="8" s="1"/>
  <c r="K87" i="8" s="1"/>
  <c r="J45" i="8" a="1"/>
  <c r="J45" i="8" s="1"/>
  <c r="K45" i="8" s="1"/>
  <c r="J21" i="8" a="1"/>
  <c r="J21" i="8" s="1"/>
  <c r="K21" i="8" s="1"/>
  <c r="J86" i="8" a="1"/>
  <c r="J86" i="8" s="1"/>
  <c r="K86" i="8" s="1"/>
  <c r="E105" i="8"/>
  <c r="J14" i="8" a="1"/>
  <c r="J14" i="8" s="1"/>
  <c r="K14" i="8" s="1"/>
  <c r="J29" i="8" a="1"/>
  <c r="J29" i="8" s="1"/>
  <c r="K29" i="8" s="1"/>
  <c r="J5" i="8" a="1"/>
  <c r="J5" i="8" s="1"/>
  <c r="K5" i="8" s="1"/>
  <c r="J32" i="8" a="1"/>
  <c r="J32" i="8" s="1"/>
  <c r="K32" i="8" s="1"/>
  <c r="J24" i="8" a="1"/>
  <c r="J24" i="8" s="1"/>
  <c r="K24" i="8" s="1"/>
  <c r="J25" i="8" a="1"/>
  <c r="J25" i="8" s="1"/>
  <c r="K25" i="8" s="1"/>
  <c r="J82" i="8" a="1"/>
  <c r="J82" i="8" s="1"/>
  <c r="K82" i="8" s="1"/>
  <c r="J58" i="8" a="1"/>
  <c r="J58" i="8" s="1"/>
  <c r="K58" i="8" s="1"/>
  <c r="J70" i="8" a="1"/>
  <c r="J70" i="8" s="1"/>
  <c r="K70" i="8" s="1"/>
  <c r="J102" i="8" a="1"/>
  <c r="J102" i="8" s="1"/>
  <c r="K102" i="8" s="1"/>
  <c r="J63" i="8" a="1"/>
  <c r="J63" i="8" s="1"/>
  <c r="K63" i="8" s="1"/>
  <c r="J62" i="8" a="1"/>
  <c r="J62" i="8" s="1"/>
  <c r="K62" i="8" s="1"/>
  <c r="J91" i="8" a="1"/>
  <c r="J91" i="8" s="1"/>
  <c r="K91" i="8" s="1"/>
  <c r="J38" i="8" a="1"/>
  <c r="J38" i="8" s="1"/>
  <c r="K38" i="8" s="1"/>
  <c r="J28" i="8" a="1"/>
  <c r="J28" i="8" s="1"/>
  <c r="K28" i="8" s="1"/>
  <c r="J26" i="8" a="1"/>
  <c r="J26" i="8" s="1"/>
  <c r="K26" i="8" s="1"/>
  <c r="R187" i="6" s="1"/>
  <c r="J78" i="8" a="1"/>
  <c r="J78" i="8" s="1"/>
  <c r="K78" i="8" s="1"/>
  <c r="J68" i="8" a="1"/>
  <c r="J68" i="8" s="1"/>
  <c r="K68" i="8" s="1"/>
  <c r="J101" i="8" a="1"/>
  <c r="J101" i="8" s="1"/>
  <c r="K101" i="8" s="1"/>
  <c r="G15" i="12" a="1"/>
  <c r="G15" i="12" s="1"/>
  <c r="G16" i="12" a="1"/>
  <c r="G16" i="12" s="1"/>
  <c r="I37" i="12"/>
  <c r="I35" i="12"/>
  <c r="J35" i="12" s="1"/>
  <c r="F36" i="12"/>
  <c r="F14" i="12"/>
  <c r="E91" i="12"/>
  <c r="B39" i="12"/>
  <c r="E89" i="12"/>
  <c r="E90" i="12"/>
  <c r="E85" i="12"/>
  <c r="E87" i="12"/>
  <c r="E92" i="12"/>
  <c r="E86" i="12"/>
  <c r="D85" i="12"/>
  <c r="I32" i="12"/>
  <c r="J32" i="12" s="1"/>
  <c r="B38" i="12"/>
  <c r="D90" i="12"/>
  <c r="D89" i="12"/>
  <c r="E32" i="12"/>
  <c r="F32" i="12" s="1"/>
  <c r="D88" i="12"/>
  <c r="D87" i="12"/>
  <c r="D92" i="12"/>
  <c r="D91" i="12"/>
  <c r="D12" i="7"/>
  <c r="D14" i="7"/>
  <c r="D9" i="7"/>
  <c r="D10" i="7"/>
  <c r="D11" i="7"/>
  <c r="D3" i="7"/>
  <c r="D4" i="7"/>
  <c r="D2" i="7"/>
  <c r="D13" i="7"/>
  <c r="D6" i="7"/>
  <c r="D7" i="7"/>
  <c r="D5" i="7"/>
  <c r="D8" i="7"/>
  <c r="AO34" i="16" l="1"/>
  <c r="AO153" i="16"/>
  <c r="AO172" i="16"/>
  <c r="AO142" i="16"/>
  <c r="AO137" i="16"/>
  <c r="AO90" i="16"/>
  <c r="AO110" i="16"/>
  <c r="AO74" i="16"/>
  <c r="AO158" i="16"/>
  <c r="AO6" i="16"/>
  <c r="AO129" i="16"/>
  <c r="AO109" i="16"/>
  <c r="AO53" i="16"/>
  <c r="AO39" i="16"/>
  <c r="AO64" i="16"/>
  <c r="AO28" i="16"/>
  <c r="AO87" i="16"/>
  <c r="AO85" i="16"/>
  <c r="AO122" i="16"/>
  <c r="AP122" i="16" s="1" a="1"/>
  <c r="AP122" i="16" s="1"/>
  <c r="AX122" i="16" s="1"/>
  <c r="AO179" i="16"/>
  <c r="AP179" i="16" s="1" a="1"/>
  <c r="AP179" i="16" s="1"/>
  <c r="AX179" i="16" s="1"/>
  <c r="BC179" i="16" s="1"/>
  <c r="AO48" i="16"/>
  <c r="W1832" i="31"/>
  <c r="AO156" i="16" s="1"/>
  <c r="AP156" i="16" s="1" a="1"/>
  <c r="AP156" i="16" s="1"/>
  <c r="AX156" i="16" s="1"/>
  <c r="AO111" i="16"/>
  <c r="AO4" i="16"/>
  <c r="AO161" i="16"/>
  <c r="AO103" i="16"/>
  <c r="AO143" i="16"/>
  <c r="AO102" i="16"/>
  <c r="AO79" i="16"/>
  <c r="AO33" i="16"/>
  <c r="AP33" i="16" s="1" a="1"/>
  <c r="AP33" i="16" s="1"/>
  <c r="AX33" i="16" s="1"/>
  <c r="AO95" i="16"/>
  <c r="AO72" i="16"/>
  <c r="AO127" i="16"/>
  <c r="AO97" i="16"/>
  <c r="AO27" i="16"/>
  <c r="AO57" i="16"/>
  <c r="AO108" i="16"/>
  <c r="AO17" i="16"/>
  <c r="AO112" i="16"/>
  <c r="AO168" i="16"/>
  <c r="AP168" i="16" s="1" a="1"/>
  <c r="AP168" i="16" s="1"/>
  <c r="AX168" i="16" s="1"/>
  <c r="AO176" i="16"/>
  <c r="AO191" i="16"/>
  <c r="AP191" i="16" s="1" a="1"/>
  <c r="AP191" i="16" s="1"/>
  <c r="AX191" i="16" s="1"/>
  <c r="BC191" i="16" s="1"/>
  <c r="AO60" i="16"/>
  <c r="AO3" i="16"/>
  <c r="AO140" i="16"/>
  <c r="AO159" i="16"/>
  <c r="AP159" i="16" s="1" a="1"/>
  <c r="AP159" i="16" s="1"/>
  <c r="AX159" i="16" s="1"/>
  <c r="AO24" i="16"/>
  <c r="AO12" i="16"/>
  <c r="AP12" i="16" s="1" a="1"/>
  <c r="AP12" i="16" s="1"/>
  <c r="AX12" i="16" s="1"/>
  <c r="AO98" i="16"/>
  <c r="AO152" i="16"/>
  <c r="AP152" i="16" s="1" a="1"/>
  <c r="AP152" i="16" s="1"/>
  <c r="AX152" i="16" s="1"/>
  <c r="AO47" i="16"/>
  <c r="AO155" i="16"/>
  <c r="AO100" i="16"/>
  <c r="AO128" i="16"/>
  <c r="AP128" i="16" s="1" a="1"/>
  <c r="AP128" i="16" s="1"/>
  <c r="AX128" i="16" s="1"/>
  <c r="AO9" i="16"/>
  <c r="AO146" i="16"/>
  <c r="AO119" i="16"/>
  <c r="AO173" i="16"/>
  <c r="AP173" i="16" s="1" a="1"/>
  <c r="AP173" i="16" s="1"/>
  <c r="AX173" i="16" s="1"/>
  <c r="AO183" i="16"/>
  <c r="AO160" i="16"/>
  <c r="AO32" i="16"/>
  <c r="AO120" i="16"/>
  <c r="AO104" i="16"/>
  <c r="AO101" i="16"/>
  <c r="AO124" i="16"/>
  <c r="AO138" i="16"/>
  <c r="AO116" i="16"/>
  <c r="AO181" i="16"/>
  <c r="AP181" i="16" s="1" a="1"/>
  <c r="AP181" i="16" s="1"/>
  <c r="AX181" i="16" s="1"/>
  <c r="BC181" i="16" s="1"/>
  <c r="AO75" i="16"/>
  <c r="AO20" i="16"/>
  <c r="AP20" i="16" s="1" a="1"/>
  <c r="AP20" i="16" s="1"/>
  <c r="AX20" i="16" s="1"/>
  <c r="AO31" i="16"/>
  <c r="AO166" i="16"/>
  <c r="AP166" i="16" s="1" a="1"/>
  <c r="AP166" i="16" s="1"/>
  <c r="AX166" i="16" s="1"/>
  <c r="AO189" i="16"/>
  <c r="AO92" i="16"/>
  <c r="AO78" i="16"/>
  <c r="AO2" i="16"/>
  <c r="AO162" i="16"/>
  <c r="AO130" i="16"/>
  <c r="AP130" i="16" s="1" a="1"/>
  <c r="AP130" i="16" s="1"/>
  <c r="AX130" i="16" s="1"/>
  <c r="AO56" i="16"/>
  <c r="AO50" i="16"/>
  <c r="AO165" i="16"/>
  <c r="AO123" i="16"/>
  <c r="AP123" i="16" s="1" a="1"/>
  <c r="AP123" i="16" s="1"/>
  <c r="AX123" i="16" s="1"/>
  <c r="AO11" i="16"/>
  <c r="AO114" i="16"/>
  <c r="AO133" i="16"/>
  <c r="AO19" i="16"/>
  <c r="AP19" i="16" s="1" a="1"/>
  <c r="AP19" i="16" s="1"/>
  <c r="AX19" i="16" s="1"/>
  <c r="AO148" i="16"/>
  <c r="AO171" i="16"/>
  <c r="AP171" i="16" s="1" a="1"/>
  <c r="AP171" i="16" s="1"/>
  <c r="AX171" i="16" s="1"/>
  <c r="AO151" i="16"/>
  <c r="AO63" i="16"/>
  <c r="AP63" i="16" s="1" a="1"/>
  <c r="AP63" i="16" s="1"/>
  <c r="AX63" i="16" s="1"/>
  <c r="AO61" i="16"/>
  <c r="AO23" i="16"/>
  <c r="AP23" i="16" s="1" a="1"/>
  <c r="AP23" i="16" s="1"/>
  <c r="AX23" i="16" s="1"/>
  <c r="AO30" i="16"/>
  <c r="AO126" i="16"/>
  <c r="AP126" i="16" s="1" a="1"/>
  <c r="AP126" i="16" s="1"/>
  <c r="AX126" i="16" s="1"/>
  <c r="AO144" i="16"/>
  <c r="AO62" i="16"/>
  <c r="AO36" i="16"/>
  <c r="AO45" i="16"/>
  <c r="AP45" i="16" s="1" a="1"/>
  <c r="AP45" i="16" s="1"/>
  <c r="AX45" i="16" s="1"/>
  <c r="AO10" i="16"/>
  <c r="AO141" i="16"/>
  <c r="AO35" i="16"/>
  <c r="AO135" i="16"/>
  <c r="AO55" i="16"/>
  <c r="AO180" i="16"/>
  <c r="AP180" i="16" s="1" a="1"/>
  <c r="AP180" i="16" s="1"/>
  <c r="AX180" i="16" s="1"/>
  <c r="BC180" i="16" s="1"/>
  <c r="AO190" i="16"/>
  <c r="AO182" i="16"/>
  <c r="AP182" i="16" s="1" a="1"/>
  <c r="AP182" i="16" s="1"/>
  <c r="AO177" i="16"/>
  <c r="AO84" i="16"/>
  <c r="AO29" i="16"/>
  <c r="AO91" i="16"/>
  <c r="AP91" i="16" s="1" a="1"/>
  <c r="AP91" i="16" s="1"/>
  <c r="AX91" i="16" s="1"/>
  <c r="AO14" i="16"/>
  <c r="AO16" i="16"/>
  <c r="AO18" i="16"/>
  <c r="AO188" i="16"/>
  <c r="AP188" i="16" s="1" a="1"/>
  <c r="AP188" i="16" s="1"/>
  <c r="AX188" i="16" s="1"/>
  <c r="BC188" i="16" s="1"/>
  <c r="AO37" i="16"/>
  <c r="AO157" i="16"/>
  <c r="AP157" i="16" s="1" a="1"/>
  <c r="AP157" i="16" s="1"/>
  <c r="AX157" i="16" s="1"/>
  <c r="AO118" i="16"/>
  <c r="AO86" i="16"/>
  <c r="AO106" i="16"/>
  <c r="AO8" i="16"/>
  <c r="AO40" i="16"/>
  <c r="AO115" i="16"/>
  <c r="AP115" i="16" s="1" a="1"/>
  <c r="AP115" i="16" s="1"/>
  <c r="AX115" i="16" s="1"/>
  <c r="AO96" i="16"/>
  <c r="AO163" i="16"/>
  <c r="AP163" i="16" s="1" a="1"/>
  <c r="AP163" i="16" s="1"/>
  <c r="AX163" i="16" s="1"/>
  <c r="AO25" i="16"/>
  <c r="AO113" i="16"/>
  <c r="AO71" i="16"/>
  <c r="AO169" i="16"/>
  <c r="AP169" i="16" s="1" a="1"/>
  <c r="AP169" i="16" s="1"/>
  <c r="AX169" i="16" s="1"/>
  <c r="AO41" i="16"/>
  <c r="AO105" i="16"/>
  <c r="AP105" i="16" s="1" a="1"/>
  <c r="AP105" i="16" s="1"/>
  <c r="AX105" i="16" s="1"/>
  <c r="AO52" i="16"/>
  <c r="AO147" i="16"/>
  <c r="AP147" i="16" s="1" a="1"/>
  <c r="AP147" i="16" s="1"/>
  <c r="AX147" i="16" s="1"/>
  <c r="AO99" i="16"/>
  <c r="AO149" i="16"/>
  <c r="AO134" i="16"/>
  <c r="AO49" i="16"/>
  <c r="AP49" i="16" s="1" a="1"/>
  <c r="AP49" i="16" s="1"/>
  <c r="AX49" i="16" s="1"/>
  <c r="AO81" i="16"/>
  <c r="AO121" i="16"/>
  <c r="AO21" i="16"/>
  <c r="AO65" i="16"/>
  <c r="AP65" i="16" s="1" a="1"/>
  <c r="AP65" i="16" s="1"/>
  <c r="AX65" i="16" s="1"/>
  <c r="AO82" i="16"/>
  <c r="AO187" i="16"/>
  <c r="AP187" i="16" s="1" a="1"/>
  <c r="AP187" i="16" s="1"/>
  <c r="AX187" i="16" s="1"/>
  <c r="AZ187" i="16" s="1"/>
  <c r="AO184" i="16"/>
  <c r="AO178" i="16"/>
  <c r="AP178" i="16" s="1" a="1"/>
  <c r="AP178" i="16" s="1"/>
  <c r="AP162" i="16" a="1"/>
  <c r="AP162" i="16" s="1"/>
  <c r="AX162" i="16" s="1"/>
  <c r="V578" i="31" a="1"/>
  <c r="V578" i="31" s="1"/>
  <c r="V1316" i="31" a="1"/>
  <c r="V1316" i="31" s="1"/>
  <c r="W1316" i="31" s="1"/>
  <c r="AO145" i="16" s="1"/>
  <c r="V776" i="31" a="1"/>
  <c r="V776" i="31" s="1"/>
  <c r="V1172" i="31" a="1"/>
  <c r="V1172" i="31" s="1"/>
  <c r="W1172" i="31" s="1"/>
  <c r="AO26" i="16" s="1"/>
  <c r="V1910" i="31" a="1"/>
  <c r="V1910" i="31" s="1"/>
  <c r="W1910" i="31" s="1"/>
  <c r="AO174" i="16" s="1"/>
  <c r="V1919" i="31" a="1"/>
  <c r="V1919" i="31" s="1"/>
  <c r="W1919" i="31" s="1"/>
  <c r="AO175" i="16" s="1"/>
  <c r="V2018" i="31" a="1"/>
  <c r="V2018" i="31" s="1"/>
  <c r="W2018" i="31" s="1"/>
  <c r="AO186" i="16" s="1"/>
  <c r="V1739" i="31" a="1"/>
  <c r="V1739" i="31" s="1"/>
  <c r="W1739" i="31" s="1"/>
  <c r="AO59" i="16" s="1"/>
  <c r="AP190" i="16" a="1"/>
  <c r="AP190" i="16" s="1"/>
  <c r="AX190" i="16" s="1"/>
  <c r="BC190" i="16" s="1"/>
  <c r="AP189" i="16" a="1"/>
  <c r="AP189" i="16" s="1"/>
  <c r="AX189" i="16" s="1"/>
  <c r="AZ189" i="16" s="1"/>
  <c r="AP185" i="16" a="1"/>
  <c r="AP185" i="16" s="1"/>
  <c r="AX185" i="16" s="1"/>
  <c r="AZ185" i="16" s="1"/>
  <c r="AP177" i="16" a="1"/>
  <c r="AP177" i="16" s="1"/>
  <c r="AP183" i="16" a="1"/>
  <c r="AP183" i="16" s="1"/>
  <c r="AX183" i="16" s="1"/>
  <c r="AZ183" i="16" s="1"/>
  <c r="AP176" i="16" a="1"/>
  <c r="AP176" i="16" s="1"/>
  <c r="AX176" i="16" s="1"/>
  <c r="AZ176" i="16" s="1"/>
  <c r="AP184" i="16" a="1"/>
  <c r="AP184" i="16" s="1"/>
  <c r="AP164" i="16" a="1"/>
  <c r="AP164" i="16" s="1"/>
  <c r="AX164" i="16" s="1"/>
  <c r="AP172" i="16" a="1"/>
  <c r="AP172" i="16" s="1"/>
  <c r="AX172" i="16" s="1"/>
  <c r="AP160" i="16" a="1"/>
  <c r="AP160" i="16" s="1"/>
  <c r="AX160" i="16" s="1"/>
  <c r="AP165" i="16" a="1"/>
  <c r="AP165" i="16" s="1"/>
  <c r="AX165" i="16" s="1"/>
  <c r="AP151" i="16" a="1"/>
  <c r="AP151" i="16" s="1"/>
  <c r="AX151" i="16" s="1"/>
  <c r="AP153" i="16" a="1"/>
  <c r="AP153" i="16" s="1"/>
  <c r="AX153" i="16" s="1"/>
  <c r="AP155" i="16" a="1"/>
  <c r="AP155" i="16" s="1"/>
  <c r="AX155" i="16" s="1"/>
  <c r="AP161" i="16" a="1"/>
  <c r="AP161" i="16" s="1"/>
  <c r="AX161" i="16" s="1"/>
  <c r="AP158" i="16" a="1"/>
  <c r="AP158" i="16" s="1"/>
  <c r="AX158" i="16" s="1"/>
  <c r="R49" i="6"/>
  <c r="R123" i="6"/>
  <c r="R125" i="6"/>
  <c r="R34" i="6"/>
  <c r="R98" i="6"/>
  <c r="R174" i="6"/>
  <c r="R119" i="6"/>
  <c r="R195" i="6"/>
  <c r="R207" i="6"/>
  <c r="R116" i="6"/>
  <c r="R152" i="6"/>
  <c r="R192" i="6"/>
  <c r="R248" i="6"/>
  <c r="R36" i="6"/>
  <c r="R64" i="6"/>
  <c r="R135" i="6"/>
  <c r="R264" i="6"/>
  <c r="R141" i="6"/>
  <c r="R263" i="6"/>
  <c r="AP9" i="16" a="1"/>
  <c r="AP9" i="16" s="1"/>
  <c r="AX9" i="16" s="1"/>
  <c r="AP118" i="16" a="1"/>
  <c r="AP118" i="16" s="1"/>
  <c r="AX118" i="16" s="1"/>
  <c r="AP29" i="16" a="1"/>
  <c r="AP29" i="16" s="1"/>
  <c r="AX29" i="16" s="1"/>
  <c r="AP35" i="16" a="1"/>
  <c r="AP35" i="16" s="1"/>
  <c r="AX35" i="16" s="1"/>
  <c r="AP119" i="16" a="1"/>
  <c r="AP119" i="16" s="1"/>
  <c r="AX119" i="16" s="1"/>
  <c r="AP27" i="16" a="1"/>
  <c r="AP27" i="16" s="1"/>
  <c r="AX27" i="16" s="1"/>
  <c r="AP116" i="16" a="1"/>
  <c r="AP116" i="16" s="1"/>
  <c r="AX116" i="16" s="1"/>
  <c r="AP31" i="16" a="1"/>
  <c r="AP31" i="16" s="1"/>
  <c r="AX31" i="16" s="1"/>
  <c r="AP143" i="16" a="1"/>
  <c r="AP143" i="16" s="1"/>
  <c r="AX143" i="16" s="1"/>
  <c r="AP111" i="16" a="1"/>
  <c r="AP111" i="16" s="1"/>
  <c r="AX111" i="16" s="1"/>
  <c r="AP11" i="16" a="1"/>
  <c r="AP11" i="16" s="1"/>
  <c r="AX11" i="16" s="1"/>
  <c r="AP139" i="16" a="1"/>
  <c r="AP139" i="16" s="1"/>
  <c r="AX139" i="16" s="1"/>
  <c r="AP36" i="16" a="1"/>
  <c r="AP36" i="16" s="1"/>
  <c r="AX36" i="16" s="1"/>
  <c r="AP110" i="16" a="1"/>
  <c r="AP110" i="16" s="1"/>
  <c r="AX110" i="16" s="1"/>
  <c r="AP78" i="16" a="1"/>
  <c r="AP78" i="16" s="1"/>
  <c r="AX78" i="16" s="1"/>
  <c r="V380" i="31" a="1"/>
  <c r="V380" i="31" s="1"/>
  <c r="V623" i="31" a="1"/>
  <c r="V623" i="31" s="1"/>
  <c r="V290" i="31" a="1"/>
  <c r="V290" i="31" s="1"/>
  <c r="V110" i="31" a="1"/>
  <c r="V110" i="31" s="1"/>
  <c r="V128" i="31" a="1"/>
  <c r="V128" i="31" s="1"/>
  <c r="W128" i="31" s="1"/>
  <c r="AO44" i="16" s="1"/>
  <c r="V1730" i="31" a="1"/>
  <c r="V1730" i="31" s="1"/>
  <c r="W1730" i="31" s="1"/>
  <c r="AO69" i="16" s="1"/>
  <c r="V1163" i="31" a="1"/>
  <c r="V1163" i="31" s="1"/>
  <c r="W1163" i="31" s="1"/>
  <c r="AO68" i="16" s="1"/>
  <c r="V326" i="31" a="1"/>
  <c r="V326" i="31" s="1"/>
  <c r="V74" i="31" a="1"/>
  <c r="V74" i="31" s="1"/>
  <c r="W74" i="31" s="1"/>
  <c r="AO125" i="16" s="1"/>
  <c r="V1307" i="31" a="1"/>
  <c r="V1307" i="31" s="1"/>
  <c r="V281" i="31" a="1"/>
  <c r="V281" i="31" s="1"/>
  <c r="W281" i="31" s="1"/>
  <c r="AO83" i="16" s="1"/>
  <c r="V1856" i="31" a="1"/>
  <c r="V1856" i="31" s="1"/>
  <c r="V650" i="31" a="1"/>
  <c r="V650" i="31" s="1"/>
  <c r="V83" i="31" a="1"/>
  <c r="V83" i="31" s="1"/>
  <c r="W83" i="31" s="1"/>
  <c r="AO7" i="16" s="1"/>
  <c r="V1406" i="31" a="1"/>
  <c r="V1406" i="31" s="1"/>
  <c r="V479" i="31" a="1"/>
  <c r="V479" i="31" s="1"/>
  <c r="W479" i="31" s="1"/>
  <c r="AO67" i="16" s="1"/>
  <c r="V254" i="31" a="1"/>
  <c r="V254" i="31" s="1"/>
  <c r="W254" i="31" s="1"/>
  <c r="AO88" i="16" s="1"/>
  <c r="V1388" i="31" a="1"/>
  <c r="V1388" i="31" s="1"/>
  <c r="W1388" i="31" s="1"/>
  <c r="AO93" i="16" s="1"/>
  <c r="V1370" i="31" a="1"/>
  <c r="V1370" i="31" s="1"/>
  <c r="W1370" i="31" s="1"/>
  <c r="AO76" i="16" s="1"/>
  <c r="V1325" i="31" a="1"/>
  <c r="V1325" i="31" s="1"/>
  <c r="V1415" i="31" a="1"/>
  <c r="V1415" i="31" s="1"/>
  <c r="V731" i="31" a="1"/>
  <c r="V731" i="31" s="1"/>
  <c r="W731" i="31" s="1"/>
  <c r="AO43" i="16" s="1"/>
  <c r="V1712" i="31" a="1"/>
  <c r="V1712" i="31" s="1"/>
  <c r="W1712" i="31" s="1"/>
  <c r="AO51" i="16" s="1"/>
  <c r="V119" i="31" a="1"/>
  <c r="V119" i="31" s="1"/>
  <c r="W119" i="31" s="1"/>
  <c r="AO13" i="16" s="1"/>
  <c r="V830" i="31" a="1"/>
  <c r="V830" i="31" s="1"/>
  <c r="W830" i="31" s="1"/>
  <c r="AO131" i="16" s="1"/>
  <c r="V1298" i="31" a="1"/>
  <c r="V1298" i="31" s="1"/>
  <c r="V794" i="31" a="1"/>
  <c r="V794" i="31" s="1"/>
  <c r="W794" i="31" s="1"/>
  <c r="AO136" i="16" s="1"/>
  <c r="V1847" i="31" a="1"/>
  <c r="V1847" i="31" s="1"/>
  <c r="V362" i="31" a="1"/>
  <c r="V362" i="31" s="1"/>
  <c r="V1703" i="31" a="1"/>
  <c r="V1703" i="31" s="1"/>
  <c r="W1703" i="31" s="1"/>
  <c r="AO94" i="16" s="1"/>
  <c r="V1865" i="31" a="1"/>
  <c r="V1865" i="31" s="1"/>
  <c r="W1865" i="31" s="1"/>
  <c r="AO15" i="16" s="1"/>
  <c r="AP46" i="16" a="1"/>
  <c r="AP46" i="16" s="1"/>
  <c r="AX46" i="16" s="1"/>
  <c r="AP133" i="16" a="1"/>
  <c r="AP133" i="16" s="1"/>
  <c r="AX133" i="16" s="1"/>
  <c r="AP55" i="16" a="1"/>
  <c r="AP55" i="16" s="1"/>
  <c r="AX55" i="16" s="1"/>
  <c r="AP48" i="16" a="1"/>
  <c r="AP48" i="16" s="1"/>
  <c r="AX48" i="16" s="1"/>
  <c r="AP137" i="16" a="1"/>
  <c r="AP137" i="16" s="1"/>
  <c r="AX137" i="16" s="1"/>
  <c r="AP39" i="16" a="1"/>
  <c r="AP39" i="16" s="1"/>
  <c r="AX39" i="16" s="1"/>
  <c r="AP142" i="16" a="1"/>
  <c r="AP142" i="16" s="1"/>
  <c r="AX142" i="16" s="1"/>
  <c r="J53" i="8" a="1"/>
  <c r="J53" i="8" s="1"/>
  <c r="K53" i="8" s="1"/>
  <c r="J9" i="8" a="1"/>
  <c r="J9" i="8" s="1"/>
  <c r="K9" i="8" s="1"/>
  <c r="J7" i="8" a="1"/>
  <c r="J7" i="8" s="1"/>
  <c r="K7" i="8" s="1"/>
  <c r="J71" i="8" a="1"/>
  <c r="J71" i="8" s="1"/>
  <c r="K71" i="8" s="1"/>
  <c r="J74" i="8" a="1"/>
  <c r="J74" i="8" s="1"/>
  <c r="K74" i="8" s="1"/>
  <c r="J13" i="8" a="1"/>
  <c r="J13" i="8" s="1"/>
  <c r="K13" i="8" s="1"/>
  <c r="J77" i="8" a="1"/>
  <c r="J77" i="8" s="1"/>
  <c r="K77" i="8" s="1"/>
  <c r="J15" i="8" a="1"/>
  <c r="J15" i="8" s="1"/>
  <c r="K15" i="8" s="1"/>
  <c r="J97" i="8" a="1"/>
  <c r="J97" i="8" s="1"/>
  <c r="K97" i="8" s="1"/>
  <c r="J79" i="8" a="1"/>
  <c r="J79" i="8" s="1"/>
  <c r="K79" i="8" s="1"/>
  <c r="J44" i="8" a="1"/>
  <c r="J44" i="8" s="1"/>
  <c r="K44" i="8" s="1"/>
  <c r="J46" i="8" a="1"/>
  <c r="J46" i="8" s="1"/>
  <c r="K46" i="8" s="1"/>
  <c r="J34" i="8" a="1"/>
  <c r="J34" i="8" s="1"/>
  <c r="K34" i="8" s="1"/>
  <c r="J39" i="8" a="1"/>
  <c r="J39" i="8" s="1"/>
  <c r="K39" i="8" s="1"/>
  <c r="J43" i="8" a="1"/>
  <c r="J43" i="8" s="1"/>
  <c r="K43" i="8" s="1"/>
  <c r="J75" i="8" a="1"/>
  <c r="J75" i="8" s="1"/>
  <c r="K75" i="8" s="1"/>
  <c r="J8" i="8" a="1"/>
  <c r="J8" i="8" s="1"/>
  <c r="K8" i="8" s="1"/>
  <c r="R73" i="6" s="1"/>
  <c r="J40" i="8" a="1"/>
  <c r="J40" i="8" s="1"/>
  <c r="K40" i="8" s="1"/>
  <c r="J76" i="8" a="1"/>
  <c r="J76" i="8" s="1"/>
  <c r="K76" i="8" s="1"/>
  <c r="J17" i="8" a="1"/>
  <c r="J17" i="8" s="1"/>
  <c r="K17" i="8" s="1"/>
  <c r="J99" i="8" a="1"/>
  <c r="J99" i="8" s="1"/>
  <c r="K99" i="8" s="1"/>
  <c r="J85" i="8" a="1"/>
  <c r="J85" i="8" s="1"/>
  <c r="K85" i="8" s="1"/>
  <c r="J19" i="8" a="1"/>
  <c r="J19" i="8" s="1"/>
  <c r="K19" i="8" s="1"/>
  <c r="J16" i="8" a="1"/>
  <c r="J16" i="8" s="1"/>
  <c r="K16" i="8" s="1"/>
  <c r="J80" i="8" a="1"/>
  <c r="J80" i="8" s="1"/>
  <c r="K80" i="8" s="1"/>
  <c r="J89" i="8" a="1"/>
  <c r="J89" i="8" s="1"/>
  <c r="K89" i="8" s="1"/>
  <c r="J55" i="8" a="1"/>
  <c r="J55" i="8" s="1"/>
  <c r="K55" i="8" s="1"/>
  <c r="J52" i="8" a="1"/>
  <c r="J52" i="8" s="1"/>
  <c r="K52" i="8" s="1"/>
  <c r="J90" i="8" a="1"/>
  <c r="J90" i="8" s="1"/>
  <c r="K90" i="8" s="1"/>
  <c r="J27" i="8" a="1"/>
  <c r="J27" i="8" s="1"/>
  <c r="K27" i="8" s="1"/>
  <c r="J56" i="8" a="1"/>
  <c r="J56" i="8" s="1"/>
  <c r="K56" i="8" s="1"/>
  <c r="J49" i="8" a="1"/>
  <c r="J49" i="8" s="1"/>
  <c r="K49" i="8" s="1"/>
  <c r="J94" i="8" a="1"/>
  <c r="J94" i="8" s="1"/>
  <c r="K94" i="8" s="1"/>
  <c r="J31" i="8" a="1"/>
  <c r="J31" i="8" s="1"/>
  <c r="K31" i="8" s="1"/>
  <c r="J92" i="8" a="1"/>
  <c r="J92" i="8" s="1"/>
  <c r="K92" i="8" s="1"/>
  <c r="J54" i="8" a="1"/>
  <c r="J54" i="8" s="1"/>
  <c r="K54" i="8" s="1"/>
  <c r="J50" i="8" a="1"/>
  <c r="J50" i="8" s="1"/>
  <c r="K50" i="8" s="1"/>
  <c r="J33" i="8" a="1"/>
  <c r="J33" i="8" s="1"/>
  <c r="K33" i="8" s="1"/>
  <c r="J84" i="8" a="1"/>
  <c r="J84" i="8" s="1"/>
  <c r="K84" i="8" s="1"/>
  <c r="J37" i="8" a="1"/>
  <c r="J37" i="8" s="1"/>
  <c r="K37" i="8" s="1"/>
  <c r="J59" i="8" a="1"/>
  <c r="J59" i="8" s="1"/>
  <c r="K59" i="8" s="1"/>
  <c r="J51" i="8" a="1"/>
  <c r="J51" i="8" s="1"/>
  <c r="K51" i="8" s="1"/>
  <c r="J22" i="8" a="1"/>
  <c r="J22" i="8" s="1"/>
  <c r="K22" i="8" s="1"/>
  <c r="J88" i="8" a="1"/>
  <c r="J88" i="8" s="1"/>
  <c r="K88" i="8" s="1"/>
  <c r="J30" i="8" a="1"/>
  <c r="J30" i="8" s="1"/>
  <c r="K30" i="8" s="1"/>
  <c r="J48" i="8" a="1"/>
  <c r="J48" i="8" s="1"/>
  <c r="K48" i="8" s="1"/>
  <c r="J23" i="8" a="1"/>
  <c r="J23" i="8" s="1"/>
  <c r="K23" i="8" s="1"/>
  <c r="J93" i="8" a="1"/>
  <c r="J93" i="8" s="1"/>
  <c r="K93" i="8" s="1"/>
  <c r="J60" i="8" a="1"/>
  <c r="J60" i="8" s="1"/>
  <c r="K60" i="8" s="1"/>
  <c r="J6" i="8" a="1"/>
  <c r="J6" i="8" s="1"/>
  <c r="K6" i="8" s="1"/>
  <c r="J18" i="8" a="1"/>
  <c r="J18" i="8" s="1"/>
  <c r="K18" i="8" s="1"/>
  <c r="J83" i="8" a="1"/>
  <c r="J83" i="8" s="1"/>
  <c r="K83" i="8" s="1"/>
  <c r="J95" i="8" a="1"/>
  <c r="J95" i="8" s="1"/>
  <c r="K95" i="8" s="1"/>
  <c r="J67" i="8" a="1"/>
  <c r="J67" i="8" s="1"/>
  <c r="K67" i="8" s="1"/>
  <c r="J64" i="8" a="1"/>
  <c r="J64" i="8" s="1"/>
  <c r="K64" i="8" s="1"/>
  <c r="J10" i="8" a="1"/>
  <c r="J10" i="8" s="1"/>
  <c r="K10" i="8" s="1"/>
  <c r="J66" i="8" a="1"/>
  <c r="J66" i="8" s="1"/>
  <c r="K66" i="8" s="1"/>
  <c r="J4" i="8" a="1"/>
  <c r="J4" i="8" s="1"/>
  <c r="J61" i="8" a="1"/>
  <c r="J61" i="8" s="1"/>
  <c r="K61" i="8" s="1"/>
  <c r="J3" i="8" a="1"/>
  <c r="J3" i="8" s="1"/>
  <c r="J73" i="8" a="1"/>
  <c r="J73" i="8" s="1"/>
  <c r="K73" i="8" s="1"/>
  <c r="J100" i="8" a="1"/>
  <c r="J100" i="8" s="1"/>
  <c r="K100" i="8" s="1"/>
  <c r="J96" i="8" a="1"/>
  <c r="J96" i="8" s="1"/>
  <c r="K96" i="8" s="1"/>
  <c r="J98" i="8" a="1"/>
  <c r="J98" i="8" s="1"/>
  <c r="K98" i="8" s="1"/>
  <c r="J69" i="8" a="1"/>
  <c r="J69" i="8" s="1"/>
  <c r="J36" i="8" a="1"/>
  <c r="J36" i="8" s="1"/>
  <c r="K36" i="8" s="1"/>
  <c r="J11" i="8" a="1"/>
  <c r="J11" i="8" s="1"/>
  <c r="K11" i="8" s="1"/>
  <c r="J81" i="8" a="1"/>
  <c r="J81" i="8" s="1"/>
  <c r="K81" i="8" s="1"/>
  <c r="J35" i="8" a="1"/>
  <c r="J35" i="8" s="1"/>
  <c r="K35" i="8" s="1"/>
  <c r="J72" i="8" a="1"/>
  <c r="J72" i="8" s="1"/>
  <c r="K72" i="8" s="1"/>
  <c r="J47" i="8" a="1"/>
  <c r="J47" i="8" s="1"/>
  <c r="K47" i="8" s="1"/>
  <c r="J65" i="8" a="1"/>
  <c r="J65" i="8" s="1"/>
  <c r="K65" i="8" s="1"/>
  <c r="J42" i="8" a="1"/>
  <c r="J42" i="8" s="1"/>
  <c r="K42" i="8" s="1"/>
  <c r="G14" i="12" a="1"/>
  <c r="G14" i="12" s="1"/>
  <c r="I36" i="12"/>
  <c r="J36" i="12" s="1"/>
  <c r="E93" i="12"/>
  <c r="D93" i="12"/>
  <c r="W290" i="31" l="1"/>
  <c r="AO77" i="16" s="1"/>
  <c r="AP77" i="16" s="1" a="1"/>
  <c r="AP77" i="16" s="1"/>
  <c r="AX77" i="16" s="1"/>
  <c r="W1298" i="31"/>
  <c r="AO107" i="16" s="1"/>
  <c r="AP107" i="16" s="1" a="1"/>
  <c r="AP107" i="16" s="1"/>
  <c r="AX107" i="16" s="1"/>
  <c r="W1307" i="31"/>
  <c r="AO22" i="16" s="1"/>
  <c r="AP22" i="16" s="1" a="1"/>
  <c r="AP22" i="16" s="1"/>
  <c r="AX22" i="16" s="1"/>
  <c r="W623" i="31"/>
  <c r="AO42" i="16" s="1"/>
  <c r="AP42" i="16" s="1" a="1"/>
  <c r="AP42" i="16" s="1"/>
  <c r="AX42" i="16" s="1"/>
  <c r="W1406" i="31"/>
  <c r="AO154" i="16" s="1"/>
  <c r="AP154" i="16" s="1" a="1"/>
  <c r="AP154" i="16" s="1"/>
  <c r="AX154" i="16" s="1"/>
  <c r="W362" i="31"/>
  <c r="AO117" i="16" s="1"/>
  <c r="AP117" i="16" s="1" a="1"/>
  <c r="AP117" i="16" s="1"/>
  <c r="AX117" i="16" s="1"/>
  <c r="W1415" i="31"/>
  <c r="AO132" i="16" s="1"/>
  <c r="AP132" i="16" s="1" a="1"/>
  <c r="AP132" i="16" s="1"/>
  <c r="AX132" i="16" s="1"/>
  <c r="W650" i="31"/>
  <c r="AO54" i="16" s="1"/>
  <c r="AP54" i="16" s="1" a="1"/>
  <c r="AP54" i="16" s="1"/>
  <c r="AX54" i="16" s="1"/>
  <c r="W380" i="31"/>
  <c r="AO167" i="16" s="1"/>
  <c r="AP167" i="16" s="1" a="1"/>
  <c r="AP167" i="16" s="1"/>
  <c r="AX167" i="16" s="1"/>
  <c r="W776" i="31"/>
  <c r="AO73" i="16" s="1"/>
  <c r="AP73" i="16" s="1" a="1"/>
  <c r="AP73" i="16" s="1"/>
  <c r="AX73" i="16" s="1"/>
  <c r="W578" i="31"/>
  <c r="AO66" i="16" s="1"/>
  <c r="AP66" i="16" s="1" a="1"/>
  <c r="AP66" i="16" s="1"/>
  <c r="AX66" i="16" s="1"/>
  <c r="W1847" i="31"/>
  <c r="AO170" i="16" s="1"/>
  <c r="AP170" i="16" s="1" a="1"/>
  <c r="AP170" i="16" s="1"/>
  <c r="AX170" i="16" s="1"/>
  <c r="W1325" i="31"/>
  <c r="AO5" i="16" s="1"/>
  <c r="AP5" i="16" s="1" a="1"/>
  <c r="AP5" i="16" s="1"/>
  <c r="AX5" i="16" s="1"/>
  <c r="W1856" i="31"/>
  <c r="AO150" i="16" s="1"/>
  <c r="AP150" i="16" s="1" a="1"/>
  <c r="AP150" i="16" s="1"/>
  <c r="AX150" i="16" s="1"/>
  <c r="W326" i="31"/>
  <c r="AO89" i="16" s="1"/>
  <c r="AP89" i="16" s="1" a="1"/>
  <c r="AP89" i="16" s="1"/>
  <c r="AX89" i="16" s="1"/>
  <c r="W110" i="31"/>
  <c r="AO70" i="16" s="1"/>
  <c r="AP70" i="16" s="1" a="1"/>
  <c r="AP70" i="16" s="1"/>
  <c r="AX70" i="16" s="1"/>
  <c r="AP174" i="16" a="1"/>
  <c r="AP174" i="16" s="1"/>
  <c r="AX174" i="16" s="1"/>
  <c r="AZ174" i="16" s="1"/>
  <c r="AP175" i="16" a="1"/>
  <c r="AP175" i="16" s="1"/>
  <c r="AX175" i="16" s="1"/>
  <c r="AZ175" i="16" s="1"/>
  <c r="AP186" i="16" a="1"/>
  <c r="AP186" i="16" s="1"/>
  <c r="AX186" i="16" s="1"/>
  <c r="AZ186" i="16" s="1"/>
  <c r="R117" i="6"/>
  <c r="R133" i="6"/>
  <c r="R138" i="6"/>
  <c r="R163" i="6"/>
  <c r="R24" i="6"/>
  <c r="R213" i="6"/>
  <c r="R70" i="6"/>
  <c r="R74" i="6"/>
  <c r="R166" i="6"/>
  <c r="R186" i="6"/>
  <c r="R258" i="6"/>
  <c r="R2" i="6"/>
  <c r="AC177" i="16" s="1"/>
  <c r="R231" i="6"/>
  <c r="R156" i="6"/>
  <c r="R180" i="6"/>
  <c r="R220" i="6"/>
  <c r="R101" i="6"/>
  <c r="R145" i="6"/>
  <c r="R149" i="6"/>
  <c r="R157" i="6"/>
  <c r="R169" i="6"/>
  <c r="R209" i="6"/>
  <c r="R261" i="6"/>
  <c r="R18" i="6"/>
  <c r="R22" i="6"/>
  <c r="R30" i="6"/>
  <c r="R42" i="6"/>
  <c r="R62" i="6"/>
  <c r="R86" i="6"/>
  <c r="R94" i="6"/>
  <c r="R154" i="6"/>
  <c r="R178" i="6"/>
  <c r="R190" i="6"/>
  <c r="R214" i="6"/>
  <c r="R75" i="6"/>
  <c r="R91" i="6"/>
  <c r="R103" i="6"/>
  <c r="R167" i="6"/>
  <c r="R211" i="6"/>
  <c r="R243" i="6"/>
  <c r="R259" i="6"/>
  <c r="R108" i="6"/>
  <c r="R228" i="6"/>
  <c r="R240" i="6"/>
  <c r="R256" i="6"/>
  <c r="R27" i="6"/>
  <c r="R47" i="6"/>
  <c r="R55" i="6"/>
  <c r="R32" i="6"/>
  <c r="R40" i="6"/>
  <c r="R44" i="6"/>
  <c r="AP67" i="16" a="1"/>
  <c r="AP67" i="16" s="1"/>
  <c r="AX67" i="16" s="1"/>
  <c r="AP28" i="16" a="1"/>
  <c r="AP28" i="16" s="1"/>
  <c r="AX28" i="16" s="1"/>
  <c r="AP125" i="16" a="1"/>
  <c r="AP125" i="16" s="1"/>
  <c r="AX125" i="16" s="1"/>
  <c r="AP149" i="16" a="1"/>
  <c r="AP149" i="16" s="1"/>
  <c r="AX149" i="16" s="1"/>
  <c r="AP102" i="16" a="1"/>
  <c r="AP102" i="16" s="1"/>
  <c r="AX102" i="16" s="1"/>
  <c r="AP145" i="16" a="1"/>
  <c r="AP145" i="16" s="1"/>
  <c r="AX145" i="16" s="1"/>
  <c r="AP93" i="16" a="1"/>
  <c r="AP93" i="16" s="1"/>
  <c r="AX93" i="16" s="1"/>
  <c r="AP44" i="16" a="1"/>
  <c r="AP44" i="16" s="1"/>
  <c r="AX44" i="16" s="1"/>
  <c r="AP25" i="16" a="1"/>
  <c r="AP25" i="16" s="1"/>
  <c r="AX25" i="16" s="1"/>
  <c r="AP144" i="16" a="1"/>
  <c r="AP144" i="16" s="1"/>
  <c r="AX144" i="16" s="1"/>
  <c r="AP47" i="16" a="1"/>
  <c r="AP47" i="16" s="1"/>
  <c r="AX47" i="16" s="1"/>
  <c r="AP99" i="16" a="1"/>
  <c r="AP99" i="16" s="1"/>
  <c r="AX99" i="16" s="1"/>
  <c r="AP41" i="16" a="1"/>
  <c r="AP41" i="16" s="1"/>
  <c r="AX41" i="16" s="1"/>
  <c r="AP94" i="16" a="1"/>
  <c r="AP94" i="16" s="1"/>
  <c r="AX94" i="16" s="1"/>
  <c r="AP10" i="16" a="1"/>
  <c r="AP10" i="16" s="1"/>
  <c r="AX10" i="16" s="1"/>
  <c r="AP15" i="16" a="1"/>
  <c r="AP15" i="16" s="1"/>
  <c r="AX15" i="16" s="1"/>
  <c r="AP88" i="16" a="1"/>
  <c r="AP88" i="16" s="1"/>
  <c r="AX88" i="16" s="1"/>
  <c r="AP24" i="16" a="1"/>
  <c r="AP24" i="16" s="1"/>
  <c r="AX24" i="16" s="1"/>
  <c r="AP76" i="16" a="1"/>
  <c r="AP76" i="16" s="1"/>
  <c r="AX76" i="16" s="1"/>
  <c r="AP60" i="16" a="1"/>
  <c r="AP60" i="16" s="1"/>
  <c r="AX60" i="16" s="1"/>
  <c r="AP113" i="16" a="1"/>
  <c r="AP113" i="16" s="1"/>
  <c r="AX113" i="16" s="1"/>
  <c r="AP95" i="16" a="1"/>
  <c r="AP95" i="16" s="1"/>
  <c r="AX95" i="16" s="1"/>
  <c r="AP131" i="16" a="1"/>
  <c r="AP131" i="16" s="1"/>
  <c r="AX131" i="16" s="1"/>
  <c r="AP62" i="16" a="1"/>
  <c r="AP62" i="16" s="1"/>
  <c r="AX62" i="16" s="1"/>
  <c r="AP64" i="16" a="1"/>
  <c r="AP64" i="16" s="1"/>
  <c r="AX64" i="16" s="1"/>
  <c r="AP140" i="16" a="1"/>
  <c r="AP140" i="16" s="1"/>
  <c r="AX140" i="16" s="1"/>
  <c r="AP75" i="16" a="1"/>
  <c r="AP75" i="16" s="1"/>
  <c r="AX75" i="16" s="1"/>
  <c r="AP57" i="16" a="1"/>
  <c r="AP57" i="16" s="1"/>
  <c r="AX57" i="16" s="1"/>
  <c r="AP69" i="16" a="1"/>
  <c r="AP69" i="16" s="1"/>
  <c r="AX69" i="16" s="1"/>
  <c r="AP58" i="16" a="1"/>
  <c r="AP58" i="16" s="1"/>
  <c r="AX58" i="16" s="1"/>
  <c r="AP43" i="16" a="1"/>
  <c r="AP43" i="16" s="1"/>
  <c r="AX43" i="16" s="1"/>
  <c r="AP114" i="16" a="1"/>
  <c r="AP114" i="16" s="1"/>
  <c r="AX114" i="16" s="1"/>
  <c r="AP71" i="16" a="1"/>
  <c r="AP71" i="16" s="1"/>
  <c r="AX71" i="16" s="1"/>
  <c r="AP2" i="16" a="1"/>
  <c r="AP2" i="16" s="1"/>
  <c r="AX2" i="16" s="1"/>
  <c r="AP96" i="16" a="1"/>
  <c r="AP96" i="16" s="1"/>
  <c r="AX96" i="16" s="1"/>
  <c r="AP14" i="16" a="1"/>
  <c r="AP14" i="16" s="1"/>
  <c r="AX14" i="16" s="1"/>
  <c r="AP127" i="16" a="1"/>
  <c r="AP127" i="16" s="1"/>
  <c r="AX127" i="16" s="1"/>
  <c r="AP100" i="16" a="1"/>
  <c r="AP100" i="16" s="1"/>
  <c r="AX100" i="16" s="1"/>
  <c r="AP97" i="16" a="1"/>
  <c r="AP97" i="16" s="1"/>
  <c r="AX97" i="16" s="1"/>
  <c r="AP50" i="16" a="1"/>
  <c r="AP50" i="16" s="1"/>
  <c r="AX50" i="16" s="1"/>
  <c r="AP134" i="16" a="1"/>
  <c r="AP134" i="16" s="1"/>
  <c r="AX134" i="16" s="1"/>
  <c r="AP37" i="16" a="1"/>
  <c r="AP37" i="16" s="1"/>
  <c r="AX37" i="16" s="1"/>
  <c r="AP68" i="16" a="1"/>
  <c r="AP68" i="16" s="1"/>
  <c r="AX68" i="16" s="1"/>
  <c r="AP30" i="16" a="1"/>
  <c r="AP30" i="16" s="1"/>
  <c r="AX30" i="16" s="1"/>
  <c r="AP101" i="16" a="1"/>
  <c r="AP101" i="16" s="1"/>
  <c r="AX101" i="16" s="1"/>
  <c r="AP34" i="16" a="1"/>
  <c r="AP34" i="16" s="1"/>
  <c r="AX34" i="16" s="1"/>
  <c r="AP148" i="16" a="1"/>
  <c r="AP148" i="16" s="1"/>
  <c r="AX148" i="16" s="1"/>
  <c r="AP17" i="16" a="1"/>
  <c r="AP17" i="16" s="1"/>
  <c r="AX17" i="16" s="1"/>
  <c r="AP138" i="16" a="1"/>
  <c r="AP138" i="16" s="1"/>
  <c r="AX138" i="16" s="1"/>
  <c r="AP106" i="16" a="1"/>
  <c r="AP106" i="16" s="1"/>
  <c r="AX106" i="16" s="1"/>
  <c r="AP112" i="16" a="1"/>
  <c r="AP112" i="16" s="1"/>
  <c r="AX112" i="16" s="1"/>
  <c r="AP79" i="16" a="1"/>
  <c r="AP79" i="16" s="1"/>
  <c r="AX79" i="16" s="1"/>
  <c r="AP129" i="16" a="1"/>
  <c r="AP129" i="16" s="1"/>
  <c r="AX129" i="16" s="1"/>
  <c r="AP59" i="16" a="1"/>
  <c r="AP59" i="16" s="1"/>
  <c r="AX59" i="16" s="1"/>
  <c r="AP56" i="16" a="1"/>
  <c r="AP56" i="16" s="1"/>
  <c r="AX56" i="16" s="1"/>
  <c r="AP74" i="16" a="1"/>
  <c r="AP74" i="16" s="1"/>
  <c r="AX74" i="16" s="1"/>
  <c r="AP4" i="16" a="1"/>
  <c r="AP4" i="16" s="1"/>
  <c r="AX4" i="16" s="1"/>
  <c r="AP21" i="16" a="1"/>
  <c r="AP21" i="16" s="1"/>
  <c r="AX21" i="16" s="1"/>
  <c r="AP86" i="16" a="1"/>
  <c r="AP86" i="16" s="1"/>
  <c r="AX86" i="16" s="1"/>
  <c r="AP40" i="16" a="1"/>
  <c r="AP40" i="16" s="1"/>
  <c r="AX40" i="16" s="1"/>
  <c r="AP121" i="16" a="1"/>
  <c r="AP121" i="16" s="1"/>
  <c r="AX121" i="16" s="1"/>
  <c r="AP38" i="16" a="1"/>
  <c r="AP38" i="16" s="1"/>
  <c r="AX38" i="16" s="1"/>
  <c r="AP13" i="16" a="1"/>
  <c r="AP13" i="16" s="1"/>
  <c r="AX13" i="16" s="1"/>
  <c r="AP7" i="16" a="1"/>
  <c r="AP7" i="16" s="1"/>
  <c r="AX7" i="16" s="1"/>
  <c r="AP120" i="16" a="1"/>
  <c r="AP120" i="16" s="1"/>
  <c r="AX120" i="16" s="1"/>
  <c r="AP85" i="16" a="1"/>
  <c r="AP85" i="16" s="1"/>
  <c r="AX85" i="16" s="1"/>
  <c r="AP141" i="16" a="1"/>
  <c r="AP141" i="16" s="1"/>
  <c r="AX141" i="16" s="1"/>
  <c r="AP3" i="16" a="1"/>
  <c r="AP3" i="16" s="1"/>
  <c r="AX3" i="16" s="1"/>
  <c r="AP135" i="16" a="1"/>
  <c r="AP135" i="16" s="1"/>
  <c r="AX135" i="16" s="1"/>
  <c r="K69" i="8"/>
  <c r="K4" i="8"/>
  <c r="K3" i="8"/>
  <c r="R20" i="6" s="1"/>
  <c r="BA175" i="16" l="1"/>
  <c r="BB175" i="16" s="1"/>
  <c r="AS177" i="16" a="1"/>
  <c r="AS177" i="16" s="1"/>
  <c r="AX177" i="16" s="1"/>
  <c r="BC177" i="16" s="1"/>
  <c r="BA188" i="16"/>
  <c r="BB188" i="16" s="1"/>
  <c r="BA189" i="16"/>
  <c r="BB189" i="16" s="1"/>
  <c r="BA180" i="16"/>
  <c r="BB180" i="16" s="1"/>
  <c r="BA181" i="16"/>
  <c r="BB181" i="16" s="1"/>
  <c r="BA186" i="16"/>
  <c r="BB186" i="16" s="1"/>
  <c r="BA190" i="16"/>
  <c r="BB190" i="16" s="1"/>
  <c r="BA177" i="16"/>
  <c r="BB177" i="16" s="1"/>
  <c r="BA176" i="16"/>
  <c r="BB176" i="16" s="1"/>
  <c r="BA191" i="16"/>
  <c r="BB191" i="16" s="1"/>
  <c r="BA179" i="16"/>
  <c r="BB179" i="16" s="1"/>
  <c r="BA187" i="16"/>
  <c r="BB187" i="16" s="1"/>
  <c r="BA174" i="16"/>
  <c r="BB174" i="16" s="1"/>
  <c r="BA183" i="16"/>
  <c r="BB183" i="16" s="1"/>
  <c r="BA184" i="16"/>
  <c r="BB184" i="16" s="1"/>
  <c r="BA178" i="16"/>
  <c r="BB178" i="16" s="1"/>
  <c r="BA185" i="16"/>
  <c r="BB185" i="16" s="1"/>
  <c r="BA182" i="16"/>
  <c r="BB182" i="16" s="1"/>
  <c r="AC182" i="16"/>
  <c r="AS182" i="16" s="1" a="1"/>
  <c r="AS182" i="16" s="1"/>
  <c r="AB182" i="16"/>
  <c r="AR182" i="16" s="1" a="1"/>
  <c r="AR182" i="16" s="1"/>
  <c r="AB184" i="16"/>
  <c r="AR184" i="16" s="1" a="1"/>
  <c r="AR184" i="16" s="1"/>
  <c r="AC184" i="16"/>
  <c r="AS184" i="16" s="1" a="1"/>
  <c r="AS184" i="16" s="1"/>
  <c r="R143" i="6"/>
  <c r="R172" i="6"/>
  <c r="R12" i="6"/>
  <c r="AC178" i="16" s="1"/>
  <c r="R161" i="6"/>
  <c r="R159" i="6"/>
  <c r="R184" i="6"/>
  <c r="AP26" i="16" a="1"/>
  <c r="AP26" i="16" s="1"/>
  <c r="AX26" i="16" s="1"/>
  <c r="AP80" i="16" a="1"/>
  <c r="AP80" i="16" s="1"/>
  <c r="AX80" i="16" s="1"/>
  <c r="AP109" i="16" a="1"/>
  <c r="AP109" i="16" s="1"/>
  <c r="AX109" i="16" s="1"/>
  <c r="AP16" i="16" a="1"/>
  <c r="AP16" i="16" s="1"/>
  <c r="AX16" i="16" s="1"/>
  <c r="AP61" i="16" a="1"/>
  <c r="AP61" i="16" s="1"/>
  <c r="AX61" i="16" s="1"/>
  <c r="AP136" i="16" a="1"/>
  <c r="AP136" i="16" s="1"/>
  <c r="AX136" i="16" s="1"/>
  <c r="AP124" i="16" a="1"/>
  <c r="AP124" i="16" s="1"/>
  <c r="AX124" i="16" s="1"/>
  <c r="AP92" i="16" a="1"/>
  <c r="AP92" i="16" s="1"/>
  <c r="AX92" i="16" s="1"/>
  <c r="AP53" i="16" a="1"/>
  <c r="AP53" i="16" s="1"/>
  <c r="AX53" i="16" s="1"/>
  <c r="AP6" i="16" a="1"/>
  <c r="AP6" i="16" s="1"/>
  <c r="AX6" i="16" s="1"/>
  <c r="AP83" i="16" a="1"/>
  <c r="AP83" i="16" s="1"/>
  <c r="AX83" i="16" s="1"/>
  <c r="AP98" i="16" a="1"/>
  <c r="AP98" i="16" s="1"/>
  <c r="AX98" i="16" s="1"/>
  <c r="AP103" i="16" a="1"/>
  <c r="AP103" i="16" s="1"/>
  <c r="AX103" i="16" s="1"/>
  <c r="AP72" i="16" a="1"/>
  <c r="AP72" i="16" s="1"/>
  <c r="AX72" i="16" s="1"/>
  <c r="AP82" i="16" a="1"/>
  <c r="AP82" i="16" s="1"/>
  <c r="AX82" i="16" s="1"/>
  <c r="AP104" i="16" a="1"/>
  <c r="AP104" i="16" s="1"/>
  <c r="AX104" i="16" s="1"/>
  <c r="AP146" i="16" a="1"/>
  <c r="AP146" i="16" s="1"/>
  <c r="AX146" i="16" s="1"/>
  <c r="AP84" i="16" a="1"/>
  <c r="AP84" i="16" s="1"/>
  <c r="AX84" i="16" s="1"/>
  <c r="AP108" i="16" a="1"/>
  <c r="AP108" i="16" s="1"/>
  <c r="AX108" i="16" s="1"/>
  <c r="AP32" i="16" a="1"/>
  <c r="AP32" i="16" s="1"/>
  <c r="AX32" i="16" s="1"/>
  <c r="AP81" i="16" a="1"/>
  <c r="AP81" i="16" s="1"/>
  <c r="AX81" i="16" s="1"/>
  <c r="AP18" i="16" a="1"/>
  <c r="AP18" i="16" s="1"/>
  <c r="AX18" i="16" s="1"/>
  <c r="AP90" i="16" a="1"/>
  <c r="AP90" i="16" s="1"/>
  <c r="AX90" i="16" s="1"/>
  <c r="AP87" i="16" a="1"/>
  <c r="AP87" i="16" s="1"/>
  <c r="AX87" i="16" s="1"/>
  <c r="AP8" i="16" a="1"/>
  <c r="AP8" i="16" s="1"/>
  <c r="AX8" i="16" s="1"/>
  <c r="AP52" i="16" a="1"/>
  <c r="AP52" i="16" s="1"/>
  <c r="AX52" i="16" s="1"/>
  <c r="AP51" i="16" a="1"/>
  <c r="AP51" i="16" s="1"/>
  <c r="AX51" i="16" s="1"/>
  <c r="AX182" i="16" l="1"/>
  <c r="BC182" i="16" s="1"/>
  <c r="AX184" i="16"/>
  <c r="BC184" i="16" s="1"/>
  <c r="AS178" i="16" a="1"/>
  <c r="AS178" i="16" s="1"/>
  <c r="AX178" i="16" s="1"/>
  <c r="BC178" i="16" s="1"/>
  <c r="BD182" i="16" l="1"/>
  <c r="BE182" i="16" s="1"/>
  <c r="BD185" i="16"/>
  <c r="BE185" i="16" s="1"/>
  <c r="BD183" i="16"/>
  <c r="BE183" i="16" s="1"/>
  <c r="BD179" i="16"/>
  <c r="BE179" i="16" s="1"/>
  <c r="BD191" i="16"/>
  <c r="BE191" i="16" s="1"/>
  <c r="BD176" i="16"/>
  <c r="BE176" i="16" s="1"/>
  <c r="BD189" i="16"/>
  <c r="BE189" i="16" s="1"/>
  <c r="BD181" i="16"/>
  <c r="BE181" i="16" s="1"/>
  <c r="BD178" i="16"/>
  <c r="BE178" i="16" s="1"/>
  <c r="BD180" i="16"/>
  <c r="BE180" i="16" s="1"/>
  <c r="BD175" i="16"/>
  <c r="BE175" i="16" s="1"/>
  <c r="BD177" i="16"/>
  <c r="BE177" i="16" s="1"/>
  <c r="BD188" i="16"/>
  <c r="BE188" i="16" s="1"/>
  <c r="BD184" i="16"/>
  <c r="BE184" i="16" s="1"/>
  <c r="BD187" i="16"/>
  <c r="BE187" i="16" s="1"/>
  <c r="BD174" i="16"/>
  <c r="BE174" i="16" s="1"/>
  <c r="BD190" i="16"/>
  <c r="BE190" i="16" s="1"/>
  <c r="BD186" i="16"/>
  <c r="BE186" i="16"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_ADRIONCYCLETOUR_BSC Kranj_14_101" description="Connessione alla query '_ADRIONCYCLETOUR_BSC Kranj_14_101' nella cartella di lavoro." type="5" refreshedVersion="0" background="1">
    <dbPr connection="Provider=Microsoft.Mashup.OleDb.1;Data Source=$Workbook$;Location=&quot;_ADRIONCYCLETOUR_BSC Kranj_14_101&quot;;Extended Properties=&quot;&quot;" command="SELECT * FROM [_ADRIONCYCLETOUR_BSC Kranj_14_101]"/>
  </connection>
  <connection id="2" xr16:uid="{00000000-0015-0000-FFFF-FFFF01000000}" keepAlive="1" name="Query - chek list 3" description="Connessione alla query 'chek list 3' nella cartella di lavoro." type="5" refreshedVersion="8" background="1" saveData="1">
    <dbPr connection="Provider=Microsoft.Mashup.OleDb.1;Data Source=$Workbook$;Location=&quot;chek list 3&quot;;Extended Properties=&quot;&quot;" command="SELECT * FROM [chek list 3]"/>
  </connection>
  <connection id="3" xr16:uid="{00000000-0015-0000-FFFF-FFFF02000000}" keepAlive="1" name="Query - CHEK LIST1" description="Connessione alla query 'CHEK LIST1' nella cartella di lavoro." type="5" refreshedVersion="8" background="1" saveData="1">
    <dbPr connection="Provider=Microsoft.Mashup.OleDb.1;Data Source=$Workbook$;Location=&quot;CHEK LIST1&quot;;Extended Properties=&quot;&quot;" command="SELECT * FROM [CHEK LIST1]"/>
  </connection>
  <connection id="4" xr16:uid="{00000000-0015-0000-FFFF-FFFF03000000}" keepAlive="1" name="Query - elenco partner" description="Connessione alla query 'elenco partner' nella cartella di lavoro." type="5" refreshedVersion="8" background="1" saveData="1">
    <dbPr connection="Provider=Microsoft.Mashup.OleDb.1;Data Source=$Workbook$;Location=&quot;elenco partner&quot;;Extended Properties=&quot;&quot;" command="SELECT * FROM [elenco partner]"/>
  </connection>
  <connection id="5" xr16:uid="{00000000-0015-0000-FFFF-FFFF04000000}" keepAlive="1" name="Query - Elenco_chek_list" description="Connessione alla query 'Elenco_chek_list' nella cartella di lavoro." type="5" refreshedVersion="0" background="1">
    <dbPr connection="Provider=Microsoft.Mashup.OleDb.1;Data Source=$Workbook$;Location=Elenco_chek_list;Extended Properties=&quot;&quot;" command="SELECT * FROM [Elenco_chek_list]"/>
  </connection>
  <connection id="6" xr16:uid="{00000000-0015-0000-FFFF-FFFF05000000}" keepAlive="1" name="Query - Elenco_chek_list (2)" description="Connessione alla query 'Elenco_chek_list (2)' nella cartella di lavoro." type="5" refreshedVersion="8" background="1" saveData="1">
    <dbPr connection="Provider=Microsoft.Mashup.OleDb.1;Data Source=$Workbook$;Location=&quot;Elenco_chek_list (2)&quot;;Extended Properties=&quot;&quot;" command="SELECT * FROM [Elenco_chek_list (2)]"/>
  </connection>
  <connection id="7" xr16:uid="{00000000-0015-0000-FFFF-FFFF06000000}" keepAlive="1" name="Query - ERRORI (3)" description="Connessione alla query 'ERRORI (3)' nella cartella di lavoro." type="5" refreshedVersion="8" background="1" saveData="1">
    <dbPr connection="Provider=Microsoft.Mashup.OleDb.1;Data Source=$Workbook$;Location=&quot;ERRORI (3)&quot;;Extended Properties=&quot;&quot;" command="SELECT * FROM [ERRORI (3)]"/>
  </connection>
  <connection id="8" xr16:uid="{00000000-0015-0000-FFFF-FFFF07000000}" keepAlive="1" name="Query - File di esempio" description="Connessione alla query 'File di esempio' nella cartella di lavoro." type="5" refreshedVersion="0" background="1">
    <dbPr connection="Provider=Microsoft.Mashup.OleDb.1;Data Source=$Workbook$;Location=&quot;File di esempio&quot;;Extended Properties=&quot;&quot;" command="SELECT * FROM [File di esempio]"/>
  </connection>
  <connection id="9" xr16:uid="{00000000-0015-0000-FFFF-FFFF08000000}" keepAlive="1" name="Query - File di esempio (10)" description="Connessione alla query 'File di esempio (10)' nella cartella di lavoro." type="5" refreshedVersion="0" background="1">
    <dbPr connection="Provider=Microsoft.Mashup.OleDb.1;Data Source=$Workbook$;Location=&quot;File di esempio (10)&quot;;Extended Properties=&quot;&quot;" command="SELECT * FROM [File di esempio (10)]"/>
  </connection>
  <connection id="10" xr16:uid="{00000000-0015-0000-FFFF-FFFF09000000}" keepAlive="1" name="Query - File di esempio (11)" description="Connessione alla query 'File di esempio (11)' nella cartella di lavoro." type="5" refreshedVersion="0" background="1">
    <dbPr connection="Provider=Microsoft.Mashup.OleDb.1;Data Source=$Workbook$;Location=&quot;File di esempio (11)&quot;;Extended Properties=&quot;&quot;" command="SELECT * FROM [File di esempio (11)]"/>
  </connection>
  <connection id="11" xr16:uid="{00000000-0015-0000-FFFF-FFFF0A000000}" keepAlive="1" name="Query - File di esempio (12)" description="Connessione alla query 'File di esempio (12)' nella cartella di lavoro." type="5" refreshedVersion="0" background="1">
    <dbPr connection="Provider=Microsoft.Mashup.OleDb.1;Data Source=$Workbook$;Location=&quot;File di esempio (12)&quot;;Extended Properties=&quot;&quot;" command="SELECT * FROM [File di esempio (12)]"/>
  </connection>
  <connection id="12" xr16:uid="{00000000-0015-0000-FFFF-FFFF0B000000}" keepAlive="1" name="Query - File di esempio (13)" description="Connessione alla query 'File di esempio (13)' nella cartella di lavoro." type="5" refreshedVersion="0" background="1">
    <dbPr connection="Provider=Microsoft.Mashup.OleDb.1;Data Source=$Workbook$;Location=&quot;File di esempio (13)&quot;;Extended Properties=&quot;&quot;" command="SELECT * FROM [File di esempio (13)]"/>
  </connection>
  <connection id="13" xr16:uid="{00000000-0015-0000-FFFF-FFFF0C000000}" keepAlive="1" name="Query - File di esempio (14)" description="Connessione alla query 'File di esempio (14)' nella cartella di lavoro." type="5" refreshedVersion="0" background="1">
    <dbPr connection="Provider=Microsoft.Mashup.OleDb.1;Data Source=$Workbook$;Location=&quot;File di esempio (14)&quot;;Extended Properties=&quot;&quot;" command="SELECT * FROM [File di esempio (14)]"/>
  </connection>
  <connection id="14" xr16:uid="{00000000-0015-0000-FFFF-FFFF0D000000}" keepAlive="1" name="Query - File di esempio (15)" description="Connessione alla query 'File di esempio (15)' nella cartella di lavoro." type="5" refreshedVersion="0" background="1">
    <dbPr connection="Provider=Microsoft.Mashup.OleDb.1;Data Source=$Workbook$;Location=&quot;File di esempio (15)&quot;;Extended Properties=&quot;&quot;" command="SELECT * FROM [File di esempio (15)]"/>
  </connection>
  <connection id="15" xr16:uid="{00000000-0015-0000-FFFF-FFFF0E000000}" keepAlive="1" name="Query - File di esempio (16)" description="Connessione alla query 'File di esempio (16)' nella cartella di lavoro." type="5" refreshedVersion="0" background="1">
    <dbPr connection="Provider=Microsoft.Mashup.OleDb.1;Data Source=$Workbook$;Location=&quot;File di esempio (16)&quot;;Extended Properties=&quot;&quot;" command="SELECT * FROM [File di esempio (16)]"/>
  </connection>
  <connection id="16" xr16:uid="{00000000-0015-0000-FFFF-FFFF0F000000}" keepAlive="1" name="Query - File di esempio (2)" description="Connessione alla query 'File di esempio (2)' nella cartella di lavoro." type="5" refreshedVersion="0" background="1">
    <dbPr connection="Provider=Microsoft.Mashup.OleDb.1;Data Source=$Workbook$;Location=&quot;File di esempio (2)&quot;;Extended Properties=&quot;&quot;" command="SELECT * FROM [File di esempio (2)]"/>
  </connection>
  <connection id="17" xr16:uid="{00000000-0015-0000-FFFF-FFFF10000000}" keepAlive="1" name="Query - File di esempio (3)" description="Connessione alla query 'File di esempio (3)' nella cartella di lavoro." type="5" refreshedVersion="0" background="1">
    <dbPr connection="Provider=Microsoft.Mashup.OleDb.1;Data Source=$Workbook$;Location=&quot;File di esempio (3)&quot;;Extended Properties=&quot;&quot;" command="SELECT * FROM [File di esempio (3)]"/>
  </connection>
  <connection id="18" xr16:uid="{00000000-0015-0000-FFFF-FFFF11000000}" keepAlive="1" name="Query - File di esempio (4)" description="Connessione alla query 'File di esempio (4)' nella cartella di lavoro." type="5" refreshedVersion="0" background="1">
    <dbPr connection="Provider=Microsoft.Mashup.OleDb.1;Data Source=$Workbook$;Location=&quot;File di esempio (4)&quot;;Extended Properties=&quot;&quot;" command="SELECT * FROM [File di esempio (4)]"/>
  </connection>
  <connection id="19" xr16:uid="{00000000-0015-0000-FFFF-FFFF12000000}" keepAlive="1" name="Query - File di esempio (5)" description="Connessione alla query 'File di esempio (5)' nella cartella di lavoro." type="5" refreshedVersion="0" background="1">
    <dbPr connection="Provider=Microsoft.Mashup.OleDb.1;Data Source=$Workbook$;Location=&quot;File di esempio (5)&quot;;Extended Properties=&quot;&quot;" command="SELECT * FROM [File di esempio (5)]"/>
  </connection>
  <connection id="20" xr16:uid="{00000000-0015-0000-FFFF-FFFF13000000}" keepAlive="1" name="Query - File di esempio (6)" description="Connessione alla query 'File di esempio (6)' nella cartella di lavoro." type="5" refreshedVersion="0" background="1">
    <dbPr connection="Provider=Microsoft.Mashup.OleDb.1;Data Source=$Workbook$;Location=&quot;File di esempio (6)&quot;;Extended Properties=&quot;&quot;" command="SELECT * FROM [File di esempio (6)]"/>
  </connection>
  <connection id="21" xr16:uid="{00000000-0015-0000-FFFF-FFFF14000000}" keepAlive="1" name="Query - File di esempio (7)" description="Connessione alla query 'File di esempio (7)' nella cartella di lavoro." type="5" refreshedVersion="0" background="1">
    <dbPr connection="Provider=Microsoft.Mashup.OleDb.1;Data Source=$Workbook$;Location=&quot;File di esempio (7)&quot;;Extended Properties=&quot;&quot;" command="SELECT * FROM [File di esempio (7)]"/>
  </connection>
  <connection id="22" xr16:uid="{00000000-0015-0000-FFFF-FFFF15000000}" keepAlive="1" name="Query - File di esempio (8)" description="Connessione alla query 'File di esempio (8)' nella cartella di lavoro." type="5" refreshedVersion="0" background="1">
    <dbPr connection="Provider=Microsoft.Mashup.OleDb.1;Data Source=$Workbook$;Location=&quot;File di esempio (8)&quot;;Extended Properties=&quot;&quot;" command="SELECT * FROM [File di esempio (8)]"/>
  </connection>
  <connection id="23" xr16:uid="{00000000-0015-0000-FFFF-FFFF16000000}" keepAlive="1" name="Query - File di esempio (9)" description="Connessione alla query 'File di esempio (9)' nella cartella di lavoro." type="5" refreshedVersion="0" background="1">
    <dbPr connection="Provider=Microsoft.Mashup.OleDb.1;Data Source=$Workbook$;Location=&quot;File di esempio (9)&quot;;Extended Properties=&quot;&quot;" command="SELECT * FROM [File di esempio (9)]"/>
  </connection>
  <connection id="24" xr16:uid="{00000000-0015-0000-FFFF-FFFF17000000}" keepAlive="1" name="Query - I_Miei_Rendiconti" description="Connessione alla query 'I_Miei_Rendiconti' nella cartella di lavoro." type="5" refreshedVersion="8" background="1" saveData="1">
    <dbPr connection="Provider=Microsoft.Mashup.OleDb.1;Data Source=$Workbook$;Location=I_Miei_Rendiconti;Extended Properties=&quot;&quot;" command="SELECT * FROM [I_Miei_Rendiconti]"/>
  </connection>
  <connection id="25" xr16:uid="{00000000-0015-0000-FFFF-FFFF18000000}" keepAlive="1" name="Query - Interreg VI-A Italy-Slovenia_project_en_en_20240611_114634" description="Connessione alla query 'Interreg VI-A Italy-Slovenia_project_en_en_20240611_114634' nella cartella di lavoro." type="5" refreshedVersion="8" background="1" saveData="1">
    <dbPr connection="Provider=Microsoft.Mashup.OleDb.1;Data Source=$Workbook$;Location=&quot;Interreg VI-A Italy-Slovenia_project_en_en_20240611_114634&quot;;Extended Properties=&quot;&quot;" command="SELECT * FROM [Interreg VI-A Italy-Slovenia_project_en_en_20240611_114634]"/>
  </connection>
  <connection id="26" xr16:uid="{00000000-0015-0000-FFFF-FFFF19000000}" keepAlive="1" name="Query - ListaERRORI" description="Connessione alla query 'ListaERRORI' nella cartella di lavoro." type="5" refreshedVersion="6" background="1" saveData="1">
    <dbPr connection="Provider=Microsoft.Mashup.OleDb.1;Data Source=$Workbook$;Location=ListaERRORI;Extended Properties=&quot;&quot;" command="SELECT * FROM [ListaERRORI]"/>
  </connection>
  <connection id="27" xr16:uid="{00000000-0015-0000-FFFF-FFFF1A000000}" keepAlive="1" name="Query - ListOfExpenditure" description="Connessione alla query 'ListOfExpenditure' nella cartella di lavoro." type="5" refreshedVersion="8" background="1" saveData="1">
    <dbPr connection="Provider=Microsoft.Mashup.OleDb.1;Data Source=$Workbook$;Location=ListOfExpenditure;Extended Properties=&quot;&quot;" command="SELECT * FROM [ListOfExpenditure]"/>
  </connection>
  <connection id="28" xr16:uid="{00000000-0015-0000-FFFF-FFFF1B000000}" keepAlive="1" name="Query - Parametro del file di esempio1" description="Connessione alla query 'Parametro del file di esempio1' nella cartella di lavoro." type="5" refreshedVersion="0" background="1">
    <dbPr connection="Provider=Microsoft.Mashup.OleDb.1;Data Source=$Workbook$;Location=&quot;Parametro del file di esempio1&quot;;Extended Properties=&quot;&quot;" command="SELECT * FROM [Parametro del file di esempio1]"/>
  </connection>
  <connection id="29" xr16:uid="{00000000-0015-0000-FFFF-FFFF1C000000}" keepAlive="1" name="Query - Parametro del file di esempio2" description="Connessione alla query 'Parametro del file di esempio2' nella cartella di lavoro." type="5" refreshedVersion="0" background="1">
    <dbPr connection="Provider=Microsoft.Mashup.OleDb.1;Data Source=$Workbook$;Location=&quot;Parametro del file di esempio2&quot;;Extended Properties=&quot;&quot;" command="SELECT * FROM [Parametro del file di esempio2]"/>
  </connection>
  <connection id="30" xr16:uid="{00000000-0015-0000-FFFF-FFFF1D000000}" keepAlive="1" name="Query - Parametro del file di esempio3" description="Connessione alla query 'Parametro del file di esempio3' nella cartella di lavoro." type="5" refreshedVersion="0" background="1">
    <dbPr connection="Provider=Microsoft.Mashup.OleDb.1;Data Source=$Workbook$;Location=&quot;Parametro del file di esempio3&quot;;Extended Properties=&quot;&quot;" command="SELECT * FROM [Parametro del file di esempio3]"/>
  </connection>
  <connection id="31" xr16:uid="{00000000-0015-0000-FFFF-FFFF1E000000}" keepAlive="1" name="Query - Parametro del file di esempio4" description="Connessione alla query 'Parametro del file di esempio4' nella cartella di lavoro." type="5" refreshedVersion="0" background="1">
    <dbPr connection="Provider=Microsoft.Mashup.OleDb.1;Data Source=$Workbook$;Location=&quot;Parametro del file di esempio4&quot;;Extended Properties=&quot;&quot;" command="SELECT * FROM [Parametro del file di esempio4]"/>
  </connection>
  <connection id="32" xr16:uid="{00000000-0015-0000-FFFF-FFFF1F000000}" keepAlive="1" name="Query - Parametro del file di esempio5" description="Connessione alla query 'Parametro del file di esempio5' nella cartella di lavoro." type="5" refreshedVersion="0" background="1">
    <dbPr connection="Provider=Microsoft.Mashup.OleDb.1;Data Source=$Workbook$;Location=&quot;Parametro del file di esempio5&quot;;Extended Properties=&quot;&quot;" command="SELECT * FROM [Parametro del file di esempio5]"/>
  </connection>
  <connection id="33" xr16:uid="{00000000-0015-0000-FFFF-FFFF20000000}" keepAlive="1" name="Query - Parametro1" description="Connessione alla query 'Parametro1' nella cartella di lavoro." type="5" refreshedVersion="0" background="1">
    <dbPr connection="Provider=Microsoft.Mashup.OleDb.1;Data Source=$Workbook$;Location=Parametro1;Extended Properties=&quot;&quot;" command="SELECT * FROM [Parametro1]"/>
  </connection>
  <connection id="34" xr16:uid="{00000000-0015-0000-FFFF-FFFF21000000}" keepAlive="1" name="Query - Parametro10" description="Connessione alla query 'Parametro10' nella cartella di lavoro." type="5" refreshedVersion="0" background="1">
    <dbPr connection="Provider=Microsoft.Mashup.OleDb.1;Data Source=$Workbook$;Location=Parametro10;Extended Properties=&quot;&quot;" command="SELECT * FROM [Parametro10]"/>
  </connection>
  <connection id="35" xr16:uid="{00000000-0015-0000-FFFF-FFFF22000000}" keepAlive="1" name="Query - Parametro11" description="Connessione alla query 'Parametro11' nella cartella di lavoro." type="5" refreshedVersion="0" background="1">
    <dbPr connection="Provider=Microsoft.Mashup.OleDb.1;Data Source=$Workbook$;Location=Parametro11;Extended Properties=&quot;&quot;" command="SELECT * FROM [Parametro11]"/>
  </connection>
  <connection id="36" xr16:uid="{00000000-0015-0000-FFFF-FFFF23000000}" keepAlive="1" name="Query - Parametro2" description="Connessione alla query 'Parametro2' nella cartella di lavoro." type="5" refreshedVersion="0" background="1">
    <dbPr connection="Provider=Microsoft.Mashup.OleDb.1;Data Source=$Workbook$;Location=Parametro2;Extended Properties=&quot;&quot;" command="SELECT * FROM [Parametro2]"/>
  </connection>
  <connection id="37" xr16:uid="{00000000-0015-0000-FFFF-FFFF24000000}" keepAlive="1" name="Query - Parametro3" description="Connessione alla query 'Parametro3' nella cartella di lavoro." type="5" refreshedVersion="0" background="1">
    <dbPr connection="Provider=Microsoft.Mashup.OleDb.1;Data Source=$Workbook$;Location=Parametro3;Extended Properties=&quot;&quot;" command="SELECT * FROM [Parametro3]"/>
  </connection>
  <connection id="38" xr16:uid="{00000000-0015-0000-FFFF-FFFF25000000}" keepAlive="1" name="Query - Parametro4" description="Connessione alla query 'Parametro4' nella cartella di lavoro." type="5" refreshedVersion="0" background="1">
    <dbPr connection="Provider=Microsoft.Mashup.OleDb.1;Data Source=$Workbook$;Location=Parametro4;Extended Properties=&quot;&quot;" command="SELECT * FROM [Parametro4]"/>
  </connection>
  <connection id="39" xr16:uid="{00000000-0015-0000-FFFF-FFFF26000000}" keepAlive="1" name="Query - Parametro5" description="Connessione alla query 'Parametro5' nella cartella di lavoro." type="5" refreshedVersion="0" background="1">
    <dbPr connection="Provider=Microsoft.Mashup.OleDb.1;Data Source=$Workbook$;Location=Parametro5;Extended Properties=&quot;&quot;" command="SELECT * FROM [Parametro5]"/>
  </connection>
  <connection id="40" xr16:uid="{00000000-0015-0000-FFFF-FFFF27000000}" keepAlive="1" name="Query - Parametro6" description="Connessione alla query 'Parametro6' nella cartella di lavoro." type="5" refreshedVersion="0" background="1">
    <dbPr connection="Provider=Microsoft.Mashup.OleDb.1;Data Source=$Workbook$;Location=Parametro6;Extended Properties=&quot;&quot;" command="SELECT * FROM [Parametro6]"/>
  </connection>
  <connection id="41" xr16:uid="{00000000-0015-0000-FFFF-FFFF28000000}" keepAlive="1" name="Query - Parametro7" description="Connessione alla query 'Parametro7' nella cartella di lavoro." type="5" refreshedVersion="0" background="1">
    <dbPr connection="Provider=Microsoft.Mashup.OleDb.1;Data Source=$Workbook$;Location=Parametro7;Extended Properties=&quot;&quot;" command="SELECT * FROM [Parametro7]"/>
  </connection>
  <connection id="42" xr16:uid="{00000000-0015-0000-FFFF-FFFF29000000}" keepAlive="1" name="Query - Parametro8" description="Connessione alla query 'Parametro8' nella cartella di lavoro." type="5" refreshedVersion="0" background="1">
    <dbPr connection="Provider=Microsoft.Mashup.OleDb.1;Data Source=$Workbook$;Location=Parametro8;Extended Properties=&quot;&quot;" command="SELECT * FROM [Parametro8]"/>
  </connection>
  <connection id="43" xr16:uid="{00000000-0015-0000-FFFF-FFFF2A000000}" keepAlive="1" name="Query - Parametro9" description="Connessione alla query 'Parametro9' nella cartella di lavoro." type="5" refreshedVersion="0" background="1">
    <dbPr connection="Provider=Microsoft.Mashup.OleDb.1;Data Source=$Workbook$;Location=Parametro9;Extended Properties=&quot;&quot;" command="SELECT * FROM [Parametro9]"/>
  </connection>
  <connection id="44" xr16:uid="{00000000-0015-0000-FFFF-FFFF2B000000}" keepAlive="1" name="Query - pARTNER" description="Connessione alla query 'pARTNER' nella cartella di lavoro." type="5" refreshedVersion="6" background="1" saveData="1">
    <dbPr connection="Provider=Microsoft.Mashup.OleDb.1;Data Source=$Workbook$;Location=pARTNER;Extended Properties=&quot;&quot;" command="SELECT * FROM [pARTNER]"/>
  </connection>
  <connection id="45" xr16:uid="{00000000-0015-0000-FFFF-FFFF2C000000}" keepAlive="1" name="Query - Progetti" description="Connessione alla query 'Progetti' nella cartella di lavoro." type="5" refreshedVersion="8" background="1" saveData="1">
    <dbPr connection="Provider=Microsoft.Mashup.OleDb.1;Data Source=$Workbook$;Location=Progetti;Extended Properties=&quot;&quot;" command="SELECT * FROM [Progetti]"/>
  </connection>
  <connection id="46" xr16:uid="{00000000-0015-0000-FFFF-FFFF2D000000}" keepAlive="1" name="Query - Public procurment" description="Connessione alla query 'Public procurment' nella cartella di lavoro." type="5" refreshedVersion="8" background="1" saveData="1">
    <dbPr connection="Provider=Microsoft.Mashup.OleDb.1;Data Source=$Workbook$;Location=&quot;Public procurment&quot;;Extended Properties=&quot;&quot;" command="SELECT * FROM [Public procurment]"/>
  </connection>
  <connection id="47" xr16:uid="{00000000-0015-0000-FFFF-FFFF2E000000}" keepAlive="1" name="Query - RendicontiConvalidatiBL" description="Connessione alla query 'RendicontiConvalidatiBL' nella cartella di lavoro." type="5" refreshedVersion="8" background="1" saveData="1">
    <dbPr connection="Provider=Microsoft.Mashup.OleDb.1;Data Source=$Workbook$;Location=RendicontiConvalidatiBL;Extended Properties=&quot;&quot;" command="SELECT * FROM [RendicontiConvalidatiBL]"/>
  </connection>
  <connection id="48" xr16:uid="{00000000-0015-0000-FFFF-FFFF2F000000}" keepAlive="1" name="Query - RendicontiTrasmessiBL" description="Connessione alla query 'RendicontiTrasmessiBL' nella cartella di lavoro." type="5" refreshedVersion="8" background="1" saveData="1">
    <dbPr connection="Provider=Microsoft.Mashup.OleDb.1;Data Source=$Workbook$;Location=RendicontiTrasmessiBL;Extended Properties=&quot;&quot;" command="SELECT * FROM [RendicontiTrasmessiBL]"/>
  </connection>
  <connection id="49" xr16:uid="{00000000-0015-0000-FFFF-FFFF30000000}" keepAlive="1" name="Query - RendicontiTrasmessiBL (2)" description="Connessione alla query 'RendicontiTrasmessiBL (2)' nella cartella di lavoro." type="5" refreshedVersion="8" background="1" saveData="1">
    <dbPr connection="Provider=Microsoft.Mashup.OleDb.1;Data Source=$Workbook$;Location=&quot;RendicontiTrasmessiBL (2)&quot;;Extended Properties=&quot;&quot;" command="SELECT * FROM [RendicontiTrasmessiBL (2)]"/>
  </connection>
  <connection id="50" xr16:uid="{00000000-0015-0000-FFFF-FFFF31000000}" keepAlive="1" name="Query - Spese Sopsese" description="Connessione alla query 'Spese Sopsese' nella cartella di lavoro." type="5" refreshedVersion="8" background="1" saveData="1">
    <dbPr connection="Provider=Microsoft.Mashup.OleDb.1;Data Source=$Workbook$;Location=&quot;Spese Sopsese&quot;;Extended Properties=&quot;&quot;" command="SELECT * FROM [Spese Sopsese]"/>
  </connection>
  <connection id="51" xr16:uid="{00000000-0015-0000-FFFF-FFFF32000000}" keepAlive="1" name="Query - Trasforma file" description="Connessione alla query 'Trasforma file' nella cartella di lavoro." type="5" refreshedVersion="0" background="1">
    <dbPr connection="Provider=Microsoft.Mashup.OleDb.1;Data Source=$Workbook$;Location=&quot;Trasforma file&quot;;Extended Properties=&quot;&quot;" command="SELECT * FROM [Trasforma file]"/>
  </connection>
  <connection id="52" xr16:uid="{00000000-0015-0000-FFFF-FFFF33000000}" keepAlive="1" name="Query - Trasforma file (10)" description="Connessione alla query 'Trasforma file (10)' nella cartella di lavoro." type="5" refreshedVersion="0" background="1">
    <dbPr connection="Provider=Microsoft.Mashup.OleDb.1;Data Source=$Workbook$;Location=&quot;Trasforma file (10)&quot;;Extended Properties=&quot;&quot;" command="SELECT * FROM [Trasforma file (10)]"/>
  </connection>
  <connection id="53" xr16:uid="{00000000-0015-0000-FFFF-FFFF34000000}" keepAlive="1" name="Query - Trasforma file (11)" description="Connessione alla query 'Trasforma file (11)' nella cartella di lavoro." type="5" refreshedVersion="0" background="1">
    <dbPr connection="Provider=Microsoft.Mashup.OleDb.1;Data Source=$Workbook$;Location=&quot;Trasforma file (11)&quot;;Extended Properties=&quot;&quot;" command="SELECT * FROM [Trasforma file (11)]"/>
  </connection>
  <connection id="54" xr16:uid="{00000000-0015-0000-FFFF-FFFF35000000}" keepAlive="1" name="Query - Trasforma file (2)" description="Connessione alla query 'Trasforma file (2)' nella cartella di lavoro." type="5" refreshedVersion="0" background="1">
    <dbPr connection="Provider=Microsoft.Mashup.OleDb.1;Data Source=$Workbook$;Location=&quot;Trasforma file (2)&quot;;Extended Properties=&quot;&quot;" command="SELECT * FROM [Trasforma file (2)]"/>
  </connection>
  <connection id="55" xr16:uid="{00000000-0015-0000-FFFF-FFFF36000000}" keepAlive="1" name="Query - Trasforma file (3)" description="Connessione alla query 'Trasforma file (3)' nella cartella di lavoro." type="5" refreshedVersion="0" background="1">
    <dbPr connection="Provider=Microsoft.Mashup.OleDb.1;Data Source=$Workbook$;Location=&quot;Trasforma file (3)&quot;;Extended Properties=&quot;&quot;" command="SELECT * FROM [Trasforma file (3)]"/>
  </connection>
  <connection id="56" xr16:uid="{00000000-0015-0000-FFFF-FFFF37000000}" keepAlive="1" name="Query - Trasforma file (4)" description="Connessione alla query 'Trasforma file (4)' nella cartella di lavoro." type="5" refreshedVersion="0" background="1">
    <dbPr connection="Provider=Microsoft.Mashup.OleDb.1;Data Source=$Workbook$;Location=&quot;Trasforma file (4)&quot;;Extended Properties=&quot;&quot;" command="SELECT * FROM [Trasforma file (4)]"/>
  </connection>
  <connection id="57" xr16:uid="{00000000-0015-0000-FFFF-FFFF38000000}" keepAlive="1" name="Query - Trasforma file (5)" description="Connessione alla query 'Trasforma file (5)' nella cartella di lavoro." type="5" refreshedVersion="0" background="1">
    <dbPr connection="Provider=Microsoft.Mashup.OleDb.1;Data Source=$Workbook$;Location=&quot;Trasforma file (5)&quot;;Extended Properties=&quot;&quot;" command="SELECT * FROM [Trasforma file (5)]"/>
  </connection>
  <connection id="58" xr16:uid="{00000000-0015-0000-FFFF-FFFF39000000}" keepAlive="1" name="Query - Trasforma file (6)" description="Connessione alla query 'Trasforma file (6)' nella cartella di lavoro." type="5" refreshedVersion="0" background="1">
    <dbPr connection="Provider=Microsoft.Mashup.OleDb.1;Data Source=$Workbook$;Location=&quot;Trasforma file (6)&quot;;Extended Properties=&quot;&quot;" command="SELECT * FROM [Trasforma file (6)]"/>
  </connection>
  <connection id="59" xr16:uid="{00000000-0015-0000-FFFF-FFFF3A000000}" keepAlive="1" name="Query - Trasforma file (7)" description="Connessione alla query 'Trasforma file (7)' nella cartella di lavoro." type="5" refreshedVersion="0" background="1">
    <dbPr connection="Provider=Microsoft.Mashup.OleDb.1;Data Source=$Workbook$;Location=&quot;Trasforma file (7)&quot;;Extended Properties=&quot;&quot;" command="SELECT * FROM [Trasforma file (7)]"/>
  </connection>
  <connection id="60" xr16:uid="{00000000-0015-0000-FFFF-FFFF3B000000}" keepAlive="1" name="Query - Trasforma file (8)" description="Connessione alla query 'Trasforma file (8)' nella cartella di lavoro." type="5" refreshedVersion="0" background="1">
    <dbPr connection="Provider=Microsoft.Mashup.OleDb.1;Data Source=$Workbook$;Location=&quot;Trasforma file (8)&quot;;Extended Properties=&quot;&quot;" command="SELECT * FROM [Trasforma file (8)]"/>
  </connection>
  <connection id="61" xr16:uid="{00000000-0015-0000-FFFF-FFFF3C000000}" keepAlive="1" name="Query - Trasforma file (9)" description="Connessione alla query 'Trasforma file (9)' nella cartella di lavoro." type="5" refreshedVersion="0" background="1">
    <dbPr connection="Provider=Microsoft.Mashup.OleDb.1;Data Source=$Workbook$;Location=&quot;Trasforma file (9)&quot;;Extended Properties=&quot;&quot;" command="SELECT * FROM [Trasforma file (9)]"/>
  </connection>
  <connection id="62" xr16:uid="{00000000-0015-0000-FFFF-FFFF3D000000}" keepAlive="1" name="Query - Trasforma file da ERRORI" description="Connessione alla query 'Trasforma file da ERRORI' nella cartella di lavoro." type="5" refreshedVersion="0" background="1">
    <dbPr connection="Provider=Microsoft.Mashup.OleDb.1;Data Source=$Workbook$;Location=&quot;Trasforma file da ERRORI&quot;;Extended Properties=&quot;&quot;" command="SELECT * FROM [Trasforma file da ERRORI]"/>
  </connection>
  <connection id="63" xr16:uid="{00000000-0015-0000-FFFF-FFFF3E000000}" keepAlive="1" name="Query - Trasforma file da ERRORI (2)" description="Connessione alla query 'Trasforma file da ERRORI (2)' nella cartella di lavoro." type="5" refreshedVersion="0" background="1">
    <dbPr connection="Provider=Microsoft.Mashup.OleDb.1;Data Source=$Workbook$;Location=&quot;Trasforma file da ERRORI (2)&quot;;Extended Properties=&quot;&quot;" command="SELECT * FROM [Trasforma file da ERRORI (2)]"/>
  </connection>
  <connection id="64" xr16:uid="{00000000-0015-0000-FFFF-FFFF3F000000}" keepAlive="1" name="Query - Trasforma file da ERRORI (3)" description="Connessione alla query 'Trasforma file da ERRORI (3)' nella cartella di lavoro." type="5" refreshedVersion="0" background="1">
    <dbPr connection="Provider=Microsoft.Mashup.OleDb.1;Data Source=$Workbook$;Location=&quot;Trasforma file da ERRORI (3)&quot;;Extended Properties=&quot;&quot;" command="SELECT * FROM [Trasforma file da ERRORI (3)]"/>
  </connection>
  <connection id="65" xr16:uid="{00000000-0015-0000-FFFF-FFFF40000000}" keepAlive="1" name="Query - Trasforma file da RendicontiConvalidatiBL" description="Connessione alla query 'Trasforma file da RendicontiConvalidatiBL' nella cartella di lavoro." type="5" refreshedVersion="0" background="1">
    <dbPr connection="Provider=Microsoft.Mashup.OleDb.1;Data Source=$Workbook$;Location=&quot;Trasforma file da RendicontiConvalidatiBL&quot;;Extended Properties=&quot;&quot;" command="SELECT * FROM [Trasforma file da RendicontiConvalidatiBL]"/>
  </connection>
  <connection id="66" xr16:uid="{00000000-0015-0000-FFFF-FFFF41000000}" keepAlive="1" name="Query - Trasforma file da Spese Sopsese" description="Connessione alla query 'Trasforma file da Spese Sopsese' nella cartella di lavoro." type="5" refreshedVersion="0" background="1">
    <dbPr connection="Provider=Microsoft.Mashup.OleDb.1;Data Source=$Workbook$;Location=&quot;Trasforma file da Spese Sopsese&quot;;Extended Properties=&quot;&quot;" command="SELECT * FROM [Trasforma file da Spese Sopsese]"/>
  </connection>
  <connection id="67" xr16:uid="{00000000-0015-0000-FFFF-FFFF42000000}" keepAlive="1" name="Query - Trasforma file di esempio" description="Connessione alla query 'Trasforma file di esempio' nella cartella di lavoro." type="5" refreshedVersion="0" background="1">
    <dbPr connection="Provider=Microsoft.Mashup.OleDb.1;Data Source=$Workbook$;Location=&quot;Trasforma file di esempio&quot;;Extended Properties=&quot;&quot;" command="SELECT * FROM [Trasforma file di esempio]"/>
  </connection>
  <connection id="68" xr16:uid="{00000000-0015-0000-FFFF-FFFF43000000}" keepAlive="1" name="Query - Trasforma file di esempio (10)" description="Connessione alla query 'Trasforma file di esempio (10)' nella cartella di lavoro." type="5" refreshedVersion="0" background="1">
    <dbPr connection="Provider=Microsoft.Mashup.OleDb.1;Data Source=$Workbook$;Location=&quot;Trasforma file di esempio (10)&quot;;Extended Properties=&quot;&quot;" command="SELECT * FROM [Trasforma file di esempio (10)]"/>
  </connection>
  <connection id="69" xr16:uid="{00000000-0015-0000-FFFF-FFFF44000000}" keepAlive="1" name="Query - Trasforma file di esempio (11)" description="Connessione alla query 'Trasforma file di esempio (11)' nella cartella di lavoro." type="5" refreshedVersion="0" background="1">
    <dbPr connection="Provider=Microsoft.Mashup.OleDb.1;Data Source=$Workbook$;Location=&quot;Trasforma file di esempio (11)&quot;;Extended Properties=&quot;&quot;" command="SELECT * FROM [Trasforma file di esempio (11)]"/>
  </connection>
  <connection id="70" xr16:uid="{00000000-0015-0000-FFFF-FFFF45000000}" keepAlive="1" name="Query - Trasforma file di esempio (2)" description="Connessione alla query 'Trasforma file di esempio (2)' nella cartella di lavoro." type="5" refreshedVersion="0" background="1">
    <dbPr connection="Provider=Microsoft.Mashup.OleDb.1;Data Source=$Workbook$;Location=&quot;Trasforma file di esempio (2)&quot;;Extended Properties=&quot;&quot;" command="SELECT * FROM [Trasforma file di esempio (2)]"/>
  </connection>
  <connection id="71" xr16:uid="{00000000-0015-0000-FFFF-FFFF46000000}" keepAlive="1" name="Query - Trasforma file di esempio (3)" description="Connessione alla query 'Trasforma file di esempio (3)' nella cartella di lavoro." type="5" refreshedVersion="0" background="1">
    <dbPr connection="Provider=Microsoft.Mashup.OleDb.1;Data Source=$Workbook$;Location=&quot;Trasforma file di esempio (3)&quot;;Extended Properties=&quot;&quot;" command="SELECT * FROM [Trasforma file di esempio (3)]"/>
  </connection>
  <connection id="72" xr16:uid="{00000000-0015-0000-FFFF-FFFF47000000}" keepAlive="1" name="Query - Trasforma file di esempio (4)" description="Connessione alla query 'Trasforma file di esempio (4)' nella cartella di lavoro." type="5" refreshedVersion="0" background="1">
    <dbPr connection="Provider=Microsoft.Mashup.OleDb.1;Data Source=$Workbook$;Location=&quot;Trasforma file di esempio (4)&quot;;Extended Properties=&quot;&quot;" command="SELECT * FROM [Trasforma file di esempio (4)]"/>
  </connection>
  <connection id="73" xr16:uid="{00000000-0015-0000-FFFF-FFFF48000000}" keepAlive="1" name="Query - Trasforma file di esempio (5)" description="Connessione alla query 'Trasforma file di esempio (5)' nella cartella di lavoro." type="5" refreshedVersion="0" background="1">
    <dbPr connection="Provider=Microsoft.Mashup.OleDb.1;Data Source=$Workbook$;Location=&quot;Trasforma file di esempio (5)&quot;;Extended Properties=&quot;&quot;" command="SELECT * FROM [Trasforma file di esempio (5)]"/>
  </connection>
  <connection id="74" xr16:uid="{00000000-0015-0000-FFFF-FFFF49000000}" keepAlive="1" name="Query - Trasforma file di esempio (6)" description="Connessione alla query 'Trasforma file di esempio (6)' nella cartella di lavoro." type="5" refreshedVersion="0" background="1">
    <dbPr connection="Provider=Microsoft.Mashup.OleDb.1;Data Source=$Workbook$;Location=&quot;Trasforma file di esempio (6)&quot;;Extended Properties=&quot;&quot;" command="SELECT * FROM [Trasforma file di esempio (6)]"/>
  </connection>
  <connection id="75" xr16:uid="{00000000-0015-0000-FFFF-FFFF4A000000}" keepAlive="1" name="Query - Trasforma file di esempio (7)" description="Connessione alla query 'Trasforma file di esempio (7)' nella cartella di lavoro." type="5" refreshedVersion="0" background="1">
    <dbPr connection="Provider=Microsoft.Mashup.OleDb.1;Data Source=$Workbook$;Location=&quot;Trasforma file di esempio (7)&quot;;Extended Properties=&quot;&quot;" command="SELECT * FROM [Trasforma file di esempio (7)]"/>
  </connection>
  <connection id="76" xr16:uid="{00000000-0015-0000-FFFF-FFFF4B000000}" keepAlive="1" name="Query - Trasforma file di esempio (8)" description="Connessione alla query 'Trasforma file di esempio (8)' nella cartella di lavoro." type="5" refreshedVersion="0" background="1">
    <dbPr connection="Provider=Microsoft.Mashup.OleDb.1;Data Source=$Workbook$;Location=&quot;Trasforma file di esempio (8)&quot;;Extended Properties=&quot;&quot;" command="SELECT * FROM [Trasforma file di esempio (8)]"/>
  </connection>
  <connection id="77" xr16:uid="{00000000-0015-0000-FFFF-FFFF4C000000}" keepAlive="1" name="Query - Trasforma file di esempio (9)" description="Connessione alla query 'Trasforma file di esempio (9)' nella cartella di lavoro." type="5" refreshedVersion="0" background="1">
    <dbPr connection="Provider=Microsoft.Mashup.OleDb.1;Data Source=$Workbook$;Location=&quot;Trasforma file di esempio (9)&quot;;Extended Properties=&quot;&quot;" command="SELECT * FROM [Trasforma file di esempio (9)]"/>
  </connection>
  <connection id="78" xr16:uid="{00000000-0015-0000-FFFF-FFFF4D000000}" keepAlive="1" name="Query - Trasforma file di esempio da ERRORI (2)" description="Connessione alla query 'Trasforma file di esempio da ERRORI (2)' nella cartella di lavoro." type="5" refreshedVersion="0" background="1">
    <dbPr connection="Provider=Microsoft.Mashup.OleDb.1;Data Source=$Workbook$;Location=&quot;Trasforma file di esempio da ERRORI (2)&quot;;Extended Properties=&quot;&quot;" command="SELECT * FROM [Trasforma file di esempio da ERRORI (2)]"/>
  </connection>
  <connection id="79" xr16:uid="{00000000-0015-0000-FFFF-FFFF4E000000}" keepAlive="1" name="Query - Trasforma file di esempio da ERRORI (3)" description="Connessione alla query 'Trasforma file di esempio da ERRORI (3)' nella cartella di lavoro." type="5" refreshedVersion="0" background="1">
    <dbPr connection="Provider=Microsoft.Mashup.OleDb.1;Data Source=$Workbook$;Location=&quot;Trasforma file di esempio da ERRORI (3)&quot;;Extended Properties=&quot;&quot;" command="SELECT * FROM [Trasforma file di esempio da ERRORI (3)]"/>
  </connection>
  <connection id="80" xr16:uid="{00000000-0015-0000-FFFF-FFFF4F000000}" keepAlive="1" name="Query - Trasforma file di esempio da RendicontiConvalidatiBL" description="Connessione alla query 'Trasforma file di esempio da RendicontiConvalidatiBL' nella cartella di lavoro." type="5" refreshedVersion="0" background="1">
    <dbPr connection="Provider=Microsoft.Mashup.OleDb.1;Data Source=$Workbook$;Location=&quot;Trasforma file di esempio da RendicontiConvalidatiBL&quot;;Extended Properties=&quot;&quot;" command="SELECT * FROM [Trasforma file di esempio da RendicontiConvalidatiBL]"/>
  </connection>
  <connection id="81" xr16:uid="{00000000-0015-0000-FFFF-FFFF50000000}" keepAlive="1" name="Query - Trasforma file di esempio da Spese Sopsese" description="Connessione alla query 'Trasforma file di esempio da Spese Sopsese' nella cartella di lavoro." type="5" refreshedVersion="0" background="1">
    <dbPr connection="Provider=Microsoft.Mashup.OleDb.1;Data Source=$Workbook$;Location=&quot;Trasforma file di esempio da Spese Sopsese&quot;;Extended Properties=&quot;&quot;" command="SELECT * FROM [Trasforma file di esempio da Spese Sopsese]"/>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<sst xmlns="http://schemas.openxmlformats.org/spreadsheetml/2006/main" count="61181" uniqueCount="7508">
  <si>
    <t>CBVO</t>
  </si>
  <si>
    <t>Column1.id</t>
  </si>
  <si>
    <t>Column1.description</t>
  </si>
  <si>
    <t>Name</t>
  </si>
  <si>
    <t>Value.typologyOfErrorId</t>
  </si>
  <si>
    <t>Value.typologyOfErrorName</t>
  </si>
  <si>
    <t>Value.staffCost</t>
  </si>
  <si>
    <t>Value.officeAndAdministration</t>
  </si>
  <si>
    <t>Value.travelAndAccommodation</t>
  </si>
  <si>
    <t>Value.externalExpertise</t>
  </si>
  <si>
    <t>Value.equipment</t>
  </si>
  <si>
    <t>Value.infrastructureAndWorks</t>
  </si>
  <si>
    <t>Value.lumpSums</t>
  </si>
  <si>
    <t>Value.unitCosts</t>
  </si>
  <si>
    <t>Value.otherCosts</t>
  </si>
  <si>
    <t>Value.total</t>
  </si>
  <si>
    <t>deductionRows</t>
  </si>
  <si>
    <t>1 - a</t>
  </si>
  <si>
    <t>Column1.partnerId</t>
  </si>
  <si>
    <t>Column1.partnerAbbreviation</t>
  </si>
  <si>
    <t>RVE</t>
  </si>
  <si>
    <t>PromoTurismoFVG</t>
  </si>
  <si>
    <t>ZRC SAZU</t>
  </si>
  <si>
    <t>WWF</t>
  </si>
  <si>
    <t>ZRS</t>
  </si>
  <si>
    <t>Regione FVG</t>
  </si>
  <si>
    <t>RRA ZK</t>
  </si>
  <si>
    <t>RRC</t>
  </si>
  <si>
    <t>Škocjanske jame</t>
  </si>
  <si>
    <t>ANK</t>
  </si>
  <si>
    <t>Vegal</t>
  </si>
  <si>
    <t>VBC</t>
  </si>
  <si>
    <t>DSM-UNITS</t>
  </si>
  <si>
    <t>RRC Koper</t>
  </si>
  <si>
    <t>CORILA</t>
  </si>
  <si>
    <t>PIRAN</t>
  </si>
  <si>
    <t>PRC</t>
  </si>
  <si>
    <t>INFORMEST</t>
  </si>
  <si>
    <t>SB Izola</t>
  </si>
  <si>
    <t>VEGAL</t>
  </si>
  <si>
    <t>BSC Kranj</t>
  </si>
  <si>
    <t>Turistica</t>
  </si>
  <si>
    <t>KGZS</t>
  </si>
  <si>
    <t>GECT GO/EZTS GO</t>
  </si>
  <si>
    <t>Geo-UNIPD</t>
  </si>
  <si>
    <t xml:space="preserve">DOPPS </t>
  </si>
  <si>
    <t>ZRS Koper</t>
  </si>
  <si>
    <t>GAL Carso</t>
  </si>
  <si>
    <t xml:space="preserve">ZRSVN </t>
  </si>
  <si>
    <t>GeoZS</t>
  </si>
  <si>
    <t>STRUN</t>
  </si>
  <si>
    <t>VHC</t>
  </si>
  <si>
    <t>ORA</t>
  </si>
  <si>
    <t>ZTM</t>
  </si>
  <si>
    <t>GIS</t>
  </si>
  <si>
    <t>FPM</t>
  </si>
  <si>
    <t>NIB</t>
  </si>
  <si>
    <t>POSEIDONE</t>
  </si>
  <si>
    <t>ADRIONCYCLETOUR</t>
  </si>
  <si>
    <t>KRAS-CARSO II</t>
  </si>
  <si>
    <t>TARTINI BIS</t>
  </si>
  <si>
    <t>IMMUNOCLUSTER-2</t>
  </si>
  <si>
    <t>X-BRAIN.net</t>
  </si>
  <si>
    <t>RecapMCV</t>
  </si>
  <si>
    <t>SPF GO! 2025</t>
  </si>
  <si>
    <t xml:space="preserve">IRRIGAVIT </t>
  </si>
  <si>
    <t>WALKofPEACE+</t>
  </si>
  <si>
    <t>TRECap</t>
  </si>
  <si>
    <t>CONTS</t>
  </si>
  <si>
    <t>UNITS</t>
  </si>
  <si>
    <t>UNG</t>
  </si>
  <si>
    <t>AGROTUR+</t>
  </si>
  <si>
    <t>Source.Name.2</t>
  </si>
  <si>
    <t>Source.Name.3</t>
  </si>
  <si>
    <t>Source.Name.4</t>
  </si>
  <si>
    <t>Source.Name.5.1</t>
  </si>
  <si>
    <t>1 - h</t>
  </si>
  <si>
    <t>1 - c</t>
  </si>
  <si>
    <t>1 - n</t>
  </si>
  <si>
    <t>GECT GO-EZTS GO</t>
  </si>
  <si>
    <t>1 - m</t>
  </si>
  <si>
    <t>3 - e</t>
  </si>
  <si>
    <t>1 - l</t>
  </si>
  <si>
    <t>9 - a</t>
  </si>
  <si>
    <t>3 - c</t>
  </si>
  <si>
    <t>Ambito d'errore</t>
  </si>
  <si>
    <t>Importo per ambito</t>
  </si>
  <si>
    <t>percentuale sul totale degli errori</t>
  </si>
  <si>
    <t xml:space="preserve">1. Norme in materia di ammissibilità
Pravila glede upravičenosti 
</t>
  </si>
  <si>
    <t xml:space="preserve">2. Obiettivi del progetto non raggiunti 
Nedoseženi cilji projekta
</t>
  </si>
  <si>
    <t xml:space="preserve">3. Pista di controllo
Revizijska sled
</t>
  </si>
  <si>
    <t xml:space="preserve">4. Violazione di norme in materia di appalti pubblici 
Kršenje pravil javnega naročanja
</t>
  </si>
  <si>
    <t xml:space="preserve">5. Aiuti di Stato
Državne pomoči
</t>
  </si>
  <si>
    <t xml:space="preserve">6. Norme ambientali
Okolijska  pravila
</t>
  </si>
  <si>
    <t xml:space="preserve">7. Pari opportunità
Enake možnosti
</t>
  </si>
  <si>
    <t xml:space="preserve">8. Misure di informazione e pubblicità
Ukrepi informiranja in obveščanja
</t>
  </si>
  <si>
    <t xml:space="preserve">9 Opzioni semplificate in materia di costi
Poenostavljene možnosti obračunavanja izdatkov
</t>
  </si>
  <si>
    <t xml:space="preserve">10 Stabilità delle operazioni 
Stabilnost operacij
</t>
  </si>
  <si>
    <t xml:space="preserve">
11 Sana gestione finanziaria del programma 
Gospodarno finančno upravljanje
</t>
  </si>
  <si>
    <t xml:space="preserve">
12 Altro 
Drugo
</t>
  </si>
  <si>
    <t>TOTALE</t>
  </si>
  <si>
    <t xml:space="preserve"> a</t>
  </si>
  <si>
    <t>1 - b</t>
  </si>
  <si>
    <t xml:space="preserve"> b</t>
  </si>
  <si>
    <t xml:space="preserve"> c</t>
  </si>
  <si>
    <t>1 - d</t>
  </si>
  <si>
    <t xml:space="preserve"> d</t>
  </si>
  <si>
    <t>1 - e</t>
  </si>
  <si>
    <t xml:space="preserve"> e</t>
  </si>
  <si>
    <t>1 - f</t>
  </si>
  <si>
    <t xml:space="preserve"> f</t>
  </si>
  <si>
    <t>1 - g</t>
  </si>
  <si>
    <t xml:space="preserve"> g</t>
  </si>
  <si>
    <t xml:space="preserve"> h</t>
  </si>
  <si>
    <t>1 - i</t>
  </si>
  <si>
    <t xml:space="preserve"> i</t>
  </si>
  <si>
    <t>1 - j</t>
  </si>
  <si>
    <t xml:space="preserve"> j</t>
  </si>
  <si>
    <t>1 - k</t>
  </si>
  <si>
    <t xml:space="preserve"> k</t>
  </si>
  <si>
    <t xml:space="preserve"> l</t>
  </si>
  <si>
    <t xml:space="preserve"> m</t>
  </si>
  <si>
    <t xml:space="preserve"> n</t>
  </si>
  <si>
    <t>2 - a</t>
  </si>
  <si>
    <t>2 - b</t>
  </si>
  <si>
    <t>2 - c</t>
  </si>
  <si>
    <t>2 - d</t>
  </si>
  <si>
    <t>2 - e</t>
  </si>
  <si>
    <t>2 - f</t>
  </si>
  <si>
    <t>2 - g</t>
  </si>
  <si>
    <t>2 - h</t>
  </si>
  <si>
    <t>3 - a</t>
  </si>
  <si>
    <t>3 - b</t>
  </si>
  <si>
    <t>3 - d</t>
  </si>
  <si>
    <t>4 - a</t>
  </si>
  <si>
    <t>4 - b</t>
  </si>
  <si>
    <t>4 - c</t>
  </si>
  <si>
    <t>4 - d</t>
  </si>
  <si>
    <t>4 - e</t>
  </si>
  <si>
    <t>4 - f</t>
  </si>
  <si>
    <t>4 - g</t>
  </si>
  <si>
    <t>4 - h</t>
  </si>
  <si>
    <t>4 - i</t>
  </si>
  <si>
    <t>4 - j</t>
  </si>
  <si>
    <t>4 - k</t>
  </si>
  <si>
    <t>4 - l</t>
  </si>
  <si>
    <t>4 - m</t>
  </si>
  <si>
    <t>4 - n</t>
  </si>
  <si>
    <t>4 - o</t>
  </si>
  <si>
    <t xml:space="preserve"> o</t>
  </si>
  <si>
    <t>4 - p</t>
  </si>
  <si>
    <t xml:space="preserve"> p</t>
  </si>
  <si>
    <t>4 - q</t>
  </si>
  <si>
    <t xml:space="preserve"> q</t>
  </si>
  <si>
    <t>4 - r</t>
  </si>
  <si>
    <t xml:space="preserve"> r</t>
  </si>
  <si>
    <t>4 - s</t>
  </si>
  <si>
    <t xml:space="preserve"> s</t>
  </si>
  <si>
    <t>4 - t</t>
  </si>
  <si>
    <t xml:space="preserve"> t</t>
  </si>
  <si>
    <t>4 - u</t>
  </si>
  <si>
    <t xml:space="preserve"> u</t>
  </si>
  <si>
    <t>4 - v</t>
  </si>
  <si>
    <t xml:space="preserve"> v</t>
  </si>
  <si>
    <t>4 - w</t>
  </si>
  <si>
    <t xml:space="preserve"> w</t>
  </si>
  <si>
    <t>4 - x</t>
  </si>
  <si>
    <t xml:space="preserve"> x</t>
  </si>
  <si>
    <t>4 - y</t>
  </si>
  <si>
    <t xml:space="preserve"> y</t>
  </si>
  <si>
    <t>4 - z</t>
  </si>
  <si>
    <t xml:space="preserve"> z</t>
  </si>
  <si>
    <t>5 - a</t>
  </si>
  <si>
    <t>5 - b</t>
  </si>
  <si>
    <t>5 - c</t>
  </si>
  <si>
    <t>5 - d</t>
  </si>
  <si>
    <t>5 - e</t>
  </si>
  <si>
    <t>5 - f</t>
  </si>
  <si>
    <t>5 - g</t>
  </si>
  <si>
    <t>5 - h</t>
  </si>
  <si>
    <t>6 - a</t>
  </si>
  <si>
    <t>6 - b</t>
  </si>
  <si>
    <t>7 - a</t>
  </si>
  <si>
    <t>7 - b</t>
  </si>
  <si>
    <t>8 - a</t>
  </si>
  <si>
    <t>8 - b</t>
  </si>
  <si>
    <t>9 - b</t>
  </si>
  <si>
    <t>9 - c</t>
  </si>
  <si>
    <t>9 - d</t>
  </si>
  <si>
    <t>10 - a</t>
  </si>
  <si>
    <t>10 - b</t>
  </si>
  <si>
    <t>10 - c</t>
  </si>
  <si>
    <t>10 - d</t>
  </si>
  <si>
    <t>11 - a</t>
  </si>
  <si>
    <t>11 - b</t>
  </si>
  <si>
    <t>11 - c</t>
  </si>
  <si>
    <t>11 - d</t>
  </si>
  <si>
    <t>11 - e</t>
  </si>
  <si>
    <t>11 - f</t>
  </si>
  <si>
    <t>11 - g</t>
  </si>
  <si>
    <t>11 - h</t>
  </si>
  <si>
    <t>11 - i</t>
  </si>
  <si>
    <t>11 - j</t>
  </si>
  <si>
    <t>11 - k</t>
  </si>
  <si>
    <t>11 - l</t>
  </si>
  <si>
    <t>11 - m</t>
  </si>
  <si>
    <t>11 - n</t>
  </si>
  <si>
    <t>11 - o</t>
  </si>
  <si>
    <t>11 - p</t>
  </si>
  <si>
    <t>11 - q</t>
  </si>
  <si>
    <t>12 - a</t>
  </si>
  <si>
    <t>12 - b</t>
  </si>
  <si>
    <t/>
  </si>
  <si>
    <t xml:space="preserve">TOTALE </t>
  </si>
  <si>
    <t>SCO</t>
  </si>
  <si>
    <t>Tagli sco</t>
  </si>
  <si>
    <t>partner id</t>
  </si>
  <si>
    <t>Value.flatRate</t>
  </si>
  <si>
    <t>Value.totalEligibleBudget</t>
  </si>
  <si>
    <t>Value.previouslyReported</t>
  </si>
  <si>
    <t>Value.previouslyReportedParked</t>
  </si>
  <si>
    <t>Value.currentReport</t>
  </si>
  <si>
    <t>Value.currentReportReIncluded</t>
  </si>
  <si>
    <t>Value.totalEligibleAfterControl</t>
  </si>
  <si>
    <t>Value.totalReportedSoFar</t>
  </si>
  <si>
    <t>Value.totalReportedSoFarPercentage</t>
  </si>
  <si>
    <t>Value.remainingBudget</t>
  </si>
  <si>
    <t>Value.previouslyValidated</t>
  </si>
  <si>
    <t>staff</t>
  </si>
  <si>
    <t>office</t>
  </si>
  <si>
    <t>travel</t>
  </si>
  <si>
    <t>external</t>
  </si>
  <si>
    <t>equipment</t>
  </si>
  <si>
    <t>infrastructure</t>
  </si>
  <si>
    <t>other</t>
  </si>
  <si>
    <t>lumpSum</t>
  </si>
  <si>
    <t>unitCost</t>
  </si>
  <si>
    <t>spfCost</t>
  </si>
  <si>
    <t>total</t>
  </si>
  <si>
    <t>Source.Name.2.1</t>
  </si>
  <si>
    <t>Value.partnerSummary.id</t>
  </si>
  <si>
    <t>Value.partnerSummary.abbreviation</t>
  </si>
  <si>
    <t>Value.partnerSummary.institutionName</t>
  </si>
  <si>
    <t>Value.partnerSummary.active</t>
  </si>
  <si>
    <t>Value.partnerSummary.role</t>
  </si>
  <si>
    <t>Value.partnerSummary.sortNumber</t>
  </si>
  <si>
    <t>Value.partnerSummary.country</t>
  </si>
  <si>
    <t>Value.partnerSummary.region</t>
  </si>
  <si>
    <t>Value.partnerSummary.currencyCode</t>
  </si>
  <si>
    <t>Value.totalBudget</t>
  </si>
  <si>
    <t>CrossCare 2</t>
  </si>
  <si>
    <t>content</t>
  </si>
  <si>
    <t>ASP ITIS</t>
  </si>
  <si>
    <t>PARTNER</t>
  </si>
  <si>
    <t>Italia (IT)</t>
  </si>
  <si>
    <t>Trieste (ITH44)</t>
  </si>
  <si>
    <t>DEOS d.o.o.</t>
  </si>
  <si>
    <t>Slovenija (SI)</t>
  </si>
  <si>
    <t>Osrednjeslovenska (SI041)</t>
  </si>
  <si>
    <t>DON MOSCHETTA</t>
  </si>
  <si>
    <t>Venezia (ITH35)</t>
  </si>
  <si>
    <t>DSO GROSUPLJE</t>
  </si>
  <si>
    <t>Francescon</t>
  </si>
  <si>
    <t>Itaca</t>
  </si>
  <si>
    <t>LEAD_PARTNER</t>
  </si>
  <si>
    <t>Pordenone (ITH41)</t>
  </si>
  <si>
    <t>Gorizia (ITH43)</t>
  </si>
  <si>
    <t>Gorenjska (SI042)</t>
  </si>
  <si>
    <t>Občina Kobarid</t>
  </si>
  <si>
    <t>Goriška (SI043)</t>
  </si>
  <si>
    <t>Obalno-kraška (SI044)</t>
  </si>
  <si>
    <t>MEDS GARDEN+</t>
  </si>
  <si>
    <t>GdC</t>
  </si>
  <si>
    <t>Udine (ITH42)</t>
  </si>
  <si>
    <t xml:space="preserve">KZ AGRARIA </t>
  </si>
  <si>
    <t>MONG</t>
  </si>
  <si>
    <t>SCF</t>
  </si>
  <si>
    <t>WASTE DESIGN 2</t>
  </si>
  <si>
    <t>D-N</t>
  </si>
  <si>
    <t>IUAV</t>
  </si>
  <si>
    <t>KI</t>
  </si>
  <si>
    <t>OP</t>
  </si>
  <si>
    <t>Primorsko-notranjska (SI038)</t>
  </si>
  <si>
    <t>E-NAT2CARE</t>
  </si>
  <si>
    <t>PNPG</t>
  </si>
  <si>
    <t>PŠJ</t>
  </si>
  <si>
    <t>UNIUD</t>
  </si>
  <si>
    <t>UP</t>
  </si>
  <si>
    <t>IRRIGAVIT</t>
  </si>
  <si>
    <t>CON</t>
  </si>
  <si>
    <t>KIS</t>
  </si>
  <si>
    <t>RRA</t>
  </si>
  <si>
    <t>UNIVE</t>
  </si>
  <si>
    <t>ASU FC</t>
  </si>
  <si>
    <t>Celica</t>
  </si>
  <si>
    <t>OIL</t>
  </si>
  <si>
    <t>GRENNAT</t>
  </si>
  <si>
    <t>CBVG</t>
  </si>
  <si>
    <t>MONFALCONE</t>
  </si>
  <si>
    <t>O M-K</t>
  </si>
  <si>
    <t>OA</t>
  </si>
  <si>
    <t>CESCOT VENETO</t>
  </si>
  <si>
    <t>Padova (ITH36)</t>
  </si>
  <si>
    <t>ORA Krasa</t>
  </si>
  <si>
    <t>ECO2SMART</t>
  </si>
  <si>
    <t>MOK</t>
  </si>
  <si>
    <t>Monfalcone</t>
  </si>
  <si>
    <t>SHORELINE</t>
  </si>
  <si>
    <t xml:space="preserve">UniPD - DICEA </t>
  </si>
  <si>
    <t>ZRS KP</t>
  </si>
  <si>
    <t>X-BRAIN</t>
  </si>
  <si>
    <t>ASUGI</t>
  </si>
  <si>
    <t>AidMIRE</t>
  </si>
  <si>
    <t>AULSS3</t>
  </si>
  <si>
    <t>SB IZOLA</t>
  </si>
  <si>
    <t>ZD IZOLA</t>
  </si>
  <si>
    <t>ZD SEŽANA</t>
  </si>
  <si>
    <t>INTER BIKE III</t>
  </si>
  <si>
    <t>CAORLE.IT</t>
  </si>
  <si>
    <t>OIB</t>
  </si>
  <si>
    <t>RRA ROD</t>
  </si>
  <si>
    <t>RRC KOPER</t>
  </si>
  <si>
    <t>TNG</t>
  </si>
  <si>
    <t>Caorle</t>
  </si>
  <si>
    <t>CNR-ISMAR</t>
  </si>
  <si>
    <t>OGS</t>
  </si>
  <si>
    <t>Shoreline</t>
  </si>
  <si>
    <t>UPR</t>
  </si>
  <si>
    <t>BON</t>
  </si>
  <si>
    <t>CONVE</t>
  </si>
  <si>
    <t>UI</t>
  </si>
  <si>
    <t>Primis Plus</t>
  </si>
  <si>
    <t>ATS-CZS PROJEKT</t>
  </si>
  <si>
    <t>INV</t>
  </si>
  <si>
    <t>RAFVG</t>
  </si>
  <si>
    <t>REGIONE VENETO</t>
  </si>
  <si>
    <t>SFF</t>
  </si>
  <si>
    <t>BeBlue</t>
  </si>
  <si>
    <t>AGRARIA</t>
  </si>
  <si>
    <t>LEGACOOP VENETO</t>
  </si>
  <si>
    <t>UNILJU</t>
  </si>
  <si>
    <t>KARST-SAFE</t>
  </si>
  <si>
    <t>GENG</t>
  </si>
  <si>
    <t>Občina Komen</t>
  </si>
  <si>
    <t>Občina Sežana</t>
  </si>
  <si>
    <t>ZGRS Sežana</t>
  </si>
  <si>
    <t>ENGREEN 2</t>
  </si>
  <si>
    <t>DOLINA</t>
  </si>
  <si>
    <t>OHK</t>
  </si>
  <si>
    <t xml:space="preserve">VEGAL </t>
  </si>
  <si>
    <t>PRO-SIS</t>
  </si>
  <si>
    <t>ATER di Udine</t>
  </si>
  <si>
    <t>DIA - UNITS</t>
  </si>
  <si>
    <t>FIBRE NET</t>
  </si>
  <si>
    <t>GI ZRMK</t>
  </si>
  <si>
    <t>UL FGG</t>
  </si>
  <si>
    <t>ZVKDS</t>
  </si>
  <si>
    <t>BEE2GETHER</t>
  </si>
  <si>
    <t>AVISP</t>
  </si>
  <si>
    <t>POLO AA</t>
  </si>
  <si>
    <t>Občina Tolmin</t>
  </si>
  <si>
    <t>IN4SAFETY</t>
  </si>
  <si>
    <t>CMVE</t>
  </si>
  <si>
    <t>GI</t>
  </si>
  <si>
    <t>ISIG</t>
  </si>
  <si>
    <t>CONCERTO</t>
  </si>
  <si>
    <t>Better</t>
  </si>
  <si>
    <t>Burlo Garofolo</t>
  </si>
  <si>
    <t>DSM</t>
  </si>
  <si>
    <t>Experteam</t>
  </si>
  <si>
    <t>UKCL</t>
  </si>
  <si>
    <t>CDA</t>
  </si>
  <si>
    <t>OK</t>
  </si>
  <si>
    <t>RECREATE</t>
  </si>
  <si>
    <t>Gees</t>
  </si>
  <si>
    <t>OZS</t>
  </si>
  <si>
    <t>PoloAA</t>
  </si>
  <si>
    <t>SDGZ-URES</t>
  </si>
  <si>
    <t>SPINEA</t>
  </si>
  <si>
    <t>TECHNOL</t>
  </si>
  <si>
    <t xml:space="preserve">STAR </t>
  </si>
  <si>
    <t>Roma (ITI43)</t>
  </si>
  <si>
    <t>SGEO-RAFVG</t>
  </si>
  <si>
    <t>ID</t>
  </si>
  <si>
    <t>Nome bando</t>
  </si>
  <si>
    <t>ID del progetto (creato automaticamente)</t>
  </si>
  <si>
    <t>Acronimo progetto</t>
  </si>
  <si>
    <t>Titolo progetto</t>
  </si>
  <si>
    <t>Versione del progetto</t>
  </si>
  <si>
    <t>Stato</t>
  </si>
  <si>
    <t>Priorità del programma</t>
  </si>
  <si>
    <t>Obiettivo specifico della priorità</t>
  </si>
  <si>
    <t>Numero Partner</t>
  </si>
  <si>
    <t>Ruolo Partner</t>
  </si>
  <si>
    <t>Denominazione breve dell'organizzazione</t>
  </si>
  <si>
    <t>Nome organizzazione in lingua originale</t>
  </si>
  <si>
    <t>Nome organizzazione in inglese</t>
  </si>
  <si>
    <t>B.1.2 Indirizzo principale del partner - Paese (NUTS 0)</t>
  </si>
  <si>
    <t>B.1.2 Indirizzo principale del partner - Regione (NUTS 2)</t>
  </si>
  <si>
    <t>B.1.2 Indirizzo principale del partner - NUTS 3</t>
  </si>
  <si>
    <t>FESR</t>
  </si>
  <si>
    <t>FESR % Tasso</t>
  </si>
  <si>
    <t>% del totale FESR</t>
  </si>
  <si>
    <t>IPA III CBC</t>
  </si>
  <si>
    <t>IPA III CBC % Tasso</t>
  </si>
  <si>
    <t>% del totale IPA III CBC</t>
  </si>
  <si>
    <t>Neighbourhood CBC</t>
  </si>
  <si>
    <t>Neighbourhood CBC % Tasso</t>
  </si>
  <si>
    <t>% del totale Neighbourhood CBC</t>
  </si>
  <si>
    <t>IPA III</t>
  </si>
  <si>
    <t>IPA III % Tasso</t>
  </si>
  <si>
    <t>% del totale IPA III</t>
  </si>
  <si>
    <t>NDICI</t>
  </si>
  <si>
    <t>NDICI % Tasso</t>
  </si>
  <si>
    <t>% del totale NDICI</t>
  </si>
  <si>
    <t>OCTP</t>
  </si>
  <si>
    <t>OCTP % Tasso</t>
  </si>
  <si>
    <t>% del totale OCTP</t>
  </si>
  <si>
    <t>Interreg Funds</t>
  </si>
  <si>
    <t>Interreg Funds % Tasso</t>
  </si>
  <si>
    <t>% del totale Interreg Funds</t>
  </si>
  <si>
    <t>Contributo pubblico</t>
  </si>
  <si>
    <t>Contributo pubblico automatico</t>
  </si>
  <si>
    <t>Contributo privato</t>
  </si>
  <si>
    <t>Contributo totale del partner</t>
  </si>
  <si>
    <t>Totale</t>
  </si>
  <si>
    <t>% del totale</t>
  </si>
  <si>
    <t>BL1 -Totale Costo del personale</t>
  </si>
  <si>
    <t>BL1 - Tasso forfettario - costi del personale</t>
  </si>
  <si>
    <t>BL1 - Personale - costo reale</t>
  </si>
  <si>
    <t>BL1 - Personale - costo unitario</t>
  </si>
  <si>
    <t>BL2 - Costi d'ufficio e amministrativi - totale</t>
  </si>
  <si>
    <t>BL2 - Costi d'ufficio e amministrativi - tasso forfettario</t>
  </si>
  <si>
    <t>BL3 - Spese di viaggio e soggiorno - totale</t>
  </si>
  <si>
    <t>BL3 - Spese di viaggio e soggiorno</t>
  </si>
  <si>
    <t>BL3 - Spese di viaggio e soggiorno - costo reale</t>
  </si>
  <si>
    <t>BL3 - Spese di viaggio e soggiorno - costo unitario</t>
  </si>
  <si>
    <t>BL4 - Costi per consulenze e servizi esterni - totale</t>
  </si>
  <si>
    <t>BL4 - Costi per consulenze e servizi esterni - costo reale</t>
  </si>
  <si>
    <t>BL4 - Costi per consulenze e servizi esterni - costo unitario</t>
  </si>
  <si>
    <t>BL5 -  Costi per attrezzature - totale</t>
  </si>
  <si>
    <t>BL5 - Costi per attrezzature - costo reale</t>
  </si>
  <si>
    <t>BL5 -  Costi per attrezzature - costo unitario</t>
  </si>
  <si>
    <t>BL6 - Costi per infrastrutture e opere - totale</t>
  </si>
  <si>
    <t>BL6 - Costi per infrastrutture e opere - costo reale</t>
  </si>
  <si>
    <t>BL6 - Costi per infrastrutture e opere - costo unitario</t>
  </si>
  <si>
    <t>Altri costi</t>
  </si>
  <si>
    <t>Costi unitari che coprono più di una categoria di costo</t>
  </si>
  <si>
    <t>Forfettario</t>
  </si>
  <si>
    <t>Preparazione</t>
  </si>
  <si>
    <t>Periodo 1</t>
  </si>
  <si>
    <t>Periodo 2</t>
  </si>
  <si>
    <t>Periodo 3</t>
  </si>
  <si>
    <t>Periodo 4</t>
  </si>
  <si>
    <t>Periodo 5</t>
  </si>
  <si>
    <t>Periodo 6</t>
  </si>
  <si>
    <t>Periodo 7</t>
  </si>
  <si>
    <t>Periodo 8</t>
  </si>
  <si>
    <t>Periodo 9</t>
  </si>
  <si>
    <t>Periodo 10</t>
  </si>
  <si>
    <t>Conclusione</t>
  </si>
  <si>
    <t>Dipartimento / servizio/ direzione</t>
  </si>
  <si>
    <t>Tipo partner</t>
  </si>
  <si>
    <t>Sottotipo di partner</t>
  </si>
  <si>
    <t>Stato giuridico</t>
  </si>
  <si>
    <t>Si rimanda alla classificazione statistica delle attività economiche NACE Rav. 2 (2008) disponibile sul sito web di Eurostat.</t>
  </si>
  <si>
    <t>Numero di partita IVA</t>
  </si>
  <si>
    <t>La vostra organizzazione ha il diritto al recupero IVA, in conformità a quanto previsto dalla legislazione nazionale per le attività realizzate nel progetto?</t>
  </si>
  <si>
    <t>Altro numero identificativo (se il numero di partita IVA non è disponibile, deve essere utilizzato un altro identificativo dell'organizzazione)</t>
  </si>
  <si>
    <t>Descrizione dell'altro identificativo (specificare il tipo di identificativo)</t>
  </si>
  <si>
    <t>PIC (dal registro dei partecipanti alla CE), se disponibile</t>
  </si>
  <si>
    <t>D. Regime relativo agli aiuti di Stato</t>
  </si>
  <si>
    <t>B.1.2 Indirizzo principale del partner - Via - Numero civico</t>
  </si>
  <si>
    <t>B.1.2 Indirizzo principale del partner - Codice postale</t>
  </si>
  <si>
    <t>B.1.2 Indirizzo principale del partner - Città</t>
  </si>
  <si>
    <t>B.1.2 Indirizzo principale del partner - Sito web</t>
  </si>
  <si>
    <t>Paese</t>
  </si>
  <si>
    <t>NUTS 3</t>
  </si>
  <si>
    <t>Via - Numero civico</t>
  </si>
  <si>
    <t>Codice postale</t>
  </si>
  <si>
    <t>Città</t>
  </si>
  <si>
    <t>Titolo (p.e. Sig., Sig.ra)</t>
  </si>
  <si>
    <t>Nome</t>
  </si>
  <si>
    <t>Cognome</t>
  </si>
  <si>
    <t>Indirizzo email</t>
  </si>
  <si>
    <t>N. telefonico</t>
  </si>
  <si>
    <t>id partner</t>
  </si>
  <si>
    <t>BANDO DI CAPITALIZZAZIONE/KAPITALIZACIJSKI RAZPIS 01/2022</t>
  </si>
  <si>
    <t>ITA-SI0100007</t>
  </si>
  <si>
    <t>CrossCare 2.0 - Strategie integrate e condivise per la capitalizzazione del Modello CrossCare</t>
  </si>
  <si>
    <t>2.0</t>
  </si>
  <si>
    <t>Contratto stipulato</t>
  </si>
  <si>
    <t>4 ISO 1</t>
  </si>
  <si>
    <t>ISO 1.(b)</t>
  </si>
  <si>
    <t>LP1</t>
  </si>
  <si>
    <t>Attivo</t>
  </si>
  <si>
    <t>Lead partner</t>
  </si>
  <si>
    <t>Cooperativa Itaca società cooperativa sociale onlus</t>
  </si>
  <si>
    <t xml:space="preserve"> Social Cooperative Itaca</t>
  </si>
  <si>
    <t>Friuli-Venezia Giulia (ITH4)</t>
  </si>
  <si>
    <t>Altro</t>
  </si>
  <si>
    <t>Soggetto privato</t>
  </si>
  <si>
    <t>Q.88</t>
  </si>
  <si>
    <t>01220590937</t>
  </si>
  <si>
    <t>Yes</t>
  </si>
  <si>
    <t>948072375</t>
  </si>
  <si>
    <t>Vicolo R. Selvatico -16</t>
  </si>
  <si>
    <t>33170</t>
  </si>
  <si>
    <t>Pordenone</t>
  </si>
  <si>
    <t>www.itaca.copsoc.it</t>
  </si>
  <si>
    <t>Dott.</t>
  </si>
  <si>
    <t>Paolo</t>
  </si>
  <si>
    <t>Castagna</t>
  </si>
  <si>
    <t>Dott.ssa</t>
  </si>
  <si>
    <t>Flora</t>
  </si>
  <si>
    <t>Bernardi</t>
  </si>
  <si>
    <t>f.bernardi@itaca.coopsoc.it</t>
  </si>
  <si>
    <t>0434504000</t>
  </si>
  <si>
    <t>PP2</t>
  </si>
  <si>
    <t>Partner</t>
  </si>
  <si>
    <t>Azienda Pubblica di Servizi alla Persona ITIS</t>
  </si>
  <si>
    <t>-</t>
  </si>
  <si>
    <t>Autorità pubblica locale</t>
  </si>
  <si>
    <t>Soggetto pubblico</t>
  </si>
  <si>
    <t>Q.87</t>
  </si>
  <si>
    <t>00278250329</t>
  </si>
  <si>
    <t>No</t>
  </si>
  <si>
    <t>Via Giovanni Pascoli-31</t>
  </si>
  <si>
    <t>34129</t>
  </si>
  <si>
    <t>Trieste</t>
  </si>
  <si>
    <t>www.itis.it</t>
  </si>
  <si>
    <t>Sig.</t>
  </si>
  <si>
    <t>Aldo</t>
  </si>
  <si>
    <t>Pahor</t>
  </si>
  <si>
    <t>Francesco</t>
  </si>
  <si>
    <t>Mosetti-D’henry</t>
  </si>
  <si>
    <t>segreteria@itis.it</t>
  </si>
  <si>
    <t>+390403736210</t>
  </si>
  <si>
    <t>PP3</t>
  </si>
  <si>
    <t>IPAB Residenza per Anziani Giuseppe Francescon</t>
  </si>
  <si>
    <t>Veneto (ITH3)</t>
  </si>
  <si>
    <t>Fornitore di infrastrutture e servizi (pubblici)</t>
  </si>
  <si>
    <t>02093260277</t>
  </si>
  <si>
    <t>Borgo San Gottardo-44</t>
  </si>
  <si>
    <t>30026</t>
  </si>
  <si>
    <t>Portogruaro</t>
  </si>
  <si>
    <t>www.residenzafrancescon.it</t>
  </si>
  <si>
    <t>Sig.ra</t>
  </si>
  <si>
    <t>Caterina</t>
  </si>
  <si>
    <t>Pinelli</t>
  </si>
  <si>
    <t>Daniele</t>
  </si>
  <si>
    <t>Dal Ben</t>
  </si>
  <si>
    <t>direzione@residenzafrancescon.it</t>
  </si>
  <si>
    <t>042171329</t>
  </si>
  <si>
    <t>PP4</t>
  </si>
  <si>
    <t>DEOS, celostna oskrba starostnikov, d.o.o.</t>
  </si>
  <si>
    <t>Zahodna Slovenija (SI04)</t>
  </si>
  <si>
    <t>Impresa, ad eccezione delle PMI</t>
  </si>
  <si>
    <t>Grande impresa</t>
  </si>
  <si>
    <t>17727332</t>
  </si>
  <si>
    <t>Gmajna-7</t>
  </si>
  <si>
    <t>1357</t>
  </si>
  <si>
    <t>Notranje Gorice</t>
  </si>
  <si>
    <t>https://www.deos.si/</t>
  </si>
  <si>
    <t>Bojan</t>
  </si>
  <si>
    <t>Kranjc</t>
  </si>
  <si>
    <t>Dino</t>
  </si>
  <si>
    <t>Černivec</t>
  </si>
  <si>
    <t>dino.cernivec@deos.si</t>
  </si>
  <si>
    <t>+38682002504</t>
  </si>
  <si>
    <t>PP5</t>
  </si>
  <si>
    <t>Dom starejših občanov Grosuplje</t>
  </si>
  <si>
    <t>SI53318862</t>
  </si>
  <si>
    <t>Ob Grosupeljščici-28</t>
  </si>
  <si>
    <t>1290</t>
  </si>
  <si>
    <t>Grosuplje</t>
  </si>
  <si>
    <t>https://www.dso-grosuplje.si/</t>
  </si>
  <si>
    <t>Metka</t>
  </si>
  <si>
    <t>Velepec Šajn</t>
  </si>
  <si>
    <t>metka.sajn@dso-grosuplje.si</t>
  </si>
  <si>
    <t>+38617810702</t>
  </si>
  <si>
    <t>PP6</t>
  </si>
  <si>
    <t>Azienda Speciale Don Moschetta</t>
  </si>
  <si>
    <t>04053410272</t>
  </si>
  <si>
    <t>Via Michelangelo Buonarroti-10</t>
  </si>
  <si>
    <t>30021</t>
  </si>
  <si>
    <t>www.donmoschetta.it</t>
  </si>
  <si>
    <t>Simone</t>
  </si>
  <si>
    <t>Gusso</t>
  </si>
  <si>
    <t>Raffaella</t>
  </si>
  <si>
    <t>Barro</t>
  </si>
  <si>
    <t>direttore@donmoschetta.it</t>
  </si>
  <si>
    <t>0421219411</t>
  </si>
  <si>
    <t>1.0</t>
  </si>
  <si>
    <t>1 PO1</t>
  </si>
  <si>
    <t>SO 1.1</t>
  </si>
  <si>
    <t>Organizzazione di supporto alle imprese</t>
  </si>
  <si>
    <t>O.84.13</t>
  </si>
  <si>
    <t>30123</t>
  </si>
  <si>
    <t>Venezia</t>
  </si>
  <si>
    <t>30175</t>
  </si>
  <si>
    <t>Massimo</t>
  </si>
  <si>
    <t>Ms</t>
  </si>
  <si>
    <t>Regione Autonoma Friuli Venezia Giulia</t>
  </si>
  <si>
    <t>Friuli Venezia Giulia Autonomous Region</t>
  </si>
  <si>
    <t>Direzione centrale cultura e sport</t>
  </si>
  <si>
    <t>Autorità pubblica regionale</t>
  </si>
  <si>
    <t>O</t>
  </si>
  <si>
    <t>IT00526040324</t>
  </si>
  <si>
    <t>983174347</t>
  </si>
  <si>
    <t>piazza Unità d'Italia-1</t>
  </si>
  <si>
    <t>34121</t>
  </si>
  <si>
    <t>https://www.regione.fvg.it/rafvg/cms/RAFVG/</t>
  </si>
  <si>
    <t>Anna</t>
  </si>
  <si>
    <t>Del Bianco</t>
  </si>
  <si>
    <t>Mengotti</t>
  </si>
  <si>
    <t>elena.mengotti@regione.fvg.it</t>
  </si>
  <si>
    <t>Media impresa</t>
  </si>
  <si>
    <t>S.94.11</t>
  </si>
  <si>
    <t>Partly</t>
  </si>
  <si>
    <t>1000</t>
  </si>
  <si>
    <t>Ljubljana</t>
  </si>
  <si>
    <t>Mr</t>
  </si>
  <si>
    <t>Aleš</t>
  </si>
  <si>
    <t>Istituti di istruzione superiore e di ricerca</t>
  </si>
  <si>
    <t>Generale de minimis ITA</t>
  </si>
  <si>
    <t>Tiziana</t>
  </si>
  <si>
    <t>Lippiello</t>
  </si>
  <si>
    <t>Prof.</t>
  </si>
  <si>
    <t>Fabrizio</t>
  </si>
  <si>
    <t>Comune di Pordenone</t>
  </si>
  <si>
    <t>Municipality of Pordenone</t>
  </si>
  <si>
    <t>Corso Vittorio Emanuele II-64</t>
  </si>
  <si>
    <t>Alessandro</t>
  </si>
  <si>
    <t>Ciriani</t>
  </si>
  <si>
    <t>Antonio</t>
  </si>
  <si>
    <t>O.84.11</t>
  </si>
  <si>
    <t>General de minimis SLO</t>
  </si>
  <si>
    <t>1230</t>
  </si>
  <si>
    <t>Renata</t>
  </si>
  <si>
    <t>Ospedali e centri medici</t>
  </si>
  <si>
    <t>Q.86.10</t>
  </si>
  <si>
    <t>6280</t>
  </si>
  <si>
    <t>Andrej</t>
  </si>
  <si>
    <t>University of Ljubljana</t>
  </si>
  <si>
    <t>P.85.42</t>
  </si>
  <si>
    <t>SI54162513</t>
  </si>
  <si>
    <t>999923240</t>
  </si>
  <si>
    <t>Kongresni trg -12</t>
  </si>
  <si>
    <t>https://www.uni-lj.si/</t>
  </si>
  <si>
    <t>Koper</t>
  </si>
  <si>
    <t>Gregor</t>
  </si>
  <si>
    <t>Majdič</t>
  </si>
  <si>
    <t>Piccola impresa</t>
  </si>
  <si>
    <t>Dr.</t>
  </si>
  <si>
    <t>M.72.11</t>
  </si>
  <si>
    <t>30020</t>
  </si>
  <si>
    <t>Paladin</t>
  </si>
  <si>
    <t xml:space="preserve">University of Udine </t>
  </si>
  <si>
    <t>IT01071600306</t>
  </si>
  <si>
    <t>999899281</t>
  </si>
  <si>
    <t>33100</t>
  </si>
  <si>
    <t>Udine</t>
  </si>
  <si>
    <t>www.uniud.it</t>
  </si>
  <si>
    <t>Via Colugna -50</t>
  </si>
  <si>
    <t>/</t>
  </si>
  <si>
    <t>34133</t>
  </si>
  <si>
    <t>www.sdgz.it</t>
  </si>
  <si>
    <t>Roberto</t>
  </si>
  <si>
    <t>Frandolic</t>
  </si>
  <si>
    <t>Matteo</t>
  </si>
  <si>
    <t>Feruglio</t>
  </si>
  <si>
    <t>info@sdgz.it</t>
  </si>
  <si>
    <t>ECIPA</t>
  </si>
  <si>
    <t>ECIPA Scarl</t>
  </si>
  <si>
    <t>PMI</t>
  </si>
  <si>
    <t>P.85.59</t>
  </si>
  <si>
    <t>02289210276</t>
  </si>
  <si>
    <t>947546538</t>
  </si>
  <si>
    <t>www.ecipa.eu</t>
  </si>
  <si>
    <t>Ribon</t>
  </si>
  <si>
    <t>01071600306</t>
  </si>
  <si>
    <t>80014550307</t>
  </si>
  <si>
    <t>Codice fiscale</t>
  </si>
  <si>
    <t xml:space="preserve">Organismo di diritto pubblico </t>
  </si>
  <si>
    <t>M.70.22</t>
  </si>
  <si>
    <t>6210</t>
  </si>
  <si>
    <t>Sežana</t>
  </si>
  <si>
    <t>G.</t>
  </si>
  <si>
    <t>Bogdan</t>
  </si>
  <si>
    <t>Dejan</t>
  </si>
  <si>
    <t>2 PO2</t>
  </si>
  <si>
    <t>SO 2.6</t>
  </si>
  <si>
    <t>G.46.51</t>
  </si>
  <si>
    <t>891529717</t>
  </si>
  <si>
    <t>Strada per Vienna-55/1</t>
  </si>
  <si>
    <t>34151</t>
  </si>
  <si>
    <t>https://infordata.it/</t>
  </si>
  <si>
    <t>Marko</t>
  </si>
  <si>
    <t>Petelin</t>
  </si>
  <si>
    <t xml:space="preserve">Marko </t>
  </si>
  <si>
    <t>marko.petelin@infordata.it</t>
  </si>
  <si>
    <t>Slovenian regional economic association</t>
  </si>
  <si>
    <t>00972010326</t>
  </si>
  <si>
    <t>956034426</t>
  </si>
  <si>
    <t>Sig</t>
  </si>
  <si>
    <t>Microimpresa</t>
  </si>
  <si>
    <t>M.72.19</t>
  </si>
  <si>
    <t>SI35526637</t>
  </si>
  <si>
    <t>886769442</t>
  </si>
  <si>
    <t>6000</t>
  </si>
  <si>
    <t>Kostja</t>
  </si>
  <si>
    <t>Klabjan</t>
  </si>
  <si>
    <t>Valentina</t>
  </si>
  <si>
    <t>SI71633065</t>
  </si>
  <si>
    <t>998802793</t>
  </si>
  <si>
    <t>Titov trg -4</t>
  </si>
  <si>
    <t>6310</t>
  </si>
  <si>
    <t>Izola</t>
  </si>
  <si>
    <t xml:space="preserve">Klavdija </t>
  </si>
  <si>
    <t>Kutnar</t>
  </si>
  <si>
    <t>Prosen</t>
  </si>
  <si>
    <t>Vzhodna Slovenija (SI03)</t>
  </si>
  <si>
    <t>6230</t>
  </si>
  <si>
    <t>Postojna</t>
  </si>
  <si>
    <t>/-/</t>
  </si>
  <si>
    <t>Ga.</t>
  </si>
  <si>
    <t xml:space="preserve"> 00124430323</t>
  </si>
  <si>
    <t>34137</t>
  </si>
  <si>
    <t>Stefano</t>
  </si>
  <si>
    <t>Dorbolò</t>
  </si>
  <si>
    <t>Palladio-8</t>
  </si>
  <si>
    <t xml:space="preserve">Prof. </t>
  </si>
  <si>
    <t>Università degli Studi di Trieste</t>
  </si>
  <si>
    <t>M.72</t>
  </si>
  <si>
    <t>00211830328</t>
  </si>
  <si>
    <t>80013890324</t>
  </si>
  <si>
    <t>999842051</t>
  </si>
  <si>
    <t>Piazzale Europa-1</t>
  </si>
  <si>
    <t>34127</t>
  </si>
  <si>
    <t>Mr.</t>
  </si>
  <si>
    <t>Alfredo</t>
  </si>
  <si>
    <t>Contin</t>
  </si>
  <si>
    <t>Agenzia settoriale</t>
  </si>
  <si>
    <t>N.82.9</t>
  </si>
  <si>
    <t>Ms.</t>
  </si>
  <si>
    <t>Alberto</t>
  </si>
  <si>
    <t>CPN</t>
  </si>
  <si>
    <t>937224283</t>
  </si>
  <si>
    <t>https://www.comune.pordenone.it/it</t>
  </si>
  <si>
    <t>Federica</t>
  </si>
  <si>
    <t>Brazzafolli</t>
  </si>
  <si>
    <t>UL</t>
  </si>
  <si>
    <t>Univerza v Ljubljani</t>
  </si>
  <si>
    <t>Kongresni trg-12</t>
  </si>
  <si>
    <t>Jamova cesta-2</t>
  </si>
  <si>
    <t>Špela</t>
  </si>
  <si>
    <t>M</t>
  </si>
  <si>
    <t>SI95877835</t>
  </si>
  <si>
    <t>950215881</t>
  </si>
  <si>
    <t>5000</t>
  </si>
  <si>
    <t>Nova Gorica</t>
  </si>
  <si>
    <t>Črtomir</t>
  </si>
  <si>
    <t>Špacapan</t>
  </si>
  <si>
    <t>ITA-SI0100030</t>
  </si>
  <si>
    <t>MEDS GARDEN+: Una rete di giardini didattici mediterranei per tutti per promuovere un turismo educativo valorizzando il patrimonio verde</t>
  </si>
  <si>
    <t>3 PO4</t>
  </si>
  <si>
    <t>SO 4.6</t>
  </si>
  <si>
    <t>Scuola Centrale Formazione</t>
  </si>
  <si>
    <t>Central Vocational Training School</t>
  </si>
  <si>
    <t>Centro di istruzione/formazione e scuola</t>
  </si>
  <si>
    <t>06641891004</t>
  </si>
  <si>
    <t>948354257</t>
  </si>
  <si>
    <t>Corso del Popolo -146 C</t>
  </si>
  <si>
    <t>30172</t>
  </si>
  <si>
    <t>MESTRE</t>
  </si>
  <si>
    <t>www.scformazione.org</t>
  </si>
  <si>
    <t>Arduino</t>
  </si>
  <si>
    <t>Salatin</t>
  </si>
  <si>
    <t>LORENA</t>
  </si>
  <si>
    <t>SASSI</t>
  </si>
  <si>
    <t>sassi.l@scformazione.org</t>
  </si>
  <si>
    <t>+39(0)415382142</t>
  </si>
  <si>
    <t>KMETIJSKA ZADRUGA AGRARIA KOPER, z.o.o., Koper</t>
  </si>
  <si>
    <t>KZ AGRARIA KOPER</t>
  </si>
  <si>
    <t>PE Centro di Sviluppo Agricolo dell'Istria - Purissima</t>
  </si>
  <si>
    <t>A.01</t>
  </si>
  <si>
    <t>SI16419600</t>
  </si>
  <si>
    <t>934449986</t>
  </si>
  <si>
    <t>Ul. 15. maja-17</t>
  </si>
  <si>
    <t>www. kz-agraria.si</t>
  </si>
  <si>
    <t>Spodnje Škofije-11 e</t>
  </si>
  <si>
    <t>6281</t>
  </si>
  <si>
    <t xml:space="preserve">Spodnje Škofije </t>
  </si>
  <si>
    <t>Neo</t>
  </si>
  <si>
    <t>Štembergar</t>
  </si>
  <si>
    <t>Mrs</t>
  </si>
  <si>
    <t>Patricija</t>
  </si>
  <si>
    <t>PIRNAT</t>
  </si>
  <si>
    <t>patricija.pirnat@agraria-koper.si</t>
  </si>
  <si>
    <t>+38656630726</t>
  </si>
  <si>
    <t>MESTNA OBČINA NOVA GORICA</t>
  </si>
  <si>
    <t>Comune della Città di Nova Gorica</t>
  </si>
  <si>
    <t>SI53055730</t>
  </si>
  <si>
    <t>TRG EDVARDA KARDELJA -1</t>
  </si>
  <si>
    <t>NOVA GORICA</t>
  </si>
  <si>
    <t>https://www.nova-gorica.si/</t>
  </si>
  <si>
    <t>SAMO</t>
  </si>
  <si>
    <t>TUREL</t>
  </si>
  <si>
    <t>ANDREJA</t>
  </si>
  <si>
    <t>TROJAR LAPANJA</t>
  </si>
  <si>
    <t>Andreja.trojar-lapanja@nova-gorica.si</t>
  </si>
  <si>
    <t>+38653350170</t>
  </si>
  <si>
    <t>IL GIARDINO DEL CHIOSTRO di Favia Lorenzo e Coceani Germana snc – società agricola</t>
  </si>
  <si>
    <t>The Cloister Garden by Favia Lorenzo e Coceani Germana snc - agricultural company</t>
  </si>
  <si>
    <t>A.01.28</t>
  </si>
  <si>
    <t>02166860300</t>
  </si>
  <si>
    <t>Via Firmano-16</t>
  </si>
  <si>
    <t>33043</t>
  </si>
  <si>
    <t>Cividale del Friuli</t>
  </si>
  <si>
    <t>www.ilgiardinodelchiostro.it</t>
  </si>
  <si>
    <t>Lorenzo</t>
  </si>
  <si>
    <t>Favia</t>
  </si>
  <si>
    <t>info@ilgiardinodelchiostro.com</t>
  </si>
  <si>
    <t>00393397245085</t>
  </si>
  <si>
    <t>ITA-SI0100033</t>
  </si>
  <si>
    <t>Sviluppo di soluzioni congiunte e sperimentazione di tecnologie innovative nel campo della gestione e del riutilizzo dei rifiuti per promuovere un'economia circolare</t>
  </si>
  <si>
    <t>OBČINA POSTOJNA</t>
  </si>
  <si>
    <t>MUNICIPALITY OF POSTOJNA</t>
  </si>
  <si>
    <t>O.84</t>
  </si>
  <si>
    <t>SI13053973</t>
  </si>
  <si>
    <t>Ljubljanska Cesta-4</t>
  </si>
  <si>
    <t>www.postojna.si</t>
  </si>
  <si>
    <t>Igor</t>
  </si>
  <si>
    <t>Marentič</t>
  </si>
  <si>
    <t>Maja</t>
  </si>
  <si>
    <t>Piškur</t>
  </si>
  <si>
    <t>Maja.piskur@postojna.si</t>
  </si>
  <si>
    <t>0038657280770</t>
  </si>
  <si>
    <t>Javno podjetje Komunala Izola d.o.o.</t>
  </si>
  <si>
    <t>PUBLIC COMPANY KOMUNALA IZOLA</t>
  </si>
  <si>
    <t>Dipartimento per l'ecologia e la gestione dei rifiuti</t>
  </si>
  <si>
    <t>E.38</t>
  </si>
  <si>
    <t xml:space="preserve">SI70981515 </t>
  </si>
  <si>
    <t>Industrijska Cesta-8</t>
  </si>
  <si>
    <t>www.komunala-izola.si</t>
  </si>
  <si>
    <t>ROBI</t>
  </si>
  <si>
    <t>FLEGO</t>
  </si>
  <si>
    <t>Metka Magdalena</t>
  </si>
  <si>
    <t>Šori</t>
  </si>
  <si>
    <t>Metka.sori@komunala-izola.si</t>
  </si>
  <si>
    <t>0038630601155</t>
  </si>
  <si>
    <t>Mestna občina Nova Gorica</t>
  </si>
  <si>
    <t>Urban municipality of Nova Gorica</t>
  </si>
  <si>
    <t>Trg Edvarda Kardelja-1</t>
  </si>
  <si>
    <t>Mateja</t>
  </si>
  <si>
    <t>Zoratti</t>
  </si>
  <si>
    <t>mateja.zoratti@nova-gorica.si</t>
  </si>
  <si>
    <t>0038653350176</t>
  </si>
  <si>
    <t>Univesità IUAV di Venezia</t>
  </si>
  <si>
    <t>Univesità IUAV di Venice</t>
  </si>
  <si>
    <t>Dipartimento di Architettura e Arti</t>
  </si>
  <si>
    <t>P</t>
  </si>
  <si>
    <t>00708670278</t>
  </si>
  <si>
    <t>Via Santa Croce-191</t>
  </si>
  <si>
    <t>30135</t>
  </si>
  <si>
    <t>www.iuav.it</t>
  </si>
  <si>
    <t>Benno</t>
  </si>
  <si>
    <t>Albrecht</t>
  </si>
  <si>
    <t>Jacopo</t>
  </si>
  <si>
    <t>Galli</t>
  </si>
  <si>
    <t>Jacopo.galli@iuav.it</t>
  </si>
  <si>
    <t>+393280516510</t>
  </si>
  <si>
    <t>COMUNE DI DUINO AURISINA – OBČINA DEVIN NABREŽINA</t>
  </si>
  <si>
    <t>MUNICIPALITY OF DUINO AURISINA</t>
  </si>
  <si>
    <t>00157190323</t>
  </si>
  <si>
    <t>Via Aurisina Cave-25</t>
  </si>
  <si>
    <t>34011</t>
  </si>
  <si>
    <t>Duino Aurisina-Devin Nabrežina</t>
  </si>
  <si>
    <t>www.comune.duino-aurisina.ts.it</t>
  </si>
  <si>
    <t>Gabrovec</t>
  </si>
  <si>
    <t>Nataša</t>
  </si>
  <si>
    <t>Canziani</t>
  </si>
  <si>
    <t>natasa.canziani@comune.duino-aurisina.ts.it</t>
  </si>
  <si>
    <t>00390402017401</t>
  </si>
  <si>
    <t>Zavod za kulturo, umetnost in izobraževanje Kersnikova</t>
  </si>
  <si>
    <t>Kersnikova Institute</t>
  </si>
  <si>
    <t>Gruppi di interesse, comprese le ONG</t>
  </si>
  <si>
    <t>R.90.03</t>
  </si>
  <si>
    <t>969094118</t>
  </si>
  <si>
    <t>Kersnikova ulica-4</t>
  </si>
  <si>
    <t>https://kersnikova.org/</t>
  </si>
  <si>
    <t>Gospod</t>
  </si>
  <si>
    <t>Klemen</t>
  </si>
  <si>
    <t>Kristan</t>
  </si>
  <si>
    <t>Gospa</t>
  </si>
  <si>
    <t>Andreja</t>
  </si>
  <si>
    <t>Lapuh</t>
  </si>
  <si>
    <t>andreja.lapuh@kersnikova.org</t>
  </si>
  <si>
    <t>PTP</t>
  </si>
  <si>
    <t>Primorski tehnološki park</t>
  </si>
  <si>
    <t>Primorska Technology Park</t>
  </si>
  <si>
    <t>SI44124228</t>
  </si>
  <si>
    <t>969164443</t>
  </si>
  <si>
    <t>Mednarodni prehod-6</t>
  </si>
  <si>
    <t>5290</t>
  </si>
  <si>
    <t>Šempeter-Vrtojba</t>
  </si>
  <si>
    <t>https://www.primorski-tp.si/</t>
  </si>
  <si>
    <t>Tanja</t>
  </si>
  <si>
    <t>Kožuh</t>
  </si>
  <si>
    <t>Bojana</t>
  </si>
  <si>
    <t>Cipot</t>
  </si>
  <si>
    <t>Bojana.cipot@primorski-tp.si</t>
  </si>
  <si>
    <t>+38653932457</t>
  </si>
  <si>
    <t>IT02289210276</t>
  </si>
  <si>
    <t>34074</t>
  </si>
  <si>
    <t>Venetian Cluster</t>
  </si>
  <si>
    <t>IT03904910241</t>
  </si>
  <si>
    <t>942750955</t>
  </si>
  <si>
    <t>Sestiere San Marco-1163</t>
  </si>
  <si>
    <t>30124</t>
  </si>
  <si>
    <t>Gian Angelo</t>
  </si>
  <si>
    <t>Bellati</t>
  </si>
  <si>
    <t>Sergio</t>
  </si>
  <si>
    <t>Calò</t>
  </si>
  <si>
    <t>sergio.calo@venetiancluster.eu</t>
  </si>
  <si>
    <t>SI57235708</t>
  </si>
  <si>
    <t>Miren-137</t>
  </si>
  <si>
    <t>5291</t>
  </si>
  <si>
    <t>Miren</t>
  </si>
  <si>
    <t>www.miren-kostanjevica.si</t>
  </si>
  <si>
    <t>Mauricij</t>
  </si>
  <si>
    <t>Humar</t>
  </si>
  <si>
    <t>Nevenka</t>
  </si>
  <si>
    <t>Vuk</t>
  </si>
  <si>
    <t>nevenka.vuk@miren-kostanjevica.si</t>
  </si>
  <si>
    <t>33017</t>
  </si>
  <si>
    <t xml:space="preserve">www.torrenatisonegal.com </t>
  </si>
  <si>
    <t>Mauro</t>
  </si>
  <si>
    <t>Veneto</t>
  </si>
  <si>
    <t>Enrichetta</t>
  </si>
  <si>
    <t>Pinosa</t>
  </si>
  <si>
    <t>torrenatisonegal@gmail.com</t>
  </si>
  <si>
    <t>ITA-SI0100036</t>
  </si>
  <si>
    <t>Valorizzare la gestione transfrontaliera per la tutela e il ripristino dei siti Natura 2000 nell'area MAB delle Alpi Giulie e del Carso.</t>
  </si>
  <si>
    <t>SO 2.7</t>
  </si>
  <si>
    <t xml:space="preserve">Nacionalni inštitut za biologijo  </t>
  </si>
  <si>
    <t>National Institute of Biology</t>
  </si>
  <si>
    <t>Dipartimento di ricerca sugli organismi e gli ecosistemi (EKOS-NIB) .</t>
  </si>
  <si>
    <t>Autorità pubblica nazionale</t>
  </si>
  <si>
    <t>M.72.1</t>
  </si>
  <si>
    <t>SI 83534784</t>
  </si>
  <si>
    <t>Večna pot-111</t>
  </si>
  <si>
    <t>LJUBLJANA</t>
  </si>
  <si>
    <t xml:space="preserve">https://www.nib.si/ </t>
  </si>
  <si>
    <t>SI-1000</t>
  </si>
  <si>
    <t xml:space="preserve">Prof. dr. </t>
  </si>
  <si>
    <t xml:space="preserve">Maja </t>
  </si>
  <si>
    <t>Ravnikar</t>
  </si>
  <si>
    <t xml:space="preserve">Dr. </t>
  </si>
  <si>
    <t>Alenka</t>
  </si>
  <si>
    <t>Žunič Kosi</t>
  </si>
  <si>
    <t>alenka.zunic-kosi@nib.si</t>
  </si>
  <si>
    <t>+386059232701</t>
  </si>
  <si>
    <t>Parco Naturale regionale delle Prealpi Giulie</t>
  </si>
  <si>
    <t>Julian Prealps Nature Park</t>
  </si>
  <si>
    <t xml:space="preserve">Il PNPG ha solo la sede principale. </t>
  </si>
  <si>
    <t>O.84.12</t>
  </si>
  <si>
    <t>02046840308</t>
  </si>
  <si>
    <t>Piazza del Tiglio-3</t>
  </si>
  <si>
    <t>33010</t>
  </si>
  <si>
    <t>Resia (province of Udine)</t>
  </si>
  <si>
    <t>https://www.parcoprealpigiulie.org/</t>
  </si>
  <si>
    <t>Resia</t>
  </si>
  <si>
    <t>Annalisa</t>
  </si>
  <si>
    <t>Di Lenardo</t>
  </si>
  <si>
    <t>Andrich</t>
  </si>
  <si>
    <t>antonio.andrich@parcoprealpigiulie.it</t>
  </si>
  <si>
    <t>+39043353534</t>
  </si>
  <si>
    <t>PARK ŠKOCJANSKE JAME</t>
  </si>
  <si>
    <t>Škocjan Caves Public Service Agency, Slovenia</t>
  </si>
  <si>
    <t>N/A</t>
  </si>
  <si>
    <t>SI 11690151</t>
  </si>
  <si>
    <t>1121715000</t>
  </si>
  <si>
    <t>907686134</t>
  </si>
  <si>
    <t>Škocjan  -2</t>
  </si>
  <si>
    <t xml:space="preserve">SI-6215  </t>
  </si>
  <si>
    <t>Divača</t>
  </si>
  <si>
    <t>https://www.park-skocjanske-jame.si/</t>
  </si>
  <si>
    <t xml:space="preserve">SI-6215 </t>
  </si>
  <si>
    <t xml:space="preserve">Mr 		</t>
  </si>
  <si>
    <t xml:space="preserve">Stojan		</t>
  </si>
  <si>
    <t>Ščuka</t>
  </si>
  <si>
    <t xml:space="preserve">Ms 		</t>
  </si>
  <si>
    <t xml:space="preserve">Renata		</t>
  </si>
  <si>
    <t>Rozman</t>
  </si>
  <si>
    <t>renata.rozman@psj.gov.si</t>
  </si>
  <si>
    <t>0038657082115</t>
  </si>
  <si>
    <t xml:space="preserve">Università degli Studi di Udine </t>
  </si>
  <si>
    <t>University of Udine - Department of Agricultural, Environmental and Animal Sciences.</t>
  </si>
  <si>
    <t xml:space="preserve"> Dipartimento di Scienze Agroalimentari, Ambientali e Animali.</t>
  </si>
  <si>
    <t>Via Palladio-8</t>
  </si>
  <si>
    <t xml:space="preserve">www.uniud.it </t>
  </si>
  <si>
    <t xml:space="preserve">Mr.		</t>
  </si>
  <si>
    <t xml:space="preserve">Edi		</t>
  </si>
  <si>
    <t>Piasentier</t>
  </si>
  <si>
    <t xml:space="preserve">Miss.		</t>
  </si>
  <si>
    <t xml:space="preserve">Chiara		</t>
  </si>
  <si>
    <t>Biasucci</t>
  </si>
  <si>
    <t>chiara.biasucci@uniud.it</t>
  </si>
  <si>
    <t>+39432558604</t>
  </si>
  <si>
    <t>Univerza na Primorskem (UP) -  Universita’ del Litorale</t>
  </si>
  <si>
    <t>UNIVERSITY OF PRIMORSKA</t>
  </si>
  <si>
    <t>Faculty of Mathematics, Natural Sciences and Information Technologies  - Department of Biodiversity</t>
  </si>
  <si>
    <t>ID number: 1810014000</t>
  </si>
  <si>
    <t xml:space="preserve">Titov trg -4 </t>
  </si>
  <si>
    <t xml:space="preserve">6000 </t>
  </si>
  <si>
    <t>https://www.upr.si/</t>
  </si>
  <si>
    <t xml:space="preserve">Glagoljaška -8 </t>
  </si>
  <si>
    <t xml:space="preserve">SI-6000 </t>
  </si>
  <si>
    <t>Koper Slovenija</t>
  </si>
  <si>
    <t xml:space="preserve">Martina </t>
  </si>
  <si>
    <t xml:space="preserve">Lužnik </t>
  </si>
  <si>
    <t>martina.luznik@upr.si</t>
  </si>
  <si>
    <t>+38656635807</t>
  </si>
  <si>
    <t>IJS</t>
  </si>
  <si>
    <t>SI55560822</t>
  </si>
  <si>
    <t>999971837</t>
  </si>
  <si>
    <t>Boštjan</t>
  </si>
  <si>
    <t>Mrs.</t>
  </si>
  <si>
    <t>Mojca</t>
  </si>
  <si>
    <t>J.62.01</t>
  </si>
  <si>
    <t>Sabina</t>
  </si>
  <si>
    <t>00816350276</t>
  </si>
  <si>
    <t>999897341</t>
  </si>
  <si>
    <t>Flavio</t>
  </si>
  <si>
    <t>33081</t>
  </si>
  <si>
    <t>Aviano</t>
  </si>
  <si>
    <t>Francesca</t>
  </si>
  <si>
    <t>Paola</t>
  </si>
  <si>
    <t>Giorgio</t>
  </si>
  <si>
    <t>ITA-SI0100043</t>
  </si>
  <si>
    <t xml:space="preserve">Irrigazione razionale e gestione del suolo in viticoltura transfrontaliera. </t>
  </si>
  <si>
    <t>4.0</t>
  </si>
  <si>
    <t>SO 2.4</t>
  </si>
  <si>
    <t xml:space="preserve">Università degli studi di Udine </t>
  </si>
  <si>
    <t>Dipartimento di Scienze AgroAlimentari, Ambientali e Animali - (Di4A)</t>
  </si>
  <si>
    <t>codice fiscale</t>
  </si>
  <si>
    <t>delle Scienze-206</t>
  </si>
  <si>
    <t>Direttore</t>
  </si>
  <si>
    <t>Edi</t>
  </si>
  <si>
    <t>Sig.na</t>
  </si>
  <si>
    <t>Marinella</t>
  </si>
  <si>
    <t>D'Antoni</t>
  </si>
  <si>
    <t>marinella.dantoni@uniud.it</t>
  </si>
  <si>
    <t>0432-558604</t>
  </si>
  <si>
    <t>UNIVERSITÀ  Ca’ Foscari Venezia</t>
  </si>
  <si>
    <t>Ca' Foscari University of Venice</t>
  </si>
  <si>
    <t>Dipartimento di Scienze Ambientali, Informatica e Statistica</t>
  </si>
  <si>
    <t>80007720271</t>
  </si>
  <si>
    <t xml:space="preserve">codice fiscale </t>
  </si>
  <si>
    <t>Dorsoduro-3246</t>
  </si>
  <si>
    <t>www.unive.it</t>
  </si>
  <si>
    <t>Via Torino-155</t>
  </si>
  <si>
    <t>Venezia Mestre</t>
  </si>
  <si>
    <t>Prof.ssa</t>
  </si>
  <si>
    <t>Barbara</t>
  </si>
  <si>
    <t>Stenni</t>
  </si>
  <si>
    <t>barbara.stenni@unive.it</t>
  </si>
  <si>
    <t>+390412348637</t>
  </si>
  <si>
    <t xml:space="preserve">Kmetijski Inštitut Slovenije </t>
  </si>
  <si>
    <t xml:space="preserve">Istituto Agrario della Slovenia </t>
  </si>
  <si>
    <t>Dipartimento di frutticoltura, viticoltura ed enologia</t>
  </si>
  <si>
    <t>SI23887729</t>
  </si>
  <si>
    <t>999466273</t>
  </si>
  <si>
    <t>Hacquetova ulica-17</t>
  </si>
  <si>
    <t>www.kis.si</t>
  </si>
  <si>
    <t>Prof. Dr.</t>
  </si>
  <si>
    <t>Simončič</t>
  </si>
  <si>
    <t>Vanzo</t>
  </si>
  <si>
    <t>andreja.vanzo@kis.si</t>
  </si>
  <si>
    <t>+38612805156</t>
  </si>
  <si>
    <t>GEODETSKI INŠTITUT SLOVENIJE</t>
  </si>
  <si>
    <t>Geodetic Institute of Slovenia</t>
  </si>
  <si>
    <t>SI81498756</t>
  </si>
  <si>
    <t>970300313</t>
  </si>
  <si>
    <t>www.gis.si</t>
  </si>
  <si>
    <t>Milan</t>
  </si>
  <si>
    <t>Brajnik</t>
  </si>
  <si>
    <t>Blaž</t>
  </si>
  <si>
    <t>Barborič</t>
  </si>
  <si>
    <t>blaz.barboric@gis.si</t>
  </si>
  <si>
    <t>+38631524367</t>
  </si>
  <si>
    <t>Consorzio Tutela Vini Friuli Colli Orientali e Ramandolo</t>
  </si>
  <si>
    <t>Consortium for the Protection of Friuli Colli Orientali and Ramandolo wines</t>
  </si>
  <si>
    <t xml:space="preserve">Direzione e Assistenza Tecnica </t>
  </si>
  <si>
    <t>02595090305</t>
  </si>
  <si>
    <t>P.zza 27 Maggio -11</t>
  </si>
  <si>
    <t>33040</t>
  </si>
  <si>
    <t>Corno di Rosazzo (UD)</t>
  </si>
  <si>
    <t>https://www.colliorientali.com</t>
  </si>
  <si>
    <t xml:space="preserve"> 33040 </t>
  </si>
  <si>
    <t xml:space="preserve">Presidente </t>
  </si>
  <si>
    <t>Valle</t>
  </si>
  <si>
    <t xml:space="preserve">Mariano </t>
  </si>
  <si>
    <t>direzione@colliorientali.com</t>
  </si>
  <si>
    <t>00390432730129</t>
  </si>
  <si>
    <t>RRA SEVERNE PRIMORSKE d.o.o Nova Gorica</t>
  </si>
  <si>
    <t>Regional Development Agency of Northern Primorska Ltd Nova Gorica</t>
  </si>
  <si>
    <t>M.70.10</t>
  </si>
  <si>
    <t>Kromberk, Cesta 25. junija-1F</t>
  </si>
  <si>
    <t>www.rra-sp.si</t>
  </si>
  <si>
    <t xml:space="preserve">Nova Gorica </t>
  </si>
  <si>
    <t>Jakopič</t>
  </si>
  <si>
    <t>natasa.jakopic@rra-sp.si</t>
  </si>
  <si>
    <t>0038640849704</t>
  </si>
  <si>
    <t>ITA-SI0100044</t>
  </si>
  <si>
    <t>Introduzione di uno studio clinico con il farmaco cellulare avanzato aHyC a livello interregionale</t>
  </si>
  <si>
    <t>3.0</t>
  </si>
  <si>
    <t>Celica, biomedicinski center, d.o.o.</t>
  </si>
  <si>
    <t>Celica Biomedical</t>
  </si>
  <si>
    <t>SI50072811</t>
  </si>
  <si>
    <t>1506854000</t>
  </si>
  <si>
    <t>Numero di registrazione</t>
  </si>
  <si>
    <t>Tehnološki park-24</t>
  </si>
  <si>
    <t>http://www.celicabiomedical.com/</t>
  </si>
  <si>
    <t>Robert</t>
  </si>
  <si>
    <t>Zorec</t>
  </si>
  <si>
    <t>Helena</t>
  </si>
  <si>
    <t>Haque Chowdhury</t>
  </si>
  <si>
    <t>helena.chowdhury@celica.si</t>
  </si>
  <si>
    <t>0038641334097</t>
  </si>
  <si>
    <t>Onkološki inštitut Ljubljana</t>
  </si>
  <si>
    <t>Institute of Oncology Ljubljana</t>
  </si>
  <si>
    <t>SETTORE DELL'ONCOLOGIA INTERNA</t>
  </si>
  <si>
    <t>340 526 74</t>
  </si>
  <si>
    <t>986222475</t>
  </si>
  <si>
    <t>Zaloška cesta-2</t>
  </si>
  <si>
    <t>https://www.onko-i.si/</t>
  </si>
  <si>
    <t>Andraž</t>
  </si>
  <si>
    <t>Jakelj</t>
  </si>
  <si>
    <t>dr.</t>
  </si>
  <si>
    <t>Simona</t>
  </si>
  <si>
    <t>Borštnar</t>
  </si>
  <si>
    <t>sborstnar@onko-i.si</t>
  </si>
  <si>
    <t>+38615879616</t>
  </si>
  <si>
    <t>VivaBioCell S.p.A.</t>
  </si>
  <si>
    <t>VivaBioCell</t>
  </si>
  <si>
    <t>IT 022470470309</t>
  </si>
  <si>
    <t xml:space="preserve">numero di iscrizione R.E.A. </t>
  </si>
  <si>
    <t>951504526</t>
  </si>
  <si>
    <t>Via del Cotonificio-127</t>
  </si>
  <si>
    <t>www.vivabiocell.it</t>
  </si>
  <si>
    <t xml:space="preserve">Mr. </t>
  </si>
  <si>
    <t>Sfiligoj</t>
  </si>
  <si>
    <t>Flavia</t>
  </si>
  <si>
    <t>Mazzarol</t>
  </si>
  <si>
    <t>Flavia.mazzarol@vivabiocell.it</t>
  </si>
  <si>
    <t>+390432545674</t>
  </si>
  <si>
    <t>Universita Degli Studi di Udine</t>
  </si>
  <si>
    <t>University of Udine</t>
  </si>
  <si>
    <t>Dipartimento di Area Medica (DAME)</t>
  </si>
  <si>
    <t>Via Palladio -8</t>
  </si>
  <si>
    <t xml:space="preserve">Leonardo </t>
  </si>
  <si>
    <t xml:space="preserve">Alberto </t>
  </si>
  <si>
    <t>Curcio</t>
  </si>
  <si>
    <t>francesco.curcio@uniud.it</t>
  </si>
  <si>
    <t>00390432559201</t>
  </si>
  <si>
    <t>Azienda Sanitaria Universitaria Friuli Centrale</t>
  </si>
  <si>
    <t>Central Friuli University Hospital</t>
  </si>
  <si>
    <t>SSD Chirurgia Senologica</t>
  </si>
  <si>
    <t>Q.86</t>
  </si>
  <si>
    <t>02985660303</t>
  </si>
  <si>
    <t>p.le S. Maria della Misericordia -15</t>
  </si>
  <si>
    <t xml:space="preserve"> Udine</t>
  </si>
  <si>
    <t>www.asufc.sanita.fvg.it</t>
  </si>
  <si>
    <t xml:space="preserve">dr. </t>
  </si>
  <si>
    <t xml:space="preserve">Denis </t>
  </si>
  <si>
    <t>Caporale</t>
  </si>
  <si>
    <t>prof.</t>
  </si>
  <si>
    <t>Carla</t>
  </si>
  <si>
    <t>Cedolini</t>
  </si>
  <si>
    <t>carla.cedolini@asufc.sanita.fvg.it</t>
  </si>
  <si>
    <t>+393356257221</t>
  </si>
  <si>
    <t>Zavod Republike Slovenije za transfuzijsko medicino</t>
  </si>
  <si>
    <t>Blood Transfusion Centre of Slovenia</t>
  </si>
  <si>
    <t>Q.86.90</t>
  </si>
  <si>
    <t>SI24041262</t>
  </si>
  <si>
    <t>5053960000</t>
  </si>
  <si>
    <t>950153995</t>
  </si>
  <si>
    <t>Šlajmerjeva ulica-6</t>
  </si>
  <si>
    <t>http://www.ztm.si/</t>
  </si>
  <si>
    <t>Peter</t>
  </si>
  <si>
    <t>Kavčič</t>
  </si>
  <si>
    <t>Cukjati</t>
  </si>
  <si>
    <t>marko.cukjati@ztm.si</t>
  </si>
  <si>
    <t>+38615438116</t>
  </si>
  <si>
    <t>ITA-SI0100045</t>
  </si>
  <si>
    <t>Infrastrutture verdi e rete Natura 2000 per lo sviluppo transfrontaliero sostenibile</t>
  </si>
  <si>
    <t>Ufficio del direttore dell'amministrazione comunale</t>
  </si>
  <si>
    <t>954389888</t>
  </si>
  <si>
    <t>www.nova-gorica.si</t>
  </si>
  <si>
    <t>Občina Ajdovščina</t>
  </si>
  <si>
    <t>Municipality of Ajdovščina</t>
  </si>
  <si>
    <t>Dipartimento di economia e sviluppo</t>
  </si>
  <si>
    <t>SI51533251</t>
  </si>
  <si>
    <t>936903116</t>
  </si>
  <si>
    <t>Cesta 5. maja-6a</t>
  </si>
  <si>
    <t>5270</t>
  </si>
  <si>
    <t>Ajdovščina</t>
  </si>
  <si>
    <t>https://www.ajdovscina.si/</t>
  </si>
  <si>
    <t>Tadej</t>
  </si>
  <si>
    <t>Beočanin</t>
  </si>
  <si>
    <t>Janez</t>
  </si>
  <si>
    <t>Furlan</t>
  </si>
  <si>
    <t>janez.furlan@ajdovscina.si</t>
  </si>
  <si>
    <t>00386053659126</t>
  </si>
  <si>
    <t>Občina Miren-Kostanjevica</t>
  </si>
  <si>
    <t>Municipality of Miren-Kostanjevica</t>
  </si>
  <si>
    <t>0038653304673</t>
  </si>
  <si>
    <t>CONSORZIO DI BONIFICA DELLA VENEZIA GIULIA</t>
  </si>
  <si>
    <t>VENEZIA GIULIA LAND RECLAMATION BOARD</t>
  </si>
  <si>
    <t>E.36.0</t>
  </si>
  <si>
    <t>00441790318</t>
  </si>
  <si>
    <t>90007040315</t>
  </si>
  <si>
    <t xml:space="preserve">via Roma,-58 </t>
  </si>
  <si>
    <t>34077</t>
  </si>
  <si>
    <t>Ronchi dei Legionari</t>
  </si>
  <si>
    <t>www.pianuraisontina.it</t>
  </si>
  <si>
    <t>via Roma,-58</t>
  </si>
  <si>
    <t xml:space="preserve">Enzo </t>
  </si>
  <si>
    <t>Lorenzon</t>
  </si>
  <si>
    <t>Luis</t>
  </si>
  <si>
    <t>luis@pianuraisontina.it</t>
  </si>
  <si>
    <t>00390481774311</t>
  </si>
  <si>
    <t>CONSORZIO DI BONIFICA VENETO ORIENTALE</t>
  </si>
  <si>
    <t>VENETO ORIENTALE LAND RECLAMATION BOARD</t>
  </si>
  <si>
    <t>SETTORE AGRARIO AMBIENTE</t>
  </si>
  <si>
    <t>03959000278</t>
  </si>
  <si>
    <t>Piazza Indipendenza-25</t>
  </si>
  <si>
    <t>30027</t>
  </si>
  <si>
    <t>San Donà di Piave</t>
  </si>
  <si>
    <t>www.bonificavenetorientale.it</t>
  </si>
  <si>
    <t>Piazza</t>
  </si>
  <si>
    <t>Graziano</t>
  </si>
  <si>
    <t>Paulon</t>
  </si>
  <si>
    <t>protocollo@bonificavenetorientale.it</t>
  </si>
  <si>
    <t>00390421392511</t>
  </si>
  <si>
    <t>Comune di Monfalcone</t>
  </si>
  <si>
    <t>Municipality of Monfalcone</t>
  </si>
  <si>
    <t>00123030314</t>
  </si>
  <si>
    <t>948002050</t>
  </si>
  <si>
    <t>Piazza della Repubblica-8</t>
  </si>
  <si>
    <t xml:space="preserve">34074 </t>
  </si>
  <si>
    <t>www.comune.monfalcone.go.it</t>
  </si>
  <si>
    <t>Anna Maria</t>
  </si>
  <si>
    <t>Cisint</t>
  </si>
  <si>
    <t>Rada</t>
  </si>
  <si>
    <t>Orescanin</t>
  </si>
  <si>
    <t>europa@comune.monfalcone.go.it</t>
  </si>
  <si>
    <t>00390481494204</t>
  </si>
  <si>
    <t>ITA-SI0100048</t>
  </si>
  <si>
    <t>Prodotti locali e turismo del Carso</t>
  </si>
  <si>
    <t>5.0</t>
  </si>
  <si>
    <t>Kmetijski inštitut Slovenije</t>
  </si>
  <si>
    <t>Agricultural Institute of Slovenia</t>
  </si>
  <si>
    <t>Hacquetova-17</t>
  </si>
  <si>
    <t>https://www.kis.si/</t>
  </si>
  <si>
    <t>Lisjak</t>
  </si>
  <si>
    <t>klemen.lisjak@kis.si</t>
  </si>
  <si>
    <t>+38612805170</t>
  </si>
  <si>
    <t>Università di Trieste</t>
  </si>
  <si>
    <t>University of Trieste</t>
  </si>
  <si>
    <t>Dipartimento di Scienze della Vita</t>
  </si>
  <si>
    <t>IT00211830328</t>
  </si>
  <si>
    <t>Piazzale Europa -1</t>
  </si>
  <si>
    <t xml:space="preserve">https://www.units.it/ </t>
  </si>
  <si>
    <t>via E. Weiss-2</t>
  </si>
  <si>
    <t>34128</t>
  </si>
  <si>
    <t>Tretiach</t>
  </si>
  <si>
    <t>Passamonti</t>
  </si>
  <si>
    <t>spassamonti@units.it</t>
  </si>
  <si>
    <t>+390405588747</t>
  </si>
  <si>
    <t>Univerza v Novi Gorici</t>
  </si>
  <si>
    <t>University of Nova Gorica</t>
  </si>
  <si>
    <t>Centro Ricerca Enologia, Scuola di Viticoltura ed Enologia</t>
  </si>
  <si>
    <t>P.85.4</t>
  </si>
  <si>
    <t>SI29880068</t>
  </si>
  <si>
    <t>998298102</t>
  </si>
  <si>
    <t>Vipavska cesta-13</t>
  </si>
  <si>
    <t>www.ung.si</t>
  </si>
  <si>
    <t>Glavni trg-8</t>
  </si>
  <si>
    <t>5271</t>
  </si>
  <si>
    <t>Vipava</t>
  </si>
  <si>
    <t>Prof. dr.</t>
  </si>
  <si>
    <t>Golob</t>
  </si>
  <si>
    <t>Lorena</t>
  </si>
  <si>
    <t>Butinar</t>
  </si>
  <si>
    <t>lorena.butinar@ung.si</t>
  </si>
  <si>
    <t>+38659099702</t>
  </si>
  <si>
    <t>Cescot Veneto Centro Sviluppo Commercio</t>
  </si>
  <si>
    <t>Cescot Veneto Development Centre for Trade Tourism and Services</t>
  </si>
  <si>
    <t>Unità locale di Cescot a Venezia</t>
  </si>
  <si>
    <t>S</t>
  </si>
  <si>
    <t>02072890284</t>
  </si>
  <si>
    <t>952986201</t>
  </si>
  <si>
    <t>VIA SAVELLI-8</t>
  </si>
  <si>
    <t>35129</t>
  </si>
  <si>
    <t>Padova</t>
  </si>
  <si>
    <t>www.cescotveneto.it</t>
  </si>
  <si>
    <t>Campo Santa Marina Castello -6052</t>
  </si>
  <si>
    <t>30122</t>
  </si>
  <si>
    <t xml:space="preserve"> Convento</t>
  </si>
  <si>
    <t>direttore@cescotveneto.it</t>
  </si>
  <si>
    <t>+390498174609</t>
  </si>
  <si>
    <t>Območna razvojna agencija Krasa in Brkinov d.o.o.</t>
  </si>
  <si>
    <t>Local Development Agency of Karst and Brkini</t>
  </si>
  <si>
    <t>SI 28474066</t>
  </si>
  <si>
    <t>Partizanska cesta-4</t>
  </si>
  <si>
    <t>www.ora.si ; www.visitkras.info</t>
  </si>
  <si>
    <t xml:space="preserve">Aleš </t>
  </si>
  <si>
    <t>Vodičar</t>
  </si>
  <si>
    <t>Tinkara</t>
  </si>
  <si>
    <t>Gulič</t>
  </si>
  <si>
    <t>tinkara@visitkras.info</t>
  </si>
  <si>
    <t>+38641611980</t>
  </si>
  <si>
    <t>GAL Carso / LAS Kras S.C. A R.L.</t>
  </si>
  <si>
    <t>GAL Carso / LAS Kras</t>
  </si>
  <si>
    <t>IT01150630323</t>
  </si>
  <si>
    <t>90121020326</t>
  </si>
  <si>
    <t>Piazza Vittorio Veneto-4</t>
  </si>
  <si>
    <t>34132</t>
  </si>
  <si>
    <t>www.galcarso.eu</t>
  </si>
  <si>
    <t>David</t>
  </si>
  <si>
    <t>Pizziga</t>
  </si>
  <si>
    <t>Pernarčič</t>
  </si>
  <si>
    <t>pernarcic@galcarso.eu</t>
  </si>
  <si>
    <t>++3462368719</t>
  </si>
  <si>
    <t>Lazio (ITI4)</t>
  </si>
  <si>
    <t>IT02118311006</t>
  </si>
  <si>
    <t>999979500</t>
  </si>
  <si>
    <t>Roma</t>
  </si>
  <si>
    <t>34149</t>
  </si>
  <si>
    <t>Dal Zilio</t>
  </si>
  <si>
    <t>dalzilio@iom.cnr.it</t>
  </si>
  <si>
    <t>+393491986477</t>
  </si>
  <si>
    <t>Jana</t>
  </si>
  <si>
    <t>1491504000</t>
  </si>
  <si>
    <t>gospa</t>
  </si>
  <si>
    <t>bojana.cipot@primorski-tp.si</t>
  </si>
  <si>
    <t>+38641676188</t>
  </si>
  <si>
    <t>SI 29880068</t>
  </si>
  <si>
    <t>SI-5000</t>
  </si>
  <si>
    <t>SI-5270</t>
  </si>
  <si>
    <t>Mattia</t>
  </si>
  <si>
    <t>Fanetti</t>
  </si>
  <si>
    <t>mattia.fanetti@ung.si</t>
  </si>
  <si>
    <t>IT00816350276</t>
  </si>
  <si>
    <t>Cannaregio-873</t>
  </si>
  <si>
    <t>30121</t>
  </si>
  <si>
    <t>Carlo</t>
  </si>
  <si>
    <t>Bagnoli</t>
  </si>
  <si>
    <t>bagnoli@unive.it</t>
  </si>
  <si>
    <t>+393334418636</t>
  </si>
  <si>
    <t>ITA-SI0100053</t>
  </si>
  <si>
    <t>Promuovere la consapevolezza attiva dei cittadini per rafforzare la resilienza, l'adattamento basato sugli ecosistemi e la prevenzione del rischio di catastrofi</t>
  </si>
  <si>
    <t>Mestna občina Koper</t>
  </si>
  <si>
    <t>Municipality of Koper</t>
  </si>
  <si>
    <t>SI40016803</t>
  </si>
  <si>
    <t>944041249</t>
  </si>
  <si>
    <t>Verdijeva-10</t>
  </si>
  <si>
    <t>KOPER</t>
  </si>
  <si>
    <t>https://www.koper.si/</t>
  </si>
  <si>
    <t>Bržan</t>
  </si>
  <si>
    <t>Darka</t>
  </si>
  <si>
    <t>Jezeršek Žerjal</t>
  </si>
  <si>
    <t>darka.jezersekzerjal@koper.si</t>
  </si>
  <si>
    <t>+38656646353</t>
  </si>
  <si>
    <t>ZNANSTVENO-RAZISKOVALNO SREDIŠČE KOPER</t>
  </si>
  <si>
    <t xml:space="preserve">SCIENCE AND RESEARCH CENTRE KOPER </t>
  </si>
  <si>
    <t>ISTITUTO MEDITERRANEO DI STUDI AMBIENTALI</t>
  </si>
  <si>
    <t>SI38108674</t>
  </si>
  <si>
    <t>NA</t>
  </si>
  <si>
    <t>913138019</t>
  </si>
  <si>
    <t>Garibaldijeva-1</t>
  </si>
  <si>
    <t>https://www.zrs-kp.si/</t>
  </si>
  <si>
    <t>Rado</t>
  </si>
  <si>
    <t>Pišot</t>
  </si>
  <si>
    <t>Tereza</t>
  </si>
  <si>
    <t>Černigoj</t>
  </si>
  <si>
    <t>cup@zrs-kp.si</t>
  </si>
  <si>
    <t>0038656637700</t>
  </si>
  <si>
    <t>URP, relazioni internazionali, promozione del territorio e media</t>
  </si>
  <si>
    <t xml:space="preserve">UNIVERSITÀ DI PADOVA </t>
  </si>
  <si>
    <t xml:space="preserve">UNIVERSITY OF PADOVA </t>
  </si>
  <si>
    <t>DIPARTIMENTO INGEGNERIA CIVILE EDILE E AMBIENTALE</t>
  </si>
  <si>
    <t>00742430283</t>
  </si>
  <si>
    <t>80006480281</t>
  </si>
  <si>
    <t>999995602</t>
  </si>
  <si>
    <t>Via 8 Febbraio-2</t>
  </si>
  <si>
    <t>35122</t>
  </si>
  <si>
    <t xml:space="preserve">PADOVA </t>
  </si>
  <si>
    <t xml:space="preserve">https://www.dicea.unipd.it/ </t>
  </si>
  <si>
    <t>VIA MARZOLO -9</t>
  </si>
  <si>
    <t>35131</t>
  </si>
  <si>
    <t>PROF.</t>
  </si>
  <si>
    <t>ANDREA</t>
  </si>
  <si>
    <t>GIORDANO</t>
  </si>
  <si>
    <t>Manzardo</t>
  </si>
  <si>
    <t>alessandro.manzardo@unipd.it</t>
  </si>
  <si>
    <t>00390498275461</t>
  </si>
  <si>
    <t>SHORELINE SOCIETA’ COOPERATIVA</t>
  </si>
  <si>
    <t>SHORELINE SOC COOP</t>
  </si>
  <si>
    <t>M.74.90</t>
  </si>
  <si>
    <t>IT00754460327</t>
  </si>
  <si>
    <t>997112083</t>
  </si>
  <si>
    <t>AREA SCIENCE PARK PADRICIANO-99</t>
  </si>
  <si>
    <t>TRIESTE</t>
  </si>
  <si>
    <t>WWW.SHORELINE.IT</t>
  </si>
  <si>
    <t>CARLO</t>
  </si>
  <si>
    <t>FRANZOSINI</t>
  </si>
  <si>
    <t xml:space="preserve">Saul </t>
  </si>
  <si>
    <t>Ciriaco</t>
  </si>
  <si>
    <t>saul.ciriaco@shoreline.it</t>
  </si>
  <si>
    <t>00393474629045</t>
  </si>
  <si>
    <t xml:space="preserve">CONSORZIO DI BONIFICA VENETO ORIENTALE </t>
  </si>
  <si>
    <t xml:space="preserve">03959000278 </t>
  </si>
  <si>
    <t>na</t>
  </si>
  <si>
    <t>PIAZZA INDIPENDENZA-25</t>
  </si>
  <si>
    <t>SAN DONA’ DI PIAVE</t>
  </si>
  <si>
    <t>https://www.bonificavenetorientale.it/</t>
  </si>
  <si>
    <t>GIORGIO</t>
  </si>
  <si>
    <t>PIAZZA</t>
  </si>
  <si>
    <t>GRAZIANO</t>
  </si>
  <si>
    <t>PAULON</t>
  </si>
  <si>
    <t>ITA-SI0100054</t>
  </si>
  <si>
    <t xml:space="preserve">Network per la cooperazione transfrontaliera finalizzata alla riabilitazione del paziente post-ictus con tecnologie innovative </t>
  </si>
  <si>
    <t xml:space="preserve">Dipartimento U.C. di Scienze Mediche, Chirurgiche e della Salute, Università degli Studi di Trieste </t>
  </si>
  <si>
    <t>Department of Medicine, Surgery and Health Sciences</t>
  </si>
  <si>
    <t>Dipartimento di Medicina</t>
  </si>
  <si>
    <t xml:space="preserve">00211830328 </t>
  </si>
  <si>
    <t>Strada di Fiume -447</t>
  </si>
  <si>
    <t>https://dsm.units.it/</t>
  </si>
  <si>
    <t>Strada di Fiume-447</t>
  </si>
  <si>
    <t>Professor</t>
  </si>
  <si>
    <t>Nicolò</t>
  </si>
  <si>
    <t>De Manzini</t>
  </si>
  <si>
    <t>Gianni</t>
  </si>
  <si>
    <t>Biolo</t>
  </si>
  <si>
    <t>biolo@units.it</t>
  </si>
  <si>
    <t>00390403994532</t>
  </si>
  <si>
    <t>Znanstveno-raziskovalno središče Koper</t>
  </si>
  <si>
    <t>Science and research centre Koper</t>
  </si>
  <si>
    <t>Istituto per la ricerca kinesiologica</t>
  </si>
  <si>
    <t>SI 38108674</t>
  </si>
  <si>
    <t>Garibaldijeva -1</t>
  </si>
  <si>
    <t>https://www.zrs-kp.si</t>
  </si>
  <si>
    <t>+38656637700</t>
  </si>
  <si>
    <t>Azienda Sanitaria Universitaria Giuliano Isontina</t>
  </si>
  <si>
    <t xml:space="preserve">University Health Authority Giuliano Isontina </t>
  </si>
  <si>
    <t>Struttura Complessa - Unità Clinica Operativa di Clinica Neurologica</t>
  </si>
  <si>
    <t xml:space="preserve">01337320327 </t>
  </si>
  <si>
    <t>895742718</t>
  </si>
  <si>
    <t xml:space="preserve"> Via Costantino Costantinides-2</t>
  </si>
  <si>
    <t>https://asugi.sanita.fvg.it/it/</t>
  </si>
  <si>
    <t>Poggiana</t>
  </si>
  <si>
    <t>Manganotti</t>
  </si>
  <si>
    <t>paolo.manganotti@asugi.sanita.fvg.it</t>
  </si>
  <si>
    <t>00390403994282</t>
  </si>
  <si>
    <t>Splošna bolnišnica Izola - Ospedale Generale Isola</t>
  </si>
  <si>
    <t>Izola General Hospital</t>
  </si>
  <si>
    <t>Unità di attività di ricerca</t>
  </si>
  <si>
    <t>Q.86.1</t>
  </si>
  <si>
    <t xml:space="preserve">SI79007589   </t>
  </si>
  <si>
    <t>950620274</t>
  </si>
  <si>
    <t>Polje-40</t>
  </si>
  <si>
    <t>Izola-Isola</t>
  </si>
  <si>
    <t>https://sb-izola.si/</t>
  </si>
  <si>
    <t>gospod</t>
  </si>
  <si>
    <t>mag. Radivoj</t>
  </si>
  <si>
    <t>Nardin</t>
  </si>
  <si>
    <t>Katja.StrancarFatur@sb-Izola.si</t>
  </si>
  <si>
    <t>0038656606483</t>
  </si>
  <si>
    <t>Central Friuli University Health Authority</t>
  </si>
  <si>
    <t>Denis</t>
  </si>
  <si>
    <t>Samantha</t>
  </si>
  <si>
    <t>Dr</t>
  </si>
  <si>
    <t>Nacionalni inštitut za biologijo</t>
  </si>
  <si>
    <t>SI83534784</t>
  </si>
  <si>
    <t>999650476</t>
  </si>
  <si>
    <t xml:space="preserve">Prof. Dr. </t>
  </si>
  <si>
    <t>Azienda ULSS 3 Serenissima</t>
  </si>
  <si>
    <t>Local Health Authority 3 “Serenissima”</t>
  </si>
  <si>
    <t>02798850273</t>
  </si>
  <si>
    <t>912319727</t>
  </si>
  <si>
    <t>Via Don Tosatto-147</t>
  </si>
  <si>
    <t>30174</t>
  </si>
  <si>
    <t>Edgardo</t>
  </si>
  <si>
    <t>Contato</t>
  </si>
  <si>
    <t>Rosin</t>
  </si>
  <si>
    <t>progetti.ricerca@aulss3.veneto.it</t>
  </si>
  <si>
    <t>ITA-SI0100058</t>
  </si>
  <si>
    <t>Capitalizzazione delle migliori pratiche per la gestione delle maxi-emergenze nell’Area transfrontaliera</t>
  </si>
  <si>
    <t>Azienda  Sanitaria Universitaria Giuliano Isontina</t>
  </si>
  <si>
    <t>Julian Isontine University Health Authority</t>
  </si>
  <si>
    <t xml:space="preserve">SSD Emergenze Territoriali </t>
  </si>
  <si>
    <t>01337320327</t>
  </si>
  <si>
    <t>Via Costantino Costantinides-2</t>
  </si>
  <si>
    <t xml:space="preserve">https://asugi.sanita.fvg.it </t>
  </si>
  <si>
    <t>via del  Farneto  -3</t>
  </si>
  <si>
    <t>34142</t>
  </si>
  <si>
    <t xml:space="preserve">Poggiana </t>
  </si>
  <si>
    <t>Peratoner </t>
  </si>
  <si>
    <t>alberto.peratoner@asugi.sanita.fvg.it</t>
  </si>
  <si>
    <t>+390403995090</t>
  </si>
  <si>
    <t>VENEZIA MESTRE</t>
  </si>
  <si>
    <t>https://www.aulss3.veneto.it/</t>
  </si>
  <si>
    <t>+390415795144</t>
  </si>
  <si>
    <t xml:space="preserve">Splošna bolnišnica Izola – Ospedale Generale Isola       </t>
  </si>
  <si>
    <t xml:space="preserve">Izola General Hospital    </t>
  </si>
  <si>
    <t xml:space="preserve">SI79007589 </t>
  </si>
  <si>
    <t>Izola - Isola</t>
  </si>
  <si>
    <t xml:space="preserve">https://www.sb-izola.si/     </t>
  </si>
  <si>
    <t>Polje -40</t>
  </si>
  <si>
    <t xml:space="preserve">mag. Radivoj </t>
  </si>
  <si>
    <t xml:space="preserve">dr. Katja  </t>
  </si>
  <si>
    <t xml:space="preserve">Štrancar Fatur  </t>
  </si>
  <si>
    <t>+38651280276</t>
  </si>
  <si>
    <t xml:space="preserve">Zdravstveni dom Sežana </t>
  </si>
  <si>
    <t>Sežana health center</t>
  </si>
  <si>
    <t>Servizio di soccorso Sesana</t>
  </si>
  <si>
    <t>SI87069610</t>
  </si>
  <si>
    <t>Partizanska cesta -24</t>
  </si>
  <si>
    <t>https://www.zd-sezana.si</t>
  </si>
  <si>
    <t>Katja</t>
  </si>
  <si>
    <t xml:space="preserve">Simunich Knežević </t>
  </si>
  <si>
    <t xml:space="preserve">Fabjančič Hreščak </t>
  </si>
  <si>
    <t>Valentina.fabjancic.hrescak@zd-sezana.si</t>
  </si>
  <si>
    <t>+38657311400</t>
  </si>
  <si>
    <t xml:space="preserve">Zdravstveni dom Izola </t>
  </si>
  <si>
    <t>Izola health center</t>
  </si>
  <si>
    <t>Servizio di soccorso dell'Istria slovena</t>
  </si>
  <si>
    <t xml:space="preserve">SI 98216007 </t>
  </si>
  <si>
    <t>Oktobrske revolucije -11</t>
  </si>
  <si>
    <t xml:space="preserve">https://www.zd-izola.si </t>
  </si>
  <si>
    <t>Industrijska cesta-8b</t>
  </si>
  <si>
    <t>Evgenij</t>
  </si>
  <si>
    <t>Komljanec</t>
  </si>
  <si>
    <t xml:space="preserve">Crnić </t>
  </si>
  <si>
    <t>igor.crnic@zd-izola.si</t>
  </si>
  <si>
    <t>+38631647061</t>
  </si>
  <si>
    <t>ITA-SI0100060</t>
  </si>
  <si>
    <t xml:space="preserve">Collegamento degli itinerari ciclabili dell'entroterrra alle ciclovie Adriabike e Adrioncycletour </t>
  </si>
  <si>
    <t>Regijska razvojna agencija ROD</t>
  </si>
  <si>
    <t>Regional development agency ROD</t>
  </si>
  <si>
    <t>SI65950704</t>
  </si>
  <si>
    <t>937289370</t>
  </si>
  <si>
    <t>Vipavska cesta -4</t>
  </si>
  <si>
    <t>https://rra-rod.si/</t>
  </si>
  <si>
    <t>Brigita</t>
  </si>
  <si>
    <t>Habjan Štolfa</t>
  </si>
  <si>
    <t>Klavdija</t>
  </si>
  <si>
    <t>Česnik</t>
  </si>
  <si>
    <t>klavdija.cesnik@rra-rod.si</t>
  </si>
  <si>
    <t>+38665556237</t>
  </si>
  <si>
    <t>Regionalni razvojni center Koper</t>
  </si>
  <si>
    <t xml:space="preserve"> Regional Development Centre Koper</t>
  </si>
  <si>
    <t>SI 28049705</t>
  </si>
  <si>
    <t>972128181</t>
  </si>
  <si>
    <t>Ulica 15. maja-19</t>
  </si>
  <si>
    <t>www.rrc-kp.si</t>
  </si>
  <si>
    <t>Giuliano</t>
  </si>
  <si>
    <t>Nemarnik</t>
  </si>
  <si>
    <t>Larisa</t>
  </si>
  <si>
    <t>Kunst</t>
  </si>
  <si>
    <t>larisa.kunst@rrc-kp.si</t>
  </si>
  <si>
    <t>+38656637580</t>
  </si>
  <si>
    <t xml:space="preserve">GAL VENEZIA ORIENTALE </t>
  </si>
  <si>
    <t xml:space="preserve">LAG EASTERN VENICE </t>
  </si>
  <si>
    <t>03170090272</t>
  </si>
  <si>
    <t>942957371</t>
  </si>
  <si>
    <t>VIA VITTORIO CIMETTA-01</t>
  </si>
  <si>
    <t xml:space="preserve">www.vegal.it </t>
  </si>
  <si>
    <t>Filippo</t>
  </si>
  <si>
    <t>Tonero</t>
  </si>
  <si>
    <t>Cinzia</t>
  </si>
  <si>
    <t>Gozzo</t>
  </si>
  <si>
    <t>vegal@vegal.net</t>
  </si>
  <si>
    <t>+390421394202</t>
  </si>
  <si>
    <t>Občina Ilirska Bistrica</t>
  </si>
  <si>
    <t>Municipality of Ilirska Bistrica</t>
  </si>
  <si>
    <t>SI19908911</t>
  </si>
  <si>
    <t>932575073</t>
  </si>
  <si>
    <t>Bazoviška cesta -14</t>
  </si>
  <si>
    <t>6250</t>
  </si>
  <si>
    <t>Ilirska Bistrica</t>
  </si>
  <si>
    <t>www.ilirska-bistrica.si</t>
  </si>
  <si>
    <t>Kovačič</t>
  </si>
  <si>
    <t>Primc</t>
  </si>
  <si>
    <t>bostjan.primc@ilirska-bistrica.si</t>
  </si>
  <si>
    <t>+38657112314</t>
  </si>
  <si>
    <t>CAORLE.IT S.R.L.</t>
  </si>
  <si>
    <t>CAORLE S.R.L.</t>
  </si>
  <si>
    <t>BLU EST TRAVEL &amp; TOURS</t>
  </si>
  <si>
    <t>N.79.1</t>
  </si>
  <si>
    <t>03454290275</t>
  </si>
  <si>
    <t>RIO TERRA’ DELLE BOTTEGHE-41</t>
  </si>
  <si>
    <t>33021</t>
  </si>
  <si>
    <t>CAORLE</t>
  </si>
  <si>
    <t>www.caorle.it</t>
  </si>
  <si>
    <t>VIA VESCOVO -2</t>
  </si>
  <si>
    <t>Fabio</t>
  </si>
  <si>
    <t>Catto</t>
  </si>
  <si>
    <t>Marco</t>
  </si>
  <si>
    <t>info@caorle.it</t>
  </si>
  <si>
    <t>+393385951882</t>
  </si>
  <si>
    <t>Torre Natisone GAL soc. cons a r.l.</t>
  </si>
  <si>
    <t>U.99.00</t>
  </si>
  <si>
    <t>02392590309</t>
  </si>
  <si>
    <t>Via Frangipane-3</t>
  </si>
  <si>
    <t>Tarcento</t>
  </si>
  <si>
    <t>+390432793295</t>
  </si>
  <si>
    <t>ITA-SI0100062</t>
  </si>
  <si>
    <t>TREzze, tegnue e ambienti marini dell’alto Adriatico: Capitalizzazione</t>
  </si>
  <si>
    <t>Istituto Nazionale di Oceanografia e di Geofisica Sperimentale - OGS</t>
  </si>
  <si>
    <t>National Institute of Oceanography and Applied Geophysics - OGS</t>
  </si>
  <si>
    <t>00055590327</t>
  </si>
  <si>
    <t>999625644</t>
  </si>
  <si>
    <t>Borgo Grotta Gigante-42/C</t>
  </si>
  <si>
    <t>34010</t>
  </si>
  <si>
    <t>Sgonico</t>
  </si>
  <si>
    <t>https://www.ogs.it</t>
  </si>
  <si>
    <t xml:space="preserve">Nicola </t>
  </si>
  <si>
    <t>Casagli</t>
  </si>
  <si>
    <t>Emiliano</t>
  </si>
  <si>
    <t>Gordini</t>
  </si>
  <si>
    <t>egordini@ogs.it</t>
  </si>
  <si>
    <t>0402140324</t>
  </si>
  <si>
    <t>Shoreline Soc. Coop</t>
  </si>
  <si>
    <t>Località Padriciano-99</t>
  </si>
  <si>
    <t>www.shoreline.it</t>
  </si>
  <si>
    <t>Dottt.</t>
  </si>
  <si>
    <t xml:space="preserve">Carlo </t>
  </si>
  <si>
    <t>Fransozini</t>
  </si>
  <si>
    <t>Saul</t>
  </si>
  <si>
    <t>3474629045</t>
  </si>
  <si>
    <t>https://www.nib.si/</t>
  </si>
  <si>
    <t>Fornače-41</t>
  </si>
  <si>
    <t>6330</t>
  </si>
  <si>
    <t>Piran</t>
  </si>
  <si>
    <t>Ana</t>
  </si>
  <si>
    <t>Fortič</t>
  </si>
  <si>
    <t>ana.fortic@nib.si</t>
  </si>
  <si>
    <t>59232937</t>
  </si>
  <si>
    <t xml:space="preserve">Consiglio Nazionale Delle Ricerche, Istituto di Scienze Marine </t>
  </si>
  <si>
    <t xml:space="preserve">National Research Council </t>
  </si>
  <si>
    <t>02118311006</t>
  </si>
  <si>
    <t>Codice Fiscale: 80054330586</t>
  </si>
  <si>
    <t>Arsenale -  Tesa 104-Castello 2737/f</t>
  </si>
  <si>
    <t>https://www.cnr.it/    http://www.ismar.cnr.it/</t>
  </si>
  <si>
    <t>Rosalia</t>
  </si>
  <si>
    <t>Santoleri</t>
  </si>
  <si>
    <t>Dott. Alessandro</t>
  </si>
  <si>
    <t>Bergamasco</t>
  </si>
  <si>
    <t>alessandro.bergamasco@ve.ismar.cnr.it</t>
  </si>
  <si>
    <t>39-041-2407954</t>
  </si>
  <si>
    <t>UNIVERZA NA PRIMORSKEM / UNIVERSITA' DEL LITORALE</t>
  </si>
  <si>
    <t>University of Primorska</t>
  </si>
  <si>
    <t>http://www.upr.si/</t>
  </si>
  <si>
    <t>Kidričevo nabrežje-4</t>
  </si>
  <si>
    <t>Manja</t>
  </si>
  <si>
    <t>Rogelja</t>
  </si>
  <si>
    <t>manja.rogelja@upr.si</t>
  </si>
  <si>
    <t>31713462</t>
  </si>
  <si>
    <t>Comune di Caorle</t>
  </si>
  <si>
    <t>Municipality Caorle</t>
  </si>
  <si>
    <t>00321280273</t>
  </si>
  <si>
    <t>Roma-26</t>
  </si>
  <si>
    <t>www.comune.caorle.ve.it</t>
  </si>
  <si>
    <t>SINDACO PRO TEMPORE</t>
  </si>
  <si>
    <t xml:space="preserve">Marco </t>
  </si>
  <si>
    <t>Sarto</t>
  </si>
  <si>
    <t>Enzo</t>
  </si>
  <si>
    <t>Lazzarin</t>
  </si>
  <si>
    <t>enzo_lazzarin@comune.caorle.ve.it</t>
  </si>
  <si>
    <t>0421219220</t>
  </si>
  <si>
    <t>Riccardo</t>
  </si>
  <si>
    <t>Cristina</t>
  </si>
  <si>
    <t>S.94</t>
  </si>
  <si>
    <t>Nadia</t>
  </si>
  <si>
    <t>34170</t>
  </si>
  <si>
    <t>Gorizia</t>
  </si>
  <si>
    <t>Alessandra</t>
  </si>
  <si>
    <t>ITA-SI0100065</t>
  </si>
  <si>
    <t>Potenziare gli impatti e le sinergie del turismo culturale all'insegna di Giuseppe Tartini</t>
  </si>
  <si>
    <t>Conservatorio di Musica Giuseppe Tartini</t>
  </si>
  <si>
    <t>Conservatory of Music Giuseppe Tartini</t>
  </si>
  <si>
    <t>80020940328</t>
  </si>
  <si>
    <t>986597768</t>
  </si>
  <si>
    <t>Ghega-12</t>
  </si>
  <si>
    <t>www.conts.it</t>
  </si>
  <si>
    <t>Sandro</t>
  </si>
  <si>
    <t>Torlontano</t>
  </si>
  <si>
    <t xml:space="preserve">Dott. </t>
  </si>
  <si>
    <t>Gabrielli</t>
  </si>
  <si>
    <t>direttore.amministrativo@conts.it</t>
  </si>
  <si>
    <t>+390406724911</t>
  </si>
  <si>
    <t>Obcina Piran - Pirano</t>
  </si>
  <si>
    <t>Municipality of Piran</t>
  </si>
  <si>
    <t>SI29263930</t>
  </si>
  <si>
    <t>911189774</t>
  </si>
  <si>
    <t>Tartinijev trg / Piazza Tartini -2</t>
  </si>
  <si>
    <t>Piran - Pirano</t>
  </si>
  <si>
    <t>www.piran.si</t>
  </si>
  <si>
    <t>Korenika</t>
  </si>
  <si>
    <t>Pograjc</t>
  </si>
  <si>
    <t>alenka.pograjc@piran.si</t>
  </si>
  <si>
    <t>+38640199677</t>
  </si>
  <si>
    <t>Društvo pripadnikov italijanske narodne skupnosti Italijanska unija</t>
  </si>
  <si>
    <t>Italian Union</t>
  </si>
  <si>
    <t>S.94.9</t>
  </si>
  <si>
    <t>SI71205543</t>
  </si>
  <si>
    <t>1169971000</t>
  </si>
  <si>
    <t>Nr. Matricola</t>
  </si>
  <si>
    <t>941214960</t>
  </si>
  <si>
    <t>Zupanciceva ulica-39</t>
  </si>
  <si>
    <t>www.unione-italiana.eu</t>
  </si>
  <si>
    <t xml:space="preserve">Maurizio </t>
  </si>
  <si>
    <t>Tremul</t>
  </si>
  <si>
    <t xml:space="preserve">Sig. </t>
  </si>
  <si>
    <t>Gregoric</t>
  </si>
  <si>
    <t>unione.it.cap@siol.net</t>
  </si>
  <si>
    <t>+38656311221</t>
  </si>
  <si>
    <t>Fondazione Luigi Bon</t>
  </si>
  <si>
    <t>Luigi Bon Foundation</t>
  </si>
  <si>
    <t>R.90.01</t>
  </si>
  <si>
    <t>01614080305</t>
  </si>
  <si>
    <t>Via Patrioti - Colugna-29</t>
  </si>
  <si>
    <t>Tavagnacco</t>
  </si>
  <si>
    <t>www.fondazionebon.com</t>
  </si>
  <si>
    <t>Andrea</t>
  </si>
  <si>
    <t>Giavon</t>
  </si>
  <si>
    <t>Claudio</t>
  </si>
  <si>
    <t>Mansutti</t>
  </si>
  <si>
    <t>direttore@fondazionebon.com</t>
  </si>
  <si>
    <t>+393482878960</t>
  </si>
  <si>
    <t>RRA ZELENI KRAS</t>
  </si>
  <si>
    <t>RDA GREEN KARST</t>
  </si>
  <si>
    <t>N.82</t>
  </si>
  <si>
    <t>SI42185866</t>
  </si>
  <si>
    <t>943145454</t>
  </si>
  <si>
    <t>Prečna ulica-1</t>
  </si>
  <si>
    <t>6257</t>
  </si>
  <si>
    <t>Pivka</t>
  </si>
  <si>
    <t>www.rra-zk.si</t>
  </si>
  <si>
    <t xml:space="preserve">Boštjan </t>
  </si>
  <si>
    <t>Požar</t>
  </si>
  <si>
    <t>Polona</t>
  </si>
  <si>
    <t>Zevnik</t>
  </si>
  <si>
    <t>polona@rra-zk.si</t>
  </si>
  <si>
    <t>+386(0)57212235</t>
  </si>
  <si>
    <t>Conservatorio di Musica Benedetto Marcello di Venezia</t>
  </si>
  <si>
    <t>Benedetto Marcello Conservatory of Music in Venice</t>
  </si>
  <si>
    <t>80012990273</t>
  </si>
  <si>
    <t>Codice Fiscale</t>
  </si>
  <si>
    <t>949591783</t>
  </si>
  <si>
    <t>San Marco-2810</t>
  </si>
  <si>
    <t>www.conservatoriovenezia.eu</t>
  </si>
  <si>
    <t>Avv.</t>
  </si>
  <si>
    <t>Moretti</t>
  </si>
  <si>
    <t>Carmelo</t>
  </si>
  <si>
    <t>Sorgon</t>
  </si>
  <si>
    <t>direttore.amministrativo@conservatoriovenezia.eu</t>
  </si>
  <si>
    <t>+390415225604</t>
  </si>
  <si>
    <t>ITA-SI0100068</t>
  </si>
  <si>
    <t>Storie di multiculturalità: viaggio sensoriale attraverso il prisma delle minoranze</t>
  </si>
  <si>
    <t>Ass. degli appartenenti alla Comunità Nazionale Italiana/Društvo pripadnikov It narodne skupnosti</t>
  </si>
  <si>
    <t xml:space="preserve">Ufficio Europa </t>
  </si>
  <si>
    <t>Numero di matricola</t>
  </si>
  <si>
    <t>Via Župančič / Župančičeva ulica-39</t>
  </si>
  <si>
    <t>KOPER-CAPODISTRIA</t>
  </si>
  <si>
    <t xml:space="preserve">www.unione-italiana.eu </t>
  </si>
  <si>
    <t>Via Kidrič-Kidričeva ulica-35</t>
  </si>
  <si>
    <t>MR.</t>
  </si>
  <si>
    <t>MAURIZIO</t>
  </si>
  <si>
    <t>TREMUL</t>
  </si>
  <si>
    <t>MARKO</t>
  </si>
  <si>
    <t>GREGORIČ</t>
  </si>
  <si>
    <t>0038656311221</t>
  </si>
  <si>
    <t>Associazione temporanea di scopo PROJEKT, con capofila Associazione EUPRO</t>
  </si>
  <si>
    <t>Temporary Association of Purpose PROJEKT, lead partner Association EUPRO</t>
  </si>
  <si>
    <t>90149800329</t>
  </si>
  <si>
    <t>Via Coroneo-19</t>
  </si>
  <si>
    <t xml:space="preserve">www.projekt-ats-czs.eu </t>
  </si>
  <si>
    <t>Slamic</t>
  </si>
  <si>
    <t>Liljana</t>
  </si>
  <si>
    <t>Filipcic</t>
  </si>
  <si>
    <t>projekt.ats.czz@gmail.com</t>
  </si>
  <si>
    <t>+390403481586</t>
  </si>
  <si>
    <t xml:space="preserve">Regione Autonoma Friuli Venezia Giulia </t>
  </si>
  <si>
    <t>O.84.21</t>
  </si>
  <si>
    <t xml:space="preserve">00526040324 </t>
  </si>
  <si>
    <t>Piazza Unità d'Italia-1</t>
  </si>
  <si>
    <t>www.regione.fvg.it</t>
  </si>
  <si>
    <t>Via Milano-19</t>
  </si>
  <si>
    <t>Elena</t>
  </si>
  <si>
    <t>0403773414</t>
  </si>
  <si>
    <t xml:space="preserve">REGIONE DEL VENETO </t>
  </si>
  <si>
    <t>VENETO REGION</t>
  </si>
  <si>
    <t>DIREZIONE RELAZIONI INTERNAZIONALI – UNITA' ORGANIZZATIVA COOPERAZIONE INTERNAZIONALE</t>
  </si>
  <si>
    <t>02392630279</t>
  </si>
  <si>
    <t>80007580279</t>
  </si>
  <si>
    <t>999465691</t>
  </si>
  <si>
    <t>PALAZZO BALBI – DORSODURO -3901</t>
  </si>
  <si>
    <t>www.regione.veneto.it</t>
  </si>
  <si>
    <t>Cannaregio-23</t>
  </si>
  <si>
    <t xml:space="preserve">Mr </t>
  </si>
  <si>
    <t>Luigi</t>
  </si>
  <si>
    <t>Zanin</t>
  </si>
  <si>
    <t>Sabrina</t>
  </si>
  <si>
    <t>Pavan</t>
  </si>
  <si>
    <t>cooperazioneinternazionale@regione.veneto.it</t>
  </si>
  <si>
    <t>+390412794373</t>
  </si>
  <si>
    <t>Società Filologica Friulana “Graziadio Isaia Ascoli”</t>
  </si>
  <si>
    <t>Friulian Philological Society “Graziadio Isaia Ascoli”</t>
  </si>
  <si>
    <t>R.91.01</t>
  </si>
  <si>
    <t>00663830305</t>
  </si>
  <si>
    <t>800 10510305</t>
  </si>
  <si>
    <t>Via Manin-18</t>
  </si>
  <si>
    <t>www.filologicafriulana.it</t>
  </si>
  <si>
    <t>Federico</t>
  </si>
  <si>
    <t>Vicario</t>
  </si>
  <si>
    <t>Feliciano</t>
  </si>
  <si>
    <t>Medeot</t>
  </si>
  <si>
    <t>direttore@filologicafriulana.it</t>
  </si>
  <si>
    <t>+390432501598</t>
  </si>
  <si>
    <t>INŠTITUT ZA NARODNOSTNA VPRAŠANJA</t>
  </si>
  <si>
    <t>INSTITUTE FOR ETHNIC STUDIES</t>
  </si>
  <si>
    <t>M.72.2</t>
  </si>
  <si>
    <t>48643769</t>
  </si>
  <si>
    <t>5051517</t>
  </si>
  <si>
    <t>N. di registrazione</t>
  </si>
  <si>
    <t>ERJAVČEVA CESTA-26</t>
  </si>
  <si>
    <t>SONJA</t>
  </si>
  <si>
    <t>NOVAK LUKANOVIĆ</t>
  </si>
  <si>
    <t>Sofija</t>
  </si>
  <si>
    <t>Zver</t>
  </si>
  <si>
    <t>INV@inv.si</t>
  </si>
  <si>
    <t>+38612001872</t>
  </si>
  <si>
    <t>ITA-SI0100069</t>
  </si>
  <si>
    <t>Beyond Bluegrass: Rafforzare l’agroalimentare sostenibile mediante l’acquaponica</t>
  </si>
  <si>
    <t>Università Ca' Foscari Venezia</t>
  </si>
  <si>
    <t>Ca' Foscari University Venice</t>
  </si>
  <si>
    <t>http://www.unive.it/?a_id=1</t>
  </si>
  <si>
    <t xml:space="preserve">Prof.ssa </t>
  </si>
  <si>
    <t>Pastres</t>
  </si>
  <si>
    <t>pastres@unive.it</t>
  </si>
  <si>
    <t>00390412348674</t>
  </si>
  <si>
    <t>Facoltà di biotecnologia, Dipartimento di Agronomia</t>
  </si>
  <si>
    <t>www.uni-lj.si</t>
  </si>
  <si>
    <t>Jamnikarjeva ulica-101</t>
  </si>
  <si>
    <t>Udovč</t>
  </si>
  <si>
    <t>andrej.udovc@bf.uni-lj.si</t>
  </si>
  <si>
    <t>0038613203256</t>
  </si>
  <si>
    <t>Kmetijska Zadruga Agraria Koper, z.o.o., Koper</t>
  </si>
  <si>
    <t>KZ Agrario Koper</t>
  </si>
  <si>
    <t>Centro di sviluppo agricolo dell'Istria - Purissima</t>
  </si>
  <si>
    <t>5147042045</t>
  </si>
  <si>
    <t>Spodnje Škofije-11E</t>
  </si>
  <si>
    <t>Škofije</t>
  </si>
  <si>
    <t>Tine</t>
  </si>
  <si>
    <t>Matoš</t>
  </si>
  <si>
    <t>tina.matos@agraria-koper.si</t>
  </si>
  <si>
    <t>051227874</t>
  </si>
  <si>
    <t>Shoreline Società Cooperativa</t>
  </si>
  <si>
    <t>Shoreline Cooperative Society</t>
  </si>
  <si>
    <t>00754460327</t>
  </si>
  <si>
    <t>Loc. Padriciano-99</t>
  </si>
  <si>
    <t>Franzosini</t>
  </si>
  <si>
    <t>Francese</t>
  </si>
  <si>
    <t>marfrancese@gmail.com</t>
  </si>
  <si>
    <t>00393474284024</t>
  </si>
  <si>
    <t>Kmetijsko gozdarska zbornica Slovenije, Kmetijsko gozdarski zavod Kranj</t>
  </si>
  <si>
    <t>Chamber of Agriculture and Forestry of Slovenia, Institution of Agriculture and Forestry Kranj</t>
  </si>
  <si>
    <t>A.03</t>
  </si>
  <si>
    <t>SI91502543</t>
  </si>
  <si>
    <t>951190052</t>
  </si>
  <si>
    <t>Cesta Iva Slavca-1</t>
  </si>
  <si>
    <t>4000</t>
  </si>
  <si>
    <t>Kranj</t>
  </si>
  <si>
    <t>https://www.kgz-kranj.si/</t>
  </si>
  <si>
    <t>Mitja</t>
  </si>
  <si>
    <t>Kadoič</t>
  </si>
  <si>
    <t>Msc</t>
  </si>
  <si>
    <t>Miha</t>
  </si>
  <si>
    <t>Štular</t>
  </si>
  <si>
    <t>miha.stular@kr.kgzs.si</t>
  </si>
  <si>
    <t>0038642804636</t>
  </si>
  <si>
    <t>Lega Regionale Cooperative e Mutue del Veneto</t>
  </si>
  <si>
    <t>Regional Cooperative and Mutual League of Veneto</t>
  </si>
  <si>
    <t>c.f. 90059440272</t>
  </si>
  <si>
    <t xml:space="preserve">Codice Fiscale </t>
  </si>
  <si>
    <t>Ulloa-5</t>
  </si>
  <si>
    <t>www.legacoop.veneto.it</t>
  </si>
  <si>
    <t>Adriano</t>
  </si>
  <si>
    <t>Rizzi</t>
  </si>
  <si>
    <t>Gottardo</t>
  </si>
  <si>
    <t>antonio.gottardo@legacoop.veneto.it</t>
  </si>
  <si>
    <t>00393290509605</t>
  </si>
  <si>
    <t>Jamnikarjeva-101</t>
  </si>
  <si>
    <t>ga.</t>
  </si>
  <si>
    <t>ITA-SI0100071</t>
  </si>
  <si>
    <t>Misure preventive per un Carso sicuro</t>
  </si>
  <si>
    <t>Municipality of Sežana</t>
  </si>
  <si>
    <t>SI66378443</t>
  </si>
  <si>
    <t>https://www.sezana.si/</t>
  </si>
  <si>
    <t>Gospod / Signore</t>
  </si>
  <si>
    <t>Sila</t>
  </si>
  <si>
    <t>Gospa / Signora</t>
  </si>
  <si>
    <t>Grzetič Žerjal</t>
  </si>
  <si>
    <t>mateja.grzetic@sezana.si</t>
  </si>
  <si>
    <t>+38657310139</t>
  </si>
  <si>
    <t>Zavod za gasilno in reševalno službo Sežana</t>
  </si>
  <si>
    <t>Fire and rescue service Sežana</t>
  </si>
  <si>
    <t>SI91755379</t>
  </si>
  <si>
    <t>Bazoviška cesta-13</t>
  </si>
  <si>
    <t>https://www.zgrs.si/</t>
  </si>
  <si>
    <t>Turk</t>
  </si>
  <si>
    <t>blaz.turk@zgrs.si</t>
  </si>
  <si>
    <t>0038657310700</t>
  </si>
  <si>
    <t>GRUPPO DI AZIONE LOCALE DEL CARSO – LOKALNA AKCIJSKA SKUPINA KRAS S.C.A R.L.</t>
  </si>
  <si>
    <t>LAG KARST</t>
  </si>
  <si>
    <t>01150630323</t>
  </si>
  <si>
    <t>http://www.galcarso.eu/</t>
  </si>
  <si>
    <t>info@galcarso.eu</t>
  </si>
  <si>
    <t>00390409778593</t>
  </si>
  <si>
    <t>Municipality of Komen</t>
  </si>
  <si>
    <t>SI98324390</t>
  </si>
  <si>
    <t>Komen-86</t>
  </si>
  <si>
    <t>6223</t>
  </si>
  <si>
    <t>Komen</t>
  </si>
  <si>
    <t>https://www.komen.si/</t>
  </si>
  <si>
    <t>Erik</t>
  </si>
  <si>
    <t>Modic</t>
  </si>
  <si>
    <t>Frančeškin</t>
  </si>
  <si>
    <t>bostjan.franceskin@komen.si</t>
  </si>
  <si>
    <t>0038651606942</t>
  </si>
  <si>
    <t>Comune di Duino Aurisina - Občina Devin Nabrežina</t>
  </si>
  <si>
    <t>Municipality of Duino Aurisina - Devin Nabrežina</t>
  </si>
  <si>
    <t>Aurisina Cave / Nabrežina Kamnolomi-25</t>
  </si>
  <si>
    <t>Duino Aurisina / Devin Nabrežina (TS)</t>
  </si>
  <si>
    <t>https://www.comune.duino-aurisina.ts.it/</t>
  </si>
  <si>
    <t>00390402017400</t>
  </si>
  <si>
    <t>Javni zavod za gasilsko in reševalno dejavnost - Gasilska enota Nova Gorica</t>
  </si>
  <si>
    <t>Public institute for fire and rescue activity - Fire unit Nova Gorica</t>
  </si>
  <si>
    <t>SI923671151</t>
  </si>
  <si>
    <t>Sedejeva ulica-9</t>
  </si>
  <si>
    <t>https://www.geng.si/</t>
  </si>
  <si>
    <t>Markočič</t>
  </si>
  <si>
    <t>Simon</t>
  </si>
  <si>
    <t>Vendramin</t>
  </si>
  <si>
    <t>simon.vendramin@geng.si</t>
  </si>
  <si>
    <t>0038653023249</t>
  </si>
  <si>
    <t>Revelant</t>
  </si>
  <si>
    <t>GECT</t>
  </si>
  <si>
    <t>91036160314</t>
  </si>
  <si>
    <t>Cadorna-36</t>
  </si>
  <si>
    <t>Corso Italia-55</t>
  </si>
  <si>
    <t>Petiziol</t>
  </si>
  <si>
    <t>Tomaž</t>
  </si>
  <si>
    <t>Konrad</t>
  </si>
  <si>
    <t>tomaz.konrad@euro-go.eu</t>
  </si>
  <si>
    <t>ITA-SI0100074</t>
  </si>
  <si>
    <t>Capitalizzazione del rafforzamento delle infrastrutture verdi nel paesaggio culturale transfrontaliero IT-SI</t>
  </si>
  <si>
    <t>JAVNI ZAVOD PARK ŠKOCJANSKE JAME, SLOVENIJA</t>
  </si>
  <si>
    <t>ŠKOCJAN CAVES PUBLIC SERVICE AGENCY, SLOVENIA</t>
  </si>
  <si>
    <t xml:space="preserve">Numero di iscrizione registro unico </t>
  </si>
  <si>
    <t>DIVAČA</t>
  </si>
  <si>
    <t>Stojan</t>
  </si>
  <si>
    <t>Erika</t>
  </si>
  <si>
    <t>Zuodar</t>
  </si>
  <si>
    <t>erika.zuodar@psj.gov.si</t>
  </si>
  <si>
    <t>COMUNE DI SAN DORLIGO DELLA VALLE - OBČINA DOLINA</t>
  </si>
  <si>
    <t>MUNICIPALITY OF SAN DORLIGO DELLA VALLE - DOLINA</t>
  </si>
  <si>
    <t>00228430328</t>
  </si>
  <si>
    <t>DOLINA -270</t>
  </si>
  <si>
    <t>34018</t>
  </si>
  <si>
    <t xml:space="preserve">DOLINA </t>
  </si>
  <si>
    <t>www.comune.san-dorligo-della-valle.ts.it</t>
  </si>
  <si>
    <t>SANDY</t>
  </si>
  <si>
    <t>KLUN</t>
  </si>
  <si>
    <t>MITJA</t>
  </si>
  <si>
    <t>LOVRIHA</t>
  </si>
  <si>
    <t>mitja.lovriha@sandorligo-dolina.it</t>
  </si>
  <si>
    <t>+393492289241</t>
  </si>
  <si>
    <t>VITTORIO CIMETTA-1</t>
  </si>
  <si>
    <t xml:space="preserve">30026  </t>
  </si>
  <si>
    <t>PORTOGRUARO</t>
  </si>
  <si>
    <t>CINZIA</t>
  </si>
  <si>
    <t>GOZZO</t>
  </si>
  <si>
    <t>OBČINA HRPELJE - KOZINA</t>
  </si>
  <si>
    <t>MUNICIPALITY OF HRPELJE - KOZINA</t>
  </si>
  <si>
    <t>SI96355557</t>
  </si>
  <si>
    <t>HRPELJE, REŠKA CESTA -14</t>
  </si>
  <si>
    <t>6240</t>
  </si>
  <si>
    <t>KOZINA</t>
  </si>
  <si>
    <t>www.hrpelje-kozina.si</t>
  </si>
  <si>
    <t>SAŠA</t>
  </si>
  <si>
    <t>LIKAVEC SVETELŠEK</t>
  </si>
  <si>
    <t>KRISTINA</t>
  </si>
  <si>
    <t>FURLAN</t>
  </si>
  <si>
    <t>kristina.furlan@hrpelje.si</t>
  </si>
  <si>
    <t>+3865620536</t>
  </si>
  <si>
    <t>ITA-SI0100075</t>
  </si>
  <si>
    <t xml:space="preserve">SVILUPPO E DISSEMINAZIONE DI ALGORITMI PER IL PROGETTO DELLE INNOVATIVE STRATEGIE DI PROTEZIONE SISMICA “CONSTRAIN” E APPLICAZIONE PILOTA SU EDIFICI ESISTENTI IN MURATURA
</t>
  </si>
  <si>
    <t>Dipartimento di Ingegneria e Architettura, Università degli Studi di Trieste</t>
  </si>
  <si>
    <t>Department of Engineering and Architecture, University of Trieste</t>
  </si>
  <si>
    <t>Dipartimento di Ingegneria e Architettura</t>
  </si>
  <si>
    <t>www.units.it</t>
  </si>
  <si>
    <t>Valerio-6/1</t>
  </si>
  <si>
    <t>Gallina</t>
  </si>
  <si>
    <t>Natalino</t>
  </si>
  <si>
    <t>Gattesco</t>
  </si>
  <si>
    <t>gattesco@units.it</t>
  </si>
  <si>
    <t>3332709289</t>
  </si>
  <si>
    <t>Azienda Territoriale per l'Edilizia Residenziale di Udine</t>
  </si>
  <si>
    <t>Institution for the Residential Constructions of Udine</t>
  </si>
  <si>
    <t>F.41.1</t>
  </si>
  <si>
    <t>00164770307</t>
  </si>
  <si>
    <t>Sacile-15</t>
  </si>
  <si>
    <t>www.udine.aterfvg.it</t>
  </si>
  <si>
    <t>Michelutti</t>
  </si>
  <si>
    <t>Ing.</t>
  </si>
  <si>
    <t>Rerecich</t>
  </si>
  <si>
    <t>lorenzo.rerecich@ater-udine.it</t>
  </si>
  <si>
    <t>0432491111</t>
  </si>
  <si>
    <t>FIBRE NET S.p.A. Pavia di Udine</t>
  </si>
  <si>
    <t>Ricerca e sviluppo</t>
  </si>
  <si>
    <t>F.41.20</t>
  </si>
  <si>
    <t xml:space="preserve"> 02212620302</t>
  </si>
  <si>
    <t>GBER Article 20</t>
  </si>
  <si>
    <t>Via Jacolo Stellini-3</t>
  </si>
  <si>
    <t>33050</t>
  </si>
  <si>
    <t>Pavia di Udine</t>
  </si>
  <si>
    <t>www.fibrenet.it</t>
  </si>
  <si>
    <t>Via Jacopo Stellini-3</t>
  </si>
  <si>
    <t>Zampa</t>
  </si>
  <si>
    <t>Allen</t>
  </si>
  <si>
    <t>Dudine</t>
  </si>
  <si>
    <t>info@fibrenet.it</t>
  </si>
  <si>
    <t>0432600918</t>
  </si>
  <si>
    <t>Univerza v Ljubljani, Fakulteta za gradbeništvo in geodezijo</t>
  </si>
  <si>
    <t>University of Ljubljana, Faculty for Civil and geodetic engineering</t>
  </si>
  <si>
    <t>SI98643339</t>
  </si>
  <si>
    <t>Jamova cesta -2</t>
  </si>
  <si>
    <t>https://www.fgg.uni-lj.si/</t>
  </si>
  <si>
    <t xml:space="preserve">Rektor prof. dr. </t>
  </si>
  <si>
    <t xml:space="preserve">Gregor </t>
  </si>
  <si>
    <t>doc. dr.</t>
  </si>
  <si>
    <t>Matija</t>
  </si>
  <si>
    <t>Gams</t>
  </si>
  <si>
    <t>mgams@fgg.uni-lj.si</t>
  </si>
  <si>
    <t>+38631377246</t>
  </si>
  <si>
    <t>Gradbeni Institut ZRMK</t>
  </si>
  <si>
    <t>Building and Civil Engineering Institute ZRMK</t>
  </si>
  <si>
    <t>M.71.1</t>
  </si>
  <si>
    <t>SI93205783</t>
  </si>
  <si>
    <t>Dimičeva-12</t>
  </si>
  <si>
    <t>https://gi-zrmk.si/</t>
  </si>
  <si>
    <t>Marijan</t>
  </si>
  <si>
    <t>Prešeren</t>
  </si>
  <si>
    <t>Samo</t>
  </si>
  <si>
    <t>Gostič</t>
  </si>
  <si>
    <t>samo.gostic@gi-zrmk.si</t>
  </si>
  <si>
    <t>+38631658223</t>
  </si>
  <si>
    <t>Zavod za varstvo kulturne dediščine Slovenije</t>
  </si>
  <si>
    <t>Institute for the Protection of Cultural Heritage of Slovenia</t>
  </si>
  <si>
    <t>R.91</t>
  </si>
  <si>
    <t>SI45991413</t>
  </si>
  <si>
    <t>Poljanska cesta-40</t>
  </si>
  <si>
    <t>www.zvkds.si</t>
  </si>
  <si>
    <t>Jernej</t>
  </si>
  <si>
    <t>Hudolin</t>
  </si>
  <si>
    <t>Rok</t>
  </si>
  <si>
    <t>Hafner</t>
  </si>
  <si>
    <t>rok.hafner@rescen.si</t>
  </si>
  <si>
    <t>+38641592122</t>
  </si>
  <si>
    <t>ITA-SI0100076</t>
  </si>
  <si>
    <t>Rafforzamento del sistema innovativo transfrontaliero per il miglioramento della biodiversità attraverso il monitoraggio delle api</t>
  </si>
  <si>
    <t>Agenzia Veneta per l'innovazione nel settore primario - Veneto Agricoltura</t>
  </si>
  <si>
    <t>Venetian agency for innovation in the primary sector - Veneto Agricoltura</t>
  </si>
  <si>
    <t>N.A.</t>
  </si>
  <si>
    <t>IT05026970284</t>
  </si>
  <si>
    <t>912787849</t>
  </si>
  <si>
    <t>Viale dell'Università-14</t>
  </si>
  <si>
    <t>35020</t>
  </si>
  <si>
    <t>Legnaro</t>
  </si>
  <si>
    <t>https://www.venetoagricoltura.org/</t>
  </si>
  <si>
    <t>Nicola</t>
  </si>
  <si>
    <t>Dell'Acqua</t>
  </si>
  <si>
    <t>D'Orazio</t>
  </si>
  <si>
    <t>alessandra.dorazio@venetoagricoltura.org</t>
  </si>
  <si>
    <t>00390498293717</t>
  </si>
  <si>
    <t>Polo Tecnologico Alto Adriatico Andrea Galvani scpa</t>
  </si>
  <si>
    <t>Upper Adriatic Technology Centre Andrea Galvani  scpa</t>
  </si>
  <si>
    <t>B.U. Progetti di cooperazione</t>
  </si>
  <si>
    <t xml:space="preserve">01472410933 </t>
  </si>
  <si>
    <t>Roveredo -20/B</t>
  </si>
  <si>
    <t>www.polotecnologicoaltoadriatico</t>
  </si>
  <si>
    <t>Roveredo-20/B</t>
  </si>
  <si>
    <t>Valerio</t>
  </si>
  <si>
    <t>Pontarolo</t>
  </si>
  <si>
    <t>Diego</t>
  </si>
  <si>
    <t>Santaliana</t>
  </si>
  <si>
    <t>diego.santaliana@poloaa.it</t>
  </si>
  <si>
    <t>0434504412</t>
  </si>
  <si>
    <t>National institute of biology</t>
  </si>
  <si>
    <t>Department of Organisms and Ecosystems Research</t>
  </si>
  <si>
    <t>Večna pot -111</t>
  </si>
  <si>
    <t>http://www.nib.si/</t>
  </si>
  <si>
    <t xml:space="preserve">Doc. Dr. </t>
  </si>
  <si>
    <t>Danilo</t>
  </si>
  <si>
    <t>Bevk</t>
  </si>
  <si>
    <t>danilo.bevk@nib.si</t>
  </si>
  <si>
    <t>+386059232783</t>
  </si>
  <si>
    <t>Štor</t>
  </si>
  <si>
    <t>patricija.stor@rra-rod.si</t>
  </si>
  <si>
    <t>+38665556235</t>
  </si>
  <si>
    <t>Maja Ivana</t>
  </si>
  <si>
    <t>Smodiš Škerl</t>
  </si>
  <si>
    <t>maja.smodis.skerl@kis.si</t>
  </si>
  <si>
    <t>+38612805150</t>
  </si>
  <si>
    <t>ITA-SI0100080</t>
  </si>
  <si>
    <t>Ricapitalizzazione MerlinCV - Esperienze innovative del patrimonio culturale e naturale transfrontaliero</t>
  </si>
  <si>
    <t>Istituto di Studi Storici</t>
  </si>
  <si>
    <t>Municipality of Tolmin</t>
  </si>
  <si>
    <t>SI19588976</t>
  </si>
  <si>
    <t>Ulica padlih borcev-2</t>
  </si>
  <si>
    <t>5220</t>
  </si>
  <si>
    <t>Tolmin</t>
  </si>
  <si>
    <t xml:space="preserve">www.tolmin.si </t>
  </si>
  <si>
    <t>Alen</t>
  </si>
  <si>
    <t>Červ</t>
  </si>
  <si>
    <t>Matej</t>
  </si>
  <si>
    <t>matej.kavcic@tolmin.si</t>
  </si>
  <si>
    <t>0038631507724</t>
  </si>
  <si>
    <t>Venetian Cluster srl</t>
  </si>
  <si>
    <t>Ufficio progetti europei</t>
  </si>
  <si>
    <t>03904910241</t>
  </si>
  <si>
    <t>San Marco-1163</t>
  </si>
  <si>
    <t>https://www.venetiancluster.eu/en</t>
  </si>
  <si>
    <t>Via Roma-291</t>
  </si>
  <si>
    <t>30038</t>
  </si>
  <si>
    <t>Spinea</t>
  </si>
  <si>
    <t xml:space="preserve">Gian Angelo </t>
  </si>
  <si>
    <t>Maurizio</t>
  </si>
  <si>
    <t>Malè</t>
  </si>
  <si>
    <t>maurizio.male@venetianlcuster.eu</t>
  </si>
  <si>
    <t>00393471219533</t>
  </si>
  <si>
    <t xml:space="preserve">INFORMEST – Centro di Servizi e Documentazione per la Cooperazione Economica Internazionale </t>
  </si>
  <si>
    <t>INFORMEST – Service and Documentation Centre for International Economic Cooperation</t>
  </si>
  <si>
    <t>00482060316</t>
  </si>
  <si>
    <t>999921494</t>
  </si>
  <si>
    <t>Via Cadorna-36</t>
  </si>
  <si>
    <t>https://www.informest.it/</t>
  </si>
  <si>
    <t>Davide</t>
  </si>
  <si>
    <t>Lepori</t>
  </si>
  <si>
    <t>Lia</t>
  </si>
  <si>
    <t>Gover</t>
  </si>
  <si>
    <t>lia.gover@informest.it</t>
  </si>
  <si>
    <t>0039481597411</t>
  </si>
  <si>
    <t>ITA-SI0100083</t>
  </si>
  <si>
    <t>Rafforzamento della cooperazione transfrontaliera con lo sviluppo e l'implementazione dei piani d'azione congiunti in caso di emergenze nell'area transfrontaliera per un territorio più resiliente.</t>
  </si>
  <si>
    <t>Dipartimento di Economia e Sviluppo Affari</t>
  </si>
  <si>
    <t>Cesta 5. Maja-6a</t>
  </si>
  <si>
    <t>www.ajdovscina.si</t>
  </si>
  <si>
    <t>053659126</t>
  </si>
  <si>
    <t>Geodetski inštitut Slovenije</t>
  </si>
  <si>
    <t xml:space="preserve">GEODETIC INSTITUTE OF SLOVENIA </t>
  </si>
  <si>
    <t>Jamova Cesta-2</t>
  </si>
  <si>
    <t>0038612002937</t>
  </si>
  <si>
    <t>JAVNI ZAVOD ZA GASILSKO IN REŠEVALNO DEJAVNOST – GASILSKA ENOTA NOVA GORICA</t>
  </si>
  <si>
    <t xml:space="preserve">PUBLIC INSTITUTE FOR FIRE AND RESCUE SERVICE – FIRE UNIT NOVA GORICA </t>
  </si>
  <si>
    <t>O.84.25</t>
  </si>
  <si>
    <t>SI92367151</t>
  </si>
  <si>
    <t>Sedejeva Ulica-9</t>
  </si>
  <si>
    <t>www.geng.si</t>
  </si>
  <si>
    <t>Istituto di Sociologia Internazionale di Gorizia</t>
  </si>
  <si>
    <t>Institute of International Sociology of Gorizia</t>
  </si>
  <si>
    <t>00126770312</t>
  </si>
  <si>
    <t>Via Giuseppe Mazzini-13</t>
  </si>
  <si>
    <t>www.isig.it</t>
  </si>
  <si>
    <t>Michela</t>
  </si>
  <si>
    <t>Cecotti</t>
  </si>
  <si>
    <t>delbianco@isig.it</t>
  </si>
  <si>
    <t>00390481533632</t>
  </si>
  <si>
    <t>Città metropolitana di Venezia</t>
  </si>
  <si>
    <t>Metropolitan City of Venice</t>
  </si>
  <si>
    <t>Unità di protezione civile</t>
  </si>
  <si>
    <t>80008840276</t>
  </si>
  <si>
    <t>Palazzo Ca' Corner San Marco-2662</t>
  </si>
  <si>
    <t>https://cittametropolitana.ve.it</t>
  </si>
  <si>
    <t>Via Forte Marghera-191</t>
  </si>
  <si>
    <t>30173</t>
  </si>
  <si>
    <t>Mestre - Venezia</t>
  </si>
  <si>
    <t>Brugnaro</t>
  </si>
  <si>
    <t>Gattolin</t>
  </si>
  <si>
    <t>protciv@cittametropolitana.ve.it</t>
  </si>
  <si>
    <t>00390412501214</t>
  </si>
  <si>
    <t>Via Alfonso Valerio-6/1</t>
  </si>
  <si>
    <t>Raffaela</t>
  </si>
  <si>
    <t>Cefalo</t>
  </si>
  <si>
    <t>raffaela.cefalo@dia.units.it</t>
  </si>
  <si>
    <t>00390405583585</t>
  </si>
  <si>
    <t>ITA-SI0100084</t>
  </si>
  <si>
    <t>CrossbOrder Network for ChildrEn RheumaTolOgy</t>
  </si>
  <si>
    <t>I.R.C.C.S. materno infantile Burlo Garofolo</t>
  </si>
  <si>
    <t>Burlo Garofolo Research Institute for Maternal and Infant Care</t>
  </si>
  <si>
    <t>Direzione Scientifica</t>
  </si>
  <si>
    <t>dell'Istria-65/1</t>
  </si>
  <si>
    <t>Taddio</t>
  </si>
  <si>
    <t>andrea.taddio@burlo.trieste.it</t>
  </si>
  <si>
    <t>3470992322</t>
  </si>
  <si>
    <t>Univerzitetni klinični center Ljubljana</t>
  </si>
  <si>
    <t xml:space="preserve"> University Medical Centre Ljubljana</t>
  </si>
  <si>
    <t xml:space="preserve"> Department of Allergology, Rheumatology  and Clinical Immunology</t>
  </si>
  <si>
    <t>SI52111776</t>
  </si>
  <si>
    <t>www.kclj.si</t>
  </si>
  <si>
    <t>Jug</t>
  </si>
  <si>
    <t>Avčin</t>
  </si>
  <si>
    <t>tadej.avcin@kclj.si</t>
  </si>
  <si>
    <t>+38615229642</t>
  </si>
  <si>
    <t>Better d.o.o.</t>
  </si>
  <si>
    <t>SI 66063345</t>
  </si>
  <si>
    <t>Štukljeva cesta-48</t>
  </si>
  <si>
    <t>https://better.care/</t>
  </si>
  <si>
    <t>Direktor</t>
  </si>
  <si>
    <t>Roland</t>
  </si>
  <si>
    <t>Petek</t>
  </si>
  <si>
    <t>Sales manager</t>
  </si>
  <si>
    <t>Jovan</t>
  </si>
  <si>
    <t>Pavićević</t>
  </si>
  <si>
    <t>Jovan.pavicevic@better.care</t>
  </si>
  <si>
    <t>+38651617417</t>
  </si>
  <si>
    <t>Experteam srl</t>
  </si>
  <si>
    <t>C.20.14</t>
  </si>
  <si>
    <t>02881020271</t>
  </si>
  <si>
    <t>della Libertà-12</t>
  </si>
  <si>
    <t>Venezia-Marghera</t>
  </si>
  <si>
    <t>http://www.experteam.it/</t>
  </si>
  <si>
    <t>Angelo</t>
  </si>
  <si>
    <t>De Bortoli</t>
  </si>
  <si>
    <t>Veronica</t>
  </si>
  <si>
    <t>Zorzi</t>
  </si>
  <si>
    <t>laboratorio@experteam.it</t>
  </si>
  <si>
    <t>+393381338720</t>
  </si>
  <si>
    <t>Dipartimento Universitario Clinico di Scienze Mediche Chirurgiche e della Salute</t>
  </si>
  <si>
    <t>Gabriele</t>
  </si>
  <si>
    <t>Stocco</t>
  </si>
  <si>
    <t>stoccog@units.it</t>
  </si>
  <si>
    <t>+390403785362</t>
  </si>
  <si>
    <t>Azienda sanitaria universitaria Friuli Centrale</t>
  </si>
  <si>
    <t>Struttura Operativa Complessa Clinica Pediatrica</t>
  </si>
  <si>
    <t>Pozzuolo-330</t>
  </si>
  <si>
    <t>https://asufc.sanita.fvg.it/it/</t>
  </si>
  <si>
    <t>Piazzale Santa maria della Misericordia-15</t>
  </si>
  <si>
    <t>Sara</t>
  </si>
  <si>
    <t>Della Paolera</t>
  </si>
  <si>
    <t>sara.dellapaolera@asufc.sanita.fvg.it</t>
  </si>
  <si>
    <t>3382548779</t>
  </si>
  <si>
    <t>ITA-SI0100086</t>
  </si>
  <si>
    <t>Potenziare lo sviluppo sostenibile e le connessioni del patrimonio della Grande Guerra tra Italia e Slovenia</t>
  </si>
  <si>
    <t>Divisione Turismo</t>
  </si>
  <si>
    <t>H.49.39</t>
  </si>
  <si>
    <t>IT01218220323</t>
  </si>
  <si>
    <t>via Locchi-19</t>
  </si>
  <si>
    <t>34123</t>
  </si>
  <si>
    <t>www.turismofvg.it</t>
  </si>
  <si>
    <t>via Carso-3</t>
  </si>
  <si>
    <t>33052</t>
  </si>
  <si>
    <t>Cervignano del Friuli (UD)</t>
  </si>
  <si>
    <t>Bravo</t>
  </si>
  <si>
    <t>nicola.revelant@promoturismo.fvg.it</t>
  </si>
  <si>
    <t>0431387129</t>
  </si>
  <si>
    <t>Ustanova “Fundacija Poti miru v Posočju”</t>
  </si>
  <si>
    <t>The Walk of Peace in the Soča Region Foundation</t>
  </si>
  <si>
    <t>S.94.99</t>
  </si>
  <si>
    <t>SI27032078</t>
  </si>
  <si>
    <t>Gregorčičeva ulica -8</t>
  </si>
  <si>
    <t>5222</t>
  </si>
  <si>
    <t>Kobarid</t>
  </si>
  <si>
    <t>www.thewalkofpeace.com</t>
  </si>
  <si>
    <t>Zdravko</t>
  </si>
  <si>
    <t>Likar</t>
  </si>
  <si>
    <t>Urška</t>
  </si>
  <si>
    <t>Lazar</t>
  </si>
  <si>
    <t>urska.lazar@potmiru.si</t>
  </si>
  <si>
    <t>0038653890166</t>
  </si>
  <si>
    <t>Posoški razvojni center</t>
  </si>
  <si>
    <t>Soča Valley Development Centre</t>
  </si>
  <si>
    <t>Department for Business and Regional development</t>
  </si>
  <si>
    <t>O.84.1</t>
  </si>
  <si>
    <t>SI32155425</t>
  </si>
  <si>
    <t>Trg Tigrovcev -1</t>
  </si>
  <si>
    <t>www.prc.si</t>
  </si>
  <si>
    <t>Trg Tigrovcev-1</t>
  </si>
  <si>
    <t>Škvor</t>
  </si>
  <si>
    <t>Vesna</t>
  </si>
  <si>
    <t>Kozar</t>
  </si>
  <si>
    <t>vesna.kozar@prc.si</t>
  </si>
  <si>
    <t>0038653841503</t>
  </si>
  <si>
    <t>www.komen.si</t>
  </si>
  <si>
    <t>Comune di Duino Aurisina - Devin Nabrežina</t>
  </si>
  <si>
    <t>IT00157190323</t>
  </si>
  <si>
    <t>Duino Aurisina-Devin Nabrežina (TS)</t>
  </si>
  <si>
    <t>https://www.ecipa.eu/</t>
  </si>
  <si>
    <t>Petra</t>
  </si>
  <si>
    <t>Tjaša</t>
  </si>
  <si>
    <t xml:space="preserve">Sig.ra </t>
  </si>
  <si>
    <t>ITA-SI0100090</t>
  </si>
  <si>
    <t>Potenziamento del modello di economia circolare per la raccolta e il recupero di Compositi Fibro-rinforzati contenenti rifiuti</t>
  </si>
  <si>
    <t>Upper Adriatic Technology Park</t>
  </si>
  <si>
    <t xml:space="preserve">Trasferimento Tecnologico </t>
  </si>
  <si>
    <t>A.02</t>
  </si>
  <si>
    <t>Roveredo-20\b</t>
  </si>
  <si>
    <t>https://www.polotecnologicoaltoadriatico.it/</t>
  </si>
  <si>
    <t>0434504423</t>
  </si>
  <si>
    <t xml:space="preserve">Gees Recycling Srl </t>
  </si>
  <si>
    <t>01678120930</t>
  </si>
  <si>
    <t>Pordenone Chamber of Commerce Register PN-95657</t>
  </si>
  <si>
    <t>Monte Colombera-22</t>
  </si>
  <si>
    <t>https://www.geesrecycling.com/</t>
  </si>
  <si>
    <t>Franco</t>
  </si>
  <si>
    <t>Mioni</t>
  </si>
  <si>
    <t>Betteto</t>
  </si>
  <si>
    <t>g.betteto@geesrecycling.com</t>
  </si>
  <si>
    <t>0434654183</t>
  </si>
  <si>
    <t>OBRTNO PODJETNIŠKA ZBORNICA SLOVENIJE</t>
  </si>
  <si>
    <t>CHAMBER OF CRAFT&amp;SMALL BUSINESS OF SLOVENIA</t>
  </si>
  <si>
    <t>Si62841220</t>
  </si>
  <si>
    <t>Celovška -71</t>
  </si>
  <si>
    <t>www.ozs.si</t>
  </si>
  <si>
    <t xml:space="preserve">Danijel </t>
  </si>
  <si>
    <t>Lamperger</t>
  </si>
  <si>
    <t>Vodeb</t>
  </si>
  <si>
    <t>Larisa.vodeb@ozs.si</t>
  </si>
  <si>
    <t>015830588</t>
  </si>
  <si>
    <t>TECHNOL, podjetje za inženiring in proizvodnjo izdelkov iz umetnih mas, Portorož d.o.o.</t>
  </si>
  <si>
    <t>TECHNOL, engineering and production of plastic products, Portorož d.o.o.</t>
  </si>
  <si>
    <t>Technol, Portorož d.o.o.</t>
  </si>
  <si>
    <t>SI64051722</t>
  </si>
  <si>
    <t>Industrijska cesta-6E</t>
  </si>
  <si>
    <t>https://www.technol.si/</t>
  </si>
  <si>
    <t>Nevij</t>
  </si>
  <si>
    <t>Baruca</t>
  </si>
  <si>
    <t>nevij.baruca@technol.si</t>
  </si>
  <si>
    <t>+38656625340</t>
  </si>
  <si>
    <t>COMUNE DI SPINEA</t>
  </si>
  <si>
    <t>MUNICIPALITY OF SPINEA</t>
  </si>
  <si>
    <t>00683400279</t>
  </si>
  <si>
    <t>PIAZZA MUNICIPIO-1</t>
  </si>
  <si>
    <t>Martina</t>
  </si>
  <si>
    <t>Vesnaver</t>
  </si>
  <si>
    <t>Monica</t>
  </si>
  <si>
    <t>Salviato</t>
  </si>
  <si>
    <t>monica.salviato@comune.spinea.ve.it</t>
  </si>
  <si>
    <t>0415071356</t>
  </si>
  <si>
    <t>Slovensko deželno gospodarsko združenje – Unione regionale economica slovena</t>
  </si>
  <si>
    <t>Marco Tullio Cicerone-8</t>
  </si>
  <si>
    <t>+3904067248</t>
  </si>
  <si>
    <t>INVITO PROGETTO STRATEGICO N.01/2022/POVABILO ZA STRATEŠKI PROJEKT  ŠT.01/2022 - ADRIONCYCLETOUR</t>
  </si>
  <si>
    <t>ITA-SI0200013</t>
  </si>
  <si>
    <t xml:space="preserve">Attuazione, nell'area del Programma, dell'idea progetto faro trasversale EUSAIR denominato “Percorso ciclabile adriatico-ionico per il turismo sostenibile - ADRIONCYCLETOUR" </t>
  </si>
  <si>
    <t>7.0</t>
  </si>
  <si>
    <t>Regione autonoma Friuli Venezia Giulia</t>
  </si>
  <si>
    <t>Autonomous Region Friuli Venezia Giulia</t>
  </si>
  <si>
    <t>Direzione Centrale infrastrutture e territorio - Servizio infrastrutture di trasporto, digitali e della mobilità sostenibile</t>
  </si>
  <si>
    <t>00526040324</t>
  </si>
  <si>
    <t>80014930327</t>
  </si>
  <si>
    <t>Piazza dell'Unità d'Italia-1</t>
  </si>
  <si>
    <t>Via Carducci-6</t>
  </si>
  <si>
    <t>Magda</t>
  </si>
  <si>
    <t>Uliana</t>
  </si>
  <si>
    <t>Silvia</t>
  </si>
  <si>
    <t>Bianchet</t>
  </si>
  <si>
    <t>silvia.bianchet@regione.fvg.it</t>
  </si>
  <si>
    <t>3669311225 -0432 555 129</t>
  </si>
  <si>
    <t>Via Vittorio Cimetta-1</t>
  </si>
  <si>
    <t>https://www.vegal.net/</t>
  </si>
  <si>
    <t>Area bike</t>
  </si>
  <si>
    <t>891497416</t>
  </si>
  <si>
    <t>Via Locchi-19</t>
  </si>
  <si>
    <t>34143</t>
  </si>
  <si>
    <t>https://www.turismofvg.it/it</t>
  </si>
  <si>
    <t>Via Carso-3</t>
  </si>
  <si>
    <t>Cervignano del Friuli</t>
  </si>
  <si>
    <t>Alice</t>
  </si>
  <si>
    <t>Venaruzzo</t>
  </si>
  <si>
    <t>alice.venaruzzo@promoturismo.fvg.it</t>
  </si>
  <si>
    <t>+393665813493</t>
  </si>
  <si>
    <t>BSC, poslovno podporni center, d.o.o., Kranj – Regionalna razvojna agencija Gorenjske</t>
  </si>
  <si>
    <t xml:space="preserve">BSC, Business Support Center, Ltd, Kranj – Regional Development Agency of Gorenjska </t>
  </si>
  <si>
    <t>Pianificazione ambientale e territoriale</t>
  </si>
  <si>
    <t>SI32865597</t>
  </si>
  <si>
    <t>5891019</t>
  </si>
  <si>
    <t>Cesta Staneta Žagarja-37</t>
  </si>
  <si>
    <t>https://www.bsc-kranj.si/</t>
  </si>
  <si>
    <t>Cesta Staneta Žagarja -37</t>
  </si>
  <si>
    <t>Šimenc</t>
  </si>
  <si>
    <t xml:space="preserve">Dolžan </t>
  </si>
  <si>
    <t>mateja.dolzan@bsc-kranj.si</t>
  </si>
  <si>
    <t>+38647777258</t>
  </si>
  <si>
    <t>Regional Development Centre Koper</t>
  </si>
  <si>
    <t>SI28049705</t>
  </si>
  <si>
    <t>https://www.rrc-kp.si/</t>
  </si>
  <si>
    <t>info@rrc-kp.si</t>
  </si>
  <si>
    <t>Soča valley development centre</t>
  </si>
  <si>
    <t>945744375</t>
  </si>
  <si>
    <t>Trg tigrovcev-1</t>
  </si>
  <si>
    <t>https://www.prc.si/</t>
  </si>
  <si>
    <t>Miro</t>
  </si>
  <si>
    <t>miro.kristan@prc.si</t>
  </si>
  <si>
    <t>+38653841500</t>
  </si>
  <si>
    <t>PP7</t>
  </si>
  <si>
    <t>Municipality of Kobarid</t>
  </si>
  <si>
    <t>SI89371925</t>
  </si>
  <si>
    <t>Trg svobode-2</t>
  </si>
  <si>
    <t>https://www.kobarid.si/</t>
  </si>
  <si>
    <t>Matajurc</t>
  </si>
  <si>
    <t>Lavrenčič</t>
  </si>
  <si>
    <t>marko.lavrencic@kobarid.si</t>
  </si>
  <si>
    <t>+38653899200</t>
  </si>
  <si>
    <t>INVITO PROGETTO STRATEGICO N.02/2022/POVABILO ZA STRATEŠKI PROJEKT ŠT.02/2022 - KRAS-CARSO II</t>
  </si>
  <si>
    <t>ITA-SI0300092</t>
  </si>
  <si>
    <t>KRAS-CARSO II – Gestione congiunta e sviluppo sostenibile dell’area del Carso classico</t>
  </si>
  <si>
    <t>8.0</t>
  </si>
  <si>
    <t>ORA Območna razvojna agencija Krasa in Brkinov d.o.o.</t>
  </si>
  <si>
    <t>Development agency of the Karst and Brkini</t>
  </si>
  <si>
    <t>SI28474066</t>
  </si>
  <si>
    <t xml:space="preserve">6210 </t>
  </si>
  <si>
    <t>https://www.ora.si</t>
  </si>
  <si>
    <t>Fabjan</t>
  </si>
  <si>
    <t>info@ora.si</t>
  </si>
  <si>
    <t xml:space="preserve">057344362 </t>
  </si>
  <si>
    <t xml:space="preserve">Municipality of Sežana </t>
  </si>
  <si>
    <t xml:space="preserve">SI66378443 </t>
  </si>
  <si>
    <t>Partizanska cesta -4</t>
  </si>
  <si>
    <t>Fedrigo</t>
  </si>
  <si>
    <t>katja.fedrigo@sezana.si</t>
  </si>
  <si>
    <t>38657311151</t>
  </si>
  <si>
    <t>Javni zavod park Škocjanske jame</t>
  </si>
  <si>
    <t>Škocjan Caves Public Service Agency</t>
  </si>
  <si>
    <t>SI11690151</t>
  </si>
  <si>
    <t>Škocjan-2</t>
  </si>
  <si>
    <t xml:space="preserve">6215 </t>
  </si>
  <si>
    <t>Vezovnik</t>
  </si>
  <si>
    <t>tjasa.vezovnik@psj.gov.s</t>
  </si>
  <si>
    <t>057082100</t>
  </si>
  <si>
    <t xml:space="preserve">Znanstvenoraziskovalni center Slovenske akademije znanosti in umetnosti </t>
  </si>
  <si>
    <t xml:space="preserve">Research Centre of the Slovenian Academy of Sciences and Arts </t>
  </si>
  <si>
    <t>Istituto per la ricerca sul Carso/ Karst Research Institute</t>
  </si>
  <si>
    <t>SI38048183</t>
  </si>
  <si>
    <t>Novi trg-2</t>
  </si>
  <si>
    <t xml:space="preserve">https://www.zrc-sazu.si/en ; https://izrkp.zrc-sazu.si/en </t>
  </si>
  <si>
    <t>Titov trg-2</t>
  </si>
  <si>
    <t xml:space="preserve">6230 </t>
  </si>
  <si>
    <t>Oto</t>
  </si>
  <si>
    <t>Luthar</t>
  </si>
  <si>
    <t>Astrid</t>
  </si>
  <si>
    <t>Švara</t>
  </si>
  <si>
    <t>astrid.svara@zrc-sazu.si</t>
  </si>
  <si>
    <t>041764190</t>
  </si>
  <si>
    <t>Zavod Republike Slovenije za varstvo narave</t>
  </si>
  <si>
    <t>Institute of the Republic of Slovenia for Nature Conservation</t>
  </si>
  <si>
    <t xml:space="preserve">Unità Nova Gorica-Regional Unit Nova Gorica </t>
  </si>
  <si>
    <t>SI53845285</t>
  </si>
  <si>
    <t>Tobačna ulica -5</t>
  </si>
  <si>
    <t>https://zrsvn-varstvonarave.si/</t>
  </si>
  <si>
    <t>Delpinova -16</t>
  </si>
  <si>
    <t>Mag.</t>
  </si>
  <si>
    <t>Teo Hrvoje</t>
  </si>
  <si>
    <t>Oršanič</t>
  </si>
  <si>
    <t>Stupar</t>
  </si>
  <si>
    <t>martina.stupar@zrsvn.si</t>
  </si>
  <si>
    <t>+38631486323</t>
  </si>
  <si>
    <t xml:space="preserve">Univerza na Primorskem - Universita’ del Litorale  </t>
  </si>
  <si>
    <t>Facoltà di studi turistici - Turistica</t>
  </si>
  <si>
    <t xml:space="preserve">SI71633065 </t>
  </si>
  <si>
    <t>Titov trg-4</t>
  </si>
  <si>
    <t>Koper-Capodistria</t>
  </si>
  <si>
    <t xml:space="preserve"> https://www.upr.si/     https://www.turistica.si/ </t>
  </si>
  <si>
    <t>Obala -11a</t>
  </si>
  <si>
    <t xml:space="preserve">6320 </t>
  </si>
  <si>
    <t xml:space="preserve">Portorož </t>
  </si>
  <si>
    <t>Paliska</t>
  </si>
  <si>
    <t>dejan.paliska@fts.upr.si</t>
  </si>
  <si>
    <t>040236733</t>
  </si>
  <si>
    <t xml:space="preserve">Geološki zavod Slovenije </t>
  </si>
  <si>
    <t xml:space="preserve">Geological Survey of Slovenia  </t>
  </si>
  <si>
    <t xml:space="preserve">SI23064145 </t>
  </si>
  <si>
    <t>Dimičeva ulica -14</t>
  </si>
  <si>
    <t xml:space="preserve">www.geo-zs.si </t>
  </si>
  <si>
    <t>Miloš</t>
  </si>
  <si>
    <t>Bavec</t>
  </si>
  <si>
    <t>Matevž</t>
  </si>
  <si>
    <t>Novak</t>
  </si>
  <si>
    <t>Matevz.Novak@GEO-ZS.si</t>
  </si>
  <si>
    <t>012809781</t>
  </si>
  <si>
    <t>PP8</t>
  </si>
  <si>
    <t xml:space="preserve">Friuli Venezia Giulia Autonomous Region  </t>
  </si>
  <si>
    <t xml:space="preserve">Direzione Centrale Difesa dell’Ambiente Energia e Sviluppo Sostenibile - Servizio Geologico  </t>
  </si>
  <si>
    <t xml:space="preserve">IT00526040324 </t>
  </si>
  <si>
    <t>Piazza Unità d’Italia -1</t>
  </si>
  <si>
    <t xml:space="preserve">34100 </t>
  </si>
  <si>
    <t xml:space="preserve">http://www.regione.fvg.it </t>
  </si>
  <si>
    <t>via S. Anastasio-3</t>
  </si>
  <si>
    <t xml:space="preserve">34132 </t>
  </si>
  <si>
    <t>Fattor</t>
  </si>
  <si>
    <t>Bensi</t>
  </si>
  <si>
    <t>sara.bensi@regione.fvg.it</t>
  </si>
  <si>
    <t>+393346385188</t>
  </si>
  <si>
    <t>PP9</t>
  </si>
  <si>
    <t>GAL Carso- LAS Kras</t>
  </si>
  <si>
    <t>LAG Carso-Kras</t>
  </si>
  <si>
    <t>Piazza Vittorio Veneto -4</t>
  </si>
  <si>
    <t xml:space="preserve"> 34132</t>
  </si>
  <si>
    <t>Pernarcic@galcarso.eu</t>
  </si>
  <si>
    <t>0409778593 +393462368719</t>
  </si>
  <si>
    <t>PP10</t>
  </si>
  <si>
    <t>Unità turismo</t>
  </si>
  <si>
    <t xml:space="preserve">IT01218220323 </t>
  </si>
  <si>
    <t>Via Locchi  -19</t>
  </si>
  <si>
    <t xml:space="preserve">34123 </t>
  </si>
  <si>
    <t>http://www.promoturismo.fvg.it</t>
  </si>
  <si>
    <t xml:space="preserve"> 33052</t>
  </si>
  <si>
    <t xml:space="preserve">Antonio </t>
  </si>
  <si>
    <t>+39 0431 387 129</t>
  </si>
  <si>
    <t>PP11</t>
  </si>
  <si>
    <t xml:space="preserve">Dipartimento di Matematica e Geoscienze – Università degli Studi di Trieste </t>
  </si>
  <si>
    <t>Via E. Waiss -2</t>
  </si>
  <si>
    <t xml:space="preserve">34128 </t>
  </si>
  <si>
    <t xml:space="preserve"> https://dmg.units.it/ </t>
  </si>
  <si>
    <t>Del Santo</t>
  </si>
  <si>
    <t>Luca</t>
  </si>
  <si>
    <t>Zini</t>
  </si>
  <si>
    <t>zini@units.it</t>
  </si>
  <si>
    <t>+393398754248</t>
  </si>
  <si>
    <t>PP12</t>
  </si>
  <si>
    <t xml:space="preserve">Università degli Studi di Padova </t>
  </si>
  <si>
    <t>University of Padova</t>
  </si>
  <si>
    <t>Dipartimento di Geoscienze</t>
  </si>
  <si>
    <t xml:space="preserve">IT00742430283 </t>
  </si>
  <si>
    <t>Via Gradenigo-6</t>
  </si>
  <si>
    <t xml:space="preserve">https://www.geoscienze.unipd.it/ </t>
  </si>
  <si>
    <t>Surian</t>
  </si>
  <si>
    <t>Prof</t>
  </si>
  <si>
    <t xml:space="preserve">Nereo </t>
  </si>
  <si>
    <t>Preto</t>
  </si>
  <si>
    <t>nereo.preto@unipd.it</t>
  </si>
  <si>
    <t>049 827 9174</t>
  </si>
  <si>
    <t>INVITO PROGETTO STRATEGICO N.03/2022/POVABILO ZA STRATEŠKI PROJEKT ŠT.03/2022 - POSEIDONE</t>
  </si>
  <si>
    <t>ITA-SI0400091</t>
  </si>
  <si>
    <t>Promozione di infrastrutture verdi e blu dedicate a un nuovo ambiente</t>
  </si>
  <si>
    <t>9.0</t>
  </si>
  <si>
    <t>GAL VENEZIA ORIENTALE</t>
  </si>
  <si>
    <t>LAG EASTERN VENICE</t>
  </si>
  <si>
    <t>Vittorio Cimetta-1</t>
  </si>
  <si>
    <t>www.vegal.it</t>
  </si>
  <si>
    <t>00390421394202</t>
  </si>
  <si>
    <t>Regione del Veneto</t>
  </si>
  <si>
    <t>Veneto Region</t>
  </si>
  <si>
    <t>Direzione Turismo – Unità Organizzativa Strategia regionale della Biodiversità e dei Parchi</t>
  </si>
  <si>
    <t>888981042</t>
  </si>
  <si>
    <t>Palazzo Balbi - Dorsoduro-3901</t>
  </si>
  <si>
    <t>https://www.regione.veneto.it</t>
  </si>
  <si>
    <t>Palazzo Sceriman - Cannaregio-168</t>
  </si>
  <si>
    <t>Mauro Giovanni</t>
  </si>
  <si>
    <t>Viti</t>
  </si>
  <si>
    <t>De Osti</t>
  </si>
  <si>
    <t>mauro.deosti@regione.veneto.it</t>
  </si>
  <si>
    <t>00390412795683</t>
  </si>
  <si>
    <t xml:space="preserve">VENETO ORIENTALE LAND RECLAMATION BOARD </t>
  </si>
  <si>
    <t>E.36.00</t>
  </si>
  <si>
    <t xml:space="preserve">San Donà di Piave </t>
  </si>
  <si>
    <t>https://www.bonificavenetorientale.it</t>
  </si>
  <si>
    <t xml:space="preserve">Graziano </t>
  </si>
  <si>
    <t xml:space="preserve">0039 0421392511 </t>
  </si>
  <si>
    <t>CORILA – Consorzio per il coordinamento delle ricerche inerenti al sistema lagunare di Venezia</t>
  </si>
  <si>
    <t>CORILA – Consortium for coordination of research activities concerning the Venice lagoon system</t>
  </si>
  <si>
    <t>03338290277</t>
  </si>
  <si>
    <t>997353225</t>
  </si>
  <si>
    <t>San Polo -19</t>
  </si>
  <si>
    <t>30125</t>
  </si>
  <si>
    <t>http://www.corila.it</t>
  </si>
  <si>
    <t>Marcomini</t>
  </si>
  <si>
    <t>Pierpaolo</t>
  </si>
  <si>
    <t>Campostrini</t>
  </si>
  <si>
    <t>campostrini@corila.it</t>
  </si>
  <si>
    <t>0039 0412402511</t>
  </si>
  <si>
    <t>Comune di Staranzano – Organo Gestore Riserva Naturale Foce Isonzo</t>
  </si>
  <si>
    <t>Municipality of Staranzano – Management body of Isonzo Rivermouth Nature Reserve</t>
  </si>
  <si>
    <t>00123080319</t>
  </si>
  <si>
    <t>Piazza Dante Alighieri-26</t>
  </si>
  <si>
    <t xml:space="preserve">34079 </t>
  </si>
  <si>
    <t>Staranzano</t>
  </si>
  <si>
    <t>http://www.comune.staranzano.go.it/</t>
  </si>
  <si>
    <t>Marchesan</t>
  </si>
  <si>
    <t>Agnese</t>
  </si>
  <si>
    <t>Presotto</t>
  </si>
  <si>
    <t>agnese.presotto@com-staranzano.regione.fvg.it</t>
  </si>
  <si>
    <t>0039 0481716912</t>
  </si>
  <si>
    <t>Fondazione WWF Italia</t>
  </si>
  <si>
    <t>WWF Italy Foundation</t>
  </si>
  <si>
    <t>N.a.</t>
  </si>
  <si>
    <t>15920201009</t>
  </si>
  <si>
    <t>C.F. 97393950585</t>
  </si>
  <si>
    <t>889491941</t>
  </si>
  <si>
    <t>Via Po-25/C</t>
  </si>
  <si>
    <t>00198</t>
  </si>
  <si>
    <t>www.ampmiramare.it</t>
  </si>
  <si>
    <t>Via Beirut -2/4</t>
  </si>
  <si>
    <t>Gabriella</t>
  </si>
  <si>
    <t>Fabotti</t>
  </si>
  <si>
    <t>Spoto</t>
  </si>
  <si>
    <t>m.spoto@wwf.it</t>
  </si>
  <si>
    <t xml:space="preserve">0039040224147  </t>
  </si>
  <si>
    <t>https://www.rrc-kp.si</t>
  </si>
  <si>
    <t>Tina</t>
  </si>
  <si>
    <t>Primozic</t>
  </si>
  <si>
    <t>tina.primozic@rrc-kp.si</t>
  </si>
  <si>
    <t>00386 5 6637 590</t>
  </si>
  <si>
    <t>Javni zavod Krajinski park Strunjan</t>
  </si>
  <si>
    <t>Public Institute Landscape Park Strunjan</t>
  </si>
  <si>
    <t>E.39.00</t>
  </si>
  <si>
    <t>71620176</t>
  </si>
  <si>
    <t>Strunjan-152</t>
  </si>
  <si>
    <t>6320</t>
  </si>
  <si>
    <t>Portorož</t>
  </si>
  <si>
    <t>https://parkstrunjan.si/en/</t>
  </si>
  <si>
    <t>Starman</t>
  </si>
  <si>
    <t>Makovac</t>
  </si>
  <si>
    <t>samanta.makovac@gov.si</t>
  </si>
  <si>
    <t>+386 8 205 18 82</t>
  </si>
  <si>
    <t>Društvo za opazovanje in proučevanje ptic Slovenije</t>
  </si>
  <si>
    <t xml:space="preserve">DOPPS – BirdLife Slovenia </t>
  </si>
  <si>
    <t>Manager of the Škocjanski zatok Nature Reserve</t>
  </si>
  <si>
    <t>R.91.04</t>
  </si>
  <si>
    <t>SI68956029</t>
  </si>
  <si>
    <t>934175670</t>
  </si>
  <si>
    <t>Tržaška cesta-2</t>
  </si>
  <si>
    <t>https://www.skocjanski-zatok.org</t>
  </si>
  <si>
    <t>Sermin-50</t>
  </si>
  <si>
    <t>ŠUMRADA</t>
  </si>
  <si>
    <t>LIPEJ</t>
  </si>
  <si>
    <t>bojana.lipej@dopps.si</t>
  </si>
  <si>
    <t>+386 5 626 03 70</t>
  </si>
  <si>
    <t xml:space="preserve">Občina Ankaran </t>
  </si>
  <si>
    <t>Municipality of Ankaran</t>
  </si>
  <si>
    <t>Krajinski park Debeli rtič – Parco Naturale Punta grossa - Landscape park Debeli rtič</t>
  </si>
  <si>
    <t>Jadranska cesta-66</t>
  </si>
  <si>
    <t xml:space="preserve">Ankaran </t>
  </si>
  <si>
    <t>www.obcina-ankaran.si</t>
  </si>
  <si>
    <t>Strmčnik</t>
  </si>
  <si>
    <t>Neža</t>
  </si>
  <si>
    <t>Hervatič</t>
  </si>
  <si>
    <t>neza.hervatic@obcina-ankaran.si</t>
  </si>
  <si>
    <t>+386 51 288 191</t>
  </si>
  <si>
    <t>+386 5 663 77 00</t>
  </si>
  <si>
    <t>Kmetijsko gozdarska zbornica Slovenije Kmetijsko gozdarski zavod Nova Gorica</t>
  </si>
  <si>
    <t>Chamber of Agriculture and Forestry of Slovenia Institute of Agriculture and Forestry Nova Gorica</t>
  </si>
  <si>
    <t>SI19169884</t>
  </si>
  <si>
    <t>939876651</t>
  </si>
  <si>
    <t>Pri hrastu-18</t>
  </si>
  <si>
    <t>https://www.kmetijskizavod-ng.si/</t>
  </si>
  <si>
    <t>Čuk</t>
  </si>
  <si>
    <t>Karmen</t>
  </si>
  <si>
    <t>Bizjak Bat</t>
  </si>
  <si>
    <t>karmen.bizjak_bat@go.kgzs.si</t>
  </si>
  <si>
    <t>+386 (0)5 33 51 239</t>
  </si>
  <si>
    <t>INVITO n. 04/2022 per l’attuazione dell’Operazione “Fondo per Piccoli Progetti - SPF". VABILO št. 04/2022 za izvajanje operacije “Sklada za male projekte – SMP”.</t>
  </si>
  <si>
    <t>ITA-SI0500103</t>
  </si>
  <si>
    <t>Fondo per piccoli progetti GO! 2025</t>
  </si>
  <si>
    <t>Gruppo Europeo di Cooperazione Territoriale GO / Evropsko združenje za teritorialno sodelovanje GO</t>
  </si>
  <si>
    <t>European Grouping of Territorial Cooperation GO</t>
  </si>
  <si>
    <t>Territorio dei comuni: Comune di Gorizia (I), Mestna občina Nova Gorica (Slo) e Občina Šempeter-Vrtojba (Slo)</t>
  </si>
  <si>
    <t>895631847</t>
  </si>
  <si>
    <t>www.euro-go.eu</t>
  </si>
  <si>
    <t>+39 0481 535446</t>
  </si>
  <si>
    <t>BANDO PER  PROGETTI  STANDARD N. 2/2023 / RAZPIS ZA STANDARDNE PROJEKTE ŠT 02/2023</t>
  </si>
  <si>
    <t>Panaccione</t>
  </si>
  <si>
    <t>Vipavska-11c</t>
  </si>
  <si>
    <t>Giovanni</t>
  </si>
  <si>
    <t>Juvančič</t>
  </si>
  <si>
    <t>Science and Research Centre Koper</t>
  </si>
  <si>
    <t>Garibaldijeva ulica-1</t>
  </si>
  <si>
    <t>PhD</t>
  </si>
  <si>
    <t>Šajn</t>
  </si>
  <si>
    <t>00386 5 66 37 706</t>
  </si>
  <si>
    <t xml:space="preserve">Univerza v Novi Gorici </t>
  </si>
  <si>
    <t xml:space="preserve">https://www.ung.si </t>
  </si>
  <si>
    <t>Melita</t>
  </si>
  <si>
    <t>Chiara</t>
  </si>
  <si>
    <t>ricerca.di4a@uniud.it</t>
  </si>
  <si>
    <t>ITA-SI0600113</t>
  </si>
  <si>
    <t>DANTE</t>
  </si>
  <si>
    <t>Pratiche culturali sostenibili e resilienti per un’offerta innovativa e integrata di turismo letterario</t>
  </si>
  <si>
    <t>IZOLA</t>
  </si>
  <si>
    <t>Občina Izola</t>
  </si>
  <si>
    <t>Municipality of Izola</t>
  </si>
  <si>
    <t>SI16510801</t>
  </si>
  <si>
    <t>Sončno nabrežje-8</t>
  </si>
  <si>
    <t>www.izola.si</t>
  </si>
  <si>
    <t>Bogatič</t>
  </si>
  <si>
    <t>Autonomous Region of Friuli Venezia Giulia</t>
  </si>
  <si>
    <t>Piazza Unità d’Italia-1</t>
  </si>
  <si>
    <t>+39 040 3773414</t>
  </si>
  <si>
    <t>TMUZ</t>
  </si>
  <si>
    <t>Tolminski Muzej</t>
  </si>
  <si>
    <t>Tolmin Museum</t>
  </si>
  <si>
    <t>R.91.02</t>
  </si>
  <si>
    <t>65295609</t>
  </si>
  <si>
    <t>881721562</t>
  </si>
  <si>
    <t>Mestni trg-4</t>
  </si>
  <si>
    <t>www.tol-muzej.si</t>
  </si>
  <si>
    <t>Koren</t>
  </si>
  <si>
    <t>muzej@tol-muzej.si</t>
  </si>
  <si>
    <t>+386 5 381 13 60</t>
  </si>
  <si>
    <t>TOLMEZZO</t>
  </si>
  <si>
    <t>Comune di Tolmezzo</t>
  </si>
  <si>
    <t>Municipality of Tolmezzo</t>
  </si>
  <si>
    <t>00598390300</t>
  </si>
  <si>
    <t>Piazza XX settembre-1</t>
  </si>
  <si>
    <t>33028</t>
  </si>
  <si>
    <t>Tolmezzo</t>
  </si>
  <si>
    <t>https://www.comune.tolmezzo.ud.it/</t>
  </si>
  <si>
    <t>Vicentini</t>
  </si>
  <si>
    <t xml:space="preserve">Gianpaolo </t>
  </si>
  <si>
    <t>Pati</t>
  </si>
  <si>
    <t>segreteria@comune.tolmezzo.ud.it</t>
  </si>
  <si>
    <t>+39 433 487970</t>
  </si>
  <si>
    <t>IRRIS</t>
  </si>
  <si>
    <t xml:space="preserve">  Inštitut IRRIS za raziskave, razvoj in strategije družbe, kulture in okolja</t>
  </si>
  <si>
    <t>Institute IRRIS for research, development and strategies of society, culture and environment</t>
  </si>
  <si>
    <t>M.72.20</t>
  </si>
  <si>
    <t>35865199</t>
  </si>
  <si>
    <t>916132894</t>
  </si>
  <si>
    <t>Čentur-1f</t>
  </si>
  <si>
    <t>6273</t>
  </si>
  <si>
    <t>Marezige</t>
  </si>
  <si>
    <t>https://www.irris.eu/</t>
  </si>
  <si>
    <t xml:space="preserve">Darko </t>
  </si>
  <si>
    <t>Darovec</t>
  </si>
  <si>
    <t>Darko</t>
  </si>
  <si>
    <t>irris@irris.eu</t>
  </si>
  <si>
    <t>+386 599 60357</t>
  </si>
  <si>
    <t>CEGGIA</t>
  </si>
  <si>
    <t>Comune di Ceggia</t>
  </si>
  <si>
    <t>Municipality of Ceggia</t>
  </si>
  <si>
    <t>00516530276</t>
  </si>
  <si>
    <t>896507854</t>
  </si>
  <si>
    <t>Piazza 13 Martiri-1</t>
  </si>
  <si>
    <t>30022</t>
  </si>
  <si>
    <t>Ceggia</t>
  </si>
  <si>
    <t>https://www.comune.ceggia.ve.it</t>
  </si>
  <si>
    <t>Mirko</t>
  </si>
  <si>
    <t>Marin</t>
  </si>
  <si>
    <t>Rota</t>
  </si>
  <si>
    <t>franco.rota@eurotrieste.it</t>
  </si>
  <si>
    <t>+39 335 6623120</t>
  </si>
  <si>
    <t>Uroš</t>
  </si>
  <si>
    <t>Municipality of Nova Gorica</t>
  </si>
  <si>
    <t>Trg Edvarda Kardelja -1</t>
  </si>
  <si>
    <t>Župan</t>
  </si>
  <si>
    <t>Turel</t>
  </si>
  <si>
    <t>Mermolja</t>
  </si>
  <si>
    <t>https://www.units.it/</t>
  </si>
  <si>
    <t>3904910241</t>
  </si>
  <si>
    <t>Guido</t>
  </si>
  <si>
    <t>Jožef Stefan Institute</t>
  </si>
  <si>
    <t>30015</t>
  </si>
  <si>
    <t>Chioggia</t>
  </si>
  <si>
    <t>IT00972010326</t>
  </si>
  <si>
    <t>Via Marco Tullio Cicerone-8</t>
  </si>
  <si>
    <t>Organizzazione internazionale, GEIE</t>
  </si>
  <si>
    <t>Mestre</t>
  </si>
  <si>
    <t xml:space="preserve">www.rrc-kp.si </t>
  </si>
  <si>
    <t>Pirano</t>
  </si>
  <si>
    <t>Piazza della Repubblica -8</t>
  </si>
  <si>
    <t xml:space="preserve">www.comune.monfalcone.go.it </t>
  </si>
  <si>
    <t xml:space="preserve">Orescanin </t>
  </si>
  <si>
    <t>rada.orescanin@comune.monfalcone.go.it</t>
  </si>
  <si>
    <t>Univ Lubiana</t>
  </si>
  <si>
    <t>Pot pomorščakov-4</t>
  </si>
  <si>
    <t>ITA-SI0600129</t>
  </si>
  <si>
    <t xml:space="preserve">4P </t>
  </si>
  <si>
    <t>Percorsi transfrontalieri scoprendo Pier Paolo Pasolini</t>
  </si>
  <si>
    <t>Politiche internazionali
Servizio Politiche europee</t>
  </si>
  <si>
    <t xml:space="preserve"> 00081570939</t>
  </si>
  <si>
    <t>80002150938</t>
  </si>
  <si>
    <t>Corso Vittorio Emanuele II, -64</t>
  </si>
  <si>
    <t>politiche.europee@comune.pordenone.it</t>
  </si>
  <si>
    <t>+39 0434 392566</t>
  </si>
  <si>
    <t>CSP</t>
  </si>
  <si>
    <t>Centro Studi P.P.  Pasolini</t>
  </si>
  <si>
    <t>Study center P.P. Pasolini</t>
  </si>
  <si>
    <t>Direzione</t>
  </si>
  <si>
    <t>M.71.11</t>
  </si>
  <si>
    <t>01555120938</t>
  </si>
  <si>
    <t>via Guido Alberto Pasolini,      -4</t>
  </si>
  <si>
    <t xml:space="preserve">33072 </t>
  </si>
  <si>
    <t>Casarsa della Delizia (PN)</t>
  </si>
  <si>
    <t>http://www.centrostudipierpaolopasolinicasarsa.it/</t>
  </si>
  <si>
    <t>Leonarduzzi</t>
  </si>
  <si>
    <t>info@centrostudipasolini.it</t>
  </si>
  <si>
    <t>(+39) 0434 870593</t>
  </si>
  <si>
    <t>Direzione sviluppo progetti</t>
  </si>
  <si>
    <t>Sestiere San Marco -1163</t>
  </si>
  <si>
    <t xml:space="preserve">30124 </t>
  </si>
  <si>
    <t>https://www.venetiancluster.eu/it/</t>
  </si>
  <si>
    <t>+39 347 456 7010</t>
  </si>
  <si>
    <t>OI</t>
  </si>
  <si>
    <t>Občina Idrija</t>
  </si>
  <si>
    <t>Municipality of Idrja</t>
  </si>
  <si>
    <t>Cultura</t>
  </si>
  <si>
    <t>SI 20497423</t>
  </si>
  <si>
    <t>938608958</t>
  </si>
  <si>
    <t>Mestni trg -1</t>
  </si>
  <si>
    <t xml:space="preserve">5280 </t>
  </si>
  <si>
    <t xml:space="preserve">Idrija </t>
  </si>
  <si>
    <t>www.idrija.si</t>
  </si>
  <si>
    <t xml:space="preserve">Tomaž </t>
  </si>
  <si>
    <t>Vencelj</t>
  </si>
  <si>
    <t xml:space="preserve">Lenka </t>
  </si>
  <si>
    <t>Grošelj</t>
  </si>
  <si>
    <t>lenka.groselj@idrija.si</t>
  </si>
  <si>
    <t>00386 5 37 34 527</t>
  </si>
  <si>
    <t>ICRA</t>
  </si>
  <si>
    <t>Idrijsko-Cerkljanska razvojna agencija d.o.o. Idrija</t>
  </si>
  <si>
    <t>Development Agency of Idrija and Cerkno ltd Idrija</t>
  </si>
  <si>
    <t>ICRA d.o.o. Idrija</t>
  </si>
  <si>
    <t>SI93276583</t>
  </si>
  <si>
    <t>945953410</t>
  </si>
  <si>
    <t>Mestni trg , -1</t>
  </si>
  <si>
    <t xml:space="preserve">www.icra.si </t>
  </si>
  <si>
    <t xml:space="preserve">Jožica </t>
  </si>
  <si>
    <t xml:space="preserve">Mateja </t>
  </si>
  <si>
    <t>Bizjak</t>
  </si>
  <si>
    <t>mateja.bizjak@icra.si</t>
  </si>
  <si>
    <t>00386 5 37 43 911</t>
  </si>
  <si>
    <t>Univerisity of Nova Gorica</t>
  </si>
  <si>
    <t xml:space="preserve">SI29880068 </t>
  </si>
  <si>
    <t>Vipavska cesta   -13</t>
  </si>
  <si>
    <t>Prof. Dr. Rector</t>
  </si>
  <si>
    <t xml:space="preserve">Boštjan , </t>
  </si>
  <si>
    <t xml:space="preserve">Golob </t>
  </si>
  <si>
    <t xml:space="preserve">Mag. </t>
  </si>
  <si>
    <t xml:space="preserve">Acri </t>
  </si>
  <si>
    <t>marco.acri@ung.si</t>
  </si>
  <si>
    <t>+386 5 62 05 259</t>
  </si>
  <si>
    <t>ITA-SI0600132</t>
  </si>
  <si>
    <t>CircularRainbow</t>
  </si>
  <si>
    <t xml:space="preserve">Favorire una troticoltura circolare che ottimizza produzione, sostenibilità ambientale ed economica e risponde agli effetti dei cambiamenti climatici </t>
  </si>
  <si>
    <t>UDINE</t>
  </si>
  <si>
    <t>delle Scienze- 206</t>
  </si>
  <si>
    <t xml:space="preserve">Edi </t>
  </si>
  <si>
    <t xml:space="preserve">UNILJ </t>
  </si>
  <si>
    <t xml:space="preserve">University of Ljubljana </t>
  </si>
  <si>
    <t>Facoltà di Biotecnologie - Dipartimento di Zootecnia, Dipartimento di Scienze Zootecniche</t>
  </si>
  <si>
    <t xml:space="preserve">Ljubljana </t>
  </si>
  <si>
    <t>www.bf.uni-lj.si</t>
  </si>
  <si>
    <t>Jamnikarjeva ulica -101</t>
  </si>
  <si>
    <t xml:space="preserve">  1000</t>
  </si>
  <si>
    <t xml:space="preserve">LJUBLJANA </t>
  </si>
  <si>
    <t>Profesor</t>
  </si>
  <si>
    <t xml:space="preserve">Majdič </t>
  </si>
  <si>
    <t>Assistant Professor</t>
  </si>
  <si>
    <t xml:space="preserve">Dušan </t>
  </si>
  <si>
    <t>Terčič</t>
  </si>
  <si>
    <t>dusan.tercic@bf.uni-lj.si</t>
  </si>
  <si>
    <t>+386 1 320 3 915</t>
  </si>
  <si>
    <t>BLUEFARM</t>
  </si>
  <si>
    <t>Bluefarm srl</t>
  </si>
  <si>
    <t>A.01.12</t>
  </si>
  <si>
    <t>04224550279</t>
  </si>
  <si>
    <t>72.10 Research and experimental development on natural sciences and engineering (en)</t>
  </si>
  <si>
    <t>946465376</t>
  </si>
  <si>
    <t>Sestriere Castello-2967</t>
  </si>
  <si>
    <t>www.bluefarmenvironment.com</t>
  </si>
  <si>
    <t>Sestriere Castello -2967</t>
  </si>
  <si>
    <t>Borga</t>
  </si>
  <si>
    <t>admin@bluefarmenvironment.com</t>
  </si>
  <si>
    <t>+39 3386701827</t>
  </si>
  <si>
    <t>KGZS-Zavod KR</t>
  </si>
  <si>
    <t xml:space="preserve">Kmetijsko gozdarska zbornica Slovenije kmetijsko gozdarski zavod Kranj (KGZS-Zavod KR) </t>
  </si>
  <si>
    <t>Chamber of Agriculture and Forestry of Slovenia Institution of Agriculture and Forestry Kranj (KGZS-Zavod KR)</t>
  </si>
  <si>
    <t>SI 91502543</t>
  </si>
  <si>
    <t>Cesta Iva Slavca -1</t>
  </si>
  <si>
    <t xml:space="preserve">4000 </t>
  </si>
  <si>
    <t>KRANJ</t>
  </si>
  <si>
    <t>www.kgz-kranj.si</t>
  </si>
  <si>
    <t>g</t>
  </si>
  <si>
    <t xml:space="preserve">Miha </t>
  </si>
  <si>
    <t>+38651351845</t>
  </si>
  <si>
    <t>Verdijeva ulica-10</t>
  </si>
  <si>
    <t>www.koper.si</t>
  </si>
  <si>
    <t>Piazza Unità d'Italia -1</t>
  </si>
  <si>
    <t>Pregelj</t>
  </si>
  <si>
    <t>Filipčič</t>
  </si>
  <si>
    <t>Gasparetto</t>
  </si>
  <si>
    <t>GOLEA</t>
  </si>
  <si>
    <t>Goriška Lokalna Energetska Agencija, Nova Gorica</t>
  </si>
  <si>
    <t>Goriška Local Energy Agency, Nova Gorica</t>
  </si>
  <si>
    <t>SI78059038</t>
  </si>
  <si>
    <t>953571208</t>
  </si>
  <si>
    <t>www.golea.si</t>
  </si>
  <si>
    <t>Rajko</t>
  </si>
  <si>
    <t>Leban</t>
  </si>
  <si>
    <t>CODICE FISCALE</t>
  </si>
  <si>
    <t>ITA-SI0600136</t>
  </si>
  <si>
    <t>T4RAIL IT-SI</t>
  </si>
  <si>
    <t xml:space="preserve">Innovazione tecnologica nelle procedure ferroviarie di attraversamento del confine tra Italia e Slovenia. 
</t>
  </si>
  <si>
    <t>RFI</t>
  </si>
  <si>
    <t>Rete Ferroviaria Italiana</t>
  </si>
  <si>
    <t xml:space="preserve">Italian Railway Network </t>
  </si>
  <si>
    <t xml:space="preserve">Direzione Affari Istituzionali e Sostenibilità Polo Infrastrutture </t>
  </si>
  <si>
    <t>F.42.12</t>
  </si>
  <si>
    <t>01008081000</t>
  </si>
  <si>
    <t xml:space="preserve">01585570581 </t>
  </si>
  <si>
    <t>999434360</t>
  </si>
  <si>
    <t>Piazza della Croce Rossa -1</t>
  </si>
  <si>
    <t>00161</t>
  </si>
  <si>
    <t>www.rfi.it</t>
  </si>
  <si>
    <t>piazza della Croce Rossa-1</t>
  </si>
  <si>
    <t xml:space="preserve">Gianfranco </t>
  </si>
  <si>
    <t>Pignatone</t>
  </si>
  <si>
    <t xml:space="preserve">Simona </t>
  </si>
  <si>
    <t>Garbuglia</t>
  </si>
  <si>
    <t>s.garbuglia@rfi.it</t>
  </si>
  <si>
    <t>+39 0644103987</t>
  </si>
  <si>
    <t>SZ-I</t>
  </si>
  <si>
    <t>SŽ-Infrastruktura, d.o.o</t>
  </si>
  <si>
    <t>SŽ-Infrastruktura, d.o.o.</t>
  </si>
  <si>
    <t>SI 94995737</t>
  </si>
  <si>
    <t>Kolodvorska -11</t>
  </si>
  <si>
    <t xml:space="preserve">https://infrastruktura.sz.si </t>
  </si>
  <si>
    <t>Matjaž</t>
  </si>
  <si>
    <t>Silva</t>
  </si>
  <si>
    <t>silva.kristan@slo-zeleznice.si</t>
  </si>
  <si>
    <t>+38651311159</t>
  </si>
  <si>
    <t>RCC IT</t>
  </si>
  <si>
    <t>Rail Cargo Carrier Italy Srl</t>
  </si>
  <si>
    <t>Lombardia (ITC4)</t>
  </si>
  <si>
    <t>Monza e della Brianza (ITC4D)</t>
  </si>
  <si>
    <t>Sede operativa di Trieste</t>
  </si>
  <si>
    <t>H.49.20</t>
  </si>
  <si>
    <t>02132110061</t>
  </si>
  <si>
    <t>via Filippo da Desio-81</t>
  </si>
  <si>
    <t>20832</t>
  </si>
  <si>
    <t>Desio</t>
  </si>
  <si>
    <t>VIA DELLA RAMPA ORMEGGIO 57-SNC</t>
  </si>
  <si>
    <t>Castelnovo</t>
  </si>
  <si>
    <t>Cojutti</t>
  </si>
  <si>
    <t>marco.cojutti@railcargo.com</t>
  </si>
  <si>
    <t>3283735231</t>
  </si>
  <si>
    <t>RCC-SI</t>
  </si>
  <si>
    <t>Rail Cargo Slovenia, d.o.o.</t>
  </si>
  <si>
    <t>SI 53080459</t>
  </si>
  <si>
    <t>Metelkova ulica-7</t>
  </si>
  <si>
    <t>www.railcargo.com</t>
  </si>
  <si>
    <t>Janežič</t>
  </si>
  <si>
    <t>Damjan</t>
  </si>
  <si>
    <t>Rak</t>
  </si>
  <si>
    <t>damjan.rak@railcargo.com</t>
  </si>
  <si>
    <t>+38651374714</t>
  </si>
  <si>
    <t xml:space="preserve">Università di Trieste - </t>
  </si>
  <si>
    <t>Dipartimento di Scienze Economiche, Aziendali, Matematiche e Statistiche "Bruno de Finetti"</t>
  </si>
  <si>
    <t xml:space="preserve">80013890324 </t>
  </si>
  <si>
    <t>Via A.Valerio-4/1</t>
  </si>
  <si>
    <t>https://deams.units.it/it</t>
  </si>
  <si>
    <t>Donata</t>
  </si>
  <si>
    <t>Vianelli</t>
  </si>
  <si>
    <t>Longo</t>
  </si>
  <si>
    <t>giovanni.longo@dia.units.it</t>
  </si>
  <si>
    <t>+393346798547</t>
  </si>
  <si>
    <t>ULFPP</t>
  </si>
  <si>
    <t>Univerza v Ljubljani (Fakulteta za pomorstvo in promet)</t>
  </si>
  <si>
    <t>University of Ljubljana (Faculty of Maritime Studies and Transport)</t>
  </si>
  <si>
    <t xml:space="preserve">
Faculty of Maritime Studies and Transport (Traffic technology department)</t>
  </si>
  <si>
    <t>Kongresni trg 12-12</t>
  </si>
  <si>
    <t>Beškovnik</t>
  </si>
  <si>
    <t>bojan.beskovnik@fpp.uni-lj.si</t>
  </si>
  <si>
    <t>00386 5 6767236</t>
  </si>
  <si>
    <t>InRail</t>
  </si>
  <si>
    <t>InRail S.p.A.</t>
  </si>
  <si>
    <t>Liguria (ITC3)</t>
  </si>
  <si>
    <t>Genova (ITC33)</t>
  </si>
  <si>
    <t>Sede operativa di Udine</t>
  </si>
  <si>
    <t>H.52.21</t>
  </si>
  <si>
    <t>01633680994</t>
  </si>
  <si>
    <t>Via Operai-8</t>
  </si>
  <si>
    <t>16149</t>
  </si>
  <si>
    <t>GENOVA</t>
  </si>
  <si>
    <t>https://www.inrail.it/index.php/it/</t>
  </si>
  <si>
    <t>Via della Rosta-8</t>
  </si>
  <si>
    <t>Porta</t>
  </si>
  <si>
    <t>Vittorini</t>
  </si>
  <si>
    <t>nadia.vittorini@inrail.it</t>
  </si>
  <si>
    <t>+393440425342</t>
  </si>
  <si>
    <t>SZ-CARGO</t>
  </si>
  <si>
    <t>SŽ - Tovorni promet, d. o. o.</t>
  </si>
  <si>
    <t>SZ-Cargo</t>
  </si>
  <si>
    <t>SI 84667044</t>
  </si>
  <si>
    <t>Kolodvorska ulica-11</t>
  </si>
  <si>
    <t>mag.</t>
  </si>
  <si>
    <t>Rozman Dacar</t>
  </si>
  <si>
    <t>Tancar</t>
  </si>
  <si>
    <t>marko.tancar@slo-zeleznice.si</t>
  </si>
  <si>
    <t>+38612914194</t>
  </si>
  <si>
    <t xml:space="preserve">5290 </t>
  </si>
  <si>
    <t>katja.pregelj@primorski-tp.si</t>
  </si>
  <si>
    <t>00386 5 393 24 50</t>
  </si>
  <si>
    <t xml:space="preserve">Venezia </t>
  </si>
  <si>
    <t>ICGEB</t>
  </si>
  <si>
    <t>90031700322</t>
  </si>
  <si>
    <t>999470444</t>
  </si>
  <si>
    <t>Lawrence</t>
  </si>
  <si>
    <t>Benedetti</t>
  </si>
  <si>
    <t>AREA</t>
  </si>
  <si>
    <t>999549887</t>
  </si>
  <si>
    <t>Sirica</t>
  </si>
  <si>
    <t>http://www.uni-lj.si</t>
  </si>
  <si>
    <t>Ingrid</t>
  </si>
  <si>
    <t>https://www.uniud.it/it</t>
  </si>
  <si>
    <t>00965560329</t>
  </si>
  <si>
    <t>Padriciano-99</t>
  </si>
  <si>
    <t>ITA-SI0600146</t>
  </si>
  <si>
    <t>Karst Firewall 5.0</t>
  </si>
  <si>
    <t>Adattamento innovativo al cambiamento climatico basato sugli ecosistemi. Promuovere un Carso resiliente agli incendi boschivi abbracciando l'approccio dell'industria 5.0.</t>
  </si>
  <si>
    <t>Istituto Universitario di Architettura di Venezia</t>
  </si>
  <si>
    <t>IUAV UNIVERSITY OF VENICE</t>
  </si>
  <si>
    <t>Dipartimento di Culture del Progetto</t>
  </si>
  <si>
    <t>998948293</t>
  </si>
  <si>
    <t>SANTA CROCE TOLENTINI -191</t>
  </si>
  <si>
    <t>http://www.iuav.it</t>
  </si>
  <si>
    <t>Musco</t>
  </si>
  <si>
    <t>francesco.musco@iuav.it</t>
  </si>
  <si>
    <t>+39 3207918986</t>
  </si>
  <si>
    <t>INFOR</t>
  </si>
  <si>
    <t>Infordata Sistemi srl</t>
  </si>
  <si>
    <t>Infordata Sistemi Ltd</t>
  </si>
  <si>
    <t>00933570327</t>
  </si>
  <si>
    <t>0039040367189</t>
  </si>
  <si>
    <t>DUINO</t>
  </si>
  <si>
    <t>Municipality of Duino Aurisina</t>
  </si>
  <si>
    <t>Località Aurisina cave/Nabrežina kamnolomi-25</t>
  </si>
  <si>
    <t>Aurisina- Nabrežina</t>
  </si>
  <si>
    <t>Cartagine</t>
  </si>
  <si>
    <t>marco.cartagine@comune.duino-aurisina.ts.it</t>
  </si>
  <si>
    <t>+39-040-2017300</t>
  </si>
  <si>
    <t>Občina Miren – Kostanjevica</t>
  </si>
  <si>
    <t xml:space="preserve">Mauricij </t>
  </si>
  <si>
    <t xml:space="preserve">Nevenka </t>
  </si>
  <si>
    <t>Nevenka.vuk@miren-kostanjevica.si</t>
  </si>
  <si>
    <t>PINA</t>
  </si>
  <si>
    <t xml:space="preserve">Kulturno izobraževalno društvo - Associazione Culturale ed Educativa - Pina </t>
  </si>
  <si>
    <t>Association for Culture and Education PiNA</t>
  </si>
  <si>
    <t>P.85.60</t>
  </si>
  <si>
    <t>SI30298938</t>
  </si>
  <si>
    <t>948546608</t>
  </si>
  <si>
    <t>Gortanov trg -15</t>
  </si>
  <si>
    <t>www.pina.si/en</t>
  </si>
  <si>
    <t>Borut</t>
  </si>
  <si>
    <t>Jerman</t>
  </si>
  <si>
    <t>borut.jerman@pina.si</t>
  </si>
  <si>
    <t>+386 41 822 698</t>
  </si>
  <si>
    <t>ZRC</t>
  </si>
  <si>
    <t>Znanstvenoraziskovalni center Slovenske akademije znanosti in umetnosti</t>
  </si>
  <si>
    <t>Research Centre of the Slovenian Academy of Sciences and Arts</t>
  </si>
  <si>
    <t xml:space="preserve">Istituto geografico Anton Melik </t>
  </si>
  <si>
    <t>999867950</t>
  </si>
  <si>
    <t>https://www.zrc-sazu.si/</t>
  </si>
  <si>
    <t xml:space="preserve">Oto </t>
  </si>
  <si>
    <t>Breg Valjavec</t>
  </si>
  <si>
    <t>mateja.breg@zrc-sazu.si</t>
  </si>
  <si>
    <t>00386 41 212 263</t>
  </si>
  <si>
    <t>34070</t>
  </si>
  <si>
    <t>SIG.</t>
  </si>
  <si>
    <t>SIG.RA</t>
  </si>
  <si>
    <t>Via G. Mazzini-13</t>
  </si>
  <si>
    <t>+39 0481 533632</t>
  </si>
  <si>
    <t>ITA-SI0600150</t>
  </si>
  <si>
    <t>TORRENT</t>
  </si>
  <si>
    <t>Pratiche comuni per la riduzione del rischio nella gestione dei bacini idrografici dei torrenti</t>
  </si>
  <si>
    <t>UNIVERSITA’ DEGLI STUDI DI UDINE</t>
  </si>
  <si>
    <t>Dipartimento di Scienze AgroAlimentari, Ambientali e Animali – DI4A</t>
  </si>
  <si>
    <t>ARFVG</t>
  </si>
  <si>
    <t>Regione autonoma Friuli Venezia Giulia – Direzione centrale risorse agroalimentari, forestali ed ittiche - Servizio sistemazioni idraulico-forestali irrigazione e bonifica.</t>
  </si>
  <si>
    <t>Autonomous Region of Friuli Venezia Giulia - Central Directorate for Agri-food, Forestry and Fisheries Resources - Hydraulic-forest irrigation and land reclamation system management service.</t>
  </si>
  <si>
    <t>Servizio sistemazioni idraulico-forestali irrigazione e bonifica.</t>
  </si>
  <si>
    <t>Tax number</t>
  </si>
  <si>
    <t>Cecilia Sabbadini-31</t>
  </si>
  <si>
    <t>dott.</t>
  </si>
  <si>
    <t>Di Bernardo</t>
  </si>
  <si>
    <t>fabio.dibernardo@regione.fvg.it</t>
  </si>
  <si>
    <t>+39 0432555258</t>
  </si>
  <si>
    <t>Centro di sviluppo regionale di Capodistria</t>
  </si>
  <si>
    <t>Ulica 15 maja-19</t>
  </si>
  <si>
    <t>Fabbro</t>
  </si>
  <si>
    <t>mojca.fabbro@rrc-kp.si</t>
  </si>
  <si>
    <t>+386 5 663 75 80</t>
  </si>
  <si>
    <t>Facoltà di Biotecnica e Facoltà di Ingegneria Civile e Geodesia</t>
  </si>
  <si>
    <t>SI94761795</t>
  </si>
  <si>
    <t>Zupanc</t>
  </si>
  <si>
    <t>vesna.zupanc@bf.uni-lj.si</t>
  </si>
  <si>
    <t>+386 1 3203 293</t>
  </si>
  <si>
    <t>ITA-SI0600151</t>
  </si>
  <si>
    <t>Ero-STOP</t>
  </si>
  <si>
    <t>Approcci avanzati e sostenibili alla prevenzione dell'erosione del suolo</t>
  </si>
  <si>
    <t>KGZS - NG</t>
  </si>
  <si>
    <t xml:space="preserve"> Chamber of Agriculture and Forestry of Slovenia Institute of Agriculture and Forestry Nova Gorica</t>
  </si>
  <si>
    <t xml:space="preserve">Karmen </t>
  </si>
  <si>
    <t>Cesta 5. maja-6A</t>
  </si>
  <si>
    <t xml:space="preserve">Gospa  </t>
  </si>
  <si>
    <t>Dimitrijevič</t>
  </si>
  <si>
    <t>tanja.dimitrijevic@ajdovscina.si</t>
  </si>
  <si>
    <t>+386 31 827 811</t>
  </si>
  <si>
    <t xml:space="preserve"> Comune di Duino Aurisina - Devin Nabrežina</t>
  </si>
  <si>
    <t>Municipality of Duino-Aurisina</t>
  </si>
  <si>
    <t>913379258</t>
  </si>
  <si>
    <t>Aurisina Cave \ Nabrežina Kamnolomi-25</t>
  </si>
  <si>
    <t>https://www.comune.duino-aurisina.ts.it/it</t>
  </si>
  <si>
    <t>AGOSTINO</t>
  </si>
  <si>
    <t xml:space="preserve"> TOMMASI</t>
  </si>
  <si>
    <t>agostino.tommasi@comune.duino-aurisina.ts.it</t>
  </si>
  <si>
    <t>+39 040-2017305</t>
  </si>
  <si>
    <t>VeGAL</t>
  </si>
  <si>
    <t>IT03170090272</t>
  </si>
  <si>
    <t>Vittorio Cimetta,-1</t>
  </si>
  <si>
    <t>+39 0421394202</t>
  </si>
  <si>
    <t>Jasna</t>
  </si>
  <si>
    <t>Smolar</t>
  </si>
  <si>
    <t>jasna.smolar@fgg.uni-lj.si</t>
  </si>
  <si>
    <t>+386 1 4768 524</t>
  </si>
  <si>
    <t>UNIVERSITÀ IUAV DI VENEZIA</t>
  </si>
  <si>
    <t>IT00708670278</t>
  </si>
  <si>
    <t>SANTA CROCE TOLENTINI-191</t>
  </si>
  <si>
    <t>https://www5.iuav.it/homepage/index.htm</t>
  </si>
  <si>
    <t>BENNO</t>
  </si>
  <si>
    <t>ALBRECHT</t>
  </si>
  <si>
    <t xml:space="preserve"> Giulia</t>
  </si>
  <si>
    <t>Lucertini</t>
  </si>
  <si>
    <t>glucertini@iuav.it</t>
  </si>
  <si>
    <t>+39 3387720724</t>
  </si>
  <si>
    <t>ITA-SI0600152</t>
  </si>
  <si>
    <t>Circular.Buildings</t>
  </si>
  <si>
    <t>STRUMENTI PER UN'EDILIZIA CIRCOLARE TRANSFRONTALIERA</t>
  </si>
  <si>
    <t>ECIPA scarl</t>
  </si>
  <si>
    <t>BUSINESS INNOVATION UNIT</t>
  </si>
  <si>
    <t>via della Pila-3/b</t>
  </si>
  <si>
    <t>VENEZIA</t>
  </si>
  <si>
    <t>DOTT.</t>
  </si>
  <si>
    <t>MATTEO</t>
  </si>
  <si>
    <t>RIBON</t>
  </si>
  <si>
    <t>Dottoressa</t>
  </si>
  <si>
    <t>Barnaba</t>
  </si>
  <si>
    <t>fvg@ecipa.eu</t>
  </si>
  <si>
    <t>0039 041928638</t>
  </si>
  <si>
    <t>PRIMORSKI TEHNOLOŠKI PARK D.O.O</t>
  </si>
  <si>
    <t>PRIMORSKA TECHNOLOGY PARK</t>
  </si>
  <si>
    <t>SI 44124228</t>
  </si>
  <si>
    <t>NUMERO DI REGISTRAZIONE</t>
  </si>
  <si>
    <t xml:space="preserve">Vrtojba, Šempeter pri Gorici </t>
  </si>
  <si>
    <t>GOSPA</t>
  </si>
  <si>
    <t>Uniud</t>
  </si>
  <si>
    <t>Università degli Studi di Udine</t>
  </si>
  <si>
    <t>Dipartimento Politecnico di Ingegneria e Architettura</t>
  </si>
  <si>
    <t>ND</t>
  </si>
  <si>
    <t xml:space="preserve">https://www.uniud.it/ </t>
  </si>
  <si>
    <t>Dr.ssa</t>
  </si>
  <si>
    <t>Damiana</t>
  </si>
  <si>
    <t>Chinese</t>
  </si>
  <si>
    <t>damiana.chinese@uniud.it</t>
  </si>
  <si>
    <t>0039 0432 558024</t>
  </si>
  <si>
    <t>OBRTNO-PODJETNISKA ZBORNICA SLOVENIJE</t>
  </si>
  <si>
    <t>Chamber of Craft and Small business of Slovenia</t>
  </si>
  <si>
    <t>Ufficio finanziamenti UE e internazionali</t>
  </si>
  <si>
    <t>SI62841220</t>
  </si>
  <si>
    <t>nd</t>
  </si>
  <si>
    <t>998803084</t>
  </si>
  <si>
    <t>Celovška-71</t>
  </si>
  <si>
    <t>GOSPOD</t>
  </si>
  <si>
    <t>Dragičević</t>
  </si>
  <si>
    <t>ana.dragicevic@ozs.si</t>
  </si>
  <si>
    <t>00386 (1) 58 30 828</t>
  </si>
  <si>
    <t>PRESIDENTE</t>
  </si>
  <si>
    <t>0039 04067248</t>
  </si>
  <si>
    <t>Institut ‘’Jožef Stefan’’</t>
  </si>
  <si>
    <t>5051606000</t>
  </si>
  <si>
    <t>NUMERO DI ISCRIZIONE AL REGISTRO</t>
  </si>
  <si>
    <t>JAMOVA CESTA-39</t>
  </si>
  <si>
    <t>WWW.IJS.SI</t>
  </si>
  <si>
    <t>DR.</t>
  </si>
  <si>
    <t>BOŠTJAN</t>
  </si>
  <si>
    <t>ZALAR</t>
  </si>
  <si>
    <t>BORIS</t>
  </si>
  <si>
    <t>SUČIĆ</t>
  </si>
  <si>
    <t>BORIS.SUCIC@IJS.SI</t>
  </si>
  <si>
    <t>00386 1 588 52 99</t>
  </si>
  <si>
    <t>ITA-SI0600154</t>
  </si>
  <si>
    <t>PALLIPES</t>
  </si>
  <si>
    <t xml:space="preserve">Il gambero di fiume A. PALLIPES nell’area tra Italia e Slovenia: sentinella dell’ecosistema
</t>
  </si>
  <si>
    <t>Park Škocjanske jame, Slovenija</t>
  </si>
  <si>
    <t>Škocjan Caves Park, Slovenia</t>
  </si>
  <si>
    <t>///</t>
  </si>
  <si>
    <t>//</t>
  </si>
  <si>
    <t>SI-6215</t>
  </si>
  <si>
    <t>///-///</t>
  </si>
  <si>
    <t>0038657082126</t>
  </si>
  <si>
    <t>UNITS-DSV</t>
  </si>
  <si>
    <t xml:space="preserve">University of Trieste </t>
  </si>
  <si>
    <t>Dipartimento di Scienze della Vita – Department of Life Sciences</t>
  </si>
  <si>
    <t>P.le Europa-1</t>
  </si>
  <si>
    <t>Trst</t>
  </si>
  <si>
    <t>Weiss-2</t>
  </si>
  <si>
    <t>Manfrin</t>
  </si>
  <si>
    <t>cmanfrin@units.it</t>
  </si>
  <si>
    <t xml:space="preserve"> +39 040 558 8617</t>
  </si>
  <si>
    <t>KPILB</t>
  </si>
  <si>
    <t xml:space="preserve">Javno Podjetje Komunala Ilirska Bistrica d.o.o. </t>
  </si>
  <si>
    <t>Public company Komunala Ilirska Bistrica d.o.o.</t>
  </si>
  <si>
    <t>E.36</t>
  </si>
  <si>
    <t>SI37819127</t>
  </si>
  <si>
    <t>Prešernova ulica -7</t>
  </si>
  <si>
    <t xml:space="preserve">https://kp-ilb.si/ </t>
  </si>
  <si>
    <t>Umek</t>
  </si>
  <si>
    <t xml:space="preserve">Gospa </t>
  </si>
  <si>
    <t>Kaja</t>
  </si>
  <si>
    <t>kaja.prosen@kp-ilb.si</t>
  </si>
  <si>
    <t>+386 51 672 687</t>
  </si>
  <si>
    <t>ETPI</t>
  </si>
  <si>
    <t>Ente tutela patrimonio ittico</t>
  </si>
  <si>
    <t>Fish conservation regional agency</t>
  </si>
  <si>
    <t xml:space="preserve">00480320308  </t>
  </si>
  <si>
    <t>Colugna -3</t>
  </si>
  <si>
    <t>www.etpi.fvg.it</t>
  </si>
  <si>
    <t>FRANCESCO</t>
  </si>
  <si>
    <t>Miniussi</t>
  </si>
  <si>
    <t>ITA-SI0600155</t>
  </si>
  <si>
    <t>WABIN</t>
  </si>
  <si>
    <t>Bilancio idrico transfrontaliero dei bacini idrogeologici con metodologie integrate e di adattamento ai cambiamenti climatici</t>
  </si>
  <si>
    <t>POLO TECNOLOGICO ALTO ADRIATICO ANDREA GALVANI SCPA</t>
  </si>
  <si>
    <t>UPPER ADRIATIC TECHNOLOGY PARK ANDREA GALVANI SCPA</t>
  </si>
  <si>
    <t>COOPERAZIONE EUROPEA ED INTERNAZIONALE</t>
  </si>
  <si>
    <t>935717388</t>
  </si>
  <si>
    <t>Via Roveredo -20/b</t>
  </si>
  <si>
    <t>www.polotecnologicoaltoadriatico.it</t>
  </si>
  <si>
    <t xml:space="preserve">Valerio </t>
  </si>
  <si>
    <t>euprojects@poloaa.it</t>
  </si>
  <si>
    <t>+39 0434504421</t>
  </si>
  <si>
    <t>UL OGRO</t>
  </si>
  <si>
    <t>Univerza v Ljubljani - Naravoslovnotehniška fakulteta</t>
  </si>
  <si>
    <t>University of Ljubljana - Faculty of Natural Sciences and Engineering</t>
  </si>
  <si>
    <t>Facoltà di Scienze Naturali ed Ingegneria</t>
  </si>
  <si>
    <t>Kongresni trg , 1000 -12</t>
  </si>
  <si>
    <t xml:space="preserve">Aškerčeva cesta -12 </t>
  </si>
  <si>
    <t xml:space="preserve">Prof. Dr.  </t>
  </si>
  <si>
    <t xml:space="preserve">Doc. dr.  </t>
  </si>
  <si>
    <t>Goran</t>
  </si>
  <si>
    <t>Vižintin</t>
  </si>
  <si>
    <t>goran.vizintin@ntf.uni-lj.si</t>
  </si>
  <si>
    <t>+386 1 47 04 554</t>
  </si>
  <si>
    <t xml:space="preserve">Istituto Nazionale di Oceanografia e di Geofisica Sperimentale </t>
  </si>
  <si>
    <t xml:space="preserve">National Institute of Oceanography and Applied Geophysics </t>
  </si>
  <si>
    <t>Sezione di Geofisica</t>
  </si>
  <si>
    <t>Borgo Grotta Gigante -42/C</t>
  </si>
  <si>
    <t>www.ogs.it</t>
  </si>
  <si>
    <t>NIcola</t>
  </si>
  <si>
    <t>Accaino</t>
  </si>
  <si>
    <t>faccaino@ogs.it</t>
  </si>
  <si>
    <t>+390402140467</t>
  </si>
  <si>
    <t>Clera.One</t>
  </si>
  <si>
    <t>Energ+ d.o.o.</t>
  </si>
  <si>
    <t>Ferrarska ulica -30</t>
  </si>
  <si>
    <t>www.clera.com</t>
  </si>
  <si>
    <t xml:space="preserve">Kostja </t>
  </si>
  <si>
    <t>Kostja@clera.one</t>
  </si>
  <si>
    <t>0038630415794</t>
  </si>
  <si>
    <t>Wigwam</t>
  </si>
  <si>
    <t xml:space="preserve">Wigwam Clubs Italia APS </t>
  </si>
  <si>
    <t>Wigwam Clubs Italy APS</t>
  </si>
  <si>
    <t>92071680281</t>
  </si>
  <si>
    <t>935624365</t>
  </si>
  <si>
    <t>Via Porto-8</t>
  </si>
  <si>
    <t>35028</t>
  </si>
  <si>
    <t>Piove di Sacco</t>
  </si>
  <si>
    <t xml:space="preserve">www.wigwam.it </t>
  </si>
  <si>
    <t>Via Pradamano-4</t>
  </si>
  <si>
    <t>Efrem</t>
  </si>
  <si>
    <t>Tassinato</t>
  </si>
  <si>
    <t>direzione@wigwam.it</t>
  </si>
  <si>
    <t xml:space="preserve">+39 049 9704413 </t>
  </si>
  <si>
    <t>Dottor</t>
  </si>
  <si>
    <t>041 928 638</t>
  </si>
  <si>
    <t>https://unive.it</t>
  </si>
  <si>
    <t>ITA-SI0600159</t>
  </si>
  <si>
    <t>CREW</t>
  </si>
  <si>
    <t>VISIONI INCROCIATE</t>
  </si>
  <si>
    <t>SDAG</t>
  </si>
  <si>
    <t>SDAG SpA a socio unico</t>
  </si>
  <si>
    <t>SDAG - Intermodal terminal of Gorizia</t>
  </si>
  <si>
    <t>H.52.10</t>
  </si>
  <si>
    <t>00334280310</t>
  </si>
  <si>
    <t>999675793</t>
  </si>
  <si>
    <t>Stazione Confinaria Sant'Andrea-1</t>
  </si>
  <si>
    <t>www.sdag.it</t>
  </si>
  <si>
    <t>Grendene</t>
  </si>
  <si>
    <t>Eleonora</t>
  </si>
  <si>
    <t>Anut</t>
  </si>
  <si>
    <t>e.anut@sdag.it</t>
  </si>
  <si>
    <t>00390481570411</t>
  </si>
  <si>
    <t>Comune Šempeter</t>
  </si>
  <si>
    <t>Občina Šempeter-Vrtojba</t>
  </si>
  <si>
    <t>Municipality of Šempeter-Vrtojba</t>
  </si>
  <si>
    <t>SI 44857390</t>
  </si>
  <si>
    <t>Trg Ivana Roba -3a</t>
  </si>
  <si>
    <t>https://sempeter-vrtojba.si/it/comune-di-sempeter-vrtojba/</t>
  </si>
  <si>
    <t xml:space="preserve">Mag. Milan </t>
  </si>
  <si>
    <t xml:space="preserve">Turk </t>
  </si>
  <si>
    <t>Nina</t>
  </si>
  <si>
    <t>Fiorelli Derman</t>
  </si>
  <si>
    <t>Nina.Fiorelli@sempeter-vrtojba.si</t>
  </si>
  <si>
    <t>0038653351000</t>
  </si>
  <si>
    <t xml:space="preserve">IUAV </t>
  </si>
  <si>
    <t xml:space="preserve">Università IUAV Venezia </t>
  </si>
  <si>
    <t xml:space="preserve">University IUAV of Venice </t>
  </si>
  <si>
    <t>Santa Croce-191</t>
  </si>
  <si>
    <t xml:space="preserve">Benno </t>
  </si>
  <si>
    <t xml:space="preserve">Albrecht </t>
  </si>
  <si>
    <t xml:space="preserve">Mattia </t>
  </si>
  <si>
    <t xml:space="preserve">Bertin </t>
  </si>
  <si>
    <t>mbertin@iuav.it</t>
  </si>
  <si>
    <t>3334649785</t>
  </si>
  <si>
    <t>Facoltà di Architettura</t>
  </si>
  <si>
    <t xml:space="preserve">SI 54162513 </t>
  </si>
  <si>
    <t>https://www.uni-lj.si/eng/</t>
  </si>
  <si>
    <t>Zoisova cesta-12</t>
  </si>
  <si>
    <t xml:space="preserve">prof. Dr. </t>
  </si>
  <si>
    <t xml:space="preserve"> Majdič </t>
  </si>
  <si>
    <t>Matevz.Juvancic@fa.uni-lj.si</t>
  </si>
  <si>
    <t>+386 1 2000 715</t>
  </si>
  <si>
    <t>Kulturni Dom</t>
  </si>
  <si>
    <t xml:space="preserve">Javni zadov Kulturni dom Nova Gorica </t>
  </si>
  <si>
    <t xml:space="preserve">The Nova Gorica Arts Centre </t>
  </si>
  <si>
    <t>SI21034249</t>
  </si>
  <si>
    <t>Bevkov trg -4</t>
  </si>
  <si>
    <t>https://kulturnidom-ng.si/</t>
  </si>
  <si>
    <t xml:space="preserve">Pavla </t>
  </si>
  <si>
    <t>Jarc</t>
  </si>
  <si>
    <t xml:space="preserve">Jarc </t>
  </si>
  <si>
    <t>direktor@kulturnidom-ng.si</t>
  </si>
  <si>
    <t>0038653354010</t>
  </si>
  <si>
    <t>Darka.jezersekzerjal@koper.si</t>
  </si>
  <si>
    <t>Comune di Udine</t>
  </si>
  <si>
    <t>00168650307</t>
  </si>
  <si>
    <t>989937769</t>
  </si>
  <si>
    <t>Via Lionello-1</t>
  </si>
  <si>
    <t>https://www.comune.udine.it/</t>
  </si>
  <si>
    <t>Alberto Felice</t>
  </si>
  <si>
    <t>De Toni</t>
  </si>
  <si>
    <t>+3904321272934</t>
  </si>
  <si>
    <t>SSO</t>
  </si>
  <si>
    <t>Council of Slovenian Organizations</t>
  </si>
  <si>
    <t>90072160329</t>
  </si>
  <si>
    <t xml:space="preserve">www.ssorg.eu </t>
  </si>
  <si>
    <t>liljana.filipcic@ssopro.eu</t>
  </si>
  <si>
    <t>ITA-SI0600166</t>
  </si>
  <si>
    <t>ALL-MICRO</t>
  </si>
  <si>
    <t>ALLiance to boost cross-border innovation through MICROscopy - 
ALLeanza per stimolare l'innovazione transfrontaliera attraverso la MICROscopia</t>
  </si>
  <si>
    <t>DSV-UniTS</t>
  </si>
  <si>
    <t>PIAZZALE EUROPA-1</t>
  </si>
  <si>
    <t>VIA WEISS-2</t>
  </si>
  <si>
    <t>MAURO</t>
  </si>
  <si>
    <t>TRETIACH</t>
  </si>
  <si>
    <t>GABRIELE</t>
  </si>
  <si>
    <t>BAJ</t>
  </si>
  <si>
    <t>gbaj@units.it</t>
  </si>
  <si>
    <t>+39 0405588676</t>
  </si>
  <si>
    <t>Nanocenter</t>
  </si>
  <si>
    <t>Center odličnosti nanoznanosti in nanotehnologije - Nanocenter</t>
  </si>
  <si>
    <t>Center of excellence in nanoscience and nanotechnology - Nanocenter</t>
  </si>
  <si>
    <t>SI62019651</t>
  </si>
  <si>
    <t>Jamova-39</t>
  </si>
  <si>
    <t xml:space="preserve">SI-1000 </t>
  </si>
  <si>
    <t>www.nanocenter.si</t>
  </si>
  <si>
    <t>---</t>
  </si>
  <si>
    <t xml:space="preserve">Dragan Dragoljub </t>
  </si>
  <si>
    <t>Mihailović</t>
  </si>
  <si>
    <t>Knavs</t>
  </si>
  <si>
    <t>martina.knavs@nanocenter.si</t>
  </si>
  <si>
    <t>+386 (0)41 524 185</t>
  </si>
  <si>
    <t xml:space="preserve">Primorski tehnološki park d.o.o. </t>
  </si>
  <si>
    <t>Ms, CEO</t>
  </si>
  <si>
    <t xml:space="preserve">Bojana </t>
  </si>
  <si>
    <t>Laboratorio di Ricerca sui Materiali</t>
  </si>
  <si>
    <t>Vipavska -13</t>
  </si>
  <si>
    <t>Ass. Prof. Dr.</t>
  </si>
  <si>
    <t>+386 5 365 3532</t>
  </si>
  <si>
    <t>CNR-IOM</t>
  </si>
  <si>
    <t xml:space="preserve">Consiglio Nazionale delle Ricerca </t>
  </si>
  <si>
    <t>IOM- Istituto Officina dei Materiali</t>
  </si>
  <si>
    <t>Piazzale Aldo Moro -7</t>
  </si>
  <si>
    <t>I-00185</t>
  </si>
  <si>
    <t>www.cnr.it</t>
  </si>
  <si>
    <t>Area Science Park, Strada Statale-14 km 163,5 Q2</t>
  </si>
  <si>
    <t>I-34149</t>
  </si>
  <si>
    <t xml:space="preserve">Giancarlo </t>
  </si>
  <si>
    <t>FINN/TEC4I.FVG</t>
  </si>
  <si>
    <t>Friuli Innovazione Società consortile a responsabilità limitata</t>
  </si>
  <si>
    <t>IT02159640305</t>
  </si>
  <si>
    <t xml:space="preserve">Via Jacopo Linussio- 51 </t>
  </si>
  <si>
    <t xml:space="preserve">33100 </t>
  </si>
  <si>
    <t>https://tec4ifvg.it/</t>
  </si>
  <si>
    <t xml:space="preserve">Bianco </t>
  </si>
  <si>
    <t xml:space="preserve">Filippo </t>
  </si>
  <si>
    <t>Claudia</t>
  </si>
  <si>
    <t>Baracchini</t>
  </si>
  <si>
    <t>Claudia.baracchini@tec4i.it</t>
  </si>
  <si>
    <t>+390432629940</t>
  </si>
  <si>
    <t>ITA-SI0600168</t>
  </si>
  <si>
    <t xml:space="preserve">BEST </t>
  </si>
  <si>
    <t>BEST – Pathway for BEtter, Sustainable and connected Territory</t>
  </si>
  <si>
    <t>Unità Innovazione aziendale</t>
  </si>
  <si>
    <t>Via Della Pila-3/b</t>
  </si>
  <si>
    <t>SI82139288</t>
  </si>
  <si>
    <t>+386 51 660 951</t>
  </si>
  <si>
    <t>Cosima</t>
  </si>
  <si>
    <t>Trevisanello</t>
  </si>
  <si>
    <t>cosima.trevisanello@venetiancluster.eu</t>
  </si>
  <si>
    <t>3471219533</t>
  </si>
  <si>
    <t>OBČINA MIREN-KOSTANJEVICA</t>
  </si>
  <si>
    <t>MUNICIPALITY MIREN-KOSTANJEVICA</t>
  </si>
  <si>
    <t>Duino Aurisina</t>
  </si>
  <si>
    <t>Comune di Duino Aurisina – Občina Devin Nabrežina</t>
  </si>
  <si>
    <t>Municipality od Duino Aurisina –Devin Nabrežina</t>
  </si>
  <si>
    <t>Area Istruzione, Cultura e Turismo</t>
  </si>
  <si>
    <t>Aurisina Cave-25</t>
  </si>
  <si>
    <t>Duino Aurisina (Ts)</t>
  </si>
  <si>
    <t>Sfreddo</t>
  </si>
  <si>
    <t>cristina.sfreddo@comune.duino-aurisina.ts.it</t>
  </si>
  <si>
    <t>+39/040/2017419</t>
  </si>
  <si>
    <t>ITA-SI0600170</t>
  </si>
  <si>
    <t>BeWoP</t>
  </si>
  <si>
    <t>Beyond Walk of Peace: from Crossborder Historical Research and Cultural Heritage to European Trail and Stories</t>
  </si>
  <si>
    <t>Fundacija</t>
  </si>
  <si>
    <t>Ustanova "Fundacija Poti miru v Posočju"</t>
  </si>
  <si>
    <t>1577417000</t>
  </si>
  <si>
    <t>Numero identificativo dell'organizzazione</t>
  </si>
  <si>
    <t>946107252</t>
  </si>
  <si>
    <t>Gregorčičeva -8</t>
  </si>
  <si>
    <t xml:space="preserve">www.thewalkofpeace.com </t>
  </si>
  <si>
    <t>Gregorčičeva ulica-8</t>
  </si>
  <si>
    <t>Maša</t>
  </si>
  <si>
    <t>Klavora</t>
  </si>
  <si>
    <t>info@potmiru.si</t>
  </si>
  <si>
    <t>+386 53 890166</t>
  </si>
  <si>
    <t xml:space="preserve">Gruppo Europeo di Cooperazione Territoriale / Evropsko združenje za teritorialno sodelovanje "Territorio dei comuni/Območje občin: Comune di Gorizia (I), Mestna občina Nova Gorica (Slo) in Občina Šempeter-Vrtojba (Slo)” </t>
  </si>
  <si>
    <t xml:space="preserve">European Grouping of Territorial Cooperation: "Territory of Municipalities: Comune di Gorizia (I), Mestna občina Nova Gorica (Slo) and Občina Šempeter-Vrtojba (Slo)" </t>
  </si>
  <si>
    <t>Ezio</t>
  </si>
  <si>
    <t>ezio.benedetti@euro-go.eu</t>
  </si>
  <si>
    <t>+39 349 7588051</t>
  </si>
  <si>
    <t>Istituto storico Milko Kos</t>
  </si>
  <si>
    <t>5105498000</t>
  </si>
  <si>
    <t>Novi trg -2</t>
  </si>
  <si>
    <t>https://www.zrc-sazu.si/en/homepag</t>
  </si>
  <si>
    <t>Svoljšak</t>
  </si>
  <si>
    <t>petra.svoljsak@zrc-sazu.si</t>
  </si>
  <si>
    <t>0038640641710</t>
  </si>
  <si>
    <t>TS-133459</t>
  </si>
  <si>
    <t>NUMERO DI ISCRIZIONE (P. ES. REA-ISCRIZIONE CAMERA COMMERCIO)</t>
  </si>
  <si>
    <t>Via Locchi -19</t>
  </si>
  <si>
    <t>www.promoturismo.fvg.it</t>
  </si>
  <si>
    <t>Via carso-3</t>
  </si>
  <si>
    <t>0039 0431 387129</t>
  </si>
  <si>
    <t>Občina M-K</t>
  </si>
  <si>
    <t>968950073</t>
  </si>
  <si>
    <t>Miren -137</t>
  </si>
  <si>
    <t>èStoria</t>
  </si>
  <si>
    <t>Associazione Culturale èStoria</t>
  </si>
  <si>
    <t>èStoria Cultural Association</t>
  </si>
  <si>
    <t>01088370315</t>
  </si>
  <si>
    <t>Corso Verdi-69</t>
  </si>
  <si>
    <t xml:space="preserve">www.estoria.it </t>
  </si>
  <si>
    <t>Corso Verdi-75</t>
  </si>
  <si>
    <t>Ossola</t>
  </si>
  <si>
    <t>adriano.ossola@gmail.com</t>
  </si>
  <si>
    <t>0039 348 2557806</t>
  </si>
  <si>
    <t>Dott</t>
  </si>
  <si>
    <t>ITA-SI0600180</t>
  </si>
  <si>
    <t>BioTech2Agri</t>
  </si>
  <si>
    <t>Regijska razvojna agencija ROD Ajdovščina</t>
  </si>
  <si>
    <t>Regional development agency ROD Ajdovščina</t>
  </si>
  <si>
    <t>Vipavska cesta-4</t>
  </si>
  <si>
    <t>00386 (0) 65 55 62 35</t>
  </si>
  <si>
    <t>Venezia-1163</t>
  </si>
  <si>
    <t>San Marco</t>
  </si>
  <si>
    <t>https://www.venetiancluster.eu/en/</t>
  </si>
  <si>
    <t>Maria Valentina</t>
  </si>
  <si>
    <t>Vanceo</t>
  </si>
  <si>
    <t>mariavalentina.vanceo@venetiancluster.eu</t>
  </si>
  <si>
    <t>+39 347 311 8109</t>
  </si>
  <si>
    <t xml:space="preserve">ZNANSTVENO-RAZISKOVALNO SREDIŠČE KOPER </t>
  </si>
  <si>
    <t>SCIENCE AND RESEARCH CENTRE KOPER</t>
  </si>
  <si>
    <t>Instituto per L´olivicoltura</t>
  </si>
  <si>
    <t xml:space="preserve">PhD. Rado </t>
  </si>
  <si>
    <t>FAB FVG</t>
  </si>
  <si>
    <t>FONDAZIONE AGRIFOOD &amp; BIOECONOMY FVG</t>
  </si>
  <si>
    <t>AGRIFOOD &amp; BIOECONOMY FVG FOUNDATION</t>
  </si>
  <si>
    <t>IT03083900302</t>
  </si>
  <si>
    <t>94151430306</t>
  </si>
  <si>
    <t>PIAZZA CASTELLO-7</t>
  </si>
  <si>
    <t xml:space="preserve">COLLOREDO DI MONTE ALBANO (UD) </t>
  </si>
  <si>
    <t>www.fabfvg.it</t>
  </si>
  <si>
    <t xml:space="preserve">CLAUDIO </t>
  </si>
  <si>
    <t>FILIPUZZI</t>
  </si>
  <si>
    <t xml:space="preserve">PIERPAOLO </t>
  </si>
  <si>
    <t>ROVERE</t>
  </si>
  <si>
    <t>info@fabfvg.it</t>
  </si>
  <si>
    <t>00390432943116</t>
  </si>
  <si>
    <t>INFORMEST – Centro di Servizio e Documentazione per la Cooperazione Economica e Internazionale</t>
  </si>
  <si>
    <t xml:space="preserve">34170 </t>
  </si>
  <si>
    <t>www.informest.it</t>
  </si>
  <si>
    <t xml:space="preserve">Davide </t>
  </si>
  <si>
    <t xml:space="preserve">Lia </t>
  </si>
  <si>
    <t>ia.gover@informest.it</t>
  </si>
  <si>
    <t>+39 0481 597411</t>
  </si>
  <si>
    <t>PRIMORSKI TEHNOLOŠKI PARK D.O.O.</t>
  </si>
  <si>
    <t>Primorska Technological Park</t>
  </si>
  <si>
    <t xml:space="preserve">Šempeter pri Gorici </t>
  </si>
  <si>
    <t>Tanja.kozuh@primorski-tp.si</t>
  </si>
  <si>
    <t>ITA-SI0600183</t>
  </si>
  <si>
    <t>DAIRY+</t>
  </si>
  <si>
    <t xml:space="preserve">Approcci condivisi di bioeconomia circolare per la valorizzazione dei sottoprodotti della filiera lattiero-casearia </t>
  </si>
  <si>
    <t>POSOŠKI RAZVOJNI CENTER</t>
  </si>
  <si>
    <t>SOČA VALLEY DEVELOPMENT CENTRE</t>
  </si>
  <si>
    <t xml:space="preserve">SIMON </t>
  </si>
  <si>
    <t>ŠKVOR</t>
  </si>
  <si>
    <t>MIRO</t>
  </si>
  <si>
    <t>KRISTAN</t>
  </si>
  <si>
    <t>00386 5 38 41 500</t>
  </si>
  <si>
    <t>COLLOREDO DI MONTE ALBANO (UD)</t>
  </si>
  <si>
    <t>CLAUDIO</t>
  </si>
  <si>
    <t>PIERPAOLO</t>
  </si>
  <si>
    <t>UNIVERZA V LJUBLJANI (BIOTEHNIŠKA FAKULTETA)</t>
  </si>
  <si>
    <t>UNIVERSITY OF LJUBLJANA (BIOTECHNICAL FACULTY)</t>
  </si>
  <si>
    <t xml:space="preserve">BIOTEHNIŠKA FAKULTETA
INŠTITUT ZA MLEKARSTVO IN PROBIOTIKE
</t>
  </si>
  <si>
    <t>KONGRESNI TRG -12</t>
  </si>
  <si>
    <t>LJUBLJANA / LUBIANA</t>
  </si>
  <si>
    <t>GROBLJE-3</t>
  </si>
  <si>
    <t>DOMŽALE</t>
  </si>
  <si>
    <t>Dr. Prof.</t>
  </si>
  <si>
    <t>GREGOR</t>
  </si>
  <si>
    <t>MAJDIČ</t>
  </si>
  <si>
    <t>BOJANA</t>
  </si>
  <si>
    <t>BOGOVIČ MATIJAŠIĆ</t>
  </si>
  <si>
    <t>BOJANA.BOGOVICMATIJASIC@BF.UNI-LJ.SI</t>
  </si>
  <si>
    <t>00386 1 320 3904</t>
  </si>
  <si>
    <t>UNIUD-DI4A</t>
  </si>
  <si>
    <t>UNIVERSITA' DEGLI STUDI DI UDINE, DIPARTIMENTO DI SCIENZE AGROALIMENTARI, AMBIENTALI E ANIMALI</t>
  </si>
  <si>
    <t>UNIVERSITY OF UDINE, DEPARTMENT OF AGRICULTURAL, FOOD, ENVIRONMENTAL AND ANIMAL SCIENCES</t>
  </si>
  <si>
    <t>DIPARTIMENTO DI SCIENZE AGROALIMENTARI, AMBIENTALI E ANIMALI (DI4A)</t>
  </si>
  <si>
    <t>VIA PALLADIO-8</t>
  </si>
  <si>
    <t>VIA DELLE SCIENZE-206</t>
  </si>
  <si>
    <t>EDI</t>
  </si>
  <si>
    <t>PIASENTIER</t>
  </si>
  <si>
    <t>CHIARA</t>
  </si>
  <si>
    <t>BIASUCCI</t>
  </si>
  <si>
    <t>00390432558604</t>
  </si>
  <si>
    <t>IZSVe</t>
  </si>
  <si>
    <t>ISTITUTO ZOOPROFILATTICO SPERIMENTALE DELLE VENEZIE</t>
  </si>
  <si>
    <t>SEDE DI SAN DONA' DI PIAVE</t>
  </si>
  <si>
    <t>IT00206200289</t>
  </si>
  <si>
    <t>997383489</t>
  </si>
  <si>
    <t>VIALE DELL'UNIVERSITA'-10</t>
  </si>
  <si>
    <t>LEGNARO</t>
  </si>
  <si>
    <t>https://www.izsvenezie.com/</t>
  </si>
  <si>
    <t>VIA CALVECCHIA-10</t>
  </si>
  <si>
    <t>SAN DONA' DI PIAVE</t>
  </si>
  <si>
    <t>ANTONIA</t>
  </si>
  <si>
    <t>RICCI</t>
  </si>
  <si>
    <t>RAFFAELLA</t>
  </si>
  <si>
    <t>TESTOLIN</t>
  </si>
  <si>
    <t>rtestolin@izsvenezie.it</t>
  </si>
  <si>
    <t>00390498084475</t>
  </si>
  <si>
    <t>ITA-SI0600185</t>
  </si>
  <si>
    <t xml:space="preserve">DigARegion </t>
  </si>
  <si>
    <t>Regione Digitalmente Accessibile</t>
  </si>
  <si>
    <t>Ufficio del direttore dell'amministrazione comunale, Ufficio di sviluppo.</t>
  </si>
  <si>
    <t>Trojar Lapanja</t>
  </si>
  <si>
    <t>andreja.trojar-lapanja@nova-gorica.si</t>
  </si>
  <si>
    <t>00386 (5) 3350170</t>
  </si>
  <si>
    <t>Svet Slovenskih OrganizacijSvet slovenskih organizacij – Confederazione Organizzazioni Slovene</t>
  </si>
  <si>
    <t>Ivo</t>
  </si>
  <si>
    <t>Corva</t>
  </si>
  <si>
    <t>+39 040 3481586</t>
  </si>
  <si>
    <t xml:space="preserve">MDSS </t>
  </si>
  <si>
    <t>Medobčinsko društvo slepih in slabovidnih Nova Gorica</t>
  </si>
  <si>
    <t>Intermunicipal Association of the Blind and Visually Impaired Nova Gorica</t>
  </si>
  <si>
    <t>89235959</t>
  </si>
  <si>
    <t>928747065</t>
  </si>
  <si>
    <t>Gradnikove brigade-33</t>
  </si>
  <si>
    <t xml:space="preserve">www.mdssng.si </t>
  </si>
  <si>
    <t>Miljavec</t>
  </si>
  <si>
    <t xml:space="preserve">Igor </t>
  </si>
  <si>
    <t>igor.miljavec@gmail.com</t>
  </si>
  <si>
    <t>041 485 430</t>
  </si>
  <si>
    <t>SC B. Aquileia</t>
  </si>
  <si>
    <t>Società per la Conservazione della Basilica di Aquileia</t>
  </si>
  <si>
    <t>Foundation Society for the conservation of the Basilica of Aquileia</t>
  </si>
  <si>
    <t>R.91.03</t>
  </si>
  <si>
    <t>00436660310</t>
  </si>
  <si>
    <t>884306418</t>
  </si>
  <si>
    <t>Via Arcivescovado -1</t>
  </si>
  <si>
    <t>www.basilicadiaquileia.it</t>
  </si>
  <si>
    <t>Piazza Capitolo-1</t>
  </si>
  <si>
    <t>33051</t>
  </si>
  <si>
    <t>Aquileia</t>
  </si>
  <si>
    <t>Bellavite</t>
  </si>
  <si>
    <t xml:space="preserve">sig. </t>
  </si>
  <si>
    <t>Vecchi</t>
  </si>
  <si>
    <t>comunicazione@basilicadiaquileia.it</t>
  </si>
  <si>
    <t>0431919719</t>
  </si>
  <si>
    <t>Goriški muzej</t>
  </si>
  <si>
    <t>Goriški muzej Kromberk – Nova Gorica</t>
  </si>
  <si>
    <t>Regional Museum Goriški muzej</t>
  </si>
  <si>
    <t>SI 20443625</t>
  </si>
  <si>
    <t xml:space="preserve">5000 </t>
  </si>
  <si>
    <t xml:space="preserve">www.goriskimuzej.si </t>
  </si>
  <si>
    <t>g.</t>
  </si>
  <si>
    <t xml:space="preserve">Vladimir </t>
  </si>
  <si>
    <t>Peruničič</t>
  </si>
  <si>
    <t>david.kozuh@goriskimuzej.si</t>
  </si>
  <si>
    <t>00386 51 345 301</t>
  </si>
  <si>
    <t>DRM-FVG</t>
  </si>
  <si>
    <t>Direzione regionale musei del Friuli Venezia Giulia</t>
  </si>
  <si>
    <t>Regional museum management of Friuli Venezia Giulia</t>
  </si>
  <si>
    <t>90145690328</t>
  </si>
  <si>
    <t>Piazza della Libertà-7</t>
  </si>
  <si>
    <t xml:space="preserve">34135 </t>
  </si>
  <si>
    <t>www.musei.fvg.beniculturali.it</t>
  </si>
  <si>
    <t xml:space="preserve">Signora dott.ssa </t>
  </si>
  <si>
    <t xml:space="preserve"> Andreina </t>
  </si>
  <si>
    <t>Contessa</t>
  </si>
  <si>
    <t>andreina.contessa@cultura.gov.it</t>
  </si>
  <si>
    <t xml:space="preserve">+39 040 4527511 </t>
  </si>
  <si>
    <t>ITA-SI0600189</t>
  </si>
  <si>
    <t>BEroots</t>
  </si>
  <si>
    <t>Between rivers and lagoons: artistic routes</t>
  </si>
  <si>
    <t>OV</t>
  </si>
  <si>
    <t>Občina Vipava</t>
  </si>
  <si>
    <t>Municipality of Vipava</t>
  </si>
  <si>
    <t>SI56416245</t>
  </si>
  <si>
    <t>Glavni trg-15</t>
  </si>
  <si>
    <t>https://obcina.vipava.si/</t>
  </si>
  <si>
    <t>Anton</t>
  </si>
  <si>
    <t>Ferjančič</t>
  </si>
  <si>
    <t>andreja.ferjancic@vipava.si</t>
  </si>
  <si>
    <t>00386 (0) 53643418</t>
  </si>
  <si>
    <t>ZT TRG Vipava</t>
  </si>
  <si>
    <t>Zavod za turizem TRG Vipava</t>
  </si>
  <si>
    <t>Office for Tourism TRG Vipava</t>
  </si>
  <si>
    <t>SI3610132</t>
  </si>
  <si>
    <t>949849415</t>
  </si>
  <si>
    <t>Glavni trg -1</t>
  </si>
  <si>
    <t xml:space="preserve">5271 </t>
  </si>
  <si>
    <t>https://www.vipava.si/</t>
  </si>
  <si>
    <t>Bratož</t>
  </si>
  <si>
    <t>david.bratoz@siol.net</t>
  </si>
  <si>
    <t>00386 (0)31 842 945</t>
  </si>
  <si>
    <t>CSdI</t>
  </si>
  <si>
    <t>Comune Savogna d'Isonzo - Občina Sovodnje ob Soci</t>
  </si>
  <si>
    <t>Municipality of Savogna d'Isonzo</t>
  </si>
  <si>
    <t>00126470319</t>
  </si>
  <si>
    <t>Via maggio-140</t>
  </si>
  <si>
    <t>Savogna d'Isonzo - Sovodnje ob Soči</t>
  </si>
  <si>
    <t>https://www.comune.savogna.go.it/it</t>
  </si>
  <si>
    <t>Pisk</t>
  </si>
  <si>
    <t>segretario@comune.savognadisonzo.go.it</t>
  </si>
  <si>
    <t>0039 (0) 481-882001</t>
  </si>
  <si>
    <t>SLOVENSKO DEŽELNO GOSPODARSKO ZDRUŽENJE – UNIONE REGIONALE ECONOMICA SLOVENA</t>
  </si>
  <si>
    <t>0039 (0) 421394202</t>
  </si>
  <si>
    <t>LUA</t>
  </si>
  <si>
    <t>Ljudska univerza Ajdovščina</t>
  </si>
  <si>
    <t>Adult Education Centre Ajdovščina</t>
  </si>
  <si>
    <t>SI88942767</t>
  </si>
  <si>
    <t>948664075</t>
  </si>
  <si>
    <t>Stritarjeva ulica-1a</t>
  </si>
  <si>
    <t>Eva</t>
  </si>
  <si>
    <t>eva.mermolja@lu-ajdovscina.si</t>
  </si>
  <si>
    <t>00386 (0) 41442921</t>
  </si>
  <si>
    <t>Locchi-19</t>
  </si>
  <si>
    <t>ITA-SI0600194</t>
  </si>
  <si>
    <t>CrossTerm</t>
  </si>
  <si>
    <t>Crossborder standardization of institutional terminology</t>
  </si>
  <si>
    <t>SLORI</t>
  </si>
  <si>
    <t xml:space="preserve">Slovenski raziskovalni inštitut - Istituto sloveno di ricerche </t>
  </si>
  <si>
    <t>Slovene research institute</t>
  </si>
  <si>
    <t>IT 00581920329</t>
  </si>
  <si>
    <t>940413934</t>
  </si>
  <si>
    <t>Cesare Beccaria-6</t>
  </si>
  <si>
    <t>www.slori.org</t>
  </si>
  <si>
    <t>Brezigar</t>
  </si>
  <si>
    <t>+39040636663</t>
  </si>
  <si>
    <t>Direzione centrale autonomie locali, funzione pubblica, sicurezza e politiche dell'immigrazione - Servizio lingue minoritarie e corregionali all’estero</t>
  </si>
  <si>
    <t>dott.ssa</t>
  </si>
  <si>
    <t xml:space="preserve">Gabriella </t>
  </si>
  <si>
    <t>Lugarà</t>
  </si>
  <si>
    <t>Hrovatin</t>
  </si>
  <si>
    <t>ufficio.sloveno@regione.fvg.it</t>
  </si>
  <si>
    <t>+390403773472</t>
  </si>
  <si>
    <t>CAN Costiera</t>
  </si>
  <si>
    <t>Comunità autogestita costiera della nazionalità italiana / Obalna samoupravna skupnost italijanske narodnosti</t>
  </si>
  <si>
    <t>Costal self-governing community of italian nationality</t>
  </si>
  <si>
    <t>SI62740997</t>
  </si>
  <si>
    <t>Župančičeva ulica-18</t>
  </si>
  <si>
    <t>Koper - Capodistria</t>
  </si>
  <si>
    <t>www.cancostiera.eu</t>
  </si>
  <si>
    <t>Scheriani</t>
  </si>
  <si>
    <t>Bartole</t>
  </si>
  <si>
    <t>andrea.bartole@cancostiera.eu</t>
  </si>
  <si>
    <t>+386040329481</t>
  </si>
  <si>
    <t>ARLeF</t>
  </si>
  <si>
    <t>Agjenzie regjonâl pe lenghe furlane (Agenzia regionale per la lingua friulana)</t>
  </si>
  <si>
    <t>Regional Agency for Friulian Language</t>
  </si>
  <si>
    <t>94094780304</t>
  </si>
  <si>
    <t>941426711</t>
  </si>
  <si>
    <t>Via della Prefettura-13</t>
  </si>
  <si>
    <t>www.arlef.it</t>
  </si>
  <si>
    <t>William</t>
  </si>
  <si>
    <t>Cisilino</t>
  </si>
  <si>
    <t>arlef@regione.fvg.it</t>
  </si>
  <si>
    <t>+390432555812</t>
  </si>
  <si>
    <t>UL FRI</t>
  </si>
  <si>
    <t>Univerza v Ljubljani, Fakulteta za računalništvo in informatiko</t>
  </si>
  <si>
    <t>University of Ljubljana, Faculty of Computer and Information Science</t>
  </si>
  <si>
    <t>Centro per le risorse e le tecnologie linguistiche dell'Università di Lubiana (CJVT)</t>
  </si>
  <si>
    <t>www.cjvt.si</t>
  </si>
  <si>
    <t>Večna pot-113</t>
  </si>
  <si>
    <t>Phd - dr.</t>
  </si>
  <si>
    <t>Arhar Holdt</t>
  </si>
  <si>
    <t>Spela.ArharHoldt@ff.uni-lj.si</t>
  </si>
  <si>
    <t>+386(0)40756246</t>
  </si>
  <si>
    <t xml:space="preserve">Znanstveno-raziskovalno središče Koper  </t>
  </si>
  <si>
    <t>Istituto per gli Studi Linguistici</t>
  </si>
  <si>
    <t>www.zrs-kp.si</t>
  </si>
  <si>
    <t>PhD - dr.</t>
  </si>
  <si>
    <t>+38656637706</t>
  </si>
  <si>
    <t>ITA-SI0600204</t>
  </si>
  <si>
    <t>COHERENCE</t>
  </si>
  <si>
    <t>COHERENCE - Cross bOrder HEalth REgulatory alliaNCE for advanced therapies</t>
  </si>
  <si>
    <t>International Center for Genetic Engeneering and Biotechnology</t>
  </si>
  <si>
    <t>Cardiovascular Disease Laboratory</t>
  </si>
  <si>
    <t>Località Padricinao-99</t>
  </si>
  <si>
    <t>https://www.icgeb.org</t>
  </si>
  <si>
    <t>//-//</t>
  </si>
  <si>
    <t xml:space="preserve"> Banks</t>
  </si>
  <si>
    <t>Prof.ssa.</t>
  </si>
  <si>
    <t>Serena</t>
  </si>
  <si>
    <t>Zacchigna</t>
  </si>
  <si>
    <t>zacchign@icgeb.org</t>
  </si>
  <si>
    <t>+39-040-3757354</t>
  </si>
  <si>
    <t xml:space="preserve">VivaBioCell S.p.A. </t>
  </si>
  <si>
    <t>C.21.20</t>
  </si>
  <si>
    <t xml:space="preserve">IT 022470470309 </t>
  </si>
  <si>
    <t>Via del Cotonificio-27</t>
  </si>
  <si>
    <t>https://www.vivabiocell.it</t>
  </si>
  <si>
    <t>antonio.sfiligoj@vivabiocell.it</t>
  </si>
  <si>
    <t>EDC</t>
  </si>
  <si>
    <t>EDUCELL podjetje za celično biologijo d.o.o.</t>
  </si>
  <si>
    <t>EDUCELL Cell Therapy Service Ltd.</t>
  </si>
  <si>
    <t>SI63291223</t>
  </si>
  <si>
    <t>999748446</t>
  </si>
  <si>
    <t>Prevale-9</t>
  </si>
  <si>
    <t>1236</t>
  </si>
  <si>
    <t>Trzin</t>
  </si>
  <si>
    <t>https://www.educell.si</t>
  </si>
  <si>
    <t>Boris</t>
  </si>
  <si>
    <t>Veble</t>
  </si>
  <si>
    <t>Anja</t>
  </si>
  <si>
    <t>Planina</t>
  </si>
  <si>
    <t>anja.planina@educell.si</t>
  </si>
  <si>
    <t>0038659077860</t>
  </si>
  <si>
    <t>CELICA</t>
  </si>
  <si>
    <t>Tehnoloski Park-24</t>
  </si>
  <si>
    <t>http://www.celica.si/</t>
  </si>
  <si>
    <t>https://dsm.units.it/it</t>
  </si>
  <si>
    <t>Strada di Fiume-477</t>
  </si>
  <si>
    <t xml:space="preserve">Margherita </t>
  </si>
  <si>
    <t>Fortuna</t>
  </si>
  <si>
    <t>Ricerca.dsm@units.it</t>
  </si>
  <si>
    <t>+390403994290</t>
  </si>
  <si>
    <t>CMC</t>
  </si>
  <si>
    <t>Crystal, medicinski center, d.o.o.</t>
  </si>
  <si>
    <t>CRYSTAL, medical center, LLC</t>
  </si>
  <si>
    <t>SI 94885974</t>
  </si>
  <si>
    <t>Parmova ulica 53-53</t>
  </si>
  <si>
    <t xml:space="preserve">www.crystalmc.si </t>
  </si>
  <si>
    <t xml:space="preserve">IVAN </t>
  </si>
  <si>
    <t>SIMIČ</t>
  </si>
  <si>
    <t xml:space="preserve">GORDANA </t>
  </si>
  <si>
    <t>KALAN ŽIVČEC</t>
  </si>
  <si>
    <t>kalan.zivcec@crystalmc.si</t>
  </si>
  <si>
    <t>+386 51 637 888</t>
  </si>
  <si>
    <t>ITA-SI0600208</t>
  </si>
  <si>
    <t>CO ADRIA</t>
  </si>
  <si>
    <t>GECT del Nord Adriatico per promuovere la neutralità climatica entro il 2050: iniziative strategiche per l'efficienza energetica nella regione</t>
  </si>
  <si>
    <t>Ca’ Foscari University of Venice</t>
  </si>
  <si>
    <t>Department of Management</t>
  </si>
  <si>
    <t xml:space="preserve">Dipartimento per l'economia e i progetti di sviluppo </t>
  </si>
  <si>
    <t>Dimitrijević</t>
  </si>
  <si>
    <t>+38653659106</t>
  </si>
  <si>
    <t>UD</t>
  </si>
  <si>
    <t>Municipality of Udine</t>
  </si>
  <si>
    <t>Servizio Demografico e Servizi Sportivi</t>
  </si>
  <si>
    <t>Giampaolo</t>
  </si>
  <si>
    <t>Tarpignati</t>
  </si>
  <si>
    <t>giampaolo.tarpignati@comune.udine.it</t>
  </si>
  <si>
    <t>MESTNA OBČINA KOPER – COMUNE CITTÀ DI CAPODISTRIA</t>
  </si>
  <si>
    <t>MUNICIPALITY OF KOPER</t>
  </si>
  <si>
    <t xml:space="preserve">Comune di Monfalcone </t>
  </si>
  <si>
    <t xml:space="preserve">Municipality of Monfalcone </t>
  </si>
  <si>
    <t xml:space="preserve">Ufficio URP, promozione del territorio, Media e relazioni internazionali </t>
  </si>
  <si>
    <t>Sig.a</t>
  </si>
  <si>
    <t xml:space="preserve"> Anna Maria </t>
  </si>
  <si>
    <t xml:space="preserve">Dott.ssa </t>
  </si>
  <si>
    <t xml:space="preserve">0039 0481 494 603 </t>
  </si>
  <si>
    <t>Suzana</t>
  </si>
  <si>
    <t>Vidmar Kovšca</t>
  </si>
  <si>
    <t>suzana.vidmar.kovsca@golea.si</t>
  </si>
  <si>
    <t>+386 5 393 2460</t>
  </si>
  <si>
    <t>ITA-SI0600209</t>
  </si>
  <si>
    <t>KARST ADAPT</t>
  </si>
  <si>
    <t>Aumentare la resilienza ai cambiamenti climatici attraverso la collaborazione transfrontaliera</t>
  </si>
  <si>
    <t>Občina R-V</t>
  </si>
  <si>
    <t>Občina Renče - Vogrsko</t>
  </si>
  <si>
    <t>Municipality of Renče - Vogrsko</t>
  </si>
  <si>
    <t>SI90522001</t>
  </si>
  <si>
    <t>913498859</t>
  </si>
  <si>
    <t>Bukovica-43</t>
  </si>
  <si>
    <t>5293</t>
  </si>
  <si>
    <t>Bukovica</t>
  </si>
  <si>
    <t>https://www.rence-vogrsko.si/</t>
  </si>
  <si>
    <t>Tarik</t>
  </si>
  <si>
    <t>Žigon</t>
  </si>
  <si>
    <t>Zgonik</t>
  </si>
  <si>
    <t>matjaz.zgonik@rence-vogrsko.si</t>
  </si>
  <si>
    <t>+386 51 647 005</t>
  </si>
  <si>
    <t>Comune D-A</t>
  </si>
  <si>
    <t>Signore</t>
  </si>
  <si>
    <t>GABROVEC</t>
  </si>
  <si>
    <t>+39 0402017300</t>
  </si>
  <si>
    <t>Comune M</t>
  </si>
  <si>
    <t>IT00123030314</t>
  </si>
  <si>
    <t>895363545</t>
  </si>
  <si>
    <t>https://www.comune.monfalcone.go.it/</t>
  </si>
  <si>
    <t>Signora</t>
  </si>
  <si>
    <t>+ 39 0481 494 603</t>
  </si>
  <si>
    <t>Institute of International Sociology Gorizia</t>
  </si>
  <si>
    <t>IT00126770312</t>
  </si>
  <si>
    <t>998222345</t>
  </si>
  <si>
    <t>https://isig.it/en/</t>
  </si>
  <si>
    <t>Lorenzoni</t>
  </si>
  <si>
    <t>lorenzoni@isig.it</t>
  </si>
  <si>
    <t>ITA-SI0600212</t>
  </si>
  <si>
    <t>DATIS</t>
  </si>
  <si>
    <t>Frontiere digitali per il turismo inclusivo:migliorare l'accessibilità digitale e l'inclusionesociale nel turismoperlepersone con disabilità e gli anziani nella regionetransfrontaliera Italia-Slovenia</t>
  </si>
  <si>
    <t>Beletrina</t>
  </si>
  <si>
    <t>Beletrina, zavod za založniško dejavnost</t>
  </si>
  <si>
    <t>Beletrina Academic Press</t>
  </si>
  <si>
    <t>J.58.11</t>
  </si>
  <si>
    <t>SI12683485</t>
  </si>
  <si>
    <t>12683485</t>
  </si>
  <si>
    <t xml:space="preserve"> Numero di iscrizione registro 1420712000</t>
  </si>
  <si>
    <t>Neubergerjeva ulica -30</t>
  </si>
  <si>
    <t xml:space="preserve">https://beletrina.si/ </t>
  </si>
  <si>
    <t>Čander</t>
  </si>
  <si>
    <t xml:space="preserve">Maša </t>
  </si>
  <si>
    <t>Malovrh</t>
  </si>
  <si>
    <t>Masa.malovrh@beletrina.si</t>
  </si>
  <si>
    <t>++386 41 313 728</t>
  </si>
  <si>
    <t xml:space="preserve">JZT NG VD </t>
  </si>
  <si>
    <t>Javni zavod za turizem Nova Gorica in Vipavska dolina</t>
  </si>
  <si>
    <t>Nova Gorica and Vipava Valley Tourist Board</t>
  </si>
  <si>
    <t>N.79.90</t>
  </si>
  <si>
    <t>42891051</t>
  </si>
  <si>
    <t>numero iscrizione 8240949000</t>
  </si>
  <si>
    <t>www.vipavskadolina.si</t>
  </si>
  <si>
    <t>Lojk</t>
  </si>
  <si>
    <t>Mihelj</t>
  </si>
  <si>
    <t>tina.mihelj@vipavskadolina.si</t>
  </si>
  <si>
    <t>++00386 5 330 46 01</t>
  </si>
  <si>
    <t>DiSPeS</t>
  </si>
  <si>
    <t>Dipartimento di Scienze Politiche e Sociali, Università degli Studi di Trieste</t>
  </si>
  <si>
    <t>Department of Political and Social Sciences, University of Trieste</t>
  </si>
  <si>
    <t>NUMERO DI ISCRIZIONE  112813</t>
  </si>
  <si>
    <t>https://dispes.units.it</t>
  </si>
  <si>
    <t>Georg</t>
  </si>
  <si>
    <t>Meyr</t>
  </si>
  <si>
    <t>Moreno</t>
  </si>
  <si>
    <t>Zago</t>
  </si>
  <si>
    <t>moreno.zago@dispes.units.it</t>
  </si>
  <si>
    <t>+39 347 8702808</t>
  </si>
  <si>
    <t>IL MOSAICO</t>
  </si>
  <si>
    <t>IL MOSAICO Consorzio di Coop Sociali – Società Cooperativa Sociale</t>
  </si>
  <si>
    <t xml:space="preserve">IL MOSAICO Consorzio di Coop Sociali – Società Cooperativa Sociale </t>
  </si>
  <si>
    <t>R</t>
  </si>
  <si>
    <t>00496150319</t>
  </si>
  <si>
    <t>REA: 56246 n. iscrizione CCIAA: 00496150319</t>
  </si>
  <si>
    <t>Viale XXIV Maggio -5</t>
  </si>
  <si>
    <t xml:space="preserve">www.consorzioilmosaico.org </t>
  </si>
  <si>
    <t xml:space="preserve">Luca </t>
  </si>
  <si>
    <t>Fontana</t>
  </si>
  <si>
    <t>luca.fontana@coopthiel.it</t>
  </si>
  <si>
    <t>++393519854100</t>
  </si>
  <si>
    <t>ZDSSS</t>
  </si>
  <si>
    <t>Zveza društev slepih in slabovidnih Slovenije</t>
  </si>
  <si>
    <t>Union of the Blind and Partially sighted of Slovenia</t>
  </si>
  <si>
    <t>SI62736299</t>
  </si>
  <si>
    <t xml:space="preserve">5147794000 </t>
  </si>
  <si>
    <t xml:space="preserve">numero iscrizione </t>
  </si>
  <si>
    <t>Groharjeva cesta-2</t>
  </si>
  <si>
    <t xml:space="preserve">www.zveza-slepih.si ali www.kss-ess.si </t>
  </si>
  <si>
    <t>----</t>
  </si>
  <si>
    <t>Žnuderl</t>
  </si>
  <si>
    <t xml:space="preserve">Štefan </t>
  </si>
  <si>
    <t>Kušar</t>
  </si>
  <si>
    <t>stefan.kusar@zveza-slepih.si</t>
  </si>
  <si>
    <t>0038614700212</t>
  </si>
  <si>
    <t>01218220323</t>
  </si>
  <si>
    <t>carso-3</t>
  </si>
  <si>
    <t>Alessia</t>
  </si>
  <si>
    <t>Del Bianco Rizzardo</t>
  </si>
  <si>
    <t>alessia.delbianco@promoturismo.fvg.it</t>
  </si>
  <si>
    <t>0039335 1776599</t>
  </si>
  <si>
    <t>sig.</t>
  </si>
  <si>
    <t>Bearzi</t>
  </si>
  <si>
    <t>04383920271</t>
  </si>
  <si>
    <t xml:space="preserve">Paolo </t>
  </si>
  <si>
    <t>ITA-SI0600226</t>
  </si>
  <si>
    <t>KAŠTellieri</t>
  </si>
  <si>
    <t>Destinazione sostenibile culturale e turistica Terra transfrontaliera dei castellieri protostorici dell'Alto Adriatico</t>
  </si>
  <si>
    <t>župan</t>
  </si>
  <si>
    <t>Jelenovič</t>
  </si>
  <si>
    <t>uros.jelenovic@koper.si</t>
  </si>
  <si>
    <t>+38656646404</t>
  </si>
  <si>
    <t>Kreljeva-6</t>
  </si>
  <si>
    <t>RADO</t>
  </si>
  <si>
    <t>PIŠOT</t>
  </si>
  <si>
    <t>ANA</t>
  </si>
  <si>
    <t>ŠAJN</t>
  </si>
  <si>
    <t>JZ Miren Kras</t>
  </si>
  <si>
    <t>Javni zavod za turizem in kulturo Miren Kras</t>
  </si>
  <si>
    <t>Miren Kras Public Institute for Tourism and Culture</t>
  </si>
  <si>
    <t>53126041</t>
  </si>
  <si>
    <t>www.mirenkras.si</t>
  </si>
  <si>
    <t>Ariana</t>
  </si>
  <si>
    <t>Durnik</t>
  </si>
  <si>
    <t>ariana@mirekras.si</t>
  </si>
  <si>
    <t>031 310 800</t>
  </si>
  <si>
    <t>M.70.2</t>
  </si>
  <si>
    <t xml:space="preserve">Calò </t>
  </si>
  <si>
    <t>041 8226469</t>
  </si>
  <si>
    <t>Dorligo-Dolina</t>
  </si>
  <si>
    <t>Comune di San Dorligo della Valle-Občina Dolina</t>
  </si>
  <si>
    <t>Municipality of San Dorligo della Valle-Dolina</t>
  </si>
  <si>
    <t>Area Lavori pubblici, Ambiente e Cultura</t>
  </si>
  <si>
    <t>228430328</t>
  </si>
  <si>
    <t>Loc. Dolina-270</t>
  </si>
  <si>
    <t>Dolina - San Dorligo della Valle</t>
  </si>
  <si>
    <t>https://www.comune.san-dorligo-della-valle.ts.it/</t>
  </si>
  <si>
    <t>Gospod župan</t>
  </si>
  <si>
    <t>cultura-kultura@sandorligo-dolina.it</t>
  </si>
  <si>
    <t>040 8329230</t>
  </si>
  <si>
    <t>IVSLA</t>
  </si>
  <si>
    <t>Istituto Veneto di Scienze, Lettere ed Arti</t>
  </si>
  <si>
    <t>02728810272</t>
  </si>
  <si>
    <t>986587680</t>
  </si>
  <si>
    <t>San Marco-2945</t>
  </si>
  <si>
    <t xml:space="preserve"> VENEZIA</t>
  </si>
  <si>
    <t>https://www.istitutoveneto.it/</t>
  </si>
  <si>
    <t xml:space="preserve">Andrea </t>
  </si>
  <si>
    <t>Rinaldo</t>
  </si>
  <si>
    <t>Gilson</t>
  </si>
  <si>
    <t>marco.gislon@istitutoveneto.it</t>
  </si>
  <si>
    <t>0039 0412407711</t>
  </si>
  <si>
    <t>ITA-SI0600229</t>
  </si>
  <si>
    <t>BLUECRAB</t>
  </si>
  <si>
    <t>Nadzor, ublažitev in intervencije za upravljanje modrega raka: čezmejni pristop</t>
  </si>
  <si>
    <t>Confcoop Veneto</t>
  </si>
  <si>
    <t>Confcooperative Unione Regionale del Veneto</t>
  </si>
  <si>
    <t>CONFCOOPERATIVE REGIONAL UNION OF VENETO REGION</t>
  </si>
  <si>
    <t>Confcooperative Venezia</t>
  </si>
  <si>
    <t>80019480286</t>
  </si>
  <si>
    <t>889055538</t>
  </si>
  <si>
    <t>Via Savelli -128</t>
  </si>
  <si>
    <t>www.veneto.confcooperative.it</t>
  </si>
  <si>
    <t>Via Torino-186</t>
  </si>
  <si>
    <t xml:space="preserve">Daniela </t>
  </si>
  <si>
    <t>Galante</t>
  </si>
  <si>
    <t>veneto@confcooperative.it</t>
  </si>
  <si>
    <t>00390498076052</t>
  </si>
  <si>
    <t>Coldiretti Ve</t>
  </si>
  <si>
    <t>FEDERAZIONE PROVINCIALE COLDIRETTI VENEZIA</t>
  </si>
  <si>
    <t>Provincial Federation of Coldiretti Venice</t>
  </si>
  <si>
    <t>S.94.12</t>
  </si>
  <si>
    <t>02725230276</t>
  </si>
  <si>
    <t>82005650278</t>
  </si>
  <si>
    <t>Via Torino-180/A</t>
  </si>
  <si>
    <t>https://venezia.coldiretti.it/</t>
  </si>
  <si>
    <t>Favaretto</t>
  </si>
  <si>
    <t>Pasquali</t>
  </si>
  <si>
    <t>Giovanni.pasquali@coldiretti.it</t>
  </si>
  <si>
    <t>00393357240570</t>
  </si>
  <si>
    <t>Pallavicini</t>
  </si>
  <si>
    <t>pallavic@units.it</t>
  </si>
  <si>
    <t>0039390405588736</t>
  </si>
  <si>
    <t>NIBSP</t>
  </si>
  <si>
    <t>NACIONALNI INŠTITUT ZA BIOLOGIJO</t>
  </si>
  <si>
    <t>NATIONAL INSTITUTE OF BIOLOGY</t>
  </si>
  <si>
    <t>Marine Biology Station Piran</t>
  </si>
  <si>
    <t>Lubiana</t>
  </si>
  <si>
    <t>Lovrenc</t>
  </si>
  <si>
    <t>Lipej</t>
  </si>
  <si>
    <t>lovrenc.lipej@nib.si</t>
  </si>
  <si>
    <t>00386 5 9232 917</t>
  </si>
  <si>
    <t>REVIVO</t>
  </si>
  <si>
    <t>Zavod za ihtiološke in ekološke raziskave</t>
  </si>
  <si>
    <t>Institute for ichthyological and ecological research</t>
  </si>
  <si>
    <t>Koroška (SI033)</t>
  </si>
  <si>
    <t>SI50862081</t>
  </si>
  <si>
    <t>Šmartno -172</t>
  </si>
  <si>
    <t>2383</t>
  </si>
  <si>
    <t>Šmartno pri Slovenj Gradcu</t>
  </si>
  <si>
    <t>www.ozivimo.si</t>
  </si>
  <si>
    <t>Staretova Ulica-1</t>
  </si>
  <si>
    <t>1233</t>
  </si>
  <si>
    <t>Dob</t>
  </si>
  <si>
    <t>Škof</t>
  </si>
  <si>
    <t>Štefančič Kričej</t>
  </si>
  <si>
    <t>Ana.kricej@ozivimo.si</t>
  </si>
  <si>
    <t>00386 31 334 461</t>
  </si>
  <si>
    <t xml:space="preserve">MESTNA OBČINA KOPER </t>
  </si>
  <si>
    <t>Ufficio economia, agricoltura e sviluppo</t>
  </si>
  <si>
    <t>5874424000</t>
  </si>
  <si>
    <t>Numero di registro</t>
  </si>
  <si>
    <t>Via Giuseppe Verdi-10</t>
  </si>
  <si>
    <t>Capodistria</t>
  </si>
  <si>
    <t>Jezeršek</t>
  </si>
  <si>
    <t>+386 5 6646353</t>
  </si>
  <si>
    <t>UNIPD</t>
  </si>
  <si>
    <t>Bargelloni</t>
  </si>
  <si>
    <t>PGZ</t>
  </si>
  <si>
    <t xml:space="preserve">Primorska gospodarska zbornica </t>
  </si>
  <si>
    <t xml:space="preserve">Chamber of Commerce and Industry of Primorska </t>
  </si>
  <si>
    <t>933791550</t>
  </si>
  <si>
    <t>Rakar</t>
  </si>
  <si>
    <t>Trobec</t>
  </si>
  <si>
    <t>Ingrid.trobec@pgz-slo.si</t>
  </si>
  <si>
    <t>ITA-SI0600260</t>
  </si>
  <si>
    <t>CROSS ALERT</t>
  </si>
  <si>
    <t>Sviluppo di piani d’azione congiunti e strumenti per prevenire gli effetti dei cambiamenti climatici e degli eventi estremi nell’area transfrontaliera ITA-SLO</t>
  </si>
  <si>
    <t>OBČINA AJDOVŠČINA</t>
  </si>
  <si>
    <t>Dipartimento per l'economia e lo sviluppo</t>
  </si>
  <si>
    <t>TADEJ</t>
  </si>
  <si>
    <t>BEOČANIN</t>
  </si>
  <si>
    <t>JANEZ</t>
  </si>
  <si>
    <t>+386053659126</t>
  </si>
  <si>
    <t>LJUBLJANSKA CESTA-4</t>
  </si>
  <si>
    <t>POSTOJNA</t>
  </si>
  <si>
    <t>IGOR</t>
  </si>
  <si>
    <t>MARENTIČ</t>
  </si>
  <si>
    <t>MAJA</t>
  </si>
  <si>
    <t>PIŠKUR</t>
  </si>
  <si>
    <t>maja.piskur@postojna.si</t>
  </si>
  <si>
    <t>+386057280770</t>
  </si>
  <si>
    <t>IGEA d.o.o.</t>
  </si>
  <si>
    <t>IGEA, Svetovanje in storitve s področja nepremičnin, infrastrukture in prostora, d.o.o.</t>
  </si>
  <si>
    <t>IGEA, Consulting and Services in the field of Real Estate, Infrastructure and Space, Ltd.</t>
  </si>
  <si>
    <t>SI58677950</t>
  </si>
  <si>
    <t>950798366</t>
  </si>
  <si>
    <t>Podpeška cesta-1</t>
  </si>
  <si>
    <t>1351</t>
  </si>
  <si>
    <t>Brezovica pri Ljubljani</t>
  </si>
  <si>
    <t>www.igea.si</t>
  </si>
  <si>
    <t>ANDREJ</t>
  </si>
  <si>
    <t>MESNER</t>
  </si>
  <si>
    <t>MARTIN</t>
  </si>
  <si>
    <t>PUHAR</t>
  </si>
  <si>
    <t>martin.puhar@igea.si</t>
  </si>
  <si>
    <t>+386041364594</t>
  </si>
  <si>
    <t>REGIONE AUTONOMA FRIULI VENEZIA GIULIA</t>
  </si>
  <si>
    <t xml:space="preserve">Direzione Centrale risorse agroalimentari, forestali e ittiche, Servizio Foreste e Corpo Forestale
</t>
  </si>
  <si>
    <t>https://www.regione.fvg.it/</t>
  </si>
  <si>
    <t>Via Sabbadini-31</t>
  </si>
  <si>
    <t>RINALDO</t>
  </si>
  <si>
    <t>COMINO</t>
  </si>
  <si>
    <t>DARIO</t>
  </si>
  <si>
    <t>CANCIAN</t>
  </si>
  <si>
    <t>dario.cancian@regione.fvg.it</t>
  </si>
  <si>
    <t>+390432555113</t>
  </si>
  <si>
    <t>CM</t>
  </si>
  <si>
    <t>COMUNE DI MONFALCONE</t>
  </si>
  <si>
    <t>ANNA MARIA</t>
  </si>
  <si>
    <t>CISINT</t>
  </si>
  <si>
    <t>DOTT.SSA</t>
  </si>
  <si>
    <t>RADA</t>
  </si>
  <si>
    <t>ORESCANIN</t>
  </si>
  <si>
    <t>+390481494603</t>
  </si>
  <si>
    <t>CITTA’ METROPOLITANA DI VENEZIA</t>
  </si>
  <si>
    <t>METROPOLITAN CITY OF VENICE</t>
  </si>
  <si>
    <t>PROTEZIONE CIVILE</t>
  </si>
  <si>
    <t>Palazzo Ca’ Corner – San Marco -2662</t>
  </si>
  <si>
    <t>https:/7cittametropolitana.ve.it</t>
  </si>
  <si>
    <t>Forte Marghera -191</t>
  </si>
  <si>
    <t>MESTRE - VENEZIA</t>
  </si>
  <si>
    <t xml:space="preserve">Gattolin </t>
  </si>
  <si>
    <t>massimo.gattolin@cittametropolitana.ve.it</t>
  </si>
  <si>
    <t>+390412501214</t>
  </si>
  <si>
    <t>ITA-SI0600267</t>
  </si>
  <si>
    <t>SeaInsights</t>
  </si>
  <si>
    <t>Investigare il mare: Stimolare una migliore tutela e gestione dell'Alto Adriatico attraverso il monitoraggio della biodiversità basato sul DNA ambientale (eDNA), con il coinvolgimento del pubblico</t>
  </si>
  <si>
    <t>Biotehniška fakulteta</t>
  </si>
  <si>
    <t>P.85.41</t>
  </si>
  <si>
    <t xml:space="preserve">prof. dr. </t>
  </si>
  <si>
    <t>Meta</t>
  </si>
  <si>
    <t>Mavec</t>
  </si>
  <si>
    <t>meta.mavec@gmail.com</t>
  </si>
  <si>
    <t>0038613203336</t>
  </si>
  <si>
    <t>Università degli Studi di Padova</t>
  </si>
  <si>
    <t>Dipartimento di Biomedicina Comparata e Alimentazione (BCA)</t>
  </si>
  <si>
    <t>Viale dell'Università -16</t>
  </si>
  <si>
    <t>www.unipd.it</t>
  </si>
  <si>
    <t>Calle Grassi e Naccari-1060</t>
  </si>
  <si>
    <t>Mazzariol</t>
  </si>
  <si>
    <t>sandro.mazzariol@unipd.it</t>
  </si>
  <si>
    <t>0039 049 827 2963</t>
  </si>
  <si>
    <t>MOR</t>
  </si>
  <si>
    <t>Morigenos - slovensko društvo za morske sesalce</t>
  </si>
  <si>
    <t>Morigenos - Slovenian Marine Mammal Society</t>
  </si>
  <si>
    <t>SI91274451</t>
  </si>
  <si>
    <t>1210378000</t>
  </si>
  <si>
    <t>935799935</t>
  </si>
  <si>
    <t>https://www.morigenos.org/</t>
  </si>
  <si>
    <t>dr. Tilen Genov</t>
  </si>
  <si>
    <t>Tilen</t>
  </si>
  <si>
    <t>Genov</t>
  </si>
  <si>
    <t>tilen.genov@gmail.com</t>
  </si>
  <si>
    <t>+38641981990</t>
  </si>
  <si>
    <t>DBC</t>
  </si>
  <si>
    <t>APS Dolphin Biology and Conservation</t>
  </si>
  <si>
    <t>91081040742</t>
  </si>
  <si>
    <t>Fiscal code / Codice fiscale</t>
  </si>
  <si>
    <t>909080218</t>
  </si>
  <si>
    <t>Via Cellina-5</t>
  </si>
  <si>
    <t>33084</t>
  </si>
  <si>
    <t>Cordenons</t>
  </si>
  <si>
    <t>www.dolphinbiology.org</t>
  </si>
  <si>
    <t>giovanni.bearzi@gmail.com</t>
  </si>
  <si>
    <t>+39 329 4069996</t>
  </si>
  <si>
    <t>DL</t>
  </si>
  <si>
    <t>DivjaLabs, razvoj in raziskave, d.o.o.</t>
  </si>
  <si>
    <t>DivjaLabs</t>
  </si>
  <si>
    <t>B.07.21</t>
  </si>
  <si>
    <t>SI96765909</t>
  </si>
  <si>
    <t>885169815</t>
  </si>
  <si>
    <t>Aljaževa ulica -35a</t>
  </si>
  <si>
    <t>divjalabs.com</t>
  </si>
  <si>
    <t>Skrbinšek</t>
  </si>
  <si>
    <t>Aleksandra</t>
  </si>
  <si>
    <t>Majić Skrbinšek</t>
  </si>
  <si>
    <t>aleksandra.majic@divjalabs.com</t>
  </si>
  <si>
    <t>+38640974736</t>
  </si>
  <si>
    <t>SHO</t>
  </si>
  <si>
    <t>Shoreline Soc Coop</t>
  </si>
  <si>
    <t>0039 3474629045</t>
  </si>
  <si>
    <t>ITA-SI0600271</t>
  </si>
  <si>
    <t>Kras4us</t>
  </si>
  <si>
    <t>Opportunità per preservare la biodiversità e l'identità del Carso</t>
  </si>
  <si>
    <t xml:space="preserve">Univerza na Primorskem - Universita’ del Litorale </t>
  </si>
  <si>
    <t>Facoltà di Scienze Matematiche, Naturali e Tecnologie Informatiche</t>
  </si>
  <si>
    <t>Glagoljaška ulica-8</t>
  </si>
  <si>
    <t>https://www.famnit.upr.si/sl/</t>
  </si>
  <si>
    <t xml:space="preserve">Doc. dr. </t>
  </si>
  <si>
    <t>Zupan</t>
  </si>
  <si>
    <t>sara.zupan@upr.si</t>
  </si>
  <si>
    <t>+386 5 66 35 807</t>
  </si>
  <si>
    <t>DOPPS</t>
  </si>
  <si>
    <t>DOPPS – BirdLife Slovenia</t>
  </si>
  <si>
    <t>SI 68956029</t>
  </si>
  <si>
    <t>https://www.ptice.si/</t>
  </si>
  <si>
    <t>Doc. Dr.</t>
  </si>
  <si>
    <t>Šumrada</t>
  </si>
  <si>
    <t>Domen</t>
  </si>
  <si>
    <t>Stanič</t>
  </si>
  <si>
    <t>domen.stanic@dopps.si</t>
  </si>
  <si>
    <t>069 720 611</t>
  </si>
  <si>
    <t>Javni zavod Park Škocjanske jame</t>
  </si>
  <si>
    <t>Škocjan Caves Park</t>
  </si>
  <si>
    <t>Kokalj</t>
  </si>
  <si>
    <t>borut.kokalj@psj.gov.si</t>
  </si>
  <si>
    <t>05 70 82 128</t>
  </si>
  <si>
    <t>LAS Kras</t>
  </si>
  <si>
    <t>Gruppo di azione locale del Carso – Lokalna akcijska skupina Kras S.C. A R.L.</t>
  </si>
  <si>
    <t>LAG Karst</t>
  </si>
  <si>
    <t>M.70.21</t>
  </si>
  <si>
    <t>IT0115063032</t>
  </si>
  <si>
    <t>Codice fiscale diverso da Parttita Iva</t>
  </si>
  <si>
    <t>Signor</t>
  </si>
  <si>
    <t>040 9778593 +393462368719</t>
  </si>
  <si>
    <t>ITA-SI0600276</t>
  </si>
  <si>
    <t>AI-GRAPE</t>
  </si>
  <si>
    <t xml:space="preserve">Sostegno della digitalizzazione della viticoltura per la prevenzione dei parassiti nell’area transfrontaliera Italia-Slovenia </t>
  </si>
  <si>
    <t>Area di Ricerca Scientifica e Tecnologica di Trieste – Area Science Park</t>
  </si>
  <si>
    <t>Area Science Park</t>
  </si>
  <si>
    <t>Struttura Ricerca e Innovazione</t>
  </si>
  <si>
    <t>00531590321</t>
  </si>
  <si>
    <t>https://www.areasciencepark.it/</t>
  </si>
  <si>
    <t>Tomasi</t>
  </si>
  <si>
    <t>fabio.tomasi@areasciencepark.it</t>
  </si>
  <si>
    <t xml:space="preserve">0403755268 </t>
  </si>
  <si>
    <t>2P</t>
  </si>
  <si>
    <t>Primo Principio S.c.a.r.l.</t>
  </si>
  <si>
    <t>Sardegna (ITG2)</t>
  </si>
  <si>
    <t>Sassari (ITG2D)</t>
  </si>
  <si>
    <t>01387560913</t>
  </si>
  <si>
    <t>912309348</t>
  </si>
  <si>
    <t>Porto Conte Ricerche-n.a.</t>
  </si>
  <si>
    <t xml:space="preserve"> 07041 </t>
  </si>
  <si>
    <t>Loc. Tramariglio (Alghero-Sassari)</t>
  </si>
  <si>
    <t>www.primoprincipio.it</t>
  </si>
  <si>
    <t>Andrea@primoprincipio.it</t>
  </si>
  <si>
    <t>+393288230047</t>
  </si>
  <si>
    <t>LE CARLINE</t>
  </si>
  <si>
    <t xml:space="preserve">LE CARLINE SOCIETA’ SEMPLICE AGRICOLA </t>
  </si>
  <si>
    <t>A.01.21</t>
  </si>
  <si>
    <t>04601120274</t>
  </si>
  <si>
    <t>Carline-24</t>
  </si>
  <si>
    <t>Pramaggiore (Venezia)</t>
  </si>
  <si>
    <t>www.lecarline.com</t>
  </si>
  <si>
    <t xml:space="preserve">Daniele </t>
  </si>
  <si>
    <t>Piccinin</t>
  </si>
  <si>
    <t>info@lecarline.com</t>
  </si>
  <si>
    <t>+390421799741</t>
  </si>
  <si>
    <t xml:space="preserve"> SCIENCE AND RESEARCH CENTRE KOPER </t>
  </si>
  <si>
    <t xml:space="preserve">Istituto per l'Olivicoltura </t>
  </si>
  <si>
    <t>Garibaldijeva ulica- 1</t>
  </si>
  <si>
    <t xml:space="preserve">Rado </t>
  </si>
  <si>
    <t>VINAKOPER</t>
  </si>
  <si>
    <t xml:space="preserve">VINAKOPER Podjetje za proizvodnjo in prodajo vina, d.o.o., Koper  </t>
  </si>
  <si>
    <t>Vinakoper, d.o.o. Koper</t>
  </si>
  <si>
    <t>C.11.02</t>
  </si>
  <si>
    <t xml:space="preserve">SI72275189 </t>
  </si>
  <si>
    <t>884799760</t>
  </si>
  <si>
    <t>Šmarska Cesta-1</t>
  </si>
  <si>
    <t xml:space="preserve">http://www.vinakoper.si/en/  </t>
  </si>
  <si>
    <t>Fakin</t>
  </si>
  <si>
    <t>Vinko</t>
  </si>
  <si>
    <t>stupar@vinakoper.si</t>
  </si>
  <si>
    <t>+38651309047</t>
  </si>
  <si>
    <t xml:space="preserve">SI34767789 </t>
  </si>
  <si>
    <t>Ferrarska ulica -2</t>
  </si>
  <si>
    <t>www.pgz-slo.si</t>
  </si>
  <si>
    <t xml:space="preserve">+38656625830 </t>
  </si>
  <si>
    <t>Etichette di riga</t>
  </si>
  <si>
    <t>BL</t>
  </si>
  <si>
    <t>BL1</t>
  </si>
  <si>
    <t>BL2</t>
  </si>
  <si>
    <t>BL3</t>
  </si>
  <si>
    <t>BL4</t>
  </si>
  <si>
    <t>BL5</t>
  </si>
  <si>
    <t>BL6</t>
  </si>
  <si>
    <t>COSTI Preparatori</t>
  </si>
  <si>
    <t>Totale complessivo</t>
  </si>
  <si>
    <t>Check rendicontato</t>
  </si>
  <si>
    <t>check convalidato</t>
  </si>
  <si>
    <t>Totale Rendicontato ITA</t>
  </si>
  <si>
    <t>Totale convalidato  ITA</t>
  </si>
  <si>
    <t>Spesa non convalidata ITA</t>
  </si>
  <si>
    <t>Percentuale costi ammessi  ITA</t>
  </si>
  <si>
    <t>Totale Rendicontato SLO</t>
  </si>
  <si>
    <t>Totale convalidato SLO</t>
  </si>
  <si>
    <t>Spesa non convalidata SLO</t>
  </si>
  <si>
    <t>Percentuale costi ammessi  SLO</t>
  </si>
  <si>
    <t>TABELLA RENDICONTATO</t>
  </si>
  <si>
    <t>Tutti i rendiconti</t>
  </si>
  <si>
    <t>enti pubblici</t>
  </si>
  <si>
    <t>enti privati</t>
  </si>
  <si>
    <t>Italia</t>
  </si>
  <si>
    <t>Slovenia</t>
  </si>
  <si>
    <t>Akronim project</t>
  </si>
  <si>
    <t>Akronim partner</t>
  </si>
  <si>
    <t>id report</t>
  </si>
  <si>
    <t>Value</t>
  </si>
  <si>
    <t>declaredByPartner</t>
  </si>
  <si>
    <t>declaredByPartnerFlatRateSum</t>
  </si>
  <si>
    <t>inControlSample</t>
  </si>
  <si>
    <t>inControlSamplePercentage</t>
  </si>
  <si>
    <t>parked</t>
  </si>
  <si>
    <t>deductedByControl</t>
  </si>
  <si>
    <t>eligibleAfterControl</t>
  </si>
  <si>
    <t>eligibleAfterControlPercentage</t>
  </si>
  <si>
    <t>In Sospeso</t>
  </si>
  <si>
    <t>TOTALE SPESE NON AMMESSE</t>
  </si>
  <si>
    <t>nuts</t>
  </si>
  <si>
    <t>tipo soggetto</t>
  </si>
  <si>
    <t>id Project</t>
  </si>
  <si>
    <t>basso</t>
  </si>
  <si>
    <t>medio</t>
  </si>
  <si>
    <t>alto</t>
  </si>
  <si>
    <t>min</t>
  </si>
  <si>
    <t>max</t>
  </si>
  <si>
    <t>Column1.projectId</t>
  </si>
  <si>
    <t>Column1.projectCustomIdentifier</t>
  </si>
  <si>
    <t>Column1.partnerRole</t>
  </si>
  <si>
    <t>Column1.partnerNumber</t>
  </si>
  <si>
    <t>Column1.reportNumber</t>
  </si>
  <si>
    <t>Column1.status</t>
  </si>
  <si>
    <t>Column1.linkedFormVersion</t>
  </si>
  <si>
    <t>Column1.firstSubmission</t>
  </si>
  <si>
    <t>Column1.lastReSubmission</t>
  </si>
  <si>
    <t>Column1.controlEnd</t>
  </si>
  <si>
    <t>Column1.createdAt</t>
  </si>
  <si>
    <t>Column1.startDate</t>
  </si>
  <si>
    <t>Column1.endDate</t>
  </si>
  <si>
    <t>Column1.periodDetail</t>
  </si>
  <si>
    <t>Column1.projectReportId</t>
  </si>
  <si>
    <t>Column1.projectReportNumber</t>
  </si>
  <si>
    <t>Column1.totalEligibleAfterControl</t>
  </si>
  <si>
    <t>Column1.totalAfterSubmitted</t>
  </si>
  <si>
    <t>Column1.deletable</t>
  </si>
  <si>
    <t>Certified</t>
  </si>
  <si>
    <t>2023-10-16T10:27:39.295+02:00</t>
  </si>
  <si>
    <t>2023-01-16</t>
  </si>
  <si>
    <t>2023-09-30</t>
  </si>
  <si>
    <t>[Record]</t>
  </si>
  <si>
    <t>2023-10-27T13:17:06.221+02:00</t>
  </si>
  <si>
    <t>2023-07-01</t>
  </si>
  <si>
    <t>2023-10-30T11:35:04.783+01:00</t>
  </si>
  <si>
    <t>2023-09-01</t>
  </si>
  <si>
    <t>2024-02-29</t>
  </si>
  <si>
    <t>2023-11-06T10:54:14.819+01:00</t>
  </si>
  <si>
    <t>2022-09-01</t>
  </si>
  <si>
    <t>2023-11-06T11:25:29.42+01:00</t>
  </si>
  <si>
    <t>2023-01-01</t>
  </si>
  <si>
    <t>2023-11-06T13:02:59.001+01:00</t>
  </si>
  <si>
    <t>2023-06-01</t>
  </si>
  <si>
    <t>2023-11-06T14:27:21.312+01:00</t>
  </si>
  <si>
    <t>2023-11-07T15:50:00.136+01:00</t>
  </si>
  <si>
    <t>2023-12-04T09:14:12.753+01:00</t>
  </si>
  <si>
    <t>2023-11-08T09:30:07.536+01:00</t>
  </si>
  <si>
    <t>2023-10-31</t>
  </si>
  <si>
    <t>2023-11-08T13:09:51.996+01:00</t>
  </si>
  <si>
    <t>2023-11-08T14:46:55.475+01:00</t>
  </si>
  <si>
    <t>2023-11-09T07:38:09.873+01:00</t>
  </si>
  <si>
    <t>2023-10-01</t>
  </si>
  <si>
    <t>2024-02-28</t>
  </si>
  <si>
    <t>2023-11-10T10:24:34.024+01:00</t>
  </si>
  <si>
    <t>2023-11-10T10:38:10.765+01:00</t>
  </si>
  <si>
    <t>2023-11-10T12:01:07.328+01:00</t>
  </si>
  <si>
    <t>6.0</t>
  </si>
  <si>
    <t>2023-11-10T12:12:31.333+01:00</t>
  </si>
  <si>
    <t>2023-11-13T10:25:41.8+01:00</t>
  </si>
  <si>
    <t>2023-11-14T11:33:28.637+01:00</t>
  </si>
  <si>
    <t>2023-11-14T14:12:08.166+01:00</t>
  </si>
  <si>
    <t>2023-11-14T15:21:29.548+01:00</t>
  </si>
  <si>
    <t>2023-11-15T13:03:05.044+01:00</t>
  </si>
  <si>
    <t>2023-11-15T14:29:58.453+01:00</t>
  </si>
  <si>
    <t>2023-11-15T14:55:58.025+01:00</t>
  </si>
  <si>
    <t>2023-11-15T16:06:14.364+01:00</t>
  </si>
  <si>
    <t>2023-11-17T08:16:58.803+01:00</t>
  </si>
  <si>
    <t>2023-11-17T13:14:27.312+01:00</t>
  </si>
  <si>
    <t>2023-11-17T15:24:16.288+01:00</t>
  </si>
  <si>
    <t>2023-11-20T09:17:24.706+01:00</t>
  </si>
  <si>
    <t>2023-11-20T15:51:16.169+01:00</t>
  </si>
  <si>
    <t>2023-11-20T17:16:06.031+01:00</t>
  </si>
  <si>
    <t>2023-11-21T14:39:02.621+01:00</t>
  </si>
  <si>
    <t>2023-11-23T09:37:57.978+01:00</t>
  </si>
  <si>
    <t>2023-11-23T12:30:14.262+01:00</t>
  </si>
  <si>
    <t>2023-11-23T14:25:06.076+01:00</t>
  </si>
  <si>
    <t>2023-11-24T14:19:55.074+01:00</t>
  </si>
  <si>
    <t>2023-11-27T11:54:15.263+01:00</t>
  </si>
  <si>
    <t>2023-11-28T15:53:10.441+01:00</t>
  </si>
  <si>
    <t>2023-11-29T10:03:18.39+01:00</t>
  </si>
  <si>
    <t>2023-11-30T14:04:08.565+01:00</t>
  </si>
  <si>
    <t>2023-11-30T15:14:06.804+01:00</t>
  </si>
  <si>
    <t>2024-01-05T07:51:12.481+01:00</t>
  </si>
  <si>
    <t>2024-01-15T09:38:21.745+01:00</t>
  </si>
  <si>
    <t>2024-01-15T10:04:38.785+01:00</t>
  </si>
  <si>
    <t>2024-01-16T12:48:14.122+01:00</t>
  </si>
  <si>
    <t>2024-01-17T13:08:57.059+01:00</t>
  </si>
  <si>
    <t>2024-01-23T11:17:58.754+01:00</t>
  </si>
  <si>
    <t>2024-01-23T11:21:21.762+01:00</t>
  </si>
  <si>
    <t>2023-01-09</t>
  </si>
  <si>
    <t>2024-01-29T08:16:18.332+01:00</t>
  </si>
  <si>
    <t>2023-08-01</t>
  </si>
  <si>
    <t>2024-01-31T16:51:08.715+01:00</t>
  </si>
  <si>
    <t>2024-01-31T16:51:29.967+01:00</t>
  </si>
  <si>
    <t>2024-02-05T21:55:29.314+01:00</t>
  </si>
  <si>
    <t>2024-02-06T11:51:18.014+01:00</t>
  </si>
  <si>
    <t>2024-02-07T14:55:51.006+01:00</t>
  </si>
  <si>
    <t>2024-02-08T13:44:36.091+01:00</t>
  </si>
  <si>
    <t>2024-02-08T15:53:41.975+01:00</t>
  </si>
  <si>
    <t>2024-02-12T14:25:30.048+01:00</t>
  </si>
  <si>
    <t>2024-02-13T10:38:14.826+01:00</t>
  </si>
  <si>
    <t>2023-01-10</t>
  </si>
  <si>
    <t>2024-02-13T18:44:32.2+01:00</t>
  </si>
  <si>
    <t>2024-02-14T14:03:54.303+01:00</t>
  </si>
  <si>
    <t>2024-02-15T09:12:28.576+01:00</t>
  </si>
  <si>
    <t>2024-02-15T09:37:02.962+01:00</t>
  </si>
  <si>
    <t>2024-02-15T09:43:45.902+01:00</t>
  </si>
  <si>
    <t>2024-02-15T10:03:17.934+01:00</t>
  </si>
  <si>
    <t>2024-02-15T10:06:22.503+01:00</t>
  </si>
  <si>
    <t>2023-07-07</t>
  </si>
  <si>
    <t>2024-02-15T10:08:02.13+01:00</t>
  </si>
  <si>
    <t>2024-02-15T12:24:40.931+01:00</t>
  </si>
  <si>
    <t>2024-02-15T14:11:28.954+01:00</t>
  </si>
  <si>
    <t>2024-02-19T13:24:43.456+01:00</t>
  </si>
  <si>
    <t>2024-02-21T09:08:55.22+01:00</t>
  </si>
  <si>
    <t>2024-02-26T12:09:30.491+01:00</t>
  </si>
  <si>
    <t>2024-03-31</t>
  </si>
  <si>
    <t>2024-02-27T09:28:02.379+01:00</t>
  </si>
  <si>
    <t>2024-03-29</t>
  </si>
  <si>
    <t>2024-02-27T10:29:47.294+01:00</t>
  </si>
  <si>
    <t>2024-02-27T10:47:14.418+01:00</t>
  </si>
  <si>
    <t>2024-02-27T10:50:26.984+01:00</t>
  </si>
  <si>
    <t>2024-03-28T17:42:28.268+01:00</t>
  </si>
  <si>
    <t>2024-02-27T10:50:45.721+01:00</t>
  </si>
  <si>
    <t>2024-02-27T10:50:58.902+01:00</t>
  </si>
  <si>
    <t>2024-02-27T10:51:16.685+01:00</t>
  </si>
  <si>
    <t>2024-02-28T16:20:19.406+01:00</t>
  </si>
  <si>
    <t>2024-02-29T12:02:31.766+01:00</t>
  </si>
  <si>
    <t>2024-02-29T12:17:49.058+01:00</t>
  </si>
  <si>
    <t>2024-02-29T14:02:15.409+01:00</t>
  </si>
  <si>
    <t>2024-03-01T14:19:25.094+01:00</t>
  </si>
  <si>
    <t>2024-03-03T19:16:04.306+01:00</t>
  </si>
  <si>
    <t>2023-09-15</t>
  </si>
  <si>
    <t>2024-03-04T09:59:09.857+01:00</t>
  </si>
  <si>
    <t>2024-03-04T11:19:16.488+01:00</t>
  </si>
  <si>
    <t>2024-03-04T12:47:26.398+01:00</t>
  </si>
  <si>
    <t>2024-03-04T13:59:54.758+01:00</t>
  </si>
  <si>
    <t>2024-03-04T14:58:26.66+01:00</t>
  </si>
  <si>
    <t>2024-03-04T15:24:08.244+01:00</t>
  </si>
  <si>
    <t>2024-03-04T16:10:39.18+01:00</t>
  </si>
  <si>
    <t>2024-03-05T09:03:50.457+01:00</t>
  </si>
  <si>
    <t>2024-03-05T14:18:32.799+01:00</t>
  </si>
  <si>
    <t>2024-03-06T10:52:42.034+01:00</t>
  </si>
  <si>
    <t>2023-09-25</t>
  </si>
  <si>
    <t>2024-03-06T14:15:46.844+01:00</t>
  </si>
  <si>
    <t>2024-03-06T16:46:06.353+01:00</t>
  </si>
  <si>
    <t>2024-03-07T07:40:57.113+01:00</t>
  </si>
  <si>
    <t>2024-03-07T09:40:17.101+01:00</t>
  </si>
  <si>
    <t>2024-03-07T10:09:03.865+01:00</t>
  </si>
  <si>
    <t>2024-03-07T11:54:02.715+01:00</t>
  </si>
  <si>
    <t>2024-03-07T13:21:22.564+01:00</t>
  </si>
  <si>
    <t>2024-03-07T13:43:06.224+01:00</t>
  </si>
  <si>
    <t>2024-03-07T15:30:30.797+01:00</t>
  </si>
  <si>
    <t>2024-03-08T09:17:25.7+01:00</t>
  </si>
  <si>
    <t>2024-03-08T12:42:12.788+01:00</t>
  </si>
  <si>
    <t>2024-03-24</t>
  </si>
  <si>
    <t>2024-03-08T14:20:19.151+01:00</t>
  </si>
  <si>
    <t>2024-03-08T14:34:40.605+01:00</t>
  </si>
  <si>
    <t>2024-03-10T09:18:24.144+01:00</t>
  </si>
  <si>
    <t>2024-03-10T10:14:50.683+01:00</t>
  </si>
  <si>
    <t>2024-03-11T07:06:32.963+01:00</t>
  </si>
  <si>
    <t>2024-03-11T08:42:32.575+01:00</t>
  </si>
  <si>
    <t>2024-03-11T12:27:31.324+01:00</t>
  </si>
  <si>
    <t>2024-03-12T09:00:40.344+01:00</t>
  </si>
  <si>
    <t>2023-11-01</t>
  </si>
  <si>
    <t>2024-03-12T09:44:16.646+01:00</t>
  </si>
  <si>
    <t>2023-12-01</t>
  </si>
  <si>
    <t>2024-03-12T11:46:21.994+01:00</t>
  </si>
  <si>
    <t>2024-03-12T13:01:58.263+01:00</t>
  </si>
  <si>
    <t>2025-08-31</t>
  </si>
  <si>
    <t>2024-03-12T14:09:16.403+01:00</t>
  </si>
  <si>
    <t>2024-03-13T08:55:03.882+01:00</t>
  </si>
  <si>
    <t>2024-03-13T09:21:06.562+01:00</t>
  </si>
  <si>
    <t>2024-03-13T09:28:49.82+01:00</t>
  </si>
  <si>
    <t>2024-03-14T09:28:15.903+01:00</t>
  </si>
  <si>
    <t>2024-03-14T09:40:00.767+01:00</t>
  </si>
  <si>
    <t>2024-03-14T10:31:38.642+01:00</t>
  </si>
  <si>
    <t>2024-03-14T11:49:11.023+01:00</t>
  </si>
  <si>
    <t>2024-03-14T15:23:09.627+01:00</t>
  </si>
  <si>
    <t>2024-03-15T10:10:05.424+01:00</t>
  </si>
  <si>
    <t>2024-03-15T10:36:29.513+01:00</t>
  </si>
  <si>
    <t>2024-03-15T11:03:03.651+01:00</t>
  </si>
  <si>
    <t>2024-03-15T11:35:15.579+01:00</t>
  </si>
  <si>
    <t>2024-03-15T12:42:34.509+01:00</t>
  </si>
  <si>
    <t>2024-03-18T09:10:42.21+01:00</t>
  </si>
  <si>
    <t>2024-03-18T09:33:34.666+01:00</t>
  </si>
  <si>
    <t>2024-03-18T09:50:36.023+01:00</t>
  </si>
  <si>
    <t>2024-03-18T10:16:47.125+01:00</t>
  </si>
  <si>
    <t>2024-03-18T10:54:24.222+01:00</t>
  </si>
  <si>
    <t>2025-09-30</t>
  </si>
  <si>
    <t>2024-03-18T16:22:09.788+01:00</t>
  </si>
  <si>
    <t>2024-03-18T17:33:40.236+01:00</t>
  </si>
  <si>
    <t>2024-03-19T13:38:11.444+01:00</t>
  </si>
  <si>
    <t>2024-03-19T14:37:01.141+01:00</t>
  </si>
  <si>
    <t>2024-03-19T14:38:21.108+01:00</t>
  </si>
  <si>
    <t>2024-03-19T14:54:41.521+01:00</t>
  </si>
  <si>
    <t>2024-03-19T15:16:40.956+01:00</t>
  </si>
  <si>
    <t>2024-03-20T09:23:05.287+01:00</t>
  </si>
  <si>
    <t>2024-03-20T09:48:38.437+01:00</t>
  </si>
  <si>
    <t>2024-03-20T11:26:45.427+01:00</t>
  </si>
  <si>
    <t>2024-03-20T12:06:18.588+01:00</t>
  </si>
  <si>
    <t>2024-03-20T12:36:10.318+01:00</t>
  </si>
  <si>
    <t>2024-03-21T15:14:26.481+01:00</t>
  </si>
  <si>
    <t>2024-03-21T17:43:40.095+01:00</t>
  </si>
  <si>
    <t>2024-03-22T10:10:33.347+01:00</t>
  </si>
  <si>
    <t>2024-03-22T11:34:16.35+01:00</t>
  </si>
  <si>
    <t>2024-03-22T14:35:10.889+01:00</t>
  </si>
  <si>
    <t>2024-03-22T17:24:54.068+01:00</t>
  </si>
  <si>
    <t>2024-03-23T18:53:17.419+01:00</t>
  </si>
  <si>
    <t>2024-03-25T15:36:36.902+01:00</t>
  </si>
  <si>
    <t>2024-03-26T13:10:35.469+01:00</t>
  </si>
  <si>
    <t>2024-03-26T14:34:07.151+01:00</t>
  </si>
  <si>
    <t>2024-03-26T14:56:05.31+01:00</t>
  </si>
  <si>
    <t>2023-12-31</t>
  </si>
  <si>
    <t>2024-03-27T11:43:44.581+01:00</t>
  </si>
  <si>
    <t>2024-03-27T11:44:27.42+01:00</t>
  </si>
  <si>
    <t>2024-03-27T11:49:40.842+01:00</t>
  </si>
  <si>
    <t>2024-03-27T15:55:45.852+01:00</t>
  </si>
  <si>
    <t>2024-03-27T16:19:09.451+01:00</t>
  </si>
  <si>
    <t>2024-03-27T16:35:17.446+01:00</t>
  </si>
  <si>
    <t>2024-03-28T01:58:58.378+01:00</t>
  </si>
  <si>
    <t>2024-03-28T13:34:54.202+01:00</t>
  </si>
  <si>
    <t>2024-03-28T14:53:30.909+01:00</t>
  </si>
  <si>
    <t>2024-03-29T09:44:26.902+01:00</t>
  </si>
  <si>
    <t>2024-03-14</t>
  </si>
  <si>
    <t>2024-03-29T11:33:56.524+01:00</t>
  </si>
  <si>
    <t>2024-04-02T16:02:39.137+02:00</t>
  </si>
  <si>
    <t>2024-04-03T14:12:16.169+02:00</t>
  </si>
  <si>
    <t>2024-04-04T09:38:58.142+02:00</t>
  </si>
  <si>
    <t>2024-04-04T14:56:32.003+02:00</t>
  </si>
  <si>
    <t>COSTO REALE</t>
  </si>
  <si>
    <t>Costo Unitario Standard</t>
  </si>
  <si>
    <t>Tasso Forfettario 20%</t>
  </si>
  <si>
    <t>Obcina Kobarid</t>
  </si>
  <si>
    <t>Obcina Komen</t>
  </si>
  <si>
    <t>Obcina Sežana</t>
  </si>
  <si>
    <t>Obcina Tolmin</t>
  </si>
  <si>
    <t>Pubblic=VERo-Privato faslo</t>
  </si>
  <si>
    <t>FINISHED</t>
  </si>
  <si>
    <t>CONTROL</t>
  </si>
  <si>
    <t>Controlli nazionali-Checklist - Nacionalna kontrola-Kontrolni list</t>
  </si>
  <si>
    <t>janja.mlakar@gov.si</t>
  </si>
  <si>
    <t>2024-02-06T12:43:10.874+01:00</t>
  </si>
  <si>
    <t>2024-02-06</t>
  </si>
  <si>
    <t>Content.status</t>
  </si>
  <si>
    <t>Content.type</t>
  </si>
  <si>
    <t>Content.name</t>
  </si>
  <si>
    <t>Content.creatorEmail</t>
  </si>
  <si>
    <t>Content.createdAt</t>
  </si>
  <si>
    <t>Content.finishedDate</t>
  </si>
  <si>
    <t>Content.relatedToId</t>
  </si>
  <si>
    <t>Content.programmeChecklistId</t>
  </si>
  <si>
    <t>Content.consolidated</t>
  </si>
  <si>
    <t>Content.visible</t>
  </si>
  <si>
    <t>Content.description</t>
  </si>
  <si>
    <t>acronimo partner</t>
  </si>
  <si>
    <t>vesna.marsenic@gov.si</t>
  </si>
  <si>
    <t>2024-02-23</t>
  </si>
  <si>
    <t>Controlli nazionali-Check list n�2 - Nacionalna kontrola-Kontrolni list �t.2</t>
  </si>
  <si>
    <t>2024-02-21T09:00:23.667+01:00</t>
  </si>
  <si>
    <t>Controlli nazionali-Check list n�3 - Nacionalna kontrola-Kontrolni list �t.3</t>
  </si>
  <si>
    <t>iztok.furlanic@regione.fvg.it</t>
  </si>
  <si>
    <t>2024-04-08T12:24:46.081+02:00</t>
  </si>
  <si>
    <t>2024-04-24</t>
  </si>
  <si>
    <t>2024-02-13T10:16:38.759+01:00</t>
  </si>
  <si>
    <t>2024-02-27</t>
  </si>
  <si>
    <t>alessandra.onida@regione.fvg.it</t>
  </si>
  <si>
    <t>2024-02-19T19:45:13.906+01:00</t>
  </si>
  <si>
    <t>romana.breznik-ahtik@gov.si</t>
  </si>
  <si>
    <t>2024-02-12T15:27:58.313+01:00</t>
  </si>
  <si>
    <t>2024-02-13</t>
  </si>
  <si>
    <t>francesco.sinicco@regione.fvg.it</t>
  </si>
  <si>
    <t>2024-04-16T09:35:17.409+02:00</t>
  </si>
  <si>
    <t>2024-04-17</t>
  </si>
  <si>
    <t>2024-02-12T09:25:23.022+01:00</t>
  </si>
  <si>
    <t>2024-02-15</t>
  </si>
  <si>
    <t>DRAFT</t>
  </si>
  <si>
    <t>roberta.nenzi@regione.fvg.it</t>
  </si>
  <si>
    <t>2024-04-30T08:16:00.069+02:00</t>
  </si>
  <si>
    <t>2024-05-22</t>
  </si>
  <si>
    <t>2024-05-20T11:24:58.714+02:00</t>
  </si>
  <si>
    <t>2024-05-20</t>
  </si>
  <si>
    <t>2024-05-08T10:26:20.103+02:00</t>
  </si>
  <si>
    <t>2024-05-08</t>
  </si>
  <si>
    <t>2024-05-06</t>
  </si>
  <si>
    <t>2024-05-06T11:07:51.491+02:00</t>
  </si>
  <si>
    <t>sabina.iannotta@regione.fvg.it</t>
  </si>
  <si>
    <t>2024-05-08T10:59:20.056+02:00</t>
  </si>
  <si>
    <t>2024-05-29</t>
  </si>
  <si>
    <t>2024-06-14</t>
  </si>
  <si>
    <t>2024-06-04T09:30:41.669+02:00</t>
  </si>
  <si>
    <t>2024-05-31</t>
  </si>
  <si>
    <t>2024-05-31T12:53:55.871+02:00</t>
  </si>
  <si>
    <t>2024-05-15T09:30:11.507+02:00</t>
  </si>
  <si>
    <t>2024-05-23</t>
  </si>
  <si>
    <t>andrea.podrecca@regione.fvg.it</t>
  </si>
  <si>
    <t>2024-04-30T06:32:27.068+02:00</t>
  </si>
  <si>
    <t>2024-05-24</t>
  </si>
  <si>
    <t>2024-05-17T12:51:21.478+02:00</t>
  </si>
  <si>
    <t>2024-05-17</t>
  </si>
  <si>
    <t>2024-04-12T12:41:11.423+02:00</t>
  </si>
  <si>
    <t>2024-05-10T10:18:32.588+02:00</t>
  </si>
  <si>
    <t>2024-05-10</t>
  </si>
  <si>
    <t>2024-06-10T14:02:15.26+02:00</t>
  </si>
  <si>
    <t>2024-06-10</t>
  </si>
  <si>
    <t>2024-05-14T13:04:48.625+02:00</t>
  </si>
  <si>
    <t>2024-05-30</t>
  </si>
  <si>
    <t>2024-04-16T13:09:50.076+02:00</t>
  </si>
  <si>
    <t>2024-05-09</t>
  </si>
  <si>
    <t>2024-05-09T08:04:24.652+02:00</t>
  </si>
  <si>
    <t>2024-05-07T08:50:46.198+02:00</t>
  </si>
  <si>
    <t>2024-06-18T13:50:56.185+02:00</t>
  </si>
  <si>
    <t>rosa.bortulin@regione.fvg.it</t>
  </si>
  <si>
    <t>2024-05-16T13:06:27.976+02:00</t>
  </si>
  <si>
    <t>2024-05-15</t>
  </si>
  <si>
    <t>2024-05-14T10:40:11.969+02:00</t>
  </si>
  <si>
    <t>2024-04-10T18:05:11.944+02:00</t>
  </si>
  <si>
    <t>2024-05-13T09:35:30.871+02:00</t>
  </si>
  <si>
    <t>2024-05-28</t>
  </si>
  <si>
    <t>2024-05-28T09:35:05.17+02:00</t>
  </si>
  <si>
    <t>2024-05-13</t>
  </si>
  <si>
    <t>2024-05-13T09:57:52.475+02:00</t>
  </si>
  <si>
    <t>2024-04-23T12:41:47.813+02:00</t>
  </si>
  <si>
    <t>2024-04-30</t>
  </si>
  <si>
    <t>2024-06-18T09:06:31.316+02:00</t>
  </si>
  <si>
    <t>2024-06-18</t>
  </si>
  <si>
    <t>2024-04-04T13:05:56.132+02:00</t>
  </si>
  <si>
    <t>2024-05-17T14:05:12.655+02:00</t>
  </si>
  <si>
    <t>2024-04-29T14:08:18.081+02:00</t>
  </si>
  <si>
    <t>2024-02-16T11:11:58.892+01:00</t>
  </si>
  <si>
    <t>2024-04-16T12:35:18.628+02:00</t>
  </si>
  <si>
    <t>2024-05-16T13:51:37.104+02:00</t>
  </si>
  <si>
    <t>2024-05-21</t>
  </si>
  <si>
    <t>eleonora.pittorra@regione.fvg.it</t>
  </si>
  <si>
    <t>2024-04-15T15:17:32.589+02:00</t>
  </si>
  <si>
    <t>2024-04-22</t>
  </si>
  <si>
    <t>2024-05-24T09:41:10.283+02:00</t>
  </si>
  <si>
    <t>2024-04-19T11:11:13.172+02:00</t>
  </si>
  <si>
    <t>2024-06-07T13:42:29.738+02:00</t>
  </si>
  <si>
    <t>2024-05-24T09:03:40.969+02:00</t>
  </si>
  <si>
    <t>2024-04-10T14:37:43.812+02:00</t>
  </si>
  <si>
    <t>2024-04-16</t>
  </si>
  <si>
    <t>2024-04-11T13:33:04.519+02:00</t>
  </si>
  <si>
    <t>2024-04-15</t>
  </si>
  <si>
    <t>2024-05-15T13:20:46.058+02:00</t>
  </si>
  <si>
    <t>2024-02-13T16:37:13.199+01:00</t>
  </si>
  <si>
    <t>2024-03-04</t>
  </si>
  <si>
    <t>2024-02-15T10:04:58.007+01:00</t>
  </si>
  <si>
    <t>2024-03-05</t>
  </si>
  <si>
    <t>2024-02-21T11:41:02.155+01:00</t>
  </si>
  <si>
    <t>2024-02-21</t>
  </si>
  <si>
    <t>2024-03-04T10:33:13.131+01:00</t>
  </si>
  <si>
    <t>2024-04-09T14:46:45.601+02:00</t>
  </si>
  <si>
    <t>2024-02-28T10:09:10.489+01:00</t>
  </si>
  <si>
    <t>2024-04-15T09:10:15.616+02:00</t>
  </si>
  <si>
    <t>2024-01-17T12:35:41.751+01:00</t>
  </si>
  <si>
    <t>2024-01-25</t>
  </si>
  <si>
    <t>2024-02-12T14:31:24.954+01:00</t>
  </si>
  <si>
    <t>2024-05-31T08:27:06.853+02:00</t>
  </si>
  <si>
    <t>2024-01-17T11:11:21.607+01:00</t>
  </si>
  <si>
    <t>2024-01-18</t>
  </si>
  <si>
    <t>Izpolnjen KL za 1.vp</t>
  </si>
  <si>
    <t>2024-02-20T08:52:42.131+01:00</t>
  </si>
  <si>
    <t>2024-02-20</t>
  </si>
  <si>
    <t>2024-06-18T08:13:25.85+02:00</t>
  </si>
  <si>
    <t>2024-01-31T08:16:14.51+01:00</t>
  </si>
  <si>
    <t>2024-01-31</t>
  </si>
  <si>
    <t>2024-05-24T07:59:31.453+02:00</t>
  </si>
  <si>
    <t>2024-05-10T09:57:40.353+02:00</t>
  </si>
  <si>
    <t>2024-02-05T08:33:34.127+01:00</t>
  </si>
  <si>
    <t>2024-02-05</t>
  </si>
  <si>
    <t>2024-03-01T13:04:04.851+01:00</t>
  </si>
  <si>
    <t>2024-02-13T09:33:00.619+01:00</t>
  </si>
  <si>
    <t>2024-02-29T08:06:45.989+01:00</t>
  </si>
  <si>
    <t>2024-02-16</t>
  </si>
  <si>
    <t>2024-02-16T09:42:13.443+01:00</t>
  </si>
  <si>
    <t>2024-04-11</t>
  </si>
  <si>
    <t>2024-04-11T10:22:13.062+02:00</t>
  </si>
  <si>
    <t>2024-01-29T13:27:38.951+01:00</t>
  </si>
  <si>
    <t>2024-01-30</t>
  </si>
  <si>
    <t>antonietta.intini@regione.fvg.it</t>
  </si>
  <si>
    <t>2024-04-26T09:56:06.725+02:00</t>
  </si>
  <si>
    <t>2024-06-03</t>
  </si>
  <si>
    <t>2024-01-15T14:40:43.844+01:00</t>
  </si>
  <si>
    <t>2024-02-12T11:25:18.329+01:00</t>
  </si>
  <si>
    <t>2024-06-14T11:30:41.157+02:00</t>
  </si>
  <si>
    <t>2024-02-21T09:01:57.053+01:00</t>
  </si>
  <si>
    <t>2024-02-14T09:13:22.107+01:00</t>
  </si>
  <si>
    <t>Rendiconto n.1</t>
  </si>
  <si>
    <t>2024-02-13T15:16:07.289+01:00</t>
  </si>
  <si>
    <t>Rendiconto n. 1</t>
  </si>
  <si>
    <t>2024-01-30T10:09:57.1+01:00</t>
  </si>
  <si>
    <t>2024-05-07T08:19:06.793+02:00</t>
  </si>
  <si>
    <t>2024-05-07</t>
  </si>
  <si>
    <t>2024-05-10T11:07:34.715+02:00</t>
  </si>
  <si>
    <t>2024-05-14T14:44:48.558+02:00</t>
  </si>
  <si>
    <t>2024-06-13T09:35:12.349+02:00</t>
  </si>
  <si>
    <t>2024-05-21T10:35:27.962+02:00</t>
  </si>
  <si>
    <t>2024-05-20T08:27:32.848+02:00</t>
  </si>
  <si>
    <t>2024-02-14T09:36:47.155+01:00</t>
  </si>
  <si>
    <t>2024-03-05T14:45:31.189+01:00</t>
  </si>
  <si>
    <t>2024-03-18</t>
  </si>
  <si>
    <t>2024-02-26T09:35:11.191+01:00</t>
  </si>
  <si>
    <t>2024-05-27T09:52:22.269+02:00</t>
  </si>
  <si>
    <t>2024-05-27</t>
  </si>
  <si>
    <t>2024-04-12T12:40:33.611+02:00</t>
  </si>
  <si>
    <t>2024-06-13</t>
  </si>
  <si>
    <t>2024-05-06T14:15:08.812+02:00</t>
  </si>
  <si>
    <t>2024-04-04T15:10:34.463+02:00</t>
  </si>
  <si>
    <t>2024-05-14</t>
  </si>
  <si>
    <t>2024-02-12T14:50:34.162+01:00</t>
  </si>
  <si>
    <t>2024-02-26</t>
  </si>
  <si>
    <t>2024-02-29T10:02:18.232+01:00</t>
  </si>
  <si>
    <t>2024-05-09T09:40:19.552+02:00</t>
  </si>
  <si>
    <t>2024-01-31T09:41:28.252+01:00</t>
  </si>
  <si>
    <t>2024-02-02</t>
  </si>
  <si>
    <t>2024-06-13T07:58:04.85+02:00</t>
  </si>
  <si>
    <t>2024-01-29T13:03:40.24+01:00</t>
  </si>
  <si>
    <t>2024-01-29</t>
  </si>
  <si>
    <t>2024-05-07T10:37:03.036+02:00</t>
  </si>
  <si>
    <t>2024-06-06</t>
  </si>
  <si>
    <t>2024-04-18T11:40:16.205+02:00</t>
  </si>
  <si>
    <t>2024-04-22T11:49:11.614+02:00</t>
  </si>
  <si>
    <t>2024-05-08T12:10:59.732+02:00</t>
  </si>
  <si>
    <t>2024-05-09T15:40:22.307+02:00</t>
  </si>
  <si>
    <t>2024-05-13T12:21:19.428+02:00</t>
  </si>
  <si>
    <t>2024-04-24T11:26:00.685+02:00</t>
  </si>
  <si>
    <t>2024-04-29T11:56:07.658+02:00</t>
  </si>
  <si>
    <t>2024-02-12T12:21:03.591+01:00</t>
  </si>
  <si>
    <t>2024-02-19T12:44:19.328+01:00</t>
  </si>
  <si>
    <t>2024-02-19</t>
  </si>
  <si>
    <t>2024-05-09T08:21:20.678+02:00</t>
  </si>
  <si>
    <t>2024-02-26T13:26:14.498+01:00</t>
  </si>
  <si>
    <t>Chek list ID</t>
  </si>
  <si>
    <t>Value.id</t>
  </si>
  <si>
    <t>Akronim Project</t>
  </si>
  <si>
    <t>Numero Rendiconti Convalidati</t>
  </si>
  <si>
    <t>Rendiconti NON controllati</t>
  </si>
  <si>
    <t>Numero di Chek list/Rendiconti controllati</t>
  </si>
  <si>
    <t>Controllo relazione tasso forfettario</t>
  </si>
  <si>
    <t>RISCHI TASSO FORFETTARIO</t>
  </si>
  <si>
    <t>Content.id</t>
  </si>
  <si>
    <t>Content.number</t>
  </si>
  <si>
    <t>Content.lumpSumId</t>
  </si>
  <si>
    <t>Content.unitCostId</t>
  </si>
  <si>
    <t>Content.costCategory</t>
  </si>
  <si>
    <t>Content.gdpr</t>
  </si>
  <si>
    <t>Content.investmentId</t>
  </si>
  <si>
    <t>Content.contractId</t>
  </si>
  <si>
    <t>Content.internalReferenceNumber</t>
  </si>
  <si>
    <t>Content.invoiceNumber</t>
  </si>
  <si>
    <t>Content.invoiceDate</t>
  </si>
  <si>
    <t>Content.dateOfPayment</t>
  </si>
  <si>
    <t>Content.comment</t>
  </si>
  <si>
    <t>Content.totalValueInvoice</t>
  </si>
  <si>
    <t>Content.vat</t>
  </si>
  <si>
    <t>Content.numberOfUnits</t>
  </si>
  <si>
    <t>Content.pricePerUnit</t>
  </si>
  <si>
    <t>Content.declaredAmount</t>
  </si>
  <si>
    <t>Content.currencyCode</t>
  </si>
  <si>
    <t>Content.currencyConversionRate</t>
  </si>
  <si>
    <t>Content.declaredAmountAfterSubmission</t>
  </si>
  <si>
    <t>Content.attachment</t>
  </si>
  <si>
    <t>Content.parkingMetadata</t>
  </si>
  <si>
    <t>Content.partOfSample</t>
  </si>
  <si>
    <t>Content.partOfSampleLocked</t>
  </si>
  <si>
    <t>Content.certifiedAmount</t>
  </si>
  <si>
    <t>Content.deductedAmount</t>
  </si>
  <si>
    <t>Content.typologyOfErrorId</t>
  </si>
  <si>
    <t>Content.parked</t>
  </si>
  <si>
    <t>Content.parkedOn</t>
  </si>
  <si>
    <t>Content.verificationComment</t>
  </si>
  <si>
    <t>Date modified</t>
  </si>
  <si>
    <t>Folder Path</t>
  </si>
  <si>
    <t>StaffCosts</t>
  </si>
  <si>
    <t>MD_01</t>
  </si>
  <si>
    <t>[List]</t>
  </si>
  <si>
    <t>EUR</t>
  </si>
  <si>
    <t>D:\JEMS-Esportazioni\ListOfExpenditure\</t>
  </si>
  <si>
    <t>B�_01</t>
  </si>
  <si>
    <t>2022-11-01</t>
  </si>
  <si>
    <t>izlocen sorazmerni del regresa, izplacan pred pricetkom projekta</t>
  </si>
  <si>
    <t>BO_01</t>
  </si>
  <si>
    <t>2023-03-15</t>
  </si>
  <si>
    <t>R�_01</t>
  </si>
  <si>
    <t>2023-06-30</t>
  </si>
  <si>
    <t>ExternalCosts</t>
  </si>
  <si>
    <t>557</t>
  </si>
  <si>
    <t>2023-981</t>
  </si>
  <si>
    <t>2023-07-26</t>
  </si>
  <si>
    <t>559</t>
  </si>
  <si>
    <t>23000276</t>
  </si>
  <si>
    <t>2023-07-31</t>
  </si>
  <si>
    <t>1_Tja�a Mauric</t>
  </si>
  <si>
    <t>2023-08-31</t>
  </si>
  <si>
    <t>2023-09-11</t>
  </si>
  <si>
    <t>2_Miro Kristan</t>
  </si>
  <si>
    <t>3_Mateja Kutin</t>
  </si>
  <si>
    <t>4_Jana Podgornik</t>
  </si>
  <si>
    <t>5_Studio Graffit</t>
  </si>
  <si>
    <t>23_RACN-00276</t>
  </si>
  <si>
    <t>2023-06-22</t>
  </si>
  <si>
    <t>6_Ivana Kadivec s.p.</t>
  </si>
  <si>
    <t>10/2023-PRC</t>
  </si>
  <si>
    <t>2023-06-28</t>
  </si>
  <si>
    <t>2023-07-27</t>
  </si>
  <si>
    <t>7_Propaganda d.o.o.</t>
  </si>
  <si>
    <t>23_RACN-00495</t>
  </si>
  <si>
    <t>2023-07-04</t>
  </si>
  <si>
    <t>2023-08-04</t>
  </si>
  <si>
    <t>8_Matja� Maru�ic s.p.</t>
  </si>
  <si>
    <t>14-2023</t>
  </si>
  <si>
    <t>9_NOMAGO d.o.o.</t>
  </si>
  <si>
    <t>01323001361</t>
  </si>
  <si>
    <t>2023-08-11</t>
  </si>
  <si>
    <t>10_NOMAGO</t>
  </si>
  <si>
    <t>01323001362</t>
  </si>
  <si>
    <t>1299</t>
  </si>
  <si>
    <t>539</t>
  </si>
  <si>
    <t>2023-10-10</t>
  </si>
  <si>
    <t>Spesa non campionata</t>
  </si>
  <si>
    <t>Y153D37AD1</t>
  </si>
  <si>
    <t>000004-0C5 PA</t>
  </si>
  <si>
    <t>2024-02-09</t>
  </si>
  <si>
    <t>B011930CB6</t>
  </si>
  <si>
    <t>01-PA/2024</t>
  </si>
  <si>
    <t>23700096</t>
  </si>
  <si>
    <t>2023-01-24</t>
  </si>
  <si>
    <t>2023-05-04</t>
  </si>
  <si>
    <t>23700095</t>
  </si>
  <si>
    <t>2023-06-04</t>
  </si>
  <si>
    <t>GN</t>
  </si>
  <si>
    <t>2022-09-14</t>
  </si>
  <si>
    <t>2023-09-14</t>
  </si>
  <si>
    <t>napaka v znesku prevoza na delo</t>
  </si>
  <si>
    <t>LK</t>
  </si>
  <si>
    <t>IC</t>
  </si>
  <si>
    <t>HO</t>
  </si>
  <si>
    <t>EquipmentCosts</t>
  </si>
  <si>
    <t>48/23</t>
  </si>
  <si>
    <t>23-302-000161</t>
  </si>
  <si>
    <t>46/23</t>
  </si>
  <si>
    <t>A-2023-00321</t>
  </si>
  <si>
    <t>2023-02-20</t>
  </si>
  <si>
    <t>2023-02-21</t>
  </si>
  <si>
    <t>44/23</t>
  </si>
  <si>
    <t>SU10-1-2300012</t>
  </si>
  <si>
    <t>2023-02-16</t>
  </si>
  <si>
    <t>2023-02-17</t>
  </si>
  <si>
    <t>34/23</t>
  </si>
  <si>
    <t>DRA-35</t>
  </si>
  <si>
    <t>2023-02-13</t>
  </si>
  <si>
    <t>2023-02-23</t>
  </si>
  <si>
    <t>49/23</t>
  </si>
  <si>
    <t>2023-12</t>
  </si>
  <si>
    <t>255/23</t>
  </si>
  <si>
    <t>55/23</t>
  </si>
  <si>
    <t>2023-08-12</t>
  </si>
  <si>
    <t>2023-08-29</t>
  </si>
  <si>
    <t>262/23</t>
  </si>
  <si>
    <t>01323001363</t>
  </si>
  <si>
    <t>2023-09-08</t>
  </si>
  <si>
    <t>245/23</t>
  </si>
  <si>
    <t>49-23</t>
  </si>
  <si>
    <t>2023-08-07</t>
  </si>
  <si>
    <t>2023-08-10</t>
  </si>
  <si>
    <t>74/23</t>
  </si>
  <si>
    <t>264</t>
  </si>
  <si>
    <t>2023-03-08</t>
  </si>
  <si>
    <t>2023-03-09</t>
  </si>
  <si>
    <t>21/MA</t>
  </si>
  <si>
    <t>2024-01-12</t>
  </si>
  <si>
    <t>530/23</t>
  </si>
  <si>
    <t>2023-12-22</t>
  </si>
  <si>
    <t>2024-01-26</t>
  </si>
  <si>
    <t>338</t>
  </si>
  <si>
    <t>57</t>
  </si>
  <si>
    <t>2023-08-18</t>
  </si>
  <si>
    <t>FPR 2/24</t>
  </si>
  <si>
    <t>2024-05-23T15:55:02.558+02:00</t>
  </si>
  <si>
    <t>( le spese a rendiconto vengono sospese in quanto la documentazione a disposizione non consente di confermare la rispondenza delle attivit� a quelle previste dal progetto con particolare riferimento alla parte in cui risulterebbe chiara indicazione di commercializzazione)</t>
  </si>
  <si>
    <t>Multiple</t>
  </si>
  <si>
    <t>Obracun Lisjak</t>
  </si>
  <si>
    <t>izlocen regres za leto 2024, ki �e ni bil izplacan</t>
  </si>
  <si>
    <t>Obracun Vanzo</t>
  </si>
  <si>
    <t>Obracun Bavcar</t>
  </si>
  <si>
    <t>23005527</t>
  </si>
  <si>
    <t>TS3-D4-7140218255</t>
  </si>
  <si>
    <t>2023-10-18</t>
  </si>
  <si>
    <t>2023-11-17</t>
  </si>
  <si>
    <t>23006293</t>
  </si>
  <si>
    <t>PRA23-5091</t>
  </si>
  <si>
    <t>2023-11-29</t>
  </si>
  <si>
    <t>2023-12-29</t>
  </si>
  <si>
    <t>23006846</t>
  </si>
  <si>
    <t>719002554</t>
  </si>
  <si>
    <t>2023-12-18</t>
  </si>
  <si>
    <t>32/2023</t>
  </si>
  <si>
    <t>2023-08-16</t>
  </si>
  <si>
    <t>2023-10-26</t>
  </si>
  <si>
    <t>59/2023</t>
  </si>
  <si>
    <t>2023-11-09</t>
  </si>
  <si>
    <t>2023-12-08</t>
  </si>
  <si>
    <t>23-F02-000155</t>
  </si>
  <si>
    <t>2023-11-14</t>
  </si>
  <si>
    <t>2023-12-19</t>
  </si>
  <si>
    <t>7% odbitni DDV - glede na poknji�en izdatek na SM</t>
  </si>
  <si>
    <t>14/24</t>
  </si>
  <si>
    <t>2024-01-01</t>
  </si>
  <si>
    <t>2024-02-07</t>
  </si>
  <si>
    <t>1</t>
  </si>
  <si>
    <t>RN-1117/2023</t>
  </si>
  <si>
    <t>2023-11-21</t>
  </si>
  <si>
    <t>2023-12-27</t>
  </si>
  <si>
    <t>2</t>
  </si>
  <si>
    <t>057/2023</t>
  </si>
  <si>
    <t>priznana vrednost skladno s pravno podlago - Narocilnica �t. ND-924/2023</t>
  </si>
  <si>
    <t>3</t>
  </si>
  <si>
    <t>2023-178</t>
  </si>
  <si>
    <t>2023-11-30</t>
  </si>
  <si>
    <t>2023-12-15</t>
  </si>
  <si>
    <t>4</t>
  </si>
  <si>
    <t>2023-98</t>
  </si>
  <si>
    <t>2023-11-28</t>
  </si>
  <si>
    <t>2023-12-28</t>
  </si>
  <si>
    <t>priznana vrednost skladno s pravno podlago - Narocilnica �t. ND-918/2023</t>
  </si>
  <si>
    <t>5</t>
  </si>
  <si>
    <t>2023-11-15</t>
  </si>
  <si>
    <t>6</t>
  </si>
  <si>
    <t>7</t>
  </si>
  <si>
    <t>2024-01-15</t>
  </si>
  <si>
    <t>8</t>
  </si>
  <si>
    <t>9</t>
  </si>
  <si>
    <t>10</t>
  </si>
  <si>
    <t>2023-10-13</t>
  </si>
  <si>
    <t>11</t>
  </si>
  <si>
    <t>12</t>
  </si>
  <si>
    <t>13</t>
  </si>
  <si>
    <t>2023-08-25</t>
  </si>
  <si>
    <t>Ricalcolato il costo lordo in quanto nella busta paga di settembre 2023 erano inserite voci relative ad anno 2022 non ammissibili</t>
  </si>
  <si>
    <t>Ricalcolato il costo lordo in quanto nella busta paga di settembre ed ottobre 2023 erano inserite voci relative a luglio 2023 e ad anno 2022  non ammissibili</t>
  </si>
  <si>
    <t>001-019/2023</t>
  </si>
  <si>
    <t>2023-10-16</t>
  </si>
  <si>
    <t>2023-11-06</t>
  </si>
  <si>
    <t>24-361-000021</t>
  </si>
  <si>
    <t>2023-11-10</t>
  </si>
  <si>
    <t>2023-12-11</t>
  </si>
  <si>
    <t>2024-01-10</t>
  </si>
  <si>
    <t>Regres za mesec januar 2024 je bil ustrezno zni�an.</t>
  </si>
  <si>
    <t>14</t>
  </si>
  <si>
    <t>15</t>
  </si>
  <si>
    <t>16</t>
  </si>
  <si>
    <t>17</t>
  </si>
  <si>
    <t>18</t>
  </si>
  <si>
    <t>19</t>
  </si>
  <si>
    <t>2024-01-04</t>
  </si>
  <si>
    <t>20</t>
  </si>
  <si>
    <t>2024-01-05</t>
  </si>
  <si>
    <t>21</t>
  </si>
  <si>
    <t>2024-01-22</t>
  </si>
  <si>
    <t>2024-02-22</t>
  </si>
  <si>
    <t>13/2024</t>
  </si>
  <si>
    <t>2024-02-14</t>
  </si>
  <si>
    <t>preracun upravicenega zneska glede na pl. listo</t>
  </si>
  <si>
    <t>144</t>
  </si>
  <si>
    <t>2024-03-11</t>
  </si>
  <si>
    <t>izlocen regres, izplacan pred pricetkom projekta; izlocena placa za 2/2024, ki �e ni bila izplacana</t>
  </si>
  <si>
    <t>139</t>
  </si>
  <si>
    <t>126</t>
  </si>
  <si>
    <t>izloceni stro�ki osebja zaradi neskladja pravne podlage z ostalo dokumenatcijo</t>
  </si>
  <si>
    <t>rendicontata 1 ora in pi� rispetto a quando indicato nel timesheet (71 ore)</t>
  </si>
  <si>
    <t>rendicontata 1/2 ora in pi� rispetto a quando indicato nel timesheet (72,5 ore)</t>
  </si>
  <si>
    <t>Perpar 2024-01</t>
  </si>
  <si>
    <t xml:space="preserve">Stro�ki osebja niso porocani skladno s programskimi Navodili. </t>
  </si>
  <si>
    <t>Slatnar 2024-01</t>
  </si>
  <si>
    <t>Stro�ki osebja niso porocani skladno s programskimi Navodili.</t>
  </si>
  <si>
    <t>verificati i mesi di ottobre e novembre 2023</t>
  </si>
  <si>
    <t>verificati i mesi di settembre e novembre 2023</t>
  </si>
  <si>
    <t>verificati i mesi di settembre e dicembre 2023</t>
  </si>
  <si>
    <t>verificato il mese di ottobre 2023</t>
  </si>
  <si>
    <t>verificati i mesi di ottobre e dicembre 2023</t>
  </si>
  <si>
    <t>Stro�ki dela Javornik</t>
  </si>
  <si>
    <t>izlocen sorazmerni del regresa za leto 2024, ki �e ni bil izplacan</t>
  </si>
  <si>
    <t>23005526</t>
  </si>
  <si>
    <t>TS3-D4-7140218251</t>
  </si>
  <si>
    <t>23006166</t>
  </si>
  <si>
    <t>PRA23-4977</t>
  </si>
  <si>
    <t>2023-11-20</t>
  </si>
  <si>
    <t>2023-12-20</t>
  </si>
  <si>
    <t>Danilo Bevk - 09/2023</t>
  </si>
  <si>
    <t>Danilo Bevk - 10/2023</t>
  </si>
  <si>
    <t>preracun stro�kov osebja glede na pl. listo</t>
  </si>
  <si>
    <t>Danilo Bevk - 11/2023</t>
  </si>
  <si>
    <t>Danilo Bevk - 12/2023</t>
  </si>
  <si>
    <t>Danilo Bevk - 01/2024</t>
  </si>
  <si>
    <t>Bla� Koderman - 09/2023</t>
  </si>
  <si>
    <t>Bla� Koderman - 10/2023</t>
  </si>
  <si>
    <t>Bla� Koderman - 11/2023</t>
  </si>
  <si>
    <t>Bla� Koderman - 12/2023</t>
  </si>
  <si>
    <t>Bla� Koderman - 01/2024</t>
  </si>
  <si>
    <t>Danijel Kablar - 09/2023</t>
  </si>
  <si>
    <t>Danijel Kablar - 10/2023</t>
  </si>
  <si>
    <t>Danijel Kablar - 11/2023</t>
  </si>
  <si>
    <t>Danijel Kablar - 12/2023</t>
  </si>
  <si>
    <t>Danijel Kablar - 01/2024</t>
  </si>
  <si>
    <t>pravna podlaga za delo na projektu ni predlo�ena</t>
  </si>
  <si>
    <t>Jadranka Jenko - 09/2023</t>
  </si>
  <si>
    <t>Jadranka Jenko - 10/2023</t>
  </si>
  <si>
    <t xml:space="preserve"> Jadranka Jenko - 11/2023</t>
  </si>
  <si>
    <t xml:space="preserve"> Jadranka Jenko - 12/2023</t>
  </si>
  <si>
    <t>Jadranka Jenko - 01/2024</t>
  </si>
  <si>
    <t>Placa september 2023</t>
  </si>
  <si>
    <t>2023-10-06</t>
  </si>
  <si>
    <t>Placa oktober</t>
  </si>
  <si>
    <t>Placa november</t>
  </si>
  <si>
    <t>2023-12-07</t>
  </si>
  <si>
    <t>Placa december</t>
  </si>
  <si>
    <t>2024-01-09</t>
  </si>
  <si>
    <t>Placa januar</t>
  </si>
  <si>
    <t>P-1334</t>
  </si>
  <si>
    <t>18/2023</t>
  </si>
  <si>
    <t>2023-10-25</t>
  </si>
  <si>
    <t>P-1253</t>
  </si>
  <si>
    <t>23-300-0100</t>
  </si>
  <si>
    <t>2023-09-22</t>
  </si>
  <si>
    <t>2023-10-20</t>
  </si>
  <si>
    <t>09-2023</t>
  </si>
  <si>
    <t>ML_placa10-23</t>
  </si>
  <si>
    <t>2023-10-11</t>
  </si>
  <si>
    <t>preracun upravicenega stro�ka, izlocen regres za leto 2023, izplacan pred pricetkom projekta</t>
  </si>
  <si>
    <t>ML_placa11-23</t>
  </si>
  <si>
    <t>ML_placa12-23</t>
  </si>
  <si>
    <t>2024-10-01</t>
  </si>
  <si>
    <t>ML_placa1-24</t>
  </si>
  <si>
    <t>2024-09-02</t>
  </si>
  <si>
    <t>SZ_placa10-23</t>
  </si>
  <si>
    <t>SZ_placa11-23</t>
  </si>
  <si>
    <t>SZ_placa12-23</t>
  </si>
  <si>
    <t>SZ_placa1-24</t>
  </si>
  <si>
    <t>NL_placa10-23</t>
  </si>
  <si>
    <t>NL_placa11-23</t>
  </si>
  <si>
    <t>NL_placa12-23</t>
  </si>
  <si>
    <t>NL_placa1-2024</t>
  </si>
  <si>
    <t>UJR_placa10-23</t>
  </si>
  <si>
    <t>UJR_placa11-23</t>
  </si>
  <si>
    <t>UJR_placa12-23</t>
  </si>
  <si>
    <t>UJR_placa1-24</t>
  </si>
  <si>
    <t>Da timesheet il 05/01/2024 Rossi dedica al progetto 5 ore di lavoro; da foglio presenze INAIL lo stesso giorno il dipendete risulta essere in malattia. Vengono pertanto sottratte 5ore (5h*38�=190�)</t>
  </si>
  <si>
    <t>EV-S-975/2023</t>
  </si>
  <si>
    <t>Resta-C-330</t>
  </si>
  <si>
    <t>2023-10-09</t>
  </si>
  <si>
    <t>EV-S-973/2023</t>
  </si>
  <si>
    <t>2023-09-26</t>
  </si>
  <si>
    <t>2023-10-27</t>
  </si>
  <si>
    <t>EV-S-1110/2023</t>
  </si>
  <si>
    <t>57-2023</t>
  </si>
  <si>
    <t>EV-S-1112/2023</t>
  </si>
  <si>
    <t>206</t>
  </si>
  <si>
    <t>2023-11-18</t>
  </si>
  <si>
    <t>EV-S-1265/2023</t>
  </si>
  <si>
    <t>EV-S-1113/2023</t>
  </si>
  <si>
    <t>2023-00041</t>
  </si>
  <si>
    <t>2023-11-23</t>
  </si>
  <si>
    <t>EV-S-1158/2023</t>
  </si>
  <si>
    <t>2023-111</t>
  </si>
  <si>
    <t>2023-11-16</t>
  </si>
  <si>
    <t>EV-B-252/2023</t>
  </si>
  <si>
    <t>TRG1-300-1404</t>
  </si>
  <si>
    <t>EV-B-253/2023</t>
  </si>
  <si>
    <t>315951</t>
  </si>
  <si>
    <t>2024-01-24</t>
  </si>
  <si>
    <t>1_TDL</t>
  </si>
  <si>
    <t>2_SC</t>
  </si>
  <si>
    <t>001</t>
  </si>
  <si>
    <t>1/FE</t>
  </si>
  <si>
    <t>100-5/2015</t>
  </si>
  <si>
    <t>2023-10-04</t>
  </si>
  <si>
    <t>2024-10-04</t>
  </si>
  <si>
    <t>iz BTO-1 je izlocena postavka "nega"</t>
  </si>
  <si>
    <t>2023-12-06</t>
  </si>
  <si>
    <t>2024-01-03</t>
  </si>
  <si>
    <t>351-87/2022</t>
  </si>
  <si>
    <t>2023-00556</t>
  </si>
  <si>
    <t>InfrastructureCosts</t>
  </si>
  <si>
    <t>478-40/2023</t>
  </si>
  <si>
    <t>RN-3059-0827274</t>
  </si>
  <si>
    <t>izlocen regres, izplacan pred pricetkom projekta</t>
  </si>
  <si>
    <t>Placa oktober 2023</t>
  </si>
  <si>
    <t>Placa november 2023</t>
  </si>
  <si>
    <t>Placa december 2023</t>
  </si>
  <si>
    <t>Placa januar 2024</t>
  </si>
  <si>
    <t>P-1133</t>
  </si>
  <si>
    <t>501-1-35274</t>
  </si>
  <si>
    <t>2023-09-13</t>
  </si>
  <si>
    <t>P-1195</t>
  </si>
  <si>
    <t>953008124</t>
  </si>
  <si>
    <t>2023-09-29</t>
  </si>
  <si>
    <t>P-1214</t>
  </si>
  <si>
    <t>2023-00439</t>
  </si>
  <si>
    <t>2023-10-02</t>
  </si>
  <si>
    <t>2023-10-30</t>
  </si>
  <si>
    <t>P-1349</t>
  </si>
  <si>
    <t>RN0000622/23</t>
  </si>
  <si>
    <t>2023-11-24</t>
  </si>
  <si>
    <t>P-1144</t>
  </si>
  <si>
    <t>23-300-0096</t>
  </si>
  <si>
    <t>2023-09-18</t>
  </si>
  <si>
    <t>P-128</t>
  </si>
  <si>
    <t>002/2024</t>
  </si>
  <si>
    <t>verificata a campione la corrispondenza tra timesheet e presenze INAL per i mesi di LUGLIO/SETTEMBRE/OTTOBRE 2023</t>
  </si>
  <si>
    <t>verificata a campione la corrispondenza tra timesheet e presenze INAL per i mesi di LUGLIO/OTTOBRE/DICEMBRE 2023</t>
  </si>
  <si>
    <t>2024-06-18T09:05:14.06+02:00</t>
  </si>
  <si>
    <t>Porocani so samo pripravljalni stro�ki. NK je stro�ke parkirala - "parked items". Upravicenec jih lahko uveljavlja v naslednjem porocilu, znesek bo potrjen s porocilom, ki vkljucuje tudi druge stro�ke.</t>
  </si>
  <si>
    <t>placa MS september 2023</t>
  </si>
  <si>
    <t>placa MS oktober 2023</t>
  </si>
  <si>
    <t>2023-11-08</t>
  </si>
  <si>
    <t>placa MS november 2023</t>
  </si>
  <si>
    <t>placa MS december 2023</t>
  </si>
  <si>
    <t>2024-01-08</t>
  </si>
  <si>
    <t>placa MS januar 2024</t>
  </si>
  <si>
    <t>placa RZ september</t>
  </si>
  <si>
    <t>Pravna podlaga za zaposleno osebo na projektu (g. Zorec Robert) ni ustrezna, saj le-ta sam sebi ne more podpisovati slednjih dokumentov. G. Zorec ne more hkrati nastopati v vlogi delodajalca in delavca, saj ne gre za enoosebno podjetje.</t>
  </si>
  <si>
    <t>placa RZ oktober 2023</t>
  </si>
  <si>
    <t>placa RZ november 2023</t>
  </si>
  <si>
    <t>placa RZ december 2023</t>
  </si>
  <si>
    <t>placa RZ januar 2024</t>
  </si>
  <si>
    <t>placa HHC september  2023</t>
  </si>
  <si>
    <t>placa HHC oktober 2023</t>
  </si>
  <si>
    <t>placa HHC november 2023</t>
  </si>
  <si>
    <t>placa HHC december 2023</t>
  </si>
  <si>
    <t>placa HHC januar 2024</t>
  </si>
  <si>
    <t>placa MK september 2023</t>
  </si>
  <si>
    <t>placa MK oktober 2023</t>
  </si>
  <si>
    <t>placa MK november 2023</t>
  </si>
  <si>
    <t>placa MK december 2023</t>
  </si>
  <si>
    <t>placa MK januar 2024</t>
  </si>
  <si>
    <t>placa AH september 2023</t>
  </si>
  <si>
    <t>placa AH oktober 2023</t>
  </si>
  <si>
    <t>placa AH november 2023</t>
  </si>
  <si>
    <t>placa AH december 2023</t>
  </si>
  <si>
    <t>placa AH januar 2024</t>
  </si>
  <si>
    <t>placa SP september 2023</t>
  </si>
  <si>
    <t>placa SP oktober 2023</t>
  </si>
  <si>
    <t>placa SP november 2023</t>
  </si>
  <si>
    <t>placa SP december 2023</t>
  </si>
  <si>
    <t>placa SP januar 2024</t>
  </si>
  <si>
    <t>placa PR september 2023</t>
  </si>
  <si>
    <t>placa PR oktober 2023</t>
  </si>
  <si>
    <t>placa PR november 2023</t>
  </si>
  <si>
    <t>placa PR december 2023</t>
  </si>
  <si>
    <t>placa PR januar 2024</t>
  </si>
  <si>
    <t>placa MP september 2023</t>
  </si>
  <si>
    <t>placa MP oktober 2023</t>
  </si>
  <si>
    <t>placa MP november 2023</t>
  </si>
  <si>
    <t>placa MP december 2023</t>
  </si>
  <si>
    <t>placa MP januar 2024</t>
  </si>
  <si>
    <t>placa DK september 2023</t>
  </si>
  <si>
    <t>placa DK oktober 2023</t>
  </si>
  <si>
    <t>placa DK november 2023</t>
  </si>
  <si>
    <t>placa DK december 2023</t>
  </si>
  <si>
    <t>placa DK januar 2024</t>
  </si>
  <si>
    <t>placa KBP september 2023</t>
  </si>
  <si>
    <t>placa KBP oktober 2023</t>
  </si>
  <si>
    <t>placa KBP november 2023</t>
  </si>
  <si>
    <t>placa KBP december 2023</t>
  </si>
  <si>
    <t>placa JJ januar 2024</t>
  </si>
  <si>
    <t>placa KF januar 2024</t>
  </si>
  <si>
    <t>placa UC januar 2024</t>
  </si>
  <si>
    <t>2023-10-19</t>
  </si>
  <si>
    <t>spesa ammessa</t>
  </si>
  <si>
    <t>Cukjati 1</t>
  </si>
  <si>
    <t>2023-10-15</t>
  </si>
  <si>
    <t>preracun upravicenega stro�ka</t>
  </si>
  <si>
    <t>Milojkovic 1</t>
  </si>
  <si>
    <t>Petrusa 1</t>
  </si>
  <si>
    <t>Segs 1</t>
  </si>
  <si>
    <t>Langerholc 1</t>
  </si>
  <si>
    <t>Grujic 1</t>
  </si>
  <si>
    <t>Cukjati 2</t>
  </si>
  <si>
    <t>Milojkovic 2</t>
  </si>
  <si>
    <t>Petrusa 2</t>
  </si>
  <si>
    <t>Segs 2</t>
  </si>
  <si>
    <t>Langerholc 2</t>
  </si>
  <si>
    <t>Grujic 2</t>
  </si>
  <si>
    <t>Cukjati 3</t>
  </si>
  <si>
    <t>Milojkovic 3</t>
  </si>
  <si>
    <t>Petrusa 3</t>
  </si>
  <si>
    <t>Segs 3</t>
  </si>
  <si>
    <t>Langerholc 3</t>
  </si>
  <si>
    <t>Grujic 3</t>
  </si>
  <si>
    <t>Cukjati 4</t>
  </si>
  <si>
    <t>Milojkovic 4</t>
  </si>
  <si>
    <t>Petrusa 4</t>
  </si>
  <si>
    <t>Segs 4</t>
  </si>
  <si>
    <t>Langerholc 4</t>
  </si>
  <si>
    <t>Grujic 4</t>
  </si>
  <si>
    <t>Cukjati 5</t>
  </si>
  <si>
    <t>Milojkovic 5</t>
  </si>
  <si>
    <t>Petrusa 5</t>
  </si>
  <si>
    <t>Segs 5</t>
  </si>
  <si>
    <t>Langerholc 5</t>
  </si>
  <si>
    <t>Grujic 5</t>
  </si>
  <si>
    <t>BB 10-01</t>
  </si>
  <si>
    <t>MB 10-01</t>
  </si>
  <si>
    <t>KB 10-01</t>
  </si>
  <si>
    <t>JD 10-01</t>
  </si>
  <si>
    <t>DF 10-01</t>
  </si>
  <si>
    <t>Zaokro�evanje.</t>
  </si>
  <si>
    <t>MJ 10-01</t>
  </si>
  <si>
    <t>IK 10-01</t>
  </si>
  <si>
    <t>BK 10-01</t>
  </si>
  <si>
    <t>ML 10-01</t>
  </si>
  <si>
    <t>AM 10-01</t>
  </si>
  <si>
    <t>SP 10-01</t>
  </si>
  <si>
    <t>�Z 10-01</t>
  </si>
  <si>
    <t>KT 10-01</t>
  </si>
  <si>
    <t>Spesa ammissibile; controllati a campione 2 mesi su 5 presentati a rendiconto, il mese di ottobre e novembre 2023.</t>
  </si>
  <si>
    <t>Spesa ammissibile; controllati a campione 2 mesi su 5 presentati a rendiconto, il mese di novembre e dicembre 2023.</t>
  </si>
  <si>
    <t>Spesa ammissibile; controllati a campione 2 mesi su 5 presentati a rendiconto, il mese di dicembre 2023 e gennaio 2024.</t>
  </si>
  <si>
    <t>Spesa ammissibile; controllati a campione 2 mesi su 5 presentati a rendiconto, il mese di gennaio e febbraio 2024.</t>
  </si>
  <si>
    <t>2023/676</t>
  </si>
  <si>
    <t>993-2023</t>
  </si>
  <si>
    <t>2023-11-27</t>
  </si>
  <si>
    <t>2023/677</t>
  </si>
  <si>
    <t>52-2023</t>
  </si>
  <si>
    <t>2023/675</t>
  </si>
  <si>
    <t>2-10-379</t>
  </si>
  <si>
    <t>2023-12-04</t>
  </si>
  <si>
    <t>2023-679</t>
  </si>
  <si>
    <t>13. 10. 2023</t>
  </si>
  <si>
    <t>Incongruenza tra ore imputate in JEMS e totale ore dichiarate in timesheets individuali mensili</t>
  </si>
  <si>
    <t>2023-11-07</t>
  </si>
  <si>
    <t>2024-03-07</t>
  </si>
  <si>
    <t>14/23</t>
  </si>
  <si>
    <t>DRA-402</t>
  </si>
  <si>
    <t>2023-12-12</t>
  </si>
  <si>
    <t>GN oktober 2023</t>
  </si>
  <si>
    <t>GN november 2023</t>
  </si>
  <si>
    <t>2023-12-14</t>
  </si>
  <si>
    <t>GN december 2023</t>
  </si>
  <si>
    <t>GN januar 2024</t>
  </si>
  <si>
    <t>GN februar 2024</t>
  </si>
  <si>
    <t>Place za mesec februar smo ustrezno izlocili, saj so bile le-te izplacane po obdobju porocanja.   PP bo slednje place porocal v naslednjem vmesnem porocilu.</t>
  </si>
  <si>
    <t>IC oktober 2023</t>
  </si>
  <si>
    <t>IC november 2023</t>
  </si>
  <si>
    <t>IC december 2023</t>
  </si>
  <si>
    <t>IC januar 2024</t>
  </si>
  <si>
    <t>IC februar 2024</t>
  </si>
  <si>
    <t>LK oktober 2023</t>
  </si>
  <si>
    <t>LK november 2023</t>
  </si>
  <si>
    <t>LK december 2023</t>
  </si>
  <si>
    <t>LK januar 2024</t>
  </si>
  <si>
    <t>LK februar 2024</t>
  </si>
  <si>
    <t>MF oktober 2023</t>
  </si>
  <si>
    <t>MF november 2023</t>
  </si>
  <si>
    <t>MF december 2023</t>
  </si>
  <si>
    <t>MF januar 2024</t>
  </si>
  <si>
    <t>MF februar 2024</t>
  </si>
  <si>
    <t>Spesa ammissibile</t>
  </si>
  <si>
    <t>BC 10-01</t>
  </si>
  <si>
    <t>KK 10-01</t>
  </si>
  <si>
    <t>UP 10-01</t>
  </si>
  <si>
    <t>Izlocili smo regres za mesec januar 2024.</t>
  </si>
  <si>
    <t>2023-09-04</t>
  </si>
  <si>
    <t>2023-09-12</t>
  </si>
  <si>
    <t>Documentazione completa</t>
  </si>
  <si>
    <t>2023-04-01</t>
  </si>
  <si>
    <t>2023-04-10</t>
  </si>
  <si>
    <t>Il rimborso richiesto supera la somma totale rimborsabile in base alla tabella del costo totale lordo del dipendente (1475,69 euro al mese)</t>
  </si>
  <si>
    <t>5210_RP01_jan-avg2023</t>
  </si>
  <si>
    <t>za zaposlene so izloceni stro�ki dela za measece 1-7/2023 zaradi neustrezne pravne podlage (veza na - Aneksi za delo na projektu datirani na 1.8.2023);za g. Bartol Milo�a je narejen preracun sorazmernega dela stro�ka regresa glede na predlo�eno dokazilo o izplacilu (601,68 EUR)</t>
  </si>
  <si>
    <t>5167_RP01_jul-avg2023</t>
  </si>
  <si>
    <t>za zaposlene so izloceni stro�ki dela za mesece 1-7/2023 zaradi neustrezne pravne podlage (veza na - Aneksi za delo na projektu datirani na 1.8.2023)</t>
  </si>
  <si>
    <t>5207_RP01_jul-avg2023</t>
  </si>
  <si>
    <t>za zaposlene so izloceni stro�ki dela za mesece 1-7/2023 zaradi neustrezne pravne podlage (veza na - Aneksi za delo na projektu datirani na 1.8.2023)za zaposlene so izloceni stro�ki dela za mesece 1-7/2023 zaradi neustrezne pravne podlage (veza na - Aneksi za delo na projektu datirani na 1.8.2023)</t>
  </si>
  <si>
    <t>5172_RP01_jan-avg2023</t>
  </si>
  <si>
    <t>5094_RP01_jul-avg2023</t>
  </si>
  <si>
    <t>5090_RP01_jul-avg2023</t>
  </si>
  <si>
    <t>5040_RP01_jan-avg2023</t>
  </si>
  <si>
    <t>241.23</t>
  </si>
  <si>
    <t>67/23</t>
  </si>
  <si>
    <t>2023-04-16</t>
  </si>
  <si>
    <t>2023-05-17</t>
  </si>
  <si>
    <t>295.23</t>
  </si>
  <si>
    <t>2023-20</t>
  </si>
  <si>
    <t>2023-04-18</t>
  </si>
  <si>
    <t>2023-05-18</t>
  </si>
  <si>
    <t>289.23</t>
  </si>
  <si>
    <t>2023-125</t>
  </si>
  <si>
    <t>2023-04-21</t>
  </si>
  <si>
    <t>2023-05-12</t>
  </si>
  <si>
    <t>723.23</t>
  </si>
  <si>
    <t>100/23</t>
  </si>
  <si>
    <t>2023-05-31</t>
  </si>
  <si>
    <t>2023-08-24</t>
  </si>
  <si>
    <t>293.23</t>
  </si>
  <si>
    <t>021/2023</t>
  </si>
  <si>
    <t>2023-05-05</t>
  </si>
  <si>
    <t>2023-06-05</t>
  </si>
  <si>
    <t>320.23</t>
  </si>
  <si>
    <t>2023-144</t>
  </si>
  <si>
    <t>373.23</t>
  </si>
  <si>
    <t>2023-00494</t>
  </si>
  <si>
    <t>2023-05-26</t>
  </si>
  <si>
    <t>357.23</t>
  </si>
  <si>
    <t>FAO 23000129</t>
  </si>
  <si>
    <t>2023-05-07</t>
  </si>
  <si>
    <t>363.23</t>
  </si>
  <si>
    <t>J-2023-00683</t>
  </si>
  <si>
    <t>2023-05-10</t>
  </si>
  <si>
    <t>362.23</t>
  </si>
  <si>
    <t>2023-23</t>
  </si>
  <si>
    <t>2023-06-12</t>
  </si>
  <si>
    <t>370.23</t>
  </si>
  <si>
    <t>04/2023</t>
  </si>
  <si>
    <t>2023-05-20</t>
  </si>
  <si>
    <t>392.23</t>
  </si>
  <si>
    <t xml:space="preserve">64 - 2023 </t>
  </si>
  <si>
    <t>2023-06-20</t>
  </si>
  <si>
    <t>371.23</t>
  </si>
  <si>
    <t>23-0013</t>
  </si>
  <si>
    <t>2023-05-21</t>
  </si>
  <si>
    <t>366.23</t>
  </si>
  <si>
    <t>72-2023</t>
  </si>
  <si>
    <t>2023-05-22</t>
  </si>
  <si>
    <t>2023-05-29</t>
  </si>
  <si>
    <t>368.23</t>
  </si>
  <si>
    <t>23-018</t>
  </si>
  <si>
    <t>372.23</t>
  </si>
  <si>
    <t>18-2023</t>
  </si>
  <si>
    <t>2023-05-30</t>
  </si>
  <si>
    <t>393.23</t>
  </si>
  <si>
    <t>2023-1</t>
  </si>
  <si>
    <t>2023-06-06</t>
  </si>
  <si>
    <t>367.23</t>
  </si>
  <si>
    <t>525275</t>
  </si>
  <si>
    <t>2023-05-23</t>
  </si>
  <si>
    <t>2023-06-09</t>
  </si>
  <si>
    <t>395.23</t>
  </si>
  <si>
    <t>2023-21</t>
  </si>
  <si>
    <t>396.23</t>
  </si>
  <si>
    <t>2023-22</t>
  </si>
  <si>
    <t>439.23</t>
  </si>
  <si>
    <t>1-23000026</t>
  </si>
  <si>
    <t>2023-05-24</t>
  </si>
  <si>
    <t>2023-06-23</t>
  </si>
  <si>
    <t>455.23</t>
  </si>
  <si>
    <t>23309002943</t>
  </si>
  <si>
    <t>2023-06-26</t>
  </si>
  <si>
    <t>394.23</t>
  </si>
  <si>
    <t>2023-2</t>
  </si>
  <si>
    <t>2023-05-27</t>
  </si>
  <si>
    <t>2023-06-27</t>
  </si>
  <si>
    <t>440.23</t>
  </si>
  <si>
    <t>2023-25</t>
  </si>
  <si>
    <t>2023-05-28</t>
  </si>
  <si>
    <t>462.23</t>
  </si>
  <si>
    <t>2023-30</t>
  </si>
  <si>
    <t>406.23</t>
  </si>
  <si>
    <t>023/2023</t>
  </si>
  <si>
    <t>415.23</t>
  </si>
  <si>
    <t>2023-27</t>
  </si>
  <si>
    <t>420.23</t>
  </si>
  <si>
    <t>055-2023</t>
  </si>
  <si>
    <t>2023-06-15</t>
  </si>
  <si>
    <t>735.23</t>
  </si>
  <si>
    <t>05/2023</t>
  </si>
  <si>
    <t>461.23</t>
  </si>
  <si>
    <t>012/2023</t>
  </si>
  <si>
    <t>2023-06-08</t>
  </si>
  <si>
    <t>539.23</t>
  </si>
  <si>
    <t>2023-207</t>
  </si>
  <si>
    <t>2023-07-10</t>
  </si>
  <si>
    <t>623.23</t>
  </si>
  <si>
    <t>5-5SD-23000029</t>
  </si>
  <si>
    <t>2023-07-18</t>
  </si>
  <si>
    <t>538.23</t>
  </si>
  <si>
    <t>525570</t>
  </si>
  <si>
    <t>541.23</t>
  </si>
  <si>
    <t>054</t>
  </si>
  <si>
    <t>2023-07-03</t>
  </si>
  <si>
    <t>823.23</t>
  </si>
  <si>
    <t>079-2023</t>
  </si>
  <si>
    <t>682.23</t>
  </si>
  <si>
    <t>01-01-230689</t>
  </si>
  <si>
    <t>683.23</t>
  </si>
  <si>
    <t>01-01-230690</t>
  </si>
  <si>
    <t>fpa 1510/23</t>
  </si>
  <si>
    <t>341/2023</t>
  </si>
  <si>
    <t>PA/02/2023</t>
  </si>
  <si>
    <t>ec nexi ottobre</t>
  </si>
  <si>
    <t>296/e</t>
  </si>
  <si>
    <t>8315</t>
  </si>
  <si>
    <t>RDU za jan.23 odbit, saj ni delal na projektu</t>
  </si>
  <si>
    <t>538</t>
  </si>
  <si>
    <t>227</t>
  </si>
  <si>
    <t>2303</t>
  </si>
  <si>
    <t>829</t>
  </si>
  <si>
    <t>247</t>
  </si>
  <si>
    <t>8470</t>
  </si>
  <si>
    <t>268</t>
  </si>
  <si>
    <t>768</t>
  </si>
  <si>
    <t>8673</t>
  </si>
  <si>
    <t>233</t>
  </si>
  <si>
    <t>RDU za mesece, ko ni delala na projektu, ni upravicena</t>
  </si>
  <si>
    <t>6464</t>
  </si>
  <si>
    <t>1631</t>
  </si>
  <si>
    <t>2023-01-23</t>
  </si>
  <si>
    <t>2023-01-25</t>
  </si>
  <si>
    <t>1581</t>
  </si>
  <si>
    <t>2023-02-24</t>
  </si>
  <si>
    <t>1601</t>
  </si>
  <si>
    <t>2023-03-21</t>
  </si>
  <si>
    <t>2023-03-24</t>
  </si>
  <si>
    <t>1543</t>
  </si>
  <si>
    <t>2023-04-19</t>
  </si>
  <si>
    <t>2023-04-24</t>
  </si>
  <si>
    <t>1686</t>
  </si>
  <si>
    <t>2023-05-25</t>
  </si>
  <si>
    <t>1582</t>
  </si>
  <si>
    <t>2023-06-21</t>
  </si>
  <si>
    <t>1576</t>
  </si>
  <si>
    <t>2023-07-24</t>
  </si>
  <si>
    <t>2023-07-25</t>
  </si>
  <si>
    <t>1527</t>
  </si>
  <si>
    <t>2023-08-23</t>
  </si>
  <si>
    <t>1533</t>
  </si>
  <si>
    <t>1604</t>
  </si>
  <si>
    <t>2023-10-23</t>
  </si>
  <si>
    <t>1550</t>
  </si>
  <si>
    <t>2023-11-22</t>
  </si>
  <si>
    <t>1124</t>
  </si>
  <si>
    <t>1906</t>
  </si>
  <si>
    <t>1868</t>
  </si>
  <si>
    <t>1886</t>
  </si>
  <si>
    <t>1830</t>
  </si>
  <si>
    <t>1973</t>
  </si>
  <si>
    <t>1873</t>
  </si>
  <si>
    <t>1815</t>
  </si>
  <si>
    <t>1819</t>
  </si>
  <si>
    <t>1897</t>
  </si>
  <si>
    <t>1831</t>
  </si>
  <si>
    <t>1441</t>
  </si>
  <si>
    <t>1810</t>
  </si>
  <si>
    <t>1766</t>
  </si>
  <si>
    <t>1784</t>
  </si>
  <si>
    <t>1726</t>
  </si>
  <si>
    <t>1869</t>
  </si>
  <si>
    <t>1767</t>
  </si>
  <si>
    <t>1760</t>
  </si>
  <si>
    <t>1710</t>
  </si>
  <si>
    <t>1716</t>
  </si>
  <si>
    <t>1791</t>
  </si>
  <si>
    <t>1728</t>
  </si>
  <si>
    <t>1302</t>
  </si>
  <si>
    <t>1434</t>
  </si>
  <si>
    <t>1380</t>
  </si>
  <si>
    <t>1404</t>
  </si>
  <si>
    <t>1346</t>
  </si>
  <si>
    <t>1489</t>
  </si>
  <si>
    <t>1385</t>
  </si>
  <si>
    <t>1379</t>
  </si>
  <si>
    <t>1330</t>
  </si>
  <si>
    <t>1334</t>
  </si>
  <si>
    <t>1403</t>
  </si>
  <si>
    <t>924</t>
  </si>
  <si>
    <t>Metodo di rendicontazione delle spese di personale difforme da opzione scelta</t>
  </si>
  <si>
    <t>Astrid �vara_1</t>
  </si>
  <si>
    <t>2024-02-12</t>
  </si>
  <si>
    <t>Bojan Otonicar</t>
  </si>
  <si>
    <t>Franci Gabrov�ek</t>
  </si>
  <si>
    <t>Matej Blatnik</t>
  </si>
  <si>
    <t>Mitja Prelov�ek</t>
  </si>
  <si>
    <t>Nadja Zupan Hajna</t>
  </si>
  <si>
    <t>Stro�ki za nazaj</t>
  </si>
  <si>
    <t>Astrid �vara_Place</t>
  </si>
  <si>
    <t>2023-10-12</t>
  </si>
  <si>
    <t>Izlocena placa za mesec 9/2023 izplacana izven obdobja porocanja</t>
  </si>
  <si>
    <t>rdu za mesece pred zacetkom projekta ni upravicena</t>
  </si>
  <si>
    <t>preracun sorazmernega dela postavke "POD"</t>
  </si>
  <si>
    <t>izlocena postavka "RDU" za mesec 7/2023 in 8/2023</t>
  </si>
  <si>
    <t>22</t>
  </si>
  <si>
    <t>23</t>
  </si>
  <si>
    <t>24</t>
  </si>
  <si>
    <t>25</t>
  </si>
  <si>
    <t>26</t>
  </si>
  <si>
    <t>1_2_2023-30_9_2023</t>
  </si>
  <si>
    <t>2023-09-07</t>
  </si>
  <si>
    <t>2025-02-15</t>
  </si>
  <si>
    <t>Izdatki so upraviceni od dne 15.09.2023 in ne od 01.09.2023.</t>
  </si>
  <si>
    <t>Izdatki so upraviceni od dne 15.09.2023 in ne od 01.09.2023. Prav tako so bili izloceni izdatki za izredni prevoz na delo.</t>
  </si>
  <si>
    <t>12-2024</t>
  </si>
  <si>
    <t>606325</t>
  </si>
  <si>
    <t>610881</t>
  </si>
  <si>
    <t>614324</t>
  </si>
  <si>
    <t>619632</t>
  </si>
  <si>
    <t>623664</t>
  </si>
  <si>
    <t>606321</t>
  </si>
  <si>
    <t>610877</t>
  </si>
  <si>
    <t>614320</t>
  </si>
  <si>
    <t>619626</t>
  </si>
  <si>
    <t>623660</t>
  </si>
  <si>
    <t>606314</t>
  </si>
  <si>
    <t>610870</t>
  </si>
  <si>
    <t>614311</t>
  </si>
  <si>
    <t>619615</t>
  </si>
  <si>
    <t>623652</t>
  </si>
  <si>
    <t>210002</t>
  </si>
  <si>
    <t>211906</t>
  </si>
  <si>
    <t>313816</t>
  </si>
  <si>
    <t>316925</t>
  </si>
  <si>
    <t>318880</t>
  </si>
  <si>
    <t>209996</t>
  </si>
  <si>
    <t>211900</t>
  </si>
  <si>
    <t>313810</t>
  </si>
  <si>
    <t>316919</t>
  </si>
  <si>
    <t>318874</t>
  </si>
  <si>
    <t>744016</t>
  </si>
  <si>
    <t>753126</t>
  </si>
  <si>
    <t>762028</t>
  </si>
  <si>
    <t>775185</t>
  </si>
  <si>
    <t>2024-01-11</t>
  </si>
  <si>
    <t>784154</t>
  </si>
  <si>
    <t>2024-02-08</t>
  </si>
  <si>
    <t>744022</t>
  </si>
  <si>
    <t>753132</t>
  </si>
  <si>
    <t>762034</t>
  </si>
  <si>
    <t>775193</t>
  </si>
  <si>
    <t>784160</t>
  </si>
  <si>
    <t>744060</t>
  </si>
  <si>
    <t>753172</t>
  </si>
  <si>
    <t>762075</t>
  </si>
  <si>
    <t>775236</t>
  </si>
  <si>
    <t>784201</t>
  </si>
  <si>
    <t>744103</t>
  </si>
  <si>
    <t>753215</t>
  </si>
  <si>
    <t>762118</t>
  </si>
  <si>
    <t>775289</t>
  </si>
  <si>
    <t>784246</t>
  </si>
  <si>
    <t>744111</t>
  </si>
  <si>
    <t>Spesa campionata al solo fine di applicare la rettifica finanziaria. Importo rideterminato per errata indicazione della percentuale di imputazione della dipendente Lugnani sull'ordine di servizio. Acquisito ordine di servizio corretto che ridetermina la percentuale dall'8% al 5% al mese; applicata rettifica finanziaria sul 3% eccendente inserito a rendiconto.</t>
  </si>
  <si>
    <t>753223</t>
  </si>
  <si>
    <t>762126</t>
  </si>
  <si>
    <t>775298</t>
  </si>
  <si>
    <t>Spesa campionata e verificata. Importo rideterminato per errata indicazione della percentuale di imputazione della dipendente Lugnani sull'ordine di servizio. Acquisito ordine di servizio corretto che ridetermina la percentuale dall'8% al 5% al mese; applicata rettifica finanziaria sul 3% eccendente inserito a rendiconto.</t>
  </si>
  <si>
    <t>784254</t>
  </si>
  <si>
    <t>744126</t>
  </si>
  <si>
    <t>753237</t>
  </si>
  <si>
    <t>762141</t>
  </si>
  <si>
    <t>775314</t>
  </si>
  <si>
    <t>784271</t>
  </si>
  <si>
    <t>2023-01-31</t>
  </si>
  <si>
    <t>744223</t>
  </si>
  <si>
    <t>753334</t>
  </si>
  <si>
    <t>762241</t>
  </si>
  <si>
    <t>775433</t>
  </si>
  <si>
    <t>784376</t>
  </si>
  <si>
    <t>AH-PL01_2023-01</t>
  </si>
  <si>
    <t>2023-02-01</t>
  </si>
  <si>
    <t>2023-02-10</t>
  </si>
  <si>
    <t>izloceno nadomestilo v breme ZZZS in RDU za preteklo leto</t>
  </si>
  <si>
    <t>AH-PL02_2023-02</t>
  </si>
  <si>
    <t>2023-03-01</t>
  </si>
  <si>
    <t>2023-03-10</t>
  </si>
  <si>
    <t>AH-PL03_2023-03</t>
  </si>
  <si>
    <t>2023-04-03</t>
  </si>
  <si>
    <t>2023-04-06</t>
  </si>
  <si>
    <t xml:space="preserve">izloceno nadomestilo v breme ZZZS </t>
  </si>
  <si>
    <t>AH-PL04_2023-04</t>
  </si>
  <si>
    <t>2023-05-03</t>
  </si>
  <si>
    <t>AH-PL05_2023-05</t>
  </si>
  <si>
    <t>AH-PL06_2023-06</t>
  </si>
  <si>
    <t>AH-PL07_2023-07</t>
  </si>
  <si>
    <t>AH-PL08_2023-08</t>
  </si>
  <si>
    <t>JT-PL01_2023-01</t>
  </si>
  <si>
    <t>izlocen RDU za preteklo leto</t>
  </si>
  <si>
    <t>JT-PL02_2023-02</t>
  </si>
  <si>
    <t>JT-PL03_2023-03</t>
  </si>
  <si>
    <t>JT-PL04_2023-04</t>
  </si>
  <si>
    <t>JT-PL05_2023-05</t>
  </si>
  <si>
    <t>JT-PL06_2023-06</t>
  </si>
  <si>
    <t>JT-PL07_2023-07</t>
  </si>
  <si>
    <t>JT-PL08_2023-08</t>
  </si>
  <si>
    <t>NH_PL01_2023-01</t>
  </si>
  <si>
    <t>NH_PL02_2023-02</t>
  </si>
  <si>
    <t>NH_PL03_2023-03</t>
  </si>
  <si>
    <t>NH_PL04_2023-04</t>
  </si>
  <si>
    <t>NH_PL05_2023-05</t>
  </si>
  <si>
    <t>NH_PL06_2023-06</t>
  </si>
  <si>
    <t>NH_PL07_2023-07</t>
  </si>
  <si>
    <t>NH_PL08_2023-08</t>
  </si>
  <si>
    <t>rettifica effettuato in quanto, applicando la formula prevista per le percentuali fisse, � stato indicato un importo errato</t>
  </si>
  <si>
    <t>58</t>
  </si>
  <si>
    <t>109</t>
  </si>
  <si>
    <t>201</t>
  </si>
  <si>
    <t>2023-06-24</t>
  </si>
  <si>
    <t>2023-06-29</t>
  </si>
  <si>
    <t>Presentata spesa inferiore ad importo rendicontabile (differenza euro 371,04)</t>
  </si>
  <si>
    <t>Il dipendente ha lavorato sul progetto per 5 mesi come da ODS dal 01/05, viene pertanto ricalcolata la quota di ammissibilit� in base alla percentuale del 7%</t>
  </si>
  <si>
    <t>BL-PL 2023-01</t>
  </si>
  <si>
    <t>2023-02-09</t>
  </si>
  <si>
    <t>2023-02-15</t>
  </si>
  <si>
    <t>BL-PL 2023-02</t>
  </si>
  <si>
    <t>BL-PL 2023-03</t>
  </si>
  <si>
    <t>2023-04-07</t>
  </si>
  <si>
    <t>2023-04-14</t>
  </si>
  <si>
    <t>BL-PL 2023-04</t>
  </si>
  <si>
    <t>2023-05-09</t>
  </si>
  <si>
    <t>2023-05-15</t>
  </si>
  <si>
    <t>BL-PL 2023-05</t>
  </si>
  <si>
    <t>BL-PL 2023-06</t>
  </si>
  <si>
    <t>2023-07-11</t>
  </si>
  <si>
    <t>2023-07-14</t>
  </si>
  <si>
    <t>BL-PL 2023-07</t>
  </si>
  <si>
    <t>2023-08-08</t>
  </si>
  <si>
    <t>BL-PL 2023-08</t>
  </si>
  <si>
    <t>BM-PL 2023-01</t>
  </si>
  <si>
    <t>BM-PL 2023-02</t>
  </si>
  <si>
    <t>BM-PL 2023-03</t>
  </si>
  <si>
    <t>BM-PL 2023-04</t>
  </si>
  <si>
    <t>BM-PL 2023-05</t>
  </si>
  <si>
    <t>BM-PL 2023-06</t>
  </si>
  <si>
    <t>BM-PL 2023-07</t>
  </si>
  <si>
    <t>BM-PL 2023-08</t>
  </si>
  <si>
    <t>TK-PL 2023-01</t>
  </si>
  <si>
    <t>TK-PL 2023-02</t>
  </si>
  <si>
    <t>TK-PL 2023-03</t>
  </si>
  <si>
    <t>TK-PL 2023-04</t>
  </si>
  <si>
    <t>TK-PL 2023-05</t>
  </si>
  <si>
    <t>TK-PL 2023-06</t>
  </si>
  <si>
    <t>TK-PL 2023-07</t>
  </si>
  <si>
    <t>TK-PL 2023-08</t>
  </si>
  <si>
    <t>AR-PL 2023-01</t>
  </si>
  <si>
    <t>AR-PL 2023-02</t>
  </si>
  <si>
    <t>AR-PL 2023-03</t>
  </si>
  <si>
    <t>AR-PL 2023-04</t>
  </si>
  <si>
    <t>AR-PL 2023-05</t>
  </si>
  <si>
    <t>AR-PL 2023-06</t>
  </si>
  <si>
    <t>AR-PL 2023-07</t>
  </si>
  <si>
    <t>AR-PL 2023-08</t>
  </si>
  <si>
    <t>BR-PL 2023-01</t>
  </si>
  <si>
    <t>BR-PL 2023-02</t>
  </si>
  <si>
    <t>BR-PL 2023-03</t>
  </si>
  <si>
    <t>BR-PL 2023-04</t>
  </si>
  <si>
    <t>BR-PL 2023-05</t>
  </si>
  <si>
    <t>BR-PL 2023-06</t>
  </si>
  <si>
    <t>BR-PL 2023-07</t>
  </si>
  <si>
    <t>BR-PL 2023-08</t>
  </si>
  <si>
    <t>TO-PL 2023-01</t>
  </si>
  <si>
    <t>TO-PL 2023-02</t>
  </si>
  <si>
    <t>TO-PL 2023-03</t>
  </si>
  <si>
    <t>TO-PL 2023-04</t>
  </si>
  <si>
    <t>TO-PL 2023-05</t>
  </si>
  <si>
    <t>TO-PL 2023-06</t>
  </si>
  <si>
    <t>TO-PL 2023-07</t>
  </si>
  <si>
    <t>TO-PL 2023-08</t>
  </si>
  <si>
    <t>352</t>
  </si>
  <si>
    <t>223025</t>
  </si>
  <si>
    <t>2023-03-27</t>
  </si>
  <si>
    <t>2023-91</t>
  </si>
  <si>
    <t>2023-03-03</t>
  </si>
  <si>
    <t>2023-03-16</t>
  </si>
  <si>
    <t>4 / 2023</t>
  </si>
  <si>
    <t>2023-04-30</t>
  </si>
  <si>
    <t>2023-05-11</t>
  </si>
  <si>
    <t>5 / 2023</t>
  </si>
  <si>
    <t>6 / 2023</t>
  </si>
  <si>
    <t>izlocen sorazmerni dele� postavke RDU za mesec 4/2023, ko oseba �e ni delala na projektu</t>
  </si>
  <si>
    <t>izlocen sorazmerni dele� postavke RDU za mesec 4/2023, ko oseba �e ni delala na projektu ter POD, ki ni vezan na projekt</t>
  </si>
  <si>
    <t>7 / 2023</t>
  </si>
  <si>
    <t>izlocen POD, ki ni vezan na projekt</t>
  </si>
  <si>
    <t>8 / 2023</t>
  </si>
  <si>
    <t>NMV 2/33/2023</t>
  </si>
  <si>
    <t>9000568763</t>
  </si>
  <si>
    <t>379</t>
  </si>
  <si>
    <t>2023-12-21</t>
  </si>
  <si>
    <t>385</t>
  </si>
  <si>
    <t>43</t>
  </si>
  <si>
    <t>2023-02-14</t>
  </si>
  <si>
    <t>2023-03-14</t>
  </si>
  <si>
    <t>napacen znesek regresa</t>
  </si>
  <si>
    <t>23-302-001399</t>
  </si>
  <si>
    <t>2023-06-19</t>
  </si>
  <si>
    <t>404462</t>
  </si>
  <si>
    <t>6 ore non ammesse per Bernardi Aubry (dipendente del CNR-ISMAR) e conseguentemente rideterminato anche l'importo a forfait del 4% per spese di missione e del 15% per spese amministrative</t>
  </si>
  <si>
    <t>477078</t>
  </si>
  <si>
    <t>2320066</t>
  </si>
  <si>
    <t>2023-09-21</t>
  </si>
  <si>
    <t>preracun stro�kov osebja po obrazcu</t>
  </si>
  <si>
    <t>2023-3</t>
  </si>
  <si>
    <t>96/23</t>
  </si>
  <si>
    <t>1-1-36</t>
  </si>
  <si>
    <t>2023-10-28</t>
  </si>
  <si>
    <t>13/2023</t>
  </si>
  <si>
    <t>2023-11-03</t>
  </si>
  <si>
    <t>20/23</t>
  </si>
  <si>
    <t>2024-06-14T11:19:07.176+02:00</t>
  </si>
  <si>
    <t>ni predlo�ene pravne podlage</t>
  </si>
  <si>
    <t>12/2023</t>
  </si>
  <si>
    <t>2023-10-05</t>
  </si>
  <si>
    <t>Za g. Prelo�nik Luko je v mesecu 7/2023 Izlocena postavka "RDU", ki se ve�e na mesece pred pricetkom projekta.</t>
  </si>
  <si>
    <t>387</t>
  </si>
  <si>
    <t>2023-08-28</t>
  </si>
  <si>
    <t>2023-08-30</t>
  </si>
  <si>
    <t>L'importo esposto a rendiconto  eccede di euro 2,88 rispetto a quanto esposto nella documentazione a supporto della spesa (� 21.672,00) pervenuta ad integrazione in data 01/02/2024 (Errore 9A)</t>
  </si>
  <si>
    <t>110</t>
  </si>
  <si>
    <t>2023-02-03</t>
  </si>
  <si>
    <t>Izlocena postavka "RDU", ki se ve�e na mesece pred pricetkom projekta</t>
  </si>
  <si>
    <t>2023-04-05</t>
  </si>
  <si>
    <t>108</t>
  </si>
  <si>
    <t>167</t>
  </si>
  <si>
    <t>izlocena postavka "POD" zaradi neustrezne revizijske sledi</t>
  </si>
  <si>
    <t>36</t>
  </si>
  <si>
    <t>53</t>
  </si>
  <si>
    <t>74</t>
  </si>
  <si>
    <t>158</t>
  </si>
  <si>
    <t>9-2023</t>
  </si>
  <si>
    <t>10-2023</t>
  </si>
  <si>
    <t>11-2023</t>
  </si>
  <si>
    <t>12-2023</t>
  </si>
  <si>
    <t>1.2024</t>
  </si>
  <si>
    <t>2.2024</t>
  </si>
  <si>
    <t>2024-03-08</t>
  </si>
  <si>
    <t>izdatek placan izven obdobja porocanja</t>
  </si>
  <si>
    <t xml:space="preserve">Spese per Iurin non coerenti con la documentazione prodotta, ovvero il timesheet riporta cumulativamente 1ora e 20' in pi� rispetto alla registrazione presenze nel mese di ottobre, </t>
  </si>
  <si>
    <t>Spese per Ricciarelli non coerenti con la documentazione prodotta, ovvero i timesheet riportano cumulativamente 13 ore e 38' in pi� rispetto alla registrazione presenze nei mesi rendicontati.</t>
  </si>
  <si>
    <t>la dipendente non � risulta in servizio i giorni 11 e 13: si � pertanto provveduto a non convalidare il costo di 4 ore lavorative</t>
  </si>
  <si>
    <t>2007575</t>
  </si>
  <si>
    <t>2024-06-13T09:16:28.3+02:00</t>
  </si>
  <si>
    <t>Pravna podlaga za delo na projektu ni predlo�ena.</t>
  </si>
  <si>
    <t>2024-12-14</t>
  </si>
  <si>
    <t>2024-06-13T09:16:28.301+02:00</t>
  </si>
  <si>
    <t>2024-01-16</t>
  </si>
  <si>
    <t>PL-10-23-MG</t>
  </si>
  <si>
    <t>PL-10-23-DK</t>
  </si>
  <si>
    <t>PL-10-23-NK</t>
  </si>
  <si>
    <t>PL-11-23-MG</t>
  </si>
  <si>
    <t>PL-11-23-DK</t>
  </si>
  <si>
    <t>PL-11-23-NK</t>
  </si>
  <si>
    <t>PL-12-23-MG</t>
  </si>
  <si>
    <t>PL-12-23-DK</t>
  </si>
  <si>
    <t>PL-12-23-NK</t>
  </si>
  <si>
    <t>PL-1-24-MG</t>
  </si>
  <si>
    <t>PL-1-24-DK</t>
  </si>
  <si>
    <t>PL-1-24-NK</t>
  </si>
  <si>
    <t>spesa ammissibile</t>
  </si>
  <si>
    <t>N. 1711113</t>
  </si>
  <si>
    <t>Non ammesso l'importo eccedente il costo mensile rendicontabile dato dalla percentuale di impegno sul progetto (18%) applicata al costo medio mensile (� 5.573,23)</t>
  </si>
  <si>
    <t>N. 1715982</t>
  </si>
  <si>
    <t>2023-09-05</t>
  </si>
  <si>
    <t>N. 1721695</t>
  </si>
  <si>
    <t>N. 1711114</t>
  </si>
  <si>
    <t>Non ammesso l'importo eccedente il costo mensile rendicontabile dato dalla percentuale di impegno sul progetto (11%) applicata al costo medio mensile (� 2.739,90)</t>
  </si>
  <si>
    <t>N. 1715983</t>
  </si>
  <si>
    <t>N. 1721696</t>
  </si>
  <si>
    <t>N. 1711115</t>
  </si>
  <si>
    <t>Non ammesso l'importo eccedente il costo mensile rendicontabile dato dalla percentuale di impegno sul progetto (20%) applicata al costo medio mensile (4.873,07 �)</t>
  </si>
  <si>
    <t>N. 1715984</t>
  </si>
  <si>
    <t>N. 1721697</t>
  </si>
  <si>
    <t>N. 1711117</t>
  </si>
  <si>
    <t>N. 1715986</t>
  </si>
  <si>
    <t>N. 1721700</t>
  </si>
  <si>
    <t>preracun stro�kov osebja glede na predlo�ene pl. liste, izlocen regres, izplacan pred pricetkom projekta</t>
  </si>
  <si>
    <t>31</t>
  </si>
  <si>
    <t>162</t>
  </si>
  <si>
    <t>JF 09/2023</t>
  </si>
  <si>
    <t>JF 10/2023</t>
  </si>
  <si>
    <t>JF 11/2023</t>
  </si>
  <si>
    <t>JF 12/2023</t>
  </si>
  <si>
    <t>JF 01/2024</t>
  </si>
  <si>
    <t>JF 02/2024</t>
  </si>
  <si>
    <t>placa izplacana izven obdobja porocanja</t>
  </si>
  <si>
    <t>AD 09/2023</t>
  </si>
  <si>
    <t>AD 10/2023</t>
  </si>
  <si>
    <t>iz BTO-1 izlocena postavka "spremstvo" - refundacija</t>
  </si>
  <si>
    <t>AD 11/2023</t>
  </si>
  <si>
    <t>AD 12/2023</t>
  </si>
  <si>
    <t>AD 01/2024</t>
  </si>
  <si>
    <t>AD 02/2024</t>
  </si>
  <si>
    <t>verificate le spese di novembre 23 e febbraio 24</t>
  </si>
  <si>
    <t>verificate le spese di dicembre 23 e febbraio 24</t>
  </si>
  <si>
    <t>verificate le spese di gennaio e febbraio 24</t>
  </si>
  <si>
    <t>2024-02-01</t>
  </si>
  <si>
    <t>01-2024</t>
  </si>
  <si>
    <t>02-2024</t>
  </si>
  <si>
    <t>1/2023</t>
  </si>
  <si>
    <t>2023-03-02</t>
  </si>
  <si>
    <t>2/2023</t>
  </si>
  <si>
    <t>33/2023</t>
  </si>
  <si>
    <t>3/2023</t>
  </si>
  <si>
    <t>28/2023</t>
  </si>
  <si>
    <t>4/2023</t>
  </si>
  <si>
    <t>23000010</t>
  </si>
  <si>
    <t>2023-03-28</t>
  </si>
  <si>
    <t>2023-03-30</t>
  </si>
  <si>
    <t>Devetak 1/2023</t>
  </si>
  <si>
    <t>2023-01-26</t>
  </si>
  <si>
    <t>Gaeta 1/2023</t>
  </si>
  <si>
    <t>Passon 1/2023</t>
  </si>
  <si>
    <t>Gaeta 2/2023</t>
  </si>
  <si>
    <t>Modula 2/2023</t>
  </si>
  <si>
    <t>Passon 2/2023</t>
  </si>
  <si>
    <t>Devetak 3/2023</t>
  </si>
  <si>
    <t>Gaeta 3/2023</t>
  </si>
  <si>
    <t>Modula 3/2023</t>
  </si>
  <si>
    <t>Passon 3/2023</t>
  </si>
  <si>
    <t>Devetak 4/2023</t>
  </si>
  <si>
    <t>Gaeta 4/2023</t>
  </si>
  <si>
    <t>Modula 4/2023</t>
  </si>
  <si>
    <t>Passon 4/2023</t>
  </si>
  <si>
    <t>Devetak 5/2023</t>
  </si>
  <si>
    <t>Gaeta 5/2023</t>
  </si>
  <si>
    <t>Modula 5/2023</t>
  </si>
  <si>
    <t>Passon 5/2023</t>
  </si>
  <si>
    <t>Devetak 6/2023</t>
  </si>
  <si>
    <t>Gaeta 6/2023</t>
  </si>
  <si>
    <t>Modula 6/2023</t>
  </si>
  <si>
    <t>Passon 6/2023</t>
  </si>
  <si>
    <t>Devetak 7/2023</t>
  </si>
  <si>
    <t>Gaeta 7/2023</t>
  </si>
  <si>
    <t>Modula 7/2023</t>
  </si>
  <si>
    <t>Passon 7/2023</t>
  </si>
  <si>
    <t>Devetak 8/2023</t>
  </si>
  <si>
    <t>Gaeta 8/2023</t>
  </si>
  <si>
    <t>Modula 8/2023</t>
  </si>
  <si>
    <t>Passon 8/2023</t>
  </si>
  <si>
    <t>Devetak 9/2023</t>
  </si>
  <si>
    <t>Gaeta 9/2023</t>
  </si>
  <si>
    <t>Modula 9/2023</t>
  </si>
  <si>
    <t>Passon 9/2023</t>
  </si>
  <si>
    <t>Devetak 10/2023</t>
  </si>
  <si>
    <t>spese di ottobre non previste in questo periodo di rendicontazione</t>
  </si>
  <si>
    <t>Gaeta 10/2023</t>
  </si>
  <si>
    <t>Modula 10/2023</t>
  </si>
  <si>
    <t>Passon 10/2023</t>
  </si>
  <si>
    <t>In conformit� al paragrafo 3.2.a del Manuale di Programma  sull�ammissibilit� delle spese, i costi preparatori sono rimborsati come parte integrante del primo pagamento regolare del progetto a seguito della presentazione della prima richiesta di rimborso. Si procede pertanto a sospendere la spesa.</t>
  </si>
  <si>
    <t>9/2023</t>
  </si>
  <si>
    <t>10/2023</t>
  </si>
  <si>
    <t>11/2023</t>
  </si>
  <si>
    <t>1/2024</t>
  </si>
  <si>
    <t>659/2023</t>
  </si>
  <si>
    <t>21/2023</t>
  </si>
  <si>
    <t>6/2023</t>
  </si>
  <si>
    <t>Tipkarska napaka (znesek je prepisan iz placilne listine, namesto iz dokumenta: �Izracun stro�ka dela na zaposlenega�.</t>
  </si>
  <si>
    <t>7/2023</t>
  </si>
  <si>
    <t>Regres 2023</t>
  </si>
  <si>
    <t xml:space="preserve"> Regres je bil upo�tevan �e v obrazcu: �Izracun stro�ka dela na zaposlenega�.</t>
  </si>
  <si>
    <t>8/2023</t>
  </si>
  <si>
    <t>Znesek v sistemu je manj�i od dejansko porocanega izdatka.</t>
  </si>
  <si>
    <t>Regres je bil upo�tevan �e v obrazcu: �Izracun stro�ka dela na zaposlenega�.</t>
  </si>
  <si>
    <t>315</t>
  </si>
  <si>
    <t>SPS1-C-50</t>
  </si>
  <si>
    <t>2023-09_M.Erjavec</t>
  </si>
  <si>
    <t>2023-09_P.Zevnik</t>
  </si>
  <si>
    <t>2023-10_M.Erjavec</t>
  </si>
  <si>
    <t>2023-10_P.Zevnik</t>
  </si>
  <si>
    <t>2023-11_M.Erjavec</t>
  </si>
  <si>
    <t>2023-11_P.Zevnik</t>
  </si>
  <si>
    <t>2023-12_M.Erjavec</t>
  </si>
  <si>
    <t>2023-12_P.Zevnik</t>
  </si>
  <si>
    <t>2024-01-_M.Erjavec</t>
  </si>
  <si>
    <t>2024-01-P.Zevnik</t>
  </si>
  <si>
    <t>2023-1.porocilo-ME</t>
  </si>
  <si>
    <t>Izlocen sorazmerni del regresa,  izplacan izven obdobja porocanja (v 5. mesecu leta 2023)</t>
  </si>
  <si>
    <t>2023-1.porocilo-PZ</t>
  </si>
  <si>
    <t>Izlocen sorazmerni del regresa,  izplacan izven obdobja porocanja (v 5. mesecu leta 2023) ter napacno porocani znesek upravicenih izdatkov v sistem Jems</t>
  </si>
  <si>
    <t>2023-294</t>
  </si>
  <si>
    <t xml:space="preserve"> 23170</t>
  </si>
  <si>
    <t>Placilna lista AF_januar 2024</t>
  </si>
  <si>
    <t>Placilna lista DT_januar 2024</t>
  </si>
  <si>
    <t>Placilna lista MOB_januar 2024</t>
  </si>
  <si>
    <t>Placnilna lista VP_januar 2024</t>
  </si>
  <si>
    <t>Placilna lista LL_januar 2024</t>
  </si>
  <si>
    <t>Placilna lista BM_januar 2024</t>
  </si>
  <si>
    <t>Placilna lista TM_januar 2024</t>
  </si>
  <si>
    <t>Placilna lista AS_januar 2024</t>
  </si>
  <si>
    <t>verificata relazione sui costi preparatori.</t>
  </si>
  <si>
    <t>1_SC</t>
  </si>
  <si>
    <t>2_MS</t>
  </si>
  <si>
    <t>AG_placa01-24</t>
  </si>
  <si>
    <t>AG_placa09-23</t>
  </si>
  <si>
    <t>AG_placa10-23</t>
  </si>
  <si>
    <t>AG_placa11-23</t>
  </si>
  <si>
    <t>AG_placa12-23</t>
  </si>
  <si>
    <t>EB_placa01-24</t>
  </si>
  <si>
    <t>EB_placa09-23</t>
  </si>
  <si>
    <t>EB_placa10-23</t>
  </si>
  <si>
    <t>EB_placa11-23</t>
  </si>
  <si>
    <t>EB_placa12-23</t>
  </si>
  <si>
    <t>Administrativna (tipkarska) napaka.</t>
  </si>
  <si>
    <t>GL_placa01-24</t>
  </si>
  <si>
    <t>GL_placa09-23</t>
  </si>
  <si>
    <t>GL_placa10-23</t>
  </si>
  <si>
    <t>GL_placa11-23</t>
  </si>
  <si>
    <t>GL_placa12-23</t>
  </si>
  <si>
    <t>MR_placa01-24</t>
  </si>
  <si>
    <t>MR_placa09-23</t>
  </si>
  <si>
    <t>MR_placa10-23</t>
  </si>
  <si>
    <t>MR_placa11-23</t>
  </si>
  <si>
    <t>MR_placa12-23</t>
  </si>
  <si>
    <t>18 - Ma�a Klavora</t>
  </si>
  <si>
    <t>iz preracuna izlocen regres za leto 2023, izplacan pred pricetkom projekta</t>
  </si>
  <si>
    <t>11 - Ur�ka Lazar</t>
  </si>
  <si>
    <t>20 - Mihael Ur�ic</t>
  </si>
  <si>
    <t>22 - Katja Sivec</t>
  </si>
  <si>
    <t>24 - Leon Cetrtic</t>
  </si>
  <si>
    <t>23fvrw162495</t>
  </si>
  <si>
    <t>291/E</t>
  </si>
  <si>
    <t>pa/2024/0003</t>
  </si>
  <si>
    <t>izlocena postavka RDU, ki se nana�a na mesece pred projektom, priznan samo sorazmerni dele� za 6/2023</t>
  </si>
  <si>
    <t>izlocena postavka RDU, ki se nana�a na mesece pred projektom</t>
  </si>
  <si>
    <t>izlocen POD - ni razmejitve nalog redno delo-POD, zaposlitev v mesecu juniju 2023 - dokazila o izplacilu regresa �e ni</t>
  </si>
  <si>
    <t>1524</t>
  </si>
  <si>
    <t>316-2023</t>
  </si>
  <si>
    <t>2023-09-27</t>
  </si>
  <si>
    <t>1589</t>
  </si>
  <si>
    <t>05-2023</t>
  </si>
  <si>
    <t>2023-09-28</t>
  </si>
  <si>
    <t>1590</t>
  </si>
  <si>
    <t>04-2023</t>
  </si>
  <si>
    <t>2004</t>
  </si>
  <si>
    <t>327-2023</t>
  </si>
  <si>
    <t>2005</t>
  </si>
  <si>
    <t>03-2023</t>
  </si>
  <si>
    <t>1861</t>
  </si>
  <si>
    <t>221-2023</t>
  </si>
  <si>
    <t>2177</t>
  </si>
  <si>
    <t>RESTA-C-476</t>
  </si>
  <si>
    <t>0867-18/23</t>
  </si>
  <si>
    <t>2023-08-17</t>
  </si>
  <si>
    <t>0867-21/23</t>
  </si>
  <si>
    <t>2023-07-28</t>
  </si>
  <si>
    <t>0867-16/23</t>
  </si>
  <si>
    <t>2023-08-03</t>
  </si>
  <si>
    <t>0867-19/23</t>
  </si>
  <si>
    <t>0867-14/23</t>
  </si>
  <si>
    <t>0867-13/23</t>
  </si>
  <si>
    <t>0867-20/23</t>
  </si>
  <si>
    <t>0867-15/23</t>
  </si>
  <si>
    <t>0867-17/23</t>
  </si>
  <si>
    <t>0867-12/23</t>
  </si>
  <si>
    <t>136</t>
  </si>
  <si>
    <t>Regres za mesec januar je bil ustrezno izlocen.</t>
  </si>
  <si>
    <t>73</t>
  </si>
  <si>
    <t>34</t>
  </si>
  <si>
    <t>G. Rado Pi�ot ne uveljavlja regresa.</t>
  </si>
  <si>
    <t>35</t>
  </si>
  <si>
    <t>0204-01-10</t>
  </si>
  <si>
    <t>46</t>
  </si>
  <si>
    <t>103</t>
  </si>
  <si>
    <t>159</t>
  </si>
  <si>
    <t>176</t>
  </si>
  <si>
    <t>1149</t>
  </si>
  <si>
    <t>2500-2500-235012198</t>
  </si>
  <si>
    <t>2023-08-09</t>
  </si>
  <si>
    <t>nega je refundiran stro�ek</t>
  </si>
  <si>
    <t>RDU za mesece pred zacetkom projekta odbita</t>
  </si>
  <si>
    <t>POD ni upravicen</t>
  </si>
  <si>
    <t>dodatek za mentorstvo in POD nista upravicena</t>
  </si>
  <si>
    <t>mentorstvo, POD,delo preko polnega DC neupraviceno</t>
  </si>
  <si>
    <t>POD neupravicen</t>
  </si>
  <si>
    <t>POD in delo preko polnega DC neupravicena</t>
  </si>
  <si>
    <t>POD, polo�ajni dodatek in mentorstvo neupravicena</t>
  </si>
  <si>
    <t>mentorstvo in polo�ajni dodatek neupraviceno</t>
  </si>
  <si>
    <t>POD, polo�ajni dodtaek in mentorstvo neupravicena</t>
  </si>
  <si>
    <t>RDU ni�ji</t>
  </si>
  <si>
    <t>POD in delo preko polnega DC neupravicen</t>
  </si>
  <si>
    <t>polo�ajni dodatek odbit</t>
  </si>
  <si>
    <t>POD in polo�ajni dodatek neupr.</t>
  </si>
  <si>
    <t>Pod neupravicen</t>
  </si>
  <si>
    <t>delo preko polnega DC odbito</t>
  </si>
  <si>
    <t>244-2023</t>
  </si>
  <si>
    <t>1207</t>
  </si>
  <si>
    <t>2-2023</t>
  </si>
  <si>
    <t>1350</t>
  </si>
  <si>
    <t>202-2023</t>
  </si>
  <si>
    <t>1418</t>
  </si>
  <si>
    <t>41-2023</t>
  </si>
  <si>
    <t>2023-09-20</t>
  </si>
  <si>
    <t>ID Partner</t>
  </si>
  <si>
    <t>Id Rendiconto</t>
  </si>
  <si>
    <t>Indice</t>
  </si>
  <si>
    <t>Da</t>
  </si>
  <si>
    <t>A</t>
  </si>
  <si>
    <t>Tabella periodi</t>
  </si>
  <si>
    <t>inizio periodo</t>
  </si>
  <si>
    <t>Fine periodo</t>
  </si>
  <si>
    <t>Column1.project_id</t>
  </si>
  <si>
    <t>Column1.acronym</t>
  </si>
  <si>
    <t>Column1.project_start_date</t>
  </si>
  <si>
    <t>Column1.project_end_date</t>
  </si>
  <si>
    <t>Column1.total_budget</t>
  </si>
  <si>
    <t>CrossCare 2.0</t>
  </si>
  <si>
    <t>WASTE DESIGN 2.0</t>
  </si>
  <si>
    <t>Tabella Finestre</t>
  </si>
  <si>
    <t>Finestra 1</t>
  </si>
  <si>
    <t>Finestra 2</t>
  </si>
  <si>
    <t>Finestra 3</t>
  </si>
  <si>
    <t>Finestra 4</t>
  </si>
  <si>
    <t>Finestra 5</t>
  </si>
  <si>
    <t>Finestra 6</t>
  </si>
  <si>
    <t>Finestra 7</t>
  </si>
  <si>
    <t>Finestra 8</t>
  </si>
  <si>
    <t>Finestra 9</t>
  </si>
  <si>
    <t>Finestra 10</t>
  </si>
  <si>
    <t>Finestra 11</t>
  </si>
  <si>
    <t>Finestra 12</t>
  </si>
  <si>
    <t>Finestra 13</t>
  </si>
  <si>
    <t>Finestra 14</t>
  </si>
  <si>
    <t>data inizio</t>
  </si>
  <si>
    <t>Data FINE</t>
  </si>
  <si>
    <t>Periodo-1</t>
  </si>
  <si>
    <t>Periodo-2</t>
  </si>
  <si>
    <t>Periodo-3</t>
  </si>
  <si>
    <t>Periodo-4</t>
  </si>
  <si>
    <t>Periodo-5</t>
  </si>
  <si>
    <t>Periodo-6</t>
  </si>
  <si>
    <t>Periodo-7</t>
  </si>
  <si>
    <t>Periodo-8</t>
  </si>
  <si>
    <t>Periodo-9</t>
  </si>
  <si>
    <t>Periodo-10</t>
  </si>
  <si>
    <t>Scostamento Rendicontato/AF</t>
  </si>
  <si>
    <t>Column1.customIdentifier</t>
  </si>
  <si>
    <t>Column1.callName</t>
  </si>
  <si>
    <t>Column1.callId</t>
  </si>
  <si>
    <t>Column1.projectStatus</t>
  </si>
  <si>
    <t>Column1.firstSubmissionDate</t>
  </si>
  <si>
    <t>Column1.lastResubmissionDate</t>
  </si>
  <si>
    <t>Column1.specificObjectiveCode</t>
  </si>
  <si>
    <t>Column1.programmePriorityCode</t>
  </si>
  <si>
    <t>CONTRACTED</t>
  </si>
  <si>
    <t>2022-12-20T11:30:01.274+01:00</t>
  </si>
  <si>
    <t>2024-03-11T10:12:48.717+01:00</t>
  </si>
  <si>
    <t>2022-12-12T16:15:02.632+01:00</t>
  </si>
  <si>
    <t>2024-01-30T12:59:01.25+01:00</t>
  </si>
  <si>
    <t>2022-12-20T11:03:27.677+01:00</t>
  </si>
  <si>
    <t>2023-06-20T09:13:56.959+02:00</t>
  </si>
  <si>
    <t>2022-12-19T22:17:22.059+01:00</t>
  </si>
  <si>
    <t>2023-06-20T09:15:26.251+02:00</t>
  </si>
  <si>
    <t>2022-12-19T16:07:51.494+01:00</t>
  </si>
  <si>
    <t>2022-12-19T19:43:28.029+01:00</t>
  </si>
  <si>
    <t>2024-04-18T12:34:51.148+02:00</t>
  </si>
  <si>
    <t>2022-12-20T10:06:45.317+01:00</t>
  </si>
  <si>
    <t>2023-09-05T14:08:49.958+02:00</t>
  </si>
  <si>
    <t>2022-12-20T09:49:26.591+01:00</t>
  </si>
  <si>
    <t>2023-06-20T09:16:23.374+02:00</t>
  </si>
  <si>
    <t>2022-12-19T15:32:28.327+01:00</t>
  </si>
  <si>
    <t>2024-01-11T11:04:13.232+01:00</t>
  </si>
  <si>
    <t>2022-12-19T15:51:48.798+01:00</t>
  </si>
  <si>
    <t>2023-05-05T12:34:27.397+02:00</t>
  </si>
  <si>
    <t>2022-12-20T12:08:51.693+01:00</t>
  </si>
  <si>
    <t>2022-12-19T20:09:17.87+01:00</t>
  </si>
  <si>
    <t>2023-11-07T14:45:17.826+01:00</t>
  </si>
  <si>
    <t>2022-12-19T16:38:44.696+01:00</t>
  </si>
  <si>
    <t>2024-03-27T11:09:00.236+01:00</t>
  </si>
  <si>
    <t>2022-12-19T14:17:26.259+01:00</t>
  </si>
  <si>
    <t>2023-10-25T14:40:26.939+02:00</t>
  </si>
  <si>
    <t>2022-12-19T15:58:00.941+01:00</t>
  </si>
  <si>
    <t>2023-10-25T14:24:05.711+02:00</t>
  </si>
  <si>
    <t>2022-12-19T17:32:43.86+01:00</t>
  </si>
  <si>
    <t>2022-12-20T11:00:09.902+01:00</t>
  </si>
  <si>
    <t>2023-06-20T09:17:12.695+02:00</t>
  </si>
  <si>
    <t>2022-12-20T12:25:45.43+01:00</t>
  </si>
  <si>
    <t>2023-11-07T14:18:50.861+01:00</t>
  </si>
  <si>
    <t>2022-12-20T10:45:10.847+01:00</t>
  </si>
  <si>
    <t>2024-03-27T09:59:26.033+01:00</t>
  </si>
  <si>
    <t>2022-12-20T11:58:05.851+01:00</t>
  </si>
  <si>
    <t>2023-11-07T14:11:08.6+01:00</t>
  </si>
  <si>
    <t>2022-12-20T12:17:08.075+01:00</t>
  </si>
  <si>
    <t>2024-01-09T15:03:03.312+01:00</t>
  </si>
  <si>
    <t>2022-12-20T11:48:40.188+01:00</t>
  </si>
  <si>
    <t>2023-10-26T11:51:14.77+02:00</t>
  </si>
  <si>
    <t>2022-12-20T02:00:54.757+01:00</t>
  </si>
  <si>
    <t>2024-04-18T12:53:39.062+02:00</t>
  </si>
  <si>
    <t>2022-12-20T09:19:01.466+01:00</t>
  </si>
  <si>
    <t>2023-10-25T11:48:20.141+02:00</t>
  </si>
  <si>
    <t>2022-12-19T20:02:17.983+01:00</t>
  </si>
  <si>
    <t>2023-10-26T11:53:36.403+02:00</t>
  </si>
  <si>
    <t>2022-12-20T13:00:09.025+01:00</t>
  </si>
  <si>
    <t>2024-02-29T13:21:53.462+01:00</t>
  </si>
  <si>
    <t>2023-02-16T08:57:35.208+01:00</t>
  </si>
  <si>
    <t>2024-02-07T12:41:53.075+01:00</t>
  </si>
  <si>
    <t>2023-02-20T10:52:04.32+01:00</t>
  </si>
  <si>
    <t>2023-12-13T09:07:14.268+01:00</t>
  </si>
  <si>
    <t>2023-03-06T11:39:13.863+01:00</t>
  </si>
  <si>
    <t>2024-03-12T14:45:23.781+01:00</t>
  </si>
  <si>
    <t>2023-10-26T17:51:25.19+02:00</t>
  </si>
  <si>
    <t>2024-06-05T11:49:31.914+02:00</t>
  </si>
  <si>
    <t>2023-10-26T10:45:21.59+02:00</t>
  </si>
  <si>
    <t>2024-04-30T16:24:49.919+02:00</t>
  </si>
  <si>
    <t>2023-10-27T10:30:58.753+02:00</t>
  </si>
  <si>
    <t>2024-05-27T16:46:05.986+02:00</t>
  </si>
  <si>
    <t>2023-10-25T12:33:51.62+02:00</t>
  </si>
  <si>
    <t>2023-10-27T10:10:28.629+02:00</t>
  </si>
  <si>
    <t>2024-05-24T11:07:51.274+02:00</t>
  </si>
  <si>
    <t>2023-10-26T20:20:51.968+02:00</t>
  </si>
  <si>
    <t>2024-06-05T12:42:22.686+02:00</t>
  </si>
  <si>
    <t>2023-10-25T10:22:01.796+02:00</t>
  </si>
  <si>
    <t>2023-10-25T20:24:07.915+02:00</t>
  </si>
  <si>
    <t>2024-05-03T12:17:26.521+02:00</t>
  </si>
  <si>
    <t>2023-10-27T11:26:39.179+02:00</t>
  </si>
  <si>
    <t>2024-05-27T16:44:32.669+02:00</t>
  </si>
  <si>
    <t>2023-10-26T21:49:48.683+02:00</t>
  </si>
  <si>
    <t>2024-05-28T12:02:23.383+02:00</t>
  </si>
  <si>
    <t>Gori�ka (SI043)</t>
  </si>
  <si>
    <t>Obalno-kra�ka (SI044)</t>
  </si>
  <si>
    <t>Approvato</t>
  </si>
  <si>
    <t>Darja</t>
  </si>
  <si>
    <t>Dobrila</t>
  </si>
  <si>
    <t>jzp@izola.si</t>
  </si>
  <si>
    <t xml:space="preserve">+386 5 66 00 263 </t>
  </si>
  <si>
    <t>Giordana</t>
  </si>
  <si>
    <t>Cardinaletti</t>
  </si>
  <si>
    <t>circularrainbowuniud@gmail.com</t>
  </si>
  <si>
    <t>0432 558179</t>
  </si>
  <si>
    <t>Rail Cargo Carrier, d.o.o.</t>
  </si>
  <si>
    <t>renata.rozman@psj.si</t>
  </si>
  <si>
    <t>Zanutel</t>
  </si>
  <si>
    <t>paola.zanutel@regione.fvg.it</t>
  </si>
  <si>
    <t>0432774147</t>
  </si>
  <si>
    <t>Grajska Cesta-1</t>
  </si>
  <si>
    <t xml:space="preserve">Pernarčič </t>
  </si>
  <si>
    <t>crossterm@slori.org</t>
  </si>
  <si>
    <t>Eros</t>
  </si>
  <si>
    <t>Gerbec</t>
  </si>
  <si>
    <t>projekti@miren-kostanjevica.si</t>
  </si>
  <si>
    <t>+38640686 913</t>
  </si>
  <si>
    <t>Tiozzo Brasiola</t>
  </si>
  <si>
    <t>J.62.09</t>
  </si>
  <si>
    <t>Tartinijev trg-10</t>
  </si>
  <si>
    <t>GECT-EZTS GO</t>
  </si>
  <si>
    <t>0</t>
  </si>
  <si>
    <t>234</t>
  </si>
  <si>
    <t>2024-03-15</t>
  </si>
  <si>
    <t>Izplacani izdatki po 29.02.2024 so bili ustrezno izloceni.</t>
  </si>
  <si>
    <t>314</t>
  </si>
  <si>
    <t>316</t>
  </si>
  <si>
    <t>318</t>
  </si>
  <si>
    <t>2024_02</t>
  </si>
  <si>
    <t>Spese dichiarate non corrispondono alla documentazione contabile e ai dati detenuti dal beneficiario (errore materiale nell�inserimento dell�importo)</t>
  </si>
  <si>
    <t>regres izplacan pred zacetkom projekta neupravicen</t>
  </si>
  <si>
    <t>regres izplacan po koncu porocevalskega obdobja �e ni upravicen</t>
  </si>
  <si>
    <t>regres izplacan pred zacetkom projekta neupravicen, RDU za mesece, ko ni delala na projektu, neupravicena</t>
  </si>
  <si>
    <t>Si approva solo la spesa per il mese di settembre 2023 in quanto la riga fa riferimento a quella specifica fattura. Per quanto riguarda le altre quattro mensilit� (ottobre2023-gennaio 2024) la spesa viene respinta. Il beneficiario la dovr� ripresentare nel prossimo rendiconto dividendo per� le mensilit� riga per riga facendo riferimento alla specifica fattura.</t>
  </si>
  <si>
    <t>Nel rimborso richiesto � stata inserita anche la voce "rimborsi spese" per spese di viaggio che per� rientrano nel 4% forfettario; dunque si � proceduto alla rettifica della spesa riferita ai rimborsi spese.</t>
  </si>
  <si>
    <t>1-ATL</t>
  </si>
  <si>
    <t>01/2024</t>
  </si>
  <si>
    <t>2024-06-19T10:49:44.254+02:00</t>
  </si>
  <si>
    <t>N. 1746838</t>
  </si>
  <si>
    <t>N. 1750765</t>
  </si>
  <si>
    <t>2024-03-06</t>
  </si>
  <si>
    <t>N. 1725760</t>
  </si>
  <si>
    <t>2023-11-13</t>
  </si>
  <si>
    <t>N. 1729848</t>
  </si>
  <si>
    <t>N. 1738789</t>
  </si>
  <si>
    <t>N. 1746839</t>
  </si>
  <si>
    <t>N. 1750766</t>
  </si>
  <si>
    <t>N. 1725761</t>
  </si>
  <si>
    <t>N. 1729849</t>
  </si>
  <si>
    <t>N. 1738790</t>
  </si>
  <si>
    <t>N. 1746840</t>
  </si>
  <si>
    <t>N. 1750767</t>
  </si>
  <si>
    <t>N. 1725762</t>
  </si>
  <si>
    <t>N. 1729850</t>
  </si>
  <si>
    <t>N. 1738791</t>
  </si>
  <si>
    <t>N. 1746843</t>
  </si>
  <si>
    <t>N. 1750770</t>
  </si>
  <si>
    <t>N. 1725765</t>
  </si>
  <si>
    <t>N. 1729853</t>
  </si>
  <si>
    <t>N. 1738794</t>
  </si>
  <si>
    <t>2024-06-19T12:41:05.196+02:00</t>
  </si>
  <si>
    <t>2024-06-20</t>
  </si>
  <si>
    <t>2024-06-04T11:49:14.052+02:00</t>
  </si>
  <si>
    <t>2024-06-24</t>
  </si>
  <si>
    <t>2024-06-21T14:28:06.986+02:00</t>
  </si>
  <si>
    <t>2024-06-21</t>
  </si>
  <si>
    <t>2024-06-17T09:07:45.205+02:00</t>
  </si>
  <si>
    <t>2024-06-19</t>
  </si>
  <si>
    <t>2024-06-20T06:52:04.568+02:00</t>
  </si>
  <si>
    <t>2024-06-19T12:46:44.384+02:00</t>
  </si>
  <si>
    <t>2024-06-24T10:21:14.095+02:00</t>
  </si>
  <si>
    <t>2024-06-25</t>
  </si>
  <si>
    <t>2024-06-26T09:27:52.21+02:00</t>
  </si>
  <si>
    <t>2024-06-26</t>
  </si>
  <si>
    <t>2024-06-10T13:45:56.508+02:00</t>
  </si>
  <si>
    <t>2024-06-26T11:24:33.343+02:00</t>
  </si>
  <si>
    <t>2024-06-26T17:13:23.226+02:00</t>
  </si>
  <si>
    <t>2024-06-27</t>
  </si>
  <si>
    <t>2024-06-06T14:00:07.282+02:00</t>
  </si>
  <si>
    <t>2024-06-12T15:30:56.296+02:00</t>
  </si>
  <si>
    <t>2024-06-28</t>
  </si>
  <si>
    <t>2024-06-27T14:07:06.941+02:00</t>
  </si>
  <si>
    <t>2024-06-18T10:22:48.701+02:00</t>
  </si>
  <si>
    <t>2024-06-03T12:14:39.416+02:00</t>
  </si>
  <si>
    <t>2024-06-28T11:13:36.629+02:00</t>
  </si>
  <si>
    <t>2024-06-20T13:11:18.35+02:00</t>
  </si>
  <si>
    <t>2024-07-01T13:09:20.525+02:00</t>
  </si>
  <si>
    <t>2024-07-01</t>
  </si>
  <si>
    <t>2024-06-21T12:13:51.086+02:00</t>
  </si>
  <si>
    <t>2024-06-27T10:25:46.306+02:00</t>
  </si>
  <si>
    <t>2024-06-27T08:44:54.837+02:00</t>
  </si>
  <si>
    <t>2024-06-26T10:28:36.713+02:00</t>
  </si>
  <si>
    <t>MD_sep 23</t>
  </si>
  <si>
    <t>MD_okt 23</t>
  </si>
  <si>
    <t>MD_nov 23</t>
  </si>
  <si>
    <t>MD_dec 23</t>
  </si>
  <si>
    <t>MD_jan 24</t>
  </si>
  <si>
    <t>B�_sep 23</t>
  </si>
  <si>
    <t>B�_okt 23</t>
  </si>
  <si>
    <t>B�_nov 23</t>
  </si>
  <si>
    <t>B�_dec 23</t>
  </si>
  <si>
    <t>B�_jan 24</t>
  </si>
  <si>
    <t>MK_nov 23</t>
  </si>
  <si>
    <t>MK_dec 23</t>
  </si>
  <si>
    <t>2024-12-29</t>
  </si>
  <si>
    <t>MK_jan 24</t>
  </si>
  <si>
    <t>3010RS142023TS01/445</t>
  </si>
  <si>
    <t>3698/PA</t>
  </si>
  <si>
    <t>Y8A3C2A4D6</t>
  </si>
  <si>
    <t>23-102-421</t>
  </si>
  <si>
    <t>Y9A3D3E542</t>
  </si>
  <si>
    <t>290/E</t>
  </si>
  <si>
    <t>2024-01-23</t>
  </si>
  <si>
    <t>Y4B3C4EBE7</t>
  </si>
  <si>
    <t>23-0190</t>
  </si>
  <si>
    <t>21/32 P</t>
  </si>
  <si>
    <t>2024-01-17</t>
  </si>
  <si>
    <t>4101</t>
  </si>
  <si>
    <t>175</t>
  </si>
  <si>
    <t>Meta_sep</t>
  </si>
  <si>
    <t>preracun upravicenega stro�ka skladno s placilno listo (izlocene refundacije, nadurno delo, regres, izplacan pred pricetkom projekta�)</t>
  </si>
  <si>
    <t>Tanja_sep</t>
  </si>
  <si>
    <t>Patricija_sep</t>
  </si>
  <si>
    <t>Meta_okt</t>
  </si>
  <si>
    <t>Tanja_okt</t>
  </si>
  <si>
    <t>Patricija_okt</t>
  </si>
  <si>
    <t>Meta_nov</t>
  </si>
  <si>
    <t>Tanja_nov</t>
  </si>
  <si>
    <t>Patricija_nov</t>
  </si>
  <si>
    <t>Jakob_nov</t>
  </si>
  <si>
    <t>Meta_dec</t>
  </si>
  <si>
    <t>Tanja_dec</t>
  </si>
  <si>
    <t>Patricija_dec</t>
  </si>
  <si>
    <t>Jakob_dec</t>
  </si>
  <si>
    <t>Meta_jan</t>
  </si>
  <si>
    <t>Tanja_jan</t>
  </si>
  <si>
    <t>Patricija_jan</t>
  </si>
  <si>
    <t>Jakob_jan</t>
  </si>
  <si>
    <t>Meta_feb</t>
  </si>
  <si>
    <t>izplacilo place izven obdobja porocanja</t>
  </si>
  <si>
    <t>Tanja_feb</t>
  </si>
  <si>
    <t>Patricija_feb</t>
  </si>
  <si>
    <t>Jakob_feb</t>
  </si>
  <si>
    <t>RK_okt23-feb24</t>
  </si>
  <si>
    <t xml:space="preserve">Izloceni izdatki: Za vse zaposlene na projektu je bil izlocen regres za januar 2024. Le-ta je bil namrec izplacan po 29.02.2024. Prav tako in iz istega razloga, izdatki (torej place) za mesec februar niso upraviceni v tem vmesnem porocilu. </t>
  </si>
  <si>
    <t>MB_okt23-feb24</t>
  </si>
  <si>
    <t>PF_okt23-feb24</t>
  </si>
  <si>
    <t>TO_okt23-feb24</t>
  </si>
  <si>
    <t>01</t>
  </si>
  <si>
    <t>02</t>
  </si>
  <si>
    <t>03</t>
  </si>
  <si>
    <t>04</t>
  </si>
  <si>
    <t>05</t>
  </si>
  <si>
    <t>06</t>
  </si>
  <si>
    <t>07</t>
  </si>
  <si>
    <t>08</t>
  </si>
  <si>
    <t>09</t>
  </si>
  <si>
    <t>212</t>
  </si>
  <si>
    <t>0204-02-29</t>
  </si>
  <si>
    <t>40</t>
  </si>
  <si>
    <t>2024-03-19</t>
  </si>
  <si>
    <t>2024-03-25</t>
  </si>
  <si>
    <t>2024-03-27</t>
  </si>
  <si>
    <t>BO_DG1261090</t>
  </si>
  <si>
    <t>5/001</t>
  </si>
  <si>
    <t>Bartol_RP02_september2023</t>
  </si>
  <si>
    <t>2023-12-10</t>
  </si>
  <si>
    <t>neustrezna pravna podlaga (aneks za delo na projektu datiran na 13.12.2023)</t>
  </si>
  <si>
    <t>Bartol_RP02_oktober2023</t>
  </si>
  <si>
    <t>Bartol_RP02_november2023</t>
  </si>
  <si>
    <t>Bartol_RP02_december2023</t>
  </si>
  <si>
    <t>2024-12-01</t>
  </si>
  <si>
    <t>Bartol_RP04_januar2024</t>
  </si>
  <si>
    <t>0224-12-02</t>
  </si>
  <si>
    <t>2024-12-02</t>
  </si>
  <si>
    <t>Brajkovic_RP02_september2023</t>
  </si>
  <si>
    <t>Brajkovic_RP02_oktober2023</t>
  </si>
  <si>
    <t>Brajkovic_RP02_november2023</t>
  </si>
  <si>
    <t>Brajkovic_RP02_december2023</t>
  </si>
  <si>
    <t>Brajkovic_RP02_januar2024</t>
  </si>
  <si>
    <t>Gostincar_RP02_september2023</t>
  </si>
  <si>
    <t>Gostincar_RP02_oktober2023</t>
  </si>
  <si>
    <t>Gostincar_RP02_november2023</t>
  </si>
  <si>
    <t>Gostincar_RP02_december2023</t>
  </si>
  <si>
    <t>Gostincar_RP02_januar2024</t>
  </si>
  <si>
    <t>Ilic_RP02_september2023</t>
  </si>
  <si>
    <t>Ilic_RP02_oktober2023</t>
  </si>
  <si>
    <t>Ilic_RP02_november2023</t>
  </si>
  <si>
    <t>Ilic_RP02_december2023</t>
  </si>
  <si>
    <t>Ilic_RP02_januar2024</t>
  </si>
  <si>
    <t>0204-12-02</t>
  </si>
  <si>
    <t>Je�_RP02_september2023</t>
  </si>
  <si>
    <t>napacen znesek prevoza na delo</t>
  </si>
  <si>
    <t>Je�_RP02_oktober2023</t>
  </si>
  <si>
    <t>Je�_RP02_november2023</t>
  </si>
  <si>
    <t>Je�_RP02_december2023</t>
  </si>
  <si>
    <t>Je�_RP02_januar2024</t>
  </si>
  <si>
    <t>Krivic M_RP02_september2023</t>
  </si>
  <si>
    <t>Krivic M_RP02_oktober2023</t>
  </si>
  <si>
    <t>Krivic M_RP02_november2023</t>
  </si>
  <si>
    <t>Krivic M_RP02_december2023</t>
  </si>
  <si>
    <t>Krivic M_RP02_januar2024</t>
  </si>
  <si>
    <t>Novak_RP02_september2023</t>
  </si>
  <si>
    <t>Novak_RP02_oktober2023</t>
  </si>
  <si>
    <t>Novak_RP02_november2023</t>
  </si>
  <si>
    <t>Novak_RP02_december023</t>
  </si>
  <si>
    <t>Novak_RP02_januar2024</t>
  </si>
  <si>
    <t>La spesa viene respinta, il beneficiario la dovr� ripresentare nel prossimo rendiconto dividendo le mensilit� facendo riferimento alla specifica fattura da inserire per ciascuna riga di spesa con i relativi riferimenti .</t>
  </si>
  <si>
    <t>95/E</t>
  </si>
  <si>
    <t>124</t>
  </si>
  <si>
    <t>FPR 8/24</t>
  </si>
  <si>
    <t>000202</t>
  </si>
  <si>
    <t>150012/3</t>
  </si>
  <si>
    <t>FPR 9/24</t>
  </si>
  <si>
    <t>PG-0312/2023</t>
  </si>
  <si>
    <t>10-1-003743</t>
  </si>
  <si>
    <t>10-1-003744</t>
  </si>
  <si>
    <t>503955/2023</t>
  </si>
  <si>
    <t>AH-PL09_2023-09</t>
  </si>
  <si>
    <t>AH-PL10_2023-10</t>
  </si>
  <si>
    <t>AH-PL11_2023-11</t>
  </si>
  <si>
    <t>AH-PL12_2023-12</t>
  </si>
  <si>
    <t>izloceno nadomestilo v breme ZZZS</t>
  </si>
  <si>
    <t>AH-PL01_2024-01</t>
  </si>
  <si>
    <t>izlocen sorazmerni del regresa za leto 2024, izplacan izven obdobja</t>
  </si>
  <si>
    <t>JT-PL09_2023-09</t>
  </si>
  <si>
    <t>JT-PL10_2023-10</t>
  </si>
  <si>
    <t>JT-PL11_2023-11</t>
  </si>
  <si>
    <t>JT-PL12_2023-12</t>
  </si>
  <si>
    <t>JT-PL01_2024-01</t>
  </si>
  <si>
    <t>NH-PL_2023-2024</t>
  </si>
  <si>
    <t>rettifica effettuata in quanto il beneficiario rendiconta 20h dedicate a progetto, ma da timesheet allegati risultano esser state dedicate solo 19h effettive</t>
  </si>
  <si>
    <t>rettifica effettuata in quanto, confrontando timesheet e foglio presenze INAIL dei mesi di dicembre'23, gennaio e frebbraio '24, risultano esser state rendicontate 13ore in pi� : 367h effettive</t>
  </si>
  <si>
    <t>2653</t>
  </si>
  <si>
    <t>87</t>
  </si>
  <si>
    <t>614</t>
  </si>
  <si>
    <t>2024-01-19</t>
  </si>
  <si>
    <t>81</t>
  </si>
  <si>
    <t>preracun stro�kov osebja glede na predlo�eno pl. listo</t>
  </si>
  <si>
    <t>izlocen regres za leto 2024, izplacan po obdobju porocanja</t>
  </si>
  <si>
    <t>64</t>
  </si>
  <si>
    <t>Rimborso al 100%</t>
  </si>
  <si>
    <t>LC-10/23-02/24</t>
  </si>
  <si>
    <t>Percentuale fissa al 4,36%</t>
  </si>
  <si>
    <t>BA-10/23-02/24</t>
  </si>
  <si>
    <t>Percentuale fissa all' 1,74%.  Leggero errore nel calcolo. In base alla percentuale fissa dell'1,74% il rimborso risulta di 1.077,55 euro.</t>
  </si>
  <si>
    <t>FR-10/23-02/24</t>
  </si>
  <si>
    <t>Percentuale fissa al 10%</t>
  </si>
  <si>
    <t>354-89/2023-9</t>
  </si>
  <si>
    <t>2024-1</t>
  </si>
  <si>
    <t>2/0</t>
  </si>
  <si>
    <t>DDV</t>
  </si>
  <si>
    <t>0576-2023</t>
  </si>
  <si>
    <t>102-2023</t>
  </si>
  <si>
    <t>2024-06-27T08:36:18.138+02:00</t>
  </si>
  <si>
    <t>"dokumentacija v dopolnitvah se ve�e na ""Scenarij, snemanje in monta�o 9 kratkih video vsebin (cca 0:45 min) za Evropski teden zmanj�evanja odpadkov"", in ne na Roll-up stojalo ter A3 plakat"</t>
  </si>
  <si>
    <t>0736-2023</t>
  </si>
  <si>
    <t>184-2023</t>
  </si>
  <si>
    <t>0657-2023</t>
  </si>
  <si>
    <t>43-2023</t>
  </si>
  <si>
    <t>0685-2023</t>
  </si>
  <si>
    <t>130158/25023</t>
  </si>
  <si>
    <t>0732-2023</t>
  </si>
  <si>
    <t>15/23</t>
  </si>
  <si>
    <t>194</t>
  </si>
  <si>
    <t>97FEI</t>
  </si>
  <si>
    <t>2023-10-17</t>
  </si>
  <si>
    <t xml:space="preserve">Vnesen je bil ustrezen znesek za POD. </t>
  </si>
  <si>
    <t>V dopolnitvah in v popravljeni casovnici je bil izdatek za mesec januar (za ga. �uraj) v celoti ven izbrisan. Slednji izdatek se lahko ponovno poroca v naslednjem vmesnem porocilu.</t>
  </si>
  <si>
    <t>24-305-000132</t>
  </si>
  <si>
    <t>27</t>
  </si>
  <si>
    <t>RE-03327</t>
  </si>
  <si>
    <t>2023-12-30</t>
  </si>
  <si>
    <t>28</t>
  </si>
  <si>
    <t>I23125I01188</t>
  </si>
  <si>
    <t>Carinske storitve spadajo pod kategorijo izdatkov za zunanje strokovnjake in storitev. Prav tako izdatek zna�a 207,40 EUR in ne 270,40 EUR, kot je porocan. Slednji stro�ek se lahko ponovno poroca pod ustrezno kategorijo izdatkov.</t>
  </si>
  <si>
    <t>29</t>
  </si>
  <si>
    <t>OS23/0114</t>
  </si>
  <si>
    <t>30</t>
  </si>
  <si>
    <t>2023-00491</t>
  </si>
  <si>
    <t>P1</t>
  </si>
  <si>
    <t>P2</t>
  </si>
  <si>
    <t>Valore</t>
  </si>
  <si>
    <t>Rischio basso</t>
  </si>
  <si>
    <t>P3</t>
  </si>
  <si>
    <t>R1</t>
  </si>
  <si>
    <t>R2</t>
  </si>
  <si>
    <t>R3</t>
  </si>
  <si>
    <t>R4</t>
  </si>
  <si>
    <t>R5</t>
  </si>
  <si>
    <t>R6</t>
  </si>
  <si>
    <t>Rischio alto</t>
  </si>
  <si>
    <t>SI</t>
  </si>
  <si>
    <t>NO</t>
  </si>
  <si>
    <t>APPROVED</t>
  </si>
  <si>
    <t>2023-10-27T10:05:54.155+02:00</t>
  </si>
  <si>
    <t>2024-05-16T11:59:14.488+02:00</t>
  </si>
  <si>
    <t>2023-10-27T10:30:54.878+02:00</t>
  </si>
  <si>
    <t>2024-06-26T12:04:20.403+02:00</t>
  </si>
  <si>
    <t>2023-10-27T09:02:58.138+02:00</t>
  </si>
  <si>
    <t>2024-06-19T11:50:49.906+02:00</t>
  </si>
  <si>
    <t>2023-10-27T11:12:03.486+02:00</t>
  </si>
  <si>
    <t>2024-06-07T11:57:32.679+02:00</t>
  </si>
  <si>
    <t>2023-10-24T15:50:34.338+02:00</t>
  </si>
  <si>
    <t>2024-05-29T17:06:49.592+02:00</t>
  </si>
  <si>
    <t>2023-10-26T17:43:46.34+02:00</t>
  </si>
  <si>
    <t>2024-06-18T13:33:29.964+02:00</t>
  </si>
  <si>
    <t>2023-10-26T18:00:58.94+02:00</t>
  </si>
  <si>
    <t>2024-06-19T11:16:31.242+02:00</t>
  </si>
  <si>
    <t>2023-10-27T00:41:07.477+02:00</t>
  </si>
  <si>
    <t>2024-05-16T12:14:22.991+02:00</t>
  </si>
  <si>
    <t>2023-10-25T19:18:13.891+02:00</t>
  </si>
  <si>
    <t>2024-05-17T11:04:58.033+02:00</t>
  </si>
  <si>
    <t>2023-10-27T12:00:35.297+02:00</t>
  </si>
  <si>
    <t>2024-05-29T16:59:33.295+02:00</t>
  </si>
  <si>
    <t>2023-10-27T09:09:43.294+02:00</t>
  </si>
  <si>
    <t>2024-06-26T10:31:44.273+02:00</t>
  </si>
  <si>
    <t>2023-10-26T19:04:43.546+02:00</t>
  </si>
  <si>
    <t>2024-05-27T11:22:01.089+02:00</t>
  </si>
  <si>
    <t>2023-10-27T11:07:55.982+02:00</t>
  </si>
  <si>
    <t>2024-01-22T15:58:45.113+01:00</t>
  </si>
  <si>
    <t>2023-10-27T12:25:45.492+02:00</t>
  </si>
  <si>
    <t>2024-05-29T16:49:24.51+02:00</t>
  </si>
  <si>
    <t>2023-10-25T15:37:15.395+02:00</t>
  </si>
  <si>
    <t>2024-05-24T10:54:47.466+02:00</t>
  </si>
  <si>
    <t>2023-10-27T10:02:00.065+02:00</t>
  </si>
  <si>
    <t>2024-05-29T17:11:38.141+02:00</t>
  </si>
  <si>
    <t>2023-10-27T00:52:37.85+02:00</t>
  </si>
  <si>
    <t>2024-06-18T12:04:41.098+02:00</t>
  </si>
  <si>
    <t>2023-10-26T19:24:34.681+02:00</t>
  </si>
  <si>
    <t>2024-01-18T14:36:39.179+01:00</t>
  </si>
  <si>
    <t>2023-10-27T10:04:38.039+02:00</t>
  </si>
  <si>
    <t>Koro�ka (SI033)</t>
  </si>
  <si>
    <t>R7</t>
  </si>
  <si>
    <t>id PArtner</t>
  </si>
  <si>
    <t>Value.reportId</t>
  </si>
  <si>
    <t>Value.reportNumber</t>
  </si>
  <si>
    <t>Value.createdInThisReport</t>
  </si>
  <si>
    <t>Value.lastChanged</t>
  </si>
  <si>
    <t>Value.contractName</t>
  </si>
  <si>
    <t>Value.referenceNumber</t>
  </si>
  <si>
    <t>Value.contractDate</t>
  </si>
  <si>
    <t>Value.contractType</t>
  </si>
  <si>
    <t>Value.contractAmount</t>
  </si>
  <si>
    <t>Value.currencyCode</t>
  </si>
  <si>
    <t>Value.supplierName</t>
  </si>
  <si>
    <t>Value.vatNumber</t>
  </si>
  <si>
    <t>Value.comment</t>
  </si>
  <si>
    <t>2023-12-01T14:54:43.415+01:00</t>
  </si>
  <si>
    <t>Simultano tolmacenje SLO/ITA/ANG na dogodku 23.6.2023</t>
  </si>
  <si>
    <t>19/2023</t>
  </si>
  <si>
    <t>narocilnica</t>
  </si>
  <si>
    <t>Multilingual Pro d.o.o.</t>
  </si>
  <si>
    <t>SI 50439472</t>
  </si>
  <si>
    <t>2023-12-01T15:04:34.945+01:00</t>
  </si>
  <si>
    <t>tisk zlo�enke Poletni vozni red</t>
  </si>
  <si>
    <t>20/2023</t>
  </si>
  <si>
    <t>Nimbus d.o.o.</t>
  </si>
  <si>
    <t>SI 19811527</t>
  </si>
  <si>
    <t>2023-11-29T15:48:40.824+01:00</t>
  </si>
  <si>
    <t>Tisk in dobava plakata Roll-up</t>
  </si>
  <si>
    <t>storitev, dobava</t>
  </si>
  <si>
    <t>Studio Graffit d.o.o.</t>
  </si>
  <si>
    <t>SI85886912</t>
  </si>
  <si>
    <t>2023-11-29T15:55:31.773+01:00</t>
  </si>
  <si>
    <t>Oblikovanje letaka storitev kolo+vlak</t>
  </si>
  <si>
    <t>storitev</t>
  </si>
  <si>
    <t>Ivana Kadivec s.p.</t>
  </si>
  <si>
    <t>SI98432419</t>
  </si>
  <si>
    <t>2023-11-29T15:59:42.932+01:00</t>
  </si>
  <si>
    <t>Tisk in dobava magnetne nalepke</t>
  </si>
  <si>
    <t>Propaganda d.o.o.</t>
  </si>
  <si>
    <t>SI4593165</t>
  </si>
  <si>
    <t>2023-11-29T16:02:26.869+01:00</t>
  </si>
  <si>
    <t>Organizacija cezmejnega javnega dogodka</t>
  </si>
  <si>
    <t>Matja� Maru�ic s.p.</t>
  </si>
  <si>
    <t>84448318</t>
  </si>
  <si>
    <t>2023-11-29T16:10:35.692+01:00</t>
  </si>
  <si>
    <t>Izvajanje cezmejne avtobusne linije - CEDAD</t>
  </si>
  <si>
    <t>Nomago d.o.o.</t>
  </si>
  <si>
    <t>SI52398790</t>
  </si>
  <si>
    <t>2023-11-29T16:13:16.743+01:00</t>
  </si>
  <si>
    <t>Izvajanje cezmejne avtobusne linije - TRBI�</t>
  </si>
  <si>
    <t>2023-06-13</t>
  </si>
  <si>
    <t>2024-03-29T15:35:28.196+01:00</t>
  </si>
  <si>
    <t>Vodenje in ogled muzeja</t>
  </si>
  <si>
    <t>Narocilnica</t>
  </si>
  <si>
    <t>Kobari�ki muzej d.o.o.</t>
  </si>
  <si>
    <t>SI32644582</t>
  </si>
  <si>
    <t>2024-03-29T15:38:11.237+01:00</t>
  </si>
  <si>
    <t>Vecerja_partnersko srecanje Kobarid</t>
  </si>
  <si>
    <t>Hvala-Topli val d.o.o.</t>
  </si>
  <si>
    <t>SI55709044</t>
  </si>
  <si>
    <t>2024-03-29T15:39:45.593+01:00</t>
  </si>
  <si>
    <t>Kosilo - partnersko srecanje Kobarid</t>
  </si>
  <si>
    <t>Kobaric d.o.o.</t>
  </si>
  <si>
    <t>SI83315152</t>
  </si>
  <si>
    <t>2024-04-04T15:17:45.296+02:00</t>
  </si>
  <si>
    <t>Mercator</t>
  </si>
  <si>
    <t>2006-07-04</t>
  </si>
  <si>
    <t>Pogodba</t>
  </si>
  <si>
    <t>Mercator d.o.o.</t>
  </si>
  <si>
    <t>SI45884595</t>
  </si>
  <si>
    <t>2023-10-17T13:00:24.005+02:00</t>
  </si>
  <si>
    <t>Prenotazione spazi fiere Gent e Utrecht</t>
  </si>
  <si>
    <t>servizi</t>
  </si>
  <si>
    <t>HOLCUS BUITEN B.V.</t>
  </si>
  <si>
    <t>817882273B01</t>
  </si>
  <si>
    <t>2023-10-16T13:54:18.654+02:00</t>
  </si>
  <si>
    <t>traduzione piano comunicazione progetto in sloveno</t>
  </si>
  <si>
    <t>Business Voice srl</t>
  </si>
  <si>
    <t>02637310307</t>
  </si>
  <si>
    <t>2023-10-16T13:54:31.983+02:00</t>
  </si>
  <si>
    <t>traduzione file mappatura</t>
  </si>
  <si>
    <t>1372</t>
  </si>
  <si>
    <t>Business voice srl</t>
  </si>
  <si>
    <t>2024-02-28T16:25:58.332+01:00</t>
  </si>
  <si>
    <t>fornitura di 5.000 pacchetti di mappe in scala 1:100.000</t>
  </si>
  <si>
    <t>Casa Editrice Tabacco</t>
  </si>
  <si>
    <t>02912670300</t>
  </si>
  <si>
    <t>2024-02-28T16:36:10.895+01:00</t>
  </si>
  <si>
    <t>Realizzazione di grafica dei servizi intermodali da inserire su 2 mappe di formato aperto cm. 70,2x50</t>
  </si>
  <si>
    <t>Alessandro Agazzi</t>
  </si>
  <si>
    <t>02766200303</t>
  </si>
  <si>
    <t>2024-03-19T14:12:54.725+01:00</t>
  </si>
  <si>
    <t>Servizio bici-bus per IC Day 2023</t>
  </si>
  <si>
    <t>Affidamento diretto</t>
  </si>
  <si>
    <t>ATAP SpA</t>
  </si>
  <si>
    <t>00188590939</t>
  </si>
  <si>
    <t>Servizio andata ritorno di bici bus con conducente per la giornata del 23/9/23, da Gemona del Friuli a Se�ana (SLO), con tappe intermedie a Udine e Gorizia e trasporto passeggeri a.r. da Se�ana a Gropada.</t>
  </si>
  <si>
    <t>2024-03-19T14:12:32.811+01:00</t>
  </si>
  <si>
    <t>Somministrazione di lavoro a tempo determinato</t>
  </si>
  <si>
    <t>Somministrazione a tempo det.</t>
  </si>
  <si>
    <t>UMANA SpA</t>
  </si>
  <si>
    <t>IT04681350270</t>
  </si>
  <si>
    <t>Contratto derivato da Convenzione quadro relativa all'affidamento del servizio di somministrazione di lavoro a tempo determinato a favore dell'Amministrazione regionale, degli Enti regionali e di altri Enti di cui all'art. 43, comma bis, della LR 26/2014 - Lotto 1 - Servizio di somministrazione di lavoro a tempo determinato da eseguirsi a favore dell'amministrazione regionale e del Consiglio regionale - CIG 9343143D80.
Contratto su progetto ADRIONCYCLETOUR - CUP D21B23000000009 - CIG A01740E84D.</t>
  </si>
  <si>
    <t>2024-03-19T14:53:02.872+01:00</t>
  </si>
  <si>
    <t>Fornitura Roll-up promozionale</t>
  </si>
  <si>
    <t>Seriplast Sas</t>
  </si>
  <si>
    <t>00732720321</t>
  </si>
  <si>
    <t>Fornitura di un roll-up promozionale di dimensioni standard, dedicato alle attivit� del Progetto strategico ADRIONCYCLETOUR.</t>
  </si>
  <si>
    <t>2024-03-19T15:25:33.985+01:00</t>
  </si>
  <si>
    <t>Servizio di interpretariato simultaneo italiano/sloveno</t>
  </si>
  <si>
    <t>ForumCenter di Alice Mackov�ek</t>
  </si>
  <si>
    <t>SI84303468</t>
  </si>
  <si>
    <t>Servizio di interpretariato simultaneo italiano/sloveno reso nel corso del 3� meeting di partenariato tenutosi il 25 e 26 ottobre 2023 a Kobarid (SLO)</t>
  </si>
  <si>
    <t>2023-11-23T13:48:09.523+01:00</t>
  </si>
  <si>
    <t>Nakup racunalnika</t>
  </si>
  <si>
    <t>SO d.o.o.</t>
  </si>
  <si>
    <t>SI27731561</t>
  </si>
  <si>
    <t>2023-11-23T13:53:14.831+01:00</t>
  </si>
  <si>
    <t>Tolmacenje kick-off</t>
  </si>
  <si>
    <t>Alkemist d.o.o.</t>
  </si>
  <si>
    <t>SI18558585</t>
  </si>
  <si>
    <t>2023-11-23T13:55:53.947+01:00</t>
  </si>
  <si>
    <t>Cenilec ladijski prevozi</t>
  </si>
  <si>
    <t>2023-02-06</t>
  </si>
  <si>
    <t>Smolak d.o.o.</t>
  </si>
  <si>
    <t>SI51785021</t>
  </si>
  <si>
    <t>2023-11-23T13:58:39.678+01:00</t>
  </si>
  <si>
    <t>Roll-up</t>
  </si>
  <si>
    <t>2023-02-07</t>
  </si>
  <si>
    <t>Racunalni�ka tocka d.o.o.</t>
  </si>
  <si>
    <t>SI73447226</t>
  </si>
  <si>
    <t>2023-11-23T14:00:43.391+01:00</t>
  </si>
  <si>
    <t>Catering kick-off</t>
  </si>
  <si>
    <t>Ana Kovacic Srblin s.p.</t>
  </si>
  <si>
    <t>SI7555639</t>
  </si>
  <si>
    <t>2023-11-23T14:03:56.906+01:00</t>
  </si>
  <si>
    <t>Organizacija dogodkov</t>
  </si>
  <si>
    <t>pogodba za izvedbo storitve</t>
  </si>
  <si>
    <t>Center  Piran d.o.o.</t>
  </si>
  <si>
    <t>SI37692038</t>
  </si>
  <si>
    <t>2023-11-27T11:51:50.407+01:00</t>
  </si>
  <si>
    <t>Avtobusni prevozi</t>
  </si>
  <si>
    <t>pogodba</t>
  </si>
  <si>
    <t>2023-11-27T11:55:18.995+01:00</t>
  </si>
  <si>
    <t>Ladijski prevozi</t>
  </si>
  <si>
    <t>2023-06-02</t>
  </si>
  <si>
    <t>Sandi Radolovic s.p.</t>
  </si>
  <si>
    <t>SI82120234</t>
  </si>
  <si>
    <t>2023-11-27T11:58:37.083+01:00</t>
  </si>
  <si>
    <t>�tudijska ekskurzija Danska</t>
  </si>
  <si>
    <t>Thomas Krag Mobility Advice</t>
  </si>
  <si>
    <t>DK25226631</t>
  </si>
  <si>
    <t>kotizacija</t>
  </si>
  <si>
    <t>2023-11-29T14:10:08.048+01:00</t>
  </si>
  <si>
    <t>CIG_ZE33BB219D_Catering 2� SC 3-4 Luglio 2023</t>
  </si>
  <si>
    <t>prot. n. 32502/P</t>
  </si>
  <si>
    <t>Ordine</t>
  </si>
  <si>
    <t>TAVERNETTA DEL TOCAI SNC</t>
  </si>
  <si>
    <t>02040240273</t>
  </si>
  <si>
    <t>Servizio di catering in occasione del 2� SC nelle giornate del 3 � 4 Luglio 2023</t>
  </si>
  <si>
    <t>2023-11-29T13:34:01.584+01:00</t>
  </si>
  <si>
    <t>CIG_ZB53A9B5CF_Servizio di comunicazione</t>
  </si>
  <si>
    <t>prot. n. 32322/P</t>
  </si>
  <si>
    <t>Proposta contrattuale</t>
  </si>
  <si>
    <t>Radici S.r.l.</t>
  </si>
  <si>
    <t xml:space="preserve">04845180266 </t>
  </si>
  <si>
    <t>SERVIZIO DI COMUNICAZIONE NELL�AMBITO DEL PROGETTO INTERREG ITALIA-SLOVENIA 2021-2027 �ADRIONCYCLETOUR� (CUP G35F22001250009 - CIG ZB53A9B5CF)</t>
  </si>
  <si>
    <t>2024-03-22T13:15:54.969+01:00</t>
  </si>
  <si>
    <t>CIG_Z333A7C4F8_SERVIZIO DI FORMAZIONE PER OPERATORI IN MATERIA DI NAVIGAZIONE INTERNA</t>
  </si>
  <si>
    <t>prot. n. 32183/P</t>
  </si>
  <si>
    <t>2023-05-02</t>
  </si>
  <si>
    <t>Agenzia Nautica Base Mare 21</t>
  </si>
  <si>
    <t>01706090279</t>
  </si>
  <si>
    <t>SERVIZIO DI FORMAZIONE PER OPERATORI IN MATERIA DI NAVIGAZIONE INTERNA NELL�AMBITO DEL PROGETTO INTERREG ITALIA-SLOVENIA 2021-2027 �ADRIONCYCLETOUR� (CUP G35F22001250009 � CIG_Z333A7C4F8)</t>
  </si>
  <si>
    <t>2024-03-22T13:45:22.113+01:00</t>
  </si>
  <si>
    <t>CIG_Z9D3A9B539_SERVIZIO DI FORMAZIONE PER OPERATORI IN MATERIA DI TURISMO SOSTENIBILE NELL�AMBITO DEL PROGETTO</t>
  </si>
  <si>
    <t>prot. n. 32323/P</t>
  </si>
  <si>
    <t>TVO S.r.l.</t>
  </si>
  <si>
    <t>SERVIZIO DI FORMAZIONE PER OPERATORI IN MATERIA DI TURISMO SOSTENIBILE NELL�AMBITO DEL PROGETTONELL�AMBITO DEL PROGETTO INTERREG ITALIA-SLOVENIA 2021-2027 �ADRIONCYCLETOUR� (CUP G35F22001250009 - CIG_Z9D3A9B539)</t>
  </si>
  <si>
    <t>2024-03-04T14:40:30.627+01:00</t>
  </si>
  <si>
    <t>Akademija terana_23_Simultano tolmacenje in najem tehnicne opreme</t>
  </si>
  <si>
    <t>T_2023-397</t>
  </si>
  <si>
    <t>narocilnica_storitev</t>
  </si>
  <si>
    <t>Peter Senizza s.p.</t>
  </si>
  <si>
    <t>SI47823844</t>
  </si>
  <si>
    <t>2024-03-04T14:40:46.347+01:00</t>
  </si>
  <si>
    <t>Akademija terana_23_FOOD LAB- HRANA S PIJACO</t>
  </si>
  <si>
    <t>T_2023-396</t>
  </si>
  <si>
    <t>LEMO D.O.O.</t>
  </si>
  <si>
    <t>SI53698282</t>
  </si>
  <si>
    <t>Znesek pogodbe se nana�a na ceno/osebo, pri cemer je bilo dogovorjeno, da je MINIMALNO �T. 30 OSEB , v kolikor je oseb manj, se vseeno zaracuna 30 oseb. Dogodek je nato obiskali 50 oseb, na listi prisotnosti jih je sicer zabele�enih 52, ker sta se dve osebi dvakrat podpisali na listo prisotnosti (Soraja Kante Mrevlje in Marjana Mrevlje).</t>
  </si>
  <si>
    <t>2024-03-04T14:46:29.806+01:00</t>
  </si>
  <si>
    <t>Akademija terana_23_predavanje Janko Bo�ic</t>
  </si>
  <si>
    <t>Avtorska pogodba</t>
  </si>
  <si>
    <t>Dr. Janko Bo�ic</t>
  </si>
  <si>
    <t>Vrednost pogodbe zna�a 274,15 EUR z vkljucenimi dajatvami iz naslova avtorskega honorarja, neto izplacilo avtorju zna�a 199,39 EUR</t>
  </si>
  <si>
    <t>2024-03-04T14:53:58.427+01:00</t>
  </si>
  <si>
    <t>KoM_23_pogostitev</t>
  </si>
  <si>
    <t>R_2023_278</t>
  </si>
  <si>
    <t>Graj�arjevi,Vlasta Markocic sp</t>
  </si>
  <si>
    <t>42925070</t>
  </si>
  <si>
    <t>2024-03-27T11:08:46.456+01:00</t>
  </si>
  <si>
    <t>Affidamento del servizio di project management</t>
  </si>
  <si>
    <t xml:space="preserve">1485 </t>
  </si>
  <si>
    <t xml:space="preserve">Determinazione </t>
  </si>
  <si>
    <t>T &amp; B Associati-SRL.</t>
  </si>
  <si>
    <t>2024-03-26T17:01:32.883+01:00</t>
  </si>
  <si>
    <t>Koordinacija in izvedba komunikacije projekta</t>
  </si>
  <si>
    <t>Pogodba o sodelovanju</t>
  </si>
  <si>
    <t>Verus d.o.o.</t>
  </si>
  <si>
    <t>SI64981746</t>
  </si>
  <si>
    <t>Izbran je bil najbolj ugoden ponudnik z ustreznimi izku�njami v komunikacijami v evropskih in cezmejnih projektih.</t>
  </si>
  <si>
    <t>2024-03-10T16:08:31.941+01:00</t>
  </si>
  <si>
    <t>Servizio di traduzione simultanea</t>
  </si>
  <si>
    <t>WP 3.1;</t>
  </si>
  <si>
    <t>preventivo accettato</t>
  </si>
  <si>
    <t>GLOBAL VOICES LTD</t>
  </si>
  <si>
    <t>IE 4115720 OH</t>
  </si>
  <si>
    <t>E' stata fatta una ricerca di mercato chiedendo tre preventivi (GLOBAL VOICES, ATI STUDIO E BUSINESS VOICES). E' stato scelto il pi� economico che include anche il servizio di bidule e l'eventuale traduzione dall'inglese per un relatore nell'evento di lancio del 1 febbraio</t>
  </si>
  <si>
    <t>2024-03-10T16:07:52.019+01:00</t>
  </si>
  <si>
    <t xml:space="preserve">Servizio di catering </t>
  </si>
  <si>
    <t>WP 3.1</t>
  </si>
  <si>
    <t>COMPASS GROUP ITALIA SPA</t>
  </si>
  <si>
    <t>IT02979410152</t>
  </si>
  <si>
    <t>E' stata fatta una ricerca di mercato e raccolti tre preventivi per il servizio di catering - comprendente Coffee break alla mattina, corner coffee pomeridiano e light lunch per 40 persone senza assistenza -  (COMPASS GROUP SPA, DITTA ERMENEGILDO SALVA srl, CONTROVENTO COOPERATIVA SOCIALE). E' stato scelto il fornitore pi� economico che comunque valorizza la fornitura con il rimpiazzo dei tavoli e la gesitone dei rifiuti</t>
  </si>
  <si>
    <t>2024-03-10T16:07:33.773+01:00</t>
  </si>
  <si>
    <t>predisposizione e stampa di 2 Roll-up e predisposizione dei gadget</t>
  </si>
  <si>
    <t>WP 3.1; WP 3.5; WP 3.6</t>
  </si>
  <si>
    <t>CRECOM PUBBLICITA'</t>
  </si>
  <si>
    <t>IT03636180279</t>
  </si>
  <si>
    <t>E' stata fatta una ricerca di mercato  per la predisposizione e la stampa dei 2 Roll-up e la predisosizione dei gadget (250 penne a sfera in cartoncino riciclato) verificando anche la possibilit� di ordine online. In particolare la ricerca si � orientata sui seguenti fornitori: GADGETZONE, PIXARTPRINTING, GADGETZILLA, MINIMEGAPRINT, CRECOMPUBBLICITA'. 
CRECOM PUBBLICITA' sono risultati i migliori anche per i tempi di consegna e la possibilit� di verifica dei materiali; l'economicit� della produzione delle penne compensa il costo della stampa dei Roll-up</t>
  </si>
  <si>
    <t>2024-03-10T16:06:28.422+01:00</t>
  </si>
  <si>
    <t>stand espositivo Fiera AQUAFARM</t>
  </si>
  <si>
    <t>PREVENTIVO ACCETTATO</t>
  </si>
  <si>
    <t>PORDENONE FIERE SPA</t>
  </si>
  <si>
    <t>IT00076940931</t>
  </si>
  <si>
    <t>al fine di dare maggior diffusione del progetto con il Comitato di coordinamento si � scelto la partecipazione a due Fiere, entrambe a PORDENONE SPA, quale AQUAFARM, svoltasi il 14 e 15 febbraio, e NOVELFARM, prevista il 20 e 21 marzo</t>
  </si>
  <si>
    <t>2024-03-15T12:49:16.741+01:00</t>
  </si>
  <si>
    <t>Stand espositivo Fiera NOVELFARM</t>
  </si>
  <si>
    <t>al fine di dare maggior diffusione del progetto con il Comitato di coordinamento si � scelto la partecipazione a due Fiere, entrambe di PORDENONE FIERE SPA, quale AQUAFARM, svoltasi il 14 e 15 febbraio, e NOVELFARM, prevista il 20 e 21 marzo</t>
  </si>
  <si>
    <t>2024-03-29T09:31:57.295+01:00</t>
  </si>
  <si>
    <t>Fornitura Multimedia Displayer</t>
  </si>
  <si>
    <t>RDO 3777517</t>
  </si>
  <si>
    <t>Fornitura</t>
  </si>
  <si>
    <t>CARTO COPY SERVICE s.r.l.</t>
  </si>
  <si>
    <t>04864781002</t>
  </si>
  <si>
    <t>RDO 3777517-CARTO COPY SERVICE  s.r.l. - Fornitura di DISPLAY 43� Digital android battery (attrezzatura scientifica)</t>
  </si>
  <si>
    <t>2024-03-29T09:29:12.501+01:00</t>
  </si>
  <si>
    <t>Fornitura Teloni Impianto pilota</t>
  </si>
  <si>
    <t>2098</t>
  </si>
  <si>
    <t>EMMEBI ENGINEERING SOLUTIONsrl</t>
  </si>
  <si>
    <t>01784390260</t>
  </si>
  <si>
    <t>Fornitura Teloni per efficientamento energetico impianto pilota (attrezzatura tematica)</t>
  </si>
  <si>
    <t>2024-03-29T16:59:23.599+01:00</t>
  </si>
  <si>
    <t>coffee break KOM</t>
  </si>
  <si>
    <t>accettazione preventivo</t>
  </si>
  <si>
    <t>gastronomia san marco snc</t>
  </si>
  <si>
    <t>IT01295970931</t>
  </si>
  <si>
    <t>2024-03-29T16:59:32.954+01:00</t>
  </si>
  <si>
    <t>relatore KOM_monitoraggio parametri</t>
  </si>
  <si>
    <t>lettera di incarico</t>
  </si>
  <si>
    <t>innovation machine srl</t>
  </si>
  <si>
    <t>IT01884660935</t>
  </si>
  <si>
    <t>2024-03-29T16:59:40.329+01:00</t>
  </si>
  <si>
    <t>relatore KOM piano colturale</t>
  </si>
  <si>
    <t>evoluzione ambiente</t>
  </si>
  <si>
    <t>IT04423480260</t>
  </si>
  <si>
    <t>2024-03-29T17:01:56.308+01:00</t>
  </si>
  <si>
    <t>stampe per kick off</t>
  </si>
  <si>
    <t>copy art srl</t>
  </si>
  <si>
    <t>IT01403020934</t>
  </si>
  <si>
    <t>2024-03-28T14:26:10.986+01:00</t>
  </si>
  <si>
    <t xml:space="preserve">Contratto Della Paolera </t>
  </si>
  <si>
    <t>Contratto lavoro a t. indet.</t>
  </si>
  <si>
    <t xml:space="preserve">Della Paolera Sara </t>
  </si>
  <si>
    <t xml:space="preserve">non presente </t>
  </si>
  <si>
    <t>2024-04-03T10:12:37.333+02:00</t>
  </si>
  <si>
    <t>CONTRATTO CARE MANAGER</t>
  </si>
  <si>
    <t>Prot. 2421</t>
  </si>
  <si>
    <t>SERVIZI</t>
  </si>
  <si>
    <t>CHIARA PERAZZOLO</t>
  </si>
  <si>
    <t>04806890275</t>
  </si>
  <si>
    <t>2024-04-02T16:04:06.797+02:00</t>
  </si>
  <si>
    <t>Contratto per il Supporto Tecnico al management progettuale</t>
  </si>
  <si>
    <t>Servizi</t>
  </si>
  <si>
    <t>Euroservis S.r.l.</t>
  </si>
  <si>
    <t>01067440326</t>
  </si>
  <si>
    <t>2024-03-27T14:04:44.652+01:00</t>
  </si>
  <si>
    <t>Contratto Care manager</t>
  </si>
  <si>
    <t>Murgia Maura</t>
  </si>
  <si>
    <t>12190615005</t>
  </si>
  <si>
    <t>2024-03-27T14:43:14.718+01:00</t>
  </si>
  <si>
    <t>Traduzioni ed interpretariato - Incontri tra partner e conferenze stampa</t>
  </si>
  <si>
    <t>Cotic Ingrid</t>
  </si>
  <si>
    <t>01047000318</t>
  </si>
  <si>
    <t>Servizio di interpretariato in occasione del Kick off meeting in data 07/11/2023</t>
  </si>
  <si>
    <t>2024-04-03T11:29:03.191+02:00</t>
  </si>
  <si>
    <t>Contratto Project manager</t>
  </si>
  <si>
    <t>Lanfranconi Azzurra</t>
  </si>
  <si>
    <t>01914160930</t>
  </si>
  <si>
    <t>2024-03-18T11:28:03.722+01:00</t>
  </si>
  <si>
    <t>Dobava racunalni�ke opreme projekta E-NAT2CARE</t>
  </si>
  <si>
    <t>712/2023</t>
  </si>
  <si>
    <t>blago</t>
  </si>
  <si>
    <t>RUBIKON d.o.o.</t>
  </si>
  <si>
    <t>93508638</t>
  </si>
  <si>
    <t>2024-03-18T11:37:32.948+01:00</t>
  </si>
  <si>
    <t>Povabilo k oddaji ponudbe</t>
  </si>
  <si>
    <t>805/2023</t>
  </si>
  <si>
    <t>Kristina Prelec s.p.</t>
  </si>
  <si>
    <t>22919821</t>
  </si>
  <si>
    <t>2024-03-14T13:32:08.87+01:00</t>
  </si>
  <si>
    <t>Pogostitev (kosilo) v okviru 1. projektnega sestanka</t>
  </si>
  <si>
    <t>DMNM d.o.o.</t>
  </si>
  <si>
    <t>SI64904245</t>
  </si>
  <si>
    <t>2024-03-14T14:16:04.474+01:00</t>
  </si>
  <si>
    <t>Pogostitev (coffee break) v okviru 1. projektnega sestanka</t>
  </si>
  <si>
    <t>Durmi�i Eran s.p.</t>
  </si>
  <si>
    <t>SI54795672</t>
  </si>
  <si>
    <t>2024-03-14T14:18:14.268+01:00</t>
  </si>
  <si>
    <t>Najem dvorane-uvodna konferenca</t>
  </si>
  <si>
    <t>SREDI�CE ROTUNDA, Koper, so.p.</t>
  </si>
  <si>
    <t>SI90089774</t>
  </si>
  <si>
    <t>2024-03-14T14:19:49.868+01:00</t>
  </si>
  <si>
    <t>simultano prevajanje-uvodna konferenca</t>
  </si>
  <si>
    <t>COTIC INGRID</t>
  </si>
  <si>
    <t>P.IVA 01047000318</t>
  </si>
  <si>
    <t>2024-03-14T14:21:09.039+01:00</t>
  </si>
  <si>
    <t>Simultano prevajanje-uvodna konferenca</t>
  </si>
  <si>
    <t>2024-03-14T14:23:35.336+01:00</t>
  </si>
  <si>
    <t>Moderator-uvodna konferenca</t>
  </si>
  <si>
    <t>LARA PIRC S.P.</t>
  </si>
  <si>
    <t>80969216</t>
  </si>
  <si>
    <t>2024-03-14T14:26:29.448+01:00</t>
  </si>
  <si>
    <t>Catering-uvodna konferenca</t>
  </si>
  <si>
    <t>ANA KOVACIC SRBLIN S.P</t>
  </si>
  <si>
    <t>SI17555639</t>
  </si>
  <si>
    <t>2024-03-14T14:29:01.689+01:00</t>
  </si>
  <si>
    <t>Roll-up pano</t>
  </si>
  <si>
    <t>COLORPRINT DAVOR STEPANCIC S.P</t>
  </si>
  <si>
    <t>19514573</t>
  </si>
  <si>
    <t>2024-03-14T14:31:16.506+01:00</t>
  </si>
  <si>
    <t>Promocijski material-USB kljucki</t>
  </si>
  <si>
    <t>MEDIATIS d.o.o</t>
  </si>
  <si>
    <t>SI92418821</t>
  </si>
  <si>
    <t>2024-03-26T10:29:54.98+01:00</t>
  </si>
  <si>
    <t>Contratto per il conferimento di un assegno per lo svogimento di attivit� di ricerca dal titolo "Adattamento ai cambiamenti climatici e prevenzione del rischio di catastrofi nelle aree costiere basati sugli ecosistemi", nell'ambito del progetto "ECO2SMART". Resp. scientifico: Alessandro Manzardo</t>
  </si>
  <si>
    <t>Rep. n. 27/2024 del 17/01/2024</t>
  </si>
  <si>
    <t>Assegno di ricerca L.240/2010</t>
  </si>
  <si>
    <t>Rosa Alessandro</t>
  </si>
  <si>
    <t>L' "Importo contratto" indica il costo Lordo ente dell'Assegno di ricerca.
Il contratto si svolge nel periodo 01/02/2024 - 31/01/2025.
Il pagamento dell'assegno � posticipato rispetto alla mensilit� di competenza.</t>
  </si>
  <si>
    <t>2024-03-22T12:45:15.758+01:00</t>
  </si>
  <si>
    <t>EVENTO PROMOZIONALE DEL PROGETTO IL 17 DICEMBRE 2023 NEL CENTRO VISITE DELLA RISERVA NATURALE DELLA VAL ROSANDRA.</t>
  </si>
  <si>
    <t>LA CUCINA DI MONICA E GIULIANO</t>
  </si>
  <si>
    <t>01291150322</t>
  </si>
  <si>
    <t>2024-03-15T13:08:43.777+01:00</t>
  </si>
  <si>
    <t xml:space="preserve">Postre�ba na kick-off srecanju </t>
  </si>
  <si>
    <t>690/2023</t>
  </si>
  <si>
    <t>Narocilnica - storitev</t>
  </si>
  <si>
    <t>Admiral d.o.o.</t>
  </si>
  <si>
    <t>42528836</t>
  </si>
  <si>
    <t>2024-03-15T13:09:00.317+01:00</t>
  </si>
  <si>
    <t>Blago za pogostitve na dogodkih projekta</t>
  </si>
  <si>
    <t>686/2023</t>
  </si>
  <si>
    <t>Narocilnica - blago</t>
  </si>
  <si>
    <t>Engrotu� d.o.o.</t>
  </si>
  <si>
    <t>87927497</t>
  </si>
  <si>
    <t>2024-03-22T15:19:57.843+01:00</t>
  </si>
  <si>
    <t>Izdelava popisa del za obnovo kala Mrzlek</t>
  </si>
  <si>
    <t>713/2023</t>
  </si>
  <si>
    <t>GPS Se�ana d.o.o.</t>
  </si>
  <si>
    <t>57661324</t>
  </si>
  <si>
    <t>2024-03-22T15:20:56.371+01:00</t>
  </si>
  <si>
    <t>Pisarni�ki material za izvajanje delavnic projekta</t>
  </si>
  <si>
    <t>760/2023</t>
  </si>
  <si>
    <t>Deltakom, Du�an Vucak s.p.</t>
  </si>
  <si>
    <t>46248242</t>
  </si>
  <si>
    <t>2024-03-22T15:21:53.832+01:00</t>
  </si>
  <si>
    <t>Dobava racunalni�ke opreme</t>
  </si>
  <si>
    <t>701/2023</t>
  </si>
  <si>
    <t>Rubikon d.o.o.</t>
  </si>
  <si>
    <t>2024-03-22T15:24:29.702+01:00</t>
  </si>
  <si>
    <t>Obnova kala Mrzlek</t>
  </si>
  <si>
    <t>5201-0024/2023-12</t>
  </si>
  <si>
    <t>Pogodba - storitev</t>
  </si>
  <si>
    <t>Jure �tanta s.p.</t>
  </si>
  <si>
    <t>88892280</t>
  </si>
  <si>
    <t>2024-03-20T10:25:28.757+01:00</t>
  </si>
  <si>
    <t xml:space="preserve">Contratto individuale di lavoro a tempo indeterminato </t>
  </si>
  <si>
    <t>1998-01-19</t>
  </si>
  <si>
    <t xml:space="preserve"> tempo indeterminato </t>
  </si>
  <si>
    <t>CARLA CEDOLINI</t>
  </si>
  <si>
    <t xml:space="preserve">DIPENDENTE ASUFC SENZA P IVA </t>
  </si>
  <si>
    <t>2024-03-20T15:30:16.843+01:00</t>
  </si>
  <si>
    <t>roll-up</t>
  </si>
  <si>
    <t>2024-03-05T09:43:42.79+01:00</t>
  </si>
  <si>
    <t>Servizio di supporto amministrativo del LP e del Management Team progettuale del progetto Italia-Slovenia �IRRIGAVIT�.</t>
  </si>
  <si>
    <t>BO_DG1286385</t>
  </si>
  <si>
    <t>Affidamento fornitura servizi</t>
  </si>
  <si>
    <t>T&amp;B Associati</t>
  </si>
  <si>
    <t>2024-03-06T10:53:27.305+01:00</t>
  </si>
  <si>
    <t>Indagine di mercato per affidamento diretto art. 50 c. 1 lett. b del D.Lgs. 36/2023 (Codice degli appalti), di un servizio di supporto tecnico/gestionale e di comunicazione specialistica del progetto INTERREG VI-A It-Slo �IRRIGAVIT</t>
  </si>
  <si>
    <t>BO:DG1261090</t>
  </si>
  <si>
    <t>Affidamento di servizio</t>
  </si>
  <si>
    <t>Lettera B di P. Muzlovic sas</t>
  </si>
  <si>
    <t>02926660305</t>
  </si>
  <si>
    <t>2023-11-22T17:59:32.76+01:00</t>
  </si>
  <si>
    <t xml:space="preserve">Avviso pubblico di selezione per il conferimento di un incarico, ai sensi dell�art. 7, comma 6 del D.Lgs. n. 165/2001, per l�attivit� di consulenza e sviluppo di attivit� in materia di sviluppo delle strategie di comunicazione, promozione congiunta ed educazione del prodotto turistico </t>
  </si>
  <si>
    <t xml:space="preserve">Cont. di prestazione d'opera </t>
  </si>
  <si>
    <t>Milic Enrico Maria</t>
  </si>
  <si>
    <t>01276110325</t>
  </si>
  <si>
    <t>2023-12-01T15:31:13.534+01:00</t>
  </si>
  <si>
    <t xml:space="preserve">Pogostitev na tiskovni konferenci v okviru Festival kra�ka gmajna 2023 v sklopu projekta KRAS-CARSO II </t>
  </si>
  <si>
    <t>T_2023_111</t>
  </si>
  <si>
    <t>2023-04-17</t>
  </si>
  <si>
    <t>Storitev</t>
  </si>
  <si>
    <t>Ljubi�a Smiljanic s.p.</t>
  </si>
  <si>
    <t>80106790</t>
  </si>
  <si>
    <t>2023-12-01T15:28:01.804+01:00</t>
  </si>
  <si>
    <t xml:space="preserve">Prevod besedila dogodka Praznik v Vilenici </t>
  </si>
  <si>
    <t>T_2023_108</t>
  </si>
  <si>
    <t>2023-04-15</t>
  </si>
  <si>
    <t>Magnolia, Peter Senizza s.p.</t>
  </si>
  <si>
    <t xml:space="preserve"> SI47823844</t>
  </si>
  <si>
    <t>2023-11-28T09:51:03.92+01:00</t>
  </si>
  <si>
    <t>Tisk letaka praznik v Vilenici</t>
  </si>
  <si>
    <t>T_2023_110</t>
  </si>
  <si>
    <t xml:space="preserve">Storitev </t>
  </si>
  <si>
    <t>DTP studio, Damijan Ceh s.p.</t>
  </si>
  <si>
    <t>SI84548657</t>
  </si>
  <si>
    <t>2023-12-01T15:34:08.236+01:00</t>
  </si>
  <si>
    <t xml:space="preserve">Simultano tolmacenje in najem opreme na Kick-off meetingu projekta KRAS-CARSO II </t>
  </si>
  <si>
    <t>T_2023_177</t>
  </si>
  <si>
    <t>2023-12-01T15:35:49.333+01:00</t>
  </si>
  <si>
    <t xml:space="preserve">Prevod programa in objav za Festival kra�ka gmajna 2023 </t>
  </si>
  <si>
    <t>T_2023_109</t>
  </si>
  <si>
    <t>Rok Furlan s.p.</t>
  </si>
  <si>
    <t>26070995</t>
  </si>
  <si>
    <t>2023-11-28T09:53:15.983+01:00</t>
  </si>
  <si>
    <t>Tisk letaka praznik v Vilenici (naklada: 200 kom)</t>
  </si>
  <si>
    <t>T_2023-115</t>
  </si>
  <si>
    <t>DTP studio, Damijan Ceh s.p</t>
  </si>
  <si>
    <t>2023-12-01T15:43:02.922+01:00</t>
  </si>
  <si>
    <t>Nakup opreme - racunalnika Lenovo</t>
  </si>
  <si>
    <t>T_2023_130</t>
  </si>
  <si>
    <t xml:space="preserve">Dobava opreme </t>
  </si>
  <si>
    <t>SeTeh d.o.o.</t>
  </si>
  <si>
    <t>SI54706238</t>
  </si>
  <si>
    <t>2023-12-01T15:44:21.34+01:00</t>
  </si>
  <si>
    <t xml:space="preserve">1/2 strani oglasa in 1/2 strani PR clanka v reviji Demokracija </t>
  </si>
  <si>
    <t>T_2023-114</t>
  </si>
  <si>
    <t>Nova obzorja d.o.o.</t>
  </si>
  <si>
    <t>SI59695668</t>
  </si>
  <si>
    <t>2023-11-28T10:14:17.983+01:00</t>
  </si>
  <si>
    <t xml:space="preserve">Prevod in opravljena lektura besedila v italijanski jezik v okviru dogodka Praznik v Vilenici </t>
  </si>
  <si>
    <t>T_2023-92</t>
  </si>
  <si>
    <t>Prevaj. agencija Julija d.o.o.</t>
  </si>
  <si>
    <t>SI49897900</t>
  </si>
  <si>
    <t>2023-11-28T09:57:11.81+01:00</t>
  </si>
  <si>
    <t>Pogostitev na dogodku: Pogovorni vecer o jamarstvu na Krasu skozi cas (v sklopu dogodka Praznik v Vilenici)</t>
  </si>
  <si>
    <t>T_2023-136</t>
  </si>
  <si>
    <t>2023-12-01T15:55:51.955+01:00</t>
  </si>
  <si>
    <t xml:space="preserve">Graficno oblikovanje v okviru Praznika v Vilenici </t>
  </si>
  <si>
    <t>T_2023-155</t>
  </si>
  <si>
    <t xml:space="preserve">Meta Bajc s.p. </t>
  </si>
  <si>
    <t>35454229</t>
  </si>
  <si>
    <t>2023-11-28T09:58:45.088+01:00</t>
  </si>
  <si>
    <t>Prevozi na zahtevo (najem 1 kombija) v soboto, 20. 5. 2023, v okviru Praznika v Vilenici</t>
  </si>
  <si>
    <t>T_2023-153</t>
  </si>
  <si>
    <t>PeTiKa Peter Cesnik s.p.</t>
  </si>
  <si>
    <t>SI60525827</t>
  </si>
  <si>
    <t>2023-11-28T09:59:20.128+01:00</t>
  </si>
  <si>
    <t xml:space="preserve">Izvedba glasbenega nastopa, v soboto, 20. 5. 2023, med 14. uro in 17. uro (Tinkara Kovac, Stefano Bembi, Toma� Nedoh) v sklopu dogodka Praznik v Vilenici. </t>
  </si>
  <si>
    <t>T_2023-157</t>
  </si>
  <si>
    <t xml:space="preserve">Toma� Nedoh s.p. </t>
  </si>
  <si>
    <t>26218119</t>
  </si>
  <si>
    <t>2023-11-28T10:00:13.367+01:00</t>
  </si>
  <si>
    <t>Fotografije in postavitev razstave v sklopu dogodka Praznik v Vilenici.</t>
  </si>
  <si>
    <t>T_2023-156</t>
  </si>
  <si>
    <t>TriDe, Peter Gedei s.p.</t>
  </si>
  <si>
    <t>45881324</t>
  </si>
  <si>
    <t>2023-11-28T10:01:04.203+01:00</t>
  </si>
  <si>
    <t xml:space="preserve">Snemanje in monta�a kraj�ega videa v soboto, 20. 5. 2023 v sklopu dogodka Praznika v Vilenici. </t>
  </si>
  <si>
    <t>T_2023-163</t>
  </si>
  <si>
    <t>2023-05-19</t>
  </si>
  <si>
    <t>Alen Franetic s.p.</t>
  </si>
  <si>
    <t>SI72789930</t>
  </si>
  <si>
    <t>2023-11-28T10:02:10.429+01:00</t>
  </si>
  <si>
    <t xml:space="preserve">Fotografiranje dne 12.5.2023 in dne 20.5.2023 - Praznik v Vilenici </t>
  </si>
  <si>
    <t>T_2023-159</t>
  </si>
  <si>
    <t xml:space="preserve">Ana Rojc s.p. </t>
  </si>
  <si>
    <t>83368388</t>
  </si>
  <si>
    <t>2023-11-28T10:02:53.604+01:00</t>
  </si>
  <si>
    <t xml:space="preserve">Delo reditelja (4 osebe) v okviru dogodka Praznika v Vilenici, v soboto, 20. 5. 2023, med 8. uro in 17. uro. </t>
  </si>
  <si>
    <t>T_2023-154</t>
  </si>
  <si>
    <t>Mladins. dru�tvo Lokev-Prelo�e</t>
  </si>
  <si>
    <t>40592812</t>
  </si>
  <si>
    <t>2023-11-28T10:03:53.553+01:00</t>
  </si>
  <si>
    <t xml:space="preserve">Oprema (smetnjaki) in odvoz odpadkov v sklopu dogodka Praznik v Vilenici dne 20. 5. 2023. </t>
  </si>
  <si>
    <t>T_2023-158</t>
  </si>
  <si>
    <t xml:space="preserve">Komunala Se�ana d.d. </t>
  </si>
  <si>
    <t>SI77266595</t>
  </si>
  <si>
    <t>2023-11-28T10:04:27.365+01:00</t>
  </si>
  <si>
    <t>Priprava dela prireditvenega prostora (parkiri�ce), v soboto, 20. 5. 2023 v sklopu dogodka Praznik v Vilenici, v sklopu projekta KRAS CARSO II</t>
  </si>
  <si>
    <t>T_2023-127</t>
  </si>
  <si>
    <t xml:space="preserve">Jamarsko dru�tvo Se�ana </t>
  </si>
  <si>
    <t>28000196</t>
  </si>
  <si>
    <t>2023-11-28T10:04:44.423+01:00</t>
  </si>
  <si>
    <t>Vodenje v jami Vilenici v soboto, 20. 5. 2023, med 12. uro in 17. uro v sklopu dogodka Praznik v Vilenici, v sklopu projekta KRAS CARSO II</t>
  </si>
  <si>
    <t>T_2023-126</t>
  </si>
  <si>
    <t>2023-12-04T10:48:27.499+01:00</t>
  </si>
  <si>
    <t>Project management</t>
  </si>
  <si>
    <t>1369</t>
  </si>
  <si>
    <t>RTI T&amp;B Ass.ti-DGR Consulting</t>
  </si>
  <si>
    <t>2023-12-04T10:48:13.119+01:00</t>
  </si>
  <si>
    <t>pernotto durante educational</t>
  </si>
  <si>
    <t>1397</t>
  </si>
  <si>
    <t>Hotel Urban srl</t>
  </si>
  <si>
    <t>03566260273</t>
  </si>
  <si>
    <t>2023-12-04T10:52:45.41+01:00</t>
  </si>
  <si>
    <t>visita guidata durante educational</t>
  </si>
  <si>
    <t>Viezzoli Sabina</t>
  </si>
  <si>
    <t>01305540328</t>
  </si>
  <si>
    <t>2023-12-04T10:54:27.192+01:00</t>
  </si>
  <si>
    <t>servizio transfer durante educational</t>
  </si>
  <si>
    <t>Davide Gianolla</t>
  </si>
  <si>
    <t>01202980320</t>
  </si>
  <si>
    <t>2024-02-15T10:10:40.13+01:00</t>
  </si>
  <si>
    <t>Spese con carta di credito educational</t>
  </si>
  <si>
    <t>Nexi payments</t>
  </si>
  <si>
    <t>10542790968</t>
  </si>
  <si>
    <t>2024-03-29T13:31:15.508+01:00</t>
  </si>
  <si>
    <t xml:space="preserve">Rilievi e progettazione Orto-Giardino - Manutenzione straordinaria -Lavorazione terreno per realizzazione orto giardino - lavorazione vialetto - messa in opera bordure - impianto di irrigazione </t>
  </si>
  <si>
    <t>affidamento di incarico</t>
  </si>
  <si>
    <t>Marinotto Daniele</t>
  </si>
  <si>
    <t>02002120307</t>
  </si>
  <si>
    <t>La realizzazione del giardino Mediterraneo � stat affidata all'Impresa di giardinaggio Marinotto Daniele. Per giungere a questo affidamento sono stati cosiderati diversi parametri: 1) unico GIARDINIERE CERTIFICATO SCUOLA AGRARIA DI MONZA MAESTRO ARTIGIANO ISCRITTO ALLA CCIAA DI UDINE 2) ADERENTE AL MARCHIO � GIARDINIERE BIOETICO �, 3)formatore accreditato presso CEFAP (Centro Formazione Professionale nel settore Agricolo)  e ENAIP FVG (Ente Acli di istruzione professionale del Friuli Venezia Giulia), 4) la conoscenza diretta del titolare dell'impresa. Nella sua attivit� di docenza ha tenuto corsi sul verde istituiti dai centri accreditati, sopra riportati, per la formazione di persone portatrici di disabilit�. Viste le competenze di Daniele Marinotto e tenuto conto delle caratteristiche dell'Azienda Il Giardino del Chiostro che sono: 1) azienda biologica certificata ad alto contenuto di biodiversit�, 2) fattoria didattica e sociale tale che accoglie Tirocini Inclusivi (persone portatrici di disabilit� inviate dal Centro di Salute Mentale di Cividale).</t>
  </si>
  <si>
    <t>2024-03-15T01:22:52.34+01:00</t>
  </si>
  <si>
    <t>Izbran je bil najugodnej�i ponudnik</t>
  </si>
  <si>
    <t>2024-03-27T10:03:56.567+01:00</t>
  </si>
  <si>
    <t>Dobava plovila</t>
  </si>
  <si>
    <t>Dobava</t>
  </si>
  <si>
    <t>Delta team d.o.o. Kr�ko</t>
  </si>
  <si>
    <t>SI55675620</t>
  </si>
  <si>
    <t xml:space="preserve">Tematska oprema (plovilo) za nadzor v morskem delu parka. Prispevek k pilotni akciji A 3.4. in koncni rezultat D 3.4.2. Pri nakupu je pri�lo do manj�ega odstopanja, saj izdatka nismo mogli preknji�iti na stro�kovno mesto projekta. Obrazlo�itev je utemeljena v uradnem zaznamku (Priloga: POSEIDONE_PP10_uradni zaznamek_plovilo), kjer je prikazana tudi knji�ba izdatka. </t>
  </si>
  <si>
    <t>2024-03-22T17:00:51.286+01:00</t>
  </si>
  <si>
    <t>Fornitura, installazione e verifica di funzionamento di stazioni di monitoraggio. Progetto Interreg Italia-Slovenia 2021/2027 "POSEIDONE".</t>
  </si>
  <si>
    <t>PROC. N.G01951  CIG A02AF37C5D</t>
  </si>
  <si>
    <t>Contratto d'Appalto</t>
  </si>
  <si>
    <t>Tecnopenta S.r.l.</t>
  </si>
  <si>
    <t>01192110268</t>
  </si>
  <si>
    <t>2023-11-10T12:37:58.792+01:00</t>
  </si>
  <si>
    <t>Servizio di traduzione (Kick of Meeting &amp; I  Steering Committee 12 giugno 23)</t>
  </si>
  <si>
    <t>Ordine Prot. n. 96/23/CE23</t>
  </si>
  <si>
    <t>Ingrid Cotic</t>
  </si>
  <si>
    <t>IT01047000318</t>
  </si>
  <si>
    <t>2023-11-10T12:32:20.966+01:00</t>
  </si>
  <si>
    <t>Servizio catering (Kick of Meeting &amp; I  Steering Committee 12 giugno 23)</t>
  </si>
  <si>
    <t>Ordine Prot. n. 97/23/AR02</t>
  </si>
  <si>
    <t xml:space="preserve">RISTOSYSTEM S.A.S. </t>
  </si>
  <si>
    <t>IT03933120283</t>
  </si>
  <si>
    <t>2024-03-14T16:01:21.576+01:00</t>
  </si>
  <si>
    <t>Traduzione dall'inglese allo sloveno di documenti per la diffusione</t>
  </si>
  <si>
    <t>38/23/CE23 Prot.n 190/23/CE23</t>
  </si>
  <si>
    <t>Ordine di servizio</t>
  </si>
  <si>
    <t xml:space="preserve">Lingo-prevajalska agencija </t>
  </si>
  <si>
    <t>SI78643287</t>
  </si>
  <si>
    <t>2024-03-25T12:50:32.769+01:00</t>
  </si>
  <si>
    <t>Accordo di collaborazione per l'esecuzione delle attivit� del Progetto POSEIDONE IUAV VENEZIA</t>
  </si>
  <si>
    <t xml:space="preserve"> Prot 11/23/CE2023</t>
  </si>
  <si>
    <t xml:space="preserve">Accordo  </t>
  </si>
  <si>
    <t>Universit� IUAV di Venezia</t>
  </si>
  <si>
    <t>n.a</t>
  </si>
  <si>
    <t xml:space="preserve">il presente accordo ricade nell�ambito �Public contracts between pubblic bodies� ai sensi dell�art. 12 della Direttiva 2014/24/EU cos� come espressamente previsto nell�INTERREG VI-A Italia � Slovenia 2021-2027 �Manuale di Programma sull�ammissibilit� delle spese� </t>
  </si>
  <si>
    <t>2024-03-25T12:50:42.86+01:00</t>
  </si>
  <si>
    <t>Accordo  per l'esecuzione delle attivit� del Progetto POSEIDONE CNR ISMAR</t>
  </si>
  <si>
    <t>Prot 13/23/AC_CE23</t>
  </si>
  <si>
    <t xml:space="preserve">Accordo di collaborazione </t>
  </si>
  <si>
    <t>CNR ISMAR</t>
  </si>
  <si>
    <t>2023-12-04T16:14:58.944+01:00</t>
  </si>
  <si>
    <t>Investicija "Poglabljanje sekundarnih kanalov ter ureditve habitatov v brakicni laguni Naravnega rezervata �kocjanski zatok</t>
  </si>
  <si>
    <t>00 003343-223025</t>
  </si>
  <si>
    <t>Annex st. 1, dated 24.2.2023</t>
  </si>
  <si>
    <t>VGP Drava Ptuj d.o.o.</t>
  </si>
  <si>
    <t>SI15415937</t>
  </si>
  <si>
    <t>2023-12-04T17:56:04.421+01:00</t>
  </si>
  <si>
    <t>Izdelava pravnega mnenja glede mo�nosti sklenitve aneksa h gradbeni pogodbi</t>
  </si>
  <si>
    <t>SI00 202391</t>
  </si>
  <si>
    <t>Racun �t. 2023-91</t>
  </si>
  <si>
    <t xml:space="preserve">Odv.dru�. Mihelj,Barbic in P. </t>
  </si>
  <si>
    <t>SI24357812</t>
  </si>
  <si>
    <t>Racun je bil izdan za pravno mnenje glede mo�nosti sklenitve aneksa h gradbeni pogodbi, sklenjeni v sklopu javnega razpisa "Poglabljanje sekundarnih kanalov ter ureditev habitatov v brakicni laguni Naravnega rezervata �kocjanski zatok" zaradi povecanja kolicin in novega (so)financerja.</t>
  </si>
  <si>
    <t>2023-12-03T23:49:59.106+01:00</t>
  </si>
  <si>
    <t>Sistem avtomatiziranega svetlobnega mikroskopa z digitalno kamero in stereomikroskopa z digitalno kamero za morfolo�ko identifikacijo �u�elk</t>
  </si>
  <si>
    <t>JN-25295</t>
  </si>
  <si>
    <t>2023-06-07</t>
  </si>
  <si>
    <t>Pogodba o dobavi opreme</t>
  </si>
  <si>
    <t>MIKRO+POLO d.o.o.</t>
  </si>
  <si>
    <t>SI68338309</t>
  </si>
  <si>
    <t>2023-11-29T12:02:06.139+01:00</t>
  </si>
  <si>
    <t>Ordine di richiesta di servizio di traduzione. Progetto Poseidone. CUP H81G23000030007. Accordo tra Regione del Veneto e Partenariato � Summer School (Deliverable 2.1.1).</t>
  </si>
  <si>
    <t>Servizio</t>
  </si>
  <si>
    <t>Arkadia Translations SRL</t>
  </si>
  <si>
    <t>02717560169</t>
  </si>
  <si>
    <t>Incarico per la traduzione del deliverable d_211_AGREEMENT SUMMER SCHOOL</t>
  </si>
  <si>
    <t>2024-03-28T11:23:42.943+01:00</t>
  </si>
  <si>
    <t>Obnova ka�ete</t>
  </si>
  <si>
    <t>JN_1_Investicija_RP2</t>
  </si>
  <si>
    <t>2023-09-06</t>
  </si>
  <si>
    <t>Pogodba o izvedbi storitve</t>
  </si>
  <si>
    <t>Zavod Suhi zid</t>
  </si>
  <si>
    <t>SI71669647</t>
  </si>
  <si>
    <t>2024-03-28T11:24:25.462+01:00</t>
  </si>
  <si>
    <t>Pogostitev - podvodna cistilna akcija</t>
  </si>
  <si>
    <t>JN_2_Zunanji izvajalec_RP2</t>
  </si>
  <si>
    <t>Sandi Cek s.p.</t>
  </si>
  <si>
    <t>SI90550056</t>
  </si>
  <si>
    <t>2024-03-28T11:27:03.259+01:00</t>
  </si>
  <si>
    <t>Komunikacijsko gradivo - podvodna cistilna akcija</t>
  </si>
  <si>
    <t>JN_3_Zunanji izvajalec_RP2</t>
  </si>
  <si>
    <t>Geaart d.o.o.</t>
  </si>
  <si>
    <t>SI95649484</t>
  </si>
  <si>
    <t>2024-03-28T11:27:14.018+01:00</t>
  </si>
  <si>
    <t>Pogostitev - delavnica suhogradnje</t>
  </si>
  <si>
    <t>JN_4_Zunanji izvajalec_RP2</t>
  </si>
  <si>
    <t>Trijumf d.o.o.</t>
  </si>
  <si>
    <t>SI16347854</t>
  </si>
  <si>
    <t>2024-03-28T11:31:05.217+01:00</t>
  </si>
  <si>
    <t>Izvedba - delavnica suhogradnje</t>
  </si>
  <si>
    <t>JN_5_zunanji izvajalec_RP2</t>
  </si>
  <si>
    <t>2024-03-28T12:31:27.439+01:00</t>
  </si>
  <si>
    <t>Nakup �tevci obiskovalcev</t>
  </si>
  <si>
    <t>JN_6_Zunanji izvajalec_RP2</t>
  </si>
  <si>
    <t>Zavod GNP</t>
  </si>
  <si>
    <t>SI70407355</t>
  </si>
  <si>
    <t>2023-11-23T13:15:49.056+01:00</t>
  </si>
  <si>
    <t>SERVIZIO DI ASSISTENZA TECNICA E FINANZIARIA NELL'AMBITO DEL PROGETTO "POSEIDONE" INTERREG VI-A ITA-SLO 2021-2027 (CUP: G21G23000040007 - CIG: ZBA3A9BF00)</t>
  </si>
  <si>
    <t>CONTRATTO DI SERVIZIO</t>
  </si>
  <si>
    <t>EUROSERVIS SRL</t>
  </si>
  <si>
    <t>01067440329</t>
  </si>
  <si>
    <t xml:space="preserve">Il contratto � in essere per tutta la durata del progetto e si procede per tranche di pagamento per periodi. </t>
  </si>
  <si>
    <t>2024-03-13T12:02:08.649+01:00</t>
  </si>
  <si>
    <t xml:space="preserve">REALIZZAZIONE DI UN VIDEO DI PROMOZIONE NELL'AMBITO DEL PROGETTO "POSEIDONE" INTERREG VI-A ITA-SLO 2021-2027 (CUP: G21G23000040007 - CIG: ZE83C1EF4B) </t>
  </si>
  <si>
    <t>prot. n. 32910/P</t>
  </si>
  <si>
    <t>NO REAL INTERACTIVE SRL</t>
  </si>
  <si>
    <t>11926250017</t>
  </si>
  <si>
    <t>Si tratta di un contratto che ha per output un video di promozione del progetto in lingua ITA, ENG, SLO</t>
  </si>
  <si>
    <t>2024-03-13T12:10:32.969+01:00</t>
  </si>
  <si>
    <t xml:space="preserve">ORDINE DI STAMPA DI ROLL-UP DI PROGETTO NELL'AMBITO DEL PROGETTO "POSEIDONE" INTERREG VI-A ITA-SLO 2021-2027 (CUP: G21G23000040007 - CIG: Z4F3ADA4B6) </t>
  </si>
  <si>
    <t>prot. n. 33020/P</t>
  </si>
  <si>
    <t>Servizio e fornitura</t>
  </si>
  <si>
    <t>ARTI GRAFICHE CARDAMONE S.R.L.</t>
  </si>
  <si>
    <t>00411600794</t>
  </si>
  <si>
    <t>Si tratta di un ordine ad un fornitore selezionato in precedenza per la stampa di materiale tipografico e di comunicazione e con il quale � in corso un contratto sottoscritto il 4.07.2023 che si allega in calce all'ordine.</t>
  </si>
  <si>
    <t>2024-03-27T14:03:16.089+01:00</t>
  </si>
  <si>
    <t>Conferimento incarico esperto ornitologo a partita IVA per lo svolgimento di attivit� di monitoraggio dell'avifauna del golfo di Trieste</t>
  </si>
  <si>
    <t>096/2023</t>
  </si>
  <si>
    <t>Incarico professionale P. IVA</t>
  </si>
  <si>
    <t>DAVIDE SCRIDEL</t>
  </si>
  <si>
    <t>IT03075950307</t>
  </si>
  <si>
    <t>2024-03-27T15:19:14.399+01:00</t>
  </si>
  <si>
    <t>Conferimento incarico per lo svolgimento di attivit� di supporto tecnico-scientifico, per lo svolgimento di attivit� di monitoraggio subacqueo e per l'allestimento di filari sperimentali di mitilicoltura e piattaforme galleggianti</t>
  </si>
  <si>
    <t>130/2023</t>
  </si>
  <si>
    <t>Prestazione di servizi</t>
  </si>
  <si>
    <t>SHORELINE SOCIETA' COOPERATIVA</t>
  </si>
  <si>
    <t>2024-03-27T15:46:41.279+01:00</t>
  </si>
  <si>
    <t>Conferimento incarico per lo svolgimento di attivit� consulenza amministrativa, contabile e procedurale per il progetto POSEIDONE</t>
  </si>
  <si>
    <t>123/2023</t>
  </si>
  <si>
    <t>EUREKA PROJECTS SRL sb</t>
  </si>
  <si>
    <t>IT03080260304</t>
  </si>
  <si>
    <t>2024-03-19T13:35:02.811+01:00</t>
  </si>
  <si>
    <t>1763_BENS</t>
  </si>
  <si>
    <t>Racun</t>
  </si>
  <si>
    <t>BENS D.O.O</t>
  </si>
  <si>
    <t>SI96407166</t>
  </si>
  <si>
    <t>2024-03-19T13:40:06.954+01:00</t>
  </si>
  <si>
    <t>1937_NINA NOVAK</t>
  </si>
  <si>
    <t>52/2023</t>
  </si>
  <si>
    <t>NINA NOVAK, LEKTORICA</t>
  </si>
  <si>
    <t>SI28928997</t>
  </si>
  <si>
    <t>2024-03-19T13:46:05.024+01:00</t>
  </si>
  <si>
    <t>2024_TAIA_INT</t>
  </si>
  <si>
    <t>2023-00490</t>
  </si>
  <si>
    <t>TAIA INT, D.O.O.</t>
  </si>
  <si>
    <t>SI70109249</t>
  </si>
  <si>
    <t>2024-03-19T13:48:17.629+01:00</t>
  </si>
  <si>
    <t>2061_NOVAK_NINA</t>
  </si>
  <si>
    <t>2023-12-05</t>
  </si>
  <si>
    <t>2024-04-03T15:48:12.962+02:00</t>
  </si>
  <si>
    <t>Servzio di assistenza tecnica amministrativa e finanziaria e il project management</t>
  </si>
  <si>
    <t>CONFERMA PREVENTIVO</t>
  </si>
  <si>
    <t>In base al MANUALE DI PROGRAMMA  SULL'AMMISSIBILIT� DELLE SPESE   si � proceduto con la controfirma della proposta/offerta economica pervenutaci dalla societ� Euroservis. Non � stata allegata la check list come da indicazioni del MANUALE SULLE VERIFICHE DI GESTIONE E RENDICONTAZIONE PER I BENEFICIARI ITALIANI.</t>
  </si>
  <si>
    <t>2024-04-04T11:04:10.856+02:00</t>
  </si>
  <si>
    <t>Acquisto software per analisi strutturali di dettaglio</t>
  </si>
  <si>
    <t>CRM-7052</t>
  </si>
  <si>
    <t>Offerta firmata</t>
  </si>
  <si>
    <t>CSI Italia S.r.l.</t>
  </si>
  <si>
    <t>01129120935</t>
  </si>
  <si>
    <t>2024-04-04T12:01:58.973+02:00</t>
  </si>
  <si>
    <t>Attivit� di consulenza continuativa per il Progetto PRO-SIS - sviluppo e disseminazione degli algoritmi per il progetto delle innovative strategie di protezione sismica</t>
  </si>
  <si>
    <t>2023-10-07</t>
  </si>
  <si>
    <t>ing. Allen Dudine</t>
  </si>
  <si>
    <t>01201910328</t>
  </si>
  <si>
    <t>2024-03-22T08:17:20.567+01:00</t>
  </si>
  <si>
    <t>Pogodba o zaposlitvi (Matija Gams)</t>
  </si>
  <si>
    <t>PZ Gams</t>
  </si>
  <si>
    <t>2018-12-01</t>
  </si>
  <si>
    <t>Pogodba o zaposlitvei</t>
  </si>
  <si>
    <t>2024-03-21T09:25:38.38+01:00</t>
  </si>
  <si>
    <t>Pogodba o zaposlitvi Danijela Kirna</t>
  </si>
  <si>
    <t>PZ Kirn</t>
  </si>
  <si>
    <t xml:space="preserve">Pogodba o zaposlitvi </t>
  </si>
  <si>
    <t>2024-03-21T09:26:42.195+01:00</t>
  </si>
  <si>
    <t>Pogodba o zaposlitvi Nemanje Krtinica</t>
  </si>
  <si>
    <t>PZ Krtinic</t>
  </si>
  <si>
    <t>2021-08-16</t>
  </si>
  <si>
    <t>2024-03-21T09:29:13.912+01:00</t>
  </si>
  <si>
    <t>Sklep  o delu na projektu GAMS</t>
  </si>
  <si>
    <t>Sklep GAMS</t>
  </si>
  <si>
    <t>Sklep</t>
  </si>
  <si>
    <t>2024-03-21T09:32:10.647+01:00</t>
  </si>
  <si>
    <t>Sklep o delu na projektu KIRN</t>
  </si>
  <si>
    <t>Sklep KIRN</t>
  </si>
  <si>
    <t>2024-03-21T09:31:32.77+01:00</t>
  </si>
  <si>
    <t>Sklep o delu na projektu KRTINIC</t>
  </si>
  <si>
    <t>Sklep KRTINIC</t>
  </si>
  <si>
    <t>2024-03-29T00:33:30.402+01:00</t>
  </si>
  <si>
    <t>Servizio Esterno - Materiali Promozionali WPM (D1.4.1 materiali promozionali)</t>
  </si>
  <si>
    <t>affidamento diretto servizio</t>
  </si>
  <si>
    <t>ART GROUP GRAPHICS S.r.l.</t>
  </si>
  <si>
    <t>01237610322</t>
  </si>
  <si>
    <t>2024-03-29T00:33:46.313+01:00</t>
  </si>
  <si>
    <t xml:space="preserve">Servizio Esterno - Servizi logistici e catering (kick-off meeting 14.11.2023) </t>
  </si>
  <si>
    <t xml:space="preserve">PANIFICIO FOLLADOR </t>
  </si>
  <si>
    <t>IT01376480933</t>
  </si>
  <si>
    <t>2024-03-29T00:41:44.146+01:00</t>
  </si>
  <si>
    <t>Servizio Esterno - Strategia di Comunicazione WPM (D1.4.1)</t>
  </si>
  <si>
    <t>ALEA PRO snc</t>
  </si>
  <si>
    <t>IT01574210934</t>
  </si>
  <si>
    <t>2024-03-29T00:41:56.241+01:00</t>
  </si>
  <si>
    <t>Servizio Esterno - Consulenza e studi tecnico-scientifici per WP2-WP3</t>
  </si>
  <si>
    <t>STRATEGIA E CONTROLLO SRL</t>
  </si>
  <si>
    <t>00558280319</t>
  </si>
  <si>
    <t>2024-03-19T17:09:18.204+01:00</t>
  </si>
  <si>
    <t>CIG B01B01B754 � TRATTATIVA DIRETTA N. 3986132/2024 - SUPPORTO ALLE ATTIVIT� RELATIVE AL PROJECT MANAGEMENT, ALLA GESTIONE FINANZIARIA INTERNA AL PP5, ALLE ATTIVIT� DI PROMOZIONE, COMUNICAZIONE, PUBBLICIT� E INFORMAZIONE. CUP E33B23000010006 - IMPEGNO DI SPESA E AFFIDAMENTO A VENETIAN CLUSTER SRL</t>
  </si>
  <si>
    <t xml:space="preserve">232  </t>
  </si>
  <si>
    <t>Affidamento diretto con importo iva esclusa inferiore a euro 10.000</t>
  </si>
  <si>
    <t>2023-11-28T12:08:43.934+01:00</t>
  </si>
  <si>
    <t>Najem dvorane, salu�alk za tolmacenje in streaminga za infoday SPF z dne 1.2.2023</t>
  </si>
  <si>
    <t>Z5839EDD8C</t>
  </si>
  <si>
    <t>Lettera incarico</t>
  </si>
  <si>
    <t>KULTURNI DOM GORICA</t>
  </si>
  <si>
    <t>00324620319</t>
  </si>
  <si>
    <t>2023-11-28T12:18:27.642+01:00</t>
  </si>
  <si>
    <t>Najem dvorane in tehnika za info day z dne 14.2.2023 v �tanjelu</t>
  </si>
  <si>
    <t>ZD139F07F7</t>
  </si>
  <si>
    <t>ORA KRASA IN BRKINOV D.O.O.</t>
  </si>
  <si>
    <t>2023-11-28T12:36:34.279+01:00</t>
  </si>
  <si>
    <t>Installazione e canone annuale di hosting per supporto all'utilizzo della piattaforma JEMS per attuazione dello SPF</t>
  </si>
  <si>
    <t xml:space="preserve"> Z5B397B8CD</t>
  </si>
  <si>
    <t>Lettera d'incarico</t>
  </si>
  <si>
    <t>InfoFactory Srl</t>
  </si>
  <si>
    <t>02363620309</t>
  </si>
  <si>
    <t>2023-11-28T12:52:49.693+01:00</t>
  </si>
  <si>
    <t>Storitev streaminga tehnicnih delavnic SPF</t>
  </si>
  <si>
    <t>Z843A8526B</t>
  </si>
  <si>
    <t>2023-03-13</t>
  </si>
  <si>
    <t>GO! 2025</t>
  </si>
  <si>
    <t>SI26854872</t>
  </si>
  <si>
    <t>2024-03-26T13:26:48.786+01:00</t>
  </si>
  <si>
    <t>Servizio di catering in occasione del kick off meeting di progetto il 7 novembre 2023</t>
  </si>
  <si>
    <t>prot. 5321 del 6 nov 2023</t>
  </si>
  <si>
    <t xml:space="preserve">Affidamento diretto </t>
  </si>
  <si>
    <t>Michele Bertocchi</t>
  </si>
  <si>
    <t>00892320326</t>
  </si>
  <si>
    <t>Affidamento diretto ex art 50 comma 1 lett. B del dlgs 36/2023</t>
  </si>
  <si>
    <t>2024-03-26T14:12:09.414+01:00</t>
  </si>
  <si>
    <t>Servizio di gestione e rendicontazione e di verifica della qualit� del progetto Tartini Bis</t>
  </si>
  <si>
    <t>Numero di trattativa 3793939</t>
  </si>
  <si>
    <t>Trattativa diretta</t>
  </si>
  <si>
    <t xml:space="preserve">Eureka Projects Srl </t>
  </si>
  <si>
    <t>03080260304</t>
  </si>
  <si>
    <t>2024-03-20T17:05:57.136+01:00</t>
  </si>
  <si>
    <t>Oblikovanje in tisk materialov za komunikacijo za projekt TARTINI BIS</t>
  </si>
  <si>
    <t>Do-design kreativne re�itve</t>
  </si>
  <si>
    <t>58009493</t>
  </si>
  <si>
    <t>2023-11-26T23:07:37.192+01:00</t>
  </si>
  <si>
    <t>sladki prigrizek (za sestanek partnerjev)</t>
  </si>
  <si>
    <t>Brio� d.o.o.</t>
  </si>
  <si>
    <t>SI76695174</t>
  </si>
  <si>
    <t>nakup sladkega prigrizka za pogostitev na partnerskem sestanku</t>
  </si>
  <si>
    <t>2024-03-21T21:37:04.454+01:00</t>
  </si>
  <si>
    <t>pogostitev �torja (degustacijski meni projekta)</t>
  </si>
  <si>
    <t>SPSI-C-50</t>
  </si>
  <si>
    <t>�torja pod stopnicami d.o.o.</t>
  </si>
  <si>
    <t>SI47401427</t>
  </si>
  <si>
    <t>degustacijski meni ob srecanju med partnerji TARTINI BIS</t>
  </si>
  <si>
    <t>2024-03-28T11:17:26.248+01:00</t>
  </si>
  <si>
    <t xml:space="preserve">incarico per il servizio di supporto per attivit� di acquisizione e monitoraggio dati per la gestione, conservazione e fruizione di habitat marini nell�ambito del progetto </t>
  </si>
  <si>
    <t>Gruppo Sommozzatori Caorle ASD</t>
  </si>
  <si>
    <t>03919090989</t>
  </si>
  <si>
    <t>il Gruppo Sommozzatori Caorle A.S.D., anche in forza di precedenti rapporti formali, � il sodalizio pi� idoneo sotto il profilo delle competenze, della conoscenza e della disponibilit� in loco per il perseguimento degli output di progetto ed alle finalit� di tutela e sviluppo delle risorse marine sottese all�intervento</t>
  </si>
  <si>
    <t>2024-04-03T11:28:38.294+02:00</t>
  </si>
  <si>
    <t>Oblikovanje, postvitev in tisk glasila SOCAsnik</t>
  </si>
  <si>
    <t>175/2023-N</t>
  </si>
  <si>
    <t>Letna narocilnica za STM 749</t>
  </si>
  <si>
    <t>GAYA d.o.o.</t>
  </si>
  <si>
    <t>63491095</t>
  </si>
  <si>
    <t xml:space="preserve">Poso�ki razvojni center je v sklopu projekta WALKofPEACE+, Interreg Italija � Slovenija 2021-2027 kril stro�ke objave v SOCAsniku. V prispevku obve�camo javnost o aktivnostih, dogodkih in rezultatih v okviru izvajanja projekta WALKofPEACE+.
Obrazlo�itev
SOCAsnik je lasten periodicni informativni tiskani medij, ki ga v okviru svoje osnovne dejavnosti izdaja Poso�ki razvojni center (PRC) veckrat letno. Njegov namen je porocanje o aktivnostih PRC in drugih pomembnih vsebinah obmocja. Publikacija je brezplacna in razdeljena po vseh gospodinjstvih na obmocju Posocja, ki predstavlja jedrno obmocje delovanja PRC.
Za oblikovanje in tisk ima PRC izbranega zunanjega izvajalca, to je GAYA, dru�ba za graficne in organizacijske storitve d. o. o., Mocnikova ulica 1, 5282 Cerkno. Z njim ima podpisano letno Pogodbo o sodelovanju.
Za potrebe internih objav v publikaciji se obracuna samo dodaten stro�ek priprave in tiska posamezne enote prispevka.
1.	Tr�na cena objave ene strani (CB):	460,00 EUR + DDV
2.	Interna cena objave ene strani (CB):	105,70 EUR + DDV
Posamezne graficne elemente se obracuna loceno:
� 105,70 EUR brez DDV na eno stran za graficne in tiskarske storitve (oblikovna realizacija, priprava za tisk, tisk, priprava .pdf datoteke),
� 3,50 EUR brez DDV na fotografijo za obdelavo slikovnega materiala.
</t>
  </si>
  <si>
    <t>2024-04-03T11:25:56.949+02:00</t>
  </si>
  <si>
    <t>Dobava in monta�a racunalni�ke opreme</t>
  </si>
  <si>
    <t>240/2023-N</t>
  </si>
  <si>
    <t>Parcom d.o.o. Nova Gorica</t>
  </si>
  <si>
    <t>85350524</t>
  </si>
  <si>
    <t>2024-04-04T20:11:10.932+02:00</t>
  </si>
  <si>
    <t xml:space="preserve">Ponatis zgibanke Pot miru od Alp do Jadrana </t>
  </si>
  <si>
    <t>72/2024-N</t>
  </si>
  <si>
    <t>2024-04-03</t>
  </si>
  <si>
    <t>KARTOGRAFIJA d.o.o.</t>
  </si>
  <si>
    <t>99802716</t>
  </si>
  <si>
    <t>2024-02-15T08:53:32.746+01:00</t>
  </si>
  <si>
    <t>servizio somministrazione interinale Aurora Crevatin</t>
  </si>
  <si>
    <t>Y213C7F5DC</t>
  </si>
  <si>
    <t>Randstad Italia spa</t>
  </si>
  <si>
    <t>12730090151</t>
  </si>
  <si>
    <t>2024-02-14T14:30:11.078+01:00</t>
  </si>
  <si>
    <t>traduzione simultanea kick off meeting</t>
  </si>
  <si>
    <t>Y753C992BA</t>
  </si>
  <si>
    <t>Altratecnica sas</t>
  </si>
  <si>
    <t>01280240324</t>
  </si>
  <si>
    <t>2024-02-14T14:33:48.332+01:00</t>
  </si>
  <si>
    <t>servizio project management fino al 31/12/2025</t>
  </si>
  <si>
    <t>Y7E3C9C62D</t>
  </si>
  <si>
    <t>2024-02-14T14:36:56.246+01:00</t>
  </si>
  <si>
    <t>fornitura espositori roll-up</t>
  </si>
  <si>
    <t>YC53D9D2D9</t>
  </si>
  <si>
    <t>forniture</t>
  </si>
  <si>
    <t>Creative Salad srl</t>
  </si>
  <si>
    <t>02728200300</t>
  </si>
  <si>
    <t>2024-02-14T14:41:31.066+01:00</t>
  </si>
  <si>
    <t xml:space="preserve">Traduzione di 11 cartelle relative a verbali, resoconti, mail e pagine web relative ad incontri e riunioni </t>
  </si>
  <si>
    <t>ZD93DE9FDD</t>
  </si>
  <si>
    <t>Valentina Barani</t>
  </si>
  <si>
    <t>01107330324</t>
  </si>
  <si>
    <t>2024-02-16T11:32:31.854+01:00</t>
  </si>
  <si>
    <t xml:space="preserve">Acquisto e personalizzazione agendine formato A6 dedicate al progetto Interreg ITA-SLO "Walk of Peace"	</t>
  </si>
  <si>
    <t>B03DA4CCA0</t>
  </si>
  <si>
    <t>Sadesign snc</t>
  </si>
  <si>
    <t>01481210225</t>
  </si>
  <si>
    <t>nell'atto a contrarre non sono stati erroneamente inseriti euro 30,00 per impostazioni grafiche. La somma viene approvata in fase di liquidazione.</t>
  </si>
  <si>
    <t>2024-02-14T15:16:39.315+01:00</t>
  </si>
  <si>
    <t>traduzione di 15 cartelle con consegna ordinaria e interpretariato</t>
  </si>
  <si>
    <t>B051DA30BB</t>
  </si>
  <si>
    <t>2024-04-04T16:18:55.375+02:00</t>
  </si>
  <si>
    <t>Pogodba za izdelavo �tudije izvedljivosti</t>
  </si>
  <si>
    <t>Izvajalska pogodba</t>
  </si>
  <si>
    <t>Center zelenih tehnologij</t>
  </si>
  <si>
    <t xml:space="preserve">SI57977658 </t>
  </si>
  <si>
    <t>2024-03-28T14:41:29.697+01:00</t>
  </si>
  <si>
    <t>Tehnicna in strokovna podpora pri izvajanju projekta  ter prevajanje</t>
  </si>
  <si>
    <t>NAR 0585-202</t>
  </si>
  <si>
    <t>NAROCILNICA</t>
  </si>
  <si>
    <t>IT01067440329</t>
  </si>
  <si>
    <t>2024-04-03T14:27:58.467+02:00</t>
  </si>
  <si>
    <t>Fornitura servizio di catering per l'organizzazione di un coffe break nell'ambito del kick off meeting del progetto INTERREG X-BRAIN.NET</t>
  </si>
  <si>
    <t>FAST EAT ITALY SRL</t>
  </si>
  <si>
    <t>IT01135950317</t>
  </si>
  <si>
    <t>2024-03-12T14:21:15.438+01:00</t>
  </si>
  <si>
    <t xml:space="preserve">Nakup sistema za kognitivno-motoricno vadbo za potrebe projekta z akronimom X-BRAIN.net v okviru Programa cezmejnega sodelovanja Interreg VI-A Italija-Slovenija 2021-2027 </t>
  </si>
  <si>
    <t>N 069/RN-23</t>
  </si>
  <si>
    <t>DIVIDAT AG</t>
  </si>
  <si>
    <t>2940,3</t>
  </si>
  <si>
    <t>2024-02-13T12:43:09.139+01:00</t>
  </si>
  <si>
    <t xml:space="preserve">Nakup sistema navidezne resnicnosti z zaznavanjem oseb v 3D prostoru in ocal za navidezno resnicnost za potrebe projekta z akronimom X-BRAIN.net v okviru Programa cezmejnega sodelovanja Interreg VI-A Italija-Slovenija 2021-2027 </t>
  </si>
  <si>
    <t>PANOPTIKUM, MARKO CAFNIK S.P.</t>
  </si>
  <si>
    <t>336,60</t>
  </si>
  <si>
    <t>2024-03-01T09:58:40.418+01:00</t>
  </si>
  <si>
    <t>Dobava posteljnega kolesa za potrebe projekta z akronimom X-BRAIN.net v okviru Programa cezmejnega sodelovanja Interreg VI-A Italija Slovenija 2021-2027</t>
  </si>
  <si>
    <t>N 077/RN-23</t>
  </si>
  <si>
    <t>SOCA OPREMA d.o.o.</t>
  </si>
  <si>
    <t>2604,35</t>
  </si>
  <si>
    <t>2023-11-23T09:48:22.376+01:00</t>
  </si>
  <si>
    <t>NAKUP RACUNALNI�KE OPREME - PRENOSNIK IN TABLICI</t>
  </si>
  <si>
    <t>BIG BANG, D.O.O.</t>
  </si>
  <si>
    <t>SI18224326</t>
  </si>
  <si>
    <t>2023-11-23T10:13:44.187+01:00</t>
  </si>
  <si>
    <t>KONEX FITNES KARTA ZA UDELE�ENCE RAZISKAVE</t>
  </si>
  <si>
    <t>02-2023</t>
  </si>
  <si>
    <t xml:space="preserve">�PORTNO REKREA. DRU�TVO KONEX </t>
  </si>
  <si>
    <t>2023-11-23T10:13:27.668+01:00</t>
  </si>
  <si>
    <t xml:space="preserve">TOPFIT FITNES KARTA ZA UDELE�ENCE RAZISKAVE </t>
  </si>
  <si>
    <t>TOP-FIT D.O.O.</t>
  </si>
  <si>
    <t>SI92566294</t>
  </si>
  <si>
    <t>2023-11-23T10:21:07.274+01:00</t>
  </si>
  <si>
    <t xml:space="preserve">VITAJA FITNES KARTA ZA UDELE�ENCE RAZISKAVE </t>
  </si>
  <si>
    <t xml:space="preserve">REKREACIJSKI STUDIO VITAJA </t>
  </si>
  <si>
    <t>SI78152569</t>
  </si>
  <si>
    <t>2023-11-23T10:24:31.182+01:00</t>
  </si>
  <si>
    <t xml:space="preserve">KINEM FITNES KARTA ZA UDELE�ENCE RAZISKAVE </t>
  </si>
  <si>
    <t>KINEM - MIKA URBANCIC S.P.</t>
  </si>
  <si>
    <t>40604764</t>
  </si>
  <si>
    <t>2024-03-06T09:42:53.594+01:00</t>
  </si>
  <si>
    <t>1524 TOP-FIT FITNES KARTA ZA UDELE�ENCE RAZISKAVE</t>
  </si>
  <si>
    <t>RACUN</t>
  </si>
  <si>
    <t>FITNES MESECNA CELODNEVNA KARTA</t>
  </si>
  <si>
    <t>2024-03-06T09:42:41.033+01:00</t>
  </si>
  <si>
    <t>1589 KONEX FITNES MESECNA KARTA ZA UDELE�ENCE RAZISKAVE</t>
  </si>
  <si>
    <t>55675093</t>
  </si>
  <si>
    <t>MESECNA FITNES KARTA</t>
  </si>
  <si>
    <t>2024-03-06T09:42:26.531+01:00</t>
  </si>
  <si>
    <t xml:space="preserve">1590 KONEX FITNES KARTA ZA UDELE�ENCE RAZISKAVE </t>
  </si>
  <si>
    <t xml:space="preserve"> FITNES KARTA ZA UDELE�ENCE RAZISKAVE</t>
  </si>
  <si>
    <t>2024-03-05T14:31:14.808+01:00</t>
  </si>
  <si>
    <t>ROLL UP</t>
  </si>
  <si>
    <t>BENS D.O.O.</t>
  </si>
  <si>
    <t>2024-03-06T09:42:14.428+01:00</t>
  </si>
  <si>
    <t>2004 FITNES KARTA ZA UDELE�ENCE RAZISKAVE TEKTONIK</t>
  </si>
  <si>
    <t>�PORTNI KLUB TEKTONIK</t>
  </si>
  <si>
    <t>90550439</t>
  </si>
  <si>
    <t>2024-03-06T09:41:59.253+01:00</t>
  </si>
  <si>
    <t xml:space="preserve">2005 FITNES KARTA ZA UDELE�ENCE RAZISKAVE TEKTONIK </t>
  </si>
  <si>
    <t>2024-03-05T14:36:04.321+01:00</t>
  </si>
  <si>
    <t>GOSTINSKE STORITVE ZA IZVEDBO PROMOCIJSKEGA DOGODKA</t>
  </si>
  <si>
    <t>DMNM D.O.O.</t>
  </si>
  <si>
    <t>2024-03-05T15:41:50.651+01:00</t>
  </si>
  <si>
    <t>BED REST RAZISKAVA BO�IC BOJAN</t>
  </si>
  <si>
    <t>PODJEMNA POGODBA</t>
  </si>
  <si>
    <t>BO�IC BOJAN</t>
  </si>
  <si>
    <t>70181612</t>
  </si>
  <si>
    <t>2024-03-05T15:42:33.712+01:00</t>
  </si>
  <si>
    <t>BED REST RAZISKAVA BRO�IC EURO</t>
  </si>
  <si>
    <t>BROZIC EURO</t>
  </si>
  <si>
    <t>22105204</t>
  </si>
  <si>
    <t>2024-03-05T15:43:53.837+01:00</t>
  </si>
  <si>
    <t>BED REST RAZISKAVA CERGOL RADO</t>
  </si>
  <si>
    <t>CERGOL RADO</t>
  </si>
  <si>
    <t>81185162</t>
  </si>
  <si>
    <t>2024-03-05T15:44:21.726+01:00</t>
  </si>
  <si>
    <t>BED REST RAZISKAVA DEGRASSI DARIO</t>
  </si>
  <si>
    <t>DEGRASSI DARIO</t>
  </si>
  <si>
    <t>28534778</t>
  </si>
  <si>
    <t>2024-03-05T15:44:47.515+01:00</t>
  </si>
  <si>
    <t>BED REST RAZISKAVA DOMA BRANE</t>
  </si>
  <si>
    <t>DOMA BRANE</t>
  </si>
  <si>
    <t>19071647</t>
  </si>
  <si>
    <t>2024-03-05T15:45:12.551+01:00</t>
  </si>
  <si>
    <t>BED REST RAZISKAVA DURDZIC SEFIK</t>
  </si>
  <si>
    <t>DURD�IC �EFIK</t>
  </si>
  <si>
    <t>64182126</t>
  </si>
  <si>
    <t>2024-03-05T15:45:43.869+01:00</t>
  </si>
  <si>
    <t>BED REST RAZISKAVA GEC ALOJZ</t>
  </si>
  <si>
    <t>GEC ALOJZ</t>
  </si>
  <si>
    <t>19490941</t>
  </si>
  <si>
    <t>2024-03-05T15:46:09.519+01:00</t>
  </si>
  <si>
    <t>BED REST RAZISKAVA KOS MIRAN</t>
  </si>
  <si>
    <t>KOS MIRAN</t>
  </si>
  <si>
    <t>13571052</t>
  </si>
  <si>
    <t>NUTS</t>
  </si>
  <si>
    <t>i</t>
  </si>
  <si>
    <t>Contract amount</t>
  </si>
  <si>
    <t>IF public procurment &gt;10000;1;0</t>
  </si>
  <si>
    <t xml:space="preserve">P1 </t>
  </si>
  <si>
    <t>Error category</t>
  </si>
  <si>
    <t>Tipology of error</t>
  </si>
  <si>
    <t>Amount</t>
  </si>
  <si>
    <t>Attendance</t>
  </si>
  <si>
    <t>P1 Attendance</t>
  </si>
  <si>
    <t>P1 error</t>
  </si>
  <si>
    <t>Percentage of error ammount</t>
  </si>
  <si>
    <t>Percentage of attendance</t>
  </si>
  <si>
    <t>P1 total</t>
  </si>
  <si>
    <t>Akronim</t>
  </si>
  <si>
    <t>Partner akronim</t>
  </si>
  <si>
    <t>Report id</t>
  </si>
  <si>
    <t>Status</t>
  </si>
  <si>
    <t>Type bl1</t>
  </si>
  <si>
    <t>Project Akronim</t>
  </si>
  <si>
    <t>Financial corection</t>
  </si>
  <si>
    <t xml:space="preserve">Cut percentage </t>
  </si>
  <si>
    <t xml:space="preserve">N. previouse validated report </t>
  </si>
  <si>
    <t>Previouse Report checked?yes/no</t>
  </si>
  <si>
    <t xml:space="preserve">Sum of errors in previous report </t>
  </si>
  <si>
    <t>Sum of errors in the previous reports</t>
  </si>
  <si>
    <t>N  partner validated reports.</t>
  </si>
  <si>
    <t>Reporting period</t>
  </si>
  <si>
    <t>Starting of reporting period .</t>
  </si>
  <si>
    <t>Starting of project</t>
  </si>
  <si>
    <t>Mounth</t>
  </si>
  <si>
    <t>Progress of expenditure</t>
  </si>
  <si>
    <t>TOTAL BUDGET in AF</t>
  </si>
  <si>
    <t>R1 - Result</t>
  </si>
  <si>
    <t>Totale score</t>
  </si>
  <si>
    <t>Total score ita</t>
  </si>
  <si>
    <t>Ranking ITA</t>
  </si>
  <si>
    <t>Ranking slo</t>
  </si>
  <si>
    <t>Total score slo</t>
  </si>
  <si>
    <t>Ammount in the report?</t>
  </si>
  <si>
    <t>Cut percentage on real costs + USC</t>
  </si>
  <si>
    <t xml:space="preserve">Weight real costs  + USC </t>
  </si>
  <si>
    <t>P2 + P3</t>
  </si>
  <si>
    <t>ROW</t>
  </si>
  <si>
    <t>Amont not validated</t>
  </si>
  <si>
    <t>TOTAL reported amount</t>
  </si>
  <si>
    <t>Not validated percentage per bl</t>
  </si>
  <si>
    <t>Risk</t>
  </si>
  <si>
    <t xml:space="preserve">TOTAL reported pubblic </t>
  </si>
  <si>
    <t>Totale validated pubblic</t>
  </si>
  <si>
    <t>TOTAL reported private</t>
  </si>
  <si>
    <t>Totale validated private</t>
  </si>
  <si>
    <t>Amont not validated private</t>
  </si>
  <si>
    <t>Not validated percentage per bl private</t>
  </si>
  <si>
    <t xml:space="preserve">  min</t>
  </si>
  <si>
    <t xml:space="preserve"> max</t>
  </si>
  <si>
    <t>Table Percentage of attendance</t>
  </si>
  <si>
    <t>Table Percentage of error ammount</t>
  </si>
  <si>
    <t>R1 = SUM(p2;p3)</t>
  </si>
  <si>
    <t>R3 =SUM(P1)</t>
  </si>
  <si>
    <t>R4=SUM(P1)</t>
  </si>
  <si>
    <t>Report submitted</t>
  </si>
  <si>
    <t>Project akronim</t>
  </si>
  <si>
    <t>id project</t>
  </si>
  <si>
    <t xml:space="preserve">Date previouse validated report </t>
  </si>
  <si>
    <t>Id previouse validated report</t>
  </si>
  <si>
    <t>Report "0"/Amount validated</t>
  </si>
  <si>
    <t>Start project</t>
  </si>
  <si>
    <t xml:space="preserve">Date previouse submitted report </t>
  </si>
  <si>
    <t>Corresponding period</t>
  </si>
  <si>
    <t>Amount indicated in  AF for the relevant period</t>
  </si>
  <si>
    <t>Not validated per bl percentage</t>
  </si>
  <si>
    <t xml:space="preserve">Total validated amount </t>
  </si>
  <si>
    <t>not validated Amount</t>
  </si>
  <si>
    <t>Submitted</t>
  </si>
  <si>
    <t>Checked ITA</t>
  </si>
  <si>
    <t>Checked SLO</t>
  </si>
  <si>
    <t>Id Parnter</t>
  </si>
  <si>
    <t>Id report</t>
  </si>
  <si>
    <t>Numero di volte controllato il public procurment</t>
  </si>
  <si>
    <t xml:space="preserve">Numero di volte controllato il contract </t>
  </si>
  <si>
    <t>Valutabili</t>
  </si>
  <si>
    <t>Numero R7</t>
  </si>
  <si>
    <t>Tranciante</t>
  </si>
  <si>
    <t>N. Report Submited</t>
  </si>
  <si>
    <t>N.Report ITA</t>
  </si>
  <si>
    <t>N.Report ITA Checked</t>
  </si>
  <si>
    <t>N. Report Public</t>
  </si>
  <si>
    <t>N. Private</t>
  </si>
  <si>
    <t xml:space="preserve">% private </t>
  </si>
  <si>
    <t>Cheked Private</t>
  </si>
  <si>
    <t>Cheked Pubblic</t>
  </si>
  <si>
    <t>Type</t>
  </si>
  <si>
    <t>N.Report SLO</t>
  </si>
  <si>
    <t>N.Report SLO Checked</t>
  </si>
  <si>
    <t>N. Report SLO Public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</si>
</sst>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43" formatCode="_-* #,##0.00_-;\-* #,##0.00_-;_-* &quot;-&quot;??_-;_-@_-"/>
    <numFmt numFmtId="164" formatCode="_-* #,##0_-;\-* #,##0_-;_-* &quot;-&quot;??_-;_-@_-"/>
  </numFmts>
  <fonts count="12" x14ac:knownFonts="1">
    <font>
      <sz val="11"/>
      <color theme="1"/>
      <name val="Calibri"/>
      <family val="2"/>
      <scheme val="minor"/>
    </font>
    <font>
      <sz val="11"/>
      <color theme="1"/>
      <name val="Calibri"/>
      <family val="2"/>
      <scheme val="minor"/>
    </font>
    <font>
      <sz val="11"/>
      <color theme="1"/>
      <name val="Calibri"/>
      <scheme val="minor"/>
    </font>
    <font>
      <sz val="11"/>
      <color indexed="8"/>
      <name val="Calibri"/>
      <family val="2"/>
      <scheme val="minor"/>
    </font>
    <font>
      <u/>
      <sz val="11"/>
      <color theme="10"/>
      <name val="Calibri"/>
      <family val="2"/>
      <scheme val="minor"/>
    </font>
    <font>
      <sz val="10"/>
      <color rgb="FF3B4151"/>
      <name val="Arial"/>
      <family val="2"/>
    </font>
    <font>
      <sz val="11"/>
      <color rgb="FF3B4151"/>
      <name val="Arial"/>
      <family val="2"/>
    </font>
    <font>
      <b/>
      <sz val="11"/>
      <color theme="5" tint="-0.249977111117893"/>
      <name val="Calibri"/>
      <family val="2"/>
      <scheme val="minor"/>
    </font>
    <font>
      <sz val="11"/>
      <color theme="5" tint="-0.249977111117893"/>
      <name val="Calibri"/>
      <family val="2"/>
      <scheme val="minor"/>
    </font>
    <font>
      <sz val="11"/>
      <color theme="7" tint="-0.249977111117893"/>
      <name val="Calibri"/>
      <family val="2"/>
      <scheme val="minor"/>
    </font>
    <font>
      <sz val="8"/>
      <name val="Calibri"/>
      <family val="2"/>
      <scheme val="minor"/>
    </font>
    <font>
      <sz val="11"/>
      <color rgb="FF000000"/>
      <name val="Calibri"/>
      <family val="2"/>
      <scheme val="minor"/>
    </font>
  </fonts>
  <fills count="12">
    <fill>
      <patternFill patternType="none"/>
    </fill>
    <fill>
      <patternFill patternType="gray125"/>
    </fill>
    <fill>
      <patternFill patternType="solid">
        <fgColor theme="9" tint="0.79998168889431442"/>
        <bgColor theme="9" tint="0.79998168889431442"/>
      </patternFill>
    </fill>
    <fill>
      <patternFill patternType="solid">
        <fgColor rgb="FFFFFFFF"/>
      </patternFill>
    </fill>
    <fill>
      <patternFill patternType="solid">
        <fgColor rgb="FFE6F0DC"/>
      </patternFill>
    </fill>
    <fill>
      <patternFill patternType="solid">
        <fgColor rgb="FFDCF0FF"/>
      </patternFill>
    </fill>
    <fill>
      <patternFill patternType="solid">
        <fgColor rgb="FFFFF0C8"/>
      </patternFill>
    </fill>
    <fill>
      <patternFill patternType="solid">
        <fgColor rgb="FFFAE6DC"/>
      </patternFill>
    </fill>
    <fill>
      <patternFill patternType="solid">
        <fgColor theme="5" tint="0.79998168889431442"/>
        <bgColor theme="5" tint="0.79998168889431442"/>
      </patternFill>
    </fill>
    <fill>
      <patternFill patternType="solid">
        <fgColor theme="7" tint="0.79998168889431442"/>
        <bgColor theme="7" tint="0.79998168889431442"/>
      </patternFill>
    </fill>
    <fill>
      <patternFill patternType="solid">
        <fgColor rgb="FFFFFF00"/>
        <bgColor indexed="64"/>
      </patternFill>
    </fill>
    <fill>
      <patternFill patternType="solid">
        <fgColor them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theme="9" tint="0.39997558519241921"/>
      </top>
      <bottom style="thin">
        <color theme="9" tint="0.39997558519241921"/>
      </bottom>
      <diagonal/>
    </border>
    <border>
      <left style="thin">
        <color rgb="FF000000"/>
      </left>
      <right style="thin">
        <color rgb="FF000000"/>
      </right>
      <top style="thin">
        <color rgb="FF000000"/>
      </top>
      <bottom style="thin">
        <color rgb="FF000000"/>
      </bottom>
      <diagonal/>
    </border>
    <border>
      <left style="thick">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theme="9" tint="0.39997558519241921"/>
      </left>
      <right/>
      <top style="thin">
        <color theme="9" tint="0.39997558519241921"/>
      </top>
      <bottom style="thin">
        <color theme="9"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rgb="FF000000"/>
      </left>
      <right style="thin">
        <color rgb="FF000000"/>
      </right>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bottom style="thin">
        <color rgb="FF000000"/>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bottom/>
      <diagonal/>
    </border>
    <border>
      <left style="thin">
        <color rgb="FF000000"/>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s>
  <cellStyleXfs count="6">
    <xf numFmtId="0" fontId="0" fillId="0" borderId="0"/>
    <xf numFmtId="44" fontId="1" fillId="0" borderId="0" applyFont="0" applyFill="0" applyBorder="0" applyAlignment="0" applyProtection="0"/>
    <xf numFmtId="9" fontId="1" fillId="0" borderId="0" applyFont="0" applyFill="0" applyBorder="0" applyAlignment="0" applyProtection="0"/>
    <xf numFmtId="0" fontId="3" fillId="0" borderId="0"/>
    <xf numFmtId="0" fontId="4" fillId="0" borderId="0" applyNumberFormat="0" applyFill="0" applyBorder="0" applyAlignment="0" applyProtection="0"/>
    <xf numFmtId="43" fontId="1" fillId="0" borderId="0" applyFont="0" applyFill="0" applyBorder="0" applyAlignment="0" applyProtection="0"/>
  </cellStyleXfs>
  <cellXfs count="226">
    <xf numFmtId="0" fontId="0" fillId="0" borderId="0" xfId="0"/>
    <xf numFmtId="0" fontId="0" fillId="0" borderId="0" xfId="0" applyNumberFormat="1"/>
    <xf numFmtId="0" fontId="0" fillId="0" borderId="0" xfId="0" applyAlignment="1">
      <alignment horizontal="center"/>
    </xf>
    <xf numFmtId="0" fontId="0" fillId="0" borderId="1" xfId="0" applyBorder="1" applyAlignment="1">
      <alignment horizontal="center" vertical="center"/>
    </xf>
    <xf numFmtId="0" fontId="0" fillId="0" borderId="1" xfId="0" applyBorder="1" applyAlignment="1">
      <alignment vertical="center" wrapText="1"/>
    </xf>
    <xf numFmtId="0" fontId="0" fillId="0" borderId="1" xfId="0" applyBorder="1" applyAlignment="1">
      <alignment wrapText="1"/>
    </xf>
    <xf numFmtId="44" fontId="0" fillId="0" borderId="1" xfId="1" applyFont="1" applyBorder="1"/>
    <xf numFmtId="9" fontId="0" fillId="0" borderId="1" xfId="2" applyFont="1" applyBorder="1"/>
    <xf numFmtId="44" fontId="0" fillId="0" borderId="1" xfId="0" applyNumberFormat="1" applyBorder="1"/>
    <xf numFmtId="0" fontId="0" fillId="0" borderId="1" xfId="0" applyBorder="1"/>
    <xf numFmtId="44" fontId="0" fillId="0" borderId="0" xfId="0" applyNumberFormat="1"/>
    <xf numFmtId="0" fontId="0" fillId="0" borderId="0" xfId="0" applyAlignment="1">
      <alignment horizontal="center" vertical="center"/>
    </xf>
    <xf numFmtId="0" fontId="0" fillId="0" borderId="0" xfId="0" applyAlignment="1">
      <alignment vertical="center" wrapText="1"/>
    </xf>
    <xf numFmtId="0" fontId="0" fillId="0" borderId="0" xfId="0" applyNumberFormat="1" applyAlignment="1">
      <alignment horizontal="center"/>
    </xf>
    <xf numFmtId="44" fontId="0" fillId="0" borderId="0" xfId="1" applyFont="1"/>
    <xf numFmtId="44" fontId="2" fillId="0" borderId="0" xfId="0" applyNumberFormat="1" applyFont="1"/>
    <xf numFmtId="9" fontId="0" fillId="0" borderId="0" xfId="2" applyFont="1" applyAlignment="1">
      <alignment horizontal="center"/>
    </xf>
    <xf numFmtId="0" fontId="0" fillId="2" borderId="4" xfId="0" applyNumberFormat="1" applyFont="1" applyFill="1" applyBorder="1"/>
    <xf numFmtId="0" fontId="3" fillId="3" borderId="5" xfId="3" applyNumberFormat="1" applyFill="1" applyBorder="1"/>
    <xf numFmtId="0" fontId="3" fillId="0" borderId="0" xfId="3"/>
    <xf numFmtId="0" fontId="3" fillId="0" borderId="0" xfId="3" applyAlignment="1">
      <alignment horizontal="center"/>
    </xf>
    <xf numFmtId="0" fontId="0" fillId="4" borderId="6" xfId="0" applyNumberFormat="1" applyFill="1" applyBorder="1"/>
    <xf numFmtId="0" fontId="0" fillId="4" borderId="7" xfId="0" applyNumberFormat="1" applyFill="1" applyBorder="1"/>
    <xf numFmtId="0" fontId="0" fillId="5" borderId="7" xfId="0" applyNumberFormat="1" applyFill="1" applyBorder="1"/>
    <xf numFmtId="0" fontId="0" fillId="6" borderId="7" xfId="0" applyNumberFormat="1" applyFill="1" applyBorder="1"/>
    <xf numFmtId="0" fontId="0" fillId="7" borderId="7" xfId="0" applyNumberFormat="1" applyFill="1" applyBorder="1"/>
    <xf numFmtId="0" fontId="0" fillId="7" borderId="8" xfId="0" applyNumberFormat="1" applyFill="1" applyBorder="1"/>
    <xf numFmtId="0" fontId="3" fillId="0" borderId="1" xfId="3" applyBorder="1" applyAlignment="1">
      <alignment horizontal="center"/>
    </xf>
    <xf numFmtId="0" fontId="0" fillId="4" borderId="9" xfId="0" applyNumberFormat="1" applyFill="1" applyBorder="1"/>
    <xf numFmtId="0" fontId="0" fillId="4" borderId="5" xfId="0" applyNumberFormat="1" applyFill="1" applyBorder="1"/>
    <xf numFmtId="0" fontId="0" fillId="5" borderId="5" xfId="0" applyNumberFormat="1" applyFill="1" applyBorder="1"/>
    <xf numFmtId="0" fontId="0" fillId="6" borderId="5" xfId="0" applyNumberFormat="1" applyFill="1" applyBorder="1"/>
    <xf numFmtId="4" fontId="0" fillId="6" borderId="5" xfId="0" applyNumberFormat="1" applyFill="1" applyBorder="1"/>
    <xf numFmtId="0" fontId="0" fillId="7" borderId="5" xfId="0" applyNumberFormat="1" applyFill="1" applyBorder="1"/>
    <xf numFmtId="0" fontId="0" fillId="7" borderId="10" xfId="0" applyNumberFormat="1" applyFill="1" applyBorder="1"/>
    <xf numFmtId="0" fontId="0" fillId="0" borderId="11" xfId="0"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14" xfId="0" applyFill="1" applyBorder="1" applyAlignment="1">
      <alignment horizontal="center"/>
    </xf>
    <xf numFmtId="0" fontId="0" fillId="0" borderId="15" xfId="0" applyBorder="1" applyAlignment="1">
      <alignment horizontal="center"/>
    </xf>
    <xf numFmtId="0" fontId="0" fillId="0" borderId="1" xfId="0" applyBorder="1" applyAlignment="1">
      <alignment horizontal="center"/>
    </xf>
    <xf numFmtId="44" fontId="0" fillId="0" borderId="1" xfId="1" applyFont="1" applyBorder="1" applyAlignment="1">
      <alignment horizontal="center"/>
    </xf>
    <xf numFmtId="44" fontId="0" fillId="0" borderId="0" xfId="1" applyFont="1" applyAlignment="1">
      <alignment horizontal="center"/>
    </xf>
    <xf numFmtId="0" fontId="0" fillId="0" borderId="16" xfId="0" applyBorder="1" applyAlignment="1">
      <alignment horizontal="center"/>
    </xf>
    <xf numFmtId="44" fontId="0" fillId="0" borderId="17" xfId="1" applyFont="1" applyBorder="1" applyAlignment="1">
      <alignment horizontal="center"/>
    </xf>
    <xf numFmtId="0" fontId="0" fillId="0" borderId="0" xfId="0" applyFill="1" applyBorder="1" applyAlignment="1">
      <alignment horizontal="left"/>
    </xf>
    <xf numFmtId="0" fontId="0" fillId="0" borderId="17" xfId="0" applyBorder="1" applyAlignment="1">
      <alignment wrapText="1"/>
    </xf>
    <xf numFmtId="0" fontId="0" fillId="0" borderId="3" xfId="0" applyFill="1" applyBorder="1" applyAlignment="1">
      <alignment horizontal="center" wrapText="1"/>
    </xf>
    <xf numFmtId="0" fontId="0" fillId="0" borderId="15" xfId="0" applyBorder="1" applyAlignment="1">
      <alignment horizontal="left"/>
    </xf>
    <xf numFmtId="9" fontId="0" fillId="0" borderId="1" xfId="2" applyFont="1" applyBorder="1" applyAlignment="1">
      <alignment horizontal="center"/>
    </xf>
    <xf numFmtId="44" fontId="0" fillId="0" borderId="1" xfId="0" applyNumberFormat="1" applyBorder="1" applyAlignment="1">
      <alignment horizontal="center"/>
    </xf>
    <xf numFmtId="9" fontId="0" fillId="0" borderId="2" xfId="2" applyFont="1" applyBorder="1" applyAlignment="1">
      <alignment horizontal="center"/>
    </xf>
    <xf numFmtId="0" fontId="0" fillId="0" borderId="16" xfId="0" applyBorder="1" applyAlignment="1">
      <alignment horizontal="left"/>
    </xf>
    <xf numFmtId="0" fontId="0" fillId="0" borderId="17" xfId="0" applyBorder="1" applyAlignment="1">
      <alignment horizontal="left"/>
    </xf>
    <xf numFmtId="44" fontId="0" fillId="0" borderId="17" xfId="1" applyFont="1" applyBorder="1"/>
    <xf numFmtId="44" fontId="0" fillId="0" borderId="17" xfId="0" applyNumberFormat="1" applyBorder="1"/>
    <xf numFmtId="9" fontId="0" fillId="0" borderId="17" xfId="2" applyFont="1" applyBorder="1" applyAlignment="1">
      <alignment horizontal="center"/>
    </xf>
    <xf numFmtId="44" fontId="0" fillId="0" borderId="17" xfId="1" applyFont="1" applyFill="1" applyBorder="1" applyAlignment="1">
      <alignment horizontal="center"/>
    </xf>
    <xf numFmtId="44" fontId="0" fillId="0" borderId="17" xfId="0" applyNumberFormat="1" applyBorder="1" applyAlignment="1">
      <alignment horizontal="center"/>
    </xf>
    <xf numFmtId="9" fontId="0" fillId="0" borderId="18" xfId="2" applyFont="1" applyBorder="1" applyAlignment="1">
      <alignment horizontal="center"/>
    </xf>
    <xf numFmtId="0" fontId="0" fillId="0" borderId="1" xfId="0" applyBorder="1" applyAlignment="1">
      <alignment horizontal="left"/>
    </xf>
    <xf numFmtId="44" fontId="0" fillId="0" borderId="1" xfId="1" applyFont="1" applyFill="1" applyBorder="1"/>
    <xf numFmtId="0" fontId="0" fillId="0" borderId="0" xfId="0" applyBorder="1" applyAlignment="1">
      <alignment horizontal="left"/>
    </xf>
    <xf numFmtId="0" fontId="0" fillId="0" borderId="0" xfId="0" applyBorder="1"/>
    <xf numFmtId="0" fontId="0" fillId="0" borderId="19" xfId="0" applyBorder="1" applyAlignment="1">
      <alignment horizontal="center"/>
    </xf>
    <xf numFmtId="9" fontId="0" fillId="0" borderId="20" xfId="2" applyFont="1" applyBorder="1" applyAlignment="1">
      <alignment horizontal="center"/>
    </xf>
    <xf numFmtId="9" fontId="0" fillId="0" borderId="21" xfId="2" applyFont="1" applyBorder="1" applyAlignment="1">
      <alignment horizontal="center"/>
    </xf>
    <xf numFmtId="0" fontId="0" fillId="0" borderId="2" xfId="0" applyBorder="1" applyAlignment="1">
      <alignment horizontal="center"/>
    </xf>
    <xf numFmtId="0" fontId="0" fillId="0" borderId="0" xfId="0" applyBorder="1" applyAlignment="1">
      <alignment horizontal="center"/>
    </xf>
    <xf numFmtId="9" fontId="2" fillId="0" borderId="17" xfId="2" applyFont="1" applyBorder="1" applyAlignment="1">
      <alignment horizontal="center"/>
    </xf>
    <xf numFmtId="0" fontId="4" fillId="0" borderId="0" xfId="4" applyAlignment="1">
      <alignment horizontal="left" vertical="center" wrapText="1" indent="1"/>
    </xf>
    <xf numFmtId="0" fontId="5" fillId="0" borderId="0" xfId="0" applyFont="1" applyAlignment="1">
      <alignment vertical="center" wrapText="1"/>
    </xf>
    <xf numFmtId="0" fontId="6" fillId="0" borderId="0" xfId="0" applyFont="1" applyAlignment="1">
      <alignment horizontal="left" vertical="center" wrapText="1" indent="1"/>
    </xf>
    <xf numFmtId="0" fontId="0" fillId="0" borderId="4" xfId="0" applyNumberFormat="1" applyFont="1" applyBorder="1"/>
    <xf numFmtId="0" fontId="0" fillId="0" borderId="22" xfId="0" applyNumberFormat="1" applyFont="1" applyBorder="1"/>
    <xf numFmtId="0" fontId="0" fillId="0" borderId="1" xfId="0" applyNumberFormat="1" applyFont="1" applyBorder="1"/>
    <xf numFmtId="9" fontId="0" fillId="0" borderId="1" xfId="2" applyNumberFormat="1" applyFont="1" applyBorder="1"/>
    <xf numFmtId="9" fontId="0" fillId="0" borderId="1" xfId="0" applyNumberFormat="1" applyBorder="1" applyAlignment="1">
      <alignment horizontal="center"/>
    </xf>
    <xf numFmtId="2" fontId="0" fillId="0" borderId="0" xfId="0" applyNumberFormat="1"/>
    <xf numFmtId="0" fontId="0" fillId="0" borderId="0" xfId="0" applyAlignment="1">
      <alignment wrapText="1"/>
    </xf>
    <xf numFmtId="9" fontId="0" fillId="0" borderId="0" xfId="2" applyFont="1" applyAlignment="1">
      <alignment horizontal="center" wrapText="1"/>
    </xf>
    <xf numFmtId="0" fontId="0" fillId="0" borderId="0" xfId="0" applyAlignment="1">
      <alignment horizontal="center" wrapText="1"/>
    </xf>
    <xf numFmtId="44" fontId="0" fillId="0" borderId="0" xfId="1" applyFont="1" applyAlignment="1">
      <alignment wrapText="1"/>
    </xf>
    <xf numFmtId="0" fontId="3" fillId="0" borderId="1" xfId="3" applyBorder="1"/>
    <xf numFmtId="0" fontId="8" fillId="8" borderId="1" xfId="0" applyFont="1" applyFill="1" applyBorder="1" applyAlignment="1">
      <alignment horizontal="center"/>
    </xf>
    <xf numFmtId="0" fontId="7" fillId="0" borderId="1" xfId="0" applyFont="1" applyBorder="1" applyAlignment="1">
      <alignment horizontal="center"/>
    </xf>
    <xf numFmtId="0" fontId="0" fillId="0" borderId="0" xfId="0" applyAlignment="1">
      <alignment horizontal="left"/>
    </xf>
    <xf numFmtId="44" fontId="8" fillId="8" borderId="1" xfId="1" applyNumberFormat="1" applyFont="1" applyFill="1" applyBorder="1" applyAlignment="1">
      <alignment horizontal="center"/>
    </xf>
    <xf numFmtId="0" fontId="8" fillId="0" borderId="1" xfId="0" applyFont="1" applyBorder="1" applyAlignment="1">
      <alignment horizontal="center"/>
    </xf>
    <xf numFmtId="44" fontId="8" fillId="0" borderId="1" xfId="1" applyNumberFormat="1" applyFont="1" applyBorder="1" applyAlignment="1">
      <alignment horizontal="center"/>
    </xf>
    <xf numFmtId="10" fontId="0" fillId="0" borderId="2" xfId="2" applyNumberFormat="1" applyFont="1" applyBorder="1" applyAlignment="1">
      <alignment horizontal="center"/>
    </xf>
    <xf numFmtId="0" fontId="0" fillId="0" borderId="17" xfId="0" applyBorder="1" applyAlignment="1">
      <alignment horizontal="center"/>
    </xf>
    <xf numFmtId="10" fontId="0" fillId="0" borderId="18" xfId="2" applyNumberFormat="1" applyFont="1" applyBorder="1" applyAlignment="1">
      <alignment horizontal="center"/>
    </xf>
    <xf numFmtId="10" fontId="8" fillId="8" borderId="1" xfId="2" applyNumberFormat="1" applyFont="1" applyFill="1" applyBorder="1" applyAlignment="1"/>
    <xf numFmtId="10" fontId="8" fillId="0" borderId="1" xfId="2" applyNumberFormat="1" applyFont="1" applyBorder="1" applyAlignment="1"/>
    <xf numFmtId="44" fontId="8" fillId="8" borderId="1" xfId="1" applyFont="1" applyFill="1" applyBorder="1" applyAlignment="1">
      <alignment horizontal="center"/>
    </xf>
    <xf numFmtId="44" fontId="8" fillId="0" borderId="1" xfId="1" applyFont="1" applyBorder="1" applyAlignment="1">
      <alignment horizontal="center"/>
    </xf>
    <xf numFmtId="0" fontId="0" fillId="0" borderId="12" xfId="0" applyFill="1" applyBorder="1" applyAlignment="1">
      <alignment horizontal="center"/>
    </xf>
    <xf numFmtId="44" fontId="0" fillId="0" borderId="0" xfId="1" applyFont="1" applyBorder="1"/>
    <xf numFmtId="44" fontId="0" fillId="0" borderId="0" xfId="0" applyNumberFormat="1" applyBorder="1"/>
    <xf numFmtId="9" fontId="0" fillId="0" borderId="0" xfId="2" applyFont="1" applyBorder="1" applyAlignment="1">
      <alignment horizontal="center"/>
    </xf>
    <xf numFmtId="44" fontId="0" fillId="0" borderId="0" xfId="1" applyFont="1" applyBorder="1" applyAlignment="1">
      <alignment horizontal="center"/>
    </xf>
    <xf numFmtId="44" fontId="0" fillId="0" borderId="0" xfId="1" applyFont="1" applyFill="1" applyBorder="1" applyAlignment="1">
      <alignment horizontal="center"/>
    </xf>
    <xf numFmtId="44" fontId="0" fillId="0" borderId="0" xfId="0" applyNumberFormat="1" applyBorder="1" applyAlignment="1">
      <alignment horizontal="center"/>
    </xf>
    <xf numFmtId="44" fontId="9" fillId="9" borderId="1" xfId="1" applyNumberFormat="1" applyFont="1" applyFill="1" applyBorder="1"/>
    <xf numFmtId="9" fontId="0" fillId="0" borderId="0" xfId="2" applyFont="1" applyAlignment="1">
      <alignment wrapText="1"/>
    </xf>
    <xf numFmtId="22" fontId="0" fillId="0" borderId="0" xfId="0" applyNumberFormat="1"/>
    <xf numFmtId="0" fontId="0" fillId="0" borderId="14" xfId="0" applyFill="1" applyBorder="1"/>
    <xf numFmtId="14" fontId="0" fillId="0" borderId="0" xfId="0" applyNumberFormat="1" applyAlignment="1">
      <alignment wrapText="1"/>
    </xf>
    <xf numFmtId="14" fontId="0" fillId="0" borderId="0" xfId="0" applyNumberFormat="1"/>
    <xf numFmtId="14" fontId="3" fillId="0" borderId="0" xfId="3" applyNumberFormat="1"/>
    <xf numFmtId="0" fontId="3" fillId="0" borderId="0" xfId="3" applyAlignment="1">
      <alignment wrapText="1"/>
    </xf>
    <xf numFmtId="14" fontId="3" fillId="0" borderId="0" xfId="3" applyNumberFormat="1" applyAlignment="1">
      <alignment horizontal="center" wrapText="1"/>
    </xf>
    <xf numFmtId="0" fontId="3" fillId="0" borderId="0" xfId="3" applyAlignment="1">
      <alignment horizontal="center" wrapText="1"/>
    </xf>
    <xf numFmtId="2" fontId="0" fillId="0" borderId="0" xfId="0" applyNumberFormat="1" applyAlignment="1">
      <alignment wrapText="1"/>
    </xf>
    <xf numFmtId="1" fontId="0" fillId="0" borderId="0" xfId="0" applyNumberFormat="1" applyAlignment="1">
      <alignment horizontal="center"/>
    </xf>
    <xf numFmtId="14" fontId="0" fillId="0" borderId="1" xfId="0" applyNumberFormat="1" applyBorder="1"/>
    <xf numFmtId="0" fontId="0" fillId="0" borderId="1" xfId="0" applyFill="1" applyBorder="1" applyAlignment="1">
      <alignment horizontal="center"/>
    </xf>
    <xf numFmtId="4" fontId="3" fillId="0" borderId="0" xfId="3" applyNumberFormat="1"/>
    <xf numFmtId="43" fontId="0" fillId="0" borderId="0" xfId="5" applyFont="1"/>
    <xf numFmtId="22" fontId="0" fillId="0" borderId="0" xfId="0" applyNumberFormat="1" applyAlignment="1">
      <alignment horizontal="center"/>
    </xf>
    <xf numFmtId="0" fontId="0" fillId="4" borderId="9" xfId="0" applyFill="1" applyBorder="1"/>
    <xf numFmtId="0" fontId="0" fillId="4" borderId="5" xfId="0" applyFill="1" applyBorder="1"/>
    <xf numFmtId="0" fontId="0" fillId="5" borderId="5" xfId="0" applyFill="1" applyBorder="1"/>
    <xf numFmtId="0" fontId="0" fillId="6" borderId="5" xfId="0" applyFill="1" applyBorder="1"/>
    <xf numFmtId="0" fontId="0" fillId="7" borderId="5" xfId="0" applyFill="1" applyBorder="1"/>
    <xf numFmtId="0" fontId="0" fillId="7" borderId="10" xfId="0" applyFill="1" applyBorder="1"/>
    <xf numFmtId="0" fontId="0" fillId="0" borderId="23" xfId="0" applyBorder="1"/>
    <xf numFmtId="0" fontId="0" fillId="0" borderId="24" xfId="0" applyBorder="1"/>
    <xf numFmtId="0" fontId="0" fillId="0" borderId="25" xfId="0" applyBorder="1"/>
    <xf numFmtId="0" fontId="11" fillId="0" borderId="26" xfId="0" applyFont="1" applyBorder="1" applyAlignment="1">
      <alignment horizontal="center" vertical="center" wrapText="1"/>
    </xf>
    <xf numFmtId="0" fontId="11" fillId="0" borderId="27" xfId="0" applyFont="1" applyBorder="1" applyAlignment="1">
      <alignment horizontal="center" vertical="center" wrapText="1"/>
    </xf>
    <xf numFmtId="0" fontId="0" fillId="0" borderId="29" xfId="0" applyBorder="1"/>
    <xf numFmtId="0" fontId="11" fillId="0" borderId="1" xfId="0" applyFont="1" applyBorder="1" applyAlignment="1">
      <alignment horizontal="center" vertical="center" wrapText="1"/>
    </xf>
    <xf numFmtId="9" fontId="11" fillId="0" borderId="1" xfId="0" applyNumberFormat="1" applyFont="1" applyBorder="1" applyAlignment="1">
      <alignment horizontal="center" vertical="center" wrapText="1"/>
    </xf>
    <xf numFmtId="0" fontId="0" fillId="0" borderId="31" xfId="0" applyBorder="1"/>
    <xf numFmtId="0" fontId="0" fillId="0" borderId="33" xfId="0" applyBorder="1"/>
    <xf numFmtId="9" fontId="11" fillId="0" borderId="5" xfId="0" applyNumberFormat="1" applyFont="1" applyBorder="1" applyAlignment="1">
      <alignment horizontal="center" vertical="center" wrapText="1"/>
    </xf>
    <xf numFmtId="9" fontId="11" fillId="0" borderId="28" xfId="0" applyNumberFormat="1" applyFont="1" applyBorder="1" applyAlignment="1">
      <alignment horizontal="center" vertical="center" wrapText="1"/>
    </xf>
    <xf numFmtId="0" fontId="11" fillId="0" borderId="34" xfId="0" applyFont="1" applyBorder="1" applyAlignment="1">
      <alignment horizontal="center" vertical="center" wrapText="1"/>
    </xf>
    <xf numFmtId="9" fontId="11" fillId="0" borderId="35" xfId="0" applyNumberFormat="1" applyFont="1" applyBorder="1" applyAlignment="1">
      <alignment horizontal="center" vertical="center" wrapText="1"/>
    </xf>
    <xf numFmtId="9" fontId="11" fillId="0" borderId="36" xfId="0" applyNumberFormat="1" applyFont="1" applyBorder="1" applyAlignment="1">
      <alignment horizontal="center" vertical="center" wrapText="1"/>
    </xf>
    <xf numFmtId="164" fontId="11" fillId="0" borderId="1" xfId="5" applyNumberFormat="1" applyFont="1" applyBorder="1" applyAlignment="1">
      <alignment horizontal="center" vertical="center" wrapText="1"/>
    </xf>
    <xf numFmtId="0" fontId="0" fillId="0" borderId="30" xfId="0" applyBorder="1" applyAlignment="1">
      <alignment horizontal="center"/>
    </xf>
    <xf numFmtId="0" fontId="0" fillId="0" borderId="31" xfId="0" applyBorder="1" applyAlignment="1">
      <alignment horizontal="center"/>
    </xf>
    <xf numFmtId="0" fontId="0" fillId="0" borderId="33" xfId="0" applyBorder="1" applyAlignment="1">
      <alignment horizontal="center"/>
    </xf>
    <xf numFmtId="0" fontId="0" fillId="0" borderId="23" xfId="0" applyBorder="1" applyAlignment="1">
      <alignment horizontal="center"/>
    </xf>
    <xf numFmtId="164" fontId="0" fillId="0" borderId="0" xfId="5" applyNumberFormat="1" applyFont="1" applyAlignment="1">
      <alignment horizontal="center" wrapText="1"/>
    </xf>
    <xf numFmtId="164" fontId="0" fillId="0" borderId="0" xfId="5" applyNumberFormat="1" applyFont="1" applyAlignment="1">
      <alignment horizontal="center"/>
    </xf>
    <xf numFmtId="9" fontId="0" fillId="0" borderId="0" xfId="2" applyNumberFormat="1" applyFont="1" applyAlignment="1">
      <alignment horizontal="center"/>
    </xf>
    <xf numFmtId="0" fontId="11" fillId="0" borderId="0" xfId="0" applyFont="1" applyBorder="1" applyAlignment="1">
      <alignment horizontal="center" vertical="center" wrapText="1"/>
    </xf>
    <xf numFmtId="9" fontId="11" fillId="0" borderId="0" xfId="0" applyNumberFormat="1" applyFont="1" applyBorder="1" applyAlignment="1">
      <alignment horizontal="center" vertical="center" wrapText="1"/>
    </xf>
    <xf numFmtId="0" fontId="0" fillId="0" borderId="32" xfId="0" applyBorder="1" applyAlignment="1">
      <alignment horizontal="center"/>
    </xf>
    <xf numFmtId="9" fontId="0" fillId="0" borderId="0" xfId="0" applyNumberFormat="1" applyAlignment="1">
      <alignment horizontal="center"/>
    </xf>
    <xf numFmtId="10" fontId="0" fillId="0" borderId="0" xfId="2" applyNumberFormat="1" applyFont="1" applyAlignment="1">
      <alignment wrapText="1"/>
    </xf>
    <xf numFmtId="43" fontId="0" fillId="0" borderId="0" xfId="5" applyNumberFormat="1" applyFont="1" applyAlignment="1">
      <alignment horizontal="center"/>
    </xf>
    <xf numFmtId="43" fontId="0" fillId="0" borderId="0" xfId="5" applyFont="1" applyAlignment="1">
      <alignment wrapText="1"/>
    </xf>
    <xf numFmtId="0" fontId="0" fillId="0" borderId="0" xfId="0" applyNumberFormat="1" applyAlignment="1">
      <alignment horizontal="center" wrapText="1"/>
    </xf>
    <xf numFmtId="44" fontId="0" fillId="0" borderId="0" xfId="1" applyFont="1" applyAlignment="1">
      <alignment horizontal="center" wrapText="1"/>
    </xf>
    <xf numFmtId="2" fontId="0" fillId="0" borderId="0" xfId="0" applyNumberFormat="1" applyAlignment="1">
      <alignment vertical="center" wrapText="1"/>
    </xf>
    <xf numFmtId="0" fontId="7" fillId="0" borderId="2" xfId="0" applyFont="1" applyBorder="1" applyAlignment="1">
      <alignment horizontal="center"/>
    </xf>
    <xf numFmtId="9" fontId="11" fillId="0" borderId="31" xfId="0" applyNumberFormat="1" applyFont="1" applyBorder="1" applyAlignment="1">
      <alignment horizontal="center" vertical="center" wrapText="1"/>
    </xf>
    <xf numFmtId="0" fontId="0" fillId="0" borderId="30" xfId="0" applyBorder="1" applyAlignment="1">
      <alignment wrapText="1"/>
    </xf>
    <xf numFmtId="0" fontId="11" fillId="0" borderId="30" xfId="0" applyFont="1" applyBorder="1" applyAlignment="1">
      <alignment horizontal="center" vertical="center" wrapText="1"/>
    </xf>
    <xf numFmtId="0" fontId="11" fillId="0" borderId="32" xfId="0" applyFont="1" applyBorder="1" applyAlignment="1">
      <alignment horizontal="center" vertical="center" wrapText="1"/>
    </xf>
    <xf numFmtId="9" fontId="11" fillId="0" borderId="38" xfId="0" applyNumberFormat="1" applyFont="1" applyBorder="1" applyAlignment="1">
      <alignment horizontal="center" vertical="center" wrapText="1"/>
    </xf>
    <xf numFmtId="9" fontId="11" fillId="0" borderId="33" xfId="0" applyNumberFormat="1" applyFont="1" applyBorder="1" applyAlignment="1">
      <alignment horizontal="center" vertical="center" wrapText="1"/>
    </xf>
    <xf numFmtId="0" fontId="11" fillId="0" borderId="39" xfId="0" applyFont="1" applyBorder="1" applyAlignment="1">
      <alignment horizontal="center" vertical="center" wrapText="1"/>
    </xf>
    <xf numFmtId="0" fontId="11" fillId="0" borderId="40" xfId="0" applyFont="1" applyBorder="1" applyAlignment="1">
      <alignment horizontal="left" vertical="center" wrapText="1"/>
    </xf>
    <xf numFmtId="0" fontId="3" fillId="0" borderId="30" xfId="3" applyBorder="1" applyAlignment="1">
      <alignment wrapText="1"/>
    </xf>
    <xf numFmtId="0" fontId="11" fillId="0" borderId="31" xfId="0" applyFont="1" applyBorder="1" applyAlignment="1">
      <alignment horizontal="left" vertical="center" wrapText="1"/>
    </xf>
    <xf numFmtId="0" fontId="0" fillId="0" borderId="30" xfId="0" applyBorder="1"/>
    <xf numFmtId="0" fontId="3" fillId="0" borderId="41" xfId="3" applyBorder="1" applyAlignment="1">
      <alignment horizontal="center"/>
    </xf>
    <xf numFmtId="0" fontId="3" fillId="0" borderId="42" xfId="3" applyBorder="1" applyAlignment="1">
      <alignment horizontal="center"/>
    </xf>
    <xf numFmtId="0" fontId="3" fillId="0" borderId="30" xfId="3" applyBorder="1" applyAlignment="1">
      <alignment horizontal="center"/>
    </xf>
    <xf numFmtId="0" fontId="3" fillId="0" borderId="31" xfId="3" applyBorder="1" applyAlignment="1">
      <alignment horizontal="center"/>
    </xf>
    <xf numFmtId="0" fontId="3" fillId="0" borderId="32" xfId="3" applyBorder="1" applyAlignment="1">
      <alignment horizontal="center"/>
    </xf>
    <xf numFmtId="0" fontId="3" fillId="0" borderId="33" xfId="3" applyBorder="1" applyAlignment="1">
      <alignment horizontal="center"/>
    </xf>
    <xf numFmtId="0" fontId="11" fillId="0" borderId="43" xfId="0" applyFont="1" applyBorder="1" applyAlignment="1">
      <alignment horizontal="center" vertical="center" wrapText="1"/>
    </xf>
    <xf numFmtId="0" fontId="11" fillId="0" borderId="42" xfId="0" applyFont="1" applyBorder="1" applyAlignment="1">
      <alignment horizontal="left" vertical="center" wrapText="1"/>
    </xf>
    <xf numFmtId="9" fontId="11" fillId="0" borderId="37" xfId="0" applyNumberFormat="1" applyFont="1" applyBorder="1" applyAlignment="1">
      <alignment horizontal="center" vertical="center" wrapText="1"/>
    </xf>
    <xf numFmtId="0" fontId="0" fillId="0" borderId="41" xfId="0" applyBorder="1"/>
    <xf numFmtId="0" fontId="0" fillId="0" borderId="42" xfId="0" applyBorder="1"/>
    <xf numFmtId="0" fontId="0" fillId="0" borderId="38" xfId="0" applyBorder="1" applyAlignment="1">
      <alignment horizontal="center"/>
    </xf>
    <xf numFmtId="9" fontId="0" fillId="0" borderId="31" xfId="0" applyNumberFormat="1" applyBorder="1" applyAlignment="1">
      <alignment horizontal="center"/>
    </xf>
    <xf numFmtId="9" fontId="0" fillId="0" borderId="38" xfId="0" applyNumberFormat="1" applyBorder="1" applyAlignment="1">
      <alignment horizontal="center"/>
    </xf>
    <xf numFmtId="9" fontId="0" fillId="0" borderId="33" xfId="0" applyNumberFormat="1" applyBorder="1" applyAlignment="1">
      <alignment horizontal="center"/>
    </xf>
    <xf numFmtId="44" fontId="0" fillId="0" borderId="31" xfId="1" applyFont="1" applyBorder="1"/>
    <xf numFmtId="44" fontId="0" fillId="0" borderId="33" xfId="1" applyFont="1" applyBorder="1"/>
    <xf numFmtId="0" fontId="0" fillId="0" borderId="32" xfId="0" applyBorder="1"/>
    <xf numFmtId="0" fontId="0" fillId="10" borderId="0" xfId="0" applyFill="1"/>
    <xf numFmtId="0" fontId="0" fillId="10" borderId="0" xfId="0" applyFill="1" applyAlignment="1">
      <alignment horizontal="center"/>
    </xf>
    <xf numFmtId="9" fontId="0" fillId="10" borderId="0" xfId="2" applyFont="1" applyFill="1" applyAlignment="1">
      <alignment horizontal="center"/>
    </xf>
    <xf numFmtId="1" fontId="0" fillId="10" borderId="0" xfId="0" applyNumberFormat="1" applyFill="1" applyAlignment="1">
      <alignment horizontal="center"/>
    </xf>
    <xf numFmtId="14" fontId="0" fillId="10" borderId="0" xfId="0" applyNumberFormat="1" applyFill="1"/>
    <xf numFmtId="44" fontId="0" fillId="10" borderId="0" xfId="1" applyFont="1" applyFill="1"/>
    <xf numFmtId="43" fontId="0" fillId="10" borderId="0" xfId="5" applyNumberFormat="1" applyFont="1" applyFill="1" applyAlignment="1">
      <alignment horizontal="center"/>
    </xf>
    <xf numFmtId="43" fontId="0" fillId="10" borderId="0" xfId="5" applyFont="1" applyFill="1" applyAlignment="1">
      <alignment horizontal="center"/>
    </xf>
    <xf numFmtId="43" fontId="0" fillId="0" borderId="0" xfId="5" applyFont="1" applyAlignment="1">
      <alignment horizontal="center"/>
    </xf>
    <xf numFmtId="4" fontId="0" fillId="0" borderId="0" xfId="0" applyNumberFormat="1"/>
    <xf numFmtId="4" fontId="0" fillId="0" borderId="0" xfId="0" applyNumberFormat="1" applyAlignment="1">
      <alignment vertical="center"/>
    </xf>
    <xf numFmtId="44" fontId="0" fillId="0" borderId="0" xfId="1" applyFont="1" applyAlignment="1">
      <alignment horizontal="center" vertical="center"/>
    </xf>
    <xf numFmtId="0" fontId="3" fillId="0" borderId="0" xfId="3" applyNumberFormat="1"/>
    <xf numFmtId="0" fontId="0" fillId="0" borderId="0" xfId="0" applyNumberFormat="1" applyAlignment="1">
      <alignment horizontal="left"/>
    </xf>
    <xf numFmtId="0" fontId="0" fillId="0" borderId="0" xfId="0" applyNumberFormat="1" applyAlignment="1"/>
    <xf numFmtId="0" fontId="0" fillId="11" borderId="0" xfId="0" applyFill="1" applyAlignment="1">
      <alignment horizontal="center"/>
    </xf>
    <xf numFmtId="0" fontId="0" fillId="0" borderId="0" xfId="0" applyNumberFormat="1" applyAlignment="1">
      <alignment wrapText="1"/>
    </xf>
    <xf numFmtId="1" fontId="0" fillId="0" borderId="0" xfId="0" applyNumberFormat="1" applyAlignment="1">
      <alignment horizontal="center" wrapText="1"/>
    </xf>
    <xf numFmtId="22" fontId="0" fillId="0" borderId="0" xfId="0" applyNumberFormat="1" applyAlignment="1">
      <alignment wrapText="1"/>
    </xf>
    <xf numFmtId="0" fontId="0" fillId="10" borderId="0" xfId="0" applyFill="1" applyAlignment="1">
      <alignment wrapText="1"/>
    </xf>
    <xf numFmtId="0" fontId="0" fillId="10" borderId="0" xfId="0" applyFill="1" applyAlignment="1">
      <alignment horizontal="center" wrapText="1"/>
    </xf>
    <xf numFmtId="0" fontId="0" fillId="10" borderId="0" xfId="0" applyNumberFormat="1" applyFill="1" applyAlignment="1">
      <alignment wrapText="1"/>
    </xf>
    <xf numFmtId="22" fontId="0" fillId="10" borderId="0" xfId="0" applyNumberFormat="1" applyFill="1" applyAlignment="1">
      <alignment wrapText="1"/>
    </xf>
    <xf numFmtId="44" fontId="2" fillId="10" borderId="0" xfId="1" applyFont="1" applyFill="1" applyAlignment="1">
      <alignment wrapText="1"/>
    </xf>
    <xf numFmtId="9" fontId="0" fillId="10" borderId="0" xfId="2" applyFont="1" applyFill="1" applyAlignment="1">
      <alignment horizontal="center" wrapText="1"/>
    </xf>
    <xf numFmtId="1" fontId="0" fillId="10" borderId="0" xfId="0" applyNumberFormat="1" applyFill="1" applyAlignment="1">
      <alignment horizontal="center" wrapText="1"/>
    </xf>
    <xf numFmtId="44" fontId="2" fillId="0" borderId="0" xfId="1" applyFont="1" applyAlignment="1">
      <alignment wrapText="1"/>
    </xf>
    <xf numFmtId="0" fontId="0" fillId="0" borderId="44" xfId="0" applyBorder="1" applyAlignment="1">
      <alignment horizontal="center"/>
    </xf>
    <xf numFmtId="0" fontId="0" fillId="0" borderId="45" xfId="0" applyBorder="1" applyAlignment="1">
      <alignment horizontal="center"/>
    </xf>
    <xf numFmtId="0" fontId="11" fillId="0" borderId="46" xfId="0" applyFont="1" applyBorder="1" applyAlignment="1">
      <alignment horizontal="left" vertical="center" wrapText="1"/>
    </xf>
    <xf numFmtId="0" fontId="0" fillId="0" borderId="47" xfId="0" applyBorder="1"/>
    <xf numFmtId="0" fontId="11" fillId="0" borderId="48" xfId="0" applyFont="1" applyBorder="1" applyAlignment="1">
      <alignment horizontal="center" vertical="center" wrapText="1"/>
    </xf>
    <xf numFmtId="44" fontId="0" fillId="0" borderId="30" xfId="1" applyFont="1" applyBorder="1"/>
    <xf numFmtId="0" fontId="0" fillId="0" borderId="48" xfId="0" applyBorder="1"/>
    <xf numFmtId="0" fontId="0" fillId="0" borderId="46" xfId="0" applyBorder="1"/>
    <xf numFmtId="0" fontId="0" fillId="0" borderId="38" xfId="0" applyBorder="1"/>
  </cellXfs>
  <cellStyles count="6">
    <cellStyle name="Collegamento ipertestuale" xfId="4" builtinId="8"/>
    <cellStyle name="Migliaia" xfId="5" builtinId="3"/>
    <cellStyle name="Normale" xfId="0" builtinId="0"/>
    <cellStyle name="Normale 2" xfId="3" xr:uid="{00000000-0005-0000-0000-000003000000}"/>
    <cellStyle name="Percentuale" xfId="2" builtinId="5"/>
    <cellStyle name="Valuta" xfId="1" builtinId="4"/>
  </cellStyles>
  <dxfs count="122">
    <dxf>
      <numFmt numFmtId="27" formatCode="dd/mm/yyyy\ hh:mm"/>
      <alignment horizontal="center" vertical="bottom" textRotation="0" wrapText="0" indent="0" justifyLastLine="0" shrinkToFit="0" readingOrder="0"/>
    </dxf>
    <dxf>
      <numFmt numFmtId="27" formatCode="dd/mm/yyyy\ hh:mm"/>
      <alignment horizontal="center" vertical="bottom" textRotation="0" wrapText="0" indent="0" justifyLastLine="0" shrinkToFit="0" readingOrder="0"/>
    </dxf>
    <dxf>
      <numFmt numFmtId="0" formatCode="General"/>
    </dxf>
    <dxf>
      <numFmt numFmtId="0" formatCode="General"/>
    </dxf>
    <dxf>
      <numFmt numFmtId="0" formatCode="General"/>
    </dxf>
    <dxf>
      <numFmt numFmtId="0" formatCode="General"/>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27" formatCode="dd/mm/yyyy\ hh:mm"/>
    </dxf>
    <dxf>
      <numFmt numFmtId="0" formatCode="General"/>
    </dxf>
    <dxf>
      <numFmt numFmtId="0" formatCode="General"/>
    </dxf>
    <dxf>
      <numFmt numFmtId="0" formatCode="General"/>
    </dxf>
    <dxf>
      <numFmt numFmtId="0" formatCode="General"/>
    </dxf>
    <dxf>
      <alignment vertical="bottom" textRotation="0" wrapText="1"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1" indent="0" justifyLastLine="0" shrinkToFit="0" readingOrder="0"/>
    </dxf>
    <dxf>
      <alignment horizontal="center" vertical="bottom" textRotation="0" wrapText="1" indent="0" justifyLastLine="0" shrinkToFit="0" readingOrder="0"/>
    </dxf>
    <dxf>
      <alignment horizontal="general" vertical="bottom" textRotation="0" wrapText="1" indent="0" justifyLastLine="0" shrinkToFit="0" readingOrder="0"/>
    </dxf>
    <dxf>
      <alignment horizontal="center" vertical="bottom" textRotation="0" wrapText="1" indent="0" justifyLastLine="0" shrinkToFit="0" readingOrder="0"/>
    </dxf>
    <dxf>
      <numFmt numFmtId="13"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4" formatCode="_-* #,##0.00\ &quot;€&quot;_-;\-* #,##0.00\ &quot;€&quot;_-;_-* &quot;-&quot;??\ &quot;€&quot;_-;_-@_-"/>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dxf>
    <dxf>
      <numFmt numFmtId="0" formatCode="General"/>
    </dxf>
    <dxf>
      <numFmt numFmtId="0" formatCode="General"/>
    </dxf>
    <dxf>
      <numFmt numFmtId="0" formatCode="General"/>
    </dxf>
    <dxf>
      <alignment vertical="bottom"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right style="thin">
          <color indexed="64"/>
        </right>
        <bottom style="thin">
          <color indexed="64"/>
        </bottom>
      </border>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numFmt numFmtId="34" formatCode="_-* #,##0.00\ &quot;€&quot;_-;\-* #,##0.00\ &quot;€&quot;_-;_-* &quot;-&quot;??\ &quot;€&quot;_-;_-@_-"/>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4" formatCode="_-* #,##0.00\ &quot;€&quot;_-;\-* #,##0.00\ &quot;€&quot;_-;_-* &quot;-&quot;??\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bottom style="thin">
          <color indexed="64"/>
        </bottom>
      </border>
    </dxf>
    <dxf>
      <alignment horizontal="center" vertical="bottom" textRotation="0" wrapText="1" indent="0" justifyLastLine="0" shrinkToFit="0" readingOrder="0"/>
      <border diagonalUp="0" diagonalDown="0" outline="0">
        <left style="thin">
          <color indexed="64"/>
        </left>
        <right style="thin">
          <color indexed="64"/>
        </right>
        <top/>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4"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numFmt numFmtId="34" formatCode="_-* #,##0.00\ &quot;€&quot;_-;\-* #,##0.00\ &quot;€&quot;_-;_-* &quot;-&quot;??\ &quot;€&quot;_-;_-@_-"/>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center" vertical="bottom" textRotation="0" indent="0" justifyLastLine="0" shrinkToFit="0" readingOrder="0"/>
    </dxf>
    <dxf>
      <alignment horizontal="center" vertical="bottom" textRotation="0" wrapText="1" indent="0" justifyLastLine="0" shrinkToFit="0" readingOrder="0"/>
    </dxf>
    <dxf>
      <numFmt numFmtId="14" formatCode="0.00%"/>
      <alignment horizontal="general" vertical="bottom" textRotation="0" wrapText="1" indent="0" justifyLastLine="0" shrinkToFit="0" readingOrder="0"/>
    </dxf>
    <dxf>
      <numFmt numFmtId="0" formatCode="General"/>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alignment horizontal="center" vertical="bottom" textRotation="0" wrapText="0" indent="0" justifyLastLine="0" shrinkToFit="0" readingOrder="0"/>
    </dxf>
    <dxf>
      <alignment horizontal="center" vertical="bottom" textRotation="0" wrapText="1" indent="0" justifyLastLine="0" shrinkToFit="0" readingOrder="0"/>
    </dxf>
    <dxf>
      <alignment horizontal="center" vertical="bottom" textRotation="0" wrapText="1" indent="0" justifyLastLine="0" shrinkToFit="0" readingOrder="0"/>
    </dxf>
    <dxf>
      <numFmt numFmtId="1" formatCode="0"/>
      <alignment horizontal="center" vertical="bottom" textRotation="0" wrapText="1" indent="0" justifyLastLine="0" shrinkToFit="0" readingOrder="0"/>
    </dxf>
    <dxf>
      <numFmt numFmtId="1" formatCode="0"/>
      <alignment horizontal="center" vertical="bottom" textRotation="0" wrapText="1" indent="0" justifyLastLine="0" shrinkToFit="0" readingOrder="0"/>
    </dxf>
    <dxf>
      <alignment horizontal="center" vertical="bottom" textRotation="0" wrapText="1" indent="0" justifyLastLine="0" shrinkToFit="0" readingOrder="0"/>
    </dxf>
    <dxf>
      <font>
        <b val="0"/>
        <i val="0"/>
        <strike val="0"/>
        <condense val="0"/>
        <extend val="0"/>
        <outline val="0"/>
        <shadow val="0"/>
        <u val="none"/>
        <vertAlign val="baseline"/>
        <sz val="11"/>
        <color theme="1"/>
        <name val="Calibri"/>
        <scheme val="minor"/>
      </font>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horizontal="center" vertical="bottom" textRotation="0" wrapText="1" indent="0" justifyLastLine="0" shrinkToFit="0" readingOrder="0"/>
    </dxf>
    <dxf>
      <alignment horizontal="center" vertical="bottom"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numFmt numFmtId="27" formatCode="dd/mm/yyyy\ hh:mm"/>
      <alignment textRotation="0" wrapText="1" indent="0" justifyLastLine="0" shrinkToFit="0" readingOrder="0"/>
    </dxf>
    <dxf>
      <alignment textRotation="0" wrapText="1" indent="0" justifyLastLine="0" shrinkToFit="0" readingOrder="0"/>
    </dxf>
    <dxf>
      <numFmt numFmtId="27" formatCode="dd/mm/yyyy\ hh:mm"/>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numFmt numFmtId="0" formatCode="General"/>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366861244817896"/>
          <c:y val="0.13600775193798451"/>
          <c:w val="0.44060042848000891"/>
          <c:h val="0.72494140267350304"/>
        </c:manualLayout>
      </c:layout>
      <c:pieChart>
        <c:varyColors val="1"/>
        <c:ser>
          <c:idx val="0"/>
          <c:order val="0"/>
          <c:tx>
            <c:strRef>
              <c:f>'SummaryNOT_VALIDATED-BL'!$C$1</c:f>
              <c:strCache>
                <c:ptCount val="1"/>
                <c:pt idx="0">
                  <c:v>TOTAL reported amount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E53-47AE-A952-E248A2B6D36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E53-47AE-A952-E248A2B6D36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E53-47AE-A952-E248A2B6D36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E53-47AE-A952-E248A2B6D36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E53-47AE-A952-E248A2B6D36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E53-47AE-A952-E248A2B6D36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E53-47AE-A952-E248A2B6D36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6E53-47AE-A952-E248A2B6D36C}"/>
              </c:ext>
            </c:extLst>
          </c:dPt>
          <c:cat>
            <c:strRef>
              <c:f>'SummaryNOT_VALIDATED-BL'!$B$2:$B$9</c:f>
              <c:strCache>
                <c:ptCount val="8"/>
                <c:pt idx="0">
                  <c:v>BL1</c:v>
                </c:pt>
                <c:pt idx="1">
                  <c:v>BL2</c:v>
                </c:pt>
                <c:pt idx="2">
                  <c:v>BL3</c:v>
                </c:pt>
                <c:pt idx="3">
                  <c:v>BL4</c:v>
                </c:pt>
                <c:pt idx="4">
                  <c:v>BL5</c:v>
                </c:pt>
                <c:pt idx="5">
                  <c:v>BL6</c:v>
                </c:pt>
                <c:pt idx="6">
                  <c:v>COSTI Preparatori</c:v>
                </c:pt>
                <c:pt idx="7">
                  <c:v>Altri costi</c:v>
                </c:pt>
              </c:strCache>
            </c:strRef>
          </c:cat>
          <c:val>
            <c:numRef>
              <c:f>'SummaryNOT_VALIDATED-BL'!$C$2:$C$9</c:f>
              <c:numCache>
                <c:formatCode>_("€"* #,##0.00_);_("€"* \(#,##0.00\);_("€"* "-"??_);_(@_)</c:formatCode>
                <c:ptCount val="8"/>
                <c:pt idx="0">
                  <c:v>2499616.4400000009</c:v>
                </c:pt>
                <c:pt idx="1">
                  <c:v>65981.73</c:v>
                </c:pt>
                <c:pt idx="2">
                  <c:v>248719.87999999995</c:v>
                </c:pt>
                <c:pt idx="3">
                  <c:v>606261.72000000009</c:v>
                </c:pt>
                <c:pt idx="4">
                  <c:v>334166.50999999989</c:v>
                </c:pt>
                <c:pt idx="5">
                  <c:v>157371.24</c:v>
                </c:pt>
                <c:pt idx="6">
                  <c:v>225000</c:v>
                </c:pt>
                <c:pt idx="7">
                  <c:v>321396.78000000003</c:v>
                </c:pt>
              </c:numCache>
            </c:numRef>
          </c:val>
          <c:extLst>
            <c:ext xmlns:c16="http://schemas.microsoft.com/office/drawing/2014/chart" uri="{C3380CC4-5D6E-409C-BE32-E72D297353CC}">
              <c16:uniqueId val="{00000010-6E53-47AE-A952-E248A2B6D36C}"/>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3606277340332457"/>
          <c:y val="0.14977011494252876"/>
          <c:w val="0.52787467191601045"/>
          <c:h val="0.72810299574622139"/>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4EE-4782-8B23-07DB5C686D8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4EE-4782-8B23-07DB5C686D88}"/>
              </c:ext>
            </c:extLst>
          </c:dPt>
          <c:cat>
            <c:strRef>
              <c:extLst>
                <c:ext xmlns:c15="http://schemas.microsoft.com/office/drawing/2012/chart" uri="{02D57815-91ED-43cb-92C2-25804820EDAC}">
                  <c15:fullRef>
                    <c15:sqref>'SummaryNOT_VALIDATED-BL'!$B$56:$G$56</c15:sqref>
                  </c15:fullRef>
                </c:ext>
              </c:extLst>
              <c:f>('SummaryNOT_VALIDATED-BL'!$C$56,'SummaryNOT_VALIDATED-BL'!$G$56)</c:f>
              <c:strCache>
                <c:ptCount val="2"/>
                <c:pt idx="0">
                  <c:v>Totale Rendicontato ITA</c:v>
                </c:pt>
                <c:pt idx="1">
                  <c:v>Totale Rendicontato SLO</c:v>
                </c:pt>
              </c:strCache>
            </c:strRef>
          </c:cat>
          <c:val>
            <c:numRef>
              <c:extLst>
                <c:ext xmlns:c15="http://schemas.microsoft.com/office/drawing/2012/chart" uri="{02D57815-91ED-43cb-92C2-25804820EDAC}">
                  <c15:fullRef>
                    <c15:sqref>'SummaryNOT_VALIDATED-BL'!$B$57:$G$57</c15:sqref>
                  </c15:fullRef>
                </c:ext>
              </c:extLst>
              <c:f>('SummaryNOT_VALIDATED-BL'!$C$57,'SummaryNOT_VALIDATED-BL'!$G$57)</c:f>
              <c:numCache>
                <c:formatCode>_("€"* #,##0.00_);_("€"* \(#,##0.00\);_("€"* "-"??_);_(@_)</c:formatCode>
                <c:ptCount val="2"/>
                <c:pt idx="0">
                  <c:v>1016884.0900000001</c:v>
                </c:pt>
                <c:pt idx="1">
                  <c:v>1211111.4199999997</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4-94EE-4782-8B23-07DB5C686D88}"/>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6-94EE-4782-8B23-07DB5C686D8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8-94EE-4782-8B23-07DB5C686D88}"/>
              </c:ext>
            </c:extLst>
          </c:dPt>
          <c:cat>
            <c:strRef>
              <c:extLst>
                <c:ext xmlns:c15="http://schemas.microsoft.com/office/drawing/2012/chart" uri="{02D57815-91ED-43cb-92C2-25804820EDAC}">
                  <c15:fullRef>
                    <c15:sqref>'SummaryNOT_VALIDATED-BL'!$B$56:$G$56</c15:sqref>
                  </c15:fullRef>
                </c:ext>
              </c:extLst>
              <c:f>('SummaryNOT_VALIDATED-BL'!$C$56,'SummaryNOT_VALIDATED-BL'!$G$56)</c:f>
              <c:strCache>
                <c:ptCount val="2"/>
                <c:pt idx="0">
                  <c:v>Totale Rendicontato ITA</c:v>
                </c:pt>
                <c:pt idx="1">
                  <c:v>Totale Rendicontato SLO</c:v>
                </c:pt>
              </c:strCache>
            </c:strRef>
          </c:cat>
          <c:val>
            <c:numRef>
              <c:extLst>
                <c:ext xmlns:c15="http://schemas.microsoft.com/office/drawing/2012/chart" uri="{02D57815-91ED-43cb-92C2-25804820EDAC}">
                  <c15:fullRef>
                    <c15:sqref>'SummaryNOT_VALIDATED-BL'!$B$58:$G$58</c15:sqref>
                  </c15:fullRef>
                </c:ext>
              </c:extLst>
              <c:f>('SummaryNOT_VALIDATED-BL'!$C$58,'SummaryNOT_VALIDATED-BL'!$G$58)</c:f>
              <c:numCache>
                <c:formatCode>_("€"* #,##0.00_);_("€"* \(#,##0.00\);_("€"* "-"??_);_(@_)</c:formatCode>
                <c:ptCount val="2"/>
                <c:pt idx="0">
                  <c:v>28380.589999999993</c:v>
                </c:pt>
                <c:pt idx="1">
                  <c:v>31507.8</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9-94EE-4782-8B23-07DB5C686D88}"/>
            </c:ext>
          </c:extLst>
        </c:ser>
        <c:ser>
          <c:idx val="2"/>
          <c:order val="2"/>
          <c:dPt>
            <c:idx val="0"/>
            <c:bubble3D val="0"/>
            <c:spPr>
              <a:solidFill>
                <a:schemeClr val="accent1"/>
              </a:solidFill>
              <a:ln w="19050">
                <a:solidFill>
                  <a:schemeClr val="lt1"/>
                </a:solidFill>
              </a:ln>
              <a:effectLst/>
            </c:spPr>
            <c:extLst>
              <c:ext xmlns:c16="http://schemas.microsoft.com/office/drawing/2014/chart" uri="{C3380CC4-5D6E-409C-BE32-E72D297353CC}">
                <c16:uniqueId val="{0000000B-94EE-4782-8B23-07DB5C686D8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D-94EE-4782-8B23-07DB5C686D88}"/>
              </c:ext>
            </c:extLst>
          </c:dPt>
          <c:cat>
            <c:strRef>
              <c:extLst>
                <c:ext xmlns:c15="http://schemas.microsoft.com/office/drawing/2012/chart" uri="{02D57815-91ED-43cb-92C2-25804820EDAC}">
                  <c15:fullRef>
                    <c15:sqref>'SummaryNOT_VALIDATED-BL'!$B$56:$G$56</c15:sqref>
                  </c15:fullRef>
                </c:ext>
              </c:extLst>
              <c:f>('SummaryNOT_VALIDATED-BL'!$C$56,'SummaryNOT_VALIDATED-BL'!$G$56)</c:f>
              <c:strCache>
                <c:ptCount val="2"/>
                <c:pt idx="0">
                  <c:v>Totale Rendicontato ITA</c:v>
                </c:pt>
                <c:pt idx="1">
                  <c:v>Totale Rendicontato SLO</c:v>
                </c:pt>
              </c:strCache>
            </c:strRef>
          </c:cat>
          <c:val>
            <c:numRef>
              <c:extLst>
                <c:ext xmlns:c15="http://schemas.microsoft.com/office/drawing/2012/chart" uri="{02D57815-91ED-43cb-92C2-25804820EDAC}">
                  <c15:fullRef>
                    <c15:sqref>'SummaryNOT_VALIDATED-BL'!$B$59:$G$59</c15:sqref>
                  </c15:fullRef>
                </c:ext>
              </c:extLst>
              <c:f>('SummaryNOT_VALIDATED-BL'!$C$59,'SummaryNOT_VALIDATED-BL'!$G$59)</c:f>
              <c:numCache>
                <c:formatCode>_("€"* #,##0.00_);_("€"* \(#,##0.00\);_("€"* "-"??_);_(@_)</c:formatCode>
                <c:ptCount val="2"/>
                <c:pt idx="0">
                  <c:v>106902.24</c:v>
                </c:pt>
                <c:pt idx="1">
                  <c:v>118374.31999999999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E-94EE-4782-8B23-07DB5C686D88}"/>
            </c:ext>
          </c:extLst>
        </c:ser>
        <c:ser>
          <c:idx val="3"/>
          <c:order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10-94EE-4782-8B23-07DB5C686D8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2-94EE-4782-8B23-07DB5C686D88}"/>
              </c:ext>
            </c:extLst>
          </c:dPt>
          <c:cat>
            <c:strRef>
              <c:extLst>
                <c:ext xmlns:c15="http://schemas.microsoft.com/office/drawing/2012/chart" uri="{02D57815-91ED-43cb-92C2-25804820EDAC}">
                  <c15:fullRef>
                    <c15:sqref>'SummaryNOT_VALIDATED-BL'!$B$56:$G$56</c15:sqref>
                  </c15:fullRef>
                </c:ext>
              </c:extLst>
              <c:f>('SummaryNOT_VALIDATED-BL'!$C$56,'SummaryNOT_VALIDATED-BL'!$G$56)</c:f>
              <c:strCache>
                <c:ptCount val="2"/>
                <c:pt idx="0">
                  <c:v>Totale Rendicontato ITA</c:v>
                </c:pt>
                <c:pt idx="1">
                  <c:v>Totale Rendicontato SLO</c:v>
                </c:pt>
              </c:strCache>
            </c:strRef>
          </c:cat>
          <c:val>
            <c:numRef>
              <c:extLst>
                <c:ext xmlns:c15="http://schemas.microsoft.com/office/drawing/2012/chart" uri="{02D57815-91ED-43cb-92C2-25804820EDAC}">
                  <c15:fullRef>
                    <c15:sqref>'SummaryNOT_VALIDATED-BL'!$B$60:$G$60</c15:sqref>
                  </c15:fullRef>
                </c:ext>
              </c:extLst>
              <c:f>('SummaryNOT_VALIDATED-BL'!$C$60,'SummaryNOT_VALIDATED-BL'!$G$60)</c:f>
              <c:numCache>
                <c:formatCode>_("€"* #,##0.00_);_("€"* \(#,##0.00\);_("€"* "-"??_);_(@_)</c:formatCode>
                <c:ptCount val="2"/>
                <c:pt idx="0">
                  <c:v>239226.65</c:v>
                </c:pt>
                <c:pt idx="1">
                  <c:v>299743.44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3-94EE-4782-8B23-07DB5C686D88}"/>
            </c:ext>
          </c:extLst>
        </c:ser>
        <c:ser>
          <c:idx val="4"/>
          <c:order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15-94EE-4782-8B23-07DB5C686D8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94EE-4782-8B23-07DB5C686D88}"/>
              </c:ext>
            </c:extLst>
          </c:dPt>
          <c:cat>
            <c:strRef>
              <c:extLst>
                <c:ext xmlns:c15="http://schemas.microsoft.com/office/drawing/2012/chart" uri="{02D57815-91ED-43cb-92C2-25804820EDAC}">
                  <c15:fullRef>
                    <c15:sqref>'SummaryNOT_VALIDATED-BL'!$B$56:$G$56</c15:sqref>
                  </c15:fullRef>
                </c:ext>
              </c:extLst>
              <c:f>('SummaryNOT_VALIDATED-BL'!$C$56,'SummaryNOT_VALIDATED-BL'!$G$56)</c:f>
              <c:strCache>
                <c:ptCount val="2"/>
                <c:pt idx="0">
                  <c:v>Totale Rendicontato ITA</c:v>
                </c:pt>
                <c:pt idx="1">
                  <c:v>Totale Rendicontato SLO</c:v>
                </c:pt>
              </c:strCache>
            </c:strRef>
          </c:cat>
          <c:val>
            <c:numRef>
              <c:extLst>
                <c:ext xmlns:c15="http://schemas.microsoft.com/office/drawing/2012/chart" uri="{02D57815-91ED-43cb-92C2-25804820EDAC}">
                  <c15:fullRef>
                    <c15:sqref>'SummaryNOT_VALIDATED-BL'!$B$61:$G$61</c15:sqref>
                  </c15:fullRef>
                </c:ext>
              </c:extLst>
              <c:f>('SummaryNOT_VALIDATED-BL'!$C$61,'SummaryNOT_VALIDATED-BL'!$G$61)</c:f>
              <c:numCache>
                <c:formatCode>_("€"* #,##0.00_);_("€"* \(#,##0.00\);_("€"* "-"??_);_(@_)</c:formatCode>
                <c:ptCount val="2"/>
                <c:pt idx="0">
                  <c:v>44602.59</c:v>
                </c:pt>
                <c:pt idx="1">
                  <c:v>251040.77999999997</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8-94EE-4782-8B23-07DB5C686D88}"/>
            </c:ext>
          </c:extLst>
        </c:ser>
        <c:ser>
          <c:idx val="5"/>
          <c:order val="5"/>
          <c:dPt>
            <c:idx val="0"/>
            <c:bubble3D val="0"/>
            <c:spPr>
              <a:solidFill>
                <a:schemeClr val="accent1"/>
              </a:solidFill>
              <a:ln w="19050">
                <a:solidFill>
                  <a:schemeClr val="lt1"/>
                </a:solidFill>
              </a:ln>
              <a:effectLst/>
            </c:spPr>
            <c:extLst>
              <c:ext xmlns:c16="http://schemas.microsoft.com/office/drawing/2014/chart" uri="{C3380CC4-5D6E-409C-BE32-E72D297353CC}">
                <c16:uniqueId val="{0000001A-94EE-4782-8B23-07DB5C686D8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94EE-4782-8B23-07DB5C686D88}"/>
              </c:ext>
            </c:extLst>
          </c:dPt>
          <c:cat>
            <c:strRef>
              <c:extLst>
                <c:ext xmlns:c15="http://schemas.microsoft.com/office/drawing/2012/chart" uri="{02D57815-91ED-43cb-92C2-25804820EDAC}">
                  <c15:fullRef>
                    <c15:sqref>'SummaryNOT_VALIDATED-BL'!$B$56:$G$56</c15:sqref>
                  </c15:fullRef>
                </c:ext>
              </c:extLst>
              <c:f>('SummaryNOT_VALIDATED-BL'!$C$56,'SummaryNOT_VALIDATED-BL'!$G$56)</c:f>
              <c:strCache>
                <c:ptCount val="2"/>
                <c:pt idx="0">
                  <c:v>Totale Rendicontato ITA</c:v>
                </c:pt>
                <c:pt idx="1">
                  <c:v>Totale Rendicontato SLO</c:v>
                </c:pt>
              </c:strCache>
            </c:strRef>
          </c:cat>
          <c:val>
            <c:numRef>
              <c:extLst>
                <c:ext xmlns:c15="http://schemas.microsoft.com/office/drawing/2012/chart" uri="{02D57815-91ED-43cb-92C2-25804820EDAC}">
                  <c15:fullRef>
                    <c15:sqref>'SummaryNOT_VALIDATED-BL'!$B$62:$G$62</c15:sqref>
                  </c15:fullRef>
                </c:ext>
              </c:extLst>
              <c:f>('SummaryNOT_VALIDATED-BL'!$C$62,'SummaryNOT_VALIDATED-BL'!$G$62)</c:f>
              <c:numCache>
                <c:formatCode>_("€"* #,##0.00_);_("€"* \(#,##0.00\);_("€"* "-"??_);_(@_)</c:formatCode>
                <c:ptCount val="2"/>
                <c:pt idx="0">
                  <c:v>16724.419999999998</c:v>
                </c:pt>
                <c:pt idx="1">
                  <c:v>140646.82</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D-94EE-4782-8B23-07DB5C686D88}"/>
            </c:ext>
          </c:extLst>
        </c:ser>
        <c:ser>
          <c:idx val="6"/>
          <c:order val="6"/>
          <c:dPt>
            <c:idx val="0"/>
            <c:bubble3D val="0"/>
            <c:spPr>
              <a:solidFill>
                <a:schemeClr val="accent1"/>
              </a:solidFill>
              <a:ln w="19050">
                <a:solidFill>
                  <a:schemeClr val="lt1"/>
                </a:solidFill>
              </a:ln>
              <a:effectLst/>
            </c:spPr>
            <c:extLst>
              <c:ext xmlns:c16="http://schemas.microsoft.com/office/drawing/2014/chart" uri="{C3380CC4-5D6E-409C-BE32-E72D297353CC}">
                <c16:uniqueId val="{0000001F-94EE-4782-8B23-07DB5C686D8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21-94EE-4782-8B23-07DB5C686D88}"/>
              </c:ext>
            </c:extLst>
          </c:dPt>
          <c:cat>
            <c:strRef>
              <c:extLst>
                <c:ext xmlns:c15="http://schemas.microsoft.com/office/drawing/2012/chart" uri="{02D57815-91ED-43cb-92C2-25804820EDAC}">
                  <c15:fullRef>
                    <c15:sqref>'SummaryNOT_VALIDATED-BL'!$B$56:$G$56</c15:sqref>
                  </c15:fullRef>
                </c:ext>
              </c:extLst>
              <c:f>('SummaryNOT_VALIDATED-BL'!$C$56,'SummaryNOT_VALIDATED-BL'!$G$56)</c:f>
              <c:strCache>
                <c:ptCount val="2"/>
                <c:pt idx="0">
                  <c:v>Totale Rendicontato ITA</c:v>
                </c:pt>
                <c:pt idx="1">
                  <c:v>Totale Rendicontato SLO</c:v>
                </c:pt>
              </c:strCache>
            </c:strRef>
          </c:cat>
          <c:val>
            <c:numRef>
              <c:extLst>
                <c:ext xmlns:c15="http://schemas.microsoft.com/office/drawing/2012/chart" uri="{02D57815-91ED-43cb-92C2-25804820EDAC}">
                  <c15:fullRef>
                    <c15:sqref>'SummaryNOT_VALIDATED-BL'!$B$63:$G$63</c15:sqref>
                  </c15:fullRef>
                </c:ext>
              </c:extLst>
              <c:f>('SummaryNOT_VALIDATED-BL'!$C$63,'SummaryNOT_VALIDATED-BL'!$G$63)</c:f>
              <c:numCache>
                <c:formatCode>_("€"* #,##0.00_);_("€"* \(#,##0.00\);_("€"* "-"??_);_(@_)</c:formatCode>
                <c:ptCount val="2"/>
                <c:pt idx="0">
                  <c:v>99000</c:v>
                </c:pt>
                <c:pt idx="1">
                  <c:v>99000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94EE-4782-8B23-07DB5C686D88}"/>
            </c:ext>
          </c:extLst>
        </c:ser>
        <c:ser>
          <c:idx val="7"/>
          <c:order val="7"/>
          <c:dPt>
            <c:idx val="0"/>
            <c:bubble3D val="0"/>
            <c:spPr>
              <a:solidFill>
                <a:schemeClr val="accent1"/>
              </a:solidFill>
              <a:ln w="19050">
                <a:solidFill>
                  <a:schemeClr val="lt1"/>
                </a:solidFill>
              </a:ln>
              <a:effectLst/>
            </c:spPr>
            <c:extLst>
              <c:ext xmlns:c16="http://schemas.microsoft.com/office/drawing/2014/chart" uri="{C3380CC4-5D6E-409C-BE32-E72D297353CC}">
                <c16:uniqueId val="{00000024-94EE-4782-8B23-07DB5C686D8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26-94EE-4782-8B23-07DB5C686D88}"/>
              </c:ext>
            </c:extLst>
          </c:dPt>
          <c:cat>
            <c:strRef>
              <c:extLst>
                <c:ext xmlns:c15="http://schemas.microsoft.com/office/drawing/2012/chart" uri="{02D57815-91ED-43cb-92C2-25804820EDAC}">
                  <c15:fullRef>
                    <c15:sqref>'SummaryNOT_VALIDATED-BL'!$B$56:$G$56</c15:sqref>
                  </c15:fullRef>
                </c:ext>
              </c:extLst>
              <c:f>('SummaryNOT_VALIDATED-BL'!$C$56,'SummaryNOT_VALIDATED-BL'!$G$56)</c:f>
              <c:strCache>
                <c:ptCount val="2"/>
                <c:pt idx="0">
                  <c:v>Totale Rendicontato ITA</c:v>
                </c:pt>
                <c:pt idx="1">
                  <c:v>Totale Rendicontato SLO</c:v>
                </c:pt>
              </c:strCache>
            </c:strRef>
          </c:cat>
          <c:val>
            <c:numRef>
              <c:extLst>
                <c:ext xmlns:c15="http://schemas.microsoft.com/office/drawing/2012/chart" uri="{02D57815-91ED-43cb-92C2-25804820EDAC}">
                  <c15:fullRef>
                    <c15:sqref>'SummaryNOT_VALIDATED-BL'!$B$64:$G$64</c15:sqref>
                  </c15:fullRef>
                </c:ext>
              </c:extLst>
              <c:f>('SummaryNOT_VALIDATED-BL'!$C$64,'SummaryNOT_VALIDATED-BL'!$G$64)</c:f>
              <c:numCache>
                <c:formatCode>_("€"* #,##0.00_);_("€"* \(#,##0.00\);_("€"* "-"??_);_(@_)</c:formatCode>
                <c:ptCount val="2"/>
                <c:pt idx="0">
                  <c:v>112225.97999999998</c:v>
                </c:pt>
                <c:pt idx="1">
                  <c:v>163038.1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7-94EE-4782-8B23-07DB5C686D88}"/>
            </c:ext>
          </c:extLst>
        </c:ser>
        <c:ser>
          <c:idx val="8"/>
          <c:order val="8"/>
          <c:dPt>
            <c:idx val="0"/>
            <c:bubble3D val="0"/>
            <c:spPr>
              <a:solidFill>
                <a:schemeClr val="accent1"/>
              </a:solidFill>
              <a:ln w="19050">
                <a:solidFill>
                  <a:schemeClr val="lt1"/>
                </a:solidFill>
              </a:ln>
              <a:effectLst/>
            </c:spPr>
            <c:extLst>
              <c:ext xmlns:c16="http://schemas.microsoft.com/office/drawing/2014/chart" uri="{C3380CC4-5D6E-409C-BE32-E72D297353CC}">
                <c16:uniqueId val="{00000029-94EE-4782-8B23-07DB5C686D8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2B-94EE-4782-8B23-07DB5C686D88}"/>
              </c:ext>
            </c:extLst>
          </c:dPt>
          <c:cat>
            <c:strRef>
              <c:extLst>
                <c:ext xmlns:c15="http://schemas.microsoft.com/office/drawing/2012/chart" uri="{02D57815-91ED-43cb-92C2-25804820EDAC}">
                  <c15:fullRef>
                    <c15:sqref>'SummaryNOT_VALIDATED-BL'!$B$56:$G$56</c15:sqref>
                  </c15:fullRef>
                </c:ext>
              </c:extLst>
              <c:f>('SummaryNOT_VALIDATED-BL'!$C$56,'SummaryNOT_VALIDATED-BL'!$G$56)</c:f>
              <c:strCache>
                <c:ptCount val="2"/>
                <c:pt idx="0">
                  <c:v>Totale Rendicontato ITA</c:v>
                </c:pt>
                <c:pt idx="1">
                  <c:v>Totale Rendicontato SLO</c:v>
                </c:pt>
              </c:strCache>
            </c:strRef>
          </c:cat>
          <c:val>
            <c:numRef>
              <c:extLst>
                <c:ext xmlns:c15="http://schemas.microsoft.com/office/drawing/2012/chart" uri="{02D57815-91ED-43cb-92C2-25804820EDAC}">
                  <c15:fullRef>
                    <c15:sqref>'SummaryNOT_VALIDATED-BL'!$B$65:$G$65</c15:sqref>
                  </c15:fullRef>
                </c:ext>
              </c:extLst>
              <c:f>('SummaryNOT_VALIDATED-BL'!$C$65,'SummaryNOT_VALIDATED-BL'!$G$65)</c:f>
              <c:numCache>
                <c:formatCode>_("€"* #,##0.00_);_("€"* \(#,##0.00\);_("€"* "-"??_);_(@_)</c:formatCode>
                <c:ptCount val="2"/>
                <c:pt idx="0">
                  <c:v>1663946.56</c:v>
                </c:pt>
                <c:pt idx="1">
                  <c:v>2314462.6800000002</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C-94EE-4782-8B23-07DB5C686D8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613-47DD-AB81-F19FA61C6A4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613-47DD-AB81-F19FA61C6A43}"/>
              </c:ext>
            </c:extLst>
          </c:dPt>
          <c:cat>
            <c:strRef>
              <c:extLst>
                <c:ext xmlns:c15="http://schemas.microsoft.com/office/drawing/2012/chart" uri="{02D57815-91ED-43cb-92C2-25804820EDAC}">
                  <c15:fullRef>
                    <c15:sqref>'SummaryNOT_VALIDATED-BL'!$B$23:$J$23</c15:sqref>
                  </c15:fullRef>
                </c:ext>
              </c:extLst>
              <c:f>('SummaryNOT_VALIDATED-BL'!$C$23,'SummaryNOT_VALIDATED-BL'!$G$23)</c:f>
              <c:strCache>
                <c:ptCount val="2"/>
                <c:pt idx="0">
                  <c:v>TOTAL reported pubblic </c:v>
                </c:pt>
                <c:pt idx="1">
                  <c:v>TOTAL reported private</c:v>
                </c:pt>
              </c:strCache>
            </c:strRef>
          </c:cat>
          <c:val>
            <c:numRef>
              <c:extLst>
                <c:ext xmlns:c15="http://schemas.microsoft.com/office/drawing/2012/chart" uri="{02D57815-91ED-43cb-92C2-25804820EDAC}">
                  <c15:fullRef>
                    <c15:sqref>'SummaryNOT_VALIDATED-BL'!$B$24:$J$24</c15:sqref>
                  </c15:fullRef>
                </c:ext>
              </c:extLst>
              <c:f>('SummaryNOT_VALIDATED-BL'!$C$24,'SummaryNOT_VALIDATED-BL'!$G$24)</c:f>
              <c:numCache>
                <c:formatCode>_("€"* #,##0.00_);_("€"* \(#,##0.00\);_("€"* "-"??_);_(@_)</c:formatCode>
                <c:ptCount val="2"/>
                <c:pt idx="0">
                  <c:v>1800866.62</c:v>
                </c:pt>
                <c:pt idx="1">
                  <c:v>427128.89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4-F613-47DD-AB81-F19FA61C6A4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6-F613-47DD-AB81-F19FA61C6A4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8-F613-47DD-AB81-F19FA61C6A43}"/>
              </c:ext>
            </c:extLst>
          </c:dPt>
          <c:cat>
            <c:strRef>
              <c:extLst>
                <c:ext xmlns:c15="http://schemas.microsoft.com/office/drawing/2012/chart" uri="{02D57815-91ED-43cb-92C2-25804820EDAC}">
                  <c15:fullRef>
                    <c15:sqref>'SummaryNOT_VALIDATED-BL'!$B$23:$J$23</c15:sqref>
                  </c15:fullRef>
                </c:ext>
              </c:extLst>
              <c:f>('SummaryNOT_VALIDATED-BL'!$C$23,'SummaryNOT_VALIDATED-BL'!$G$23)</c:f>
              <c:strCache>
                <c:ptCount val="2"/>
                <c:pt idx="0">
                  <c:v>TOTAL reported pubblic </c:v>
                </c:pt>
                <c:pt idx="1">
                  <c:v>TOTAL reported private</c:v>
                </c:pt>
              </c:strCache>
            </c:strRef>
          </c:cat>
          <c:val>
            <c:numRef>
              <c:extLst>
                <c:ext xmlns:c15="http://schemas.microsoft.com/office/drawing/2012/chart" uri="{02D57815-91ED-43cb-92C2-25804820EDAC}">
                  <c15:fullRef>
                    <c15:sqref>'SummaryNOT_VALIDATED-BL'!$B$25:$J$25</c15:sqref>
                  </c15:fullRef>
                </c:ext>
              </c:extLst>
              <c:f>('SummaryNOT_VALIDATED-BL'!$C$25,'SummaryNOT_VALIDATED-BL'!$G$25)</c:f>
              <c:numCache>
                <c:formatCode>_("€"* #,##0.00_);_("€"* \(#,##0.00\);_("€"* "-"??_);_(@_)</c:formatCode>
                <c:ptCount val="2"/>
                <c:pt idx="0">
                  <c:v>49170.97</c:v>
                </c:pt>
                <c:pt idx="1">
                  <c:v>10717.420000000002</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9-F613-47DD-AB81-F19FA61C6A43}"/>
            </c:ext>
          </c:extLst>
        </c:ser>
        <c:ser>
          <c:idx val="2"/>
          <c:order val="2"/>
          <c:dPt>
            <c:idx val="0"/>
            <c:bubble3D val="0"/>
            <c:spPr>
              <a:solidFill>
                <a:schemeClr val="accent1"/>
              </a:solidFill>
              <a:ln w="19050">
                <a:solidFill>
                  <a:schemeClr val="lt1"/>
                </a:solidFill>
              </a:ln>
              <a:effectLst/>
            </c:spPr>
            <c:extLst>
              <c:ext xmlns:c16="http://schemas.microsoft.com/office/drawing/2014/chart" uri="{C3380CC4-5D6E-409C-BE32-E72D297353CC}">
                <c16:uniqueId val="{0000000B-F613-47DD-AB81-F19FA61C6A4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D-F613-47DD-AB81-F19FA61C6A43}"/>
              </c:ext>
            </c:extLst>
          </c:dPt>
          <c:cat>
            <c:strRef>
              <c:extLst>
                <c:ext xmlns:c15="http://schemas.microsoft.com/office/drawing/2012/chart" uri="{02D57815-91ED-43cb-92C2-25804820EDAC}">
                  <c15:fullRef>
                    <c15:sqref>'SummaryNOT_VALIDATED-BL'!$B$23:$J$23</c15:sqref>
                  </c15:fullRef>
                </c:ext>
              </c:extLst>
              <c:f>('SummaryNOT_VALIDATED-BL'!$C$23,'SummaryNOT_VALIDATED-BL'!$G$23)</c:f>
              <c:strCache>
                <c:ptCount val="2"/>
                <c:pt idx="0">
                  <c:v>TOTAL reported pubblic </c:v>
                </c:pt>
                <c:pt idx="1">
                  <c:v>TOTAL reported private</c:v>
                </c:pt>
              </c:strCache>
            </c:strRef>
          </c:cat>
          <c:val>
            <c:numRef>
              <c:extLst>
                <c:ext xmlns:c15="http://schemas.microsoft.com/office/drawing/2012/chart" uri="{02D57815-91ED-43cb-92C2-25804820EDAC}">
                  <c15:fullRef>
                    <c15:sqref>'SummaryNOT_VALIDATED-BL'!$B$26:$J$26</c15:sqref>
                  </c15:fullRef>
                </c:ext>
              </c:extLst>
              <c:f>('SummaryNOT_VALIDATED-BL'!$C$26,'SummaryNOT_VALIDATED-BL'!$G$26)</c:f>
              <c:numCache>
                <c:formatCode>_("€"* #,##0.00_);_("€"* \(#,##0.00\);_("€"* "-"??_);_(@_)</c:formatCode>
                <c:ptCount val="2"/>
                <c:pt idx="0">
                  <c:v>184611.38999999998</c:v>
                </c:pt>
                <c:pt idx="1">
                  <c:v>40665.170000000006</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E-F613-47DD-AB81-F19FA61C6A43}"/>
            </c:ext>
          </c:extLst>
        </c:ser>
        <c:ser>
          <c:idx val="3"/>
          <c:order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10-F613-47DD-AB81-F19FA61C6A4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2-F613-47DD-AB81-F19FA61C6A43}"/>
              </c:ext>
            </c:extLst>
          </c:dPt>
          <c:cat>
            <c:strRef>
              <c:extLst>
                <c:ext xmlns:c15="http://schemas.microsoft.com/office/drawing/2012/chart" uri="{02D57815-91ED-43cb-92C2-25804820EDAC}">
                  <c15:fullRef>
                    <c15:sqref>'SummaryNOT_VALIDATED-BL'!$B$23:$J$23</c15:sqref>
                  </c15:fullRef>
                </c:ext>
              </c:extLst>
              <c:f>('SummaryNOT_VALIDATED-BL'!$C$23,'SummaryNOT_VALIDATED-BL'!$G$23)</c:f>
              <c:strCache>
                <c:ptCount val="2"/>
                <c:pt idx="0">
                  <c:v>TOTAL reported pubblic </c:v>
                </c:pt>
                <c:pt idx="1">
                  <c:v>TOTAL reported private</c:v>
                </c:pt>
              </c:strCache>
            </c:strRef>
          </c:cat>
          <c:val>
            <c:numRef>
              <c:extLst>
                <c:ext xmlns:c15="http://schemas.microsoft.com/office/drawing/2012/chart" uri="{02D57815-91ED-43cb-92C2-25804820EDAC}">
                  <c15:fullRef>
                    <c15:sqref>'SummaryNOT_VALIDATED-BL'!$B$27:$J$27</c15:sqref>
                  </c15:fullRef>
                </c:ext>
              </c:extLst>
              <c:f>('SummaryNOT_VALIDATED-BL'!$C$27,'SummaryNOT_VALIDATED-BL'!$G$27)</c:f>
              <c:numCache>
                <c:formatCode>_("€"* #,##0.00_);_("€"* \(#,##0.00\);_("€"* "-"??_);_(@_)</c:formatCode>
                <c:ptCount val="2"/>
                <c:pt idx="0">
                  <c:v>450801.50999999995</c:v>
                </c:pt>
                <c:pt idx="1">
                  <c:v>88168.58</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3-F613-47DD-AB81-F19FA61C6A43}"/>
            </c:ext>
          </c:extLst>
        </c:ser>
        <c:ser>
          <c:idx val="4"/>
          <c:order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15-F613-47DD-AB81-F19FA61C6A4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F613-47DD-AB81-F19FA61C6A43}"/>
              </c:ext>
            </c:extLst>
          </c:dPt>
          <c:cat>
            <c:strRef>
              <c:extLst>
                <c:ext xmlns:c15="http://schemas.microsoft.com/office/drawing/2012/chart" uri="{02D57815-91ED-43cb-92C2-25804820EDAC}">
                  <c15:fullRef>
                    <c15:sqref>'SummaryNOT_VALIDATED-BL'!$B$23:$J$23</c15:sqref>
                  </c15:fullRef>
                </c:ext>
              </c:extLst>
              <c:f>('SummaryNOT_VALIDATED-BL'!$C$23,'SummaryNOT_VALIDATED-BL'!$G$23)</c:f>
              <c:strCache>
                <c:ptCount val="2"/>
                <c:pt idx="0">
                  <c:v>TOTAL reported pubblic </c:v>
                </c:pt>
                <c:pt idx="1">
                  <c:v>TOTAL reported private</c:v>
                </c:pt>
              </c:strCache>
            </c:strRef>
          </c:cat>
          <c:val>
            <c:numRef>
              <c:extLst>
                <c:ext xmlns:c15="http://schemas.microsoft.com/office/drawing/2012/chart" uri="{02D57815-91ED-43cb-92C2-25804820EDAC}">
                  <c15:fullRef>
                    <c15:sqref>'SummaryNOT_VALIDATED-BL'!$B$28:$J$28</c15:sqref>
                  </c15:fullRef>
                </c:ext>
              </c:extLst>
              <c:f>('SummaryNOT_VALIDATED-BL'!$C$28,'SummaryNOT_VALIDATED-BL'!$G$28)</c:f>
              <c:numCache>
                <c:formatCode>_("€"* #,##0.00_);_("€"* \(#,##0.00\);_("€"* "-"??_);_(@_)</c:formatCode>
                <c:ptCount val="2"/>
                <c:pt idx="0">
                  <c:v>270321.65999999997</c:v>
                </c:pt>
                <c:pt idx="1">
                  <c:v>25321.71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8-F613-47DD-AB81-F19FA61C6A43}"/>
            </c:ext>
          </c:extLst>
        </c:ser>
        <c:ser>
          <c:idx val="5"/>
          <c:order val="5"/>
          <c:dPt>
            <c:idx val="0"/>
            <c:bubble3D val="0"/>
            <c:spPr>
              <a:solidFill>
                <a:schemeClr val="accent1"/>
              </a:solidFill>
              <a:ln w="19050">
                <a:solidFill>
                  <a:schemeClr val="lt1"/>
                </a:solidFill>
              </a:ln>
              <a:effectLst/>
            </c:spPr>
            <c:extLst>
              <c:ext xmlns:c16="http://schemas.microsoft.com/office/drawing/2014/chart" uri="{C3380CC4-5D6E-409C-BE32-E72D297353CC}">
                <c16:uniqueId val="{0000001A-F613-47DD-AB81-F19FA61C6A4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F613-47DD-AB81-F19FA61C6A43}"/>
              </c:ext>
            </c:extLst>
          </c:dPt>
          <c:cat>
            <c:strRef>
              <c:extLst>
                <c:ext xmlns:c15="http://schemas.microsoft.com/office/drawing/2012/chart" uri="{02D57815-91ED-43cb-92C2-25804820EDAC}">
                  <c15:fullRef>
                    <c15:sqref>'SummaryNOT_VALIDATED-BL'!$B$23:$J$23</c15:sqref>
                  </c15:fullRef>
                </c:ext>
              </c:extLst>
              <c:f>('SummaryNOT_VALIDATED-BL'!$C$23,'SummaryNOT_VALIDATED-BL'!$G$23)</c:f>
              <c:strCache>
                <c:ptCount val="2"/>
                <c:pt idx="0">
                  <c:v>TOTAL reported pubblic </c:v>
                </c:pt>
                <c:pt idx="1">
                  <c:v>TOTAL reported private</c:v>
                </c:pt>
              </c:strCache>
            </c:strRef>
          </c:cat>
          <c:val>
            <c:numRef>
              <c:extLst>
                <c:ext xmlns:c15="http://schemas.microsoft.com/office/drawing/2012/chart" uri="{02D57815-91ED-43cb-92C2-25804820EDAC}">
                  <c15:fullRef>
                    <c15:sqref>'SummaryNOT_VALIDATED-BL'!$B$29:$J$29</c15:sqref>
                  </c15:fullRef>
                </c:ext>
              </c:extLst>
              <c:f>('SummaryNOT_VALIDATED-BL'!$C$29,'SummaryNOT_VALIDATED-BL'!$G$29)</c:f>
              <c:numCache>
                <c:formatCode>_("€"* #,##0.00_);_("€"* \(#,##0.00\);_("€"* "-"??_);_(@_)</c:formatCode>
                <c:ptCount val="2"/>
                <c:pt idx="0">
                  <c:v>65180.55</c:v>
                </c:pt>
                <c:pt idx="1">
                  <c:v>92190.69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D-F613-47DD-AB81-F19FA61C6A43}"/>
            </c:ext>
          </c:extLst>
        </c:ser>
        <c:ser>
          <c:idx val="6"/>
          <c:order val="6"/>
          <c:dPt>
            <c:idx val="0"/>
            <c:bubble3D val="0"/>
            <c:spPr>
              <a:solidFill>
                <a:schemeClr val="accent1"/>
              </a:solidFill>
              <a:ln w="19050">
                <a:solidFill>
                  <a:schemeClr val="lt1"/>
                </a:solidFill>
              </a:ln>
              <a:effectLst/>
            </c:spPr>
            <c:extLst>
              <c:ext xmlns:c16="http://schemas.microsoft.com/office/drawing/2014/chart" uri="{C3380CC4-5D6E-409C-BE32-E72D297353CC}">
                <c16:uniqueId val="{0000001F-F613-47DD-AB81-F19FA61C6A4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21-F613-47DD-AB81-F19FA61C6A43}"/>
              </c:ext>
            </c:extLst>
          </c:dPt>
          <c:cat>
            <c:strRef>
              <c:extLst>
                <c:ext xmlns:c15="http://schemas.microsoft.com/office/drawing/2012/chart" uri="{02D57815-91ED-43cb-92C2-25804820EDAC}">
                  <c15:fullRef>
                    <c15:sqref>'SummaryNOT_VALIDATED-BL'!$B$23:$J$23</c15:sqref>
                  </c15:fullRef>
                </c:ext>
              </c:extLst>
              <c:f>('SummaryNOT_VALIDATED-BL'!$C$23,'SummaryNOT_VALIDATED-BL'!$G$23)</c:f>
              <c:strCache>
                <c:ptCount val="2"/>
                <c:pt idx="0">
                  <c:v>TOTAL reported pubblic </c:v>
                </c:pt>
                <c:pt idx="1">
                  <c:v>TOTAL reported private</c:v>
                </c:pt>
              </c:strCache>
            </c:strRef>
          </c:cat>
          <c:val>
            <c:numRef>
              <c:extLst>
                <c:ext xmlns:c15="http://schemas.microsoft.com/office/drawing/2012/chart" uri="{02D57815-91ED-43cb-92C2-25804820EDAC}">
                  <c15:fullRef>
                    <c15:sqref>'SummaryNOT_VALIDATED-BL'!$B$30:$J$30</c15:sqref>
                  </c15:fullRef>
                </c:ext>
              </c:extLst>
              <c:f>('SummaryNOT_VALIDATED-BL'!$C$30,'SummaryNOT_VALIDATED-BL'!$G$30)</c:f>
              <c:numCache>
                <c:formatCode>_("€"* #,##0.00_);_("€"* \(#,##0.00\);_("€"* "-"??_);_(@_)</c:formatCode>
                <c:ptCount val="2"/>
                <c:pt idx="0">
                  <c:v>171000</c:v>
                </c:pt>
                <c:pt idx="1">
                  <c:v>27000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F613-47DD-AB81-F19FA61C6A43}"/>
            </c:ext>
          </c:extLst>
        </c:ser>
        <c:ser>
          <c:idx val="7"/>
          <c:order val="7"/>
          <c:dPt>
            <c:idx val="0"/>
            <c:bubble3D val="0"/>
            <c:spPr>
              <a:solidFill>
                <a:schemeClr val="accent1"/>
              </a:solidFill>
              <a:ln w="19050">
                <a:solidFill>
                  <a:schemeClr val="lt1"/>
                </a:solidFill>
              </a:ln>
              <a:effectLst/>
            </c:spPr>
            <c:extLst>
              <c:ext xmlns:c16="http://schemas.microsoft.com/office/drawing/2014/chart" uri="{C3380CC4-5D6E-409C-BE32-E72D297353CC}">
                <c16:uniqueId val="{00000024-F613-47DD-AB81-F19FA61C6A4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26-F613-47DD-AB81-F19FA61C6A43}"/>
              </c:ext>
            </c:extLst>
          </c:dPt>
          <c:cat>
            <c:strRef>
              <c:extLst>
                <c:ext xmlns:c15="http://schemas.microsoft.com/office/drawing/2012/chart" uri="{02D57815-91ED-43cb-92C2-25804820EDAC}">
                  <c15:fullRef>
                    <c15:sqref>'SummaryNOT_VALIDATED-BL'!$B$23:$J$23</c15:sqref>
                  </c15:fullRef>
                </c:ext>
              </c:extLst>
              <c:f>('SummaryNOT_VALIDATED-BL'!$C$23,'SummaryNOT_VALIDATED-BL'!$G$23)</c:f>
              <c:strCache>
                <c:ptCount val="2"/>
                <c:pt idx="0">
                  <c:v>TOTAL reported pubblic </c:v>
                </c:pt>
                <c:pt idx="1">
                  <c:v>TOTAL reported private</c:v>
                </c:pt>
              </c:strCache>
            </c:strRef>
          </c:cat>
          <c:val>
            <c:numRef>
              <c:extLst>
                <c:ext xmlns:c15="http://schemas.microsoft.com/office/drawing/2012/chart" uri="{02D57815-91ED-43cb-92C2-25804820EDAC}">
                  <c15:fullRef>
                    <c15:sqref>'SummaryNOT_VALIDATED-BL'!$B$31:$J$31</c15:sqref>
                  </c15:fullRef>
                </c:ext>
              </c:extLst>
              <c:f>('SummaryNOT_VALIDATED-BL'!$C$31,'SummaryNOT_VALIDATED-BL'!$G$31)</c:f>
              <c:numCache>
                <c:formatCode>_("€"* #,##0.00_);_("€"* \(#,##0.00\);_("€"* "-"??_);_(@_)</c:formatCode>
                <c:ptCount val="2"/>
                <c:pt idx="0">
                  <c:v>214019.17</c:v>
                </c:pt>
                <c:pt idx="1">
                  <c:v>61244.909999999996</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7-F613-47DD-AB81-F19FA61C6A43}"/>
            </c:ext>
          </c:extLst>
        </c:ser>
        <c:ser>
          <c:idx val="8"/>
          <c:order val="8"/>
          <c:dPt>
            <c:idx val="0"/>
            <c:bubble3D val="0"/>
            <c:spPr>
              <a:solidFill>
                <a:schemeClr val="accent1"/>
              </a:solidFill>
              <a:ln w="19050">
                <a:solidFill>
                  <a:schemeClr val="lt1"/>
                </a:solidFill>
              </a:ln>
              <a:effectLst/>
            </c:spPr>
            <c:extLst>
              <c:ext xmlns:c16="http://schemas.microsoft.com/office/drawing/2014/chart" uri="{C3380CC4-5D6E-409C-BE32-E72D297353CC}">
                <c16:uniqueId val="{00000029-F613-47DD-AB81-F19FA61C6A4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2B-F613-47DD-AB81-F19FA61C6A43}"/>
              </c:ext>
            </c:extLst>
          </c:dPt>
          <c:cat>
            <c:strRef>
              <c:extLst>
                <c:ext xmlns:c15="http://schemas.microsoft.com/office/drawing/2012/chart" uri="{02D57815-91ED-43cb-92C2-25804820EDAC}">
                  <c15:fullRef>
                    <c15:sqref>'SummaryNOT_VALIDATED-BL'!$B$23:$J$23</c15:sqref>
                  </c15:fullRef>
                </c:ext>
              </c:extLst>
              <c:f>('SummaryNOT_VALIDATED-BL'!$C$23,'SummaryNOT_VALIDATED-BL'!$G$23)</c:f>
              <c:strCache>
                <c:ptCount val="2"/>
                <c:pt idx="0">
                  <c:v>TOTAL reported pubblic </c:v>
                </c:pt>
                <c:pt idx="1">
                  <c:v>TOTAL reported private</c:v>
                </c:pt>
              </c:strCache>
            </c:strRef>
          </c:cat>
          <c:val>
            <c:numRef>
              <c:extLst>
                <c:ext xmlns:c15="http://schemas.microsoft.com/office/drawing/2012/chart" uri="{02D57815-91ED-43cb-92C2-25804820EDAC}">
                  <c15:fullRef>
                    <c15:sqref>'SummaryNOT_VALIDATED-BL'!$B$32:$J$32</c15:sqref>
                  </c15:fullRef>
                </c:ext>
              </c:extLst>
              <c:f>('SummaryNOT_VALIDATED-BL'!$C$32,'SummaryNOT_VALIDATED-BL'!$G$32)</c:f>
              <c:numCache>
                <c:formatCode>_("€"* #,##0.00_);_("€"* \(#,##0.00\);_("€"* "-"??_);_(@_)</c:formatCode>
                <c:ptCount val="2"/>
                <c:pt idx="0">
                  <c:v>3205971.8699999996</c:v>
                </c:pt>
                <c:pt idx="1">
                  <c:v>772437.37</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C-F613-47DD-AB81-F19FA61C6A4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8</xdr:col>
      <xdr:colOff>438150</xdr:colOff>
      <xdr:row>0</xdr:row>
      <xdr:rowOff>0</xdr:rowOff>
    </xdr:from>
    <xdr:to>
      <xdr:col>12</xdr:col>
      <xdr:colOff>9525</xdr:colOff>
      <xdr:row>15</xdr:row>
      <xdr:rowOff>171450</xdr:rowOff>
    </xdr:to>
    <xdr:graphicFrame macro="">
      <xdr:nvGraphicFramePr>
        <xdr:cNvPr id="2" name="Grafico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1757362</xdr:colOff>
      <xdr:row>65</xdr:row>
      <xdr:rowOff>76200</xdr:rowOff>
    </xdr:from>
    <xdr:to>
      <xdr:col>5</xdr:col>
      <xdr:colOff>442912</xdr:colOff>
      <xdr:row>82</xdr:row>
      <xdr:rowOff>152400</xdr:rowOff>
    </xdr:to>
    <xdr:graphicFrame macro="">
      <xdr:nvGraphicFramePr>
        <xdr:cNvPr id="3" name="Gra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1885950</xdr:colOff>
      <xdr:row>38</xdr:row>
      <xdr:rowOff>142875</xdr:rowOff>
    </xdr:from>
    <xdr:to>
      <xdr:col>5</xdr:col>
      <xdr:colOff>571500</xdr:colOff>
      <xdr:row>53</xdr:row>
      <xdr:rowOff>28575</xdr:rowOff>
    </xdr:to>
    <xdr:graphicFrame macro="">
      <xdr:nvGraphicFramePr>
        <xdr:cNvPr id="4" name="Grafico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iEsterni_1" connectionId="24" xr16:uid="{00000000-0016-0000-0000-000000000000}" autoFormatId="16" applyNumberFormats="0" applyBorderFormats="0" applyFontFormats="0" applyPatternFormats="0" applyAlignmentFormats="0" applyWidthHeightFormats="0">
  <queryTableRefresh nextId="36" unboundColumnsRight="7">
    <queryTableFields count="30">
      <queryTableField id="1" name="Column1.id" tableColumnId="1"/>
      <queryTableField id="2" name="Column1.projectId" tableColumnId="2"/>
      <queryTableField id="3" name="Column1.partnerId" tableColumnId="3"/>
      <queryTableField id="4" name="Column1.projectCustomIdentifier" tableColumnId="4"/>
      <queryTableField id="5" name="Column1.partnerRole" tableColumnId="5"/>
      <queryTableField id="6" name="Column1.partnerNumber" tableColumnId="6"/>
      <queryTableField id="7" name="Column1.partnerAbbreviation" tableColumnId="7"/>
      <queryTableField id="8" name="Column1.reportNumber" tableColumnId="8"/>
      <queryTableField id="9" name="Column1.status" tableColumnId="9"/>
      <queryTableField id="10" name="Column1.linkedFormVersion" tableColumnId="10"/>
      <queryTableField id="11" name="Column1.firstSubmission" tableColumnId="11"/>
      <queryTableField id="12" name="Column1.lastReSubmission" tableColumnId="12"/>
      <queryTableField id="13" name="Column1.controlEnd" tableColumnId="13"/>
      <queryTableField id="14" name="Column1.createdAt" tableColumnId="14"/>
      <queryTableField id="15" name="Column1.startDate" tableColumnId="15"/>
      <queryTableField id="16" name="Column1.endDate" tableColumnId="16"/>
      <queryTableField id="17" name="Column1.periodDetail" tableColumnId="17"/>
      <queryTableField id="18" name="Column1.projectReportId" tableColumnId="18"/>
      <queryTableField id="19" name="Column1.projectReportNumber" tableColumnId="19"/>
      <queryTableField id="20" name="Column1.totalEligibleAfterControl" tableColumnId="20"/>
      <queryTableField id="21" name="Column1.totalAfterSubmitted" tableColumnId="21"/>
      <queryTableField id="27" dataBound="0" tableColumnId="27"/>
      <queryTableField id="22" name="Column1.deletable" tableColumnId="22"/>
      <queryTableField id="23" dataBound="0" tableColumnId="23"/>
      <queryTableField id="24" dataBound="0" tableColumnId="24"/>
      <queryTableField id="28" dataBound="0" tableColumnId="28"/>
      <queryTableField id="34" dataBound="0" tableColumnId="34"/>
      <queryTableField id="29" dataBound="0" tableColumnId="29"/>
      <queryTableField id="30" dataBound="0" tableColumnId="30"/>
      <queryTableField id="35" dataBound="0" tableColumnId="25"/>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DatiEsterni_2" connectionId="4" xr16:uid="{00000000-0016-0000-0F00-00000C000000}" autoFormatId="16" applyNumberFormats="0" applyBorderFormats="0" applyFontFormats="0" applyPatternFormats="0" applyAlignmentFormats="0" applyWidthHeightFormats="0">
  <queryTableRefresh nextId="17">
    <queryTableFields count="13">
      <queryTableField id="13" name="Akronimo progetto" tableColumnId="13"/>
      <queryTableField id="14" name="id progetto" tableColumnId="14"/>
      <queryTableField id="2" name="Name" tableColumnId="2"/>
      <queryTableField id="3" name="Value.partnerSummary.id" tableColumnId="3"/>
      <queryTableField id="4" name="Value.partnerSummary.abbreviation" tableColumnId="4"/>
      <queryTableField id="5" name="Value.partnerSummary.institutionName" tableColumnId="5"/>
      <queryTableField id="6" name="Value.partnerSummary.active" tableColumnId="6"/>
      <queryTableField id="7" name="Value.partnerSummary.role" tableColumnId="7"/>
      <queryTableField id="8" name="Value.partnerSummary.sortNumber" tableColumnId="8"/>
      <queryTableField id="9" name="Value.partnerSummary.country" tableColumnId="9"/>
      <queryTableField id="10" name="Value.partnerSummary.region" tableColumnId="10"/>
      <queryTableField id="11" name="Value.partnerSummary.currencyCode" tableColumnId="11"/>
      <queryTableField id="12" name="Value.totalBudget" tableColumnId="12"/>
    </queryTableFields>
  </queryTableRefresh>
</queryTable>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DatiEsterni_1" connectionId="25" xr16:uid="{00000000-0016-0000-1000-00000D000000}" autoFormatId="16" applyNumberFormats="0" applyBorderFormats="0" applyFontFormats="0" applyPatternFormats="0" applyAlignmentFormats="0" applyWidthHeightFormats="0">
  <queryTableRefresh nextId="6">
    <queryTableFields count="5">
      <queryTableField id="1" name="Column1.project_id" tableColumnId="1"/>
      <queryTableField id="2" name="Column1.acronym" tableColumnId="2"/>
      <queryTableField id="3" name="Column1.project_start_date" tableColumnId="3"/>
      <queryTableField id="4" name="Column1.project_end_date" tableColumnId="4"/>
      <queryTableField id="5" name="Column1.total_budget" tableColumnId="5"/>
    </queryTableFields>
  </queryTableRefresh>
</queryTable>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DatiEsterni_1" connectionId="44" xr16:uid="{00000000-0016-0000-1300-00000E000000}" autoFormatId="0" applyNumberFormats="0" applyBorderFormats="0" applyFontFormats="1" applyPatternFormats="1" applyAlignmentFormats="0" applyWidthHeightFormats="0">
  <queryTableRefresh preserveSortFilterLayout="0" nextId="14">
    <queryTableFields count="13">
      <queryTableField id="1" name="id paRTNER" tableColumnId="40"/>
      <queryTableField id="2" name="Source.Name.2.1" tableColumnId="41"/>
      <queryTableField id="3" name="Name" tableColumnId="42"/>
      <queryTableField id="4" name="Value.partnerSummary.id" tableColumnId="43"/>
      <queryTableField id="5" name="Value.partnerSummary.abbreviation" tableColumnId="44"/>
      <queryTableField id="6" name="Value.partnerSummary.institutionName" tableColumnId="45"/>
      <queryTableField id="7" name="Value.partnerSummary.active" tableColumnId="46"/>
      <queryTableField id="8" name="Value.partnerSummary.role" tableColumnId="47"/>
      <queryTableField id="9" name="Value.partnerSummary.sortNumber" tableColumnId="48"/>
      <queryTableField id="10" name="Value.partnerSummary.country" tableColumnId="49"/>
      <queryTableField id="11" name="Value.partnerSummary.region" tableColumnId="50"/>
      <queryTableField id="12" name="Value.partnerSummary.currencyCode" tableColumnId="51"/>
      <queryTableField id="13" name="Value.totalBudget" tableColumnId="5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atiEsterni_1" connectionId="49" xr16:uid="{00000000-0016-0000-0400-000002000000}" autoFormatId="16" applyNumberFormats="0" applyBorderFormats="0" applyFontFormats="0" applyPatternFormats="0" applyAlignmentFormats="0" applyWidthHeightFormats="0">
  <queryTableRefresh nextId="30" unboundColumnsRight="7">
    <queryTableFields count="23">
      <queryTableField id="1" name="Source.Name.2" tableColumnId="1"/>
      <queryTableField id="2" name="Source.Name.3" tableColumnId="2"/>
      <queryTableField id="3" name="Source.Name.4" tableColumnId="3"/>
      <queryTableField id="4" name="Source.Name.5.1" tableColumnId="4"/>
      <queryTableField id="5" name="Name" tableColumnId="5"/>
      <queryTableField id="6" name="Value.flatRate" tableColumnId="6"/>
      <queryTableField id="7" name="Value.totalEligibleBudget" tableColumnId="7"/>
      <queryTableField id="8" name="Value.previouslyReported" tableColumnId="8"/>
      <queryTableField id="9" name="Value.previouslyReportedParked" tableColumnId="9"/>
      <queryTableField id="10" name="Value.currentReport" tableColumnId="10"/>
      <queryTableField id="11" name="Value.currentReportReIncluded" tableColumnId="11"/>
      <queryTableField id="12" name="Value.totalEligibleAfterControl" tableColumnId="12"/>
      <queryTableField id="13" name="Value.totalReportedSoFar" tableColumnId="13"/>
      <queryTableField id="14" name="Value.totalReportedSoFarPercentage" tableColumnId="14"/>
      <queryTableField id="15" name="Value.remainingBudget" tableColumnId="15"/>
      <queryTableField id="16" name="Value.previouslyValidated" tableColumnId="16"/>
      <queryTableField id="17" dataBound="0" tableColumnId="17"/>
      <queryTableField id="18" dataBound="0" tableColumnId="18"/>
      <queryTableField id="19" dataBound="0" tableColumnId="19"/>
      <queryTableField id="20" dataBound="0" tableColumnId="20"/>
      <queryTableField id="27" dataBound="0" tableColumnId="27"/>
      <queryTableField id="28" dataBound="0" tableColumnId="28"/>
      <queryTableField id="29" dataBound="0" tableColumnId="29"/>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atiEsterni_2" connectionId="45" xr16:uid="{00000000-0016-0000-0500-000003000000}" autoFormatId="16" applyNumberFormats="0" applyBorderFormats="0" applyFontFormats="0" applyPatternFormats="0" applyAlignmentFormats="0" applyWidthHeightFormats="0">
  <queryTableRefresh nextId="11">
    <queryTableFields count="10">
      <queryTableField id="1" name="Column1.id" tableColumnId="1"/>
      <queryTableField id="2" name="Column1.customIdentifier" tableColumnId="2"/>
      <queryTableField id="3" name="Column1.callName" tableColumnId="3"/>
      <queryTableField id="4" name="Column1.callId" tableColumnId="4"/>
      <queryTableField id="5" name="Column1.acronym" tableColumnId="5"/>
      <queryTableField id="6" name="Column1.projectStatus" tableColumnId="6"/>
      <queryTableField id="7" name="Column1.firstSubmissionDate" tableColumnId="7"/>
      <queryTableField id="8" name="Column1.lastResubmissionDate" tableColumnId="8"/>
      <queryTableField id="9" name="Column1.specificObjectiveCode" tableColumnId="9"/>
      <queryTableField id="10" name="Column1.programmePriorityCode" tableColumnId="10"/>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atiEsterni_1" connectionId="26" xr16:uid="{00000000-0016-0000-0700-000004000000}" autoFormatId="0" applyNumberFormats="0" applyBorderFormats="0" applyFontFormats="1" applyPatternFormats="1" applyAlignmentFormats="0" applyWidthHeightFormats="0">
  <queryTableRefresh preserveSortFilterLayout="0" nextId="18" unboundColumnsRight="7">
    <queryTableFields count="11">
      <queryTableField id="1" name="Column1.id" tableColumnId="9"/>
      <queryTableField id="2" name="Column1.description" tableColumnId="10"/>
      <queryTableField id="3" name="Ambito d'errore" tableColumnId="11"/>
      <queryTableField id="4" name="Tipologia d'errore" tableColumnId="12"/>
      <queryTableField id="5" dataBound="0" tableColumnId="13"/>
      <queryTableField id="7" dataBound="0" tableColumnId="1"/>
      <queryTableField id="16" dataBound="0" tableColumnId="15"/>
      <queryTableField id="10" dataBound="0" tableColumnId="3"/>
      <queryTableField id="15" dataBound="0" tableColumnId="8"/>
      <queryTableField id="14" dataBound="0" tableColumnId="7"/>
      <queryTableField id="17" dataBound="0" tableColumnId="2"/>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atiEsterni_1" connectionId="7" xr16:uid="{00000000-0016-0000-0800-000005000000}" autoFormatId="0" applyNumberFormats="0" applyBorderFormats="0" applyFontFormats="1" applyPatternFormats="1" applyAlignmentFormats="0" applyWidthHeightFormats="0">
  <queryTableRefresh preserveSortFilterLayout="0" nextId="21" unboundColumnsRight="1">
    <queryTableFields count="18">
      <queryTableField id="1" name="Source.Name.2" tableColumnId="1"/>
      <queryTableField id="2" name="Source.Name.3" tableColumnId="2"/>
      <queryTableField id="3" name="Source.Name.4" tableColumnId="3"/>
      <queryTableField id="4" name="Source.Name.5.1" tableColumnId="4"/>
      <queryTableField id="5" name="Name" tableColumnId="5"/>
      <queryTableField id="6" name="Value.typologyOfErrorId" tableColumnId="6"/>
      <queryTableField id="7" name="Value.typologyOfErrorName" tableColumnId="7"/>
      <queryTableField id="8" name="Value.staffCost" tableColumnId="8"/>
      <queryTableField id="9" name="Value.officeAndAdministration" tableColumnId="9"/>
      <queryTableField id="10" name="Value.travelAndAccommodation" tableColumnId="10"/>
      <queryTableField id="11" name="Value.externalExpertise" tableColumnId="11"/>
      <queryTableField id="12" name="Value.equipment" tableColumnId="12"/>
      <queryTableField id="13" name="Value.infrastructureAndWorks" tableColumnId="13"/>
      <queryTableField id="14" name="Value.lumpSums" tableColumnId="14"/>
      <queryTableField id="15" name="Value.unitCosts" tableColumnId="15"/>
      <queryTableField id="16" name="Value.otherCosts" tableColumnId="16"/>
      <queryTableField id="17" name="Value.total" tableColumnId="17"/>
      <queryTableField id="18" dataBound="0" tableColumnId="18"/>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DatiEsterni_1" connectionId="50" xr16:uid="{00000000-0016-0000-0900-000006000000}" autoFormatId="0" applyNumberFormats="0" applyBorderFormats="0" applyFontFormats="1" applyPatternFormats="1" applyAlignmentFormats="0" applyWidthHeightFormats="0">
  <queryTableRefresh preserveSortFilterLayout="0" nextId="7">
    <queryTableFields count="6">
      <queryTableField id="1" name="Akronim project" tableColumnId="1"/>
      <queryTableField id="2" name="Akronim partner" tableColumnId="2"/>
      <queryTableField id="3" name="id partner" tableColumnId="3"/>
      <queryTableField id="4" name="id report" tableColumnId="4"/>
      <queryTableField id="5" name="Name" tableColumnId="5"/>
      <queryTableField id="6" name="Value" tableColumnId="6"/>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DatiEsterni_1" connectionId="46" xr16:uid="{00000000-0016-0000-0A00-000007000000}" autoFormatId="16" applyNumberFormats="0" applyBorderFormats="0" applyFontFormats="0" applyPatternFormats="0" applyAlignmentFormats="0" applyWidthHeightFormats="0">
  <queryTableRefresh nextId="20" unboundColumnsRight="1">
    <queryTableFields count="19">
      <queryTableField id="1" name="Source.Name.2" tableColumnId="1"/>
      <queryTableField id="2" name="Source.Name.3" tableColumnId="2"/>
      <queryTableField id="3" name="id Project" tableColumnId="3"/>
      <queryTableField id="4" name="id PArtner" tableColumnId="4"/>
      <queryTableField id="5" name="Value.id" tableColumnId="5"/>
      <queryTableField id="6" name="Value.reportId" tableColumnId="6"/>
      <queryTableField id="7" name="Value.reportNumber" tableColumnId="7"/>
      <queryTableField id="8" name="Value.createdInThisReport" tableColumnId="8"/>
      <queryTableField id="9" name="Value.lastChanged" tableColumnId="9"/>
      <queryTableField id="10" name="Value.contractName" tableColumnId="10"/>
      <queryTableField id="11" name="Value.referenceNumber" tableColumnId="11"/>
      <queryTableField id="12" name="Value.contractDate" tableColumnId="12"/>
      <queryTableField id="13" name="Value.contractType" tableColumnId="13"/>
      <queryTableField id="14" name="Value.contractAmount" tableColumnId="14"/>
      <queryTableField id="15" name="Value.currencyCode" tableColumnId="15"/>
      <queryTableField id="16" name="Value.supplierName" tableColumnId="16"/>
      <queryTableField id="17" name="Value.vatNumber" tableColumnId="17"/>
      <queryTableField id="18" name="Value.comment" tableColumnId="18"/>
      <queryTableField id="19" dataBound="0" tableColumnId="19"/>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DatiEsterni_1" connectionId="27" xr16:uid="{00000000-0016-0000-0B00-000008000000}" autoFormatId="16" applyNumberFormats="0" applyBorderFormats="0" applyFontFormats="0" applyPatternFormats="0" applyAlignmentFormats="0" applyWidthHeightFormats="0">
  <queryTableRefresh nextId="50" unboundColumnsRight="4">
    <queryTableFields count="42">
      <queryTableField id="1" name="Content.id" tableColumnId="1"/>
      <queryTableField id="2" name="Content.number" tableColumnId="2"/>
      <queryTableField id="3" name="Content.lumpSumId" tableColumnId="3"/>
      <queryTableField id="4" name="Content.unitCostId" tableColumnId="4"/>
      <queryTableField id="5" name="Content.costCategory" tableColumnId="5"/>
      <queryTableField id="6" name="Content.gdpr" tableColumnId="6"/>
      <queryTableField id="7" name="Content.investmentId" tableColumnId="7"/>
      <queryTableField id="8" name="Content.contractId" tableColumnId="8"/>
      <queryTableField id="9" name="Content.internalReferenceNumber" tableColumnId="9"/>
      <queryTableField id="10" name="Content.invoiceNumber" tableColumnId="10"/>
      <queryTableField id="11" name="Content.invoiceDate" tableColumnId="11"/>
      <queryTableField id="12" name="Content.dateOfPayment" tableColumnId="12"/>
      <queryTableField id="13" name="Content.description" tableColumnId="13"/>
      <queryTableField id="14" name="Content.comment" tableColumnId="14"/>
      <queryTableField id="15" name="Content.totalValueInvoice" tableColumnId="15"/>
      <queryTableField id="16" name="Content.vat" tableColumnId="16"/>
      <queryTableField id="17" name="Content.numberOfUnits" tableColumnId="17"/>
      <queryTableField id="18" name="Content.pricePerUnit" tableColumnId="18"/>
      <queryTableField id="19" name="Content.declaredAmount" tableColumnId="19"/>
      <queryTableField id="20" name="Content.currencyCode" tableColumnId="20"/>
      <queryTableField id="21" name="Content.currencyConversionRate" tableColumnId="21"/>
      <queryTableField id="22" name="Content.declaredAmountAfterSubmission" tableColumnId="22"/>
      <queryTableField id="23" name="Content.attachment" tableColumnId="23"/>
      <queryTableField id="24" name="Content.parkingMetadata" tableColumnId="24"/>
      <queryTableField id="25" name="Content.partOfSample" tableColumnId="25"/>
      <queryTableField id="26" name="Content.partOfSampleLocked" tableColumnId="26"/>
      <queryTableField id="27" name="Content.certifiedAmount" tableColumnId="27"/>
      <queryTableField id="28" name="Content.deductedAmount" tableColumnId="28"/>
      <queryTableField id="29" name="Content.typologyOfErrorId" tableColumnId="29"/>
      <queryTableField id="30" name="Content.parked" tableColumnId="30"/>
      <queryTableField id="31" name="Content.parkedOn" tableColumnId="31"/>
      <queryTableField id="32" name="Content.verificationComment" tableColumnId="32"/>
      <queryTableField id="36" name="Akronim Project" tableColumnId="36"/>
      <queryTableField id="37" name="Akronim partner" tableColumnId="37"/>
      <queryTableField id="38" name="ID Partner" tableColumnId="38"/>
      <queryTableField id="39" name="Id Rendiconto" tableColumnId="39"/>
      <queryTableField id="34" name="Date modified" tableColumnId="34"/>
      <queryTableField id="35" name="Folder Path" tableColumnId="35"/>
      <queryTableField id="46" dataBound="0" tableColumnId="33"/>
      <queryTableField id="47" dataBound="0" tableColumnId="40"/>
      <queryTableField id="48" dataBound="0" tableColumnId="41"/>
      <queryTableField id="49" dataBound="0" tableColumnId="42"/>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DatiEsterni_2" connectionId="6" xr16:uid="{00000000-0016-0000-0C00-000009000000}" autoFormatId="16" applyNumberFormats="0" applyBorderFormats="0" applyFontFormats="0" applyPatternFormats="0" applyAlignmentFormats="0" applyWidthHeightFormats="0">
  <queryTableRefresh nextId="30">
    <queryTableFields count="16">
      <queryTableField id="17" name="Chek list ID" tableColumnId="17"/>
      <queryTableField id="15" name="id partner" tableColumnId="15"/>
      <queryTableField id="16" name="id report" tableColumnId="16"/>
      <queryTableField id="13" name="Acronimo progetto" tableColumnId="13"/>
      <queryTableField id="14" name="acronimo partner" tableColumnId="14"/>
      <queryTableField id="2" name="Content.status" tableColumnId="2"/>
      <queryTableField id="3" name="Content.type" tableColumnId="3"/>
      <queryTableField id="4" name="Content.name" tableColumnId="4"/>
      <queryTableField id="5" name="Content.creatorEmail" tableColumnId="5"/>
      <queryTableField id="6" name="Content.createdAt" tableColumnId="6"/>
      <queryTableField id="7" name="Content.finishedDate" tableColumnId="7"/>
      <queryTableField id="8" name="Content.relatedToId" tableColumnId="8"/>
      <queryTableField id="9" name="Content.programmeChecklistId" tableColumnId="9"/>
      <queryTableField id="10" name="Content.consolidated" tableColumnId="10"/>
      <queryTableField id="11" name="Content.visible" tableColumnId="11"/>
      <queryTableField id="12" name="Content.description" tableColumnId="12"/>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0.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13.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_rels/table14.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15.xml.rels><?xml version="1.0" encoding="UTF-8" standalone="yes"?>
<Relationships xmlns="http://schemas.openxmlformats.org/package/2006/relationships"><Relationship Id="rId1" Type="http://schemas.openxmlformats.org/officeDocument/2006/relationships/queryTable" Target="../queryTables/queryTable11.xml"/></Relationships>
</file>

<file path=xl/tables/_rels/table16.xml.rels><?xml version="1.0" encoding="UTF-8" standalone="yes"?>
<Relationships xmlns="http://schemas.openxmlformats.org/package/2006/relationships"><Relationship Id="rId1" Type="http://schemas.openxmlformats.org/officeDocument/2006/relationships/queryTable" Target="../queryTables/queryTable12.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0000000}" name="I_Miei_Rendiconti" displayName="I_Miei_Rendiconti" ref="A1:AD191" tableType="queryTable" totalsRowShown="0" headerRowDxfId="121">
  <autoFilter ref="A1:AD191" xr:uid="{00000000-0009-0000-0100-00000A000000}"/>
  <tableColumns count="30">
    <tableColumn id="1" xr3:uid="{00000000-0010-0000-0000-000001000000}" uniqueName="1" name="Column1.id" queryTableFieldId="1" dataDxfId="120"/>
    <tableColumn id="2" xr3:uid="{00000000-0010-0000-0000-000002000000}" uniqueName="2" name="Column1.projectId" queryTableFieldId="2" dataDxfId="119"/>
    <tableColumn id="3" xr3:uid="{00000000-0010-0000-0000-000003000000}" uniqueName="3" name="Column1.partnerId" queryTableFieldId="3" dataDxfId="118"/>
    <tableColumn id="4" xr3:uid="{00000000-0010-0000-0000-000004000000}" uniqueName="4" name="Column1.projectCustomIdentifier" queryTableFieldId="4" dataDxfId="117"/>
    <tableColumn id="5" xr3:uid="{00000000-0010-0000-0000-000005000000}" uniqueName="5" name="Column1.partnerRole" queryTableFieldId="5" dataDxfId="116"/>
    <tableColumn id="6" xr3:uid="{00000000-0010-0000-0000-000006000000}" uniqueName="6" name="Column1.partnerNumber" queryTableFieldId="6" dataDxfId="115"/>
    <tableColumn id="7" xr3:uid="{00000000-0010-0000-0000-000007000000}" uniqueName="7" name="Column1.partnerAbbreviation" queryTableFieldId="7" dataDxfId="114"/>
    <tableColumn id="8" xr3:uid="{00000000-0010-0000-0000-000008000000}" uniqueName="8" name="Column1.reportNumber" queryTableFieldId="8" dataDxfId="113"/>
    <tableColumn id="9" xr3:uid="{00000000-0010-0000-0000-000009000000}" uniqueName="9" name="Column1.status" queryTableFieldId="9" dataDxfId="112"/>
    <tableColumn id="10" xr3:uid="{00000000-0010-0000-0000-00000A000000}" uniqueName="10" name="Column1.linkedFormVersion" queryTableFieldId="10" dataDxfId="111"/>
    <tableColumn id="11" xr3:uid="{00000000-0010-0000-0000-00000B000000}" uniqueName="11" name="Column1.firstSubmission" queryTableFieldId="11" dataDxfId="110"/>
    <tableColumn id="12" xr3:uid="{00000000-0010-0000-0000-00000C000000}" uniqueName="12" name="Column1.lastReSubmission" queryTableFieldId="12" dataDxfId="109"/>
    <tableColumn id="13" xr3:uid="{00000000-0010-0000-0000-00000D000000}" uniqueName="13" name="Column1.controlEnd" queryTableFieldId="13" dataDxfId="108"/>
    <tableColumn id="14" xr3:uid="{00000000-0010-0000-0000-00000E000000}" uniqueName="14" name="Column1.createdAt" queryTableFieldId="14" dataDxfId="107"/>
    <tableColumn id="15" xr3:uid="{00000000-0010-0000-0000-00000F000000}" uniqueName="15" name="Column1.startDate" queryTableFieldId="15" dataDxfId="106"/>
    <tableColumn id="16" xr3:uid="{00000000-0010-0000-0000-000010000000}" uniqueName="16" name="Column1.endDate" queryTableFieldId="16" dataDxfId="105"/>
    <tableColumn id="17" xr3:uid="{00000000-0010-0000-0000-000011000000}" uniqueName="17" name="Column1.periodDetail" queryTableFieldId="17" dataDxfId="104"/>
    <tableColumn id="18" xr3:uid="{00000000-0010-0000-0000-000012000000}" uniqueName="18" name="Column1.projectReportId" queryTableFieldId="18" dataDxfId="103"/>
    <tableColumn id="19" xr3:uid="{00000000-0010-0000-0000-000013000000}" uniqueName="19" name="Column1.projectReportNumber" queryTableFieldId="19" dataDxfId="102"/>
    <tableColumn id="20" xr3:uid="{00000000-0010-0000-0000-000014000000}" uniqueName="20" name="Column1.totalEligibleAfterControl" queryTableFieldId="20" dataDxfId="101"/>
    <tableColumn id="21" xr3:uid="{00000000-0010-0000-0000-000015000000}" uniqueName="21" name="Column1.totalAfterSubmitted" queryTableFieldId="21" dataDxfId="100"/>
    <tableColumn id="27" xr3:uid="{00000000-0010-0000-0000-00001B000000}" uniqueName="27" name="Project Akronim" queryTableFieldId="27" dataDxfId="99">
      <calculatedColumnFormula>INDEX(pARTNER[#All],MATCH(I_Miei_Rendiconti[[#This Row],[Column1.partnerId]],pARTNER[[#All],[Value.partnerSummary.id]],0),2)</calculatedColumnFormula>
    </tableColumn>
    <tableColumn id="22" xr3:uid="{00000000-0010-0000-0000-000016000000}" uniqueName="22" name="Column1.deletable" queryTableFieldId="22" dataDxfId="98"/>
    <tableColumn id="23" xr3:uid="{00000000-0010-0000-0000-000017000000}" uniqueName="23" name="Financial corection" queryTableFieldId="23" dataDxfId="97" dataCellStyle="Valuta">
      <calculatedColumnFormula>I_Miei_Rendiconti[[#This Row],[Column1.totalAfterSubmitted]]-I_Miei_Rendiconti[[#This Row],[Column1.totalEligibleAfterControl]]</calculatedColumnFormula>
    </tableColumn>
    <tableColumn id="24" xr3:uid="{00000000-0010-0000-0000-000018000000}" uniqueName="24" name="Cut percentage " queryTableFieldId="24" dataDxfId="96" dataCellStyle="Percentuale">
      <calculatedColumnFormula>IF(I_Miei_Rendiconti[[#This Row],[Column1.status]]="Certified",IFERROR(I_Miei_Rendiconti[[#This Row],[Financial corection]]/I_Miei_Rendiconti[[#This Row],[Column1.totalAfterSubmitted]],0),"Rendiconto da certificare")</calculatedColumnFormula>
    </tableColumn>
    <tableColumn id="28" xr3:uid="{00000000-0010-0000-0000-00001C000000}" uniqueName="28" name="N. previouse validated report " queryTableFieldId="28" dataDxfId="95">
      <calculatedColumnFormula>IF(I_Miei_Rendiconti[[#This Row],[Column1.status]]&lt;&gt;"Certified",INDEX('Partner data'!DG:DQ,MATCH(I_Miei_Rendiconti[[#This Row],[Column1.partnerId]],'Partner data'!DG:DG,0),13),"Rendiconto CONVALIDATO")</calculatedColumnFormula>
    </tableColumn>
    <tableColumn id="34" xr3:uid="{00000000-0010-0000-0000-000022000000}" uniqueName="34" name="Previouse Report checked?yes/no" queryTableFieldId="34" dataDxfId="94">
      <calculatedColumnFormula>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calculatedColumnFormula>
    </tableColumn>
    <tableColumn id="29" xr3:uid="{00000000-0010-0000-0000-00001D000000}" uniqueName="29" name="Sum of errors in previous report " queryTableFieldId="29" dataDxfId="93">
      <calculatedColumnFormula>IF(OR(I_Miei_Rendiconti[[#This Row],[N. previouse validated report ]]="Rendiconto CONVALIDATO",I_Miei_Rendiconti[[#This Row],[N. previouse validated report ]]="NON è stato convalidato ancora nessun rendiconto"),"NON PERTINENTE","fai la fromula")</calculatedColumnFormula>
    </tableColumn>
    <tableColumn id="30" xr3:uid="{00000000-0010-0000-0000-00001E000000}" uniqueName="30" name="Sum of errors in the previous reports" queryTableFieldId="30" dataDxfId="92">
      <calculatedColumnFormula>IF(OR(I_Miei_Rendiconti[[#This Row],[N. previouse validated report ]]="Rendiconto CONVALIDATO",I_Miei_Rendiconti[[#This Row],[N. previouse validated report ]]="NON è stato convalidato ancora nessun rendiconto"),"NON PERTINENTE",SUMIFS(Errors!R:R,Errors!D:D,I_Miei_Rendiconti[[#This Row],[N. previouse validated report ]]))</calculatedColumnFormula>
    </tableColumn>
    <tableColumn id="25" xr3:uid="{00000000-0010-0000-0000-000019000000}" uniqueName="25" name="N  partner validated reports." queryTableFieldId="35" dataDxfId="91">
      <calculatedColumnFormula>INDEX('Partner data'!DG:DJ,MATCH(I_Miei_Rendiconti[[#This Row],[Column1.partnerId]],'Partner data'!DG:DG,0),3)</calculatedColumnFormula>
    </tableColumn>
  </tableColumns>
  <tableStyleInfo name="TableStyleMedium7"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Spese_Sopsese" displayName="Spese_Sopsese" ref="A1:F1481" tableType="queryTable" totalsRowShown="0">
  <autoFilter ref="A1:F1481" xr:uid="{00000000-0009-0000-0100-000009000000}"/>
  <tableColumns count="6">
    <tableColumn id="1" xr3:uid="{00000000-0010-0000-0A00-000001000000}" uniqueName="1" name="Akronim project" queryTableFieldId="1"/>
    <tableColumn id="2" xr3:uid="{00000000-0010-0000-0A00-000002000000}" uniqueName="2" name="Akronim partner" queryTableFieldId="2"/>
    <tableColumn id="3" xr3:uid="{00000000-0010-0000-0A00-000003000000}" uniqueName="3" name="id partner" queryTableFieldId="3"/>
    <tableColumn id="4" xr3:uid="{00000000-0010-0000-0A00-000004000000}" uniqueName="4" name="id report" queryTableFieldId="4"/>
    <tableColumn id="5" xr3:uid="{00000000-0010-0000-0A00-000005000000}" uniqueName="5" name="Name" queryTableFieldId="5"/>
    <tableColumn id="6" xr3:uid="{00000000-0010-0000-0A00-000006000000}" uniqueName="6" name="Value" queryTableFieldId="6"/>
  </tableColumns>
  <tableStyleInfo name="TableStyleMedium7"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B000000}" name="Public_procurment" displayName="Public_procurment" ref="A1:S401" tableType="queryTable" totalsRowShown="0">
  <autoFilter ref="A1:S401" xr:uid="{00000000-0009-0000-0100-000012000000}"/>
  <tableColumns count="19">
    <tableColumn id="1" xr3:uid="{00000000-0010-0000-0B00-000001000000}" uniqueName="1" name="Source.Name.2" queryTableFieldId="1" dataDxfId="13"/>
    <tableColumn id="2" xr3:uid="{00000000-0010-0000-0B00-000002000000}" uniqueName="2" name="Source.Name.3" queryTableFieldId="2" dataDxfId="12"/>
    <tableColumn id="3" xr3:uid="{00000000-0010-0000-0B00-000003000000}" uniqueName="3" name="id Project" queryTableFieldId="3"/>
    <tableColumn id="4" xr3:uid="{00000000-0010-0000-0B00-000004000000}" uniqueName="4" name="id PArtner" queryTableFieldId="4"/>
    <tableColumn id="5" xr3:uid="{00000000-0010-0000-0B00-000005000000}" uniqueName="5" name="Value.id" queryTableFieldId="5"/>
    <tableColumn id="6" xr3:uid="{00000000-0010-0000-0B00-000006000000}" uniqueName="6" name="Value.reportId" queryTableFieldId="6"/>
    <tableColumn id="7" xr3:uid="{00000000-0010-0000-0B00-000007000000}" uniqueName="7" name="Value.reportNumber" queryTableFieldId="7"/>
    <tableColumn id="8" xr3:uid="{00000000-0010-0000-0B00-000008000000}" uniqueName="8" name="Value.createdInThisReport" queryTableFieldId="8"/>
    <tableColumn id="9" xr3:uid="{00000000-0010-0000-0B00-000009000000}" uniqueName="9" name="Value.lastChanged" queryTableFieldId="9"/>
    <tableColumn id="10" xr3:uid="{00000000-0010-0000-0B00-00000A000000}" uniqueName="10" name="Value.contractName" queryTableFieldId="10"/>
    <tableColumn id="11" xr3:uid="{00000000-0010-0000-0B00-00000B000000}" uniqueName="11" name="Value.referenceNumber" queryTableFieldId="11"/>
    <tableColumn id="12" xr3:uid="{00000000-0010-0000-0B00-00000C000000}" uniqueName="12" name="Value.contractDate" queryTableFieldId="12"/>
    <tableColumn id="13" xr3:uid="{00000000-0010-0000-0B00-00000D000000}" uniqueName="13" name="Value.contractType" queryTableFieldId="13"/>
    <tableColumn id="14" xr3:uid="{00000000-0010-0000-0B00-00000E000000}" uniqueName="14" name="Value.contractAmount" queryTableFieldId="14"/>
    <tableColumn id="15" xr3:uid="{00000000-0010-0000-0B00-00000F000000}" uniqueName="15" name="Value.currencyCode" queryTableFieldId="15"/>
    <tableColumn id="16" xr3:uid="{00000000-0010-0000-0B00-000010000000}" uniqueName="16" name="Value.supplierName" queryTableFieldId="16"/>
    <tableColumn id="17" xr3:uid="{00000000-0010-0000-0B00-000011000000}" uniqueName="17" name="Value.vatNumber" queryTableFieldId="17"/>
    <tableColumn id="18" xr3:uid="{00000000-0010-0000-0B00-000012000000}" uniqueName="18" name="Value.comment" queryTableFieldId="18"/>
    <tableColumn id="19" xr3:uid="{B29DA881-560E-4F87-A86B-D9BEE700E760}" uniqueName="19" name="Numero di volte controllato il public procurment" queryTableFieldId="19">
      <calculatedColumnFormula>COUNTIFS(ListOfExpenditure!H:H,Public_procurment[[#This Row],[Value.id]],ListOfExpenditure!Y:Y,TRUE)</calculatedColumnFormula>
    </tableColumn>
  </tableColumns>
  <tableStyleInfo name="TableStyleMedium7"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ListOfExpenditure" displayName="ListOfExpenditure" ref="A1:AP1632" tableType="queryTable" totalsRowShown="0">
  <autoFilter ref="A1:AP1632" xr:uid="{00000000-0009-0000-0100-00000F000000}"/>
  <tableColumns count="42">
    <tableColumn id="1" xr3:uid="{00000000-0010-0000-0C00-000001000000}" uniqueName="1" name="Content.id" queryTableFieldId="1"/>
    <tableColumn id="2" xr3:uid="{00000000-0010-0000-0C00-000002000000}" uniqueName="2" name="Content.number" queryTableFieldId="2"/>
    <tableColumn id="3" xr3:uid="{00000000-0010-0000-0C00-000003000000}" uniqueName="3" name="Content.lumpSumId" queryTableFieldId="3"/>
    <tableColumn id="4" xr3:uid="{00000000-0010-0000-0C00-000004000000}" uniqueName="4" name="Content.unitCostId" queryTableFieldId="4"/>
    <tableColumn id="5" xr3:uid="{00000000-0010-0000-0C00-000005000000}" uniqueName="5" name="Content.costCategory" queryTableFieldId="5"/>
    <tableColumn id="6" xr3:uid="{00000000-0010-0000-0C00-000006000000}" uniqueName="6" name="Content.gdpr" queryTableFieldId="6"/>
    <tableColumn id="7" xr3:uid="{00000000-0010-0000-0C00-000007000000}" uniqueName="7" name="Content.investmentId" queryTableFieldId="7"/>
    <tableColumn id="8" xr3:uid="{00000000-0010-0000-0C00-000008000000}" uniqueName="8" name="Content.contractId" queryTableFieldId="8"/>
    <tableColumn id="9" xr3:uid="{00000000-0010-0000-0C00-000009000000}" uniqueName="9" name="Content.internalReferenceNumber" queryTableFieldId="9"/>
    <tableColumn id="10" xr3:uid="{00000000-0010-0000-0C00-00000A000000}" uniqueName="10" name="Content.invoiceNumber" queryTableFieldId="10"/>
    <tableColumn id="11" xr3:uid="{00000000-0010-0000-0C00-00000B000000}" uniqueName="11" name="Content.invoiceDate" queryTableFieldId="11"/>
    <tableColumn id="12" xr3:uid="{00000000-0010-0000-0C00-00000C000000}" uniqueName="12" name="Content.dateOfPayment" queryTableFieldId="12"/>
    <tableColumn id="13" xr3:uid="{00000000-0010-0000-0C00-00000D000000}" uniqueName="13" name="Content.description" queryTableFieldId="13"/>
    <tableColumn id="14" xr3:uid="{00000000-0010-0000-0C00-00000E000000}" uniqueName="14" name="Content.comment" queryTableFieldId="14"/>
    <tableColumn id="15" xr3:uid="{00000000-0010-0000-0C00-00000F000000}" uniqueName="15" name="Content.totalValueInvoice" queryTableFieldId="15"/>
    <tableColumn id="16" xr3:uid="{00000000-0010-0000-0C00-000010000000}" uniqueName="16" name="Content.vat" queryTableFieldId="16"/>
    <tableColumn id="17" xr3:uid="{00000000-0010-0000-0C00-000011000000}" uniqueName="17" name="Content.numberOfUnits" queryTableFieldId="17"/>
    <tableColumn id="18" xr3:uid="{00000000-0010-0000-0C00-000012000000}" uniqueName="18" name="Content.pricePerUnit" queryTableFieldId="18"/>
    <tableColumn id="19" xr3:uid="{00000000-0010-0000-0C00-000013000000}" uniqueName="19" name="Content.declaredAmount" queryTableFieldId="19"/>
    <tableColumn id="20" xr3:uid="{00000000-0010-0000-0C00-000014000000}" uniqueName="20" name="Content.currencyCode" queryTableFieldId="20"/>
    <tableColumn id="21" xr3:uid="{00000000-0010-0000-0C00-000015000000}" uniqueName="21" name="Content.currencyConversionRate" queryTableFieldId="21"/>
    <tableColumn id="22" xr3:uid="{00000000-0010-0000-0C00-000016000000}" uniqueName="22" name="Content.declaredAmountAfterSubmission" queryTableFieldId="22"/>
    <tableColumn id="23" xr3:uid="{00000000-0010-0000-0C00-000017000000}" uniqueName="23" name="Content.attachment" queryTableFieldId="23"/>
    <tableColumn id="24" xr3:uid="{00000000-0010-0000-0C00-000018000000}" uniqueName="24" name="Content.parkingMetadata" queryTableFieldId="24"/>
    <tableColumn id="25" xr3:uid="{00000000-0010-0000-0C00-000019000000}" uniqueName="25" name="Content.partOfSample" queryTableFieldId="25"/>
    <tableColumn id="26" xr3:uid="{00000000-0010-0000-0C00-00001A000000}" uniqueName="26" name="Content.partOfSampleLocked" queryTableFieldId="26"/>
    <tableColumn id="27" xr3:uid="{00000000-0010-0000-0C00-00001B000000}" uniqueName="27" name="Content.certifiedAmount" queryTableFieldId="27"/>
    <tableColumn id="28" xr3:uid="{00000000-0010-0000-0C00-00001C000000}" uniqueName="28" name="Content.deductedAmount" queryTableFieldId="28"/>
    <tableColumn id="29" xr3:uid="{00000000-0010-0000-0C00-00001D000000}" uniqueName="29" name="Content.typologyOfErrorId" queryTableFieldId="29"/>
    <tableColumn id="30" xr3:uid="{00000000-0010-0000-0C00-00001E000000}" uniqueName="30" name="Content.parked" queryTableFieldId="30"/>
    <tableColumn id="31" xr3:uid="{00000000-0010-0000-0C00-00001F000000}" uniqueName="31" name="Content.parkedOn" queryTableFieldId="31"/>
    <tableColumn id="32" xr3:uid="{00000000-0010-0000-0C00-000020000000}" uniqueName="32" name="Content.verificationComment" queryTableFieldId="32"/>
    <tableColumn id="36" xr3:uid="{00000000-0010-0000-0C00-000024000000}" uniqueName="36" name="Akronim Project" queryTableFieldId="36" dataDxfId="11"/>
    <tableColumn id="37" xr3:uid="{00000000-0010-0000-0C00-000025000000}" uniqueName="37" name="Akronim partner" queryTableFieldId="37" dataDxfId="10"/>
    <tableColumn id="38" xr3:uid="{00000000-0010-0000-0C00-000026000000}" uniqueName="38" name="ID Partner" queryTableFieldId="38"/>
    <tableColumn id="39" xr3:uid="{00000000-0010-0000-0C00-000027000000}" uniqueName="39" name="Id Rendiconto" queryTableFieldId="39"/>
    <tableColumn id="34" xr3:uid="{00000000-0010-0000-0C00-000022000000}" uniqueName="34" name="Date modified" queryTableFieldId="34" dataDxfId="9"/>
    <tableColumn id="35" xr3:uid="{00000000-0010-0000-0C00-000023000000}" uniqueName="35" name="Folder Path" queryTableFieldId="35" dataDxfId="8"/>
    <tableColumn id="33" xr3:uid="{00000000-0010-0000-0C00-000021000000}" uniqueName="33" name="Contract amount" queryTableFieldId="46" dataDxfId="7" dataCellStyle="Valuta">
      <calculatedColumnFormula>INDEX('Public procurment'!A:R,MATCH(ListOfExpenditure[[#This Row],[Content.contractId]],'Public procurment'!E:E,0),14)</calculatedColumnFormula>
    </tableColumn>
    <tableColumn id="40" xr3:uid="{00000000-0010-0000-0C00-000028000000}" uniqueName="40" name="IF public procurment &gt;10000;1;0" queryTableFieldId="47" dataDxfId="6">
      <calculatedColumnFormula>IF(ListOfExpenditure[[#This Row],[Contract amount]]&gt;10000,1,0)</calculatedColumnFormula>
    </tableColumn>
    <tableColumn id="41" xr3:uid="{33FBA27A-9255-4387-9790-834531E6441B}" uniqueName="41" name="Numero di volte controllato il contract " queryTableFieldId="48">
      <calculatedColumnFormula>IFERROR(INDEX('Public procurment'!A:S,MATCH(ListOfExpenditure[[#This Row],[Content.contractId]],'Public procurment'!E:E,0),6),0)</calculatedColumnFormula>
    </tableColumn>
    <tableColumn id="42" xr3:uid="{4A634B63-847F-45E5-A6CD-9E0F3EA79B71}" uniqueName="42" name="Valutabili" queryTableFieldId="49">
      <calculatedColumnFormula>IF(ListOfExpenditure[[#This Row],[Numero di volte controllato il contract ]]&gt;0,0,ListOfExpenditure[[#This Row],[IF public procurment &gt;10000;1;0]])</calculatedColumnFormula>
    </tableColumn>
  </tableColumns>
  <tableStyleInfo name="TableStyleMedium7"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Elenco_chek_list__2" displayName="Elenco_chek_list__2" ref="A1:P134" tableType="queryTable" totalsRowShown="0">
  <autoFilter ref="A1:P134" xr:uid="{00000000-0009-0000-0100-00000D000000}"/>
  <tableColumns count="16">
    <tableColumn id="17" xr3:uid="{00000000-0010-0000-0D00-000011000000}" uniqueName="17" name="Chek list ID" queryTableFieldId="17"/>
    <tableColumn id="15" xr3:uid="{00000000-0010-0000-0D00-00000F000000}" uniqueName="15" name="id partner" queryTableFieldId="15"/>
    <tableColumn id="16" xr3:uid="{00000000-0010-0000-0D00-000010000000}" uniqueName="16" name="id report" queryTableFieldId="16"/>
    <tableColumn id="13" xr3:uid="{00000000-0010-0000-0D00-00000D000000}" uniqueName="13" name="Acronimo progetto" queryTableFieldId="13" dataDxfId="5"/>
    <tableColumn id="14" xr3:uid="{00000000-0010-0000-0D00-00000E000000}" uniqueName="14" name="acronimo partner" queryTableFieldId="14" dataDxfId="4"/>
    <tableColumn id="2" xr3:uid="{00000000-0010-0000-0D00-000002000000}" uniqueName="2" name="Content.status" queryTableFieldId="2"/>
    <tableColumn id="3" xr3:uid="{00000000-0010-0000-0D00-000003000000}" uniqueName="3" name="Content.type" queryTableFieldId="3"/>
    <tableColumn id="4" xr3:uid="{00000000-0010-0000-0D00-000004000000}" uniqueName="4" name="Content.name" queryTableFieldId="4"/>
    <tableColumn id="5" xr3:uid="{00000000-0010-0000-0D00-000005000000}" uniqueName="5" name="Content.creatorEmail" queryTableFieldId="5"/>
    <tableColumn id="6" xr3:uid="{00000000-0010-0000-0D00-000006000000}" uniqueName="6" name="Content.createdAt" queryTableFieldId="6"/>
    <tableColumn id="7" xr3:uid="{00000000-0010-0000-0D00-000007000000}" uniqueName="7" name="Content.finishedDate" queryTableFieldId="7"/>
    <tableColumn id="8" xr3:uid="{00000000-0010-0000-0D00-000008000000}" uniqueName="8" name="Content.relatedToId" queryTableFieldId="8"/>
    <tableColumn id="9" xr3:uid="{00000000-0010-0000-0D00-000009000000}" uniqueName="9" name="Content.programmeChecklistId" queryTableFieldId="9"/>
    <tableColumn id="10" xr3:uid="{00000000-0010-0000-0D00-00000A000000}" uniqueName="10" name="Content.consolidated" queryTableFieldId="10"/>
    <tableColumn id="11" xr3:uid="{00000000-0010-0000-0D00-00000B000000}" uniqueName="11" name="Content.visible" queryTableFieldId="11"/>
    <tableColumn id="12" xr3:uid="{00000000-0010-0000-0D00-00000C000000}" uniqueName="12" name="Content.description" queryTableFieldId="12"/>
  </tableColumns>
  <tableStyleInfo name="TableStyleMedium7"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elenco_partner" displayName="elenco_partner" ref="A1:M334" tableType="queryTable" totalsRowShown="0">
  <autoFilter ref="A1:M334" xr:uid="{00000000-0009-0000-0100-000011000000}">
    <filterColumn colId="0">
      <filters>
        <filter val="CREW"/>
      </filters>
    </filterColumn>
  </autoFilter>
  <tableColumns count="13">
    <tableColumn id="13" xr3:uid="{00000000-0010-0000-1000-00000D000000}" uniqueName="13" name="Project akronim" queryTableFieldId="13" dataDxfId="3"/>
    <tableColumn id="14" xr3:uid="{00000000-0010-0000-1000-00000E000000}" uniqueName="14" name="id project" queryTableFieldId="14"/>
    <tableColumn id="2" xr3:uid="{00000000-0010-0000-1000-000002000000}" uniqueName="2" name="Name" queryTableFieldId="2" dataDxfId="2"/>
    <tableColumn id="3" xr3:uid="{00000000-0010-0000-1000-000003000000}" uniqueName="3" name="Value.partnerSummary.id" queryTableFieldId="3"/>
    <tableColumn id="4" xr3:uid="{00000000-0010-0000-1000-000004000000}" uniqueName="4" name="Value.partnerSummary.abbreviation" queryTableFieldId="4"/>
    <tableColumn id="5" xr3:uid="{00000000-0010-0000-1000-000005000000}" uniqueName="5" name="Value.partnerSummary.institutionName" queryTableFieldId="5"/>
    <tableColumn id="6" xr3:uid="{00000000-0010-0000-1000-000006000000}" uniqueName="6" name="Value.partnerSummary.active" queryTableFieldId="6"/>
    <tableColumn id="7" xr3:uid="{00000000-0010-0000-1000-000007000000}" uniqueName="7" name="Value.partnerSummary.role" queryTableFieldId="7"/>
    <tableColumn id="8" xr3:uid="{00000000-0010-0000-1000-000008000000}" uniqueName="8" name="Value.partnerSummary.sortNumber" queryTableFieldId="8"/>
    <tableColumn id="9" xr3:uid="{00000000-0010-0000-1000-000009000000}" uniqueName="9" name="Value.partnerSummary.country" queryTableFieldId="9"/>
    <tableColumn id="10" xr3:uid="{00000000-0010-0000-1000-00000A000000}" uniqueName="10" name="Value.partnerSummary.region" queryTableFieldId="10"/>
    <tableColumn id="11" xr3:uid="{00000000-0010-0000-1000-00000B000000}" uniqueName="11" name="Value.partnerSummary.currencyCode" queryTableFieldId="11"/>
    <tableColumn id="12" xr3:uid="{00000000-0010-0000-1000-00000C000000}" uniqueName="12" name="Value.totalBudget" queryTableFieldId="12"/>
  </tableColumns>
  <tableStyleInfo name="TableStyleMedium7"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1000000}" name="Interreg_VI_A_Italy_Slovenia_project_en_en_20240611_114634" displayName="Interreg_VI_A_Italy_Slovenia_project_en_en_20240611_114634" ref="A1:E40" tableType="queryTable" totalsRowShown="0">
  <autoFilter ref="A1:E40" xr:uid="{00000000-0009-0000-0100-00000B000000}"/>
  <tableColumns count="5">
    <tableColumn id="1" xr3:uid="{00000000-0010-0000-1100-000001000000}" uniqueName="1" name="Column1.project_id" queryTableFieldId="1"/>
    <tableColumn id="2" xr3:uid="{00000000-0010-0000-1100-000002000000}" uniqueName="2" name="Column1.acronym" queryTableFieldId="2"/>
    <tableColumn id="3" xr3:uid="{00000000-0010-0000-1100-000003000000}" uniqueName="3" name="Column1.project_start_date" queryTableFieldId="3" dataDxfId="1"/>
    <tableColumn id="4" xr3:uid="{00000000-0010-0000-1100-000004000000}" uniqueName="4" name="Column1.project_end_date" queryTableFieldId="4" dataDxfId="0"/>
    <tableColumn id="5" xr3:uid="{00000000-0010-0000-1100-000005000000}" uniqueName="5" name="Column1.total_budget" queryTableFieldId="5"/>
  </tableColumns>
  <tableStyleInfo name="TableStyleMedium7"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2000000}" name="pARTNER" displayName="pARTNER" ref="A1:M175" tableType="queryTable" totalsRowShown="0">
  <autoFilter ref="A1:M175" xr:uid="{00000000-0009-0000-0100-000002000000}"/>
  <tableColumns count="13">
    <tableColumn id="40" xr3:uid="{00000000-0010-0000-1200-000028000000}" uniqueName="40" name="id Project" queryTableFieldId="1"/>
    <tableColumn id="41" xr3:uid="{00000000-0010-0000-1200-000029000000}" uniqueName="41" name="Source.Name.2.1" queryTableFieldId="2"/>
    <tableColumn id="42" xr3:uid="{00000000-0010-0000-1200-00002A000000}" uniqueName="42" name="Name" queryTableFieldId="3"/>
    <tableColumn id="43" xr3:uid="{00000000-0010-0000-1200-00002B000000}" uniqueName="43" name="Value.partnerSummary.id" queryTableFieldId="4"/>
    <tableColumn id="44" xr3:uid="{00000000-0010-0000-1200-00002C000000}" uniqueName="44" name="Value.partnerSummary.abbreviation" queryTableFieldId="5"/>
    <tableColumn id="45" xr3:uid="{00000000-0010-0000-1200-00002D000000}" uniqueName="45" name="Value.partnerSummary.institutionName" queryTableFieldId="6"/>
    <tableColumn id="46" xr3:uid="{00000000-0010-0000-1200-00002E000000}" uniqueName="46" name="Value.partnerSummary.active" queryTableFieldId="7"/>
    <tableColumn id="47" xr3:uid="{00000000-0010-0000-1200-00002F000000}" uniqueName="47" name="Value.partnerSummary.role" queryTableFieldId="8"/>
    <tableColumn id="48" xr3:uid="{00000000-0010-0000-1200-000030000000}" uniqueName="48" name="Value.partnerSummary.sortNumber" queryTableFieldId="9"/>
    <tableColumn id="49" xr3:uid="{00000000-0010-0000-1200-000031000000}" uniqueName="49" name="Value.partnerSummary.country" queryTableFieldId="10"/>
    <tableColumn id="50" xr3:uid="{00000000-0010-0000-1200-000032000000}" uniqueName="50" name="Value.partnerSummary.region" queryTableFieldId="11"/>
    <tableColumn id="51" xr3:uid="{00000000-0010-0000-1200-000033000000}" uniqueName="51" name="Value.partnerSummary.currencyCode" queryTableFieldId="12"/>
    <tableColumn id="52" xr3:uid="{00000000-0010-0000-1200-000034000000}" uniqueName="52" name="Value.totalBudget" queryTableFieldId="13"/>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2000000}" name="RendicontiTrasmessiBL__2" displayName="RendicontiTrasmessiBL__2" ref="A1:W2071" tableType="queryTable" totalsRowShown="0">
  <autoFilter ref="A1:W2071" xr:uid="{00000000-0009-0000-0100-000013000000}"/>
  <tableColumns count="23">
    <tableColumn id="1" xr3:uid="{00000000-0010-0000-0200-000001000000}" uniqueName="1" name="Source.Name.2" queryTableFieldId="1" dataDxfId="90"/>
    <tableColumn id="2" xr3:uid="{00000000-0010-0000-0200-000002000000}" uniqueName="2" name="Source.Name.3" queryTableFieldId="2" dataDxfId="89"/>
    <tableColumn id="3" xr3:uid="{00000000-0010-0000-0200-000003000000}" uniqueName="3" name="Id Parnter" queryTableFieldId="3" dataDxfId="88"/>
    <tableColumn id="4" xr3:uid="{00000000-0010-0000-0200-000004000000}" uniqueName="4" name="Id report" queryTableFieldId="4" dataDxfId="87"/>
    <tableColumn id="5" xr3:uid="{00000000-0010-0000-0200-000005000000}" uniqueName="5" name="Name" queryTableFieldId="5" dataDxfId="86"/>
    <tableColumn id="6" xr3:uid="{00000000-0010-0000-0200-000006000000}" uniqueName="6" name="Value.flatRate" queryTableFieldId="6"/>
    <tableColumn id="7" xr3:uid="{00000000-0010-0000-0200-000007000000}" uniqueName="7" name="Value.totalEligibleBudget" queryTableFieldId="7"/>
    <tableColumn id="8" xr3:uid="{00000000-0010-0000-0200-000008000000}" uniqueName="8" name="Value.previouslyReported" queryTableFieldId="8"/>
    <tableColumn id="9" xr3:uid="{00000000-0010-0000-0200-000009000000}" uniqueName="9" name="Value.previouslyReportedParked" queryTableFieldId="9"/>
    <tableColumn id="10" xr3:uid="{00000000-0010-0000-0200-00000A000000}" uniqueName="10" name="Value.currentReport" queryTableFieldId="10"/>
    <tableColumn id="11" xr3:uid="{00000000-0010-0000-0200-00000B000000}" uniqueName="11" name="Value.currentReportReIncluded" queryTableFieldId="11"/>
    <tableColumn id="12" xr3:uid="{00000000-0010-0000-0200-00000C000000}" uniqueName="12" name="Value.totalEligibleAfterControl" queryTableFieldId="12"/>
    <tableColumn id="13" xr3:uid="{00000000-0010-0000-0200-00000D000000}" uniqueName="13" name="Value.totalReportedSoFar" queryTableFieldId="13"/>
    <tableColumn id="14" xr3:uid="{00000000-0010-0000-0200-00000E000000}" uniqueName="14" name="Value.totalReportedSoFarPercentage" queryTableFieldId="14"/>
    <tableColumn id="15" xr3:uid="{00000000-0010-0000-0200-00000F000000}" uniqueName="15" name="Value.remainingBudget" queryTableFieldId="15"/>
    <tableColumn id="16" xr3:uid="{00000000-0010-0000-0200-000010000000}" uniqueName="16" name="Value.previouslyValidated" queryTableFieldId="16"/>
    <tableColumn id="17" xr3:uid="{00000000-0010-0000-0200-000011000000}" uniqueName="17" name="tipo soggetto" queryTableFieldId="17">
      <calculatedColumnFormula>INDEX('Partner data'!A:DH,MATCH(C2,'Partner data'!DG:DG,0),83)</calculatedColumnFormula>
    </tableColumn>
    <tableColumn id="18" xr3:uid="{00000000-0010-0000-0200-000012000000}" uniqueName="18" name="Type bl1" queryTableFieldId="18">
      <calculatedColumnFormula>IF(E2="staff",IF(INDEX('Partner data'!A:DH,MATCH(C2,'Partner data'!DG:DG,0),112)="BL1 non presente","FALSO",INDEX('Partner data'!A:DH,MATCH(C2,'Partner data'!DG:DG,0),112)))</calculatedColumnFormula>
    </tableColumn>
    <tableColumn id="19" xr3:uid="{00000000-0010-0000-0200-000013000000}" uniqueName="19" name="Ammount in the report?" queryTableFieldId="19">
      <calculatedColumnFormula>IF(J2&lt;&gt;0,TRUE,FALSE)</calculatedColumnFormula>
    </tableColumn>
    <tableColumn id="20" xr3:uid="{00000000-0010-0000-0200-000014000000}" uniqueName="20" name="Pubblic=VERo-Privato faslo" queryTableFieldId="20">
      <calculatedColumnFormula>OR(Q2="Soggetto pubblico",Q2="Organismo di diritto pubblico ")</calculatedColumnFormula>
    </tableColumn>
    <tableColumn id="27" xr3:uid="{00000000-0010-0000-0200-00001B000000}" uniqueName="27" name="Cut percentage on real costs + USC" queryTableFieldId="27" dataDxfId="85" dataCellStyle="Percentuale">
      <calculatedColumnFormula>IFERROR(IF(R2&lt;&gt;FALSE,IF(S2=TRUE,INDEX('SummaryNOT_VALIDATED-BL'!$A$1:$F$16,MATCH(R2,'SummaryNOT_VALIDATED-BL'!$A$1:$A$16,0),6),0),IF(S2=TRUE,INDEX('SummaryNOT_VALIDATED-BL'!$A$1:$F$16,MATCH(E2,'SummaryNOT_VALIDATED-BL'!$A$1:$A$16,0),6),0)),0)</calculatedColumnFormula>
    </tableColumn>
    <tableColumn id="28" xr3:uid="{00000000-0010-0000-0200-00001C000000}" uniqueName="28" name="Weight real costs  + USC " queryTableFieldId="28" dataDxfId="84">
      <calculatedColumnFormula array="1">INDEX('Weight tables'!$A$24:$C$27,MATCH(1,(RendicontiTrasmessiBL__2[[#This Row],[Cut percentage on real costs + USC]]&gt;='Weight tables'!$B$24:$B$27)*(RendicontiTrasmessiBL__2[[#This Row],[Cut percentage on real costs + USC]]&lt;='Weight tables'!$C$24:$C$27),0),1)</calculatedColumnFormula>
    </tableColumn>
    <tableColumn id="29" xr3:uid="{00000000-0010-0000-0200-00001D000000}" uniqueName="29" name="P2 + P3" queryTableFieldId="29" dataDxfId="83">
      <calculatedColumnFormula>RendicontiTrasmessiBL__2[[#This Row],[Weight real costs  + USC ]]</calculatedColumnFormula>
    </tableColumn>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3000000}" name="Progetti" displayName="Progetti" ref="A1:J59" tableType="queryTable" totalsRowShown="0">
  <autoFilter ref="A1:J59" xr:uid="{00000000-0009-0000-0100-000010000000}"/>
  <tableColumns count="10">
    <tableColumn id="1" xr3:uid="{00000000-0010-0000-0300-000001000000}" uniqueName="1" name="Column1.id" queryTableFieldId="1"/>
    <tableColumn id="2" xr3:uid="{00000000-0010-0000-0300-000002000000}" uniqueName="2" name="Column1.customIdentifier" queryTableFieldId="2"/>
    <tableColumn id="3" xr3:uid="{00000000-0010-0000-0300-000003000000}" uniqueName="3" name="Column1.callName" queryTableFieldId="3"/>
    <tableColumn id="4" xr3:uid="{00000000-0010-0000-0300-000004000000}" uniqueName="4" name="Column1.callId" queryTableFieldId="4"/>
    <tableColumn id="5" xr3:uid="{00000000-0010-0000-0300-000005000000}" uniqueName="5" name="Column1.acronym" queryTableFieldId="5"/>
    <tableColumn id="6" xr3:uid="{00000000-0010-0000-0300-000006000000}" uniqueName="6" name="Column1.projectStatus" queryTableFieldId="6"/>
    <tableColumn id="7" xr3:uid="{00000000-0010-0000-0300-000007000000}" uniqueName="7" name="Column1.firstSubmissionDate" queryTableFieldId="7"/>
    <tableColumn id="8" xr3:uid="{00000000-0010-0000-0300-000008000000}" uniqueName="8" name="Column1.lastResubmissionDate" queryTableFieldId="8"/>
    <tableColumn id="9" xr3:uid="{00000000-0010-0000-0300-000009000000}" uniqueName="9" name="Column1.specificObjectiveCode" queryTableFieldId="9"/>
    <tableColumn id="10" xr3:uid="{00000000-0010-0000-0300-00000A000000}" uniqueName="10" name="Column1.programmePriorityCode" queryTableFieldId="10"/>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Tabella2" displayName="Tabella2" ref="A1:G10" totalsRowShown="0" headerRowDxfId="82" headerRowBorderDxfId="81" tableBorderDxfId="80" totalsRowBorderDxfId="79">
  <autoFilter ref="A1:G10" xr:uid="{00000000-0009-0000-0100-000003000000}"/>
  <tableColumns count="7">
    <tableColumn id="1" xr3:uid="{00000000-0010-0000-0400-000001000000}" name="ROW" dataDxfId="78"/>
    <tableColumn id="2" xr3:uid="{00000000-0010-0000-0400-000002000000}" name="BL" dataDxfId="77"/>
    <tableColumn id="3" xr3:uid="{00000000-0010-0000-0400-000003000000}" name="TOTAL reported amount" dataDxfId="76" dataCellStyle="Valuta"/>
    <tableColumn id="4" xr3:uid="{00000000-0010-0000-0400-000004000000}" name="Total validated amount " dataDxfId="75" dataCellStyle="Valuta"/>
    <tableColumn id="5" xr3:uid="{00000000-0010-0000-0400-000005000000}" name="not validated Amount" dataDxfId="74"/>
    <tableColumn id="6" xr3:uid="{00000000-0010-0000-0400-000006000000}" name="Not validated per bl percentage" dataDxfId="73">
      <calculatedColumnFormula>Tabella2[[#This Row],[not validated Amount]]/Tabella2[[#This Row],[TOTAL reported amount]]</calculatedColumnFormula>
    </tableColumn>
    <tableColumn id="7" xr3:uid="{00000000-0010-0000-0400-000007000000}" name="Risk" dataDxfId="72">
      <calculatedColumnFormula array="1">INDEX($G$18:$I$21,MATCH(1,(Tabella2[[#This Row],[Not validated per bl percentage]]&gt;=$H$18:$H$21)*(Tabella2[[#This Row],[Not validated per bl percentage]]&lt;=$I$18:$I$21)),1)</calculatedColumnFormula>
    </tableColumn>
  </tableColumns>
  <tableStyleInfo name="TableStyleLight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ella8" displayName="Tabella8" ref="A23:J32" totalsRowShown="0" headerRowDxfId="71" tableBorderDxfId="70">
  <autoFilter ref="A23:J32" xr:uid="{00000000-0009-0000-0100-000006000000}"/>
  <tableColumns count="10">
    <tableColumn id="1" xr3:uid="{00000000-0010-0000-0500-000001000000}" name="ROW" dataDxfId="69"/>
    <tableColumn id="2" xr3:uid="{00000000-0010-0000-0500-000002000000}" name="BL" dataDxfId="68"/>
    <tableColumn id="3" xr3:uid="{00000000-0010-0000-0500-000003000000}" name="TOTAL reported pubblic " dataDxfId="67" dataCellStyle="Valuta"/>
    <tableColumn id="4" xr3:uid="{00000000-0010-0000-0500-000004000000}" name="Totale validated pubblic" dataDxfId="66" dataCellStyle="Valuta"/>
    <tableColumn id="5" xr3:uid="{00000000-0010-0000-0500-000005000000}" name="Amont not validated" dataDxfId="65"/>
    <tableColumn id="6" xr3:uid="{00000000-0010-0000-0500-000006000000}" name="Not validated percentage per bl" dataDxfId="64" dataCellStyle="Percentuale">
      <calculatedColumnFormula>E24/C24</calculatedColumnFormula>
    </tableColumn>
    <tableColumn id="7" xr3:uid="{00000000-0010-0000-0500-000007000000}" name="TOTAL reported private" dataDxfId="63" dataCellStyle="Valuta"/>
    <tableColumn id="8" xr3:uid="{00000000-0010-0000-0500-000008000000}" name="Totale validated private" dataDxfId="62" dataCellStyle="Valuta"/>
    <tableColumn id="9" xr3:uid="{00000000-0010-0000-0500-000009000000}" name="Amont not validated private" dataDxfId="61"/>
    <tableColumn id="10" xr3:uid="{00000000-0010-0000-0500-00000A000000}" name="Not validated percentage per bl private" dataDxfId="60" dataCellStyle="Percentuale">
      <calculatedColumnFormula>IFERROR(I24/G24,0)</calculatedColumnFormula>
    </tableColumn>
  </tableColumns>
  <tableStyleInfo name="TableStyleLight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a9" displayName="Tabella9" ref="A56:J65" totalsRowShown="0" headerRowDxfId="59" dataDxfId="58" tableBorderDxfId="57" dataCellStyle="Valuta">
  <autoFilter ref="A56:J65" xr:uid="{00000000-0009-0000-0100-000007000000}"/>
  <tableColumns count="10">
    <tableColumn id="1" xr3:uid="{00000000-0010-0000-0600-000001000000}" name="Etichette di riga" dataDxfId="56"/>
    <tableColumn id="2" xr3:uid="{00000000-0010-0000-0600-000002000000}" name="BL" dataDxfId="55"/>
    <tableColumn id="3" xr3:uid="{00000000-0010-0000-0600-000003000000}" name="Totale Rendicontato ITA" dataDxfId="54" dataCellStyle="Valuta"/>
    <tableColumn id="4" xr3:uid="{00000000-0010-0000-0600-000004000000}" name="Totale convalidato  ITA" dataDxfId="53" dataCellStyle="Valuta">
      <calculatedColumnFormula>SUMIFS(ReportValidatedBL!L:L,ReportValidatedBL!Q:Q,"Italia (IT)",ReportValidatedBL!E:E,Tabella9[[#This Row],[Etichette di riga]])</calculatedColumnFormula>
    </tableColumn>
    <tableColumn id="5" xr3:uid="{00000000-0010-0000-0600-000005000000}" name="Spesa non convalidata ITA" dataDxfId="52" dataCellStyle="Valuta"/>
    <tableColumn id="6" xr3:uid="{00000000-0010-0000-0600-000006000000}" name="Percentuale costi ammessi  ITA" dataDxfId="51" dataCellStyle="Percentuale">
      <calculatedColumnFormula>IFERROR(D57/C57,0)</calculatedColumnFormula>
    </tableColumn>
    <tableColumn id="7" xr3:uid="{00000000-0010-0000-0600-000007000000}" name="Totale Rendicontato SLO" dataDxfId="50" dataCellStyle="Valuta"/>
    <tableColumn id="8" xr3:uid="{00000000-0010-0000-0600-000008000000}" name="Totale convalidato SLO" dataDxfId="49" dataCellStyle="Valuta"/>
    <tableColumn id="9" xr3:uid="{00000000-0010-0000-0600-000009000000}" name="Spesa non convalidata SLO" dataDxfId="48" dataCellStyle="Valuta"/>
    <tableColumn id="10" xr3:uid="{00000000-0010-0000-0600-00000A000000}" name="Percentuale costi ammessi  SLO" dataDxfId="47" dataCellStyle="Percentuale">
      <calculatedColumnFormula>H57/G57</calculatedColumnFormula>
    </tableColumn>
  </tableColumns>
  <tableStyleInfo name="TableStyleLight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ella10" displayName="Tabella10" ref="A84:G93" totalsRowShown="0" headerRowDxfId="46" dataDxfId="45" tableBorderDxfId="44" dataCellStyle="Percentuale">
  <autoFilter ref="A84:G93" xr:uid="{00000000-0009-0000-0100-000008000000}"/>
  <tableColumns count="7">
    <tableColumn id="1" xr3:uid="{00000000-0010-0000-0700-000001000000}" name="TABELLA RENDICONTATO" dataDxfId="43"/>
    <tableColumn id="2" xr3:uid="{00000000-0010-0000-0700-000002000000}" name="BL" dataDxfId="42"/>
    <tableColumn id="3" xr3:uid="{00000000-0010-0000-0700-000003000000}" name="Tutti i rendiconti" dataDxfId="41" dataCellStyle="Percentuale">
      <calculatedColumnFormula>C2/$C$10</calculatedColumnFormula>
    </tableColumn>
    <tableColumn id="4" xr3:uid="{00000000-0010-0000-0700-000004000000}" name="enti pubblici" dataDxfId="40" dataCellStyle="Percentuale">
      <calculatedColumnFormula>C24/$C$32</calculatedColumnFormula>
    </tableColumn>
    <tableColumn id="5" xr3:uid="{00000000-0010-0000-0700-000005000000}" name="enti privati" dataDxfId="39" dataCellStyle="Percentuale">
      <calculatedColumnFormula>G24/$G$32</calculatedColumnFormula>
    </tableColumn>
    <tableColumn id="6" xr3:uid="{00000000-0010-0000-0700-000006000000}" name="Italia" dataDxfId="38" dataCellStyle="Percentuale">
      <calculatedColumnFormula>C57/$C$65</calculatedColumnFormula>
    </tableColumn>
    <tableColumn id="7" xr3:uid="{00000000-0010-0000-0700-000007000000}" name="Slovenia" dataDxfId="37" dataCellStyle="Percentuale">
      <calculatedColumnFormula>G57/$G$65</calculatedColumnFormula>
    </tableColumn>
  </tableColumns>
  <tableStyleInfo name="TableStyleLight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8000000}" name="ListaERRORI" displayName="ListaERRORI" ref="A1:K103" tableType="queryTable" totalsRowCount="1" headerRowDxfId="36">
  <autoFilter ref="A1:K102" xr:uid="{00000000-0009-0000-0100-000005000000}"/>
  <tableColumns count="11">
    <tableColumn id="9" xr3:uid="{00000000-0010-0000-0800-000009000000}" uniqueName="9" name="Column1.id" queryTableFieldId="1" dataDxfId="35" totalsRowDxfId="34"/>
    <tableColumn id="10" xr3:uid="{00000000-0010-0000-0800-00000A000000}" uniqueName="10" name="Column1.description" queryTableFieldId="2" dataDxfId="33" totalsRowDxfId="32"/>
    <tableColumn id="11" xr3:uid="{00000000-0010-0000-0800-00000B000000}" uniqueName="11" name="Error category" queryTableFieldId="3" dataDxfId="31" totalsRowDxfId="30"/>
    <tableColumn id="12" xr3:uid="{00000000-0010-0000-0800-00000C000000}" uniqueName="12" name="Tipology of error" totalsRowLabel="TOTALE " queryTableFieldId="4" dataDxfId="29" totalsRowDxfId="28"/>
    <tableColumn id="13" xr3:uid="{00000000-0010-0000-0800-00000D000000}" uniqueName="13" name="Amount" totalsRowFunction="custom" queryTableFieldId="5" totalsRowDxfId="27" dataCellStyle="Valuta">
      <calculatedColumnFormula>SUMIFS(ERRORI__3[[#All],[Value.total]],ERRORI__3[[#All],[Value.typologyOfErrorId]],ListaERRORI[[#This Row],[Column1.id]])</calculatedColumnFormula>
      <totalsRowFormula>SUM(E2:E102)</totalsRowFormula>
    </tableColumn>
    <tableColumn id="1" xr3:uid="{00000000-0010-0000-0800-000001000000}" uniqueName="1" name="Attendance" totalsRowFunction="custom" queryTableFieldId="7" dataDxfId="26" totalsRowDxfId="25">
      <calculatedColumnFormula>COUNTIFS(Errors!G:G,ListaERRORI[[#This Row],[Column1.description]])</calculatedColumnFormula>
      <totalsRowFormula>SUM(F2:F102)</totalsRowFormula>
    </tableColumn>
    <tableColumn id="15" xr3:uid="{00000000-0010-0000-0800-00000F000000}" uniqueName="15" name="Percentage of attendance" queryTableFieldId="16" dataDxfId="24" totalsRowDxfId="23"/>
    <tableColumn id="3" xr3:uid="{00000000-0010-0000-0800-000003000000}" uniqueName="3" name="Percentage of error ammount" totalsRowFunction="custom" queryTableFieldId="10" dataDxfId="22" totalsRowDxfId="21">
      <calculatedColumnFormula>IFERROR(ListaERRORI[[#This Row],[Amount]]/$E$103,0)</calculatedColumnFormula>
      <totalsRowFormula>SUM(H2:H102)</totalsRowFormula>
    </tableColumn>
    <tableColumn id="8" xr3:uid="{00000000-0010-0000-0800-000008000000}" uniqueName="8" name="P1 Attendance" queryTableFieldId="15" dataDxfId="20" totalsRowDxfId="19">
      <calculatedColumnFormula array="1">INDEX('Weight tables'!$A$4:$C$7,MATCH(1,(ListaERRORI[[#This Row],[Percentage of attendance]]&gt;='Weight tables'!$B$4:$B$7)*(ListaERRORI[[#This Row],[Percentage of attendance]]&lt;='Weight tables'!$C$4:$C$7),0),1)</calculatedColumnFormula>
    </tableColumn>
    <tableColumn id="7" xr3:uid="{00000000-0010-0000-0800-000007000000}" uniqueName="7" name="P1 error" queryTableFieldId="14" dataDxfId="18" totalsRowDxfId="17">
      <calculatedColumnFormula array="1">INDEX('Weight tables'!$A$10:$C$13,MATCH(1,(ListaERRORI[[#This Row],[Percentage of error ammount]]&gt;='Weight tables'!$B$10:$B$13)*(ListaERRORI[[#This Row],[Percentage of error ammount]]&lt;='Weight tables'!$C$10:$C$13),0),1)</calculatedColumnFormula>
    </tableColumn>
    <tableColumn id="2" xr3:uid="{00000000-0010-0000-0800-000002000000}" uniqueName="2" name="P1 total" queryTableFieldId="17" dataDxfId="16" totalsRowDxfId="15">
      <calculatedColumnFormula>SUM(I2:J2)</calculatedColumnFormula>
    </tableColumn>
  </tableColumns>
  <tableStyleInfo name="TableStyleMedium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9000000}" name="ERRORI__3" displayName="ERRORI__3" ref="A1:R265" tableType="queryTable" totalsRowShown="0" headerRowDxfId="14">
  <autoFilter ref="A1:R265" xr:uid="{00000000-0009-0000-0100-000004000000}">
    <filterColumn colId="1">
      <filters>
        <filter val="BSC Kranj"/>
      </filters>
    </filterColumn>
  </autoFilter>
  <tableColumns count="18">
    <tableColumn id="1" xr3:uid="{00000000-0010-0000-0900-000001000000}" uniqueName="1" name="Source.Name.2" queryTableFieldId="1"/>
    <tableColumn id="2" xr3:uid="{00000000-0010-0000-0900-000002000000}" uniqueName="2" name="Source.Name.3" queryTableFieldId="2"/>
    <tableColumn id="3" xr3:uid="{00000000-0010-0000-0900-000003000000}" uniqueName="3" name="Source.Name.4" queryTableFieldId="3"/>
    <tableColumn id="4" xr3:uid="{00000000-0010-0000-0900-000004000000}" uniqueName="4" name="Source.Name.5.1" queryTableFieldId="4"/>
    <tableColumn id="5" xr3:uid="{00000000-0010-0000-0900-000005000000}" uniqueName="5" name="Name" queryTableFieldId="5"/>
    <tableColumn id="6" xr3:uid="{00000000-0010-0000-0900-000006000000}" uniqueName="6" name="Value.typologyOfErrorId" queryTableFieldId="6"/>
    <tableColumn id="7" xr3:uid="{00000000-0010-0000-0900-000007000000}" uniqueName="7" name="Value.typologyOfErrorName" queryTableFieldId="7"/>
    <tableColumn id="8" xr3:uid="{00000000-0010-0000-0900-000008000000}" uniqueName="8" name="Value.staffCost" queryTableFieldId="8"/>
    <tableColumn id="9" xr3:uid="{00000000-0010-0000-0900-000009000000}" uniqueName="9" name="Value.officeAndAdministration" queryTableFieldId="9"/>
    <tableColumn id="10" xr3:uid="{00000000-0010-0000-0900-00000A000000}" uniqueName="10" name="Value.travelAndAccommodation" queryTableFieldId="10"/>
    <tableColumn id="11" xr3:uid="{00000000-0010-0000-0900-00000B000000}" uniqueName="11" name="Value.externalExpertise" queryTableFieldId="11"/>
    <tableColumn id="12" xr3:uid="{00000000-0010-0000-0900-00000C000000}" uniqueName="12" name="Value.equipment" queryTableFieldId="12"/>
    <tableColumn id="13" xr3:uid="{00000000-0010-0000-0900-00000D000000}" uniqueName="13" name="Value.infrastructureAndWorks" queryTableFieldId="13"/>
    <tableColumn id="14" xr3:uid="{00000000-0010-0000-0900-00000E000000}" uniqueName="14" name="Value.lumpSums" queryTableFieldId="14"/>
    <tableColumn id="15" xr3:uid="{00000000-0010-0000-0900-00000F000000}" uniqueName="15" name="Value.unitCosts" queryTableFieldId="15"/>
    <tableColumn id="16" xr3:uid="{00000000-0010-0000-0900-000010000000}" uniqueName="16" name="Value.otherCosts" queryTableFieldId="16"/>
    <tableColumn id="17" xr3:uid="{00000000-0010-0000-0900-000011000000}" uniqueName="17" name="Value.total" queryTableFieldId="17"/>
    <tableColumn id="18" xr3:uid="{00000000-0010-0000-0900-000012000000}" uniqueName="18" name="P1 " queryTableFieldId="18">
      <calculatedColumnFormula>IFERROR(INDEX(ListOFErrors!A:K,MATCH(ERRORI__3[[#This Row],[Value.typologyOfErrorId]],ListOFErrors!A:A,0),11),0)</calculatedColumnFormula>
    </tableColumn>
  </tableColumns>
  <tableStyleInfo name="TableStyleMedium7" showFirstColumn="0" showLastColumn="0" showRowStripes="1" showColumnStripes="0"/>
</table>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9"/>
  <dimension ref="A1:BF212"/>
  <sheetViews>
    <sheetView tabSelected="1" topLeftCell="AC1" zoomScale="70" zoomScaleNormal="70" workbookViewId="0">
      <pane ySplit="1" topLeftCell="A166" activePane="bottomLeft" state="frozen"/>
      <selection activeCell="AG1" sqref="AG1"/>
      <selection pane="bottomLeft" activeCell="AY173" sqref="AY173"/>
    </sheetView>
  </sheetViews>
  <sheetFormatPr defaultRowHeight="15" outlineLevelCol="1" x14ac:dyDescent="0.25"/>
  <cols>
    <col min="1" max="1" width="13.42578125" style="79" bestFit="1" customWidth="1"/>
    <col min="2" max="2" width="10.5703125" style="79" customWidth="1"/>
    <col min="3" max="3" width="8.140625" style="79" customWidth="1"/>
    <col min="4" max="4" width="11.140625" style="79" customWidth="1" outlineLevel="1"/>
    <col min="5" max="5" width="12.7109375" style="79" customWidth="1"/>
    <col min="6" max="6" width="5.42578125" style="79" customWidth="1"/>
    <col min="7" max="7" width="18.28515625" style="79" customWidth="1"/>
    <col min="8" max="8" width="4.28515625" style="79" customWidth="1"/>
    <col min="9" max="9" width="17.140625" style="79" customWidth="1"/>
    <col min="10" max="10" width="29.28515625" style="79" customWidth="1" outlineLevel="1"/>
    <col min="11" max="11" width="25.85546875" style="79" customWidth="1" outlineLevel="1"/>
    <col min="12" max="12" width="28.42578125" style="79" customWidth="1" outlineLevel="1"/>
    <col min="13" max="13" width="21.5703125" style="79" customWidth="1" outlineLevel="1"/>
    <col min="14" max="14" width="28.42578125" style="79" customWidth="1" outlineLevel="1"/>
    <col min="15" max="15" width="20.140625" style="79" customWidth="1" outlineLevel="1"/>
    <col min="16" max="16" width="19.5703125" style="79" customWidth="1" outlineLevel="1"/>
    <col min="17" max="17" width="23.140625" style="79" customWidth="1" outlineLevel="1"/>
    <col min="18" max="18" width="26.140625" style="79" customWidth="1" outlineLevel="1"/>
    <col min="19" max="19" width="32" style="79" customWidth="1" outlineLevel="1"/>
    <col min="20" max="20" width="15.42578125" style="81" customWidth="1" outlineLevel="1"/>
    <col min="21" max="21" width="17.5703125" style="81" customWidth="1"/>
    <col min="22" max="22" width="18.7109375" style="79" customWidth="1"/>
    <col min="23" max="23" width="20.5703125" style="79" customWidth="1" outlineLevel="1"/>
    <col min="24" max="24" width="12.140625" style="82" customWidth="1" outlineLevel="1"/>
    <col min="25" max="25" width="24.42578125" style="80" customWidth="1" outlineLevel="1"/>
    <col min="26" max="26" width="15.28515625" style="114" customWidth="1" outlineLevel="1"/>
    <col min="27" max="27" width="20.28515625" style="114" customWidth="1" outlineLevel="1"/>
    <col min="28" max="28" width="20.7109375" style="79" customWidth="1" outlineLevel="1"/>
    <col min="29" max="29" width="18.140625" style="79" customWidth="1" outlineLevel="1"/>
    <col min="30" max="30" width="23.7109375" customWidth="1" outlineLevel="1"/>
    <col min="31" max="31" width="9.140625" customWidth="1" outlineLevel="1" collapsed="1"/>
    <col min="32" max="32" width="11.42578125" style="109" customWidth="1" outlineLevel="1"/>
    <col min="33" max="33" width="10.7109375" style="109" customWidth="1" outlineLevel="1"/>
    <col min="34" max="34" width="10.5703125" style="2" customWidth="1" outlineLevel="1"/>
    <col min="35" max="35" width="11.42578125" customWidth="1" outlineLevel="1"/>
    <col min="36" max="36" width="15.140625" style="14" customWidth="1" outlineLevel="1"/>
    <col min="37" max="37" width="14.7109375" customWidth="1" outlineLevel="1"/>
    <col min="38" max="38" width="13.85546875" style="2" customWidth="1" outlineLevel="1"/>
    <col min="39" max="40" width="16.85546875" customWidth="1" outlineLevel="1"/>
    <col min="41" max="41" width="14.7109375" style="148" customWidth="1" outlineLevel="1"/>
    <col min="42" max="43" width="9.7109375" style="2" customWidth="1"/>
    <col min="44" max="45" width="9.7109375" style="148" customWidth="1"/>
    <col min="46" max="46" width="9.7109375" style="2" customWidth="1"/>
    <col min="47" max="49" width="9.7109375" style="148" customWidth="1"/>
    <col min="50" max="50" width="9.7109375" style="2" customWidth="1"/>
    <col min="51" max="51" width="14.7109375" style="2" customWidth="1"/>
    <col min="52" max="52" width="14.7109375" style="119" customWidth="1"/>
    <col min="53" max="53" width="9.7109375" bestFit="1" customWidth="1"/>
    <col min="54" max="54" width="9.7109375" customWidth="1"/>
    <col min="56" max="56" width="9.7109375" bestFit="1" customWidth="1"/>
    <col min="58" max="58" width="13.85546875" customWidth="1"/>
  </cols>
  <sheetData>
    <row r="1" spans="1:58" s="79" customFormat="1" ht="120" x14ac:dyDescent="0.25">
      <c r="A1" s="79" t="s">
        <v>1</v>
      </c>
      <c r="B1" s="79" t="s">
        <v>4320</v>
      </c>
      <c r="C1" s="79" t="s">
        <v>18</v>
      </c>
      <c r="D1" s="79" t="s">
        <v>4321</v>
      </c>
      <c r="E1" s="79" t="s">
        <v>4322</v>
      </c>
      <c r="F1" s="79" t="s">
        <v>4323</v>
      </c>
      <c r="G1" s="79" t="s">
        <v>19</v>
      </c>
      <c r="H1" s="79" t="s">
        <v>4324</v>
      </c>
      <c r="I1" s="79" t="s">
        <v>4325</v>
      </c>
      <c r="J1" s="79" t="s">
        <v>4326</v>
      </c>
      <c r="K1" s="79" t="s">
        <v>4327</v>
      </c>
      <c r="L1" s="79" t="s">
        <v>4328</v>
      </c>
      <c r="M1" s="79" t="s">
        <v>4329</v>
      </c>
      <c r="N1" s="79" t="s">
        <v>4330</v>
      </c>
      <c r="O1" s="79" t="s">
        <v>4331</v>
      </c>
      <c r="P1" s="79" t="s">
        <v>4332</v>
      </c>
      <c r="Q1" s="79" t="s">
        <v>4333</v>
      </c>
      <c r="R1" s="79" t="s">
        <v>4334</v>
      </c>
      <c r="S1" s="79" t="s">
        <v>4335</v>
      </c>
      <c r="T1" s="81" t="s">
        <v>4336</v>
      </c>
      <c r="U1" s="81" t="s">
        <v>4337</v>
      </c>
      <c r="V1" s="79" t="s">
        <v>7431</v>
      </c>
      <c r="W1" s="79" t="s">
        <v>4338</v>
      </c>
      <c r="X1" s="82" t="s">
        <v>7432</v>
      </c>
      <c r="Y1" s="80" t="s">
        <v>7433</v>
      </c>
      <c r="Z1" s="159" t="s">
        <v>7434</v>
      </c>
      <c r="AA1" s="114" t="s">
        <v>7435</v>
      </c>
      <c r="AB1" s="79" t="s">
        <v>7436</v>
      </c>
      <c r="AC1" s="79" t="s">
        <v>7437</v>
      </c>
      <c r="AD1" s="79" t="s">
        <v>7438</v>
      </c>
      <c r="AE1" s="79" t="s">
        <v>7439</v>
      </c>
      <c r="AF1" s="108" t="s">
        <v>7440</v>
      </c>
      <c r="AG1" s="108" t="s">
        <v>7441</v>
      </c>
      <c r="AH1" s="81" t="s">
        <v>7442</v>
      </c>
      <c r="AI1" s="79" t="s">
        <v>7481</v>
      </c>
      <c r="AJ1" s="82" t="s">
        <v>7482</v>
      </c>
      <c r="AK1" s="79" t="s">
        <v>6033</v>
      </c>
      <c r="AL1" s="81" t="s">
        <v>7443</v>
      </c>
      <c r="AM1" s="79" t="s">
        <v>7444</v>
      </c>
      <c r="AN1" s="79" t="s">
        <v>7494</v>
      </c>
      <c r="AO1" s="147" t="s">
        <v>7445</v>
      </c>
      <c r="AP1" s="81" t="s">
        <v>6407</v>
      </c>
      <c r="AQ1" s="81" t="s">
        <v>6408</v>
      </c>
      <c r="AR1" s="147" t="s">
        <v>6409</v>
      </c>
      <c r="AS1" s="147" t="s">
        <v>6410</v>
      </c>
      <c r="AT1" s="81" t="s">
        <v>6411</v>
      </c>
      <c r="AU1" s="147" t="s">
        <v>6412</v>
      </c>
      <c r="AV1" s="147" t="s">
        <v>6455</v>
      </c>
      <c r="AW1" s="147" t="s">
        <v>7495</v>
      </c>
      <c r="AX1" s="81" t="s">
        <v>7446</v>
      </c>
      <c r="AY1" s="81" t="s">
        <v>7412</v>
      </c>
      <c r="AZ1" s="156" t="s">
        <v>7447</v>
      </c>
      <c r="BA1" s="79" t="s">
        <v>7448</v>
      </c>
      <c r="BB1" s="79" t="s">
        <v>7487</v>
      </c>
      <c r="BC1" s="79" t="s">
        <v>7450</v>
      </c>
      <c r="BD1" s="79" t="s">
        <v>7449</v>
      </c>
      <c r="BE1" s="79" t="s">
        <v>7488</v>
      </c>
      <c r="BF1" s="79" t="s">
        <v>7504</v>
      </c>
    </row>
    <row r="2" spans="1:58" ht="30" x14ac:dyDescent="0.25">
      <c r="A2" s="79">
        <v>39</v>
      </c>
      <c r="B2" s="79">
        <v>91</v>
      </c>
      <c r="C2" s="79">
        <v>304</v>
      </c>
      <c r="D2" s="79" t="s">
        <v>2561</v>
      </c>
      <c r="E2" s="79" t="s">
        <v>253</v>
      </c>
      <c r="F2" s="79">
        <v>2</v>
      </c>
      <c r="G2" s="206" t="s">
        <v>20</v>
      </c>
      <c r="H2" s="79">
        <v>1</v>
      </c>
      <c r="I2" s="79" t="s">
        <v>4339</v>
      </c>
      <c r="J2" s="79" t="s">
        <v>1118</v>
      </c>
      <c r="K2" s="208">
        <v>45245.400516400463</v>
      </c>
      <c r="L2" s="79" t="s">
        <v>4357</v>
      </c>
      <c r="M2" s="208">
        <v>45351.628661747687</v>
      </c>
      <c r="N2" s="79" t="s">
        <v>4358</v>
      </c>
      <c r="O2" s="79" t="s">
        <v>4352</v>
      </c>
      <c r="P2" s="79" t="s">
        <v>4359</v>
      </c>
      <c r="Q2" s="79" t="s">
        <v>4343</v>
      </c>
      <c r="R2" s="79">
        <v>12</v>
      </c>
      <c r="S2" s="79">
        <v>1</v>
      </c>
      <c r="T2" s="81">
        <v>377.59</v>
      </c>
      <c r="U2" s="81">
        <v>377.59</v>
      </c>
      <c r="V2" s="79" t="str">
        <f>INDEX(pARTNER[#All],MATCH(I_Miei_Rendiconti[[#This Row],[Column1.partnerId]],pARTNER[[#All],[Value.partnerSummary.id]],0),2)</f>
        <v>POSEIDONE</v>
      </c>
      <c r="W2" s="79" t="b">
        <v>0</v>
      </c>
      <c r="X2" s="82">
        <f>I_Miei_Rendiconti[[#This Row],[Column1.totalAfterSubmitted]]-I_Miei_Rendiconti[[#This Row],[Column1.totalEligibleAfterControl]]</f>
        <v>0</v>
      </c>
      <c r="Y2" s="80">
        <f>IF(I_Miei_Rendiconti[[#This Row],[Column1.status]]="Certified",IFERROR(I_Miei_Rendiconti[[#This Row],[Financial corection]]/I_Miei_Rendiconti[[#This Row],[Column1.totalAfterSubmitted]],0),"Rendiconto da certificare")</f>
        <v>0</v>
      </c>
      <c r="Z2" s="207" t="str">
        <f>IF(I_Miei_Rendiconti[[#This Row],[Column1.status]]&lt;&gt;"Certified",INDEX('Partner data'!DG:DQ,MATCH(I_Miei_Rendiconti[[#This Row],[Column1.partnerId]],'Partner data'!DG:DG,0),13),"Rendiconto CONVALIDATO")</f>
        <v>Rendiconto CONVALIDATO</v>
      </c>
      <c r="AA2"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2" s="81" t="str">
        <f>IF(OR(I_Miei_Rendiconti[[#This Row],[N. previouse validated report ]]="Rendiconto CONVALIDATO",I_Miei_Rendiconti[[#This Row],[N. previouse validated report ]]="NON è stato convalidato ancora nessun rendiconto"),"NON PERTINENTE","fai la fromula")</f>
        <v>NON PERTINENTE</v>
      </c>
      <c r="AC2"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2" s="2">
        <f>INDEX('Partner data'!DG:DJ,MATCH(I_Miei_Rendiconti[[#This Row],[Column1.partnerId]],'Partner data'!DG:DG,0),3)</f>
        <v>2</v>
      </c>
      <c r="AE2" t="str" cm="1">
        <f t="array" ref="AE2">INDEX('Varie Tabelle'!$A$37:$C$51,MATCH(1,(I_Miei_Rendiconti[[#This Row],[Column1.firstSubmission]]&gt;='Varie Tabelle'!$B$37:$B$51)*(I_Miei_Rendiconti[[#This Row],[Column1.firstSubmission]]&lt;'Varie Tabelle'!$C$37:$C$51),0),1)</f>
        <v>Finestra 1</v>
      </c>
      <c r="AF2" s="109">
        <f>INDEX('Varie Tabelle'!$A$37:$C$51,MATCH('MY-REPORT-MAIN'!AE2,'Varie Tabelle'!$A$37:$A$51,0),2)</f>
        <v>45236</v>
      </c>
      <c r="AG2" s="109">
        <f>INDEX('Partner data'!DG:DR,MATCH(I_Miei_Rendiconti[[#This Row],[Column1.partnerId]],'Partner data'!DG:DG,0),12)</f>
        <v>44927</v>
      </c>
      <c r="AH2" s="115">
        <f t="shared" ref="AH2:AH65" si="0">(AF2-AG2)/30.41</f>
        <v>10.161131206839855</v>
      </c>
      <c r="AI2" t="str" cm="1">
        <f t="array" ref="AI2">INDEX('Varie Tabelle'!$A$12:$C$22,MATCH(1,('MY-REPORT-MAIN'!AH2&gt;='Varie Tabelle'!$B$12:$B$22)*('MY-REPORT-MAIN'!AH2&lt;='Varie Tabelle'!$C$12:$C$22),0),1)</f>
        <v>Periodo-1</v>
      </c>
      <c r="AJ2" s="14">
        <f>INDEX('Partner data'!A:EC,MATCH(I_Miei_Rendiconti[[#This Row],[Column1.partnerId]],'Partner data'!DG:DG,0),MATCH('MY-REPORT-MAIN'!AI2,'Partner data'!$2:$2,0))</f>
        <v>55710</v>
      </c>
      <c r="AK2" s="10">
        <f>I_Miei_Rendiconti[[#This Row],[Column1.totalAfterSubmitted]]-AJ2</f>
        <v>-55332.41</v>
      </c>
      <c r="AL2" s="16">
        <f>IFERROR(1-(I_Miei_Rendiconti[[#This Row],[Column1.totalAfterSubmitted]]/AJ2),0)</f>
        <v>0.99322222222222223</v>
      </c>
      <c r="AM2" s="14">
        <f>INDEX('Partner data'!A:EB,MATCH(I_Miei_Rendiconti[[#This Row],[Column1.partnerId]],'Partner data'!DG:DG,0),44)</f>
        <v>437500</v>
      </c>
      <c r="AN2" s="14">
        <f>SUMIFS(ListOfExpenditure!AP:AP,ListOfExpenditure!AJ:AJ,I_Miei_Rendiconti[[#This Row],[Column1.id]])</f>
        <v>0</v>
      </c>
      <c r="AO2" s="148">
        <f>SUMIFS(ReportSubmittedBL!W:W,ReportSubmittedBL!D:D,I_Miei_Rendiconti[[#This Row],[Column1.id]])</f>
        <v>12</v>
      </c>
      <c r="AP2" s="155" cm="1">
        <f t="array" ref="AP2">INDEX('Weight tables'!$A$32:$C$36,MATCH(1,('MY-REPORT-MAIN'!AO2&gt;='Weight tables'!$B$32:$B$36)*('MY-REPORT-MAIN'!AO2&lt;='Weight tables'!$C$32:$C$36),0),1)</f>
        <v>8.4</v>
      </c>
      <c r="AQ2" s="155">
        <f>INDEX('Weight tables'!$A$39:$B$41,MATCH(I_Miei_Rendiconti[[#This Row],[Previouse Report checked?yes/no]],'Weight tables'!$B$39:$B$41,0),1)</f>
        <v>8.4</v>
      </c>
      <c r="AR2" s="155" cm="1">
        <f t="array" ref="AR2">IF(I_Miei_Rendiconti[[#This Row],[Sum of errors in previous report ]]="NON PERTINENTE",0,INDEX('Weight tables'!$A$43:$C$46,MATCH(1,(I_Miei_Rendiconti[[#This Row],[Sum of errors in previous report ]]&gt;='Weight tables'!$B$43:$B$46)*(I_Miei_Rendiconti[[#This Row],[Sum of errors in previous report ]]&lt;='Weight tables'!$C$43:$C$46),0),1))</f>
        <v>0</v>
      </c>
      <c r="AS2" s="155" cm="1">
        <f t="array" ref="AS2">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2" s="155" cm="1">
        <f t="array" ref="AT2">INDEX('Weight tables'!$A$56:$C$65,MATCH(1,('MY-REPORT-MAIN'!U2&gt;='Weight tables'!$B$56:$B$65)*('MY-REPORT-MAIN'!U2&lt;='Weight tables'!$C$56:$C$65),0),1)</f>
        <v>0</v>
      </c>
      <c r="AU2" s="155" cm="1">
        <f t="array" ref="AU2">INDEX('Weight tables'!$A$68:$C$71,MATCH(1,('MY-REPORT-MAIN'!AL2&gt;='Weight tables'!$B$68:$B$71)*('MY-REPORT-MAIN'!AL2&lt;='Weight tables'!$C$68:$C$71),0),1)</f>
        <v>2</v>
      </c>
      <c r="AV2" s="155" cm="1">
        <f t="array" ref="AV2">INDEX('Weight tables'!$A$74:$C$78,MATCH(1,('MY-REPORT-MAIN'!AN2&gt;='Weight tables'!$B$74:$B$78)*('MY-REPORT-MAIN'!AN2&lt;='Weight tables'!$C$74:$C$78),0),1)</f>
        <v>0</v>
      </c>
      <c r="AW2" s="16">
        <f>IF(I_Miei_Rendiconti[[#This Row],[Column1.totalAfterSubmitted]]/AM2&gt;50%,"Checked",0)</f>
        <v>0</v>
      </c>
      <c r="AX2" s="155">
        <f>SUM(AP2:AV2)</f>
        <v>18.8</v>
      </c>
      <c r="AY2" s="155" t="str">
        <f>INDEX('Partner data'!A:EB,MATCH(I_Miei_Rendiconti[[#This Row],[Column1.partnerId]],'Partner data'!DG:DG,0),92)</f>
        <v>Italia (IT)</v>
      </c>
    </row>
    <row r="3" spans="1:58" ht="30" x14ac:dyDescent="0.25">
      <c r="A3" s="79">
        <v>5</v>
      </c>
      <c r="B3" s="79">
        <v>13</v>
      </c>
      <c r="C3" s="79">
        <v>13</v>
      </c>
      <c r="D3" s="79" t="s">
        <v>2371</v>
      </c>
      <c r="E3" s="79" t="s">
        <v>253</v>
      </c>
      <c r="F3" s="79">
        <v>3</v>
      </c>
      <c r="G3" s="206" t="s">
        <v>21</v>
      </c>
      <c r="H3" s="79">
        <v>1</v>
      </c>
      <c r="I3" s="79" t="s">
        <v>4339</v>
      </c>
      <c r="J3" s="79" t="s">
        <v>1118</v>
      </c>
      <c r="K3" s="208">
        <v>45251.668042037039</v>
      </c>
      <c r="M3" s="208">
        <v>45349.446331342595</v>
      </c>
      <c r="N3" s="79" t="s">
        <v>4340</v>
      </c>
      <c r="O3" s="79" t="s">
        <v>4341</v>
      </c>
      <c r="P3" s="79" t="s">
        <v>4342</v>
      </c>
      <c r="Q3" s="79" t="s">
        <v>4343</v>
      </c>
      <c r="R3" s="79">
        <v>22</v>
      </c>
      <c r="S3" s="79">
        <v>1</v>
      </c>
      <c r="T3" s="81">
        <v>25434.15</v>
      </c>
      <c r="U3" s="81">
        <v>25434.15</v>
      </c>
      <c r="V3" s="79" t="str">
        <f>INDEX(pARTNER[#All],MATCH(I_Miei_Rendiconti[[#This Row],[Column1.partnerId]],pARTNER[[#All],[Value.partnerSummary.id]],0),2)</f>
        <v>ADRIONCYCLETOUR</v>
      </c>
      <c r="W3" s="79" t="b">
        <v>0</v>
      </c>
      <c r="X3" s="82">
        <f>I_Miei_Rendiconti[[#This Row],[Column1.totalAfterSubmitted]]-I_Miei_Rendiconti[[#This Row],[Column1.totalEligibleAfterControl]]</f>
        <v>0</v>
      </c>
      <c r="Y3" s="80">
        <f>IF(I_Miei_Rendiconti[[#This Row],[Column1.status]]="Certified",IFERROR(I_Miei_Rendiconti[[#This Row],[Financial corection]]/I_Miei_Rendiconti[[#This Row],[Column1.totalAfterSubmitted]],0),"Rendiconto da certificare")</f>
        <v>0</v>
      </c>
      <c r="Z3" s="207" t="str">
        <f>IF(I_Miei_Rendiconti[[#This Row],[Column1.status]]&lt;&gt;"Certified",INDEX('Partner data'!DG:DQ,MATCH(I_Miei_Rendiconti[[#This Row],[Column1.partnerId]],'Partner data'!DG:DG,0),13),"Rendiconto CONVALIDATO")</f>
        <v>Rendiconto CONVALIDATO</v>
      </c>
      <c r="AA3"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3" s="81" t="str">
        <f>IF(OR(I_Miei_Rendiconti[[#This Row],[N. previouse validated report ]]="Rendiconto CONVALIDATO",I_Miei_Rendiconti[[#This Row],[N. previouse validated report ]]="NON è stato convalidato ancora nessun rendiconto"),"NON PERTINENTE","fai la fromula")</f>
        <v>NON PERTINENTE</v>
      </c>
      <c r="AC3"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3" s="2">
        <f>INDEX('Partner data'!DG:DJ,MATCH(I_Miei_Rendiconti[[#This Row],[Column1.partnerId]],'Partner data'!DG:DG,0),3)</f>
        <v>2</v>
      </c>
      <c r="AE3" t="str" cm="1">
        <f t="array" ref="AE3">INDEX('Varie Tabelle'!$A$37:$C$51,MATCH(1,(I_Miei_Rendiconti[[#This Row],[Column1.firstSubmission]]&gt;='Varie Tabelle'!$B$37:$B$51)*(I_Miei_Rendiconti[[#This Row],[Column1.firstSubmission]]&lt;'Varie Tabelle'!$C$37:$C$51),0),1)</f>
        <v>Finestra 1</v>
      </c>
      <c r="AF3" s="109">
        <f>INDEX('Varie Tabelle'!$A$37:$C$51,MATCH('MY-REPORT-MAIN'!AE3,'Varie Tabelle'!$A$37:$A$51,0),2)</f>
        <v>45236</v>
      </c>
      <c r="AG3" s="109">
        <f>INDEX('Partner data'!DG:DR,MATCH(I_Miei_Rendiconti[[#This Row],[Column1.partnerId]],'Partner data'!DG:DG,0),12)</f>
        <v>44805</v>
      </c>
      <c r="AH3" s="115">
        <f t="shared" si="0"/>
        <v>14.17296941795462</v>
      </c>
      <c r="AI3" t="str" cm="1">
        <f t="array" ref="AI3">INDEX('Varie Tabelle'!$A$12:$C$22,MATCH(1,('MY-REPORT-MAIN'!AH3&gt;='Varie Tabelle'!$B$12:$B$22)*('MY-REPORT-MAIN'!AH3&lt;='Varie Tabelle'!$C$12:$C$22),0),1)</f>
        <v>Periodo-2</v>
      </c>
      <c r="AJ3" s="14">
        <f>INDEX('Partner data'!A:EC,MATCH(I_Miei_Rendiconti[[#This Row],[Column1.partnerId]],'Partner data'!DG:DG,0),MATCH('MY-REPORT-MAIN'!AI3,'Partner data'!$2:$2,0))</f>
        <v>24141</v>
      </c>
      <c r="AK3" s="10">
        <f>SUMIFS($U$2:U3,$C$2:C3,I_Miei_Rendiconti[[#This Row],[Column1.partnerId]])-AJ3</f>
        <v>1293.1500000000015</v>
      </c>
      <c r="AL3" s="16">
        <f>IFERROR(1-(I_Miei_Rendiconti[[#This Row],[Column1.totalAfterSubmitted]]/AJ3),0)</f>
        <v>-5.3566546539082882E-2</v>
      </c>
      <c r="AM3" s="14">
        <f>INDEX('Partner data'!A:EB,MATCH(I_Miei_Rendiconti[[#This Row],[Column1.partnerId]],'Partner data'!DG:DG,0),44)</f>
        <v>320000</v>
      </c>
      <c r="AN3" s="14">
        <f>SUMIFS(ListOfExpenditure!AP:AP,ListOfExpenditure!AJ:AJ,I_Miei_Rendiconti[[#This Row],[Column1.id]])</f>
        <v>0</v>
      </c>
      <c r="AO3" s="148">
        <f>SUMIFS(ReportSubmittedBL!W:W,ReportSubmittedBL!D:D,I_Miei_Rendiconti[[#This Row],[Column1.id]])</f>
        <v>12</v>
      </c>
      <c r="AP3" s="155" cm="1">
        <f t="array" ref="AP3">INDEX('Weight tables'!$A$32:$C$36,MATCH(1,('MY-REPORT-MAIN'!AO3&gt;='Weight tables'!$B$32:$B$36)*('MY-REPORT-MAIN'!AO3&lt;='Weight tables'!$C$32:$C$36),0),1)</f>
        <v>8.4</v>
      </c>
      <c r="AQ3" s="155">
        <f>INDEX('Weight tables'!$A$39:$B$41,MATCH(I_Miei_Rendiconti[[#This Row],[Previouse Report checked?yes/no]],'Weight tables'!$B$39:$B$41,0),1)</f>
        <v>8.4</v>
      </c>
      <c r="AR3" s="155" cm="1">
        <f t="array" ref="AR3">IF(I_Miei_Rendiconti[[#This Row],[Sum of errors in previous report ]]="NON PERTINENTE",0,INDEX('Weight tables'!$A$43:$C$46,MATCH(1,(I_Miei_Rendiconti[[#This Row],[Sum of errors in previous report ]]&gt;='Weight tables'!$B$43:$B$46)*(I_Miei_Rendiconti[[#This Row],[Sum of errors in previous report ]]&lt;='Weight tables'!$C$43:$C$46),0),1))</f>
        <v>0</v>
      </c>
      <c r="AS3" s="155" cm="1">
        <f t="array" ref="AS3">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3" s="155" cm="1">
        <f t="array" ref="AT3">INDEX('Weight tables'!$A$56:$C$65,MATCH(1,('MY-REPORT-MAIN'!U3&gt;='Weight tables'!$B$56:$B$65)*('MY-REPORT-MAIN'!U3&lt;='Weight tables'!$C$56:$C$65),0),1)</f>
        <v>2</v>
      </c>
      <c r="AU3" s="155" cm="1">
        <f t="array" ref="AU3">INDEX('Weight tables'!$A$68:$C$71,MATCH(1,('MY-REPORT-MAIN'!AL3&gt;='Weight tables'!$B$68:$B$71)*('MY-REPORT-MAIN'!AL3&lt;='Weight tables'!$C$68:$C$71),0),1)</f>
        <v>0</v>
      </c>
      <c r="AV3" s="155" cm="1">
        <f t="array" ref="AV3">INDEX('Weight tables'!$A$74:$C$78,MATCH(1,('MY-REPORT-MAIN'!AN3&gt;='Weight tables'!$B$74:$B$78)*('MY-REPORT-MAIN'!AN3&lt;='Weight tables'!$C$74:$C$78),0),1)</f>
        <v>0</v>
      </c>
      <c r="AW3" s="16">
        <f>IF(I_Miei_Rendiconti[[#This Row],[Column1.totalAfterSubmitted]]/AM3&gt;50%,"Checked",0)</f>
        <v>0</v>
      </c>
      <c r="AX3" s="155">
        <f t="shared" ref="AX3:AX66" si="1">SUM(AP3:AV3)</f>
        <v>18.8</v>
      </c>
      <c r="AY3" s="155" t="str">
        <f>INDEX('Partner data'!A:EB,MATCH(I_Miei_Rendiconti[[#This Row],[Column1.partnerId]],'Partner data'!DG:DG,0),92)</f>
        <v>Italia (IT)</v>
      </c>
    </row>
    <row r="4" spans="1:58" ht="30" x14ac:dyDescent="0.25">
      <c r="A4" s="79">
        <v>51</v>
      </c>
      <c r="B4" s="79">
        <v>92</v>
      </c>
      <c r="C4" s="79">
        <v>318</v>
      </c>
      <c r="D4" s="79" t="s">
        <v>2433</v>
      </c>
      <c r="E4" s="79" t="s">
        <v>253</v>
      </c>
      <c r="F4" s="79">
        <v>4</v>
      </c>
      <c r="G4" s="206" t="s">
        <v>22</v>
      </c>
      <c r="H4" s="79">
        <v>1</v>
      </c>
      <c r="I4" s="79" t="s">
        <v>4339</v>
      </c>
      <c r="J4" s="79" t="s">
        <v>2373</v>
      </c>
      <c r="K4" s="208">
        <v>45253.370411053242</v>
      </c>
      <c r="M4" s="208">
        <v>45309.487787685182</v>
      </c>
      <c r="N4" s="79" t="s">
        <v>4367</v>
      </c>
      <c r="O4" s="79" t="s">
        <v>4352</v>
      </c>
      <c r="P4" s="79" t="s">
        <v>4342</v>
      </c>
      <c r="Q4" s="79" t="s">
        <v>4343</v>
      </c>
      <c r="R4" s="79">
        <v>20</v>
      </c>
      <c r="S4" s="79">
        <v>1</v>
      </c>
      <c r="T4" s="81">
        <v>9825.48</v>
      </c>
      <c r="U4" s="81">
        <v>11186.13</v>
      </c>
      <c r="V4" s="79" t="str">
        <f>INDEX(pARTNER[#All],MATCH(I_Miei_Rendiconti[[#This Row],[Column1.partnerId]],pARTNER[[#All],[Value.partnerSummary.id]],0),2)</f>
        <v>KRAS-CARSO II</v>
      </c>
      <c r="W4" s="79" t="b">
        <v>0</v>
      </c>
      <c r="X4" s="82">
        <f>I_Miei_Rendiconti[[#This Row],[Column1.totalAfterSubmitted]]-I_Miei_Rendiconti[[#This Row],[Column1.totalEligibleAfterControl]]</f>
        <v>1360.6499999999996</v>
      </c>
      <c r="Y4" s="80">
        <f>IF(I_Miei_Rendiconti[[#This Row],[Column1.status]]="Certified",IFERROR(I_Miei_Rendiconti[[#This Row],[Financial corection]]/I_Miei_Rendiconti[[#This Row],[Column1.totalAfterSubmitted]],0),"Rendiconto da certificare")</f>
        <v>0.12163724183430728</v>
      </c>
      <c r="Z4" s="207" t="str">
        <f>IF(I_Miei_Rendiconti[[#This Row],[Column1.status]]&lt;&gt;"Certified",INDEX('Partner data'!DG:DQ,MATCH(I_Miei_Rendiconti[[#This Row],[Column1.partnerId]],'Partner data'!DG:DG,0),13),"Rendiconto CONVALIDATO")</f>
        <v>Rendiconto CONVALIDATO</v>
      </c>
      <c r="AA4"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4" s="81" t="str">
        <f>IF(OR(I_Miei_Rendiconti[[#This Row],[N. previouse validated report ]]="Rendiconto CONVALIDATO",I_Miei_Rendiconti[[#This Row],[N. previouse validated report ]]="NON è stato convalidato ancora nessun rendiconto"),"NON PERTINENTE","fai la fromula")</f>
        <v>NON PERTINENTE</v>
      </c>
      <c r="AC4"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4" s="2">
        <f>INDEX('Partner data'!DG:DJ,MATCH(I_Miei_Rendiconti[[#This Row],[Column1.partnerId]],'Partner data'!DG:DG,0),3)</f>
        <v>2</v>
      </c>
      <c r="AE4" t="str" cm="1">
        <f t="array" ref="AE4">INDEX('Varie Tabelle'!$A$37:$C$51,MATCH(1,(I_Miei_Rendiconti[[#This Row],[Column1.firstSubmission]]&gt;='Varie Tabelle'!$B$37:$B$51)*(I_Miei_Rendiconti[[#This Row],[Column1.firstSubmission]]&lt;'Varie Tabelle'!$C$37:$C$51),0),1)</f>
        <v>Finestra 1</v>
      </c>
      <c r="AF4" s="109">
        <f>INDEX('Varie Tabelle'!$A$37:$C$51,MATCH('MY-REPORT-MAIN'!AE4,'Varie Tabelle'!$A$37:$A$51,0),2)</f>
        <v>45236</v>
      </c>
      <c r="AG4" s="109">
        <f>INDEX('Partner data'!DG:DR,MATCH(I_Miei_Rendiconti[[#This Row],[Column1.partnerId]],'Partner data'!DG:DG,0),12)</f>
        <v>44927</v>
      </c>
      <c r="AH4" s="115">
        <f t="shared" si="0"/>
        <v>10.161131206839855</v>
      </c>
      <c r="AI4" t="str" cm="1">
        <f t="array" ref="AI4">INDEX('Varie Tabelle'!$A$12:$C$22,MATCH(1,('MY-REPORT-MAIN'!AH4&gt;='Varie Tabelle'!$B$12:$B$22)*('MY-REPORT-MAIN'!AH4&lt;='Varie Tabelle'!$C$12:$C$22),0),1)</f>
        <v>Periodo-1</v>
      </c>
      <c r="AJ4" s="14">
        <f>INDEX('Partner data'!A:EC,MATCH(I_Miei_Rendiconti[[#This Row],[Column1.partnerId]],'Partner data'!DG:DG,0),MATCH('MY-REPORT-MAIN'!AI4,'Partner data'!$2:$2,0))</f>
        <v>1128.1199999999999</v>
      </c>
      <c r="AK4" s="10">
        <f>SUMIFS($U$2:U4,$C$2:C4,I_Miei_Rendiconti[[#This Row],[Column1.partnerId]])-AJ4</f>
        <v>10058.009999999998</v>
      </c>
      <c r="AL4" s="16">
        <f>IFERROR(1-(I_Miei_Rendiconti[[#This Row],[Column1.totalAfterSubmitted]]/AJ4),0)</f>
        <v>-8.9157270503137962</v>
      </c>
      <c r="AM4" s="14">
        <f>INDEX('Partner data'!A:EB,MATCH(I_Miei_Rendiconti[[#This Row],[Column1.partnerId]],'Partner data'!DG:DG,0),44)</f>
        <v>120000.8</v>
      </c>
      <c r="AN4" s="14">
        <f>SUMIFS(ListOfExpenditure!AP:AP,ListOfExpenditure!AJ:AJ,I_Miei_Rendiconti[[#This Row],[Column1.id]])</f>
        <v>0</v>
      </c>
      <c r="AO4" s="148">
        <f>SUMIFS(ReportSubmittedBL!W:W,ReportSubmittedBL!D:D,I_Miei_Rendiconti[[#This Row],[Column1.id]])</f>
        <v>12</v>
      </c>
      <c r="AP4" s="155" cm="1">
        <f t="array" ref="AP4">INDEX('Weight tables'!$A$32:$C$36,MATCH(1,('MY-REPORT-MAIN'!AO4&gt;='Weight tables'!$B$32:$B$36)*('MY-REPORT-MAIN'!AO4&lt;='Weight tables'!$C$32:$C$36),0),1)</f>
        <v>8.4</v>
      </c>
      <c r="AQ4" s="155">
        <f>INDEX('Weight tables'!$A$39:$B$41,MATCH(I_Miei_Rendiconti[[#This Row],[Previouse Report checked?yes/no]],'Weight tables'!$B$39:$B$41,0),1)</f>
        <v>8.4</v>
      </c>
      <c r="AR4" s="155" cm="1">
        <f t="array" ref="AR4">IF(I_Miei_Rendiconti[[#This Row],[Sum of errors in previous report ]]="NON PERTINENTE",0,INDEX('Weight tables'!$A$43:$C$46,MATCH(1,(I_Miei_Rendiconti[[#This Row],[Sum of errors in previous report ]]&gt;='Weight tables'!$B$43:$B$46)*(I_Miei_Rendiconti[[#This Row],[Sum of errors in previous report ]]&lt;='Weight tables'!$C$43:$C$46),0),1))</f>
        <v>0</v>
      </c>
      <c r="AS4" s="155" cm="1">
        <f t="array" ref="AS4">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4" s="155" cm="1">
        <f t="array" ref="AT4">INDEX('Weight tables'!$A$56:$C$65,MATCH(1,('MY-REPORT-MAIN'!U4&gt;='Weight tables'!$B$56:$B$65)*('MY-REPORT-MAIN'!U4&lt;='Weight tables'!$C$56:$C$65),0),1)</f>
        <v>1</v>
      </c>
      <c r="AU4" s="155" cm="1">
        <f t="array" ref="AU4">INDEX('Weight tables'!$A$68:$C$71,MATCH(1,('MY-REPORT-MAIN'!AL4&gt;='Weight tables'!$B$68:$B$71)*('MY-REPORT-MAIN'!AL4&lt;='Weight tables'!$C$68:$C$71),0),1)</f>
        <v>0</v>
      </c>
      <c r="AV4" s="155" cm="1">
        <f t="array" ref="AV4">INDEX('Weight tables'!$A$74:$C$78,MATCH(1,('MY-REPORT-MAIN'!AN4&gt;='Weight tables'!$B$74:$B$78)*('MY-REPORT-MAIN'!AN4&lt;='Weight tables'!$C$74:$C$78),0),1)</f>
        <v>0</v>
      </c>
      <c r="AW4" s="16">
        <f>IF(I_Miei_Rendiconti[[#This Row],[Column1.totalAfterSubmitted]]/AM4&gt;50%,"Checked",0)</f>
        <v>0</v>
      </c>
      <c r="AX4" s="155">
        <f t="shared" si="1"/>
        <v>17.8</v>
      </c>
      <c r="AY4" s="155" t="str">
        <f>INDEX('Partner data'!A:EB,MATCH(I_Miei_Rendiconti[[#This Row],[Column1.partnerId]],'Partner data'!DG:DG,0),92)</f>
        <v>Slovenija (SI)</v>
      </c>
    </row>
    <row r="5" spans="1:58" ht="30" x14ac:dyDescent="0.25">
      <c r="A5" s="79">
        <v>48</v>
      </c>
      <c r="B5" s="79">
        <v>91</v>
      </c>
      <c r="C5" s="79">
        <v>308</v>
      </c>
      <c r="D5" s="79" t="s">
        <v>2561</v>
      </c>
      <c r="E5" s="79" t="s">
        <v>253</v>
      </c>
      <c r="F5" s="79">
        <v>6</v>
      </c>
      <c r="G5" s="206" t="s">
        <v>23</v>
      </c>
      <c r="H5" s="79">
        <v>1</v>
      </c>
      <c r="I5" s="79" t="s">
        <v>4339</v>
      </c>
      <c r="J5" s="79" t="s">
        <v>1043</v>
      </c>
      <c r="K5" s="208">
        <v>45258.585073344904</v>
      </c>
      <c r="M5" s="208">
        <v>45349.478368703705</v>
      </c>
      <c r="N5" s="79" t="s">
        <v>4365</v>
      </c>
      <c r="O5" s="79" t="s">
        <v>4352</v>
      </c>
      <c r="P5" s="79" t="s">
        <v>4342</v>
      </c>
      <c r="Q5" s="79" t="s">
        <v>4343</v>
      </c>
      <c r="R5" s="79">
        <v>12</v>
      </c>
      <c r="S5" s="79">
        <v>1</v>
      </c>
      <c r="T5" s="81">
        <v>35971.32</v>
      </c>
      <c r="U5" s="81">
        <v>35974.74</v>
      </c>
      <c r="V5" s="79" t="str">
        <f>INDEX(pARTNER[#All],MATCH(I_Miei_Rendiconti[[#This Row],[Column1.partnerId]],pARTNER[[#All],[Value.partnerSummary.id]],0),2)</f>
        <v>POSEIDONE</v>
      </c>
      <c r="W5" s="79" t="b">
        <v>0</v>
      </c>
      <c r="X5" s="82">
        <f>I_Miei_Rendiconti[[#This Row],[Column1.totalAfterSubmitted]]-I_Miei_Rendiconti[[#This Row],[Column1.totalEligibleAfterControl]]</f>
        <v>3.4199999999982538</v>
      </c>
      <c r="Y5" s="80">
        <f>IF(I_Miei_Rendiconti[[#This Row],[Column1.status]]="Certified",IFERROR(I_Miei_Rendiconti[[#This Row],[Financial corection]]/I_Miei_Rendiconti[[#This Row],[Column1.totalAfterSubmitted]],0),"Rendiconto da certificare")</f>
        <v>9.5066705138056697E-5</v>
      </c>
      <c r="Z5" s="207" t="str">
        <f>IF(I_Miei_Rendiconti[[#This Row],[Column1.status]]&lt;&gt;"Certified",INDEX('Partner data'!DG:DQ,MATCH(I_Miei_Rendiconti[[#This Row],[Column1.partnerId]],'Partner data'!DG:DG,0),13),"Rendiconto CONVALIDATO")</f>
        <v>Rendiconto CONVALIDATO</v>
      </c>
      <c r="AA5"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5" s="81" t="str">
        <f>IF(OR(I_Miei_Rendiconti[[#This Row],[N. previouse validated report ]]="Rendiconto CONVALIDATO",I_Miei_Rendiconti[[#This Row],[N. previouse validated report ]]="NON è stato convalidato ancora nessun rendiconto"),"NON PERTINENTE","fai la fromula")</f>
        <v>NON PERTINENTE</v>
      </c>
      <c r="AC5"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5" s="2">
        <f>INDEX('Partner data'!DG:DJ,MATCH(I_Miei_Rendiconti[[#This Row],[Column1.partnerId]],'Partner data'!DG:DG,0),3)</f>
        <v>2</v>
      </c>
      <c r="AE5" t="str" cm="1">
        <f t="array" ref="AE5">INDEX('Varie Tabelle'!$A$37:$C$51,MATCH(1,(I_Miei_Rendiconti[[#This Row],[Column1.firstSubmission]]&gt;='Varie Tabelle'!$B$37:$B$51)*(I_Miei_Rendiconti[[#This Row],[Column1.firstSubmission]]&lt;'Varie Tabelle'!$C$37:$C$51),0),1)</f>
        <v>Finestra 1</v>
      </c>
      <c r="AF5" s="109">
        <f>INDEX('Varie Tabelle'!$A$37:$C$51,MATCH('MY-REPORT-MAIN'!AE5,'Varie Tabelle'!$A$37:$A$51,0),2)</f>
        <v>45236</v>
      </c>
      <c r="AG5" s="109">
        <f>INDEX('Partner data'!DG:DR,MATCH(I_Miei_Rendiconti[[#This Row],[Column1.partnerId]],'Partner data'!DG:DG,0),12)</f>
        <v>44927</v>
      </c>
      <c r="AH5" s="115">
        <f t="shared" si="0"/>
        <v>10.161131206839855</v>
      </c>
      <c r="AI5" t="str" cm="1">
        <f t="array" ref="AI5">INDEX('Varie Tabelle'!$A$12:$C$22,MATCH(1,('MY-REPORT-MAIN'!AH5&gt;='Varie Tabelle'!$B$12:$B$22)*('MY-REPORT-MAIN'!AH5&lt;='Varie Tabelle'!$C$12:$C$22),0),1)</f>
        <v>Periodo-1</v>
      </c>
      <c r="AJ5" s="14">
        <f>INDEX('Partner data'!A:EC,MATCH(I_Miei_Rendiconti[[#This Row],[Column1.partnerId]],'Partner data'!DG:DG,0),MATCH('MY-REPORT-MAIN'!AI5,'Partner data'!$2:$2,0))</f>
        <v>36121.1</v>
      </c>
      <c r="AK5" s="10">
        <f>SUMIFS($U$2:U5,$C$2:C5,I_Miei_Rendiconti[[#This Row],[Column1.partnerId]])-AJ5</f>
        <v>-146.36000000000058</v>
      </c>
      <c r="AL5" s="16">
        <f>IFERROR(1-(I_Miei_Rendiconti[[#This Row],[Column1.totalAfterSubmitted]]/AJ5),0)</f>
        <v>4.0519253289628132E-3</v>
      </c>
      <c r="AM5" s="14">
        <f>INDEX('Partner data'!A:EB,MATCH(I_Miei_Rendiconti[[#This Row],[Column1.partnerId]],'Partner data'!DG:DG,0),44)</f>
        <v>275000.09999999998</v>
      </c>
      <c r="AN5" s="14">
        <f>SUMIFS(ListOfExpenditure!AP:AP,ListOfExpenditure!AJ:AJ,I_Miei_Rendiconti[[#This Row],[Column1.id]])</f>
        <v>0</v>
      </c>
      <c r="AO5" s="148">
        <f>SUMIFS(ReportSubmittedBL!W:W,ReportSubmittedBL!D:D,I_Miei_Rendiconti[[#This Row],[Column1.id]])</f>
        <v>10</v>
      </c>
      <c r="AP5" s="155" cm="1">
        <f t="array" ref="AP5">INDEX('Weight tables'!$A$32:$C$36,MATCH(1,('MY-REPORT-MAIN'!AO5&gt;='Weight tables'!$B$32:$B$36)*('MY-REPORT-MAIN'!AO5&lt;='Weight tables'!$C$32:$C$36),0),1)</f>
        <v>8.4</v>
      </c>
      <c r="AQ5" s="155">
        <f>INDEX('Weight tables'!$A$39:$B$41,MATCH(I_Miei_Rendiconti[[#This Row],[Previouse Report checked?yes/no]],'Weight tables'!$B$39:$B$41,0),1)</f>
        <v>8.4</v>
      </c>
      <c r="AR5" s="155" cm="1">
        <f t="array" ref="AR5">IF(I_Miei_Rendiconti[[#This Row],[Sum of errors in previous report ]]="NON PERTINENTE",0,INDEX('Weight tables'!$A$43:$C$46,MATCH(1,(I_Miei_Rendiconti[[#This Row],[Sum of errors in previous report ]]&gt;='Weight tables'!$B$43:$B$46)*(I_Miei_Rendiconti[[#This Row],[Sum of errors in previous report ]]&lt;='Weight tables'!$C$43:$C$46),0),1))</f>
        <v>0</v>
      </c>
      <c r="AS5" s="155" cm="1">
        <f t="array" ref="AS5">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5" s="155" cm="1">
        <f t="array" ref="AT5">INDEX('Weight tables'!$A$56:$C$65,MATCH(1,('MY-REPORT-MAIN'!U5&gt;='Weight tables'!$B$56:$B$65)*('MY-REPORT-MAIN'!U5&lt;='Weight tables'!$C$56:$C$65),0),1)</f>
        <v>3</v>
      </c>
      <c r="AU5" s="155" cm="1">
        <f t="array" ref="AU5">INDEX('Weight tables'!$A$68:$C$71,MATCH(1,('MY-REPORT-MAIN'!AL5&gt;='Weight tables'!$B$68:$B$71)*('MY-REPORT-MAIN'!AL5&lt;='Weight tables'!$C$68:$C$71),0),1)</f>
        <v>0</v>
      </c>
      <c r="AV5" s="155" cm="1">
        <f t="array" ref="AV5">INDEX('Weight tables'!$A$74:$C$78,MATCH(1,('MY-REPORT-MAIN'!AN5&gt;='Weight tables'!$B$74:$B$78)*('MY-REPORT-MAIN'!AN5&lt;='Weight tables'!$C$74:$C$78),0),1)</f>
        <v>0</v>
      </c>
      <c r="AW5" s="16">
        <f>IF(I_Miei_Rendiconti[[#This Row],[Column1.totalAfterSubmitted]]/AM5&gt;50%,"Checked",0)</f>
        <v>0</v>
      </c>
      <c r="AX5" s="155">
        <f t="shared" si="1"/>
        <v>19.8</v>
      </c>
      <c r="AY5" s="155" t="str">
        <f>INDEX('Partner data'!A:EB,MATCH(I_Miei_Rendiconti[[#This Row],[Column1.partnerId]],'Partner data'!DG:DG,0),92)</f>
        <v>Italia (IT)</v>
      </c>
    </row>
    <row r="6" spans="1:58" ht="30" x14ac:dyDescent="0.25">
      <c r="A6" s="79">
        <v>82</v>
      </c>
      <c r="B6" s="79">
        <v>91</v>
      </c>
      <c r="C6" s="79">
        <v>313</v>
      </c>
      <c r="D6" s="79" t="s">
        <v>2561</v>
      </c>
      <c r="E6" s="79" t="s">
        <v>253</v>
      </c>
      <c r="F6" s="79">
        <v>11</v>
      </c>
      <c r="G6" s="206" t="s">
        <v>24</v>
      </c>
      <c r="H6" s="79">
        <v>2</v>
      </c>
      <c r="I6" s="79" t="s">
        <v>4339</v>
      </c>
      <c r="J6" s="79" t="s">
        <v>2373</v>
      </c>
      <c r="K6" s="208">
        <v>45258.599897962966</v>
      </c>
      <c r="M6" s="208">
        <v>45321.46099615741</v>
      </c>
      <c r="N6" s="79" t="s">
        <v>4386</v>
      </c>
      <c r="O6" s="79" t="s">
        <v>4352</v>
      </c>
      <c r="P6" s="79" t="s">
        <v>4342</v>
      </c>
      <c r="Q6" s="79" t="s">
        <v>4343</v>
      </c>
      <c r="R6" s="79">
        <v>12</v>
      </c>
      <c r="S6" s="79">
        <v>1</v>
      </c>
      <c r="T6" s="81">
        <v>70722.38</v>
      </c>
      <c r="U6" s="81">
        <v>82083.55</v>
      </c>
      <c r="V6" s="79" t="str">
        <f>INDEX(pARTNER[#All],MATCH(I_Miei_Rendiconti[[#This Row],[Column1.partnerId]],pARTNER[[#All],[Value.partnerSummary.id]],0),2)</f>
        <v>POSEIDONE</v>
      </c>
      <c r="W6" s="79" t="b">
        <v>0</v>
      </c>
      <c r="X6" s="82">
        <f>I_Miei_Rendiconti[[#This Row],[Column1.totalAfterSubmitted]]-I_Miei_Rendiconti[[#This Row],[Column1.totalEligibleAfterControl]]</f>
        <v>11361.169999999998</v>
      </c>
      <c r="Y6" s="80">
        <f>IF(I_Miei_Rendiconti[[#This Row],[Column1.status]]="Certified",IFERROR(I_Miei_Rendiconti[[#This Row],[Financial corection]]/I_Miei_Rendiconti[[#This Row],[Column1.totalAfterSubmitted]],0),"Rendiconto da certificare")</f>
        <v>0.13840982754766329</v>
      </c>
      <c r="Z6" s="207" t="str">
        <f>IF(I_Miei_Rendiconti[[#This Row],[Column1.status]]&lt;&gt;"Certified",INDEX('Partner data'!DG:DQ,MATCH(I_Miei_Rendiconti[[#This Row],[Column1.partnerId]],'Partner data'!DG:DG,0),13),"Rendiconto CONVALIDATO")</f>
        <v>Rendiconto CONVALIDATO</v>
      </c>
      <c r="AA6"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6" s="81" t="str">
        <f>IF(OR(I_Miei_Rendiconti[[#This Row],[N. previouse validated report ]]="Rendiconto CONVALIDATO",I_Miei_Rendiconti[[#This Row],[N. previouse validated report ]]="NON è stato convalidato ancora nessun rendiconto"),"NON PERTINENTE","fai la fromula")</f>
        <v>NON PERTINENTE</v>
      </c>
      <c r="AC6"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6" s="2">
        <f>INDEX('Partner data'!DG:DJ,MATCH(I_Miei_Rendiconti[[#This Row],[Column1.partnerId]],'Partner data'!DG:DG,0),3)</f>
        <v>2</v>
      </c>
      <c r="AE6" t="str" cm="1">
        <f t="array" ref="AE6">INDEX('Varie Tabelle'!$A$37:$C$51,MATCH(1,(I_Miei_Rendiconti[[#This Row],[Column1.firstSubmission]]&gt;='Varie Tabelle'!$B$37:$B$51)*(I_Miei_Rendiconti[[#This Row],[Column1.firstSubmission]]&lt;'Varie Tabelle'!$C$37:$C$51),0),1)</f>
        <v>Finestra 1</v>
      </c>
      <c r="AF6" s="109">
        <f>INDEX('Varie Tabelle'!$A$37:$C$51,MATCH('MY-REPORT-MAIN'!AE6,'Varie Tabelle'!$A$37:$A$51,0),2)</f>
        <v>45236</v>
      </c>
      <c r="AG6" s="109">
        <f>INDEX('Partner data'!DG:DR,MATCH(I_Miei_Rendiconti[[#This Row],[Column1.partnerId]],'Partner data'!DG:DG,0),12)</f>
        <v>44927</v>
      </c>
      <c r="AH6" s="115">
        <f t="shared" si="0"/>
        <v>10.161131206839855</v>
      </c>
      <c r="AI6" t="str" cm="1">
        <f t="array" ref="AI6">INDEX('Varie Tabelle'!$A$12:$C$22,MATCH(1,('MY-REPORT-MAIN'!AH6&gt;='Varie Tabelle'!$B$12:$B$22)*('MY-REPORT-MAIN'!AH6&lt;='Varie Tabelle'!$C$12:$C$22),0),1)</f>
        <v>Periodo-1</v>
      </c>
      <c r="AJ6" s="14">
        <f>INDEX('Partner data'!A:EC,MATCH(I_Miei_Rendiconti[[#This Row],[Column1.partnerId]],'Partner data'!DG:DG,0),MATCH('MY-REPORT-MAIN'!AI6,'Partner data'!$2:$2,0))</f>
        <v>48652.99</v>
      </c>
      <c r="AK6" s="10">
        <f>SUMIFS($U$2:U6,$C$2:C6,I_Miei_Rendiconti[[#This Row],[Column1.partnerId]])-AJ6</f>
        <v>33430.560000000005</v>
      </c>
      <c r="AL6" s="16">
        <f>IFERROR(1-(I_Miei_Rendiconti[[#This Row],[Column1.totalAfterSubmitted]]/AJ6),0)</f>
        <v>-0.68712241529246221</v>
      </c>
      <c r="AM6" s="14">
        <f>INDEX('Partner data'!A:EB,MATCH(I_Miei_Rendiconti[[#This Row],[Column1.partnerId]],'Partner data'!DG:DG,0),44)</f>
        <v>312357.7</v>
      </c>
      <c r="AN6" s="14">
        <f>SUMIFS(ListOfExpenditure!AP:AP,ListOfExpenditure!AJ:AJ,I_Miei_Rendiconti[[#This Row],[Column1.id]])</f>
        <v>0</v>
      </c>
      <c r="AO6" s="148">
        <f>SUMIFS(ReportSubmittedBL!W:W,ReportSubmittedBL!D:D,I_Miei_Rendiconti[[#This Row],[Column1.id]])</f>
        <v>12</v>
      </c>
      <c r="AP6" s="155" cm="1">
        <f t="array" ref="AP6">INDEX('Weight tables'!$A$32:$C$36,MATCH(1,('MY-REPORT-MAIN'!AO6&gt;='Weight tables'!$B$32:$B$36)*('MY-REPORT-MAIN'!AO6&lt;='Weight tables'!$C$32:$C$36),0),1)</f>
        <v>8.4</v>
      </c>
      <c r="AQ6" s="155">
        <f>INDEX('Weight tables'!$A$39:$B$41,MATCH(I_Miei_Rendiconti[[#This Row],[Previouse Report checked?yes/no]],'Weight tables'!$B$39:$B$41,0),1)</f>
        <v>8.4</v>
      </c>
      <c r="AR6" s="155" cm="1">
        <f t="array" ref="AR6">IF(I_Miei_Rendiconti[[#This Row],[Sum of errors in previous report ]]="NON PERTINENTE",0,INDEX('Weight tables'!$A$43:$C$46,MATCH(1,(I_Miei_Rendiconti[[#This Row],[Sum of errors in previous report ]]&gt;='Weight tables'!$B$43:$B$46)*(I_Miei_Rendiconti[[#This Row],[Sum of errors in previous report ]]&lt;='Weight tables'!$C$43:$C$46),0),1))</f>
        <v>0</v>
      </c>
      <c r="AS6" s="155" cm="1">
        <f t="array" ref="AS6">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6" s="155" cm="1">
        <f t="array" ref="AT6">INDEX('Weight tables'!$A$56:$C$65,MATCH(1,('MY-REPORT-MAIN'!U6&gt;='Weight tables'!$B$56:$B$65)*('MY-REPORT-MAIN'!U6&lt;='Weight tables'!$C$56:$C$65),0),1)</f>
        <v>8</v>
      </c>
      <c r="AU6" s="155" cm="1">
        <f t="array" ref="AU6">INDEX('Weight tables'!$A$68:$C$71,MATCH(1,('MY-REPORT-MAIN'!AL6&gt;='Weight tables'!$B$68:$B$71)*('MY-REPORT-MAIN'!AL6&lt;='Weight tables'!$C$68:$C$71),0),1)</f>
        <v>0</v>
      </c>
      <c r="AV6" s="155" cm="1">
        <f t="array" ref="AV6">INDEX('Weight tables'!$A$74:$C$78,MATCH(1,('MY-REPORT-MAIN'!AN6&gt;='Weight tables'!$B$74:$B$78)*('MY-REPORT-MAIN'!AN6&lt;='Weight tables'!$C$74:$C$78),0),1)</f>
        <v>0</v>
      </c>
      <c r="AW6" s="16">
        <f>IF(I_Miei_Rendiconti[[#This Row],[Column1.totalAfterSubmitted]]/AM6&gt;50%,"Checked",0)</f>
        <v>0</v>
      </c>
      <c r="AX6" s="155">
        <f t="shared" si="1"/>
        <v>24.8</v>
      </c>
      <c r="AY6" s="155" t="str">
        <f>INDEX('Partner data'!A:EB,MATCH(I_Miei_Rendiconti[[#This Row],[Column1.partnerId]],'Partner data'!DG:DG,0),92)</f>
        <v>Slovenija (SI)</v>
      </c>
    </row>
    <row r="7" spans="1:58" ht="30" x14ac:dyDescent="0.25">
      <c r="A7" s="79">
        <v>27</v>
      </c>
      <c r="B7" s="79">
        <v>13</v>
      </c>
      <c r="C7" s="79">
        <v>10</v>
      </c>
      <c r="D7" s="79" t="s">
        <v>2371</v>
      </c>
      <c r="E7" s="79" t="s">
        <v>264</v>
      </c>
      <c r="F7" s="79">
        <v>1</v>
      </c>
      <c r="G7" s="206" t="s">
        <v>25</v>
      </c>
      <c r="H7" s="79">
        <v>1</v>
      </c>
      <c r="I7" s="79" t="s">
        <v>4339</v>
      </c>
      <c r="J7" s="79" t="s">
        <v>1118</v>
      </c>
      <c r="K7" s="208">
        <v>45259.451345613423</v>
      </c>
      <c r="M7" s="208">
        <v>45349.704485937502</v>
      </c>
      <c r="N7" s="79" t="s">
        <v>4349</v>
      </c>
      <c r="O7" s="79" t="s">
        <v>4350</v>
      </c>
      <c r="P7" s="79" t="s">
        <v>4342</v>
      </c>
      <c r="Q7" s="79" t="s">
        <v>4343</v>
      </c>
      <c r="R7" s="79">
        <v>22</v>
      </c>
      <c r="S7" s="79">
        <v>1</v>
      </c>
      <c r="T7" s="81">
        <v>15258.18</v>
      </c>
      <c r="U7" s="81">
        <v>15258.18</v>
      </c>
      <c r="V7" s="79" t="str">
        <f>INDEX(pARTNER[#All],MATCH(I_Miei_Rendiconti[[#This Row],[Column1.partnerId]],pARTNER[[#All],[Value.partnerSummary.id]],0),2)</f>
        <v>ADRIONCYCLETOUR</v>
      </c>
      <c r="W7" s="79" t="b">
        <v>0</v>
      </c>
      <c r="X7" s="82">
        <f>I_Miei_Rendiconti[[#This Row],[Column1.totalAfterSubmitted]]-I_Miei_Rendiconti[[#This Row],[Column1.totalEligibleAfterControl]]</f>
        <v>0</v>
      </c>
      <c r="Y7" s="80">
        <f>IF(I_Miei_Rendiconti[[#This Row],[Column1.status]]="Certified",IFERROR(I_Miei_Rendiconti[[#This Row],[Financial corection]]/I_Miei_Rendiconti[[#This Row],[Column1.totalAfterSubmitted]],0),"Rendiconto da certificare")</f>
        <v>0</v>
      </c>
      <c r="Z7" s="207" t="str">
        <f>IF(I_Miei_Rendiconti[[#This Row],[Column1.status]]&lt;&gt;"Certified",INDEX('Partner data'!DG:DQ,MATCH(I_Miei_Rendiconti[[#This Row],[Column1.partnerId]],'Partner data'!DG:DG,0),13),"Rendiconto CONVALIDATO")</f>
        <v>Rendiconto CONVALIDATO</v>
      </c>
      <c r="AA7"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7" s="81" t="str">
        <f>IF(OR(I_Miei_Rendiconti[[#This Row],[N. previouse validated report ]]="Rendiconto CONVALIDATO",I_Miei_Rendiconti[[#This Row],[N. previouse validated report ]]="NON è stato convalidato ancora nessun rendiconto"),"NON PERTINENTE","fai la fromula")</f>
        <v>NON PERTINENTE</v>
      </c>
      <c r="AC7"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7" s="2">
        <f>INDEX('Partner data'!DG:DJ,MATCH(I_Miei_Rendiconti[[#This Row],[Column1.partnerId]],'Partner data'!DG:DG,0),3)</f>
        <v>2</v>
      </c>
      <c r="AE7" t="str" cm="1">
        <f t="array" ref="AE7">INDEX('Varie Tabelle'!$A$37:$C$51,MATCH(1,(I_Miei_Rendiconti[[#This Row],[Column1.firstSubmission]]&gt;='Varie Tabelle'!$B$37:$B$51)*(I_Miei_Rendiconti[[#This Row],[Column1.firstSubmission]]&lt;'Varie Tabelle'!$C$37:$C$51),0),1)</f>
        <v>Finestra 1</v>
      </c>
      <c r="AF7" s="109">
        <f>INDEX('Varie Tabelle'!$A$37:$C$51,MATCH('MY-REPORT-MAIN'!AE7,'Varie Tabelle'!$A$37:$A$51,0),2)</f>
        <v>45236</v>
      </c>
      <c r="AG7" s="109">
        <f>INDEX('Partner data'!DG:DR,MATCH(I_Miei_Rendiconti[[#This Row],[Column1.partnerId]],'Partner data'!DG:DG,0),12)</f>
        <v>44805</v>
      </c>
      <c r="AH7" s="115">
        <f t="shared" si="0"/>
        <v>14.17296941795462</v>
      </c>
      <c r="AI7" t="str" cm="1">
        <f t="array" ref="AI7">INDEX('Varie Tabelle'!$A$12:$C$22,MATCH(1,('MY-REPORT-MAIN'!AH7&gt;='Varie Tabelle'!$B$12:$B$22)*('MY-REPORT-MAIN'!AH7&lt;='Varie Tabelle'!$C$12:$C$22),0),1)</f>
        <v>Periodo-2</v>
      </c>
      <c r="AJ7" s="14">
        <f>INDEX('Partner data'!A:EC,MATCH(I_Miei_Rendiconti[[#This Row],[Column1.partnerId]],'Partner data'!DG:DG,0),MATCH('MY-REPORT-MAIN'!AI7,'Partner data'!$2:$2,0))</f>
        <v>25409.119999999999</v>
      </c>
      <c r="AK7" s="10">
        <f>SUMIFS($U$2:U7,$C$2:C7,I_Miei_Rendiconti[[#This Row],[Column1.partnerId]])-AJ7</f>
        <v>-10150.939999999999</v>
      </c>
      <c r="AL7" s="16">
        <f>IFERROR(1-(I_Miei_Rendiconti[[#This Row],[Column1.totalAfterSubmitted]]/AJ7),0)</f>
        <v>0.39949986461553955</v>
      </c>
      <c r="AM7" s="14">
        <f>INDEX('Partner data'!A:EB,MATCH(I_Miei_Rendiconti[[#This Row],[Column1.partnerId]],'Partner data'!DG:DG,0),44)</f>
        <v>1360000</v>
      </c>
      <c r="AN7" s="14">
        <f>SUMIFS(ListOfExpenditure!AP:AP,ListOfExpenditure!AJ:AJ,I_Miei_Rendiconti[[#This Row],[Column1.id]])</f>
        <v>0</v>
      </c>
      <c r="AO7" s="148">
        <f>SUMIFS(ReportSubmittedBL!W:W,ReportSubmittedBL!D:D,I_Miei_Rendiconti[[#This Row],[Column1.id]])</f>
        <v>10</v>
      </c>
      <c r="AP7" s="155" cm="1">
        <f t="array" ref="AP7">INDEX('Weight tables'!$A$32:$C$36,MATCH(1,('MY-REPORT-MAIN'!AO7&gt;='Weight tables'!$B$32:$B$36)*('MY-REPORT-MAIN'!AO7&lt;='Weight tables'!$C$32:$C$36),0),1)</f>
        <v>8.4</v>
      </c>
      <c r="AQ7" s="155">
        <f>INDEX('Weight tables'!$A$39:$B$41,MATCH(I_Miei_Rendiconti[[#This Row],[Previouse Report checked?yes/no]],'Weight tables'!$B$39:$B$41,0),1)</f>
        <v>8.4</v>
      </c>
      <c r="AR7" s="155" cm="1">
        <f t="array" ref="AR7">IF(I_Miei_Rendiconti[[#This Row],[Sum of errors in previous report ]]="NON PERTINENTE",0,INDEX('Weight tables'!$A$43:$C$46,MATCH(1,(I_Miei_Rendiconti[[#This Row],[Sum of errors in previous report ]]&gt;='Weight tables'!$B$43:$B$46)*(I_Miei_Rendiconti[[#This Row],[Sum of errors in previous report ]]&lt;='Weight tables'!$C$43:$C$46),0),1))</f>
        <v>0</v>
      </c>
      <c r="AS7" s="155" cm="1">
        <f t="array" ref="AS7">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7" s="155" cm="1">
        <f t="array" ref="AT7">INDEX('Weight tables'!$A$56:$C$65,MATCH(1,('MY-REPORT-MAIN'!U7&gt;='Weight tables'!$B$56:$B$65)*('MY-REPORT-MAIN'!U7&lt;='Weight tables'!$C$56:$C$65),0),1)</f>
        <v>1</v>
      </c>
      <c r="AU7" s="155" cm="1">
        <f t="array" ref="AU7">INDEX('Weight tables'!$A$68:$C$71,MATCH(1,('MY-REPORT-MAIN'!AL7&gt;='Weight tables'!$B$68:$B$71)*('MY-REPORT-MAIN'!AL7&lt;='Weight tables'!$C$68:$C$71),0),1)</f>
        <v>2</v>
      </c>
      <c r="AV7" s="155" cm="1">
        <f t="array" ref="AV7">INDEX('Weight tables'!$A$74:$C$78,MATCH(1,('MY-REPORT-MAIN'!AN7&gt;='Weight tables'!$B$74:$B$78)*('MY-REPORT-MAIN'!AN7&lt;='Weight tables'!$C$74:$C$78),0),1)</f>
        <v>0</v>
      </c>
      <c r="AW7" s="16">
        <f>IF(I_Miei_Rendiconti[[#This Row],[Column1.totalAfterSubmitted]]/AM7&gt;50%,"Checked",0)</f>
        <v>0</v>
      </c>
      <c r="AX7" s="155">
        <f t="shared" si="1"/>
        <v>19.8</v>
      </c>
      <c r="AY7" s="155" t="str">
        <f>INDEX('Partner data'!A:EB,MATCH(I_Miei_Rendiconti[[#This Row],[Column1.partnerId]],'Partner data'!DG:DG,0),92)</f>
        <v>Italia (IT)</v>
      </c>
    </row>
    <row r="8" spans="1:58" ht="30" x14ac:dyDescent="0.25">
      <c r="A8" s="79">
        <v>30</v>
      </c>
      <c r="B8" s="79">
        <v>65</v>
      </c>
      <c r="C8" s="79">
        <v>94</v>
      </c>
      <c r="D8" s="79" t="s">
        <v>1693</v>
      </c>
      <c r="E8" s="79" t="s">
        <v>264</v>
      </c>
      <c r="F8" s="79">
        <v>1</v>
      </c>
      <c r="G8" s="206" t="s">
        <v>68</v>
      </c>
      <c r="H8" s="79">
        <v>1</v>
      </c>
      <c r="I8" s="79" t="s">
        <v>4339</v>
      </c>
      <c r="J8" s="79" t="s">
        <v>490</v>
      </c>
      <c r="K8" s="208">
        <v>45259.534039039354</v>
      </c>
      <c r="M8" s="208">
        <v>45351.645421701389</v>
      </c>
      <c r="N8" s="79" t="s">
        <v>4353</v>
      </c>
      <c r="O8" s="79" t="s">
        <v>4354</v>
      </c>
      <c r="P8" s="79" t="s">
        <v>4342</v>
      </c>
      <c r="Q8" s="79" t="s">
        <v>4343</v>
      </c>
      <c r="R8" s="79">
        <v>13</v>
      </c>
      <c r="S8" s="79">
        <v>1</v>
      </c>
      <c r="T8" s="81">
        <v>0</v>
      </c>
      <c r="U8" s="81">
        <v>9000</v>
      </c>
      <c r="V8" s="79" t="str">
        <f>INDEX(pARTNER[#All],MATCH(I_Miei_Rendiconti[[#This Row],[Column1.partnerId]],pARTNER[[#All],[Value.partnerSummary.id]],0),2)</f>
        <v>TARTINI BIS</v>
      </c>
      <c r="W8" s="79" t="b">
        <v>0</v>
      </c>
      <c r="X8" s="82">
        <f>I_Miei_Rendiconti[[#This Row],[Column1.totalAfterSubmitted]]-I_Miei_Rendiconti[[#This Row],[Column1.totalEligibleAfterControl]]</f>
        <v>9000</v>
      </c>
      <c r="Y8" s="80">
        <f>IF(I_Miei_Rendiconti[[#This Row],[Column1.status]]="Certified",IFERROR(I_Miei_Rendiconti[[#This Row],[Financial corection]]/I_Miei_Rendiconti[[#This Row],[Column1.totalAfterSubmitted]],0),"Rendiconto da certificare")</f>
        <v>1</v>
      </c>
      <c r="Z8" s="207" t="str">
        <f>IF(I_Miei_Rendiconti[[#This Row],[Column1.status]]&lt;&gt;"Certified",INDEX('Partner data'!DG:DQ,MATCH(I_Miei_Rendiconti[[#This Row],[Column1.partnerId]],'Partner data'!DG:DG,0),13),"Rendiconto CONVALIDATO")</f>
        <v>Rendiconto CONVALIDATO</v>
      </c>
      <c r="AA8"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8" s="81" t="str">
        <f>IF(OR(I_Miei_Rendiconti[[#This Row],[N. previouse validated report ]]="Rendiconto CONVALIDATO",I_Miei_Rendiconti[[#This Row],[N. previouse validated report ]]="NON è stato convalidato ancora nessun rendiconto"),"NON PERTINENTE","fai la fromula")</f>
        <v>NON PERTINENTE</v>
      </c>
      <c r="AC8"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8" s="2">
        <f>INDEX('Partner data'!DG:DJ,MATCH(I_Miei_Rendiconti[[#This Row],[Column1.partnerId]],'Partner data'!DG:DG,0),3)</f>
        <v>2</v>
      </c>
      <c r="AE8" t="str" cm="1">
        <f t="array" ref="AE8">INDEX('Varie Tabelle'!$A$37:$C$51,MATCH(1,(I_Miei_Rendiconti[[#This Row],[Column1.firstSubmission]]&gt;='Varie Tabelle'!$B$37:$B$51)*(I_Miei_Rendiconti[[#This Row],[Column1.firstSubmission]]&lt;'Varie Tabelle'!$C$37:$C$51),0),1)</f>
        <v>Finestra 1</v>
      </c>
      <c r="AF8" s="109">
        <f>INDEX('Varie Tabelle'!$A$37:$C$51,MATCH('MY-REPORT-MAIN'!AE8,'Varie Tabelle'!$A$37:$A$51,0),2)</f>
        <v>45236</v>
      </c>
      <c r="AG8" s="109">
        <f>INDEX('Partner data'!DG:DR,MATCH(I_Miei_Rendiconti[[#This Row],[Column1.partnerId]],'Partner data'!DG:DG,0),12)</f>
        <v>45078</v>
      </c>
      <c r="AH8" s="115">
        <f t="shared" si="0"/>
        <v>5.1956593225912533</v>
      </c>
      <c r="AI8" t="str" cm="1">
        <f t="array" ref="AI8">INDEX('Varie Tabelle'!$A$12:$C$22,MATCH(1,('MY-REPORT-MAIN'!AH8&gt;='Varie Tabelle'!$B$12:$B$22)*('MY-REPORT-MAIN'!AH8&lt;='Varie Tabelle'!$C$12:$C$22),0),1)</f>
        <v>Periodo-1</v>
      </c>
      <c r="AJ8" s="14">
        <f>INDEX('Partner data'!A:EC,MATCH(I_Miei_Rendiconti[[#This Row],[Column1.partnerId]],'Partner data'!DG:DG,0),MATCH('MY-REPORT-MAIN'!AI8,'Partner data'!$2:$2,0))</f>
        <v>39950</v>
      </c>
      <c r="AK8" s="10">
        <f>SUMIFS($U$2:U8,$C$2:C8,I_Miei_Rendiconti[[#This Row],[Column1.partnerId]])-AJ8</f>
        <v>-30950</v>
      </c>
      <c r="AL8" s="16">
        <f>IFERROR(1-(I_Miei_Rendiconti[[#This Row],[Column1.totalAfterSubmitted]]/AJ8),0)</f>
        <v>0.77471839799749687</v>
      </c>
      <c r="AM8" s="14">
        <f>INDEX('Partner data'!A:EB,MATCH(I_Miei_Rendiconti[[#This Row],[Column1.partnerId]],'Partner data'!DG:DG,0),44)</f>
        <v>121781.8</v>
      </c>
      <c r="AN8" s="14">
        <f>SUMIFS(ListOfExpenditure!AP:AP,ListOfExpenditure!AJ:AJ,I_Miei_Rendiconti[[#This Row],[Column1.id]])</f>
        <v>0</v>
      </c>
      <c r="AO8" s="148">
        <f>SUMIFS(ReportSubmittedBL!W:W,ReportSubmittedBL!D:D,I_Miei_Rendiconti[[#This Row],[Column1.id]])</f>
        <v>0</v>
      </c>
      <c r="AP8" s="155" cm="1">
        <f t="array" ref="AP8">INDEX('Weight tables'!$A$32:$C$36,MATCH(1,('MY-REPORT-MAIN'!AO8&gt;='Weight tables'!$B$32:$B$36)*('MY-REPORT-MAIN'!AO8&lt;='Weight tables'!$C$32:$C$36),0),1)</f>
        <v>0</v>
      </c>
      <c r="AQ8" s="155">
        <f>INDEX('Weight tables'!$A$39:$B$41,MATCH(I_Miei_Rendiconti[[#This Row],[Previouse Report checked?yes/no]],'Weight tables'!$B$39:$B$41,0),1)</f>
        <v>8.4</v>
      </c>
      <c r="AR8" s="155" cm="1">
        <f t="array" ref="AR8">IF(I_Miei_Rendiconti[[#This Row],[Sum of errors in previous report ]]="NON PERTINENTE",0,INDEX('Weight tables'!$A$43:$C$46,MATCH(1,(I_Miei_Rendiconti[[#This Row],[Sum of errors in previous report ]]&gt;='Weight tables'!$B$43:$B$46)*(I_Miei_Rendiconti[[#This Row],[Sum of errors in previous report ]]&lt;='Weight tables'!$C$43:$C$46),0),1))</f>
        <v>0</v>
      </c>
      <c r="AS8" s="155" cm="1">
        <f t="array" ref="AS8">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8" s="155" cm="1">
        <f t="array" ref="AT8">INDEX('Weight tables'!$A$56:$C$65,MATCH(1,('MY-REPORT-MAIN'!U8&gt;='Weight tables'!$B$56:$B$65)*('MY-REPORT-MAIN'!U8&lt;='Weight tables'!$C$56:$C$65),0),1)</f>
        <v>0</v>
      </c>
      <c r="AU8" s="155" cm="1">
        <f t="array" ref="AU8">INDEX('Weight tables'!$A$68:$C$71,MATCH(1,('MY-REPORT-MAIN'!AL8&gt;='Weight tables'!$B$68:$B$71)*('MY-REPORT-MAIN'!AL8&lt;='Weight tables'!$C$68:$C$71),0),1)</f>
        <v>2</v>
      </c>
      <c r="AV8" s="155" cm="1">
        <f t="array" ref="AV8">INDEX('Weight tables'!$A$74:$C$78,MATCH(1,('MY-REPORT-MAIN'!AN8&gt;='Weight tables'!$B$74:$B$78)*('MY-REPORT-MAIN'!AN8&lt;='Weight tables'!$C$74:$C$78),0),1)</f>
        <v>0</v>
      </c>
      <c r="AW8" s="16">
        <f>IF(I_Miei_Rendiconti[[#This Row],[Column1.totalAfterSubmitted]]/AM8&gt;50%,"Checked",0)</f>
        <v>0</v>
      </c>
      <c r="AX8" s="155">
        <f t="shared" si="1"/>
        <v>10.4</v>
      </c>
      <c r="AY8" s="155" t="str">
        <f>INDEX('Partner data'!A:EB,MATCH(I_Miei_Rendiconti[[#This Row],[Column1.partnerId]],'Partner data'!DG:DG,0),92)</f>
        <v>Italia (IT)</v>
      </c>
    </row>
    <row r="9" spans="1:58" ht="30" x14ac:dyDescent="0.25">
      <c r="A9" s="79">
        <v>43</v>
      </c>
      <c r="B9" s="79">
        <v>65</v>
      </c>
      <c r="C9" s="79">
        <v>172</v>
      </c>
      <c r="D9" s="79" t="s">
        <v>1693</v>
      </c>
      <c r="E9" s="79" t="s">
        <v>253</v>
      </c>
      <c r="F9" s="79">
        <v>5</v>
      </c>
      <c r="G9" s="206" t="s">
        <v>26</v>
      </c>
      <c r="H9" s="79">
        <v>1</v>
      </c>
      <c r="I9" s="79" t="s">
        <v>4339</v>
      </c>
      <c r="J9" s="79" t="s">
        <v>490</v>
      </c>
      <c r="K9" s="208">
        <v>45259.545638310185</v>
      </c>
      <c r="M9" s="208">
        <v>45320.564225624999</v>
      </c>
      <c r="N9" s="79" t="s">
        <v>4361</v>
      </c>
      <c r="O9" s="79" t="s">
        <v>4354</v>
      </c>
      <c r="P9" s="79" t="s">
        <v>4342</v>
      </c>
      <c r="Q9" s="79" t="s">
        <v>4343</v>
      </c>
      <c r="R9" s="79">
        <v>13</v>
      </c>
      <c r="S9" s="79">
        <v>1</v>
      </c>
      <c r="T9" s="81">
        <v>10127.030000000001</v>
      </c>
      <c r="U9" s="81">
        <v>11043.8</v>
      </c>
      <c r="V9" s="79" t="str">
        <f>INDEX(pARTNER[#All],MATCH(I_Miei_Rendiconti[[#This Row],[Column1.partnerId]],pARTNER[[#All],[Value.partnerSummary.id]],0),2)</f>
        <v>TARTINI BIS</v>
      </c>
      <c r="W9" s="79" t="b">
        <v>0</v>
      </c>
      <c r="X9" s="82">
        <f>I_Miei_Rendiconti[[#This Row],[Column1.totalAfterSubmitted]]-I_Miei_Rendiconti[[#This Row],[Column1.totalEligibleAfterControl]]</f>
        <v>916.76999999999862</v>
      </c>
      <c r="Y9" s="80">
        <f>IF(I_Miei_Rendiconti[[#This Row],[Column1.status]]="Certified",IFERROR(I_Miei_Rendiconti[[#This Row],[Financial corection]]/I_Miei_Rendiconti[[#This Row],[Column1.totalAfterSubmitted]],0),"Rendiconto da certificare")</f>
        <v>8.3012187833897633E-2</v>
      </c>
      <c r="Z9" s="207" t="str">
        <f>IF(I_Miei_Rendiconti[[#This Row],[Column1.status]]&lt;&gt;"Certified",INDEX('Partner data'!DG:DQ,MATCH(I_Miei_Rendiconti[[#This Row],[Column1.partnerId]],'Partner data'!DG:DG,0),13),"Rendiconto CONVALIDATO")</f>
        <v>Rendiconto CONVALIDATO</v>
      </c>
      <c r="AA9"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9" s="81" t="str">
        <f>IF(OR(I_Miei_Rendiconti[[#This Row],[N. previouse validated report ]]="Rendiconto CONVALIDATO",I_Miei_Rendiconti[[#This Row],[N. previouse validated report ]]="NON è stato convalidato ancora nessun rendiconto"),"NON PERTINENTE","fai la fromula")</f>
        <v>NON PERTINENTE</v>
      </c>
      <c r="AC9"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9" s="2">
        <f>INDEX('Partner data'!DG:DJ,MATCH(I_Miei_Rendiconti[[#This Row],[Column1.partnerId]],'Partner data'!DG:DG,0),3)</f>
        <v>2</v>
      </c>
      <c r="AE9" t="str" cm="1">
        <f t="array" ref="AE9">INDEX('Varie Tabelle'!$A$37:$C$51,MATCH(1,(I_Miei_Rendiconti[[#This Row],[Column1.firstSubmission]]&gt;='Varie Tabelle'!$B$37:$B$51)*(I_Miei_Rendiconti[[#This Row],[Column1.firstSubmission]]&lt;'Varie Tabelle'!$C$37:$C$51),0),1)</f>
        <v>Finestra 1</v>
      </c>
      <c r="AF9" s="109">
        <f>INDEX('Varie Tabelle'!$A$37:$C$51,MATCH('MY-REPORT-MAIN'!AE9,'Varie Tabelle'!$A$37:$A$51,0),2)</f>
        <v>45236</v>
      </c>
      <c r="AG9" s="109">
        <f>INDEX('Partner data'!DG:DR,MATCH(I_Miei_Rendiconti[[#This Row],[Column1.partnerId]],'Partner data'!DG:DG,0),12)</f>
        <v>45078</v>
      </c>
      <c r="AH9" s="115">
        <f t="shared" si="0"/>
        <v>5.1956593225912533</v>
      </c>
      <c r="AI9" t="str" cm="1">
        <f t="array" ref="AI9">INDEX('Varie Tabelle'!$A$12:$C$22,MATCH(1,('MY-REPORT-MAIN'!AH9&gt;='Varie Tabelle'!$B$12:$B$22)*('MY-REPORT-MAIN'!AH9&lt;='Varie Tabelle'!$C$12:$C$22),0),1)</f>
        <v>Periodo-1</v>
      </c>
      <c r="AJ9" s="14">
        <f>INDEX('Partner data'!A:EC,MATCH(I_Miei_Rendiconti[[#This Row],[Column1.partnerId]],'Partner data'!DG:DG,0),MATCH('MY-REPORT-MAIN'!AI9,'Partner data'!$2:$2,0))</f>
        <v>29890</v>
      </c>
      <c r="AK9" s="10">
        <f>SUMIFS($U$2:U9,$C$2:C9,I_Miei_Rendiconti[[#This Row],[Column1.partnerId]])-AJ9</f>
        <v>-18846.2</v>
      </c>
      <c r="AL9" s="16">
        <f>IFERROR(1-(I_Miei_Rendiconti[[#This Row],[Column1.totalAfterSubmitted]]/AJ9),0)</f>
        <v>0.63051856808297091</v>
      </c>
      <c r="AM9" s="14">
        <f>INDEX('Partner data'!A:EB,MATCH(I_Miei_Rendiconti[[#This Row],[Column1.partnerId]],'Partner data'!DG:DG,0),44)</f>
        <v>119170</v>
      </c>
      <c r="AN9" s="14">
        <f>SUMIFS(ListOfExpenditure!AP:AP,ListOfExpenditure!AJ:AJ,I_Miei_Rendiconti[[#This Row],[Column1.id]])</f>
        <v>0</v>
      </c>
      <c r="AO9" s="148">
        <f>SUMIFS(ReportSubmittedBL!W:W,ReportSubmittedBL!D:D,I_Miei_Rendiconti[[#This Row],[Column1.id]])</f>
        <v>16</v>
      </c>
      <c r="AP9" s="155" cm="1">
        <f t="array" ref="AP9">INDEX('Weight tables'!$A$32:$C$36,MATCH(1,('MY-REPORT-MAIN'!AO9&gt;='Weight tables'!$B$32:$B$36)*('MY-REPORT-MAIN'!AO9&lt;='Weight tables'!$C$32:$C$36),0),1)</f>
        <v>8.4</v>
      </c>
      <c r="AQ9" s="155">
        <f>INDEX('Weight tables'!$A$39:$B$41,MATCH(I_Miei_Rendiconti[[#This Row],[Previouse Report checked?yes/no]],'Weight tables'!$B$39:$B$41,0),1)</f>
        <v>8.4</v>
      </c>
      <c r="AR9" s="155" cm="1">
        <f t="array" ref="AR9">IF(I_Miei_Rendiconti[[#This Row],[Sum of errors in previous report ]]="NON PERTINENTE",0,INDEX('Weight tables'!$A$43:$C$46,MATCH(1,(I_Miei_Rendiconti[[#This Row],[Sum of errors in previous report ]]&gt;='Weight tables'!$B$43:$B$46)*(I_Miei_Rendiconti[[#This Row],[Sum of errors in previous report ]]&lt;='Weight tables'!$C$43:$C$46),0),1))</f>
        <v>0</v>
      </c>
      <c r="AS9" s="155" cm="1">
        <f t="array" ref="AS9">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9" s="155" cm="1">
        <f t="array" ref="AT9">INDEX('Weight tables'!$A$56:$C$65,MATCH(1,('MY-REPORT-MAIN'!U9&gt;='Weight tables'!$B$56:$B$65)*('MY-REPORT-MAIN'!U9&lt;='Weight tables'!$C$56:$C$65),0),1)</f>
        <v>1</v>
      </c>
      <c r="AU9" s="155" cm="1">
        <f t="array" ref="AU9">INDEX('Weight tables'!$A$68:$C$71,MATCH(1,('MY-REPORT-MAIN'!AL9&gt;='Weight tables'!$B$68:$B$71)*('MY-REPORT-MAIN'!AL9&lt;='Weight tables'!$C$68:$C$71),0),1)</f>
        <v>2</v>
      </c>
      <c r="AV9" s="155" cm="1">
        <f t="array" ref="AV9">INDEX('Weight tables'!$A$74:$C$78,MATCH(1,('MY-REPORT-MAIN'!AN9&gt;='Weight tables'!$B$74:$B$78)*('MY-REPORT-MAIN'!AN9&lt;='Weight tables'!$C$74:$C$78),0),1)</f>
        <v>0</v>
      </c>
      <c r="AW9" s="16">
        <f>IF(I_Miei_Rendiconti[[#This Row],[Column1.totalAfterSubmitted]]/AM9&gt;50%,"Checked",0)</f>
        <v>0</v>
      </c>
      <c r="AX9" s="155">
        <f t="shared" si="1"/>
        <v>19.8</v>
      </c>
      <c r="AY9" s="155" t="str">
        <f>INDEX('Partner data'!A:EB,MATCH(I_Miei_Rendiconti[[#This Row],[Column1.partnerId]],'Partner data'!DG:DG,0),92)</f>
        <v>Slovenija (SI)</v>
      </c>
    </row>
    <row r="10" spans="1:58" ht="30" x14ac:dyDescent="0.25">
      <c r="A10" s="79">
        <v>64</v>
      </c>
      <c r="B10" s="79">
        <v>91</v>
      </c>
      <c r="C10" s="79">
        <v>309</v>
      </c>
      <c r="D10" s="79" t="s">
        <v>2561</v>
      </c>
      <c r="E10" s="79" t="s">
        <v>253</v>
      </c>
      <c r="F10" s="79">
        <v>7</v>
      </c>
      <c r="G10" s="206" t="s">
        <v>27</v>
      </c>
      <c r="H10" s="79">
        <v>1</v>
      </c>
      <c r="I10" s="79" t="s">
        <v>4339</v>
      </c>
      <c r="J10" s="79" t="s">
        <v>4368</v>
      </c>
      <c r="K10" s="208">
        <v>45260.45195141204</v>
      </c>
      <c r="M10" s="208">
        <v>45327.503136134263</v>
      </c>
      <c r="N10" s="79" t="s">
        <v>4377</v>
      </c>
      <c r="O10" s="79" t="s">
        <v>4352</v>
      </c>
      <c r="P10" s="79" t="s">
        <v>4342</v>
      </c>
      <c r="Q10" s="79" t="s">
        <v>4343</v>
      </c>
      <c r="R10" s="79">
        <v>12</v>
      </c>
      <c r="S10" s="79">
        <v>1</v>
      </c>
      <c r="T10" s="81">
        <v>54358.75</v>
      </c>
      <c r="U10" s="81">
        <v>54532.639999999999</v>
      </c>
      <c r="V10" s="79" t="str">
        <f>INDEX(pARTNER[#All],MATCH(I_Miei_Rendiconti[[#This Row],[Column1.partnerId]],pARTNER[[#All],[Value.partnerSummary.id]],0),2)</f>
        <v>POSEIDONE</v>
      </c>
      <c r="W10" s="79" t="b">
        <v>0</v>
      </c>
      <c r="X10" s="82">
        <f>I_Miei_Rendiconti[[#This Row],[Column1.totalAfterSubmitted]]-I_Miei_Rendiconti[[#This Row],[Column1.totalEligibleAfterControl]]</f>
        <v>173.88999999999942</v>
      </c>
      <c r="Y10" s="80">
        <f>IF(I_Miei_Rendiconti[[#This Row],[Column1.status]]="Certified",IFERROR(I_Miei_Rendiconti[[#This Row],[Financial corection]]/I_Miei_Rendiconti[[#This Row],[Column1.totalAfterSubmitted]],0),"Rendiconto da certificare")</f>
        <v>3.1887324728822851E-3</v>
      </c>
      <c r="Z10" s="207" t="str">
        <f>IF(I_Miei_Rendiconti[[#This Row],[Column1.status]]&lt;&gt;"Certified",INDEX('Partner data'!DG:DQ,MATCH(I_Miei_Rendiconti[[#This Row],[Column1.partnerId]],'Partner data'!DG:DG,0),13),"Rendiconto CONVALIDATO")</f>
        <v>Rendiconto CONVALIDATO</v>
      </c>
      <c r="AA10"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0" s="81" t="str">
        <f>IF(OR(I_Miei_Rendiconti[[#This Row],[N. previouse validated report ]]="Rendiconto CONVALIDATO",I_Miei_Rendiconti[[#This Row],[N. previouse validated report ]]="NON è stato convalidato ancora nessun rendiconto"),"NON PERTINENTE","fai la fromula")</f>
        <v>NON PERTINENTE</v>
      </c>
      <c r="AC10"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0" s="2">
        <f>INDEX('Partner data'!DG:DJ,MATCH(I_Miei_Rendiconti[[#This Row],[Column1.partnerId]],'Partner data'!DG:DG,0),3)</f>
        <v>2</v>
      </c>
      <c r="AE10" t="str" cm="1">
        <f t="array" ref="AE10">INDEX('Varie Tabelle'!$A$37:$C$51,MATCH(1,(I_Miei_Rendiconti[[#This Row],[Column1.firstSubmission]]&gt;='Varie Tabelle'!$B$37:$B$51)*(I_Miei_Rendiconti[[#This Row],[Column1.firstSubmission]]&lt;'Varie Tabelle'!$C$37:$C$51),0),1)</f>
        <v>Finestra 1</v>
      </c>
      <c r="AF10" s="109">
        <f>INDEX('Varie Tabelle'!$A$37:$C$51,MATCH('MY-REPORT-MAIN'!AE10,'Varie Tabelle'!$A$37:$A$51,0),2)</f>
        <v>45236</v>
      </c>
      <c r="AG10" s="109">
        <f>INDEX('Partner data'!DG:DR,MATCH(I_Miei_Rendiconti[[#This Row],[Column1.partnerId]],'Partner data'!DG:DG,0),12)</f>
        <v>44927</v>
      </c>
      <c r="AH10" s="115">
        <f t="shared" si="0"/>
        <v>10.161131206839855</v>
      </c>
      <c r="AI10" t="str" cm="1">
        <f t="array" ref="AI10">INDEX('Varie Tabelle'!$A$12:$C$22,MATCH(1,('MY-REPORT-MAIN'!AH10&gt;='Varie Tabelle'!$B$12:$B$22)*('MY-REPORT-MAIN'!AH10&lt;='Varie Tabelle'!$C$12:$C$22),0),1)</f>
        <v>Periodo-1</v>
      </c>
      <c r="AJ10" s="14">
        <f>INDEX('Partner data'!A:EC,MATCH(I_Miei_Rendiconti[[#This Row],[Column1.partnerId]],'Partner data'!DG:DG,0),MATCH('MY-REPORT-MAIN'!AI10,'Partner data'!$2:$2,0))</f>
        <v>26136.57</v>
      </c>
      <c r="AK10" s="10">
        <f>SUMIFS($U$2:U10,$C$2:C10,I_Miei_Rendiconti[[#This Row],[Column1.partnerId]])-AJ10</f>
        <v>28396.07</v>
      </c>
      <c r="AL10" s="16">
        <f>IFERROR(1-(I_Miei_Rendiconti[[#This Row],[Column1.totalAfterSubmitted]]/AJ10),0)</f>
        <v>-1.0864497522054348</v>
      </c>
      <c r="AM10" s="14">
        <f>INDEX('Partner data'!A:EB,MATCH(I_Miei_Rendiconti[[#This Row],[Column1.partnerId]],'Partner data'!DG:DG,0),44)</f>
        <v>375000</v>
      </c>
      <c r="AN10" s="14">
        <f>SUMIFS(ListOfExpenditure!AP:AP,ListOfExpenditure!AJ:AJ,I_Miei_Rendiconti[[#This Row],[Column1.id]])</f>
        <v>0</v>
      </c>
      <c r="AO10" s="148">
        <f>SUMIFS(ReportSubmittedBL!W:W,ReportSubmittedBL!D:D,I_Miei_Rendiconti[[#This Row],[Column1.id]])</f>
        <v>12</v>
      </c>
      <c r="AP10" s="155" cm="1">
        <f t="array" ref="AP10">INDEX('Weight tables'!$A$32:$C$36,MATCH(1,('MY-REPORT-MAIN'!AO10&gt;='Weight tables'!$B$32:$B$36)*('MY-REPORT-MAIN'!AO10&lt;='Weight tables'!$C$32:$C$36),0),1)</f>
        <v>8.4</v>
      </c>
      <c r="AQ10" s="155">
        <f>INDEX('Weight tables'!$A$39:$B$41,MATCH(I_Miei_Rendiconti[[#This Row],[Previouse Report checked?yes/no]],'Weight tables'!$B$39:$B$41,0),1)</f>
        <v>8.4</v>
      </c>
      <c r="AR10" s="155" cm="1">
        <f t="array" ref="AR10">IF(I_Miei_Rendiconti[[#This Row],[Sum of errors in previous report ]]="NON PERTINENTE",0,INDEX('Weight tables'!$A$43:$C$46,MATCH(1,(I_Miei_Rendiconti[[#This Row],[Sum of errors in previous report ]]&gt;='Weight tables'!$B$43:$B$46)*(I_Miei_Rendiconti[[#This Row],[Sum of errors in previous report ]]&lt;='Weight tables'!$C$43:$C$46),0),1))</f>
        <v>0</v>
      </c>
      <c r="AS10" s="155" cm="1">
        <f t="array" ref="AS10">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0" s="155" cm="1">
        <f t="array" ref="AT10">INDEX('Weight tables'!$A$56:$C$65,MATCH(1,('MY-REPORT-MAIN'!U10&gt;='Weight tables'!$B$56:$B$65)*('MY-REPORT-MAIN'!U10&lt;='Weight tables'!$C$56:$C$65),0),1)</f>
        <v>5</v>
      </c>
      <c r="AU10" s="155" cm="1">
        <f t="array" ref="AU10">INDEX('Weight tables'!$A$68:$C$71,MATCH(1,('MY-REPORT-MAIN'!AL10&gt;='Weight tables'!$B$68:$B$71)*('MY-REPORT-MAIN'!AL10&lt;='Weight tables'!$C$68:$C$71),0),1)</f>
        <v>0</v>
      </c>
      <c r="AV10" s="155" cm="1">
        <f t="array" ref="AV10">INDEX('Weight tables'!$A$74:$C$78,MATCH(1,('MY-REPORT-MAIN'!AN10&gt;='Weight tables'!$B$74:$B$78)*('MY-REPORT-MAIN'!AN10&lt;='Weight tables'!$C$74:$C$78),0),1)</f>
        <v>0</v>
      </c>
      <c r="AW10" s="16">
        <f>IF(I_Miei_Rendiconti[[#This Row],[Column1.totalAfterSubmitted]]/AM10&gt;50%,"Checked",0)</f>
        <v>0</v>
      </c>
      <c r="AX10" s="155">
        <f t="shared" si="1"/>
        <v>21.8</v>
      </c>
      <c r="AY10" s="155" t="str">
        <f>INDEX('Partner data'!A:EB,MATCH(I_Miei_Rendiconti[[#This Row],[Column1.partnerId]],'Partner data'!DG:DG,0),92)</f>
        <v>Slovenija (SI)</v>
      </c>
    </row>
    <row r="11" spans="1:58" ht="30" x14ac:dyDescent="0.25">
      <c r="A11" s="79">
        <v>53</v>
      </c>
      <c r="B11" s="79">
        <v>92</v>
      </c>
      <c r="C11" s="79">
        <v>317</v>
      </c>
      <c r="D11" s="79" t="s">
        <v>2433</v>
      </c>
      <c r="E11" s="79" t="s">
        <v>253</v>
      </c>
      <c r="F11" s="79">
        <v>3</v>
      </c>
      <c r="G11" s="206" t="s">
        <v>28</v>
      </c>
      <c r="H11" s="79">
        <v>1</v>
      </c>
      <c r="I11" s="79" t="s">
        <v>4339</v>
      </c>
      <c r="J11" s="79" t="s">
        <v>2373</v>
      </c>
      <c r="K11" s="208">
        <v>45260.599730069443</v>
      </c>
      <c r="M11" s="208">
        <v>45322.368711006944</v>
      </c>
      <c r="N11" s="79" t="s">
        <v>4370</v>
      </c>
      <c r="O11" s="79" t="s">
        <v>4352</v>
      </c>
      <c r="P11" s="79" t="s">
        <v>4342</v>
      </c>
      <c r="Q11" s="79" t="s">
        <v>4343</v>
      </c>
      <c r="R11" s="79">
        <v>20</v>
      </c>
      <c r="S11" s="79">
        <v>1</v>
      </c>
      <c r="T11" s="81">
        <v>23103.1</v>
      </c>
      <c r="U11" s="81">
        <v>23103.1</v>
      </c>
      <c r="V11" s="79" t="str">
        <f>INDEX(pARTNER[#All],MATCH(I_Miei_Rendiconti[[#This Row],[Column1.partnerId]],pARTNER[[#All],[Value.partnerSummary.id]],0),2)</f>
        <v>KRAS-CARSO II</v>
      </c>
      <c r="W11" s="79" t="b">
        <v>0</v>
      </c>
      <c r="X11" s="82">
        <f>I_Miei_Rendiconti[[#This Row],[Column1.totalAfterSubmitted]]-I_Miei_Rendiconti[[#This Row],[Column1.totalEligibleAfterControl]]</f>
        <v>0</v>
      </c>
      <c r="Y11" s="80">
        <f>IF(I_Miei_Rendiconti[[#This Row],[Column1.status]]="Certified",IFERROR(I_Miei_Rendiconti[[#This Row],[Financial corection]]/I_Miei_Rendiconti[[#This Row],[Column1.totalAfterSubmitted]],0),"Rendiconto da certificare")</f>
        <v>0</v>
      </c>
      <c r="Z11" s="207" t="str">
        <f>IF(I_Miei_Rendiconti[[#This Row],[Column1.status]]&lt;&gt;"Certified",INDEX('Partner data'!DG:DQ,MATCH(I_Miei_Rendiconti[[#This Row],[Column1.partnerId]],'Partner data'!DG:DG,0),13),"Rendiconto CONVALIDATO")</f>
        <v>Rendiconto CONVALIDATO</v>
      </c>
      <c r="AA11"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1" s="81" t="str">
        <f>IF(OR(I_Miei_Rendiconti[[#This Row],[N. previouse validated report ]]="Rendiconto CONVALIDATO",I_Miei_Rendiconti[[#This Row],[N. previouse validated report ]]="NON è stato convalidato ancora nessun rendiconto"),"NON PERTINENTE","fai la fromula")</f>
        <v>NON PERTINENTE</v>
      </c>
      <c r="AC11"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1" s="2">
        <f>INDEX('Partner data'!DG:DJ,MATCH(I_Miei_Rendiconti[[#This Row],[Column1.partnerId]],'Partner data'!DG:DG,0),3)</f>
        <v>2</v>
      </c>
      <c r="AE11" t="str" cm="1">
        <f t="array" ref="AE11">INDEX('Varie Tabelle'!$A$37:$C$51,MATCH(1,(I_Miei_Rendiconti[[#This Row],[Column1.firstSubmission]]&gt;='Varie Tabelle'!$B$37:$B$51)*(I_Miei_Rendiconti[[#This Row],[Column1.firstSubmission]]&lt;'Varie Tabelle'!$C$37:$C$51),0),1)</f>
        <v>Finestra 1</v>
      </c>
      <c r="AF11" s="109">
        <f>INDEX('Varie Tabelle'!$A$37:$C$51,MATCH('MY-REPORT-MAIN'!AE11,'Varie Tabelle'!$A$37:$A$51,0),2)</f>
        <v>45236</v>
      </c>
      <c r="AG11" s="109">
        <f>INDEX('Partner data'!DG:DR,MATCH(I_Miei_Rendiconti[[#This Row],[Column1.partnerId]],'Partner data'!DG:DG,0),12)</f>
        <v>44927</v>
      </c>
      <c r="AH11" s="115">
        <f t="shared" si="0"/>
        <v>10.161131206839855</v>
      </c>
      <c r="AI11" t="str" cm="1">
        <f t="array" ref="AI11">INDEX('Varie Tabelle'!$A$12:$C$22,MATCH(1,('MY-REPORT-MAIN'!AH11&gt;='Varie Tabelle'!$B$12:$B$22)*('MY-REPORT-MAIN'!AH11&lt;='Varie Tabelle'!$C$12:$C$22),0),1)</f>
        <v>Periodo-1</v>
      </c>
      <c r="AJ11" s="14">
        <f>INDEX('Partner data'!A:EC,MATCH(I_Miei_Rendiconti[[#This Row],[Column1.partnerId]],'Partner data'!DG:DG,0),MATCH('MY-REPORT-MAIN'!AI11,'Partner data'!$2:$2,0))</f>
        <v>23683.32</v>
      </c>
      <c r="AK11" s="10">
        <f>SUMIFS($U$2:U11,$C$2:C11,I_Miei_Rendiconti[[#This Row],[Column1.partnerId]])-AJ11</f>
        <v>-580.22000000000116</v>
      </c>
      <c r="AL11" s="16">
        <f>IFERROR(1-(I_Miei_Rendiconti[[#This Row],[Column1.totalAfterSubmitted]]/AJ11),0)</f>
        <v>2.4499098943898123E-2</v>
      </c>
      <c r="AM11" s="14">
        <f>INDEX('Partner data'!A:EB,MATCH(I_Miei_Rendiconti[[#This Row],[Column1.partnerId]],'Partner data'!DG:DG,0),44)</f>
        <v>188300</v>
      </c>
      <c r="AN11" s="14">
        <f>SUMIFS(ListOfExpenditure!AP:AP,ListOfExpenditure!AJ:AJ,I_Miei_Rendiconti[[#This Row],[Column1.id]])</f>
        <v>0</v>
      </c>
      <c r="AO11" s="148">
        <f>SUMIFS(ReportSubmittedBL!W:W,ReportSubmittedBL!D:D,I_Miei_Rendiconti[[#This Row],[Column1.id]])</f>
        <v>8</v>
      </c>
      <c r="AP11" s="155" cm="1">
        <f t="array" ref="AP11">INDEX('Weight tables'!$A$32:$C$36,MATCH(1,('MY-REPORT-MAIN'!AO11&gt;='Weight tables'!$B$32:$B$36)*('MY-REPORT-MAIN'!AO11&lt;='Weight tables'!$C$32:$C$36),0),1)</f>
        <v>6.3</v>
      </c>
      <c r="AQ11" s="155">
        <f>INDEX('Weight tables'!$A$39:$B$41,MATCH(I_Miei_Rendiconti[[#This Row],[Previouse Report checked?yes/no]],'Weight tables'!$B$39:$B$41,0),1)</f>
        <v>8.4</v>
      </c>
      <c r="AR11" s="155" cm="1">
        <f t="array" ref="AR11">IF(I_Miei_Rendiconti[[#This Row],[Sum of errors in previous report ]]="NON PERTINENTE",0,INDEX('Weight tables'!$A$43:$C$46,MATCH(1,(I_Miei_Rendiconti[[#This Row],[Sum of errors in previous report ]]&gt;='Weight tables'!$B$43:$B$46)*(I_Miei_Rendiconti[[#This Row],[Sum of errors in previous report ]]&lt;='Weight tables'!$C$43:$C$46),0),1))</f>
        <v>0</v>
      </c>
      <c r="AS11" s="155" cm="1">
        <f t="array" ref="AS11">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1" s="155" cm="1">
        <f t="array" ref="AT11">INDEX('Weight tables'!$A$56:$C$65,MATCH(1,('MY-REPORT-MAIN'!U11&gt;='Weight tables'!$B$56:$B$65)*('MY-REPORT-MAIN'!U11&lt;='Weight tables'!$C$56:$C$65),0),1)</f>
        <v>2</v>
      </c>
      <c r="AU11" s="155" cm="1">
        <f t="array" ref="AU11">INDEX('Weight tables'!$A$68:$C$71,MATCH(1,('MY-REPORT-MAIN'!AL11&gt;='Weight tables'!$B$68:$B$71)*('MY-REPORT-MAIN'!AL11&lt;='Weight tables'!$C$68:$C$71),0),1)</f>
        <v>0</v>
      </c>
      <c r="AV11" s="155" cm="1">
        <f t="array" ref="AV11">INDEX('Weight tables'!$A$74:$C$78,MATCH(1,('MY-REPORT-MAIN'!AN11&gt;='Weight tables'!$B$74:$B$78)*('MY-REPORT-MAIN'!AN11&lt;='Weight tables'!$C$74:$C$78),0),1)</f>
        <v>0</v>
      </c>
      <c r="AW11" s="16">
        <f>IF(I_Miei_Rendiconti[[#This Row],[Column1.totalAfterSubmitted]]/AM11&gt;50%,"Checked",0)</f>
        <v>0</v>
      </c>
      <c r="AX11" s="155">
        <f t="shared" si="1"/>
        <v>16.7</v>
      </c>
      <c r="AY11" s="155" t="str">
        <f>INDEX('Partner data'!A:EB,MATCH(I_Miei_Rendiconti[[#This Row],[Column1.partnerId]],'Partner data'!DG:DG,0),92)</f>
        <v>Slovenija (SI)</v>
      </c>
    </row>
    <row r="12" spans="1:58" ht="30" x14ac:dyDescent="0.25">
      <c r="A12" s="79">
        <v>61</v>
      </c>
      <c r="B12" s="79">
        <v>91</v>
      </c>
      <c r="C12" s="79">
        <v>312</v>
      </c>
      <c r="D12" s="79" t="s">
        <v>2561</v>
      </c>
      <c r="E12" s="79" t="s">
        <v>253</v>
      </c>
      <c r="F12" s="79">
        <v>10</v>
      </c>
      <c r="G12" s="206" t="s">
        <v>29</v>
      </c>
      <c r="H12" s="79">
        <v>1</v>
      </c>
      <c r="I12" s="79" t="s">
        <v>4339</v>
      </c>
      <c r="J12" s="79" t="s">
        <v>4368</v>
      </c>
      <c r="K12" s="208">
        <v>45261.537549722219</v>
      </c>
      <c r="M12" s="208">
        <v>45327.365778645835</v>
      </c>
      <c r="N12" s="79" t="s">
        <v>4374</v>
      </c>
      <c r="O12" s="79" t="s">
        <v>4354</v>
      </c>
      <c r="P12" s="79" t="s">
        <v>4342</v>
      </c>
      <c r="Q12" s="79" t="s">
        <v>4343</v>
      </c>
      <c r="R12" s="79">
        <v>12</v>
      </c>
      <c r="S12" s="79">
        <v>1</v>
      </c>
      <c r="T12" s="81">
        <v>27553.82</v>
      </c>
      <c r="U12" s="81">
        <v>28363.31</v>
      </c>
      <c r="V12" s="79" t="str">
        <f>INDEX(pARTNER[#All],MATCH(I_Miei_Rendiconti[[#This Row],[Column1.partnerId]],pARTNER[[#All],[Value.partnerSummary.id]],0),2)</f>
        <v>POSEIDONE</v>
      </c>
      <c r="W12" s="79" t="b">
        <v>0</v>
      </c>
      <c r="X12" s="82">
        <f>I_Miei_Rendiconti[[#This Row],[Column1.totalAfterSubmitted]]-I_Miei_Rendiconti[[#This Row],[Column1.totalEligibleAfterControl]]</f>
        <v>809.4900000000016</v>
      </c>
      <c r="Y12" s="80">
        <f>IF(I_Miei_Rendiconti[[#This Row],[Column1.status]]="Certified",IFERROR(I_Miei_Rendiconti[[#This Row],[Financial corection]]/I_Miei_Rendiconti[[#This Row],[Column1.totalAfterSubmitted]],0),"Rendiconto da certificare")</f>
        <v>2.8540039931869782E-2</v>
      </c>
      <c r="Z12" s="207" t="str">
        <f>IF(I_Miei_Rendiconti[[#This Row],[Column1.status]]&lt;&gt;"Certified",INDEX('Partner data'!DG:DQ,MATCH(I_Miei_Rendiconti[[#This Row],[Column1.partnerId]],'Partner data'!DG:DG,0),13),"Rendiconto CONVALIDATO")</f>
        <v>Rendiconto CONVALIDATO</v>
      </c>
      <c r="AA12"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2" s="81" t="str">
        <f>IF(OR(I_Miei_Rendiconti[[#This Row],[N. previouse validated report ]]="Rendiconto CONVALIDATO",I_Miei_Rendiconti[[#This Row],[N. previouse validated report ]]="NON è stato convalidato ancora nessun rendiconto"),"NON PERTINENTE","fai la fromula")</f>
        <v>NON PERTINENTE</v>
      </c>
      <c r="AC12"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2" s="2">
        <f>INDEX('Partner data'!DG:DJ,MATCH(I_Miei_Rendiconti[[#This Row],[Column1.partnerId]],'Partner data'!DG:DG,0),3)</f>
        <v>2</v>
      </c>
      <c r="AE12" t="str" cm="1">
        <f t="array" ref="AE12">INDEX('Varie Tabelle'!$A$37:$C$51,MATCH(1,(I_Miei_Rendiconti[[#This Row],[Column1.firstSubmission]]&gt;='Varie Tabelle'!$B$37:$B$51)*(I_Miei_Rendiconti[[#This Row],[Column1.firstSubmission]]&lt;'Varie Tabelle'!$C$37:$C$51),0),1)</f>
        <v>Finestra 1</v>
      </c>
      <c r="AF12" s="109">
        <f>INDEX('Varie Tabelle'!$A$37:$C$51,MATCH('MY-REPORT-MAIN'!AE12,'Varie Tabelle'!$A$37:$A$51,0),2)</f>
        <v>45236</v>
      </c>
      <c r="AG12" s="109">
        <f>INDEX('Partner data'!DG:DR,MATCH(I_Miei_Rendiconti[[#This Row],[Column1.partnerId]],'Partner data'!DG:DG,0),12)</f>
        <v>44927</v>
      </c>
      <c r="AH12" s="115">
        <f t="shared" si="0"/>
        <v>10.161131206839855</v>
      </c>
      <c r="AI12" t="str" cm="1">
        <f t="array" ref="AI12">INDEX('Varie Tabelle'!$A$12:$C$22,MATCH(1,('MY-REPORT-MAIN'!AH12&gt;='Varie Tabelle'!$B$12:$B$22)*('MY-REPORT-MAIN'!AH12&lt;='Varie Tabelle'!$C$12:$C$22),0),1)</f>
        <v>Periodo-1</v>
      </c>
      <c r="AJ12" s="14">
        <f>INDEX('Partner data'!A:EC,MATCH(I_Miei_Rendiconti[[#This Row],[Column1.partnerId]],'Partner data'!DG:DG,0),MATCH('MY-REPORT-MAIN'!AI12,'Partner data'!$2:$2,0))</f>
        <v>21944</v>
      </c>
      <c r="AK12" s="10">
        <f>SUMIFS($U$2:U12,$C$2:C12,I_Miei_Rendiconti[[#This Row],[Column1.partnerId]])-AJ12</f>
        <v>6419.3100000000013</v>
      </c>
      <c r="AL12" s="16">
        <f>IFERROR(1-(I_Miei_Rendiconti[[#This Row],[Column1.totalAfterSubmitted]]/AJ12),0)</f>
        <v>-0.29253144367480877</v>
      </c>
      <c r="AM12" s="14">
        <f>INDEX('Partner data'!A:EB,MATCH(I_Miei_Rendiconti[[#This Row],[Column1.partnerId]],'Partner data'!DG:DG,0),44)</f>
        <v>312088</v>
      </c>
      <c r="AN12" s="14">
        <f>SUMIFS(ListOfExpenditure!AP:AP,ListOfExpenditure!AJ:AJ,I_Miei_Rendiconti[[#This Row],[Column1.id]])</f>
        <v>0</v>
      </c>
      <c r="AO12" s="148">
        <f>SUMIFS(ReportSubmittedBL!W:W,ReportSubmittedBL!D:D,I_Miei_Rendiconti[[#This Row],[Column1.id]])</f>
        <v>12</v>
      </c>
      <c r="AP12" s="155" cm="1">
        <f t="array" ref="AP12">INDEX('Weight tables'!$A$32:$C$36,MATCH(1,('MY-REPORT-MAIN'!AO12&gt;='Weight tables'!$B$32:$B$36)*('MY-REPORT-MAIN'!AO12&lt;='Weight tables'!$C$32:$C$36),0),1)</f>
        <v>8.4</v>
      </c>
      <c r="AQ12" s="155">
        <f>INDEX('Weight tables'!$A$39:$B$41,MATCH(I_Miei_Rendiconti[[#This Row],[Previouse Report checked?yes/no]],'Weight tables'!$B$39:$B$41,0),1)</f>
        <v>8.4</v>
      </c>
      <c r="AR12" s="155" cm="1">
        <f t="array" ref="AR12">IF(I_Miei_Rendiconti[[#This Row],[Sum of errors in previous report ]]="NON PERTINENTE",0,INDEX('Weight tables'!$A$43:$C$46,MATCH(1,(I_Miei_Rendiconti[[#This Row],[Sum of errors in previous report ]]&gt;='Weight tables'!$B$43:$B$46)*(I_Miei_Rendiconti[[#This Row],[Sum of errors in previous report ]]&lt;='Weight tables'!$C$43:$C$46),0),1))</f>
        <v>0</v>
      </c>
      <c r="AS12" s="155" cm="1">
        <f t="array" ref="AS12">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2" s="155" cm="1">
        <f t="array" ref="AT12">INDEX('Weight tables'!$A$56:$C$65,MATCH(1,('MY-REPORT-MAIN'!U12&gt;='Weight tables'!$B$56:$B$65)*('MY-REPORT-MAIN'!U12&lt;='Weight tables'!$C$56:$C$65),0),1)</f>
        <v>2</v>
      </c>
      <c r="AU12" s="155" cm="1">
        <f t="array" ref="AU12">INDEX('Weight tables'!$A$68:$C$71,MATCH(1,('MY-REPORT-MAIN'!AL12&gt;='Weight tables'!$B$68:$B$71)*('MY-REPORT-MAIN'!AL12&lt;='Weight tables'!$C$68:$C$71),0),1)</f>
        <v>0</v>
      </c>
      <c r="AV12" s="155" cm="1">
        <f t="array" ref="AV12">INDEX('Weight tables'!$A$74:$C$78,MATCH(1,('MY-REPORT-MAIN'!AN12&gt;='Weight tables'!$B$74:$B$78)*('MY-REPORT-MAIN'!AN12&lt;='Weight tables'!$C$74:$C$78),0),1)</f>
        <v>0</v>
      </c>
      <c r="AW12" s="16">
        <f>IF(I_Miei_Rendiconti[[#This Row],[Column1.totalAfterSubmitted]]/AM12&gt;50%,"Checked",0)</f>
        <v>0</v>
      </c>
      <c r="AX12" s="155">
        <f t="shared" si="1"/>
        <v>18.8</v>
      </c>
      <c r="AY12" s="155" t="str">
        <f>INDEX('Partner data'!A:EB,MATCH(I_Miei_Rendiconti[[#This Row],[Column1.partnerId]],'Partner data'!DG:DG,0),92)</f>
        <v>Slovenija (SI)</v>
      </c>
    </row>
    <row r="13" spans="1:58" ht="30" x14ac:dyDescent="0.25">
      <c r="A13" s="79">
        <v>74</v>
      </c>
      <c r="B13" s="79">
        <v>13</v>
      </c>
      <c r="C13" s="79">
        <v>12</v>
      </c>
      <c r="D13" s="79" t="s">
        <v>2371</v>
      </c>
      <c r="E13" s="79" t="s">
        <v>253</v>
      </c>
      <c r="F13" s="79">
        <v>2</v>
      </c>
      <c r="G13" s="206" t="s">
        <v>30</v>
      </c>
      <c r="H13" s="79">
        <v>1</v>
      </c>
      <c r="I13" s="79" t="s">
        <v>4339</v>
      </c>
      <c r="J13" s="79" t="s">
        <v>1263</v>
      </c>
      <c r="K13" s="208">
        <v>45261.595216435184</v>
      </c>
      <c r="M13" s="208">
        <v>45351.507783761575</v>
      </c>
      <c r="N13" s="79" t="s">
        <v>4382</v>
      </c>
      <c r="O13" s="79" t="s">
        <v>4350</v>
      </c>
      <c r="P13" s="79" t="s">
        <v>4342</v>
      </c>
      <c r="Q13" s="79" t="s">
        <v>4343</v>
      </c>
      <c r="R13" s="79">
        <v>22</v>
      </c>
      <c r="S13" s="79">
        <v>1</v>
      </c>
      <c r="T13" s="81">
        <v>38256.339999999997</v>
      </c>
      <c r="U13" s="81">
        <v>38256.339999999997</v>
      </c>
      <c r="V13" s="79" t="str">
        <f>INDEX(pARTNER[#All],MATCH(I_Miei_Rendiconti[[#This Row],[Column1.partnerId]],pARTNER[[#All],[Value.partnerSummary.id]],0),2)</f>
        <v>ADRIONCYCLETOUR</v>
      </c>
      <c r="W13" s="79" t="b">
        <v>0</v>
      </c>
      <c r="X13" s="82">
        <f>I_Miei_Rendiconti[[#This Row],[Column1.totalAfterSubmitted]]-I_Miei_Rendiconti[[#This Row],[Column1.totalEligibleAfterControl]]</f>
        <v>0</v>
      </c>
      <c r="Y13" s="80">
        <f>IF(I_Miei_Rendiconti[[#This Row],[Column1.status]]="Certified",IFERROR(I_Miei_Rendiconti[[#This Row],[Financial corection]]/I_Miei_Rendiconti[[#This Row],[Column1.totalAfterSubmitted]],0),"Rendiconto da certificare")</f>
        <v>0</v>
      </c>
      <c r="Z13" s="207" t="str">
        <f>IF(I_Miei_Rendiconti[[#This Row],[Column1.status]]&lt;&gt;"Certified",INDEX('Partner data'!DG:DQ,MATCH(I_Miei_Rendiconti[[#This Row],[Column1.partnerId]],'Partner data'!DG:DG,0),13),"Rendiconto CONVALIDATO")</f>
        <v>Rendiconto CONVALIDATO</v>
      </c>
      <c r="AA13"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3" s="81" t="str">
        <f>IF(OR(I_Miei_Rendiconti[[#This Row],[N. previouse validated report ]]="Rendiconto CONVALIDATO",I_Miei_Rendiconti[[#This Row],[N. previouse validated report ]]="NON è stato convalidato ancora nessun rendiconto"),"NON PERTINENTE","fai la fromula")</f>
        <v>NON PERTINENTE</v>
      </c>
      <c r="AC13"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3" s="2">
        <f>INDEX('Partner data'!DG:DJ,MATCH(I_Miei_Rendiconti[[#This Row],[Column1.partnerId]],'Partner data'!DG:DG,0),3)</f>
        <v>2</v>
      </c>
      <c r="AE13" t="str" cm="1">
        <f t="array" ref="AE13">INDEX('Varie Tabelle'!$A$37:$C$51,MATCH(1,(I_Miei_Rendiconti[[#This Row],[Column1.firstSubmission]]&gt;='Varie Tabelle'!$B$37:$B$51)*(I_Miei_Rendiconti[[#This Row],[Column1.firstSubmission]]&lt;'Varie Tabelle'!$C$37:$C$51),0),1)</f>
        <v>Finestra 1</v>
      </c>
      <c r="AF13" s="109">
        <f>INDEX('Varie Tabelle'!$A$37:$C$51,MATCH('MY-REPORT-MAIN'!AE13,'Varie Tabelle'!$A$37:$A$51,0),2)</f>
        <v>45236</v>
      </c>
      <c r="AG13" s="109">
        <f>INDEX('Partner data'!DG:DR,MATCH(I_Miei_Rendiconti[[#This Row],[Column1.partnerId]],'Partner data'!DG:DG,0),12)</f>
        <v>44805</v>
      </c>
      <c r="AH13" s="115">
        <f t="shared" si="0"/>
        <v>14.17296941795462</v>
      </c>
      <c r="AI13" t="str" cm="1">
        <f t="array" ref="AI13">INDEX('Varie Tabelle'!$A$12:$C$22,MATCH(1,('MY-REPORT-MAIN'!AH13&gt;='Varie Tabelle'!$B$12:$B$22)*('MY-REPORT-MAIN'!AH13&lt;='Varie Tabelle'!$C$12:$C$22),0),1)</f>
        <v>Periodo-2</v>
      </c>
      <c r="AJ13" s="14">
        <f>INDEX('Partner data'!A:EC,MATCH(I_Miei_Rendiconti[[#This Row],[Column1.partnerId]],'Partner data'!DG:DG,0),MATCH('MY-REPORT-MAIN'!AI13,'Partner data'!$2:$2,0))</f>
        <v>36949.5</v>
      </c>
      <c r="AK13" s="10">
        <f>SUMIFS($U$2:U13,$C$2:C13,I_Miei_Rendiconti[[#This Row],[Column1.partnerId]])-AJ13</f>
        <v>1306.8399999999965</v>
      </c>
      <c r="AL13" s="16">
        <f>IFERROR(1-(I_Miei_Rendiconti[[#This Row],[Column1.totalAfterSubmitted]]/AJ13),0)</f>
        <v>-3.5368272913029797E-2</v>
      </c>
      <c r="AM13" s="14">
        <f>INDEX('Partner data'!A:EB,MATCH(I_Miei_Rendiconti[[#This Row],[Column1.partnerId]],'Partner data'!DG:DG,0),44)</f>
        <v>945000</v>
      </c>
      <c r="AN13" s="14">
        <f>SUMIFS(ListOfExpenditure!AP:AP,ListOfExpenditure!AJ:AJ,I_Miei_Rendiconti[[#This Row],[Column1.id]])</f>
        <v>0</v>
      </c>
      <c r="AO13" s="148">
        <f>SUMIFS(ReportSubmittedBL!W:W,ReportSubmittedBL!D:D,I_Miei_Rendiconti[[#This Row],[Column1.id]])</f>
        <v>14</v>
      </c>
      <c r="AP13" s="155" cm="1">
        <f t="array" ref="AP13">INDEX('Weight tables'!$A$32:$C$36,MATCH(1,('MY-REPORT-MAIN'!AO13&gt;='Weight tables'!$B$32:$B$36)*('MY-REPORT-MAIN'!AO13&lt;='Weight tables'!$C$32:$C$36),0),1)</f>
        <v>8.4</v>
      </c>
      <c r="AQ13" s="155">
        <f>INDEX('Weight tables'!$A$39:$B$41,MATCH(I_Miei_Rendiconti[[#This Row],[Previouse Report checked?yes/no]],'Weight tables'!$B$39:$B$41,0),1)</f>
        <v>8.4</v>
      </c>
      <c r="AR13" s="155" cm="1">
        <f t="array" ref="AR13">IF(I_Miei_Rendiconti[[#This Row],[Sum of errors in previous report ]]="NON PERTINENTE",0,INDEX('Weight tables'!$A$43:$C$46,MATCH(1,(I_Miei_Rendiconti[[#This Row],[Sum of errors in previous report ]]&gt;='Weight tables'!$B$43:$B$46)*(I_Miei_Rendiconti[[#This Row],[Sum of errors in previous report ]]&lt;='Weight tables'!$C$43:$C$46),0),1))</f>
        <v>0</v>
      </c>
      <c r="AS13" s="155" cm="1">
        <f t="array" ref="AS13">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3" s="155" cm="1">
        <f t="array" ref="AT13">INDEX('Weight tables'!$A$56:$C$65,MATCH(1,('MY-REPORT-MAIN'!U13&gt;='Weight tables'!$B$56:$B$65)*('MY-REPORT-MAIN'!U13&lt;='Weight tables'!$C$56:$C$65),0),1)</f>
        <v>3</v>
      </c>
      <c r="AU13" s="155" cm="1">
        <f t="array" ref="AU13">INDEX('Weight tables'!$A$68:$C$71,MATCH(1,('MY-REPORT-MAIN'!AL13&gt;='Weight tables'!$B$68:$B$71)*('MY-REPORT-MAIN'!AL13&lt;='Weight tables'!$C$68:$C$71),0),1)</f>
        <v>0</v>
      </c>
      <c r="AV13" s="155" cm="1">
        <f t="array" ref="AV13">INDEX('Weight tables'!$A$74:$C$78,MATCH(1,('MY-REPORT-MAIN'!AN13&gt;='Weight tables'!$B$74:$B$78)*('MY-REPORT-MAIN'!AN13&lt;='Weight tables'!$C$74:$C$78),0),1)</f>
        <v>0</v>
      </c>
      <c r="AW13" s="16">
        <f>IF(I_Miei_Rendiconti[[#This Row],[Column1.totalAfterSubmitted]]/AM13&gt;50%,"Checked",0)</f>
        <v>0</v>
      </c>
      <c r="AX13" s="155">
        <f t="shared" si="1"/>
        <v>19.8</v>
      </c>
      <c r="AY13" s="155" t="str">
        <f>INDEX('Partner data'!A:EB,MATCH(I_Miei_Rendiconti[[#This Row],[Column1.partnerId]],'Partner data'!DG:DG,0),92)</f>
        <v>Italia (IT)</v>
      </c>
    </row>
    <row r="14" spans="1:58" ht="30" x14ac:dyDescent="0.25">
      <c r="A14" s="79">
        <v>37</v>
      </c>
      <c r="B14" s="79">
        <v>44</v>
      </c>
      <c r="C14" s="79">
        <v>109</v>
      </c>
      <c r="D14" s="79" t="s">
        <v>1116</v>
      </c>
      <c r="E14" s="79" t="s">
        <v>253</v>
      </c>
      <c r="F14" s="79">
        <v>3</v>
      </c>
      <c r="G14" s="206" t="s">
        <v>31</v>
      </c>
      <c r="H14" s="79">
        <v>1</v>
      </c>
      <c r="I14" s="79" t="s">
        <v>4339</v>
      </c>
      <c r="J14" s="79" t="s">
        <v>1118</v>
      </c>
      <c r="K14" s="208">
        <v>45261.672721226852</v>
      </c>
      <c r="M14" s="208">
        <v>45349.723361909724</v>
      </c>
      <c r="N14" s="79" t="s">
        <v>4356</v>
      </c>
      <c r="O14" s="79" t="s">
        <v>4347</v>
      </c>
      <c r="P14" s="79" t="s">
        <v>4342</v>
      </c>
      <c r="Q14" s="79" t="s">
        <v>4343</v>
      </c>
      <c r="R14" s="79">
        <v>2</v>
      </c>
      <c r="S14" s="79">
        <v>1</v>
      </c>
      <c r="T14" s="81">
        <v>16804.63</v>
      </c>
      <c r="U14" s="81">
        <v>16804.63</v>
      </c>
      <c r="V14" s="79" t="str">
        <f>INDEX(pARTNER[#All],MATCH(I_Miei_Rendiconti[[#This Row],[Column1.partnerId]],pARTNER[[#All],[Value.partnerSummary.id]],0),2)</f>
        <v>IMMUNOCLUSTER-2</v>
      </c>
      <c r="W14" s="79" t="b">
        <v>0</v>
      </c>
      <c r="X14" s="82">
        <f>I_Miei_Rendiconti[[#This Row],[Column1.totalAfterSubmitted]]-I_Miei_Rendiconti[[#This Row],[Column1.totalEligibleAfterControl]]</f>
        <v>0</v>
      </c>
      <c r="Y14" s="80">
        <f>IF(I_Miei_Rendiconti[[#This Row],[Column1.status]]="Certified",IFERROR(I_Miei_Rendiconti[[#This Row],[Financial corection]]/I_Miei_Rendiconti[[#This Row],[Column1.totalAfterSubmitted]],0),"Rendiconto da certificare")</f>
        <v>0</v>
      </c>
      <c r="Z14" s="207" t="str">
        <f>IF(I_Miei_Rendiconti[[#This Row],[Column1.status]]&lt;&gt;"Certified",INDEX('Partner data'!DG:DQ,MATCH(I_Miei_Rendiconti[[#This Row],[Column1.partnerId]],'Partner data'!DG:DG,0),13),"Rendiconto CONVALIDATO")</f>
        <v>Rendiconto CONVALIDATO</v>
      </c>
      <c r="AA14"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4" s="81" t="str">
        <f>IF(OR(I_Miei_Rendiconti[[#This Row],[N. previouse validated report ]]="Rendiconto CONVALIDATO",I_Miei_Rendiconti[[#This Row],[N. previouse validated report ]]="NON è stato convalidato ancora nessun rendiconto"),"NON PERTINENTE","fai la fromula")</f>
        <v>NON PERTINENTE</v>
      </c>
      <c r="AC14"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4" s="2">
        <f>INDEX('Partner data'!DG:DJ,MATCH(I_Miei_Rendiconti[[#This Row],[Column1.partnerId]],'Partner data'!DG:DG,0),3)</f>
        <v>2</v>
      </c>
      <c r="AE14" t="str" cm="1">
        <f t="array" ref="AE14">INDEX('Varie Tabelle'!$A$37:$C$51,MATCH(1,(I_Miei_Rendiconti[[#This Row],[Column1.firstSubmission]]&gt;='Varie Tabelle'!$B$37:$B$51)*(I_Miei_Rendiconti[[#This Row],[Column1.firstSubmission]]&lt;'Varie Tabelle'!$C$37:$C$51),0),1)</f>
        <v>Finestra 1</v>
      </c>
      <c r="AF14" s="109">
        <f>INDEX('Varie Tabelle'!$A$37:$C$51,MATCH('MY-REPORT-MAIN'!AE14,'Varie Tabelle'!$A$37:$A$51,0),2)</f>
        <v>45236</v>
      </c>
      <c r="AG14" s="109">
        <f>INDEX('Partner data'!DG:DR,MATCH(I_Miei_Rendiconti[[#This Row],[Column1.partnerId]],'Partner data'!DG:DG,0),12)</f>
        <v>45170</v>
      </c>
      <c r="AH14" s="115">
        <f t="shared" si="0"/>
        <v>2.1703387043735614</v>
      </c>
      <c r="AI14" t="str" cm="1">
        <f t="array" ref="AI14">INDEX('Varie Tabelle'!$A$12:$C$22,MATCH(1,('MY-REPORT-MAIN'!AH14&gt;='Varie Tabelle'!$B$12:$B$22)*('MY-REPORT-MAIN'!AH14&lt;='Varie Tabelle'!$C$12:$C$22),0),1)</f>
        <v>Periodo-1</v>
      </c>
      <c r="AJ14" s="14">
        <f>INDEX('Partner data'!A:EC,MATCH(I_Miei_Rendiconti[[#This Row],[Column1.partnerId]],'Partner data'!DG:DG,0),MATCH('MY-REPORT-MAIN'!AI14,'Partner data'!$2:$2,0))</f>
        <v>31766</v>
      </c>
      <c r="AK14" s="10">
        <f>SUMIFS($U$2:U14,$C$2:C14,I_Miei_Rendiconti[[#This Row],[Column1.partnerId]])-AJ14</f>
        <v>-14961.369999999999</v>
      </c>
      <c r="AL14" s="16">
        <f>IFERROR(1-(I_Miei_Rendiconti[[#This Row],[Column1.totalAfterSubmitted]]/AJ14),0)</f>
        <v>0.47098690423723477</v>
      </c>
      <c r="AM14" s="14">
        <f>INDEX('Partner data'!A:EB,MATCH(I_Miei_Rendiconti[[#This Row],[Column1.partnerId]],'Partner data'!DG:DG,0),44)</f>
        <v>127064</v>
      </c>
      <c r="AN14" s="14">
        <f>SUMIFS(ListOfExpenditure!AP:AP,ListOfExpenditure!AJ:AJ,I_Miei_Rendiconti[[#This Row],[Column1.id]])</f>
        <v>0</v>
      </c>
      <c r="AO14" s="148">
        <f>SUMIFS(ReportSubmittedBL!W:W,ReportSubmittedBL!D:D,I_Miei_Rendiconti[[#This Row],[Column1.id]])</f>
        <v>8</v>
      </c>
      <c r="AP14" s="155" cm="1">
        <f t="array" ref="AP14">INDEX('Weight tables'!$A$32:$C$36,MATCH(1,('MY-REPORT-MAIN'!AO14&gt;='Weight tables'!$B$32:$B$36)*('MY-REPORT-MAIN'!AO14&lt;='Weight tables'!$C$32:$C$36),0),1)</f>
        <v>6.3</v>
      </c>
      <c r="AQ14" s="155">
        <f>INDEX('Weight tables'!$A$39:$B$41,MATCH(I_Miei_Rendiconti[[#This Row],[Previouse Report checked?yes/no]],'Weight tables'!$B$39:$B$41,0),1)</f>
        <v>8.4</v>
      </c>
      <c r="AR14" s="155" cm="1">
        <f t="array" ref="AR14">IF(I_Miei_Rendiconti[[#This Row],[Sum of errors in previous report ]]="NON PERTINENTE",0,INDEX('Weight tables'!$A$43:$C$46,MATCH(1,(I_Miei_Rendiconti[[#This Row],[Sum of errors in previous report ]]&gt;='Weight tables'!$B$43:$B$46)*(I_Miei_Rendiconti[[#This Row],[Sum of errors in previous report ]]&lt;='Weight tables'!$C$43:$C$46),0),1))</f>
        <v>0</v>
      </c>
      <c r="AS14" s="155" cm="1">
        <f t="array" ref="AS14">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4" s="155" cm="1">
        <f t="array" ref="AT14">INDEX('Weight tables'!$A$56:$C$65,MATCH(1,('MY-REPORT-MAIN'!U14&gt;='Weight tables'!$B$56:$B$65)*('MY-REPORT-MAIN'!U14&lt;='Weight tables'!$C$56:$C$65),0),1)</f>
        <v>1</v>
      </c>
      <c r="AU14" s="155" cm="1">
        <f t="array" ref="AU14">INDEX('Weight tables'!$A$68:$C$71,MATCH(1,('MY-REPORT-MAIN'!AL14&gt;='Weight tables'!$B$68:$B$71)*('MY-REPORT-MAIN'!AL14&lt;='Weight tables'!$C$68:$C$71),0),1)</f>
        <v>2</v>
      </c>
      <c r="AV14" s="155" cm="1">
        <f t="array" ref="AV14">INDEX('Weight tables'!$A$74:$C$78,MATCH(1,('MY-REPORT-MAIN'!AN14&gt;='Weight tables'!$B$74:$B$78)*('MY-REPORT-MAIN'!AN14&lt;='Weight tables'!$C$74:$C$78),0),1)</f>
        <v>0</v>
      </c>
      <c r="AW14" s="16">
        <f>IF(I_Miei_Rendiconti[[#This Row],[Column1.totalAfterSubmitted]]/AM14&gt;50%,"Checked",0)</f>
        <v>0</v>
      </c>
      <c r="AX14" s="155">
        <f t="shared" si="1"/>
        <v>17.7</v>
      </c>
      <c r="AY14" s="155" t="str">
        <f>INDEX('Partner data'!A:EB,MATCH(I_Miei_Rendiconti[[#This Row],[Column1.partnerId]],'Partner data'!DG:DG,0),92)</f>
        <v>Italia (IT)</v>
      </c>
    </row>
    <row r="15" spans="1:58" ht="30" x14ac:dyDescent="0.25">
      <c r="A15" s="79">
        <v>86</v>
      </c>
      <c r="B15" s="79">
        <v>54</v>
      </c>
      <c r="C15" s="79">
        <v>80</v>
      </c>
      <c r="D15" s="79" t="s">
        <v>1435</v>
      </c>
      <c r="E15" s="79" t="s">
        <v>264</v>
      </c>
      <c r="F15" s="79">
        <v>1</v>
      </c>
      <c r="G15" s="206" t="s">
        <v>32</v>
      </c>
      <c r="H15" s="79">
        <v>1</v>
      </c>
      <c r="I15" s="79" t="s">
        <v>4339</v>
      </c>
      <c r="J15" s="79" t="s">
        <v>593</v>
      </c>
      <c r="K15" s="208">
        <v>45262.448521331018</v>
      </c>
      <c r="M15" s="208">
        <v>45349.736909259256</v>
      </c>
      <c r="N15" s="79" t="s">
        <v>4388</v>
      </c>
      <c r="O15" s="79" t="s">
        <v>4354</v>
      </c>
      <c r="P15" s="79" t="s">
        <v>4342</v>
      </c>
      <c r="Q15" s="79" t="s">
        <v>4343</v>
      </c>
      <c r="R15" s="79">
        <v>23</v>
      </c>
      <c r="S15" s="79">
        <v>1</v>
      </c>
      <c r="T15" s="81">
        <v>11128.88</v>
      </c>
      <c r="U15" s="81">
        <v>11128.88</v>
      </c>
      <c r="V15" s="79" t="str">
        <f>INDEX(pARTNER[#All],MATCH(I_Miei_Rendiconti[[#This Row],[Column1.partnerId]],pARTNER[[#All],[Value.partnerSummary.id]],0),2)</f>
        <v>X-BRAIN</v>
      </c>
      <c r="W15" s="79" t="b">
        <v>0</v>
      </c>
      <c r="X15" s="82">
        <f>I_Miei_Rendiconti[[#This Row],[Column1.totalAfterSubmitted]]-I_Miei_Rendiconti[[#This Row],[Column1.totalEligibleAfterControl]]</f>
        <v>0</v>
      </c>
      <c r="Y15" s="80">
        <f>IF(I_Miei_Rendiconti[[#This Row],[Column1.status]]="Certified",IFERROR(I_Miei_Rendiconti[[#This Row],[Financial corection]]/I_Miei_Rendiconti[[#This Row],[Column1.totalAfterSubmitted]],0),"Rendiconto da certificare")</f>
        <v>0</v>
      </c>
      <c r="Z15" s="207" t="str">
        <f>IF(I_Miei_Rendiconti[[#This Row],[Column1.status]]&lt;&gt;"Certified",INDEX('Partner data'!DG:DQ,MATCH(I_Miei_Rendiconti[[#This Row],[Column1.partnerId]],'Partner data'!DG:DG,0),13),"Rendiconto CONVALIDATO")</f>
        <v>Rendiconto CONVALIDATO</v>
      </c>
      <c r="AA15"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5" s="81" t="str">
        <f>IF(OR(I_Miei_Rendiconti[[#This Row],[N. previouse validated report ]]="Rendiconto CONVALIDATO",I_Miei_Rendiconti[[#This Row],[N. previouse validated report ]]="NON è stato convalidato ancora nessun rendiconto"),"NON PERTINENTE","fai la fromula")</f>
        <v>NON PERTINENTE</v>
      </c>
      <c r="AC15"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5" s="2">
        <f>INDEX('Partner data'!DG:DJ,MATCH(I_Miei_Rendiconti[[#This Row],[Column1.partnerId]],'Partner data'!DG:DG,0),3)</f>
        <v>2</v>
      </c>
      <c r="AE15" t="str" cm="1">
        <f t="array" ref="AE15">INDEX('Varie Tabelle'!$A$37:$C$51,MATCH(1,(I_Miei_Rendiconti[[#This Row],[Column1.firstSubmission]]&gt;='Varie Tabelle'!$B$37:$B$51)*(I_Miei_Rendiconti[[#This Row],[Column1.firstSubmission]]&lt;'Varie Tabelle'!$C$37:$C$51),0),1)</f>
        <v>Finestra 1</v>
      </c>
      <c r="AF15" s="109">
        <f>INDEX('Varie Tabelle'!$A$37:$C$51,MATCH('MY-REPORT-MAIN'!AE15,'Varie Tabelle'!$A$37:$A$51,0),2)</f>
        <v>45236</v>
      </c>
      <c r="AG15" s="109">
        <f>INDEX('Partner data'!DG:DR,MATCH(I_Miei_Rendiconti[[#This Row],[Column1.partnerId]],'Partner data'!DG:DG,0),12)</f>
        <v>45078</v>
      </c>
      <c r="AH15" s="115">
        <f t="shared" si="0"/>
        <v>5.1956593225912533</v>
      </c>
      <c r="AI15" t="str" cm="1">
        <f t="array" ref="AI15">INDEX('Varie Tabelle'!$A$12:$C$22,MATCH(1,('MY-REPORT-MAIN'!AH15&gt;='Varie Tabelle'!$B$12:$B$22)*('MY-REPORT-MAIN'!AH15&lt;='Varie Tabelle'!$C$12:$C$22),0),1)</f>
        <v>Periodo-1</v>
      </c>
      <c r="AJ15" s="14">
        <f>INDEX('Partner data'!A:EC,MATCH(I_Miei_Rendiconti[[#This Row],[Column1.partnerId]],'Partner data'!DG:DG,0),MATCH('MY-REPORT-MAIN'!AI15,'Partner data'!$2:$2,0))</f>
        <v>23745.69</v>
      </c>
      <c r="AK15" s="10">
        <f>SUMIFS($U$2:U15,$C$2:C15,I_Miei_Rendiconti[[#This Row],[Column1.partnerId]])-AJ15</f>
        <v>-12616.81</v>
      </c>
      <c r="AL15" s="16">
        <f>IFERROR(1-(I_Miei_Rendiconti[[#This Row],[Column1.totalAfterSubmitted]]/AJ15),0)</f>
        <v>0.53133052777156609</v>
      </c>
      <c r="AM15" s="14">
        <f>INDEX('Partner data'!A:EB,MATCH(I_Miei_Rendiconti[[#This Row],[Column1.partnerId]],'Partner data'!DG:DG,0),44)</f>
        <v>150246.35999999999</v>
      </c>
      <c r="AN15" s="14">
        <f>SUMIFS(ListOfExpenditure!AP:AP,ListOfExpenditure!AJ:AJ,I_Miei_Rendiconti[[#This Row],[Column1.id]])</f>
        <v>0</v>
      </c>
      <c r="AO15" s="148">
        <f>SUMIFS(ReportSubmittedBL!W:W,ReportSubmittedBL!D:D,I_Miei_Rendiconti[[#This Row],[Column1.id]])</f>
        <v>10</v>
      </c>
      <c r="AP15" s="155" cm="1">
        <f t="array" ref="AP15">INDEX('Weight tables'!$A$32:$C$36,MATCH(1,('MY-REPORT-MAIN'!AO15&gt;='Weight tables'!$B$32:$B$36)*('MY-REPORT-MAIN'!AO15&lt;='Weight tables'!$C$32:$C$36),0),1)</f>
        <v>8.4</v>
      </c>
      <c r="AQ15" s="155">
        <f>INDEX('Weight tables'!$A$39:$B$41,MATCH(I_Miei_Rendiconti[[#This Row],[Previouse Report checked?yes/no]],'Weight tables'!$B$39:$B$41,0),1)</f>
        <v>8.4</v>
      </c>
      <c r="AR15" s="155" cm="1">
        <f t="array" ref="AR15">IF(I_Miei_Rendiconti[[#This Row],[Sum of errors in previous report ]]="NON PERTINENTE",0,INDEX('Weight tables'!$A$43:$C$46,MATCH(1,(I_Miei_Rendiconti[[#This Row],[Sum of errors in previous report ]]&gt;='Weight tables'!$B$43:$B$46)*(I_Miei_Rendiconti[[#This Row],[Sum of errors in previous report ]]&lt;='Weight tables'!$C$43:$C$46),0),1))</f>
        <v>0</v>
      </c>
      <c r="AS15" s="155" cm="1">
        <f t="array" ref="AS15">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5" s="155" cm="1">
        <f t="array" ref="AT15">INDEX('Weight tables'!$A$56:$C$65,MATCH(1,('MY-REPORT-MAIN'!U15&gt;='Weight tables'!$B$56:$B$65)*('MY-REPORT-MAIN'!U15&lt;='Weight tables'!$C$56:$C$65),0),1)</f>
        <v>1</v>
      </c>
      <c r="AU15" s="155" cm="1">
        <f t="array" ref="AU15">INDEX('Weight tables'!$A$68:$C$71,MATCH(1,('MY-REPORT-MAIN'!AL15&gt;='Weight tables'!$B$68:$B$71)*('MY-REPORT-MAIN'!AL15&lt;='Weight tables'!$C$68:$C$71),0),1)</f>
        <v>2</v>
      </c>
      <c r="AV15" s="155" cm="1">
        <f t="array" ref="AV15">INDEX('Weight tables'!$A$74:$C$78,MATCH(1,('MY-REPORT-MAIN'!AN15&gt;='Weight tables'!$B$74:$B$78)*('MY-REPORT-MAIN'!AN15&lt;='Weight tables'!$C$74:$C$78),0),1)</f>
        <v>0</v>
      </c>
      <c r="AW15" s="16">
        <f>IF(I_Miei_Rendiconti[[#This Row],[Column1.totalAfterSubmitted]]/AM15&gt;50%,"Checked",0)</f>
        <v>0</v>
      </c>
      <c r="AX15" s="155">
        <f t="shared" si="1"/>
        <v>19.8</v>
      </c>
      <c r="AY15" s="155" t="str">
        <f>INDEX('Partner data'!A:EB,MATCH(I_Miei_Rendiconti[[#This Row],[Column1.partnerId]],'Partner data'!DG:DG,0),92)</f>
        <v>Italia (IT)</v>
      </c>
    </row>
    <row r="16" spans="1:58" ht="30" x14ac:dyDescent="0.25">
      <c r="A16" s="79">
        <v>55</v>
      </c>
      <c r="B16" s="79">
        <v>13</v>
      </c>
      <c r="C16" s="79">
        <v>15</v>
      </c>
      <c r="D16" s="79" t="s">
        <v>2371</v>
      </c>
      <c r="E16" s="79" t="s">
        <v>253</v>
      </c>
      <c r="F16" s="79">
        <v>5</v>
      </c>
      <c r="G16" s="206" t="s">
        <v>33</v>
      </c>
      <c r="H16" s="79">
        <v>1</v>
      </c>
      <c r="I16" s="79" t="s">
        <v>4339</v>
      </c>
      <c r="J16" s="79" t="s">
        <v>1118</v>
      </c>
      <c r="K16" s="208">
        <v>45264.38427170139</v>
      </c>
      <c r="M16" s="208">
        <v>45335.651317407406</v>
      </c>
      <c r="N16" s="79" t="s">
        <v>4371</v>
      </c>
      <c r="O16" s="79" t="s">
        <v>4350</v>
      </c>
      <c r="P16" s="79" t="s">
        <v>4342</v>
      </c>
      <c r="Q16" s="79" t="s">
        <v>4343</v>
      </c>
      <c r="R16" s="79">
        <v>22</v>
      </c>
      <c r="S16" s="79">
        <v>1</v>
      </c>
      <c r="T16" s="81">
        <v>135281.95000000001</v>
      </c>
      <c r="U16" s="81">
        <v>135282.13</v>
      </c>
      <c r="V16" s="79" t="str">
        <f>INDEX(pARTNER[#All],MATCH(I_Miei_Rendiconti[[#This Row],[Column1.partnerId]],pARTNER[[#All],[Value.partnerSummary.id]],0),2)</f>
        <v>ADRIONCYCLETOUR</v>
      </c>
      <c r="W16" s="79" t="b">
        <v>0</v>
      </c>
      <c r="X16" s="82">
        <f>I_Miei_Rendiconti[[#This Row],[Column1.totalAfterSubmitted]]-I_Miei_Rendiconti[[#This Row],[Column1.totalEligibleAfterControl]]</f>
        <v>0.17999999999301508</v>
      </c>
      <c r="Y16" s="80">
        <f>IF(I_Miei_Rendiconti[[#This Row],[Column1.status]]="Certified",IFERROR(I_Miei_Rendiconti[[#This Row],[Financial corection]]/I_Miei_Rendiconti[[#This Row],[Column1.totalAfterSubmitted]],0),"Rendiconto da certificare")</f>
        <v>1.3305526753091119E-6</v>
      </c>
      <c r="Z16" s="207" t="str">
        <f>IF(I_Miei_Rendiconti[[#This Row],[Column1.status]]&lt;&gt;"Certified",INDEX('Partner data'!DG:DQ,MATCH(I_Miei_Rendiconti[[#This Row],[Column1.partnerId]],'Partner data'!DG:DG,0),13),"Rendiconto CONVALIDATO")</f>
        <v>Rendiconto CONVALIDATO</v>
      </c>
      <c r="AA16"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6" s="81" t="str">
        <f>IF(OR(I_Miei_Rendiconti[[#This Row],[N. previouse validated report ]]="Rendiconto CONVALIDATO",I_Miei_Rendiconti[[#This Row],[N. previouse validated report ]]="NON è stato convalidato ancora nessun rendiconto"),"NON PERTINENTE","fai la fromula")</f>
        <v>NON PERTINENTE</v>
      </c>
      <c r="AC16"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6" s="2">
        <f>INDEX('Partner data'!DG:DJ,MATCH(I_Miei_Rendiconti[[#This Row],[Column1.partnerId]],'Partner data'!DG:DG,0),3)</f>
        <v>2</v>
      </c>
      <c r="AE16" t="str" cm="1">
        <f t="array" ref="AE16">INDEX('Varie Tabelle'!$A$37:$C$51,MATCH(1,(I_Miei_Rendiconti[[#This Row],[Column1.firstSubmission]]&gt;='Varie Tabelle'!$B$37:$B$51)*(I_Miei_Rendiconti[[#This Row],[Column1.firstSubmission]]&lt;'Varie Tabelle'!$C$37:$C$51),0),1)</f>
        <v>Finestra 1</v>
      </c>
      <c r="AF16" s="109">
        <f>INDEX('Varie Tabelle'!$A$37:$C$51,MATCH('MY-REPORT-MAIN'!AE16,'Varie Tabelle'!$A$37:$A$51,0),2)</f>
        <v>45236</v>
      </c>
      <c r="AG16" s="109">
        <f>INDEX('Partner data'!DG:DR,MATCH(I_Miei_Rendiconti[[#This Row],[Column1.partnerId]],'Partner data'!DG:DG,0),12)</f>
        <v>44805</v>
      </c>
      <c r="AH16" s="115">
        <f t="shared" si="0"/>
        <v>14.17296941795462</v>
      </c>
      <c r="AI16" t="str" cm="1">
        <f t="array" ref="AI16">INDEX('Varie Tabelle'!$A$12:$C$22,MATCH(1,('MY-REPORT-MAIN'!AH16&gt;='Varie Tabelle'!$B$12:$B$22)*('MY-REPORT-MAIN'!AH16&lt;='Varie Tabelle'!$C$12:$C$22),0),1)</f>
        <v>Periodo-2</v>
      </c>
      <c r="AJ16" s="14">
        <f>INDEX('Partner data'!A:EC,MATCH(I_Miei_Rendiconti[[#This Row],[Column1.partnerId]],'Partner data'!DG:DG,0),MATCH('MY-REPORT-MAIN'!AI16,'Partner data'!$2:$2,0))</f>
        <v>57900.54</v>
      </c>
      <c r="AK16" s="10">
        <f>SUMIFS($U$2:U16,$C$2:C16,I_Miei_Rendiconti[[#This Row],[Column1.partnerId]])-AJ16</f>
        <v>77381.59</v>
      </c>
      <c r="AL16" s="16">
        <f>IFERROR(1-(I_Miei_Rendiconti[[#This Row],[Column1.totalAfterSubmitted]]/AJ16),0)</f>
        <v>-1.3364571383962915</v>
      </c>
      <c r="AM16" s="14">
        <f>INDEX('Partner data'!A:EB,MATCH(I_Miei_Rendiconti[[#This Row],[Column1.partnerId]],'Partner data'!DG:DG,0),44)</f>
        <v>316504</v>
      </c>
      <c r="AN16" s="14">
        <f>SUMIFS(ListOfExpenditure!AP:AP,ListOfExpenditure!AJ:AJ,I_Miei_Rendiconti[[#This Row],[Column1.id]])</f>
        <v>0</v>
      </c>
      <c r="AO16" s="148">
        <f>SUMIFS(ReportSubmittedBL!W:W,ReportSubmittedBL!D:D,I_Miei_Rendiconti[[#This Row],[Column1.id]])</f>
        <v>16</v>
      </c>
      <c r="AP16" s="155" cm="1">
        <f t="array" ref="AP16">INDEX('Weight tables'!$A$32:$C$36,MATCH(1,('MY-REPORT-MAIN'!AO16&gt;='Weight tables'!$B$32:$B$36)*('MY-REPORT-MAIN'!AO16&lt;='Weight tables'!$C$32:$C$36),0),1)</f>
        <v>8.4</v>
      </c>
      <c r="AQ16" s="155">
        <f>INDEX('Weight tables'!$A$39:$B$41,MATCH(I_Miei_Rendiconti[[#This Row],[Previouse Report checked?yes/no]],'Weight tables'!$B$39:$B$41,0),1)</f>
        <v>8.4</v>
      </c>
      <c r="AR16" s="155" cm="1">
        <f t="array" ref="AR16">IF(I_Miei_Rendiconti[[#This Row],[Sum of errors in previous report ]]="NON PERTINENTE",0,INDEX('Weight tables'!$A$43:$C$46,MATCH(1,(I_Miei_Rendiconti[[#This Row],[Sum of errors in previous report ]]&gt;='Weight tables'!$B$43:$B$46)*(I_Miei_Rendiconti[[#This Row],[Sum of errors in previous report ]]&lt;='Weight tables'!$C$43:$C$46),0),1))</f>
        <v>0</v>
      </c>
      <c r="AS16" s="155" cm="1">
        <f t="array" ref="AS16">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6" s="155" cm="1">
        <f t="array" ref="AT16">INDEX('Weight tables'!$A$56:$C$65,MATCH(1,('MY-REPORT-MAIN'!U16&gt;='Weight tables'!$B$56:$B$65)*('MY-REPORT-MAIN'!U16&lt;='Weight tables'!$C$56:$C$65),0),1)</f>
        <v>8</v>
      </c>
      <c r="AU16" s="155" cm="1">
        <f t="array" ref="AU16">INDEX('Weight tables'!$A$68:$C$71,MATCH(1,('MY-REPORT-MAIN'!AL16&gt;='Weight tables'!$B$68:$B$71)*('MY-REPORT-MAIN'!AL16&lt;='Weight tables'!$C$68:$C$71),0),1)</f>
        <v>0</v>
      </c>
      <c r="AV16" s="155" cm="1">
        <f t="array" ref="AV16">INDEX('Weight tables'!$A$74:$C$78,MATCH(1,('MY-REPORT-MAIN'!AN16&gt;='Weight tables'!$B$74:$B$78)*('MY-REPORT-MAIN'!AN16&lt;='Weight tables'!$C$74:$C$78),0),1)</f>
        <v>0</v>
      </c>
      <c r="AW16" s="16">
        <f>IF(I_Miei_Rendiconti[[#This Row],[Column1.totalAfterSubmitted]]/AM16&gt;50%,"Checked",0)</f>
        <v>0</v>
      </c>
      <c r="AX16" s="155">
        <f t="shared" si="1"/>
        <v>24.8</v>
      </c>
      <c r="AY16" s="155" t="str">
        <f>INDEX('Partner data'!A:EB,MATCH(I_Miei_Rendiconti[[#This Row],[Column1.partnerId]],'Partner data'!DG:DG,0),92)</f>
        <v>Slovenija (SI)</v>
      </c>
    </row>
    <row r="17" spans="1:51" ht="30" x14ac:dyDescent="0.25">
      <c r="A17" s="79">
        <v>52</v>
      </c>
      <c r="B17" s="79">
        <v>91</v>
      </c>
      <c r="C17" s="79">
        <v>306</v>
      </c>
      <c r="D17" s="79" t="s">
        <v>2561</v>
      </c>
      <c r="E17" s="79" t="s">
        <v>253</v>
      </c>
      <c r="F17" s="79">
        <v>4</v>
      </c>
      <c r="G17" s="206" t="s">
        <v>34</v>
      </c>
      <c r="H17" s="79">
        <v>1</v>
      </c>
      <c r="I17" s="79" t="s">
        <v>4339</v>
      </c>
      <c r="J17" s="79" t="s">
        <v>4368</v>
      </c>
      <c r="K17" s="208">
        <v>45264.430373622687</v>
      </c>
      <c r="M17" s="208">
        <v>45335.654944340276</v>
      </c>
      <c r="N17" s="79" t="s">
        <v>4369</v>
      </c>
      <c r="O17" s="79" t="s">
        <v>4352</v>
      </c>
      <c r="P17" s="79" t="s">
        <v>4342</v>
      </c>
      <c r="Q17" s="79" t="s">
        <v>4343</v>
      </c>
      <c r="R17" s="79">
        <v>12</v>
      </c>
      <c r="S17" s="79">
        <v>1</v>
      </c>
      <c r="T17" s="81">
        <v>18506.55</v>
      </c>
      <c r="U17" s="81">
        <v>20620.93</v>
      </c>
      <c r="V17" s="79" t="str">
        <f>INDEX(pARTNER[#All],MATCH(I_Miei_Rendiconti[[#This Row],[Column1.partnerId]],pARTNER[[#All],[Value.partnerSummary.id]],0),2)</f>
        <v>POSEIDONE</v>
      </c>
      <c r="W17" s="79" t="b">
        <v>0</v>
      </c>
      <c r="X17" s="82">
        <f>I_Miei_Rendiconti[[#This Row],[Column1.totalAfterSubmitted]]-I_Miei_Rendiconti[[#This Row],[Column1.totalEligibleAfterControl]]</f>
        <v>2114.380000000001</v>
      </c>
      <c r="Y17" s="80">
        <f>IF(I_Miei_Rendiconti[[#This Row],[Column1.status]]="Certified",IFERROR(I_Miei_Rendiconti[[#This Row],[Financial corection]]/I_Miei_Rendiconti[[#This Row],[Column1.totalAfterSubmitted]],0),"Rendiconto da certificare")</f>
        <v>0.10253562763658094</v>
      </c>
      <c r="Z17" s="207" t="str">
        <f>IF(I_Miei_Rendiconti[[#This Row],[Column1.status]]&lt;&gt;"Certified",INDEX('Partner data'!DG:DQ,MATCH(I_Miei_Rendiconti[[#This Row],[Column1.partnerId]],'Partner data'!DG:DG,0),13),"Rendiconto CONVALIDATO")</f>
        <v>Rendiconto CONVALIDATO</v>
      </c>
      <c r="AA17"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7" s="81" t="str">
        <f>IF(OR(I_Miei_Rendiconti[[#This Row],[N. previouse validated report ]]="Rendiconto CONVALIDATO",I_Miei_Rendiconti[[#This Row],[N. previouse validated report ]]="NON è stato convalidato ancora nessun rendiconto"),"NON PERTINENTE","fai la fromula")</f>
        <v>NON PERTINENTE</v>
      </c>
      <c r="AC17"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7" s="2">
        <f>INDEX('Partner data'!DG:DJ,MATCH(I_Miei_Rendiconti[[#This Row],[Column1.partnerId]],'Partner data'!DG:DG,0),3)</f>
        <v>2</v>
      </c>
      <c r="AE17" t="str" cm="1">
        <f t="array" ref="AE17">INDEX('Varie Tabelle'!$A$37:$C$51,MATCH(1,(I_Miei_Rendiconti[[#This Row],[Column1.firstSubmission]]&gt;='Varie Tabelle'!$B$37:$B$51)*(I_Miei_Rendiconti[[#This Row],[Column1.firstSubmission]]&lt;'Varie Tabelle'!$C$37:$C$51),0),1)</f>
        <v>Finestra 1</v>
      </c>
      <c r="AF17" s="109">
        <f>INDEX('Varie Tabelle'!$A$37:$C$51,MATCH('MY-REPORT-MAIN'!AE17,'Varie Tabelle'!$A$37:$A$51,0),2)</f>
        <v>45236</v>
      </c>
      <c r="AG17" s="109">
        <f>INDEX('Partner data'!DG:DR,MATCH(I_Miei_Rendiconti[[#This Row],[Column1.partnerId]],'Partner data'!DG:DG,0),12)</f>
        <v>44927</v>
      </c>
      <c r="AH17" s="115">
        <f t="shared" si="0"/>
        <v>10.161131206839855</v>
      </c>
      <c r="AI17" t="str" cm="1">
        <f t="array" ref="AI17">INDEX('Varie Tabelle'!$A$12:$C$22,MATCH(1,('MY-REPORT-MAIN'!AH17&gt;='Varie Tabelle'!$B$12:$B$22)*('MY-REPORT-MAIN'!AH17&lt;='Varie Tabelle'!$C$12:$C$22),0),1)</f>
        <v>Periodo-1</v>
      </c>
      <c r="AJ17" s="14">
        <f>INDEX('Partner data'!A:EC,MATCH(I_Miei_Rendiconti[[#This Row],[Column1.partnerId]],'Partner data'!DG:DG,0),MATCH('MY-REPORT-MAIN'!AI17,'Partner data'!$2:$2,0))</f>
        <v>61027.83</v>
      </c>
      <c r="AK17" s="10">
        <f>SUMIFS($U$2:U17,$C$2:C17,I_Miei_Rendiconti[[#This Row],[Column1.partnerId]])-AJ17</f>
        <v>-40406.9</v>
      </c>
      <c r="AL17" s="16">
        <f>IFERROR(1-(I_Miei_Rendiconti[[#This Row],[Column1.totalAfterSubmitted]]/AJ17),0)</f>
        <v>0.6621061243698162</v>
      </c>
      <c r="AM17" s="14">
        <f>INDEX('Partner data'!A:EB,MATCH(I_Miei_Rendiconti[[#This Row],[Column1.partnerId]],'Partner data'!DG:DG,0),44)</f>
        <v>350000</v>
      </c>
      <c r="AN17" s="14">
        <f>SUMIFS(ListOfExpenditure!AP:AP,ListOfExpenditure!AJ:AJ,I_Miei_Rendiconti[[#This Row],[Column1.id]])</f>
        <v>0</v>
      </c>
      <c r="AO17" s="148">
        <f>SUMIFS(ReportSubmittedBL!W:W,ReportSubmittedBL!D:D,I_Miei_Rendiconti[[#This Row],[Column1.id]])</f>
        <v>16</v>
      </c>
      <c r="AP17" s="155" cm="1">
        <f t="array" ref="AP17">INDEX('Weight tables'!$A$32:$C$36,MATCH(1,('MY-REPORT-MAIN'!AO17&gt;='Weight tables'!$B$32:$B$36)*('MY-REPORT-MAIN'!AO17&lt;='Weight tables'!$C$32:$C$36),0),1)</f>
        <v>8.4</v>
      </c>
      <c r="AQ17" s="155">
        <f>INDEX('Weight tables'!$A$39:$B$41,MATCH(I_Miei_Rendiconti[[#This Row],[Previouse Report checked?yes/no]],'Weight tables'!$B$39:$B$41,0),1)</f>
        <v>8.4</v>
      </c>
      <c r="AR17" s="155" cm="1">
        <f t="array" ref="AR17">IF(I_Miei_Rendiconti[[#This Row],[Sum of errors in previous report ]]="NON PERTINENTE",0,INDEX('Weight tables'!$A$43:$C$46,MATCH(1,(I_Miei_Rendiconti[[#This Row],[Sum of errors in previous report ]]&gt;='Weight tables'!$B$43:$B$46)*(I_Miei_Rendiconti[[#This Row],[Sum of errors in previous report ]]&lt;='Weight tables'!$C$43:$C$46),0),1))</f>
        <v>0</v>
      </c>
      <c r="AS17" s="155" cm="1">
        <f t="array" ref="AS17">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7" s="155" cm="1">
        <f t="array" ref="AT17">INDEX('Weight tables'!$A$56:$C$65,MATCH(1,('MY-REPORT-MAIN'!U17&gt;='Weight tables'!$B$56:$B$65)*('MY-REPORT-MAIN'!U17&lt;='Weight tables'!$C$56:$C$65),0),1)</f>
        <v>2</v>
      </c>
      <c r="AU17" s="155" cm="1">
        <f t="array" ref="AU17">INDEX('Weight tables'!$A$68:$C$71,MATCH(1,('MY-REPORT-MAIN'!AL17&gt;='Weight tables'!$B$68:$B$71)*('MY-REPORT-MAIN'!AL17&lt;='Weight tables'!$C$68:$C$71),0),1)</f>
        <v>2</v>
      </c>
      <c r="AV17" s="155" cm="1">
        <f t="array" ref="AV17">INDEX('Weight tables'!$A$74:$C$78,MATCH(1,('MY-REPORT-MAIN'!AN17&gt;='Weight tables'!$B$74:$B$78)*('MY-REPORT-MAIN'!AN17&lt;='Weight tables'!$C$74:$C$78),0),1)</f>
        <v>0</v>
      </c>
      <c r="AW17" s="16">
        <f>IF(I_Miei_Rendiconti[[#This Row],[Column1.totalAfterSubmitted]]/AM17&gt;50%,"Checked",0)</f>
        <v>0</v>
      </c>
      <c r="AX17" s="155">
        <f t="shared" si="1"/>
        <v>20.8</v>
      </c>
      <c r="AY17" s="155" t="str">
        <f>INDEX('Partner data'!A:EB,MATCH(I_Miei_Rendiconti[[#This Row],[Column1.partnerId]],'Partner data'!DG:DG,0),92)</f>
        <v>Italia (IT)</v>
      </c>
    </row>
    <row r="18" spans="1:51" ht="30" x14ac:dyDescent="0.25">
      <c r="A18" s="79">
        <v>42</v>
      </c>
      <c r="B18" s="79">
        <v>65</v>
      </c>
      <c r="C18" s="79">
        <v>95</v>
      </c>
      <c r="D18" s="79" t="s">
        <v>1693</v>
      </c>
      <c r="E18" s="79" t="s">
        <v>253</v>
      </c>
      <c r="F18" s="79">
        <v>2</v>
      </c>
      <c r="G18" s="206" t="s">
        <v>35</v>
      </c>
      <c r="H18" s="79">
        <v>1</v>
      </c>
      <c r="I18" s="79" t="s">
        <v>4339</v>
      </c>
      <c r="J18" s="79" t="s">
        <v>490</v>
      </c>
      <c r="K18" s="208">
        <v>45264.450599386575</v>
      </c>
      <c r="M18" s="208">
        <v>45324.360805914352</v>
      </c>
      <c r="N18" s="79" t="s">
        <v>4360</v>
      </c>
      <c r="O18" s="79" t="s">
        <v>4354</v>
      </c>
      <c r="P18" s="79" t="s">
        <v>4342</v>
      </c>
      <c r="Q18" s="79" t="s">
        <v>4343</v>
      </c>
      <c r="R18" s="79">
        <v>13</v>
      </c>
      <c r="S18" s="79">
        <v>1</v>
      </c>
      <c r="T18" s="81">
        <v>9318.1200000000008</v>
      </c>
      <c r="U18" s="81">
        <v>11859.5</v>
      </c>
      <c r="V18" s="79" t="str">
        <f>INDEX(pARTNER[#All],MATCH(I_Miei_Rendiconti[[#This Row],[Column1.partnerId]],pARTNER[[#All],[Value.partnerSummary.id]],0),2)</f>
        <v>TARTINI BIS</v>
      </c>
      <c r="W18" s="79" t="b">
        <v>0</v>
      </c>
      <c r="X18" s="82">
        <f>I_Miei_Rendiconti[[#This Row],[Column1.totalAfterSubmitted]]-I_Miei_Rendiconti[[#This Row],[Column1.totalEligibleAfterControl]]</f>
        <v>2541.3799999999992</v>
      </c>
      <c r="Y18" s="80">
        <f>IF(I_Miei_Rendiconti[[#This Row],[Column1.status]]="Certified",IFERROR(I_Miei_Rendiconti[[#This Row],[Financial corection]]/I_Miei_Rendiconti[[#This Row],[Column1.totalAfterSubmitted]],0),"Rendiconto da certificare")</f>
        <v>0.21429065306294526</v>
      </c>
      <c r="Z18" s="207" t="str">
        <f>IF(I_Miei_Rendiconti[[#This Row],[Column1.status]]&lt;&gt;"Certified",INDEX('Partner data'!DG:DQ,MATCH(I_Miei_Rendiconti[[#This Row],[Column1.partnerId]],'Partner data'!DG:DG,0),13),"Rendiconto CONVALIDATO")</f>
        <v>Rendiconto CONVALIDATO</v>
      </c>
      <c r="AA18"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8" s="81" t="str">
        <f>IF(OR(I_Miei_Rendiconti[[#This Row],[N. previouse validated report ]]="Rendiconto CONVALIDATO",I_Miei_Rendiconti[[#This Row],[N. previouse validated report ]]="NON è stato convalidato ancora nessun rendiconto"),"NON PERTINENTE","fai la fromula")</f>
        <v>NON PERTINENTE</v>
      </c>
      <c r="AC18"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8" s="2">
        <f>INDEX('Partner data'!DG:DJ,MATCH(I_Miei_Rendiconti[[#This Row],[Column1.partnerId]],'Partner data'!DG:DG,0),3)</f>
        <v>2</v>
      </c>
      <c r="AE18" t="str" cm="1">
        <f t="array" ref="AE18">INDEX('Varie Tabelle'!$A$37:$C$51,MATCH(1,(I_Miei_Rendiconti[[#This Row],[Column1.firstSubmission]]&gt;='Varie Tabelle'!$B$37:$B$51)*(I_Miei_Rendiconti[[#This Row],[Column1.firstSubmission]]&lt;'Varie Tabelle'!$C$37:$C$51),0),1)</f>
        <v>Finestra 1</v>
      </c>
      <c r="AF18" s="109">
        <f>INDEX('Varie Tabelle'!$A$37:$C$51,MATCH('MY-REPORT-MAIN'!AE18,'Varie Tabelle'!$A$37:$A$51,0),2)</f>
        <v>45236</v>
      </c>
      <c r="AG18" s="109">
        <f>INDEX('Partner data'!DG:DR,MATCH(I_Miei_Rendiconti[[#This Row],[Column1.partnerId]],'Partner data'!DG:DG,0),12)</f>
        <v>45078</v>
      </c>
      <c r="AH18" s="115">
        <f t="shared" si="0"/>
        <v>5.1956593225912533</v>
      </c>
      <c r="AI18" t="str" cm="1">
        <f t="array" ref="AI18">INDEX('Varie Tabelle'!$A$12:$C$22,MATCH(1,('MY-REPORT-MAIN'!AH18&gt;='Varie Tabelle'!$B$12:$B$22)*('MY-REPORT-MAIN'!AH18&lt;='Varie Tabelle'!$C$12:$C$22),0),1)</f>
        <v>Periodo-1</v>
      </c>
      <c r="AJ18" s="14">
        <f>INDEX('Partner data'!A:EC,MATCH(I_Miei_Rendiconti[[#This Row],[Column1.partnerId]],'Partner data'!DG:DG,0),MATCH('MY-REPORT-MAIN'!AI18,'Partner data'!$2:$2,0))</f>
        <v>30954.5</v>
      </c>
      <c r="AK18" s="10">
        <f>SUMIFS($U$2:U18,$C$2:C18,I_Miei_Rendiconti[[#This Row],[Column1.partnerId]])-AJ18</f>
        <v>-19095</v>
      </c>
      <c r="AL18" s="16">
        <f>IFERROR(1-(I_Miei_Rendiconti[[#This Row],[Column1.totalAfterSubmitted]]/AJ18),0)</f>
        <v>0.61687315253032682</v>
      </c>
      <c r="AM18" s="14">
        <f>INDEX('Partner data'!A:EB,MATCH(I_Miei_Rendiconti[[#This Row],[Column1.partnerId]],'Partner data'!DG:DG,0),44)</f>
        <v>110363.5</v>
      </c>
      <c r="AN18" s="14">
        <f>SUMIFS(ListOfExpenditure!AP:AP,ListOfExpenditure!AJ:AJ,I_Miei_Rendiconti[[#This Row],[Column1.id]])</f>
        <v>0</v>
      </c>
      <c r="AO18" s="148">
        <f>SUMIFS(ReportSubmittedBL!W:W,ReportSubmittedBL!D:D,I_Miei_Rendiconti[[#This Row],[Column1.id]])</f>
        <v>12</v>
      </c>
      <c r="AP18" s="155" cm="1">
        <f t="array" ref="AP18">INDEX('Weight tables'!$A$32:$C$36,MATCH(1,('MY-REPORT-MAIN'!AO18&gt;='Weight tables'!$B$32:$B$36)*('MY-REPORT-MAIN'!AO18&lt;='Weight tables'!$C$32:$C$36),0),1)</f>
        <v>8.4</v>
      </c>
      <c r="AQ18" s="155">
        <f>INDEX('Weight tables'!$A$39:$B$41,MATCH(I_Miei_Rendiconti[[#This Row],[Previouse Report checked?yes/no]],'Weight tables'!$B$39:$B$41,0),1)</f>
        <v>8.4</v>
      </c>
      <c r="AR18" s="155" cm="1">
        <f t="array" ref="AR18">IF(I_Miei_Rendiconti[[#This Row],[Sum of errors in previous report ]]="NON PERTINENTE",0,INDEX('Weight tables'!$A$43:$C$46,MATCH(1,(I_Miei_Rendiconti[[#This Row],[Sum of errors in previous report ]]&gt;='Weight tables'!$B$43:$B$46)*(I_Miei_Rendiconti[[#This Row],[Sum of errors in previous report ]]&lt;='Weight tables'!$C$43:$C$46),0),1))</f>
        <v>0</v>
      </c>
      <c r="AS18" s="155" cm="1">
        <f t="array" ref="AS18">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8" s="155" cm="1">
        <f t="array" ref="AT18">INDEX('Weight tables'!$A$56:$C$65,MATCH(1,('MY-REPORT-MAIN'!U18&gt;='Weight tables'!$B$56:$B$65)*('MY-REPORT-MAIN'!U18&lt;='Weight tables'!$C$56:$C$65),0),1)</f>
        <v>1</v>
      </c>
      <c r="AU18" s="155" cm="1">
        <f t="array" ref="AU18">INDEX('Weight tables'!$A$68:$C$71,MATCH(1,('MY-REPORT-MAIN'!AL18&gt;='Weight tables'!$B$68:$B$71)*('MY-REPORT-MAIN'!AL18&lt;='Weight tables'!$C$68:$C$71),0),1)</f>
        <v>2</v>
      </c>
      <c r="AV18" s="155" cm="1">
        <f t="array" ref="AV18">INDEX('Weight tables'!$A$74:$C$78,MATCH(1,('MY-REPORT-MAIN'!AN18&gt;='Weight tables'!$B$74:$B$78)*('MY-REPORT-MAIN'!AN18&lt;='Weight tables'!$C$74:$C$78),0),1)</f>
        <v>0</v>
      </c>
      <c r="AW18" s="16">
        <f>IF(I_Miei_Rendiconti[[#This Row],[Column1.totalAfterSubmitted]]/AM18&gt;50%,"Checked",0)</f>
        <v>0</v>
      </c>
      <c r="AX18" s="155">
        <f t="shared" si="1"/>
        <v>19.8</v>
      </c>
      <c r="AY18" s="155" t="str">
        <f>INDEX('Partner data'!A:EB,MATCH(I_Miei_Rendiconti[[#This Row],[Column1.partnerId]],'Partner data'!DG:DG,0),92)</f>
        <v>Slovenija (SI)</v>
      </c>
    </row>
    <row r="19" spans="1:51" ht="30" x14ac:dyDescent="0.25">
      <c r="A19" s="79">
        <v>83</v>
      </c>
      <c r="B19" s="79">
        <v>13</v>
      </c>
      <c r="C19" s="79">
        <v>16</v>
      </c>
      <c r="D19" s="79" t="s">
        <v>2371</v>
      </c>
      <c r="E19" s="79" t="s">
        <v>253</v>
      </c>
      <c r="F19" s="79">
        <v>6</v>
      </c>
      <c r="G19" s="206" t="s">
        <v>36</v>
      </c>
      <c r="H19" s="79">
        <v>1</v>
      </c>
      <c r="I19" s="79" t="s">
        <v>4339</v>
      </c>
      <c r="J19" s="79" t="s">
        <v>1263</v>
      </c>
      <c r="K19" s="208">
        <v>45264.483189259263</v>
      </c>
      <c r="M19" s="208">
        <v>45349.382339918979</v>
      </c>
      <c r="N19" s="79" t="s">
        <v>4387</v>
      </c>
      <c r="O19" s="79" t="s">
        <v>4350</v>
      </c>
      <c r="P19" s="79" t="s">
        <v>4342</v>
      </c>
      <c r="Q19" s="79" t="s">
        <v>4343</v>
      </c>
      <c r="R19" s="79">
        <v>22</v>
      </c>
      <c r="S19" s="79">
        <v>1</v>
      </c>
      <c r="T19" s="81">
        <v>68019.759999999995</v>
      </c>
      <c r="U19" s="81">
        <v>68019.759999999995</v>
      </c>
      <c r="V19" s="79" t="str">
        <f>INDEX(pARTNER[#All],MATCH(I_Miei_Rendiconti[[#This Row],[Column1.partnerId]],pARTNER[[#All],[Value.partnerSummary.id]],0),2)</f>
        <v>ADRIONCYCLETOUR</v>
      </c>
      <c r="W19" s="79" t="b">
        <v>0</v>
      </c>
      <c r="X19" s="82">
        <f>I_Miei_Rendiconti[[#This Row],[Column1.totalAfterSubmitted]]-I_Miei_Rendiconti[[#This Row],[Column1.totalEligibleAfterControl]]</f>
        <v>0</v>
      </c>
      <c r="Y19" s="80">
        <f>IF(I_Miei_Rendiconti[[#This Row],[Column1.status]]="Certified",IFERROR(I_Miei_Rendiconti[[#This Row],[Financial corection]]/I_Miei_Rendiconti[[#This Row],[Column1.totalAfterSubmitted]],0),"Rendiconto da certificare")</f>
        <v>0</v>
      </c>
      <c r="Z19" s="207" t="str">
        <f>IF(I_Miei_Rendiconti[[#This Row],[Column1.status]]&lt;&gt;"Certified",INDEX('Partner data'!DG:DQ,MATCH(I_Miei_Rendiconti[[#This Row],[Column1.partnerId]],'Partner data'!DG:DG,0),13),"Rendiconto CONVALIDATO")</f>
        <v>Rendiconto CONVALIDATO</v>
      </c>
      <c r="AA19"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9" s="81" t="str">
        <f>IF(OR(I_Miei_Rendiconti[[#This Row],[N. previouse validated report ]]="Rendiconto CONVALIDATO",I_Miei_Rendiconti[[#This Row],[N. previouse validated report ]]="NON è stato convalidato ancora nessun rendiconto"),"NON PERTINENTE","fai la fromula")</f>
        <v>NON PERTINENTE</v>
      </c>
      <c r="AC19"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9" s="2">
        <f>INDEX('Partner data'!DG:DJ,MATCH(I_Miei_Rendiconti[[#This Row],[Column1.partnerId]],'Partner data'!DG:DG,0),3)</f>
        <v>2</v>
      </c>
      <c r="AE19" t="str" cm="1">
        <f t="array" ref="AE19">INDEX('Varie Tabelle'!$A$37:$C$51,MATCH(1,(I_Miei_Rendiconti[[#This Row],[Column1.firstSubmission]]&gt;='Varie Tabelle'!$B$37:$B$51)*(I_Miei_Rendiconti[[#This Row],[Column1.firstSubmission]]&lt;'Varie Tabelle'!$C$37:$C$51),0),1)</f>
        <v>Finestra 1</v>
      </c>
      <c r="AF19" s="109">
        <f>INDEX('Varie Tabelle'!$A$37:$C$51,MATCH('MY-REPORT-MAIN'!AE19,'Varie Tabelle'!$A$37:$A$51,0),2)</f>
        <v>45236</v>
      </c>
      <c r="AG19" s="109">
        <f>INDEX('Partner data'!DG:DR,MATCH(I_Miei_Rendiconti[[#This Row],[Column1.partnerId]],'Partner data'!DG:DG,0),12)</f>
        <v>44805</v>
      </c>
      <c r="AH19" s="115">
        <f t="shared" si="0"/>
        <v>14.17296941795462</v>
      </c>
      <c r="AI19" t="str" cm="1">
        <f t="array" ref="AI19">INDEX('Varie Tabelle'!$A$12:$C$22,MATCH(1,('MY-REPORT-MAIN'!AH19&gt;='Varie Tabelle'!$B$12:$B$22)*('MY-REPORT-MAIN'!AH19&lt;='Varie Tabelle'!$C$12:$C$22),0),1)</f>
        <v>Periodo-2</v>
      </c>
      <c r="AJ19" s="14">
        <f>INDEX('Partner data'!A:EC,MATCH(I_Miei_Rendiconti[[#This Row],[Column1.partnerId]],'Partner data'!DG:DG,0),MATCH('MY-REPORT-MAIN'!AI19,'Partner data'!$2:$2,0))</f>
        <v>94986</v>
      </c>
      <c r="AK19" s="10">
        <f>SUMIFS($U$2:U19,$C$2:C19,I_Miei_Rendiconti[[#This Row],[Column1.partnerId]])-AJ19</f>
        <v>-26966.240000000005</v>
      </c>
      <c r="AL19" s="16">
        <f>IFERROR(1-(I_Miei_Rendiconti[[#This Row],[Column1.totalAfterSubmitted]]/AJ19),0)</f>
        <v>0.28389699534668278</v>
      </c>
      <c r="AM19" s="14">
        <f>INDEX('Partner data'!A:EB,MATCH(I_Miei_Rendiconti[[#This Row],[Column1.partnerId]],'Partner data'!DG:DG,0),44)</f>
        <v>316688</v>
      </c>
      <c r="AN19" s="14">
        <f>SUMIFS(ListOfExpenditure!AP:AP,ListOfExpenditure!AJ:AJ,I_Miei_Rendiconti[[#This Row],[Column1.id]])</f>
        <v>2</v>
      </c>
      <c r="AO19" s="148">
        <f>SUMIFS(ReportSubmittedBL!W:W,ReportSubmittedBL!D:D,I_Miei_Rendiconti[[#This Row],[Column1.id]])</f>
        <v>16</v>
      </c>
      <c r="AP19" s="155" cm="1">
        <f t="array" ref="AP19">INDEX('Weight tables'!$A$32:$C$36,MATCH(1,('MY-REPORT-MAIN'!AO19&gt;='Weight tables'!$B$32:$B$36)*('MY-REPORT-MAIN'!AO19&lt;='Weight tables'!$C$32:$C$36),0),1)</f>
        <v>8.4</v>
      </c>
      <c r="AQ19" s="155">
        <f>INDEX('Weight tables'!$A$39:$B$41,MATCH(I_Miei_Rendiconti[[#This Row],[Previouse Report checked?yes/no]],'Weight tables'!$B$39:$B$41,0),1)</f>
        <v>8.4</v>
      </c>
      <c r="AR19" s="155" cm="1">
        <f t="array" ref="AR19">IF(I_Miei_Rendiconti[[#This Row],[Sum of errors in previous report ]]="NON PERTINENTE",0,INDEX('Weight tables'!$A$43:$C$46,MATCH(1,(I_Miei_Rendiconti[[#This Row],[Sum of errors in previous report ]]&gt;='Weight tables'!$B$43:$B$46)*(I_Miei_Rendiconti[[#This Row],[Sum of errors in previous report ]]&lt;='Weight tables'!$C$43:$C$46),0),1))</f>
        <v>0</v>
      </c>
      <c r="AS19" s="155" cm="1">
        <f t="array" ref="AS19">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9" s="155" cm="1">
        <f t="array" ref="AT19">INDEX('Weight tables'!$A$56:$C$65,MATCH(1,('MY-REPORT-MAIN'!U19&gt;='Weight tables'!$B$56:$B$65)*('MY-REPORT-MAIN'!U19&lt;='Weight tables'!$C$56:$C$65),0),1)</f>
        <v>6</v>
      </c>
      <c r="AU19" s="155" cm="1">
        <f t="array" ref="AU19">INDEX('Weight tables'!$A$68:$C$71,MATCH(1,('MY-REPORT-MAIN'!AL19&gt;='Weight tables'!$B$68:$B$71)*('MY-REPORT-MAIN'!AL19&lt;='Weight tables'!$C$68:$C$71),0),1)</f>
        <v>2</v>
      </c>
      <c r="AV19" s="155" cm="1">
        <f t="array" ref="AV19">INDEX('Weight tables'!$A$74:$C$78,MATCH(1,('MY-REPORT-MAIN'!AN19&gt;='Weight tables'!$B$74:$B$78)*('MY-REPORT-MAIN'!AN19&lt;='Weight tables'!$C$74:$C$78),0),1)</f>
        <v>1</v>
      </c>
      <c r="AW19" s="16">
        <f>IF(I_Miei_Rendiconti[[#This Row],[Column1.totalAfterSubmitted]]/AM19&gt;50%,"Checked",0)</f>
        <v>0</v>
      </c>
      <c r="AX19" s="155">
        <f t="shared" si="1"/>
        <v>25.8</v>
      </c>
      <c r="AY19" s="155" t="str">
        <f>INDEX('Partner data'!A:EB,MATCH(I_Miei_Rendiconti[[#This Row],[Column1.partnerId]],'Partner data'!DG:DG,0),92)</f>
        <v>Slovenija (SI)</v>
      </c>
    </row>
    <row r="20" spans="1:51" ht="30" x14ac:dyDescent="0.25">
      <c r="A20" s="79">
        <v>49</v>
      </c>
      <c r="B20" s="79">
        <v>80</v>
      </c>
      <c r="C20" s="79">
        <v>288</v>
      </c>
      <c r="D20" s="79" t="s">
        <v>2132</v>
      </c>
      <c r="E20" s="79" t="s">
        <v>253</v>
      </c>
      <c r="F20" s="79">
        <v>4</v>
      </c>
      <c r="G20" s="206" t="s">
        <v>37</v>
      </c>
      <c r="H20" s="79">
        <v>1</v>
      </c>
      <c r="I20" s="79" t="s">
        <v>4339</v>
      </c>
      <c r="J20" s="79" t="s">
        <v>490</v>
      </c>
      <c r="K20" s="208">
        <v>45264.50556597222</v>
      </c>
      <c r="M20" s="208">
        <v>45351.783723414352</v>
      </c>
      <c r="N20" s="79" t="s">
        <v>4366</v>
      </c>
      <c r="O20" s="79" t="s">
        <v>4345</v>
      </c>
      <c r="P20" s="79" t="s">
        <v>4347</v>
      </c>
      <c r="Q20" s="79" t="s">
        <v>4343</v>
      </c>
      <c r="R20" s="79">
        <v>18</v>
      </c>
      <c r="S20" s="79">
        <v>1</v>
      </c>
      <c r="T20" s="81">
        <v>9687.17</v>
      </c>
      <c r="U20" s="81">
        <v>9687.17</v>
      </c>
      <c r="V20" s="79" t="str">
        <f>INDEX(pARTNER[#All],MATCH(I_Miei_Rendiconti[[#This Row],[Column1.partnerId]],pARTNER[[#All],[Value.partnerSummary.id]],0),2)</f>
        <v>RecapMCV</v>
      </c>
      <c r="W20" s="79" t="b">
        <v>0</v>
      </c>
      <c r="X20" s="82">
        <f>I_Miei_Rendiconti[[#This Row],[Column1.totalAfterSubmitted]]-I_Miei_Rendiconti[[#This Row],[Column1.totalEligibleAfterControl]]</f>
        <v>0</v>
      </c>
      <c r="Y20" s="80">
        <f>IF(I_Miei_Rendiconti[[#This Row],[Column1.status]]="Certified",IFERROR(I_Miei_Rendiconti[[#This Row],[Financial corection]]/I_Miei_Rendiconti[[#This Row],[Column1.totalAfterSubmitted]],0),"Rendiconto da certificare")</f>
        <v>0</v>
      </c>
      <c r="Z20" s="207" t="str">
        <f>IF(I_Miei_Rendiconti[[#This Row],[Column1.status]]&lt;&gt;"Certified",INDEX('Partner data'!DG:DQ,MATCH(I_Miei_Rendiconti[[#This Row],[Column1.partnerId]],'Partner data'!DG:DG,0),13),"Rendiconto CONVALIDATO")</f>
        <v>Rendiconto CONVALIDATO</v>
      </c>
      <c r="AA20"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20" s="81" t="str">
        <f>IF(OR(I_Miei_Rendiconti[[#This Row],[N. previouse validated report ]]="Rendiconto CONVALIDATO",I_Miei_Rendiconti[[#This Row],[N. previouse validated report ]]="NON è stato convalidato ancora nessun rendiconto"),"NON PERTINENTE","fai la fromula")</f>
        <v>NON PERTINENTE</v>
      </c>
      <c r="AC20"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20" s="2">
        <f>INDEX('Partner data'!DG:DJ,MATCH(I_Miei_Rendiconti[[#This Row],[Column1.partnerId]],'Partner data'!DG:DG,0),3)</f>
        <v>2</v>
      </c>
      <c r="AE20" t="str" cm="1">
        <f t="array" ref="AE20">INDEX('Varie Tabelle'!$A$37:$C$51,MATCH(1,(I_Miei_Rendiconti[[#This Row],[Column1.firstSubmission]]&gt;='Varie Tabelle'!$B$37:$B$51)*(I_Miei_Rendiconti[[#This Row],[Column1.firstSubmission]]&lt;'Varie Tabelle'!$C$37:$C$51),0),1)</f>
        <v>Finestra 1</v>
      </c>
      <c r="AF20" s="109">
        <f>INDEX('Varie Tabelle'!$A$37:$C$51,MATCH('MY-REPORT-MAIN'!AE20,'Varie Tabelle'!$A$37:$A$51,0),2)</f>
        <v>45236</v>
      </c>
      <c r="AG20" s="109">
        <f>INDEX('Partner data'!DG:DR,MATCH(I_Miei_Rendiconti[[#This Row],[Column1.partnerId]],'Partner data'!DG:DG,0),12)</f>
        <v>45108</v>
      </c>
      <c r="AH20" s="115">
        <f t="shared" si="0"/>
        <v>4.2091417296941795</v>
      </c>
      <c r="AI20" t="str" cm="1">
        <f t="array" ref="AI20">INDEX('Varie Tabelle'!$A$12:$C$22,MATCH(1,('MY-REPORT-MAIN'!AH20&gt;='Varie Tabelle'!$B$12:$B$22)*('MY-REPORT-MAIN'!AH20&lt;='Varie Tabelle'!$C$12:$C$22),0),1)</f>
        <v>Periodo-1</v>
      </c>
      <c r="AJ20" s="14">
        <f>INDEX('Partner data'!A:EC,MATCH(I_Miei_Rendiconti[[#This Row],[Column1.partnerId]],'Partner data'!DG:DG,0),MATCH('MY-REPORT-MAIN'!AI20,'Partner data'!$2:$2,0))</f>
        <v>32650.799999999999</v>
      </c>
      <c r="AK20" s="10">
        <f>SUMIFS($U$2:U20,$C$2:C20,I_Miei_Rendiconti[[#This Row],[Column1.partnerId]])-AJ20</f>
        <v>-22963.629999999997</v>
      </c>
      <c r="AL20" s="16">
        <f>IFERROR(1-(I_Miei_Rendiconti[[#This Row],[Column1.totalAfterSubmitted]]/AJ20),0)</f>
        <v>0.7033098729587024</v>
      </c>
      <c r="AM20" s="14">
        <f>INDEX('Partner data'!A:EB,MATCH(I_Miei_Rendiconti[[#This Row],[Column1.partnerId]],'Partner data'!DG:DG,0),44)</f>
        <v>175089.6</v>
      </c>
      <c r="AN20" s="14">
        <f>SUMIFS(ListOfExpenditure!AP:AP,ListOfExpenditure!AJ:AJ,I_Miei_Rendiconti[[#This Row],[Column1.id]])</f>
        <v>0</v>
      </c>
      <c r="AO20" s="148">
        <f>SUMIFS(ReportSubmittedBL!W:W,ReportSubmittedBL!D:D,I_Miei_Rendiconti[[#This Row],[Column1.id]])</f>
        <v>8</v>
      </c>
      <c r="AP20" s="155" cm="1">
        <f t="array" ref="AP20">INDEX('Weight tables'!$A$32:$C$36,MATCH(1,('MY-REPORT-MAIN'!AO20&gt;='Weight tables'!$B$32:$B$36)*('MY-REPORT-MAIN'!AO20&lt;='Weight tables'!$C$32:$C$36),0),1)</f>
        <v>6.3</v>
      </c>
      <c r="AQ20" s="155">
        <f>INDEX('Weight tables'!$A$39:$B$41,MATCH(I_Miei_Rendiconti[[#This Row],[Previouse Report checked?yes/no]],'Weight tables'!$B$39:$B$41,0),1)</f>
        <v>8.4</v>
      </c>
      <c r="AR20" s="155" cm="1">
        <f t="array" ref="AR20">IF(I_Miei_Rendiconti[[#This Row],[Sum of errors in previous report ]]="NON PERTINENTE",0,INDEX('Weight tables'!$A$43:$C$46,MATCH(1,(I_Miei_Rendiconti[[#This Row],[Sum of errors in previous report ]]&gt;='Weight tables'!$B$43:$B$46)*(I_Miei_Rendiconti[[#This Row],[Sum of errors in previous report ]]&lt;='Weight tables'!$C$43:$C$46),0),1))</f>
        <v>0</v>
      </c>
      <c r="AS20" s="155" cm="1">
        <f t="array" ref="AS20">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20" s="155" cm="1">
        <f t="array" ref="AT20">INDEX('Weight tables'!$A$56:$C$65,MATCH(1,('MY-REPORT-MAIN'!U20&gt;='Weight tables'!$B$56:$B$65)*('MY-REPORT-MAIN'!U20&lt;='Weight tables'!$C$56:$C$65),0),1)</f>
        <v>0</v>
      </c>
      <c r="AU20" s="155" cm="1">
        <f t="array" ref="AU20">INDEX('Weight tables'!$A$68:$C$71,MATCH(1,('MY-REPORT-MAIN'!AL20&gt;='Weight tables'!$B$68:$B$71)*('MY-REPORT-MAIN'!AL20&lt;='Weight tables'!$C$68:$C$71),0),1)</f>
        <v>2</v>
      </c>
      <c r="AV20" s="155" cm="1">
        <f t="array" ref="AV20">INDEX('Weight tables'!$A$74:$C$78,MATCH(1,('MY-REPORT-MAIN'!AN20&gt;='Weight tables'!$B$74:$B$78)*('MY-REPORT-MAIN'!AN20&lt;='Weight tables'!$C$74:$C$78),0),1)</f>
        <v>0</v>
      </c>
      <c r="AW20" s="16">
        <f>IF(I_Miei_Rendiconti[[#This Row],[Column1.totalAfterSubmitted]]/AM20&gt;50%,"Checked",0)</f>
        <v>0</v>
      </c>
      <c r="AX20" s="155">
        <f t="shared" si="1"/>
        <v>16.7</v>
      </c>
      <c r="AY20" s="155" t="str">
        <f>INDEX('Partner data'!A:EB,MATCH(I_Miei_Rendiconti[[#This Row],[Column1.partnerId]],'Partner data'!DG:DG,0),92)</f>
        <v>Italia (IT)</v>
      </c>
    </row>
    <row r="21" spans="1:51" ht="30" x14ac:dyDescent="0.25">
      <c r="A21" s="79">
        <v>44</v>
      </c>
      <c r="B21" s="79">
        <v>54</v>
      </c>
      <c r="C21" s="79">
        <v>182</v>
      </c>
      <c r="D21" s="79" t="s">
        <v>1435</v>
      </c>
      <c r="E21" s="79" t="s">
        <v>253</v>
      </c>
      <c r="F21" s="79">
        <v>4</v>
      </c>
      <c r="G21" s="206" t="s">
        <v>38</v>
      </c>
      <c r="H21" s="79">
        <v>1</v>
      </c>
      <c r="I21" s="79" t="s">
        <v>4339</v>
      </c>
      <c r="J21" s="79" t="s">
        <v>593</v>
      </c>
      <c r="K21" s="208">
        <v>45264.510058749998</v>
      </c>
      <c r="M21" s="208">
        <v>45341.584777685188</v>
      </c>
      <c r="N21" s="79" t="s">
        <v>4362</v>
      </c>
      <c r="O21" s="79" t="s">
        <v>4354</v>
      </c>
      <c r="P21" s="79" t="s">
        <v>4342</v>
      </c>
      <c r="Q21" s="79" t="s">
        <v>4343</v>
      </c>
      <c r="R21" s="79">
        <v>23</v>
      </c>
      <c r="S21" s="79">
        <v>1</v>
      </c>
      <c r="T21" s="81">
        <v>14298.42</v>
      </c>
      <c r="U21" s="81">
        <v>15204.9</v>
      </c>
      <c r="V21" s="79" t="str">
        <f>INDEX(pARTNER[#All],MATCH(I_Miei_Rendiconti[[#This Row],[Column1.partnerId]],pARTNER[[#All],[Value.partnerSummary.id]],0),2)</f>
        <v>X-BRAIN</v>
      </c>
      <c r="W21" s="79" t="b">
        <v>0</v>
      </c>
      <c r="X21" s="82">
        <f>I_Miei_Rendiconti[[#This Row],[Column1.totalAfterSubmitted]]-I_Miei_Rendiconti[[#This Row],[Column1.totalEligibleAfterControl]]</f>
        <v>906.47999999999956</v>
      </c>
      <c r="Y21" s="80">
        <f>IF(I_Miei_Rendiconti[[#This Row],[Column1.status]]="Certified",IFERROR(I_Miei_Rendiconti[[#This Row],[Financial corection]]/I_Miei_Rendiconti[[#This Row],[Column1.totalAfterSubmitted]],0),"Rendiconto da certificare")</f>
        <v>5.9617623266183903E-2</v>
      </c>
      <c r="Z21" s="207" t="str">
        <f>IF(I_Miei_Rendiconti[[#This Row],[Column1.status]]&lt;&gt;"Certified",INDEX('Partner data'!DG:DQ,MATCH(I_Miei_Rendiconti[[#This Row],[Column1.partnerId]],'Partner data'!DG:DG,0),13),"Rendiconto CONVALIDATO")</f>
        <v>Rendiconto CONVALIDATO</v>
      </c>
      <c r="AA21"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21" s="81" t="str">
        <f>IF(OR(I_Miei_Rendiconti[[#This Row],[N. previouse validated report ]]="Rendiconto CONVALIDATO",I_Miei_Rendiconti[[#This Row],[N. previouse validated report ]]="NON è stato convalidato ancora nessun rendiconto"),"NON PERTINENTE","fai la fromula")</f>
        <v>NON PERTINENTE</v>
      </c>
      <c r="AC21"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21" s="2">
        <f>INDEX('Partner data'!DG:DJ,MATCH(I_Miei_Rendiconti[[#This Row],[Column1.partnerId]],'Partner data'!DG:DG,0),3)</f>
        <v>2</v>
      </c>
      <c r="AE21" t="str" cm="1">
        <f t="array" ref="AE21">INDEX('Varie Tabelle'!$A$37:$C$51,MATCH(1,(I_Miei_Rendiconti[[#This Row],[Column1.firstSubmission]]&gt;='Varie Tabelle'!$B$37:$B$51)*(I_Miei_Rendiconti[[#This Row],[Column1.firstSubmission]]&lt;'Varie Tabelle'!$C$37:$C$51),0),1)</f>
        <v>Finestra 1</v>
      </c>
      <c r="AF21" s="109">
        <f>INDEX('Varie Tabelle'!$A$37:$C$51,MATCH('MY-REPORT-MAIN'!AE21,'Varie Tabelle'!$A$37:$A$51,0),2)</f>
        <v>45236</v>
      </c>
      <c r="AG21" s="109">
        <f>INDEX('Partner data'!DG:DR,MATCH(I_Miei_Rendiconti[[#This Row],[Column1.partnerId]],'Partner data'!DG:DG,0),12)</f>
        <v>45078</v>
      </c>
      <c r="AH21" s="115">
        <f t="shared" si="0"/>
        <v>5.1956593225912533</v>
      </c>
      <c r="AI21" t="str" cm="1">
        <f t="array" ref="AI21">INDEX('Varie Tabelle'!$A$12:$C$22,MATCH(1,('MY-REPORT-MAIN'!AH21&gt;='Varie Tabelle'!$B$12:$B$22)*('MY-REPORT-MAIN'!AH21&lt;='Varie Tabelle'!$C$12:$C$22),0),1)</f>
        <v>Periodo-1</v>
      </c>
      <c r="AJ21" s="14">
        <f>INDEX('Partner data'!A:EC,MATCH(I_Miei_Rendiconti[[#This Row],[Column1.partnerId]],'Partner data'!DG:DG,0),MATCH('MY-REPORT-MAIN'!AI21,'Partner data'!$2:$2,0))</f>
        <v>75478.53</v>
      </c>
      <c r="AK21" s="10">
        <f>SUMIFS($U$2:U21,$C$2:C21,I_Miei_Rendiconti[[#This Row],[Column1.partnerId]])-AJ21</f>
        <v>-60273.63</v>
      </c>
      <c r="AL21" s="16">
        <f>IFERROR(1-(I_Miei_Rendiconti[[#This Row],[Column1.totalAfterSubmitted]]/AJ21),0)</f>
        <v>0.79855331045795408</v>
      </c>
      <c r="AM21" s="14">
        <f>INDEX('Partner data'!A:EB,MATCH(I_Miei_Rendiconti[[#This Row],[Column1.partnerId]],'Partner data'!DG:DG,0),44)</f>
        <v>230000</v>
      </c>
      <c r="AN21" s="14">
        <f>SUMIFS(ListOfExpenditure!AP:AP,ListOfExpenditure!AJ:AJ,I_Miei_Rendiconti[[#This Row],[Column1.id]])</f>
        <v>0</v>
      </c>
      <c r="AO21" s="148">
        <f>SUMIFS(ReportSubmittedBL!W:W,ReportSubmittedBL!D:D,I_Miei_Rendiconti[[#This Row],[Column1.id]])</f>
        <v>12</v>
      </c>
      <c r="AP21" s="155" cm="1">
        <f t="array" ref="AP21">INDEX('Weight tables'!$A$32:$C$36,MATCH(1,('MY-REPORT-MAIN'!AO21&gt;='Weight tables'!$B$32:$B$36)*('MY-REPORT-MAIN'!AO21&lt;='Weight tables'!$C$32:$C$36),0),1)</f>
        <v>8.4</v>
      </c>
      <c r="AQ21" s="155">
        <f>INDEX('Weight tables'!$A$39:$B$41,MATCH(I_Miei_Rendiconti[[#This Row],[Previouse Report checked?yes/no]],'Weight tables'!$B$39:$B$41,0),1)</f>
        <v>8.4</v>
      </c>
      <c r="AR21" s="155" cm="1">
        <f t="array" ref="AR21">IF(I_Miei_Rendiconti[[#This Row],[Sum of errors in previous report ]]="NON PERTINENTE",0,INDEX('Weight tables'!$A$43:$C$46,MATCH(1,(I_Miei_Rendiconti[[#This Row],[Sum of errors in previous report ]]&gt;='Weight tables'!$B$43:$B$46)*(I_Miei_Rendiconti[[#This Row],[Sum of errors in previous report ]]&lt;='Weight tables'!$C$43:$C$46),0),1))</f>
        <v>0</v>
      </c>
      <c r="AS21" s="155" cm="1">
        <f t="array" ref="AS21">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21" s="155" cm="1">
        <f t="array" ref="AT21">INDEX('Weight tables'!$A$56:$C$65,MATCH(1,('MY-REPORT-MAIN'!U21&gt;='Weight tables'!$B$56:$B$65)*('MY-REPORT-MAIN'!U21&lt;='Weight tables'!$C$56:$C$65),0),1)</f>
        <v>1</v>
      </c>
      <c r="AU21" s="155" cm="1">
        <f t="array" ref="AU21">INDEX('Weight tables'!$A$68:$C$71,MATCH(1,('MY-REPORT-MAIN'!AL21&gt;='Weight tables'!$B$68:$B$71)*('MY-REPORT-MAIN'!AL21&lt;='Weight tables'!$C$68:$C$71),0),1)</f>
        <v>2</v>
      </c>
      <c r="AV21" s="155" cm="1">
        <f t="array" ref="AV21">INDEX('Weight tables'!$A$74:$C$78,MATCH(1,('MY-REPORT-MAIN'!AN21&gt;='Weight tables'!$B$74:$B$78)*('MY-REPORT-MAIN'!AN21&lt;='Weight tables'!$C$74:$C$78),0),1)</f>
        <v>0</v>
      </c>
      <c r="AW21" s="16">
        <f>IF(I_Miei_Rendiconti[[#This Row],[Column1.totalAfterSubmitted]]/AM21&gt;50%,"Checked",0)</f>
        <v>0</v>
      </c>
      <c r="AX21" s="155">
        <f t="shared" si="1"/>
        <v>19.8</v>
      </c>
      <c r="AY21" s="155" t="str">
        <f>INDEX('Partner data'!A:EB,MATCH(I_Miei_Rendiconti[[#This Row],[Column1.partnerId]],'Partner data'!DG:DG,0),92)</f>
        <v>Slovenija (SI)</v>
      </c>
    </row>
    <row r="22" spans="1:51" ht="30" x14ac:dyDescent="0.25">
      <c r="A22" s="79">
        <v>87</v>
      </c>
      <c r="B22" s="79">
        <v>91</v>
      </c>
      <c r="C22" s="79">
        <v>303</v>
      </c>
      <c r="D22" s="79" t="s">
        <v>2561</v>
      </c>
      <c r="E22" s="79" t="s">
        <v>264</v>
      </c>
      <c r="F22" s="79">
        <v>1</v>
      </c>
      <c r="G22" s="206" t="s">
        <v>39</v>
      </c>
      <c r="H22" s="79">
        <v>2</v>
      </c>
      <c r="I22" s="79" t="s">
        <v>4339</v>
      </c>
      <c r="J22" s="79" t="s">
        <v>2373</v>
      </c>
      <c r="K22" s="208">
        <v>45264.523712893519</v>
      </c>
      <c r="M22" s="208">
        <v>45355.390030682873</v>
      </c>
      <c r="N22" s="79" t="s">
        <v>4389</v>
      </c>
      <c r="O22" s="79" t="s">
        <v>4352</v>
      </c>
      <c r="P22" s="79" t="s">
        <v>4342</v>
      </c>
      <c r="Q22" s="79" t="s">
        <v>4343</v>
      </c>
      <c r="R22" s="79">
        <v>12</v>
      </c>
      <c r="S22" s="79">
        <v>1</v>
      </c>
      <c r="T22" s="81">
        <v>40938.129999999997</v>
      </c>
      <c r="U22" s="81">
        <v>40938.129999999997</v>
      </c>
      <c r="V22" s="79" t="str">
        <f>INDEX(pARTNER[#All],MATCH(I_Miei_Rendiconti[[#This Row],[Column1.partnerId]],pARTNER[[#All],[Value.partnerSummary.id]],0),2)</f>
        <v>POSEIDONE</v>
      </c>
      <c r="W22" s="79" t="b">
        <v>0</v>
      </c>
      <c r="X22" s="82">
        <f>I_Miei_Rendiconti[[#This Row],[Column1.totalAfterSubmitted]]-I_Miei_Rendiconti[[#This Row],[Column1.totalEligibleAfterControl]]</f>
        <v>0</v>
      </c>
      <c r="Y22" s="80">
        <f>IF(I_Miei_Rendiconti[[#This Row],[Column1.status]]="Certified",IFERROR(I_Miei_Rendiconti[[#This Row],[Financial corection]]/I_Miei_Rendiconti[[#This Row],[Column1.totalAfterSubmitted]],0),"Rendiconto da certificare")</f>
        <v>0</v>
      </c>
      <c r="Z22" s="207" t="str">
        <f>IF(I_Miei_Rendiconti[[#This Row],[Column1.status]]&lt;&gt;"Certified",INDEX('Partner data'!DG:DQ,MATCH(I_Miei_Rendiconti[[#This Row],[Column1.partnerId]],'Partner data'!DG:DG,0),13),"Rendiconto CONVALIDATO")</f>
        <v>Rendiconto CONVALIDATO</v>
      </c>
      <c r="AA22"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22" s="81" t="str">
        <f>IF(OR(I_Miei_Rendiconti[[#This Row],[N. previouse validated report ]]="Rendiconto CONVALIDATO",I_Miei_Rendiconti[[#This Row],[N. previouse validated report ]]="NON è stato convalidato ancora nessun rendiconto"),"NON PERTINENTE","fai la fromula")</f>
        <v>NON PERTINENTE</v>
      </c>
      <c r="AC22"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22" s="2">
        <f>INDEX('Partner data'!DG:DJ,MATCH(I_Miei_Rendiconti[[#This Row],[Column1.partnerId]],'Partner data'!DG:DG,0),3)</f>
        <v>2</v>
      </c>
      <c r="AE22" t="str" cm="1">
        <f t="array" ref="AE22">INDEX('Varie Tabelle'!$A$37:$C$51,MATCH(1,(I_Miei_Rendiconti[[#This Row],[Column1.firstSubmission]]&gt;='Varie Tabelle'!$B$37:$B$51)*(I_Miei_Rendiconti[[#This Row],[Column1.firstSubmission]]&lt;'Varie Tabelle'!$C$37:$C$51),0),1)</f>
        <v>Finestra 1</v>
      </c>
      <c r="AF22" s="109">
        <f>INDEX('Varie Tabelle'!$A$37:$C$51,MATCH('MY-REPORT-MAIN'!AE22,'Varie Tabelle'!$A$37:$A$51,0),2)</f>
        <v>45236</v>
      </c>
      <c r="AG22" s="109">
        <f>INDEX('Partner data'!DG:DR,MATCH(I_Miei_Rendiconti[[#This Row],[Column1.partnerId]],'Partner data'!DG:DG,0),12)</f>
        <v>44927</v>
      </c>
      <c r="AH22" s="115">
        <f t="shared" si="0"/>
        <v>10.161131206839855</v>
      </c>
      <c r="AI22" t="str" cm="1">
        <f t="array" ref="AI22">INDEX('Varie Tabelle'!$A$12:$C$22,MATCH(1,('MY-REPORT-MAIN'!AH22&gt;='Varie Tabelle'!$B$12:$B$22)*('MY-REPORT-MAIN'!AH22&lt;='Varie Tabelle'!$C$12:$C$22),0),1)</f>
        <v>Periodo-1</v>
      </c>
      <c r="AJ22" s="14">
        <f>INDEX('Partner data'!A:EC,MATCH(I_Miei_Rendiconti[[#This Row],[Column1.partnerId]],'Partner data'!DG:DG,0),MATCH('MY-REPORT-MAIN'!AI22,'Partner data'!$2:$2,0))</f>
        <v>41403.129999999997</v>
      </c>
      <c r="AK22" s="10">
        <f>SUMIFS($U$2:U22,$C$2:C22,I_Miei_Rendiconti[[#This Row],[Column1.partnerId]])-AJ22</f>
        <v>-465</v>
      </c>
      <c r="AL22" s="16">
        <f>IFERROR(1-(I_Miei_Rendiconti[[#This Row],[Column1.totalAfterSubmitted]]/AJ22),0)</f>
        <v>1.1231034948324004E-2</v>
      </c>
      <c r="AM22" s="14">
        <f>INDEX('Partner data'!A:EB,MATCH(I_Miei_Rendiconti[[#This Row],[Column1.partnerId]],'Partner data'!DG:DG,0),44)</f>
        <v>625564.4</v>
      </c>
      <c r="AN22" s="14">
        <f>SUMIFS(ListOfExpenditure!AP:AP,ListOfExpenditure!AJ:AJ,I_Miei_Rendiconti[[#This Row],[Column1.id]])</f>
        <v>0</v>
      </c>
      <c r="AO22" s="148">
        <f>SUMIFS(ReportSubmittedBL!W:W,ReportSubmittedBL!D:D,I_Miei_Rendiconti[[#This Row],[Column1.id]])</f>
        <v>14</v>
      </c>
      <c r="AP22" s="155" cm="1">
        <f t="array" ref="AP22">INDEX('Weight tables'!$A$32:$C$36,MATCH(1,('MY-REPORT-MAIN'!AO22&gt;='Weight tables'!$B$32:$B$36)*('MY-REPORT-MAIN'!AO22&lt;='Weight tables'!$C$32:$C$36),0),1)</f>
        <v>8.4</v>
      </c>
      <c r="AQ22" s="155">
        <f>INDEX('Weight tables'!$A$39:$B$41,MATCH(I_Miei_Rendiconti[[#This Row],[Previouse Report checked?yes/no]],'Weight tables'!$B$39:$B$41,0),1)</f>
        <v>8.4</v>
      </c>
      <c r="AR22" s="155" cm="1">
        <f t="array" ref="AR22">IF(I_Miei_Rendiconti[[#This Row],[Sum of errors in previous report ]]="NON PERTINENTE",0,INDEX('Weight tables'!$A$43:$C$46,MATCH(1,(I_Miei_Rendiconti[[#This Row],[Sum of errors in previous report ]]&gt;='Weight tables'!$B$43:$B$46)*(I_Miei_Rendiconti[[#This Row],[Sum of errors in previous report ]]&lt;='Weight tables'!$C$43:$C$46),0),1))</f>
        <v>0</v>
      </c>
      <c r="AS22" s="155" cm="1">
        <f t="array" ref="AS22">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22" s="155" cm="1">
        <f t="array" ref="AT22">INDEX('Weight tables'!$A$56:$C$65,MATCH(1,('MY-REPORT-MAIN'!U22&gt;='Weight tables'!$B$56:$B$65)*('MY-REPORT-MAIN'!U22&lt;='Weight tables'!$C$56:$C$65),0),1)</f>
        <v>4</v>
      </c>
      <c r="AU22" s="155" cm="1">
        <f t="array" ref="AU22">INDEX('Weight tables'!$A$68:$C$71,MATCH(1,('MY-REPORT-MAIN'!AL22&gt;='Weight tables'!$B$68:$B$71)*('MY-REPORT-MAIN'!AL22&lt;='Weight tables'!$C$68:$C$71),0),1)</f>
        <v>0</v>
      </c>
      <c r="AV22" s="155" cm="1">
        <f t="array" ref="AV22">INDEX('Weight tables'!$A$74:$C$78,MATCH(1,('MY-REPORT-MAIN'!AN22&gt;='Weight tables'!$B$74:$B$78)*('MY-REPORT-MAIN'!AN22&lt;='Weight tables'!$C$74:$C$78),0),1)</f>
        <v>0</v>
      </c>
      <c r="AW22" s="16">
        <f>IF(I_Miei_Rendiconti[[#This Row],[Column1.totalAfterSubmitted]]/AM22&gt;50%,"Checked",0)</f>
        <v>0</v>
      </c>
      <c r="AX22" s="155">
        <f t="shared" si="1"/>
        <v>20.8</v>
      </c>
      <c r="AY22" s="155" t="str">
        <f>INDEX('Partner data'!A:EB,MATCH(I_Miei_Rendiconti[[#This Row],[Column1.partnerId]],'Partner data'!DG:DG,0),92)</f>
        <v>Italia (IT)</v>
      </c>
    </row>
    <row r="23" spans="1:51" ht="30" x14ac:dyDescent="0.25">
      <c r="A23" s="79">
        <v>101</v>
      </c>
      <c r="B23" s="79">
        <v>13</v>
      </c>
      <c r="C23" s="79">
        <v>14</v>
      </c>
      <c r="D23" s="79" t="s">
        <v>2371</v>
      </c>
      <c r="E23" s="79" t="s">
        <v>253</v>
      </c>
      <c r="F23" s="79">
        <v>4</v>
      </c>
      <c r="G23" s="206" t="s">
        <v>40</v>
      </c>
      <c r="H23" s="79">
        <v>1</v>
      </c>
      <c r="I23" s="79" t="s">
        <v>4339</v>
      </c>
      <c r="J23" s="79" t="s">
        <v>1263</v>
      </c>
      <c r="K23" s="208">
        <v>45264.531113495374</v>
      </c>
      <c r="M23" s="208">
        <v>45328.544271006947</v>
      </c>
      <c r="N23" s="79" t="s">
        <v>4393</v>
      </c>
      <c r="O23" s="79" t="s">
        <v>4350</v>
      </c>
      <c r="P23" s="79" t="s">
        <v>4342</v>
      </c>
      <c r="Q23" s="79" t="s">
        <v>4343</v>
      </c>
      <c r="R23" s="79">
        <v>22</v>
      </c>
      <c r="S23" s="79">
        <v>1</v>
      </c>
      <c r="T23" s="81">
        <v>43310.400000000001</v>
      </c>
      <c r="U23" s="81">
        <v>43469.06</v>
      </c>
      <c r="V23" s="79" t="str">
        <f>INDEX(pARTNER[#All],MATCH(I_Miei_Rendiconti[[#This Row],[Column1.partnerId]],pARTNER[[#All],[Value.partnerSummary.id]],0),2)</f>
        <v>ADRIONCYCLETOUR</v>
      </c>
      <c r="W23" s="79" t="b">
        <v>0</v>
      </c>
      <c r="X23" s="82">
        <f>I_Miei_Rendiconti[[#This Row],[Column1.totalAfterSubmitted]]-I_Miei_Rendiconti[[#This Row],[Column1.totalEligibleAfterControl]]</f>
        <v>158.65999999999622</v>
      </c>
      <c r="Y23" s="80">
        <f>IF(I_Miei_Rendiconti[[#This Row],[Column1.status]]="Certified",IFERROR(I_Miei_Rendiconti[[#This Row],[Financial corection]]/I_Miei_Rendiconti[[#This Row],[Column1.totalAfterSubmitted]],0),"Rendiconto da certificare")</f>
        <v>3.6499524029274207E-3</v>
      </c>
      <c r="Z23" s="207" t="str">
        <f>IF(I_Miei_Rendiconti[[#This Row],[Column1.status]]&lt;&gt;"Certified",INDEX('Partner data'!DG:DQ,MATCH(I_Miei_Rendiconti[[#This Row],[Column1.partnerId]],'Partner data'!DG:DG,0),13),"Rendiconto CONVALIDATO")</f>
        <v>Rendiconto CONVALIDATO</v>
      </c>
      <c r="AA23"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23" s="81" t="str">
        <f>IF(OR(I_Miei_Rendiconti[[#This Row],[N. previouse validated report ]]="Rendiconto CONVALIDATO",I_Miei_Rendiconti[[#This Row],[N. previouse validated report ]]="NON è stato convalidato ancora nessun rendiconto"),"NON PERTINENTE","fai la fromula")</f>
        <v>NON PERTINENTE</v>
      </c>
      <c r="AC23"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23" s="2">
        <f>INDEX('Partner data'!DG:DJ,MATCH(I_Miei_Rendiconti[[#This Row],[Column1.partnerId]],'Partner data'!DG:DG,0),3)</f>
        <v>2</v>
      </c>
      <c r="AE23" t="str" cm="1">
        <f t="array" ref="AE23">INDEX('Varie Tabelle'!$A$37:$C$51,MATCH(1,(I_Miei_Rendiconti[[#This Row],[Column1.firstSubmission]]&gt;='Varie Tabelle'!$B$37:$B$51)*(I_Miei_Rendiconti[[#This Row],[Column1.firstSubmission]]&lt;'Varie Tabelle'!$C$37:$C$51),0),1)</f>
        <v>Finestra 1</v>
      </c>
      <c r="AF23" s="109">
        <f>INDEX('Varie Tabelle'!$A$37:$C$51,MATCH('MY-REPORT-MAIN'!AE23,'Varie Tabelle'!$A$37:$A$51,0),2)</f>
        <v>45236</v>
      </c>
      <c r="AG23" s="109">
        <f>INDEX('Partner data'!DG:DR,MATCH(I_Miei_Rendiconti[[#This Row],[Column1.partnerId]],'Partner data'!DG:DG,0),12)</f>
        <v>44805</v>
      </c>
      <c r="AH23" s="115">
        <f t="shared" si="0"/>
        <v>14.17296941795462</v>
      </c>
      <c r="AI23" t="str" cm="1">
        <f t="array" ref="AI23">INDEX('Varie Tabelle'!$A$12:$C$22,MATCH(1,('MY-REPORT-MAIN'!AH23&gt;='Varie Tabelle'!$B$12:$B$22)*('MY-REPORT-MAIN'!AH23&lt;='Varie Tabelle'!$C$12:$C$22),0),1)</f>
        <v>Periodo-2</v>
      </c>
      <c r="AJ23" s="14">
        <f>INDEX('Partner data'!A:EC,MATCH(I_Miei_Rendiconti[[#This Row],[Column1.partnerId]],'Partner data'!DG:DG,0),MATCH('MY-REPORT-MAIN'!AI23,'Partner data'!$2:$2,0))</f>
        <v>51600</v>
      </c>
      <c r="AK23" s="10">
        <f>SUMIFS($U$2:U23,$C$2:C23,I_Miei_Rendiconti[[#This Row],[Column1.partnerId]])-AJ23</f>
        <v>-8130.9400000000023</v>
      </c>
      <c r="AL23" s="16">
        <f>IFERROR(1-(I_Miei_Rendiconti[[#This Row],[Column1.totalAfterSubmitted]]/AJ23),0)</f>
        <v>0.15757635658914737</v>
      </c>
      <c r="AM23" s="14">
        <f>INDEX('Partner data'!A:EB,MATCH(I_Miei_Rendiconti[[#This Row],[Column1.partnerId]],'Partner data'!DG:DG,0),44)</f>
        <v>316808</v>
      </c>
      <c r="AN23" s="14">
        <f>SUMIFS(ListOfExpenditure!AP:AP,ListOfExpenditure!AJ:AJ,I_Miei_Rendiconti[[#This Row],[Column1.id]])</f>
        <v>0</v>
      </c>
      <c r="AO23" s="148">
        <f>SUMIFS(ReportSubmittedBL!W:W,ReportSubmittedBL!D:D,I_Miei_Rendiconti[[#This Row],[Column1.id]])</f>
        <v>16</v>
      </c>
      <c r="AP23" s="155" cm="1">
        <f t="array" ref="AP23">INDEX('Weight tables'!$A$32:$C$36,MATCH(1,('MY-REPORT-MAIN'!AO23&gt;='Weight tables'!$B$32:$B$36)*('MY-REPORT-MAIN'!AO23&lt;='Weight tables'!$C$32:$C$36),0),1)</f>
        <v>8.4</v>
      </c>
      <c r="AQ23" s="155">
        <f>INDEX('Weight tables'!$A$39:$B$41,MATCH(I_Miei_Rendiconti[[#This Row],[Previouse Report checked?yes/no]],'Weight tables'!$B$39:$B$41,0),1)</f>
        <v>8.4</v>
      </c>
      <c r="AR23" s="155" cm="1">
        <f t="array" ref="AR23">IF(I_Miei_Rendiconti[[#This Row],[Sum of errors in previous report ]]="NON PERTINENTE",0,INDEX('Weight tables'!$A$43:$C$46,MATCH(1,(I_Miei_Rendiconti[[#This Row],[Sum of errors in previous report ]]&gt;='Weight tables'!$B$43:$B$46)*(I_Miei_Rendiconti[[#This Row],[Sum of errors in previous report ]]&lt;='Weight tables'!$C$43:$C$46),0),1))</f>
        <v>0</v>
      </c>
      <c r="AS23" s="155" cm="1">
        <f t="array" ref="AS23">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23" s="155" cm="1">
        <f t="array" ref="AT23">INDEX('Weight tables'!$A$56:$C$65,MATCH(1,('MY-REPORT-MAIN'!U23&gt;='Weight tables'!$B$56:$B$65)*('MY-REPORT-MAIN'!U23&lt;='Weight tables'!$C$56:$C$65),0),1)</f>
        <v>4</v>
      </c>
      <c r="AU23" s="155" cm="1">
        <f t="array" ref="AU23">INDEX('Weight tables'!$A$68:$C$71,MATCH(1,('MY-REPORT-MAIN'!AL23&gt;='Weight tables'!$B$68:$B$71)*('MY-REPORT-MAIN'!AL23&lt;='Weight tables'!$C$68:$C$71),0),1)</f>
        <v>1</v>
      </c>
      <c r="AV23" s="155" cm="1">
        <f t="array" ref="AV23">INDEX('Weight tables'!$A$74:$C$78,MATCH(1,('MY-REPORT-MAIN'!AN23&gt;='Weight tables'!$B$74:$B$78)*('MY-REPORT-MAIN'!AN23&lt;='Weight tables'!$C$74:$C$78),0),1)</f>
        <v>0</v>
      </c>
      <c r="AW23" s="16">
        <f>IF(I_Miei_Rendiconti[[#This Row],[Column1.totalAfterSubmitted]]/AM23&gt;50%,"Checked",0)</f>
        <v>0</v>
      </c>
      <c r="AX23" s="155">
        <f t="shared" si="1"/>
        <v>21.8</v>
      </c>
      <c r="AY23" s="155" t="str">
        <f>INDEX('Partner data'!A:EB,MATCH(I_Miei_Rendiconti[[#This Row],[Column1.partnerId]],'Partner data'!DG:DG,0),92)</f>
        <v>Slovenija (SI)</v>
      </c>
    </row>
    <row r="24" spans="1:51" ht="30" x14ac:dyDescent="0.25">
      <c r="A24" s="79">
        <v>67</v>
      </c>
      <c r="B24" s="79">
        <v>92</v>
      </c>
      <c r="C24" s="79">
        <v>320</v>
      </c>
      <c r="D24" s="79" t="s">
        <v>2433</v>
      </c>
      <c r="E24" s="79" t="s">
        <v>253</v>
      </c>
      <c r="F24" s="79">
        <v>6</v>
      </c>
      <c r="G24" s="206" t="s">
        <v>41</v>
      </c>
      <c r="H24" s="79">
        <v>1</v>
      </c>
      <c r="I24" s="79" t="s">
        <v>4339</v>
      </c>
      <c r="J24" s="79" t="s">
        <v>2373</v>
      </c>
      <c r="K24" s="208">
        <v>45264.539418703702</v>
      </c>
      <c r="M24" s="208">
        <v>45350.60859171296</v>
      </c>
      <c r="N24" s="79" t="s">
        <v>4378</v>
      </c>
      <c r="O24" s="79" t="s">
        <v>4352</v>
      </c>
      <c r="P24" s="79" t="s">
        <v>4342</v>
      </c>
      <c r="Q24" s="79" t="s">
        <v>4343</v>
      </c>
      <c r="R24" s="79">
        <v>20</v>
      </c>
      <c r="S24" s="79">
        <v>1</v>
      </c>
      <c r="T24" s="81">
        <v>35796.85</v>
      </c>
      <c r="U24" s="81">
        <v>35895.769999999997</v>
      </c>
      <c r="V24" s="79" t="str">
        <f>INDEX(pARTNER[#All],MATCH(I_Miei_Rendiconti[[#This Row],[Column1.partnerId]],pARTNER[[#All],[Value.partnerSummary.id]],0),2)</f>
        <v>KRAS-CARSO II</v>
      </c>
      <c r="W24" s="79" t="b">
        <v>0</v>
      </c>
      <c r="X24" s="82">
        <f>I_Miei_Rendiconti[[#This Row],[Column1.totalAfterSubmitted]]-I_Miei_Rendiconti[[#This Row],[Column1.totalEligibleAfterControl]]</f>
        <v>98.919999999998254</v>
      </c>
      <c r="Y24" s="80">
        <f>IF(I_Miei_Rendiconti[[#This Row],[Column1.status]]="Certified",IFERROR(I_Miei_Rendiconti[[#This Row],[Financial corection]]/I_Miei_Rendiconti[[#This Row],[Column1.totalAfterSubmitted]],0),"Rendiconto da certificare")</f>
        <v>2.7557564582121586E-3</v>
      </c>
      <c r="Z24" s="207" t="str">
        <f>IF(I_Miei_Rendiconti[[#This Row],[Column1.status]]&lt;&gt;"Certified",INDEX('Partner data'!DG:DQ,MATCH(I_Miei_Rendiconti[[#This Row],[Column1.partnerId]],'Partner data'!DG:DG,0),13),"Rendiconto CONVALIDATO")</f>
        <v>Rendiconto CONVALIDATO</v>
      </c>
      <c r="AA24"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24" s="81" t="str">
        <f>IF(OR(I_Miei_Rendiconti[[#This Row],[N. previouse validated report ]]="Rendiconto CONVALIDATO",I_Miei_Rendiconti[[#This Row],[N. previouse validated report ]]="NON è stato convalidato ancora nessun rendiconto"),"NON PERTINENTE","fai la fromula")</f>
        <v>NON PERTINENTE</v>
      </c>
      <c r="AC24"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24" s="2">
        <f>INDEX('Partner data'!DG:DJ,MATCH(I_Miei_Rendiconti[[#This Row],[Column1.partnerId]],'Partner data'!DG:DG,0),3)</f>
        <v>2</v>
      </c>
      <c r="AE24" t="str" cm="1">
        <f t="array" ref="AE24">INDEX('Varie Tabelle'!$A$37:$C$51,MATCH(1,(I_Miei_Rendiconti[[#This Row],[Column1.firstSubmission]]&gt;='Varie Tabelle'!$B$37:$B$51)*(I_Miei_Rendiconti[[#This Row],[Column1.firstSubmission]]&lt;'Varie Tabelle'!$C$37:$C$51),0),1)</f>
        <v>Finestra 1</v>
      </c>
      <c r="AF24" s="109">
        <f>INDEX('Varie Tabelle'!$A$37:$C$51,MATCH('MY-REPORT-MAIN'!AE24,'Varie Tabelle'!$A$37:$A$51,0),2)</f>
        <v>45236</v>
      </c>
      <c r="AG24" s="109">
        <f>INDEX('Partner data'!DG:DR,MATCH(I_Miei_Rendiconti[[#This Row],[Column1.partnerId]],'Partner data'!DG:DG,0),12)</f>
        <v>44927</v>
      </c>
      <c r="AH24" s="115">
        <f t="shared" si="0"/>
        <v>10.161131206839855</v>
      </c>
      <c r="AI24" t="str" cm="1">
        <f t="array" ref="AI24">INDEX('Varie Tabelle'!$A$12:$C$22,MATCH(1,('MY-REPORT-MAIN'!AH24&gt;='Varie Tabelle'!$B$12:$B$22)*('MY-REPORT-MAIN'!AH24&lt;='Varie Tabelle'!$C$12:$C$22),0),1)</f>
        <v>Periodo-1</v>
      </c>
      <c r="AJ24" s="14">
        <f>INDEX('Partner data'!A:EC,MATCH(I_Miei_Rendiconti[[#This Row],[Column1.partnerId]],'Partner data'!DG:DG,0),MATCH('MY-REPORT-MAIN'!AI24,'Partner data'!$2:$2,0))</f>
        <v>22024.11</v>
      </c>
      <c r="AK24" s="10">
        <f>SUMIFS($U$2:U24,$C$2:C24,I_Miei_Rendiconti[[#This Row],[Column1.partnerId]])-AJ24</f>
        <v>13871.659999999996</v>
      </c>
      <c r="AL24" s="16">
        <f>IFERROR(1-(I_Miei_Rendiconti[[#This Row],[Column1.totalAfterSubmitted]]/AJ24),0)</f>
        <v>-0.62983975288899274</v>
      </c>
      <c r="AM24" s="14">
        <f>INDEX('Partner data'!A:EB,MATCH(I_Miei_Rendiconti[[#This Row],[Column1.partnerId]],'Partner data'!DG:DG,0),44)</f>
        <v>239999.9</v>
      </c>
      <c r="AN24" s="14">
        <f>SUMIFS(ListOfExpenditure!AP:AP,ListOfExpenditure!AJ:AJ,I_Miei_Rendiconti[[#This Row],[Column1.id]])</f>
        <v>0</v>
      </c>
      <c r="AO24" s="148">
        <f>SUMIFS(ReportSubmittedBL!W:W,ReportSubmittedBL!D:D,I_Miei_Rendiconti[[#This Row],[Column1.id]])</f>
        <v>8</v>
      </c>
      <c r="AP24" s="155" cm="1">
        <f t="array" ref="AP24">INDEX('Weight tables'!$A$32:$C$36,MATCH(1,('MY-REPORT-MAIN'!AO24&gt;='Weight tables'!$B$32:$B$36)*('MY-REPORT-MAIN'!AO24&lt;='Weight tables'!$C$32:$C$36),0),1)</f>
        <v>6.3</v>
      </c>
      <c r="AQ24" s="155">
        <f>INDEX('Weight tables'!$A$39:$B$41,MATCH(I_Miei_Rendiconti[[#This Row],[Previouse Report checked?yes/no]],'Weight tables'!$B$39:$B$41,0),1)</f>
        <v>8.4</v>
      </c>
      <c r="AR24" s="155" cm="1">
        <f t="array" ref="AR24">IF(I_Miei_Rendiconti[[#This Row],[Sum of errors in previous report ]]="NON PERTINENTE",0,INDEX('Weight tables'!$A$43:$C$46,MATCH(1,(I_Miei_Rendiconti[[#This Row],[Sum of errors in previous report ]]&gt;='Weight tables'!$B$43:$B$46)*(I_Miei_Rendiconti[[#This Row],[Sum of errors in previous report ]]&lt;='Weight tables'!$C$43:$C$46),0),1))</f>
        <v>0</v>
      </c>
      <c r="AS24" s="155" cm="1">
        <f t="array" ref="AS24">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24" s="155" cm="1">
        <f t="array" ref="AT24">INDEX('Weight tables'!$A$56:$C$65,MATCH(1,('MY-REPORT-MAIN'!U24&gt;='Weight tables'!$B$56:$B$65)*('MY-REPORT-MAIN'!U24&lt;='Weight tables'!$C$56:$C$65),0),1)</f>
        <v>3</v>
      </c>
      <c r="AU24" s="155" cm="1">
        <f t="array" ref="AU24">INDEX('Weight tables'!$A$68:$C$71,MATCH(1,('MY-REPORT-MAIN'!AL24&gt;='Weight tables'!$B$68:$B$71)*('MY-REPORT-MAIN'!AL24&lt;='Weight tables'!$C$68:$C$71),0),1)</f>
        <v>0</v>
      </c>
      <c r="AV24" s="155" cm="1">
        <f t="array" ref="AV24">INDEX('Weight tables'!$A$74:$C$78,MATCH(1,('MY-REPORT-MAIN'!AN24&gt;='Weight tables'!$B$74:$B$78)*('MY-REPORT-MAIN'!AN24&lt;='Weight tables'!$C$74:$C$78),0),1)</f>
        <v>0</v>
      </c>
      <c r="AW24" s="16">
        <f>IF(I_Miei_Rendiconti[[#This Row],[Column1.totalAfterSubmitted]]/AM24&gt;50%,"Checked",0)</f>
        <v>0</v>
      </c>
      <c r="AX24" s="155">
        <f t="shared" si="1"/>
        <v>17.7</v>
      </c>
      <c r="AY24" s="155" t="str">
        <f>INDEX('Partner data'!A:EB,MATCH(I_Miei_Rendiconti[[#This Row],[Column1.partnerId]],'Partner data'!DG:DG,0),92)</f>
        <v>Slovenija (SI)</v>
      </c>
    </row>
    <row r="25" spans="1:51" ht="30" x14ac:dyDescent="0.25">
      <c r="A25" s="79">
        <v>28</v>
      </c>
      <c r="B25" s="79">
        <v>91</v>
      </c>
      <c r="C25" s="79">
        <v>316</v>
      </c>
      <c r="D25" s="79" t="s">
        <v>2561</v>
      </c>
      <c r="E25" s="79" t="s">
        <v>253</v>
      </c>
      <c r="F25" s="79">
        <v>12</v>
      </c>
      <c r="G25" s="206" t="s">
        <v>42</v>
      </c>
      <c r="H25" s="79">
        <v>1</v>
      </c>
      <c r="I25" s="79" t="s">
        <v>4339</v>
      </c>
      <c r="J25" s="79" t="s">
        <v>1118</v>
      </c>
      <c r="K25" s="208">
        <v>45264.631899074077</v>
      </c>
      <c r="M25" s="208">
        <v>45338.434633518518</v>
      </c>
      <c r="N25" s="79" t="s">
        <v>4351</v>
      </c>
      <c r="O25" s="79" t="s">
        <v>4352</v>
      </c>
      <c r="P25" s="79" t="s">
        <v>4342</v>
      </c>
      <c r="Q25" s="79" t="s">
        <v>4343</v>
      </c>
      <c r="R25" s="79">
        <v>12</v>
      </c>
      <c r="S25" s="79">
        <v>1</v>
      </c>
      <c r="T25" s="81">
        <v>132658.57999999999</v>
      </c>
      <c r="U25" s="81">
        <v>132780.07</v>
      </c>
      <c r="V25" s="79" t="str">
        <f>INDEX(pARTNER[#All],MATCH(I_Miei_Rendiconti[[#This Row],[Column1.partnerId]],pARTNER[[#All],[Value.partnerSummary.id]],0),2)</f>
        <v>POSEIDONE</v>
      </c>
      <c r="W25" s="79" t="b">
        <v>0</v>
      </c>
      <c r="X25" s="82">
        <f>I_Miei_Rendiconti[[#This Row],[Column1.totalAfterSubmitted]]-I_Miei_Rendiconti[[#This Row],[Column1.totalEligibleAfterControl]]</f>
        <v>121.49000000001979</v>
      </c>
      <c r="Y25" s="80">
        <f>IF(I_Miei_Rendiconti[[#This Row],[Column1.status]]="Certified",IFERROR(I_Miei_Rendiconti[[#This Row],[Financial corection]]/I_Miei_Rendiconti[[#This Row],[Column1.totalAfterSubmitted]],0),"Rendiconto da certificare")</f>
        <v>9.1497165199581367E-4</v>
      </c>
      <c r="Z25" s="207" t="str">
        <f>IF(I_Miei_Rendiconti[[#This Row],[Column1.status]]&lt;&gt;"Certified",INDEX('Partner data'!DG:DQ,MATCH(I_Miei_Rendiconti[[#This Row],[Column1.partnerId]],'Partner data'!DG:DG,0),13),"Rendiconto CONVALIDATO")</f>
        <v>Rendiconto CONVALIDATO</v>
      </c>
      <c r="AA25"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25" s="81" t="str">
        <f>IF(OR(I_Miei_Rendiconti[[#This Row],[N. previouse validated report ]]="Rendiconto CONVALIDATO",I_Miei_Rendiconti[[#This Row],[N. previouse validated report ]]="NON è stato convalidato ancora nessun rendiconto"),"NON PERTINENTE","fai la fromula")</f>
        <v>NON PERTINENTE</v>
      </c>
      <c r="AC25"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25" s="2">
        <f>INDEX('Partner data'!DG:DJ,MATCH(I_Miei_Rendiconti[[#This Row],[Column1.partnerId]],'Partner data'!DG:DG,0),3)</f>
        <v>2</v>
      </c>
      <c r="AE25" t="str" cm="1">
        <f t="array" ref="AE25">INDEX('Varie Tabelle'!$A$37:$C$51,MATCH(1,(I_Miei_Rendiconti[[#This Row],[Column1.firstSubmission]]&gt;='Varie Tabelle'!$B$37:$B$51)*(I_Miei_Rendiconti[[#This Row],[Column1.firstSubmission]]&lt;'Varie Tabelle'!$C$37:$C$51),0),1)</f>
        <v>Finestra 1</v>
      </c>
      <c r="AF25" s="109">
        <f>INDEX('Varie Tabelle'!$A$37:$C$51,MATCH('MY-REPORT-MAIN'!AE25,'Varie Tabelle'!$A$37:$A$51,0),2)</f>
        <v>45236</v>
      </c>
      <c r="AG25" s="109">
        <f>INDEX('Partner data'!DG:DR,MATCH(I_Miei_Rendiconti[[#This Row],[Column1.partnerId]],'Partner data'!DG:DG,0),12)</f>
        <v>44927</v>
      </c>
      <c r="AH25" s="115">
        <f t="shared" si="0"/>
        <v>10.161131206839855</v>
      </c>
      <c r="AI25" t="str" cm="1">
        <f t="array" ref="AI25">INDEX('Varie Tabelle'!$A$12:$C$22,MATCH(1,('MY-REPORT-MAIN'!AH25&gt;='Varie Tabelle'!$B$12:$B$22)*('MY-REPORT-MAIN'!AH25&lt;='Varie Tabelle'!$C$12:$C$22),0),1)</f>
        <v>Periodo-1</v>
      </c>
      <c r="AJ25" s="14">
        <f>INDEX('Partner data'!A:EC,MATCH(I_Miei_Rendiconti[[#This Row],[Column1.partnerId]],'Partner data'!DG:DG,0),MATCH('MY-REPORT-MAIN'!AI25,'Partner data'!$2:$2,0))</f>
        <v>143131.6</v>
      </c>
      <c r="AK25" s="10">
        <f>SUMIFS($U$2:U25,$C$2:C25,I_Miei_Rendiconti[[#This Row],[Column1.partnerId]])-AJ25</f>
        <v>-10351.529999999999</v>
      </c>
      <c r="AL25" s="16">
        <f>IFERROR(1-(I_Miei_Rendiconti[[#This Row],[Column1.totalAfterSubmitted]]/AJ25),0)</f>
        <v>7.2321765424266937E-2</v>
      </c>
      <c r="AM25" s="14">
        <f>INDEX('Partner data'!A:EB,MATCH(I_Miei_Rendiconti[[#This Row],[Column1.partnerId]],'Partner data'!DG:DG,0),44)</f>
        <v>312500</v>
      </c>
      <c r="AN25" s="14">
        <f>SUMIFS(ListOfExpenditure!AP:AP,ListOfExpenditure!AJ:AJ,I_Miei_Rendiconti[[#This Row],[Column1.id]])</f>
        <v>0</v>
      </c>
      <c r="AO25" s="148">
        <f>SUMIFS(ReportSubmittedBL!W:W,ReportSubmittedBL!D:D,I_Miei_Rendiconti[[#This Row],[Column1.id]])</f>
        <v>12</v>
      </c>
      <c r="AP25" s="155" cm="1">
        <f t="array" ref="AP25">INDEX('Weight tables'!$A$32:$C$36,MATCH(1,('MY-REPORT-MAIN'!AO25&gt;='Weight tables'!$B$32:$B$36)*('MY-REPORT-MAIN'!AO25&lt;='Weight tables'!$C$32:$C$36),0),1)</f>
        <v>8.4</v>
      </c>
      <c r="AQ25" s="155">
        <f>INDEX('Weight tables'!$A$39:$B$41,MATCH(I_Miei_Rendiconti[[#This Row],[Previouse Report checked?yes/no]],'Weight tables'!$B$39:$B$41,0),1)</f>
        <v>8.4</v>
      </c>
      <c r="AR25" s="155" cm="1">
        <f t="array" ref="AR25">IF(I_Miei_Rendiconti[[#This Row],[Sum of errors in previous report ]]="NON PERTINENTE",0,INDEX('Weight tables'!$A$43:$C$46,MATCH(1,(I_Miei_Rendiconti[[#This Row],[Sum of errors in previous report ]]&gt;='Weight tables'!$B$43:$B$46)*(I_Miei_Rendiconti[[#This Row],[Sum of errors in previous report ]]&lt;='Weight tables'!$C$43:$C$46),0),1))</f>
        <v>0</v>
      </c>
      <c r="AS25" s="155" cm="1">
        <f t="array" ref="AS25">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25" s="155" cm="1">
        <f t="array" ref="AT25">INDEX('Weight tables'!$A$56:$C$65,MATCH(1,('MY-REPORT-MAIN'!U25&gt;='Weight tables'!$B$56:$B$65)*('MY-REPORT-MAIN'!U25&lt;='Weight tables'!$C$56:$C$65),0),1)</f>
        <v>8</v>
      </c>
      <c r="AU25" s="155" cm="1">
        <f t="array" ref="AU25">INDEX('Weight tables'!$A$68:$C$71,MATCH(1,('MY-REPORT-MAIN'!AL25&gt;='Weight tables'!$B$68:$B$71)*('MY-REPORT-MAIN'!AL25&lt;='Weight tables'!$C$68:$C$71),0),1)</f>
        <v>0</v>
      </c>
      <c r="AV25" s="155" cm="1">
        <f t="array" ref="AV25">INDEX('Weight tables'!$A$74:$C$78,MATCH(1,('MY-REPORT-MAIN'!AN25&gt;='Weight tables'!$B$74:$B$78)*('MY-REPORT-MAIN'!AN25&lt;='Weight tables'!$C$74:$C$78),0),1)</f>
        <v>0</v>
      </c>
      <c r="AW25" s="16">
        <f>IF(I_Miei_Rendiconti[[#This Row],[Column1.totalAfterSubmitted]]/AM25&gt;50%,"Checked",0)</f>
        <v>0</v>
      </c>
      <c r="AX25" s="155">
        <f t="shared" si="1"/>
        <v>24.8</v>
      </c>
      <c r="AY25" s="155" t="str">
        <f>INDEX('Partner data'!A:EB,MATCH(I_Miei_Rendiconti[[#This Row],[Column1.partnerId]],'Partner data'!DG:DG,0),92)</f>
        <v>Slovenija (SI)</v>
      </c>
    </row>
    <row r="26" spans="1:51" ht="30" x14ac:dyDescent="0.25">
      <c r="A26" s="79">
        <v>94</v>
      </c>
      <c r="B26" s="79">
        <v>91</v>
      </c>
      <c r="C26" s="79">
        <v>305</v>
      </c>
      <c r="D26" s="79" t="s">
        <v>2561</v>
      </c>
      <c r="E26" s="79" t="s">
        <v>253</v>
      </c>
      <c r="F26" s="79">
        <v>3</v>
      </c>
      <c r="G26" s="206" t="s">
        <v>0</v>
      </c>
      <c r="H26" s="79">
        <v>1</v>
      </c>
      <c r="I26" s="79" t="s">
        <v>4339</v>
      </c>
      <c r="J26" s="79" t="s">
        <v>2373</v>
      </c>
      <c r="K26" s="208">
        <v>45264.677245949075</v>
      </c>
      <c r="M26" s="208">
        <v>45356.900372152777</v>
      </c>
      <c r="N26" s="79" t="s">
        <v>4390</v>
      </c>
      <c r="O26" s="79" t="s">
        <v>4352</v>
      </c>
      <c r="P26" s="79" t="s">
        <v>4342</v>
      </c>
      <c r="Q26" s="79" t="s">
        <v>4343</v>
      </c>
      <c r="R26" s="79">
        <v>12</v>
      </c>
      <c r="S26" s="79">
        <v>1</v>
      </c>
      <c r="T26" s="81">
        <v>22028.68</v>
      </c>
      <c r="U26" s="81">
        <v>22044.75</v>
      </c>
      <c r="V26" s="79" t="str">
        <f>INDEX(pARTNER[#All],MATCH(I_Miei_Rendiconti[[#This Row],[Column1.partnerId]],pARTNER[[#All],[Value.partnerSummary.id]],0),2)</f>
        <v>POSEIDONE</v>
      </c>
      <c r="W26" s="79" t="b">
        <v>0</v>
      </c>
      <c r="X26" s="82">
        <f>I_Miei_Rendiconti[[#This Row],[Column1.totalAfterSubmitted]]-I_Miei_Rendiconti[[#This Row],[Column1.totalEligibleAfterControl]]</f>
        <v>16.069999999999709</v>
      </c>
      <c r="Y26" s="80">
        <f>IF(I_Miei_Rendiconti[[#This Row],[Column1.status]]="Certified",IFERROR(I_Miei_Rendiconti[[#This Row],[Financial corection]]/I_Miei_Rendiconti[[#This Row],[Column1.totalAfterSubmitted]],0),"Rendiconto da certificare")</f>
        <v>7.2897175064356404E-4</v>
      </c>
      <c r="Z26" s="207" t="str">
        <f>IF(I_Miei_Rendiconti[[#This Row],[Column1.status]]&lt;&gt;"Certified",INDEX('Partner data'!DG:DQ,MATCH(I_Miei_Rendiconti[[#This Row],[Column1.partnerId]],'Partner data'!DG:DG,0),13),"Rendiconto CONVALIDATO")</f>
        <v>Rendiconto CONVALIDATO</v>
      </c>
      <c r="AA26"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26" s="81" t="str">
        <f>IF(OR(I_Miei_Rendiconti[[#This Row],[N. previouse validated report ]]="Rendiconto CONVALIDATO",I_Miei_Rendiconti[[#This Row],[N. previouse validated report ]]="NON è stato convalidato ancora nessun rendiconto"),"NON PERTINENTE","fai la fromula")</f>
        <v>NON PERTINENTE</v>
      </c>
      <c r="AC26"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26" s="2">
        <f>INDEX('Partner data'!DG:DJ,MATCH(I_Miei_Rendiconti[[#This Row],[Column1.partnerId]],'Partner data'!DG:DG,0),3)</f>
        <v>2</v>
      </c>
      <c r="AE26" t="str" cm="1">
        <f t="array" ref="AE26">INDEX('Varie Tabelle'!$A$37:$C$51,MATCH(1,(I_Miei_Rendiconti[[#This Row],[Column1.firstSubmission]]&gt;='Varie Tabelle'!$B$37:$B$51)*(I_Miei_Rendiconti[[#This Row],[Column1.firstSubmission]]&lt;'Varie Tabelle'!$C$37:$C$51),0),1)</f>
        <v>Finestra 1</v>
      </c>
      <c r="AF26" s="109">
        <f>INDEX('Varie Tabelle'!$A$37:$C$51,MATCH('MY-REPORT-MAIN'!AE26,'Varie Tabelle'!$A$37:$A$51,0),2)</f>
        <v>45236</v>
      </c>
      <c r="AG26" s="109">
        <f>INDEX('Partner data'!DG:DR,MATCH(I_Miei_Rendiconti[[#This Row],[Column1.partnerId]],'Partner data'!DG:DG,0),12)</f>
        <v>44927</v>
      </c>
      <c r="AH26" s="115">
        <f t="shared" si="0"/>
        <v>10.161131206839855</v>
      </c>
      <c r="AI26" t="str" cm="1">
        <f t="array" ref="AI26">INDEX('Varie Tabelle'!$A$12:$C$22,MATCH(1,('MY-REPORT-MAIN'!AH26&gt;='Varie Tabelle'!$B$12:$B$22)*('MY-REPORT-MAIN'!AH26&lt;='Varie Tabelle'!$C$12:$C$22),0),1)</f>
        <v>Periodo-1</v>
      </c>
      <c r="AJ26" s="14">
        <f>INDEX('Partner data'!A:EC,MATCH(I_Miei_Rendiconti[[#This Row],[Column1.partnerId]],'Partner data'!DG:DG,0),MATCH('MY-REPORT-MAIN'!AI26,'Partner data'!$2:$2,0))</f>
        <v>22044.75</v>
      </c>
      <c r="AK26" s="10">
        <f>SUMIFS($U$2:U26,$C$2:C26,I_Miei_Rendiconti[[#This Row],[Column1.partnerId]])-AJ26</f>
        <v>0</v>
      </c>
      <c r="AL26" s="16">
        <f>IFERROR(1-(I_Miei_Rendiconti[[#This Row],[Column1.totalAfterSubmitted]]/AJ26),0)</f>
        <v>0</v>
      </c>
      <c r="AM26" s="14">
        <f>INDEX('Partner data'!A:EB,MATCH(I_Miei_Rendiconti[[#This Row],[Column1.partnerId]],'Partner data'!DG:DG,0),44)</f>
        <v>437500</v>
      </c>
      <c r="AN26" s="14">
        <f>SUMIFS(ListOfExpenditure!AP:AP,ListOfExpenditure!AJ:AJ,I_Miei_Rendiconti[[#This Row],[Column1.id]])</f>
        <v>0</v>
      </c>
      <c r="AO26" s="148">
        <f>SUMIFS(ReportSubmittedBL!W:W,ReportSubmittedBL!D:D,I_Miei_Rendiconti[[#This Row],[Column1.id]])</f>
        <v>10</v>
      </c>
      <c r="AP26" s="155" cm="1">
        <f t="array" ref="AP26">INDEX('Weight tables'!$A$32:$C$36,MATCH(1,('MY-REPORT-MAIN'!AO26&gt;='Weight tables'!$B$32:$B$36)*('MY-REPORT-MAIN'!AO26&lt;='Weight tables'!$C$32:$C$36),0),1)</f>
        <v>8.4</v>
      </c>
      <c r="AQ26" s="155">
        <f>INDEX('Weight tables'!$A$39:$B$41,MATCH(I_Miei_Rendiconti[[#This Row],[Previouse Report checked?yes/no]],'Weight tables'!$B$39:$B$41,0),1)</f>
        <v>8.4</v>
      </c>
      <c r="AR26" s="155" cm="1">
        <f t="array" ref="AR26">IF(I_Miei_Rendiconti[[#This Row],[Sum of errors in previous report ]]="NON PERTINENTE",0,INDEX('Weight tables'!$A$43:$C$46,MATCH(1,(I_Miei_Rendiconti[[#This Row],[Sum of errors in previous report ]]&gt;='Weight tables'!$B$43:$B$46)*(I_Miei_Rendiconti[[#This Row],[Sum of errors in previous report ]]&lt;='Weight tables'!$C$43:$C$46),0),1))</f>
        <v>0</v>
      </c>
      <c r="AS26" s="155" cm="1">
        <f t="array" ref="AS26">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26" s="155" cm="1">
        <f t="array" ref="AT26">INDEX('Weight tables'!$A$56:$C$65,MATCH(1,('MY-REPORT-MAIN'!U26&gt;='Weight tables'!$B$56:$B$65)*('MY-REPORT-MAIN'!U26&lt;='Weight tables'!$C$56:$C$65),0),1)</f>
        <v>2</v>
      </c>
      <c r="AU26" s="155" cm="1">
        <f t="array" ref="AU26">INDEX('Weight tables'!$A$68:$C$71,MATCH(1,('MY-REPORT-MAIN'!AL26&gt;='Weight tables'!$B$68:$B$71)*('MY-REPORT-MAIN'!AL26&lt;='Weight tables'!$C$68:$C$71),0),1)</f>
        <v>0</v>
      </c>
      <c r="AV26" s="155" cm="1">
        <f t="array" ref="AV26">INDEX('Weight tables'!$A$74:$C$78,MATCH(1,('MY-REPORT-MAIN'!AN26&gt;='Weight tables'!$B$74:$B$78)*('MY-REPORT-MAIN'!AN26&lt;='Weight tables'!$C$74:$C$78),0),1)</f>
        <v>0</v>
      </c>
      <c r="AW26" s="16">
        <f>IF(I_Miei_Rendiconti[[#This Row],[Column1.totalAfterSubmitted]]/AM26&gt;50%,"Checked",0)</f>
        <v>0</v>
      </c>
      <c r="AX26" s="155">
        <f t="shared" si="1"/>
        <v>18.8</v>
      </c>
      <c r="AY26" s="155" t="str">
        <f>INDEX('Partner data'!A:EB,MATCH(I_Miei_Rendiconti[[#This Row],[Column1.partnerId]],'Partner data'!DG:DG,0),92)</f>
        <v>Italia (IT)</v>
      </c>
    </row>
    <row r="27" spans="1:51" ht="30" x14ac:dyDescent="0.25">
      <c r="A27" s="79">
        <v>80</v>
      </c>
      <c r="B27" s="79">
        <v>103</v>
      </c>
      <c r="C27" s="79">
        <v>333</v>
      </c>
      <c r="D27" s="79" t="s">
        <v>2680</v>
      </c>
      <c r="E27" s="79" t="s">
        <v>264</v>
      </c>
      <c r="F27" s="79">
        <v>1</v>
      </c>
      <c r="G27" s="206" t="s">
        <v>79</v>
      </c>
      <c r="H27" s="79">
        <v>1</v>
      </c>
      <c r="I27" s="79" t="s">
        <v>4339</v>
      </c>
      <c r="J27" s="79" t="s">
        <v>593</v>
      </c>
      <c r="K27" s="208">
        <v>45264.678452187502</v>
      </c>
      <c r="M27" s="208">
        <v>45355.469404189818</v>
      </c>
      <c r="N27" s="79" t="s">
        <v>4385</v>
      </c>
      <c r="O27" s="79" t="s">
        <v>4350</v>
      </c>
      <c r="P27" s="79" t="s">
        <v>4359</v>
      </c>
      <c r="Q27" s="79" t="s">
        <v>4343</v>
      </c>
      <c r="R27" s="79">
        <v>16</v>
      </c>
      <c r="S27" s="79">
        <v>1</v>
      </c>
      <c r="T27" s="81">
        <v>141795.35</v>
      </c>
      <c r="U27" s="81">
        <v>157408.17000000001</v>
      </c>
      <c r="V27" s="79" t="str">
        <f>INDEX(pARTNER[#All],MATCH(I_Miei_Rendiconti[[#This Row],[Column1.partnerId]],pARTNER[[#All],[Value.partnerSummary.id]],0),2)</f>
        <v>SPF GO! 2025</v>
      </c>
      <c r="W27" s="79" t="b">
        <v>0</v>
      </c>
      <c r="X27" s="82">
        <f>I_Miei_Rendiconti[[#This Row],[Column1.totalAfterSubmitted]]-I_Miei_Rendiconti[[#This Row],[Column1.totalEligibleAfterControl]]</f>
        <v>15612.820000000007</v>
      </c>
      <c r="Y27" s="80">
        <f>IF(I_Miei_Rendiconti[[#This Row],[Column1.status]]="Certified",IFERROR(I_Miei_Rendiconti[[#This Row],[Financial corection]]/I_Miei_Rendiconti[[#This Row],[Column1.totalAfterSubmitted]],0),"Rendiconto da certificare")</f>
        <v>9.9186846527724734E-2</v>
      </c>
      <c r="Z27" s="207" t="str">
        <f>IF(I_Miei_Rendiconti[[#This Row],[Column1.status]]&lt;&gt;"Certified",INDEX('Partner data'!DG:DQ,MATCH(I_Miei_Rendiconti[[#This Row],[Column1.partnerId]],'Partner data'!DG:DG,0),13),"Rendiconto CONVALIDATO")</f>
        <v>Rendiconto CONVALIDATO</v>
      </c>
      <c r="AA27"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27" s="81" t="str">
        <f>IF(OR(I_Miei_Rendiconti[[#This Row],[N. previouse validated report ]]="Rendiconto CONVALIDATO",I_Miei_Rendiconti[[#This Row],[N. previouse validated report ]]="NON è stato convalidato ancora nessun rendiconto"),"NON PERTINENTE","fai la fromula")</f>
        <v>NON PERTINENTE</v>
      </c>
      <c r="AC27"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27" s="2">
        <f>INDEX('Partner data'!DG:DJ,MATCH(I_Miei_Rendiconti[[#This Row],[Column1.partnerId]],'Partner data'!DG:DG,0),3)</f>
        <v>2</v>
      </c>
      <c r="AE27" t="str" cm="1">
        <f t="array" ref="AE27">INDEX('Varie Tabelle'!$A$37:$C$51,MATCH(1,(I_Miei_Rendiconti[[#This Row],[Column1.firstSubmission]]&gt;='Varie Tabelle'!$B$37:$B$51)*(I_Miei_Rendiconti[[#This Row],[Column1.firstSubmission]]&lt;'Varie Tabelle'!$C$37:$C$51),0),1)</f>
        <v>Finestra 1</v>
      </c>
      <c r="AF27" s="109">
        <f>INDEX('Varie Tabelle'!$A$37:$C$51,MATCH('MY-REPORT-MAIN'!AE27,'Varie Tabelle'!$A$37:$A$51,0),2)</f>
        <v>45236</v>
      </c>
      <c r="AG27" s="109">
        <f>INDEX('Partner data'!DG:DR,MATCH(I_Miei_Rendiconti[[#This Row],[Column1.partnerId]],'Partner data'!DG:DG,0),12)</f>
        <v>44805</v>
      </c>
      <c r="AH27" s="115">
        <f t="shared" si="0"/>
        <v>14.17296941795462</v>
      </c>
      <c r="AI27" t="str" cm="1">
        <f t="array" ref="AI27">INDEX('Varie Tabelle'!$A$12:$C$22,MATCH(1,('MY-REPORT-MAIN'!AH27&gt;='Varie Tabelle'!$B$12:$B$22)*('MY-REPORT-MAIN'!AH27&lt;='Varie Tabelle'!$C$12:$C$22),0),1)</f>
        <v>Periodo-2</v>
      </c>
      <c r="AJ27" s="14">
        <f>INDEX('Partner data'!A:EC,MATCH(I_Miei_Rendiconti[[#This Row],[Column1.partnerId]],'Partner data'!DG:DG,0),MATCH('MY-REPORT-MAIN'!AI27,'Partner data'!$2:$2,0))</f>
        <v>4500000</v>
      </c>
      <c r="AK27" s="10">
        <f>SUMIFS($U$2:U27,$C$2:C27,I_Miei_Rendiconti[[#This Row],[Column1.partnerId]])-AJ27</f>
        <v>-4342591.83</v>
      </c>
      <c r="AL27" s="16">
        <f>IFERROR(1-(I_Miei_Rendiconti[[#This Row],[Column1.totalAfterSubmitted]]/AJ27),0)</f>
        <v>0.96502040666666666</v>
      </c>
      <c r="AM27" s="14">
        <f>INDEX('Partner data'!A:EB,MATCH(I_Miei_Rendiconti[[#This Row],[Column1.partnerId]],'Partner data'!DG:DG,0),44)</f>
        <v>1236295.5</v>
      </c>
      <c r="AN27" s="14">
        <f>SUMIFS(ListOfExpenditure!AP:AP,ListOfExpenditure!AJ:AJ,I_Miei_Rendiconti[[#This Row],[Column1.id]])</f>
        <v>0</v>
      </c>
      <c r="AO27" s="148">
        <f>SUMIFS(ReportSubmittedBL!W:W,ReportSubmittedBL!D:D,I_Miei_Rendiconti[[#This Row],[Column1.id]])</f>
        <v>16</v>
      </c>
      <c r="AP27" s="155" cm="1">
        <f t="array" ref="AP27">INDEX('Weight tables'!$A$32:$C$36,MATCH(1,('MY-REPORT-MAIN'!AO27&gt;='Weight tables'!$B$32:$B$36)*('MY-REPORT-MAIN'!AO27&lt;='Weight tables'!$C$32:$C$36),0),1)</f>
        <v>8.4</v>
      </c>
      <c r="AQ27" s="155">
        <f>INDEX('Weight tables'!$A$39:$B$41,MATCH(I_Miei_Rendiconti[[#This Row],[Previouse Report checked?yes/no]],'Weight tables'!$B$39:$B$41,0),1)</f>
        <v>8.4</v>
      </c>
      <c r="AR27" s="155" cm="1">
        <f t="array" ref="AR27">IF(I_Miei_Rendiconti[[#This Row],[Sum of errors in previous report ]]="NON PERTINENTE",0,INDEX('Weight tables'!$A$43:$C$46,MATCH(1,(I_Miei_Rendiconti[[#This Row],[Sum of errors in previous report ]]&gt;='Weight tables'!$B$43:$B$46)*(I_Miei_Rendiconti[[#This Row],[Sum of errors in previous report ]]&lt;='Weight tables'!$C$43:$C$46),0),1))</f>
        <v>0</v>
      </c>
      <c r="AS27" s="155" cm="1">
        <f t="array" ref="AS27">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27" s="155" cm="1">
        <f t="array" ref="AT27">INDEX('Weight tables'!$A$56:$C$65,MATCH(1,('MY-REPORT-MAIN'!U27&gt;='Weight tables'!$B$56:$B$65)*('MY-REPORT-MAIN'!U27&lt;='Weight tables'!$C$56:$C$65),0),1)</f>
        <v>8</v>
      </c>
      <c r="AU27" s="155" cm="1">
        <f t="array" ref="AU27">INDEX('Weight tables'!$A$68:$C$71,MATCH(1,('MY-REPORT-MAIN'!AL27&gt;='Weight tables'!$B$68:$B$71)*('MY-REPORT-MAIN'!AL27&lt;='Weight tables'!$C$68:$C$71),0),1)</f>
        <v>2</v>
      </c>
      <c r="AV27" s="155" cm="1">
        <f t="array" ref="AV27">INDEX('Weight tables'!$A$74:$C$78,MATCH(1,('MY-REPORT-MAIN'!AN27&gt;='Weight tables'!$B$74:$B$78)*('MY-REPORT-MAIN'!AN27&lt;='Weight tables'!$C$74:$C$78),0),1)</f>
        <v>0</v>
      </c>
      <c r="AW27" s="16">
        <f>IF(I_Miei_Rendiconti[[#This Row],[Column1.totalAfterSubmitted]]/AM27&gt;50%,"Checked",0)</f>
        <v>0</v>
      </c>
      <c r="AX27" s="155">
        <f t="shared" si="1"/>
        <v>26.8</v>
      </c>
      <c r="AY27" s="155" t="str">
        <f>INDEX('Partner data'!A:EB,MATCH(I_Miei_Rendiconti[[#This Row],[Column1.partnerId]],'Partner data'!DG:DG,0),92)</f>
        <v>Italia (IT)</v>
      </c>
    </row>
    <row r="28" spans="1:51" ht="30" x14ac:dyDescent="0.25">
      <c r="A28" s="79">
        <v>95</v>
      </c>
      <c r="B28" s="79">
        <v>92</v>
      </c>
      <c r="C28" s="79">
        <v>326</v>
      </c>
      <c r="D28" s="79" t="s">
        <v>2433</v>
      </c>
      <c r="E28" s="79" t="s">
        <v>253</v>
      </c>
      <c r="F28" s="79">
        <v>12</v>
      </c>
      <c r="G28" s="206" t="s">
        <v>44</v>
      </c>
      <c r="H28" s="79">
        <v>2</v>
      </c>
      <c r="I28" s="79" t="s">
        <v>4339</v>
      </c>
      <c r="J28" s="79" t="s">
        <v>2373</v>
      </c>
      <c r="K28" s="208">
        <v>45264.78447471065</v>
      </c>
      <c r="M28" s="208">
        <v>45356.714134085647</v>
      </c>
      <c r="N28" s="79" t="s">
        <v>4391</v>
      </c>
      <c r="O28" s="79" t="s">
        <v>4352</v>
      </c>
      <c r="P28" s="79" t="s">
        <v>4342</v>
      </c>
      <c r="Q28" s="79" t="s">
        <v>4343</v>
      </c>
      <c r="R28" s="79">
        <v>20</v>
      </c>
      <c r="S28" s="79">
        <v>1</v>
      </c>
      <c r="T28" s="81">
        <v>18041.66</v>
      </c>
      <c r="U28" s="81">
        <v>18041.66</v>
      </c>
      <c r="V28" s="79" t="str">
        <f>INDEX(pARTNER[#All],MATCH(I_Miei_Rendiconti[[#This Row],[Column1.partnerId]],pARTNER[[#All],[Value.partnerSummary.id]],0),2)</f>
        <v>KRAS-CARSO II</v>
      </c>
      <c r="W28" s="79" t="b">
        <v>0</v>
      </c>
      <c r="X28" s="82">
        <f>I_Miei_Rendiconti[[#This Row],[Column1.totalAfterSubmitted]]-I_Miei_Rendiconti[[#This Row],[Column1.totalEligibleAfterControl]]</f>
        <v>0</v>
      </c>
      <c r="Y28" s="80">
        <f>IF(I_Miei_Rendiconti[[#This Row],[Column1.status]]="Certified",IFERROR(I_Miei_Rendiconti[[#This Row],[Financial corection]]/I_Miei_Rendiconti[[#This Row],[Column1.totalAfterSubmitted]],0),"Rendiconto da certificare")</f>
        <v>0</v>
      </c>
      <c r="Z28" s="207" t="str">
        <f>IF(I_Miei_Rendiconti[[#This Row],[Column1.status]]&lt;&gt;"Certified",INDEX('Partner data'!DG:DQ,MATCH(I_Miei_Rendiconti[[#This Row],[Column1.partnerId]],'Partner data'!DG:DG,0),13),"Rendiconto CONVALIDATO")</f>
        <v>Rendiconto CONVALIDATO</v>
      </c>
      <c r="AA28"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28" s="81" t="str">
        <f>IF(OR(I_Miei_Rendiconti[[#This Row],[N. previouse validated report ]]="Rendiconto CONVALIDATO",I_Miei_Rendiconti[[#This Row],[N. previouse validated report ]]="NON è stato convalidato ancora nessun rendiconto"),"NON PERTINENTE","fai la fromula")</f>
        <v>NON PERTINENTE</v>
      </c>
      <c r="AC28"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28" s="2">
        <f>INDEX('Partner data'!DG:DJ,MATCH(I_Miei_Rendiconti[[#This Row],[Column1.partnerId]],'Partner data'!DG:DG,0),3)</f>
        <v>2</v>
      </c>
      <c r="AE28" t="str" cm="1">
        <f t="array" ref="AE28">INDEX('Varie Tabelle'!$A$37:$C$51,MATCH(1,(I_Miei_Rendiconti[[#This Row],[Column1.firstSubmission]]&gt;='Varie Tabelle'!$B$37:$B$51)*(I_Miei_Rendiconti[[#This Row],[Column1.firstSubmission]]&lt;'Varie Tabelle'!$C$37:$C$51),0),1)</f>
        <v>Finestra 1</v>
      </c>
      <c r="AF28" s="109">
        <f>INDEX('Varie Tabelle'!$A$37:$C$51,MATCH('MY-REPORT-MAIN'!AE28,'Varie Tabelle'!$A$37:$A$51,0),2)</f>
        <v>45236</v>
      </c>
      <c r="AG28" s="109">
        <f>INDEX('Partner data'!DG:DR,MATCH(I_Miei_Rendiconti[[#This Row],[Column1.partnerId]],'Partner data'!DG:DG,0),12)</f>
        <v>44927</v>
      </c>
      <c r="AH28" s="115">
        <f t="shared" si="0"/>
        <v>10.161131206839855</v>
      </c>
      <c r="AI28" t="str" cm="1">
        <f t="array" ref="AI28">INDEX('Varie Tabelle'!$A$12:$C$22,MATCH(1,('MY-REPORT-MAIN'!AH28&gt;='Varie Tabelle'!$B$12:$B$22)*('MY-REPORT-MAIN'!AH28&lt;='Varie Tabelle'!$C$12:$C$22),0),1)</f>
        <v>Periodo-1</v>
      </c>
      <c r="AJ28" s="14">
        <f>INDEX('Partner data'!A:EC,MATCH(I_Miei_Rendiconti[[#This Row],[Column1.partnerId]],'Partner data'!DG:DG,0),MATCH('MY-REPORT-MAIN'!AI28,'Partner data'!$2:$2,0))</f>
        <v>6099.5</v>
      </c>
      <c r="AK28" s="10">
        <f>SUMIFS($U$2:U28,$C$2:C28,I_Miei_Rendiconti[[#This Row],[Column1.partnerId]])-AJ28</f>
        <v>11942.16</v>
      </c>
      <c r="AL28" s="16">
        <f>IFERROR(1-(I_Miei_Rendiconti[[#This Row],[Column1.totalAfterSubmitted]]/AJ28),0)</f>
        <v>-1.9578916304615133</v>
      </c>
      <c r="AM28" s="14">
        <f>INDEX('Partner data'!A:EB,MATCH(I_Miei_Rendiconti[[#This Row],[Column1.partnerId]],'Partner data'!DG:DG,0),44)</f>
        <v>180003.75</v>
      </c>
      <c r="AN28" s="14">
        <f>SUMIFS(ListOfExpenditure!AP:AP,ListOfExpenditure!AJ:AJ,I_Miei_Rendiconti[[#This Row],[Column1.id]])</f>
        <v>0</v>
      </c>
      <c r="AO28" s="148">
        <f>SUMIFS(ReportSubmittedBL!W:W,ReportSubmittedBL!D:D,I_Miei_Rendiconti[[#This Row],[Column1.id]])</f>
        <v>8</v>
      </c>
      <c r="AP28" s="155" cm="1">
        <f t="array" ref="AP28">INDEX('Weight tables'!$A$32:$C$36,MATCH(1,('MY-REPORT-MAIN'!AO28&gt;='Weight tables'!$B$32:$B$36)*('MY-REPORT-MAIN'!AO28&lt;='Weight tables'!$C$32:$C$36),0),1)</f>
        <v>6.3</v>
      </c>
      <c r="AQ28" s="155">
        <f>INDEX('Weight tables'!$A$39:$B$41,MATCH(I_Miei_Rendiconti[[#This Row],[Previouse Report checked?yes/no]],'Weight tables'!$B$39:$B$41,0),1)</f>
        <v>8.4</v>
      </c>
      <c r="AR28" s="155" cm="1">
        <f t="array" ref="AR28">IF(I_Miei_Rendiconti[[#This Row],[Sum of errors in previous report ]]="NON PERTINENTE",0,INDEX('Weight tables'!$A$43:$C$46,MATCH(1,(I_Miei_Rendiconti[[#This Row],[Sum of errors in previous report ]]&gt;='Weight tables'!$B$43:$B$46)*(I_Miei_Rendiconti[[#This Row],[Sum of errors in previous report ]]&lt;='Weight tables'!$C$43:$C$46),0),1))</f>
        <v>0</v>
      </c>
      <c r="AS28" s="155" cm="1">
        <f t="array" ref="AS28">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28" s="155" cm="1">
        <f t="array" ref="AT28">INDEX('Weight tables'!$A$56:$C$65,MATCH(1,('MY-REPORT-MAIN'!U28&gt;='Weight tables'!$B$56:$B$65)*('MY-REPORT-MAIN'!U28&lt;='Weight tables'!$C$56:$C$65),0),1)</f>
        <v>1</v>
      </c>
      <c r="AU28" s="155" cm="1">
        <f t="array" ref="AU28">INDEX('Weight tables'!$A$68:$C$71,MATCH(1,('MY-REPORT-MAIN'!AL28&gt;='Weight tables'!$B$68:$B$71)*('MY-REPORT-MAIN'!AL28&lt;='Weight tables'!$C$68:$C$71),0),1)</f>
        <v>0</v>
      </c>
      <c r="AV28" s="155" cm="1">
        <f t="array" ref="AV28">INDEX('Weight tables'!$A$74:$C$78,MATCH(1,('MY-REPORT-MAIN'!AN28&gt;='Weight tables'!$B$74:$B$78)*('MY-REPORT-MAIN'!AN28&lt;='Weight tables'!$C$74:$C$78),0),1)</f>
        <v>0</v>
      </c>
      <c r="AW28" s="16">
        <f>IF(I_Miei_Rendiconti[[#This Row],[Column1.totalAfterSubmitted]]/AM28&gt;50%,"Checked",0)</f>
        <v>0</v>
      </c>
      <c r="AX28" s="155">
        <f t="shared" si="1"/>
        <v>15.7</v>
      </c>
      <c r="AY28" s="155" t="str">
        <f>INDEX('Partner data'!A:EB,MATCH(I_Miei_Rendiconti[[#This Row],[Column1.partnerId]],'Partner data'!DG:DG,0),92)</f>
        <v>Italia (IT)</v>
      </c>
    </row>
    <row r="29" spans="1:51" ht="30" x14ac:dyDescent="0.25">
      <c r="A29" s="79">
        <v>68</v>
      </c>
      <c r="B29" s="79">
        <v>91</v>
      </c>
      <c r="C29" s="79">
        <v>311</v>
      </c>
      <c r="D29" s="79" t="s">
        <v>2561</v>
      </c>
      <c r="E29" s="79" t="s">
        <v>253</v>
      </c>
      <c r="F29" s="79">
        <v>9</v>
      </c>
      <c r="G29" s="206" t="s">
        <v>45</v>
      </c>
      <c r="H29" s="79">
        <v>1</v>
      </c>
      <c r="I29" s="79" t="s">
        <v>4339</v>
      </c>
      <c r="J29" s="79" t="s">
        <v>2373</v>
      </c>
      <c r="K29" s="208">
        <v>45264.813538043978</v>
      </c>
      <c r="M29" s="208">
        <v>45351.458650706016</v>
      </c>
      <c r="N29" s="79" t="s">
        <v>4379</v>
      </c>
      <c r="O29" s="79" t="s">
        <v>4352</v>
      </c>
      <c r="P29" s="79" t="s">
        <v>4342</v>
      </c>
      <c r="Q29" s="79" t="s">
        <v>4343</v>
      </c>
      <c r="R29" s="79">
        <v>12</v>
      </c>
      <c r="S29" s="79">
        <v>1</v>
      </c>
      <c r="T29" s="81">
        <v>113011.39</v>
      </c>
      <c r="U29" s="81">
        <v>113011.39</v>
      </c>
      <c r="V29" s="79" t="str">
        <f>INDEX(pARTNER[#All],MATCH(I_Miei_Rendiconti[[#This Row],[Column1.partnerId]],pARTNER[[#All],[Value.partnerSummary.id]],0),2)</f>
        <v>POSEIDONE</v>
      </c>
      <c r="W29" s="79" t="b">
        <v>0</v>
      </c>
      <c r="X29" s="82">
        <f>I_Miei_Rendiconti[[#This Row],[Column1.totalAfterSubmitted]]-I_Miei_Rendiconti[[#This Row],[Column1.totalEligibleAfterControl]]</f>
        <v>0</v>
      </c>
      <c r="Y29" s="80">
        <f>IF(I_Miei_Rendiconti[[#This Row],[Column1.status]]="Certified",IFERROR(I_Miei_Rendiconti[[#This Row],[Financial corection]]/I_Miei_Rendiconti[[#This Row],[Column1.totalAfterSubmitted]],0),"Rendiconto da certificare")</f>
        <v>0</v>
      </c>
      <c r="Z29" s="207" t="str">
        <f>IF(I_Miei_Rendiconti[[#This Row],[Column1.status]]&lt;&gt;"Certified",INDEX('Partner data'!DG:DQ,MATCH(I_Miei_Rendiconti[[#This Row],[Column1.partnerId]],'Partner data'!DG:DG,0),13),"Rendiconto CONVALIDATO")</f>
        <v>Rendiconto CONVALIDATO</v>
      </c>
      <c r="AA29"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29" s="81" t="str">
        <f>IF(OR(I_Miei_Rendiconti[[#This Row],[N. previouse validated report ]]="Rendiconto CONVALIDATO",I_Miei_Rendiconti[[#This Row],[N. previouse validated report ]]="NON è stato convalidato ancora nessun rendiconto"),"NON PERTINENTE","fai la fromula")</f>
        <v>NON PERTINENTE</v>
      </c>
      <c r="AC29"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29" s="2">
        <f>INDEX('Partner data'!DG:DJ,MATCH(I_Miei_Rendiconti[[#This Row],[Column1.partnerId]],'Partner data'!DG:DG,0),3)</f>
        <v>2</v>
      </c>
      <c r="AE29" t="str" cm="1">
        <f t="array" ref="AE29">INDEX('Varie Tabelle'!$A$37:$C$51,MATCH(1,(I_Miei_Rendiconti[[#This Row],[Column1.firstSubmission]]&gt;='Varie Tabelle'!$B$37:$B$51)*(I_Miei_Rendiconti[[#This Row],[Column1.firstSubmission]]&lt;'Varie Tabelle'!$C$37:$C$51),0),1)</f>
        <v>Finestra 1</v>
      </c>
      <c r="AF29" s="109">
        <f>INDEX('Varie Tabelle'!$A$37:$C$51,MATCH('MY-REPORT-MAIN'!AE29,'Varie Tabelle'!$A$37:$A$51,0),2)</f>
        <v>45236</v>
      </c>
      <c r="AG29" s="109">
        <f>INDEX('Partner data'!DG:DR,MATCH(I_Miei_Rendiconti[[#This Row],[Column1.partnerId]],'Partner data'!DG:DG,0),12)</f>
        <v>44927</v>
      </c>
      <c r="AH29" s="115">
        <f t="shared" si="0"/>
        <v>10.161131206839855</v>
      </c>
      <c r="AI29" t="str" cm="1">
        <f t="array" ref="AI29">INDEX('Varie Tabelle'!$A$12:$C$22,MATCH(1,('MY-REPORT-MAIN'!AH29&gt;='Varie Tabelle'!$B$12:$B$22)*('MY-REPORT-MAIN'!AH29&lt;='Varie Tabelle'!$C$12:$C$22),0),1)</f>
        <v>Periodo-1</v>
      </c>
      <c r="AJ29" s="14">
        <f>INDEX('Partner data'!A:EC,MATCH(I_Miei_Rendiconti[[#This Row],[Column1.partnerId]],'Partner data'!DG:DG,0),MATCH('MY-REPORT-MAIN'!AI29,'Partner data'!$2:$2,0))</f>
        <v>106936.32000000001</v>
      </c>
      <c r="AK29" s="10">
        <f>SUMIFS($U$2:U29,$C$2:C29,I_Miei_Rendiconti[[#This Row],[Column1.partnerId]])-AJ29</f>
        <v>6075.0699999999924</v>
      </c>
      <c r="AL29" s="16">
        <f>IFERROR(1-(I_Miei_Rendiconti[[#This Row],[Column1.totalAfterSubmitted]]/AJ29),0)</f>
        <v>-5.6810165152494374E-2</v>
      </c>
      <c r="AM29" s="14">
        <f>INDEX('Partner data'!A:EB,MATCH(I_Miei_Rendiconti[[#This Row],[Column1.partnerId]],'Partner data'!DG:DG,0),44)</f>
        <v>312500</v>
      </c>
      <c r="AN29" s="14">
        <f>SUMIFS(ListOfExpenditure!AP:AP,ListOfExpenditure!AJ:AJ,I_Miei_Rendiconti[[#This Row],[Column1.id]])</f>
        <v>1</v>
      </c>
      <c r="AO29" s="148">
        <f>SUMIFS(ReportSubmittedBL!W:W,ReportSubmittedBL!D:D,I_Miei_Rendiconti[[#This Row],[Column1.id]])</f>
        <v>16</v>
      </c>
      <c r="AP29" s="155" cm="1">
        <f t="array" ref="AP29">INDEX('Weight tables'!$A$32:$C$36,MATCH(1,('MY-REPORT-MAIN'!AO29&gt;='Weight tables'!$B$32:$B$36)*('MY-REPORT-MAIN'!AO29&lt;='Weight tables'!$C$32:$C$36),0),1)</f>
        <v>8.4</v>
      </c>
      <c r="AQ29" s="155">
        <f>INDEX('Weight tables'!$A$39:$B$41,MATCH(I_Miei_Rendiconti[[#This Row],[Previouse Report checked?yes/no]],'Weight tables'!$B$39:$B$41,0),1)</f>
        <v>8.4</v>
      </c>
      <c r="AR29" s="155" cm="1">
        <f t="array" ref="AR29">IF(I_Miei_Rendiconti[[#This Row],[Sum of errors in previous report ]]="NON PERTINENTE",0,INDEX('Weight tables'!$A$43:$C$46,MATCH(1,(I_Miei_Rendiconti[[#This Row],[Sum of errors in previous report ]]&gt;='Weight tables'!$B$43:$B$46)*(I_Miei_Rendiconti[[#This Row],[Sum of errors in previous report ]]&lt;='Weight tables'!$C$43:$C$46),0),1))</f>
        <v>0</v>
      </c>
      <c r="AS29" s="155" cm="1">
        <f t="array" ref="AS29">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29" s="155" cm="1">
        <f t="array" ref="AT29">INDEX('Weight tables'!$A$56:$C$65,MATCH(1,('MY-REPORT-MAIN'!U29&gt;='Weight tables'!$B$56:$B$65)*('MY-REPORT-MAIN'!U29&lt;='Weight tables'!$C$56:$C$65),0),1)</f>
        <v>8</v>
      </c>
      <c r="AU29" s="155" cm="1">
        <f t="array" ref="AU29">INDEX('Weight tables'!$A$68:$C$71,MATCH(1,('MY-REPORT-MAIN'!AL29&gt;='Weight tables'!$B$68:$B$71)*('MY-REPORT-MAIN'!AL29&lt;='Weight tables'!$C$68:$C$71),0),1)</f>
        <v>0</v>
      </c>
      <c r="AV29" s="155" cm="1">
        <f t="array" ref="AV29">INDEX('Weight tables'!$A$74:$C$78,MATCH(1,('MY-REPORT-MAIN'!AN29&gt;='Weight tables'!$B$74:$B$78)*('MY-REPORT-MAIN'!AN29&lt;='Weight tables'!$C$74:$C$78),0),1)</f>
        <v>0</v>
      </c>
      <c r="AW29" s="16">
        <f>IF(I_Miei_Rendiconti[[#This Row],[Column1.totalAfterSubmitted]]/AM29&gt;50%,"Checked",0)</f>
        <v>0</v>
      </c>
      <c r="AX29" s="155">
        <f t="shared" si="1"/>
        <v>24.8</v>
      </c>
      <c r="AY29" s="155" t="str">
        <f>INDEX('Partner data'!A:EB,MATCH(I_Miei_Rendiconti[[#This Row],[Column1.partnerId]],'Partner data'!DG:DG,0),92)</f>
        <v>Slovenija (SI)</v>
      </c>
    </row>
    <row r="30" spans="1:51" ht="30" x14ac:dyDescent="0.25">
      <c r="A30" s="79">
        <v>33</v>
      </c>
      <c r="B30" s="79">
        <v>54</v>
      </c>
      <c r="C30" s="79">
        <v>86</v>
      </c>
      <c r="D30" s="79" t="s">
        <v>1435</v>
      </c>
      <c r="E30" s="79" t="s">
        <v>253</v>
      </c>
      <c r="F30" s="79">
        <v>2</v>
      </c>
      <c r="G30" s="206" t="s">
        <v>46</v>
      </c>
      <c r="H30" s="79">
        <v>1</v>
      </c>
      <c r="I30" s="79" t="s">
        <v>4339</v>
      </c>
      <c r="J30" s="79" t="s">
        <v>593</v>
      </c>
      <c r="K30" s="208">
        <v>45265.357901388888</v>
      </c>
      <c r="M30" s="208">
        <v>45349.479631400463</v>
      </c>
      <c r="N30" s="79" t="s">
        <v>4355</v>
      </c>
      <c r="O30" s="79" t="s">
        <v>4354</v>
      </c>
      <c r="P30" s="79" t="s">
        <v>4342</v>
      </c>
      <c r="Q30" s="79" t="s">
        <v>4343</v>
      </c>
      <c r="R30" s="79">
        <v>23</v>
      </c>
      <c r="S30" s="79">
        <v>1</v>
      </c>
      <c r="T30" s="81">
        <v>19515.509999999998</v>
      </c>
      <c r="U30" s="81">
        <v>28626.32</v>
      </c>
      <c r="V30" s="79" t="str">
        <f>INDEX(pARTNER[#All],MATCH(I_Miei_Rendiconti[[#This Row],[Column1.partnerId]],pARTNER[[#All],[Value.partnerSummary.id]],0),2)</f>
        <v>X-BRAIN</v>
      </c>
      <c r="W30" s="79" t="b">
        <v>0</v>
      </c>
      <c r="X30" s="82">
        <f>I_Miei_Rendiconti[[#This Row],[Column1.totalAfterSubmitted]]-I_Miei_Rendiconti[[#This Row],[Column1.totalEligibleAfterControl]]</f>
        <v>9110.8100000000013</v>
      </c>
      <c r="Y30" s="80">
        <f>IF(I_Miei_Rendiconti[[#This Row],[Column1.status]]="Certified",IFERROR(I_Miei_Rendiconti[[#This Row],[Financial corection]]/I_Miei_Rendiconti[[#This Row],[Column1.totalAfterSubmitted]],0),"Rendiconto da certificare")</f>
        <v>0.3182668956400963</v>
      </c>
      <c r="Z30" s="207" t="str">
        <f>IF(I_Miei_Rendiconti[[#This Row],[Column1.status]]&lt;&gt;"Certified",INDEX('Partner data'!DG:DQ,MATCH(I_Miei_Rendiconti[[#This Row],[Column1.partnerId]],'Partner data'!DG:DG,0),13),"Rendiconto CONVALIDATO")</f>
        <v>Rendiconto CONVALIDATO</v>
      </c>
      <c r="AA30"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30" s="81" t="str">
        <f>IF(OR(I_Miei_Rendiconti[[#This Row],[N. previouse validated report ]]="Rendiconto CONVALIDATO",I_Miei_Rendiconti[[#This Row],[N. previouse validated report ]]="NON è stato convalidato ancora nessun rendiconto"),"NON PERTINENTE","fai la fromula")</f>
        <v>NON PERTINENTE</v>
      </c>
      <c r="AC30"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30" s="2">
        <f>INDEX('Partner data'!DG:DJ,MATCH(I_Miei_Rendiconti[[#This Row],[Column1.partnerId]],'Partner data'!DG:DG,0),3)</f>
        <v>2</v>
      </c>
      <c r="AE30" t="str" cm="1">
        <f t="array" ref="AE30">INDEX('Varie Tabelle'!$A$37:$C$51,MATCH(1,(I_Miei_Rendiconti[[#This Row],[Column1.firstSubmission]]&gt;='Varie Tabelle'!$B$37:$B$51)*(I_Miei_Rendiconti[[#This Row],[Column1.firstSubmission]]&lt;'Varie Tabelle'!$C$37:$C$51),0),1)</f>
        <v>Finestra 1</v>
      </c>
      <c r="AF30" s="109">
        <f>INDEX('Varie Tabelle'!$A$37:$C$51,MATCH('MY-REPORT-MAIN'!AE30,'Varie Tabelle'!$A$37:$A$51,0),2)</f>
        <v>45236</v>
      </c>
      <c r="AG30" s="109">
        <f>INDEX('Partner data'!DG:DR,MATCH(I_Miei_Rendiconti[[#This Row],[Column1.partnerId]],'Partner data'!DG:DG,0),12)</f>
        <v>45078</v>
      </c>
      <c r="AH30" s="115">
        <f t="shared" si="0"/>
        <v>5.1956593225912533</v>
      </c>
      <c r="AI30" t="str" cm="1">
        <f t="array" ref="AI30">INDEX('Varie Tabelle'!$A$12:$C$22,MATCH(1,('MY-REPORT-MAIN'!AH30&gt;='Varie Tabelle'!$B$12:$B$22)*('MY-REPORT-MAIN'!AH30&lt;='Varie Tabelle'!$C$12:$C$22),0),1)</f>
        <v>Periodo-1</v>
      </c>
      <c r="AJ30" s="14">
        <f>INDEX('Partner data'!A:EC,MATCH(I_Miei_Rendiconti[[#This Row],[Column1.partnerId]],'Partner data'!DG:DG,0),MATCH('MY-REPORT-MAIN'!AI30,'Partner data'!$2:$2,0))</f>
        <v>41401.769999999997</v>
      </c>
      <c r="AK30" s="10">
        <f>SUMIFS($U$2:U30,$C$2:C30,I_Miei_Rendiconti[[#This Row],[Column1.partnerId]])-AJ30</f>
        <v>-12775.449999999997</v>
      </c>
      <c r="AL30" s="16">
        <f>IFERROR(1-(I_Miei_Rendiconti[[#This Row],[Column1.totalAfterSubmitted]]/AJ30),0)</f>
        <v>0.30857255619747659</v>
      </c>
      <c r="AM30" s="14">
        <f>INDEX('Partner data'!A:EB,MATCH(I_Miei_Rendiconti[[#This Row],[Column1.partnerId]],'Partner data'!DG:DG,0),44)</f>
        <v>224965.17</v>
      </c>
      <c r="AN30" s="14">
        <f>SUMIFS(ListOfExpenditure!AP:AP,ListOfExpenditure!AJ:AJ,I_Miei_Rendiconti[[#This Row],[Column1.id]])</f>
        <v>0</v>
      </c>
      <c r="AO30" s="148">
        <f>SUMIFS(ReportSubmittedBL!W:W,ReportSubmittedBL!D:D,I_Miei_Rendiconti[[#This Row],[Column1.id]])</f>
        <v>16</v>
      </c>
      <c r="AP30" s="155" cm="1">
        <f t="array" ref="AP30">INDEX('Weight tables'!$A$32:$C$36,MATCH(1,('MY-REPORT-MAIN'!AO30&gt;='Weight tables'!$B$32:$B$36)*('MY-REPORT-MAIN'!AO30&lt;='Weight tables'!$C$32:$C$36),0),1)</f>
        <v>8.4</v>
      </c>
      <c r="AQ30" s="155">
        <f>INDEX('Weight tables'!$A$39:$B$41,MATCH(I_Miei_Rendiconti[[#This Row],[Previouse Report checked?yes/no]],'Weight tables'!$B$39:$B$41,0),1)</f>
        <v>8.4</v>
      </c>
      <c r="AR30" s="155" cm="1">
        <f t="array" ref="AR30">IF(I_Miei_Rendiconti[[#This Row],[Sum of errors in previous report ]]="NON PERTINENTE",0,INDEX('Weight tables'!$A$43:$C$46,MATCH(1,(I_Miei_Rendiconti[[#This Row],[Sum of errors in previous report ]]&gt;='Weight tables'!$B$43:$B$46)*(I_Miei_Rendiconti[[#This Row],[Sum of errors in previous report ]]&lt;='Weight tables'!$C$43:$C$46),0),1))</f>
        <v>0</v>
      </c>
      <c r="AS30" s="155" cm="1">
        <f t="array" ref="AS30">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30" s="155" cm="1">
        <f t="array" ref="AT30">INDEX('Weight tables'!$A$56:$C$65,MATCH(1,('MY-REPORT-MAIN'!U30&gt;='Weight tables'!$B$56:$B$65)*('MY-REPORT-MAIN'!U30&lt;='Weight tables'!$C$56:$C$65),0),1)</f>
        <v>2</v>
      </c>
      <c r="AU30" s="155" cm="1">
        <f t="array" ref="AU30">INDEX('Weight tables'!$A$68:$C$71,MATCH(1,('MY-REPORT-MAIN'!AL30&gt;='Weight tables'!$B$68:$B$71)*('MY-REPORT-MAIN'!AL30&lt;='Weight tables'!$C$68:$C$71),0),1)</f>
        <v>2</v>
      </c>
      <c r="AV30" s="155" cm="1">
        <f t="array" ref="AV30">INDEX('Weight tables'!$A$74:$C$78,MATCH(1,('MY-REPORT-MAIN'!AN30&gt;='Weight tables'!$B$74:$B$78)*('MY-REPORT-MAIN'!AN30&lt;='Weight tables'!$C$74:$C$78),0),1)</f>
        <v>0</v>
      </c>
      <c r="AW30" s="16">
        <f>IF(I_Miei_Rendiconti[[#This Row],[Column1.totalAfterSubmitted]]/AM30&gt;50%,"Checked",0)</f>
        <v>0</v>
      </c>
      <c r="AX30" s="155">
        <f t="shared" si="1"/>
        <v>20.8</v>
      </c>
      <c r="AY30" s="155" t="str">
        <f>INDEX('Partner data'!A:EB,MATCH(I_Miei_Rendiconti[[#This Row],[Column1.partnerId]],'Partner data'!DG:DG,0),92)</f>
        <v>Slovenija (SI)</v>
      </c>
    </row>
    <row r="31" spans="1:51" ht="30" x14ac:dyDescent="0.25">
      <c r="A31" s="79">
        <v>75</v>
      </c>
      <c r="B31" s="79">
        <v>92</v>
      </c>
      <c r="C31" s="79">
        <v>325</v>
      </c>
      <c r="D31" s="79" t="s">
        <v>2433</v>
      </c>
      <c r="E31" s="79" t="s">
        <v>253</v>
      </c>
      <c r="F31" s="79">
        <v>11</v>
      </c>
      <c r="G31" s="206" t="s">
        <v>69</v>
      </c>
      <c r="H31" s="79">
        <v>1</v>
      </c>
      <c r="I31" s="79" t="s">
        <v>4339</v>
      </c>
      <c r="J31" s="79" t="s">
        <v>2373</v>
      </c>
      <c r="K31" s="208">
        <v>45265.398706504631</v>
      </c>
      <c r="M31" s="208">
        <v>45316.70107826389</v>
      </c>
      <c r="N31" s="79" t="s">
        <v>4383</v>
      </c>
      <c r="O31" s="79" t="s">
        <v>4352</v>
      </c>
      <c r="P31" s="79" t="s">
        <v>4342</v>
      </c>
      <c r="Q31" s="79" t="s">
        <v>4343</v>
      </c>
      <c r="R31" s="79">
        <v>20</v>
      </c>
      <c r="S31" s="79">
        <v>1</v>
      </c>
      <c r="T31" s="81">
        <v>0</v>
      </c>
      <c r="U31" s="81">
        <v>36203.74</v>
      </c>
      <c r="V31" s="79" t="str">
        <f>INDEX(pARTNER[#All],MATCH(I_Miei_Rendiconti[[#This Row],[Column1.partnerId]],pARTNER[[#All],[Value.partnerSummary.id]],0),2)</f>
        <v>KRAS-CARSO II</v>
      </c>
      <c r="W31" s="79" t="b">
        <v>0</v>
      </c>
      <c r="X31" s="82">
        <f>I_Miei_Rendiconti[[#This Row],[Column1.totalAfterSubmitted]]-I_Miei_Rendiconti[[#This Row],[Column1.totalEligibleAfterControl]]</f>
        <v>36203.74</v>
      </c>
      <c r="Y31" s="80">
        <f>IF(I_Miei_Rendiconti[[#This Row],[Column1.status]]="Certified",IFERROR(I_Miei_Rendiconti[[#This Row],[Financial corection]]/I_Miei_Rendiconti[[#This Row],[Column1.totalAfterSubmitted]],0),"Rendiconto da certificare")</f>
        <v>1</v>
      </c>
      <c r="Z31" s="207" t="str">
        <f>IF(I_Miei_Rendiconti[[#This Row],[Column1.status]]&lt;&gt;"Certified",INDEX('Partner data'!DG:DQ,MATCH(I_Miei_Rendiconti[[#This Row],[Column1.partnerId]],'Partner data'!DG:DG,0),13),"Rendiconto CONVALIDATO")</f>
        <v>Rendiconto CONVALIDATO</v>
      </c>
      <c r="AA31"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31" s="81" t="str">
        <f>IF(OR(I_Miei_Rendiconti[[#This Row],[N. previouse validated report ]]="Rendiconto CONVALIDATO",I_Miei_Rendiconti[[#This Row],[N. previouse validated report ]]="NON è stato convalidato ancora nessun rendiconto"),"NON PERTINENTE","fai la fromula")</f>
        <v>NON PERTINENTE</v>
      </c>
      <c r="AC31"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31" s="2">
        <f>INDEX('Partner data'!DG:DJ,MATCH(I_Miei_Rendiconti[[#This Row],[Column1.partnerId]],'Partner data'!DG:DG,0),3)</f>
        <v>2</v>
      </c>
      <c r="AE31" t="str" cm="1">
        <f t="array" ref="AE31">INDEX('Varie Tabelle'!$A$37:$C$51,MATCH(1,(I_Miei_Rendiconti[[#This Row],[Column1.firstSubmission]]&gt;='Varie Tabelle'!$B$37:$B$51)*(I_Miei_Rendiconti[[#This Row],[Column1.firstSubmission]]&lt;'Varie Tabelle'!$C$37:$C$51),0),1)</f>
        <v>Finestra 1</v>
      </c>
      <c r="AF31" s="109">
        <f>INDEX('Varie Tabelle'!$A$37:$C$51,MATCH('MY-REPORT-MAIN'!AE31,'Varie Tabelle'!$A$37:$A$51,0),2)</f>
        <v>45236</v>
      </c>
      <c r="AG31" s="109">
        <f>INDEX('Partner data'!DG:DR,MATCH(I_Miei_Rendiconti[[#This Row],[Column1.partnerId]],'Partner data'!DG:DG,0),12)</f>
        <v>44927</v>
      </c>
      <c r="AH31" s="115">
        <f t="shared" si="0"/>
        <v>10.161131206839855</v>
      </c>
      <c r="AI31" t="str" cm="1">
        <f t="array" ref="AI31">INDEX('Varie Tabelle'!$A$12:$C$22,MATCH(1,('MY-REPORT-MAIN'!AH31&gt;='Varie Tabelle'!$B$12:$B$22)*('MY-REPORT-MAIN'!AH31&lt;='Varie Tabelle'!$C$12:$C$22),0),1)</f>
        <v>Periodo-1</v>
      </c>
      <c r="AJ31" s="14">
        <f>INDEX('Partner data'!A:EC,MATCH(I_Miei_Rendiconti[[#This Row],[Column1.partnerId]],'Partner data'!DG:DG,0),MATCH('MY-REPORT-MAIN'!AI31,'Partner data'!$2:$2,0))</f>
        <v>30947.279999999999</v>
      </c>
      <c r="AK31" s="10">
        <f>SUMIFS($U$2:U31,$C$2:C31,I_Miei_Rendiconti[[#This Row],[Column1.partnerId]])-AJ31</f>
        <v>5256.4599999999991</v>
      </c>
      <c r="AL31" s="16">
        <f>IFERROR(1-(I_Miei_Rendiconti[[#This Row],[Column1.totalAfterSubmitted]]/AJ31),0)</f>
        <v>-0.16985208393112416</v>
      </c>
      <c r="AM31" s="14">
        <f>INDEX('Partner data'!A:EB,MATCH(I_Miei_Rendiconti[[#This Row],[Column1.partnerId]],'Partner data'!DG:DG,0),44)</f>
        <v>334200.09999999998</v>
      </c>
      <c r="AN31" s="14">
        <f>SUMIFS(ListOfExpenditure!AP:AP,ListOfExpenditure!AJ:AJ,I_Miei_Rendiconti[[#This Row],[Column1.id]])</f>
        <v>0</v>
      </c>
      <c r="AO31" s="148">
        <f>SUMIFS(ReportSubmittedBL!W:W,ReportSubmittedBL!D:D,I_Miei_Rendiconti[[#This Row],[Column1.id]])</f>
        <v>8</v>
      </c>
      <c r="AP31" s="155" cm="1">
        <f t="array" ref="AP31">INDEX('Weight tables'!$A$32:$C$36,MATCH(1,('MY-REPORT-MAIN'!AO31&gt;='Weight tables'!$B$32:$B$36)*('MY-REPORT-MAIN'!AO31&lt;='Weight tables'!$C$32:$C$36),0),1)</f>
        <v>6.3</v>
      </c>
      <c r="AQ31" s="155">
        <f>INDEX('Weight tables'!$A$39:$B$41,MATCH(I_Miei_Rendiconti[[#This Row],[Previouse Report checked?yes/no]],'Weight tables'!$B$39:$B$41,0),1)</f>
        <v>8.4</v>
      </c>
      <c r="AR31" s="155" cm="1">
        <f t="array" ref="AR31">IF(I_Miei_Rendiconti[[#This Row],[Sum of errors in previous report ]]="NON PERTINENTE",0,INDEX('Weight tables'!$A$43:$C$46,MATCH(1,(I_Miei_Rendiconti[[#This Row],[Sum of errors in previous report ]]&gt;='Weight tables'!$B$43:$B$46)*(I_Miei_Rendiconti[[#This Row],[Sum of errors in previous report ]]&lt;='Weight tables'!$C$43:$C$46),0),1))</f>
        <v>0</v>
      </c>
      <c r="AS31" s="155" cm="1">
        <f t="array" ref="AS31">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31" s="155" cm="1">
        <f t="array" ref="AT31">INDEX('Weight tables'!$A$56:$C$65,MATCH(1,('MY-REPORT-MAIN'!U31&gt;='Weight tables'!$B$56:$B$65)*('MY-REPORT-MAIN'!U31&lt;='Weight tables'!$C$56:$C$65),0),1)</f>
        <v>3</v>
      </c>
      <c r="AU31" s="155" cm="1">
        <f t="array" ref="AU31">INDEX('Weight tables'!$A$68:$C$71,MATCH(1,('MY-REPORT-MAIN'!AL31&gt;='Weight tables'!$B$68:$B$71)*('MY-REPORT-MAIN'!AL31&lt;='Weight tables'!$C$68:$C$71),0),1)</f>
        <v>0</v>
      </c>
      <c r="AV31" s="155" cm="1">
        <f t="array" ref="AV31">INDEX('Weight tables'!$A$74:$C$78,MATCH(1,('MY-REPORT-MAIN'!AN31&gt;='Weight tables'!$B$74:$B$78)*('MY-REPORT-MAIN'!AN31&lt;='Weight tables'!$C$74:$C$78),0),1)</f>
        <v>0</v>
      </c>
      <c r="AW31" s="16">
        <f>IF(I_Miei_Rendiconti[[#This Row],[Column1.totalAfterSubmitted]]/AM31&gt;50%,"Checked",0)</f>
        <v>0</v>
      </c>
      <c r="AX31" s="155">
        <f t="shared" si="1"/>
        <v>17.7</v>
      </c>
      <c r="AY31" s="155" t="str">
        <f>INDEX('Partner data'!A:EB,MATCH(I_Miei_Rendiconti[[#This Row],[Column1.partnerId]],'Partner data'!DG:DG,0),92)</f>
        <v>Italia (IT)</v>
      </c>
    </row>
    <row r="32" spans="1:51" ht="30" x14ac:dyDescent="0.25">
      <c r="A32" s="79">
        <v>20</v>
      </c>
      <c r="B32" s="79">
        <v>80</v>
      </c>
      <c r="C32" s="79">
        <v>230</v>
      </c>
      <c r="D32" s="79" t="s">
        <v>2132</v>
      </c>
      <c r="E32" s="79" t="s">
        <v>264</v>
      </c>
      <c r="F32" s="79">
        <v>1</v>
      </c>
      <c r="G32" s="206" t="s">
        <v>46</v>
      </c>
      <c r="H32" s="79">
        <v>1</v>
      </c>
      <c r="I32" s="79" t="s">
        <v>4339</v>
      </c>
      <c r="J32" s="79" t="s">
        <v>490</v>
      </c>
      <c r="K32" s="208">
        <v>45265.462094618058</v>
      </c>
      <c r="M32" s="208">
        <v>45348.427644814816</v>
      </c>
      <c r="N32" s="79" t="s">
        <v>4344</v>
      </c>
      <c r="O32" s="79" t="s">
        <v>4345</v>
      </c>
      <c r="P32" s="79" t="s">
        <v>4342</v>
      </c>
      <c r="Q32" s="79" t="s">
        <v>4343</v>
      </c>
      <c r="R32" s="79">
        <v>18</v>
      </c>
      <c r="S32" s="79">
        <v>1</v>
      </c>
      <c r="T32" s="81">
        <v>24986.93</v>
      </c>
      <c r="U32" s="81">
        <v>34482.17</v>
      </c>
      <c r="V32" s="79" t="str">
        <f>INDEX(pARTNER[#All],MATCH(I_Miei_Rendiconti[[#This Row],[Column1.partnerId]],pARTNER[[#All],[Value.partnerSummary.id]],0),2)</f>
        <v>RecapMCV</v>
      </c>
      <c r="W32" s="79" t="b">
        <v>0</v>
      </c>
      <c r="X32" s="82">
        <f>I_Miei_Rendiconti[[#This Row],[Column1.totalAfterSubmitted]]-I_Miei_Rendiconti[[#This Row],[Column1.totalEligibleAfterControl]]</f>
        <v>9495.239999999998</v>
      </c>
      <c r="Y32" s="80">
        <f>IF(I_Miei_Rendiconti[[#This Row],[Column1.status]]="Certified",IFERROR(I_Miei_Rendiconti[[#This Row],[Financial corection]]/I_Miei_Rendiconti[[#This Row],[Column1.totalAfterSubmitted]],0),"Rendiconto da certificare")</f>
        <v>0.27536666050889486</v>
      </c>
      <c r="Z32" s="207" t="str">
        <f>IF(I_Miei_Rendiconti[[#This Row],[Column1.status]]&lt;&gt;"Certified",INDEX('Partner data'!DG:DQ,MATCH(I_Miei_Rendiconti[[#This Row],[Column1.partnerId]],'Partner data'!DG:DG,0),13),"Rendiconto CONVALIDATO")</f>
        <v>Rendiconto CONVALIDATO</v>
      </c>
      <c r="AA32"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32" s="81" t="str">
        <f>IF(OR(I_Miei_Rendiconti[[#This Row],[N. previouse validated report ]]="Rendiconto CONVALIDATO",I_Miei_Rendiconti[[#This Row],[N. previouse validated report ]]="NON è stato convalidato ancora nessun rendiconto"),"NON PERTINENTE","fai la fromula")</f>
        <v>NON PERTINENTE</v>
      </c>
      <c r="AC32"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32" s="2">
        <f>INDEX('Partner data'!DG:DJ,MATCH(I_Miei_Rendiconti[[#This Row],[Column1.partnerId]],'Partner data'!DG:DG,0),3)</f>
        <v>2</v>
      </c>
      <c r="AE32" t="str" cm="1">
        <f t="array" ref="AE32">INDEX('Varie Tabelle'!$A$37:$C$51,MATCH(1,(I_Miei_Rendiconti[[#This Row],[Column1.firstSubmission]]&gt;='Varie Tabelle'!$B$37:$B$51)*(I_Miei_Rendiconti[[#This Row],[Column1.firstSubmission]]&lt;'Varie Tabelle'!$C$37:$C$51),0),1)</f>
        <v>Finestra 1</v>
      </c>
      <c r="AF32" s="109">
        <f>INDEX('Varie Tabelle'!$A$37:$C$51,MATCH('MY-REPORT-MAIN'!AE32,'Varie Tabelle'!$A$37:$A$51,0),2)</f>
        <v>45236</v>
      </c>
      <c r="AG32" s="109">
        <f>INDEX('Partner data'!DG:DR,MATCH(I_Miei_Rendiconti[[#This Row],[Column1.partnerId]],'Partner data'!DG:DG,0),12)</f>
        <v>45108</v>
      </c>
      <c r="AH32" s="115">
        <f t="shared" si="0"/>
        <v>4.2091417296941795</v>
      </c>
      <c r="AI32" t="str" cm="1">
        <f t="array" ref="AI32">INDEX('Varie Tabelle'!$A$12:$C$22,MATCH(1,('MY-REPORT-MAIN'!AH32&gt;='Varie Tabelle'!$B$12:$B$22)*('MY-REPORT-MAIN'!AH32&lt;='Varie Tabelle'!$C$12:$C$22),0),1)</f>
        <v>Periodo-1</v>
      </c>
      <c r="AJ32" s="14">
        <f>INDEX('Partner data'!A:EC,MATCH(I_Miei_Rendiconti[[#This Row],[Column1.partnerId]],'Partner data'!DG:DG,0),MATCH('MY-REPORT-MAIN'!AI32,'Partner data'!$2:$2,0))</f>
        <v>68992.39</v>
      </c>
      <c r="AK32" s="10">
        <f>SUMIFS($U$2:U32,$C$2:C32,I_Miei_Rendiconti[[#This Row],[Column1.partnerId]])-AJ32</f>
        <v>-34510.22</v>
      </c>
      <c r="AL32" s="16">
        <f>IFERROR(1-(I_Miei_Rendiconti[[#This Row],[Column1.totalAfterSubmitted]]/AJ32),0)</f>
        <v>0.5002032832896498</v>
      </c>
      <c r="AM32" s="14">
        <f>INDEX('Partner data'!A:EB,MATCH(I_Miei_Rendiconti[[#This Row],[Column1.partnerId]],'Partner data'!DG:DG,0),44)</f>
        <v>248969.54</v>
      </c>
      <c r="AN32" s="14">
        <f>SUMIFS(ListOfExpenditure!AP:AP,ListOfExpenditure!AJ:AJ,I_Miei_Rendiconti[[#This Row],[Column1.id]])</f>
        <v>0</v>
      </c>
      <c r="AO32" s="148">
        <f>SUMIFS(ReportSubmittedBL!W:W,ReportSubmittedBL!D:D,I_Miei_Rendiconti[[#This Row],[Column1.id]])</f>
        <v>8</v>
      </c>
      <c r="AP32" s="155" cm="1">
        <f t="array" ref="AP32">INDEX('Weight tables'!$A$32:$C$36,MATCH(1,('MY-REPORT-MAIN'!AO32&gt;='Weight tables'!$B$32:$B$36)*('MY-REPORT-MAIN'!AO32&lt;='Weight tables'!$C$32:$C$36),0),1)</f>
        <v>6.3</v>
      </c>
      <c r="AQ32" s="155">
        <f>INDEX('Weight tables'!$A$39:$B$41,MATCH(I_Miei_Rendiconti[[#This Row],[Previouse Report checked?yes/no]],'Weight tables'!$B$39:$B$41,0),1)</f>
        <v>8.4</v>
      </c>
      <c r="AR32" s="155" cm="1">
        <f t="array" ref="AR32">IF(I_Miei_Rendiconti[[#This Row],[Sum of errors in previous report ]]="NON PERTINENTE",0,INDEX('Weight tables'!$A$43:$C$46,MATCH(1,(I_Miei_Rendiconti[[#This Row],[Sum of errors in previous report ]]&gt;='Weight tables'!$B$43:$B$46)*(I_Miei_Rendiconti[[#This Row],[Sum of errors in previous report ]]&lt;='Weight tables'!$C$43:$C$46),0),1))</f>
        <v>0</v>
      </c>
      <c r="AS32" s="155" cm="1">
        <f t="array" ref="AS32">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32" s="155" cm="1">
        <f t="array" ref="AT32">INDEX('Weight tables'!$A$56:$C$65,MATCH(1,('MY-REPORT-MAIN'!U32&gt;='Weight tables'!$B$56:$B$65)*('MY-REPORT-MAIN'!U32&lt;='Weight tables'!$C$56:$C$65),0),1)</f>
        <v>3</v>
      </c>
      <c r="AU32" s="155" cm="1">
        <f t="array" ref="AU32">INDEX('Weight tables'!$A$68:$C$71,MATCH(1,('MY-REPORT-MAIN'!AL32&gt;='Weight tables'!$B$68:$B$71)*('MY-REPORT-MAIN'!AL32&lt;='Weight tables'!$C$68:$C$71),0),1)</f>
        <v>2</v>
      </c>
      <c r="AV32" s="155" cm="1">
        <f t="array" ref="AV32">INDEX('Weight tables'!$A$74:$C$78,MATCH(1,('MY-REPORT-MAIN'!AN32&gt;='Weight tables'!$B$74:$B$78)*('MY-REPORT-MAIN'!AN32&lt;='Weight tables'!$C$74:$C$78),0),1)</f>
        <v>0</v>
      </c>
      <c r="AW32" s="16">
        <f>IF(I_Miei_Rendiconti[[#This Row],[Column1.totalAfterSubmitted]]/AM32&gt;50%,"Checked",0)</f>
        <v>0</v>
      </c>
      <c r="AX32" s="155">
        <f t="shared" si="1"/>
        <v>19.7</v>
      </c>
      <c r="AY32" s="155" t="str">
        <f>INDEX('Partner data'!A:EB,MATCH(I_Miei_Rendiconti[[#This Row],[Column1.partnerId]],'Partner data'!DG:DG,0),92)</f>
        <v>Slovenija (SI)</v>
      </c>
    </row>
    <row r="33" spans="1:51" ht="30" x14ac:dyDescent="0.25">
      <c r="A33" s="79">
        <v>76</v>
      </c>
      <c r="B33" s="79">
        <v>92</v>
      </c>
      <c r="C33" s="79">
        <v>323</v>
      </c>
      <c r="D33" s="79" t="s">
        <v>2433</v>
      </c>
      <c r="E33" s="79" t="s">
        <v>253</v>
      </c>
      <c r="F33" s="79">
        <v>9</v>
      </c>
      <c r="G33" s="206" t="s">
        <v>47</v>
      </c>
      <c r="H33" s="79">
        <v>1</v>
      </c>
      <c r="I33" s="79" t="s">
        <v>4339</v>
      </c>
      <c r="J33" s="79" t="s">
        <v>2373</v>
      </c>
      <c r="K33" s="208">
        <v>45265.484293460649</v>
      </c>
      <c r="M33" s="208">
        <v>45355.531449513888</v>
      </c>
      <c r="N33" s="79" t="s">
        <v>4384</v>
      </c>
      <c r="O33" s="79" t="s">
        <v>4352</v>
      </c>
      <c r="P33" s="79" t="s">
        <v>4342</v>
      </c>
      <c r="Q33" s="79" t="s">
        <v>4343</v>
      </c>
      <c r="R33" s="79">
        <v>20</v>
      </c>
      <c r="S33" s="79">
        <v>1</v>
      </c>
      <c r="T33" s="81">
        <v>40297.94</v>
      </c>
      <c r="U33" s="81">
        <v>40380.550000000003</v>
      </c>
      <c r="V33" s="79" t="str">
        <f>INDEX(pARTNER[#All],MATCH(I_Miei_Rendiconti[[#This Row],[Column1.partnerId]],pARTNER[[#All],[Value.partnerSummary.id]],0),2)</f>
        <v>KRAS-CARSO II</v>
      </c>
      <c r="W33" s="79" t="b">
        <v>0</v>
      </c>
      <c r="X33" s="82">
        <f>I_Miei_Rendiconti[[#This Row],[Column1.totalAfterSubmitted]]-I_Miei_Rendiconti[[#This Row],[Column1.totalEligibleAfterControl]]</f>
        <v>82.610000000000582</v>
      </c>
      <c r="Y33" s="80">
        <f>IF(I_Miei_Rendiconti[[#This Row],[Column1.status]]="Certified",IFERROR(I_Miei_Rendiconti[[#This Row],[Financial corection]]/I_Miei_Rendiconti[[#This Row],[Column1.totalAfterSubmitted]],0),"Rendiconto da certificare")</f>
        <v>2.0457868949283896E-3</v>
      </c>
      <c r="Z33" s="207" t="str">
        <f>IF(I_Miei_Rendiconti[[#This Row],[Column1.status]]&lt;&gt;"Certified",INDEX('Partner data'!DG:DQ,MATCH(I_Miei_Rendiconti[[#This Row],[Column1.partnerId]],'Partner data'!DG:DG,0),13),"Rendiconto CONVALIDATO")</f>
        <v>Rendiconto CONVALIDATO</v>
      </c>
      <c r="AA33"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33" s="81" t="str">
        <f>IF(OR(I_Miei_Rendiconti[[#This Row],[N. previouse validated report ]]="Rendiconto CONVALIDATO",I_Miei_Rendiconti[[#This Row],[N. previouse validated report ]]="NON è stato convalidato ancora nessun rendiconto"),"NON PERTINENTE","fai la fromula")</f>
        <v>NON PERTINENTE</v>
      </c>
      <c r="AC33"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33" s="2">
        <f>INDEX('Partner data'!DG:DJ,MATCH(I_Miei_Rendiconti[[#This Row],[Column1.partnerId]],'Partner data'!DG:DG,0),3)</f>
        <v>2</v>
      </c>
      <c r="AE33" t="str" cm="1">
        <f t="array" ref="AE33">INDEX('Varie Tabelle'!$A$37:$C$51,MATCH(1,(I_Miei_Rendiconti[[#This Row],[Column1.firstSubmission]]&gt;='Varie Tabelle'!$B$37:$B$51)*(I_Miei_Rendiconti[[#This Row],[Column1.firstSubmission]]&lt;'Varie Tabelle'!$C$37:$C$51),0),1)</f>
        <v>Finestra 1</v>
      </c>
      <c r="AF33" s="109">
        <f>INDEX('Varie Tabelle'!$A$37:$C$51,MATCH('MY-REPORT-MAIN'!AE33,'Varie Tabelle'!$A$37:$A$51,0),2)</f>
        <v>45236</v>
      </c>
      <c r="AG33" s="109">
        <f>INDEX('Partner data'!DG:DR,MATCH(I_Miei_Rendiconti[[#This Row],[Column1.partnerId]],'Partner data'!DG:DG,0),12)</f>
        <v>44927</v>
      </c>
      <c r="AH33" s="115">
        <f t="shared" si="0"/>
        <v>10.161131206839855</v>
      </c>
      <c r="AI33" t="str" cm="1">
        <f t="array" ref="AI33">INDEX('Varie Tabelle'!$A$12:$C$22,MATCH(1,('MY-REPORT-MAIN'!AH33&gt;='Varie Tabelle'!$B$12:$B$22)*('MY-REPORT-MAIN'!AH33&lt;='Varie Tabelle'!$C$12:$C$22),0),1)</f>
        <v>Periodo-1</v>
      </c>
      <c r="AJ33" s="14">
        <f>INDEX('Partner data'!A:EC,MATCH(I_Miei_Rendiconti[[#This Row],[Column1.partnerId]],'Partner data'!DG:DG,0),MATCH('MY-REPORT-MAIN'!AI33,'Partner data'!$2:$2,0))</f>
        <v>39298.559999999998</v>
      </c>
      <c r="AK33" s="10">
        <f>SUMIFS($U$2:U33,$C$2:C33,I_Miei_Rendiconti[[#This Row],[Column1.partnerId]])-AJ33</f>
        <v>1081.9900000000052</v>
      </c>
      <c r="AL33" s="16">
        <f>IFERROR(1-(I_Miei_Rendiconti[[#This Row],[Column1.totalAfterSubmitted]]/AJ33),0)</f>
        <v>-2.7532560989512289E-2</v>
      </c>
      <c r="AM33" s="14">
        <f>INDEX('Partner data'!A:EB,MATCH(I_Miei_Rendiconti[[#This Row],[Column1.partnerId]],'Partner data'!DG:DG,0),44)</f>
        <v>529999.94999999995</v>
      </c>
      <c r="AN33" s="14">
        <f>SUMIFS(ListOfExpenditure!AP:AP,ListOfExpenditure!AJ:AJ,I_Miei_Rendiconti[[#This Row],[Column1.id]])</f>
        <v>0</v>
      </c>
      <c r="AO33" s="148">
        <f>SUMIFS(ReportSubmittedBL!W:W,ReportSubmittedBL!D:D,I_Miei_Rendiconti[[#This Row],[Column1.id]])</f>
        <v>16</v>
      </c>
      <c r="AP33" s="155" cm="1">
        <f t="array" ref="AP33">INDEX('Weight tables'!$A$32:$C$36,MATCH(1,('MY-REPORT-MAIN'!AO33&gt;='Weight tables'!$B$32:$B$36)*('MY-REPORT-MAIN'!AO33&lt;='Weight tables'!$C$32:$C$36),0),1)</f>
        <v>8.4</v>
      </c>
      <c r="AQ33" s="155">
        <f>INDEX('Weight tables'!$A$39:$B$41,MATCH(I_Miei_Rendiconti[[#This Row],[Previouse Report checked?yes/no]],'Weight tables'!$B$39:$B$41,0),1)</f>
        <v>8.4</v>
      </c>
      <c r="AR33" s="155" cm="1">
        <f t="array" ref="AR33">IF(I_Miei_Rendiconti[[#This Row],[Sum of errors in previous report ]]="NON PERTINENTE",0,INDEX('Weight tables'!$A$43:$C$46,MATCH(1,(I_Miei_Rendiconti[[#This Row],[Sum of errors in previous report ]]&gt;='Weight tables'!$B$43:$B$46)*(I_Miei_Rendiconti[[#This Row],[Sum of errors in previous report ]]&lt;='Weight tables'!$C$43:$C$46),0),1))</f>
        <v>0</v>
      </c>
      <c r="AS33" s="155" cm="1">
        <f t="array" ref="AS33">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33" s="155" cm="1">
        <f t="array" ref="AT33">INDEX('Weight tables'!$A$56:$C$65,MATCH(1,('MY-REPORT-MAIN'!U33&gt;='Weight tables'!$B$56:$B$65)*('MY-REPORT-MAIN'!U33&lt;='Weight tables'!$C$56:$C$65),0),1)</f>
        <v>4</v>
      </c>
      <c r="AU33" s="155" cm="1">
        <f t="array" ref="AU33">INDEX('Weight tables'!$A$68:$C$71,MATCH(1,('MY-REPORT-MAIN'!AL33&gt;='Weight tables'!$B$68:$B$71)*('MY-REPORT-MAIN'!AL33&lt;='Weight tables'!$C$68:$C$71),0),1)</f>
        <v>0</v>
      </c>
      <c r="AV33" s="155" cm="1">
        <f t="array" ref="AV33">INDEX('Weight tables'!$A$74:$C$78,MATCH(1,('MY-REPORT-MAIN'!AN33&gt;='Weight tables'!$B$74:$B$78)*('MY-REPORT-MAIN'!AN33&lt;='Weight tables'!$C$74:$C$78),0),1)</f>
        <v>0</v>
      </c>
      <c r="AW33" s="16">
        <f>IF(I_Miei_Rendiconti[[#This Row],[Column1.totalAfterSubmitted]]/AM33&gt;50%,"Checked",0)</f>
        <v>0</v>
      </c>
      <c r="AX33" s="155">
        <f t="shared" si="1"/>
        <v>20.8</v>
      </c>
      <c r="AY33" s="155" t="str">
        <f>INDEX('Partner data'!A:EB,MATCH(I_Miei_Rendiconti[[#This Row],[Column1.partnerId]],'Partner data'!DG:DG,0),92)</f>
        <v>Italia (IT)</v>
      </c>
    </row>
    <row r="34" spans="1:51" ht="30" x14ac:dyDescent="0.25">
      <c r="A34" s="79">
        <v>56</v>
      </c>
      <c r="B34" s="79">
        <v>92</v>
      </c>
      <c r="C34" s="79">
        <v>319</v>
      </c>
      <c r="D34" s="79" t="s">
        <v>2433</v>
      </c>
      <c r="E34" s="79" t="s">
        <v>253</v>
      </c>
      <c r="F34" s="79">
        <v>5</v>
      </c>
      <c r="G34" s="206" t="s">
        <v>48</v>
      </c>
      <c r="H34" s="79">
        <v>1</v>
      </c>
      <c r="I34" s="79" t="s">
        <v>4339</v>
      </c>
      <c r="J34" s="79" t="s">
        <v>2373</v>
      </c>
      <c r="K34" s="208">
        <v>45265.537872928238</v>
      </c>
      <c r="M34" s="208">
        <v>45343.451818310183</v>
      </c>
      <c r="N34" s="79" t="s">
        <v>4372</v>
      </c>
      <c r="O34" s="79" t="s">
        <v>4352</v>
      </c>
      <c r="P34" s="79" t="s">
        <v>4342</v>
      </c>
      <c r="Q34" s="79" t="s">
        <v>4343</v>
      </c>
      <c r="R34" s="79">
        <v>20</v>
      </c>
      <c r="S34" s="79">
        <v>1</v>
      </c>
      <c r="T34" s="81">
        <v>9106.6299999999992</v>
      </c>
      <c r="U34" s="81">
        <v>9147.06</v>
      </c>
      <c r="V34" s="79" t="str">
        <f>INDEX(pARTNER[#All],MATCH(I_Miei_Rendiconti[[#This Row],[Column1.partnerId]],pARTNER[[#All],[Value.partnerSummary.id]],0),2)</f>
        <v>KRAS-CARSO II</v>
      </c>
      <c r="W34" s="79" t="b">
        <v>0</v>
      </c>
      <c r="X34" s="82">
        <f>I_Miei_Rendiconti[[#This Row],[Column1.totalAfterSubmitted]]-I_Miei_Rendiconti[[#This Row],[Column1.totalEligibleAfterControl]]</f>
        <v>40.430000000000291</v>
      </c>
      <c r="Y34" s="80">
        <f>IF(I_Miei_Rendiconti[[#This Row],[Column1.status]]="Certified",IFERROR(I_Miei_Rendiconti[[#This Row],[Financial corection]]/I_Miei_Rendiconti[[#This Row],[Column1.totalAfterSubmitted]],0),"Rendiconto da certificare")</f>
        <v>4.4199994315113596E-3</v>
      </c>
      <c r="Z34" s="207" t="str">
        <f>IF(I_Miei_Rendiconti[[#This Row],[Column1.status]]&lt;&gt;"Certified",INDEX('Partner data'!DG:DQ,MATCH(I_Miei_Rendiconti[[#This Row],[Column1.partnerId]],'Partner data'!DG:DG,0),13),"Rendiconto CONVALIDATO")</f>
        <v>Rendiconto CONVALIDATO</v>
      </c>
      <c r="AA34"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34" s="81" t="str">
        <f>IF(OR(I_Miei_Rendiconti[[#This Row],[N. previouse validated report ]]="Rendiconto CONVALIDATO",I_Miei_Rendiconti[[#This Row],[N. previouse validated report ]]="NON è stato convalidato ancora nessun rendiconto"),"NON PERTINENTE","fai la fromula")</f>
        <v>NON PERTINENTE</v>
      </c>
      <c r="AC34"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34" s="2">
        <f>INDEX('Partner data'!DG:DJ,MATCH(I_Miei_Rendiconti[[#This Row],[Column1.partnerId]],'Partner data'!DG:DG,0),3)</f>
        <v>2</v>
      </c>
      <c r="AE34" t="str" cm="1">
        <f t="array" ref="AE34">INDEX('Varie Tabelle'!$A$37:$C$51,MATCH(1,(I_Miei_Rendiconti[[#This Row],[Column1.firstSubmission]]&gt;='Varie Tabelle'!$B$37:$B$51)*(I_Miei_Rendiconti[[#This Row],[Column1.firstSubmission]]&lt;'Varie Tabelle'!$C$37:$C$51),0),1)</f>
        <v>Finestra 1</v>
      </c>
      <c r="AF34" s="109">
        <f>INDEX('Varie Tabelle'!$A$37:$C$51,MATCH('MY-REPORT-MAIN'!AE34,'Varie Tabelle'!$A$37:$A$51,0),2)</f>
        <v>45236</v>
      </c>
      <c r="AG34" s="109">
        <f>INDEX('Partner data'!DG:DR,MATCH(I_Miei_Rendiconti[[#This Row],[Column1.partnerId]],'Partner data'!DG:DG,0),12)</f>
        <v>44927</v>
      </c>
      <c r="AH34" s="115">
        <f t="shared" si="0"/>
        <v>10.161131206839855</v>
      </c>
      <c r="AI34" t="str" cm="1">
        <f t="array" ref="AI34">INDEX('Varie Tabelle'!$A$12:$C$22,MATCH(1,('MY-REPORT-MAIN'!AH34&gt;='Varie Tabelle'!$B$12:$B$22)*('MY-REPORT-MAIN'!AH34&lt;='Varie Tabelle'!$C$12:$C$22),0),1)</f>
        <v>Periodo-1</v>
      </c>
      <c r="AJ34" s="14">
        <f>INDEX('Partner data'!A:EC,MATCH(I_Miei_Rendiconti[[#This Row],[Column1.partnerId]],'Partner data'!DG:DG,0),MATCH('MY-REPORT-MAIN'!AI34,'Partner data'!$2:$2,0))</f>
        <v>10415.94</v>
      </c>
      <c r="AK34" s="10">
        <f>SUMIFS($U$2:U34,$C$2:C34,I_Miei_Rendiconti[[#This Row],[Column1.partnerId]])-AJ34</f>
        <v>-1268.880000000001</v>
      </c>
      <c r="AL34" s="16">
        <f>IFERROR(1-(I_Miei_Rendiconti[[#This Row],[Column1.totalAfterSubmitted]]/AJ34),0)</f>
        <v>0.12182097823144156</v>
      </c>
      <c r="AM34" s="14">
        <f>INDEX('Partner data'!A:EB,MATCH(I_Miei_Rendiconti[[#This Row],[Column1.partnerId]],'Partner data'!DG:DG,0),44)</f>
        <v>120000.05</v>
      </c>
      <c r="AN34" s="14">
        <f>SUMIFS(ListOfExpenditure!AP:AP,ListOfExpenditure!AJ:AJ,I_Miei_Rendiconti[[#This Row],[Column1.id]])</f>
        <v>0</v>
      </c>
      <c r="AO34" s="148">
        <f>SUMIFS(ReportSubmittedBL!W:W,ReportSubmittedBL!D:D,I_Miei_Rendiconti[[#This Row],[Column1.id]])</f>
        <v>8</v>
      </c>
      <c r="AP34" s="155" cm="1">
        <f t="array" ref="AP34">INDEX('Weight tables'!$A$32:$C$36,MATCH(1,('MY-REPORT-MAIN'!AO34&gt;='Weight tables'!$B$32:$B$36)*('MY-REPORT-MAIN'!AO34&lt;='Weight tables'!$C$32:$C$36),0),1)</f>
        <v>6.3</v>
      </c>
      <c r="AQ34" s="155">
        <f>INDEX('Weight tables'!$A$39:$B$41,MATCH(I_Miei_Rendiconti[[#This Row],[Previouse Report checked?yes/no]],'Weight tables'!$B$39:$B$41,0),1)</f>
        <v>8.4</v>
      </c>
      <c r="AR34" s="155" cm="1">
        <f t="array" ref="AR34">IF(I_Miei_Rendiconti[[#This Row],[Sum of errors in previous report ]]="NON PERTINENTE",0,INDEX('Weight tables'!$A$43:$C$46,MATCH(1,(I_Miei_Rendiconti[[#This Row],[Sum of errors in previous report ]]&gt;='Weight tables'!$B$43:$B$46)*(I_Miei_Rendiconti[[#This Row],[Sum of errors in previous report ]]&lt;='Weight tables'!$C$43:$C$46),0),1))</f>
        <v>0</v>
      </c>
      <c r="AS34" s="155" cm="1">
        <f t="array" ref="AS34">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34" s="155" cm="1">
        <f t="array" ref="AT34">INDEX('Weight tables'!$A$56:$C$65,MATCH(1,('MY-REPORT-MAIN'!U34&gt;='Weight tables'!$B$56:$B$65)*('MY-REPORT-MAIN'!U34&lt;='Weight tables'!$C$56:$C$65),0),1)</f>
        <v>0</v>
      </c>
      <c r="AU34" s="155" cm="1">
        <f t="array" ref="AU34">INDEX('Weight tables'!$A$68:$C$71,MATCH(1,('MY-REPORT-MAIN'!AL34&gt;='Weight tables'!$B$68:$B$71)*('MY-REPORT-MAIN'!AL34&lt;='Weight tables'!$C$68:$C$71),0),1)</f>
        <v>1</v>
      </c>
      <c r="AV34" s="155" cm="1">
        <f t="array" ref="AV34">INDEX('Weight tables'!$A$74:$C$78,MATCH(1,('MY-REPORT-MAIN'!AN34&gt;='Weight tables'!$B$74:$B$78)*('MY-REPORT-MAIN'!AN34&lt;='Weight tables'!$C$74:$C$78),0),1)</f>
        <v>0</v>
      </c>
      <c r="AW34" s="16">
        <f>IF(I_Miei_Rendiconti[[#This Row],[Column1.totalAfterSubmitted]]/AM34&gt;50%,"Checked",0)</f>
        <v>0</v>
      </c>
      <c r="AX34" s="155">
        <f t="shared" si="1"/>
        <v>15.7</v>
      </c>
      <c r="AY34" s="155" t="str">
        <f>INDEX('Partner data'!A:EB,MATCH(I_Miei_Rendiconti[[#This Row],[Column1.partnerId]],'Partner data'!DG:DG,0),92)</f>
        <v>Slovenija (SI)</v>
      </c>
    </row>
    <row r="35" spans="1:51" ht="30" x14ac:dyDescent="0.25">
      <c r="A35" s="79">
        <v>69</v>
      </c>
      <c r="B35" s="79">
        <v>92</v>
      </c>
      <c r="C35" s="79">
        <v>321</v>
      </c>
      <c r="D35" s="79" t="s">
        <v>2433</v>
      </c>
      <c r="E35" s="79" t="s">
        <v>253</v>
      </c>
      <c r="F35" s="79">
        <v>7</v>
      </c>
      <c r="G35" s="206" t="s">
        <v>49</v>
      </c>
      <c r="H35" s="79">
        <v>1</v>
      </c>
      <c r="I35" s="79" t="s">
        <v>4339</v>
      </c>
      <c r="J35" s="79" t="s">
        <v>2373</v>
      </c>
      <c r="K35" s="208">
        <v>45265.542748749998</v>
      </c>
      <c r="M35" s="208">
        <v>45344.602895798613</v>
      </c>
      <c r="N35" s="79" t="s">
        <v>4380</v>
      </c>
      <c r="O35" s="79" t="s">
        <v>4352</v>
      </c>
      <c r="P35" s="79" t="s">
        <v>4342</v>
      </c>
      <c r="Q35" s="79" t="s">
        <v>4343</v>
      </c>
      <c r="R35" s="79">
        <v>20</v>
      </c>
      <c r="S35" s="79">
        <v>1</v>
      </c>
      <c r="T35" s="81">
        <v>2557.52</v>
      </c>
      <c r="U35" s="81">
        <v>14694.23</v>
      </c>
      <c r="V35" s="79" t="str">
        <f>INDEX(pARTNER[#All],MATCH(I_Miei_Rendiconti[[#This Row],[Column1.partnerId]],pARTNER[[#All],[Value.partnerSummary.id]],0),2)</f>
        <v>KRAS-CARSO II</v>
      </c>
      <c r="W35" s="79" t="b">
        <v>0</v>
      </c>
      <c r="X35" s="82">
        <f>I_Miei_Rendiconti[[#This Row],[Column1.totalAfterSubmitted]]-I_Miei_Rendiconti[[#This Row],[Column1.totalEligibleAfterControl]]</f>
        <v>12136.71</v>
      </c>
      <c r="Y35" s="80">
        <f>IF(I_Miei_Rendiconti[[#This Row],[Column1.status]]="Certified",IFERROR(I_Miei_Rendiconti[[#This Row],[Financial corection]]/I_Miei_Rendiconti[[#This Row],[Column1.totalAfterSubmitted]],0),"Rendiconto da certificare")</f>
        <v>0.8259507303206769</v>
      </c>
      <c r="Z35" s="207" t="str">
        <f>IF(I_Miei_Rendiconti[[#This Row],[Column1.status]]&lt;&gt;"Certified",INDEX('Partner data'!DG:DQ,MATCH(I_Miei_Rendiconti[[#This Row],[Column1.partnerId]],'Partner data'!DG:DG,0),13),"Rendiconto CONVALIDATO")</f>
        <v>Rendiconto CONVALIDATO</v>
      </c>
      <c r="AA35"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35" s="81" t="str">
        <f>IF(OR(I_Miei_Rendiconti[[#This Row],[N. previouse validated report ]]="Rendiconto CONVALIDATO",I_Miei_Rendiconti[[#This Row],[N. previouse validated report ]]="NON è stato convalidato ancora nessun rendiconto"),"NON PERTINENTE","fai la fromula")</f>
        <v>NON PERTINENTE</v>
      </c>
      <c r="AC35"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35" s="2">
        <f>INDEX('Partner data'!DG:DJ,MATCH(I_Miei_Rendiconti[[#This Row],[Column1.partnerId]],'Partner data'!DG:DG,0),3)</f>
        <v>2</v>
      </c>
      <c r="AE35" t="str" cm="1">
        <f t="array" ref="AE35">INDEX('Varie Tabelle'!$A$37:$C$51,MATCH(1,(I_Miei_Rendiconti[[#This Row],[Column1.firstSubmission]]&gt;='Varie Tabelle'!$B$37:$B$51)*(I_Miei_Rendiconti[[#This Row],[Column1.firstSubmission]]&lt;'Varie Tabelle'!$C$37:$C$51),0),1)</f>
        <v>Finestra 1</v>
      </c>
      <c r="AF35" s="109">
        <f>INDEX('Varie Tabelle'!$A$37:$C$51,MATCH('MY-REPORT-MAIN'!AE35,'Varie Tabelle'!$A$37:$A$51,0),2)</f>
        <v>45236</v>
      </c>
      <c r="AG35" s="109">
        <f>INDEX('Partner data'!DG:DR,MATCH(I_Miei_Rendiconti[[#This Row],[Column1.partnerId]],'Partner data'!DG:DG,0),12)</f>
        <v>44927</v>
      </c>
      <c r="AH35" s="115">
        <f t="shared" si="0"/>
        <v>10.161131206839855</v>
      </c>
      <c r="AI35" t="str" cm="1">
        <f t="array" ref="AI35">INDEX('Varie Tabelle'!$A$12:$C$22,MATCH(1,('MY-REPORT-MAIN'!AH35&gt;='Varie Tabelle'!$B$12:$B$22)*('MY-REPORT-MAIN'!AH35&lt;='Varie Tabelle'!$C$12:$C$22),0),1)</f>
        <v>Periodo-1</v>
      </c>
      <c r="AJ35" s="14">
        <f>INDEX('Partner data'!A:EC,MATCH(I_Miei_Rendiconti[[#This Row],[Column1.partnerId]],'Partner data'!DG:DG,0),MATCH('MY-REPORT-MAIN'!AI35,'Partner data'!$2:$2,0))</f>
        <v>14610.4</v>
      </c>
      <c r="AK35" s="10">
        <f>SUMIFS($U$2:U35,$C$2:C35,I_Miei_Rendiconti[[#This Row],[Column1.partnerId]])-AJ35</f>
        <v>83.829999999999927</v>
      </c>
      <c r="AL35" s="16">
        <f>IFERROR(1-(I_Miei_Rendiconti[[#This Row],[Column1.totalAfterSubmitted]]/AJ35),0)</f>
        <v>-5.7376936976401005E-3</v>
      </c>
      <c r="AM35" s="14">
        <f>INDEX('Partner data'!A:EB,MATCH(I_Miei_Rendiconti[[#This Row],[Column1.partnerId]],'Partner data'!DG:DG,0),44)</f>
        <v>120048.65</v>
      </c>
      <c r="AN35" s="14">
        <f>SUMIFS(ListOfExpenditure!AP:AP,ListOfExpenditure!AJ:AJ,I_Miei_Rendiconti[[#This Row],[Column1.id]])</f>
        <v>0</v>
      </c>
      <c r="AO35" s="148">
        <f>SUMIFS(ReportSubmittedBL!W:W,ReportSubmittedBL!D:D,I_Miei_Rendiconti[[#This Row],[Column1.id]])</f>
        <v>8</v>
      </c>
      <c r="AP35" s="155" cm="1">
        <f t="array" ref="AP35">INDEX('Weight tables'!$A$32:$C$36,MATCH(1,('MY-REPORT-MAIN'!AO35&gt;='Weight tables'!$B$32:$B$36)*('MY-REPORT-MAIN'!AO35&lt;='Weight tables'!$C$32:$C$36),0),1)</f>
        <v>6.3</v>
      </c>
      <c r="AQ35" s="155">
        <f>INDEX('Weight tables'!$A$39:$B$41,MATCH(I_Miei_Rendiconti[[#This Row],[Previouse Report checked?yes/no]],'Weight tables'!$B$39:$B$41,0),1)</f>
        <v>8.4</v>
      </c>
      <c r="AR35" s="155" cm="1">
        <f t="array" ref="AR35">IF(I_Miei_Rendiconti[[#This Row],[Sum of errors in previous report ]]="NON PERTINENTE",0,INDEX('Weight tables'!$A$43:$C$46,MATCH(1,(I_Miei_Rendiconti[[#This Row],[Sum of errors in previous report ]]&gt;='Weight tables'!$B$43:$B$46)*(I_Miei_Rendiconti[[#This Row],[Sum of errors in previous report ]]&lt;='Weight tables'!$C$43:$C$46),0),1))</f>
        <v>0</v>
      </c>
      <c r="AS35" s="155" cm="1">
        <f t="array" ref="AS35">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35" s="155" cm="1">
        <f t="array" ref="AT35">INDEX('Weight tables'!$A$56:$C$65,MATCH(1,('MY-REPORT-MAIN'!U35&gt;='Weight tables'!$B$56:$B$65)*('MY-REPORT-MAIN'!U35&lt;='Weight tables'!$C$56:$C$65),0),1)</f>
        <v>1</v>
      </c>
      <c r="AU35" s="155" cm="1">
        <f t="array" ref="AU35">INDEX('Weight tables'!$A$68:$C$71,MATCH(1,('MY-REPORT-MAIN'!AL35&gt;='Weight tables'!$B$68:$B$71)*('MY-REPORT-MAIN'!AL35&lt;='Weight tables'!$C$68:$C$71),0),1)</f>
        <v>0</v>
      </c>
      <c r="AV35" s="155" cm="1">
        <f t="array" ref="AV35">INDEX('Weight tables'!$A$74:$C$78,MATCH(1,('MY-REPORT-MAIN'!AN35&gt;='Weight tables'!$B$74:$B$78)*('MY-REPORT-MAIN'!AN35&lt;='Weight tables'!$C$74:$C$78),0),1)</f>
        <v>0</v>
      </c>
      <c r="AW35" s="16">
        <f>IF(I_Miei_Rendiconti[[#This Row],[Column1.totalAfterSubmitted]]/AM35&gt;50%,"Checked",0)</f>
        <v>0</v>
      </c>
      <c r="AX35" s="155">
        <f t="shared" si="1"/>
        <v>15.7</v>
      </c>
      <c r="AY35" s="155" t="str">
        <f>INDEX('Partner data'!A:EB,MATCH(I_Miei_Rendiconti[[#This Row],[Column1.partnerId]],'Partner data'!DG:DG,0),92)</f>
        <v>Slovenija (SI)</v>
      </c>
    </row>
    <row r="36" spans="1:51" ht="30" x14ac:dyDescent="0.25">
      <c r="A36" s="79">
        <v>70</v>
      </c>
      <c r="B36" s="79">
        <v>91</v>
      </c>
      <c r="C36" s="79">
        <v>310</v>
      </c>
      <c r="D36" s="79" t="s">
        <v>2561</v>
      </c>
      <c r="E36" s="79" t="s">
        <v>253</v>
      </c>
      <c r="F36" s="79">
        <v>8</v>
      </c>
      <c r="G36" s="206" t="s">
        <v>50</v>
      </c>
      <c r="H36" s="79">
        <v>1</v>
      </c>
      <c r="I36" s="79" t="s">
        <v>4339</v>
      </c>
      <c r="J36" s="79" t="s">
        <v>2373</v>
      </c>
      <c r="K36" s="208">
        <v>45265.684342280096</v>
      </c>
      <c r="M36" s="208">
        <v>45343.388472777777</v>
      </c>
      <c r="N36" s="79" t="s">
        <v>4381</v>
      </c>
      <c r="O36" s="79" t="s">
        <v>4352</v>
      </c>
      <c r="P36" s="79" t="s">
        <v>4342</v>
      </c>
      <c r="Q36" s="79" t="s">
        <v>4343</v>
      </c>
      <c r="R36" s="79">
        <v>12</v>
      </c>
      <c r="S36" s="79">
        <v>1</v>
      </c>
      <c r="T36" s="81">
        <v>35812.6</v>
      </c>
      <c r="U36" s="81">
        <v>35886.949999999997</v>
      </c>
      <c r="V36" s="79" t="str">
        <f>INDEX(pARTNER[#All],MATCH(I_Miei_Rendiconti[[#This Row],[Column1.partnerId]],pARTNER[[#All],[Value.partnerSummary.id]],0),2)</f>
        <v>POSEIDONE</v>
      </c>
      <c r="W36" s="79" t="b">
        <v>0</v>
      </c>
      <c r="X36" s="82">
        <f>I_Miei_Rendiconti[[#This Row],[Column1.totalAfterSubmitted]]-I_Miei_Rendiconti[[#This Row],[Column1.totalEligibleAfterControl]]</f>
        <v>74.349999999998545</v>
      </c>
      <c r="Y36" s="80">
        <f>IF(I_Miei_Rendiconti[[#This Row],[Column1.status]]="Certified",IFERROR(I_Miei_Rendiconti[[#This Row],[Financial corection]]/I_Miei_Rendiconti[[#This Row],[Column1.totalAfterSubmitted]],0),"Rendiconto da certificare")</f>
        <v>2.0717837542616061E-3</v>
      </c>
      <c r="Z36" s="207" t="str">
        <f>IF(I_Miei_Rendiconti[[#This Row],[Column1.status]]&lt;&gt;"Certified",INDEX('Partner data'!DG:DQ,MATCH(I_Miei_Rendiconti[[#This Row],[Column1.partnerId]],'Partner data'!DG:DG,0),13),"Rendiconto CONVALIDATO")</f>
        <v>Rendiconto CONVALIDATO</v>
      </c>
      <c r="AA36"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36" s="81" t="str">
        <f>IF(OR(I_Miei_Rendiconti[[#This Row],[N. previouse validated report ]]="Rendiconto CONVALIDATO",I_Miei_Rendiconti[[#This Row],[N. previouse validated report ]]="NON è stato convalidato ancora nessun rendiconto"),"NON PERTINENTE","fai la fromula")</f>
        <v>NON PERTINENTE</v>
      </c>
      <c r="AC36"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36" s="2">
        <f>INDEX('Partner data'!DG:DJ,MATCH(I_Miei_Rendiconti[[#This Row],[Column1.partnerId]],'Partner data'!DG:DG,0),3)</f>
        <v>2</v>
      </c>
      <c r="AE36" t="str" cm="1">
        <f t="array" ref="AE36">INDEX('Varie Tabelle'!$A$37:$C$51,MATCH(1,(I_Miei_Rendiconti[[#This Row],[Column1.firstSubmission]]&gt;='Varie Tabelle'!$B$37:$B$51)*(I_Miei_Rendiconti[[#This Row],[Column1.firstSubmission]]&lt;'Varie Tabelle'!$C$37:$C$51),0),1)</f>
        <v>Finestra 1</v>
      </c>
      <c r="AF36" s="109">
        <f>INDEX('Varie Tabelle'!$A$37:$C$51,MATCH('MY-REPORT-MAIN'!AE36,'Varie Tabelle'!$A$37:$A$51,0),2)</f>
        <v>45236</v>
      </c>
      <c r="AG36" s="109">
        <f>INDEX('Partner data'!DG:DR,MATCH(I_Miei_Rendiconti[[#This Row],[Column1.partnerId]],'Partner data'!DG:DG,0),12)</f>
        <v>44927</v>
      </c>
      <c r="AH36" s="115">
        <f t="shared" si="0"/>
        <v>10.161131206839855</v>
      </c>
      <c r="AI36" t="str" cm="1">
        <f t="array" ref="AI36">INDEX('Varie Tabelle'!$A$12:$C$22,MATCH(1,('MY-REPORT-MAIN'!AH36&gt;='Varie Tabelle'!$B$12:$B$22)*('MY-REPORT-MAIN'!AH36&lt;='Varie Tabelle'!$C$12:$C$22),0),1)</f>
        <v>Periodo-1</v>
      </c>
      <c r="AJ36" s="14">
        <f>INDEX('Partner data'!A:EC,MATCH(I_Miei_Rendiconti[[#This Row],[Column1.partnerId]],'Partner data'!DG:DG,0),MATCH('MY-REPORT-MAIN'!AI36,'Partner data'!$2:$2,0))</f>
        <v>32037.18</v>
      </c>
      <c r="AK36" s="10">
        <f>SUMIFS($U$2:U36,$C$2:C36,I_Miei_Rendiconti[[#This Row],[Column1.partnerId]])-AJ36</f>
        <v>3849.7699999999968</v>
      </c>
      <c r="AL36" s="16">
        <f>IFERROR(1-(I_Miei_Rendiconti[[#This Row],[Column1.totalAfterSubmitted]]/AJ36),0)</f>
        <v>-0.12016569498314134</v>
      </c>
      <c r="AM36" s="14">
        <f>INDEX('Partner data'!A:EB,MATCH(I_Miei_Rendiconti[[#This Row],[Column1.partnerId]],'Partner data'!DG:DG,0),44)</f>
        <v>312500</v>
      </c>
      <c r="AN36" s="14">
        <f>SUMIFS(ListOfExpenditure!AP:AP,ListOfExpenditure!AJ:AJ,I_Miei_Rendiconti[[#This Row],[Column1.id]])</f>
        <v>0</v>
      </c>
      <c r="AO36" s="148">
        <f>SUMIFS(ReportSubmittedBL!W:W,ReportSubmittedBL!D:D,I_Miei_Rendiconti[[#This Row],[Column1.id]])</f>
        <v>12</v>
      </c>
      <c r="AP36" s="155" cm="1">
        <f t="array" ref="AP36">INDEX('Weight tables'!$A$32:$C$36,MATCH(1,('MY-REPORT-MAIN'!AO36&gt;='Weight tables'!$B$32:$B$36)*('MY-REPORT-MAIN'!AO36&lt;='Weight tables'!$C$32:$C$36),0),1)</f>
        <v>8.4</v>
      </c>
      <c r="AQ36" s="155">
        <f>INDEX('Weight tables'!$A$39:$B$41,MATCH(I_Miei_Rendiconti[[#This Row],[Previouse Report checked?yes/no]],'Weight tables'!$B$39:$B$41,0),1)</f>
        <v>8.4</v>
      </c>
      <c r="AR36" s="155" cm="1">
        <f t="array" ref="AR36">IF(I_Miei_Rendiconti[[#This Row],[Sum of errors in previous report ]]="NON PERTINENTE",0,INDEX('Weight tables'!$A$43:$C$46,MATCH(1,(I_Miei_Rendiconti[[#This Row],[Sum of errors in previous report ]]&gt;='Weight tables'!$B$43:$B$46)*(I_Miei_Rendiconti[[#This Row],[Sum of errors in previous report ]]&lt;='Weight tables'!$C$43:$C$46),0),1))</f>
        <v>0</v>
      </c>
      <c r="AS36" s="155" cm="1">
        <f t="array" ref="AS36">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36" s="155" cm="1">
        <f t="array" ref="AT36">INDEX('Weight tables'!$A$56:$C$65,MATCH(1,('MY-REPORT-MAIN'!U36&gt;='Weight tables'!$B$56:$B$65)*('MY-REPORT-MAIN'!U36&lt;='Weight tables'!$C$56:$C$65),0),1)</f>
        <v>3</v>
      </c>
      <c r="AU36" s="155" cm="1">
        <f t="array" ref="AU36">INDEX('Weight tables'!$A$68:$C$71,MATCH(1,('MY-REPORT-MAIN'!AL36&gt;='Weight tables'!$B$68:$B$71)*('MY-REPORT-MAIN'!AL36&lt;='Weight tables'!$C$68:$C$71),0),1)</f>
        <v>0</v>
      </c>
      <c r="AV36" s="155" cm="1">
        <f t="array" ref="AV36">INDEX('Weight tables'!$A$74:$C$78,MATCH(1,('MY-REPORT-MAIN'!AN36&gt;='Weight tables'!$B$74:$B$78)*('MY-REPORT-MAIN'!AN36&lt;='Weight tables'!$C$74:$C$78),0),1)</f>
        <v>0</v>
      </c>
      <c r="AW36" s="16">
        <f>IF(I_Miei_Rendiconti[[#This Row],[Column1.totalAfterSubmitted]]/AM36&gt;50%,"Checked",0)</f>
        <v>0</v>
      </c>
      <c r="AX36" s="155">
        <f t="shared" si="1"/>
        <v>19.8</v>
      </c>
      <c r="AY36" s="155" t="str">
        <f>INDEX('Partner data'!A:EB,MATCH(I_Miei_Rendiconti[[#This Row],[Column1.partnerId]],'Partner data'!DG:DG,0),92)</f>
        <v>Slovenija (SI)</v>
      </c>
    </row>
    <row r="37" spans="1:51" ht="30" x14ac:dyDescent="0.25">
      <c r="A37" s="79">
        <v>62</v>
      </c>
      <c r="B37" s="79">
        <v>80</v>
      </c>
      <c r="C37" s="79">
        <v>287</v>
      </c>
      <c r="D37" s="79" t="s">
        <v>2132</v>
      </c>
      <c r="E37" s="79" t="s">
        <v>253</v>
      </c>
      <c r="F37" s="79">
        <v>3</v>
      </c>
      <c r="G37" s="206" t="s">
        <v>51</v>
      </c>
      <c r="H37" s="79">
        <v>1</v>
      </c>
      <c r="I37" s="79" t="s">
        <v>4339</v>
      </c>
      <c r="J37" s="79" t="s">
        <v>490</v>
      </c>
      <c r="K37" s="208">
        <v>45265.68441011574</v>
      </c>
      <c r="M37" s="208">
        <v>45370.694056678243</v>
      </c>
      <c r="N37" s="79" t="s">
        <v>4375</v>
      </c>
      <c r="O37" s="79" t="s">
        <v>4345</v>
      </c>
      <c r="P37" s="79" t="s">
        <v>4342</v>
      </c>
      <c r="Q37" s="79" t="s">
        <v>4343</v>
      </c>
      <c r="R37" s="79">
        <v>18</v>
      </c>
      <c r="S37" s="79">
        <v>1</v>
      </c>
      <c r="T37" s="81">
        <v>15592.12</v>
      </c>
      <c r="U37" s="81">
        <v>15882.7</v>
      </c>
      <c r="V37" s="79" t="str">
        <f>INDEX(pARTNER[#All],MATCH(I_Miei_Rendiconti[[#This Row],[Column1.partnerId]],pARTNER[[#All],[Value.partnerSummary.id]],0),2)</f>
        <v>RecapMCV</v>
      </c>
      <c r="W37" s="79" t="b">
        <v>0</v>
      </c>
      <c r="X37" s="82">
        <f>I_Miei_Rendiconti[[#This Row],[Column1.totalAfterSubmitted]]-I_Miei_Rendiconti[[#This Row],[Column1.totalEligibleAfterControl]]</f>
        <v>290.57999999999993</v>
      </c>
      <c r="Y37" s="80">
        <f>IF(I_Miei_Rendiconti[[#This Row],[Column1.status]]="Certified",IFERROR(I_Miei_Rendiconti[[#This Row],[Financial corection]]/I_Miei_Rendiconti[[#This Row],[Column1.totalAfterSubmitted]],0),"Rendiconto da certificare")</f>
        <v>1.8295377989888364E-2</v>
      </c>
      <c r="Z37" s="207" t="str">
        <f>IF(I_Miei_Rendiconti[[#This Row],[Column1.status]]&lt;&gt;"Certified",INDEX('Partner data'!DG:DQ,MATCH(I_Miei_Rendiconti[[#This Row],[Column1.partnerId]],'Partner data'!DG:DG,0),13),"Rendiconto CONVALIDATO")</f>
        <v>Rendiconto CONVALIDATO</v>
      </c>
      <c r="AA37"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37" s="81" t="str">
        <f>IF(OR(I_Miei_Rendiconti[[#This Row],[N. previouse validated report ]]="Rendiconto CONVALIDATO",I_Miei_Rendiconti[[#This Row],[N. previouse validated report ]]="NON è stato convalidato ancora nessun rendiconto"),"NON PERTINENTE","fai la fromula")</f>
        <v>NON PERTINENTE</v>
      </c>
      <c r="AC37"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37" s="2">
        <f>INDEX('Partner data'!DG:DJ,MATCH(I_Miei_Rendiconti[[#This Row],[Column1.partnerId]],'Partner data'!DG:DG,0),3)</f>
        <v>2</v>
      </c>
      <c r="AE37" t="str" cm="1">
        <f t="array" ref="AE37">INDEX('Varie Tabelle'!$A$37:$C$51,MATCH(1,(I_Miei_Rendiconti[[#This Row],[Column1.firstSubmission]]&gt;='Varie Tabelle'!$B$37:$B$51)*(I_Miei_Rendiconti[[#This Row],[Column1.firstSubmission]]&lt;='Varie Tabelle'!$C$37:$C$51),0),1)</f>
        <v>Finestra 1</v>
      </c>
      <c r="AF37" s="109">
        <f>INDEX('Varie Tabelle'!$A$37:$C$51,MATCH('MY-REPORT-MAIN'!AE37,'Varie Tabelle'!$A$37:$A$51,0),2)</f>
        <v>45236</v>
      </c>
      <c r="AG37" s="109">
        <f>INDEX('Partner data'!DG:DR,MATCH(I_Miei_Rendiconti[[#This Row],[Column1.partnerId]],'Partner data'!DG:DG,0),12)</f>
        <v>45108</v>
      </c>
      <c r="AH37" s="115">
        <f t="shared" si="0"/>
        <v>4.2091417296941795</v>
      </c>
      <c r="AI37" t="str" cm="1">
        <f t="array" ref="AI37">INDEX('Varie Tabelle'!$A$12:$C$22,MATCH(1,('MY-REPORT-MAIN'!AH37&gt;='Varie Tabelle'!$B$12:$B$22)*('MY-REPORT-MAIN'!AH37&lt;='Varie Tabelle'!$C$12:$C$22),0),1)</f>
        <v>Periodo-1</v>
      </c>
      <c r="AJ37" s="14">
        <f>INDEX('Partner data'!A:EC,MATCH(I_Miei_Rendiconti[[#This Row],[Column1.partnerId]],'Partner data'!DG:DG,0),MATCH('MY-REPORT-MAIN'!AI37,'Partner data'!$2:$2,0))</f>
        <v>44241</v>
      </c>
      <c r="AK37" s="10">
        <f>SUMIFS($U$2:U37,$C$2:C37,I_Miei_Rendiconti[[#This Row],[Column1.partnerId]])-AJ37</f>
        <v>-28358.3</v>
      </c>
      <c r="AL37" s="16">
        <f>IFERROR(1-(I_Miei_Rendiconti[[#This Row],[Column1.totalAfterSubmitted]]/AJ37),0)</f>
        <v>0.64099590877240575</v>
      </c>
      <c r="AM37" s="14">
        <f>INDEX('Partner data'!A:EB,MATCH(I_Miei_Rendiconti[[#This Row],[Column1.partnerId]],'Partner data'!DG:DG,0),44)</f>
        <v>175314.06</v>
      </c>
      <c r="AN37" s="14">
        <f>SUMIFS(ListOfExpenditure!AP:AP,ListOfExpenditure!AJ:AJ,I_Miei_Rendiconti[[#This Row],[Column1.id]])</f>
        <v>0</v>
      </c>
      <c r="AO37" s="148">
        <f>SUMIFS(ReportSubmittedBL!W:W,ReportSubmittedBL!D:D,I_Miei_Rendiconti[[#This Row],[Column1.id]])</f>
        <v>12</v>
      </c>
      <c r="AP37" s="155" cm="1">
        <f t="array" ref="AP37">INDEX('Weight tables'!$A$32:$C$36,MATCH(1,('MY-REPORT-MAIN'!AO37&gt;='Weight tables'!$B$32:$B$36)*('MY-REPORT-MAIN'!AO37&lt;='Weight tables'!$C$32:$C$36),0),1)</f>
        <v>8.4</v>
      </c>
      <c r="AQ37" s="155">
        <f>INDEX('Weight tables'!$A$39:$B$41,MATCH(I_Miei_Rendiconti[[#This Row],[Previouse Report checked?yes/no]],'Weight tables'!$B$39:$B$41,0),1)</f>
        <v>8.4</v>
      </c>
      <c r="AR37" s="155" cm="1">
        <f t="array" ref="AR37">IF(I_Miei_Rendiconti[[#This Row],[Sum of errors in previous report ]]="NON PERTINENTE",0,INDEX('Weight tables'!$A$43:$C$46,MATCH(1,(I_Miei_Rendiconti[[#This Row],[Sum of errors in previous report ]]&gt;='Weight tables'!$B$43:$B$46)*(I_Miei_Rendiconti[[#This Row],[Sum of errors in previous report ]]&lt;='Weight tables'!$C$43:$C$46),0),1))</f>
        <v>0</v>
      </c>
      <c r="AS37" s="155" cm="1">
        <f t="array" ref="AS37">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37" s="155" cm="1">
        <f t="array" ref="AT37">INDEX('Weight tables'!$A$56:$C$65,MATCH(1,('MY-REPORT-MAIN'!U37&gt;='Weight tables'!$B$56:$B$65)*('MY-REPORT-MAIN'!U37&lt;='Weight tables'!$C$56:$C$65),0),1)</f>
        <v>1</v>
      </c>
      <c r="AU37" s="155" cm="1">
        <f t="array" ref="AU37">INDEX('Weight tables'!$A$68:$C$71,MATCH(1,('MY-REPORT-MAIN'!AL37&gt;='Weight tables'!$B$68:$B$71)*('MY-REPORT-MAIN'!AL37&lt;='Weight tables'!$C$68:$C$71),0),1)</f>
        <v>2</v>
      </c>
      <c r="AV37" s="155" cm="1">
        <f t="array" ref="AV37">INDEX('Weight tables'!$A$74:$C$78,MATCH(1,('MY-REPORT-MAIN'!AN37&gt;='Weight tables'!$B$74:$B$78)*('MY-REPORT-MAIN'!AN37&lt;='Weight tables'!$C$74:$C$78),0),1)</f>
        <v>0</v>
      </c>
      <c r="AW37" s="16">
        <f>IF(I_Miei_Rendiconti[[#This Row],[Column1.totalAfterSubmitted]]/AM37&gt;50%,"Checked",0)</f>
        <v>0</v>
      </c>
      <c r="AX37" s="155">
        <f t="shared" si="1"/>
        <v>19.8</v>
      </c>
      <c r="AY37" s="155" t="str">
        <f>INDEX('Partner data'!A:EB,MATCH(I_Miei_Rendiconti[[#This Row],[Column1.partnerId]],'Partner data'!DG:DG,0),92)</f>
        <v>Italia (IT)</v>
      </c>
    </row>
    <row r="38" spans="1:51" ht="30" x14ac:dyDescent="0.25">
      <c r="A38" s="79">
        <v>63</v>
      </c>
      <c r="B38" s="79">
        <v>92</v>
      </c>
      <c r="C38" s="79">
        <v>314</v>
      </c>
      <c r="D38" s="79" t="s">
        <v>2433</v>
      </c>
      <c r="E38" s="79" t="s">
        <v>264</v>
      </c>
      <c r="F38" s="79">
        <v>1</v>
      </c>
      <c r="G38" s="206" t="s">
        <v>52</v>
      </c>
      <c r="H38" s="79">
        <v>1</v>
      </c>
      <c r="I38" s="79" t="s">
        <v>4339</v>
      </c>
      <c r="J38" s="79" t="s">
        <v>2373</v>
      </c>
      <c r="K38" s="208">
        <v>45265.712830046294</v>
      </c>
      <c r="M38" s="208">
        <v>45356.420426469907</v>
      </c>
      <c r="N38" s="79" t="s">
        <v>4376</v>
      </c>
      <c r="O38" s="79" t="s">
        <v>4352</v>
      </c>
      <c r="P38" s="79" t="s">
        <v>4342</v>
      </c>
      <c r="Q38" s="79" t="s">
        <v>4343</v>
      </c>
      <c r="R38" s="79">
        <v>20</v>
      </c>
      <c r="S38" s="79">
        <v>1</v>
      </c>
      <c r="T38" s="81">
        <v>31075.85</v>
      </c>
      <c r="U38" s="81">
        <v>31075.85</v>
      </c>
      <c r="V38" s="79" t="str">
        <f>INDEX(pARTNER[#All],MATCH(I_Miei_Rendiconti[[#This Row],[Column1.partnerId]],pARTNER[[#All],[Value.partnerSummary.id]],0),2)</f>
        <v>KRAS-CARSO II</v>
      </c>
      <c r="W38" s="79" t="b">
        <v>0</v>
      </c>
      <c r="X38" s="82">
        <f>I_Miei_Rendiconti[[#This Row],[Column1.totalAfterSubmitted]]-I_Miei_Rendiconti[[#This Row],[Column1.totalEligibleAfterControl]]</f>
        <v>0</v>
      </c>
      <c r="Y38" s="80">
        <f>IF(I_Miei_Rendiconti[[#This Row],[Column1.status]]="Certified",IFERROR(I_Miei_Rendiconti[[#This Row],[Financial corection]]/I_Miei_Rendiconti[[#This Row],[Column1.totalAfterSubmitted]],0),"Rendiconto da certificare")</f>
        <v>0</v>
      </c>
      <c r="Z38" s="207" t="str">
        <f>IF(I_Miei_Rendiconti[[#This Row],[Column1.status]]&lt;&gt;"Certified",INDEX('Partner data'!DG:DQ,MATCH(I_Miei_Rendiconti[[#This Row],[Column1.partnerId]],'Partner data'!DG:DG,0),13),"Rendiconto CONVALIDATO")</f>
        <v>Rendiconto CONVALIDATO</v>
      </c>
      <c r="AA38"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38" s="81" t="str">
        <f>IF(OR(I_Miei_Rendiconti[[#This Row],[N. previouse validated report ]]="Rendiconto CONVALIDATO",I_Miei_Rendiconti[[#This Row],[N. previouse validated report ]]="NON è stato convalidato ancora nessun rendiconto"),"NON PERTINENTE","fai la fromula")</f>
        <v>NON PERTINENTE</v>
      </c>
      <c r="AC38"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38" s="2">
        <f>INDEX('Partner data'!DG:DJ,MATCH(I_Miei_Rendiconti[[#This Row],[Column1.partnerId]],'Partner data'!DG:DG,0),3)</f>
        <v>2</v>
      </c>
      <c r="AE38" t="str" cm="1">
        <f t="array" ref="AE38">INDEX('Varie Tabelle'!$A$37:$C$51,MATCH(1,(I_Miei_Rendiconti[[#This Row],[Column1.firstSubmission]]&gt;='Varie Tabelle'!$B$37:$B$51)*(I_Miei_Rendiconti[[#This Row],[Column1.firstSubmission]]&lt;='Varie Tabelle'!$C$37:$C$51),0),1)</f>
        <v>Finestra 1</v>
      </c>
      <c r="AF38" s="109">
        <f>INDEX('Varie Tabelle'!$A$37:$C$51,MATCH('MY-REPORT-MAIN'!AE38,'Varie Tabelle'!$A$37:$A$51,0),2)</f>
        <v>45236</v>
      </c>
      <c r="AG38" s="109">
        <f>INDEX('Partner data'!DG:DR,MATCH(I_Miei_Rendiconti[[#This Row],[Column1.partnerId]],'Partner data'!DG:DG,0),12)</f>
        <v>44927</v>
      </c>
      <c r="AH38" s="115">
        <f t="shared" si="0"/>
        <v>10.161131206839855</v>
      </c>
      <c r="AI38" t="str" cm="1">
        <f t="array" ref="AI38">INDEX('Varie Tabelle'!$A$12:$C$22,MATCH(1,('MY-REPORT-MAIN'!AH38&gt;='Varie Tabelle'!$B$12:$B$22)*('MY-REPORT-MAIN'!AH38&lt;='Varie Tabelle'!$C$12:$C$22),0),1)</f>
        <v>Periodo-1</v>
      </c>
      <c r="AJ38" s="14">
        <f>INDEX('Partner data'!A:EC,MATCH(I_Miei_Rendiconti[[#This Row],[Column1.partnerId]],'Partner data'!DG:DG,0),MATCH('MY-REPORT-MAIN'!AI38,'Partner data'!$2:$2,0))</f>
        <v>50980.58</v>
      </c>
      <c r="AK38" s="10">
        <f>SUMIFS($U$2:U38,$C$2:C38,I_Miei_Rendiconti[[#This Row],[Column1.partnerId]])-AJ38</f>
        <v>-19904.730000000003</v>
      </c>
      <c r="AL38" s="16">
        <f>IFERROR(1-(I_Miei_Rendiconti[[#This Row],[Column1.totalAfterSubmitted]]/AJ38),0)</f>
        <v>0.39043749600338018</v>
      </c>
      <c r="AM38" s="14">
        <f>INDEX('Partner data'!A:EB,MATCH(I_Miei_Rendiconti[[#This Row],[Column1.partnerId]],'Partner data'!DG:DG,0),44)</f>
        <v>1056445.8</v>
      </c>
      <c r="AN38" s="14">
        <f>SUMIFS(ListOfExpenditure!AP:AP,ListOfExpenditure!AJ:AJ,I_Miei_Rendiconti[[#This Row],[Column1.id]])</f>
        <v>0</v>
      </c>
      <c r="AO38" s="148">
        <f>SUMIFS(ReportSubmittedBL!W:W,ReportSubmittedBL!D:D,I_Miei_Rendiconti[[#This Row],[Column1.id]])</f>
        <v>12</v>
      </c>
      <c r="AP38" s="155" cm="1">
        <f t="array" ref="AP38">INDEX('Weight tables'!$A$32:$C$36,MATCH(1,('MY-REPORT-MAIN'!AO38&gt;='Weight tables'!$B$32:$B$36)*('MY-REPORT-MAIN'!AO38&lt;='Weight tables'!$C$32:$C$36),0),1)</f>
        <v>8.4</v>
      </c>
      <c r="AQ38" s="155">
        <f>INDEX('Weight tables'!$A$39:$B$41,MATCH(I_Miei_Rendiconti[[#This Row],[Previouse Report checked?yes/no]],'Weight tables'!$B$39:$B$41,0),1)</f>
        <v>8.4</v>
      </c>
      <c r="AR38" s="155" cm="1">
        <f t="array" ref="AR38">IF(I_Miei_Rendiconti[[#This Row],[Sum of errors in previous report ]]="NON PERTINENTE",0,INDEX('Weight tables'!$A$43:$C$46,MATCH(1,(I_Miei_Rendiconti[[#This Row],[Sum of errors in previous report ]]&gt;='Weight tables'!$B$43:$B$46)*(I_Miei_Rendiconti[[#This Row],[Sum of errors in previous report ]]&lt;='Weight tables'!$C$43:$C$46),0),1))</f>
        <v>0</v>
      </c>
      <c r="AS38" s="155" cm="1">
        <f t="array" ref="AS38">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38" s="155" cm="1">
        <f t="array" ref="AT38">INDEX('Weight tables'!$A$56:$C$65,MATCH(1,('MY-REPORT-MAIN'!U38&gt;='Weight tables'!$B$56:$B$65)*('MY-REPORT-MAIN'!U38&lt;='Weight tables'!$C$56:$C$65),0),1)</f>
        <v>3</v>
      </c>
      <c r="AU38" s="155" cm="1">
        <f t="array" ref="AU38">INDEX('Weight tables'!$A$68:$C$71,MATCH(1,('MY-REPORT-MAIN'!AL38&gt;='Weight tables'!$B$68:$B$71)*('MY-REPORT-MAIN'!AL38&lt;='Weight tables'!$C$68:$C$71),0),1)</f>
        <v>2</v>
      </c>
      <c r="AV38" s="155" cm="1">
        <f t="array" ref="AV38">INDEX('Weight tables'!$A$74:$C$78,MATCH(1,('MY-REPORT-MAIN'!AN38&gt;='Weight tables'!$B$74:$B$78)*('MY-REPORT-MAIN'!AN38&lt;='Weight tables'!$C$74:$C$78),0),1)</f>
        <v>0</v>
      </c>
      <c r="AW38" s="16">
        <f>IF(I_Miei_Rendiconti[[#This Row],[Column1.totalAfterSubmitted]]/AM38&gt;50%,"Checked",0)</f>
        <v>0</v>
      </c>
      <c r="AX38" s="155">
        <f t="shared" si="1"/>
        <v>21.8</v>
      </c>
      <c r="AY38" s="155" t="str">
        <f>INDEX('Partner data'!A:EB,MATCH(I_Miei_Rendiconti[[#This Row],[Column1.partnerId]],'Partner data'!DG:DG,0),92)</f>
        <v>Slovenija (SI)</v>
      </c>
    </row>
    <row r="39" spans="1:51" ht="30" x14ac:dyDescent="0.25">
      <c r="A39" s="79">
        <v>204</v>
      </c>
      <c r="B39" s="79">
        <v>44</v>
      </c>
      <c r="C39" s="79">
        <v>113</v>
      </c>
      <c r="D39" s="79" t="s">
        <v>1116</v>
      </c>
      <c r="E39" s="79" t="s">
        <v>253</v>
      </c>
      <c r="F39" s="79">
        <v>6</v>
      </c>
      <c r="G39" s="206" t="s">
        <v>53</v>
      </c>
      <c r="H39" s="79">
        <v>1</v>
      </c>
      <c r="I39" s="79" t="s">
        <v>4339</v>
      </c>
      <c r="J39" s="79" t="s">
        <v>1118</v>
      </c>
      <c r="K39" s="208">
        <v>45359.540629490744</v>
      </c>
      <c r="M39" s="208">
        <v>45399.418722291666</v>
      </c>
      <c r="N39" s="79" t="s">
        <v>4447</v>
      </c>
      <c r="O39" s="79" t="s">
        <v>4347</v>
      </c>
      <c r="P39" s="79" t="s">
        <v>4348</v>
      </c>
      <c r="Q39" s="79" t="s">
        <v>4343</v>
      </c>
      <c r="R39" s="79">
        <v>2</v>
      </c>
      <c r="S39" s="79">
        <v>1</v>
      </c>
      <c r="T39" s="81">
        <v>19321.650000000001</v>
      </c>
      <c r="U39" s="81">
        <v>19532.7</v>
      </c>
      <c r="V39" s="79" t="str">
        <f>INDEX(pARTNER[#All],MATCH(I_Miei_Rendiconti[[#This Row],[Column1.partnerId]],pARTNER[[#All],[Value.partnerSummary.id]],0),2)</f>
        <v>IMMUNOCLUSTER-2</v>
      </c>
      <c r="W39" s="79" t="b">
        <v>0</v>
      </c>
      <c r="X39" s="82">
        <f>I_Miei_Rendiconti[[#This Row],[Column1.totalAfterSubmitted]]-I_Miei_Rendiconti[[#This Row],[Column1.totalEligibleAfterControl]]</f>
        <v>211.04999999999927</v>
      </c>
      <c r="Y39" s="80">
        <f>IF(I_Miei_Rendiconti[[#This Row],[Column1.status]]="Certified",IFERROR(I_Miei_Rendiconti[[#This Row],[Financial corection]]/I_Miei_Rendiconti[[#This Row],[Column1.totalAfterSubmitted]],0),"Rendiconto da certificare")</f>
        <v>1.0804957839929926E-2</v>
      </c>
      <c r="Z39" s="207" t="str">
        <f>IF(I_Miei_Rendiconti[[#This Row],[Column1.status]]&lt;&gt;"Certified",INDEX('Partner data'!DG:DQ,MATCH(I_Miei_Rendiconti[[#This Row],[Column1.partnerId]],'Partner data'!DG:DG,0),13),"Rendiconto CONVALIDATO")</f>
        <v>Rendiconto CONVALIDATO</v>
      </c>
      <c r="AA39"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39" s="81" t="str">
        <f>IF(OR(I_Miei_Rendiconti[[#This Row],[N. previouse validated report ]]="Rendiconto CONVALIDATO",I_Miei_Rendiconti[[#This Row],[N. previouse validated report ]]="NON è stato convalidato ancora nessun rendiconto"),"NON PERTINENTE","fai la fromula")</f>
        <v>NON PERTINENTE</v>
      </c>
      <c r="AC39"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39" s="2">
        <f>INDEX('Partner data'!DG:DJ,MATCH(I_Miei_Rendiconti[[#This Row],[Column1.partnerId]],'Partner data'!DG:DG,0),3)</f>
        <v>1</v>
      </c>
      <c r="AE39" t="str" cm="1">
        <f t="array" ref="AE39">INDEX('Varie Tabelle'!$A$37:$C$51,MATCH(1,(I_Miei_Rendiconti[[#This Row],[Column1.firstSubmission]]&gt;='Varie Tabelle'!$B$37:$B$51)*(I_Miei_Rendiconti[[#This Row],[Column1.firstSubmission]]&lt;='Varie Tabelle'!$C$37:$C$51),0),1)</f>
        <v>Finestra 2</v>
      </c>
      <c r="AF39" s="109">
        <f>INDEX('Varie Tabelle'!$A$37:$C$51,MATCH('MY-REPORT-MAIN'!AE39,'Varie Tabelle'!$A$37:$A$51,0),2)</f>
        <v>45352</v>
      </c>
      <c r="AG39" s="109">
        <f>INDEX('Partner data'!DG:DR,MATCH(I_Miei_Rendiconti[[#This Row],[Column1.partnerId]],'Partner data'!DG:DG,0),12)</f>
        <v>45170</v>
      </c>
      <c r="AH39" s="115">
        <f t="shared" si="0"/>
        <v>5.9848733969089114</v>
      </c>
      <c r="AI39" t="str" cm="1">
        <f t="array" ref="AI39">INDEX('Varie Tabelle'!$A$12:$C$22,MATCH(1,('MY-REPORT-MAIN'!AH39&gt;='Varie Tabelle'!$B$12:$B$22)*('MY-REPORT-MAIN'!AH39&lt;='Varie Tabelle'!$C$12:$C$22),0),1)</f>
        <v>Periodo-1</v>
      </c>
      <c r="AJ39" s="14">
        <f>INDEX('Partner data'!A:EC,MATCH(I_Miei_Rendiconti[[#This Row],[Column1.partnerId]],'Partner data'!DG:DG,0),MATCH('MY-REPORT-MAIN'!AI39,'Partner data'!$2:$2,0))</f>
        <v>22925.14</v>
      </c>
      <c r="AK39" s="10">
        <f>SUMIFS($U$2:U39,$C$2:C39,I_Miei_Rendiconti[[#This Row],[Column1.partnerId]])-AJ39</f>
        <v>-3392.4399999999987</v>
      </c>
      <c r="AL39" s="16">
        <f>IFERROR(1-(I_Miei_Rendiconti[[#This Row],[Column1.totalAfterSubmitted]]/AJ39),0)</f>
        <v>0.14797903088050934</v>
      </c>
      <c r="AM39" s="14">
        <f>INDEX('Partner data'!A:EB,MATCH(I_Miei_Rendiconti[[#This Row],[Column1.partnerId]],'Partner data'!DG:DG,0),44)</f>
        <v>91700</v>
      </c>
      <c r="AN39" s="14">
        <f>SUMIFS(ListOfExpenditure!AP:AP,ListOfExpenditure!AJ:AJ,I_Miei_Rendiconti[[#This Row],[Column1.id]])</f>
        <v>0</v>
      </c>
      <c r="AO39" s="148">
        <f>SUMIFS(ReportSubmittedBL!W:W,ReportSubmittedBL!D:D,I_Miei_Rendiconti[[#This Row],[Column1.id]])</f>
        <v>8</v>
      </c>
      <c r="AP39" s="155" cm="1">
        <f t="array" ref="AP39">INDEX('Weight tables'!$A$32:$C$36,MATCH(1,('MY-REPORT-MAIN'!AO39&gt;='Weight tables'!$B$32:$B$36)*('MY-REPORT-MAIN'!AO39&lt;='Weight tables'!$C$32:$C$36),0),1)</f>
        <v>6.3</v>
      </c>
      <c r="AQ39" s="155">
        <f>INDEX('Weight tables'!$A$39:$B$41,MATCH(I_Miei_Rendiconti[[#This Row],[Previouse Report checked?yes/no]],'Weight tables'!$B$39:$B$41,0),1)</f>
        <v>8.4</v>
      </c>
      <c r="AR39" s="155" cm="1">
        <f t="array" ref="AR39">IF(I_Miei_Rendiconti[[#This Row],[Sum of errors in previous report ]]="NON PERTINENTE",0,INDEX('Weight tables'!$A$43:$C$46,MATCH(1,(I_Miei_Rendiconti[[#This Row],[Sum of errors in previous report ]]&gt;='Weight tables'!$B$43:$B$46)*(I_Miei_Rendiconti[[#This Row],[Sum of errors in previous report ]]&lt;='Weight tables'!$C$43:$C$46),0),1))</f>
        <v>0</v>
      </c>
      <c r="AS39" s="155" cm="1">
        <f t="array" ref="AS39">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39" s="155" cm="1">
        <f t="array" ref="AT39">INDEX('Weight tables'!$A$56:$C$65,MATCH(1,('MY-REPORT-MAIN'!U39&gt;='Weight tables'!$B$56:$B$65)*('MY-REPORT-MAIN'!U39&lt;='Weight tables'!$C$56:$C$65),0),1)</f>
        <v>1</v>
      </c>
      <c r="AU39" s="155" cm="1">
        <f t="array" ref="AU39">INDEX('Weight tables'!$A$68:$C$71,MATCH(1,('MY-REPORT-MAIN'!AL39&gt;='Weight tables'!$B$68:$B$71)*('MY-REPORT-MAIN'!AL39&lt;='Weight tables'!$C$68:$C$71),0),1)</f>
        <v>1</v>
      </c>
      <c r="AV39" s="155" cm="1">
        <f t="array" ref="AV39">INDEX('Weight tables'!$A$74:$C$78,MATCH(1,('MY-REPORT-MAIN'!AN39&gt;='Weight tables'!$B$74:$B$78)*('MY-REPORT-MAIN'!AN39&lt;='Weight tables'!$C$74:$C$78),0),1)</f>
        <v>0</v>
      </c>
      <c r="AW39" s="16">
        <f>IF(I_Miei_Rendiconti[[#This Row],[Column1.totalAfterSubmitted]]/AM39&gt;50%,"Checked",0)</f>
        <v>0</v>
      </c>
      <c r="AX39" s="155">
        <f t="shared" si="1"/>
        <v>16.7</v>
      </c>
      <c r="AY39" s="155" t="str">
        <f>INDEX('Partner data'!A:EB,MATCH(I_Miei_Rendiconti[[#This Row],[Column1.partnerId]],'Partner data'!DG:DG,0),92)</f>
        <v>Slovenija (SI)</v>
      </c>
    </row>
    <row r="40" spans="1:51" ht="30" x14ac:dyDescent="0.25">
      <c r="A40" s="79">
        <v>216</v>
      </c>
      <c r="B40" s="79">
        <v>91</v>
      </c>
      <c r="C40" s="79">
        <v>309</v>
      </c>
      <c r="D40" s="79" t="s">
        <v>2561</v>
      </c>
      <c r="E40" s="79" t="s">
        <v>253</v>
      </c>
      <c r="F40" s="79">
        <v>7</v>
      </c>
      <c r="G40" s="206" t="s">
        <v>27</v>
      </c>
      <c r="H40" s="79">
        <v>2</v>
      </c>
      <c r="I40" s="79" t="s">
        <v>4339</v>
      </c>
      <c r="J40" s="79" t="s">
        <v>2563</v>
      </c>
      <c r="K40" s="208">
        <v>45371.462641655089</v>
      </c>
      <c r="M40" s="208">
        <v>45393.468401932871</v>
      </c>
      <c r="N40" s="79" t="s">
        <v>4456</v>
      </c>
      <c r="O40" s="79" t="s">
        <v>4363</v>
      </c>
      <c r="P40" s="79" t="s">
        <v>4348</v>
      </c>
      <c r="Q40" s="79" t="s">
        <v>4343</v>
      </c>
      <c r="R40" s="79">
        <v>36</v>
      </c>
      <c r="S40" s="79">
        <v>2</v>
      </c>
      <c r="T40" s="81">
        <v>45739.57</v>
      </c>
      <c r="U40" s="81">
        <v>45739.57</v>
      </c>
      <c r="V40" s="79" t="str">
        <f>INDEX(pARTNER[#All],MATCH(I_Miei_Rendiconti[[#This Row],[Column1.partnerId]],pARTNER[[#All],[Value.partnerSummary.id]],0),2)</f>
        <v>POSEIDONE</v>
      </c>
      <c r="W40" s="79" t="b">
        <v>0</v>
      </c>
      <c r="X40" s="82">
        <f>I_Miei_Rendiconti[[#This Row],[Column1.totalAfterSubmitted]]-I_Miei_Rendiconti[[#This Row],[Column1.totalEligibleAfterControl]]</f>
        <v>0</v>
      </c>
      <c r="Y40" s="80">
        <f>IF(I_Miei_Rendiconti[[#This Row],[Column1.status]]="Certified",IFERROR(I_Miei_Rendiconti[[#This Row],[Financial corection]]/I_Miei_Rendiconti[[#This Row],[Column1.totalAfterSubmitted]],0),"Rendiconto da certificare")</f>
        <v>0</v>
      </c>
      <c r="Z40" s="207" t="str">
        <f>IF(I_Miei_Rendiconti[[#This Row],[Column1.status]]&lt;&gt;"Certified",INDEX('Partner data'!DG:DQ,MATCH(I_Miei_Rendiconti[[#This Row],[Column1.partnerId]],'Partner data'!DG:DG,0),13),"Rendiconto CONVALIDATO")</f>
        <v>Rendiconto CONVALIDATO</v>
      </c>
      <c r="AA40"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40" s="81" t="str">
        <f>IF(OR(I_Miei_Rendiconti[[#This Row],[N. previouse validated report ]]="Rendiconto CONVALIDATO",I_Miei_Rendiconti[[#This Row],[N. previouse validated report ]]="NON è stato convalidato ancora nessun rendiconto"),"NON PERTINENTE","fai la fromula")</f>
        <v>NON PERTINENTE</v>
      </c>
      <c r="AC40"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40" s="2">
        <f>INDEX('Partner data'!DG:DJ,MATCH(I_Miei_Rendiconti[[#This Row],[Column1.partnerId]],'Partner data'!DG:DG,0),3)</f>
        <v>2</v>
      </c>
      <c r="AE40" t="str" cm="1">
        <f t="array" ref="AE40">INDEX('Varie Tabelle'!$A$37:$C$51,MATCH(1,(I_Miei_Rendiconti[[#This Row],[Column1.firstSubmission]]&gt;='Varie Tabelle'!$B$37:$B$51)*(I_Miei_Rendiconti[[#This Row],[Column1.firstSubmission]]&lt;='Varie Tabelle'!$C$37:$C$51),0),1)</f>
        <v>Finestra 2</v>
      </c>
      <c r="AF40" s="109">
        <f>INDEX('Varie Tabelle'!$A$37:$C$51,MATCH('MY-REPORT-MAIN'!AE40,'Varie Tabelle'!$A$37:$A$51,0),2)</f>
        <v>45352</v>
      </c>
      <c r="AG40" s="109">
        <f>INDEX('Partner data'!DG:DR,MATCH(I_Miei_Rendiconti[[#This Row],[Column1.partnerId]],'Partner data'!DG:DG,0),12)</f>
        <v>44927</v>
      </c>
      <c r="AH40" s="115">
        <f t="shared" si="0"/>
        <v>13.975665899375205</v>
      </c>
      <c r="AI40" t="str" cm="1">
        <f t="array" ref="AI40">INDEX('Varie Tabelle'!$A$12:$C$22,MATCH(1,('MY-REPORT-MAIN'!AH40&gt;='Varie Tabelle'!$B$12:$B$22)*('MY-REPORT-MAIN'!AH40&lt;='Varie Tabelle'!$C$12:$C$22),0),1)</f>
        <v>Periodo-2</v>
      </c>
      <c r="AJ40" s="14">
        <f>INDEX('Partner data'!A:EC,MATCH(I_Miei_Rendiconti[[#This Row],[Column1.partnerId]],'Partner data'!DG:DG,0),MATCH('MY-REPORT-MAIN'!AI40,'Partner data'!$2:$2,0))</f>
        <v>82041.790000000008</v>
      </c>
      <c r="AK40" s="10">
        <f>SUMIFS($U$2:U40,$C$2:C40,I_Miei_Rendiconti[[#This Row],[Column1.partnerId]])-AJ40</f>
        <v>18230.419999999984</v>
      </c>
      <c r="AL40" s="16">
        <f>IFERROR(1-(I_Miei_Rendiconti[[#This Row],[Column1.totalAfterSubmitted]]/AJ40),0)</f>
        <v>0.44248449479222729</v>
      </c>
      <c r="AM40" s="14">
        <f>INDEX('Partner data'!A:EB,MATCH(I_Miei_Rendiconti[[#This Row],[Column1.partnerId]],'Partner data'!DG:DG,0),44)</f>
        <v>375000</v>
      </c>
      <c r="AN40" s="14">
        <f>SUMIFS(ListOfExpenditure!AP:AP,ListOfExpenditure!AJ:AJ,I_Miei_Rendiconti[[#This Row],[Column1.id]])</f>
        <v>0</v>
      </c>
      <c r="AO40" s="148">
        <f>SUMIFS(ReportSubmittedBL!W:W,ReportSubmittedBL!D:D,I_Miei_Rendiconti[[#This Row],[Column1.id]])</f>
        <v>16</v>
      </c>
      <c r="AP40" s="155" cm="1">
        <f t="array" ref="AP40">INDEX('Weight tables'!$A$32:$C$36,MATCH(1,('MY-REPORT-MAIN'!AO40&gt;='Weight tables'!$B$32:$B$36)*('MY-REPORT-MAIN'!AO40&lt;='Weight tables'!$C$32:$C$36),0),1)</f>
        <v>8.4</v>
      </c>
      <c r="AQ40" s="155">
        <f>INDEX('Weight tables'!$A$39:$B$41,MATCH(I_Miei_Rendiconti[[#This Row],[Previouse Report checked?yes/no]],'Weight tables'!$B$39:$B$41,0),1)</f>
        <v>8.4</v>
      </c>
      <c r="AR40" s="155" cm="1">
        <f t="array" ref="AR40">IF(I_Miei_Rendiconti[[#This Row],[Sum of errors in previous report ]]="NON PERTINENTE",0,INDEX('Weight tables'!$A$43:$C$46,MATCH(1,(I_Miei_Rendiconti[[#This Row],[Sum of errors in previous report ]]&gt;='Weight tables'!$B$43:$B$46)*(I_Miei_Rendiconti[[#This Row],[Sum of errors in previous report ]]&lt;='Weight tables'!$C$43:$C$46),0),1))</f>
        <v>0</v>
      </c>
      <c r="AS40" s="155" cm="1">
        <f t="array" ref="AS40">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40" s="155" cm="1">
        <f t="array" ref="AT40">INDEX('Weight tables'!$A$56:$C$65,MATCH(1,('MY-REPORT-MAIN'!U40&gt;='Weight tables'!$B$56:$B$65)*('MY-REPORT-MAIN'!U40&lt;='Weight tables'!$C$56:$C$65),0),1)</f>
        <v>4</v>
      </c>
      <c r="AU40" s="155" cm="1">
        <f t="array" ref="AU40">INDEX('Weight tables'!$A$68:$C$71,MATCH(1,('MY-REPORT-MAIN'!AL40&gt;='Weight tables'!$B$68:$B$71)*('MY-REPORT-MAIN'!AL40&lt;='Weight tables'!$C$68:$C$71),0),1)</f>
        <v>2</v>
      </c>
      <c r="AV40" s="155" cm="1">
        <f t="array" ref="AV40">INDEX('Weight tables'!$A$74:$C$78,MATCH(1,('MY-REPORT-MAIN'!AN40&gt;='Weight tables'!$B$74:$B$78)*('MY-REPORT-MAIN'!AN40&lt;='Weight tables'!$C$74:$C$78),0),1)</f>
        <v>0</v>
      </c>
      <c r="AW40" s="16">
        <f>IF(I_Miei_Rendiconti[[#This Row],[Column1.totalAfterSubmitted]]/AM40&gt;50%,"Checked",0)</f>
        <v>0</v>
      </c>
      <c r="AX40" s="155">
        <f t="shared" si="1"/>
        <v>22.8</v>
      </c>
      <c r="AY40" s="155" t="str">
        <f>INDEX('Partner data'!A:EB,MATCH(I_Miei_Rendiconti[[#This Row],[Column1.partnerId]],'Partner data'!DG:DG,0),92)</f>
        <v>Slovenija (SI)</v>
      </c>
    </row>
    <row r="41" spans="1:51" ht="30" x14ac:dyDescent="0.25">
      <c r="A41" s="79">
        <v>185</v>
      </c>
      <c r="B41" s="79">
        <v>43</v>
      </c>
      <c r="C41" s="79">
        <v>63</v>
      </c>
      <c r="D41" s="79" t="s">
        <v>1041</v>
      </c>
      <c r="E41" s="79" t="s">
        <v>253</v>
      </c>
      <c r="F41" s="79">
        <v>4</v>
      </c>
      <c r="G41" s="206" t="s">
        <v>54</v>
      </c>
      <c r="H41" s="79">
        <v>1</v>
      </c>
      <c r="I41" s="79" t="s">
        <v>4339</v>
      </c>
      <c r="J41" s="79" t="s">
        <v>1043</v>
      </c>
      <c r="K41" s="208">
        <v>45371.469923229168</v>
      </c>
      <c r="M41" s="208">
        <v>45397.388268368057</v>
      </c>
      <c r="N41" s="79" t="s">
        <v>4436</v>
      </c>
      <c r="O41" s="79" t="s">
        <v>4363</v>
      </c>
      <c r="P41" s="79" t="s">
        <v>4348</v>
      </c>
      <c r="Q41" s="79" t="s">
        <v>4343</v>
      </c>
      <c r="T41" s="81">
        <v>18095.64</v>
      </c>
      <c r="U41" s="81">
        <v>18095.64</v>
      </c>
      <c r="V41" s="79" t="str">
        <f>INDEX(pARTNER[#All],MATCH(I_Miei_Rendiconti[[#This Row],[Column1.partnerId]],pARTNER[[#All],[Value.partnerSummary.id]],0),2)</f>
        <v>IRRIGAVIT</v>
      </c>
      <c r="W41" s="79" t="b">
        <v>0</v>
      </c>
      <c r="X41" s="82">
        <f>I_Miei_Rendiconti[[#This Row],[Column1.totalAfterSubmitted]]-I_Miei_Rendiconti[[#This Row],[Column1.totalEligibleAfterControl]]</f>
        <v>0</v>
      </c>
      <c r="Y41" s="80">
        <f>IF(I_Miei_Rendiconti[[#This Row],[Column1.status]]="Certified",IFERROR(I_Miei_Rendiconti[[#This Row],[Financial corection]]/I_Miei_Rendiconti[[#This Row],[Column1.totalAfterSubmitted]],0),"Rendiconto da certificare")</f>
        <v>0</v>
      </c>
      <c r="Z41" s="207" t="str">
        <f>IF(I_Miei_Rendiconti[[#This Row],[Column1.status]]&lt;&gt;"Certified",INDEX('Partner data'!DG:DQ,MATCH(I_Miei_Rendiconti[[#This Row],[Column1.partnerId]],'Partner data'!DG:DG,0),13),"Rendiconto CONVALIDATO")</f>
        <v>Rendiconto CONVALIDATO</v>
      </c>
      <c r="AA41"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41" s="81" t="str">
        <f>IF(OR(I_Miei_Rendiconti[[#This Row],[N. previouse validated report ]]="Rendiconto CONVALIDATO",I_Miei_Rendiconti[[#This Row],[N. previouse validated report ]]="NON è stato convalidato ancora nessun rendiconto"),"NON PERTINENTE","fai la fromula")</f>
        <v>NON PERTINENTE</v>
      </c>
      <c r="AC41"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41" s="2">
        <f>INDEX('Partner data'!DG:DJ,MATCH(I_Miei_Rendiconti[[#This Row],[Column1.partnerId]],'Partner data'!DG:DG,0),3)</f>
        <v>1</v>
      </c>
      <c r="AE41" t="str" cm="1">
        <f t="array" ref="AE41">INDEX('Varie Tabelle'!$A$37:$C$51,MATCH(1,(I_Miei_Rendiconti[[#This Row],[Column1.firstSubmission]]&gt;='Varie Tabelle'!$B$37:$B$51)*(I_Miei_Rendiconti[[#This Row],[Column1.firstSubmission]]&lt;='Varie Tabelle'!$C$37:$C$51),0),1)</f>
        <v>Finestra 2</v>
      </c>
      <c r="AF41" s="109">
        <f>INDEX('Varie Tabelle'!$A$37:$C$51,MATCH('MY-REPORT-MAIN'!AE41,'Varie Tabelle'!$A$37:$A$51,0),2)</f>
        <v>45352</v>
      </c>
      <c r="AG41" s="109">
        <f>INDEX('Partner data'!DG:DR,MATCH(I_Miei_Rendiconti[[#This Row],[Column1.partnerId]],'Partner data'!DG:DG,0),12)</f>
        <v>45200</v>
      </c>
      <c r="AH41" s="115">
        <f t="shared" si="0"/>
        <v>4.9983558040118385</v>
      </c>
      <c r="AI41" t="str" cm="1">
        <f t="array" ref="AI41">INDEX('Varie Tabelle'!$A$12:$C$22,MATCH(1,('MY-REPORT-MAIN'!AH41&gt;='Varie Tabelle'!$B$12:$B$22)*('MY-REPORT-MAIN'!AH41&lt;='Varie Tabelle'!$C$12:$C$22),0),1)</f>
        <v>Periodo-1</v>
      </c>
      <c r="AJ41" s="14">
        <f>INDEX('Partner data'!A:EC,MATCH(I_Miei_Rendiconti[[#This Row],[Column1.partnerId]],'Partner data'!DG:DG,0),MATCH('MY-REPORT-MAIN'!AI41,'Partner data'!$2:$2,0))</f>
        <v>19040</v>
      </c>
      <c r="AK41" s="10">
        <f>SUMIFS($U$2:U41,$C$2:C41,I_Miei_Rendiconti[[#This Row],[Column1.partnerId]])-AJ41</f>
        <v>-944.36000000000058</v>
      </c>
      <c r="AL41" s="16">
        <f>IFERROR(1-(I_Miei_Rendiconti[[#This Row],[Column1.totalAfterSubmitted]]/AJ41),0)</f>
        <v>4.9598739495798405E-2</v>
      </c>
      <c r="AM41" s="14">
        <f>INDEX('Partner data'!A:EB,MATCH(I_Miei_Rendiconti[[#This Row],[Column1.partnerId]],'Partner data'!DG:DG,0),44)</f>
        <v>90440</v>
      </c>
      <c r="AN41" s="14">
        <f>SUMIFS(ListOfExpenditure!AP:AP,ListOfExpenditure!AJ:AJ,I_Miei_Rendiconti[[#This Row],[Column1.id]])</f>
        <v>0</v>
      </c>
      <c r="AO41" s="148">
        <f>SUMIFS(ReportSubmittedBL!W:W,ReportSubmittedBL!D:D,I_Miei_Rendiconti[[#This Row],[Column1.id]])</f>
        <v>12</v>
      </c>
      <c r="AP41" s="155" cm="1">
        <f t="array" ref="AP41">INDEX('Weight tables'!$A$32:$C$36,MATCH(1,('MY-REPORT-MAIN'!AO41&gt;='Weight tables'!$B$32:$B$36)*('MY-REPORT-MAIN'!AO41&lt;='Weight tables'!$C$32:$C$36),0),1)</f>
        <v>8.4</v>
      </c>
      <c r="AQ41" s="155">
        <f>INDEX('Weight tables'!$A$39:$B$41,MATCH(I_Miei_Rendiconti[[#This Row],[Previouse Report checked?yes/no]],'Weight tables'!$B$39:$B$41,0),1)</f>
        <v>8.4</v>
      </c>
      <c r="AR41" s="155" cm="1">
        <f t="array" ref="AR41">IF(I_Miei_Rendiconti[[#This Row],[Sum of errors in previous report ]]="NON PERTINENTE",0,INDEX('Weight tables'!$A$43:$C$46,MATCH(1,(I_Miei_Rendiconti[[#This Row],[Sum of errors in previous report ]]&gt;='Weight tables'!$B$43:$B$46)*(I_Miei_Rendiconti[[#This Row],[Sum of errors in previous report ]]&lt;='Weight tables'!$C$43:$C$46),0),1))</f>
        <v>0</v>
      </c>
      <c r="AS41" s="155" cm="1">
        <f t="array" ref="AS41">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41" s="155" cm="1">
        <f t="array" ref="AT41">INDEX('Weight tables'!$A$56:$C$65,MATCH(1,('MY-REPORT-MAIN'!U41&gt;='Weight tables'!$B$56:$B$65)*('MY-REPORT-MAIN'!U41&lt;='Weight tables'!$C$56:$C$65),0),1)</f>
        <v>1</v>
      </c>
      <c r="AU41" s="155" cm="1">
        <f t="array" ref="AU41">INDEX('Weight tables'!$A$68:$C$71,MATCH(1,('MY-REPORT-MAIN'!AL41&gt;='Weight tables'!$B$68:$B$71)*('MY-REPORT-MAIN'!AL41&lt;='Weight tables'!$C$68:$C$71),0),1)</f>
        <v>0</v>
      </c>
      <c r="AV41" s="155" cm="1">
        <f t="array" ref="AV41">INDEX('Weight tables'!$A$74:$C$78,MATCH(1,('MY-REPORT-MAIN'!AN41&gt;='Weight tables'!$B$74:$B$78)*('MY-REPORT-MAIN'!AN41&lt;='Weight tables'!$C$74:$C$78),0),1)</f>
        <v>0</v>
      </c>
      <c r="AW41" s="16">
        <f>IF(I_Miei_Rendiconti[[#This Row],[Column1.totalAfterSubmitted]]/AM41&gt;50%,"Checked",0)</f>
        <v>0</v>
      </c>
      <c r="AX41" s="155">
        <f t="shared" si="1"/>
        <v>17.8</v>
      </c>
      <c r="AY41" s="155" t="str">
        <f>INDEX('Partner data'!A:EB,MATCH(I_Miei_Rendiconti[[#This Row],[Column1.partnerId]],'Partner data'!DG:DG,0),92)</f>
        <v>Slovenija (SI)</v>
      </c>
    </row>
    <row r="42" spans="1:51" ht="30" x14ac:dyDescent="0.25">
      <c r="A42" s="79">
        <v>171</v>
      </c>
      <c r="B42" s="79">
        <v>44</v>
      </c>
      <c r="C42" s="79">
        <v>112</v>
      </c>
      <c r="D42" s="79" t="s">
        <v>1116</v>
      </c>
      <c r="E42" s="79" t="s">
        <v>253</v>
      </c>
      <c r="F42" s="79">
        <v>5</v>
      </c>
      <c r="G42" s="206" t="s">
        <v>293</v>
      </c>
      <c r="H42" s="79">
        <v>1</v>
      </c>
      <c r="I42" s="79" t="s">
        <v>4339</v>
      </c>
      <c r="J42" s="79" t="s">
        <v>1118</v>
      </c>
      <c r="K42" s="208">
        <v>45371.470704594911</v>
      </c>
      <c r="M42" s="208">
        <v>45443.670113009262</v>
      </c>
      <c r="N42" s="79" t="s">
        <v>4425</v>
      </c>
      <c r="O42" s="79" t="s">
        <v>4347</v>
      </c>
      <c r="P42" s="79" t="s">
        <v>4348</v>
      </c>
      <c r="Q42" s="79" t="s">
        <v>4343</v>
      </c>
      <c r="R42" s="79">
        <v>2</v>
      </c>
      <c r="S42" s="79">
        <v>1</v>
      </c>
      <c r="T42" s="81">
        <v>1786.4</v>
      </c>
      <c r="U42" s="81">
        <v>1786.4</v>
      </c>
      <c r="V42" s="79" t="str">
        <f>INDEX(pARTNER[#All],MATCH(I_Miei_Rendiconti[[#This Row],[Column1.partnerId]],pARTNER[[#All],[Value.partnerSummary.id]],0),2)</f>
        <v>IMMUNOCLUSTER-2</v>
      </c>
      <c r="W42" s="79" t="b">
        <v>0</v>
      </c>
      <c r="X42" s="82">
        <f>I_Miei_Rendiconti[[#This Row],[Column1.totalAfterSubmitted]]-I_Miei_Rendiconti[[#This Row],[Column1.totalEligibleAfterControl]]</f>
        <v>0</v>
      </c>
      <c r="Y42" s="80">
        <f>IF(I_Miei_Rendiconti[[#This Row],[Column1.status]]="Certified",IFERROR(I_Miei_Rendiconti[[#This Row],[Financial corection]]/I_Miei_Rendiconti[[#This Row],[Column1.totalAfterSubmitted]],0),"Rendiconto da certificare")</f>
        <v>0</v>
      </c>
      <c r="Z42" s="207" t="str">
        <f>IF(I_Miei_Rendiconti[[#This Row],[Column1.status]]&lt;&gt;"Certified",INDEX('Partner data'!DG:DQ,MATCH(I_Miei_Rendiconti[[#This Row],[Column1.partnerId]],'Partner data'!DG:DG,0),13),"Rendiconto CONVALIDATO")</f>
        <v>Rendiconto CONVALIDATO</v>
      </c>
      <c r="AA42"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42" s="81" t="str">
        <f>IF(OR(I_Miei_Rendiconti[[#This Row],[N. previouse validated report ]]="Rendiconto CONVALIDATO",I_Miei_Rendiconti[[#This Row],[N. previouse validated report ]]="NON è stato convalidato ancora nessun rendiconto"),"NON PERTINENTE","fai la fromula")</f>
        <v>NON PERTINENTE</v>
      </c>
      <c r="AC42"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42" s="2">
        <f>INDEX('Partner data'!DG:DJ,MATCH(I_Miei_Rendiconti[[#This Row],[Column1.partnerId]],'Partner data'!DG:DG,0),3)</f>
        <v>1</v>
      </c>
      <c r="AE42" t="str" cm="1">
        <f t="array" ref="AE42">INDEX('Varie Tabelle'!$A$37:$C$51,MATCH(1,(I_Miei_Rendiconti[[#This Row],[Column1.firstSubmission]]&gt;='Varie Tabelle'!$B$37:$B$51)*(I_Miei_Rendiconti[[#This Row],[Column1.firstSubmission]]&lt;='Varie Tabelle'!$C$37:$C$51),0),1)</f>
        <v>Finestra 2</v>
      </c>
      <c r="AF42" s="109">
        <f>INDEX('Varie Tabelle'!$A$37:$C$51,MATCH('MY-REPORT-MAIN'!AE42,'Varie Tabelle'!$A$37:$A$51,0),2)</f>
        <v>45352</v>
      </c>
      <c r="AG42" s="109">
        <f>INDEX('Partner data'!DG:DR,MATCH(I_Miei_Rendiconti[[#This Row],[Column1.partnerId]],'Partner data'!DG:DG,0),12)</f>
        <v>45170</v>
      </c>
      <c r="AH42" s="115">
        <f t="shared" si="0"/>
        <v>5.9848733969089114</v>
      </c>
      <c r="AI42" t="str" cm="1">
        <f t="array" ref="AI42">INDEX('Varie Tabelle'!$A$12:$C$22,MATCH(1,('MY-REPORT-MAIN'!AH42&gt;='Varie Tabelle'!$B$12:$B$22)*('MY-REPORT-MAIN'!AH42&lt;='Varie Tabelle'!$C$12:$C$22),0),1)</f>
        <v>Periodo-1</v>
      </c>
      <c r="AJ42" s="14">
        <f>INDEX('Partner data'!A:EC,MATCH(I_Miei_Rendiconti[[#This Row],[Column1.partnerId]],'Partner data'!DG:DG,0),MATCH('MY-REPORT-MAIN'!AI42,'Partner data'!$2:$2,0))</f>
        <v>21362.6</v>
      </c>
      <c r="AK42" s="10">
        <f>SUMIFS($U$2:U42,$C$2:C42,I_Miei_Rendiconti[[#This Row],[Column1.partnerId]])-AJ42</f>
        <v>-19576.199999999997</v>
      </c>
      <c r="AL42" s="16">
        <f>IFERROR(1-(I_Miei_Rendiconti[[#This Row],[Column1.totalAfterSubmitted]]/AJ42),0)</f>
        <v>0.91637722000131072</v>
      </c>
      <c r="AM42" s="14">
        <f>INDEX('Partner data'!A:EB,MATCH(I_Miei_Rendiconti[[#This Row],[Column1.partnerId]],'Partner data'!DG:DG,0),44)</f>
        <v>91649.600000000006</v>
      </c>
      <c r="AN42" s="14">
        <f>SUMIFS(ListOfExpenditure!AP:AP,ListOfExpenditure!AJ:AJ,I_Miei_Rendiconti[[#This Row],[Column1.id]])</f>
        <v>0</v>
      </c>
      <c r="AO42" s="148">
        <f>SUMIFS(ReportSubmittedBL!W:W,ReportSubmittedBL!D:D,I_Miei_Rendiconti[[#This Row],[Column1.id]])</f>
        <v>6</v>
      </c>
      <c r="AP42" s="155" cm="1">
        <f t="array" ref="AP42">INDEX('Weight tables'!$A$32:$C$36,MATCH(1,('MY-REPORT-MAIN'!AO42&gt;='Weight tables'!$B$32:$B$36)*('MY-REPORT-MAIN'!AO42&lt;='Weight tables'!$C$32:$C$36),0),1)</f>
        <v>4.2</v>
      </c>
      <c r="AQ42" s="155">
        <f>INDEX('Weight tables'!$A$39:$B$41,MATCH(I_Miei_Rendiconti[[#This Row],[Previouse Report checked?yes/no]],'Weight tables'!$B$39:$B$41,0),1)</f>
        <v>8.4</v>
      </c>
      <c r="AR42" s="155" cm="1">
        <f t="array" ref="AR42">IF(I_Miei_Rendiconti[[#This Row],[Sum of errors in previous report ]]="NON PERTINENTE",0,INDEX('Weight tables'!$A$43:$C$46,MATCH(1,(I_Miei_Rendiconti[[#This Row],[Sum of errors in previous report ]]&gt;='Weight tables'!$B$43:$B$46)*(I_Miei_Rendiconti[[#This Row],[Sum of errors in previous report ]]&lt;='Weight tables'!$C$43:$C$46),0),1))</f>
        <v>0</v>
      </c>
      <c r="AS42" s="155" cm="1">
        <f t="array" ref="AS42">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42" s="155" cm="1">
        <f t="array" ref="AT42">INDEX('Weight tables'!$A$56:$C$65,MATCH(1,('MY-REPORT-MAIN'!U42&gt;='Weight tables'!$B$56:$B$65)*('MY-REPORT-MAIN'!U42&lt;='Weight tables'!$C$56:$C$65),0),1)</f>
        <v>0</v>
      </c>
      <c r="AU42" s="155" cm="1">
        <f t="array" ref="AU42">INDEX('Weight tables'!$A$68:$C$71,MATCH(1,('MY-REPORT-MAIN'!AL42&gt;='Weight tables'!$B$68:$B$71)*('MY-REPORT-MAIN'!AL42&lt;='Weight tables'!$C$68:$C$71),0),1)</f>
        <v>2</v>
      </c>
      <c r="AV42" s="155" cm="1">
        <f t="array" ref="AV42">INDEX('Weight tables'!$A$74:$C$78,MATCH(1,('MY-REPORT-MAIN'!AN42&gt;='Weight tables'!$B$74:$B$78)*('MY-REPORT-MAIN'!AN42&lt;='Weight tables'!$C$74:$C$78),0),1)</f>
        <v>0</v>
      </c>
      <c r="AW42" s="16">
        <f>IF(I_Miei_Rendiconti[[#This Row],[Column1.totalAfterSubmitted]]/AM42&gt;50%,"Checked",0)</f>
        <v>0</v>
      </c>
      <c r="AX42" s="155">
        <f t="shared" si="1"/>
        <v>14.600000000000001</v>
      </c>
      <c r="AY42" s="155" t="str">
        <f>INDEX('Partner data'!A:EB,MATCH(I_Miei_Rendiconti[[#This Row],[Column1.partnerId]],'Partner data'!DG:DG,0),92)</f>
        <v>Italia (IT)</v>
      </c>
    </row>
    <row r="43" spans="1:51" ht="30" x14ac:dyDescent="0.25">
      <c r="A43" s="79">
        <v>193</v>
      </c>
      <c r="B43" s="79">
        <v>83</v>
      </c>
      <c r="C43" s="79">
        <v>244</v>
      </c>
      <c r="D43" s="79" t="s">
        <v>2171</v>
      </c>
      <c r="E43" s="79" t="s">
        <v>253</v>
      </c>
      <c r="F43" s="79">
        <v>6</v>
      </c>
      <c r="G43" s="206" t="s">
        <v>69</v>
      </c>
      <c r="H43" s="79">
        <v>1</v>
      </c>
      <c r="I43" s="79" t="s">
        <v>4339</v>
      </c>
      <c r="J43" s="79" t="s">
        <v>593</v>
      </c>
      <c r="K43" s="208">
        <v>45371.560717384258</v>
      </c>
      <c r="M43" s="208">
        <v>45425.647441365742</v>
      </c>
      <c r="N43" s="79" t="s">
        <v>4441</v>
      </c>
      <c r="O43" s="79" t="s">
        <v>4363</v>
      </c>
      <c r="P43" s="79" t="s">
        <v>4348</v>
      </c>
      <c r="Q43" s="79" t="s">
        <v>4343</v>
      </c>
      <c r="T43" s="81">
        <v>18194.400000000001</v>
      </c>
      <c r="U43" s="81">
        <v>18247.599999999999</v>
      </c>
      <c r="V43" s="79" t="str">
        <f>INDEX(pARTNER[#All],MATCH(I_Miei_Rendiconti[[#This Row],[Column1.partnerId]],pARTNER[[#All],[Value.partnerSummary.id]],0),2)</f>
        <v>IN4SAFETY</v>
      </c>
      <c r="W43" s="79" t="b">
        <v>0</v>
      </c>
      <c r="X43" s="82">
        <f>I_Miei_Rendiconti[[#This Row],[Column1.totalAfterSubmitted]]-I_Miei_Rendiconti[[#This Row],[Column1.totalEligibleAfterControl]]</f>
        <v>53.19999999999709</v>
      </c>
      <c r="Y43" s="80">
        <f>IF(I_Miei_Rendiconti[[#This Row],[Column1.status]]="Certified",IFERROR(I_Miei_Rendiconti[[#This Row],[Financial corection]]/I_Miei_Rendiconti[[#This Row],[Column1.totalAfterSubmitted]],0),"Rendiconto da certificare")</f>
        <v>2.9154518950435726E-3</v>
      </c>
      <c r="Z43" s="207" t="str">
        <f>IF(I_Miei_Rendiconti[[#This Row],[Column1.status]]&lt;&gt;"Certified",INDEX('Partner data'!DG:DQ,MATCH(I_Miei_Rendiconti[[#This Row],[Column1.partnerId]],'Partner data'!DG:DG,0),13),"Rendiconto CONVALIDATO")</f>
        <v>Rendiconto CONVALIDATO</v>
      </c>
      <c r="AA43"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43" s="81" t="str">
        <f>IF(OR(I_Miei_Rendiconti[[#This Row],[N. previouse validated report ]]="Rendiconto CONVALIDATO",I_Miei_Rendiconti[[#This Row],[N. previouse validated report ]]="NON è stato convalidato ancora nessun rendiconto"),"NON PERTINENTE","fai la fromula")</f>
        <v>NON PERTINENTE</v>
      </c>
      <c r="AC43"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43" s="2">
        <f>INDEX('Partner data'!DG:DJ,MATCH(I_Miei_Rendiconti[[#This Row],[Column1.partnerId]],'Partner data'!DG:DG,0),3)</f>
        <v>1</v>
      </c>
      <c r="AE43" t="str" cm="1">
        <f t="array" ref="AE43">INDEX('Varie Tabelle'!$A$37:$C$51,MATCH(1,(I_Miei_Rendiconti[[#This Row],[Column1.firstSubmission]]&gt;='Varie Tabelle'!$B$37:$B$51)*(I_Miei_Rendiconti[[#This Row],[Column1.firstSubmission]]&lt;='Varie Tabelle'!$C$37:$C$51),0),1)</f>
        <v>Finestra 2</v>
      </c>
      <c r="AF43" s="109">
        <f>INDEX('Varie Tabelle'!$A$37:$C$51,MATCH('MY-REPORT-MAIN'!AE43,'Varie Tabelle'!$A$37:$A$51,0),2)</f>
        <v>45352</v>
      </c>
      <c r="AG43" s="109">
        <f>INDEX('Partner data'!DG:DR,MATCH(I_Miei_Rendiconti[[#This Row],[Column1.partnerId]],'Partner data'!DG:DG,0),12)</f>
        <v>45200</v>
      </c>
      <c r="AH43" s="115">
        <f t="shared" si="0"/>
        <v>4.9983558040118385</v>
      </c>
      <c r="AI43" t="str" cm="1">
        <f t="array" ref="AI43">INDEX('Varie Tabelle'!$A$12:$C$22,MATCH(1,('MY-REPORT-MAIN'!AH43&gt;='Varie Tabelle'!$B$12:$B$22)*('MY-REPORT-MAIN'!AH43&lt;='Varie Tabelle'!$C$12:$C$22),0),1)</f>
        <v>Periodo-1</v>
      </c>
      <c r="AJ43" s="14">
        <f>INDEX('Partner data'!A:EC,MATCH(I_Miei_Rendiconti[[#This Row],[Column1.partnerId]],'Partner data'!DG:DG,0),MATCH('MY-REPORT-MAIN'!AI43,'Partner data'!$2:$2,0))</f>
        <v>18200</v>
      </c>
      <c r="AK43" s="10">
        <f>SUMIFS($U$2:U43,$C$2:C43,I_Miei_Rendiconti[[#This Row],[Column1.partnerId]])-AJ43</f>
        <v>47.599999999998545</v>
      </c>
      <c r="AL43" s="16">
        <f>IFERROR(1-(I_Miei_Rendiconti[[#This Row],[Column1.totalAfterSubmitted]]/AJ43),0)</f>
        <v>-2.615384615384464E-3</v>
      </c>
      <c r="AM43" s="14">
        <f>INDEX('Partner data'!A:EB,MATCH(I_Miei_Rendiconti[[#This Row],[Column1.partnerId]],'Partner data'!DG:DG,0),44)</f>
        <v>114072</v>
      </c>
      <c r="AN43" s="14">
        <f>SUMIFS(ListOfExpenditure!AP:AP,ListOfExpenditure!AJ:AJ,I_Miei_Rendiconti[[#This Row],[Column1.id]])</f>
        <v>0</v>
      </c>
      <c r="AO43" s="148">
        <f>SUMIFS(ReportSubmittedBL!W:W,ReportSubmittedBL!D:D,I_Miei_Rendiconti[[#This Row],[Column1.id]])</f>
        <v>6</v>
      </c>
      <c r="AP43" s="155" cm="1">
        <f t="array" ref="AP43">INDEX('Weight tables'!$A$32:$C$36,MATCH(1,('MY-REPORT-MAIN'!AO43&gt;='Weight tables'!$B$32:$B$36)*('MY-REPORT-MAIN'!AO43&lt;='Weight tables'!$C$32:$C$36),0),1)</f>
        <v>4.2</v>
      </c>
      <c r="AQ43" s="155">
        <f>INDEX('Weight tables'!$A$39:$B$41,MATCH(I_Miei_Rendiconti[[#This Row],[Previouse Report checked?yes/no]],'Weight tables'!$B$39:$B$41,0),1)</f>
        <v>8.4</v>
      </c>
      <c r="AR43" s="155" cm="1">
        <f t="array" ref="AR43">IF(I_Miei_Rendiconti[[#This Row],[Sum of errors in previous report ]]="NON PERTINENTE",0,INDEX('Weight tables'!$A$43:$C$46,MATCH(1,(I_Miei_Rendiconti[[#This Row],[Sum of errors in previous report ]]&gt;='Weight tables'!$B$43:$B$46)*(I_Miei_Rendiconti[[#This Row],[Sum of errors in previous report ]]&lt;='Weight tables'!$C$43:$C$46),0),1))</f>
        <v>0</v>
      </c>
      <c r="AS43" s="155" cm="1">
        <f t="array" ref="AS43">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43" s="155" cm="1">
        <f t="array" ref="AT43">INDEX('Weight tables'!$A$56:$C$65,MATCH(1,('MY-REPORT-MAIN'!U43&gt;='Weight tables'!$B$56:$B$65)*('MY-REPORT-MAIN'!U43&lt;='Weight tables'!$C$56:$C$65),0),1)</f>
        <v>1</v>
      </c>
      <c r="AU43" s="155" cm="1">
        <f t="array" ref="AU43">INDEX('Weight tables'!$A$68:$C$71,MATCH(1,('MY-REPORT-MAIN'!AL43&gt;='Weight tables'!$B$68:$B$71)*('MY-REPORT-MAIN'!AL43&lt;='Weight tables'!$C$68:$C$71),0),1)</f>
        <v>0</v>
      </c>
      <c r="AV43" s="155" cm="1">
        <f t="array" ref="AV43">INDEX('Weight tables'!$A$74:$C$78,MATCH(1,('MY-REPORT-MAIN'!AN43&gt;='Weight tables'!$B$74:$B$78)*('MY-REPORT-MAIN'!AN43&lt;='Weight tables'!$C$74:$C$78),0),1)</f>
        <v>0</v>
      </c>
      <c r="AW43" s="16">
        <f>IF(I_Miei_Rendiconti[[#This Row],[Column1.totalAfterSubmitted]]/AM43&gt;50%,"Checked",0)</f>
        <v>0</v>
      </c>
      <c r="AX43" s="155">
        <f t="shared" si="1"/>
        <v>13.600000000000001</v>
      </c>
      <c r="AY43" s="155" t="str">
        <f>INDEX('Partner data'!A:EB,MATCH(I_Miei_Rendiconti[[#This Row],[Column1.partnerId]],'Partner data'!DG:DG,0),92)</f>
        <v>Italia (IT)</v>
      </c>
    </row>
    <row r="44" spans="1:51" ht="30" x14ac:dyDescent="0.25">
      <c r="A44" s="79">
        <v>169</v>
      </c>
      <c r="B44" s="79">
        <v>48</v>
      </c>
      <c r="C44" s="79">
        <v>156</v>
      </c>
      <c r="D44" s="79" t="s">
        <v>1261</v>
      </c>
      <c r="E44" s="79" t="s">
        <v>253</v>
      </c>
      <c r="F44" s="79">
        <v>4</v>
      </c>
      <c r="G44" s="206" t="s">
        <v>301</v>
      </c>
      <c r="H44" s="79">
        <v>1</v>
      </c>
      <c r="I44" s="79" t="s">
        <v>4339</v>
      </c>
      <c r="J44" s="79" t="s">
        <v>1263</v>
      </c>
      <c r="K44" s="208">
        <v>45372.369917233795</v>
      </c>
      <c r="M44" s="208">
        <v>45442.376488159724</v>
      </c>
      <c r="N44" s="79" t="s">
        <v>4424</v>
      </c>
      <c r="O44" s="79" t="s">
        <v>4403</v>
      </c>
      <c r="P44" s="79" t="s">
        <v>4348</v>
      </c>
      <c r="Q44" s="79" t="s">
        <v>4343</v>
      </c>
      <c r="R44" s="79">
        <v>8</v>
      </c>
      <c r="S44" s="79">
        <v>1</v>
      </c>
      <c r="T44" s="81">
        <v>0</v>
      </c>
      <c r="U44" s="81">
        <v>9466.99</v>
      </c>
      <c r="V44" s="79" t="str">
        <f>INDEX(pARTNER[#All],MATCH(I_Miei_Rendiconti[[#This Row],[Column1.partnerId]],pARTNER[[#All],[Value.partnerSummary.id]],0),2)</f>
        <v>AGROTUR+</v>
      </c>
      <c r="W44" s="79" t="b">
        <v>0</v>
      </c>
      <c r="X44" s="82">
        <f>I_Miei_Rendiconti[[#This Row],[Column1.totalAfterSubmitted]]-I_Miei_Rendiconti[[#This Row],[Column1.totalEligibleAfterControl]]</f>
        <v>9466.99</v>
      </c>
      <c r="Y44" s="80">
        <f>IF(I_Miei_Rendiconti[[#This Row],[Column1.status]]="Certified",IFERROR(I_Miei_Rendiconti[[#This Row],[Financial corection]]/I_Miei_Rendiconti[[#This Row],[Column1.totalAfterSubmitted]],0),"Rendiconto da certificare")</f>
        <v>1</v>
      </c>
      <c r="Z44" s="207" t="str">
        <f>IF(I_Miei_Rendiconti[[#This Row],[Column1.status]]&lt;&gt;"Certified",INDEX('Partner data'!DG:DQ,MATCH(I_Miei_Rendiconti[[#This Row],[Column1.partnerId]],'Partner data'!DG:DG,0),13),"Rendiconto CONVALIDATO")</f>
        <v>Rendiconto CONVALIDATO</v>
      </c>
      <c r="AA44"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44" s="81" t="str">
        <f>IF(OR(I_Miei_Rendiconti[[#This Row],[N. previouse validated report ]]="Rendiconto CONVALIDATO",I_Miei_Rendiconti[[#This Row],[N. previouse validated report ]]="NON è stato convalidato ancora nessun rendiconto"),"NON PERTINENTE","fai la fromula")</f>
        <v>NON PERTINENTE</v>
      </c>
      <c r="AC44"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44" s="2">
        <f>INDEX('Partner data'!DG:DJ,MATCH(I_Miei_Rendiconti[[#This Row],[Column1.partnerId]],'Partner data'!DG:DG,0),3)</f>
        <v>1</v>
      </c>
      <c r="AE44" t="str" cm="1">
        <f t="array" ref="AE44">INDEX('Varie Tabelle'!$A$37:$C$51,MATCH(1,(I_Miei_Rendiconti[[#This Row],[Column1.firstSubmission]]&gt;='Varie Tabelle'!$B$37:$B$51)*(I_Miei_Rendiconti[[#This Row],[Column1.firstSubmission]]&lt;='Varie Tabelle'!$C$37:$C$51),0),1)</f>
        <v>Finestra 2</v>
      </c>
      <c r="AF44" s="109">
        <f>INDEX('Varie Tabelle'!$A$37:$C$51,MATCH('MY-REPORT-MAIN'!AE44,'Varie Tabelle'!$A$37:$A$51,0),2)</f>
        <v>45352</v>
      </c>
      <c r="AG44" s="109">
        <f>INDEX('Partner data'!DG:DR,MATCH(I_Miei_Rendiconti[[#This Row],[Column1.partnerId]],'Partner data'!DG:DG,0),12)</f>
        <v>45139</v>
      </c>
      <c r="AH44" s="115">
        <f t="shared" si="0"/>
        <v>7.0042749095692205</v>
      </c>
      <c r="AI44" t="str" cm="1">
        <f t="array" ref="AI44">INDEX('Varie Tabelle'!$A$12:$C$22,MATCH(1,('MY-REPORT-MAIN'!AH44&gt;='Varie Tabelle'!$B$12:$B$22)*('MY-REPORT-MAIN'!AH44&lt;='Varie Tabelle'!$C$12:$C$22),0),1)</f>
        <v>Periodo-1</v>
      </c>
      <c r="AJ44" s="14">
        <f>INDEX('Partner data'!A:EC,MATCH(I_Miei_Rendiconti[[#This Row],[Column1.partnerId]],'Partner data'!DG:DG,0),MATCH('MY-REPORT-MAIN'!AI44,'Partner data'!$2:$2,0))</f>
        <v>16201.15</v>
      </c>
      <c r="AK44" s="10">
        <f>SUMIFS($U$2:U44,$C$2:C44,I_Miei_Rendiconti[[#This Row],[Column1.partnerId]])-AJ44</f>
        <v>-6734.16</v>
      </c>
      <c r="AL44" s="16">
        <f>IFERROR(1-(I_Miei_Rendiconti[[#This Row],[Column1.totalAfterSubmitted]]/AJ44),0)</f>
        <v>0.41565938220434973</v>
      </c>
      <c r="AM44" s="14">
        <f>INDEX('Partner data'!A:EB,MATCH(I_Miei_Rendiconti[[#This Row],[Column1.partnerId]],'Partner data'!DG:DG,0),44)</f>
        <v>89804.6</v>
      </c>
      <c r="AN44" s="14">
        <f>SUMIFS(ListOfExpenditure!AP:AP,ListOfExpenditure!AJ:AJ,I_Miei_Rendiconti[[#This Row],[Column1.id]])</f>
        <v>0</v>
      </c>
      <c r="AO44" s="148">
        <f>SUMIFS(ReportSubmittedBL!W:W,ReportSubmittedBL!D:D,I_Miei_Rendiconti[[#This Row],[Column1.id]])</f>
        <v>10</v>
      </c>
      <c r="AP44" s="155" cm="1">
        <f t="array" ref="AP44">INDEX('Weight tables'!$A$32:$C$36,MATCH(1,('MY-REPORT-MAIN'!AO44&gt;='Weight tables'!$B$32:$B$36)*('MY-REPORT-MAIN'!AO44&lt;='Weight tables'!$C$32:$C$36),0),1)</f>
        <v>8.4</v>
      </c>
      <c r="AQ44" s="155">
        <f>INDEX('Weight tables'!$A$39:$B$41,MATCH(I_Miei_Rendiconti[[#This Row],[Previouse Report checked?yes/no]],'Weight tables'!$B$39:$B$41,0),1)</f>
        <v>8.4</v>
      </c>
      <c r="AR44" s="155" cm="1">
        <f t="array" ref="AR44">IF(I_Miei_Rendiconti[[#This Row],[Sum of errors in previous report ]]="NON PERTINENTE",0,INDEX('Weight tables'!$A$43:$C$46,MATCH(1,(I_Miei_Rendiconti[[#This Row],[Sum of errors in previous report ]]&gt;='Weight tables'!$B$43:$B$46)*(I_Miei_Rendiconti[[#This Row],[Sum of errors in previous report ]]&lt;='Weight tables'!$C$43:$C$46),0),1))</f>
        <v>0</v>
      </c>
      <c r="AS44" s="155" cm="1">
        <f t="array" ref="AS44">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44" s="155" cm="1">
        <f t="array" ref="AT44">INDEX('Weight tables'!$A$56:$C$65,MATCH(1,('MY-REPORT-MAIN'!U44&gt;='Weight tables'!$B$56:$B$65)*('MY-REPORT-MAIN'!U44&lt;='Weight tables'!$C$56:$C$65),0),1)</f>
        <v>0</v>
      </c>
      <c r="AU44" s="155" cm="1">
        <f t="array" ref="AU44">INDEX('Weight tables'!$A$68:$C$71,MATCH(1,('MY-REPORT-MAIN'!AL44&gt;='Weight tables'!$B$68:$B$71)*('MY-REPORT-MAIN'!AL44&lt;='Weight tables'!$C$68:$C$71),0),1)</f>
        <v>2</v>
      </c>
      <c r="AV44" s="155" cm="1">
        <f t="array" ref="AV44">INDEX('Weight tables'!$A$74:$C$78,MATCH(1,('MY-REPORT-MAIN'!AN44&gt;='Weight tables'!$B$74:$B$78)*('MY-REPORT-MAIN'!AN44&lt;='Weight tables'!$C$74:$C$78),0),1)</f>
        <v>0</v>
      </c>
      <c r="AW44" s="16">
        <f>IF(I_Miei_Rendiconti[[#This Row],[Column1.totalAfterSubmitted]]/AM44&gt;50%,"Checked",0)</f>
        <v>0</v>
      </c>
      <c r="AX44" s="155">
        <f t="shared" si="1"/>
        <v>18.8</v>
      </c>
      <c r="AY44" s="155" t="str">
        <f>INDEX('Partner data'!A:EB,MATCH(I_Miei_Rendiconti[[#This Row],[Column1.partnerId]],'Partner data'!DG:DG,0),92)</f>
        <v>Italia (IT)</v>
      </c>
    </row>
    <row r="45" spans="1:51" ht="30" x14ac:dyDescent="0.25">
      <c r="A45" s="79">
        <v>213</v>
      </c>
      <c r="B45" s="79">
        <v>54</v>
      </c>
      <c r="C45" s="79">
        <v>86</v>
      </c>
      <c r="D45" s="79" t="s">
        <v>1435</v>
      </c>
      <c r="E45" s="79" t="s">
        <v>253</v>
      </c>
      <c r="F45" s="79">
        <v>2</v>
      </c>
      <c r="G45" s="206" t="s">
        <v>46</v>
      </c>
      <c r="H45" s="79">
        <v>2</v>
      </c>
      <c r="I45" s="79" t="s">
        <v>4339</v>
      </c>
      <c r="J45" s="79" t="s">
        <v>593</v>
      </c>
      <c r="K45" s="208">
        <v>45372.676431597225</v>
      </c>
      <c r="M45" s="208">
        <v>45425.386698958333</v>
      </c>
      <c r="N45" s="79" t="s">
        <v>4453</v>
      </c>
      <c r="O45" s="79" t="s">
        <v>4363</v>
      </c>
      <c r="P45" s="79" t="s">
        <v>4348</v>
      </c>
      <c r="Q45" s="79" t="s">
        <v>4343</v>
      </c>
      <c r="R45" s="79">
        <v>39</v>
      </c>
      <c r="S45" s="79">
        <v>2</v>
      </c>
      <c r="T45" s="81">
        <v>55930.25</v>
      </c>
      <c r="U45" s="81">
        <v>56112.42</v>
      </c>
      <c r="V45" s="79" t="str">
        <f>INDEX(pARTNER[#All],MATCH(I_Miei_Rendiconti[[#This Row],[Column1.partnerId]],pARTNER[[#All],[Value.partnerSummary.id]],0),2)</f>
        <v>X-BRAIN</v>
      </c>
      <c r="W45" s="79" t="b">
        <v>0</v>
      </c>
      <c r="X45" s="82">
        <f>I_Miei_Rendiconti[[#This Row],[Column1.totalAfterSubmitted]]-I_Miei_Rendiconti[[#This Row],[Column1.totalEligibleAfterControl]]</f>
        <v>182.16999999999825</v>
      </c>
      <c r="Y45" s="80">
        <f>IF(I_Miei_Rendiconti[[#This Row],[Column1.status]]="Certified",IFERROR(I_Miei_Rendiconti[[#This Row],[Financial corection]]/I_Miei_Rendiconti[[#This Row],[Column1.totalAfterSubmitted]],0),"Rendiconto da certificare")</f>
        <v>3.2465183287407363E-3</v>
      </c>
      <c r="Z45" s="207" t="str">
        <f>IF(I_Miei_Rendiconti[[#This Row],[Column1.status]]&lt;&gt;"Certified",INDEX('Partner data'!DG:DQ,MATCH(I_Miei_Rendiconti[[#This Row],[Column1.partnerId]],'Partner data'!DG:DG,0),13),"Rendiconto CONVALIDATO")</f>
        <v>Rendiconto CONVALIDATO</v>
      </c>
      <c r="AA45"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45" s="81" t="str">
        <f>IF(OR(I_Miei_Rendiconti[[#This Row],[N. previouse validated report ]]="Rendiconto CONVALIDATO",I_Miei_Rendiconti[[#This Row],[N. previouse validated report ]]="NON è stato convalidato ancora nessun rendiconto"),"NON PERTINENTE","fai la fromula")</f>
        <v>NON PERTINENTE</v>
      </c>
      <c r="AC45"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45" s="2">
        <f>INDEX('Partner data'!DG:DJ,MATCH(I_Miei_Rendiconti[[#This Row],[Column1.partnerId]],'Partner data'!DG:DG,0),3)</f>
        <v>2</v>
      </c>
      <c r="AE45" t="str" cm="1">
        <f t="array" ref="AE45">INDEX('Varie Tabelle'!$A$37:$C$51,MATCH(1,(I_Miei_Rendiconti[[#This Row],[Column1.firstSubmission]]&gt;='Varie Tabelle'!$B$37:$B$51)*(I_Miei_Rendiconti[[#This Row],[Column1.firstSubmission]]&lt;='Varie Tabelle'!$C$37:$C$51),0),1)</f>
        <v>Finestra 2</v>
      </c>
      <c r="AF45" s="109">
        <f>INDEX('Varie Tabelle'!$A$37:$C$51,MATCH('MY-REPORT-MAIN'!AE45,'Varie Tabelle'!$A$37:$A$51,0),2)</f>
        <v>45352</v>
      </c>
      <c r="AG45" s="109">
        <f>INDEX('Partner data'!DG:DR,MATCH(I_Miei_Rendiconti[[#This Row],[Column1.partnerId]],'Partner data'!DG:DG,0),12)</f>
        <v>45078</v>
      </c>
      <c r="AH45" s="115">
        <f t="shared" si="0"/>
        <v>9.0101940151266025</v>
      </c>
      <c r="AI45" t="str" cm="1">
        <f t="array" ref="AI45">INDEX('Varie Tabelle'!$A$12:$C$22,MATCH(1,('MY-REPORT-MAIN'!AH45&gt;='Varie Tabelle'!$B$12:$B$22)*('MY-REPORT-MAIN'!AH45&lt;='Varie Tabelle'!$C$12:$C$22),0),1)</f>
        <v>Periodo-1</v>
      </c>
      <c r="AJ45" s="14">
        <f>INDEX('Partner data'!A:EC,MATCH(I_Miei_Rendiconti[[#This Row],[Column1.partnerId]],'Partner data'!DG:DG,0),MATCH('MY-REPORT-MAIN'!AI45,'Partner data'!$2:$2,0))</f>
        <v>41401.769999999997</v>
      </c>
      <c r="AK45" s="10">
        <f>SUMIFS($U$2:U45,$C$2:C45,I_Miei_Rendiconti[[#This Row],[Column1.partnerId]])-AJ45</f>
        <v>43336.969999999994</v>
      </c>
      <c r="AL45" s="16">
        <f>IFERROR(1-(I_Miei_Rendiconti[[#This Row],[Column1.totalAfterSubmitted]]/AJ45),0)</f>
        <v>-0.35531451916186207</v>
      </c>
      <c r="AM45" s="14">
        <f>INDEX('Partner data'!A:EB,MATCH(I_Miei_Rendiconti[[#This Row],[Column1.partnerId]],'Partner data'!DG:DG,0),44)</f>
        <v>224965.17</v>
      </c>
      <c r="AN45" s="14">
        <f>SUMIFS(ListOfExpenditure!AP:AP,ListOfExpenditure!AJ:AJ,I_Miei_Rendiconti[[#This Row],[Column1.id]])</f>
        <v>0</v>
      </c>
      <c r="AO45" s="148">
        <f>SUMIFS(ReportSubmittedBL!W:W,ReportSubmittedBL!D:D,I_Miei_Rendiconti[[#This Row],[Column1.id]])</f>
        <v>16</v>
      </c>
      <c r="AP45" s="155" cm="1">
        <f t="array" ref="AP45">INDEX('Weight tables'!$A$32:$C$36,MATCH(1,('MY-REPORT-MAIN'!AO45&gt;='Weight tables'!$B$32:$B$36)*('MY-REPORT-MAIN'!AO45&lt;='Weight tables'!$C$32:$C$36),0),1)</f>
        <v>8.4</v>
      </c>
      <c r="AQ45" s="155">
        <f>INDEX('Weight tables'!$A$39:$B$41,MATCH(I_Miei_Rendiconti[[#This Row],[Previouse Report checked?yes/no]],'Weight tables'!$B$39:$B$41,0),1)</f>
        <v>8.4</v>
      </c>
      <c r="AR45" s="155" cm="1">
        <f t="array" ref="AR45">IF(I_Miei_Rendiconti[[#This Row],[Sum of errors in previous report ]]="NON PERTINENTE",0,INDEX('Weight tables'!$A$43:$C$46,MATCH(1,(I_Miei_Rendiconti[[#This Row],[Sum of errors in previous report ]]&gt;='Weight tables'!$B$43:$B$46)*(I_Miei_Rendiconti[[#This Row],[Sum of errors in previous report ]]&lt;='Weight tables'!$C$43:$C$46),0),1))</f>
        <v>0</v>
      </c>
      <c r="AS45" s="155" cm="1">
        <f t="array" ref="AS45">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45" s="155" cm="1">
        <f t="array" ref="AT45">INDEX('Weight tables'!$A$56:$C$65,MATCH(1,('MY-REPORT-MAIN'!U45&gt;='Weight tables'!$B$56:$B$65)*('MY-REPORT-MAIN'!U45&lt;='Weight tables'!$C$56:$C$65),0),1)</f>
        <v>5</v>
      </c>
      <c r="AU45" s="155" cm="1">
        <f t="array" ref="AU45">INDEX('Weight tables'!$A$68:$C$71,MATCH(1,('MY-REPORT-MAIN'!AL45&gt;='Weight tables'!$B$68:$B$71)*('MY-REPORT-MAIN'!AL45&lt;='Weight tables'!$C$68:$C$71),0),1)</f>
        <v>0</v>
      </c>
      <c r="AV45" s="155" cm="1">
        <f t="array" ref="AV45">INDEX('Weight tables'!$A$74:$C$78,MATCH(1,('MY-REPORT-MAIN'!AN45&gt;='Weight tables'!$B$74:$B$78)*('MY-REPORT-MAIN'!AN45&lt;='Weight tables'!$C$74:$C$78),0),1)</f>
        <v>0</v>
      </c>
      <c r="AW45" s="16">
        <f>IF(I_Miei_Rendiconti[[#This Row],[Column1.totalAfterSubmitted]]/AM45&gt;50%,"Checked",0)</f>
        <v>0</v>
      </c>
      <c r="AX45" s="155">
        <f t="shared" si="1"/>
        <v>21.8</v>
      </c>
      <c r="AY45" s="155" t="str">
        <f>INDEX('Partner data'!A:EB,MATCH(I_Miei_Rendiconti[[#This Row],[Column1.partnerId]],'Partner data'!DG:DG,0),92)</f>
        <v>Slovenija (SI)</v>
      </c>
    </row>
    <row r="46" spans="1:51" ht="30" x14ac:dyDescent="0.25">
      <c r="A46" s="79">
        <v>243</v>
      </c>
      <c r="B46" s="79">
        <v>91</v>
      </c>
      <c r="C46" s="79">
        <v>304</v>
      </c>
      <c r="D46" s="79" t="s">
        <v>2561</v>
      </c>
      <c r="E46" s="79" t="s">
        <v>253</v>
      </c>
      <c r="F46" s="79">
        <v>2</v>
      </c>
      <c r="G46" s="206" t="s">
        <v>20</v>
      </c>
      <c r="H46" s="79">
        <v>2</v>
      </c>
      <c r="I46" s="79" t="s">
        <v>4339</v>
      </c>
      <c r="J46" s="79" t="s">
        <v>2563</v>
      </c>
      <c r="K46" s="208">
        <v>45373.463433078701</v>
      </c>
      <c r="M46" s="208">
        <v>45446.675345648146</v>
      </c>
      <c r="N46" s="79" t="s">
        <v>4475</v>
      </c>
      <c r="O46" s="79" t="s">
        <v>4476</v>
      </c>
      <c r="P46" s="79" t="s">
        <v>4348</v>
      </c>
      <c r="Q46" s="79" t="s">
        <v>4343</v>
      </c>
      <c r="R46" s="79">
        <v>36</v>
      </c>
      <c r="S46" s="79">
        <v>2</v>
      </c>
      <c r="T46" s="81">
        <v>17587.28</v>
      </c>
      <c r="U46" s="81">
        <v>17825.96</v>
      </c>
      <c r="V46" s="79" t="str">
        <f>INDEX(pARTNER[#All],MATCH(I_Miei_Rendiconti[[#This Row],[Column1.partnerId]],pARTNER[[#All],[Value.partnerSummary.id]],0),2)</f>
        <v>POSEIDONE</v>
      </c>
      <c r="W46" s="79" t="b">
        <v>0</v>
      </c>
      <c r="X46" s="82">
        <f>I_Miei_Rendiconti[[#This Row],[Column1.totalAfterSubmitted]]-I_Miei_Rendiconti[[#This Row],[Column1.totalEligibleAfterControl]]</f>
        <v>238.68000000000029</v>
      </c>
      <c r="Y46" s="80">
        <f>IF(I_Miei_Rendiconti[[#This Row],[Column1.status]]="Certified",IFERROR(I_Miei_Rendiconti[[#This Row],[Financial corection]]/I_Miei_Rendiconti[[#This Row],[Column1.totalAfterSubmitted]],0),"Rendiconto da certificare")</f>
        <v>1.3389461212748166E-2</v>
      </c>
      <c r="Z46" s="207" t="str">
        <f>IF(I_Miei_Rendiconti[[#This Row],[Column1.status]]&lt;&gt;"Certified",INDEX('Partner data'!DG:DQ,MATCH(I_Miei_Rendiconti[[#This Row],[Column1.partnerId]],'Partner data'!DG:DG,0),13),"Rendiconto CONVALIDATO")</f>
        <v>Rendiconto CONVALIDATO</v>
      </c>
      <c r="AA46"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46" s="81" t="str">
        <f>IF(OR(I_Miei_Rendiconti[[#This Row],[N. previouse validated report ]]="Rendiconto CONVALIDATO",I_Miei_Rendiconti[[#This Row],[N. previouse validated report ]]="NON è stato convalidato ancora nessun rendiconto"),"NON PERTINENTE","fai la fromula")</f>
        <v>NON PERTINENTE</v>
      </c>
      <c r="AC46"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46" s="2">
        <f>INDEX('Partner data'!DG:DJ,MATCH(I_Miei_Rendiconti[[#This Row],[Column1.partnerId]],'Partner data'!DG:DG,0),3)</f>
        <v>2</v>
      </c>
      <c r="AE46" t="str" cm="1">
        <f t="array" ref="AE46">INDEX('Varie Tabelle'!$A$37:$C$51,MATCH(1,(I_Miei_Rendiconti[[#This Row],[Column1.firstSubmission]]&gt;='Varie Tabelle'!$B$37:$B$51)*(I_Miei_Rendiconti[[#This Row],[Column1.firstSubmission]]&lt;='Varie Tabelle'!$C$37:$C$51),0),1)</f>
        <v>Finestra 2</v>
      </c>
      <c r="AF46" s="109">
        <f>INDEX('Varie Tabelle'!$A$37:$C$51,MATCH('MY-REPORT-MAIN'!AE46,'Varie Tabelle'!$A$37:$A$51,0),2)</f>
        <v>45352</v>
      </c>
      <c r="AG46" s="109">
        <f>INDEX('Partner data'!DG:DR,MATCH(I_Miei_Rendiconti[[#This Row],[Column1.partnerId]],'Partner data'!DG:DG,0),12)</f>
        <v>44927</v>
      </c>
      <c r="AH46" s="115">
        <f t="shared" si="0"/>
        <v>13.975665899375205</v>
      </c>
      <c r="AI46" t="str" cm="1">
        <f t="array" ref="AI46">INDEX('Varie Tabelle'!$A$12:$C$22,MATCH(1,('MY-REPORT-MAIN'!AH46&gt;='Varie Tabelle'!$B$12:$B$22)*('MY-REPORT-MAIN'!AH46&lt;='Varie Tabelle'!$C$12:$C$22),0),1)</f>
        <v>Periodo-2</v>
      </c>
      <c r="AJ46" s="14">
        <f>INDEX('Partner data'!A:EC,MATCH(I_Miei_Rendiconti[[#This Row],[Column1.partnerId]],'Partner data'!DG:DG,0),MATCH('MY-REPORT-MAIN'!AI46,'Partner data'!$2:$2,0))</f>
        <v>179510</v>
      </c>
      <c r="AK46" s="10">
        <f>SUMIFS($U$2:U46,$C$2:C46,I_Miei_Rendiconti[[#This Row],[Column1.partnerId]])-AJ46</f>
        <v>-161306.45000000001</v>
      </c>
      <c r="AL46" s="16">
        <f>IFERROR(1-(I_Miei_Rendiconti[[#This Row],[Column1.totalAfterSubmitted]]/AJ46),0)</f>
        <v>0.90069656286557853</v>
      </c>
      <c r="AM46" s="14">
        <f>INDEX('Partner data'!A:EB,MATCH(I_Miei_Rendiconti[[#This Row],[Column1.partnerId]],'Partner data'!DG:DG,0),44)</f>
        <v>437500</v>
      </c>
      <c r="AN46" s="14">
        <f>SUMIFS(ListOfExpenditure!AP:AP,ListOfExpenditure!AJ:AJ,I_Miei_Rendiconti[[#This Row],[Column1.id]])</f>
        <v>0</v>
      </c>
      <c r="AO46" s="148">
        <f>SUMIFS(ReportSubmittedBL!W:W,ReportSubmittedBL!D:D,I_Miei_Rendiconti[[#This Row],[Column1.id]])</f>
        <v>12</v>
      </c>
      <c r="AP46" s="155" cm="1">
        <f t="array" ref="AP46">INDEX('Weight tables'!$A$32:$C$36,MATCH(1,('MY-REPORT-MAIN'!AO46&gt;='Weight tables'!$B$32:$B$36)*('MY-REPORT-MAIN'!AO46&lt;='Weight tables'!$C$32:$C$36),0),1)</f>
        <v>8.4</v>
      </c>
      <c r="AQ46" s="155">
        <f>INDEX('Weight tables'!$A$39:$B$41,MATCH(I_Miei_Rendiconti[[#This Row],[Previouse Report checked?yes/no]],'Weight tables'!$B$39:$B$41,0),1)</f>
        <v>8.4</v>
      </c>
      <c r="AR46" s="155" cm="1">
        <f t="array" ref="AR46">IF(I_Miei_Rendiconti[[#This Row],[Sum of errors in previous report ]]="NON PERTINENTE",0,INDEX('Weight tables'!$A$43:$C$46,MATCH(1,(I_Miei_Rendiconti[[#This Row],[Sum of errors in previous report ]]&gt;='Weight tables'!$B$43:$B$46)*(I_Miei_Rendiconti[[#This Row],[Sum of errors in previous report ]]&lt;='Weight tables'!$C$43:$C$46),0),1))</f>
        <v>0</v>
      </c>
      <c r="AS46" s="155" cm="1">
        <f t="array" ref="AS46">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46" s="155" cm="1">
        <f t="array" ref="AT46">INDEX('Weight tables'!$A$56:$C$65,MATCH(1,('MY-REPORT-MAIN'!U46&gt;='Weight tables'!$B$56:$B$65)*('MY-REPORT-MAIN'!U46&lt;='Weight tables'!$C$56:$C$65),0),1)</f>
        <v>1</v>
      </c>
      <c r="AU46" s="155" cm="1">
        <f t="array" ref="AU46">INDEX('Weight tables'!$A$68:$C$71,MATCH(1,('MY-REPORT-MAIN'!AL46&gt;='Weight tables'!$B$68:$B$71)*('MY-REPORT-MAIN'!AL46&lt;='Weight tables'!$C$68:$C$71),0),1)</f>
        <v>2</v>
      </c>
      <c r="AV46" s="155" cm="1">
        <f t="array" ref="AV46">INDEX('Weight tables'!$A$74:$C$78,MATCH(1,('MY-REPORT-MAIN'!AN46&gt;='Weight tables'!$B$74:$B$78)*('MY-REPORT-MAIN'!AN46&lt;='Weight tables'!$C$74:$C$78),0),1)</f>
        <v>0</v>
      </c>
      <c r="AW46" s="16">
        <f>IF(I_Miei_Rendiconti[[#This Row],[Column1.totalAfterSubmitted]]/AM46&gt;50%,"Checked",0)</f>
        <v>0</v>
      </c>
      <c r="AX46" s="155">
        <f t="shared" si="1"/>
        <v>19.8</v>
      </c>
      <c r="AY46" s="155" t="str">
        <f>INDEX('Partner data'!A:EB,MATCH(I_Miei_Rendiconti[[#This Row],[Column1.partnerId]],'Partner data'!DG:DG,0),92)</f>
        <v>Italia (IT)</v>
      </c>
    </row>
    <row r="47" spans="1:51" ht="30" x14ac:dyDescent="0.25">
      <c r="A47" s="79">
        <v>100</v>
      </c>
      <c r="B47" s="79">
        <v>86</v>
      </c>
      <c r="C47" s="79">
        <v>259</v>
      </c>
      <c r="D47" s="79" t="s">
        <v>2270</v>
      </c>
      <c r="E47" s="79" t="s">
        <v>253</v>
      </c>
      <c r="F47" s="79">
        <v>2</v>
      </c>
      <c r="G47" s="206" t="s">
        <v>55</v>
      </c>
      <c r="H47" s="79">
        <v>1</v>
      </c>
      <c r="I47" s="79" t="s">
        <v>4339</v>
      </c>
      <c r="J47" s="79" t="s">
        <v>1118</v>
      </c>
      <c r="K47" s="208">
        <v>45373.465814189818</v>
      </c>
      <c r="M47" s="208">
        <v>45406.488527256945</v>
      </c>
      <c r="N47" s="79" t="s">
        <v>4392</v>
      </c>
      <c r="O47" s="79" t="s">
        <v>4363</v>
      </c>
      <c r="P47" s="79" t="s">
        <v>4348</v>
      </c>
      <c r="Q47" s="79" t="s">
        <v>4343</v>
      </c>
      <c r="R47" s="79">
        <v>29</v>
      </c>
      <c r="S47" s="79">
        <v>1</v>
      </c>
      <c r="T47" s="81">
        <v>29908.42</v>
      </c>
      <c r="U47" s="81">
        <v>31098.46</v>
      </c>
      <c r="V47" s="79" t="str">
        <f>INDEX(pARTNER[#All],MATCH(I_Miei_Rendiconti[[#This Row],[Column1.partnerId]],pARTNER[[#All],[Value.partnerSummary.id]],0),2)</f>
        <v>WALKofPEACE+</v>
      </c>
      <c r="W47" s="79" t="b">
        <v>0</v>
      </c>
      <c r="X47" s="82">
        <f>I_Miei_Rendiconti[[#This Row],[Column1.totalAfterSubmitted]]-I_Miei_Rendiconti[[#This Row],[Column1.totalEligibleAfterControl]]</f>
        <v>1190.0400000000009</v>
      </c>
      <c r="Y47" s="80">
        <f>IF(I_Miei_Rendiconti[[#This Row],[Column1.status]]="Certified",IFERROR(I_Miei_Rendiconti[[#This Row],[Financial corection]]/I_Miei_Rendiconti[[#This Row],[Column1.totalAfterSubmitted]],0),"Rendiconto da certificare")</f>
        <v>3.8266846654143032E-2</v>
      </c>
      <c r="Z47" s="207" t="str">
        <f>IF(I_Miei_Rendiconti[[#This Row],[Column1.status]]&lt;&gt;"Certified",INDEX('Partner data'!DG:DQ,MATCH(I_Miei_Rendiconti[[#This Row],[Column1.partnerId]],'Partner data'!DG:DG,0),13),"Rendiconto CONVALIDATO")</f>
        <v>Rendiconto CONVALIDATO</v>
      </c>
      <c r="AA47"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47" s="81" t="str">
        <f>IF(OR(I_Miei_Rendiconti[[#This Row],[N. previouse validated report ]]="Rendiconto CONVALIDATO",I_Miei_Rendiconti[[#This Row],[N. previouse validated report ]]="NON è stato convalidato ancora nessun rendiconto"),"NON PERTINENTE","fai la fromula")</f>
        <v>NON PERTINENTE</v>
      </c>
      <c r="AC47"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47" s="2">
        <f>INDEX('Partner data'!DG:DJ,MATCH(I_Miei_Rendiconti[[#This Row],[Column1.partnerId]],'Partner data'!DG:DG,0),3)</f>
        <v>1</v>
      </c>
      <c r="AE47" t="str" cm="1">
        <f t="array" ref="AE47">INDEX('Varie Tabelle'!$A$37:$C$51,MATCH(1,(I_Miei_Rendiconti[[#This Row],[Column1.firstSubmission]]&gt;='Varie Tabelle'!$B$37:$B$51)*(I_Miei_Rendiconti[[#This Row],[Column1.firstSubmission]]&lt;'Varie Tabelle'!$C$37:$C$51),0),1)</f>
        <v>Finestra 2</v>
      </c>
      <c r="AF47" s="109">
        <f>INDEX('Varie Tabelle'!$A$37:$C$51,MATCH('MY-REPORT-MAIN'!AE47,'Varie Tabelle'!$A$37:$A$51,0),2)</f>
        <v>45352</v>
      </c>
      <c r="AG47" s="109">
        <f>INDEX('Partner data'!DG:DR,MATCH(I_Miei_Rendiconti[[#This Row],[Column1.partnerId]],'Partner data'!DG:DG,0),12)</f>
        <v>45200</v>
      </c>
      <c r="AH47" s="115">
        <f t="shared" si="0"/>
        <v>4.9983558040118385</v>
      </c>
      <c r="AI47" t="str" cm="1">
        <f t="array" ref="AI47">INDEX('Varie Tabelle'!$A$12:$C$22,MATCH(1,('MY-REPORT-MAIN'!AH47&gt;='Varie Tabelle'!$B$12:$B$22)*('MY-REPORT-MAIN'!AH47&lt;='Varie Tabelle'!$C$12:$C$22),0),1)</f>
        <v>Periodo-1</v>
      </c>
      <c r="AJ47" s="14">
        <f>INDEX('Partner data'!A:EC,MATCH(I_Miei_Rendiconti[[#This Row],[Column1.partnerId]],'Partner data'!DG:DG,0),MATCH('MY-REPORT-MAIN'!AI47,'Partner data'!$2:$2,0))</f>
        <v>35000</v>
      </c>
      <c r="AK47" s="10">
        <f>SUMIFS($U$2:U47,$C$2:C47,I_Miei_Rendiconti[[#This Row],[Column1.partnerId]])-AJ47</f>
        <v>-3901.5400000000009</v>
      </c>
      <c r="AL47" s="16">
        <f>IFERROR(1-(I_Miei_Rendiconti[[#This Row],[Column1.totalAfterSubmitted]]/AJ47),0)</f>
        <v>0.11147257142857148</v>
      </c>
      <c r="AM47" s="14">
        <f>INDEX('Partner data'!A:EB,MATCH(I_Miei_Rendiconti[[#This Row],[Column1.partnerId]],'Partner data'!DG:DG,0),44)</f>
        <v>140000</v>
      </c>
      <c r="AN47" s="14">
        <f>SUMIFS(ListOfExpenditure!AP:AP,ListOfExpenditure!AJ:AJ,I_Miei_Rendiconti[[#This Row],[Column1.id]])</f>
        <v>0</v>
      </c>
      <c r="AO47" s="148">
        <f>SUMIFS(ReportSubmittedBL!W:W,ReportSubmittedBL!D:D,I_Miei_Rendiconti[[#This Row],[Column1.id]])</f>
        <v>8</v>
      </c>
      <c r="AP47" s="155" cm="1">
        <f t="array" ref="AP47">INDEX('Weight tables'!$A$32:$C$36,MATCH(1,('MY-REPORT-MAIN'!AO47&gt;='Weight tables'!$B$32:$B$36)*('MY-REPORT-MAIN'!AO47&lt;='Weight tables'!$C$32:$C$36),0),1)</f>
        <v>6.3</v>
      </c>
      <c r="AQ47" s="155">
        <f>INDEX('Weight tables'!$A$39:$B$41,MATCH(I_Miei_Rendiconti[[#This Row],[Previouse Report checked?yes/no]],'Weight tables'!$B$39:$B$41,0),1)</f>
        <v>8.4</v>
      </c>
      <c r="AR47" s="155" cm="1">
        <f t="array" ref="AR47">IF(I_Miei_Rendiconti[[#This Row],[Sum of errors in previous report ]]="NON PERTINENTE",0,INDEX('Weight tables'!$A$43:$C$46,MATCH(1,(I_Miei_Rendiconti[[#This Row],[Sum of errors in previous report ]]&gt;='Weight tables'!$B$43:$B$46)*(I_Miei_Rendiconti[[#This Row],[Sum of errors in previous report ]]&lt;='Weight tables'!$C$43:$C$46),0),1))</f>
        <v>0</v>
      </c>
      <c r="AS47" s="155" cm="1">
        <f t="array" ref="AS47">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47" s="155" cm="1">
        <f t="array" ref="AT47">INDEX('Weight tables'!$A$56:$C$65,MATCH(1,('MY-REPORT-MAIN'!U47&gt;='Weight tables'!$B$56:$B$65)*('MY-REPORT-MAIN'!U47&lt;='Weight tables'!$C$56:$C$65),0),1)</f>
        <v>3</v>
      </c>
      <c r="AU47" s="155" cm="1">
        <f t="array" ref="AU47">INDEX('Weight tables'!$A$68:$C$71,MATCH(1,('MY-REPORT-MAIN'!AL47&gt;='Weight tables'!$B$68:$B$71)*('MY-REPORT-MAIN'!AL47&lt;='Weight tables'!$C$68:$C$71),0),1)</f>
        <v>1</v>
      </c>
      <c r="AV47" s="155" cm="1">
        <f t="array" ref="AV47">INDEX('Weight tables'!$A$74:$C$78,MATCH(1,('MY-REPORT-MAIN'!AN47&gt;='Weight tables'!$B$74:$B$78)*('MY-REPORT-MAIN'!AN47&lt;='Weight tables'!$C$74:$C$78),0),1)</f>
        <v>0</v>
      </c>
      <c r="AW47" s="16">
        <f>IF(I_Miei_Rendiconti[[#This Row],[Column1.totalAfterSubmitted]]/AM47&gt;50%,"Checked",0)</f>
        <v>0</v>
      </c>
      <c r="AX47" s="155">
        <f t="shared" si="1"/>
        <v>18.7</v>
      </c>
      <c r="AY47" s="155" t="str">
        <f>INDEX('Partner data'!A:EB,MATCH(I_Miei_Rendiconti[[#This Row],[Column1.partnerId]],'Partner data'!DG:DG,0),92)</f>
        <v>Slovenija (SI)</v>
      </c>
    </row>
    <row r="48" spans="1:51" ht="30" x14ac:dyDescent="0.25">
      <c r="A48" s="79">
        <v>151</v>
      </c>
      <c r="B48" s="79">
        <v>48</v>
      </c>
      <c r="C48" s="79">
        <v>154</v>
      </c>
      <c r="D48" s="79" t="s">
        <v>1261</v>
      </c>
      <c r="E48" s="79" t="s">
        <v>253</v>
      </c>
      <c r="F48" s="79">
        <v>2</v>
      </c>
      <c r="G48" s="206" t="s">
        <v>69</v>
      </c>
      <c r="H48" s="79">
        <v>1</v>
      </c>
      <c r="I48" s="79" t="s">
        <v>4339</v>
      </c>
      <c r="J48" s="79" t="s">
        <v>1263</v>
      </c>
      <c r="K48" s="208">
        <v>45373.53240783565</v>
      </c>
      <c r="M48" s="208">
        <v>45446.591026527778</v>
      </c>
      <c r="N48" s="79" t="s">
        <v>4411</v>
      </c>
      <c r="O48" s="79" t="s">
        <v>4403</v>
      </c>
      <c r="P48" s="79" t="s">
        <v>4348</v>
      </c>
      <c r="Q48" s="79" t="s">
        <v>4343</v>
      </c>
      <c r="R48" s="79">
        <v>8</v>
      </c>
      <c r="S48" s="79">
        <v>1</v>
      </c>
      <c r="T48" s="81">
        <v>29206.92</v>
      </c>
      <c r="U48" s="81">
        <v>30523.24</v>
      </c>
      <c r="V48" s="79" t="str">
        <f>INDEX(pARTNER[#All],MATCH(I_Miei_Rendiconti[[#This Row],[Column1.partnerId]],pARTNER[[#All],[Value.partnerSummary.id]],0),2)</f>
        <v>AGROTUR+</v>
      </c>
      <c r="W48" s="79" t="b">
        <v>0</v>
      </c>
      <c r="X48" s="82">
        <f>I_Miei_Rendiconti[[#This Row],[Column1.totalAfterSubmitted]]-I_Miei_Rendiconti[[#This Row],[Column1.totalEligibleAfterControl]]</f>
        <v>1316.3200000000033</v>
      </c>
      <c r="Y48" s="80">
        <f>IF(I_Miei_Rendiconti[[#This Row],[Column1.status]]="Certified",IFERROR(I_Miei_Rendiconti[[#This Row],[Financial corection]]/I_Miei_Rendiconti[[#This Row],[Column1.totalAfterSubmitted]],0),"Rendiconto da certificare")</f>
        <v>4.3125172819137261E-2</v>
      </c>
      <c r="Z48" s="207" t="str">
        <f>IF(I_Miei_Rendiconti[[#This Row],[Column1.status]]&lt;&gt;"Certified",INDEX('Partner data'!DG:DQ,MATCH(I_Miei_Rendiconti[[#This Row],[Column1.partnerId]],'Partner data'!DG:DG,0),13),"Rendiconto CONVALIDATO")</f>
        <v>Rendiconto CONVALIDATO</v>
      </c>
      <c r="AA48"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48" s="81" t="str">
        <f>IF(OR(I_Miei_Rendiconti[[#This Row],[N. previouse validated report ]]="Rendiconto CONVALIDATO",I_Miei_Rendiconti[[#This Row],[N. previouse validated report ]]="NON è stato convalidato ancora nessun rendiconto"),"NON PERTINENTE","fai la fromula")</f>
        <v>NON PERTINENTE</v>
      </c>
      <c r="AC48"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48" s="2">
        <f>INDEX('Partner data'!DG:DJ,MATCH(I_Miei_Rendiconti[[#This Row],[Column1.partnerId]],'Partner data'!DG:DG,0),3)</f>
        <v>1</v>
      </c>
      <c r="AE48" t="str" cm="1">
        <f t="array" ref="AE48">INDEX('Varie Tabelle'!$A$37:$C$51,MATCH(1,(I_Miei_Rendiconti[[#This Row],[Column1.firstSubmission]]&gt;='Varie Tabelle'!$B$37:$B$51)*(I_Miei_Rendiconti[[#This Row],[Column1.firstSubmission]]&lt;'Varie Tabelle'!$C$37:$C$51),0),1)</f>
        <v>Finestra 2</v>
      </c>
      <c r="AF48" s="109">
        <f>INDEX('Varie Tabelle'!$A$37:$C$51,MATCH('MY-REPORT-MAIN'!AE48,'Varie Tabelle'!$A$37:$A$51,0),2)</f>
        <v>45352</v>
      </c>
      <c r="AG48" s="109">
        <f>INDEX('Partner data'!DG:DR,MATCH(I_Miei_Rendiconti[[#This Row],[Column1.partnerId]],'Partner data'!DG:DG,0),12)</f>
        <v>45139</v>
      </c>
      <c r="AH48" s="115">
        <f t="shared" si="0"/>
        <v>7.0042749095692205</v>
      </c>
      <c r="AI48" t="str" cm="1">
        <f t="array" ref="AI48">INDEX('Varie Tabelle'!$A$12:$C$22,MATCH(1,('MY-REPORT-MAIN'!AH48&gt;='Varie Tabelle'!$B$12:$B$22)*('MY-REPORT-MAIN'!AH48&lt;='Varie Tabelle'!$C$12:$C$22),0),1)</f>
        <v>Periodo-1</v>
      </c>
      <c r="AJ48" s="14">
        <f>INDEX('Partner data'!A:EC,MATCH(I_Miei_Rendiconti[[#This Row],[Column1.partnerId]],'Partner data'!DG:DG,0),MATCH('MY-REPORT-MAIN'!AI48,'Partner data'!$2:$2,0))</f>
        <v>19593.740000000002</v>
      </c>
      <c r="AK48" s="10">
        <f>SUMIFS($U$2:U48,$C$2:C48,I_Miei_Rendiconti[[#This Row],[Column1.partnerId]])-AJ48</f>
        <v>10929.5</v>
      </c>
      <c r="AL48" s="16">
        <f>IFERROR(1-(I_Miei_Rendiconti[[#This Row],[Column1.totalAfterSubmitted]]/AJ48),0)</f>
        <v>-0.55780570733305623</v>
      </c>
      <c r="AM48" s="14">
        <f>INDEX('Partner data'!A:EB,MATCH(I_Miei_Rendiconti[[#This Row],[Column1.partnerId]],'Partner data'!DG:DG,0),44)</f>
        <v>95006.71</v>
      </c>
      <c r="AN48" s="14">
        <f>SUMIFS(ListOfExpenditure!AP:AP,ListOfExpenditure!AJ:AJ,I_Miei_Rendiconti[[#This Row],[Column1.id]])</f>
        <v>0</v>
      </c>
      <c r="AO48" s="148">
        <f>SUMIFS(ReportSubmittedBL!W:W,ReportSubmittedBL!D:D,I_Miei_Rendiconti[[#This Row],[Column1.id]])</f>
        <v>8</v>
      </c>
      <c r="AP48" s="155" cm="1">
        <f t="array" ref="AP48">INDEX('Weight tables'!$A$32:$C$36,MATCH(1,('MY-REPORT-MAIN'!AO48&gt;='Weight tables'!$B$32:$B$36)*('MY-REPORT-MAIN'!AO48&lt;='Weight tables'!$C$32:$C$36),0),1)</f>
        <v>6.3</v>
      </c>
      <c r="AQ48" s="155">
        <f>INDEX('Weight tables'!$A$39:$B$41,MATCH(I_Miei_Rendiconti[[#This Row],[Previouse Report checked?yes/no]],'Weight tables'!$B$39:$B$41,0),1)</f>
        <v>8.4</v>
      </c>
      <c r="AR48" s="155" cm="1">
        <f t="array" ref="AR48">IF(I_Miei_Rendiconti[[#This Row],[Sum of errors in previous report ]]="NON PERTINENTE",0,INDEX('Weight tables'!$A$43:$C$46,MATCH(1,(I_Miei_Rendiconti[[#This Row],[Sum of errors in previous report ]]&gt;='Weight tables'!$B$43:$B$46)*(I_Miei_Rendiconti[[#This Row],[Sum of errors in previous report ]]&lt;='Weight tables'!$C$43:$C$46),0),1))</f>
        <v>0</v>
      </c>
      <c r="AS48" s="155" cm="1">
        <f t="array" ref="AS48">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48" s="155" cm="1">
        <f t="array" ref="AT48">INDEX('Weight tables'!$A$56:$C$65,MATCH(1,('MY-REPORT-MAIN'!U48&gt;='Weight tables'!$B$56:$B$65)*('MY-REPORT-MAIN'!U48&lt;='Weight tables'!$C$56:$C$65),0),1)</f>
        <v>3</v>
      </c>
      <c r="AU48" s="155" cm="1">
        <f t="array" ref="AU48">INDEX('Weight tables'!$A$68:$C$71,MATCH(1,('MY-REPORT-MAIN'!AL48&gt;='Weight tables'!$B$68:$B$71)*('MY-REPORT-MAIN'!AL48&lt;='Weight tables'!$C$68:$C$71),0),1)</f>
        <v>0</v>
      </c>
      <c r="AV48" s="155" cm="1">
        <f t="array" ref="AV48">INDEX('Weight tables'!$A$74:$C$78,MATCH(1,('MY-REPORT-MAIN'!AN48&gt;='Weight tables'!$B$74:$B$78)*('MY-REPORT-MAIN'!AN48&lt;='Weight tables'!$C$74:$C$78),0),1)</f>
        <v>0</v>
      </c>
      <c r="AW48" s="16">
        <f>IF(I_Miei_Rendiconti[[#This Row],[Column1.totalAfterSubmitted]]/AM48&gt;50%,"Checked",0)</f>
        <v>0</v>
      </c>
      <c r="AX48" s="155">
        <f t="shared" si="1"/>
        <v>17.7</v>
      </c>
      <c r="AY48" s="155" t="str">
        <f>INDEX('Partner data'!A:EB,MATCH(I_Miei_Rendiconti[[#This Row],[Column1.partnerId]],'Partner data'!DG:DG,0),92)</f>
        <v>Italia (IT)</v>
      </c>
    </row>
    <row r="49" spans="1:51" ht="30" x14ac:dyDescent="0.25">
      <c r="A49" s="79">
        <v>247</v>
      </c>
      <c r="B49" s="79">
        <v>68</v>
      </c>
      <c r="C49" s="79">
        <v>256</v>
      </c>
      <c r="D49" s="79" t="s">
        <v>1774</v>
      </c>
      <c r="E49" s="79" t="s">
        <v>253</v>
      </c>
      <c r="F49" s="79">
        <v>6</v>
      </c>
      <c r="G49" s="206" t="s">
        <v>333</v>
      </c>
      <c r="H49" s="79">
        <v>1</v>
      </c>
      <c r="I49" s="79" t="s">
        <v>4339</v>
      </c>
      <c r="J49" s="79" t="s">
        <v>593</v>
      </c>
      <c r="K49" s="208">
        <v>45373.533300277777</v>
      </c>
      <c r="M49" s="208">
        <v>45419.424976342591</v>
      </c>
      <c r="N49" s="79" t="s">
        <v>4480</v>
      </c>
      <c r="O49" s="79" t="s">
        <v>4347</v>
      </c>
      <c r="P49" s="79" t="s">
        <v>4481</v>
      </c>
      <c r="Q49" s="79" t="s">
        <v>4343</v>
      </c>
      <c r="R49" s="79">
        <v>35</v>
      </c>
      <c r="S49" s="79">
        <v>1</v>
      </c>
      <c r="T49" s="81">
        <v>19153.52</v>
      </c>
      <c r="U49" s="81">
        <v>24939.59</v>
      </c>
      <c r="V49" s="79" t="str">
        <f>INDEX(pARTNER[#All],MATCH(I_Miei_Rendiconti[[#This Row],[Column1.partnerId]],pARTNER[[#All],[Value.partnerSummary.id]],0),2)</f>
        <v>Primis Plus</v>
      </c>
      <c r="W49" s="79" t="b">
        <v>0</v>
      </c>
      <c r="X49" s="82">
        <f>I_Miei_Rendiconti[[#This Row],[Column1.totalAfterSubmitted]]-I_Miei_Rendiconti[[#This Row],[Column1.totalEligibleAfterControl]]</f>
        <v>5786.07</v>
      </c>
      <c r="Y49" s="80">
        <f>IF(I_Miei_Rendiconti[[#This Row],[Column1.status]]="Certified",IFERROR(I_Miei_Rendiconti[[#This Row],[Financial corection]]/I_Miei_Rendiconti[[#This Row],[Column1.totalAfterSubmitted]],0),"Rendiconto da certificare")</f>
        <v>0.23200341304728744</v>
      </c>
      <c r="Z49" s="207" t="str">
        <f>IF(I_Miei_Rendiconti[[#This Row],[Column1.status]]&lt;&gt;"Certified",INDEX('Partner data'!DG:DQ,MATCH(I_Miei_Rendiconti[[#This Row],[Column1.partnerId]],'Partner data'!DG:DG,0),13),"Rendiconto CONVALIDATO")</f>
        <v>Rendiconto CONVALIDATO</v>
      </c>
      <c r="AA49"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49" s="81" t="str">
        <f>IF(OR(I_Miei_Rendiconti[[#This Row],[N. previouse validated report ]]="Rendiconto CONVALIDATO",I_Miei_Rendiconti[[#This Row],[N. previouse validated report ]]="NON è stato convalidato ancora nessun rendiconto"),"NON PERTINENTE","fai la fromula")</f>
        <v>NON PERTINENTE</v>
      </c>
      <c r="AC49"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49" s="2">
        <f>INDEX('Partner data'!DG:DJ,MATCH(I_Miei_Rendiconti[[#This Row],[Column1.partnerId]],'Partner data'!DG:DG,0),3)</f>
        <v>1</v>
      </c>
      <c r="AE49" t="str" cm="1">
        <f t="array" ref="AE49">INDEX('Varie Tabelle'!$A$37:$C$51,MATCH(1,(I_Miei_Rendiconti[[#This Row],[Column1.firstSubmission]]&gt;='Varie Tabelle'!$B$37:$B$51)*(I_Miei_Rendiconti[[#This Row],[Column1.firstSubmission]]&lt;'Varie Tabelle'!$C$37:$C$51),0),1)</f>
        <v>Finestra 2</v>
      </c>
      <c r="AF49" s="109">
        <f>INDEX('Varie Tabelle'!$A$37:$C$51,MATCH('MY-REPORT-MAIN'!AE49,'Varie Tabelle'!$A$37:$A$51,0),2)</f>
        <v>45352</v>
      </c>
      <c r="AG49" s="109">
        <f>INDEX('Partner data'!DG:DR,MATCH(I_Miei_Rendiconti[[#This Row],[Column1.partnerId]],'Partner data'!DG:DG,0),12)</f>
        <v>45170</v>
      </c>
      <c r="AH49" s="115">
        <f t="shared" si="0"/>
        <v>5.9848733969089114</v>
      </c>
      <c r="AI49" t="str" cm="1">
        <f t="array" ref="AI49">INDEX('Varie Tabelle'!$A$12:$C$22,MATCH(1,('MY-REPORT-MAIN'!AH49&gt;='Varie Tabelle'!$B$12:$B$22)*('MY-REPORT-MAIN'!AH49&lt;='Varie Tabelle'!$C$12:$C$22),0),1)</f>
        <v>Periodo-1</v>
      </c>
      <c r="AJ49" s="14">
        <f>INDEX('Partner data'!A:EC,MATCH(I_Miei_Rendiconti[[#This Row],[Column1.partnerId]],'Partner data'!DG:DG,0),MATCH('MY-REPORT-MAIN'!AI49,'Partner data'!$2:$2,0))</f>
        <v>33550.870000000003</v>
      </c>
      <c r="AK49" s="10">
        <f>SUMIFS($U$2:U49,$C$2:C49,I_Miei_Rendiconti[[#This Row],[Column1.partnerId]])-AJ49</f>
        <v>-8611.2800000000025</v>
      </c>
      <c r="AL49" s="16">
        <f>IFERROR(1-(I_Miei_Rendiconti[[#This Row],[Column1.totalAfterSubmitted]]/AJ49),0)</f>
        <v>0.25666338905667729</v>
      </c>
      <c r="AM49" s="14">
        <f>INDEX('Partner data'!A:EB,MATCH(I_Miei_Rendiconti[[#This Row],[Column1.partnerId]],'Partner data'!DG:DG,0),44)</f>
        <v>134199.82</v>
      </c>
      <c r="AN49" s="14">
        <f>SUMIFS(ListOfExpenditure!AP:AP,ListOfExpenditure!AJ:AJ,I_Miei_Rendiconti[[#This Row],[Column1.id]])</f>
        <v>0</v>
      </c>
      <c r="AO49" s="148">
        <f>SUMIFS(ReportSubmittedBL!W:W,ReportSubmittedBL!D:D,I_Miei_Rendiconti[[#This Row],[Column1.id]])</f>
        <v>8</v>
      </c>
      <c r="AP49" s="155" cm="1">
        <f t="array" ref="AP49">INDEX('Weight tables'!$A$32:$C$36,MATCH(1,('MY-REPORT-MAIN'!AO49&gt;='Weight tables'!$B$32:$B$36)*('MY-REPORT-MAIN'!AO49&lt;='Weight tables'!$C$32:$C$36),0),1)</f>
        <v>6.3</v>
      </c>
      <c r="AQ49" s="155">
        <f>INDEX('Weight tables'!$A$39:$B$41,MATCH(I_Miei_Rendiconti[[#This Row],[Previouse Report checked?yes/no]],'Weight tables'!$B$39:$B$41,0),1)</f>
        <v>8.4</v>
      </c>
      <c r="AR49" s="155" cm="1">
        <f t="array" ref="AR49">IF(I_Miei_Rendiconti[[#This Row],[Sum of errors in previous report ]]="NON PERTINENTE",0,INDEX('Weight tables'!$A$43:$C$46,MATCH(1,(I_Miei_Rendiconti[[#This Row],[Sum of errors in previous report ]]&gt;='Weight tables'!$B$43:$B$46)*(I_Miei_Rendiconti[[#This Row],[Sum of errors in previous report ]]&lt;='Weight tables'!$C$43:$C$46),0),1))</f>
        <v>0</v>
      </c>
      <c r="AS49" s="155" cm="1">
        <f t="array" ref="AS49">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49" s="155" cm="1">
        <f t="array" ref="AT49">INDEX('Weight tables'!$A$56:$C$65,MATCH(1,('MY-REPORT-MAIN'!U49&gt;='Weight tables'!$B$56:$B$65)*('MY-REPORT-MAIN'!U49&lt;='Weight tables'!$C$56:$C$65),0),1)</f>
        <v>2</v>
      </c>
      <c r="AU49" s="155" cm="1">
        <f t="array" ref="AU49">INDEX('Weight tables'!$A$68:$C$71,MATCH(1,('MY-REPORT-MAIN'!AL49&gt;='Weight tables'!$B$68:$B$71)*('MY-REPORT-MAIN'!AL49&lt;='Weight tables'!$C$68:$C$71),0),1)</f>
        <v>2</v>
      </c>
      <c r="AV49" s="155" cm="1">
        <f t="array" ref="AV49">INDEX('Weight tables'!$A$74:$C$78,MATCH(1,('MY-REPORT-MAIN'!AN49&gt;='Weight tables'!$B$74:$B$78)*('MY-REPORT-MAIN'!AN49&lt;='Weight tables'!$C$74:$C$78),0),1)</f>
        <v>0</v>
      </c>
      <c r="AW49" s="16">
        <f>IF(I_Miei_Rendiconti[[#This Row],[Column1.totalAfterSubmitted]]/AM49&gt;50%,"Checked",0)</f>
        <v>0</v>
      </c>
      <c r="AX49" s="155">
        <f t="shared" si="1"/>
        <v>18.7</v>
      </c>
      <c r="AY49" s="155" t="str">
        <f>INDEX('Partner data'!A:EB,MATCH(I_Miei_Rendiconti[[#This Row],[Column1.partnerId]],'Partner data'!DG:DG,0),92)</f>
        <v>Slovenija (SI)</v>
      </c>
    </row>
    <row r="50" spans="1:51" ht="30" x14ac:dyDescent="0.25">
      <c r="A50" s="79">
        <v>206</v>
      </c>
      <c r="B50" s="79">
        <v>48</v>
      </c>
      <c r="C50" s="79">
        <v>157</v>
      </c>
      <c r="D50" s="79" t="s">
        <v>1261</v>
      </c>
      <c r="E50" s="79" t="s">
        <v>253</v>
      </c>
      <c r="F50" s="79">
        <v>5</v>
      </c>
      <c r="G50" s="206" t="s">
        <v>303</v>
      </c>
      <c r="H50" s="79">
        <v>1</v>
      </c>
      <c r="I50" s="79" t="s">
        <v>4339</v>
      </c>
      <c r="J50" s="79" t="s">
        <v>1263</v>
      </c>
      <c r="K50" s="208">
        <v>45373.618295405089</v>
      </c>
      <c r="M50" s="208">
        <v>45420.44550199074</v>
      </c>
      <c r="N50" s="79" t="s">
        <v>4448</v>
      </c>
      <c r="O50" s="79" t="s">
        <v>4403</v>
      </c>
      <c r="P50" s="79" t="s">
        <v>4348</v>
      </c>
      <c r="Q50" s="79" t="s">
        <v>4343</v>
      </c>
      <c r="R50" s="79">
        <v>8</v>
      </c>
      <c r="S50" s="79">
        <v>1</v>
      </c>
      <c r="T50" s="81">
        <v>8916.35</v>
      </c>
      <c r="U50" s="81">
        <v>8997.27</v>
      </c>
      <c r="V50" s="79" t="str">
        <f>INDEX(pARTNER[#All],MATCH(I_Miei_Rendiconti[[#This Row],[Column1.partnerId]],pARTNER[[#All],[Value.partnerSummary.id]],0),2)</f>
        <v>AGROTUR+</v>
      </c>
      <c r="W50" s="79" t="b">
        <v>0</v>
      </c>
      <c r="X50" s="82">
        <f>I_Miei_Rendiconti[[#This Row],[Column1.totalAfterSubmitted]]-I_Miei_Rendiconti[[#This Row],[Column1.totalEligibleAfterControl]]</f>
        <v>80.920000000000073</v>
      </c>
      <c r="Y50" s="80">
        <f>IF(I_Miei_Rendiconti[[#This Row],[Column1.status]]="Certified",IFERROR(I_Miei_Rendiconti[[#This Row],[Financial corection]]/I_Miei_Rendiconti[[#This Row],[Column1.totalAfterSubmitted]],0),"Rendiconto da certificare")</f>
        <v>8.9938392423479646E-3</v>
      </c>
      <c r="Z50" s="207" t="str">
        <f>IF(I_Miei_Rendiconti[[#This Row],[Column1.status]]&lt;&gt;"Certified",INDEX('Partner data'!DG:DQ,MATCH(I_Miei_Rendiconti[[#This Row],[Column1.partnerId]],'Partner data'!DG:DG,0),13),"Rendiconto CONVALIDATO")</f>
        <v>Rendiconto CONVALIDATO</v>
      </c>
      <c r="AA50"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50" s="81" t="str">
        <f>IF(OR(I_Miei_Rendiconti[[#This Row],[N. previouse validated report ]]="Rendiconto CONVALIDATO",I_Miei_Rendiconti[[#This Row],[N. previouse validated report ]]="NON è stato convalidato ancora nessun rendiconto"),"NON PERTINENTE","fai la fromula")</f>
        <v>NON PERTINENTE</v>
      </c>
      <c r="AC50"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50" s="2">
        <f>INDEX('Partner data'!DG:DJ,MATCH(I_Miei_Rendiconti[[#This Row],[Column1.partnerId]],'Partner data'!DG:DG,0),3)</f>
        <v>1</v>
      </c>
      <c r="AE50" t="str" cm="1">
        <f t="array" ref="AE50">INDEX('Varie Tabelle'!$A$37:$C$51,MATCH(1,(I_Miei_Rendiconti[[#This Row],[Column1.firstSubmission]]&gt;='Varie Tabelle'!$B$37:$B$51)*(I_Miei_Rendiconti[[#This Row],[Column1.firstSubmission]]&lt;'Varie Tabelle'!$C$37:$C$51),0),1)</f>
        <v>Finestra 2</v>
      </c>
      <c r="AF50" s="109">
        <f>INDEX('Varie Tabelle'!$A$37:$C$51,MATCH('MY-REPORT-MAIN'!AE50,'Varie Tabelle'!$A$37:$A$51,0),2)</f>
        <v>45352</v>
      </c>
      <c r="AG50" s="109">
        <f>INDEX('Partner data'!DG:DR,MATCH(I_Miei_Rendiconti[[#This Row],[Column1.partnerId]],'Partner data'!DG:DG,0),12)</f>
        <v>45139</v>
      </c>
      <c r="AH50" s="115">
        <f t="shared" si="0"/>
        <v>7.0042749095692205</v>
      </c>
      <c r="AI50" t="str" cm="1">
        <f t="array" ref="AI50">INDEX('Varie Tabelle'!$A$12:$C$22,MATCH(1,('MY-REPORT-MAIN'!AH50&gt;='Varie Tabelle'!$B$12:$B$22)*('MY-REPORT-MAIN'!AH50&lt;='Varie Tabelle'!$C$12:$C$22),0),1)</f>
        <v>Periodo-1</v>
      </c>
      <c r="AJ50" s="14">
        <f>INDEX('Partner data'!A:EC,MATCH(I_Miei_Rendiconti[[#This Row],[Column1.partnerId]],'Partner data'!DG:DG,0),MATCH('MY-REPORT-MAIN'!AI50,'Partner data'!$2:$2,0))</f>
        <v>0</v>
      </c>
      <c r="AK50" s="10">
        <f>SUMIFS($U$2:U50,$C$2:C50,I_Miei_Rendiconti[[#This Row],[Column1.partnerId]])-AJ50</f>
        <v>8997.27</v>
      </c>
      <c r="AL50" s="16">
        <f>IFERROR(1-(I_Miei_Rendiconti[[#This Row],[Column1.totalAfterSubmitted]]/AJ50),0)</f>
        <v>0</v>
      </c>
      <c r="AM50" s="14">
        <f>INDEX('Partner data'!A:EB,MATCH(I_Miei_Rendiconti[[#This Row],[Column1.partnerId]],'Partner data'!DG:DG,0),44)</f>
        <v>99999</v>
      </c>
      <c r="AN50" s="14">
        <f>SUMIFS(ListOfExpenditure!AP:AP,ListOfExpenditure!AJ:AJ,I_Miei_Rendiconti[[#This Row],[Column1.id]])</f>
        <v>0</v>
      </c>
      <c r="AO50" s="148">
        <f>SUMIFS(ReportSubmittedBL!W:W,ReportSubmittedBL!D:D,I_Miei_Rendiconti[[#This Row],[Column1.id]])</f>
        <v>8</v>
      </c>
      <c r="AP50" s="155" cm="1">
        <f t="array" ref="AP50">INDEX('Weight tables'!$A$32:$C$36,MATCH(1,('MY-REPORT-MAIN'!AO50&gt;='Weight tables'!$B$32:$B$36)*('MY-REPORT-MAIN'!AO50&lt;='Weight tables'!$C$32:$C$36),0),1)</f>
        <v>6.3</v>
      </c>
      <c r="AQ50" s="155">
        <f>INDEX('Weight tables'!$A$39:$B$41,MATCH(I_Miei_Rendiconti[[#This Row],[Previouse Report checked?yes/no]],'Weight tables'!$B$39:$B$41,0),1)</f>
        <v>8.4</v>
      </c>
      <c r="AR50" s="155" cm="1">
        <f t="array" ref="AR50">IF(I_Miei_Rendiconti[[#This Row],[Sum of errors in previous report ]]="NON PERTINENTE",0,INDEX('Weight tables'!$A$43:$C$46,MATCH(1,(I_Miei_Rendiconti[[#This Row],[Sum of errors in previous report ]]&gt;='Weight tables'!$B$43:$B$46)*(I_Miei_Rendiconti[[#This Row],[Sum of errors in previous report ]]&lt;='Weight tables'!$C$43:$C$46),0),1))</f>
        <v>0</v>
      </c>
      <c r="AS50" s="155" cm="1">
        <f t="array" ref="AS50">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50" s="155" cm="1">
        <f t="array" ref="AT50">INDEX('Weight tables'!$A$56:$C$65,MATCH(1,('MY-REPORT-MAIN'!U50&gt;='Weight tables'!$B$56:$B$65)*('MY-REPORT-MAIN'!U50&lt;='Weight tables'!$C$56:$C$65),0),1)</f>
        <v>0</v>
      </c>
      <c r="AU50" s="155" cm="1">
        <f t="array" ref="AU50">INDEX('Weight tables'!$A$68:$C$71,MATCH(1,('MY-REPORT-MAIN'!AL50&gt;='Weight tables'!$B$68:$B$71)*('MY-REPORT-MAIN'!AL50&lt;='Weight tables'!$C$68:$C$71),0),1)</f>
        <v>0</v>
      </c>
      <c r="AV50" s="155" cm="1">
        <f t="array" ref="AV50">INDEX('Weight tables'!$A$74:$C$78,MATCH(1,('MY-REPORT-MAIN'!AN50&gt;='Weight tables'!$B$74:$B$78)*('MY-REPORT-MAIN'!AN50&lt;='Weight tables'!$C$74:$C$78),0),1)</f>
        <v>0</v>
      </c>
      <c r="AW50" s="16">
        <f>IF(I_Miei_Rendiconti[[#This Row],[Column1.totalAfterSubmitted]]/AM50&gt;50%,"Checked",0)</f>
        <v>0</v>
      </c>
      <c r="AX50" s="155">
        <f t="shared" si="1"/>
        <v>14.7</v>
      </c>
      <c r="AY50" s="155" t="str">
        <f>INDEX('Partner data'!A:EB,MATCH(I_Miei_Rendiconti[[#This Row],[Column1.partnerId]],'Partner data'!DG:DG,0),92)</f>
        <v>Slovenija (SI)</v>
      </c>
    </row>
    <row r="51" spans="1:51" ht="30" x14ac:dyDescent="0.25">
      <c r="A51" s="79">
        <v>148</v>
      </c>
      <c r="B51" s="79">
        <v>62</v>
      </c>
      <c r="C51" s="79">
        <v>166</v>
      </c>
      <c r="D51" s="79" t="s">
        <v>1622</v>
      </c>
      <c r="E51" s="79" t="s">
        <v>253</v>
      </c>
      <c r="F51" s="79">
        <v>4</v>
      </c>
      <c r="G51" s="206" t="s">
        <v>324</v>
      </c>
      <c r="H51" s="79">
        <v>1</v>
      </c>
      <c r="I51" s="79" t="s">
        <v>4339</v>
      </c>
      <c r="J51" s="79" t="s">
        <v>1118</v>
      </c>
      <c r="K51" s="208">
        <v>45373.641116354163</v>
      </c>
      <c r="M51" s="208">
        <v>45434.683096145833</v>
      </c>
      <c r="N51" s="79" t="s">
        <v>4409</v>
      </c>
      <c r="O51" s="79" t="s">
        <v>4347</v>
      </c>
      <c r="P51" s="79" t="s">
        <v>4348</v>
      </c>
      <c r="Q51" s="79" t="s">
        <v>4343</v>
      </c>
      <c r="R51" s="79">
        <v>26</v>
      </c>
      <c r="S51" s="79">
        <v>1</v>
      </c>
      <c r="T51" s="81">
        <v>25023.599999999999</v>
      </c>
      <c r="U51" s="81">
        <v>25023.599999999999</v>
      </c>
      <c r="V51" s="79" t="str">
        <f>INDEX(pARTNER[#All],MATCH(I_Miei_Rendiconti[[#This Row],[Column1.partnerId]],pARTNER[[#All],[Value.partnerSummary.id]],0),2)</f>
        <v>TRECap</v>
      </c>
      <c r="W51" s="79" t="b">
        <v>0</v>
      </c>
      <c r="X51" s="82">
        <f>I_Miei_Rendiconti[[#This Row],[Column1.totalAfterSubmitted]]-I_Miei_Rendiconti[[#This Row],[Column1.totalEligibleAfterControl]]</f>
        <v>0</v>
      </c>
      <c r="Y51" s="80">
        <f>IF(I_Miei_Rendiconti[[#This Row],[Column1.status]]="Certified",IFERROR(I_Miei_Rendiconti[[#This Row],[Financial corection]]/I_Miei_Rendiconti[[#This Row],[Column1.totalAfterSubmitted]],0),"Rendiconto da certificare")</f>
        <v>0</v>
      </c>
      <c r="Z51" s="207" t="str">
        <f>IF(I_Miei_Rendiconti[[#This Row],[Column1.status]]&lt;&gt;"Certified",INDEX('Partner data'!DG:DQ,MATCH(I_Miei_Rendiconti[[#This Row],[Column1.partnerId]],'Partner data'!DG:DG,0),13),"Rendiconto CONVALIDATO")</f>
        <v>Rendiconto CONVALIDATO</v>
      </c>
      <c r="AA51"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51" s="81" t="str">
        <f>IF(OR(I_Miei_Rendiconti[[#This Row],[N. previouse validated report ]]="Rendiconto CONVALIDATO",I_Miei_Rendiconti[[#This Row],[N. previouse validated report ]]="NON è stato convalidato ancora nessun rendiconto"),"NON PERTINENTE","fai la fromula")</f>
        <v>NON PERTINENTE</v>
      </c>
      <c r="AC51"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51" s="2">
        <f>INDEX('Partner data'!DG:DJ,MATCH(I_Miei_Rendiconti[[#This Row],[Column1.partnerId]],'Partner data'!DG:DG,0),3)</f>
        <v>1</v>
      </c>
      <c r="AE51" t="str" cm="1">
        <f t="array" ref="AE51">INDEX('Varie Tabelle'!$A$37:$C$51,MATCH(1,(I_Miei_Rendiconti[[#This Row],[Column1.firstSubmission]]&gt;='Varie Tabelle'!$B$37:$B$51)*(I_Miei_Rendiconti[[#This Row],[Column1.firstSubmission]]&lt;'Varie Tabelle'!$C$37:$C$51),0),1)</f>
        <v>Finestra 2</v>
      </c>
      <c r="AF51" s="109">
        <f>INDEX('Varie Tabelle'!$A$37:$C$51,MATCH('MY-REPORT-MAIN'!AE51,'Varie Tabelle'!$A$37:$A$51,0),2)</f>
        <v>45352</v>
      </c>
      <c r="AG51" s="109">
        <f>INDEX('Partner data'!DG:DR,MATCH(I_Miei_Rendiconti[[#This Row],[Column1.partnerId]],'Partner data'!DG:DG,0),12)</f>
        <v>45170</v>
      </c>
      <c r="AH51" s="115">
        <f t="shared" si="0"/>
        <v>5.9848733969089114</v>
      </c>
      <c r="AI51" t="str" cm="1">
        <f t="array" ref="AI51">INDEX('Varie Tabelle'!$A$12:$C$22,MATCH(1,('MY-REPORT-MAIN'!AH51&gt;='Varie Tabelle'!$B$12:$B$22)*('MY-REPORT-MAIN'!AH51&lt;='Varie Tabelle'!$C$12:$C$22),0),1)</f>
        <v>Periodo-1</v>
      </c>
      <c r="AJ51" s="14">
        <f>INDEX('Partner data'!A:EC,MATCH(I_Miei_Rendiconti[[#This Row],[Column1.partnerId]],'Partner data'!DG:DG,0),MATCH('MY-REPORT-MAIN'!AI51,'Partner data'!$2:$2,0))</f>
        <v>25023.599999999999</v>
      </c>
      <c r="AK51" s="10">
        <f>SUMIFS($U$2:U51,$C$2:C51,I_Miei_Rendiconti[[#This Row],[Column1.partnerId]])-AJ51</f>
        <v>0</v>
      </c>
      <c r="AL51" s="16">
        <f>IFERROR(1-(I_Miei_Rendiconti[[#This Row],[Column1.totalAfterSubmitted]]/AJ51),0)</f>
        <v>0</v>
      </c>
      <c r="AM51" s="14">
        <f>INDEX('Partner data'!A:EB,MATCH(I_Miei_Rendiconti[[#This Row],[Column1.partnerId]],'Partner data'!DG:DG,0),44)</f>
        <v>100132.2</v>
      </c>
      <c r="AN51" s="14">
        <f>SUMIFS(ListOfExpenditure!AP:AP,ListOfExpenditure!AJ:AJ,I_Miei_Rendiconti[[#This Row],[Column1.id]])</f>
        <v>0</v>
      </c>
      <c r="AO51" s="148">
        <f>SUMIFS(ReportSubmittedBL!W:W,ReportSubmittedBL!D:D,I_Miei_Rendiconti[[#This Row],[Column1.id]])</f>
        <v>6</v>
      </c>
      <c r="AP51" s="155" cm="1">
        <f t="array" ref="AP51">INDEX('Weight tables'!$A$32:$C$36,MATCH(1,('MY-REPORT-MAIN'!AO51&gt;='Weight tables'!$B$32:$B$36)*('MY-REPORT-MAIN'!AO51&lt;='Weight tables'!$C$32:$C$36),0),1)</f>
        <v>4.2</v>
      </c>
      <c r="AQ51" s="155">
        <f>INDEX('Weight tables'!$A$39:$B$41,MATCH(I_Miei_Rendiconti[[#This Row],[Previouse Report checked?yes/no]],'Weight tables'!$B$39:$B$41,0),1)</f>
        <v>8.4</v>
      </c>
      <c r="AR51" s="155" cm="1">
        <f t="array" ref="AR51">IF(I_Miei_Rendiconti[[#This Row],[Sum of errors in previous report ]]="NON PERTINENTE",0,INDEX('Weight tables'!$A$43:$C$46,MATCH(1,(I_Miei_Rendiconti[[#This Row],[Sum of errors in previous report ]]&gt;='Weight tables'!$B$43:$B$46)*(I_Miei_Rendiconti[[#This Row],[Sum of errors in previous report ]]&lt;='Weight tables'!$C$43:$C$46),0),1))</f>
        <v>0</v>
      </c>
      <c r="AS51" s="155" cm="1">
        <f t="array" ref="AS51">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51" s="155" cm="1">
        <f t="array" ref="AT51">INDEX('Weight tables'!$A$56:$C$65,MATCH(1,('MY-REPORT-MAIN'!U51&gt;='Weight tables'!$B$56:$B$65)*('MY-REPORT-MAIN'!U51&lt;='Weight tables'!$C$56:$C$65),0),1)</f>
        <v>2</v>
      </c>
      <c r="AU51" s="155" cm="1">
        <f t="array" ref="AU51">INDEX('Weight tables'!$A$68:$C$71,MATCH(1,('MY-REPORT-MAIN'!AL51&gt;='Weight tables'!$B$68:$B$71)*('MY-REPORT-MAIN'!AL51&lt;='Weight tables'!$C$68:$C$71),0),1)</f>
        <v>0</v>
      </c>
      <c r="AV51" s="155" cm="1">
        <f t="array" ref="AV51">INDEX('Weight tables'!$A$74:$C$78,MATCH(1,('MY-REPORT-MAIN'!AN51&gt;='Weight tables'!$B$74:$B$78)*('MY-REPORT-MAIN'!AN51&lt;='Weight tables'!$C$74:$C$78),0),1)</f>
        <v>0</v>
      </c>
      <c r="AW51" s="16">
        <f>IF(I_Miei_Rendiconti[[#This Row],[Column1.totalAfterSubmitted]]/AM51&gt;50%,"Checked",0)</f>
        <v>0</v>
      </c>
      <c r="AX51" s="155">
        <f t="shared" si="1"/>
        <v>14.600000000000001</v>
      </c>
      <c r="AY51" s="155" t="str">
        <f>INDEX('Partner data'!A:EB,MATCH(I_Miei_Rendiconti[[#This Row],[Column1.partnerId]],'Partner data'!DG:DG,0),92)</f>
        <v>Italia (IT)</v>
      </c>
    </row>
    <row r="52" spans="1:51" ht="30" x14ac:dyDescent="0.25">
      <c r="A52" s="79">
        <v>282</v>
      </c>
      <c r="B52" s="79">
        <v>90</v>
      </c>
      <c r="C52" s="79">
        <v>301</v>
      </c>
      <c r="D52" s="79" t="s">
        <v>2319</v>
      </c>
      <c r="E52" s="79" t="s">
        <v>253</v>
      </c>
      <c r="F52" s="79">
        <v>5</v>
      </c>
      <c r="G52" s="206" t="s">
        <v>378</v>
      </c>
      <c r="H52" s="79">
        <v>1</v>
      </c>
      <c r="I52" s="79" t="s">
        <v>4339</v>
      </c>
      <c r="J52" s="79" t="s">
        <v>1043</v>
      </c>
      <c r="K52" s="208">
        <v>45376.45567422454</v>
      </c>
      <c r="M52" s="208">
        <v>45434.54196949074</v>
      </c>
      <c r="N52" s="79" t="s">
        <v>4507</v>
      </c>
      <c r="O52" s="79" t="s">
        <v>4455</v>
      </c>
      <c r="P52" s="79" t="s">
        <v>4348</v>
      </c>
      <c r="Q52" s="79" t="s">
        <v>4343</v>
      </c>
      <c r="R52" s="79">
        <v>17</v>
      </c>
      <c r="S52" s="79">
        <v>1</v>
      </c>
      <c r="T52" s="81">
        <v>5344.09</v>
      </c>
      <c r="U52" s="81">
        <v>5344.09</v>
      </c>
      <c r="V52" s="79" t="str">
        <f>INDEX(pARTNER[#All],MATCH(I_Miei_Rendiconti[[#This Row],[Column1.partnerId]],pARTNER[[#All],[Value.partnerSummary.id]],0),2)</f>
        <v>RECREATE</v>
      </c>
      <c r="W52" s="79" t="b">
        <v>0</v>
      </c>
      <c r="X52" s="82">
        <f>I_Miei_Rendiconti[[#This Row],[Column1.totalAfterSubmitted]]-I_Miei_Rendiconti[[#This Row],[Column1.totalEligibleAfterControl]]</f>
        <v>0</v>
      </c>
      <c r="Y52" s="80">
        <f>IF(I_Miei_Rendiconti[[#This Row],[Column1.status]]="Certified",IFERROR(I_Miei_Rendiconti[[#This Row],[Financial corection]]/I_Miei_Rendiconti[[#This Row],[Column1.totalAfterSubmitted]],0),"Rendiconto da certificare")</f>
        <v>0</v>
      </c>
      <c r="Z52" s="207" t="str">
        <f>IF(I_Miei_Rendiconti[[#This Row],[Column1.status]]&lt;&gt;"Certified",INDEX('Partner data'!DG:DQ,MATCH(I_Miei_Rendiconti[[#This Row],[Column1.partnerId]],'Partner data'!DG:DG,0),13),"Rendiconto CONVALIDATO")</f>
        <v>Rendiconto CONVALIDATO</v>
      </c>
      <c r="AA52"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52" s="81" t="str">
        <f>IF(OR(I_Miei_Rendiconti[[#This Row],[N. previouse validated report ]]="Rendiconto CONVALIDATO",I_Miei_Rendiconti[[#This Row],[N. previouse validated report ]]="NON è stato convalidato ancora nessun rendiconto"),"NON PERTINENTE","fai la fromula")</f>
        <v>NON PERTINENTE</v>
      </c>
      <c r="AC52"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52" s="2">
        <f>INDEX('Partner data'!DG:DJ,MATCH(I_Miei_Rendiconti[[#This Row],[Column1.partnerId]],'Partner data'!DG:DG,0),3)</f>
        <v>1</v>
      </c>
      <c r="AE52" t="str" cm="1">
        <f t="array" ref="AE52">INDEX('Varie Tabelle'!$A$37:$C$51,MATCH(1,(I_Miei_Rendiconti[[#This Row],[Column1.firstSubmission]]&gt;='Varie Tabelle'!$B$37:$B$51)*(I_Miei_Rendiconti[[#This Row],[Column1.firstSubmission]]&lt;'Varie Tabelle'!$C$37:$C$51),0),1)</f>
        <v>Finestra 2</v>
      </c>
      <c r="AF52" s="109">
        <f>INDEX('Varie Tabelle'!$A$37:$C$51,MATCH('MY-REPORT-MAIN'!AE52,'Varie Tabelle'!$A$37:$A$51,0),2)</f>
        <v>45352</v>
      </c>
      <c r="AG52" s="109">
        <f>INDEX('Partner data'!DG:DR,MATCH(I_Miei_Rendiconti[[#This Row],[Column1.partnerId]],'Partner data'!DG:DG,0),12)</f>
        <v>45194</v>
      </c>
      <c r="AH52" s="115">
        <f t="shared" si="0"/>
        <v>5.1956593225912533</v>
      </c>
      <c r="AI52" t="str" cm="1">
        <f t="array" ref="AI52">INDEX('Varie Tabelle'!$A$12:$C$22,MATCH(1,('MY-REPORT-MAIN'!AH52&gt;='Varie Tabelle'!$B$12:$B$22)*('MY-REPORT-MAIN'!AH52&lt;='Varie Tabelle'!$C$12:$C$22),0),1)</f>
        <v>Periodo-1</v>
      </c>
      <c r="AJ52" s="14">
        <f>INDEX('Partner data'!A:EC,MATCH(I_Miei_Rendiconti[[#This Row],[Column1.partnerId]],'Partner data'!DG:DG,0),MATCH('MY-REPORT-MAIN'!AI52,'Partner data'!$2:$2,0))</f>
        <v>19140</v>
      </c>
      <c r="AK52" s="10">
        <f>SUMIFS($U$2:U52,$C$2:C52,I_Miei_Rendiconti[[#This Row],[Column1.partnerId]])-AJ52</f>
        <v>-13795.91</v>
      </c>
      <c r="AL52" s="16">
        <f>IFERROR(1-(I_Miei_Rendiconti[[#This Row],[Column1.totalAfterSubmitted]]/AJ52),0)</f>
        <v>0.72078944618599783</v>
      </c>
      <c r="AM52" s="14">
        <f>INDEX('Partner data'!A:EB,MATCH(I_Miei_Rendiconti[[#This Row],[Column1.partnerId]],'Partner data'!DG:DG,0),44)</f>
        <v>70035.7</v>
      </c>
      <c r="AN52" s="14">
        <f>SUMIFS(ListOfExpenditure!AP:AP,ListOfExpenditure!AJ:AJ,I_Miei_Rendiconti[[#This Row],[Column1.id]])</f>
        <v>0</v>
      </c>
      <c r="AO52" s="148">
        <f>SUMIFS(ReportSubmittedBL!W:W,ReportSubmittedBL!D:D,I_Miei_Rendiconti[[#This Row],[Column1.id]])</f>
        <v>12</v>
      </c>
      <c r="AP52" s="155" cm="1">
        <f t="array" ref="AP52">INDEX('Weight tables'!$A$32:$C$36,MATCH(1,('MY-REPORT-MAIN'!AO52&gt;='Weight tables'!$B$32:$B$36)*('MY-REPORT-MAIN'!AO52&lt;='Weight tables'!$C$32:$C$36),0),1)</f>
        <v>8.4</v>
      </c>
      <c r="AQ52" s="155">
        <f>INDEX('Weight tables'!$A$39:$B$41,MATCH(I_Miei_Rendiconti[[#This Row],[Previouse Report checked?yes/no]],'Weight tables'!$B$39:$B$41,0),1)</f>
        <v>8.4</v>
      </c>
      <c r="AR52" s="155" cm="1">
        <f t="array" ref="AR52">IF(I_Miei_Rendiconti[[#This Row],[Sum of errors in previous report ]]="NON PERTINENTE",0,INDEX('Weight tables'!$A$43:$C$46,MATCH(1,(I_Miei_Rendiconti[[#This Row],[Sum of errors in previous report ]]&gt;='Weight tables'!$B$43:$B$46)*(I_Miei_Rendiconti[[#This Row],[Sum of errors in previous report ]]&lt;='Weight tables'!$C$43:$C$46),0),1))</f>
        <v>0</v>
      </c>
      <c r="AS52" s="155" cm="1">
        <f t="array" ref="AS52">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52" s="155" cm="1">
        <f t="array" ref="AT52">INDEX('Weight tables'!$A$56:$C$65,MATCH(1,('MY-REPORT-MAIN'!U52&gt;='Weight tables'!$B$56:$B$65)*('MY-REPORT-MAIN'!U52&lt;='Weight tables'!$C$56:$C$65),0),1)</f>
        <v>0</v>
      </c>
      <c r="AU52" s="155" cm="1">
        <f t="array" ref="AU52">INDEX('Weight tables'!$A$68:$C$71,MATCH(1,('MY-REPORT-MAIN'!AL52&gt;='Weight tables'!$B$68:$B$71)*('MY-REPORT-MAIN'!AL52&lt;='Weight tables'!$C$68:$C$71),0),1)</f>
        <v>2</v>
      </c>
      <c r="AV52" s="155" cm="1">
        <f t="array" ref="AV52">INDEX('Weight tables'!$A$74:$C$78,MATCH(1,('MY-REPORT-MAIN'!AN52&gt;='Weight tables'!$B$74:$B$78)*('MY-REPORT-MAIN'!AN52&lt;='Weight tables'!$C$74:$C$78),0),1)</f>
        <v>0</v>
      </c>
      <c r="AW52" s="16">
        <f>IF(I_Miei_Rendiconti[[#This Row],[Column1.totalAfterSubmitted]]/AM52&gt;50%,"Checked",0)</f>
        <v>0</v>
      </c>
      <c r="AX52" s="155">
        <f t="shared" si="1"/>
        <v>18.8</v>
      </c>
      <c r="AY52" s="155" t="str">
        <f>INDEX('Partner data'!A:EB,MATCH(I_Miei_Rendiconti[[#This Row],[Column1.partnerId]],'Partner data'!DG:DG,0),92)</f>
        <v>Italia (IT)</v>
      </c>
    </row>
    <row r="53" spans="1:51" ht="30" x14ac:dyDescent="0.25">
      <c r="A53" s="79">
        <v>121</v>
      </c>
      <c r="B53" s="79">
        <v>62</v>
      </c>
      <c r="C53" s="79">
        <v>165</v>
      </c>
      <c r="D53" s="79" t="s">
        <v>1622</v>
      </c>
      <c r="E53" s="79" t="s">
        <v>253</v>
      </c>
      <c r="F53" s="79">
        <v>3</v>
      </c>
      <c r="G53" s="206" t="s">
        <v>56</v>
      </c>
      <c r="H53" s="79">
        <v>1</v>
      </c>
      <c r="I53" s="79" t="s">
        <v>4339</v>
      </c>
      <c r="J53" s="79" t="s">
        <v>1118</v>
      </c>
      <c r="K53" s="208">
        <v>45376.498689178239</v>
      </c>
      <c r="M53" s="208">
        <v>45404.501435578706</v>
      </c>
      <c r="N53" s="79" t="s">
        <v>4398</v>
      </c>
      <c r="O53" s="79" t="s">
        <v>4347</v>
      </c>
      <c r="P53" s="79" t="s">
        <v>4348</v>
      </c>
      <c r="Q53" s="79" t="s">
        <v>4343</v>
      </c>
      <c r="R53" s="79">
        <v>26</v>
      </c>
      <c r="S53" s="79">
        <v>1</v>
      </c>
      <c r="T53" s="81">
        <v>4721.78</v>
      </c>
      <c r="U53" s="81">
        <v>4721.78</v>
      </c>
      <c r="V53" s="79" t="str">
        <f>INDEX(pARTNER[#All],MATCH(I_Miei_Rendiconti[[#This Row],[Column1.partnerId]],pARTNER[[#All],[Value.partnerSummary.id]],0),2)</f>
        <v>TRECap</v>
      </c>
      <c r="W53" s="79" t="b">
        <v>0</v>
      </c>
      <c r="X53" s="82">
        <f>I_Miei_Rendiconti[[#This Row],[Column1.totalAfterSubmitted]]-I_Miei_Rendiconti[[#This Row],[Column1.totalEligibleAfterControl]]</f>
        <v>0</v>
      </c>
      <c r="Y53" s="80">
        <f>IF(I_Miei_Rendiconti[[#This Row],[Column1.status]]="Certified",IFERROR(I_Miei_Rendiconti[[#This Row],[Financial corection]]/I_Miei_Rendiconti[[#This Row],[Column1.totalAfterSubmitted]],0),"Rendiconto da certificare")</f>
        <v>0</v>
      </c>
      <c r="Z53" s="207" t="str">
        <f>IF(I_Miei_Rendiconti[[#This Row],[Column1.status]]&lt;&gt;"Certified",INDEX('Partner data'!DG:DQ,MATCH(I_Miei_Rendiconti[[#This Row],[Column1.partnerId]],'Partner data'!DG:DG,0),13),"Rendiconto CONVALIDATO")</f>
        <v>Rendiconto CONVALIDATO</v>
      </c>
      <c r="AA53"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53" s="81" t="str">
        <f>IF(OR(I_Miei_Rendiconti[[#This Row],[N. previouse validated report ]]="Rendiconto CONVALIDATO",I_Miei_Rendiconti[[#This Row],[N. previouse validated report ]]="NON è stato convalidato ancora nessun rendiconto"),"NON PERTINENTE","fai la fromula")</f>
        <v>NON PERTINENTE</v>
      </c>
      <c r="AC53"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53" s="2">
        <f>INDEX('Partner data'!DG:DJ,MATCH(I_Miei_Rendiconti[[#This Row],[Column1.partnerId]],'Partner data'!DG:DG,0),3)</f>
        <v>1</v>
      </c>
      <c r="AE53" t="str" cm="1">
        <f t="array" ref="AE53">INDEX('Varie Tabelle'!$A$37:$C$51,MATCH(1,(I_Miei_Rendiconti[[#This Row],[Column1.firstSubmission]]&gt;='Varie Tabelle'!$B$37:$B$51)*(I_Miei_Rendiconti[[#This Row],[Column1.firstSubmission]]&lt;'Varie Tabelle'!$C$37:$C$51),0),1)</f>
        <v>Finestra 2</v>
      </c>
      <c r="AF53" s="109">
        <f>INDEX('Varie Tabelle'!$A$37:$C$51,MATCH('MY-REPORT-MAIN'!AE53,'Varie Tabelle'!$A$37:$A$51,0),2)</f>
        <v>45352</v>
      </c>
      <c r="AG53" s="109">
        <f>INDEX('Partner data'!DG:DR,MATCH(I_Miei_Rendiconti[[#This Row],[Column1.partnerId]],'Partner data'!DG:DG,0),12)</f>
        <v>45170</v>
      </c>
      <c r="AH53" s="115">
        <f t="shared" si="0"/>
        <v>5.9848733969089114</v>
      </c>
      <c r="AI53" t="str" cm="1">
        <f t="array" ref="AI53">INDEX('Varie Tabelle'!$A$12:$C$22,MATCH(1,('MY-REPORT-MAIN'!AH53&gt;='Varie Tabelle'!$B$12:$B$22)*('MY-REPORT-MAIN'!AH53&lt;='Varie Tabelle'!$C$12:$C$22),0),1)</f>
        <v>Periodo-1</v>
      </c>
      <c r="AJ53" s="14">
        <f>INDEX('Partner data'!A:EC,MATCH(I_Miei_Rendiconti[[#This Row],[Column1.partnerId]],'Partner data'!DG:DG,0),MATCH('MY-REPORT-MAIN'!AI53,'Partner data'!$2:$2,0))</f>
        <v>15015</v>
      </c>
      <c r="AK53" s="10">
        <f>SUMIFS($U$2:U53,$C$2:C53,I_Miei_Rendiconti[[#This Row],[Column1.partnerId]])-AJ53</f>
        <v>-10293.220000000001</v>
      </c>
      <c r="AL53" s="16">
        <f>IFERROR(1-(I_Miei_Rendiconti[[#This Row],[Column1.totalAfterSubmitted]]/AJ53),0)</f>
        <v>0.68552913752913747</v>
      </c>
      <c r="AM53" s="14">
        <f>INDEX('Partner data'!A:EB,MATCH(I_Miei_Rendiconti[[#This Row],[Column1.partnerId]],'Partner data'!DG:DG,0),44)</f>
        <v>100100</v>
      </c>
      <c r="AN53" s="14">
        <f>SUMIFS(ListOfExpenditure!AP:AP,ListOfExpenditure!AJ:AJ,I_Miei_Rendiconti[[#This Row],[Column1.id]])</f>
        <v>0</v>
      </c>
      <c r="AO53" s="148">
        <f>SUMIFS(ReportSubmittedBL!W:W,ReportSubmittedBL!D:D,I_Miei_Rendiconti[[#This Row],[Column1.id]])</f>
        <v>8</v>
      </c>
      <c r="AP53" s="155" cm="1">
        <f t="array" ref="AP53">INDEX('Weight tables'!$A$32:$C$36,MATCH(1,('MY-REPORT-MAIN'!AO53&gt;='Weight tables'!$B$32:$B$36)*('MY-REPORT-MAIN'!AO53&lt;='Weight tables'!$C$32:$C$36),0),1)</f>
        <v>6.3</v>
      </c>
      <c r="AQ53" s="155">
        <f>INDEX('Weight tables'!$A$39:$B$41,MATCH(I_Miei_Rendiconti[[#This Row],[Previouse Report checked?yes/no]],'Weight tables'!$B$39:$B$41,0),1)</f>
        <v>8.4</v>
      </c>
      <c r="AR53" s="155" cm="1">
        <f t="array" ref="AR53">IF(I_Miei_Rendiconti[[#This Row],[Sum of errors in previous report ]]="NON PERTINENTE",0,INDEX('Weight tables'!$A$43:$C$46,MATCH(1,(I_Miei_Rendiconti[[#This Row],[Sum of errors in previous report ]]&gt;='Weight tables'!$B$43:$B$46)*(I_Miei_Rendiconti[[#This Row],[Sum of errors in previous report ]]&lt;='Weight tables'!$C$43:$C$46),0),1))</f>
        <v>0</v>
      </c>
      <c r="AS53" s="155" cm="1">
        <f t="array" ref="AS53">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53" s="155" cm="1">
        <f t="array" ref="AT53">INDEX('Weight tables'!$A$56:$C$65,MATCH(1,('MY-REPORT-MAIN'!U53&gt;='Weight tables'!$B$56:$B$65)*('MY-REPORT-MAIN'!U53&lt;='Weight tables'!$C$56:$C$65),0),1)</f>
        <v>0</v>
      </c>
      <c r="AU53" s="155" cm="1">
        <f t="array" ref="AU53">INDEX('Weight tables'!$A$68:$C$71,MATCH(1,('MY-REPORT-MAIN'!AL53&gt;='Weight tables'!$B$68:$B$71)*('MY-REPORT-MAIN'!AL53&lt;='Weight tables'!$C$68:$C$71),0),1)</f>
        <v>2</v>
      </c>
      <c r="AV53" s="155" cm="1">
        <f t="array" ref="AV53">INDEX('Weight tables'!$A$74:$C$78,MATCH(1,('MY-REPORT-MAIN'!AN53&gt;='Weight tables'!$B$74:$B$78)*('MY-REPORT-MAIN'!AN53&lt;='Weight tables'!$C$74:$C$78),0),1)</f>
        <v>0</v>
      </c>
      <c r="AW53" s="16">
        <f>IF(I_Miei_Rendiconti[[#This Row],[Column1.totalAfterSubmitted]]/AM53&gt;50%,"Checked",0)</f>
        <v>0</v>
      </c>
      <c r="AX53" s="155">
        <f t="shared" si="1"/>
        <v>16.7</v>
      </c>
      <c r="AY53" s="155" t="str">
        <f>INDEX('Partner data'!A:EB,MATCH(I_Miei_Rendiconti[[#This Row],[Column1.partnerId]],'Partner data'!DG:DG,0),92)</f>
        <v>Slovenija (SI)</v>
      </c>
    </row>
    <row r="54" spans="1:51" ht="30" x14ac:dyDescent="0.25">
      <c r="A54" s="79">
        <v>160</v>
      </c>
      <c r="B54" s="79">
        <v>44</v>
      </c>
      <c r="C54" s="79">
        <v>111</v>
      </c>
      <c r="D54" s="79" t="s">
        <v>1116</v>
      </c>
      <c r="E54" s="79" t="s">
        <v>253</v>
      </c>
      <c r="F54" s="79">
        <v>4</v>
      </c>
      <c r="G54" s="206" t="s">
        <v>286</v>
      </c>
      <c r="H54" s="79">
        <v>1</v>
      </c>
      <c r="I54" s="79" t="s">
        <v>4339</v>
      </c>
      <c r="J54" s="79" t="s">
        <v>1118</v>
      </c>
      <c r="K54" s="208">
        <v>45377.395242962964</v>
      </c>
      <c r="M54" s="208">
        <v>45425.678805289353</v>
      </c>
      <c r="N54" s="79" t="s">
        <v>4414</v>
      </c>
      <c r="O54" s="79" t="s">
        <v>4347</v>
      </c>
      <c r="P54" s="79" t="s">
        <v>4348</v>
      </c>
      <c r="Q54" s="79" t="s">
        <v>4343</v>
      </c>
      <c r="R54" s="79">
        <v>2</v>
      </c>
      <c r="S54" s="79">
        <v>1</v>
      </c>
      <c r="T54" s="81">
        <v>6623.4</v>
      </c>
      <c r="U54" s="81">
        <v>6623.4</v>
      </c>
      <c r="V54" s="79" t="str">
        <f>INDEX(pARTNER[#All],MATCH(I_Miei_Rendiconti[[#This Row],[Column1.partnerId]],pARTNER[[#All],[Value.partnerSummary.id]],0),2)</f>
        <v>IMMUNOCLUSTER-2</v>
      </c>
      <c r="W54" s="79" t="b">
        <v>0</v>
      </c>
      <c r="X54" s="82">
        <f>I_Miei_Rendiconti[[#This Row],[Column1.totalAfterSubmitted]]-I_Miei_Rendiconti[[#This Row],[Column1.totalEligibleAfterControl]]</f>
        <v>0</v>
      </c>
      <c r="Y54" s="80">
        <f>IF(I_Miei_Rendiconti[[#This Row],[Column1.status]]="Certified",IFERROR(I_Miei_Rendiconti[[#This Row],[Financial corection]]/I_Miei_Rendiconti[[#This Row],[Column1.totalAfterSubmitted]],0),"Rendiconto da certificare")</f>
        <v>0</v>
      </c>
      <c r="Z54" s="207" t="str">
        <f>IF(I_Miei_Rendiconti[[#This Row],[Column1.status]]&lt;&gt;"Certified",INDEX('Partner data'!DG:DQ,MATCH(I_Miei_Rendiconti[[#This Row],[Column1.partnerId]],'Partner data'!DG:DG,0),13),"Rendiconto CONVALIDATO")</f>
        <v>Rendiconto CONVALIDATO</v>
      </c>
      <c r="AA54"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54" s="81" t="str">
        <f>IF(OR(I_Miei_Rendiconti[[#This Row],[N. previouse validated report ]]="Rendiconto CONVALIDATO",I_Miei_Rendiconti[[#This Row],[N. previouse validated report ]]="NON è stato convalidato ancora nessun rendiconto"),"NON PERTINENTE","fai la fromula")</f>
        <v>NON PERTINENTE</v>
      </c>
      <c r="AC54"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54" s="2">
        <f>INDEX('Partner data'!DG:DJ,MATCH(I_Miei_Rendiconti[[#This Row],[Column1.partnerId]],'Partner data'!DG:DG,0),3)</f>
        <v>1</v>
      </c>
      <c r="AE54" t="str" cm="1">
        <f t="array" ref="AE54">INDEX('Varie Tabelle'!$A$37:$C$51,MATCH(1,(I_Miei_Rendiconti[[#This Row],[Column1.firstSubmission]]&gt;='Varie Tabelle'!$B$37:$B$51)*(I_Miei_Rendiconti[[#This Row],[Column1.firstSubmission]]&lt;'Varie Tabelle'!$C$37:$C$51),0),1)</f>
        <v>Finestra 2</v>
      </c>
      <c r="AF54" s="109">
        <f>INDEX('Varie Tabelle'!$A$37:$C$51,MATCH('MY-REPORT-MAIN'!AE54,'Varie Tabelle'!$A$37:$A$51,0),2)</f>
        <v>45352</v>
      </c>
      <c r="AG54" s="109">
        <f>INDEX('Partner data'!DG:DR,MATCH(I_Miei_Rendiconti[[#This Row],[Column1.partnerId]],'Partner data'!DG:DG,0),12)</f>
        <v>45170</v>
      </c>
      <c r="AH54" s="115">
        <f t="shared" si="0"/>
        <v>5.9848733969089114</v>
      </c>
      <c r="AI54" t="str" cm="1">
        <f t="array" ref="AI54">INDEX('Varie Tabelle'!$A$12:$C$22,MATCH(1,('MY-REPORT-MAIN'!AH54&gt;='Varie Tabelle'!$B$12:$B$22)*('MY-REPORT-MAIN'!AH54&lt;='Varie Tabelle'!$C$12:$C$22),0),1)</f>
        <v>Periodo-1</v>
      </c>
      <c r="AJ54" s="14">
        <f>INDEX('Partner data'!A:EC,MATCH(I_Miei_Rendiconti[[#This Row],[Column1.partnerId]],'Partner data'!DG:DG,0),MATCH('MY-REPORT-MAIN'!AI54,'Partner data'!$2:$2,0))</f>
        <v>13102.6</v>
      </c>
      <c r="AK54" s="10">
        <f>SUMIFS($U$2:U54,$C$2:C54,I_Miei_Rendiconti[[#This Row],[Column1.partnerId]])-AJ54</f>
        <v>-6479.2000000000007</v>
      </c>
      <c r="AL54" s="16">
        <f>IFERROR(1-(I_Miei_Rendiconti[[#This Row],[Column1.totalAfterSubmitted]]/AJ54),0)</f>
        <v>0.4944972753499306</v>
      </c>
      <c r="AM54" s="14">
        <f>INDEX('Partner data'!A:EB,MATCH(I_Miei_Rendiconti[[#This Row],[Column1.partnerId]],'Partner data'!DG:DG,0),44)</f>
        <v>91042</v>
      </c>
      <c r="AN54" s="14">
        <f>SUMIFS(ListOfExpenditure!AP:AP,ListOfExpenditure!AJ:AJ,I_Miei_Rendiconti[[#This Row],[Column1.id]])</f>
        <v>0</v>
      </c>
      <c r="AO54" s="148">
        <f>SUMIFS(ReportSubmittedBL!W:W,ReportSubmittedBL!D:D,I_Miei_Rendiconti[[#This Row],[Column1.id]])</f>
        <v>6</v>
      </c>
      <c r="AP54" s="155" cm="1">
        <f t="array" ref="AP54">INDEX('Weight tables'!$A$32:$C$36,MATCH(1,('MY-REPORT-MAIN'!AO54&gt;='Weight tables'!$B$32:$B$36)*('MY-REPORT-MAIN'!AO54&lt;='Weight tables'!$C$32:$C$36),0),1)</f>
        <v>4.2</v>
      </c>
      <c r="AQ54" s="155">
        <f>INDEX('Weight tables'!$A$39:$B$41,MATCH(I_Miei_Rendiconti[[#This Row],[Previouse Report checked?yes/no]],'Weight tables'!$B$39:$B$41,0),1)</f>
        <v>8.4</v>
      </c>
      <c r="AR54" s="155" cm="1">
        <f t="array" ref="AR54">IF(I_Miei_Rendiconti[[#This Row],[Sum of errors in previous report ]]="NON PERTINENTE",0,INDEX('Weight tables'!$A$43:$C$46,MATCH(1,(I_Miei_Rendiconti[[#This Row],[Sum of errors in previous report ]]&gt;='Weight tables'!$B$43:$B$46)*(I_Miei_Rendiconti[[#This Row],[Sum of errors in previous report ]]&lt;='Weight tables'!$C$43:$C$46),0),1))</f>
        <v>0</v>
      </c>
      <c r="AS54" s="155" cm="1">
        <f t="array" ref="AS54">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54" s="155" cm="1">
        <f t="array" ref="AT54">INDEX('Weight tables'!$A$56:$C$65,MATCH(1,('MY-REPORT-MAIN'!U54&gt;='Weight tables'!$B$56:$B$65)*('MY-REPORT-MAIN'!U54&lt;='Weight tables'!$C$56:$C$65),0),1)</f>
        <v>0</v>
      </c>
      <c r="AU54" s="155" cm="1">
        <f t="array" ref="AU54">INDEX('Weight tables'!$A$68:$C$71,MATCH(1,('MY-REPORT-MAIN'!AL54&gt;='Weight tables'!$B$68:$B$71)*('MY-REPORT-MAIN'!AL54&lt;='Weight tables'!$C$68:$C$71),0),1)</f>
        <v>2</v>
      </c>
      <c r="AV54" s="155" cm="1">
        <f t="array" ref="AV54">INDEX('Weight tables'!$A$74:$C$78,MATCH(1,('MY-REPORT-MAIN'!AN54&gt;='Weight tables'!$B$74:$B$78)*('MY-REPORT-MAIN'!AN54&lt;='Weight tables'!$C$74:$C$78),0),1)</f>
        <v>0</v>
      </c>
      <c r="AW54" s="16">
        <f>IF(I_Miei_Rendiconti[[#This Row],[Column1.totalAfterSubmitted]]/AM54&gt;50%,"Checked",0)</f>
        <v>0</v>
      </c>
      <c r="AX54" s="155">
        <f t="shared" si="1"/>
        <v>14.600000000000001</v>
      </c>
      <c r="AY54" s="155" t="str">
        <f>INDEX('Partner data'!A:EB,MATCH(I_Miei_Rendiconti[[#This Row],[Column1.partnerId]],'Partner data'!DG:DG,0),92)</f>
        <v>Italia (IT)</v>
      </c>
    </row>
    <row r="55" spans="1:51" ht="30" x14ac:dyDescent="0.25">
      <c r="A55" s="79">
        <v>200</v>
      </c>
      <c r="B55" s="79">
        <v>44</v>
      </c>
      <c r="C55" s="79">
        <v>90</v>
      </c>
      <c r="D55" s="79" t="s">
        <v>1116</v>
      </c>
      <c r="E55" s="79" t="s">
        <v>264</v>
      </c>
      <c r="F55" s="79">
        <v>1</v>
      </c>
      <c r="G55" s="206" t="s">
        <v>294</v>
      </c>
      <c r="H55" s="79">
        <v>2</v>
      </c>
      <c r="I55" s="79" t="s">
        <v>4339</v>
      </c>
      <c r="J55" s="79" t="s">
        <v>1118</v>
      </c>
      <c r="K55" s="208">
        <v>45377.439175925923</v>
      </c>
      <c r="M55" s="208">
        <v>45434.396452847221</v>
      </c>
      <c r="N55" s="79" t="s">
        <v>4446</v>
      </c>
      <c r="O55" s="79" t="s">
        <v>4347</v>
      </c>
      <c r="P55" s="79" t="s">
        <v>4348</v>
      </c>
      <c r="Q55" s="79" t="s">
        <v>4343</v>
      </c>
      <c r="R55" s="79">
        <v>2</v>
      </c>
      <c r="S55" s="79">
        <v>1</v>
      </c>
      <c r="T55" s="81">
        <v>57671.78</v>
      </c>
      <c r="U55" s="81">
        <v>61159.6</v>
      </c>
      <c r="V55" s="79" t="str">
        <f>INDEX(pARTNER[#All],MATCH(I_Miei_Rendiconti[[#This Row],[Column1.partnerId]],pARTNER[[#All],[Value.partnerSummary.id]],0),2)</f>
        <v>IMMUNOCLUSTER-2</v>
      </c>
      <c r="W55" s="79" t="b">
        <v>0</v>
      </c>
      <c r="X55" s="82">
        <f>I_Miei_Rendiconti[[#This Row],[Column1.totalAfterSubmitted]]-I_Miei_Rendiconti[[#This Row],[Column1.totalEligibleAfterControl]]</f>
        <v>3487.8199999999997</v>
      </c>
      <c r="Y55" s="80">
        <f>IF(I_Miei_Rendiconti[[#This Row],[Column1.status]]="Certified",IFERROR(I_Miei_Rendiconti[[#This Row],[Financial corection]]/I_Miei_Rendiconti[[#This Row],[Column1.totalAfterSubmitted]],0),"Rendiconto da certificare")</f>
        <v>5.7028168921968096E-2</v>
      </c>
      <c r="Z55" s="207" t="str">
        <f>IF(I_Miei_Rendiconti[[#This Row],[Column1.status]]&lt;&gt;"Certified",INDEX('Partner data'!DG:DQ,MATCH(I_Miei_Rendiconti[[#This Row],[Column1.partnerId]],'Partner data'!DG:DG,0),13),"Rendiconto CONVALIDATO")</f>
        <v>Rendiconto CONVALIDATO</v>
      </c>
      <c r="AA55"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55" s="81" t="str">
        <f>IF(OR(I_Miei_Rendiconti[[#This Row],[N. previouse validated report ]]="Rendiconto CONVALIDATO",I_Miei_Rendiconti[[#This Row],[N. previouse validated report ]]="NON è stato convalidato ancora nessun rendiconto"),"NON PERTINENTE","fai la fromula")</f>
        <v>NON PERTINENTE</v>
      </c>
      <c r="AC55"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55" s="2">
        <f>INDEX('Partner data'!DG:DJ,MATCH(I_Miei_Rendiconti[[#This Row],[Column1.partnerId]],'Partner data'!DG:DG,0),3)</f>
        <v>1</v>
      </c>
      <c r="AE55" t="str" cm="1">
        <f t="array" ref="AE55">INDEX('Varie Tabelle'!$A$37:$C$51,MATCH(1,(I_Miei_Rendiconti[[#This Row],[Column1.firstSubmission]]&gt;='Varie Tabelle'!$B$37:$B$51)*(I_Miei_Rendiconti[[#This Row],[Column1.firstSubmission]]&lt;'Varie Tabelle'!$C$37:$C$51),0),1)</f>
        <v>Finestra 2</v>
      </c>
      <c r="AF55" s="109">
        <f>INDEX('Varie Tabelle'!$A$37:$C$51,MATCH('MY-REPORT-MAIN'!AE55,'Varie Tabelle'!$A$37:$A$51,0),2)</f>
        <v>45352</v>
      </c>
      <c r="AG55" s="109">
        <f>INDEX('Partner data'!DG:DR,MATCH(I_Miei_Rendiconti[[#This Row],[Column1.partnerId]],'Partner data'!DG:DG,0),12)</f>
        <v>45170</v>
      </c>
      <c r="AH55" s="115">
        <f t="shared" si="0"/>
        <v>5.9848733969089114</v>
      </c>
      <c r="AI55" t="str" cm="1">
        <f t="array" ref="AI55">INDEX('Varie Tabelle'!$A$12:$C$22,MATCH(1,('MY-REPORT-MAIN'!AH55&gt;='Varie Tabelle'!$B$12:$B$22)*('MY-REPORT-MAIN'!AH55&lt;='Varie Tabelle'!$C$12:$C$22),0),1)</f>
        <v>Periodo-1</v>
      </c>
      <c r="AJ55" s="14">
        <f>INDEX('Partner data'!A:EC,MATCH(I_Miei_Rendiconti[[#This Row],[Column1.partnerId]],'Partner data'!DG:DG,0),MATCH('MY-REPORT-MAIN'!AI55,'Partner data'!$2:$2,0))</f>
        <v>50917.72</v>
      </c>
      <c r="AK55" s="10">
        <f>SUMIFS($U$2:U55,$C$2:C55,I_Miei_Rendiconti[[#This Row],[Column1.partnerId]])-AJ55</f>
        <v>10241.879999999997</v>
      </c>
      <c r="AL55" s="16">
        <f>IFERROR(1-(I_Miei_Rendiconti[[#This Row],[Column1.totalAfterSubmitted]]/AJ55),0)</f>
        <v>-0.20114569151957307</v>
      </c>
      <c r="AM55" s="14">
        <f>INDEX('Partner data'!A:EB,MATCH(I_Miei_Rendiconti[[#This Row],[Column1.partnerId]],'Partner data'!DG:DG,0),44)</f>
        <v>246904</v>
      </c>
      <c r="AN55" s="14">
        <f>SUMIFS(ListOfExpenditure!AP:AP,ListOfExpenditure!AJ:AJ,I_Miei_Rendiconti[[#This Row],[Column1.id]])</f>
        <v>0</v>
      </c>
      <c r="AO55" s="148">
        <f>SUMIFS(ReportSubmittedBL!W:W,ReportSubmittedBL!D:D,I_Miei_Rendiconti[[#This Row],[Column1.id]])</f>
        <v>8</v>
      </c>
      <c r="AP55" s="155" cm="1">
        <f t="array" ref="AP55">INDEX('Weight tables'!$A$32:$C$36,MATCH(1,('MY-REPORT-MAIN'!AO55&gt;='Weight tables'!$B$32:$B$36)*('MY-REPORT-MAIN'!AO55&lt;='Weight tables'!$C$32:$C$36),0),1)</f>
        <v>6.3</v>
      </c>
      <c r="AQ55" s="155">
        <f>INDEX('Weight tables'!$A$39:$B$41,MATCH(I_Miei_Rendiconti[[#This Row],[Previouse Report checked?yes/no]],'Weight tables'!$B$39:$B$41,0),1)</f>
        <v>8.4</v>
      </c>
      <c r="AR55" s="155" cm="1">
        <f t="array" ref="AR55">IF(I_Miei_Rendiconti[[#This Row],[Sum of errors in previous report ]]="NON PERTINENTE",0,INDEX('Weight tables'!$A$43:$C$46,MATCH(1,(I_Miei_Rendiconti[[#This Row],[Sum of errors in previous report ]]&gt;='Weight tables'!$B$43:$B$46)*(I_Miei_Rendiconti[[#This Row],[Sum of errors in previous report ]]&lt;='Weight tables'!$C$43:$C$46),0),1))</f>
        <v>0</v>
      </c>
      <c r="AS55" s="155" cm="1">
        <f t="array" ref="AS55">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55" s="155" cm="1">
        <f t="array" ref="AT55">INDEX('Weight tables'!$A$56:$C$65,MATCH(1,('MY-REPORT-MAIN'!U55&gt;='Weight tables'!$B$56:$B$65)*('MY-REPORT-MAIN'!U55&lt;='Weight tables'!$C$56:$C$65),0),1)</f>
        <v>6</v>
      </c>
      <c r="AU55" s="155" cm="1">
        <f t="array" ref="AU55">INDEX('Weight tables'!$A$68:$C$71,MATCH(1,('MY-REPORT-MAIN'!AL55&gt;='Weight tables'!$B$68:$B$71)*('MY-REPORT-MAIN'!AL55&lt;='Weight tables'!$C$68:$C$71),0),1)</f>
        <v>0</v>
      </c>
      <c r="AV55" s="155" cm="1">
        <f t="array" ref="AV55">INDEX('Weight tables'!$A$74:$C$78,MATCH(1,('MY-REPORT-MAIN'!AN55&gt;='Weight tables'!$B$74:$B$78)*('MY-REPORT-MAIN'!AN55&lt;='Weight tables'!$C$74:$C$78),0),1)</f>
        <v>0</v>
      </c>
      <c r="AW55" s="16">
        <f>IF(I_Miei_Rendiconti[[#This Row],[Column1.totalAfterSubmitted]]/AM55&gt;50%,"Checked",0)</f>
        <v>0</v>
      </c>
      <c r="AX55" s="155">
        <f t="shared" si="1"/>
        <v>20.7</v>
      </c>
      <c r="AY55" s="155" t="str">
        <f>INDEX('Partner data'!A:EB,MATCH(I_Miei_Rendiconti[[#This Row],[Column1.partnerId]],'Partner data'!DG:DG,0),92)</f>
        <v>Slovenija (SI)</v>
      </c>
    </row>
    <row r="56" spans="1:51" ht="30" x14ac:dyDescent="0.25">
      <c r="A56" s="79">
        <v>189</v>
      </c>
      <c r="B56" s="79">
        <v>13</v>
      </c>
      <c r="C56" s="79">
        <v>13</v>
      </c>
      <c r="D56" s="79" t="s">
        <v>2371</v>
      </c>
      <c r="E56" s="79" t="s">
        <v>253</v>
      </c>
      <c r="F56" s="79">
        <v>3</v>
      </c>
      <c r="G56" s="206" t="s">
        <v>21</v>
      </c>
      <c r="H56" s="79">
        <v>2</v>
      </c>
      <c r="I56" s="79" t="s">
        <v>4339</v>
      </c>
      <c r="J56" s="79" t="s">
        <v>2373</v>
      </c>
      <c r="K56" s="208">
        <v>45377.474789965279</v>
      </c>
      <c r="M56" s="208">
        <v>45425.595171157409</v>
      </c>
      <c r="N56" s="79" t="s">
        <v>4438</v>
      </c>
      <c r="O56" s="79" t="s">
        <v>4363</v>
      </c>
      <c r="P56" s="79" t="s">
        <v>4348</v>
      </c>
      <c r="Q56" s="79" t="s">
        <v>4343</v>
      </c>
      <c r="R56" s="79">
        <v>30</v>
      </c>
      <c r="S56" s="79">
        <v>2</v>
      </c>
      <c r="T56" s="81">
        <v>15910.59</v>
      </c>
      <c r="U56" s="81">
        <v>15910.59</v>
      </c>
      <c r="V56" s="79" t="str">
        <f>INDEX(pARTNER[#All],MATCH(I_Miei_Rendiconti[[#This Row],[Column1.partnerId]],pARTNER[[#All],[Value.partnerSummary.id]],0),2)</f>
        <v>ADRIONCYCLETOUR</v>
      </c>
      <c r="W56" s="79" t="b">
        <v>0</v>
      </c>
      <c r="X56" s="82">
        <f>I_Miei_Rendiconti[[#This Row],[Column1.totalAfterSubmitted]]-I_Miei_Rendiconti[[#This Row],[Column1.totalEligibleAfterControl]]</f>
        <v>0</v>
      </c>
      <c r="Y56" s="80">
        <f>IF(I_Miei_Rendiconti[[#This Row],[Column1.status]]="Certified",IFERROR(I_Miei_Rendiconti[[#This Row],[Financial corection]]/I_Miei_Rendiconti[[#This Row],[Column1.totalAfterSubmitted]],0),"Rendiconto da certificare")</f>
        <v>0</v>
      </c>
      <c r="Z56" s="207" t="str">
        <f>IF(I_Miei_Rendiconti[[#This Row],[Column1.status]]&lt;&gt;"Certified",INDEX('Partner data'!DG:DQ,MATCH(I_Miei_Rendiconti[[#This Row],[Column1.partnerId]],'Partner data'!DG:DG,0),13),"Rendiconto CONVALIDATO")</f>
        <v>Rendiconto CONVALIDATO</v>
      </c>
      <c r="AA56"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56" s="81" t="str">
        <f>IF(OR(I_Miei_Rendiconti[[#This Row],[N. previouse validated report ]]="Rendiconto CONVALIDATO",I_Miei_Rendiconti[[#This Row],[N. previouse validated report ]]="NON è stato convalidato ancora nessun rendiconto"),"NON PERTINENTE","fai la fromula")</f>
        <v>NON PERTINENTE</v>
      </c>
      <c r="AC56"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56" s="2">
        <f>INDEX('Partner data'!DG:DJ,MATCH(I_Miei_Rendiconti[[#This Row],[Column1.partnerId]],'Partner data'!DG:DG,0),3)</f>
        <v>2</v>
      </c>
      <c r="AE56" t="str" cm="1">
        <f t="array" ref="AE56">INDEX('Varie Tabelle'!$A$37:$C$51,MATCH(1,(I_Miei_Rendiconti[[#This Row],[Column1.firstSubmission]]&gt;='Varie Tabelle'!$B$37:$B$51)*(I_Miei_Rendiconti[[#This Row],[Column1.firstSubmission]]&lt;'Varie Tabelle'!$C$37:$C$51),0),1)</f>
        <v>Finestra 2</v>
      </c>
      <c r="AF56" s="109">
        <f>INDEX('Varie Tabelle'!$A$37:$C$51,MATCH('MY-REPORT-MAIN'!AE56,'Varie Tabelle'!$A$37:$A$51,0),2)</f>
        <v>45352</v>
      </c>
      <c r="AG56" s="109">
        <f>INDEX('Partner data'!DG:DR,MATCH(I_Miei_Rendiconti[[#This Row],[Column1.partnerId]],'Partner data'!DG:DG,0),12)</f>
        <v>44805</v>
      </c>
      <c r="AH56" s="115">
        <f t="shared" si="0"/>
        <v>17.987504110489969</v>
      </c>
      <c r="AI56" t="str" cm="1">
        <f t="array" ref="AI56">INDEX('Varie Tabelle'!$A$12:$C$22,MATCH(1,('MY-REPORT-MAIN'!AH56&gt;='Varie Tabelle'!$B$12:$B$22)*('MY-REPORT-MAIN'!AH56&lt;='Varie Tabelle'!$C$12:$C$22),0),1)</f>
        <v>Periodo-2</v>
      </c>
      <c r="AJ56" s="14">
        <f>INDEX('Partner data'!A:EC,MATCH(I_Miei_Rendiconti[[#This Row],[Column1.partnerId]],'Partner data'!DG:DG,0),MATCH('MY-REPORT-MAIN'!AI56,'Partner data'!$2:$2,0))</f>
        <v>24141</v>
      </c>
      <c r="AK56" s="10">
        <f>SUMIFS($U$2:U56,$C$2:C56,I_Miei_Rendiconti[[#This Row],[Column1.partnerId]])-AJ56</f>
        <v>17203.740000000005</v>
      </c>
      <c r="AL56" s="16">
        <f>IFERROR(1-(I_Miei_Rendiconti[[#This Row],[Column1.totalAfterSubmitted]]/AJ56),0)</f>
        <v>0.3409307816577607</v>
      </c>
      <c r="AM56" s="14">
        <f>INDEX('Partner data'!A:EB,MATCH(I_Miei_Rendiconti[[#This Row],[Column1.partnerId]],'Partner data'!DG:DG,0),44)</f>
        <v>320000</v>
      </c>
      <c r="AN56" s="14">
        <f>SUMIFS(ListOfExpenditure!AP:AP,ListOfExpenditure!AJ:AJ,I_Miei_Rendiconti[[#This Row],[Column1.id]])</f>
        <v>0</v>
      </c>
      <c r="AO56" s="148">
        <f>SUMIFS(ReportSubmittedBL!W:W,ReportSubmittedBL!D:D,I_Miei_Rendiconti[[#This Row],[Column1.id]])</f>
        <v>12</v>
      </c>
      <c r="AP56" s="155" cm="1">
        <f t="array" ref="AP56">INDEX('Weight tables'!$A$32:$C$36,MATCH(1,('MY-REPORT-MAIN'!AO56&gt;='Weight tables'!$B$32:$B$36)*('MY-REPORT-MAIN'!AO56&lt;='Weight tables'!$C$32:$C$36),0),1)</f>
        <v>8.4</v>
      </c>
      <c r="AQ56" s="155">
        <f>INDEX('Weight tables'!$A$39:$B$41,MATCH(I_Miei_Rendiconti[[#This Row],[Previouse Report checked?yes/no]],'Weight tables'!$B$39:$B$41,0),1)</f>
        <v>8.4</v>
      </c>
      <c r="AR56" s="155" cm="1">
        <f t="array" ref="AR56">IF(I_Miei_Rendiconti[[#This Row],[Sum of errors in previous report ]]="NON PERTINENTE",0,INDEX('Weight tables'!$A$43:$C$46,MATCH(1,(I_Miei_Rendiconti[[#This Row],[Sum of errors in previous report ]]&gt;='Weight tables'!$B$43:$B$46)*(I_Miei_Rendiconti[[#This Row],[Sum of errors in previous report ]]&lt;='Weight tables'!$C$43:$C$46),0),1))</f>
        <v>0</v>
      </c>
      <c r="AS56" s="155" cm="1">
        <f t="array" ref="AS56">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56" s="155" cm="1">
        <f t="array" ref="AT56">INDEX('Weight tables'!$A$56:$C$65,MATCH(1,('MY-REPORT-MAIN'!U56&gt;='Weight tables'!$B$56:$B$65)*('MY-REPORT-MAIN'!U56&lt;='Weight tables'!$C$56:$C$65),0),1)</f>
        <v>1</v>
      </c>
      <c r="AU56" s="155" cm="1">
        <f t="array" ref="AU56">INDEX('Weight tables'!$A$68:$C$71,MATCH(1,('MY-REPORT-MAIN'!AL56&gt;='Weight tables'!$B$68:$B$71)*('MY-REPORT-MAIN'!AL56&lt;='Weight tables'!$C$68:$C$71),0),1)</f>
        <v>2</v>
      </c>
      <c r="AV56" s="155" cm="1">
        <f t="array" ref="AV56">INDEX('Weight tables'!$A$74:$C$78,MATCH(1,('MY-REPORT-MAIN'!AN56&gt;='Weight tables'!$B$74:$B$78)*('MY-REPORT-MAIN'!AN56&lt;='Weight tables'!$C$74:$C$78),0),1)</f>
        <v>0</v>
      </c>
      <c r="AW56" s="16">
        <f>IF(I_Miei_Rendiconti[[#This Row],[Column1.totalAfterSubmitted]]/AM56&gt;50%,"Checked",0)</f>
        <v>0</v>
      </c>
      <c r="AX56" s="155">
        <f t="shared" si="1"/>
        <v>19.8</v>
      </c>
      <c r="AY56" s="155" t="str">
        <f>INDEX('Partner data'!A:EB,MATCH(I_Miei_Rendiconti[[#This Row],[Column1.partnerId]],'Partner data'!DG:DG,0),92)</f>
        <v>Italia (IT)</v>
      </c>
    </row>
    <row r="57" spans="1:51" ht="30" x14ac:dyDescent="0.25">
      <c r="A57" s="79">
        <v>269</v>
      </c>
      <c r="B57" s="79">
        <v>48</v>
      </c>
      <c r="C57" s="79">
        <v>155</v>
      </c>
      <c r="D57" s="79" t="s">
        <v>1261</v>
      </c>
      <c r="E57" s="79" t="s">
        <v>253</v>
      </c>
      <c r="F57" s="79">
        <v>3</v>
      </c>
      <c r="G57" s="206" t="s">
        <v>70</v>
      </c>
      <c r="H57" s="79">
        <v>1</v>
      </c>
      <c r="I57" s="79" t="s">
        <v>4339</v>
      </c>
      <c r="J57" s="79" t="s">
        <v>1263</v>
      </c>
      <c r="K57" s="208">
        <v>45377.546072395831</v>
      </c>
      <c r="M57" s="208">
        <v>45418.47612728009</v>
      </c>
      <c r="N57" s="79" t="s">
        <v>4497</v>
      </c>
      <c r="O57" s="79" t="s">
        <v>4403</v>
      </c>
      <c r="P57" s="79" t="s">
        <v>4348</v>
      </c>
      <c r="Q57" s="79" t="s">
        <v>4343</v>
      </c>
      <c r="R57" s="79">
        <v>8</v>
      </c>
      <c r="S57" s="79">
        <v>1</v>
      </c>
      <c r="T57" s="81">
        <v>5008.0600000000004</v>
      </c>
      <c r="U57" s="81">
        <v>5896.01</v>
      </c>
      <c r="V57" s="79" t="str">
        <f>INDEX(pARTNER[#All],MATCH(I_Miei_Rendiconti[[#This Row],[Column1.partnerId]],pARTNER[[#All],[Value.partnerSummary.id]],0),2)</f>
        <v>AGROTUR+</v>
      </c>
      <c r="W57" s="79" t="b">
        <v>0</v>
      </c>
      <c r="X57" s="82">
        <f>I_Miei_Rendiconti[[#This Row],[Column1.totalAfterSubmitted]]-I_Miei_Rendiconti[[#This Row],[Column1.totalEligibleAfterControl]]</f>
        <v>887.94999999999982</v>
      </c>
      <c r="Y57" s="80">
        <f>IF(I_Miei_Rendiconti[[#This Row],[Column1.status]]="Certified",IFERROR(I_Miei_Rendiconti[[#This Row],[Financial corection]]/I_Miei_Rendiconti[[#This Row],[Column1.totalAfterSubmitted]],0),"Rendiconto da certificare")</f>
        <v>0.15060184769021759</v>
      </c>
      <c r="Z57" s="207" t="str">
        <f>IF(I_Miei_Rendiconti[[#This Row],[Column1.status]]&lt;&gt;"Certified",INDEX('Partner data'!DG:DQ,MATCH(I_Miei_Rendiconti[[#This Row],[Column1.partnerId]],'Partner data'!DG:DG,0),13),"Rendiconto CONVALIDATO")</f>
        <v>Rendiconto CONVALIDATO</v>
      </c>
      <c r="AA57"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57" s="81" t="str">
        <f>IF(OR(I_Miei_Rendiconti[[#This Row],[N. previouse validated report ]]="Rendiconto CONVALIDATO",I_Miei_Rendiconti[[#This Row],[N. previouse validated report ]]="NON è stato convalidato ancora nessun rendiconto"),"NON PERTINENTE","fai la fromula")</f>
        <v>NON PERTINENTE</v>
      </c>
      <c r="AC57"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57" s="2">
        <f>INDEX('Partner data'!DG:DJ,MATCH(I_Miei_Rendiconti[[#This Row],[Column1.partnerId]],'Partner data'!DG:DG,0),3)</f>
        <v>1</v>
      </c>
      <c r="AE57" t="str" cm="1">
        <f t="array" ref="AE57">INDEX('Varie Tabelle'!$A$37:$C$51,MATCH(1,(I_Miei_Rendiconti[[#This Row],[Column1.firstSubmission]]&gt;='Varie Tabelle'!$B$37:$B$51)*(I_Miei_Rendiconti[[#This Row],[Column1.firstSubmission]]&lt;'Varie Tabelle'!$C$37:$C$51),0),1)</f>
        <v>Finestra 2</v>
      </c>
      <c r="AF57" s="109">
        <f>INDEX('Varie Tabelle'!$A$37:$C$51,MATCH('MY-REPORT-MAIN'!AE57,'Varie Tabelle'!$A$37:$A$51,0),2)</f>
        <v>45352</v>
      </c>
      <c r="AG57" s="109">
        <f>INDEX('Partner data'!DG:DR,MATCH(I_Miei_Rendiconti[[#This Row],[Column1.partnerId]],'Partner data'!DG:DG,0),12)</f>
        <v>45139</v>
      </c>
      <c r="AH57" s="115">
        <f t="shared" si="0"/>
        <v>7.0042749095692205</v>
      </c>
      <c r="AI57" t="str" cm="1">
        <f t="array" ref="AI57">INDEX('Varie Tabelle'!$A$12:$C$22,MATCH(1,('MY-REPORT-MAIN'!AH57&gt;='Varie Tabelle'!$B$12:$B$22)*('MY-REPORT-MAIN'!AH57&lt;='Varie Tabelle'!$C$12:$C$22),0),1)</f>
        <v>Periodo-1</v>
      </c>
      <c r="AJ57" s="14">
        <f>INDEX('Partner data'!A:EC,MATCH(I_Miei_Rendiconti[[#This Row],[Column1.partnerId]],'Partner data'!DG:DG,0),MATCH('MY-REPORT-MAIN'!AI57,'Partner data'!$2:$2,0))</f>
        <v>20749.3</v>
      </c>
      <c r="AK57" s="10">
        <f>SUMIFS($U$2:U57,$C$2:C57,I_Miei_Rendiconti[[#This Row],[Column1.partnerId]])-AJ57</f>
        <v>-14853.289999999999</v>
      </c>
      <c r="AL57" s="16">
        <f>IFERROR(1-(I_Miei_Rendiconti[[#This Row],[Column1.totalAfterSubmitted]]/AJ57),0)</f>
        <v>0.71584535381916492</v>
      </c>
      <c r="AM57" s="14">
        <f>INDEX('Partner data'!A:EB,MATCH(I_Miei_Rendiconti[[#This Row],[Column1.partnerId]],'Partner data'!DG:DG,0),44)</f>
        <v>84999.96</v>
      </c>
      <c r="AN57" s="14">
        <f>SUMIFS(ListOfExpenditure!AP:AP,ListOfExpenditure!AJ:AJ,I_Miei_Rendiconti[[#This Row],[Column1.id]])</f>
        <v>0</v>
      </c>
      <c r="AO57" s="148">
        <f>SUMIFS(ReportSubmittedBL!W:W,ReportSubmittedBL!D:D,I_Miei_Rendiconti[[#This Row],[Column1.id]])</f>
        <v>16</v>
      </c>
      <c r="AP57" s="155" cm="1">
        <f t="array" ref="AP57">INDEX('Weight tables'!$A$32:$C$36,MATCH(1,('MY-REPORT-MAIN'!AO57&gt;='Weight tables'!$B$32:$B$36)*('MY-REPORT-MAIN'!AO57&lt;='Weight tables'!$C$32:$C$36),0),1)</f>
        <v>8.4</v>
      </c>
      <c r="AQ57" s="155">
        <f>INDEX('Weight tables'!$A$39:$B$41,MATCH(I_Miei_Rendiconti[[#This Row],[Previouse Report checked?yes/no]],'Weight tables'!$B$39:$B$41,0),1)</f>
        <v>8.4</v>
      </c>
      <c r="AR57" s="155" cm="1">
        <f t="array" ref="AR57">IF(I_Miei_Rendiconti[[#This Row],[Sum of errors in previous report ]]="NON PERTINENTE",0,INDEX('Weight tables'!$A$43:$C$46,MATCH(1,(I_Miei_Rendiconti[[#This Row],[Sum of errors in previous report ]]&gt;='Weight tables'!$B$43:$B$46)*(I_Miei_Rendiconti[[#This Row],[Sum of errors in previous report ]]&lt;='Weight tables'!$C$43:$C$46),0),1))</f>
        <v>0</v>
      </c>
      <c r="AS57" s="155" cm="1">
        <f t="array" ref="AS57">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57" s="155" cm="1">
        <f t="array" ref="AT57">INDEX('Weight tables'!$A$56:$C$65,MATCH(1,('MY-REPORT-MAIN'!U57&gt;='Weight tables'!$B$56:$B$65)*('MY-REPORT-MAIN'!U57&lt;='Weight tables'!$C$56:$C$65),0),1)</f>
        <v>0</v>
      </c>
      <c r="AU57" s="155" cm="1">
        <f t="array" ref="AU57">INDEX('Weight tables'!$A$68:$C$71,MATCH(1,('MY-REPORT-MAIN'!AL57&gt;='Weight tables'!$B$68:$B$71)*('MY-REPORT-MAIN'!AL57&lt;='Weight tables'!$C$68:$C$71),0),1)</f>
        <v>2</v>
      </c>
      <c r="AV57" s="155" cm="1">
        <f t="array" ref="AV57">INDEX('Weight tables'!$A$74:$C$78,MATCH(1,('MY-REPORT-MAIN'!AN57&gt;='Weight tables'!$B$74:$B$78)*('MY-REPORT-MAIN'!AN57&lt;='Weight tables'!$C$74:$C$78),0),1)</f>
        <v>0</v>
      </c>
      <c r="AW57" s="16">
        <f>IF(I_Miei_Rendiconti[[#This Row],[Column1.totalAfterSubmitted]]/AM57&gt;50%,"Checked",0)</f>
        <v>0</v>
      </c>
      <c r="AX57" s="155">
        <f t="shared" si="1"/>
        <v>18.8</v>
      </c>
      <c r="AY57" s="155" t="str">
        <f>INDEX('Partner data'!A:EB,MATCH(I_Miei_Rendiconti[[#This Row],[Column1.partnerId]],'Partner data'!DG:DG,0),92)</f>
        <v>Slovenija (SI)</v>
      </c>
    </row>
    <row r="58" spans="1:51" ht="30" x14ac:dyDescent="0.25">
      <c r="A58" s="79">
        <v>163</v>
      </c>
      <c r="B58" s="79">
        <v>92</v>
      </c>
      <c r="C58" s="79">
        <v>324</v>
      </c>
      <c r="D58" s="79" t="s">
        <v>2433</v>
      </c>
      <c r="E58" s="79" t="s">
        <v>253</v>
      </c>
      <c r="F58" s="79">
        <v>10</v>
      </c>
      <c r="G58" s="206" t="s">
        <v>21</v>
      </c>
      <c r="H58" s="79">
        <v>2</v>
      </c>
      <c r="I58" s="79" t="s">
        <v>4339</v>
      </c>
      <c r="J58" s="79" t="s">
        <v>2435</v>
      </c>
      <c r="K58" s="208">
        <v>45377.590691689817</v>
      </c>
      <c r="M58" s="208">
        <v>45446.505126979166</v>
      </c>
      <c r="N58" s="79" t="s">
        <v>4417</v>
      </c>
      <c r="O58" s="79" t="s">
        <v>4363</v>
      </c>
      <c r="P58" s="79" t="s">
        <v>4348</v>
      </c>
      <c r="Q58" s="79" t="s">
        <v>4343</v>
      </c>
      <c r="R58" s="79">
        <v>41</v>
      </c>
      <c r="S58" s="79">
        <v>2</v>
      </c>
      <c r="T58" s="81">
        <v>4595.4799999999996</v>
      </c>
      <c r="U58" s="81">
        <v>4595.4799999999996</v>
      </c>
      <c r="V58" s="79" t="str">
        <f>INDEX(pARTNER[#All],MATCH(I_Miei_Rendiconti[[#This Row],[Column1.partnerId]],pARTNER[[#All],[Value.partnerSummary.id]],0),2)</f>
        <v>KRAS-CARSO II</v>
      </c>
      <c r="W58" s="79" t="b">
        <v>0</v>
      </c>
      <c r="X58" s="82">
        <f>I_Miei_Rendiconti[[#This Row],[Column1.totalAfterSubmitted]]-I_Miei_Rendiconti[[#This Row],[Column1.totalEligibleAfterControl]]</f>
        <v>0</v>
      </c>
      <c r="Y58" s="80">
        <f>IF(I_Miei_Rendiconti[[#This Row],[Column1.status]]="Certified",IFERROR(I_Miei_Rendiconti[[#This Row],[Financial corection]]/I_Miei_Rendiconti[[#This Row],[Column1.totalAfterSubmitted]],0),"Rendiconto da certificare")</f>
        <v>0</v>
      </c>
      <c r="Z58" s="207" t="str">
        <f>IF(I_Miei_Rendiconti[[#This Row],[Column1.status]]&lt;&gt;"Certified",INDEX('Partner data'!DG:DQ,MATCH(I_Miei_Rendiconti[[#This Row],[Column1.partnerId]],'Partner data'!DG:DG,0),13),"Rendiconto CONVALIDATO")</f>
        <v>Rendiconto CONVALIDATO</v>
      </c>
      <c r="AA58"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58" s="81" t="str">
        <f>IF(OR(I_Miei_Rendiconti[[#This Row],[N. previouse validated report ]]="Rendiconto CONVALIDATO",I_Miei_Rendiconti[[#This Row],[N. previouse validated report ]]="NON è stato convalidato ancora nessun rendiconto"),"NON PERTINENTE","fai la fromula")</f>
        <v>NON PERTINENTE</v>
      </c>
      <c r="AC58"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58" s="2">
        <f>INDEX('Partner data'!DG:DJ,MATCH(I_Miei_Rendiconti[[#This Row],[Column1.partnerId]],'Partner data'!DG:DG,0),3)</f>
        <v>1</v>
      </c>
      <c r="AE58" t="str" cm="1">
        <f t="array" ref="AE58">INDEX('Varie Tabelle'!$A$37:$C$51,MATCH(1,(I_Miei_Rendiconti[[#This Row],[Column1.firstSubmission]]&gt;='Varie Tabelle'!$B$37:$B$51)*(I_Miei_Rendiconti[[#This Row],[Column1.firstSubmission]]&lt;'Varie Tabelle'!$C$37:$C$51),0),1)</f>
        <v>Finestra 2</v>
      </c>
      <c r="AF58" s="109">
        <f>INDEX('Varie Tabelle'!$A$37:$C$51,MATCH('MY-REPORT-MAIN'!AE58,'Varie Tabelle'!$A$37:$A$51,0),2)</f>
        <v>45352</v>
      </c>
      <c r="AG58" s="109">
        <f>INDEX('Partner data'!DG:DR,MATCH(I_Miei_Rendiconti[[#This Row],[Column1.partnerId]],'Partner data'!DG:DG,0),12)</f>
        <v>44927</v>
      </c>
      <c r="AH58" s="115">
        <f t="shared" si="0"/>
        <v>13.975665899375205</v>
      </c>
      <c r="AI58" t="str" cm="1">
        <f t="array" ref="AI58">INDEX('Varie Tabelle'!$A$12:$C$22,MATCH(1,('MY-REPORT-MAIN'!AH58&gt;='Varie Tabelle'!$B$12:$B$22)*('MY-REPORT-MAIN'!AH58&lt;='Varie Tabelle'!$C$12:$C$22),0),1)</f>
        <v>Periodo-2</v>
      </c>
      <c r="AJ58" s="14">
        <f>INDEX('Partner data'!A:EC,MATCH(I_Miei_Rendiconti[[#This Row],[Column1.partnerId]],'Partner data'!DG:DG,0),MATCH('MY-REPORT-MAIN'!AI58,'Partner data'!$2:$2,0))</f>
        <v>72255.37</v>
      </c>
      <c r="AK58" s="10">
        <f>SUMIFS($U$2:U58,$C$2:C58,I_Miei_Rendiconti[[#This Row],[Column1.partnerId]])-AJ58</f>
        <v>-67659.89</v>
      </c>
      <c r="AL58" s="16">
        <f>IFERROR(1-(I_Miei_Rendiconti[[#This Row],[Column1.totalAfterSubmitted]]/AJ58),0)</f>
        <v>0.9363994676105043</v>
      </c>
      <c r="AM58" s="14">
        <f>INDEX('Partner data'!A:EB,MATCH(I_Miei_Rendiconti[[#This Row],[Column1.partnerId]],'Partner data'!DG:DG,0),44)</f>
        <v>452000</v>
      </c>
      <c r="AN58" s="14">
        <f>SUMIFS(ListOfExpenditure!AP:AP,ListOfExpenditure!AJ:AJ,I_Miei_Rendiconti[[#This Row],[Column1.id]])</f>
        <v>0</v>
      </c>
      <c r="AO58" s="148">
        <f>SUMIFS(ReportSubmittedBL!W:W,ReportSubmittedBL!D:D,I_Miei_Rendiconti[[#This Row],[Column1.id]])</f>
        <v>12</v>
      </c>
      <c r="AP58" s="155" cm="1">
        <f t="array" ref="AP58">INDEX('Weight tables'!$A$32:$C$36,MATCH(1,('MY-REPORT-MAIN'!AO58&gt;='Weight tables'!$B$32:$B$36)*('MY-REPORT-MAIN'!AO58&lt;='Weight tables'!$C$32:$C$36),0),1)</f>
        <v>8.4</v>
      </c>
      <c r="AQ58" s="155">
        <f>INDEX('Weight tables'!$A$39:$B$41,MATCH(I_Miei_Rendiconti[[#This Row],[Previouse Report checked?yes/no]],'Weight tables'!$B$39:$B$41,0),1)</f>
        <v>8.4</v>
      </c>
      <c r="AR58" s="155" cm="1">
        <f t="array" ref="AR58">IF(I_Miei_Rendiconti[[#This Row],[Sum of errors in previous report ]]="NON PERTINENTE",0,INDEX('Weight tables'!$A$43:$C$46,MATCH(1,(I_Miei_Rendiconti[[#This Row],[Sum of errors in previous report ]]&gt;='Weight tables'!$B$43:$B$46)*(I_Miei_Rendiconti[[#This Row],[Sum of errors in previous report ]]&lt;='Weight tables'!$C$43:$C$46),0),1))</f>
        <v>0</v>
      </c>
      <c r="AS58" s="155" cm="1">
        <f t="array" ref="AS58">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58" s="155" cm="1">
        <f t="array" ref="AT58">INDEX('Weight tables'!$A$56:$C$65,MATCH(1,('MY-REPORT-MAIN'!U58&gt;='Weight tables'!$B$56:$B$65)*('MY-REPORT-MAIN'!U58&lt;='Weight tables'!$C$56:$C$65),0),1)</f>
        <v>0</v>
      </c>
      <c r="AU58" s="155" cm="1">
        <f t="array" ref="AU58">INDEX('Weight tables'!$A$68:$C$71,MATCH(1,('MY-REPORT-MAIN'!AL58&gt;='Weight tables'!$B$68:$B$71)*('MY-REPORT-MAIN'!AL58&lt;='Weight tables'!$C$68:$C$71),0),1)</f>
        <v>2</v>
      </c>
      <c r="AV58" s="155" cm="1">
        <f t="array" ref="AV58">INDEX('Weight tables'!$A$74:$C$78,MATCH(1,('MY-REPORT-MAIN'!AN58&gt;='Weight tables'!$B$74:$B$78)*('MY-REPORT-MAIN'!AN58&lt;='Weight tables'!$C$74:$C$78),0),1)</f>
        <v>0</v>
      </c>
      <c r="AW58" s="16">
        <f>IF(I_Miei_Rendiconti[[#This Row],[Column1.totalAfterSubmitted]]/AM58&gt;50%,"Checked",0)</f>
        <v>0</v>
      </c>
      <c r="AX58" s="155">
        <f t="shared" si="1"/>
        <v>18.8</v>
      </c>
      <c r="AY58" s="155" t="str">
        <f>INDEX('Partner data'!A:EB,MATCH(I_Miei_Rendiconti[[#This Row],[Column1.partnerId]],'Partner data'!DG:DG,0),92)</f>
        <v>Italia (IT)</v>
      </c>
    </row>
    <row r="59" spans="1:51" ht="30" x14ac:dyDescent="0.25">
      <c r="A59" s="79">
        <v>116</v>
      </c>
      <c r="B59" s="79">
        <v>62</v>
      </c>
      <c r="C59" s="79">
        <v>164</v>
      </c>
      <c r="D59" s="79" t="s">
        <v>1622</v>
      </c>
      <c r="E59" s="79" t="s">
        <v>253</v>
      </c>
      <c r="F59" s="79">
        <v>2</v>
      </c>
      <c r="G59" s="206" t="s">
        <v>326</v>
      </c>
      <c r="H59" s="79">
        <v>1</v>
      </c>
      <c r="I59" s="79" t="s">
        <v>4339</v>
      </c>
      <c r="J59" s="79" t="s">
        <v>1118</v>
      </c>
      <c r="K59" s="208">
        <v>45377.634825462963</v>
      </c>
      <c r="M59" s="208">
        <v>45440.666155057872</v>
      </c>
      <c r="N59" s="79" t="s">
        <v>4396</v>
      </c>
      <c r="O59" s="79" t="s">
        <v>4347</v>
      </c>
      <c r="P59" s="79" t="s">
        <v>4348</v>
      </c>
      <c r="Q59" s="79" t="s">
        <v>4343</v>
      </c>
      <c r="R59" s="79">
        <v>26</v>
      </c>
      <c r="S59" s="79">
        <v>1</v>
      </c>
      <c r="T59" s="81">
        <v>23478</v>
      </c>
      <c r="U59" s="81">
        <v>23478</v>
      </c>
      <c r="V59" s="79" t="str">
        <f>INDEX(pARTNER[#All],MATCH(I_Miei_Rendiconti[[#This Row],[Column1.partnerId]],pARTNER[[#All],[Value.partnerSummary.id]],0),2)</f>
        <v>TRECap</v>
      </c>
      <c r="W59" s="79" t="b">
        <v>0</v>
      </c>
      <c r="X59" s="82">
        <f>I_Miei_Rendiconti[[#This Row],[Column1.totalAfterSubmitted]]-I_Miei_Rendiconti[[#This Row],[Column1.totalEligibleAfterControl]]</f>
        <v>0</v>
      </c>
      <c r="Y59" s="80">
        <f>IF(I_Miei_Rendiconti[[#This Row],[Column1.status]]="Certified",IFERROR(I_Miei_Rendiconti[[#This Row],[Financial corection]]/I_Miei_Rendiconti[[#This Row],[Column1.totalAfterSubmitted]],0),"Rendiconto da certificare")</f>
        <v>0</v>
      </c>
      <c r="Z59" s="207" t="str">
        <f>IF(I_Miei_Rendiconti[[#This Row],[Column1.status]]&lt;&gt;"Certified",INDEX('Partner data'!DG:DQ,MATCH(I_Miei_Rendiconti[[#This Row],[Column1.partnerId]],'Partner data'!DG:DG,0),13),"Rendiconto CONVALIDATO")</f>
        <v>Rendiconto CONVALIDATO</v>
      </c>
      <c r="AA59"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59" s="81" t="str">
        <f>IF(OR(I_Miei_Rendiconti[[#This Row],[N. previouse validated report ]]="Rendiconto CONVALIDATO",I_Miei_Rendiconti[[#This Row],[N. previouse validated report ]]="NON è stato convalidato ancora nessun rendiconto"),"NON PERTINENTE","fai la fromula")</f>
        <v>NON PERTINENTE</v>
      </c>
      <c r="AC59"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59" s="2">
        <f>INDEX('Partner data'!DG:DJ,MATCH(I_Miei_Rendiconti[[#This Row],[Column1.partnerId]],'Partner data'!DG:DG,0),3)</f>
        <v>1</v>
      </c>
      <c r="AE59" t="str" cm="1">
        <f t="array" ref="AE59">INDEX('Varie Tabelle'!$A$37:$C$51,MATCH(1,(I_Miei_Rendiconti[[#This Row],[Column1.firstSubmission]]&gt;='Varie Tabelle'!$B$37:$B$51)*(I_Miei_Rendiconti[[#This Row],[Column1.firstSubmission]]&lt;'Varie Tabelle'!$C$37:$C$51),0),1)</f>
        <v>Finestra 2</v>
      </c>
      <c r="AF59" s="109">
        <f>INDEX('Varie Tabelle'!$A$37:$C$51,MATCH('MY-REPORT-MAIN'!AE59,'Varie Tabelle'!$A$37:$A$51,0),2)</f>
        <v>45352</v>
      </c>
      <c r="AG59" s="109">
        <f>INDEX('Partner data'!DG:DR,MATCH(I_Miei_Rendiconti[[#This Row],[Column1.partnerId]],'Partner data'!DG:DG,0),12)</f>
        <v>45170</v>
      </c>
      <c r="AH59" s="115">
        <f t="shared" si="0"/>
        <v>5.9848733969089114</v>
      </c>
      <c r="AI59" t="str" cm="1">
        <f t="array" ref="AI59">INDEX('Varie Tabelle'!$A$12:$C$22,MATCH(1,('MY-REPORT-MAIN'!AH59&gt;='Varie Tabelle'!$B$12:$B$22)*('MY-REPORT-MAIN'!AH59&lt;='Varie Tabelle'!$C$12:$C$22),0),1)</f>
        <v>Periodo-1</v>
      </c>
      <c r="AJ59" s="14">
        <f>INDEX('Partner data'!A:EC,MATCH(I_Miei_Rendiconti[[#This Row],[Column1.partnerId]],'Partner data'!DG:DG,0),MATCH('MY-REPORT-MAIN'!AI59,'Partner data'!$2:$2,0))</f>
        <v>24129</v>
      </c>
      <c r="AK59" s="10">
        <f>SUMIFS($U$2:U59,$C$2:C59,I_Miei_Rendiconti[[#This Row],[Column1.partnerId]])-AJ59</f>
        <v>-651</v>
      </c>
      <c r="AL59" s="16">
        <f>IFERROR(1-(I_Miei_Rendiconti[[#This Row],[Column1.totalAfterSubmitted]]/AJ59),0)</f>
        <v>2.6979982593559604E-2</v>
      </c>
      <c r="AM59" s="14">
        <f>INDEX('Partner data'!A:EB,MATCH(I_Miei_Rendiconti[[#This Row],[Column1.partnerId]],'Partner data'!DG:DG,0),44)</f>
        <v>96516</v>
      </c>
      <c r="AN59" s="14">
        <f>SUMIFS(ListOfExpenditure!AP:AP,ListOfExpenditure!AJ:AJ,I_Miei_Rendiconti[[#This Row],[Column1.id]])</f>
        <v>0</v>
      </c>
      <c r="AO59" s="148">
        <f>SUMIFS(ReportSubmittedBL!W:W,ReportSubmittedBL!D:D,I_Miei_Rendiconti[[#This Row],[Column1.id]])</f>
        <v>6</v>
      </c>
      <c r="AP59" s="155" cm="1">
        <f t="array" ref="AP59">INDEX('Weight tables'!$A$32:$C$36,MATCH(1,('MY-REPORT-MAIN'!AO59&gt;='Weight tables'!$B$32:$B$36)*('MY-REPORT-MAIN'!AO59&lt;='Weight tables'!$C$32:$C$36),0),1)</f>
        <v>4.2</v>
      </c>
      <c r="AQ59" s="155">
        <f>INDEX('Weight tables'!$A$39:$B$41,MATCH(I_Miei_Rendiconti[[#This Row],[Previouse Report checked?yes/no]],'Weight tables'!$B$39:$B$41,0),1)</f>
        <v>8.4</v>
      </c>
      <c r="AR59" s="155" cm="1">
        <f t="array" ref="AR59">IF(I_Miei_Rendiconti[[#This Row],[Sum of errors in previous report ]]="NON PERTINENTE",0,INDEX('Weight tables'!$A$43:$C$46,MATCH(1,(I_Miei_Rendiconti[[#This Row],[Sum of errors in previous report ]]&gt;='Weight tables'!$B$43:$B$46)*(I_Miei_Rendiconti[[#This Row],[Sum of errors in previous report ]]&lt;='Weight tables'!$C$43:$C$46),0),1))</f>
        <v>0</v>
      </c>
      <c r="AS59" s="155" cm="1">
        <f t="array" ref="AS59">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59" s="155" cm="1">
        <f t="array" ref="AT59">INDEX('Weight tables'!$A$56:$C$65,MATCH(1,('MY-REPORT-MAIN'!U59&gt;='Weight tables'!$B$56:$B$65)*('MY-REPORT-MAIN'!U59&lt;='Weight tables'!$C$56:$C$65),0),1)</f>
        <v>2</v>
      </c>
      <c r="AU59" s="155" cm="1">
        <f t="array" ref="AU59">INDEX('Weight tables'!$A$68:$C$71,MATCH(1,('MY-REPORT-MAIN'!AL59&gt;='Weight tables'!$B$68:$B$71)*('MY-REPORT-MAIN'!AL59&lt;='Weight tables'!$C$68:$C$71),0),1)</f>
        <v>0</v>
      </c>
      <c r="AV59" s="155" cm="1">
        <f t="array" ref="AV59">INDEX('Weight tables'!$A$74:$C$78,MATCH(1,('MY-REPORT-MAIN'!AN59&gt;='Weight tables'!$B$74:$B$78)*('MY-REPORT-MAIN'!AN59&lt;='Weight tables'!$C$74:$C$78),0),1)</f>
        <v>0</v>
      </c>
      <c r="AW59" s="16">
        <f>IF(I_Miei_Rendiconti[[#This Row],[Column1.totalAfterSubmitted]]/AM59&gt;50%,"Checked",0)</f>
        <v>0</v>
      </c>
      <c r="AX59" s="155">
        <f t="shared" si="1"/>
        <v>14.600000000000001</v>
      </c>
      <c r="AY59" s="155" t="str">
        <f>INDEX('Partner data'!A:EB,MATCH(I_Miei_Rendiconti[[#This Row],[Column1.partnerId]],'Partner data'!DG:DG,0),92)</f>
        <v>Italia (IT)</v>
      </c>
    </row>
    <row r="60" spans="1:51" ht="30" x14ac:dyDescent="0.25">
      <c r="A60" s="79">
        <v>161</v>
      </c>
      <c r="B60" s="79">
        <v>86</v>
      </c>
      <c r="C60" s="79">
        <v>258</v>
      </c>
      <c r="D60" s="79" t="s">
        <v>2270</v>
      </c>
      <c r="E60" s="79" t="s">
        <v>264</v>
      </c>
      <c r="F60" s="79">
        <v>1</v>
      </c>
      <c r="G60" s="206" t="s">
        <v>21</v>
      </c>
      <c r="H60" s="79">
        <v>1</v>
      </c>
      <c r="I60" s="79" t="s">
        <v>4339</v>
      </c>
      <c r="J60" s="79" t="s">
        <v>1118</v>
      </c>
      <c r="K60" s="208">
        <v>45377.680296516206</v>
      </c>
      <c r="M60" s="208">
        <v>45446.488148599536</v>
      </c>
      <c r="N60" s="79" t="s">
        <v>4415</v>
      </c>
      <c r="O60" s="79" t="s">
        <v>4363</v>
      </c>
      <c r="P60" s="79" t="s">
        <v>4348</v>
      </c>
      <c r="Q60" s="79" t="s">
        <v>4343</v>
      </c>
      <c r="R60" s="79">
        <v>29</v>
      </c>
      <c r="S60" s="79">
        <v>1</v>
      </c>
      <c r="T60" s="81">
        <v>20413.88</v>
      </c>
      <c r="U60" s="81">
        <v>20413.88</v>
      </c>
      <c r="V60" s="79" t="str">
        <f>INDEX(pARTNER[#All],MATCH(I_Miei_Rendiconti[[#This Row],[Column1.partnerId]],pARTNER[[#All],[Value.partnerSummary.id]],0),2)</f>
        <v>WALKofPEACE+</v>
      </c>
      <c r="W60" s="79" t="b">
        <v>0</v>
      </c>
      <c r="X60" s="82">
        <f>I_Miei_Rendiconti[[#This Row],[Column1.totalAfterSubmitted]]-I_Miei_Rendiconti[[#This Row],[Column1.totalEligibleAfterControl]]</f>
        <v>0</v>
      </c>
      <c r="Y60" s="80">
        <f>IF(I_Miei_Rendiconti[[#This Row],[Column1.status]]="Certified",IFERROR(I_Miei_Rendiconti[[#This Row],[Financial corection]]/I_Miei_Rendiconti[[#This Row],[Column1.totalAfterSubmitted]],0),"Rendiconto da certificare")</f>
        <v>0</v>
      </c>
      <c r="Z60" s="207" t="str">
        <f>IF(I_Miei_Rendiconti[[#This Row],[Column1.status]]&lt;&gt;"Certified",INDEX('Partner data'!DG:DQ,MATCH(I_Miei_Rendiconti[[#This Row],[Column1.partnerId]],'Partner data'!DG:DG,0),13),"Rendiconto CONVALIDATO")</f>
        <v>Rendiconto CONVALIDATO</v>
      </c>
      <c r="AA60"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60" s="81" t="str">
        <f>IF(OR(I_Miei_Rendiconti[[#This Row],[N. previouse validated report ]]="Rendiconto CONVALIDATO",I_Miei_Rendiconti[[#This Row],[N. previouse validated report ]]="NON è stato convalidato ancora nessun rendiconto"),"NON PERTINENTE","fai la fromula")</f>
        <v>NON PERTINENTE</v>
      </c>
      <c r="AC60"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60" s="2">
        <f>INDEX('Partner data'!DG:DJ,MATCH(I_Miei_Rendiconti[[#This Row],[Column1.partnerId]],'Partner data'!DG:DG,0),3)</f>
        <v>1</v>
      </c>
      <c r="AE60" t="str" cm="1">
        <f t="array" ref="AE60">INDEX('Varie Tabelle'!$A$37:$C$51,MATCH(1,(I_Miei_Rendiconti[[#This Row],[Column1.firstSubmission]]&gt;='Varie Tabelle'!$B$37:$B$51)*(I_Miei_Rendiconti[[#This Row],[Column1.firstSubmission]]&lt;'Varie Tabelle'!$C$37:$C$51),0),1)</f>
        <v>Finestra 2</v>
      </c>
      <c r="AF60" s="109">
        <f>INDEX('Varie Tabelle'!$A$37:$C$51,MATCH('MY-REPORT-MAIN'!AE60,'Varie Tabelle'!$A$37:$A$51,0),2)</f>
        <v>45352</v>
      </c>
      <c r="AG60" s="109">
        <f>INDEX('Partner data'!DG:DR,MATCH(I_Miei_Rendiconti[[#This Row],[Column1.partnerId]],'Partner data'!DG:DG,0),12)</f>
        <v>45200</v>
      </c>
      <c r="AH60" s="115">
        <f t="shared" si="0"/>
        <v>4.9983558040118385</v>
      </c>
      <c r="AI60" t="str" cm="1">
        <f t="array" ref="AI60">INDEX('Varie Tabelle'!$A$12:$C$22,MATCH(1,('MY-REPORT-MAIN'!AH60&gt;='Varie Tabelle'!$B$12:$B$22)*('MY-REPORT-MAIN'!AH60&lt;='Varie Tabelle'!$C$12:$C$22),0),1)</f>
        <v>Periodo-1</v>
      </c>
      <c r="AJ60" s="14">
        <f>INDEX('Partner data'!A:EC,MATCH(I_Miei_Rendiconti[[#This Row],[Column1.partnerId]],'Partner data'!DG:DG,0),MATCH('MY-REPORT-MAIN'!AI60,'Partner data'!$2:$2,0))</f>
        <v>82620.820000000007</v>
      </c>
      <c r="AK60" s="10">
        <f>SUMIFS($U$2:U60,$C$2:C60,I_Miei_Rendiconti[[#This Row],[Column1.partnerId]])-AJ60</f>
        <v>-62206.94</v>
      </c>
      <c r="AL60" s="16">
        <f>IFERROR(1-(I_Miei_Rendiconti[[#This Row],[Column1.totalAfterSubmitted]]/AJ60),0)</f>
        <v>0.75292087393952278</v>
      </c>
      <c r="AM60" s="14">
        <f>INDEX('Partner data'!A:EB,MATCH(I_Miei_Rendiconti[[#This Row],[Column1.partnerId]],'Partner data'!DG:DG,0),44)</f>
        <v>249999.97</v>
      </c>
      <c r="AN60" s="14">
        <f>SUMIFS(ListOfExpenditure!AP:AP,ListOfExpenditure!AJ:AJ,I_Miei_Rendiconti[[#This Row],[Column1.id]])</f>
        <v>1</v>
      </c>
      <c r="AO60" s="148">
        <f>SUMIFS(ReportSubmittedBL!W:W,ReportSubmittedBL!D:D,I_Miei_Rendiconti[[#This Row],[Column1.id]])</f>
        <v>12</v>
      </c>
      <c r="AP60" s="155" cm="1">
        <f t="array" ref="AP60">INDEX('Weight tables'!$A$32:$C$36,MATCH(1,('MY-REPORT-MAIN'!AO60&gt;='Weight tables'!$B$32:$B$36)*('MY-REPORT-MAIN'!AO60&lt;='Weight tables'!$C$32:$C$36),0),1)</f>
        <v>8.4</v>
      </c>
      <c r="AQ60" s="155">
        <f>INDEX('Weight tables'!$A$39:$B$41,MATCH(I_Miei_Rendiconti[[#This Row],[Previouse Report checked?yes/no]],'Weight tables'!$B$39:$B$41,0),1)</f>
        <v>8.4</v>
      </c>
      <c r="AR60" s="155" cm="1">
        <f t="array" ref="AR60">IF(I_Miei_Rendiconti[[#This Row],[Sum of errors in previous report ]]="NON PERTINENTE",0,INDEX('Weight tables'!$A$43:$C$46,MATCH(1,(I_Miei_Rendiconti[[#This Row],[Sum of errors in previous report ]]&gt;='Weight tables'!$B$43:$B$46)*(I_Miei_Rendiconti[[#This Row],[Sum of errors in previous report ]]&lt;='Weight tables'!$C$43:$C$46),0),1))</f>
        <v>0</v>
      </c>
      <c r="AS60" s="155" cm="1">
        <f t="array" ref="AS60">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60" s="155" cm="1">
        <f t="array" ref="AT60">INDEX('Weight tables'!$A$56:$C$65,MATCH(1,('MY-REPORT-MAIN'!U60&gt;='Weight tables'!$B$56:$B$65)*('MY-REPORT-MAIN'!U60&lt;='Weight tables'!$C$56:$C$65),0),1)</f>
        <v>2</v>
      </c>
      <c r="AU60" s="155" cm="1">
        <f t="array" ref="AU60">INDEX('Weight tables'!$A$68:$C$71,MATCH(1,('MY-REPORT-MAIN'!AL60&gt;='Weight tables'!$B$68:$B$71)*('MY-REPORT-MAIN'!AL60&lt;='Weight tables'!$C$68:$C$71),0),1)</f>
        <v>2</v>
      </c>
      <c r="AV60" s="155" cm="1">
        <f t="array" ref="AV60">INDEX('Weight tables'!$A$74:$C$78,MATCH(1,('MY-REPORT-MAIN'!AN60&gt;='Weight tables'!$B$74:$B$78)*('MY-REPORT-MAIN'!AN60&lt;='Weight tables'!$C$74:$C$78),0),1)</f>
        <v>0</v>
      </c>
      <c r="AW60" s="16">
        <f>IF(I_Miei_Rendiconti[[#This Row],[Column1.totalAfterSubmitted]]/AM60&gt;50%,"Checked",0)</f>
        <v>0</v>
      </c>
      <c r="AX60" s="155">
        <f t="shared" si="1"/>
        <v>20.8</v>
      </c>
      <c r="AY60" s="155" t="str">
        <f>INDEX('Partner data'!A:EB,MATCH(I_Miei_Rendiconti[[#This Row],[Column1.partnerId]],'Partner data'!DG:DG,0),92)</f>
        <v>Italia (IT)</v>
      </c>
    </row>
    <row r="61" spans="1:51" ht="30" x14ac:dyDescent="0.25">
      <c r="A61" s="79">
        <v>273</v>
      </c>
      <c r="B61" s="79">
        <v>53</v>
      </c>
      <c r="C61" s="79">
        <v>171</v>
      </c>
      <c r="D61" s="79" t="s">
        <v>1364</v>
      </c>
      <c r="E61" s="79" t="s">
        <v>253</v>
      </c>
      <c r="F61" s="79">
        <v>5</v>
      </c>
      <c r="G61" s="206" t="s">
        <v>307</v>
      </c>
      <c r="H61" s="79">
        <v>1</v>
      </c>
      <c r="I61" s="79" t="s">
        <v>4339</v>
      </c>
      <c r="J61" s="79" t="s">
        <v>490</v>
      </c>
      <c r="K61" s="208">
        <v>45377.707274189816</v>
      </c>
      <c r="M61" s="208">
        <v>45440.717292615744</v>
      </c>
      <c r="N61" s="79" t="s">
        <v>4502</v>
      </c>
      <c r="O61" s="79" t="s">
        <v>4347</v>
      </c>
      <c r="P61" s="79" t="s">
        <v>4348</v>
      </c>
      <c r="Q61" s="79" t="s">
        <v>4343</v>
      </c>
      <c r="R61" s="79">
        <v>31</v>
      </c>
      <c r="S61" s="79">
        <v>1</v>
      </c>
      <c r="T61" s="81">
        <v>7571.46</v>
      </c>
      <c r="U61" s="81">
        <v>7571.46</v>
      </c>
      <c r="V61" s="79" t="str">
        <f>INDEX(pARTNER[#All],MATCH(I_Miei_Rendiconti[[#This Row],[Column1.partnerId]],pARTNER[[#All],[Value.partnerSummary.id]],0),2)</f>
        <v>ECO2SMART</v>
      </c>
      <c r="W61" s="79" t="b">
        <v>0</v>
      </c>
      <c r="X61" s="82">
        <f>I_Miei_Rendiconti[[#This Row],[Column1.totalAfterSubmitted]]-I_Miei_Rendiconti[[#This Row],[Column1.totalEligibleAfterControl]]</f>
        <v>0</v>
      </c>
      <c r="Y61" s="80">
        <f>IF(I_Miei_Rendiconti[[#This Row],[Column1.status]]="Certified",IFERROR(I_Miei_Rendiconti[[#This Row],[Financial corection]]/I_Miei_Rendiconti[[#This Row],[Column1.totalAfterSubmitted]],0),"Rendiconto da certificare")</f>
        <v>0</v>
      </c>
      <c r="Z61" s="207" t="str">
        <f>IF(I_Miei_Rendiconti[[#This Row],[Column1.status]]&lt;&gt;"Certified",INDEX('Partner data'!DG:DQ,MATCH(I_Miei_Rendiconti[[#This Row],[Column1.partnerId]],'Partner data'!DG:DG,0),13),"Rendiconto CONVALIDATO")</f>
        <v>Rendiconto CONVALIDATO</v>
      </c>
      <c r="AA61"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61" s="81" t="str">
        <f>IF(OR(I_Miei_Rendiconti[[#This Row],[N. previouse validated report ]]="Rendiconto CONVALIDATO",I_Miei_Rendiconti[[#This Row],[N. previouse validated report ]]="NON è stato convalidato ancora nessun rendiconto"),"NON PERTINENTE","fai la fromula")</f>
        <v>NON PERTINENTE</v>
      </c>
      <c r="AC61"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61" s="2">
        <f>INDEX('Partner data'!DG:DJ,MATCH(I_Miei_Rendiconti[[#This Row],[Column1.partnerId]],'Partner data'!DG:DG,0),3)</f>
        <v>1</v>
      </c>
      <c r="AE61" t="str" cm="1">
        <f t="array" ref="AE61">INDEX('Varie Tabelle'!$A$37:$C$51,MATCH(1,(I_Miei_Rendiconti[[#This Row],[Column1.firstSubmission]]&gt;='Varie Tabelle'!$B$37:$B$51)*(I_Miei_Rendiconti[[#This Row],[Column1.firstSubmission]]&lt;'Varie Tabelle'!$C$37:$C$51),0),1)</f>
        <v>Finestra 2</v>
      </c>
      <c r="AF61" s="109">
        <f>INDEX('Varie Tabelle'!$A$37:$C$51,MATCH('MY-REPORT-MAIN'!AE61,'Varie Tabelle'!$A$37:$A$51,0),2)</f>
        <v>45352</v>
      </c>
      <c r="AG61" s="109">
        <f>INDEX('Partner data'!DG:DR,MATCH(I_Miei_Rendiconti[[#This Row],[Column1.partnerId]],'Partner data'!DG:DG,0),12)</f>
        <v>45170</v>
      </c>
      <c r="AH61" s="115">
        <f t="shared" si="0"/>
        <v>5.9848733969089114</v>
      </c>
      <c r="AI61" t="str" cm="1">
        <f t="array" ref="AI61">INDEX('Varie Tabelle'!$A$12:$C$22,MATCH(1,('MY-REPORT-MAIN'!AH61&gt;='Varie Tabelle'!$B$12:$B$22)*('MY-REPORT-MAIN'!AH61&lt;='Varie Tabelle'!$C$12:$C$22),0),1)</f>
        <v>Periodo-1</v>
      </c>
      <c r="AJ61" s="14">
        <f>INDEX('Partner data'!A:EC,MATCH(I_Miei_Rendiconti[[#This Row],[Column1.partnerId]],'Partner data'!DG:DG,0),MATCH('MY-REPORT-MAIN'!AI61,'Partner data'!$2:$2,0))</f>
        <v>24938.45</v>
      </c>
      <c r="AK61" s="10">
        <f>SUMIFS($U$2:U61,$C$2:C61,I_Miei_Rendiconti[[#This Row],[Column1.partnerId]])-AJ61</f>
        <v>-17366.990000000002</v>
      </c>
      <c r="AL61" s="16">
        <f>IFERROR(1-(I_Miei_Rendiconti[[#This Row],[Column1.totalAfterSubmitted]]/AJ61),0)</f>
        <v>0.69639412232917441</v>
      </c>
      <c r="AM61" s="14">
        <f>INDEX('Partner data'!A:EB,MATCH(I_Miei_Rendiconti[[#This Row],[Column1.partnerId]],'Partner data'!DG:DG,0),44)</f>
        <v>99753.78</v>
      </c>
      <c r="AN61" s="14">
        <f>SUMIFS(ListOfExpenditure!AP:AP,ListOfExpenditure!AJ:AJ,I_Miei_Rendiconti[[#This Row],[Column1.id]])</f>
        <v>0</v>
      </c>
      <c r="AO61" s="148">
        <f>SUMIFS(ReportSubmittedBL!W:W,ReportSubmittedBL!D:D,I_Miei_Rendiconti[[#This Row],[Column1.id]])</f>
        <v>8</v>
      </c>
      <c r="AP61" s="155" cm="1">
        <f t="array" ref="AP61">INDEX('Weight tables'!$A$32:$C$36,MATCH(1,('MY-REPORT-MAIN'!AO61&gt;='Weight tables'!$B$32:$B$36)*('MY-REPORT-MAIN'!AO61&lt;='Weight tables'!$C$32:$C$36),0),1)</f>
        <v>6.3</v>
      </c>
      <c r="AQ61" s="155">
        <f>INDEX('Weight tables'!$A$39:$B$41,MATCH(I_Miei_Rendiconti[[#This Row],[Previouse Report checked?yes/no]],'Weight tables'!$B$39:$B$41,0),1)</f>
        <v>8.4</v>
      </c>
      <c r="AR61" s="155" cm="1">
        <f t="array" ref="AR61">IF(I_Miei_Rendiconti[[#This Row],[Sum of errors in previous report ]]="NON PERTINENTE",0,INDEX('Weight tables'!$A$43:$C$46,MATCH(1,(I_Miei_Rendiconti[[#This Row],[Sum of errors in previous report ]]&gt;='Weight tables'!$B$43:$B$46)*(I_Miei_Rendiconti[[#This Row],[Sum of errors in previous report ]]&lt;='Weight tables'!$C$43:$C$46),0),1))</f>
        <v>0</v>
      </c>
      <c r="AS61" s="155" cm="1">
        <f t="array" ref="AS61">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61" s="155" cm="1">
        <f t="array" ref="AT61">INDEX('Weight tables'!$A$56:$C$65,MATCH(1,('MY-REPORT-MAIN'!U61&gt;='Weight tables'!$B$56:$B$65)*('MY-REPORT-MAIN'!U61&lt;='Weight tables'!$C$56:$C$65),0),1)</f>
        <v>0</v>
      </c>
      <c r="AU61" s="155" cm="1">
        <f t="array" ref="AU61">INDEX('Weight tables'!$A$68:$C$71,MATCH(1,('MY-REPORT-MAIN'!AL61&gt;='Weight tables'!$B$68:$B$71)*('MY-REPORT-MAIN'!AL61&lt;='Weight tables'!$C$68:$C$71),0),1)</f>
        <v>2</v>
      </c>
      <c r="AV61" s="155" cm="1">
        <f t="array" ref="AV61">INDEX('Weight tables'!$A$74:$C$78,MATCH(1,('MY-REPORT-MAIN'!AN61&gt;='Weight tables'!$B$74:$B$78)*('MY-REPORT-MAIN'!AN61&lt;='Weight tables'!$C$74:$C$78),0),1)</f>
        <v>0</v>
      </c>
      <c r="AW61" s="16">
        <f>IF(I_Miei_Rendiconti[[#This Row],[Column1.totalAfterSubmitted]]/AM61&gt;50%,"Checked",0)</f>
        <v>0</v>
      </c>
      <c r="AX61" s="155">
        <f t="shared" si="1"/>
        <v>16.7</v>
      </c>
      <c r="AY61" s="155" t="str">
        <f>INDEX('Partner data'!A:EB,MATCH(I_Miei_Rendiconti[[#This Row],[Column1.partnerId]],'Partner data'!DG:DG,0),92)</f>
        <v>Italia (IT)</v>
      </c>
    </row>
    <row r="62" spans="1:51" ht="30" x14ac:dyDescent="0.25">
      <c r="A62" s="79">
        <v>117</v>
      </c>
      <c r="B62" s="79">
        <v>62</v>
      </c>
      <c r="C62" s="79">
        <v>168</v>
      </c>
      <c r="D62" s="79" t="s">
        <v>1622</v>
      </c>
      <c r="E62" s="79" t="s">
        <v>253</v>
      </c>
      <c r="F62" s="79">
        <v>5</v>
      </c>
      <c r="G62" s="206" t="s">
        <v>327</v>
      </c>
      <c r="H62" s="79">
        <v>1</v>
      </c>
      <c r="I62" s="79" t="s">
        <v>4339</v>
      </c>
      <c r="J62" s="79" t="s">
        <v>1118</v>
      </c>
      <c r="K62" s="208">
        <v>45378.317264710648</v>
      </c>
      <c r="M62" s="208">
        <v>45427.423868078702</v>
      </c>
      <c r="N62" s="79" t="s">
        <v>4397</v>
      </c>
      <c r="O62" s="79" t="s">
        <v>4347</v>
      </c>
      <c r="P62" s="79" t="s">
        <v>4348</v>
      </c>
      <c r="Q62" s="79" t="s">
        <v>4343</v>
      </c>
      <c r="R62" s="79">
        <v>26</v>
      </c>
      <c r="S62" s="79">
        <v>1</v>
      </c>
      <c r="T62" s="81">
        <v>21613.040000000001</v>
      </c>
      <c r="U62" s="81">
        <v>21616.92</v>
      </c>
      <c r="V62" s="79" t="str">
        <f>INDEX(pARTNER[#All],MATCH(I_Miei_Rendiconti[[#This Row],[Column1.partnerId]],pARTNER[[#All],[Value.partnerSummary.id]],0),2)</f>
        <v>TRECap</v>
      </c>
      <c r="W62" s="79" t="b">
        <v>0</v>
      </c>
      <c r="X62" s="82">
        <f>I_Miei_Rendiconti[[#This Row],[Column1.totalAfterSubmitted]]-I_Miei_Rendiconti[[#This Row],[Column1.totalEligibleAfterControl]]</f>
        <v>3.8799999999973807</v>
      </c>
      <c r="Y62" s="80">
        <f>IF(I_Miei_Rendiconti[[#This Row],[Column1.status]]="Certified",IFERROR(I_Miei_Rendiconti[[#This Row],[Financial corection]]/I_Miei_Rendiconti[[#This Row],[Column1.totalAfterSubmitted]],0),"Rendiconto da certificare")</f>
        <v>1.7948902988942832E-4</v>
      </c>
      <c r="Z62" s="207" t="str">
        <f>IF(I_Miei_Rendiconti[[#This Row],[Column1.status]]&lt;&gt;"Certified",INDEX('Partner data'!DG:DQ,MATCH(I_Miei_Rendiconti[[#This Row],[Column1.partnerId]],'Partner data'!DG:DG,0),13),"Rendiconto CONVALIDATO")</f>
        <v>Rendiconto CONVALIDATO</v>
      </c>
      <c r="AA62"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62" s="81" t="str">
        <f>IF(OR(I_Miei_Rendiconti[[#This Row],[N. previouse validated report ]]="Rendiconto CONVALIDATO",I_Miei_Rendiconti[[#This Row],[N. previouse validated report ]]="NON è stato convalidato ancora nessun rendiconto"),"NON PERTINENTE","fai la fromula")</f>
        <v>NON PERTINENTE</v>
      </c>
      <c r="AC62"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62" s="2">
        <f>INDEX('Partner data'!DG:DJ,MATCH(I_Miei_Rendiconti[[#This Row],[Column1.partnerId]],'Partner data'!DG:DG,0),3)</f>
        <v>1</v>
      </c>
      <c r="AE62" t="str" cm="1">
        <f t="array" ref="AE62">INDEX('Varie Tabelle'!$A$37:$C$51,MATCH(1,(I_Miei_Rendiconti[[#This Row],[Column1.firstSubmission]]&gt;='Varie Tabelle'!$B$37:$B$51)*(I_Miei_Rendiconti[[#This Row],[Column1.firstSubmission]]&lt;'Varie Tabelle'!$C$37:$C$51),0),1)</f>
        <v>Finestra 2</v>
      </c>
      <c r="AF62" s="109">
        <f>INDEX('Varie Tabelle'!$A$37:$C$51,MATCH('MY-REPORT-MAIN'!AE62,'Varie Tabelle'!$A$37:$A$51,0),2)</f>
        <v>45352</v>
      </c>
      <c r="AG62" s="109">
        <f>INDEX('Partner data'!DG:DR,MATCH(I_Miei_Rendiconti[[#This Row],[Column1.partnerId]],'Partner data'!DG:DG,0),12)</f>
        <v>45170</v>
      </c>
      <c r="AH62" s="115">
        <f t="shared" si="0"/>
        <v>5.9848733969089114</v>
      </c>
      <c r="AI62" t="str" cm="1">
        <f t="array" ref="AI62">INDEX('Varie Tabelle'!$A$12:$C$22,MATCH(1,('MY-REPORT-MAIN'!AH62&gt;='Varie Tabelle'!$B$12:$B$22)*('MY-REPORT-MAIN'!AH62&lt;='Varie Tabelle'!$C$12:$C$22),0),1)</f>
        <v>Periodo-1</v>
      </c>
      <c r="AJ62" s="14">
        <f>INDEX('Partner data'!A:EC,MATCH(I_Miei_Rendiconti[[#This Row],[Column1.partnerId]],'Partner data'!DG:DG,0),MATCH('MY-REPORT-MAIN'!AI62,'Partner data'!$2:$2,0))</f>
        <v>17416.02</v>
      </c>
      <c r="AK62" s="10">
        <f>SUMIFS($U$2:U62,$C$2:C62,I_Miei_Rendiconti[[#This Row],[Column1.partnerId]])-AJ62</f>
        <v>4200.8999999999978</v>
      </c>
      <c r="AL62" s="16">
        <f>IFERROR(1-(I_Miei_Rendiconti[[#This Row],[Column1.totalAfterSubmitted]]/AJ62),0)</f>
        <v>-0.24120895589233338</v>
      </c>
      <c r="AM62" s="14">
        <f>INDEX('Partner data'!A:EB,MATCH(I_Miei_Rendiconti[[#This Row],[Column1.partnerId]],'Partner data'!DG:DG,0),44)</f>
        <v>84885.64</v>
      </c>
      <c r="AN62" s="14">
        <f>SUMIFS(ListOfExpenditure!AP:AP,ListOfExpenditure!AJ:AJ,I_Miei_Rendiconti[[#This Row],[Column1.id]])</f>
        <v>0</v>
      </c>
      <c r="AO62" s="148">
        <f>SUMIFS(ReportSubmittedBL!W:W,ReportSubmittedBL!D:D,I_Miei_Rendiconti[[#This Row],[Column1.id]])</f>
        <v>8</v>
      </c>
      <c r="AP62" s="155" cm="1">
        <f t="array" ref="AP62">INDEX('Weight tables'!$A$32:$C$36,MATCH(1,('MY-REPORT-MAIN'!AO62&gt;='Weight tables'!$B$32:$B$36)*('MY-REPORT-MAIN'!AO62&lt;='Weight tables'!$C$32:$C$36),0),1)</f>
        <v>6.3</v>
      </c>
      <c r="AQ62" s="155">
        <f>INDEX('Weight tables'!$A$39:$B$41,MATCH(I_Miei_Rendiconti[[#This Row],[Previouse Report checked?yes/no]],'Weight tables'!$B$39:$B$41,0),1)</f>
        <v>8.4</v>
      </c>
      <c r="AR62" s="155" cm="1">
        <f t="array" ref="AR62">IF(I_Miei_Rendiconti[[#This Row],[Sum of errors in previous report ]]="NON PERTINENTE",0,INDEX('Weight tables'!$A$43:$C$46,MATCH(1,(I_Miei_Rendiconti[[#This Row],[Sum of errors in previous report ]]&gt;='Weight tables'!$B$43:$B$46)*(I_Miei_Rendiconti[[#This Row],[Sum of errors in previous report ]]&lt;='Weight tables'!$C$43:$C$46),0),1))</f>
        <v>0</v>
      </c>
      <c r="AS62" s="155" cm="1">
        <f t="array" ref="AS62">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62" s="155" cm="1">
        <f t="array" ref="AT62">INDEX('Weight tables'!$A$56:$C$65,MATCH(1,('MY-REPORT-MAIN'!U62&gt;='Weight tables'!$B$56:$B$65)*('MY-REPORT-MAIN'!U62&lt;='Weight tables'!$C$56:$C$65),0),1)</f>
        <v>2</v>
      </c>
      <c r="AU62" s="155" cm="1">
        <f t="array" ref="AU62">INDEX('Weight tables'!$A$68:$C$71,MATCH(1,('MY-REPORT-MAIN'!AL62&gt;='Weight tables'!$B$68:$B$71)*('MY-REPORT-MAIN'!AL62&lt;='Weight tables'!$C$68:$C$71),0),1)</f>
        <v>0</v>
      </c>
      <c r="AV62" s="155" cm="1">
        <f t="array" ref="AV62">INDEX('Weight tables'!$A$74:$C$78,MATCH(1,('MY-REPORT-MAIN'!AN62&gt;='Weight tables'!$B$74:$B$78)*('MY-REPORT-MAIN'!AN62&lt;='Weight tables'!$C$74:$C$78),0),1)</f>
        <v>0</v>
      </c>
      <c r="AW62" s="16">
        <f>IF(I_Miei_Rendiconti[[#This Row],[Column1.totalAfterSubmitted]]/AM62&gt;50%,"Checked",0)</f>
        <v>0</v>
      </c>
      <c r="AX62" s="155">
        <f t="shared" si="1"/>
        <v>16.7</v>
      </c>
      <c r="AY62" s="155" t="str">
        <f>INDEX('Partner data'!A:EB,MATCH(I_Miei_Rendiconti[[#This Row],[Column1.partnerId]],'Partner data'!DG:DG,0),92)</f>
        <v>Slovenija (SI)</v>
      </c>
    </row>
    <row r="63" spans="1:51" ht="30" x14ac:dyDescent="0.25">
      <c r="A63" s="79">
        <v>197</v>
      </c>
      <c r="B63" s="79">
        <v>74</v>
      </c>
      <c r="C63" s="79">
        <v>257</v>
      </c>
      <c r="D63" s="79" t="s">
        <v>1972</v>
      </c>
      <c r="E63" s="79" t="s">
        <v>264</v>
      </c>
      <c r="F63" s="79">
        <v>1</v>
      </c>
      <c r="G63" s="206" t="s">
        <v>285</v>
      </c>
      <c r="H63" s="79">
        <v>1</v>
      </c>
      <c r="I63" s="79" t="s">
        <v>4339</v>
      </c>
      <c r="J63" s="79" t="s">
        <v>1118</v>
      </c>
      <c r="K63" s="208">
        <v>45378.363656562498</v>
      </c>
      <c r="M63" s="208">
        <v>45425.456721516202</v>
      </c>
      <c r="N63" s="79" t="s">
        <v>4442</v>
      </c>
      <c r="O63" s="79" t="s">
        <v>4347</v>
      </c>
      <c r="P63" s="79" t="s">
        <v>4348</v>
      </c>
      <c r="Q63" s="79" t="s">
        <v>4343</v>
      </c>
      <c r="R63" s="79">
        <v>33</v>
      </c>
      <c r="S63" s="79">
        <v>1</v>
      </c>
      <c r="T63" s="81">
        <v>76002.880000000005</v>
      </c>
      <c r="U63" s="81">
        <v>76002.880000000005</v>
      </c>
      <c r="V63" s="79" t="str">
        <f>INDEX(pARTNER[#All],MATCH(I_Miei_Rendiconti[[#This Row],[Column1.partnerId]],pARTNER[[#All],[Value.partnerSummary.id]],0),2)</f>
        <v>ENGREEN 2</v>
      </c>
      <c r="W63" s="79" t="b">
        <v>0</v>
      </c>
      <c r="X63" s="82">
        <f>I_Miei_Rendiconti[[#This Row],[Column1.totalAfterSubmitted]]-I_Miei_Rendiconti[[#This Row],[Column1.totalEligibleAfterControl]]</f>
        <v>0</v>
      </c>
      <c r="Y63" s="80">
        <f>IF(I_Miei_Rendiconti[[#This Row],[Column1.status]]="Certified",IFERROR(I_Miei_Rendiconti[[#This Row],[Financial corection]]/I_Miei_Rendiconti[[#This Row],[Column1.totalAfterSubmitted]],0),"Rendiconto da certificare")</f>
        <v>0</v>
      </c>
      <c r="Z63" s="207" t="str">
        <f>IF(I_Miei_Rendiconti[[#This Row],[Column1.status]]&lt;&gt;"Certified",INDEX('Partner data'!DG:DQ,MATCH(I_Miei_Rendiconti[[#This Row],[Column1.partnerId]],'Partner data'!DG:DG,0),13),"Rendiconto CONVALIDATO")</f>
        <v>Rendiconto CONVALIDATO</v>
      </c>
      <c r="AA63"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63" s="81" t="str">
        <f>IF(OR(I_Miei_Rendiconti[[#This Row],[N. previouse validated report ]]="Rendiconto CONVALIDATO",I_Miei_Rendiconti[[#This Row],[N. previouse validated report ]]="NON è stato convalidato ancora nessun rendiconto"),"NON PERTINENTE","fai la fromula")</f>
        <v>NON PERTINENTE</v>
      </c>
      <c r="AC63"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63" s="2">
        <f>INDEX('Partner data'!DG:DJ,MATCH(I_Miei_Rendiconti[[#This Row],[Column1.partnerId]],'Partner data'!DG:DG,0),3)</f>
        <v>1</v>
      </c>
      <c r="AE63" t="str" cm="1">
        <f t="array" ref="AE63">INDEX('Varie Tabelle'!$A$37:$C$51,MATCH(1,(I_Miei_Rendiconti[[#This Row],[Column1.firstSubmission]]&gt;='Varie Tabelle'!$B$37:$B$51)*(I_Miei_Rendiconti[[#This Row],[Column1.firstSubmission]]&lt;'Varie Tabelle'!$C$37:$C$51),0),1)</f>
        <v>Finestra 2</v>
      </c>
      <c r="AF63" s="109">
        <f>INDEX('Varie Tabelle'!$A$37:$C$51,MATCH('MY-REPORT-MAIN'!AE63,'Varie Tabelle'!$A$37:$A$51,0),2)</f>
        <v>45352</v>
      </c>
      <c r="AG63" s="109">
        <f>INDEX('Partner data'!DG:DR,MATCH(I_Miei_Rendiconti[[#This Row],[Column1.partnerId]],'Partner data'!DG:DG,0),12)</f>
        <v>45170</v>
      </c>
      <c r="AH63" s="115">
        <f t="shared" si="0"/>
        <v>5.9848733969089114</v>
      </c>
      <c r="AI63" t="str" cm="1">
        <f t="array" ref="AI63">INDEX('Varie Tabelle'!$A$12:$C$22,MATCH(1,('MY-REPORT-MAIN'!AH63&gt;='Varie Tabelle'!$B$12:$B$22)*('MY-REPORT-MAIN'!AH63&lt;='Varie Tabelle'!$C$12:$C$22),0),1)</f>
        <v>Periodo-1</v>
      </c>
      <c r="AJ63" s="14">
        <f>INDEX('Partner data'!A:EC,MATCH(I_Miei_Rendiconti[[#This Row],[Column1.partnerId]],'Partner data'!DG:DG,0),MATCH('MY-REPORT-MAIN'!AI63,'Partner data'!$2:$2,0))</f>
        <v>60673</v>
      </c>
      <c r="AK63" s="10">
        <f>SUMIFS($U$2:U63,$C$2:C63,I_Miei_Rendiconti[[#This Row],[Column1.partnerId]])-AJ63</f>
        <v>15329.880000000005</v>
      </c>
      <c r="AL63" s="16">
        <f>IFERROR(1-(I_Miei_Rendiconti[[#This Row],[Column1.totalAfterSubmitted]]/AJ63),0)</f>
        <v>-0.25266395266428243</v>
      </c>
      <c r="AM63" s="14">
        <f>INDEX('Partner data'!A:EB,MATCH(I_Miei_Rendiconti[[#This Row],[Column1.partnerId]],'Partner data'!DG:DG,0),44)</f>
        <v>267503</v>
      </c>
      <c r="AN63" s="14">
        <f>SUMIFS(ListOfExpenditure!AP:AP,ListOfExpenditure!AJ:AJ,I_Miei_Rendiconti[[#This Row],[Column1.id]])</f>
        <v>0</v>
      </c>
      <c r="AO63" s="148">
        <f>SUMIFS(ReportSubmittedBL!W:W,ReportSubmittedBL!D:D,I_Miei_Rendiconti[[#This Row],[Column1.id]])</f>
        <v>16</v>
      </c>
      <c r="AP63" s="155" cm="1">
        <f t="array" ref="AP63">INDEX('Weight tables'!$A$32:$C$36,MATCH(1,('MY-REPORT-MAIN'!AO63&gt;='Weight tables'!$B$32:$B$36)*('MY-REPORT-MAIN'!AO63&lt;='Weight tables'!$C$32:$C$36),0),1)</f>
        <v>8.4</v>
      </c>
      <c r="AQ63" s="155">
        <f>INDEX('Weight tables'!$A$39:$B$41,MATCH(I_Miei_Rendiconti[[#This Row],[Previouse Report checked?yes/no]],'Weight tables'!$B$39:$B$41,0),1)</f>
        <v>8.4</v>
      </c>
      <c r="AR63" s="155" cm="1">
        <f t="array" ref="AR63">IF(I_Miei_Rendiconti[[#This Row],[Sum of errors in previous report ]]="NON PERTINENTE",0,INDEX('Weight tables'!$A$43:$C$46,MATCH(1,(I_Miei_Rendiconti[[#This Row],[Sum of errors in previous report ]]&gt;='Weight tables'!$B$43:$B$46)*(I_Miei_Rendiconti[[#This Row],[Sum of errors in previous report ]]&lt;='Weight tables'!$C$43:$C$46),0),1))</f>
        <v>0</v>
      </c>
      <c r="AS63" s="155" cm="1">
        <f t="array" ref="AS63">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63" s="155" cm="1">
        <f t="array" ref="AT63">INDEX('Weight tables'!$A$56:$C$65,MATCH(1,('MY-REPORT-MAIN'!U63&gt;='Weight tables'!$B$56:$B$65)*('MY-REPORT-MAIN'!U63&lt;='Weight tables'!$C$56:$C$65),0),1)</f>
        <v>7</v>
      </c>
      <c r="AU63" s="155" cm="1">
        <f t="array" ref="AU63">INDEX('Weight tables'!$A$68:$C$71,MATCH(1,('MY-REPORT-MAIN'!AL63&gt;='Weight tables'!$B$68:$B$71)*('MY-REPORT-MAIN'!AL63&lt;='Weight tables'!$C$68:$C$71),0),1)</f>
        <v>0</v>
      </c>
      <c r="AV63" s="155" cm="1">
        <f t="array" ref="AV63">INDEX('Weight tables'!$A$74:$C$78,MATCH(1,('MY-REPORT-MAIN'!AN63&gt;='Weight tables'!$B$74:$B$78)*('MY-REPORT-MAIN'!AN63&lt;='Weight tables'!$C$74:$C$78),0),1)</f>
        <v>0</v>
      </c>
      <c r="AW63" s="16">
        <f>IF(I_Miei_Rendiconti[[#This Row],[Column1.totalAfterSubmitted]]/AM63&gt;50%,"Checked",0)</f>
        <v>0</v>
      </c>
      <c r="AX63" s="155">
        <f t="shared" si="1"/>
        <v>23.8</v>
      </c>
      <c r="AY63" s="155" t="str">
        <f>INDEX('Partner data'!A:EB,MATCH(I_Miei_Rendiconti[[#This Row],[Column1.partnerId]],'Partner data'!DG:DG,0),92)</f>
        <v>Slovenija (SI)</v>
      </c>
    </row>
    <row r="64" spans="1:51" ht="30" x14ac:dyDescent="0.25">
      <c r="A64" s="79">
        <v>219</v>
      </c>
      <c r="B64" s="79">
        <v>36</v>
      </c>
      <c r="C64" s="79">
        <v>197</v>
      </c>
      <c r="D64" s="79" t="s">
        <v>943</v>
      </c>
      <c r="E64" s="79" t="s">
        <v>253</v>
      </c>
      <c r="F64" s="79">
        <v>3</v>
      </c>
      <c r="G64" s="206" t="s">
        <v>285</v>
      </c>
      <c r="H64" s="79">
        <v>1</v>
      </c>
      <c r="I64" s="79" t="s">
        <v>4339</v>
      </c>
      <c r="J64" s="79" t="s">
        <v>593</v>
      </c>
      <c r="K64" s="208">
        <v>45378.363702129631</v>
      </c>
      <c r="M64" s="208">
        <v>45421.348429976853</v>
      </c>
      <c r="N64" s="79" t="s">
        <v>4459</v>
      </c>
      <c r="O64" s="79" t="s">
        <v>4347</v>
      </c>
      <c r="P64" s="79" t="s">
        <v>4348</v>
      </c>
      <c r="Q64" s="79" t="s">
        <v>4343</v>
      </c>
      <c r="R64" s="79">
        <v>19</v>
      </c>
      <c r="S64" s="79">
        <v>1</v>
      </c>
      <c r="T64" s="81">
        <v>17832</v>
      </c>
      <c r="U64" s="81">
        <v>17832</v>
      </c>
      <c r="V64" s="79" t="str">
        <f>INDEX(pARTNER[#All],MATCH(I_Miei_Rendiconti[[#This Row],[Column1.partnerId]],pARTNER[[#All],[Value.partnerSummary.id]],0),2)</f>
        <v>E-NAT2CARE</v>
      </c>
      <c r="W64" s="79" t="b">
        <v>0</v>
      </c>
      <c r="X64" s="82">
        <f>I_Miei_Rendiconti[[#This Row],[Column1.totalAfterSubmitted]]-I_Miei_Rendiconti[[#This Row],[Column1.totalEligibleAfterControl]]</f>
        <v>0</v>
      </c>
      <c r="Y64" s="80">
        <f>IF(I_Miei_Rendiconti[[#This Row],[Column1.status]]="Certified",IFERROR(I_Miei_Rendiconti[[#This Row],[Financial corection]]/I_Miei_Rendiconti[[#This Row],[Column1.totalAfterSubmitted]],0),"Rendiconto da certificare")</f>
        <v>0</v>
      </c>
      <c r="Z64" s="207" t="str">
        <f>IF(I_Miei_Rendiconti[[#This Row],[Column1.status]]&lt;&gt;"Certified",INDEX('Partner data'!DG:DQ,MATCH(I_Miei_Rendiconti[[#This Row],[Column1.partnerId]],'Partner data'!DG:DG,0),13),"Rendiconto CONVALIDATO")</f>
        <v>Rendiconto CONVALIDATO</v>
      </c>
      <c r="AA64"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64" s="81" t="str">
        <f>IF(OR(I_Miei_Rendiconti[[#This Row],[N. previouse validated report ]]="Rendiconto CONVALIDATO",I_Miei_Rendiconti[[#This Row],[N. previouse validated report ]]="NON è stato convalidato ancora nessun rendiconto"),"NON PERTINENTE","fai la fromula")</f>
        <v>NON PERTINENTE</v>
      </c>
      <c r="AC64"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64" s="2">
        <f>INDEX('Partner data'!DG:DJ,MATCH(I_Miei_Rendiconti[[#This Row],[Column1.partnerId]],'Partner data'!DG:DG,0),3)</f>
        <v>1</v>
      </c>
      <c r="AE64" t="str" cm="1">
        <f t="array" ref="AE64">INDEX('Varie Tabelle'!$A$37:$C$51,MATCH(1,(I_Miei_Rendiconti[[#This Row],[Column1.firstSubmission]]&gt;='Varie Tabelle'!$B$37:$B$51)*(I_Miei_Rendiconti[[#This Row],[Column1.firstSubmission]]&lt;'Varie Tabelle'!$C$37:$C$51),0),1)</f>
        <v>Finestra 2</v>
      </c>
      <c r="AF64" s="109">
        <f>INDEX('Varie Tabelle'!$A$37:$C$51,MATCH('MY-REPORT-MAIN'!AE64,'Varie Tabelle'!$A$37:$A$51,0),2)</f>
        <v>45352</v>
      </c>
      <c r="AG64" s="109">
        <f>INDEX('Partner data'!DG:DR,MATCH(I_Miei_Rendiconti[[#This Row],[Column1.partnerId]],'Partner data'!DG:DG,0),12)</f>
        <v>45170</v>
      </c>
      <c r="AH64" s="115">
        <f t="shared" si="0"/>
        <v>5.9848733969089114</v>
      </c>
      <c r="AI64" t="str" cm="1">
        <f t="array" ref="AI64">INDEX('Varie Tabelle'!$A$12:$C$22,MATCH(1,('MY-REPORT-MAIN'!AH64&gt;='Varie Tabelle'!$B$12:$B$22)*('MY-REPORT-MAIN'!AH64&lt;='Varie Tabelle'!$C$12:$C$22),0),1)</f>
        <v>Periodo-1</v>
      </c>
      <c r="AJ64" s="14">
        <f>INDEX('Partner data'!A:EC,MATCH(I_Miei_Rendiconti[[#This Row],[Column1.partnerId]],'Partner data'!DG:DG,0),MATCH('MY-REPORT-MAIN'!AI64,'Partner data'!$2:$2,0))</f>
        <v>36270</v>
      </c>
      <c r="AK64" s="10">
        <f>SUMIFS($U$2:U64,$C$2:C64,I_Miei_Rendiconti[[#This Row],[Column1.partnerId]])-AJ64</f>
        <v>-18438</v>
      </c>
      <c r="AL64" s="16">
        <f>IFERROR(1-(I_Miei_Rendiconti[[#This Row],[Column1.totalAfterSubmitted]]/AJ64),0)</f>
        <v>0.50835401157981797</v>
      </c>
      <c r="AM64" s="14">
        <f>INDEX('Partner data'!A:EB,MATCH(I_Miei_Rendiconti[[#This Row],[Column1.partnerId]],'Partner data'!DG:DG,0),44)</f>
        <v>130000</v>
      </c>
      <c r="AN64" s="14">
        <f>SUMIFS(ListOfExpenditure!AP:AP,ListOfExpenditure!AJ:AJ,I_Miei_Rendiconti[[#This Row],[Column1.id]])</f>
        <v>0</v>
      </c>
      <c r="AO64" s="148">
        <f>SUMIFS(ReportSubmittedBL!W:W,ReportSubmittedBL!D:D,I_Miei_Rendiconti[[#This Row],[Column1.id]])</f>
        <v>16</v>
      </c>
      <c r="AP64" s="155" cm="1">
        <f t="array" ref="AP64">INDEX('Weight tables'!$A$32:$C$36,MATCH(1,('MY-REPORT-MAIN'!AO64&gt;='Weight tables'!$B$32:$B$36)*('MY-REPORT-MAIN'!AO64&lt;='Weight tables'!$C$32:$C$36),0),1)</f>
        <v>8.4</v>
      </c>
      <c r="AQ64" s="155">
        <f>INDEX('Weight tables'!$A$39:$B$41,MATCH(I_Miei_Rendiconti[[#This Row],[Previouse Report checked?yes/no]],'Weight tables'!$B$39:$B$41,0),1)</f>
        <v>8.4</v>
      </c>
      <c r="AR64" s="155" cm="1">
        <f t="array" ref="AR64">IF(I_Miei_Rendiconti[[#This Row],[Sum of errors in previous report ]]="NON PERTINENTE",0,INDEX('Weight tables'!$A$43:$C$46,MATCH(1,(I_Miei_Rendiconti[[#This Row],[Sum of errors in previous report ]]&gt;='Weight tables'!$B$43:$B$46)*(I_Miei_Rendiconti[[#This Row],[Sum of errors in previous report ]]&lt;='Weight tables'!$C$43:$C$46),0),1))</f>
        <v>0</v>
      </c>
      <c r="AS64" s="155" cm="1">
        <f t="array" ref="AS64">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64" s="155" cm="1">
        <f t="array" ref="AT64">INDEX('Weight tables'!$A$56:$C$65,MATCH(1,('MY-REPORT-MAIN'!U64&gt;='Weight tables'!$B$56:$B$65)*('MY-REPORT-MAIN'!U64&lt;='Weight tables'!$C$56:$C$65),0),1)</f>
        <v>1</v>
      </c>
      <c r="AU64" s="155" cm="1">
        <f t="array" ref="AU64">INDEX('Weight tables'!$A$68:$C$71,MATCH(1,('MY-REPORT-MAIN'!AL64&gt;='Weight tables'!$B$68:$B$71)*('MY-REPORT-MAIN'!AL64&lt;='Weight tables'!$C$68:$C$71),0),1)</f>
        <v>2</v>
      </c>
      <c r="AV64" s="155" cm="1">
        <f t="array" ref="AV64">INDEX('Weight tables'!$A$74:$C$78,MATCH(1,('MY-REPORT-MAIN'!AN64&gt;='Weight tables'!$B$74:$B$78)*('MY-REPORT-MAIN'!AN64&lt;='Weight tables'!$C$74:$C$78),0),1)</f>
        <v>0</v>
      </c>
      <c r="AW64" s="16">
        <f>IF(I_Miei_Rendiconti[[#This Row],[Column1.totalAfterSubmitted]]/AM64&gt;50%,"Checked",0)</f>
        <v>0</v>
      </c>
      <c r="AX64" s="155">
        <f t="shared" si="1"/>
        <v>19.8</v>
      </c>
      <c r="AY64" s="155" t="str">
        <f>INDEX('Partner data'!A:EB,MATCH(I_Miei_Rendiconti[[#This Row],[Column1.partnerId]],'Partner data'!DG:DG,0),92)</f>
        <v>Slovenija (SI)</v>
      </c>
    </row>
    <row r="65" spans="1:51" ht="30" x14ac:dyDescent="0.25">
      <c r="A65" s="79">
        <v>244</v>
      </c>
      <c r="B65" s="79">
        <v>92</v>
      </c>
      <c r="C65" s="79">
        <v>325</v>
      </c>
      <c r="D65" s="79" t="s">
        <v>2433</v>
      </c>
      <c r="E65" s="79" t="s">
        <v>253</v>
      </c>
      <c r="F65" s="79">
        <v>11</v>
      </c>
      <c r="G65" s="206" t="s">
        <v>69</v>
      </c>
      <c r="H65" s="79">
        <v>2</v>
      </c>
      <c r="I65" s="79" t="s">
        <v>4339</v>
      </c>
      <c r="J65" s="79" t="s">
        <v>2435</v>
      </c>
      <c r="K65" s="208">
        <v>45378.446597650465</v>
      </c>
      <c r="M65" s="208">
        <v>45434.70783767361</v>
      </c>
      <c r="N65" s="79" t="s">
        <v>4477</v>
      </c>
      <c r="O65" s="79" t="s">
        <v>4352</v>
      </c>
      <c r="P65" s="79" t="s">
        <v>4348</v>
      </c>
      <c r="Q65" s="79" t="s">
        <v>4343</v>
      </c>
      <c r="R65" s="79">
        <v>41</v>
      </c>
      <c r="S65" s="79">
        <v>2</v>
      </c>
      <c r="T65" s="81">
        <v>61000.26</v>
      </c>
      <c r="U65" s="81">
        <v>61000.26</v>
      </c>
      <c r="V65" s="79" t="str">
        <f>INDEX(pARTNER[#All],MATCH(I_Miei_Rendiconti[[#This Row],[Column1.partnerId]],pARTNER[[#All],[Value.partnerSummary.id]],0),2)</f>
        <v>KRAS-CARSO II</v>
      </c>
      <c r="W65" s="79" t="b">
        <v>0</v>
      </c>
      <c r="X65" s="82">
        <f>I_Miei_Rendiconti[[#This Row],[Column1.totalAfterSubmitted]]-I_Miei_Rendiconti[[#This Row],[Column1.totalEligibleAfterControl]]</f>
        <v>0</v>
      </c>
      <c r="Y65" s="80">
        <f>IF(I_Miei_Rendiconti[[#This Row],[Column1.status]]="Certified",IFERROR(I_Miei_Rendiconti[[#This Row],[Financial corection]]/I_Miei_Rendiconti[[#This Row],[Column1.totalAfterSubmitted]],0),"Rendiconto da certificare")</f>
        <v>0</v>
      </c>
      <c r="Z65" s="207" t="str">
        <f>IF(I_Miei_Rendiconti[[#This Row],[Column1.status]]&lt;&gt;"Certified",INDEX('Partner data'!DG:DQ,MATCH(I_Miei_Rendiconti[[#This Row],[Column1.partnerId]],'Partner data'!DG:DG,0),13),"Rendiconto CONVALIDATO")</f>
        <v>Rendiconto CONVALIDATO</v>
      </c>
      <c r="AA65"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65" s="81" t="str">
        <f>IF(OR(I_Miei_Rendiconti[[#This Row],[N. previouse validated report ]]="Rendiconto CONVALIDATO",I_Miei_Rendiconti[[#This Row],[N. previouse validated report ]]="NON è stato convalidato ancora nessun rendiconto"),"NON PERTINENTE","fai la fromula")</f>
        <v>NON PERTINENTE</v>
      </c>
      <c r="AC65"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65" s="2">
        <f>INDEX('Partner data'!DG:DJ,MATCH(I_Miei_Rendiconti[[#This Row],[Column1.partnerId]],'Partner data'!DG:DG,0),3)</f>
        <v>2</v>
      </c>
      <c r="AE65" t="str" cm="1">
        <f t="array" ref="AE65">INDEX('Varie Tabelle'!$A$37:$C$51,MATCH(1,(I_Miei_Rendiconti[[#This Row],[Column1.firstSubmission]]&gt;='Varie Tabelle'!$B$37:$B$51)*(I_Miei_Rendiconti[[#This Row],[Column1.firstSubmission]]&lt;'Varie Tabelle'!$C$37:$C$51),0),1)</f>
        <v>Finestra 2</v>
      </c>
      <c r="AF65" s="109">
        <f>INDEX('Varie Tabelle'!$A$37:$C$51,MATCH('MY-REPORT-MAIN'!AE65,'Varie Tabelle'!$A$37:$A$51,0),2)</f>
        <v>45352</v>
      </c>
      <c r="AG65" s="109">
        <f>INDEX('Partner data'!DG:DR,MATCH(I_Miei_Rendiconti[[#This Row],[Column1.partnerId]],'Partner data'!DG:DG,0),12)</f>
        <v>44927</v>
      </c>
      <c r="AH65" s="115">
        <f t="shared" si="0"/>
        <v>13.975665899375205</v>
      </c>
      <c r="AI65" t="str" cm="1">
        <f t="array" ref="AI65">INDEX('Varie Tabelle'!$A$12:$C$22,MATCH(1,('MY-REPORT-MAIN'!AH65&gt;='Varie Tabelle'!$B$12:$B$22)*('MY-REPORT-MAIN'!AH65&lt;='Varie Tabelle'!$C$12:$C$22),0),1)</f>
        <v>Periodo-2</v>
      </c>
      <c r="AJ65" s="14">
        <f>INDEX('Partner data'!A:EC,MATCH(I_Miei_Rendiconti[[#This Row],[Column1.partnerId]],'Partner data'!DG:DG,0),MATCH('MY-REPORT-MAIN'!AI65,'Partner data'!$2:$2,0))</f>
        <v>99019.47</v>
      </c>
      <c r="AK65" s="10">
        <f>SUMIFS($U$2:U65,$C$2:C65,I_Miei_Rendiconti[[#This Row],[Column1.partnerId]])-AJ65</f>
        <v>-1815.4700000000012</v>
      </c>
      <c r="AL65" s="16">
        <f>IFERROR(1-(I_Miei_Rendiconti[[#This Row],[Column1.totalAfterSubmitted]]/AJ65),0)</f>
        <v>0.38395691271625665</v>
      </c>
      <c r="AM65" s="14">
        <f>INDEX('Partner data'!A:EB,MATCH(I_Miei_Rendiconti[[#This Row],[Column1.partnerId]],'Partner data'!DG:DG,0),44)</f>
        <v>334200.09999999998</v>
      </c>
      <c r="AN65" s="14">
        <f>SUMIFS(ListOfExpenditure!AP:AP,ListOfExpenditure!AJ:AJ,I_Miei_Rendiconti[[#This Row],[Column1.id]])</f>
        <v>0</v>
      </c>
      <c r="AO65" s="148">
        <f>SUMIFS(ReportSubmittedBL!W:W,ReportSubmittedBL!D:D,I_Miei_Rendiconti[[#This Row],[Column1.id]])</f>
        <v>8</v>
      </c>
      <c r="AP65" s="155" cm="1">
        <f t="array" ref="AP65">INDEX('Weight tables'!$A$32:$C$36,MATCH(1,('MY-REPORT-MAIN'!AO65&gt;='Weight tables'!$B$32:$B$36)*('MY-REPORT-MAIN'!AO65&lt;='Weight tables'!$C$32:$C$36),0),1)</f>
        <v>6.3</v>
      </c>
      <c r="AQ65" s="155">
        <f>INDEX('Weight tables'!$A$39:$B$41,MATCH(I_Miei_Rendiconti[[#This Row],[Previouse Report checked?yes/no]],'Weight tables'!$B$39:$B$41,0),1)</f>
        <v>8.4</v>
      </c>
      <c r="AR65" s="155" cm="1">
        <f t="array" ref="AR65">IF(I_Miei_Rendiconti[[#This Row],[Sum of errors in previous report ]]="NON PERTINENTE",0,INDEX('Weight tables'!$A$43:$C$46,MATCH(1,(I_Miei_Rendiconti[[#This Row],[Sum of errors in previous report ]]&gt;='Weight tables'!$B$43:$B$46)*(I_Miei_Rendiconti[[#This Row],[Sum of errors in previous report ]]&lt;='Weight tables'!$C$43:$C$46),0),1))</f>
        <v>0</v>
      </c>
      <c r="AS65" s="155" cm="1">
        <f t="array" ref="AS65">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65" s="155" cm="1">
        <f t="array" ref="AT65">INDEX('Weight tables'!$A$56:$C$65,MATCH(1,('MY-REPORT-MAIN'!U65&gt;='Weight tables'!$B$56:$B$65)*('MY-REPORT-MAIN'!U65&lt;='Weight tables'!$C$56:$C$65),0),1)</f>
        <v>6</v>
      </c>
      <c r="AU65" s="155" cm="1">
        <f t="array" ref="AU65">INDEX('Weight tables'!$A$68:$C$71,MATCH(1,('MY-REPORT-MAIN'!AL65&gt;='Weight tables'!$B$68:$B$71)*('MY-REPORT-MAIN'!AL65&lt;='Weight tables'!$C$68:$C$71),0),1)</f>
        <v>2</v>
      </c>
      <c r="AV65" s="155" cm="1">
        <f t="array" ref="AV65">INDEX('Weight tables'!$A$74:$C$78,MATCH(1,('MY-REPORT-MAIN'!AN65&gt;='Weight tables'!$B$74:$B$78)*('MY-REPORT-MAIN'!AN65&lt;='Weight tables'!$C$74:$C$78),0),1)</f>
        <v>0</v>
      </c>
      <c r="AW65" s="16">
        <f>IF(I_Miei_Rendiconti[[#This Row],[Column1.totalAfterSubmitted]]/AM65&gt;50%,"Checked",0)</f>
        <v>0</v>
      </c>
      <c r="AX65" s="155">
        <f t="shared" si="1"/>
        <v>22.7</v>
      </c>
      <c r="AY65" s="155" t="str">
        <f>INDEX('Partner data'!A:EB,MATCH(I_Miei_Rendiconti[[#This Row],[Column1.partnerId]],'Partner data'!DG:DG,0),92)</f>
        <v>Italia (IT)</v>
      </c>
    </row>
    <row r="66" spans="1:51" ht="30" x14ac:dyDescent="0.25">
      <c r="A66" s="79">
        <v>298</v>
      </c>
      <c r="B66" s="79">
        <v>45</v>
      </c>
      <c r="C66" s="79">
        <v>195</v>
      </c>
      <c r="D66" s="79" t="s">
        <v>1197</v>
      </c>
      <c r="E66" s="79" t="s">
        <v>253</v>
      </c>
      <c r="F66" s="79">
        <v>5</v>
      </c>
      <c r="G66" s="206" t="s">
        <v>0</v>
      </c>
      <c r="H66" s="79">
        <v>1</v>
      </c>
      <c r="I66" s="79" t="s">
        <v>4339</v>
      </c>
      <c r="J66" s="79" t="s">
        <v>490</v>
      </c>
      <c r="K66" s="208">
        <v>45378.460057025462</v>
      </c>
      <c r="M66" s="208">
        <v>45425.633203564816</v>
      </c>
      <c r="N66" s="79" t="s">
        <v>4519</v>
      </c>
      <c r="O66" s="79" t="s">
        <v>4345</v>
      </c>
      <c r="P66" s="79" t="s">
        <v>4348</v>
      </c>
      <c r="Q66" s="79" t="s">
        <v>4343</v>
      </c>
      <c r="R66" s="79">
        <v>38</v>
      </c>
      <c r="S66" s="79">
        <v>1</v>
      </c>
      <c r="T66" s="81">
        <v>6752.06</v>
      </c>
      <c r="U66" s="81">
        <v>6752.06</v>
      </c>
      <c r="V66" s="79" t="str">
        <f>INDEX(pARTNER[#All],MATCH(I_Miei_Rendiconti[[#This Row],[Column1.partnerId]],pARTNER[[#All],[Value.partnerSummary.id]],0),2)</f>
        <v>GRENNAT</v>
      </c>
      <c r="W66" s="79" t="b">
        <v>0</v>
      </c>
      <c r="X66" s="82">
        <f>I_Miei_Rendiconti[[#This Row],[Column1.totalAfterSubmitted]]-I_Miei_Rendiconti[[#This Row],[Column1.totalEligibleAfterControl]]</f>
        <v>0</v>
      </c>
      <c r="Y66" s="80">
        <f>IF(I_Miei_Rendiconti[[#This Row],[Column1.status]]="Certified",IFERROR(I_Miei_Rendiconti[[#This Row],[Financial corection]]/I_Miei_Rendiconti[[#This Row],[Column1.totalAfterSubmitted]],0),"Rendiconto da certificare")</f>
        <v>0</v>
      </c>
      <c r="Z66" s="207" t="str">
        <f>IF(I_Miei_Rendiconti[[#This Row],[Column1.status]]&lt;&gt;"Certified",INDEX('Partner data'!DG:DQ,MATCH(I_Miei_Rendiconti[[#This Row],[Column1.partnerId]],'Partner data'!DG:DG,0),13),"Rendiconto CONVALIDATO")</f>
        <v>Rendiconto CONVALIDATO</v>
      </c>
      <c r="AA66"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66" s="81" t="str">
        <f>IF(OR(I_Miei_Rendiconti[[#This Row],[N. previouse validated report ]]="Rendiconto CONVALIDATO",I_Miei_Rendiconti[[#This Row],[N. previouse validated report ]]="NON è stato convalidato ancora nessun rendiconto"),"NON PERTINENTE","fai la fromula")</f>
        <v>NON PERTINENTE</v>
      </c>
      <c r="AC66"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66" s="2">
        <f>INDEX('Partner data'!DG:DJ,MATCH(I_Miei_Rendiconti[[#This Row],[Column1.partnerId]],'Partner data'!DG:DG,0),3)</f>
        <v>1</v>
      </c>
      <c r="AE66" t="str" cm="1">
        <f t="array" ref="AE66">INDEX('Varie Tabelle'!$A$37:$C$51,MATCH(1,(I_Miei_Rendiconti[[#This Row],[Column1.firstSubmission]]&gt;='Varie Tabelle'!$B$37:$B$51)*(I_Miei_Rendiconti[[#This Row],[Column1.firstSubmission]]&lt;'Varie Tabelle'!$C$37:$C$51),0),1)</f>
        <v>Finestra 2</v>
      </c>
      <c r="AF66" s="109">
        <f>INDEX('Varie Tabelle'!$A$37:$C$51,MATCH('MY-REPORT-MAIN'!AE66,'Varie Tabelle'!$A$37:$A$51,0),2)</f>
        <v>45352</v>
      </c>
      <c r="AG66" s="109">
        <f>INDEX('Partner data'!DG:DR,MATCH(I_Miei_Rendiconti[[#This Row],[Column1.partnerId]],'Partner data'!DG:DG,0),12)</f>
        <v>45108</v>
      </c>
      <c r="AH66" s="115">
        <f>(AF66-AG66)/30.41</f>
        <v>8.0236764222295296</v>
      </c>
      <c r="AI66" t="str" cm="1">
        <f t="array" ref="AI66">INDEX('Varie Tabelle'!$A$12:$C$22,MATCH(1,('MY-REPORT-MAIN'!AH66&gt;='Varie Tabelle'!$B$12:$B$22)*('MY-REPORT-MAIN'!AH66&lt;='Varie Tabelle'!$C$12:$C$22),0),1)</f>
        <v>Periodo-1</v>
      </c>
      <c r="AJ66" s="14">
        <f>INDEX('Partner data'!A:EC,MATCH(I_Miei_Rendiconti[[#This Row],[Column1.partnerId]],'Partner data'!DG:DG,0),MATCH('MY-REPORT-MAIN'!AI66,'Partner data'!$2:$2,0))</f>
        <v>43941.279999999999</v>
      </c>
      <c r="AK66" s="10">
        <f>SUMIFS($U$2:U66,$C$2:C66,I_Miei_Rendiconti[[#This Row],[Column1.partnerId]])-AJ66</f>
        <v>-37189.22</v>
      </c>
      <c r="AL66" s="16">
        <f>IFERROR(1-(I_Miei_Rendiconti[[#This Row],[Column1.totalAfterSubmitted]]/AJ66),0)</f>
        <v>0.84633902335116318</v>
      </c>
      <c r="AM66" s="14">
        <f>INDEX('Partner data'!A:EB,MATCH(I_Miei_Rendiconti[[#This Row],[Column1.partnerId]],'Partner data'!DG:DG,0),44)</f>
        <v>119109.78</v>
      </c>
      <c r="AN66" s="14">
        <f>SUMIFS(ListOfExpenditure!AP:AP,ListOfExpenditure!AJ:AJ,I_Miei_Rendiconti[[#This Row],[Column1.id]])</f>
        <v>0</v>
      </c>
      <c r="AO66" s="148">
        <f>SUMIFS(ReportSubmittedBL!W:W,ReportSubmittedBL!D:D,I_Miei_Rendiconti[[#This Row],[Column1.id]])</f>
        <v>10</v>
      </c>
      <c r="AP66" s="155" cm="1">
        <f t="array" ref="AP66">INDEX('Weight tables'!$A$32:$C$36,MATCH(1,('MY-REPORT-MAIN'!AO66&gt;='Weight tables'!$B$32:$B$36)*('MY-REPORT-MAIN'!AO66&lt;='Weight tables'!$C$32:$C$36),0),1)</f>
        <v>8.4</v>
      </c>
      <c r="AQ66" s="155">
        <f>INDEX('Weight tables'!$A$39:$B$41,MATCH(I_Miei_Rendiconti[[#This Row],[Previouse Report checked?yes/no]],'Weight tables'!$B$39:$B$41,0),1)</f>
        <v>8.4</v>
      </c>
      <c r="AR66" s="155" cm="1">
        <f t="array" ref="AR66">IF(I_Miei_Rendiconti[[#This Row],[Sum of errors in previous report ]]="NON PERTINENTE",0,INDEX('Weight tables'!$A$43:$C$46,MATCH(1,(I_Miei_Rendiconti[[#This Row],[Sum of errors in previous report ]]&gt;='Weight tables'!$B$43:$B$46)*(I_Miei_Rendiconti[[#This Row],[Sum of errors in previous report ]]&lt;='Weight tables'!$C$43:$C$46),0),1))</f>
        <v>0</v>
      </c>
      <c r="AS66" s="155" cm="1">
        <f t="array" ref="AS66">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66" s="155" cm="1">
        <f t="array" ref="AT66">INDEX('Weight tables'!$A$56:$C$65,MATCH(1,('MY-REPORT-MAIN'!U66&gt;='Weight tables'!$B$56:$B$65)*('MY-REPORT-MAIN'!U66&lt;='Weight tables'!$C$56:$C$65),0),1)</f>
        <v>0</v>
      </c>
      <c r="AU66" s="155" cm="1">
        <f t="array" ref="AU66">INDEX('Weight tables'!$A$68:$C$71,MATCH(1,('MY-REPORT-MAIN'!AL66&gt;='Weight tables'!$B$68:$B$71)*('MY-REPORT-MAIN'!AL66&lt;='Weight tables'!$C$68:$C$71),0),1)</f>
        <v>2</v>
      </c>
      <c r="AV66" s="155" cm="1">
        <f t="array" ref="AV66">INDEX('Weight tables'!$A$74:$C$78,MATCH(1,('MY-REPORT-MAIN'!AN66&gt;='Weight tables'!$B$74:$B$78)*('MY-REPORT-MAIN'!AN66&lt;='Weight tables'!$C$74:$C$78),0),1)</f>
        <v>0</v>
      </c>
      <c r="AW66" s="16">
        <f>IF(I_Miei_Rendiconti[[#This Row],[Column1.totalAfterSubmitted]]/AM66&gt;50%,"Checked",0)</f>
        <v>0</v>
      </c>
      <c r="AX66" s="155">
        <f t="shared" si="1"/>
        <v>18.8</v>
      </c>
      <c r="AY66" s="155" t="str">
        <f>INDEX('Partner data'!A:EB,MATCH(I_Miei_Rendiconti[[#This Row],[Column1.partnerId]],'Partner data'!DG:DG,0),92)</f>
        <v>Italia (IT)</v>
      </c>
    </row>
    <row r="67" spans="1:51" ht="30" x14ac:dyDescent="0.25">
      <c r="A67" s="79">
        <v>268</v>
      </c>
      <c r="B67" s="79">
        <v>53</v>
      </c>
      <c r="C67" s="79">
        <v>174</v>
      </c>
      <c r="D67" s="79" t="s">
        <v>1364</v>
      </c>
      <c r="E67" s="79" t="s">
        <v>253</v>
      </c>
      <c r="F67" s="79">
        <v>6</v>
      </c>
      <c r="G67" s="206" t="s">
        <v>0</v>
      </c>
      <c r="H67" s="79">
        <v>1</v>
      </c>
      <c r="I67" s="79" t="s">
        <v>4339</v>
      </c>
      <c r="J67" s="79" t="s">
        <v>490</v>
      </c>
      <c r="K67" s="208">
        <v>45378.466968842593</v>
      </c>
      <c r="M67" s="208">
        <v>45434.73088314815</v>
      </c>
      <c r="N67" s="79" t="s">
        <v>4496</v>
      </c>
      <c r="O67" s="79" t="s">
        <v>4347</v>
      </c>
      <c r="P67" s="79" t="s">
        <v>4348</v>
      </c>
      <c r="Q67" s="79" t="s">
        <v>4343</v>
      </c>
      <c r="R67" s="79">
        <v>31</v>
      </c>
      <c r="S67" s="79">
        <v>1</v>
      </c>
      <c r="T67" s="81">
        <v>23900.799999999999</v>
      </c>
      <c r="U67" s="81">
        <v>24166.799999999999</v>
      </c>
      <c r="V67" s="79" t="str">
        <f>INDEX(pARTNER[#All],MATCH(I_Miei_Rendiconti[[#This Row],[Column1.partnerId]],pARTNER[[#All],[Value.partnerSummary.id]],0),2)</f>
        <v>ECO2SMART</v>
      </c>
      <c r="W67" s="79" t="b">
        <v>0</v>
      </c>
      <c r="X67" s="82">
        <f>I_Miei_Rendiconti[[#This Row],[Column1.totalAfterSubmitted]]-I_Miei_Rendiconti[[#This Row],[Column1.totalEligibleAfterControl]]</f>
        <v>266</v>
      </c>
      <c r="Y67" s="80">
        <f>IF(I_Miei_Rendiconti[[#This Row],[Column1.status]]="Certified",IFERROR(I_Miei_Rendiconti[[#This Row],[Financial corection]]/I_Miei_Rendiconti[[#This Row],[Column1.totalAfterSubmitted]],0),"Rendiconto da certificare")</f>
        <v>1.1006835824354072E-2</v>
      </c>
      <c r="Z67" s="207" t="str">
        <f>IF(I_Miei_Rendiconti[[#This Row],[Column1.status]]&lt;&gt;"Certified",INDEX('Partner data'!DG:DQ,MATCH(I_Miei_Rendiconti[[#This Row],[Column1.partnerId]],'Partner data'!DG:DG,0),13),"Rendiconto CONVALIDATO")</f>
        <v>Rendiconto CONVALIDATO</v>
      </c>
      <c r="AA67"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67" s="81" t="str">
        <f>IF(OR(I_Miei_Rendiconti[[#This Row],[N. previouse validated report ]]="Rendiconto CONVALIDATO",I_Miei_Rendiconti[[#This Row],[N. previouse validated report ]]="NON è stato convalidato ancora nessun rendiconto"),"NON PERTINENTE","fai la fromula")</f>
        <v>NON PERTINENTE</v>
      </c>
      <c r="AC67"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67" s="2">
        <f>INDEX('Partner data'!DG:DJ,MATCH(I_Miei_Rendiconti[[#This Row],[Column1.partnerId]],'Partner data'!DG:DG,0),3)</f>
        <v>1</v>
      </c>
      <c r="AE67" t="str" cm="1">
        <f t="array" ref="AE67">INDEX('Varie Tabelle'!$A$37:$C$51,MATCH(1,(I_Miei_Rendiconti[[#This Row],[Column1.firstSubmission]]&gt;='Varie Tabelle'!$B$37:$B$51)*(I_Miei_Rendiconti[[#This Row],[Column1.firstSubmission]]&lt;'Varie Tabelle'!$C$37:$C$51),0),1)</f>
        <v>Finestra 2</v>
      </c>
      <c r="AF67" s="109">
        <f>INDEX('Varie Tabelle'!$A$37:$C$51,MATCH('MY-REPORT-MAIN'!AE67,'Varie Tabelle'!$A$37:$A$51,0),2)</f>
        <v>45352</v>
      </c>
      <c r="AG67" s="109">
        <f>INDEX('Partner data'!DG:DR,MATCH(I_Miei_Rendiconti[[#This Row],[Column1.partnerId]],'Partner data'!DG:DG,0),12)</f>
        <v>45170</v>
      </c>
      <c r="AH67" s="115">
        <f t="shared" ref="AH67:AH130" si="2">(AF67-AG67)/30.41</f>
        <v>5.9848733969089114</v>
      </c>
      <c r="AI67" t="str" cm="1">
        <f t="array" ref="AI67">INDEX('Varie Tabelle'!$A$12:$C$22,MATCH(1,('MY-REPORT-MAIN'!AH67&gt;='Varie Tabelle'!$B$12:$B$22)*('MY-REPORT-MAIN'!AH67&lt;='Varie Tabelle'!$C$12:$C$22),0),1)</f>
        <v>Periodo-1</v>
      </c>
      <c r="AJ67" s="14">
        <f>INDEX('Partner data'!A:EC,MATCH(I_Miei_Rendiconti[[#This Row],[Column1.partnerId]],'Partner data'!DG:DG,0),MATCH('MY-REPORT-MAIN'!AI67,'Partner data'!$2:$2,0))</f>
        <v>24166.799999999999</v>
      </c>
      <c r="AK67" s="10">
        <f>SUMIFS($U$2:U67,$C$2:C67,I_Miei_Rendiconti[[#This Row],[Column1.partnerId]])-AJ67</f>
        <v>0</v>
      </c>
      <c r="AL67" s="16">
        <f>IFERROR(1-(I_Miei_Rendiconti[[#This Row],[Column1.totalAfterSubmitted]]/AJ67),0)</f>
        <v>0</v>
      </c>
      <c r="AM67" s="14">
        <f>INDEX('Partner data'!A:EB,MATCH(I_Miei_Rendiconti[[#This Row],[Column1.partnerId]],'Partner data'!DG:DG,0),44)</f>
        <v>99976.8</v>
      </c>
      <c r="AN67" s="14">
        <f>SUMIFS(ListOfExpenditure!AP:AP,ListOfExpenditure!AJ:AJ,I_Miei_Rendiconti[[#This Row],[Column1.id]])</f>
        <v>0</v>
      </c>
      <c r="AO67" s="148">
        <f>SUMIFS(ReportSubmittedBL!W:W,ReportSubmittedBL!D:D,I_Miei_Rendiconti[[#This Row],[Column1.id]])</f>
        <v>6</v>
      </c>
      <c r="AP67" s="155" cm="1">
        <f t="array" ref="AP67">INDEX('Weight tables'!$A$32:$C$36,MATCH(1,('MY-REPORT-MAIN'!AO67&gt;='Weight tables'!$B$32:$B$36)*('MY-REPORT-MAIN'!AO67&lt;='Weight tables'!$C$32:$C$36),0),1)</f>
        <v>4.2</v>
      </c>
      <c r="AQ67" s="155">
        <f>INDEX('Weight tables'!$A$39:$B$41,MATCH(I_Miei_Rendiconti[[#This Row],[Previouse Report checked?yes/no]],'Weight tables'!$B$39:$B$41,0),1)</f>
        <v>8.4</v>
      </c>
      <c r="AR67" s="155" cm="1">
        <f t="array" ref="AR67">IF(I_Miei_Rendiconti[[#This Row],[Sum of errors in previous report ]]="NON PERTINENTE",0,INDEX('Weight tables'!$A$43:$C$46,MATCH(1,(I_Miei_Rendiconti[[#This Row],[Sum of errors in previous report ]]&gt;='Weight tables'!$B$43:$B$46)*(I_Miei_Rendiconti[[#This Row],[Sum of errors in previous report ]]&lt;='Weight tables'!$C$43:$C$46),0),1))</f>
        <v>0</v>
      </c>
      <c r="AS67" s="155" cm="1">
        <f t="array" ref="AS67">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67" s="155" cm="1">
        <f t="array" ref="AT67">INDEX('Weight tables'!$A$56:$C$65,MATCH(1,('MY-REPORT-MAIN'!U67&gt;='Weight tables'!$B$56:$B$65)*('MY-REPORT-MAIN'!U67&lt;='Weight tables'!$C$56:$C$65),0),1)</f>
        <v>2</v>
      </c>
      <c r="AU67" s="155" cm="1">
        <f t="array" ref="AU67">INDEX('Weight tables'!$A$68:$C$71,MATCH(1,('MY-REPORT-MAIN'!AL67&gt;='Weight tables'!$B$68:$B$71)*('MY-REPORT-MAIN'!AL67&lt;='Weight tables'!$C$68:$C$71),0),1)</f>
        <v>0</v>
      </c>
      <c r="AV67" s="155" cm="1">
        <f t="array" ref="AV67">INDEX('Weight tables'!$A$74:$C$78,MATCH(1,('MY-REPORT-MAIN'!AN67&gt;='Weight tables'!$B$74:$B$78)*('MY-REPORT-MAIN'!AN67&lt;='Weight tables'!$C$74:$C$78),0),1)</f>
        <v>0</v>
      </c>
      <c r="AW67" s="16">
        <f>IF(I_Miei_Rendiconti[[#This Row],[Column1.totalAfterSubmitted]]/AM67&gt;50%,"Checked",0)</f>
        <v>0</v>
      </c>
      <c r="AX67" s="155">
        <f t="shared" ref="AX67:AX130" si="3">SUM(AP67:AV67)</f>
        <v>14.600000000000001</v>
      </c>
      <c r="AY67" s="155" t="str">
        <f>INDEX('Partner data'!A:EB,MATCH(I_Miei_Rendiconti[[#This Row],[Column1.partnerId]],'Partner data'!DG:DG,0),92)</f>
        <v>Italia (IT)</v>
      </c>
    </row>
    <row r="68" spans="1:51" ht="30" x14ac:dyDescent="0.25">
      <c r="A68" s="79">
        <v>274</v>
      </c>
      <c r="B68" s="79">
        <v>91</v>
      </c>
      <c r="C68" s="79">
        <v>305</v>
      </c>
      <c r="D68" s="79" t="s">
        <v>2561</v>
      </c>
      <c r="E68" s="79" t="s">
        <v>253</v>
      </c>
      <c r="F68" s="79">
        <v>3</v>
      </c>
      <c r="G68" s="206" t="s">
        <v>0</v>
      </c>
      <c r="H68" s="79">
        <v>2</v>
      </c>
      <c r="I68" s="79" t="s">
        <v>4339</v>
      </c>
      <c r="J68" s="79" t="s">
        <v>2563</v>
      </c>
      <c r="K68" s="208">
        <v>45378.48422366898</v>
      </c>
      <c r="M68" s="208">
        <v>45469.658434108795</v>
      </c>
      <c r="N68" s="79" t="s">
        <v>4503</v>
      </c>
      <c r="O68" s="79" t="s">
        <v>4363</v>
      </c>
      <c r="P68" s="79" t="s">
        <v>4348</v>
      </c>
      <c r="Q68" s="79" t="s">
        <v>4343</v>
      </c>
      <c r="R68" s="79">
        <v>36</v>
      </c>
      <c r="S68" s="79">
        <v>2</v>
      </c>
      <c r="T68" s="81">
        <v>26253.52</v>
      </c>
      <c r="U68" s="81">
        <v>26577.200000000001</v>
      </c>
      <c r="V68" s="79" t="str">
        <f>INDEX(pARTNER[#All],MATCH(I_Miei_Rendiconti[[#This Row],[Column1.partnerId]],pARTNER[[#All],[Value.partnerSummary.id]],0),2)</f>
        <v>POSEIDONE</v>
      </c>
      <c r="W68" s="79" t="b">
        <v>0</v>
      </c>
      <c r="X68" s="82">
        <f>I_Miei_Rendiconti[[#This Row],[Column1.totalAfterSubmitted]]-I_Miei_Rendiconti[[#This Row],[Column1.totalEligibleAfterControl]]</f>
        <v>323.68000000000029</v>
      </c>
      <c r="Y68" s="80">
        <f>IF(I_Miei_Rendiconti[[#This Row],[Column1.status]]="Certified",IFERROR(I_Miei_Rendiconti[[#This Row],[Financial corection]]/I_Miei_Rendiconti[[#This Row],[Column1.totalAfterSubmitted]],0),"Rendiconto da certificare")</f>
        <v>1.2178860075553492E-2</v>
      </c>
      <c r="Z68" s="207" t="str">
        <f>IF(I_Miei_Rendiconti[[#This Row],[Column1.status]]&lt;&gt;"Certified",INDEX('Partner data'!DG:DQ,MATCH(I_Miei_Rendiconti[[#This Row],[Column1.partnerId]],'Partner data'!DG:DG,0),13),"Rendiconto CONVALIDATO")</f>
        <v>Rendiconto CONVALIDATO</v>
      </c>
      <c r="AA68"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68" s="81" t="str">
        <f>IF(OR(I_Miei_Rendiconti[[#This Row],[N. previouse validated report ]]="Rendiconto CONVALIDATO",I_Miei_Rendiconti[[#This Row],[N. previouse validated report ]]="NON è stato convalidato ancora nessun rendiconto"),"NON PERTINENTE","fai la fromula")</f>
        <v>NON PERTINENTE</v>
      </c>
      <c r="AC68"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68" s="2">
        <f>INDEX('Partner data'!DG:DJ,MATCH(I_Miei_Rendiconti[[#This Row],[Column1.partnerId]],'Partner data'!DG:DG,0),3)</f>
        <v>2</v>
      </c>
      <c r="AE68" t="str" cm="1">
        <f t="array" ref="AE68">INDEX('Varie Tabelle'!$A$37:$C$51,MATCH(1,(I_Miei_Rendiconti[[#This Row],[Column1.firstSubmission]]&gt;='Varie Tabelle'!$B$37:$B$51)*(I_Miei_Rendiconti[[#This Row],[Column1.firstSubmission]]&lt;'Varie Tabelle'!$C$37:$C$51),0),1)</f>
        <v>Finestra 2</v>
      </c>
      <c r="AF68" s="109">
        <f>INDEX('Varie Tabelle'!$A$37:$C$51,MATCH('MY-REPORT-MAIN'!AE68,'Varie Tabelle'!$A$37:$A$51,0),2)</f>
        <v>45352</v>
      </c>
      <c r="AG68" s="109">
        <f>INDEX('Partner data'!DG:DR,MATCH(I_Miei_Rendiconti[[#This Row],[Column1.partnerId]],'Partner data'!DG:DG,0),12)</f>
        <v>44927</v>
      </c>
      <c r="AH68" s="115">
        <f t="shared" si="2"/>
        <v>13.975665899375205</v>
      </c>
      <c r="AI68" t="str" cm="1">
        <f t="array" ref="AI68">INDEX('Varie Tabelle'!$A$12:$C$22,MATCH(1,('MY-REPORT-MAIN'!AH68&gt;='Varie Tabelle'!$B$12:$B$22)*('MY-REPORT-MAIN'!AH68&lt;='Varie Tabelle'!$C$12:$C$22),0),1)</f>
        <v>Periodo-2</v>
      </c>
      <c r="AJ68" s="14">
        <f>INDEX('Partner data'!A:EC,MATCH(I_Miei_Rendiconti[[#This Row],[Column1.partnerId]],'Partner data'!DG:DG,0),MATCH('MY-REPORT-MAIN'!AI68,'Partner data'!$2:$2,0))</f>
        <v>48621.95</v>
      </c>
      <c r="AK68" s="10">
        <f>SUMIFS($U$2:U68,$C$2:C68,I_Miei_Rendiconti[[#This Row],[Column1.partnerId]])-AJ68</f>
        <v>0</v>
      </c>
      <c r="AL68" s="16">
        <f>IFERROR(1-(I_Miei_Rendiconti[[#This Row],[Column1.totalAfterSubmitted]]/AJ68),0)</f>
        <v>0.45339090678181349</v>
      </c>
      <c r="AM68" s="14">
        <f>INDEX('Partner data'!A:EB,MATCH(I_Miei_Rendiconti[[#This Row],[Column1.partnerId]],'Partner data'!DG:DG,0),44)</f>
        <v>437500</v>
      </c>
      <c r="AN68" s="14">
        <f>SUMIFS(ListOfExpenditure!AP:AP,ListOfExpenditure!AJ:AJ,I_Miei_Rendiconti[[#This Row],[Column1.id]])</f>
        <v>0</v>
      </c>
      <c r="AO68" s="148">
        <f>SUMIFS(ReportSubmittedBL!W:W,ReportSubmittedBL!D:D,I_Miei_Rendiconti[[#This Row],[Column1.id]])</f>
        <v>10</v>
      </c>
      <c r="AP68" s="155" cm="1">
        <f t="array" ref="AP68">INDEX('Weight tables'!$A$32:$C$36,MATCH(1,('MY-REPORT-MAIN'!AO68&gt;='Weight tables'!$B$32:$B$36)*('MY-REPORT-MAIN'!AO68&lt;='Weight tables'!$C$32:$C$36),0),1)</f>
        <v>8.4</v>
      </c>
      <c r="AQ68" s="155">
        <f>INDEX('Weight tables'!$A$39:$B$41,MATCH(I_Miei_Rendiconti[[#This Row],[Previouse Report checked?yes/no]],'Weight tables'!$B$39:$B$41,0),1)</f>
        <v>8.4</v>
      </c>
      <c r="AR68" s="155" cm="1">
        <f t="array" ref="AR68">IF(I_Miei_Rendiconti[[#This Row],[Sum of errors in previous report ]]="NON PERTINENTE",0,INDEX('Weight tables'!$A$43:$C$46,MATCH(1,(I_Miei_Rendiconti[[#This Row],[Sum of errors in previous report ]]&gt;='Weight tables'!$B$43:$B$46)*(I_Miei_Rendiconti[[#This Row],[Sum of errors in previous report ]]&lt;='Weight tables'!$C$43:$C$46),0),1))</f>
        <v>0</v>
      </c>
      <c r="AS68" s="155" cm="1">
        <f t="array" ref="AS68">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68" s="155" cm="1">
        <f t="array" ref="AT68">INDEX('Weight tables'!$A$56:$C$65,MATCH(1,('MY-REPORT-MAIN'!U68&gt;='Weight tables'!$B$56:$B$65)*('MY-REPORT-MAIN'!U68&lt;='Weight tables'!$C$56:$C$65),0),1)</f>
        <v>2</v>
      </c>
      <c r="AU68" s="155" cm="1">
        <f t="array" ref="AU68">INDEX('Weight tables'!$A$68:$C$71,MATCH(1,('MY-REPORT-MAIN'!AL68&gt;='Weight tables'!$B$68:$B$71)*('MY-REPORT-MAIN'!AL68&lt;='Weight tables'!$C$68:$C$71),0),1)</f>
        <v>2</v>
      </c>
      <c r="AV68" s="155" cm="1">
        <f t="array" ref="AV68">INDEX('Weight tables'!$A$74:$C$78,MATCH(1,('MY-REPORT-MAIN'!AN68&gt;='Weight tables'!$B$74:$B$78)*('MY-REPORT-MAIN'!AN68&lt;='Weight tables'!$C$74:$C$78),0),1)</f>
        <v>0</v>
      </c>
      <c r="AW68" s="16">
        <f>IF(I_Miei_Rendiconti[[#This Row],[Column1.totalAfterSubmitted]]/AM68&gt;50%,"Checked",0)</f>
        <v>0</v>
      </c>
      <c r="AX68" s="155">
        <f t="shared" si="3"/>
        <v>20.8</v>
      </c>
      <c r="AY68" s="155" t="str">
        <f>INDEX('Partner data'!A:EB,MATCH(I_Miei_Rendiconti[[#This Row],[Column1.partnerId]],'Partner data'!DG:DG,0),92)</f>
        <v>Italia (IT)</v>
      </c>
    </row>
    <row r="69" spans="1:51" ht="30" x14ac:dyDescent="0.25">
      <c r="A69" s="79">
        <v>115</v>
      </c>
      <c r="B69" s="79">
        <v>62</v>
      </c>
      <c r="C69" s="79">
        <v>162</v>
      </c>
      <c r="D69" s="79" t="s">
        <v>1622</v>
      </c>
      <c r="E69" s="79" t="s">
        <v>264</v>
      </c>
      <c r="F69" s="79">
        <v>1</v>
      </c>
      <c r="G69" s="206" t="s">
        <v>325</v>
      </c>
      <c r="H69" s="79">
        <v>1</v>
      </c>
      <c r="I69" s="79" t="s">
        <v>4339</v>
      </c>
      <c r="J69" s="79" t="s">
        <v>1118</v>
      </c>
      <c r="K69" s="208">
        <v>45378.494157256944</v>
      </c>
      <c r="M69" s="208">
        <v>45454.407192766201</v>
      </c>
      <c r="N69" s="79" t="s">
        <v>4395</v>
      </c>
      <c r="O69" s="79" t="s">
        <v>4347</v>
      </c>
      <c r="P69" s="79" t="s">
        <v>4348</v>
      </c>
      <c r="Q69" s="79" t="s">
        <v>4343</v>
      </c>
      <c r="R69" s="79">
        <v>26</v>
      </c>
      <c r="S69" s="79">
        <v>1</v>
      </c>
      <c r="T69" s="81">
        <v>38862</v>
      </c>
      <c r="U69" s="81">
        <v>38862</v>
      </c>
      <c r="V69" s="79" t="str">
        <f>INDEX(pARTNER[#All],MATCH(I_Miei_Rendiconti[[#This Row],[Column1.partnerId]],pARTNER[[#All],[Value.partnerSummary.id]],0),2)</f>
        <v>TRECap</v>
      </c>
      <c r="W69" s="79" t="b">
        <v>0</v>
      </c>
      <c r="X69" s="82">
        <f>I_Miei_Rendiconti[[#This Row],[Column1.totalAfterSubmitted]]-I_Miei_Rendiconti[[#This Row],[Column1.totalEligibleAfterControl]]</f>
        <v>0</v>
      </c>
      <c r="Y69" s="80">
        <f>IF(I_Miei_Rendiconti[[#This Row],[Column1.status]]="Certified",IFERROR(I_Miei_Rendiconti[[#This Row],[Financial corection]]/I_Miei_Rendiconti[[#This Row],[Column1.totalAfterSubmitted]],0),"Rendiconto da certificare")</f>
        <v>0</v>
      </c>
      <c r="Z69" s="207" t="str">
        <f>IF(I_Miei_Rendiconti[[#This Row],[Column1.status]]&lt;&gt;"Certified",INDEX('Partner data'!DG:DQ,MATCH(I_Miei_Rendiconti[[#This Row],[Column1.partnerId]],'Partner data'!DG:DG,0),13),"Rendiconto CONVALIDATO")</f>
        <v>Rendiconto CONVALIDATO</v>
      </c>
      <c r="AA69"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69" s="81" t="str">
        <f>IF(OR(I_Miei_Rendiconti[[#This Row],[N. previouse validated report ]]="Rendiconto CONVALIDATO",I_Miei_Rendiconti[[#This Row],[N. previouse validated report ]]="NON è stato convalidato ancora nessun rendiconto"),"NON PERTINENTE","fai la fromula")</f>
        <v>NON PERTINENTE</v>
      </c>
      <c r="AC69"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69" s="2">
        <f>INDEX('Partner data'!DG:DJ,MATCH(I_Miei_Rendiconti[[#This Row],[Column1.partnerId]],'Partner data'!DG:DG,0),3)</f>
        <v>1</v>
      </c>
      <c r="AE69" t="str" cm="1">
        <f t="array" ref="AE69">INDEX('Varie Tabelle'!$A$37:$C$51,MATCH(1,(I_Miei_Rendiconti[[#This Row],[Column1.firstSubmission]]&gt;='Varie Tabelle'!$B$37:$B$51)*(I_Miei_Rendiconti[[#This Row],[Column1.firstSubmission]]&lt;'Varie Tabelle'!$C$37:$C$51),0),1)</f>
        <v>Finestra 2</v>
      </c>
      <c r="AF69" s="109">
        <f>INDEX('Varie Tabelle'!$A$37:$C$51,MATCH('MY-REPORT-MAIN'!AE69,'Varie Tabelle'!$A$37:$A$51,0),2)</f>
        <v>45352</v>
      </c>
      <c r="AG69" s="109">
        <f>INDEX('Partner data'!DG:DR,MATCH(I_Miei_Rendiconti[[#This Row],[Column1.partnerId]],'Partner data'!DG:DG,0),12)</f>
        <v>45170</v>
      </c>
      <c r="AH69" s="115">
        <f t="shared" si="2"/>
        <v>5.9848733969089114</v>
      </c>
      <c r="AI69" t="str" cm="1">
        <f t="array" ref="AI69">INDEX('Varie Tabelle'!$A$12:$C$22,MATCH(1,('MY-REPORT-MAIN'!AH69&gt;='Varie Tabelle'!$B$12:$B$22)*('MY-REPORT-MAIN'!AH69&lt;='Varie Tabelle'!$C$12:$C$22),0),1)</f>
        <v>Periodo-1</v>
      </c>
      <c r="AJ69" s="14">
        <f>INDEX('Partner data'!A:EC,MATCH(I_Miei_Rendiconti[[#This Row],[Column1.partnerId]],'Partner data'!DG:DG,0),MATCH('MY-REPORT-MAIN'!AI69,'Partner data'!$2:$2,0))</f>
        <v>33276</v>
      </c>
      <c r="AK69" s="10">
        <f>SUMIFS($U$2:U69,$C$2:C69,I_Miei_Rendiconti[[#This Row],[Column1.partnerId]])-AJ69</f>
        <v>5586</v>
      </c>
      <c r="AL69" s="16">
        <f>IFERROR(1-(I_Miei_Rendiconti[[#This Row],[Column1.totalAfterSubmitted]]/AJ69),0)</f>
        <v>-0.1678687342228633</v>
      </c>
      <c r="AM69" s="14">
        <f>INDEX('Partner data'!A:EB,MATCH(I_Miei_Rendiconti[[#This Row],[Column1.partnerId]],'Partner data'!DG:DG,0),44)</f>
        <v>127652.8</v>
      </c>
      <c r="AN69" s="14">
        <f>SUMIFS(ListOfExpenditure!AP:AP,ListOfExpenditure!AJ:AJ,I_Miei_Rendiconti[[#This Row],[Column1.id]])</f>
        <v>0</v>
      </c>
      <c r="AO69" s="148">
        <f>SUMIFS(ReportSubmittedBL!W:W,ReportSubmittedBL!D:D,I_Miei_Rendiconti[[#This Row],[Column1.id]])</f>
        <v>6</v>
      </c>
      <c r="AP69" s="155" cm="1">
        <f t="array" ref="AP69">INDEX('Weight tables'!$A$32:$C$36,MATCH(1,('MY-REPORT-MAIN'!AO69&gt;='Weight tables'!$B$32:$B$36)*('MY-REPORT-MAIN'!AO69&lt;='Weight tables'!$C$32:$C$36),0),1)</f>
        <v>4.2</v>
      </c>
      <c r="AQ69" s="155">
        <f>INDEX('Weight tables'!$A$39:$B$41,MATCH(I_Miei_Rendiconti[[#This Row],[Previouse Report checked?yes/no]],'Weight tables'!$B$39:$B$41,0),1)</f>
        <v>8.4</v>
      </c>
      <c r="AR69" s="155" cm="1">
        <f t="array" ref="AR69">IF(I_Miei_Rendiconti[[#This Row],[Sum of errors in previous report ]]="NON PERTINENTE",0,INDEX('Weight tables'!$A$43:$C$46,MATCH(1,(I_Miei_Rendiconti[[#This Row],[Sum of errors in previous report ]]&gt;='Weight tables'!$B$43:$B$46)*(I_Miei_Rendiconti[[#This Row],[Sum of errors in previous report ]]&lt;='Weight tables'!$C$43:$C$46),0),1))</f>
        <v>0</v>
      </c>
      <c r="AS69" s="155" cm="1">
        <f t="array" ref="AS69">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69" s="155" cm="1">
        <f t="array" ref="AT69">INDEX('Weight tables'!$A$56:$C$65,MATCH(1,('MY-REPORT-MAIN'!U69&gt;='Weight tables'!$B$56:$B$65)*('MY-REPORT-MAIN'!U69&lt;='Weight tables'!$C$56:$C$65),0),1)</f>
        <v>3</v>
      </c>
      <c r="AU69" s="155" cm="1">
        <f t="array" ref="AU69">INDEX('Weight tables'!$A$68:$C$71,MATCH(1,('MY-REPORT-MAIN'!AL69&gt;='Weight tables'!$B$68:$B$71)*('MY-REPORT-MAIN'!AL69&lt;='Weight tables'!$C$68:$C$71),0),1)</f>
        <v>0</v>
      </c>
      <c r="AV69" s="155" cm="1">
        <f t="array" ref="AV69">INDEX('Weight tables'!$A$74:$C$78,MATCH(1,('MY-REPORT-MAIN'!AN69&gt;='Weight tables'!$B$74:$B$78)*('MY-REPORT-MAIN'!AN69&lt;='Weight tables'!$C$74:$C$78),0),1)</f>
        <v>0</v>
      </c>
      <c r="AW69" s="16">
        <f>IF(I_Miei_Rendiconti[[#This Row],[Column1.totalAfterSubmitted]]/AM69&gt;50%,"Checked",0)</f>
        <v>0</v>
      </c>
      <c r="AX69" s="155">
        <f t="shared" si="3"/>
        <v>15.600000000000001</v>
      </c>
      <c r="AY69" s="155" t="str">
        <f>INDEX('Partner data'!A:EB,MATCH(I_Miei_Rendiconti[[#This Row],[Column1.partnerId]],'Partner data'!DG:DG,0),92)</f>
        <v>Italia (IT)</v>
      </c>
    </row>
    <row r="70" spans="1:51" ht="30" x14ac:dyDescent="0.25">
      <c r="A70" s="79">
        <v>222</v>
      </c>
      <c r="B70" s="79">
        <v>13</v>
      </c>
      <c r="C70" s="79">
        <v>12</v>
      </c>
      <c r="D70" s="79" t="s">
        <v>2371</v>
      </c>
      <c r="E70" s="79" t="s">
        <v>253</v>
      </c>
      <c r="F70" s="79">
        <v>2</v>
      </c>
      <c r="G70" s="206" t="s">
        <v>30</v>
      </c>
      <c r="H70" s="79">
        <v>2</v>
      </c>
      <c r="I70" s="79" t="s">
        <v>4339</v>
      </c>
      <c r="J70" s="79" t="s">
        <v>2373</v>
      </c>
      <c r="K70" s="208">
        <v>45378.523203865741</v>
      </c>
      <c r="M70" s="208">
        <v>45425.71250386574</v>
      </c>
      <c r="N70" s="79" t="s">
        <v>4462</v>
      </c>
      <c r="O70" s="79" t="s">
        <v>4363</v>
      </c>
      <c r="P70" s="79" t="s">
        <v>4348</v>
      </c>
      <c r="Q70" s="79" t="s">
        <v>4343</v>
      </c>
      <c r="R70" s="79">
        <v>30</v>
      </c>
      <c r="S70" s="79">
        <v>2</v>
      </c>
      <c r="T70" s="81">
        <v>28022.29</v>
      </c>
      <c r="U70" s="81">
        <v>28022.29</v>
      </c>
      <c r="V70" s="79" t="str">
        <f>INDEX(pARTNER[#All],MATCH(I_Miei_Rendiconti[[#This Row],[Column1.partnerId]],pARTNER[[#All],[Value.partnerSummary.id]],0),2)</f>
        <v>ADRIONCYCLETOUR</v>
      </c>
      <c r="W70" s="79" t="b">
        <v>0</v>
      </c>
      <c r="X70" s="82">
        <f>I_Miei_Rendiconti[[#This Row],[Column1.totalAfterSubmitted]]-I_Miei_Rendiconti[[#This Row],[Column1.totalEligibleAfterControl]]</f>
        <v>0</v>
      </c>
      <c r="Y70" s="80">
        <f>IF(I_Miei_Rendiconti[[#This Row],[Column1.status]]="Certified",IFERROR(I_Miei_Rendiconti[[#This Row],[Financial corection]]/I_Miei_Rendiconti[[#This Row],[Column1.totalAfterSubmitted]],0),"Rendiconto da certificare")</f>
        <v>0</v>
      </c>
      <c r="Z70" s="207" t="str">
        <f>IF(I_Miei_Rendiconti[[#This Row],[Column1.status]]&lt;&gt;"Certified",INDEX('Partner data'!DG:DQ,MATCH(I_Miei_Rendiconti[[#This Row],[Column1.partnerId]],'Partner data'!DG:DG,0),13),"Rendiconto CONVALIDATO")</f>
        <v>Rendiconto CONVALIDATO</v>
      </c>
      <c r="AA70"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70" s="81" t="str">
        <f>IF(OR(I_Miei_Rendiconti[[#This Row],[N. previouse validated report ]]="Rendiconto CONVALIDATO",I_Miei_Rendiconti[[#This Row],[N. previouse validated report ]]="NON è stato convalidato ancora nessun rendiconto"),"NON PERTINENTE","fai la fromula")</f>
        <v>NON PERTINENTE</v>
      </c>
      <c r="AC70"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70" s="2">
        <f>INDEX('Partner data'!DG:DJ,MATCH(I_Miei_Rendiconti[[#This Row],[Column1.partnerId]],'Partner data'!DG:DG,0),3)</f>
        <v>2</v>
      </c>
      <c r="AE70" t="str" cm="1">
        <f t="array" ref="AE70">INDEX('Varie Tabelle'!$A$37:$C$51,MATCH(1,(I_Miei_Rendiconti[[#This Row],[Column1.firstSubmission]]&gt;='Varie Tabelle'!$B$37:$B$51)*(I_Miei_Rendiconti[[#This Row],[Column1.firstSubmission]]&lt;'Varie Tabelle'!$C$37:$C$51),0),1)</f>
        <v>Finestra 2</v>
      </c>
      <c r="AF70" s="109">
        <f>INDEX('Varie Tabelle'!$A$37:$C$51,MATCH('MY-REPORT-MAIN'!AE70,'Varie Tabelle'!$A$37:$A$51,0),2)</f>
        <v>45352</v>
      </c>
      <c r="AG70" s="109">
        <f>INDEX('Partner data'!DG:DR,MATCH(I_Miei_Rendiconti[[#This Row],[Column1.partnerId]],'Partner data'!DG:DG,0),12)</f>
        <v>44805</v>
      </c>
      <c r="AH70" s="115">
        <f t="shared" si="2"/>
        <v>17.987504110489969</v>
      </c>
      <c r="AI70" t="str" cm="1">
        <f t="array" ref="AI70">INDEX('Varie Tabelle'!$A$12:$C$22,MATCH(1,('MY-REPORT-MAIN'!AH70&gt;='Varie Tabelle'!$B$12:$B$22)*('MY-REPORT-MAIN'!AH70&lt;='Varie Tabelle'!$C$12:$C$22),0),1)</f>
        <v>Periodo-2</v>
      </c>
      <c r="AJ70" s="14">
        <f>INDEX('Partner data'!A:EC,MATCH(I_Miei_Rendiconti[[#This Row],[Column1.partnerId]],'Partner data'!DG:DG,0),MATCH('MY-REPORT-MAIN'!AI70,'Partner data'!$2:$2,0))</f>
        <v>36949.5</v>
      </c>
      <c r="AK70" s="10">
        <f>SUMIFS($U$2:U70,$C$2:C70,I_Miei_Rendiconti[[#This Row],[Column1.partnerId]])-AJ70</f>
        <v>29329.130000000005</v>
      </c>
      <c r="AL70" s="16">
        <f>IFERROR(1-(I_Miei_Rendiconti[[#This Row],[Column1.totalAfterSubmitted]]/AJ70),0)</f>
        <v>0.24160570508396595</v>
      </c>
      <c r="AM70" s="14">
        <f>INDEX('Partner data'!A:EB,MATCH(I_Miei_Rendiconti[[#This Row],[Column1.partnerId]],'Partner data'!DG:DG,0),44)</f>
        <v>945000</v>
      </c>
      <c r="AN70" s="14">
        <f>SUMIFS(ListOfExpenditure!AP:AP,ListOfExpenditure!AJ:AJ,I_Miei_Rendiconti[[#This Row],[Column1.id]])</f>
        <v>0</v>
      </c>
      <c r="AO70" s="148">
        <f>SUMIFS(ReportSubmittedBL!W:W,ReportSubmittedBL!D:D,I_Miei_Rendiconti[[#This Row],[Column1.id]])</f>
        <v>14</v>
      </c>
      <c r="AP70" s="155" cm="1">
        <f t="array" ref="AP70">INDEX('Weight tables'!$A$32:$C$36,MATCH(1,('MY-REPORT-MAIN'!AO70&gt;='Weight tables'!$B$32:$B$36)*('MY-REPORT-MAIN'!AO70&lt;='Weight tables'!$C$32:$C$36),0),1)</f>
        <v>8.4</v>
      </c>
      <c r="AQ70" s="155">
        <f>INDEX('Weight tables'!$A$39:$B$41,MATCH(I_Miei_Rendiconti[[#This Row],[Previouse Report checked?yes/no]],'Weight tables'!$B$39:$B$41,0),1)</f>
        <v>8.4</v>
      </c>
      <c r="AR70" s="155" cm="1">
        <f t="array" ref="AR70">IF(I_Miei_Rendiconti[[#This Row],[Sum of errors in previous report ]]="NON PERTINENTE",0,INDEX('Weight tables'!$A$43:$C$46,MATCH(1,(I_Miei_Rendiconti[[#This Row],[Sum of errors in previous report ]]&gt;='Weight tables'!$B$43:$B$46)*(I_Miei_Rendiconti[[#This Row],[Sum of errors in previous report ]]&lt;='Weight tables'!$C$43:$C$46),0),1))</f>
        <v>0</v>
      </c>
      <c r="AS70" s="155" cm="1">
        <f t="array" ref="AS70">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70" s="155" cm="1">
        <f t="array" ref="AT70">INDEX('Weight tables'!$A$56:$C$65,MATCH(1,('MY-REPORT-MAIN'!U70&gt;='Weight tables'!$B$56:$B$65)*('MY-REPORT-MAIN'!U70&lt;='Weight tables'!$C$56:$C$65),0),1)</f>
        <v>2</v>
      </c>
      <c r="AU70" s="155" cm="1">
        <f t="array" ref="AU70">INDEX('Weight tables'!$A$68:$C$71,MATCH(1,('MY-REPORT-MAIN'!AL70&gt;='Weight tables'!$B$68:$B$71)*('MY-REPORT-MAIN'!AL70&lt;='Weight tables'!$C$68:$C$71),0),1)</f>
        <v>2</v>
      </c>
      <c r="AV70" s="155" cm="1">
        <f t="array" ref="AV70">INDEX('Weight tables'!$A$74:$C$78,MATCH(1,('MY-REPORT-MAIN'!AN70&gt;='Weight tables'!$B$74:$B$78)*('MY-REPORT-MAIN'!AN70&lt;='Weight tables'!$C$74:$C$78),0),1)</f>
        <v>0</v>
      </c>
      <c r="AW70" s="16">
        <f>IF(I_Miei_Rendiconti[[#This Row],[Column1.totalAfterSubmitted]]/AM70&gt;50%,"Checked",0)</f>
        <v>0</v>
      </c>
      <c r="AX70" s="155">
        <f t="shared" si="3"/>
        <v>20.8</v>
      </c>
      <c r="AY70" s="155" t="str">
        <f>INDEX('Partner data'!A:EB,MATCH(I_Miei_Rendiconti[[#This Row],[Column1.partnerId]],'Partner data'!DG:DG,0),92)</f>
        <v>Italia (IT)</v>
      </c>
    </row>
    <row r="71" spans="1:51" ht="30" x14ac:dyDescent="0.25">
      <c r="A71" s="79">
        <v>263</v>
      </c>
      <c r="B71" s="79">
        <v>103</v>
      </c>
      <c r="C71" s="79">
        <v>333</v>
      </c>
      <c r="D71" s="79" t="s">
        <v>2680</v>
      </c>
      <c r="E71" s="79" t="s">
        <v>264</v>
      </c>
      <c r="F71" s="79">
        <v>1</v>
      </c>
      <c r="G71" s="206" t="s">
        <v>79</v>
      </c>
      <c r="H71" s="79">
        <v>2</v>
      </c>
      <c r="I71" s="79" t="s">
        <v>4339</v>
      </c>
      <c r="J71" s="79" t="s">
        <v>490</v>
      </c>
      <c r="K71" s="208">
        <v>45378.635708472226</v>
      </c>
      <c r="M71" s="208">
        <v>45434.3725346875</v>
      </c>
      <c r="N71" s="79" t="s">
        <v>4492</v>
      </c>
      <c r="O71" s="79" t="s">
        <v>4363</v>
      </c>
      <c r="P71" s="79" t="s">
        <v>4348</v>
      </c>
      <c r="Q71" s="79" t="s">
        <v>4343</v>
      </c>
      <c r="R71" s="79">
        <v>27</v>
      </c>
      <c r="S71" s="79">
        <v>2</v>
      </c>
      <c r="T71" s="81">
        <v>71138.61</v>
      </c>
      <c r="U71" s="81">
        <v>71138.61</v>
      </c>
      <c r="V71" s="79" t="str">
        <f>INDEX(pARTNER[#All],MATCH(I_Miei_Rendiconti[[#This Row],[Column1.partnerId]],pARTNER[[#All],[Value.partnerSummary.id]],0),2)</f>
        <v>SPF GO! 2025</v>
      </c>
      <c r="W71" s="79" t="b">
        <v>0</v>
      </c>
      <c r="X71" s="82">
        <f>I_Miei_Rendiconti[[#This Row],[Column1.totalAfterSubmitted]]-I_Miei_Rendiconti[[#This Row],[Column1.totalEligibleAfterControl]]</f>
        <v>0</v>
      </c>
      <c r="Y71" s="80">
        <f>IF(I_Miei_Rendiconti[[#This Row],[Column1.status]]="Certified",IFERROR(I_Miei_Rendiconti[[#This Row],[Financial corection]]/I_Miei_Rendiconti[[#This Row],[Column1.totalAfterSubmitted]],0),"Rendiconto da certificare")</f>
        <v>0</v>
      </c>
      <c r="Z71" s="207" t="str">
        <f>IF(I_Miei_Rendiconti[[#This Row],[Column1.status]]&lt;&gt;"Certified",INDEX('Partner data'!DG:DQ,MATCH(I_Miei_Rendiconti[[#This Row],[Column1.partnerId]],'Partner data'!DG:DG,0),13),"Rendiconto CONVALIDATO")</f>
        <v>Rendiconto CONVALIDATO</v>
      </c>
      <c r="AA71"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71" s="81" t="str">
        <f>IF(OR(I_Miei_Rendiconti[[#This Row],[N. previouse validated report ]]="Rendiconto CONVALIDATO",I_Miei_Rendiconti[[#This Row],[N. previouse validated report ]]="NON è stato convalidato ancora nessun rendiconto"),"NON PERTINENTE","fai la fromula")</f>
        <v>NON PERTINENTE</v>
      </c>
      <c r="AC71"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71" s="2">
        <f>INDEX('Partner data'!DG:DJ,MATCH(I_Miei_Rendiconti[[#This Row],[Column1.partnerId]],'Partner data'!DG:DG,0),3)</f>
        <v>2</v>
      </c>
      <c r="AE71" t="str" cm="1">
        <f t="array" ref="AE71">INDEX('Varie Tabelle'!$A$37:$C$51,MATCH(1,(I_Miei_Rendiconti[[#This Row],[Column1.firstSubmission]]&gt;='Varie Tabelle'!$B$37:$B$51)*(I_Miei_Rendiconti[[#This Row],[Column1.firstSubmission]]&lt;'Varie Tabelle'!$C$37:$C$51),0),1)</f>
        <v>Finestra 2</v>
      </c>
      <c r="AF71" s="109">
        <f>INDEX('Varie Tabelle'!$A$37:$C$51,MATCH('MY-REPORT-MAIN'!AE71,'Varie Tabelle'!$A$37:$A$51,0),2)</f>
        <v>45352</v>
      </c>
      <c r="AG71" s="109">
        <f>INDEX('Partner data'!DG:DR,MATCH(I_Miei_Rendiconti[[#This Row],[Column1.partnerId]],'Partner data'!DG:DG,0),12)</f>
        <v>44805</v>
      </c>
      <c r="AH71" s="115">
        <f t="shared" si="2"/>
        <v>17.987504110489969</v>
      </c>
      <c r="AI71" t="str" cm="1">
        <f t="array" ref="AI71">INDEX('Varie Tabelle'!$A$12:$C$22,MATCH(1,('MY-REPORT-MAIN'!AH71&gt;='Varie Tabelle'!$B$12:$B$22)*('MY-REPORT-MAIN'!AH71&lt;='Varie Tabelle'!$C$12:$C$22),0),1)</f>
        <v>Periodo-2</v>
      </c>
      <c r="AJ71" s="14">
        <f>INDEX('Partner data'!A:EC,MATCH(I_Miei_Rendiconti[[#This Row],[Column1.partnerId]],'Partner data'!DG:DG,0),MATCH('MY-REPORT-MAIN'!AI71,'Partner data'!$2:$2,0))</f>
        <v>4500000</v>
      </c>
      <c r="AK71" s="10">
        <f>SUMIFS($U$2:U71,$C$2:C71,I_Miei_Rendiconti[[#This Row],[Column1.partnerId]])-AJ71</f>
        <v>-4271453.22</v>
      </c>
      <c r="AL71" s="16">
        <f>IFERROR(1-(I_Miei_Rendiconti[[#This Row],[Column1.totalAfterSubmitted]]/AJ71),0)</f>
        <v>0.98419142000000004</v>
      </c>
      <c r="AM71" s="14">
        <f>INDEX('Partner data'!A:EB,MATCH(I_Miei_Rendiconti[[#This Row],[Column1.partnerId]],'Partner data'!DG:DG,0),44)</f>
        <v>1236295.5</v>
      </c>
      <c r="AN71" s="14">
        <f>SUMIFS(ListOfExpenditure!AP:AP,ListOfExpenditure!AJ:AJ,I_Miei_Rendiconti[[#This Row],[Column1.id]])</f>
        <v>0</v>
      </c>
      <c r="AO71" s="148">
        <f>SUMIFS(ReportSubmittedBL!W:W,ReportSubmittedBL!D:D,I_Miei_Rendiconti[[#This Row],[Column1.id]])</f>
        <v>12</v>
      </c>
      <c r="AP71" s="155" cm="1">
        <f t="array" ref="AP71">INDEX('Weight tables'!$A$32:$C$36,MATCH(1,('MY-REPORT-MAIN'!AO71&gt;='Weight tables'!$B$32:$B$36)*('MY-REPORT-MAIN'!AO71&lt;='Weight tables'!$C$32:$C$36),0),1)</f>
        <v>8.4</v>
      </c>
      <c r="AQ71" s="155">
        <f>INDEX('Weight tables'!$A$39:$B$41,MATCH(I_Miei_Rendiconti[[#This Row],[Previouse Report checked?yes/no]],'Weight tables'!$B$39:$B$41,0),1)</f>
        <v>8.4</v>
      </c>
      <c r="AR71" s="155" cm="1">
        <f t="array" ref="AR71">IF(I_Miei_Rendiconti[[#This Row],[Sum of errors in previous report ]]="NON PERTINENTE",0,INDEX('Weight tables'!$A$43:$C$46,MATCH(1,(I_Miei_Rendiconti[[#This Row],[Sum of errors in previous report ]]&gt;='Weight tables'!$B$43:$B$46)*(I_Miei_Rendiconti[[#This Row],[Sum of errors in previous report ]]&lt;='Weight tables'!$C$43:$C$46),0),1))</f>
        <v>0</v>
      </c>
      <c r="AS71" s="155" cm="1">
        <f t="array" ref="AS71">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71" s="155" cm="1">
        <f t="array" ref="AT71">INDEX('Weight tables'!$A$56:$C$65,MATCH(1,('MY-REPORT-MAIN'!U71&gt;='Weight tables'!$B$56:$B$65)*('MY-REPORT-MAIN'!U71&lt;='Weight tables'!$C$56:$C$65),0),1)</f>
        <v>7</v>
      </c>
      <c r="AU71" s="155" cm="1">
        <f t="array" ref="AU71">INDEX('Weight tables'!$A$68:$C$71,MATCH(1,('MY-REPORT-MAIN'!AL71&gt;='Weight tables'!$B$68:$B$71)*('MY-REPORT-MAIN'!AL71&lt;='Weight tables'!$C$68:$C$71),0),1)</f>
        <v>2</v>
      </c>
      <c r="AV71" s="155" cm="1">
        <f t="array" ref="AV71">INDEX('Weight tables'!$A$74:$C$78,MATCH(1,('MY-REPORT-MAIN'!AN71&gt;='Weight tables'!$B$74:$B$78)*('MY-REPORT-MAIN'!AN71&lt;='Weight tables'!$C$74:$C$78),0),1)</f>
        <v>0</v>
      </c>
      <c r="AW71" s="16">
        <f>IF(I_Miei_Rendiconti[[#This Row],[Column1.totalAfterSubmitted]]/AM71&gt;50%,"Checked",0)</f>
        <v>0</v>
      </c>
      <c r="AX71" s="155">
        <f t="shared" si="3"/>
        <v>25.8</v>
      </c>
      <c r="AY71" s="155" t="str">
        <f>INDEX('Partner data'!A:EB,MATCH(I_Miei_Rendiconti[[#This Row],[Column1.partnerId]],'Partner data'!DG:DG,0),92)</f>
        <v>Italia (IT)</v>
      </c>
    </row>
    <row r="72" spans="1:51" ht="30" x14ac:dyDescent="0.25">
      <c r="A72" s="79">
        <v>149</v>
      </c>
      <c r="B72" s="79">
        <v>36</v>
      </c>
      <c r="C72" s="79">
        <v>198</v>
      </c>
      <c r="D72" s="79" t="s">
        <v>943</v>
      </c>
      <c r="E72" s="79" t="s">
        <v>253</v>
      </c>
      <c r="F72" s="79">
        <v>4</v>
      </c>
      <c r="G72" s="206" t="s">
        <v>286</v>
      </c>
      <c r="H72" s="79">
        <v>1</v>
      </c>
      <c r="I72" s="79" t="s">
        <v>4339</v>
      </c>
      <c r="J72" s="79" t="s">
        <v>593</v>
      </c>
      <c r="K72" s="208">
        <v>45378.710798668981</v>
      </c>
      <c r="M72" s="208">
        <v>45427.53624778935</v>
      </c>
      <c r="N72" s="79" t="s">
        <v>4410</v>
      </c>
      <c r="O72" s="79" t="s">
        <v>4347</v>
      </c>
      <c r="P72" s="79" t="s">
        <v>4348</v>
      </c>
      <c r="Q72" s="79" t="s">
        <v>4343</v>
      </c>
      <c r="R72" s="79">
        <v>19</v>
      </c>
      <c r="S72" s="79">
        <v>1</v>
      </c>
      <c r="T72" s="81">
        <v>19119.45</v>
      </c>
      <c r="U72" s="81">
        <v>19119.45</v>
      </c>
      <c r="V72" s="79" t="str">
        <f>INDEX(pARTNER[#All],MATCH(I_Miei_Rendiconti[[#This Row],[Column1.partnerId]],pARTNER[[#All],[Value.partnerSummary.id]],0),2)</f>
        <v>E-NAT2CARE</v>
      </c>
      <c r="W72" s="79" t="b">
        <v>0</v>
      </c>
      <c r="X72" s="82">
        <f>I_Miei_Rendiconti[[#This Row],[Column1.totalAfterSubmitted]]-I_Miei_Rendiconti[[#This Row],[Column1.totalEligibleAfterControl]]</f>
        <v>0</v>
      </c>
      <c r="Y72" s="80">
        <f>IF(I_Miei_Rendiconti[[#This Row],[Column1.status]]="Certified",IFERROR(I_Miei_Rendiconti[[#This Row],[Financial corection]]/I_Miei_Rendiconti[[#This Row],[Column1.totalAfterSubmitted]],0),"Rendiconto da certificare")</f>
        <v>0</v>
      </c>
      <c r="Z72" s="207" t="str">
        <f>IF(I_Miei_Rendiconti[[#This Row],[Column1.status]]&lt;&gt;"Certified",INDEX('Partner data'!DG:DQ,MATCH(I_Miei_Rendiconti[[#This Row],[Column1.partnerId]],'Partner data'!DG:DG,0),13),"Rendiconto CONVALIDATO")</f>
        <v>Rendiconto CONVALIDATO</v>
      </c>
      <c r="AA72"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72" s="81" t="str">
        <f>IF(OR(I_Miei_Rendiconti[[#This Row],[N. previouse validated report ]]="Rendiconto CONVALIDATO",I_Miei_Rendiconti[[#This Row],[N. previouse validated report ]]="NON è stato convalidato ancora nessun rendiconto"),"NON PERTINENTE","fai la fromula")</f>
        <v>NON PERTINENTE</v>
      </c>
      <c r="AC72"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72" s="2">
        <f>INDEX('Partner data'!DG:DJ,MATCH(I_Miei_Rendiconti[[#This Row],[Column1.partnerId]],'Partner data'!DG:DG,0),3)</f>
        <v>1</v>
      </c>
      <c r="AE72" t="str" cm="1">
        <f t="array" ref="AE72">INDEX('Varie Tabelle'!$A$37:$C$51,MATCH(1,(I_Miei_Rendiconti[[#This Row],[Column1.firstSubmission]]&gt;='Varie Tabelle'!$B$37:$B$51)*(I_Miei_Rendiconti[[#This Row],[Column1.firstSubmission]]&lt;'Varie Tabelle'!$C$37:$C$51),0),1)</f>
        <v>Finestra 2</v>
      </c>
      <c r="AF72" s="109">
        <f>INDEX('Varie Tabelle'!$A$37:$C$51,MATCH('MY-REPORT-MAIN'!AE72,'Varie Tabelle'!$A$37:$A$51,0),2)</f>
        <v>45352</v>
      </c>
      <c r="AG72" s="109">
        <f>INDEX('Partner data'!DG:DR,MATCH(I_Miei_Rendiconti[[#This Row],[Column1.partnerId]],'Partner data'!DG:DG,0),12)</f>
        <v>45170</v>
      </c>
      <c r="AH72" s="115">
        <f t="shared" si="2"/>
        <v>5.9848733969089114</v>
      </c>
      <c r="AI72" t="str" cm="1">
        <f t="array" ref="AI72">INDEX('Varie Tabelle'!$A$12:$C$22,MATCH(1,('MY-REPORT-MAIN'!AH72&gt;='Varie Tabelle'!$B$12:$B$22)*('MY-REPORT-MAIN'!AH72&lt;='Varie Tabelle'!$C$12:$C$22),0),1)</f>
        <v>Periodo-1</v>
      </c>
      <c r="AJ72" s="14">
        <f>INDEX('Partner data'!A:EC,MATCH(I_Miei_Rendiconti[[#This Row],[Column1.partnerId]],'Partner data'!DG:DG,0),MATCH('MY-REPORT-MAIN'!AI72,'Partner data'!$2:$2,0))</f>
        <v>21736.26</v>
      </c>
      <c r="AK72" s="10">
        <f>SUMIFS($U$2:U72,$C$2:C72,I_Miei_Rendiconti[[#This Row],[Column1.partnerId]])-AJ72</f>
        <v>-2616.8099999999977</v>
      </c>
      <c r="AL72" s="16">
        <f>IFERROR(1-(I_Miei_Rendiconti[[#This Row],[Column1.totalAfterSubmitted]]/AJ72),0)</f>
        <v>0.12038915618418244</v>
      </c>
      <c r="AM72" s="14">
        <f>INDEX('Partner data'!A:EB,MATCH(I_Miei_Rendiconti[[#This Row],[Column1.partnerId]],'Partner data'!DG:DG,0),44)</f>
        <v>140739.76</v>
      </c>
      <c r="AN72" s="14">
        <f>SUMIFS(ListOfExpenditure!AP:AP,ListOfExpenditure!AJ:AJ,I_Miei_Rendiconti[[#This Row],[Column1.id]])</f>
        <v>0</v>
      </c>
      <c r="AO72" s="148">
        <f>SUMIFS(ReportSubmittedBL!W:W,ReportSubmittedBL!D:D,I_Miei_Rendiconti[[#This Row],[Column1.id]])</f>
        <v>8</v>
      </c>
      <c r="AP72" s="155" cm="1">
        <f t="array" ref="AP72">INDEX('Weight tables'!$A$32:$C$36,MATCH(1,('MY-REPORT-MAIN'!AO72&gt;='Weight tables'!$B$32:$B$36)*('MY-REPORT-MAIN'!AO72&lt;='Weight tables'!$C$32:$C$36),0),1)</f>
        <v>6.3</v>
      </c>
      <c r="AQ72" s="155">
        <f>INDEX('Weight tables'!$A$39:$B$41,MATCH(I_Miei_Rendiconti[[#This Row],[Previouse Report checked?yes/no]],'Weight tables'!$B$39:$B$41,0),1)</f>
        <v>8.4</v>
      </c>
      <c r="AR72" s="155" cm="1">
        <f t="array" ref="AR72">IF(I_Miei_Rendiconti[[#This Row],[Sum of errors in previous report ]]="NON PERTINENTE",0,INDEX('Weight tables'!$A$43:$C$46,MATCH(1,(I_Miei_Rendiconti[[#This Row],[Sum of errors in previous report ]]&gt;='Weight tables'!$B$43:$B$46)*(I_Miei_Rendiconti[[#This Row],[Sum of errors in previous report ]]&lt;='Weight tables'!$C$43:$C$46),0),1))</f>
        <v>0</v>
      </c>
      <c r="AS72" s="155" cm="1">
        <f t="array" ref="AS72">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72" s="155" cm="1">
        <f t="array" ref="AT72">INDEX('Weight tables'!$A$56:$C$65,MATCH(1,('MY-REPORT-MAIN'!U72&gt;='Weight tables'!$B$56:$B$65)*('MY-REPORT-MAIN'!U72&lt;='Weight tables'!$C$56:$C$65),0),1)</f>
        <v>1</v>
      </c>
      <c r="AU72" s="155" cm="1">
        <f t="array" ref="AU72">INDEX('Weight tables'!$A$68:$C$71,MATCH(1,('MY-REPORT-MAIN'!AL72&gt;='Weight tables'!$B$68:$B$71)*('MY-REPORT-MAIN'!AL72&lt;='Weight tables'!$C$68:$C$71),0),1)</f>
        <v>1</v>
      </c>
      <c r="AV72" s="155" cm="1">
        <f t="array" ref="AV72">INDEX('Weight tables'!$A$74:$C$78,MATCH(1,('MY-REPORT-MAIN'!AN72&gt;='Weight tables'!$B$74:$B$78)*('MY-REPORT-MAIN'!AN72&lt;='Weight tables'!$C$74:$C$78),0),1)</f>
        <v>0</v>
      </c>
      <c r="AW72" s="16">
        <f>IF(I_Miei_Rendiconti[[#This Row],[Column1.totalAfterSubmitted]]/AM72&gt;50%,"Checked",0)</f>
        <v>0</v>
      </c>
      <c r="AX72" s="155">
        <f t="shared" si="3"/>
        <v>16.7</v>
      </c>
      <c r="AY72" s="155" t="str">
        <f>INDEX('Partner data'!A:EB,MATCH(I_Miei_Rendiconti[[#This Row],[Column1.partnerId]],'Partner data'!DG:DG,0),92)</f>
        <v>Italia (IT)</v>
      </c>
    </row>
    <row r="73" spans="1:51" ht="30" x14ac:dyDescent="0.25">
      <c r="A73" s="79">
        <v>316</v>
      </c>
      <c r="B73" s="79">
        <v>60</v>
      </c>
      <c r="C73" s="79">
        <v>285</v>
      </c>
      <c r="D73" s="79" t="s">
        <v>1551</v>
      </c>
      <c r="E73" s="79" t="s">
        <v>253</v>
      </c>
      <c r="F73" s="79">
        <v>6</v>
      </c>
      <c r="G73" s="206" t="s">
        <v>322</v>
      </c>
      <c r="H73" s="79">
        <v>1</v>
      </c>
      <c r="I73" s="79" t="s">
        <v>4339</v>
      </c>
      <c r="J73" s="79" t="s">
        <v>1043</v>
      </c>
      <c r="K73" s="208">
        <v>45379.372236909723</v>
      </c>
      <c r="M73" s="208">
        <v>45428.764298495371</v>
      </c>
      <c r="N73" s="79" t="s">
        <v>4530</v>
      </c>
      <c r="O73" s="79" t="s">
        <v>4363</v>
      </c>
      <c r="P73" s="79" t="s">
        <v>4348</v>
      </c>
      <c r="Q73" s="79" t="s">
        <v>4343</v>
      </c>
      <c r="T73" s="81">
        <v>4771.8999999999996</v>
      </c>
      <c r="U73" s="81">
        <v>4771.8999999999996</v>
      </c>
      <c r="V73" s="79" t="str">
        <f>INDEX(pARTNER[#All],MATCH(I_Miei_Rendiconti[[#This Row],[Column1.partnerId]],pARTNER[[#All],[Value.partnerSummary.id]],0),2)</f>
        <v>INTER BIKE III</v>
      </c>
      <c r="W73" s="79" t="b">
        <v>0</v>
      </c>
      <c r="X73" s="82">
        <f>I_Miei_Rendiconti[[#This Row],[Column1.totalAfterSubmitted]]-I_Miei_Rendiconti[[#This Row],[Column1.totalEligibleAfterControl]]</f>
        <v>0</v>
      </c>
      <c r="Y73" s="80">
        <f>IF(I_Miei_Rendiconti[[#This Row],[Column1.status]]="Certified",IFERROR(I_Miei_Rendiconti[[#This Row],[Financial corection]]/I_Miei_Rendiconti[[#This Row],[Column1.totalAfterSubmitted]],0),"Rendiconto da certificare")</f>
        <v>0</v>
      </c>
      <c r="Z73" s="207" t="str">
        <f>IF(I_Miei_Rendiconti[[#This Row],[Column1.status]]&lt;&gt;"Certified",INDEX('Partner data'!DG:DQ,MATCH(I_Miei_Rendiconti[[#This Row],[Column1.partnerId]],'Partner data'!DG:DG,0),13),"Rendiconto CONVALIDATO")</f>
        <v>Rendiconto CONVALIDATO</v>
      </c>
      <c r="AA73"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73" s="81" t="str">
        <f>IF(OR(I_Miei_Rendiconti[[#This Row],[N. previouse validated report ]]="Rendiconto CONVALIDATO",I_Miei_Rendiconti[[#This Row],[N. previouse validated report ]]="NON è stato convalidato ancora nessun rendiconto"),"NON PERTINENTE","fai la fromula")</f>
        <v>NON PERTINENTE</v>
      </c>
      <c r="AC73"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73" s="2">
        <f>INDEX('Partner data'!DG:DJ,MATCH(I_Miei_Rendiconti[[#This Row],[Column1.partnerId]],'Partner data'!DG:DG,0),3)</f>
        <v>1</v>
      </c>
      <c r="AE73" t="str" cm="1">
        <f t="array" ref="AE73">INDEX('Varie Tabelle'!$A$37:$C$51,MATCH(1,(I_Miei_Rendiconti[[#This Row],[Column1.firstSubmission]]&gt;='Varie Tabelle'!$B$37:$B$51)*(I_Miei_Rendiconti[[#This Row],[Column1.firstSubmission]]&lt;'Varie Tabelle'!$C$37:$C$51),0),1)</f>
        <v>Finestra 2</v>
      </c>
      <c r="AF73" s="109">
        <f>INDEX('Varie Tabelle'!$A$37:$C$51,MATCH('MY-REPORT-MAIN'!AE73,'Varie Tabelle'!$A$37:$A$51,0),2)</f>
        <v>45352</v>
      </c>
      <c r="AG73" s="109">
        <f>INDEX('Partner data'!DG:DR,MATCH(I_Miei_Rendiconti[[#This Row],[Column1.partnerId]],'Partner data'!DG:DG,0),12)</f>
        <v>45200</v>
      </c>
      <c r="AH73" s="115">
        <f t="shared" si="2"/>
        <v>4.9983558040118385</v>
      </c>
      <c r="AI73" t="str" cm="1">
        <f t="array" ref="AI73">INDEX('Varie Tabelle'!$A$12:$C$22,MATCH(1,('MY-REPORT-MAIN'!AH73&gt;='Varie Tabelle'!$B$12:$B$22)*('MY-REPORT-MAIN'!AH73&lt;='Varie Tabelle'!$C$12:$C$22),0),1)</f>
        <v>Periodo-1</v>
      </c>
      <c r="AJ73" s="14">
        <f>INDEX('Partner data'!A:EC,MATCH(I_Miei_Rendiconti[[#This Row],[Column1.partnerId]],'Partner data'!DG:DG,0),MATCH('MY-REPORT-MAIN'!AI73,'Partner data'!$2:$2,0))</f>
        <v>4771.8999999999996</v>
      </c>
      <c r="AK73" s="10">
        <f>SUMIFS($U$2:U73,$C$2:C73,I_Miei_Rendiconti[[#This Row],[Column1.partnerId]])-AJ73</f>
        <v>0</v>
      </c>
      <c r="AL73" s="16">
        <f>IFERROR(1-(I_Miei_Rendiconti[[#This Row],[Column1.totalAfterSubmitted]]/AJ73),0)</f>
        <v>0</v>
      </c>
      <c r="AM73" s="14">
        <f>INDEX('Partner data'!A:EB,MATCH(I_Miei_Rendiconti[[#This Row],[Column1.partnerId]],'Partner data'!DG:DG,0),44)</f>
        <v>100400</v>
      </c>
      <c r="AN73" s="14">
        <f>SUMIFS(ListOfExpenditure!AP:AP,ListOfExpenditure!AJ:AJ,I_Miei_Rendiconti[[#This Row],[Column1.id]])</f>
        <v>0</v>
      </c>
      <c r="AO73" s="148">
        <f>SUMIFS(ReportSubmittedBL!W:W,ReportSubmittedBL!D:D,I_Miei_Rendiconti[[#This Row],[Column1.id]])</f>
        <v>10</v>
      </c>
      <c r="AP73" s="155" cm="1">
        <f t="array" ref="AP73">INDEX('Weight tables'!$A$32:$C$36,MATCH(1,('MY-REPORT-MAIN'!AO73&gt;='Weight tables'!$B$32:$B$36)*('MY-REPORT-MAIN'!AO73&lt;='Weight tables'!$C$32:$C$36),0),1)</f>
        <v>8.4</v>
      </c>
      <c r="AQ73" s="155">
        <f>INDEX('Weight tables'!$A$39:$B$41,MATCH(I_Miei_Rendiconti[[#This Row],[Previouse Report checked?yes/no]],'Weight tables'!$B$39:$B$41,0),1)</f>
        <v>8.4</v>
      </c>
      <c r="AR73" s="155" cm="1">
        <f t="array" ref="AR73">IF(I_Miei_Rendiconti[[#This Row],[Sum of errors in previous report ]]="NON PERTINENTE",0,INDEX('Weight tables'!$A$43:$C$46,MATCH(1,(I_Miei_Rendiconti[[#This Row],[Sum of errors in previous report ]]&gt;='Weight tables'!$B$43:$B$46)*(I_Miei_Rendiconti[[#This Row],[Sum of errors in previous report ]]&lt;='Weight tables'!$C$43:$C$46),0),1))</f>
        <v>0</v>
      </c>
      <c r="AS73" s="155" cm="1">
        <f t="array" ref="AS73">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73" s="155" cm="1">
        <f t="array" ref="AT73">INDEX('Weight tables'!$A$56:$C$65,MATCH(1,('MY-REPORT-MAIN'!U73&gt;='Weight tables'!$B$56:$B$65)*('MY-REPORT-MAIN'!U73&lt;='Weight tables'!$C$56:$C$65),0),1)</f>
        <v>0</v>
      </c>
      <c r="AU73" s="155" cm="1">
        <f t="array" ref="AU73">INDEX('Weight tables'!$A$68:$C$71,MATCH(1,('MY-REPORT-MAIN'!AL73&gt;='Weight tables'!$B$68:$B$71)*('MY-REPORT-MAIN'!AL73&lt;='Weight tables'!$C$68:$C$71),0),1)</f>
        <v>0</v>
      </c>
      <c r="AV73" s="155" cm="1">
        <f t="array" ref="AV73">INDEX('Weight tables'!$A$74:$C$78,MATCH(1,('MY-REPORT-MAIN'!AN73&gt;='Weight tables'!$B$74:$B$78)*('MY-REPORT-MAIN'!AN73&lt;='Weight tables'!$C$74:$C$78),0),1)</f>
        <v>0</v>
      </c>
      <c r="AW73" s="16">
        <f>IF(I_Miei_Rendiconti[[#This Row],[Column1.totalAfterSubmitted]]/AM73&gt;50%,"Checked",0)</f>
        <v>0</v>
      </c>
      <c r="AX73" s="155">
        <f t="shared" si="3"/>
        <v>16.8</v>
      </c>
      <c r="AY73" s="155" t="str">
        <f>INDEX('Partner data'!A:EB,MATCH(I_Miei_Rendiconti[[#This Row],[Column1.partnerId]],'Partner data'!DG:DG,0),92)</f>
        <v>Italia (IT)</v>
      </c>
    </row>
    <row r="74" spans="1:51" ht="30" x14ac:dyDescent="0.25">
      <c r="A74" s="79">
        <v>141</v>
      </c>
      <c r="B74" s="79">
        <v>69</v>
      </c>
      <c r="C74" s="79">
        <v>123</v>
      </c>
      <c r="D74" s="79" t="s">
        <v>1849</v>
      </c>
      <c r="E74" s="79" t="s">
        <v>253</v>
      </c>
      <c r="F74" s="79">
        <v>2</v>
      </c>
      <c r="G74" s="206" t="s">
        <v>340</v>
      </c>
      <c r="H74" s="79">
        <v>1</v>
      </c>
      <c r="I74" s="79" t="s">
        <v>4339</v>
      </c>
      <c r="J74" s="79" t="s">
        <v>490</v>
      </c>
      <c r="K74" s="208">
        <v>45379.403722569441</v>
      </c>
      <c r="M74" s="208">
        <v>45429.559323611109</v>
      </c>
      <c r="N74" s="79" t="s">
        <v>4405</v>
      </c>
      <c r="O74" s="79" t="s">
        <v>4347</v>
      </c>
      <c r="P74" s="79" t="s">
        <v>4348</v>
      </c>
      <c r="Q74" s="79" t="s">
        <v>4343</v>
      </c>
      <c r="T74" s="81">
        <v>0</v>
      </c>
      <c r="U74" s="81">
        <v>2735.01</v>
      </c>
      <c r="V74" s="79" t="str">
        <f>INDEX(pARTNER[#All],MATCH(I_Miei_Rendiconti[[#This Row],[Column1.partnerId]],pARTNER[[#All],[Value.partnerSummary.id]],0),2)</f>
        <v>BeBlue</v>
      </c>
      <c r="W74" s="79" t="b">
        <v>0</v>
      </c>
      <c r="X74" s="82">
        <f>I_Miei_Rendiconti[[#This Row],[Column1.totalAfterSubmitted]]-I_Miei_Rendiconti[[#This Row],[Column1.totalEligibleAfterControl]]</f>
        <v>2735.01</v>
      </c>
      <c r="Y74" s="80">
        <f>IF(I_Miei_Rendiconti[[#This Row],[Column1.status]]="Certified",IFERROR(I_Miei_Rendiconti[[#This Row],[Financial corection]]/I_Miei_Rendiconti[[#This Row],[Column1.totalAfterSubmitted]],0),"Rendiconto da certificare")</f>
        <v>1</v>
      </c>
      <c r="Z74" s="207" t="str">
        <f>IF(I_Miei_Rendiconti[[#This Row],[Column1.status]]&lt;&gt;"Certified",INDEX('Partner data'!DG:DQ,MATCH(I_Miei_Rendiconti[[#This Row],[Column1.partnerId]],'Partner data'!DG:DG,0),13),"Rendiconto CONVALIDATO")</f>
        <v>Rendiconto CONVALIDATO</v>
      </c>
      <c r="AA74"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74" s="81" t="str">
        <f>IF(OR(I_Miei_Rendiconti[[#This Row],[N. previouse validated report ]]="Rendiconto CONVALIDATO",I_Miei_Rendiconti[[#This Row],[N. previouse validated report ]]="NON è stato convalidato ancora nessun rendiconto"),"NON PERTINENTE","fai la fromula")</f>
        <v>NON PERTINENTE</v>
      </c>
      <c r="AC74"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74" s="2">
        <f>INDEX('Partner data'!DG:DJ,MATCH(I_Miei_Rendiconti[[#This Row],[Column1.partnerId]],'Partner data'!DG:DG,0),3)</f>
        <v>1</v>
      </c>
      <c r="AE74" t="str" cm="1">
        <f t="array" ref="AE74">INDEX('Varie Tabelle'!$A$37:$C$51,MATCH(1,(I_Miei_Rendiconti[[#This Row],[Column1.firstSubmission]]&gt;='Varie Tabelle'!$B$37:$B$51)*(I_Miei_Rendiconti[[#This Row],[Column1.firstSubmission]]&lt;'Varie Tabelle'!$C$37:$C$51),0),1)</f>
        <v>Finestra 2</v>
      </c>
      <c r="AF74" s="109">
        <f>INDEX('Varie Tabelle'!$A$37:$C$51,MATCH('MY-REPORT-MAIN'!AE74,'Varie Tabelle'!$A$37:$A$51,0),2)</f>
        <v>45352</v>
      </c>
      <c r="AG74" s="109">
        <f>INDEX('Partner data'!DG:DR,MATCH(I_Miei_Rendiconti[[#This Row],[Column1.partnerId]],'Partner data'!DG:DG,0),12)</f>
        <v>45170</v>
      </c>
      <c r="AH74" s="115">
        <f t="shared" si="2"/>
        <v>5.9848733969089114</v>
      </c>
      <c r="AI74" t="str" cm="1">
        <f t="array" ref="AI74">INDEX('Varie Tabelle'!$A$12:$C$22,MATCH(1,('MY-REPORT-MAIN'!AH74&gt;='Varie Tabelle'!$B$12:$B$22)*('MY-REPORT-MAIN'!AH74&lt;='Varie Tabelle'!$C$12:$C$22),0),1)</f>
        <v>Periodo-1</v>
      </c>
      <c r="AJ74" s="14">
        <f>INDEX('Partner data'!A:EC,MATCH(I_Miei_Rendiconti[[#This Row],[Column1.partnerId]],'Partner data'!DG:DG,0),MATCH('MY-REPORT-MAIN'!AI74,'Partner data'!$2:$2,0))</f>
        <v>32550</v>
      </c>
      <c r="AK74" s="10">
        <f>SUMIFS($U$2:U74,$C$2:C74,I_Miei_Rendiconti[[#This Row],[Column1.partnerId]])-AJ74</f>
        <v>-29814.989999999998</v>
      </c>
      <c r="AL74" s="16">
        <f>IFERROR(1-(I_Miei_Rendiconti[[#This Row],[Column1.totalAfterSubmitted]]/AJ74),0)</f>
        <v>0.91597511520737329</v>
      </c>
      <c r="AM74" s="14">
        <f>INDEX('Partner data'!A:EB,MATCH(I_Miei_Rendiconti[[#This Row],[Column1.partnerId]],'Partner data'!DG:DG,0),44)</f>
        <v>129850</v>
      </c>
      <c r="AN74" s="14">
        <f>SUMIFS(ListOfExpenditure!AP:AP,ListOfExpenditure!AJ:AJ,I_Miei_Rendiconti[[#This Row],[Column1.id]])</f>
        <v>0</v>
      </c>
      <c r="AO74" s="148">
        <f>SUMIFS(ReportSubmittedBL!W:W,ReportSubmittedBL!D:D,I_Miei_Rendiconti[[#This Row],[Column1.id]])</f>
        <v>8</v>
      </c>
      <c r="AP74" s="155" cm="1">
        <f t="array" ref="AP74">INDEX('Weight tables'!$A$32:$C$36,MATCH(1,('MY-REPORT-MAIN'!AO74&gt;='Weight tables'!$B$32:$B$36)*('MY-REPORT-MAIN'!AO74&lt;='Weight tables'!$C$32:$C$36),0),1)</f>
        <v>6.3</v>
      </c>
      <c r="AQ74" s="155">
        <f>INDEX('Weight tables'!$A$39:$B$41,MATCH(I_Miei_Rendiconti[[#This Row],[Previouse Report checked?yes/no]],'Weight tables'!$B$39:$B$41,0),1)</f>
        <v>8.4</v>
      </c>
      <c r="AR74" s="155" cm="1">
        <f t="array" ref="AR74">IF(I_Miei_Rendiconti[[#This Row],[Sum of errors in previous report ]]="NON PERTINENTE",0,INDEX('Weight tables'!$A$43:$C$46,MATCH(1,(I_Miei_Rendiconti[[#This Row],[Sum of errors in previous report ]]&gt;='Weight tables'!$B$43:$B$46)*(I_Miei_Rendiconti[[#This Row],[Sum of errors in previous report ]]&lt;='Weight tables'!$C$43:$C$46),0),1))</f>
        <v>0</v>
      </c>
      <c r="AS74" s="155" cm="1">
        <f t="array" ref="AS74">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74" s="155" cm="1">
        <f t="array" ref="AT74">INDEX('Weight tables'!$A$56:$C$65,MATCH(1,('MY-REPORT-MAIN'!U74&gt;='Weight tables'!$B$56:$B$65)*('MY-REPORT-MAIN'!U74&lt;='Weight tables'!$C$56:$C$65),0),1)</f>
        <v>0</v>
      </c>
      <c r="AU74" s="155" cm="1">
        <f t="array" ref="AU74">INDEX('Weight tables'!$A$68:$C$71,MATCH(1,('MY-REPORT-MAIN'!AL74&gt;='Weight tables'!$B$68:$B$71)*('MY-REPORT-MAIN'!AL74&lt;='Weight tables'!$C$68:$C$71),0),1)</f>
        <v>2</v>
      </c>
      <c r="AV74" s="155" cm="1">
        <f t="array" ref="AV74">INDEX('Weight tables'!$A$74:$C$78,MATCH(1,('MY-REPORT-MAIN'!AN74&gt;='Weight tables'!$B$74:$B$78)*('MY-REPORT-MAIN'!AN74&lt;='Weight tables'!$C$74:$C$78),0),1)</f>
        <v>0</v>
      </c>
      <c r="AW74" s="16">
        <f>IF(I_Miei_Rendiconti[[#This Row],[Column1.totalAfterSubmitted]]/AM74&gt;50%,"Checked",0)</f>
        <v>0</v>
      </c>
      <c r="AX74" s="155">
        <f t="shared" si="3"/>
        <v>16.7</v>
      </c>
      <c r="AY74" s="155" t="str">
        <f>INDEX('Partner data'!A:EB,MATCH(I_Miei_Rendiconti[[#This Row],[Column1.partnerId]],'Partner data'!DG:DG,0),92)</f>
        <v>Slovenija (SI)</v>
      </c>
    </row>
    <row r="75" spans="1:51" ht="30" x14ac:dyDescent="0.25">
      <c r="A75" s="79">
        <v>258</v>
      </c>
      <c r="B75" s="79">
        <v>65</v>
      </c>
      <c r="C75" s="79">
        <v>95</v>
      </c>
      <c r="D75" s="79" t="s">
        <v>1693</v>
      </c>
      <c r="E75" s="79" t="s">
        <v>253</v>
      </c>
      <c r="F75" s="79">
        <v>2</v>
      </c>
      <c r="G75" s="206" t="s">
        <v>35</v>
      </c>
      <c r="H75" s="79">
        <v>2</v>
      </c>
      <c r="I75" s="79" t="s">
        <v>4339</v>
      </c>
      <c r="J75" s="79" t="s">
        <v>490</v>
      </c>
      <c r="K75" s="208">
        <v>45379.427384270835</v>
      </c>
      <c r="M75" s="208">
        <v>45421.444287222221</v>
      </c>
      <c r="N75" s="79" t="s">
        <v>4489</v>
      </c>
      <c r="O75" s="79" t="s">
        <v>4363</v>
      </c>
      <c r="P75" s="79" t="s">
        <v>4348</v>
      </c>
      <c r="Q75" s="79" t="s">
        <v>4343</v>
      </c>
      <c r="T75" s="81">
        <v>15303.48</v>
      </c>
      <c r="U75" s="81">
        <v>15303.48</v>
      </c>
      <c r="V75" s="79" t="str">
        <f>INDEX(pARTNER[#All],MATCH(I_Miei_Rendiconti[[#This Row],[Column1.partnerId]],pARTNER[[#All],[Value.partnerSummary.id]],0),2)</f>
        <v>TARTINI BIS</v>
      </c>
      <c r="W75" s="79" t="b">
        <v>0</v>
      </c>
      <c r="X75" s="82">
        <f>I_Miei_Rendiconti[[#This Row],[Column1.totalAfterSubmitted]]-I_Miei_Rendiconti[[#This Row],[Column1.totalEligibleAfterControl]]</f>
        <v>0</v>
      </c>
      <c r="Y75" s="80">
        <f>IF(I_Miei_Rendiconti[[#This Row],[Column1.status]]="Certified",IFERROR(I_Miei_Rendiconti[[#This Row],[Financial corection]]/I_Miei_Rendiconti[[#This Row],[Column1.totalAfterSubmitted]],0),"Rendiconto da certificare")</f>
        <v>0</v>
      </c>
      <c r="Z75" s="207" t="str">
        <f>IF(I_Miei_Rendiconti[[#This Row],[Column1.status]]&lt;&gt;"Certified",INDEX('Partner data'!DG:DQ,MATCH(I_Miei_Rendiconti[[#This Row],[Column1.partnerId]],'Partner data'!DG:DG,0),13),"Rendiconto CONVALIDATO")</f>
        <v>Rendiconto CONVALIDATO</v>
      </c>
      <c r="AA75"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75" s="81" t="str">
        <f>IF(OR(I_Miei_Rendiconti[[#This Row],[N. previouse validated report ]]="Rendiconto CONVALIDATO",I_Miei_Rendiconti[[#This Row],[N. previouse validated report ]]="NON è stato convalidato ancora nessun rendiconto"),"NON PERTINENTE","fai la fromula")</f>
        <v>NON PERTINENTE</v>
      </c>
      <c r="AC75"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75" s="2">
        <f>INDEX('Partner data'!DG:DJ,MATCH(I_Miei_Rendiconti[[#This Row],[Column1.partnerId]],'Partner data'!DG:DG,0),3)</f>
        <v>2</v>
      </c>
      <c r="AE75" t="str" cm="1">
        <f t="array" ref="AE75">INDEX('Varie Tabelle'!$A$37:$C$51,MATCH(1,(I_Miei_Rendiconti[[#This Row],[Column1.firstSubmission]]&gt;='Varie Tabelle'!$B$37:$B$51)*(I_Miei_Rendiconti[[#This Row],[Column1.firstSubmission]]&lt;'Varie Tabelle'!$C$37:$C$51),0),1)</f>
        <v>Finestra 2</v>
      </c>
      <c r="AF75" s="109">
        <f>INDEX('Varie Tabelle'!$A$37:$C$51,MATCH('MY-REPORT-MAIN'!AE75,'Varie Tabelle'!$A$37:$A$51,0),2)</f>
        <v>45352</v>
      </c>
      <c r="AG75" s="109">
        <f>INDEX('Partner data'!DG:DR,MATCH(I_Miei_Rendiconti[[#This Row],[Column1.partnerId]],'Partner data'!DG:DG,0),12)</f>
        <v>45078</v>
      </c>
      <c r="AH75" s="115">
        <f t="shared" si="2"/>
        <v>9.0101940151266025</v>
      </c>
      <c r="AI75" t="str" cm="1">
        <f t="array" ref="AI75">INDEX('Varie Tabelle'!$A$12:$C$22,MATCH(1,('MY-REPORT-MAIN'!AH75&gt;='Varie Tabelle'!$B$12:$B$22)*('MY-REPORT-MAIN'!AH75&lt;='Varie Tabelle'!$C$12:$C$22),0),1)</f>
        <v>Periodo-1</v>
      </c>
      <c r="AJ75" s="14">
        <f>INDEX('Partner data'!A:EC,MATCH(I_Miei_Rendiconti[[#This Row],[Column1.partnerId]],'Partner data'!DG:DG,0),MATCH('MY-REPORT-MAIN'!AI75,'Partner data'!$2:$2,0))</f>
        <v>30954.5</v>
      </c>
      <c r="AK75" s="10">
        <f>SUMIFS($U$2:U75,$C$2:C75,I_Miei_Rendiconti[[#This Row],[Column1.partnerId]])-AJ75</f>
        <v>-3791.5200000000004</v>
      </c>
      <c r="AL75" s="16">
        <f>IFERROR(1-(I_Miei_Rendiconti[[#This Row],[Column1.totalAfterSubmitted]]/AJ75),0)</f>
        <v>0.50561372336816945</v>
      </c>
      <c r="AM75" s="14">
        <f>INDEX('Partner data'!A:EB,MATCH(I_Miei_Rendiconti[[#This Row],[Column1.partnerId]],'Partner data'!DG:DG,0),44)</f>
        <v>110363.5</v>
      </c>
      <c r="AN75" s="14">
        <f>SUMIFS(ListOfExpenditure!AP:AP,ListOfExpenditure!AJ:AJ,I_Miei_Rendiconti[[#This Row],[Column1.id]])</f>
        <v>0</v>
      </c>
      <c r="AO75" s="148">
        <f>SUMIFS(ReportSubmittedBL!W:W,ReportSubmittedBL!D:D,I_Miei_Rendiconti[[#This Row],[Column1.id]])</f>
        <v>16</v>
      </c>
      <c r="AP75" s="155" cm="1">
        <f t="array" ref="AP75">INDEX('Weight tables'!$A$32:$C$36,MATCH(1,('MY-REPORT-MAIN'!AO75&gt;='Weight tables'!$B$32:$B$36)*('MY-REPORT-MAIN'!AO75&lt;='Weight tables'!$C$32:$C$36),0),1)</f>
        <v>8.4</v>
      </c>
      <c r="AQ75" s="155">
        <f>INDEX('Weight tables'!$A$39:$B$41,MATCH(I_Miei_Rendiconti[[#This Row],[Previouse Report checked?yes/no]],'Weight tables'!$B$39:$B$41,0),1)</f>
        <v>8.4</v>
      </c>
      <c r="AR75" s="155" cm="1">
        <f t="array" ref="AR75">IF(I_Miei_Rendiconti[[#This Row],[Sum of errors in previous report ]]="NON PERTINENTE",0,INDEX('Weight tables'!$A$43:$C$46,MATCH(1,(I_Miei_Rendiconti[[#This Row],[Sum of errors in previous report ]]&gt;='Weight tables'!$B$43:$B$46)*(I_Miei_Rendiconti[[#This Row],[Sum of errors in previous report ]]&lt;='Weight tables'!$C$43:$C$46),0),1))</f>
        <v>0</v>
      </c>
      <c r="AS75" s="155" cm="1">
        <f t="array" ref="AS75">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75" s="155" cm="1">
        <f t="array" ref="AT75">INDEX('Weight tables'!$A$56:$C$65,MATCH(1,('MY-REPORT-MAIN'!U75&gt;='Weight tables'!$B$56:$B$65)*('MY-REPORT-MAIN'!U75&lt;='Weight tables'!$C$56:$C$65),0),1)</f>
        <v>1</v>
      </c>
      <c r="AU75" s="155" cm="1">
        <f t="array" ref="AU75">INDEX('Weight tables'!$A$68:$C$71,MATCH(1,('MY-REPORT-MAIN'!AL75&gt;='Weight tables'!$B$68:$B$71)*('MY-REPORT-MAIN'!AL75&lt;='Weight tables'!$C$68:$C$71),0),1)</f>
        <v>2</v>
      </c>
      <c r="AV75" s="155" cm="1">
        <f t="array" ref="AV75">INDEX('Weight tables'!$A$74:$C$78,MATCH(1,('MY-REPORT-MAIN'!AN75&gt;='Weight tables'!$B$74:$B$78)*('MY-REPORT-MAIN'!AN75&lt;='Weight tables'!$C$74:$C$78),0),1)</f>
        <v>0</v>
      </c>
      <c r="AW75" s="16">
        <f>IF(I_Miei_Rendiconti[[#This Row],[Column1.totalAfterSubmitted]]/AM75&gt;50%,"Checked",0)</f>
        <v>0</v>
      </c>
      <c r="AX75" s="155">
        <f t="shared" si="3"/>
        <v>19.8</v>
      </c>
      <c r="AY75" s="155" t="str">
        <f>INDEX('Partner data'!A:EB,MATCH(I_Miei_Rendiconti[[#This Row],[Column1.partnerId]],'Partner data'!DG:DG,0),92)</f>
        <v>Slovenija (SI)</v>
      </c>
    </row>
    <row r="76" spans="1:51" ht="30" x14ac:dyDescent="0.25">
      <c r="A76" s="79">
        <v>236</v>
      </c>
      <c r="B76" s="79">
        <v>68</v>
      </c>
      <c r="C76" s="79">
        <v>253</v>
      </c>
      <c r="D76" s="79" t="s">
        <v>1774</v>
      </c>
      <c r="E76" s="79" t="s">
        <v>253</v>
      </c>
      <c r="F76" s="79">
        <v>3</v>
      </c>
      <c r="G76" s="206" t="s">
        <v>334</v>
      </c>
      <c r="H76" s="79">
        <v>1</v>
      </c>
      <c r="I76" s="79" t="s">
        <v>4339</v>
      </c>
      <c r="J76" s="79" t="s">
        <v>593</v>
      </c>
      <c r="K76" s="208">
        <v>45379.429773043979</v>
      </c>
      <c r="M76" s="208">
        <v>45440.601231412038</v>
      </c>
      <c r="N76" s="79" t="s">
        <v>4473</v>
      </c>
      <c r="O76" s="79" t="s">
        <v>4347</v>
      </c>
      <c r="P76" s="79" t="s">
        <v>4348</v>
      </c>
      <c r="Q76" s="79" t="s">
        <v>4343</v>
      </c>
      <c r="R76" s="79">
        <v>35</v>
      </c>
      <c r="S76" s="79">
        <v>1</v>
      </c>
      <c r="T76" s="81">
        <v>15523.07</v>
      </c>
      <c r="U76" s="81">
        <v>15857.94</v>
      </c>
      <c r="V76" s="79" t="str">
        <f>INDEX(pARTNER[#All],MATCH(I_Miei_Rendiconti[[#This Row],[Column1.partnerId]],pARTNER[[#All],[Value.partnerSummary.id]],0),2)</f>
        <v>Primis Plus</v>
      </c>
      <c r="W76" s="79" t="b">
        <v>0</v>
      </c>
      <c r="X76" s="82">
        <f>I_Miei_Rendiconti[[#This Row],[Column1.totalAfterSubmitted]]-I_Miei_Rendiconti[[#This Row],[Column1.totalEligibleAfterControl]]</f>
        <v>334.8700000000008</v>
      </c>
      <c r="Y76" s="80">
        <f>IF(I_Miei_Rendiconti[[#This Row],[Column1.status]]="Certified",IFERROR(I_Miei_Rendiconti[[#This Row],[Financial corection]]/I_Miei_Rendiconti[[#This Row],[Column1.totalAfterSubmitted]],0),"Rendiconto da certificare")</f>
        <v>2.1116866377347929E-2</v>
      </c>
      <c r="Z76" s="207" t="str">
        <f>IF(I_Miei_Rendiconti[[#This Row],[Column1.status]]&lt;&gt;"Certified",INDEX('Partner data'!DG:DQ,MATCH(I_Miei_Rendiconti[[#This Row],[Column1.partnerId]],'Partner data'!DG:DG,0),13),"Rendiconto CONVALIDATO")</f>
        <v>Rendiconto CONVALIDATO</v>
      </c>
      <c r="AA76"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76" s="81" t="str">
        <f>IF(OR(I_Miei_Rendiconti[[#This Row],[N. previouse validated report ]]="Rendiconto CONVALIDATO",I_Miei_Rendiconti[[#This Row],[N. previouse validated report ]]="NON è stato convalidato ancora nessun rendiconto"),"NON PERTINENTE","fai la fromula")</f>
        <v>NON PERTINENTE</v>
      </c>
      <c r="AC76"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76" s="2">
        <f>INDEX('Partner data'!DG:DJ,MATCH(I_Miei_Rendiconti[[#This Row],[Column1.partnerId]],'Partner data'!DG:DG,0),3)</f>
        <v>1</v>
      </c>
      <c r="AE76" t="str" cm="1">
        <f t="array" ref="AE76">INDEX('Varie Tabelle'!$A$37:$C$51,MATCH(1,(I_Miei_Rendiconti[[#This Row],[Column1.firstSubmission]]&gt;='Varie Tabelle'!$B$37:$B$51)*(I_Miei_Rendiconti[[#This Row],[Column1.firstSubmission]]&lt;'Varie Tabelle'!$C$37:$C$51),0),1)</f>
        <v>Finestra 2</v>
      </c>
      <c r="AF76" s="109">
        <f>INDEX('Varie Tabelle'!$A$37:$C$51,MATCH('MY-REPORT-MAIN'!AE76,'Varie Tabelle'!$A$37:$A$51,0),2)</f>
        <v>45352</v>
      </c>
      <c r="AG76" s="109">
        <f>INDEX('Partner data'!DG:DR,MATCH(I_Miei_Rendiconti[[#This Row],[Column1.partnerId]],'Partner data'!DG:DG,0),12)</f>
        <v>45170</v>
      </c>
      <c r="AH76" s="115">
        <f t="shared" si="2"/>
        <v>5.9848733969089114</v>
      </c>
      <c r="AI76" t="str" cm="1">
        <f t="array" ref="AI76">INDEX('Varie Tabelle'!$A$12:$C$22,MATCH(1,('MY-REPORT-MAIN'!AH76&gt;='Varie Tabelle'!$B$12:$B$22)*('MY-REPORT-MAIN'!AH76&lt;='Varie Tabelle'!$C$12:$C$22),0),1)</f>
        <v>Periodo-1</v>
      </c>
      <c r="AJ76" s="14">
        <f>INDEX('Partner data'!A:EC,MATCH(I_Miei_Rendiconti[[#This Row],[Column1.partnerId]],'Partner data'!DG:DG,0),MATCH('MY-REPORT-MAIN'!AI76,'Partner data'!$2:$2,0))</f>
        <v>15960.3</v>
      </c>
      <c r="AK76" s="10">
        <f>SUMIFS($U$2:U76,$C$2:C76,I_Miei_Rendiconti[[#This Row],[Column1.partnerId]])-AJ76</f>
        <v>-102.35999999999876</v>
      </c>
      <c r="AL76" s="16">
        <f>IFERROR(1-(I_Miei_Rendiconti[[#This Row],[Column1.totalAfterSubmitted]]/AJ76),0)</f>
        <v>6.4134132817051936E-3</v>
      </c>
      <c r="AM76" s="14">
        <f>INDEX('Partner data'!A:EB,MATCH(I_Miei_Rendiconti[[#This Row],[Column1.partnerId]],'Partner data'!DG:DG,0),44)</f>
        <v>100035.7</v>
      </c>
      <c r="AN76" s="14">
        <f>SUMIFS(ListOfExpenditure!AP:AP,ListOfExpenditure!AJ:AJ,I_Miei_Rendiconti[[#This Row],[Column1.id]])</f>
        <v>0</v>
      </c>
      <c r="AO76" s="148">
        <f>SUMIFS(ReportSubmittedBL!W:W,ReportSubmittedBL!D:D,I_Miei_Rendiconti[[#This Row],[Column1.id]])</f>
        <v>10</v>
      </c>
      <c r="AP76" s="155" cm="1">
        <f t="array" ref="AP76">INDEX('Weight tables'!$A$32:$C$36,MATCH(1,('MY-REPORT-MAIN'!AO76&gt;='Weight tables'!$B$32:$B$36)*('MY-REPORT-MAIN'!AO76&lt;='Weight tables'!$C$32:$C$36),0),1)</f>
        <v>8.4</v>
      </c>
      <c r="AQ76" s="155">
        <f>INDEX('Weight tables'!$A$39:$B$41,MATCH(I_Miei_Rendiconti[[#This Row],[Previouse Report checked?yes/no]],'Weight tables'!$B$39:$B$41,0),1)</f>
        <v>8.4</v>
      </c>
      <c r="AR76" s="155" cm="1">
        <f t="array" ref="AR76">IF(I_Miei_Rendiconti[[#This Row],[Sum of errors in previous report ]]="NON PERTINENTE",0,INDEX('Weight tables'!$A$43:$C$46,MATCH(1,(I_Miei_Rendiconti[[#This Row],[Sum of errors in previous report ]]&gt;='Weight tables'!$B$43:$B$46)*(I_Miei_Rendiconti[[#This Row],[Sum of errors in previous report ]]&lt;='Weight tables'!$C$43:$C$46),0),1))</f>
        <v>0</v>
      </c>
      <c r="AS76" s="155" cm="1">
        <f t="array" ref="AS76">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76" s="155" cm="1">
        <f t="array" ref="AT76">INDEX('Weight tables'!$A$56:$C$65,MATCH(1,('MY-REPORT-MAIN'!U76&gt;='Weight tables'!$B$56:$B$65)*('MY-REPORT-MAIN'!U76&lt;='Weight tables'!$C$56:$C$65),0),1)</f>
        <v>1</v>
      </c>
      <c r="AU76" s="155" cm="1">
        <f t="array" ref="AU76">INDEX('Weight tables'!$A$68:$C$71,MATCH(1,('MY-REPORT-MAIN'!AL76&gt;='Weight tables'!$B$68:$B$71)*('MY-REPORT-MAIN'!AL76&lt;='Weight tables'!$C$68:$C$71),0),1)</f>
        <v>0</v>
      </c>
      <c r="AV76" s="155" cm="1">
        <f t="array" ref="AV76">INDEX('Weight tables'!$A$74:$C$78,MATCH(1,('MY-REPORT-MAIN'!AN76&gt;='Weight tables'!$B$74:$B$78)*('MY-REPORT-MAIN'!AN76&lt;='Weight tables'!$C$74:$C$78),0),1)</f>
        <v>0</v>
      </c>
      <c r="AW76" s="16">
        <f>IF(I_Miei_Rendiconti[[#This Row],[Column1.totalAfterSubmitted]]/AM76&gt;50%,"Checked",0)</f>
        <v>0</v>
      </c>
      <c r="AX76" s="155">
        <f t="shared" si="3"/>
        <v>17.8</v>
      </c>
      <c r="AY76" s="155" t="str">
        <f>INDEX('Partner data'!A:EB,MATCH(I_Miei_Rendiconti[[#This Row],[Column1.partnerId]],'Partner data'!DG:DG,0),92)</f>
        <v>Italia (IT)</v>
      </c>
    </row>
    <row r="77" spans="1:51" ht="30" x14ac:dyDescent="0.25">
      <c r="A77" s="79">
        <v>165</v>
      </c>
      <c r="B77" s="79">
        <v>76</v>
      </c>
      <c r="C77" s="79">
        <v>232</v>
      </c>
      <c r="D77" s="79" t="s">
        <v>2087</v>
      </c>
      <c r="E77" s="79" t="s">
        <v>253</v>
      </c>
      <c r="F77" s="79">
        <v>5</v>
      </c>
      <c r="G77" s="206" t="s">
        <v>290</v>
      </c>
      <c r="H77" s="79">
        <v>1</v>
      </c>
      <c r="I77" s="79" t="s">
        <v>4339</v>
      </c>
      <c r="J77" s="79" t="s">
        <v>1118</v>
      </c>
      <c r="K77" s="208">
        <v>45379.437650694446</v>
      </c>
      <c r="M77" s="208">
        <v>45422.549058483797</v>
      </c>
      <c r="N77" s="79" t="s">
        <v>4419</v>
      </c>
      <c r="O77" s="79" t="s">
        <v>4347</v>
      </c>
      <c r="P77" s="79" t="s">
        <v>4348</v>
      </c>
      <c r="Q77" s="79" t="s">
        <v>4343</v>
      </c>
      <c r="R77" s="79">
        <v>40</v>
      </c>
      <c r="S77" s="79">
        <v>1</v>
      </c>
      <c r="T77" s="81">
        <v>5931.61</v>
      </c>
      <c r="U77" s="81">
        <v>6031.08</v>
      </c>
      <c r="V77" s="79" t="str">
        <f>INDEX(pARTNER[#All],MATCH(I_Miei_Rendiconti[[#This Row],[Column1.partnerId]],pARTNER[[#All],[Value.partnerSummary.id]],0),2)</f>
        <v>BEE2GETHER</v>
      </c>
      <c r="W77" s="79" t="b">
        <v>0</v>
      </c>
      <c r="X77" s="82">
        <f>I_Miei_Rendiconti[[#This Row],[Column1.totalAfterSubmitted]]-I_Miei_Rendiconti[[#This Row],[Column1.totalEligibleAfterControl]]</f>
        <v>99.470000000000255</v>
      </c>
      <c r="Y77" s="80">
        <f>IF(I_Miei_Rendiconti[[#This Row],[Column1.status]]="Certified",IFERROR(I_Miei_Rendiconti[[#This Row],[Financial corection]]/I_Miei_Rendiconti[[#This Row],[Column1.totalAfterSubmitted]],0),"Rendiconto da certificare")</f>
        <v>1.6492900110759642E-2</v>
      </c>
      <c r="Z77" s="207" t="str">
        <f>IF(I_Miei_Rendiconti[[#This Row],[Column1.status]]&lt;&gt;"Certified",INDEX('Partner data'!DG:DQ,MATCH(I_Miei_Rendiconti[[#This Row],[Column1.partnerId]],'Partner data'!DG:DG,0),13),"Rendiconto CONVALIDATO")</f>
        <v>Rendiconto CONVALIDATO</v>
      </c>
      <c r="AA77"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77" s="81" t="str">
        <f>IF(OR(I_Miei_Rendiconti[[#This Row],[N. previouse validated report ]]="Rendiconto CONVALIDATO",I_Miei_Rendiconti[[#This Row],[N. previouse validated report ]]="NON è stato convalidato ancora nessun rendiconto"),"NON PERTINENTE","fai la fromula")</f>
        <v>NON PERTINENTE</v>
      </c>
      <c r="AC77"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77" s="2">
        <f>INDEX('Partner data'!DG:DJ,MATCH(I_Miei_Rendiconti[[#This Row],[Column1.partnerId]],'Partner data'!DG:DG,0),3)</f>
        <v>1</v>
      </c>
      <c r="AE77" t="str" cm="1">
        <f t="array" ref="AE77">INDEX('Varie Tabelle'!$A$37:$C$51,MATCH(1,(I_Miei_Rendiconti[[#This Row],[Column1.firstSubmission]]&gt;='Varie Tabelle'!$B$37:$B$51)*(I_Miei_Rendiconti[[#This Row],[Column1.firstSubmission]]&lt;'Varie Tabelle'!$C$37:$C$51),0),1)</f>
        <v>Finestra 2</v>
      </c>
      <c r="AF77" s="109">
        <f>INDEX('Varie Tabelle'!$A$37:$C$51,MATCH('MY-REPORT-MAIN'!AE77,'Varie Tabelle'!$A$37:$A$51,0),2)</f>
        <v>45352</v>
      </c>
      <c r="AG77" s="109">
        <f>INDEX('Partner data'!DG:DR,MATCH(I_Miei_Rendiconti[[#This Row],[Column1.partnerId]],'Partner data'!DG:DG,0),12)</f>
        <v>45170</v>
      </c>
      <c r="AH77" s="115">
        <f t="shared" si="2"/>
        <v>5.9848733969089114</v>
      </c>
      <c r="AI77" t="str" cm="1">
        <f t="array" ref="AI77">INDEX('Varie Tabelle'!$A$12:$C$22,MATCH(1,('MY-REPORT-MAIN'!AH77&gt;='Varie Tabelle'!$B$12:$B$22)*('MY-REPORT-MAIN'!AH77&lt;='Varie Tabelle'!$C$12:$C$22),0),1)</f>
        <v>Periodo-1</v>
      </c>
      <c r="AJ77" s="14">
        <f>INDEX('Partner data'!A:EC,MATCH(I_Miei_Rendiconti[[#This Row],[Column1.partnerId]],'Partner data'!DG:DG,0),MATCH('MY-REPORT-MAIN'!AI77,'Partner data'!$2:$2,0))</f>
        <v>31660</v>
      </c>
      <c r="AK77" s="10">
        <f>SUMIFS($U$2:U77,$C$2:C77,I_Miei_Rendiconti[[#This Row],[Column1.partnerId]])-AJ77</f>
        <v>-25628.92</v>
      </c>
      <c r="AL77" s="16">
        <f>IFERROR(1-(I_Miei_Rendiconti[[#This Row],[Column1.totalAfterSubmitted]]/AJ77),0)</f>
        <v>0.80950473783954513</v>
      </c>
      <c r="AM77" s="14">
        <f>INDEX('Partner data'!A:EB,MATCH(I_Miei_Rendiconti[[#This Row],[Column1.partnerId]],'Partner data'!DG:DG,0),44)</f>
        <v>128978.08</v>
      </c>
      <c r="AN77" s="14">
        <f>SUMIFS(ListOfExpenditure!AP:AP,ListOfExpenditure!AJ:AJ,I_Miei_Rendiconti[[#This Row],[Column1.id]])</f>
        <v>0</v>
      </c>
      <c r="AO77" s="148">
        <f>SUMIFS(ReportSubmittedBL!W:W,ReportSubmittedBL!D:D,I_Miei_Rendiconti[[#This Row],[Column1.id]])</f>
        <v>10</v>
      </c>
      <c r="AP77" s="155" cm="1">
        <f t="array" ref="AP77">INDEX('Weight tables'!$A$32:$C$36,MATCH(1,('MY-REPORT-MAIN'!AO77&gt;='Weight tables'!$B$32:$B$36)*('MY-REPORT-MAIN'!AO77&lt;='Weight tables'!$C$32:$C$36),0),1)</f>
        <v>8.4</v>
      </c>
      <c r="AQ77" s="155">
        <f>INDEX('Weight tables'!$A$39:$B$41,MATCH(I_Miei_Rendiconti[[#This Row],[Previouse Report checked?yes/no]],'Weight tables'!$B$39:$B$41,0),1)</f>
        <v>8.4</v>
      </c>
      <c r="AR77" s="155" cm="1">
        <f t="array" ref="AR77">IF(I_Miei_Rendiconti[[#This Row],[Sum of errors in previous report ]]="NON PERTINENTE",0,INDEX('Weight tables'!$A$43:$C$46,MATCH(1,(I_Miei_Rendiconti[[#This Row],[Sum of errors in previous report ]]&gt;='Weight tables'!$B$43:$B$46)*(I_Miei_Rendiconti[[#This Row],[Sum of errors in previous report ]]&lt;='Weight tables'!$C$43:$C$46),0),1))</f>
        <v>0</v>
      </c>
      <c r="AS77" s="155" cm="1">
        <f t="array" ref="AS77">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77" s="155" cm="1">
        <f t="array" ref="AT77">INDEX('Weight tables'!$A$56:$C$65,MATCH(1,('MY-REPORT-MAIN'!U77&gt;='Weight tables'!$B$56:$B$65)*('MY-REPORT-MAIN'!U77&lt;='Weight tables'!$C$56:$C$65),0),1)</f>
        <v>0</v>
      </c>
      <c r="AU77" s="155" cm="1">
        <f t="array" ref="AU77">INDEX('Weight tables'!$A$68:$C$71,MATCH(1,('MY-REPORT-MAIN'!AL77&gt;='Weight tables'!$B$68:$B$71)*('MY-REPORT-MAIN'!AL77&lt;='Weight tables'!$C$68:$C$71),0),1)</f>
        <v>2</v>
      </c>
      <c r="AV77" s="155" cm="1">
        <f t="array" ref="AV77">INDEX('Weight tables'!$A$74:$C$78,MATCH(1,('MY-REPORT-MAIN'!AN77&gt;='Weight tables'!$B$74:$B$78)*('MY-REPORT-MAIN'!AN77&lt;='Weight tables'!$C$74:$C$78),0),1)</f>
        <v>0</v>
      </c>
      <c r="AW77" s="16">
        <f>IF(I_Miei_Rendiconti[[#This Row],[Column1.totalAfterSubmitted]]/AM77&gt;50%,"Checked",0)</f>
        <v>0</v>
      </c>
      <c r="AX77" s="155">
        <f t="shared" si="3"/>
        <v>18.8</v>
      </c>
      <c r="AY77" s="155" t="str">
        <f>INDEX('Partner data'!A:EB,MATCH(I_Miei_Rendiconti[[#This Row],[Column1.partnerId]],'Partner data'!DG:DG,0),92)</f>
        <v>Slovenija (SI)</v>
      </c>
    </row>
    <row r="78" spans="1:51" ht="30" x14ac:dyDescent="0.25">
      <c r="A78" s="79">
        <v>184</v>
      </c>
      <c r="B78" s="79">
        <v>43</v>
      </c>
      <c r="C78" s="79">
        <v>62</v>
      </c>
      <c r="D78" s="79" t="s">
        <v>1041</v>
      </c>
      <c r="E78" s="79" t="s">
        <v>253</v>
      </c>
      <c r="F78" s="79">
        <v>3</v>
      </c>
      <c r="G78" s="206" t="s">
        <v>290</v>
      </c>
      <c r="H78" s="79">
        <v>1</v>
      </c>
      <c r="I78" s="79" t="s">
        <v>4339</v>
      </c>
      <c r="J78" s="79" t="s">
        <v>1043</v>
      </c>
      <c r="K78" s="208">
        <v>45379.445356956021</v>
      </c>
      <c r="L78" s="79" t="s">
        <v>4434</v>
      </c>
      <c r="M78" s="208">
        <v>45433.448165578702</v>
      </c>
      <c r="N78" s="79" t="s">
        <v>4435</v>
      </c>
      <c r="O78" s="79" t="s">
        <v>4363</v>
      </c>
      <c r="P78" s="79" t="s">
        <v>4348</v>
      </c>
      <c r="Q78" s="79" t="s">
        <v>4343</v>
      </c>
      <c r="T78" s="81">
        <v>4321.66</v>
      </c>
      <c r="U78" s="81">
        <v>4416.1499999999996</v>
      </c>
      <c r="V78" s="79" t="str">
        <f>INDEX(pARTNER[#All],MATCH(I_Miei_Rendiconti[[#This Row],[Column1.partnerId]],pARTNER[[#All],[Value.partnerSummary.id]],0),2)</f>
        <v>IRRIGAVIT</v>
      </c>
      <c r="W78" s="79" t="b">
        <v>0</v>
      </c>
      <c r="X78" s="82">
        <f>I_Miei_Rendiconti[[#This Row],[Column1.totalAfterSubmitted]]-I_Miei_Rendiconti[[#This Row],[Column1.totalEligibleAfterControl]]</f>
        <v>94.489999999999782</v>
      </c>
      <c r="Y78" s="80">
        <f>IF(I_Miei_Rendiconti[[#This Row],[Column1.status]]="Certified",IFERROR(I_Miei_Rendiconti[[#This Row],[Financial corection]]/I_Miei_Rendiconti[[#This Row],[Column1.totalAfterSubmitted]],0),"Rendiconto da certificare")</f>
        <v>2.139646524687789E-2</v>
      </c>
      <c r="Z78" s="207" t="str">
        <f>IF(I_Miei_Rendiconti[[#This Row],[Column1.status]]&lt;&gt;"Certified",INDEX('Partner data'!DG:DQ,MATCH(I_Miei_Rendiconti[[#This Row],[Column1.partnerId]],'Partner data'!DG:DG,0),13),"Rendiconto CONVALIDATO")</f>
        <v>Rendiconto CONVALIDATO</v>
      </c>
      <c r="AA78"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78" s="81" t="str">
        <f>IF(OR(I_Miei_Rendiconti[[#This Row],[N. previouse validated report ]]="Rendiconto CONVALIDATO",I_Miei_Rendiconti[[#This Row],[N. previouse validated report ]]="NON è stato convalidato ancora nessun rendiconto"),"NON PERTINENTE","fai la fromula")</f>
        <v>NON PERTINENTE</v>
      </c>
      <c r="AC78"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78" s="2">
        <f>INDEX('Partner data'!DG:DJ,MATCH(I_Miei_Rendiconti[[#This Row],[Column1.partnerId]],'Partner data'!DG:DG,0),3)</f>
        <v>1</v>
      </c>
      <c r="AE78" t="str" cm="1">
        <f t="array" ref="AE78">INDEX('Varie Tabelle'!$A$37:$C$51,MATCH(1,(I_Miei_Rendiconti[[#This Row],[Column1.firstSubmission]]&gt;='Varie Tabelle'!$B$37:$B$51)*(I_Miei_Rendiconti[[#This Row],[Column1.firstSubmission]]&lt;'Varie Tabelle'!$C$37:$C$51),0),1)</f>
        <v>Finestra 2</v>
      </c>
      <c r="AF78" s="109">
        <f>INDEX('Varie Tabelle'!$A$37:$C$51,MATCH('MY-REPORT-MAIN'!AE78,'Varie Tabelle'!$A$37:$A$51,0),2)</f>
        <v>45352</v>
      </c>
      <c r="AG78" s="109">
        <f>INDEX('Partner data'!DG:DR,MATCH(I_Miei_Rendiconti[[#This Row],[Column1.partnerId]],'Partner data'!DG:DG,0),12)</f>
        <v>45200</v>
      </c>
      <c r="AH78" s="115">
        <f t="shared" si="2"/>
        <v>4.9983558040118385</v>
      </c>
      <c r="AI78" t="str" cm="1">
        <f t="array" ref="AI78">INDEX('Varie Tabelle'!$A$12:$C$22,MATCH(1,('MY-REPORT-MAIN'!AH78&gt;='Varie Tabelle'!$B$12:$B$22)*('MY-REPORT-MAIN'!AH78&lt;='Varie Tabelle'!$C$12:$C$22),0),1)</f>
        <v>Periodo-1</v>
      </c>
      <c r="AJ78" s="14">
        <f>INDEX('Partner data'!A:EC,MATCH(I_Miei_Rendiconti[[#This Row],[Column1.partnerId]],'Partner data'!DG:DG,0),MATCH('MY-REPORT-MAIN'!AI78,'Partner data'!$2:$2,0))</f>
        <v>29035</v>
      </c>
      <c r="AK78" s="10">
        <f>SUMIFS($U$2:U78,$C$2:C78,I_Miei_Rendiconti[[#This Row],[Column1.partnerId]])-AJ78</f>
        <v>-24618.85</v>
      </c>
      <c r="AL78" s="16">
        <f>IFERROR(1-(I_Miei_Rendiconti[[#This Row],[Column1.totalAfterSubmitted]]/AJ78),0)</f>
        <v>0.84790253142758742</v>
      </c>
      <c r="AM78" s="14">
        <f>INDEX('Partner data'!A:EB,MATCH(I_Miei_Rendiconti[[#This Row],[Column1.partnerId]],'Partner data'!DG:DG,0),44)</f>
        <v>115000</v>
      </c>
      <c r="AN78" s="14">
        <f>SUMIFS(ListOfExpenditure!AP:AP,ListOfExpenditure!AJ:AJ,I_Miei_Rendiconti[[#This Row],[Column1.id]])</f>
        <v>0</v>
      </c>
      <c r="AO78" s="148">
        <f>SUMIFS(ReportSubmittedBL!W:W,ReportSubmittedBL!D:D,I_Miei_Rendiconti[[#This Row],[Column1.id]])</f>
        <v>12</v>
      </c>
      <c r="AP78" s="155" cm="1">
        <f t="array" ref="AP78">INDEX('Weight tables'!$A$32:$C$36,MATCH(1,('MY-REPORT-MAIN'!AO78&gt;='Weight tables'!$B$32:$B$36)*('MY-REPORT-MAIN'!AO78&lt;='Weight tables'!$C$32:$C$36),0),1)</f>
        <v>8.4</v>
      </c>
      <c r="AQ78" s="155">
        <f>INDEX('Weight tables'!$A$39:$B$41,MATCH(I_Miei_Rendiconti[[#This Row],[Previouse Report checked?yes/no]],'Weight tables'!$B$39:$B$41,0),1)</f>
        <v>8.4</v>
      </c>
      <c r="AR78" s="155" cm="1">
        <f t="array" ref="AR78">IF(I_Miei_Rendiconti[[#This Row],[Sum of errors in previous report ]]="NON PERTINENTE",0,INDEX('Weight tables'!$A$43:$C$46,MATCH(1,(I_Miei_Rendiconti[[#This Row],[Sum of errors in previous report ]]&gt;='Weight tables'!$B$43:$B$46)*(I_Miei_Rendiconti[[#This Row],[Sum of errors in previous report ]]&lt;='Weight tables'!$C$43:$C$46),0),1))</f>
        <v>0</v>
      </c>
      <c r="AS78" s="155" cm="1">
        <f t="array" ref="AS78">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78" s="155" cm="1">
        <f t="array" ref="AT78">INDEX('Weight tables'!$A$56:$C$65,MATCH(1,('MY-REPORT-MAIN'!U78&gt;='Weight tables'!$B$56:$B$65)*('MY-REPORT-MAIN'!U78&lt;='Weight tables'!$C$56:$C$65),0),1)</f>
        <v>0</v>
      </c>
      <c r="AU78" s="155" cm="1">
        <f t="array" ref="AU78">INDEX('Weight tables'!$A$68:$C$71,MATCH(1,('MY-REPORT-MAIN'!AL78&gt;='Weight tables'!$B$68:$B$71)*('MY-REPORT-MAIN'!AL78&lt;='Weight tables'!$C$68:$C$71),0),1)</f>
        <v>2</v>
      </c>
      <c r="AV78" s="155" cm="1">
        <f t="array" ref="AV78">INDEX('Weight tables'!$A$74:$C$78,MATCH(1,('MY-REPORT-MAIN'!AN78&gt;='Weight tables'!$B$74:$B$78)*('MY-REPORT-MAIN'!AN78&lt;='Weight tables'!$C$74:$C$78),0),1)</f>
        <v>0</v>
      </c>
      <c r="AW78" s="16">
        <f>IF(I_Miei_Rendiconti[[#This Row],[Column1.totalAfterSubmitted]]/AM78&gt;50%,"Checked",0)</f>
        <v>0</v>
      </c>
      <c r="AX78" s="155">
        <f t="shared" si="3"/>
        <v>18.8</v>
      </c>
      <c r="AY78" s="155" t="str">
        <f>INDEX('Partner data'!A:EB,MATCH(I_Miei_Rendiconti[[#This Row],[Column1.partnerId]],'Partner data'!DG:DG,0),92)</f>
        <v>Slovenija (SI)</v>
      </c>
    </row>
    <row r="79" spans="1:51" ht="30" x14ac:dyDescent="0.25">
      <c r="A79" s="79">
        <v>230</v>
      </c>
      <c r="B79" s="79">
        <v>83</v>
      </c>
      <c r="C79" s="79">
        <v>242</v>
      </c>
      <c r="D79" s="79" t="s">
        <v>2171</v>
      </c>
      <c r="E79" s="79" t="s">
        <v>253</v>
      </c>
      <c r="F79" s="79">
        <v>4</v>
      </c>
      <c r="G79" s="206" t="s">
        <v>364</v>
      </c>
      <c r="H79" s="79">
        <v>1</v>
      </c>
      <c r="I79" s="79" t="s">
        <v>4339</v>
      </c>
      <c r="J79" s="79" t="s">
        <v>593</v>
      </c>
      <c r="K79" s="208">
        <v>45379.453746608793</v>
      </c>
      <c r="M79" s="208">
        <v>45434.445753553242</v>
      </c>
      <c r="N79" s="79" t="s">
        <v>4468</v>
      </c>
      <c r="O79" s="79" t="s">
        <v>4363</v>
      </c>
      <c r="P79" s="79" t="s">
        <v>4348</v>
      </c>
      <c r="Q79" s="79" t="s">
        <v>4343</v>
      </c>
      <c r="T79" s="81">
        <v>14095.16</v>
      </c>
      <c r="U79" s="81">
        <v>14095.16</v>
      </c>
      <c r="V79" s="79" t="str">
        <f>INDEX(pARTNER[#All],MATCH(I_Miei_Rendiconti[[#This Row],[Column1.partnerId]],pARTNER[[#All],[Value.partnerSummary.id]],0),2)</f>
        <v>IN4SAFETY</v>
      </c>
      <c r="W79" s="79" t="b">
        <v>0</v>
      </c>
      <c r="X79" s="82">
        <f>I_Miei_Rendiconti[[#This Row],[Column1.totalAfterSubmitted]]-I_Miei_Rendiconti[[#This Row],[Column1.totalEligibleAfterControl]]</f>
        <v>0</v>
      </c>
      <c r="Y79" s="80">
        <f>IF(I_Miei_Rendiconti[[#This Row],[Column1.status]]="Certified",IFERROR(I_Miei_Rendiconti[[#This Row],[Financial corection]]/I_Miei_Rendiconti[[#This Row],[Column1.totalAfterSubmitted]],0),"Rendiconto da certificare")</f>
        <v>0</v>
      </c>
      <c r="Z79" s="207" t="str">
        <f>IF(I_Miei_Rendiconti[[#This Row],[Column1.status]]&lt;&gt;"Certified",INDEX('Partner data'!DG:DQ,MATCH(I_Miei_Rendiconti[[#This Row],[Column1.partnerId]],'Partner data'!DG:DG,0),13),"Rendiconto CONVALIDATO")</f>
        <v>Rendiconto CONVALIDATO</v>
      </c>
      <c r="AA79"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79" s="81" t="str">
        <f>IF(OR(I_Miei_Rendiconti[[#This Row],[N. previouse validated report ]]="Rendiconto CONVALIDATO",I_Miei_Rendiconti[[#This Row],[N. previouse validated report ]]="NON è stato convalidato ancora nessun rendiconto"),"NON PERTINENTE","fai la fromula")</f>
        <v>NON PERTINENTE</v>
      </c>
      <c r="AC79"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79" s="2">
        <f>INDEX('Partner data'!DG:DJ,MATCH(I_Miei_Rendiconti[[#This Row],[Column1.partnerId]],'Partner data'!DG:DG,0),3)</f>
        <v>1</v>
      </c>
      <c r="AE79" t="str" cm="1">
        <f t="array" ref="AE79">INDEX('Varie Tabelle'!$A$37:$C$51,MATCH(1,(I_Miei_Rendiconti[[#This Row],[Column1.firstSubmission]]&gt;='Varie Tabelle'!$B$37:$B$51)*(I_Miei_Rendiconti[[#This Row],[Column1.firstSubmission]]&lt;'Varie Tabelle'!$C$37:$C$51),0),1)</f>
        <v>Finestra 2</v>
      </c>
      <c r="AF79" s="109">
        <f>INDEX('Varie Tabelle'!$A$37:$C$51,MATCH('MY-REPORT-MAIN'!AE79,'Varie Tabelle'!$A$37:$A$51,0),2)</f>
        <v>45352</v>
      </c>
      <c r="AG79" s="109">
        <f>INDEX('Partner data'!DG:DR,MATCH(I_Miei_Rendiconti[[#This Row],[Column1.partnerId]],'Partner data'!DG:DG,0),12)</f>
        <v>45200</v>
      </c>
      <c r="AH79" s="115">
        <f t="shared" si="2"/>
        <v>4.9983558040118385</v>
      </c>
      <c r="AI79" t="str" cm="1">
        <f t="array" ref="AI79">INDEX('Varie Tabelle'!$A$12:$C$22,MATCH(1,('MY-REPORT-MAIN'!AH79&gt;='Varie Tabelle'!$B$12:$B$22)*('MY-REPORT-MAIN'!AH79&lt;='Varie Tabelle'!$C$12:$C$22),0),1)</f>
        <v>Periodo-1</v>
      </c>
      <c r="AJ79" s="14">
        <f>INDEX('Partner data'!A:EC,MATCH(I_Miei_Rendiconti[[#This Row],[Column1.partnerId]],'Partner data'!DG:DG,0),MATCH('MY-REPORT-MAIN'!AI79,'Partner data'!$2:$2,0))</f>
        <v>17744.900000000001</v>
      </c>
      <c r="AK79" s="10">
        <f>SUMIFS($U$2:U79,$C$2:C79,I_Miei_Rendiconti[[#This Row],[Column1.partnerId]])-AJ79</f>
        <v>-3649.7400000000016</v>
      </c>
      <c r="AL79" s="16">
        <f>IFERROR(1-(I_Miei_Rendiconti[[#This Row],[Column1.totalAfterSubmitted]]/AJ79),0)</f>
        <v>0.20567825121584238</v>
      </c>
      <c r="AM79" s="14">
        <f>INDEX('Partner data'!A:EB,MATCH(I_Miei_Rendiconti[[#This Row],[Column1.partnerId]],'Partner data'!DG:DG,0),44)</f>
        <v>121866.1</v>
      </c>
      <c r="AN79" s="14">
        <f>SUMIFS(ListOfExpenditure!AP:AP,ListOfExpenditure!AJ:AJ,I_Miei_Rendiconti[[#This Row],[Column1.id]])</f>
        <v>0</v>
      </c>
      <c r="AO79" s="148">
        <f>SUMIFS(ReportSubmittedBL!W:W,ReportSubmittedBL!D:D,I_Miei_Rendiconti[[#This Row],[Column1.id]])</f>
        <v>12</v>
      </c>
      <c r="AP79" s="155" cm="1">
        <f t="array" ref="AP79">INDEX('Weight tables'!$A$32:$C$36,MATCH(1,('MY-REPORT-MAIN'!AO79&gt;='Weight tables'!$B$32:$B$36)*('MY-REPORT-MAIN'!AO79&lt;='Weight tables'!$C$32:$C$36),0),1)</f>
        <v>8.4</v>
      </c>
      <c r="AQ79" s="155">
        <f>INDEX('Weight tables'!$A$39:$B$41,MATCH(I_Miei_Rendiconti[[#This Row],[Previouse Report checked?yes/no]],'Weight tables'!$B$39:$B$41,0),1)</f>
        <v>8.4</v>
      </c>
      <c r="AR79" s="155" cm="1">
        <f t="array" ref="AR79">IF(I_Miei_Rendiconti[[#This Row],[Sum of errors in previous report ]]="NON PERTINENTE",0,INDEX('Weight tables'!$A$43:$C$46,MATCH(1,(I_Miei_Rendiconti[[#This Row],[Sum of errors in previous report ]]&gt;='Weight tables'!$B$43:$B$46)*(I_Miei_Rendiconti[[#This Row],[Sum of errors in previous report ]]&lt;='Weight tables'!$C$43:$C$46),0),1))</f>
        <v>0</v>
      </c>
      <c r="AS79" s="155" cm="1">
        <f t="array" ref="AS79">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79" s="155" cm="1">
        <f t="array" ref="AT79">INDEX('Weight tables'!$A$56:$C$65,MATCH(1,('MY-REPORT-MAIN'!U79&gt;='Weight tables'!$B$56:$B$65)*('MY-REPORT-MAIN'!U79&lt;='Weight tables'!$C$56:$C$65),0),1)</f>
        <v>1</v>
      </c>
      <c r="AU79" s="155" cm="1">
        <f t="array" ref="AU79">INDEX('Weight tables'!$A$68:$C$71,MATCH(1,('MY-REPORT-MAIN'!AL79&gt;='Weight tables'!$B$68:$B$71)*('MY-REPORT-MAIN'!AL79&lt;='Weight tables'!$C$68:$C$71),0),1)</f>
        <v>2</v>
      </c>
      <c r="AV79" s="155" cm="1">
        <f t="array" ref="AV79">INDEX('Weight tables'!$A$74:$C$78,MATCH(1,('MY-REPORT-MAIN'!AN79&gt;='Weight tables'!$B$74:$B$78)*('MY-REPORT-MAIN'!AN79&lt;='Weight tables'!$C$74:$C$78),0),1)</f>
        <v>0</v>
      </c>
      <c r="AW79" s="16">
        <f>IF(I_Miei_Rendiconti[[#This Row],[Column1.totalAfterSubmitted]]/AM79&gt;50%,"Checked",0)</f>
        <v>0</v>
      </c>
      <c r="AX79" s="155">
        <f t="shared" si="3"/>
        <v>19.8</v>
      </c>
      <c r="AY79" s="155" t="str">
        <f>INDEX('Partner data'!A:EB,MATCH(I_Miei_Rendiconti[[#This Row],[Column1.partnerId]],'Partner data'!DG:DG,0),92)</f>
        <v>Italia (IT)</v>
      </c>
    </row>
    <row r="80" spans="1:51" ht="30" x14ac:dyDescent="0.25">
      <c r="A80" s="79">
        <v>124</v>
      </c>
      <c r="B80" s="79">
        <v>53</v>
      </c>
      <c r="C80" s="79">
        <v>101</v>
      </c>
      <c r="D80" s="79" t="s">
        <v>1364</v>
      </c>
      <c r="E80" s="79" t="s">
        <v>264</v>
      </c>
      <c r="F80" s="79">
        <v>1</v>
      </c>
      <c r="G80" s="206" t="s">
        <v>305</v>
      </c>
      <c r="H80" s="79">
        <v>1</v>
      </c>
      <c r="I80" s="79" t="s">
        <v>4339</v>
      </c>
      <c r="J80" s="79" t="s">
        <v>490</v>
      </c>
      <c r="K80" s="208">
        <v>45379.469844594911</v>
      </c>
      <c r="M80" s="208">
        <v>45427.36144320602</v>
      </c>
      <c r="N80" s="79" t="s">
        <v>4399</v>
      </c>
      <c r="O80" s="79" t="s">
        <v>4347</v>
      </c>
      <c r="P80" s="79" t="s">
        <v>4348</v>
      </c>
      <c r="Q80" s="79" t="s">
        <v>4343</v>
      </c>
      <c r="R80" s="79">
        <v>31</v>
      </c>
      <c r="S80" s="79">
        <v>1</v>
      </c>
      <c r="T80" s="81">
        <v>13693.79</v>
      </c>
      <c r="U80" s="81">
        <v>13693.79</v>
      </c>
      <c r="V80" s="79" t="str">
        <f>INDEX(pARTNER[#All],MATCH(I_Miei_Rendiconti[[#This Row],[Column1.partnerId]],pARTNER[[#All],[Value.partnerSummary.id]],0),2)</f>
        <v>ECO2SMART</v>
      </c>
      <c r="W80" s="79" t="b">
        <v>0</v>
      </c>
      <c r="X80" s="82">
        <f>I_Miei_Rendiconti[[#This Row],[Column1.totalAfterSubmitted]]-I_Miei_Rendiconti[[#This Row],[Column1.totalEligibleAfterControl]]</f>
        <v>0</v>
      </c>
      <c r="Y80" s="80">
        <f>IF(I_Miei_Rendiconti[[#This Row],[Column1.status]]="Certified",IFERROR(I_Miei_Rendiconti[[#This Row],[Financial corection]]/I_Miei_Rendiconti[[#This Row],[Column1.totalAfterSubmitted]],0),"Rendiconto da certificare")</f>
        <v>0</v>
      </c>
      <c r="Z80" s="207" t="str">
        <f>IF(I_Miei_Rendiconti[[#This Row],[Column1.status]]&lt;&gt;"Certified",INDEX('Partner data'!DG:DQ,MATCH(I_Miei_Rendiconti[[#This Row],[Column1.partnerId]],'Partner data'!DG:DG,0),13),"Rendiconto CONVALIDATO")</f>
        <v>Rendiconto CONVALIDATO</v>
      </c>
      <c r="AA80"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80" s="81" t="str">
        <f>IF(OR(I_Miei_Rendiconti[[#This Row],[N. previouse validated report ]]="Rendiconto CONVALIDATO",I_Miei_Rendiconti[[#This Row],[N. previouse validated report ]]="NON è stato convalidato ancora nessun rendiconto"),"NON PERTINENTE","fai la fromula")</f>
        <v>NON PERTINENTE</v>
      </c>
      <c r="AC80"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80" s="2">
        <f>INDEX('Partner data'!DG:DJ,MATCH(I_Miei_Rendiconti[[#This Row],[Column1.partnerId]],'Partner data'!DG:DG,0),3)</f>
        <v>1</v>
      </c>
      <c r="AE80" t="str" cm="1">
        <f t="array" ref="AE80">INDEX('Varie Tabelle'!$A$37:$C$51,MATCH(1,(I_Miei_Rendiconti[[#This Row],[Column1.firstSubmission]]&gt;='Varie Tabelle'!$B$37:$B$51)*(I_Miei_Rendiconti[[#This Row],[Column1.firstSubmission]]&lt;'Varie Tabelle'!$C$37:$C$51),0),1)</f>
        <v>Finestra 2</v>
      </c>
      <c r="AF80" s="109">
        <f>INDEX('Varie Tabelle'!$A$37:$C$51,MATCH('MY-REPORT-MAIN'!AE80,'Varie Tabelle'!$A$37:$A$51,0),2)</f>
        <v>45352</v>
      </c>
      <c r="AG80" s="109">
        <f>INDEX('Partner data'!DG:DR,MATCH(I_Miei_Rendiconti[[#This Row],[Column1.partnerId]],'Partner data'!DG:DG,0),12)</f>
        <v>45170</v>
      </c>
      <c r="AH80" s="115">
        <f t="shared" si="2"/>
        <v>5.9848733969089114</v>
      </c>
      <c r="AI80" t="str" cm="1">
        <f t="array" ref="AI80">INDEX('Varie Tabelle'!$A$12:$C$22,MATCH(1,('MY-REPORT-MAIN'!AH80&gt;='Varie Tabelle'!$B$12:$B$22)*('MY-REPORT-MAIN'!AH80&lt;='Varie Tabelle'!$C$12:$C$22),0),1)</f>
        <v>Periodo-1</v>
      </c>
      <c r="AJ80" s="14">
        <f>INDEX('Partner data'!A:EC,MATCH(I_Miei_Rendiconti[[#This Row],[Column1.partnerId]],'Partner data'!DG:DG,0),MATCH('MY-REPORT-MAIN'!AI80,'Partner data'!$2:$2,0))</f>
        <v>27817.599999999999</v>
      </c>
      <c r="AK80" s="10">
        <f>SUMIFS($U$2:U80,$C$2:C80,I_Miei_Rendiconti[[#This Row],[Column1.partnerId]])-AJ80</f>
        <v>-14123.809999999998</v>
      </c>
      <c r="AL80" s="16">
        <f>IFERROR(1-(I_Miei_Rendiconti[[#This Row],[Column1.totalAfterSubmitted]]/AJ80),0)</f>
        <v>0.50772927930518796</v>
      </c>
      <c r="AM80" s="14">
        <f>INDEX('Partner data'!A:EB,MATCH(I_Miei_Rendiconti[[#This Row],[Column1.partnerId]],'Partner data'!DG:DG,0),44)</f>
        <v>186034</v>
      </c>
      <c r="AN80" s="14">
        <f>SUMIFS(ListOfExpenditure!AP:AP,ListOfExpenditure!AJ:AJ,I_Miei_Rendiconti[[#This Row],[Column1.id]])</f>
        <v>0</v>
      </c>
      <c r="AO80" s="148">
        <f>SUMIFS(ReportSubmittedBL!W:W,ReportSubmittedBL!D:D,I_Miei_Rendiconti[[#This Row],[Column1.id]])</f>
        <v>12</v>
      </c>
      <c r="AP80" s="155" cm="1">
        <f t="array" ref="AP80">INDEX('Weight tables'!$A$32:$C$36,MATCH(1,('MY-REPORT-MAIN'!AO80&gt;='Weight tables'!$B$32:$B$36)*('MY-REPORT-MAIN'!AO80&lt;='Weight tables'!$C$32:$C$36),0),1)</f>
        <v>8.4</v>
      </c>
      <c r="AQ80" s="155">
        <f>INDEX('Weight tables'!$A$39:$B$41,MATCH(I_Miei_Rendiconti[[#This Row],[Previouse Report checked?yes/no]],'Weight tables'!$B$39:$B$41,0),1)</f>
        <v>8.4</v>
      </c>
      <c r="AR80" s="155" cm="1">
        <f t="array" ref="AR80">IF(I_Miei_Rendiconti[[#This Row],[Sum of errors in previous report ]]="NON PERTINENTE",0,INDEX('Weight tables'!$A$43:$C$46,MATCH(1,(I_Miei_Rendiconti[[#This Row],[Sum of errors in previous report ]]&gt;='Weight tables'!$B$43:$B$46)*(I_Miei_Rendiconti[[#This Row],[Sum of errors in previous report ]]&lt;='Weight tables'!$C$43:$C$46),0),1))</f>
        <v>0</v>
      </c>
      <c r="AS80" s="155" cm="1">
        <f t="array" ref="AS80">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80" s="155" cm="1">
        <f t="array" ref="AT80">INDEX('Weight tables'!$A$56:$C$65,MATCH(1,('MY-REPORT-MAIN'!U80&gt;='Weight tables'!$B$56:$B$65)*('MY-REPORT-MAIN'!U80&lt;='Weight tables'!$C$56:$C$65),0),1)</f>
        <v>1</v>
      </c>
      <c r="AU80" s="155" cm="1">
        <f t="array" ref="AU80">INDEX('Weight tables'!$A$68:$C$71,MATCH(1,('MY-REPORT-MAIN'!AL80&gt;='Weight tables'!$B$68:$B$71)*('MY-REPORT-MAIN'!AL80&lt;='Weight tables'!$C$68:$C$71),0),1)</f>
        <v>2</v>
      </c>
      <c r="AV80" s="155" cm="1">
        <f t="array" ref="AV80">INDEX('Weight tables'!$A$74:$C$78,MATCH(1,('MY-REPORT-MAIN'!AN80&gt;='Weight tables'!$B$74:$B$78)*('MY-REPORT-MAIN'!AN80&lt;='Weight tables'!$C$74:$C$78),0),1)</f>
        <v>0</v>
      </c>
      <c r="AW80" s="16">
        <f>IF(I_Miei_Rendiconti[[#This Row],[Column1.totalAfterSubmitted]]/AM80&gt;50%,"Checked",0)</f>
        <v>0</v>
      </c>
      <c r="AX80" s="155">
        <f t="shared" si="3"/>
        <v>19.8</v>
      </c>
      <c r="AY80" s="155" t="str">
        <f>INDEX('Partner data'!A:EB,MATCH(I_Miei_Rendiconti[[#This Row],[Column1.partnerId]],'Partner data'!DG:DG,0),92)</f>
        <v>Slovenija (SI)</v>
      </c>
    </row>
    <row r="81" spans="1:51" ht="30" x14ac:dyDescent="0.25">
      <c r="A81" s="79">
        <v>134</v>
      </c>
      <c r="B81" s="79">
        <v>48</v>
      </c>
      <c r="C81" s="79">
        <v>72</v>
      </c>
      <c r="D81" s="79" t="s">
        <v>1261</v>
      </c>
      <c r="E81" s="79" t="s">
        <v>264</v>
      </c>
      <c r="F81" s="79">
        <v>1</v>
      </c>
      <c r="G81" s="206" t="s">
        <v>290</v>
      </c>
      <c r="H81" s="79">
        <v>1</v>
      </c>
      <c r="I81" s="79" t="s">
        <v>4339</v>
      </c>
      <c r="J81" s="79" t="s">
        <v>1263</v>
      </c>
      <c r="K81" s="208">
        <v>45379.472874178238</v>
      </c>
      <c r="M81" s="208">
        <v>45434.353949560187</v>
      </c>
      <c r="N81" s="79" t="s">
        <v>4402</v>
      </c>
      <c r="O81" s="79" t="s">
        <v>4403</v>
      </c>
      <c r="P81" s="79" t="s">
        <v>4348</v>
      </c>
      <c r="Q81" s="79" t="s">
        <v>4343</v>
      </c>
      <c r="R81" s="79">
        <v>8</v>
      </c>
      <c r="S81" s="79">
        <v>1</v>
      </c>
      <c r="T81" s="81">
        <v>39317.769999999997</v>
      </c>
      <c r="U81" s="81">
        <v>39388.660000000003</v>
      </c>
      <c r="V81" s="79" t="str">
        <f>INDEX(pARTNER[#All],MATCH(I_Miei_Rendiconti[[#This Row],[Column1.partnerId]],pARTNER[[#All],[Value.partnerSummary.id]],0),2)</f>
        <v>AGROTUR+</v>
      </c>
      <c r="W81" s="79" t="b">
        <v>0</v>
      </c>
      <c r="X81" s="82">
        <f>I_Miei_Rendiconti[[#This Row],[Column1.totalAfterSubmitted]]-I_Miei_Rendiconti[[#This Row],[Column1.totalEligibleAfterControl]]</f>
        <v>70.890000000006694</v>
      </c>
      <c r="Y81" s="80">
        <f>IF(I_Miei_Rendiconti[[#This Row],[Column1.status]]="Certified",IFERROR(I_Miei_Rendiconti[[#This Row],[Financial corection]]/I_Miei_Rendiconti[[#This Row],[Column1.totalAfterSubmitted]],0),"Rendiconto da certificare")</f>
        <v>1.799756579685795E-3</v>
      </c>
      <c r="Z81" s="207" t="str">
        <f>IF(I_Miei_Rendiconti[[#This Row],[Column1.status]]&lt;&gt;"Certified",INDEX('Partner data'!DG:DQ,MATCH(I_Miei_Rendiconti[[#This Row],[Column1.partnerId]],'Partner data'!DG:DG,0),13),"Rendiconto CONVALIDATO")</f>
        <v>Rendiconto CONVALIDATO</v>
      </c>
      <c r="AA81"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81" s="81" t="str">
        <f>IF(OR(I_Miei_Rendiconti[[#This Row],[N. previouse validated report ]]="Rendiconto CONVALIDATO",I_Miei_Rendiconti[[#This Row],[N. previouse validated report ]]="NON è stato convalidato ancora nessun rendiconto"),"NON PERTINENTE","fai la fromula")</f>
        <v>NON PERTINENTE</v>
      </c>
      <c r="AC81"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81" s="2">
        <f>INDEX('Partner data'!DG:DJ,MATCH(I_Miei_Rendiconti[[#This Row],[Column1.partnerId]],'Partner data'!DG:DG,0),3)</f>
        <v>1</v>
      </c>
      <c r="AE81" t="str" cm="1">
        <f t="array" ref="AE81">INDEX('Varie Tabelle'!$A$37:$C$51,MATCH(1,(I_Miei_Rendiconti[[#This Row],[Column1.firstSubmission]]&gt;='Varie Tabelle'!$B$37:$B$51)*(I_Miei_Rendiconti[[#This Row],[Column1.firstSubmission]]&lt;'Varie Tabelle'!$C$37:$C$51),0),1)</f>
        <v>Finestra 2</v>
      </c>
      <c r="AF81" s="109">
        <f>INDEX('Varie Tabelle'!$A$37:$C$51,MATCH('MY-REPORT-MAIN'!AE81,'Varie Tabelle'!$A$37:$A$51,0),2)</f>
        <v>45352</v>
      </c>
      <c r="AG81" s="109">
        <f>INDEX('Partner data'!DG:DR,MATCH(I_Miei_Rendiconti[[#This Row],[Column1.partnerId]],'Partner data'!DG:DG,0),12)</f>
        <v>45139</v>
      </c>
      <c r="AH81" s="115">
        <f t="shared" si="2"/>
        <v>7.0042749095692205</v>
      </c>
      <c r="AI81" t="str" cm="1">
        <f t="array" ref="AI81">INDEX('Varie Tabelle'!$A$12:$C$22,MATCH(1,('MY-REPORT-MAIN'!AH81&gt;='Varie Tabelle'!$B$12:$B$22)*('MY-REPORT-MAIN'!AH81&lt;='Varie Tabelle'!$C$12:$C$22),0),1)</f>
        <v>Periodo-1</v>
      </c>
      <c r="AJ81" s="14">
        <f>INDEX('Partner data'!A:EC,MATCH(I_Miei_Rendiconti[[#This Row],[Column1.partnerId]],'Partner data'!DG:DG,0),MATCH('MY-REPORT-MAIN'!AI81,'Partner data'!$2:$2,0))</f>
        <v>28763.53</v>
      </c>
      <c r="AK81" s="10">
        <f>SUMIFS($U$2:U81,$C$2:C81,I_Miei_Rendiconti[[#This Row],[Column1.partnerId]])-AJ81</f>
        <v>10625.130000000005</v>
      </c>
      <c r="AL81" s="16">
        <f>IFERROR(1-(I_Miei_Rendiconti[[#This Row],[Column1.totalAfterSubmitted]]/AJ81),0)</f>
        <v>-0.36939589820859964</v>
      </c>
      <c r="AM81" s="14">
        <f>INDEX('Partner data'!A:EB,MATCH(I_Miei_Rendiconti[[#This Row],[Column1.partnerId]],'Partner data'!DG:DG,0),44)</f>
        <v>127689.73</v>
      </c>
      <c r="AN81" s="14">
        <f>SUMIFS(ListOfExpenditure!AP:AP,ListOfExpenditure!AJ:AJ,I_Miei_Rendiconti[[#This Row],[Column1.id]])</f>
        <v>0</v>
      </c>
      <c r="AO81" s="148">
        <f>SUMIFS(ReportSubmittedBL!W:W,ReportSubmittedBL!D:D,I_Miei_Rendiconti[[#This Row],[Column1.id]])</f>
        <v>12</v>
      </c>
      <c r="AP81" s="155" cm="1">
        <f t="array" ref="AP81">INDEX('Weight tables'!$A$32:$C$36,MATCH(1,('MY-REPORT-MAIN'!AO81&gt;='Weight tables'!$B$32:$B$36)*('MY-REPORT-MAIN'!AO81&lt;='Weight tables'!$C$32:$C$36),0),1)</f>
        <v>8.4</v>
      </c>
      <c r="AQ81" s="155">
        <f>INDEX('Weight tables'!$A$39:$B$41,MATCH(I_Miei_Rendiconti[[#This Row],[Previouse Report checked?yes/no]],'Weight tables'!$B$39:$B$41,0),1)</f>
        <v>8.4</v>
      </c>
      <c r="AR81" s="155" cm="1">
        <f t="array" ref="AR81">IF(I_Miei_Rendiconti[[#This Row],[Sum of errors in previous report ]]="NON PERTINENTE",0,INDEX('Weight tables'!$A$43:$C$46,MATCH(1,(I_Miei_Rendiconti[[#This Row],[Sum of errors in previous report ]]&gt;='Weight tables'!$B$43:$B$46)*(I_Miei_Rendiconti[[#This Row],[Sum of errors in previous report ]]&lt;='Weight tables'!$C$43:$C$46),0),1))</f>
        <v>0</v>
      </c>
      <c r="AS81" s="155" cm="1">
        <f t="array" ref="AS81">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81" s="155" cm="1">
        <f t="array" ref="AT81">INDEX('Weight tables'!$A$56:$C$65,MATCH(1,('MY-REPORT-MAIN'!U81&gt;='Weight tables'!$B$56:$B$65)*('MY-REPORT-MAIN'!U81&lt;='Weight tables'!$C$56:$C$65),0),1)</f>
        <v>3</v>
      </c>
      <c r="AU81" s="155" cm="1">
        <f t="array" ref="AU81">INDEX('Weight tables'!$A$68:$C$71,MATCH(1,('MY-REPORT-MAIN'!AL81&gt;='Weight tables'!$B$68:$B$71)*('MY-REPORT-MAIN'!AL81&lt;='Weight tables'!$C$68:$C$71),0),1)</f>
        <v>0</v>
      </c>
      <c r="AV81" s="155" cm="1">
        <f t="array" ref="AV81">INDEX('Weight tables'!$A$74:$C$78,MATCH(1,('MY-REPORT-MAIN'!AN81&gt;='Weight tables'!$B$74:$B$78)*('MY-REPORT-MAIN'!AN81&lt;='Weight tables'!$C$74:$C$78),0),1)</f>
        <v>0</v>
      </c>
      <c r="AW81" s="16">
        <f>IF(I_Miei_Rendiconti[[#This Row],[Column1.totalAfterSubmitted]]/AM81&gt;50%,"Checked",0)</f>
        <v>0</v>
      </c>
      <c r="AX81" s="155">
        <f t="shared" si="3"/>
        <v>19.8</v>
      </c>
      <c r="AY81" s="155" t="str">
        <f>INDEX('Partner data'!A:EB,MATCH(I_Miei_Rendiconti[[#This Row],[Column1.partnerId]],'Partner data'!DG:DG,0),92)</f>
        <v>Slovenija (SI)</v>
      </c>
    </row>
    <row r="82" spans="1:51" ht="30" x14ac:dyDescent="0.25">
      <c r="A82" s="79">
        <v>279</v>
      </c>
      <c r="B82" s="79">
        <v>75</v>
      </c>
      <c r="C82" s="79">
        <v>178</v>
      </c>
      <c r="D82" s="79" t="s">
        <v>2013</v>
      </c>
      <c r="E82" s="79" t="s">
        <v>253</v>
      </c>
      <c r="F82" s="79">
        <v>4</v>
      </c>
      <c r="G82" s="206" t="s">
        <v>355</v>
      </c>
      <c r="H82" s="79">
        <v>1</v>
      </c>
      <c r="I82" s="79" t="s">
        <v>4339</v>
      </c>
      <c r="J82" s="79" t="s">
        <v>1118</v>
      </c>
      <c r="K82" s="208">
        <v>45379.477828958334</v>
      </c>
      <c r="M82" s="208">
        <v>45434.337006747686</v>
      </c>
      <c r="N82" s="79" t="s">
        <v>4505</v>
      </c>
      <c r="O82" s="79" t="s">
        <v>4363</v>
      </c>
      <c r="P82" s="79" t="s">
        <v>4428</v>
      </c>
      <c r="Q82" s="79" t="s">
        <v>4343</v>
      </c>
      <c r="R82" s="79">
        <v>44</v>
      </c>
      <c r="S82" s="79">
        <v>1</v>
      </c>
      <c r="T82" s="81">
        <v>16253.93</v>
      </c>
      <c r="U82" s="81">
        <v>16253.93</v>
      </c>
      <c r="V82" s="79" t="str">
        <f>INDEX(pARTNER[#All],MATCH(I_Miei_Rendiconti[[#This Row],[Column1.partnerId]],pARTNER[[#All],[Value.partnerSummary.id]],0),2)</f>
        <v>PRO-SIS</v>
      </c>
      <c r="W82" s="79" t="b">
        <v>0</v>
      </c>
      <c r="X82" s="82">
        <f>I_Miei_Rendiconti[[#This Row],[Column1.totalAfterSubmitted]]-I_Miei_Rendiconti[[#This Row],[Column1.totalEligibleAfterControl]]</f>
        <v>0</v>
      </c>
      <c r="Y82" s="80">
        <f>IF(I_Miei_Rendiconti[[#This Row],[Column1.status]]="Certified",IFERROR(I_Miei_Rendiconti[[#This Row],[Financial corection]]/I_Miei_Rendiconti[[#This Row],[Column1.totalAfterSubmitted]],0),"Rendiconto da certificare")</f>
        <v>0</v>
      </c>
      <c r="Z82" s="207" t="str">
        <f>IF(I_Miei_Rendiconti[[#This Row],[Column1.status]]&lt;&gt;"Certified",INDEX('Partner data'!DG:DQ,MATCH(I_Miei_Rendiconti[[#This Row],[Column1.partnerId]],'Partner data'!DG:DG,0),13),"Rendiconto CONVALIDATO")</f>
        <v>Rendiconto CONVALIDATO</v>
      </c>
      <c r="AA82"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82" s="81" t="str">
        <f>IF(OR(I_Miei_Rendiconti[[#This Row],[N. previouse validated report ]]="Rendiconto CONVALIDATO",I_Miei_Rendiconti[[#This Row],[N. previouse validated report ]]="NON è stato convalidato ancora nessun rendiconto"),"NON PERTINENTE","fai la fromula")</f>
        <v>NON PERTINENTE</v>
      </c>
      <c r="AC82"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82" s="2">
        <f>INDEX('Partner data'!DG:DJ,MATCH(I_Miei_Rendiconti[[#This Row],[Column1.partnerId]],'Partner data'!DG:DG,0),3)</f>
        <v>1</v>
      </c>
      <c r="AE82" t="str" cm="1">
        <f t="array" ref="AE82">INDEX('Varie Tabelle'!$A$37:$C$51,MATCH(1,(I_Miei_Rendiconti[[#This Row],[Column1.firstSubmission]]&gt;='Varie Tabelle'!$B$37:$B$51)*(I_Miei_Rendiconti[[#This Row],[Column1.firstSubmission]]&lt;'Varie Tabelle'!$C$37:$C$51),0),1)</f>
        <v>Finestra 2</v>
      </c>
      <c r="AF82" s="109">
        <f>INDEX('Varie Tabelle'!$A$37:$C$51,MATCH('MY-REPORT-MAIN'!AE82,'Varie Tabelle'!$A$37:$A$51,0),2)</f>
        <v>45352</v>
      </c>
      <c r="AG82" s="109">
        <f>INDEX('Partner data'!DG:DR,MATCH(I_Miei_Rendiconti[[#This Row],[Column1.partnerId]],'Partner data'!DG:DG,0),12)</f>
        <v>45200</v>
      </c>
      <c r="AH82" s="115">
        <f t="shared" si="2"/>
        <v>4.9983558040118385</v>
      </c>
      <c r="AI82" t="str" cm="1">
        <f t="array" ref="AI82">INDEX('Varie Tabelle'!$A$12:$C$22,MATCH(1,('MY-REPORT-MAIN'!AH82&gt;='Varie Tabelle'!$B$12:$B$22)*('MY-REPORT-MAIN'!AH82&lt;='Varie Tabelle'!$C$12:$C$22),0),1)</f>
        <v>Periodo-1</v>
      </c>
      <c r="AJ82" s="14">
        <f>INDEX('Partner data'!A:EC,MATCH(I_Miei_Rendiconti[[#This Row],[Column1.partnerId]],'Partner data'!DG:DG,0),MATCH('MY-REPORT-MAIN'!AI82,'Partner data'!$2:$2,0))</f>
        <v>30016</v>
      </c>
      <c r="AK82" s="10">
        <f>SUMIFS($U$2:U82,$C$2:C82,I_Miei_Rendiconti[[#This Row],[Column1.partnerId]])-AJ82</f>
        <v>-13762.07</v>
      </c>
      <c r="AL82" s="16">
        <f>IFERROR(1-(I_Miei_Rendiconti[[#This Row],[Column1.totalAfterSubmitted]]/AJ82),0)</f>
        <v>0.45849113805970143</v>
      </c>
      <c r="AM82" s="14">
        <f>INDEX('Partner data'!A:EB,MATCH(I_Miei_Rendiconti[[#This Row],[Column1.partnerId]],'Partner data'!DG:DG,0),44)</f>
        <v>119980</v>
      </c>
      <c r="AN82" s="14">
        <f>SUMIFS(ListOfExpenditure!AP:AP,ListOfExpenditure!AJ:AJ,I_Miei_Rendiconti[[#This Row],[Column1.id]])</f>
        <v>0</v>
      </c>
      <c r="AO82" s="148">
        <f>SUMIFS(ReportSubmittedBL!W:W,ReportSubmittedBL!D:D,I_Miei_Rendiconti[[#This Row],[Column1.id]])</f>
        <v>8</v>
      </c>
      <c r="AP82" s="155" cm="1">
        <f t="array" ref="AP82">INDEX('Weight tables'!$A$32:$C$36,MATCH(1,('MY-REPORT-MAIN'!AO82&gt;='Weight tables'!$B$32:$B$36)*('MY-REPORT-MAIN'!AO82&lt;='Weight tables'!$C$32:$C$36),0),1)</f>
        <v>6.3</v>
      </c>
      <c r="AQ82" s="155">
        <f>INDEX('Weight tables'!$A$39:$B$41,MATCH(I_Miei_Rendiconti[[#This Row],[Previouse Report checked?yes/no]],'Weight tables'!$B$39:$B$41,0),1)</f>
        <v>8.4</v>
      </c>
      <c r="AR82" s="155" cm="1">
        <f t="array" ref="AR82">IF(I_Miei_Rendiconti[[#This Row],[Sum of errors in previous report ]]="NON PERTINENTE",0,INDEX('Weight tables'!$A$43:$C$46,MATCH(1,(I_Miei_Rendiconti[[#This Row],[Sum of errors in previous report ]]&gt;='Weight tables'!$B$43:$B$46)*(I_Miei_Rendiconti[[#This Row],[Sum of errors in previous report ]]&lt;='Weight tables'!$C$43:$C$46),0),1))</f>
        <v>0</v>
      </c>
      <c r="AS82" s="155" cm="1">
        <f t="array" ref="AS82">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82" s="155" cm="1">
        <f t="array" ref="AT82">INDEX('Weight tables'!$A$56:$C$65,MATCH(1,('MY-REPORT-MAIN'!U82&gt;='Weight tables'!$B$56:$B$65)*('MY-REPORT-MAIN'!U82&lt;='Weight tables'!$C$56:$C$65),0),1)</f>
        <v>1</v>
      </c>
      <c r="AU82" s="155" cm="1">
        <f t="array" ref="AU82">INDEX('Weight tables'!$A$68:$C$71,MATCH(1,('MY-REPORT-MAIN'!AL82&gt;='Weight tables'!$B$68:$B$71)*('MY-REPORT-MAIN'!AL82&lt;='Weight tables'!$C$68:$C$71),0),1)</f>
        <v>2</v>
      </c>
      <c r="AV82" s="155" cm="1">
        <f t="array" ref="AV82">INDEX('Weight tables'!$A$74:$C$78,MATCH(1,('MY-REPORT-MAIN'!AN82&gt;='Weight tables'!$B$74:$B$78)*('MY-REPORT-MAIN'!AN82&lt;='Weight tables'!$C$74:$C$78),0),1)</f>
        <v>0</v>
      </c>
      <c r="AW82" s="16">
        <f>IF(I_Miei_Rendiconti[[#This Row],[Column1.totalAfterSubmitted]]/AM82&gt;50%,"Checked",0)</f>
        <v>0</v>
      </c>
      <c r="AX82" s="155">
        <f t="shared" si="3"/>
        <v>17.7</v>
      </c>
      <c r="AY82" s="155" t="str">
        <f>INDEX('Partner data'!A:EB,MATCH(I_Miei_Rendiconti[[#This Row],[Column1.partnerId]],'Partner data'!DG:DG,0),92)</f>
        <v>Slovenija (SI)</v>
      </c>
    </row>
    <row r="83" spans="1:51" ht="30" x14ac:dyDescent="0.25">
      <c r="A83" s="79">
        <v>225</v>
      </c>
      <c r="B83" s="79">
        <v>76</v>
      </c>
      <c r="C83" s="79">
        <v>160</v>
      </c>
      <c r="D83" s="79" t="s">
        <v>2087</v>
      </c>
      <c r="E83" s="79" t="s">
        <v>264</v>
      </c>
      <c r="F83" s="79">
        <v>1</v>
      </c>
      <c r="G83" s="206" t="s">
        <v>358</v>
      </c>
      <c r="H83" s="79">
        <v>1</v>
      </c>
      <c r="I83" s="79" t="s">
        <v>4339</v>
      </c>
      <c r="J83" s="79" t="s">
        <v>1118</v>
      </c>
      <c r="K83" s="208">
        <v>45379.482768437498</v>
      </c>
      <c r="M83" s="208">
        <v>45443.679385925927</v>
      </c>
      <c r="N83" s="79" t="s">
        <v>4464</v>
      </c>
      <c r="O83" s="79" t="s">
        <v>4347</v>
      </c>
      <c r="P83" s="79" t="s">
        <v>4348</v>
      </c>
      <c r="Q83" s="79" t="s">
        <v>4343</v>
      </c>
      <c r="R83" s="79">
        <v>40</v>
      </c>
      <c r="S83" s="79">
        <v>1</v>
      </c>
      <c r="T83" s="81">
        <v>21305.79</v>
      </c>
      <c r="U83" s="81">
        <v>21305.79</v>
      </c>
      <c r="V83" s="79" t="str">
        <f>INDEX(pARTNER[#All],MATCH(I_Miei_Rendiconti[[#This Row],[Column1.partnerId]],pARTNER[[#All],[Value.partnerSummary.id]],0),2)</f>
        <v>BEE2GETHER</v>
      </c>
      <c r="W83" s="79" t="b">
        <v>0</v>
      </c>
      <c r="X83" s="82">
        <f>I_Miei_Rendiconti[[#This Row],[Column1.totalAfterSubmitted]]-I_Miei_Rendiconti[[#This Row],[Column1.totalEligibleAfterControl]]</f>
        <v>0</v>
      </c>
      <c r="Y83" s="80">
        <f>IF(I_Miei_Rendiconti[[#This Row],[Column1.status]]="Certified",IFERROR(I_Miei_Rendiconti[[#This Row],[Financial corection]]/I_Miei_Rendiconti[[#This Row],[Column1.totalAfterSubmitted]],0),"Rendiconto da certificare")</f>
        <v>0</v>
      </c>
      <c r="Z83" s="207" t="str">
        <f>IF(I_Miei_Rendiconti[[#This Row],[Column1.status]]&lt;&gt;"Certified",INDEX('Partner data'!DG:DQ,MATCH(I_Miei_Rendiconti[[#This Row],[Column1.partnerId]],'Partner data'!DG:DG,0),13),"Rendiconto CONVALIDATO")</f>
        <v>Rendiconto CONVALIDATO</v>
      </c>
      <c r="AA83"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83" s="81" t="str">
        <f>IF(OR(I_Miei_Rendiconti[[#This Row],[N. previouse validated report ]]="Rendiconto CONVALIDATO",I_Miei_Rendiconti[[#This Row],[N. previouse validated report ]]="NON è stato convalidato ancora nessun rendiconto"),"NON PERTINENTE","fai la fromula")</f>
        <v>NON PERTINENTE</v>
      </c>
      <c r="AC83"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83" s="2">
        <f>INDEX('Partner data'!DG:DJ,MATCH(I_Miei_Rendiconti[[#This Row],[Column1.partnerId]],'Partner data'!DG:DG,0),3)</f>
        <v>1</v>
      </c>
      <c r="AE83" t="str" cm="1">
        <f t="array" ref="AE83">INDEX('Varie Tabelle'!$A$37:$C$51,MATCH(1,(I_Miei_Rendiconti[[#This Row],[Column1.firstSubmission]]&gt;='Varie Tabelle'!$B$37:$B$51)*(I_Miei_Rendiconti[[#This Row],[Column1.firstSubmission]]&lt;'Varie Tabelle'!$C$37:$C$51),0),1)</f>
        <v>Finestra 2</v>
      </c>
      <c r="AF83" s="109">
        <f>INDEX('Varie Tabelle'!$A$37:$C$51,MATCH('MY-REPORT-MAIN'!AE83,'Varie Tabelle'!$A$37:$A$51,0),2)</f>
        <v>45352</v>
      </c>
      <c r="AG83" s="109">
        <f>INDEX('Partner data'!DG:DR,MATCH(I_Miei_Rendiconti[[#This Row],[Column1.partnerId]],'Partner data'!DG:DG,0),12)</f>
        <v>45170</v>
      </c>
      <c r="AH83" s="115">
        <f t="shared" si="2"/>
        <v>5.9848733969089114</v>
      </c>
      <c r="AI83" t="str" cm="1">
        <f t="array" ref="AI83">INDEX('Varie Tabelle'!$A$12:$C$22,MATCH(1,('MY-REPORT-MAIN'!AH83&gt;='Varie Tabelle'!$B$12:$B$22)*('MY-REPORT-MAIN'!AH83&lt;='Varie Tabelle'!$C$12:$C$22),0),1)</f>
        <v>Periodo-1</v>
      </c>
      <c r="AJ83" s="14">
        <f>INDEX('Partner data'!A:EC,MATCH(I_Miei_Rendiconti[[#This Row],[Column1.partnerId]],'Partner data'!DG:DG,0),MATCH('MY-REPORT-MAIN'!AI83,'Partner data'!$2:$2,0))</f>
        <v>53240.24</v>
      </c>
      <c r="AK83" s="10">
        <f>SUMIFS($U$2:U83,$C$2:C83,I_Miei_Rendiconti[[#This Row],[Column1.partnerId]])-AJ83</f>
        <v>-31934.449999999997</v>
      </c>
      <c r="AL83" s="16">
        <f>IFERROR(1-(I_Miei_Rendiconti[[#This Row],[Column1.totalAfterSubmitted]]/AJ83),0)</f>
        <v>0.59981791967879938</v>
      </c>
      <c r="AM83" s="14">
        <f>INDEX('Partner data'!A:EB,MATCH(I_Miei_Rendiconti[[#This Row],[Column1.partnerId]],'Partner data'!DG:DG,0),44)</f>
        <v>198840.25</v>
      </c>
      <c r="AN83" s="14">
        <f>SUMIFS(ListOfExpenditure!AP:AP,ListOfExpenditure!AJ:AJ,I_Miei_Rendiconti[[#This Row],[Column1.id]])</f>
        <v>0</v>
      </c>
      <c r="AO83" s="148">
        <f>SUMIFS(ReportSubmittedBL!W:W,ReportSubmittedBL!D:D,I_Miei_Rendiconti[[#This Row],[Column1.id]])</f>
        <v>10</v>
      </c>
      <c r="AP83" s="155" cm="1">
        <f t="array" ref="AP83">INDEX('Weight tables'!$A$32:$C$36,MATCH(1,('MY-REPORT-MAIN'!AO83&gt;='Weight tables'!$B$32:$B$36)*('MY-REPORT-MAIN'!AO83&lt;='Weight tables'!$C$32:$C$36),0),1)</f>
        <v>8.4</v>
      </c>
      <c r="AQ83" s="155">
        <f>INDEX('Weight tables'!$A$39:$B$41,MATCH(I_Miei_Rendiconti[[#This Row],[Previouse Report checked?yes/no]],'Weight tables'!$B$39:$B$41,0),1)</f>
        <v>8.4</v>
      </c>
      <c r="AR83" s="155" cm="1">
        <f t="array" ref="AR83">IF(I_Miei_Rendiconti[[#This Row],[Sum of errors in previous report ]]="NON PERTINENTE",0,INDEX('Weight tables'!$A$43:$C$46,MATCH(1,(I_Miei_Rendiconti[[#This Row],[Sum of errors in previous report ]]&gt;='Weight tables'!$B$43:$B$46)*(I_Miei_Rendiconti[[#This Row],[Sum of errors in previous report ]]&lt;='Weight tables'!$C$43:$C$46),0),1))</f>
        <v>0</v>
      </c>
      <c r="AS83" s="155" cm="1">
        <f t="array" ref="AS83">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83" s="155" cm="1">
        <f t="array" ref="AT83">INDEX('Weight tables'!$A$56:$C$65,MATCH(1,('MY-REPORT-MAIN'!U83&gt;='Weight tables'!$B$56:$B$65)*('MY-REPORT-MAIN'!U83&lt;='Weight tables'!$C$56:$C$65),0),1)</f>
        <v>2</v>
      </c>
      <c r="AU83" s="155" cm="1">
        <f t="array" ref="AU83">INDEX('Weight tables'!$A$68:$C$71,MATCH(1,('MY-REPORT-MAIN'!AL83&gt;='Weight tables'!$B$68:$B$71)*('MY-REPORT-MAIN'!AL83&lt;='Weight tables'!$C$68:$C$71),0),1)</f>
        <v>2</v>
      </c>
      <c r="AV83" s="155" cm="1">
        <f t="array" ref="AV83">INDEX('Weight tables'!$A$74:$C$78,MATCH(1,('MY-REPORT-MAIN'!AN83&gt;='Weight tables'!$B$74:$B$78)*('MY-REPORT-MAIN'!AN83&lt;='Weight tables'!$C$74:$C$78),0),1)</f>
        <v>0</v>
      </c>
      <c r="AW83" s="16">
        <f>IF(I_Miei_Rendiconti[[#This Row],[Column1.totalAfterSubmitted]]/AM83&gt;50%,"Checked",0)</f>
        <v>0</v>
      </c>
      <c r="AX83" s="155">
        <f t="shared" si="3"/>
        <v>20.8</v>
      </c>
      <c r="AY83" s="155" t="str">
        <f>INDEX('Partner data'!A:EB,MATCH(I_Miei_Rendiconti[[#This Row],[Column1.partnerId]],'Partner data'!DG:DG,0),92)</f>
        <v>Italia (IT)</v>
      </c>
    </row>
    <row r="84" spans="1:51" ht="30" x14ac:dyDescent="0.25">
      <c r="A84" s="79">
        <v>144</v>
      </c>
      <c r="B84" s="79">
        <v>83</v>
      </c>
      <c r="C84" s="79">
        <v>239</v>
      </c>
      <c r="D84" s="79" t="s">
        <v>2171</v>
      </c>
      <c r="E84" s="79" t="s">
        <v>253</v>
      </c>
      <c r="F84" s="79">
        <v>2</v>
      </c>
      <c r="G84" s="206" t="s">
        <v>363</v>
      </c>
      <c r="H84" s="79">
        <v>1</v>
      </c>
      <c r="I84" s="79" t="s">
        <v>4339</v>
      </c>
      <c r="J84" s="79" t="s">
        <v>593</v>
      </c>
      <c r="K84" s="208">
        <v>45379.483853483798</v>
      </c>
      <c r="M84" s="208">
        <v>45433.388765821757</v>
      </c>
      <c r="N84" s="79" t="s">
        <v>4407</v>
      </c>
      <c r="O84" s="79" t="s">
        <v>4363</v>
      </c>
      <c r="P84" s="79" t="s">
        <v>4348</v>
      </c>
      <c r="Q84" s="79" t="s">
        <v>4343</v>
      </c>
      <c r="T84" s="81">
        <v>52250.92</v>
      </c>
      <c r="U84" s="81">
        <v>52250.96</v>
      </c>
      <c r="V84" s="79" t="str">
        <f>INDEX(pARTNER[#All],MATCH(I_Miei_Rendiconti[[#This Row],[Column1.partnerId]],pARTNER[[#All],[Value.partnerSummary.id]],0),2)</f>
        <v>IN4SAFETY</v>
      </c>
      <c r="W84" s="79" t="b">
        <v>0</v>
      </c>
      <c r="X84" s="82">
        <f>I_Miei_Rendiconti[[#This Row],[Column1.totalAfterSubmitted]]-I_Miei_Rendiconti[[#This Row],[Column1.totalEligibleAfterControl]]</f>
        <v>4.0000000000873115E-2</v>
      </c>
      <c r="Y84" s="80">
        <f>IF(I_Miei_Rendiconti[[#This Row],[Column1.status]]="Certified",IFERROR(I_Miei_Rendiconti[[#This Row],[Financial corection]]/I_Miei_Rendiconti[[#This Row],[Column1.totalAfterSubmitted]],0),"Rendiconto da certificare")</f>
        <v>7.6553617389753448E-7</v>
      </c>
      <c r="Z84" s="207" t="str">
        <f>IF(I_Miei_Rendiconti[[#This Row],[Column1.status]]&lt;&gt;"Certified",INDEX('Partner data'!DG:DQ,MATCH(I_Miei_Rendiconti[[#This Row],[Column1.partnerId]],'Partner data'!DG:DG,0),13),"Rendiconto CONVALIDATO")</f>
        <v>Rendiconto CONVALIDATO</v>
      </c>
      <c r="AA84"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84" s="81" t="str">
        <f>IF(OR(I_Miei_Rendiconti[[#This Row],[N. previouse validated report ]]="Rendiconto CONVALIDATO",I_Miei_Rendiconti[[#This Row],[N. previouse validated report ]]="NON è stato convalidato ancora nessun rendiconto"),"NON PERTINENTE","fai la fromula")</f>
        <v>NON PERTINENTE</v>
      </c>
      <c r="AC84"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84" s="2">
        <f>INDEX('Partner data'!DG:DJ,MATCH(I_Miei_Rendiconti[[#This Row],[Column1.partnerId]],'Partner data'!DG:DG,0),3)</f>
        <v>1</v>
      </c>
      <c r="AE84" t="str" cm="1">
        <f t="array" ref="AE84">INDEX('Varie Tabelle'!$A$37:$C$51,MATCH(1,(I_Miei_Rendiconti[[#This Row],[Column1.firstSubmission]]&gt;='Varie Tabelle'!$B$37:$B$51)*(I_Miei_Rendiconti[[#This Row],[Column1.firstSubmission]]&lt;'Varie Tabelle'!$C$37:$C$51),0),1)</f>
        <v>Finestra 2</v>
      </c>
      <c r="AF84" s="109">
        <f>INDEX('Varie Tabelle'!$A$37:$C$51,MATCH('MY-REPORT-MAIN'!AE84,'Varie Tabelle'!$A$37:$A$51,0),2)</f>
        <v>45352</v>
      </c>
      <c r="AG84" s="109">
        <f>INDEX('Partner data'!DG:DR,MATCH(I_Miei_Rendiconti[[#This Row],[Column1.partnerId]],'Partner data'!DG:DG,0),12)</f>
        <v>45200</v>
      </c>
      <c r="AH84" s="115">
        <f t="shared" si="2"/>
        <v>4.9983558040118385</v>
      </c>
      <c r="AI84" t="str" cm="1">
        <f t="array" ref="AI84">INDEX('Varie Tabelle'!$A$12:$C$22,MATCH(1,('MY-REPORT-MAIN'!AH84&gt;='Varie Tabelle'!$B$12:$B$22)*('MY-REPORT-MAIN'!AH84&lt;='Varie Tabelle'!$C$12:$C$22),0),1)</f>
        <v>Periodo-1</v>
      </c>
      <c r="AJ84" s="14">
        <f>INDEX('Partner data'!A:EC,MATCH(I_Miei_Rendiconti[[#This Row],[Column1.partnerId]],'Partner data'!DG:DG,0),MATCH('MY-REPORT-MAIN'!AI84,'Partner data'!$2:$2,0))</f>
        <v>61600</v>
      </c>
      <c r="AK84" s="10">
        <f>SUMIFS($U$2:U84,$C$2:C84,I_Miei_Rendiconti[[#This Row],[Column1.partnerId]])-AJ84</f>
        <v>-9349.0400000000009</v>
      </c>
      <c r="AL84" s="16">
        <f>IFERROR(1-(I_Miei_Rendiconti[[#This Row],[Column1.totalAfterSubmitted]]/AJ84),0)</f>
        <v>0.15177012987012983</v>
      </c>
      <c r="AM84" s="14">
        <f>INDEX('Partner data'!A:EB,MATCH(I_Miei_Rendiconti[[#This Row],[Column1.partnerId]],'Partner data'!DG:DG,0),44)</f>
        <v>126000</v>
      </c>
      <c r="AN84" s="14">
        <f>SUMIFS(ListOfExpenditure!AP:AP,ListOfExpenditure!AJ:AJ,I_Miei_Rendiconti[[#This Row],[Column1.id]])</f>
        <v>0</v>
      </c>
      <c r="AO84" s="148">
        <f>SUMIFS(ReportSubmittedBL!W:W,ReportSubmittedBL!D:D,I_Miei_Rendiconti[[#This Row],[Column1.id]])</f>
        <v>8</v>
      </c>
      <c r="AP84" s="155" cm="1">
        <f t="array" ref="AP84">INDEX('Weight tables'!$A$32:$C$36,MATCH(1,('MY-REPORT-MAIN'!AO84&gt;='Weight tables'!$B$32:$B$36)*('MY-REPORT-MAIN'!AO84&lt;='Weight tables'!$C$32:$C$36),0),1)</f>
        <v>6.3</v>
      </c>
      <c r="AQ84" s="155">
        <f>INDEX('Weight tables'!$A$39:$B$41,MATCH(I_Miei_Rendiconti[[#This Row],[Previouse Report checked?yes/no]],'Weight tables'!$B$39:$B$41,0),1)</f>
        <v>8.4</v>
      </c>
      <c r="AR84" s="155" cm="1">
        <f t="array" ref="AR84">IF(I_Miei_Rendiconti[[#This Row],[Sum of errors in previous report ]]="NON PERTINENTE",0,INDEX('Weight tables'!$A$43:$C$46,MATCH(1,(I_Miei_Rendiconti[[#This Row],[Sum of errors in previous report ]]&gt;='Weight tables'!$B$43:$B$46)*(I_Miei_Rendiconti[[#This Row],[Sum of errors in previous report ]]&lt;='Weight tables'!$C$43:$C$46),0),1))</f>
        <v>0</v>
      </c>
      <c r="AS84" s="155" cm="1">
        <f t="array" ref="AS84">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84" s="155" cm="1">
        <f t="array" ref="AT84">INDEX('Weight tables'!$A$56:$C$65,MATCH(1,('MY-REPORT-MAIN'!U84&gt;='Weight tables'!$B$56:$B$65)*('MY-REPORT-MAIN'!U84&lt;='Weight tables'!$C$56:$C$65),0),1)</f>
        <v>5</v>
      </c>
      <c r="AU84" s="155" cm="1">
        <f t="array" ref="AU84">INDEX('Weight tables'!$A$68:$C$71,MATCH(1,('MY-REPORT-MAIN'!AL84&gt;='Weight tables'!$B$68:$B$71)*('MY-REPORT-MAIN'!AL84&lt;='Weight tables'!$C$68:$C$71),0),1)</f>
        <v>1</v>
      </c>
      <c r="AV84" s="155" cm="1">
        <f t="array" ref="AV84">INDEX('Weight tables'!$A$74:$C$78,MATCH(1,('MY-REPORT-MAIN'!AN84&gt;='Weight tables'!$B$74:$B$78)*('MY-REPORT-MAIN'!AN84&lt;='Weight tables'!$C$74:$C$78),0),1)</f>
        <v>0</v>
      </c>
      <c r="AW84" s="16">
        <f>IF(I_Miei_Rendiconti[[#This Row],[Column1.totalAfterSubmitted]]/AM84&gt;50%,"Checked",0)</f>
        <v>0</v>
      </c>
      <c r="AX84" s="155">
        <f t="shared" si="3"/>
        <v>20.7</v>
      </c>
      <c r="AY84" s="155" t="str">
        <f>INDEX('Partner data'!A:EB,MATCH(I_Miei_Rendiconti[[#This Row],[Column1.partnerId]],'Partner data'!DG:DG,0),92)</f>
        <v>Slovenija (SI)</v>
      </c>
    </row>
    <row r="85" spans="1:51" ht="30" x14ac:dyDescent="0.25">
      <c r="A85" s="79">
        <v>140</v>
      </c>
      <c r="B85" s="79">
        <v>69</v>
      </c>
      <c r="C85" s="79">
        <v>126</v>
      </c>
      <c r="D85" s="79" t="s">
        <v>1849</v>
      </c>
      <c r="E85" s="79" t="s">
        <v>253</v>
      </c>
      <c r="F85" s="79">
        <v>5</v>
      </c>
      <c r="G85" s="206" t="s">
        <v>42</v>
      </c>
      <c r="H85" s="79">
        <v>1</v>
      </c>
      <c r="I85" s="79" t="s">
        <v>4339</v>
      </c>
      <c r="J85" s="79" t="s">
        <v>490</v>
      </c>
      <c r="K85" s="208">
        <v>45379.495205081017</v>
      </c>
      <c r="M85" s="208">
        <v>45435.380153020837</v>
      </c>
      <c r="N85" s="79" t="s">
        <v>4404</v>
      </c>
      <c r="O85" s="79" t="s">
        <v>4347</v>
      </c>
      <c r="P85" s="79" t="s">
        <v>4348</v>
      </c>
      <c r="Q85" s="79" t="s">
        <v>4343</v>
      </c>
      <c r="T85" s="81">
        <v>3668.29</v>
      </c>
      <c r="U85" s="81">
        <v>11425.59</v>
      </c>
      <c r="V85" s="79" t="str">
        <f>INDEX(pARTNER[#All],MATCH(I_Miei_Rendiconti[[#This Row],[Column1.partnerId]],pARTNER[[#All],[Value.partnerSummary.id]],0),2)</f>
        <v>BeBlue</v>
      </c>
      <c r="W85" s="79" t="b">
        <v>0</v>
      </c>
      <c r="X85" s="82">
        <f>I_Miei_Rendiconti[[#This Row],[Column1.totalAfterSubmitted]]-I_Miei_Rendiconti[[#This Row],[Column1.totalEligibleAfterControl]]</f>
        <v>7757.3</v>
      </c>
      <c r="Y85" s="80">
        <f>IF(I_Miei_Rendiconti[[#This Row],[Column1.status]]="Certified",IFERROR(I_Miei_Rendiconti[[#This Row],[Financial corection]]/I_Miei_Rendiconti[[#This Row],[Column1.totalAfterSubmitted]],0),"Rendiconto da certificare")</f>
        <v>0.67894086869912185</v>
      </c>
      <c r="Z85" s="207" t="str">
        <f>IF(I_Miei_Rendiconti[[#This Row],[Column1.status]]&lt;&gt;"Certified",INDEX('Partner data'!DG:DQ,MATCH(I_Miei_Rendiconti[[#This Row],[Column1.partnerId]],'Partner data'!DG:DG,0),13),"Rendiconto CONVALIDATO")</f>
        <v>Rendiconto CONVALIDATO</v>
      </c>
      <c r="AA85"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85" s="81" t="str">
        <f>IF(OR(I_Miei_Rendiconti[[#This Row],[N. previouse validated report ]]="Rendiconto CONVALIDATO",I_Miei_Rendiconti[[#This Row],[N. previouse validated report ]]="NON è stato convalidato ancora nessun rendiconto"),"NON PERTINENTE","fai la fromula")</f>
        <v>NON PERTINENTE</v>
      </c>
      <c r="AC85"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85" s="2">
        <f>INDEX('Partner data'!DG:DJ,MATCH(I_Miei_Rendiconti[[#This Row],[Column1.partnerId]],'Partner data'!DG:DG,0),3)</f>
        <v>1</v>
      </c>
      <c r="AE85" t="str" cm="1">
        <f t="array" ref="AE85">INDEX('Varie Tabelle'!$A$37:$C$51,MATCH(1,(I_Miei_Rendiconti[[#This Row],[Column1.firstSubmission]]&gt;='Varie Tabelle'!$B$37:$B$51)*(I_Miei_Rendiconti[[#This Row],[Column1.firstSubmission]]&lt;'Varie Tabelle'!$C$37:$C$51),0),1)</f>
        <v>Finestra 2</v>
      </c>
      <c r="AF85" s="109">
        <f>INDEX('Varie Tabelle'!$A$37:$C$51,MATCH('MY-REPORT-MAIN'!AE85,'Varie Tabelle'!$A$37:$A$51,0),2)</f>
        <v>45352</v>
      </c>
      <c r="AG85" s="109">
        <f>INDEX('Partner data'!DG:DR,MATCH(I_Miei_Rendiconti[[#This Row],[Column1.partnerId]],'Partner data'!DG:DG,0),12)</f>
        <v>45170</v>
      </c>
      <c r="AH85" s="115">
        <f t="shared" si="2"/>
        <v>5.9848733969089114</v>
      </c>
      <c r="AI85" t="str" cm="1">
        <f t="array" ref="AI85">INDEX('Varie Tabelle'!$A$12:$C$22,MATCH(1,('MY-REPORT-MAIN'!AH85&gt;='Varie Tabelle'!$B$12:$B$22)*('MY-REPORT-MAIN'!AH85&lt;='Varie Tabelle'!$C$12:$C$22),0),1)</f>
        <v>Periodo-1</v>
      </c>
      <c r="AJ85" s="14">
        <f>INDEX('Partner data'!A:EC,MATCH(I_Miei_Rendiconti[[#This Row],[Column1.partnerId]],'Partner data'!DG:DG,0),MATCH('MY-REPORT-MAIN'!AI85,'Partner data'!$2:$2,0))</f>
        <v>18522</v>
      </c>
      <c r="AK85" s="10">
        <f>SUMIFS($U$2:U85,$C$2:C85,I_Miei_Rendiconti[[#This Row],[Column1.partnerId]])-AJ85</f>
        <v>-7096.41</v>
      </c>
      <c r="AL85" s="16">
        <f>IFERROR(1-(I_Miei_Rendiconti[[#This Row],[Column1.totalAfterSubmitted]]/AJ85),0)</f>
        <v>0.38313411078717197</v>
      </c>
      <c r="AM85" s="14">
        <f>INDEX('Partner data'!A:EB,MATCH(I_Miei_Rendiconti[[#This Row],[Column1.partnerId]],'Partner data'!DG:DG,0),44)</f>
        <v>73815</v>
      </c>
      <c r="AN85" s="14">
        <f>SUMIFS(ListOfExpenditure!AP:AP,ListOfExpenditure!AJ:AJ,I_Miei_Rendiconti[[#This Row],[Column1.id]])</f>
        <v>0</v>
      </c>
      <c r="AO85" s="148">
        <f>SUMIFS(ReportSubmittedBL!W:W,ReportSubmittedBL!D:D,I_Miei_Rendiconti[[#This Row],[Column1.id]])</f>
        <v>8</v>
      </c>
      <c r="AP85" s="155" cm="1">
        <f t="array" ref="AP85">INDEX('Weight tables'!$A$32:$C$36,MATCH(1,('MY-REPORT-MAIN'!AO85&gt;='Weight tables'!$B$32:$B$36)*('MY-REPORT-MAIN'!AO85&lt;='Weight tables'!$C$32:$C$36),0),1)</f>
        <v>6.3</v>
      </c>
      <c r="AQ85" s="155">
        <f>INDEX('Weight tables'!$A$39:$B$41,MATCH(I_Miei_Rendiconti[[#This Row],[Previouse Report checked?yes/no]],'Weight tables'!$B$39:$B$41,0),1)</f>
        <v>8.4</v>
      </c>
      <c r="AR85" s="155" cm="1">
        <f t="array" ref="AR85">IF(I_Miei_Rendiconti[[#This Row],[Sum of errors in previous report ]]="NON PERTINENTE",0,INDEX('Weight tables'!$A$43:$C$46,MATCH(1,(I_Miei_Rendiconti[[#This Row],[Sum of errors in previous report ]]&gt;='Weight tables'!$B$43:$B$46)*(I_Miei_Rendiconti[[#This Row],[Sum of errors in previous report ]]&lt;='Weight tables'!$C$43:$C$46),0),1))</f>
        <v>0</v>
      </c>
      <c r="AS85" s="155" cm="1">
        <f t="array" ref="AS85">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85" s="155" cm="1">
        <f t="array" ref="AT85">INDEX('Weight tables'!$A$56:$C$65,MATCH(1,('MY-REPORT-MAIN'!U85&gt;='Weight tables'!$B$56:$B$65)*('MY-REPORT-MAIN'!U85&lt;='Weight tables'!$C$56:$C$65),0),1)</f>
        <v>1</v>
      </c>
      <c r="AU85" s="155" cm="1">
        <f t="array" ref="AU85">INDEX('Weight tables'!$A$68:$C$71,MATCH(1,('MY-REPORT-MAIN'!AL85&gt;='Weight tables'!$B$68:$B$71)*('MY-REPORT-MAIN'!AL85&lt;='Weight tables'!$C$68:$C$71),0),1)</f>
        <v>2</v>
      </c>
      <c r="AV85" s="155" cm="1">
        <f t="array" ref="AV85">INDEX('Weight tables'!$A$74:$C$78,MATCH(1,('MY-REPORT-MAIN'!AN85&gt;='Weight tables'!$B$74:$B$78)*('MY-REPORT-MAIN'!AN85&lt;='Weight tables'!$C$74:$C$78),0),1)</f>
        <v>0</v>
      </c>
      <c r="AW85" s="16">
        <f>IF(I_Miei_Rendiconti[[#This Row],[Column1.totalAfterSubmitted]]/AM85&gt;50%,"Checked",0)</f>
        <v>0</v>
      </c>
      <c r="AX85" s="155">
        <f t="shared" si="3"/>
        <v>17.7</v>
      </c>
      <c r="AY85" s="155" t="str">
        <f>INDEX('Partner data'!A:EB,MATCH(I_Miei_Rendiconti[[#This Row],[Column1.partnerId]],'Partner data'!DG:DG,0),92)</f>
        <v>Slovenija (SI)</v>
      </c>
    </row>
    <row r="86" spans="1:51" ht="30" x14ac:dyDescent="0.25">
      <c r="A86" s="79">
        <v>296</v>
      </c>
      <c r="B86" s="79">
        <v>74</v>
      </c>
      <c r="C86" s="79">
        <v>293</v>
      </c>
      <c r="D86" s="79" t="s">
        <v>1972</v>
      </c>
      <c r="E86" s="79" t="s">
        <v>253</v>
      </c>
      <c r="F86" s="79">
        <v>2</v>
      </c>
      <c r="G86" s="206" t="s">
        <v>347</v>
      </c>
      <c r="H86" s="79">
        <v>1</v>
      </c>
      <c r="I86" s="79" t="s">
        <v>4339</v>
      </c>
      <c r="J86" s="79" t="s">
        <v>1118</v>
      </c>
      <c r="K86" s="208">
        <v>45379.498276840277</v>
      </c>
      <c r="M86" s="208">
        <v>45440.63766482639</v>
      </c>
      <c r="N86" s="79" t="s">
        <v>4517</v>
      </c>
      <c r="O86" s="79" t="s">
        <v>4347</v>
      </c>
      <c r="P86" s="79" t="s">
        <v>4348</v>
      </c>
      <c r="Q86" s="79" t="s">
        <v>4343</v>
      </c>
      <c r="R86" s="79">
        <v>33</v>
      </c>
      <c r="S86" s="79">
        <v>1</v>
      </c>
      <c r="T86" s="81">
        <v>1207.05</v>
      </c>
      <c r="U86" s="81">
        <v>1207.05</v>
      </c>
      <c r="V86" s="79" t="str">
        <f>INDEX(pARTNER[#All],MATCH(I_Miei_Rendiconti[[#This Row],[Column1.partnerId]],pARTNER[[#All],[Value.partnerSummary.id]],0),2)</f>
        <v>ENGREEN 2</v>
      </c>
      <c r="W86" s="79" t="b">
        <v>0</v>
      </c>
      <c r="X86" s="82">
        <f>I_Miei_Rendiconti[[#This Row],[Column1.totalAfterSubmitted]]-I_Miei_Rendiconti[[#This Row],[Column1.totalEligibleAfterControl]]</f>
        <v>0</v>
      </c>
      <c r="Y86" s="80">
        <f>IF(I_Miei_Rendiconti[[#This Row],[Column1.status]]="Certified",IFERROR(I_Miei_Rendiconti[[#This Row],[Financial corection]]/I_Miei_Rendiconti[[#This Row],[Column1.totalAfterSubmitted]],0),"Rendiconto da certificare")</f>
        <v>0</v>
      </c>
      <c r="Z86" s="207" t="str">
        <f>IF(I_Miei_Rendiconti[[#This Row],[Column1.status]]&lt;&gt;"Certified",INDEX('Partner data'!DG:DQ,MATCH(I_Miei_Rendiconti[[#This Row],[Column1.partnerId]],'Partner data'!DG:DG,0),13),"Rendiconto CONVALIDATO")</f>
        <v>Rendiconto CONVALIDATO</v>
      </c>
      <c r="AA86"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86" s="81" t="str">
        <f>IF(OR(I_Miei_Rendiconti[[#This Row],[N. previouse validated report ]]="Rendiconto CONVALIDATO",I_Miei_Rendiconti[[#This Row],[N. previouse validated report ]]="NON è stato convalidato ancora nessun rendiconto"),"NON PERTINENTE","fai la fromula")</f>
        <v>NON PERTINENTE</v>
      </c>
      <c r="AC86"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86" s="2">
        <f>INDEX('Partner data'!DG:DJ,MATCH(I_Miei_Rendiconti[[#This Row],[Column1.partnerId]],'Partner data'!DG:DG,0),3)</f>
        <v>1</v>
      </c>
      <c r="AE86" t="str" cm="1">
        <f t="array" ref="AE86">INDEX('Varie Tabelle'!$A$37:$C$51,MATCH(1,(I_Miei_Rendiconti[[#This Row],[Column1.firstSubmission]]&gt;='Varie Tabelle'!$B$37:$B$51)*(I_Miei_Rendiconti[[#This Row],[Column1.firstSubmission]]&lt;'Varie Tabelle'!$C$37:$C$51),0),1)</f>
        <v>Finestra 2</v>
      </c>
      <c r="AF86" s="109">
        <f>INDEX('Varie Tabelle'!$A$37:$C$51,MATCH('MY-REPORT-MAIN'!AE86,'Varie Tabelle'!$A$37:$A$51,0),2)</f>
        <v>45352</v>
      </c>
      <c r="AG86" s="109">
        <f>INDEX('Partner data'!DG:DR,MATCH(I_Miei_Rendiconti[[#This Row],[Column1.partnerId]],'Partner data'!DG:DG,0),12)</f>
        <v>45170</v>
      </c>
      <c r="AH86" s="115">
        <f t="shared" si="2"/>
        <v>5.9848733969089114</v>
      </c>
      <c r="AI86" t="str" cm="1">
        <f t="array" ref="AI86">INDEX('Varie Tabelle'!$A$12:$C$22,MATCH(1,('MY-REPORT-MAIN'!AH86&gt;='Varie Tabelle'!$B$12:$B$22)*('MY-REPORT-MAIN'!AH86&lt;='Varie Tabelle'!$C$12:$C$22),0),1)</f>
        <v>Periodo-1</v>
      </c>
      <c r="AJ86" s="14">
        <f>INDEX('Partner data'!A:EC,MATCH(I_Miei_Rendiconti[[#This Row],[Column1.partnerId]],'Partner data'!DG:DG,0),MATCH('MY-REPORT-MAIN'!AI86,'Partner data'!$2:$2,0))</f>
        <v>4333</v>
      </c>
      <c r="AK86" s="10">
        <f>SUMIFS($U$2:U86,$C$2:C86,I_Miei_Rendiconti[[#This Row],[Column1.partnerId]])-AJ86</f>
        <v>-3125.95</v>
      </c>
      <c r="AL86" s="16">
        <f>IFERROR(1-(I_Miei_Rendiconti[[#This Row],[Column1.totalAfterSubmitted]]/AJ86),0)</f>
        <v>0.72142857142857142</v>
      </c>
      <c r="AM86" s="14">
        <f>INDEX('Partner data'!A:EB,MATCH(I_Miei_Rendiconti[[#This Row],[Column1.partnerId]],'Partner data'!DG:DG,0),44)</f>
        <v>142370</v>
      </c>
      <c r="AN86" s="14">
        <f>SUMIFS(ListOfExpenditure!AP:AP,ListOfExpenditure!AJ:AJ,I_Miei_Rendiconti[[#This Row],[Column1.id]])</f>
        <v>0</v>
      </c>
      <c r="AO86" s="148">
        <f>SUMIFS(ReportSubmittedBL!W:W,ReportSubmittedBL!D:D,I_Miei_Rendiconti[[#This Row],[Column1.id]])</f>
        <v>12</v>
      </c>
      <c r="AP86" s="155" cm="1">
        <f t="array" ref="AP86">INDEX('Weight tables'!$A$32:$C$36,MATCH(1,('MY-REPORT-MAIN'!AO86&gt;='Weight tables'!$B$32:$B$36)*('MY-REPORT-MAIN'!AO86&lt;='Weight tables'!$C$32:$C$36),0),1)</f>
        <v>8.4</v>
      </c>
      <c r="AQ86" s="155">
        <f>INDEX('Weight tables'!$A$39:$B$41,MATCH(I_Miei_Rendiconti[[#This Row],[Previouse Report checked?yes/no]],'Weight tables'!$B$39:$B$41,0),1)</f>
        <v>8.4</v>
      </c>
      <c r="AR86" s="155" cm="1">
        <f t="array" ref="AR86">IF(I_Miei_Rendiconti[[#This Row],[Sum of errors in previous report ]]="NON PERTINENTE",0,INDEX('Weight tables'!$A$43:$C$46,MATCH(1,(I_Miei_Rendiconti[[#This Row],[Sum of errors in previous report ]]&gt;='Weight tables'!$B$43:$B$46)*(I_Miei_Rendiconti[[#This Row],[Sum of errors in previous report ]]&lt;='Weight tables'!$C$43:$C$46),0),1))</f>
        <v>0</v>
      </c>
      <c r="AS86" s="155" cm="1">
        <f t="array" ref="AS86">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86" s="155" cm="1">
        <f t="array" ref="AT86">INDEX('Weight tables'!$A$56:$C$65,MATCH(1,('MY-REPORT-MAIN'!U86&gt;='Weight tables'!$B$56:$B$65)*('MY-REPORT-MAIN'!U86&lt;='Weight tables'!$C$56:$C$65),0),1)</f>
        <v>0</v>
      </c>
      <c r="AU86" s="155" cm="1">
        <f t="array" ref="AU86">INDEX('Weight tables'!$A$68:$C$71,MATCH(1,('MY-REPORT-MAIN'!AL86&gt;='Weight tables'!$B$68:$B$71)*('MY-REPORT-MAIN'!AL86&lt;='Weight tables'!$C$68:$C$71),0),1)</f>
        <v>2</v>
      </c>
      <c r="AV86" s="155" cm="1">
        <f t="array" ref="AV86">INDEX('Weight tables'!$A$74:$C$78,MATCH(1,('MY-REPORT-MAIN'!AN86&gt;='Weight tables'!$B$74:$B$78)*('MY-REPORT-MAIN'!AN86&lt;='Weight tables'!$C$74:$C$78),0),1)</f>
        <v>0</v>
      </c>
      <c r="AW86" s="16">
        <f>IF(I_Miei_Rendiconti[[#This Row],[Column1.totalAfterSubmitted]]/AM86&gt;50%,"Checked",0)</f>
        <v>0</v>
      </c>
      <c r="AX86" s="155">
        <f t="shared" si="3"/>
        <v>18.8</v>
      </c>
      <c r="AY86" s="155" t="str">
        <f>INDEX('Partner data'!A:EB,MATCH(I_Miei_Rendiconti[[#This Row],[Column1.partnerId]],'Partner data'!DG:DG,0),92)</f>
        <v>Italia (IT)</v>
      </c>
    </row>
    <row r="87" spans="1:51" ht="30" x14ac:dyDescent="0.25">
      <c r="A87" s="79">
        <v>256</v>
      </c>
      <c r="B87" s="79">
        <v>84</v>
      </c>
      <c r="C87" s="79">
        <v>265</v>
      </c>
      <c r="D87" s="79" t="s">
        <v>2214</v>
      </c>
      <c r="E87" s="79" t="s">
        <v>253</v>
      </c>
      <c r="F87" s="79">
        <v>5</v>
      </c>
      <c r="G87" s="206" t="s">
        <v>368</v>
      </c>
      <c r="H87" s="79">
        <v>1</v>
      </c>
      <c r="I87" s="79" t="s">
        <v>4339</v>
      </c>
      <c r="J87" s="79" t="s">
        <v>490</v>
      </c>
      <c r="K87" s="208">
        <v>45379.519874999998</v>
      </c>
      <c r="M87" s="208">
        <v>45434.524321898149</v>
      </c>
      <c r="N87" s="79" t="s">
        <v>4487</v>
      </c>
      <c r="O87" s="79" t="s">
        <v>4347</v>
      </c>
      <c r="P87" s="79" t="s">
        <v>4348</v>
      </c>
      <c r="Q87" s="79" t="s">
        <v>4343</v>
      </c>
      <c r="R87" s="79">
        <v>34</v>
      </c>
      <c r="S87" s="79">
        <v>1</v>
      </c>
      <c r="T87" s="81">
        <v>1401.12</v>
      </c>
      <c r="U87" s="81">
        <v>1401.12</v>
      </c>
      <c r="V87" s="79" t="str">
        <f>INDEX(pARTNER[#All],MATCH(I_Miei_Rendiconti[[#This Row],[Column1.partnerId]],pARTNER[[#All],[Value.partnerSummary.id]],0),2)</f>
        <v>CONCERTO</v>
      </c>
      <c r="W87" s="79" t="b">
        <v>0</v>
      </c>
      <c r="X87" s="82">
        <f>I_Miei_Rendiconti[[#This Row],[Column1.totalAfterSubmitted]]-I_Miei_Rendiconti[[#This Row],[Column1.totalEligibleAfterControl]]</f>
        <v>0</v>
      </c>
      <c r="Y87" s="80">
        <f>IF(I_Miei_Rendiconti[[#This Row],[Column1.status]]="Certified",IFERROR(I_Miei_Rendiconti[[#This Row],[Financial corection]]/I_Miei_Rendiconti[[#This Row],[Column1.totalAfterSubmitted]],0),"Rendiconto da certificare")</f>
        <v>0</v>
      </c>
      <c r="Z87" s="207" t="str">
        <f>IF(I_Miei_Rendiconti[[#This Row],[Column1.status]]&lt;&gt;"Certified",INDEX('Partner data'!DG:DQ,MATCH(I_Miei_Rendiconti[[#This Row],[Column1.partnerId]],'Partner data'!DG:DG,0),13),"Rendiconto CONVALIDATO")</f>
        <v>Rendiconto CONVALIDATO</v>
      </c>
      <c r="AA87"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87" s="81" t="str">
        <f>IF(OR(I_Miei_Rendiconti[[#This Row],[N. previouse validated report ]]="Rendiconto CONVALIDATO",I_Miei_Rendiconti[[#This Row],[N. previouse validated report ]]="NON è stato convalidato ancora nessun rendiconto"),"NON PERTINENTE","fai la fromula")</f>
        <v>NON PERTINENTE</v>
      </c>
      <c r="AC87"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87" s="2">
        <f>INDEX('Partner data'!DG:DJ,MATCH(I_Miei_Rendiconti[[#This Row],[Column1.partnerId]],'Partner data'!DG:DG,0),3)</f>
        <v>1</v>
      </c>
      <c r="AE87" t="str" cm="1">
        <f t="array" ref="AE87">INDEX('Varie Tabelle'!$A$37:$C$51,MATCH(1,(I_Miei_Rendiconti[[#This Row],[Column1.firstSubmission]]&gt;='Varie Tabelle'!$B$37:$B$51)*(I_Miei_Rendiconti[[#This Row],[Column1.firstSubmission]]&lt;'Varie Tabelle'!$C$37:$C$51),0),1)</f>
        <v>Finestra 2</v>
      </c>
      <c r="AF87" s="109">
        <f>INDEX('Varie Tabelle'!$A$37:$C$51,MATCH('MY-REPORT-MAIN'!AE87,'Varie Tabelle'!$A$37:$A$51,0),2)</f>
        <v>45352</v>
      </c>
      <c r="AG87" s="109">
        <f>INDEX('Partner data'!DG:DR,MATCH(I_Miei_Rendiconti[[#This Row],[Column1.partnerId]],'Partner data'!DG:DG,0),12)</f>
        <v>45170</v>
      </c>
      <c r="AH87" s="115">
        <f t="shared" si="2"/>
        <v>5.9848733969089114</v>
      </c>
      <c r="AI87" t="str" cm="1">
        <f t="array" ref="AI87">INDEX('Varie Tabelle'!$A$12:$C$22,MATCH(1,('MY-REPORT-MAIN'!AH87&gt;='Varie Tabelle'!$B$12:$B$22)*('MY-REPORT-MAIN'!AH87&lt;='Varie Tabelle'!$C$12:$C$22),0),1)</f>
        <v>Periodo-1</v>
      </c>
      <c r="AJ87" s="14">
        <f>INDEX('Partner data'!A:EC,MATCH(I_Miei_Rendiconti[[#This Row],[Column1.partnerId]],'Partner data'!DG:DG,0),MATCH('MY-REPORT-MAIN'!AI87,'Partner data'!$2:$2,0))</f>
        <v>21001.17</v>
      </c>
      <c r="AK87" s="10">
        <f>SUMIFS($U$2:U87,$C$2:C87,I_Miei_Rendiconti[[#This Row],[Column1.partnerId]])-AJ87</f>
        <v>-19600.05</v>
      </c>
      <c r="AL87" s="16">
        <f>IFERROR(1-(I_Miei_Rendiconti[[#This Row],[Column1.totalAfterSubmitted]]/AJ87),0)</f>
        <v>0.93328371705005009</v>
      </c>
      <c r="AM87" s="14">
        <f>INDEX('Partner data'!A:EB,MATCH(I_Miei_Rendiconti[[#This Row],[Column1.partnerId]],'Partner data'!DG:DG,0),44)</f>
        <v>84004.7</v>
      </c>
      <c r="AN87" s="14">
        <f>SUMIFS(ListOfExpenditure!AP:AP,ListOfExpenditure!AJ:AJ,I_Miei_Rendiconti[[#This Row],[Column1.id]])</f>
        <v>0</v>
      </c>
      <c r="AO87" s="148">
        <f>SUMIFS(ReportSubmittedBL!W:W,ReportSubmittedBL!D:D,I_Miei_Rendiconti[[#This Row],[Column1.id]])</f>
        <v>8</v>
      </c>
      <c r="AP87" s="155" cm="1">
        <f t="array" ref="AP87">INDEX('Weight tables'!$A$32:$C$36,MATCH(1,('MY-REPORT-MAIN'!AO87&gt;='Weight tables'!$B$32:$B$36)*('MY-REPORT-MAIN'!AO87&lt;='Weight tables'!$C$32:$C$36),0),1)</f>
        <v>6.3</v>
      </c>
      <c r="AQ87" s="155">
        <f>INDEX('Weight tables'!$A$39:$B$41,MATCH(I_Miei_Rendiconti[[#This Row],[Previouse Report checked?yes/no]],'Weight tables'!$B$39:$B$41,0),1)</f>
        <v>8.4</v>
      </c>
      <c r="AR87" s="155" cm="1">
        <f t="array" ref="AR87">IF(I_Miei_Rendiconti[[#This Row],[Sum of errors in previous report ]]="NON PERTINENTE",0,INDEX('Weight tables'!$A$43:$C$46,MATCH(1,(I_Miei_Rendiconti[[#This Row],[Sum of errors in previous report ]]&gt;='Weight tables'!$B$43:$B$46)*(I_Miei_Rendiconti[[#This Row],[Sum of errors in previous report ]]&lt;='Weight tables'!$C$43:$C$46),0),1))</f>
        <v>0</v>
      </c>
      <c r="AS87" s="155" cm="1">
        <f t="array" ref="AS87">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87" s="155" cm="1">
        <f t="array" ref="AT87">INDEX('Weight tables'!$A$56:$C$65,MATCH(1,('MY-REPORT-MAIN'!U87&gt;='Weight tables'!$B$56:$B$65)*('MY-REPORT-MAIN'!U87&lt;='Weight tables'!$C$56:$C$65),0),1)</f>
        <v>0</v>
      </c>
      <c r="AU87" s="155" cm="1">
        <f t="array" ref="AU87">INDEX('Weight tables'!$A$68:$C$71,MATCH(1,('MY-REPORT-MAIN'!AL87&gt;='Weight tables'!$B$68:$B$71)*('MY-REPORT-MAIN'!AL87&lt;='Weight tables'!$C$68:$C$71),0),1)</f>
        <v>2</v>
      </c>
      <c r="AV87" s="155" cm="1">
        <f t="array" ref="AV87">INDEX('Weight tables'!$A$74:$C$78,MATCH(1,('MY-REPORT-MAIN'!AN87&gt;='Weight tables'!$B$74:$B$78)*('MY-REPORT-MAIN'!AN87&lt;='Weight tables'!$C$74:$C$78),0),1)</f>
        <v>0</v>
      </c>
      <c r="AW87" s="16">
        <f>IF(I_Miei_Rendiconti[[#This Row],[Column1.totalAfterSubmitted]]/AM87&gt;50%,"Checked",0)</f>
        <v>0</v>
      </c>
      <c r="AX87" s="155">
        <f t="shared" si="3"/>
        <v>16.7</v>
      </c>
      <c r="AY87" s="155" t="str">
        <f>INDEX('Partner data'!A:EB,MATCH(I_Miei_Rendiconti[[#This Row],[Column1.partnerId]],'Partner data'!DG:DG,0),92)</f>
        <v>Italia (IT)</v>
      </c>
    </row>
    <row r="88" spans="1:51" ht="30" x14ac:dyDescent="0.25">
      <c r="A88" s="79">
        <v>232</v>
      </c>
      <c r="B88" s="79">
        <v>69</v>
      </c>
      <c r="C88" s="79">
        <v>125</v>
      </c>
      <c r="D88" s="79" t="s">
        <v>1849</v>
      </c>
      <c r="E88" s="79" t="s">
        <v>253</v>
      </c>
      <c r="F88" s="79">
        <v>4</v>
      </c>
      <c r="G88" s="206" t="s">
        <v>307</v>
      </c>
      <c r="H88" s="79">
        <v>1</v>
      </c>
      <c r="I88" s="79" t="s">
        <v>4339</v>
      </c>
      <c r="J88" s="79" t="s">
        <v>490</v>
      </c>
      <c r="K88" s="208">
        <v>45379.595201041666</v>
      </c>
      <c r="M88" s="208">
        <v>45440.725823900466</v>
      </c>
      <c r="N88" s="79" t="s">
        <v>4470</v>
      </c>
      <c r="O88" s="79" t="s">
        <v>4347</v>
      </c>
      <c r="P88" s="79" t="s">
        <v>4348</v>
      </c>
      <c r="Q88" s="79" t="s">
        <v>4343</v>
      </c>
      <c r="T88" s="81">
        <v>23066.400000000001</v>
      </c>
      <c r="U88" s="81">
        <v>23104.2</v>
      </c>
      <c r="V88" s="79" t="str">
        <f>INDEX(pARTNER[#All],MATCH(I_Miei_Rendiconti[[#This Row],[Column1.partnerId]],pARTNER[[#All],[Value.partnerSummary.id]],0),2)</f>
        <v>BeBlue</v>
      </c>
      <c r="W88" s="79" t="b">
        <v>0</v>
      </c>
      <c r="X88" s="82">
        <f>I_Miei_Rendiconti[[#This Row],[Column1.totalAfterSubmitted]]-I_Miei_Rendiconti[[#This Row],[Column1.totalEligibleAfterControl]]</f>
        <v>37.799999999999272</v>
      </c>
      <c r="Y88" s="80">
        <f>IF(I_Miei_Rendiconti[[#This Row],[Column1.status]]="Certified",IFERROR(I_Miei_Rendiconti[[#This Row],[Financial corection]]/I_Miei_Rendiconti[[#This Row],[Column1.totalAfterSubmitted]],0),"Rendiconto da certificare")</f>
        <v>1.6360661697872798E-3</v>
      </c>
      <c r="Z88" s="207" t="str">
        <f>IF(I_Miei_Rendiconti[[#This Row],[Column1.status]]&lt;&gt;"Certified",INDEX('Partner data'!DG:DQ,MATCH(I_Miei_Rendiconti[[#This Row],[Column1.partnerId]],'Partner data'!DG:DG,0),13),"Rendiconto CONVALIDATO")</f>
        <v>Rendiconto CONVALIDATO</v>
      </c>
      <c r="AA88"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88" s="81" t="str">
        <f>IF(OR(I_Miei_Rendiconti[[#This Row],[N. previouse validated report ]]="Rendiconto CONVALIDATO",I_Miei_Rendiconti[[#This Row],[N. previouse validated report ]]="NON è stato convalidato ancora nessun rendiconto"),"NON PERTINENTE","fai la fromula")</f>
        <v>NON PERTINENTE</v>
      </c>
      <c r="AC88"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88" s="2">
        <f>INDEX('Partner data'!DG:DJ,MATCH(I_Miei_Rendiconti[[#This Row],[Column1.partnerId]],'Partner data'!DG:DG,0),3)</f>
        <v>1</v>
      </c>
      <c r="AE88" t="str" cm="1">
        <f t="array" ref="AE88">INDEX('Varie Tabelle'!$A$37:$C$51,MATCH(1,(I_Miei_Rendiconti[[#This Row],[Column1.firstSubmission]]&gt;='Varie Tabelle'!$B$37:$B$51)*(I_Miei_Rendiconti[[#This Row],[Column1.firstSubmission]]&lt;'Varie Tabelle'!$C$37:$C$51),0),1)</f>
        <v>Finestra 2</v>
      </c>
      <c r="AF88" s="109">
        <f>INDEX('Varie Tabelle'!$A$37:$C$51,MATCH('MY-REPORT-MAIN'!AE88,'Varie Tabelle'!$A$37:$A$51,0),2)</f>
        <v>45352</v>
      </c>
      <c r="AG88" s="109">
        <f>INDEX('Partner data'!DG:DR,MATCH(I_Miei_Rendiconti[[#This Row],[Column1.partnerId]],'Partner data'!DG:DG,0),12)</f>
        <v>45170</v>
      </c>
      <c r="AH88" s="115">
        <f t="shared" si="2"/>
        <v>5.9848733969089114</v>
      </c>
      <c r="AI88" t="str" cm="1">
        <f t="array" ref="AI88">INDEX('Varie Tabelle'!$A$12:$C$22,MATCH(1,('MY-REPORT-MAIN'!AH88&gt;='Varie Tabelle'!$B$12:$B$22)*('MY-REPORT-MAIN'!AH88&lt;='Varie Tabelle'!$C$12:$C$22),0),1)</f>
        <v>Periodo-1</v>
      </c>
      <c r="AJ88" s="14">
        <f>INDEX('Partner data'!A:EC,MATCH(I_Miei_Rendiconti[[#This Row],[Column1.partnerId]],'Partner data'!DG:DG,0),MATCH('MY-REPORT-MAIN'!AI88,'Partner data'!$2:$2,0))</f>
        <v>29271.200000000001</v>
      </c>
      <c r="AK88" s="10">
        <f>SUMIFS($U$2:U88,$C$2:C88,I_Miei_Rendiconti[[#This Row],[Column1.partnerId]])-AJ88</f>
        <v>-6167</v>
      </c>
      <c r="AL88" s="16">
        <f>IFERROR(1-(I_Miei_Rendiconti[[#This Row],[Column1.totalAfterSubmitted]]/AJ88),0)</f>
        <v>0.21068490529940687</v>
      </c>
      <c r="AM88" s="14">
        <f>INDEX('Partner data'!A:EB,MATCH(I_Miei_Rendiconti[[#This Row],[Column1.partnerId]],'Partner data'!DG:DG,0),44)</f>
        <v>116256</v>
      </c>
      <c r="AN88" s="14">
        <f>SUMIFS(ListOfExpenditure!AP:AP,ListOfExpenditure!AJ:AJ,I_Miei_Rendiconti[[#This Row],[Column1.id]])</f>
        <v>0</v>
      </c>
      <c r="AO88" s="148">
        <f>SUMIFS(ReportSubmittedBL!W:W,ReportSubmittedBL!D:D,I_Miei_Rendiconti[[#This Row],[Column1.id]])</f>
        <v>6</v>
      </c>
      <c r="AP88" s="155" cm="1">
        <f t="array" ref="AP88">INDEX('Weight tables'!$A$32:$C$36,MATCH(1,('MY-REPORT-MAIN'!AO88&gt;='Weight tables'!$B$32:$B$36)*('MY-REPORT-MAIN'!AO88&lt;='Weight tables'!$C$32:$C$36),0),1)</f>
        <v>4.2</v>
      </c>
      <c r="AQ88" s="155">
        <f>INDEX('Weight tables'!$A$39:$B$41,MATCH(I_Miei_Rendiconti[[#This Row],[Previouse Report checked?yes/no]],'Weight tables'!$B$39:$B$41,0),1)</f>
        <v>8.4</v>
      </c>
      <c r="AR88" s="155" cm="1">
        <f t="array" ref="AR88">IF(I_Miei_Rendiconti[[#This Row],[Sum of errors in previous report ]]="NON PERTINENTE",0,INDEX('Weight tables'!$A$43:$C$46,MATCH(1,(I_Miei_Rendiconti[[#This Row],[Sum of errors in previous report ]]&gt;='Weight tables'!$B$43:$B$46)*(I_Miei_Rendiconti[[#This Row],[Sum of errors in previous report ]]&lt;='Weight tables'!$C$43:$C$46),0),1))</f>
        <v>0</v>
      </c>
      <c r="AS88" s="155" cm="1">
        <f t="array" ref="AS88">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88" s="155" cm="1">
        <f t="array" ref="AT88">INDEX('Weight tables'!$A$56:$C$65,MATCH(1,('MY-REPORT-MAIN'!U88&gt;='Weight tables'!$B$56:$B$65)*('MY-REPORT-MAIN'!U88&lt;='Weight tables'!$C$56:$C$65),0),1)</f>
        <v>2</v>
      </c>
      <c r="AU88" s="155" cm="1">
        <f t="array" ref="AU88">INDEX('Weight tables'!$A$68:$C$71,MATCH(1,('MY-REPORT-MAIN'!AL88&gt;='Weight tables'!$B$68:$B$71)*('MY-REPORT-MAIN'!AL88&lt;='Weight tables'!$C$68:$C$71),0),1)</f>
        <v>2</v>
      </c>
      <c r="AV88" s="155" cm="1">
        <f t="array" ref="AV88">INDEX('Weight tables'!$A$74:$C$78,MATCH(1,('MY-REPORT-MAIN'!AN88&gt;='Weight tables'!$B$74:$B$78)*('MY-REPORT-MAIN'!AN88&lt;='Weight tables'!$C$74:$C$78),0),1)</f>
        <v>0</v>
      </c>
      <c r="AW88" s="16">
        <f>IF(I_Miei_Rendiconti[[#This Row],[Column1.totalAfterSubmitted]]/AM88&gt;50%,"Checked",0)</f>
        <v>0</v>
      </c>
      <c r="AX88" s="155">
        <f t="shared" si="3"/>
        <v>16.600000000000001</v>
      </c>
      <c r="AY88" s="155" t="str">
        <f>INDEX('Partner data'!A:EB,MATCH(I_Miei_Rendiconti[[#This Row],[Column1.partnerId]],'Partner data'!DG:DG,0),92)</f>
        <v>Italia (IT)</v>
      </c>
    </row>
    <row r="89" spans="1:51" ht="30" x14ac:dyDescent="0.25">
      <c r="A89" s="79">
        <v>321</v>
      </c>
      <c r="B89" s="79">
        <v>84</v>
      </c>
      <c r="C89" s="79">
        <v>266</v>
      </c>
      <c r="D89" s="79" t="s">
        <v>2214</v>
      </c>
      <c r="E89" s="79" t="s">
        <v>253</v>
      </c>
      <c r="F89" s="79">
        <v>6</v>
      </c>
      <c r="G89" s="206" t="s">
        <v>293</v>
      </c>
      <c r="H89" s="79">
        <v>2</v>
      </c>
      <c r="I89" s="79" t="s">
        <v>4339</v>
      </c>
      <c r="J89" s="79" t="s">
        <v>490</v>
      </c>
      <c r="K89" s="208">
        <v>45379.603804953702</v>
      </c>
      <c r="M89" s="208">
        <v>45443.402018564811</v>
      </c>
      <c r="N89" s="79" t="s">
        <v>4533</v>
      </c>
      <c r="O89" s="79" t="s">
        <v>4347</v>
      </c>
      <c r="P89" s="79" t="s">
        <v>4348</v>
      </c>
      <c r="Q89" s="79" t="s">
        <v>4343</v>
      </c>
      <c r="R89" s="79">
        <v>34</v>
      </c>
      <c r="S89" s="79">
        <v>1</v>
      </c>
      <c r="T89" s="81">
        <v>945</v>
      </c>
      <c r="U89" s="81">
        <v>945</v>
      </c>
      <c r="V89" s="79" t="str">
        <f>INDEX(pARTNER[#All],MATCH(I_Miei_Rendiconti[[#This Row],[Column1.partnerId]],pARTNER[[#All],[Value.partnerSummary.id]],0),2)</f>
        <v>CONCERTO</v>
      </c>
      <c r="W89" s="79" t="b">
        <v>0</v>
      </c>
      <c r="X89" s="82">
        <f>I_Miei_Rendiconti[[#This Row],[Column1.totalAfterSubmitted]]-I_Miei_Rendiconti[[#This Row],[Column1.totalEligibleAfterControl]]</f>
        <v>0</v>
      </c>
      <c r="Y89" s="80">
        <f>IF(I_Miei_Rendiconti[[#This Row],[Column1.status]]="Certified",IFERROR(I_Miei_Rendiconti[[#This Row],[Financial corection]]/I_Miei_Rendiconti[[#This Row],[Column1.totalAfterSubmitted]],0),"Rendiconto da certificare")</f>
        <v>0</v>
      </c>
      <c r="Z89" s="207" t="str">
        <f>IF(I_Miei_Rendiconti[[#This Row],[Column1.status]]&lt;&gt;"Certified",INDEX('Partner data'!DG:DQ,MATCH(I_Miei_Rendiconti[[#This Row],[Column1.partnerId]],'Partner data'!DG:DG,0),13),"Rendiconto CONVALIDATO")</f>
        <v>Rendiconto CONVALIDATO</v>
      </c>
      <c r="AA89"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89" s="81" t="str">
        <f>IF(OR(I_Miei_Rendiconti[[#This Row],[N. previouse validated report ]]="Rendiconto CONVALIDATO",I_Miei_Rendiconti[[#This Row],[N. previouse validated report ]]="NON è stato convalidato ancora nessun rendiconto"),"NON PERTINENTE","fai la fromula")</f>
        <v>NON PERTINENTE</v>
      </c>
      <c r="AC89"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89" s="2">
        <f>INDEX('Partner data'!DG:DJ,MATCH(I_Miei_Rendiconti[[#This Row],[Column1.partnerId]],'Partner data'!DG:DG,0),3)</f>
        <v>1</v>
      </c>
      <c r="AE89" t="str" cm="1">
        <f t="array" ref="AE89">INDEX('Varie Tabelle'!$A$37:$C$51,MATCH(1,(I_Miei_Rendiconti[[#This Row],[Column1.firstSubmission]]&gt;='Varie Tabelle'!$B$37:$B$51)*(I_Miei_Rendiconti[[#This Row],[Column1.firstSubmission]]&lt;'Varie Tabelle'!$C$37:$C$51),0),1)</f>
        <v>Finestra 2</v>
      </c>
      <c r="AF89" s="109">
        <f>INDEX('Varie Tabelle'!$A$37:$C$51,MATCH('MY-REPORT-MAIN'!AE89,'Varie Tabelle'!$A$37:$A$51,0),2)</f>
        <v>45352</v>
      </c>
      <c r="AG89" s="109">
        <f>INDEX('Partner data'!DG:DR,MATCH(I_Miei_Rendiconti[[#This Row],[Column1.partnerId]],'Partner data'!DG:DG,0),12)</f>
        <v>45170</v>
      </c>
      <c r="AH89" s="115">
        <f t="shared" si="2"/>
        <v>5.9848733969089114</v>
      </c>
      <c r="AI89" t="str" cm="1">
        <f t="array" ref="AI89">INDEX('Varie Tabelle'!$A$12:$C$22,MATCH(1,('MY-REPORT-MAIN'!AH89&gt;='Varie Tabelle'!$B$12:$B$22)*('MY-REPORT-MAIN'!AH89&lt;='Varie Tabelle'!$C$12:$C$22),0),1)</f>
        <v>Periodo-1</v>
      </c>
      <c r="AJ89" s="14">
        <f>INDEX('Partner data'!A:EC,MATCH(I_Miei_Rendiconti[[#This Row],[Column1.partnerId]],'Partner data'!DG:DG,0),MATCH('MY-REPORT-MAIN'!AI89,'Partner data'!$2:$2,0))</f>
        <v>8741.25</v>
      </c>
      <c r="AK89" s="10">
        <f>SUMIFS($U$2:U89,$C$2:C89,I_Miei_Rendiconti[[#This Row],[Column1.partnerId]])-AJ89</f>
        <v>-7796.25</v>
      </c>
      <c r="AL89" s="16">
        <f>IFERROR(1-(I_Miei_Rendiconti[[#This Row],[Column1.totalAfterSubmitted]]/AJ89),0)</f>
        <v>0.89189189189189189</v>
      </c>
      <c r="AM89" s="14">
        <f>INDEX('Partner data'!A:EB,MATCH(I_Miei_Rendiconti[[#This Row],[Column1.partnerId]],'Partner data'!DG:DG,0),44)</f>
        <v>34965</v>
      </c>
      <c r="AN89" s="14">
        <f>SUMIFS(ListOfExpenditure!AP:AP,ListOfExpenditure!AJ:AJ,I_Miei_Rendiconti[[#This Row],[Column1.id]])</f>
        <v>0</v>
      </c>
      <c r="AO89" s="148">
        <f>SUMIFS(ReportSubmittedBL!W:W,ReportSubmittedBL!D:D,I_Miei_Rendiconti[[#This Row],[Column1.id]])</f>
        <v>6</v>
      </c>
      <c r="AP89" s="155" cm="1">
        <f t="array" ref="AP89">INDEX('Weight tables'!$A$32:$C$36,MATCH(1,('MY-REPORT-MAIN'!AO89&gt;='Weight tables'!$B$32:$B$36)*('MY-REPORT-MAIN'!AO89&lt;='Weight tables'!$C$32:$C$36),0),1)</f>
        <v>4.2</v>
      </c>
      <c r="AQ89" s="155">
        <f>INDEX('Weight tables'!$A$39:$B$41,MATCH(I_Miei_Rendiconti[[#This Row],[Previouse Report checked?yes/no]],'Weight tables'!$B$39:$B$41,0),1)</f>
        <v>8.4</v>
      </c>
      <c r="AR89" s="155" cm="1">
        <f t="array" ref="AR89">IF(I_Miei_Rendiconti[[#This Row],[Sum of errors in previous report ]]="NON PERTINENTE",0,INDEX('Weight tables'!$A$43:$C$46,MATCH(1,(I_Miei_Rendiconti[[#This Row],[Sum of errors in previous report ]]&gt;='Weight tables'!$B$43:$B$46)*(I_Miei_Rendiconti[[#This Row],[Sum of errors in previous report ]]&lt;='Weight tables'!$C$43:$C$46),0),1))</f>
        <v>0</v>
      </c>
      <c r="AS89" s="155" cm="1">
        <f t="array" ref="AS89">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89" s="155" cm="1">
        <f t="array" ref="AT89">INDEX('Weight tables'!$A$56:$C$65,MATCH(1,('MY-REPORT-MAIN'!U89&gt;='Weight tables'!$B$56:$B$65)*('MY-REPORT-MAIN'!U89&lt;='Weight tables'!$C$56:$C$65),0),1)</f>
        <v>0</v>
      </c>
      <c r="AU89" s="155" cm="1">
        <f t="array" ref="AU89">INDEX('Weight tables'!$A$68:$C$71,MATCH(1,('MY-REPORT-MAIN'!AL89&gt;='Weight tables'!$B$68:$B$71)*('MY-REPORT-MAIN'!AL89&lt;='Weight tables'!$C$68:$C$71),0),1)</f>
        <v>2</v>
      </c>
      <c r="AV89" s="155" cm="1">
        <f t="array" ref="AV89">INDEX('Weight tables'!$A$74:$C$78,MATCH(1,('MY-REPORT-MAIN'!AN89&gt;='Weight tables'!$B$74:$B$78)*('MY-REPORT-MAIN'!AN89&lt;='Weight tables'!$C$74:$C$78),0),1)</f>
        <v>0</v>
      </c>
      <c r="AW89" s="16">
        <f>IF(I_Miei_Rendiconti[[#This Row],[Column1.totalAfterSubmitted]]/AM89&gt;50%,"Checked",0)</f>
        <v>0</v>
      </c>
      <c r="AX89" s="155">
        <f t="shared" si="3"/>
        <v>14.600000000000001</v>
      </c>
      <c r="AY89" s="155" t="str">
        <f>INDEX('Partner data'!A:EB,MATCH(I_Miei_Rendiconti[[#This Row],[Column1.partnerId]],'Partner data'!DG:DG,0),92)</f>
        <v>Italia (IT)</v>
      </c>
    </row>
    <row r="90" spans="1:51" ht="30" x14ac:dyDescent="0.25">
      <c r="A90" s="79">
        <v>198</v>
      </c>
      <c r="B90" s="79">
        <v>30</v>
      </c>
      <c r="C90" s="79">
        <v>76</v>
      </c>
      <c r="D90" s="79" t="s">
        <v>764</v>
      </c>
      <c r="E90" s="79" t="s">
        <v>264</v>
      </c>
      <c r="F90" s="79">
        <v>1</v>
      </c>
      <c r="G90" s="206" t="s">
        <v>276</v>
      </c>
      <c r="H90" s="79">
        <v>1</v>
      </c>
      <c r="I90" s="79" t="s">
        <v>4339</v>
      </c>
      <c r="J90" s="79" t="s">
        <v>490</v>
      </c>
      <c r="K90" s="208">
        <v>45379.60406568287</v>
      </c>
      <c r="M90" s="208">
        <v>45441.65601741898</v>
      </c>
      <c r="N90" s="79" t="s">
        <v>4443</v>
      </c>
      <c r="O90" s="79" t="s">
        <v>4444</v>
      </c>
      <c r="P90" s="79" t="s">
        <v>4364</v>
      </c>
      <c r="Q90" s="79" t="s">
        <v>4343</v>
      </c>
      <c r="R90" s="79">
        <v>14</v>
      </c>
      <c r="S90" s="79">
        <v>1</v>
      </c>
      <c r="T90" s="81">
        <v>52351.75</v>
      </c>
      <c r="U90" s="81">
        <v>53177.120000000003</v>
      </c>
      <c r="V90" s="79" t="str">
        <f>INDEX(pARTNER[#All],MATCH(I_Miei_Rendiconti[[#This Row],[Column1.partnerId]],pARTNER[[#All],[Value.partnerSummary.id]],0),2)</f>
        <v>MEDS GARDEN+</v>
      </c>
      <c r="W90" s="79" t="b">
        <v>0</v>
      </c>
      <c r="X90" s="82">
        <f>I_Miei_Rendiconti[[#This Row],[Column1.totalAfterSubmitted]]-I_Miei_Rendiconti[[#This Row],[Column1.totalEligibleAfterControl]]</f>
        <v>825.37000000000262</v>
      </c>
      <c r="Y90" s="80">
        <f>IF(I_Miei_Rendiconti[[#This Row],[Column1.status]]="Certified",IFERROR(I_Miei_Rendiconti[[#This Row],[Financial corection]]/I_Miei_Rendiconti[[#This Row],[Column1.totalAfterSubmitted]],0),"Rendiconto da certificare")</f>
        <v>1.5521148945260717E-2</v>
      </c>
      <c r="Z90" s="207" t="str">
        <f>IF(I_Miei_Rendiconti[[#This Row],[Column1.status]]&lt;&gt;"Certified",INDEX('Partner data'!DG:DQ,MATCH(I_Miei_Rendiconti[[#This Row],[Column1.partnerId]],'Partner data'!DG:DG,0),13),"Rendiconto CONVALIDATO")</f>
        <v>Rendiconto CONVALIDATO</v>
      </c>
      <c r="AA90"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90" s="81" t="str">
        <f>IF(OR(I_Miei_Rendiconti[[#This Row],[N. previouse validated report ]]="Rendiconto CONVALIDATO",I_Miei_Rendiconti[[#This Row],[N. previouse validated report ]]="NON è stato convalidato ancora nessun rendiconto"),"NON PERTINENTE","fai la fromula")</f>
        <v>NON PERTINENTE</v>
      </c>
      <c r="AC90"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90" s="2">
        <f>INDEX('Partner data'!DG:DJ,MATCH(I_Miei_Rendiconti[[#This Row],[Column1.partnerId]],'Partner data'!DG:DG,0),3)</f>
        <v>1</v>
      </c>
      <c r="AE90" t="str" cm="1">
        <f t="array" ref="AE90">INDEX('Varie Tabelle'!$A$37:$C$51,MATCH(1,(I_Miei_Rendiconti[[#This Row],[Column1.firstSubmission]]&gt;='Varie Tabelle'!$B$37:$B$51)*(I_Miei_Rendiconti[[#This Row],[Column1.firstSubmission]]&lt;'Varie Tabelle'!$C$37:$C$51),0),1)</f>
        <v>Finestra 2</v>
      </c>
      <c r="AF90" s="109">
        <f>INDEX('Varie Tabelle'!$A$37:$C$51,MATCH('MY-REPORT-MAIN'!AE90,'Varie Tabelle'!$A$37:$A$51,0),2)</f>
        <v>45352</v>
      </c>
      <c r="AG90" s="109">
        <f>INDEX('Partner data'!DG:DR,MATCH(I_Miei_Rendiconti[[#This Row],[Column1.partnerId]],'Partner data'!DG:DG,0),12)</f>
        <v>45184</v>
      </c>
      <c r="AH90" s="115">
        <f t="shared" si="2"/>
        <v>5.5244985202236103</v>
      </c>
      <c r="AI90" t="str" cm="1">
        <f t="array" ref="AI90">INDEX('Varie Tabelle'!$A$12:$C$22,MATCH(1,('MY-REPORT-MAIN'!AH90&gt;='Varie Tabelle'!$B$12:$B$22)*('MY-REPORT-MAIN'!AH90&lt;='Varie Tabelle'!$C$12:$C$22),0),1)</f>
        <v>Periodo-1</v>
      </c>
      <c r="AJ90" s="14">
        <f>INDEX('Partner data'!A:EC,MATCH(I_Miei_Rendiconti[[#This Row],[Column1.partnerId]],'Partner data'!DG:DG,0),MATCH('MY-REPORT-MAIN'!AI90,'Partner data'!$2:$2,0))</f>
        <v>69268.649999999994</v>
      </c>
      <c r="AK90" s="10">
        <f>SUMIFS($U$2:U90,$C$2:C90,I_Miei_Rendiconti[[#This Row],[Column1.partnerId]])-AJ90</f>
        <v>-16091.529999999992</v>
      </c>
      <c r="AL90" s="16">
        <f>IFERROR(1-(I_Miei_Rendiconti[[#This Row],[Column1.totalAfterSubmitted]]/AJ90),0)</f>
        <v>0.23230610095620452</v>
      </c>
      <c r="AM90" s="14">
        <f>INDEX('Partner data'!A:EB,MATCH(I_Miei_Rendiconti[[#This Row],[Column1.partnerId]],'Partner data'!DG:DG,0),44)</f>
        <v>320141.96999999997</v>
      </c>
      <c r="AN90" s="14">
        <f>SUMIFS(ListOfExpenditure!AP:AP,ListOfExpenditure!AJ:AJ,I_Miei_Rendiconti[[#This Row],[Column1.id]])</f>
        <v>0</v>
      </c>
      <c r="AO90" s="148">
        <f>SUMIFS(ReportSubmittedBL!W:W,ReportSubmittedBL!D:D,I_Miei_Rendiconti[[#This Row],[Column1.id]])</f>
        <v>8</v>
      </c>
      <c r="AP90" s="155" cm="1">
        <f t="array" ref="AP90">INDEX('Weight tables'!$A$32:$C$36,MATCH(1,('MY-REPORT-MAIN'!AO90&gt;='Weight tables'!$B$32:$B$36)*('MY-REPORT-MAIN'!AO90&lt;='Weight tables'!$C$32:$C$36),0),1)</f>
        <v>6.3</v>
      </c>
      <c r="AQ90" s="155">
        <f>INDEX('Weight tables'!$A$39:$B$41,MATCH(I_Miei_Rendiconti[[#This Row],[Previouse Report checked?yes/no]],'Weight tables'!$B$39:$B$41,0),1)</f>
        <v>8.4</v>
      </c>
      <c r="AR90" s="155" cm="1">
        <f t="array" ref="AR90">IF(I_Miei_Rendiconti[[#This Row],[Sum of errors in previous report ]]="NON PERTINENTE",0,INDEX('Weight tables'!$A$43:$C$46,MATCH(1,(I_Miei_Rendiconti[[#This Row],[Sum of errors in previous report ]]&gt;='Weight tables'!$B$43:$B$46)*(I_Miei_Rendiconti[[#This Row],[Sum of errors in previous report ]]&lt;='Weight tables'!$C$43:$C$46),0),1))</f>
        <v>0</v>
      </c>
      <c r="AS90" s="155" cm="1">
        <f t="array" ref="AS90">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90" s="155" cm="1">
        <f t="array" ref="AT90">INDEX('Weight tables'!$A$56:$C$65,MATCH(1,('MY-REPORT-MAIN'!U90&gt;='Weight tables'!$B$56:$B$65)*('MY-REPORT-MAIN'!U90&lt;='Weight tables'!$C$56:$C$65),0),1)</f>
        <v>5</v>
      </c>
      <c r="AU90" s="155" cm="1">
        <f t="array" ref="AU90">INDEX('Weight tables'!$A$68:$C$71,MATCH(1,('MY-REPORT-MAIN'!AL90&gt;='Weight tables'!$B$68:$B$71)*('MY-REPORT-MAIN'!AL90&lt;='Weight tables'!$C$68:$C$71),0),1)</f>
        <v>2</v>
      </c>
      <c r="AV90" s="155" cm="1">
        <f t="array" ref="AV90">INDEX('Weight tables'!$A$74:$C$78,MATCH(1,('MY-REPORT-MAIN'!AN90&gt;='Weight tables'!$B$74:$B$78)*('MY-REPORT-MAIN'!AN90&lt;='Weight tables'!$C$74:$C$78),0),1)</f>
        <v>0</v>
      </c>
      <c r="AW90" s="16">
        <f>IF(I_Miei_Rendiconti[[#This Row],[Column1.totalAfterSubmitted]]/AM90&gt;50%,"Checked",0)</f>
        <v>0</v>
      </c>
      <c r="AX90" s="155">
        <f t="shared" si="3"/>
        <v>21.7</v>
      </c>
      <c r="AY90" s="155" t="str">
        <f>INDEX('Partner data'!A:EB,MATCH(I_Miei_Rendiconti[[#This Row],[Column1.partnerId]],'Partner data'!DG:DG,0),92)</f>
        <v>Italia (IT)</v>
      </c>
    </row>
    <row r="91" spans="1:51" ht="30" x14ac:dyDescent="0.25">
      <c r="A91" s="79">
        <v>221</v>
      </c>
      <c r="B91" s="79">
        <v>90</v>
      </c>
      <c r="C91" s="79">
        <v>299</v>
      </c>
      <c r="D91" s="79" t="s">
        <v>2319</v>
      </c>
      <c r="E91" s="79" t="s">
        <v>253</v>
      </c>
      <c r="F91" s="79">
        <v>3</v>
      </c>
      <c r="G91" s="206" t="s">
        <v>375</v>
      </c>
      <c r="H91" s="79">
        <v>1</v>
      </c>
      <c r="I91" s="79" t="s">
        <v>4339</v>
      </c>
      <c r="J91" s="79" t="s">
        <v>1043</v>
      </c>
      <c r="K91" s="208">
        <v>45379.637456493052</v>
      </c>
      <c r="M91" s="208">
        <v>45439.417523402779</v>
      </c>
      <c r="N91" s="79" t="s">
        <v>4461</v>
      </c>
      <c r="O91" s="79" t="s">
        <v>4455</v>
      </c>
      <c r="P91" s="79" t="s">
        <v>4348</v>
      </c>
      <c r="Q91" s="79" t="s">
        <v>4343</v>
      </c>
      <c r="R91" s="79">
        <v>17</v>
      </c>
      <c r="S91" s="79">
        <v>1</v>
      </c>
      <c r="T91" s="81">
        <v>8540.7900000000009</v>
      </c>
      <c r="U91" s="81">
        <v>10272.9</v>
      </c>
      <c r="V91" s="79" t="str">
        <f>INDEX(pARTNER[#All],MATCH(I_Miei_Rendiconti[[#This Row],[Column1.partnerId]],pARTNER[[#All],[Value.partnerSummary.id]],0),2)</f>
        <v>RECREATE</v>
      </c>
      <c r="W91" s="79" t="b">
        <v>0</v>
      </c>
      <c r="X91" s="82">
        <f>I_Miei_Rendiconti[[#This Row],[Column1.totalAfterSubmitted]]-I_Miei_Rendiconti[[#This Row],[Column1.totalEligibleAfterControl]]</f>
        <v>1732.1099999999988</v>
      </c>
      <c r="Y91" s="80">
        <f>IF(I_Miei_Rendiconti[[#This Row],[Column1.status]]="Certified",IFERROR(I_Miei_Rendiconti[[#This Row],[Financial corection]]/I_Miei_Rendiconti[[#This Row],[Column1.totalAfterSubmitted]],0),"Rendiconto da certificare")</f>
        <v>0.16860964284671309</v>
      </c>
      <c r="Z91" s="207" t="str">
        <f>IF(I_Miei_Rendiconti[[#This Row],[Column1.status]]&lt;&gt;"Certified",INDEX('Partner data'!DG:DQ,MATCH(I_Miei_Rendiconti[[#This Row],[Column1.partnerId]],'Partner data'!DG:DG,0),13),"Rendiconto CONVALIDATO")</f>
        <v>Rendiconto CONVALIDATO</v>
      </c>
      <c r="AA91"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91" s="81" t="str">
        <f>IF(OR(I_Miei_Rendiconti[[#This Row],[N. previouse validated report ]]="Rendiconto CONVALIDATO",I_Miei_Rendiconti[[#This Row],[N. previouse validated report ]]="NON è stato convalidato ancora nessun rendiconto"),"NON PERTINENTE","fai la fromula")</f>
        <v>NON PERTINENTE</v>
      </c>
      <c r="AC91"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91" s="2">
        <f>INDEX('Partner data'!DG:DJ,MATCH(I_Miei_Rendiconti[[#This Row],[Column1.partnerId]],'Partner data'!DG:DG,0),3)</f>
        <v>1</v>
      </c>
      <c r="AE91" t="str" cm="1">
        <f t="array" ref="AE91">INDEX('Varie Tabelle'!$A$37:$C$51,MATCH(1,(I_Miei_Rendiconti[[#This Row],[Column1.firstSubmission]]&gt;='Varie Tabelle'!$B$37:$B$51)*(I_Miei_Rendiconti[[#This Row],[Column1.firstSubmission]]&lt;'Varie Tabelle'!$C$37:$C$51),0),1)</f>
        <v>Finestra 2</v>
      </c>
      <c r="AF91" s="109">
        <f>INDEX('Varie Tabelle'!$A$37:$C$51,MATCH('MY-REPORT-MAIN'!AE91,'Varie Tabelle'!$A$37:$A$51,0),2)</f>
        <v>45352</v>
      </c>
      <c r="AG91" s="109">
        <f>INDEX('Partner data'!DG:DR,MATCH(I_Miei_Rendiconti[[#This Row],[Column1.partnerId]],'Partner data'!DG:DG,0),12)</f>
        <v>45194</v>
      </c>
      <c r="AH91" s="115">
        <f t="shared" si="2"/>
        <v>5.1956593225912533</v>
      </c>
      <c r="AI91" t="str" cm="1">
        <f t="array" ref="AI91">INDEX('Varie Tabelle'!$A$12:$C$22,MATCH(1,('MY-REPORT-MAIN'!AH91&gt;='Varie Tabelle'!$B$12:$B$22)*('MY-REPORT-MAIN'!AH91&lt;='Varie Tabelle'!$C$12:$C$22),0),1)</f>
        <v>Periodo-1</v>
      </c>
      <c r="AJ91" s="14">
        <f>INDEX('Partner data'!A:EC,MATCH(I_Miei_Rendiconti[[#This Row],[Column1.partnerId]],'Partner data'!DG:DG,0),MATCH('MY-REPORT-MAIN'!AI91,'Partner data'!$2:$2,0))</f>
        <v>11156.25</v>
      </c>
      <c r="AK91" s="10">
        <f>SUMIFS($U$2:U91,$C$2:C91,I_Miei_Rendiconti[[#This Row],[Column1.partnerId]])-AJ91</f>
        <v>-883.35000000000036</v>
      </c>
      <c r="AL91" s="16">
        <f>IFERROR(1-(I_Miei_Rendiconti[[#This Row],[Column1.totalAfterSubmitted]]/AJ91),0)</f>
        <v>7.9179831932773115E-2</v>
      </c>
      <c r="AM91" s="14">
        <f>INDEX('Partner data'!A:EB,MATCH(I_Miei_Rendiconti[[#This Row],[Column1.partnerId]],'Partner data'!DG:DG,0),44)</f>
        <v>44625</v>
      </c>
      <c r="AN91" s="14">
        <f>SUMIFS(ListOfExpenditure!AP:AP,ListOfExpenditure!AJ:AJ,I_Miei_Rendiconti[[#This Row],[Column1.id]])</f>
        <v>0</v>
      </c>
      <c r="AO91" s="148">
        <f>SUMIFS(ReportSubmittedBL!W:W,ReportSubmittedBL!D:D,I_Miei_Rendiconti[[#This Row],[Column1.id]])</f>
        <v>12</v>
      </c>
      <c r="AP91" s="155" cm="1">
        <f t="array" ref="AP91">INDEX('Weight tables'!$A$32:$C$36,MATCH(1,('MY-REPORT-MAIN'!AO91&gt;='Weight tables'!$B$32:$B$36)*('MY-REPORT-MAIN'!AO91&lt;='Weight tables'!$C$32:$C$36),0),1)</f>
        <v>8.4</v>
      </c>
      <c r="AQ91" s="155">
        <f>INDEX('Weight tables'!$A$39:$B$41,MATCH(I_Miei_Rendiconti[[#This Row],[Previouse Report checked?yes/no]],'Weight tables'!$B$39:$B$41,0),1)</f>
        <v>8.4</v>
      </c>
      <c r="AR91" s="155" cm="1">
        <f t="array" ref="AR91">IF(I_Miei_Rendiconti[[#This Row],[Sum of errors in previous report ]]="NON PERTINENTE",0,INDEX('Weight tables'!$A$43:$C$46,MATCH(1,(I_Miei_Rendiconti[[#This Row],[Sum of errors in previous report ]]&gt;='Weight tables'!$B$43:$B$46)*(I_Miei_Rendiconti[[#This Row],[Sum of errors in previous report ]]&lt;='Weight tables'!$C$43:$C$46),0),1))</f>
        <v>0</v>
      </c>
      <c r="AS91" s="155" cm="1">
        <f t="array" ref="AS91">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91" s="155" cm="1">
        <f t="array" ref="AT91">INDEX('Weight tables'!$A$56:$C$65,MATCH(1,('MY-REPORT-MAIN'!U91&gt;='Weight tables'!$B$56:$B$65)*('MY-REPORT-MAIN'!U91&lt;='Weight tables'!$C$56:$C$65),0),1)</f>
        <v>1</v>
      </c>
      <c r="AU91" s="155" cm="1">
        <f t="array" ref="AU91">INDEX('Weight tables'!$A$68:$C$71,MATCH(1,('MY-REPORT-MAIN'!AL91&gt;='Weight tables'!$B$68:$B$71)*('MY-REPORT-MAIN'!AL91&lt;='Weight tables'!$C$68:$C$71),0),1)</f>
        <v>0</v>
      </c>
      <c r="AV91" s="155" cm="1">
        <f t="array" ref="AV91">INDEX('Weight tables'!$A$74:$C$78,MATCH(1,('MY-REPORT-MAIN'!AN91&gt;='Weight tables'!$B$74:$B$78)*('MY-REPORT-MAIN'!AN91&lt;='Weight tables'!$C$74:$C$78),0),1)</f>
        <v>0</v>
      </c>
      <c r="AW91" s="16">
        <f>IF(I_Miei_Rendiconti[[#This Row],[Column1.totalAfterSubmitted]]/AM91&gt;50%,"Checked",0)</f>
        <v>0</v>
      </c>
      <c r="AX91" s="155">
        <f t="shared" si="3"/>
        <v>17.8</v>
      </c>
      <c r="AY91" s="155" t="str">
        <f>INDEX('Partner data'!A:EB,MATCH(I_Miei_Rendiconti[[#This Row],[Column1.partnerId]],'Partner data'!DG:DG,0),92)</f>
        <v>Slovenija (SI)</v>
      </c>
    </row>
    <row r="92" spans="1:51" ht="30" x14ac:dyDescent="0.25">
      <c r="A92" s="79">
        <v>228</v>
      </c>
      <c r="B92" s="79">
        <v>90</v>
      </c>
      <c r="C92" s="79">
        <v>302</v>
      </c>
      <c r="D92" s="79" t="s">
        <v>2319</v>
      </c>
      <c r="E92" s="79" t="s">
        <v>253</v>
      </c>
      <c r="F92" s="79">
        <v>6</v>
      </c>
      <c r="G92" s="206" t="s">
        <v>377</v>
      </c>
      <c r="H92" s="79">
        <v>1</v>
      </c>
      <c r="I92" s="79" t="s">
        <v>4339</v>
      </c>
      <c r="J92" s="79" t="s">
        <v>1043</v>
      </c>
      <c r="K92" s="208">
        <v>45379.660239548612</v>
      </c>
      <c r="M92" s="208">
        <v>45457.41722570602</v>
      </c>
      <c r="N92" s="79" t="s">
        <v>4466</v>
      </c>
      <c r="O92" s="79" t="s">
        <v>4455</v>
      </c>
      <c r="P92" s="79" t="s">
        <v>4467</v>
      </c>
      <c r="Q92" s="79" t="s">
        <v>4343</v>
      </c>
      <c r="R92" s="79">
        <v>17</v>
      </c>
      <c r="S92" s="79">
        <v>1</v>
      </c>
      <c r="T92" s="81">
        <v>3031.6</v>
      </c>
      <c r="U92" s="81">
        <v>3031.6</v>
      </c>
      <c r="V92" s="79" t="str">
        <f>INDEX(pARTNER[#All],MATCH(I_Miei_Rendiconti[[#This Row],[Column1.partnerId]],pARTNER[[#All],[Value.partnerSummary.id]],0),2)</f>
        <v>RECREATE</v>
      </c>
      <c r="W92" s="79" t="b">
        <v>0</v>
      </c>
      <c r="X92" s="82">
        <f>I_Miei_Rendiconti[[#This Row],[Column1.totalAfterSubmitted]]-I_Miei_Rendiconti[[#This Row],[Column1.totalEligibleAfterControl]]</f>
        <v>0</v>
      </c>
      <c r="Y92" s="80">
        <f>IF(I_Miei_Rendiconti[[#This Row],[Column1.status]]="Certified",IFERROR(I_Miei_Rendiconti[[#This Row],[Financial corection]]/I_Miei_Rendiconti[[#This Row],[Column1.totalAfterSubmitted]],0),"Rendiconto da certificare")</f>
        <v>0</v>
      </c>
      <c r="Z92" s="207" t="str">
        <f>IF(I_Miei_Rendiconti[[#This Row],[Column1.status]]&lt;&gt;"Certified",INDEX('Partner data'!DG:DQ,MATCH(I_Miei_Rendiconti[[#This Row],[Column1.partnerId]],'Partner data'!DG:DG,0),13),"Rendiconto CONVALIDATO")</f>
        <v>Rendiconto CONVALIDATO</v>
      </c>
      <c r="AA92"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92" s="81" t="str">
        <f>IF(OR(I_Miei_Rendiconti[[#This Row],[N. previouse validated report ]]="Rendiconto CONVALIDATO",I_Miei_Rendiconti[[#This Row],[N. previouse validated report ]]="NON è stato convalidato ancora nessun rendiconto"),"NON PERTINENTE","fai la fromula")</f>
        <v>NON PERTINENTE</v>
      </c>
      <c r="AC92"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92" s="2">
        <f>INDEX('Partner data'!DG:DJ,MATCH(I_Miei_Rendiconti[[#This Row],[Column1.partnerId]],'Partner data'!DG:DG,0),3)</f>
        <v>1</v>
      </c>
      <c r="AE92" t="str" cm="1">
        <f t="array" ref="AE92">INDEX('Varie Tabelle'!$A$37:$C$51,MATCH(1,(I_Miei_Rendiconti[[#This Row],[Column1.firstSubmission]]&gt;='Varie Tabelle'!$B$37:$B$51)*(I_Miei_Rendiconti[[#This Row],[Column1.firstSubmission]]&lt;'Varie Tabelle'!$C$37:$C$51),0),1)</f>
        <v>Finestra 2</v>
      </c>
      <c r="AF92" s="109">
        <f>INDEX('Varie Tabelle'!$A$37:$C$51,MATCH('MY-REPORT-MAIN'!AE92,'Varie Tabelle'!$A$37:$A$51,0),2)</f>
        <v>45352</v>
      </c>
      <c r="AG92" s="109">
        <f>INDEX('Partner data'!DG:DR,MATCH(I_Miei_Rendiconti[[#This Row],[Column1.partnerId]],'Partner data'!DG:DG,0),12)</f>
        <v>45194</v>
      </c>
      <c r="AH92" s="115">
        <f t="shared" si="2"/>
        <v>5.1956593225912533</v>
      </c>
      <c r="AI92" t="str" cm="1">
        <f t="array" ref="AI92">INDEX('Varie Tabelle'!$A$12:$C$22,MATCH(1,('MY-REPORT-MAIN'!AH92&gt;='Varie Tabelle'!$B$12:$B$22)*('MY-REPORT-MAIN'!AH92&lt;='Varie Tabelle'!$C$12:$C$22),0),1)</f>
        <v>Periodo-1</v>
      </c>
      <c r="AJ92" s="14">
        <f>INDEX('Partner data'!A:EC,MATCH(I_Miei_Rendiconti[[#This Row],[Column1.partnerId]],'Partner data'!DG:DG,0),MATCH('MY-REPORT-MAIN'!AI92,'Partner data'!$2:$2,0))</f>
        <v>0</v>
      </c>
      <c r="AK92" s="10">
        <f>SUMIFS($U$2:U92,$C$2:C92,I_Miei_Rendiconti[[#This Row],[Column1.partnerId]])-AJ92</f>
        <v>3031.6</v>
      </c>
      <c r="AL92" s="16">
        <f>IFERROR(1-(I_Miei_Rendiconti[[#This Row],[Column1.totalAfterSubmitted]]/AJ92),0)</f>
        <v>0</v>
      </c>
      <c r="AM92" s="14">
        <f>INDEX('Partner data'!A:EB,MATCH(I_Miei_Rendiconti[[#This Row],[Column1.partnerId]],'Partner data'!DG:DG,0),44)</f>
        <v>65232</v>
      </c>
      <c r="AN92" s="14">
        <f>SUMIFS(ListOfExpenditure!AP:AP,ListOfExpenditure!AJ:AJ,I_Miei_Rendiconti[[#This Row],[Column1.id]])</f>
        <v>0</v>
      </c>
      <c r="AO92" s="148">
        <f>SUMIFS(ReportSubmittedBL!W:W,ReportSubmittedBL!D:D,I_Miei_Rendiconti[[#This Row],[Column1.id]])</f>
        <v>4</v>
      </c>
      <c r="AP92" s="155" cm="1">
        <f t="array" ref="AP92">INDEX('Weight tables'!$A$32:$C$36,MATCH(1,('MY-REPORT-MAIN'!AO92&gt;='Weight tables'!$B$32:$B$36)*('MY-REPORT-MAIN'!AO92&lt;='Weight tables'!$C$32:$C$36),0),1)</f>
        <v>2.1</v>
      </c>
      <c r="AQ92" s="155">
        <f>INDEX('Weight tables'!$A$39:$B$41,MATCH(I_Miei_Rendiconti[[#This Row],[Previouse Report checked?yes/no]],'Weight tables'!$B$39:$B$41,0),1)</f>
        <v>8.4</v>
      </c>
      <c r="AR92" s="155" cm="1">
        <f t="array" ref="AR92">IF(I_Miei_Rendiconti[[#This Row],[Sum of errors in previous report ]]="NON PERTINENTE",0,INDEX('Weight tables'!$A$43:$C$46,MATCH(1,(I_Miei_Rendiconti[[#This Row],[Sum of errors in previous report ]]&gt;='Weight tables'!$B$43:$B$46)*(I_Miei_Rendiconti[[#This Row],[Sum of errors in previous report ]]&lt;='Weight tables'!$C$43:$C$46),0),1))</f>
        <v>0</v>
      </c>
      <c r="AS92" s="155" cm="1">
        <f t="array" ref="AS92">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92" s="155" cm="1">
        <f t="array" ref="AT92">INDEX('Weight tables'!$A$56:$C$65,MATCH(1,('MY-REPORT-MAIN'!U92&gt;='Weight tables'!$B$56:$B$65)*('MY-REPORT-MAIN'!U92&lt;='Weight tables'!$C$56:$C$65),0),1)</f>
        <v>0</v>
      </c>
      <c r="AU92" s="155" cm="1">
        <f t="array" ref="AU92">INDEX('Weight tables'!$A$68:$C$71,MATCH(1,('MY-REPORT-MAIN'!AL92&gt;='Weight tables'!$B$68:$B$71)*('MY-REPORT-MAIN'!AL92&lt;='Weight tables'!$C$68:$C$71),0),1)</f>
        <v>0</v>
      </c>
      <c r="AV92" s="155" cm="1">
        <f t="array" ref="AV92">INDEX('Weight tables'!$A$74:$C$78,MATCH(1,('MY-REPORT-MAIN'!AN92&gt;='Weight tables'!$B$74:$B$78)*('MY-REPORT-MAIN'!AN92&lt;='Weight tables'!$C$74:$C$78),0),1)</f>
        <v>0</v>
      </c>
      <c r="AW92" s="16">
        <f>IF(I_Miei_Rendiconti[[#This Row],[Column1.totalAfterSubmitted]]/AM92&gt;50%,"Checked",0)</f>
        <v>0</v>
      </c>
      <c r="AX92" s="155">
        <f t="shared" si="3"/>
        <v>10.5</v>
      </c>
      <c r="AY92" s="155" t="str">
        <f>INDEX('Partner data'!A:EB,MATCH(I_Miei_Rendiconti[[#This Row],[Column1.partnerId]],'Partner data'!DG:DG,0),92)</f>
        <v>Italia (IT)</v>
      </c>
    </row>
    <row r="93" spans="1:51" ht="30" x14ac:dyDescent="0.25">
      <c r="A93" s="79">
        <v>294</v>
      </c>
      <c r="B93" s="79">
        <v>68</v>
      </c>
      <c r="C93" s="79">
        <v>255</v>
      </c>
      <c r="D93" s="79" t="s">
        <v>1774</v>
      </c>
      <c r="E93" s="79" t="s">
        <v>253</v>
      </c>
      <c r="F93" s="79">
        <v>5</v>
      </c>
      <c r="G93" s="206" t="s">
        <v>336</v>
      </c>
      <c r="H93" s="79">
        <v>1</v>
      </c>
      <c r="I93" s="79" t="s">
        <v>4339</v>
      </c>
      <c r="J93" s="79" t="s">
        <v>593</v>
      </c>
      <c r="K93" s="208">
        <v>45379.690171203707</v>
      </c>
      <c r="M93" s="208">
        <v>45440.700677905093</v>
      </c>
      <c r="N93" s="79" t="s">
        <v>4515</v>
      </c>
      <c r="O93" s="79" t="s">
        <v>4347</v>
      </c>
      <c r="P93" s="79" t="s">
        <v>4348</v>
      </c>
      <c r="Q93" s="79" t="s">
        <v>4343</v>
      </c>
      <c r="R93" s="79">
        <v>35</v>
      </c>
      <c r="S93" s="79">
        <v>1</v>
      </c>
      <c r="T93" s="81">
        <v>10878.98</v>
      </c>
      <c r="U93" s="81">
        <v>11007.5</v>
      </c>
      <c r="V93" s="79" t="str">
        <f>INDEX(pARTNER[#All],MATCH(I_Miei_Rendiconti[[#This Row],[Column1.partnerId]],pARTNER[[#All],[Value.partnerSummary.id]],0),2)</f>
        <v>Primis Plus</v>
      </c>
      <c r="W93" s="79" t="b">
        <v>0</v>
      </c>
      <c r="X93" s="82">
        <f>I_Miei_Rendiconti[[#This Row],[Column1.totalAfterSubmitted]]-I_Miei_Rendiconti[[#This Row],[Column1.totalEligibleAfterControl]]</f>
        <v>128.52000000000044</v>
      </c>
      <c r="Y93" s="80">
        <f>IF(I_Miei_Rendiconti[[#This Row],[Column1.status]]="Certified",IFERROR(I_Miei_Rendiconti[[#This Row],[Financial corection]]/I_Miei_Rendiconti[[#This Row],[Column1.totalAfterSubmitted]],0),"Rendiconto da certificare")</f>
        <v>1.1675675675675715E-2</v>
      </c>
      <c r="Z93" s="207" t="str">
        <f>IF(I_Miei_Rendiconti[[#This Row],[Column1.status]]&lt;&gt;"Certified",INDEX('Partner data'!DG:DQ,MATCH(I_Miei_Rendiconti[[#This Row],[Column1.partnerId]],'Partner data'!DG:DG,0),13),"Rendiconto CONVALIDATO")</f>
        <v>Rendiconto CONVALIDATO</v>
      </c>
      <c r="AA93"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93" s="81" t="str">
        <f>IF(OR(I_Miei_Rendiconti[[#This Row],[N. previouse validated report ]]="Rendiconto CONVALIDATO",I_Miei_Rendiconti[[#This Row],[N. previouse validated report ]]="NON è stato convalidato ancora nessun rendiconto"),"NON PERTINENTE","fai la fromula")</f>
        <v>NON PERTINENTE</v>
      </c>
      <c r="AC93"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93" s="2">
        <f>INDEX('Partner data'!DG:DJ,MATCH(I_Miei_Rendiconti[[#This Row],[Column1.partnerId]],'Partner data'!DG:DG,0),3)</f>
        <v>1</v>
      </c>
      <c r="AE93" t="str" cm="1">
        <f t="array" ref="AE93">INDEX('Varie Tabelle'!$A$37:$C$51,MATCH(1,(I_Miei_Rendiconti[[#This Row],[Column1.firstSubmission]]&gt;='Varie Tabelle'!$B$37:$B$51)*(I_Miei_Rendiconti[[#This Row],[Column1.firstSubmission]]&lt;'Varie Tabelle'!$C$37:$C$51),0),1)</f>
        <v>Finestra 2</v>
      </c>
      <c r="AF93" s="109">
        <f>INDEX('Varie Tabelle'!$A$37:$C$51,MATCH('MY-REPORT-MAIN'!AE93,'Varie Tabelle'!$A$37:$A$51,0),2)</f>
        <v>45352</v>
      </c>
      <c r="AG93" s="109">
        <f>INDEX('Partner data'!DG:DR,MATCH(I_Miei_Rendiconti[[#This Row],[Column1.partnerId]],'Partner data'!DG:DG,0),12)</f>
        <v>45170</v>
      </c>
      <c r="AH93" s="115">
        <f t="shared" si="2"/>
        <v>5.9848733969089114</v>
      </c>
      <c r="AI93" t="str" cm="1">
        <f t="array" ref="AI93">INDEX('Varie Tabelle'!$A$12:$C$22,MATCH(1,('MY-REPORT-MAIN'!AH93&gt;='Varie Tabelle'!$B$12:$B$22)*('MY-REPORT-MAIN'!AH93&lt;='Varie Tabelle'!$C$12:$C$22),0),1)</f>
        <v>Periodo-1</v>
      </c>
      <c r="AJ93" s="14">
        <f>INDEX('Partner data'!A:EC,MATCH(I_Miei_Rendiconti[[#This Row],[Column1.partnerId]],'Partner data'!DG:DG,0),MATCH('MY-REPORT-MAIN'!AI93,'Partner data'!$2:$2,0))</f>
        <v>13507.5</v>
      </c>
      <c r="AK93" s="10">
        <f>SUMIFS($U$2:U93,$C$2:C93,I_Miei_Rendiconti[[#This Row],[Column1.partnerId]])-AJ93</f>
        <v>-2500</v>
      </c>
      <c r="AL93" s="16">
        <f>IFERROR(1-(I_Miei_Rendiconti[[#This Row],[Column1.totalAfterSubmitted]]/AJ93),0)</f>
        <v>0.18508236165093461</v>
      </c>
      <c r="AM93" s="14">
        <f>INDEX('Partner data'!A:EB,MATCH(I_Miei_Rendiconti[[#This Row],[Column1.partnerId]],'Partner data'!DG:DG,0),44)</f>
        <v>173750</v>
      </c>
      <c r="AN93" s="14">
        <f>SUMIFS(ListOfExpenditure!AP:AP,ListOfExpenditure!AJ:AJ,I_Miei_Rendiconti[[#This Row],[Column1.id]])</f>
        <v>0</v>
      </c>
      <c r="AO93" s="148">
        <f>SUMIFS(ReportSubmittedBL!W:W,ReportSubmittedBL!D:D,I_Miei_Rendiconti[[#This Row],[Column1.id]])</f>
        <v>10</v>
      </c>
      <c r="AP93" s="155" cm="1">
        <f t="array" ref="AP93">INDEX('Weight tables'!$A$32:$C$36,MATCH(1,('MY-REPORT-MAIN'!AO93&gt;='Weight tables'!$B$32:$B$36)*('MY-REPORT-MAIN'!AO93&lt;='Weight tables'!$C$32:$C$36),0),1)</f>
        <v>8.4</v>
      </c>
      <c r="AQ93" s="155">
        <f>INDEX('Weight tables'!$A$39:$B$41,MATCH(I_Miei_Rendiconti[[#This Row],[Previouse Report checked?yes/no]],'Weight tables'!$B$39:$B$41,0),1)</f>
        <v>8.4</v>
      </c>
      <c r="AR93" s="155" cm="1">
        <f t="array" ref="AR93">IF(I_Miei_Rendiconti[[#This Row],[Sum of errors in previous report ]]="NON PERTINENTE",0,INDEX('Weight tables'!$A$43:$C$46,MATCH(1,(I_Miei_Rendiconti[[#This Row],[Sum of errors in previous report ]]&gt;='Weight tables'!$B$43:$B$46)*(I_Miei_Rendiconti[[#This Row],[Sum of errors in previous report ]]&lt;='Weight tables'!$C$43:$C$46),0),1))</f>
        <v>0</v>
      </c>
      <c r="AS93" s="155" cm="1">
        <f t="array" ref="AS93">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93" s="155" cm="1">
        <f t="array" ref="AT93">INDEX('Weight tables'!$A$56:$C$65,MATCH(1,('MY-REPORT-MAIN'!U93&gt;='Weight tables'!$B$56:$B$65)*('MY-REPORT-MAIN'!U93&lt;='Weight tables'!$C$56:$C$65),0),1)</f>
        <v>1</v>
      </c>
      <c r="AU93" s="155" cm="1">
        <f t="array" ref="AU93">INDEX('Weight tables'!$A$68:$C$71,MATCH(1,('MY-REPORT-MAIN'!AL93&gt;='Weight tables'!$B$68:$B$71)*('MY-REPORT-MAIN'!AL93&lt;='Weight tables'!$C$68:$C$71),0),1)</f>
        <v>1</v>
      </c>
      <c r="AV93" s="155" cm="1">
        <f t="array" ref="AV93">INDEX('Weight tables'!$A$74:$C$78,MATCH(1,('MY-REPORT-MAIN'!AN93&gt;='Weight tables'!$B$74:$B$78)*('MY-REPORT-MAIN'!AN93&lt;='Weight tables'!$C$74:$C$78),0),1)</f>
        <v>0</v>
      </c>
      <c r="AW93" s="16">
        <f>IF(I_Miei_Rendiconti[[#This Row],[Column1.totalAfterSubmitted]]/AM93&gt;50%,"Checked",0)</f>
        <v>0</v>
      </c>
      <c r="AX93" s="155">
        <f t="shared" si="3"/>
        <v>18.8</v>
      </c>
      <c r="AY93" s="155" t="str">
        <f>INDEX('Partner data'!A:EB,MATCH(I_Miei_Rendiconti[[#This Row],[Column1.partnerId]],'Partner data'!DG:DG,0),92)</f>
        <v>Italia (IT)</v>
      </c>
    </row>
    <row r="94" spans="1:51" ht="30" x14ac:dyDescent="0.25">
      <c r="A94" s="79">
        <v>174</v>
      </c>
      <c r="B94" s="79">
        <v>62</v>
      </c>
      <c r="C94" s="79">
        <v>169</v>
      </c>
      <c r="D94" s="79" t="s">
        <v>1622</v>
      </c>
      <c r="E94" s="79" t="s">
        <v>253</v>
      </c>
      <c r="F94" s="79">
        <v>6</v>
      </c>
      <c r="G94" s="206" t="s">
        <v>323</v>
      </c>
      <c r="H94" s="79">
        <v>1</v>
      </c>
      <c r="I94" s="79" t="s">
        <v>4339</v>
      </c>
      <c r="J94" s="79" t="s">
        <v>1118</v>
      </c>
      <c r="K94" s="208">
        <v>45379.712016157406</v>
      </c>
      <c r="M94" s="208">
        <v>45450.415508576392</v>
      </c>
      <c r="N94" s="79" t="s">
        <v>4426</v>
      </c>
      <c r="O94" s="79" t="s">
        <v>4347</v>
      </c>
      <c r="P94" s="79" t="s">
        <v>4348</v>
      </c>
      <c r="Q94" s="79" t="s">
        <v>4343</v>
      </c>
      <c r="R94" s="79">
        <v>26</v>
      </c>
      <c r="S94" s="79">
        <v>1</v>
      </c>
      <c r="T94" s="81">
        <v>12612.46</v>
      </c>
      <c r="U94" s="81">
        <v>12612.46</v>
      </c>
      <c r="V94" s="79" t="str">
        <f>INDEX(pARTNER[#All],MATCH(I_Miei_Rendiconti[[#This Row],[Column1.partnerId]],pARTNER[[#All],[Value.partnerSummary.id]],0),2)</f>
        <v>TRECap</v>
      </c>
      <c r="W94" s="79" t="b">
        <v>0</v>
      </c>
      <c r="X94" s="82">
        <f>I_Miei_Rendiconti[[#This Row],[Column1.totalAfterSubmitted]]-I_Miei_Rendiconti[[#This Row],[Column1.totalEligibleAfterControl]]</f>
        <v>0</v>
      </c>
      <c r="Y94" s="80">
        <f>IF(I_Miei_Rendiconti[[#This Row],[Column1.status]]="Certified",IFERROR(I_Miei_Rendiconti[[#This Row],[Financial corection]]/I_Miei_Rendiconti[[#This Row],[Column1.totalAfterSubmitted]],0),"Rendiconto da certificare")</f>
        <v>0</v>
      </c>
      <c r="Z94" s="207" t="str">
        <f>IF(I_Miei_Rendiconti[[#This Row],[Column1.status]]&lt;&gt;"Certified",INDEX('Partner data'!DG:DQ,MATCH(I_Miei_Rendiconti[[#This Row],[Column1.partnerId]],'Partner data'!DG:DG,0),13),"Rendiconto CONVALIDATO")</f>
        <v>Rendiconto CONVALIDATO</v>
      </c>
      <c r="AA94"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94" s="81" t="str">
        <f>IF(OR(I_Miei_Rendiconti[[#This Row],[N. previouse validated report ]]="Rendiconto CONVALIDATO",I_Miei_Rendiconti[[#This Row],[N. previouse validated report ]]="NON è stato convalidato ancora nessun rendiconto"),"NON PERTINENTE","fai la fromula")</f>
        <v>NON PERTINENTE</v>
      </c>
      <c r="AC94"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94" s="2">
        <f>INDEX('Partner data'!DG:DJ,MATCH(I_Miei_Rendiconti[[#This Row],[Column1.partnerId]],'Partner data'!DG:DG,0),3)</f>
        <v>1</v>
      </c>
      <c r="AE94" t="str" cm="1">
        <f t="array" ref="AE94">INDEX('Varie Tabelle'!$A$37:$C$51,MATCH(1,(I_Miei_Rendiconti[[#This Row],[Column1.firstSubmission]]&gt;='Varie Tabelle'!$B$37:$B$51)*(I_Miei_Rendiconti[[#This Row],[Column1.firstSubmission]]&lt;'Varie Tabelle'!$C$37:$C$51),0),1)</f>
        <v>Finestra 2</v>
      </c>
      <c r="AF94" s="109">
        <f>INDEX('Varie Tabelle'!$A$37:$C$51,MATCH('MY-REPORT-MAIN'!AE94,'Varie Tabelle'!$A$37:$A$51,0),2)</f>
        <v>45352</v>
      </c>
      <c r="AG94" s="109">
        <f>INDEX('Partner data'!DG:DR,MATCH(I_Miei_Rendiconti[[#This Row],[Column1.partnerId]],'Partner data'!DG:DG,0),12)</f>
        <v>45170</v>
      </c>
      <c r="AH94" s="115">
        <f t="shared" si="2"/>
        <v>5.9848733969089114</v>
      </c>
      <c r="AI94" t="str" cm="1">
        <f t="array" ref="AI94">INDEX('Varie Tabelle'!$A$12:$C$22,MATCH(1,('MY-REPORT-MAIN'!AH94&gt;='Varie Tabelle'!$B$12:$B$22)*('MY-REPORT-MAIN'!AH94&lt;='Varie Tabelle'!$C$12:$C$22),0),1)</f>
        <v>Periodo-1</v>
      </c>
      <c r="AJ94" s="14">
        <f>INDEX('Partner data'!A:EC,MATCH(I_Miei_Rendiconti[[#This Row],[Column1.partnerId]],'Partner data'!DG:DG,0),MATCH('MY-REPORT-MAIN'!AI94,'Partner data'!$2:$2,0))</f>
        <v>21333.200000000001</v>
      </c>
      <c r="AK94" s="10">
        <f>SUMIFS($U$2:U94,$C$2:C94,I_Miei_Rendiconti[[#This Row],[Column1.partnerId]])-AJ94</f>
        <v>-8720.7400000000016</v>
      </c>
      <c r="AL94" s="16">
        <f>IFERROR(1-(I_Miei_Rendiconti[[#This Row],[Column1.totalAfterSubmitted]]/AJ94),0)</f>
        <v>0.40878724242026521</v>
      </c>
      <c r="AM94" s="14">
        <f>INDEX('Partner data'!A:EB,MATCH(I_Miei_Rendiconti[[#This Row],[Column1.partnerId]],'Partner data'!DG:DG,0),44)</f>
        <v>84725.2</v>
      </c>
      <c r="AN94" s="14">
        <f>SUMIFS(ListOfExpenditure!AP:AP,ListOfExpenditure!AJ:AJ,I_Miei_Rendiconti[[#This Row],[Column1.id]])</f>
        <v>0</v>
      </c>
      <c r="AO94" s="148">
        <f>SUMIFS(ReportSubmittedBL!W:W,ReportSubmittedBL!D:D,I_Miei_Rendiconti[[#This Row],[Column1.id]])</f>
        <v>6</v>
      </c>
      <c r="AP94" s="155" cm="1">
        <f t="array" ref="AP94">INDEX('Weight tables'!$A$32:$C$36,MATCH(1,('MY-REPORT-MAIN'!AO94&gt;='Weight tables'!$B$32:$B$36)*('MY-REPORT-MAIN'!AO94&lt;='Weight tables'!$C$32:$C$36),0),1)</f>
        <v>4.2</v>
      </c>
      <c r="AQ94" s="155">
        <f>INDEX('Weight tables'!$A$39:$B$41,MATCH(I_Miei_Rendiconti[[#This Row],[Previouse Report checked?yes/no]],'Weight tables'!$B$39:$B$41,0),1)</f>
        <v>8.4</v>
      </c>
      <c r="AR94" s="155" cm="1">
        <f t="array" ref="AR94">IF(I_Miei_Rendiconti[[#This Row],[Sum of errors in previous report ]]="NON PERTINENTE",0,INDEX('Weight tables'!$A$43:$C$46,MATCH(1,(I_Miei_Rendiconti[[#This Row],[Sum of errors in previous report ]]&gt;='Weight tables'!$B$43:$B$46)*(I_Miei_Rendiconti[[#This Row],[Sum of errors in previous report ]]&lt;='Weight tables'!$C$43:$C$46),0),1))</f>
        <v>0</v>
      </c>
      <c r="AS94" s="155" cm="1">
        <f t="array" ref="AS94">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94" s="155" cm="1">
        <f t="array" ref="AT94">INDEX('Weight tables'!$A$56:$C$65,MATCH(1,('MY-REPORT-MAIN'!U94&gt;='Weight tables'!$B$56:$B$65)*('MY-REPORT-MAIN'!U94&lt;='Weight tables'!$C$56:$C$65),0),1)</f>
        <v>1</v>
      </c>
      <c r="AU94" s="155" cm="1">
        <f t="array" ref="AU94">INDEX('Weight tables'!$A$68:$C$71,MATCH(1,('MY-REPORT-MAIN'!AL94&gt;='Weight tables'!$B$68:$B$71)*('MY-REPORT-MAIN'!AL94&lt;='Weight tables'!$C$68:$C$71),0),1)</f>
        <v>2</v>
      </c>
      <c r="AV94" s="155" cm="1">
        <f t="array" ref="AV94">INDEX('Weight tables'!$A$74:$C$78,MATCH(1,('MY-REPORT-MAIN'!AN94&gt;='Weight tables'!$B$74:$B$78)*('MY-REPORT-MAIN'!AN94&lt;='Weight tables'!$C$74:$C$78),0),1)</f>
        <v>0</v>
      </c>
      <c r="AW94" s="16">
        <f>IF(I_Miei_Rendiconti[[#This Row],[Column1.totalAfterSubmitted]]/AM94&gt;50%,"Checked",0)</f>
        <v>0</v>
      </c>
      <c r="AX94" s="155">
        <f t="shared" si="3"/>
        <v>15.600000000000001</v>
      </c>
      <c r="AY94" s="155" t="str">
        <f>INDEX('Partner data'!A:EB,MATCH(I_Miei_Rendiconti[[#This Row],[Column1.partnerId]],'Partner data'!DG:DG,0),92)</f>
        <v>Italia (IT)</v>
      </c>
    </row>
    <row r="95" spans="1:51" ht="30" x14ac:dyDescent="0.25">
      <c r="A95" s="79">
        <v>168</v>
      </c>
      <c r="B95" s="79">
        <v>69</v>
      </c>
      <c r="C95" s="79">
        <v>127</v>
      </c>
      <c r="D95" s="79" t="s">
        <v>1849</v>
      </c>
      <c r="E95" s="79" t="s">
        <v>253</v>
      </c>
      <c r="F95" s="79">
        <v>6</v>
      </c>
      <c r="G95" s="206" t="s">
        <v>339</v>
      </c>
      <c r="H95" s="79">
        <v>1</v>
      </c>
      <c r="I95" s="79" t="s">
        <v>4339</v>
      </c>
      <c r="J95" s="79" t="s">
        <v>490</v>
      </c>
      <c r="K95" s="208">
        <v>45379.755282951388</v>
      </c>
      <c r="M95" s="208">
        <v>45477.489443090279</v>
      </c>
      <c r="N95" s="79" t="s">
        <v>4423</v>
      </c>
      <c r="O95" s="79" t="s">
        <v>4347</v>
      </c>
      <c r="P95" s="79" t="s">
        <v>4348</v>
      </c>
      <c r="Q95" s="79" t="s">
        <v>4343</v>
      </c>
      <c r="T95" s="81">
        <v>12932.75</v>
      </c>
      <c r="U95" s="81">
        <v>12932.75</v>
      </c>
      <c r="V95" s="79" t="str">
        <f>INDEX(pARTNER[#All],MATCH(I_Miei_Rendiconti[[#This Row],[Column1.partnerId]],pARTNER[[#All],[Value.partnerSummary.id]],0),2)</f>
        <v>BeBlue</v>
      </c>
      <c r="W95" s="79" t="b">
        <v>0</v>
      </c>
      <c r="X95" s="82">
        <f>I_Miei_Rendiconti[[#This Row],[Column1.totalAfterSubmitted]]-I_Miei_Rendiconti[[#This Row],[Column1.totalEligibleAfterControl]]</f>
        <v>0</v>
      </c>
      <c r="Y95" s="80">
        <f>IF(I_Miei_Rendiconti[[#This Row],[Column1.status]]="Certified",IFERROR(I_Miei_Rendiconti[[#This Row],[Financial corection]]/I_Miei_Rendiconti[[#This Row],[Column1.totalAfterSubmitted]],0),"Rendiconto da certificare")</f>
        <v>0</v>
      </c>
      <c r="Z95" s="207" t="str">
        <f>IF(I_Miei_Rendiconti[[#This Row],[Column1.status]]&lt;&gt;"Certified",INDEX('Partner data'!DG:DQ,MATCH(I_Miei_Rendiconti[[#This Row],[Column1.partnerId]],'Partner data'!DG:DG,0),13),"Rendiconto CONVALIDATO")</f>
        <v>Rendiconto CONVALIDATO</v>
      </c>
      <c r="AA95"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95" s="81" t="str">
        <f>IF(OR(I_Miei_Rendiconti[[#This Row],[N. previouse validated report ]]="Rendiconto CONVALIDATO",I_Miei_Rendiconti[[#This Row],[N. previouse validated report ]]="NON è stato convalidato ancora nessun rendiconto"),"NON PERTINENTE","fai la fromula")</f>
        <v>NON PERTINENTE</v>
      </c>
      <c r="AC95"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95" s="2">
        <f>INDEX('Partner data'!DG:DJ,MATCH(I_Miei_Rendiconti[[#This Row],[Column1.partnerId]],'Partner data'!DG:DG,0),3)</f>
        <v>1</v>
      </c>
      <c r="AE95" t="str" cm="1">
        <f t="array" ref="AE95">INDEX('Varie Tabelle'!$A$37:$C$51,MATCH(1,(I_Miei_Rendiconti[[#This Row],[Column1.firstSubmission]]&gt;='Varie Tabelle'!$B$37:$B$51)*(I_Miei_Rendiconti[[#This Row],[Column1.firstSubmission]]&lt;'Varie Tabelle'!$C$37:$C$51),0),1)</f>
        <v>Finestra 2</v>
      </c>
      <c r="AF95" s="109">
        <f>INDEX('Varie Tabelle'!$A$37:$C$51,MATCH('MY-REPORT-MAIN'!AE95,'Varie Tabelle'!$A$37:$A$51,0),2)</f>
        <v>45352</v>
      </c>
      <c r="AG95" s="109">
        <f>INDEX('Partner data'!DG:DR,MATCH(I_Miei_Rendiconti[[#This Row],[Column1.partnerId]],'Partner data'!DG:DG,0),12)</f>
        <v>45170</v>
      </c>
      <c r="AH95" s="115">
        <f t="shared" si="2"/>
        <v>5.9848733969089114</v>
      </c>
      <c r="AI95" t="str" cm="1">
        <f t="array" ref="AI95">INDEX('Varie Tabelle'!$A$12:$C$22,MATCH(1,('MY-REPORT-MAIN'!AH95&gt;='Varie Tabelle'!$B$12:$B$22)*('MY-REPORT-MAIN'!AH95&lt;='Varie Tabelle'!$C$12:$C$22),0),1)</f>
        <v>Periodo-1</v>
      </c>
      <c r="AJ95" s="14">
        <f>INDEX('Partner data'!A:EC,MATCH(I_Miei_Rendiconti[[#This Row],[Column1.partnerId]],'Partner data'!DG:DG,0),MATCH('MY-REPORT-MAIN'!AI95,'Partner data'!$2:$2,0))</f>
        <v>12902</v>
      </c>
      <c r="AK95" s="10">
        <f>SUMIFS($U$2:U95,$C$2:C95,I_Miei_Rendiconti[[#This Row],[Column1.partnerId]])-AJ95</f>
        <v>30.75</v>
      </c>
      <c r="AL95" s="16">
        <f>IFERROR(1-(I_Miei_Rendiconti[[#This Row],[Column1.totalAfterSubmitted]]/AJ95),0)</f>
        <v>-2.3833514183846383E-3</v>
      </c>
      <c r="AM95" s="14">
        <f>INDEX('Partner data'!A:EB,MATCH(I_Miei_Rendiconti[[#This Row],[Column1.partnerId]],'Partner data'!DG:DG,0),44)</f>
        <v>75727</v>
      </c>
      <c r="AN95" s="14">
        <f>SUMIFS(ListOfExpenditure!AP:AP,ListOfExpenditure!AJ:AJ,I_Miei_Rendiconti[[#This Row],[Column1.id]])</f>
        <v>0</v>
      </c>
      <c r="AO95" s="148">
        <f>SUMIFS(ReportSubmittedBL!W:W,ReportSubmittedBL!D:D,I_Miei_Rendiconti[[#This Row],[Column1.id]])</f>
        <v>16</v>
      </c>
      <c r="AP95" s="155" cm="1">
        <f t="array" ref="AP95">INDEX('Weight tables'!$A$32:$C$36,MATCH(1,('MY-REPORT-MAIN'!AO95&gt;='Weight tables'!$B$32:$B$36)*('MY-REPORT-MAIN'!AO95&lt;='Weight tables'!$C$32:$C$36),0),1)</f>
        <v>8.4</v>
      </c>
      <c r="AQ95" s="155">
        <f>INDEX('Weight tables'!$A$39:$B$41,MATCH(I_Miei_Rendiconti[[#This Row],[Previouse Report checked?yes/no]],'Weight tables'!$B$39:$B$41,0),1)</f>
        <v>8.4</v>
      </c>
      <c r="AR95" s="155" cm="1">
        <f t="array" ref="AR95">IF(I_Miei_Rendiconti[[#This Row],[Sum of errors in previous report ]]="NON PERTINENTE",0,INDEX('Weight tables'!$A$43:$C$46,MATCH(1,(I_Miei_Rendiconti[[#This Row],[Sum of errors in previous report ]]&gt;='Weight tables'!$B$43:$B$46)*(I_Miei_Rendiconti[[#This Row],[Sum of errors in previous report ]]&lt;='Weight tables'!$C$43:$C$46),0),1))</f>
        <v>0</v>
      </c>
      <c r="AS95" s="155" cm="1">
        <f t="array" ref="AS95">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95" s="155" cm="1">
        <f t="array" ref="AT95">INDEX('Weight tables'!$A$56:$C$65,MATCH(1,('MY-REPORT-MAIN'!U95&gt;='Weight tables'!$B$56:$B$65)*('MY-REPORT-MAIN'!U95&lt;='Weight tables'!$C$56:$C$65),0),1)</f>
        <v>1</v>
      </c>
      <c r="AU95" s="155" cm="1">
        <f t="array" ref="AU95">INDEX('Weight tables'!$A$68:$C$71,MATCH(1,('MY-REPORT-MAIN'!AL95&gt;='Weight tables'!$B$68:$B$71)*('MY-REPORT-MAIN'!AL95&lt;='Weight tables'!$C$68:$C$71),0),1)</f>
        <v>0</v>
      </c>
      <c r="AV95" s="155" cm="1">
        <f t="array" ref="AV95">INDEX('Weight tables'!$A$74:$C$78,MATCH(1,('MY-REPORT-MAIN'!AN95&gt;='Weight tables'!$B$74:$B$78)*('MY-REPORT-MAIN'!AN95&lt;='Weight tables'!$C$74:$C$78),0),1)</f>
        <v>0</v>
      </c>
      <c r="AW95" s="16">
        <f>IF(I_Miei_Rendiconti[[#This Row],[Column1.totalAfterSubmitted]]/AM95&gt;50%,"Checked",0)</f>
        <v>0</v>
      </c>
      <c r="AX95" s="155">
        <f t="shared" si="3"/>
        <v>17.8</v>
      </c>
      <c r="AY95" s="155" t="str">
        <f>INDEX('Partner data'!A:EB,MATCH(I_Miei_Rendiconti[[#This Row],[Column1.partnerId]],'Partner data'!DG:DG,0),92)</f>
        <v>Italia (IT)</v>
      </c>
    </row>
    <row r="96" spans="1:51" ht="30" x14ac:dyDescent="0.25">
      <c r="A96" s="79">
        <v>190</v>
      </c>
      <c r="B96" s="79">
        <v>74</v>
      </c>
      <c r="C96" s="79">
        <v>295</v>
      </c>
      <c r="D96" s="79" t="s">
        <v>1972</v>
      </c>
      <c r="E96" s="79" t="s">
        <v>253</v>
      </c>
      <c r="F96" s="79">
        <v>4</v>
      </c>
      <c r="G96" s="206" t="s">
        <v>348</v>
      </c>
      <c r="H96" s="79">
        <v>1</v>
      </c>
      <c r="I96" s="79" t="s">
        <v>4339</v>
      </c>
      <c r="J96" s="79" t="s">
        <v>1118</v>
      </c>
      <c r="K96" s="208">
        <v>45380.373928425928</v>
      </c>
      <c r="M96" s="208">
        <v>45440.412109606485</v>
      </c>
      <c r="N96" s="79" t="s">
        <v>4439</v>
      </c>
      <c r="O96" s="79" t="s">
        <v>4347</v>
      </c>
      <c r="P96" s="79" t="s">
        <v>4348</v>
      </c>
      <c r="Q96" s="79" t="s">
        <v>4343</v>
      </c>
      <c r="R96" s="79">
        <v>33</v>
      </c>
      <c r="S96" s="79">
        <v>1</v>
      </c>
      <c r="T96" s="81">
        <v>16664.349999999999</v>
      </c>
      <c r="U96" s="81">
        <v>17522.91</v>
      </c>
      <c r="V96" s="79" t="str">
        <f>INDEX(pARTNER[#All],MATCH(I_Miei_Rendiconti[[#This Row],[Column1.partnerId]],pARTNER[[#All],[Value.partnerSummary.id]],0),2)</f>
        <v>ENGREEN 2</v>
      </c>
      <c r="W96" s="79" t="b">
        <v>0</v>
      </c>
      <c r="X96" s="82">
        <f>I_Miei_Rendiconti[[#This Row],[Column1.totalAfterSubmitted]]-I_Miei_Rendiconti[[#This Row],[Column1.totalEligibleAfterControl]]</f>
        <v>858.56000000000131</v>
      </c>
      <c r="Y96" s="80">
        <f>IF(I_Miei_Rendiconti[[#This Row],[Column1.status]]="Certified",IFERROR(I_Miei_Rendiconti[[#This Row],[Financial corection]]/I_Miei_Rendiconti[[#This Row],[Column1.totalAfterSubmitted]],0),"Rendiconto da certificare")</f>
        <v>4.8996428104692735E-2</v>
      </c>
      <c r="Z96" s="207" t="str">
        <f>IF(I_Miei_Rendiconti[[#This Row],[Column1.status]]&lt;&gt;"Certified",INDEX('Partner data'!DG:DQ,MATCH(I_Miei_Rendiconti[[#This Row],[Column1.partnerId]],'Partner data'!DG:DG,0),13),"Rendiconto CONVALIDATO")</f>
        <v>Rendiconto CONVALIDATO</v>
      </c>
      <c r="AA96"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96" s="81" t="str">
        <f>IF(OR(I_Miei_Rendiconti[[#This Row],[N. previouse validated report ]]="Rendiconto CONVALIDATO",I_Miei_Rendiconti[[#This Row],[N. previouse validated report ]]="NON è stato convalidato ancora nessun rendiconto"),"NON PERTINENTE","fai la fromula")</f>
        <v>NON PERTINENTE</v>
      </c>
      <c r="AC96"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96" s="2">
        <f>INDEX('Partner data'!DG:DJ,MATCH(I_Miei_Rendiconti[[#This Row],[Column1.partnerId]],'Partner data'!DG:DG,0),3)</f>
        <v>1</v>
      </c>
      <c r="AE96" t="str" cm="1">
        <f t="array" ref="AE96">INDEX('Varie Tabelle'!$A$37:$C$51,MATCH(1,(I_Miei_Rendiconti[[#This Row],[Column1.firstSubmission]]&gt;='Varie Tabelle'!$B$37:$B$51)*(I_Miei_Rendiconti[[#This Row],[Column1.firstSubmission]]&lt;'Varie Tabelle'!$C$37:$C$51),0),1)</f>
        <v>Finestra 2</v>
      </c>
      <c r="AF96" s="109">
        <f>INDEX('Varie Tabelle'!$A$37:$C$51,MATCH('MY-REPORT-MAIN'!AE96,'Varie Tabelle'!$A$37:$A$51,0),2)</f>
        <v>45352</v>
      </c>
      <c r="AG96" s="109">
        <f>INDEX('Partner data'!DG:DR,MATCH(I_Miei_Rendiconti[[#This Row],[Column1.partnerId]],'Partner data'!DG:DG,0),12)</f>
        <v>45170</v>
      </c>
      <c r="AH96" s="115">
        <f t="shared" si="2"/>
        <v>5.9848733969089114</v>
      </c>
      <c r="AI96" t="str" cm="1">
        <f t="array" ref="AI96">INDEX('Varie Tabelle'!$A$12:$C$22,MATCH(1,('MY-REPORT-MAIN'!AH96&gt;='Varie Tabelle'!$B$12:$B$22)*('MY-REPORT-MAIN'!AH96&lt;='Varie Tabelle'!$C$12:$C$22),0),1)</f>
        <v>Periodo-1</v>
      </c>
      <c r="AJ96" s="14">
        <f>INDEX('Partner data'!A:EC,MATCH(I_Miei_Rendiconti[[#This Row],[Column1.partnerId]],'Partner data'!DG:DG,0),MATCH('MY-REPORT-MAIN'!AI96,'Partner data'!$2:$2,0))</f>
        <v>25350</v>
      </c>
      <c r="AK96" s="10">
        <f>SUMIFS($U$2:U96,$C$2:C96,I_Miei_Rendiconti[[#This Row],[Column1.partnerId]])-AJ96</f>
        <v>-7827.09</v>
      </c>
      <c r="AL96" s="16">
        <f>IFERROR(1-(I_Miei_Rendiconti[[#This Row],[Column1.totalAfterSubmitted]]/AJ96),0)</f>
        <v>0.30876094674556209</v>
      </c>
      <c r="AM96" s="14">
        <f>INDEX('Partner data'!A:EB,MATCH(I_Miei_Rendiconti[[#This Row],[Column1.partnerId]],'Partner data'!DG:DG,0),44)</f>
        <v>207510</v>
      </c>
      <c r="AN96" s="14">
        <f>SUMIFS(ListOfExpenditure!AP:AP,ListOfExpenditure!AJ:AJ,I_Miei_Rendiconti[[#This Row],[Column1.id]])</f>
        <v>0</v>
      </c>
      <c r="AO96" s="148">
        <f>SUMIFS(ReportSubmittedBL!W:W,ReportSubmittedBL!D:D,I_Miei_Rendiconti[[#This Row],[Column1.id]])</f>
        <v>16</v>
      </c>
      <c r="AP96" s="155" cm="1">
        <f t="array" ref="AP96">INDEX('Weight tables'!$A$32:$C$36,MATCH(1,('MY-REPORT-MAIN'!AO96&gt;='Weight tables'!$B$32:$B$36)*('MY-REPORT-MAIN'!AO96&lt;='Weight tables'!$C$32:$C$36),0),1)</f>
        <v>8.4</v>
      </c>
      <c r="AQ96" s="155">
        <f>INDEX('Weight tables'!$A$39:$B$41,MATCH(I_Miei_Rendiconti[[#This Row],[Previouse Report checked?yes/no]],'Weight tables'!$B$39:$B$41,0),1)</f>
        <v>8.4</v>
      </c>
      <c r="AR96" s="155" cm="1">
        <f t="array" ref="AR96">IF(I_Miei_Rendiconti[[#This Row],[Sum of errors in previous report ]]="NON PERTINENTE",0,INDEX('Weight tables'!$A$43:$C$46,MATCH(1,(I_Miei_Rendiconti[[#This Row],[Sum of errors in previous report ]]&gt;='Weight tables'!$B$43:$B$46)*(I_Miei_Rendiconti[[#This Row],[Sum of errors in previous report ]]&lt;='Weight tables'!$C$43:$C$46),0),1))</f>
        <v>0</v>
      </c>
      <c r="AS96" s="155" cm="1">
        <f t="array" ref="AS96">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96" s="155" cm="1">
        <f t="array" ref="AT96">INDEX('Weight tables'!$A$56:$C$65,MATCH(1,('MY-REPORT-MAIN'!U96&gt;='Weight tables'!$B$56:$B$65)*('MY-REPORT-MAIN'!U96&lt;='Weight tables'!$C$56:$C$65),0),1)</f>
        <v>1</v>
      </c>
      <c r="AU96" s="155" cm="1">
        <f t="array" ref="AU96">INDEX('Weight tables'!$A$68:$C$71,MATCH(1,('MY-REPORT-MAIN'!AL96&gt;='Weight tables'!$B$68:$B$71)*('MY-REPORT-MAIN'!AL96&lt;='Weight tables'!$C$68:$C$71),0),1)</f>
        <v>2</v>
      </c>
      <c r="AV96" s="155" cm="1">
        <f t="array" ref="AV96">INDEX('Weight tables'!$A$74:$C$78,MATCH(1,('MY-REPORT-MAIN'!AN96&gt;='Weight tables'!$B$74:$B$78)*('MY-REPORT-MAIN'!AN96&lt;='Weight tables'!$C$74:$C$78),0),1)</f>
        <v>0</v>
      </c>
      <c r="AW96" s="16">
        <f>IF(I_Miei_Rendiconti[[#This Row],[Column1.totalAfterSubmitted]]/AM96&gt;50%,"Checked",0)</f>
        <v>0</v>
      </c>
      <c r="AX96" s="155">
        <f t="shared" si="3"/>
        <v>19.8</v>
      </c>
      <c r="AY96" s="155" t="str">
        <f>INDEX('Partner data'!A:EB,MATCH(I_Miei_Rendiconti[[#This Row],[Column1.partnerId]],'Partner data'!DG:DG,0),92)</f>
        <v>Slovenija (SI)</v>
      </c>
    </row>
    <row r="97" spans="1:51" ht="30" x14ac:dyDescent="0.25">
      <c r="A97" s="79">
        <v>292</v>
      </c>
      <c r="B97" s="79">
        <v>92</v>
      </c>
      <c r="C97" s="79">
        <v>318</v>
      </c>
      <c r="D97" s="79" t="s">
        <v>2433</v>
      </c>
      <c r="E97" s="79" t="s">
        <v>253</v>
      </c>
      <c r="F97" s="79">
        <v>4</v>
      </c>
      <c r="G97" s="206" t="s">
        <v>22</v>
      </c>
      <c r="H97" s="79">
        <v>2</v>
      </c>
      <c r="I97" s="79" t="s">
        <v>4339</v>
      </c>
      <c r="J97" s="79" t="s">
        <v>2435</v>
      </c>
      <c r="K97" s="208">
        <v>45380.381681631945</v>
      </c>
      <c r="M97" s="208">
        <v>45443.358493506945</v>
      </c>
      <c r="N97" s="79" t="s">
        <v>4514</v>
      </c>
      <c r="O97" s="79" t="s">
        <v>4347</v>
      </c>
      <c r="P97" s="79" t="s">
        <v>4348</v>
      </c>
      <c r="Q97" s="79" t="s">
        <v>4343</v>
      </c>
      <c r="R97" s="79">
        <v>41</v>
      </c>
      <c r="S97" s="79">
        <v>2</v>
      </c>
      <c r="T97" s="81">
        <v>10819.36</v>
      </c>
      <c r="U97" s="81">
        <v>10819.36</v>
      </c>
      <c r="V97" s="79" t="str">
        <f>INDEX(pARTNER[#All],MATCH(I_Miei_Rendiconti[[#This Row],[Column1.partnerId]],pARTNER[[#All],[Value.partnerSummary.id]],0),2)</f>
        <v>KRAS-CARSO II</v>
      </c>
      <c r="W97" s="79" t="b">
        <v>0</v>
      </c>
      <c r="X97" s="82">
        <f>I_Miei_Rendiconti[[#This Row],[Column1.totalAfterSubmitted]]-I_Miei_Rendiconti[[#This Row],[Column1.totalEligibleAfterControl]]</f>
        <v>0</v>
      </c>
      <c r="Y97" s="80">
        <f>IF(I_Miei_Rendiconti[[#This Row],[Column1.status]]="Certified",IFERROR(I_Miei_Rendiconti[[#This Row],[Financial corection]]/I_Miei_Rendiconti[[#This Row],[Column1.totalAfterSubmitted]],0),"Rendiconto da certificare")</f>
        <v>0</v>
      </c>
      <c r="Z97" s="207" t="str">
        <f>IF(I_Miei_Rendiconti[[#This Row],[Column1.status]]&lt;&gt;"Certified",INDEX('Partner data'!DG:DQ,MATCH(I_Miei_Rendiconti[[#This Row],[Column1.partnerId]],'Partner data'!DG:DG,0),13),"Rendiconto CONVALIDATO")</f>
        <v>Rendiconto CONVALIDATO</v>
      </c>
      <c r="AA97"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97" s="81" t="str">
        <f>IF(OR(I_Miei_Rendiconti[[#This Row],[N. previouse validated report ]]="Rendiconto CONVALIDATO",I_Miei_Rendiconti[[#This Row],[N. previouse validated report ]]="NON è stato convalidato ancora nessun rendiconto"),"NON PERTINENTE","fai la fromula")</f>
        <v>NON PERTINENTE</v>
      </c>
      <c r="AC97"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97" s="2">
        <f>INDEX('Partner data'!DG:DJ,MATCH(I_Miei_Rendiconti[[#This Row],[Column1.partnerId]],'Partner data'!DG:DG,0),3)</f>
        <v>2</v>
      </c>
      <c r="AE97" t="str" cm="1">
        <f t="array" ref="AE97">INDEX('Varie Tabelle'!$A$37:$C$51,MATCH(1,(I_Miei_Rendiconti[[#This Row],[Column1.firstSubmission]]&gt;='Varie Tabelle'!$B$37:$B$51)*(I_Miei_Rendiconti[[#This Row],[Column1.firstSubmission]]&lt;'Varie Tabelle'!$C$37:$C$51),0),1)</f>
        <v>Finestra 2</v>
      </c>
      <c r="AF97" s="109">
        <f>INDEX('Varie Tabelle'!$A$37:$C$51,MATCH('MY-REPORT-MAIN'!AE97,'Varie Tabelle'!$A$37:$A$51,0),2)</f>
        <v>45352</v>
      </c>
      <c r="AG97" s="109">
        <f>INDEX('Partner data'!DG:DR,MATCH(I_Miei_Rendiconti[[#This Row],[Column1.partnerId]],'Partner data'!DG:DG,0),12)</f>
        <v>44927</v>
      </c>
      <c r="AH97" s="115">
        <f t="shared" si="2"/>
        <v>13.975665899375205</v>
      </c>
      <c r="AI97" t="str" cm="1">
        <f t="array" ref="AI97">INDEX('Varie Tabelle'!$A$12:$C$22,MATCH(1,('MY-REPORT-MAIN'!AH97&gt;='Varie Tabelle'!$B$12:$B$22)*('MY-REPORT-MAIN'!AH97&lt;='Varie Tabelle'!$C$12:$C$22),0),1)</f>
        <v>Periodo-2</v>
      </c>
      <c r="AJ97" s="14">
        <f>INDEX('Partner data'!A:EC,MATCH(I_Miei_Rendiconti[[#This Row],[Column1.partnerId]],'Partner data'!DG:DG,0),MATCH('MY-REPORT-MAIN'!AI97,'Partner data'!$2:$2,0))</f>
        <v>16974.16</v>
      </c>
      <c r="AK97" s="10">
        <f>SUMIFS($U$2:U97,$C$2:C97,I_Miei_Rendiconti[[#This Row],[Column1.partnerId]])-AJ97</f>
        <v>5031.3299999999981</v>
      </c>
      <c r="AL97" s="16">
        <f>IFERROR(1-(I_Miei_Rendiconti[[#This Row],[Column1.totalAfterSubmitted]]/AJ97),0)</f>
        <v>0.36259820809984111</v>
      </c>
      <c r="AM97" s="14">
        <f>INDEX('Partner data'!A:EB,MATCH(I_Miei_Rendiconti[[#This Row],[Column1.partnerId]],'Partner data'!DG:DG,0),44)</f>
        <v>120000.8</v>
      </c>
      <c r="AN97" s="14">
        <f>SUMIFS(ListOfExpenditure!AP:AP,ListOfExpenditure!AJ:AJ,I_Miei_Rendiconti[[#This Row],[Column1.id]])</f>
        <v>0</v>
      </c>
      <c r="AO97" s="148">
        <f>SUMIFS(ReportSubmittedBL!W:W,ReportSubmittedBL!D:D,I_Miei_Rendiconti[[#This Row],[Column1.id]])</f>
        <v>12</v>
      </c>
      <c r="AP97" s="155" cm="1">
        <f t="array" ref="AP97">INDEX('Weight tables'!$A$32:$C$36,MATCH(1,('MY-REPORT-MAIN'!AO97&gt;='Weight tables'!$B$32:$B$36)*('MY-REPORT-MAIN'!AO97&lt;='Weight tables'!$C$32:$C$36),0),1)</f>
        <v>8.4</v>
      </c>
      <c r="AQ97" s="155">
        <f>INDEX('Weight tables'!$A$39:$B$41,MATCH(I_Miei_Rendiconti[[#This Row],[Previouse Report checked?yes/no]],'Weight tables'!$B$39:$B$41,0),1)</f>
        <v>8.4</v>
      </c>
      <c r="AR97" s="155" cm="1">
        <f t="array" ref="AR97">IF(I_Miei_Rendiconti[[#This Row],[Sum of errors in previous report ]]="NON PERTINENTE",0,INDEX('Weight tables'!$A$43:$C$46,MATCH(1,(I_Miei_Rendiconti[[#This Row],[Sum of errors in previous report ]]&gt;='Weight tables'!$B$43:$B$46)*(I_Miei_Rendiconti[[#This Row],[Sum of errors in previous report ]]&lt;='Weight tables'!$C$43:$C$46),0),1))</f>
        <v>0</v>
      </c>
      <c r="AS97" s="155" cm="1">
        <f t="array" ref="AS97">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97" s="155" cm="1">
        <f t="array" ref="AT97">INDEX('Weight tables'!$A$56:$C$65,MATCH(1,('MY-REPORT-MAIN'!U97&gt;='Weight tables'!$B$56:$B$65)*('MY-REPORT-MAIN'!U97&lt;='Weight tables'!$C$56:$C$65),0),1)</f>
        <v>1</v>
      </c>
      <c r="AU97" s="155" cm="1">
        <f t="array" ref="AU97">INDEX('Weight tables'!$A$68:$C$71,MATCH(1,('MY-REPORT-MAIN'!AL97&gt;='Weight tables'!$B$68:$B$71)*('MY-REPORT-MAIN'!AL97&lt;='Weight tables'!$C$68:$C$71),0),1)</f>
        <v>2</v>
      </c>
      <c r="AV97" s="155" cm="1">
        <f t="array" ref="AV97">INDEX('Weight tables'!$A$74:$C$78,MATCH(1,('MY-REPORT-MAIN'!AN97&gt;='Weight tables'!$B$74:$B$78)*('MY-REPORT-MAIN'!AN97&lt;='Weight tables'!$C$74:$C$78),0),1)</f>
        <v>0</v>
      </c>
      <c r="AW97" s="16">
        <f>IF(I_Miei_Rendiconti[[#This Row],[Column1.totalAfterSubmitted]]/AM97&gt;50%,"Checked",0)</f>
        <v>0</v>
      </c>
      <c r="AX97" s="155">
        <f t="shared" si="3"/>
        <v>19.8</v>
      </c>
      <c r="AY97" s="155" t="str">
        <f>INDEX('Partner data'!A:EB,MATCH(I_Miei_Rendiconti[[#This Row],[Column1.partnerId]],'Partner data'!DG:DG,0),92)</f>
        <v>Slovenija (SI)</v>
      </c>
    </row>
    <row r="98" spans="1:51" ht="30" x14ac:dyDescent="0.25">
      <c r="A98" s="79">
        <v>183</v>
      </c>
      <c r="B98" s="79">
        <v>43</v>
      </c>
      <c r="C98" s="79">
        <v>60</v>
      </c>
      <c r="D98" s="79" t="s">
        <v>1041</v>
      </c>
      <c r="E98" s="79" t="s">
        <v>253</v>
      </c>
      <c r="F98" s="79">
        <v>2</v>
      </c>
      <c r="G98" s="206" t="s">
        <v>292</v>
      </c>
      <c r="H98" s="79">
        <v>1</v>
      </c>
      <c r="I98" s="79" t="s">
        <v>4339</v>
      </c>
      <c r="J98" s="79" t="s">
        <v>1043</v>
      </c>
      <c r="K98" s="208">
        <v>45380.382471898149</v>
      </c>
      <c r="M98" s="208">
        <v>45471.764772893519</v>
      </c>
      <c r="N98" s="79" t="s">
        <v>4433</v>
      </c>
      <c r="O98" s="79" t="s">
        <v>4363</v>
      </c>
      <c r="P98" s="79" t="s">
        <v>4348</v>
      </c>
      <c r="Q98" s="79" t="s">
        <v>4343</v>
      </c>
      <c r="T98" s="81">
        <v>12781.79</v>
      </c>
      <c r="U98" s="81">
        <v>12781.79</v>
      </c>
      <c r="V98" s="79" t="str">
        <f>INDEX(pARTNER[#All],MATCH(I_Miei_Rendiconti[[#This Row],[Column1.partnerId]],pARTNER[[#All],[Value.partnerSummary.id]],0),2)</f>
        <v>IRRIGAVIT</v>
      </c>
      <c r="W98" s="79" t="b">
        <v>0</v>
      </c>
      <c r="X98" s="82">
        <f>I_Miei_Rendiconti[[#This Row],[Column1.totalAfterSubmitted]]-I_Miei_Rendiconti[[#This Row],[Column1.totalEligibleAfterControl]]</f>
        <v>0</v>
      </c>
      <c r="Y98" s="80">
        <f>IF(I_Miei_Rendiconti[[#This Row],[Column1.status]]="Certified",IFERROR(I_Miei_Rendiconti[[#This Row],[Financial corection]]/I_Miei_Rendiconti[[#This Row],[Column1.totalAfterSubmitted]],0),"Rendiconto da certificare")</f>
        <v>0</v>
      </c>
      <c r="Z98" s="207" t="str">
        <f>IF(I_Miei_Rendiconti[[#This Row],[Column1.status]]&lt;&gt;"Certified",INDEX('Partner data'!DG:DQ,MATCH(I_Miei_Rendiconti[[#This Row],[Column1.partnerId]],'Partner data'!DG:DG,0),13),"Rendiconto CONVALIDATO")</f>
        <v>Rendiconto CONVALIDATO</v>
      </c>
      <c r="AA98"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98" s="81" t="str">
        <f>IF(OR(I_Miei_Rendiconti[[#This Row],[N. previouse validated report ]]="Rendiconto CONVALIDATO",I_Miei_Rendiconti[[#This Row],[N. previouse validated report ]]="NON è stato convalidato ancora nessun rendiconto"),"NON PERTINENTE","fai la fromula")</f>
        <v>NON PERTINENTE</v>
      </c>
      <c r="AC98"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98" s="2">
        <f>INDEX('Partner data'!DG:DJ,MATCH(I_Miei_Rendiconti[[#This Row],[Column1.partnerId]],'Partner data'!DG:DG,0),3)</f>
        <v>1</v>
      </c>
      <c r="AE98" t="str" cm="1">
        <f t="array" ref="AE98">INDEX('Varie Tabelle'!$A$37:$C$51,MATCH(1,(I_Miei_Rendiconti[[#This Row],[Column1.firstSubmission]]&gt;='Varie Tabelle'!$B$37:$B$51)*(I_Miei_Rendiconti[[#This Row],[Column1.firstSubmission]]&lt;'Varie Tabelle'!$C$37:$C$51),0),1)</f>
        <v>Finestra 2</v>
      </c>
      <c r="AF98" s="109">
        <f>INDEX('Varie Tabelle'!$A$37:$C$51,MATCH('MY-REPORT-MAIN'!AE98,'Varie Tabelle'!$A$37:$A$51,0),2)</f>
        <v>45352</v>
      </c>
      <c r="AG98" s="109">
        <f>INDEX('Partner data'!DG:DR,MATCH(I_Miei_Rendiconti[[#This Row],[Column1.partnerId]],'Partner data'!DG:DG,0),12)</f>
        <v>45200</v>
      </c>
      <c r="AH98" s="115">
        <f t="shared" si="2"/>
        <v>4.9983558040118385</v>
      </c>
      <c r="AI98" t="str" cm="1">
        <f t="array" ref="AI98">INDEX('Varie Tabelle'!$A$12:$C$22,MATCH(1,('MY-REPORT-MAIN'!AH98&gt;='Varie Tabelle'!$B$12:$B$22)*('MY-REPORT-MAIN'!AH98&lt;='Varie Tabelle'!$C$12:$C$22),0),1)</f>
        <v>Periodo-1</v>
      </c>
      <c r="AJ98" s="14">
        <f>INDEX('Partner data'!A:EC,MATCH(I_Miei_Rendiconti[[#This Row],[Column1.partnerId]],'Partner data'!DG:DG,0),MATCH('MY-REPORT-MAIN'!AI98,'Partner data'!$2:$2,0))</f>
        <v>14879.43</v>
      </c>
      <c r="AK98" s="10">
        <f>SUMIFS($U$2:U98,$C$2:C98,I_Miei_Rendiconti[[#This Row],[Column1.partnerId]])-AJ98</f>
        <v>-2097.6399999999994</v>
      </c>
      <c r="AL98" s="16">
        <f>IFERROR(1-(I_Miei_Rendiconti[[#This Row],[Column1.totalAfterSubmitted]]/AJ98),0)</f>
        <v>0.14097583039135231</v>
      </c>
      <c r="AM98" s="14">
        <f>INDEX('Partner data'!A:EB,MATCH(I_Miei_Rendiconti[[#This Row],[Column1.partnerId]],'Partner data'!DG:DG,0),44)</f>
        <v>99196.24</v>
      </c>
      <c r="AN98" s="14">
        <f>SUMIFS(ListOfExpenditure!AP:AP,ListOfExpenditure!AJ:AJ,I_Miei_Rendiconti[[#This Row],[Column1.id]])</f>
        <v>0</v>
      </c>
      <c r="AO98" s="148">
        <f>SUMIFS(ReportSubmittedBL!W:W,ReportSubmittedBL!D:D,I_Miei_Rendiconti[[#This Row],[Column1.id]])</f>
        <v>12</v>
      </c>
      <c r="AP98" s="155" cm="1">
        <f t="array" ref="AP98">INDEX('Weight tables'!$A$32:$C$36,MATCH(1,('MY-REPORT-MAIN'!AO98&gt;='Weight tables'!$B$32:$B$36)*('MY-REPORT-MAIN'!AO98&lt;='Weight tables'!$C$32:$C$36),0),1)</f>
        <v>8.4</v>
      </c>
      <c r="AQ98" s="155">
        <f>INDEX('Weight tables'!$A$39:$B$41,MATCH(I_Miei_Rendiconti[[#This Row],[Previouse Report checked?yes/no]],'Weight tables'!$B$39:$B$41,0),1)</f>
        <v>8.4</v>
      </c>
      <c r="AR98" s="155" cm="1">
        <f t="array" ref="AR98">IF(I_Miei_Rendiconti[[#This Row],[Sum of errors in previous report ]]="NON PERTINENTE",0,INDEX('Weight tables'!$A$43:$C$46,MATCH(1,(I_Miei_Rendiconti[[#This Row],[Sum of errors in previous report ]]&gt;='Weight tables'!$B$43:$B$46)*(I_Miei_Rendiconti[[#This Row],[Sum of errors in previous report ]]&lt;='Weight tables'!$C$43:$C$46),0),1))</f>
        <v>0</v>
      </c>
      <c r="AS98" s="155" cm="1">
        <f t="array" ref="AS98">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98" s="155" cm="1">
        <f t="array" ref="AT98">INDEX('Weight tables'!$A$56:$C$65,MATCH(1,('MY-REPORT-MAIN'!U98&gt;='Weight tables'!$B$56:$B$65)*('MY-REPORT-MAIN'!U98&lt;='Weight tables'!$C$56:$C$65),0),1)</f>
        <v>1</v>
      </c>
      <c r="AU98" s="155" cm="1">
        <f t="array" ref="AU98">INDEX('Weight tables'!$A$68:$C$71,MATCH(1,('MY-REPORT-MAIN'!AL98&gt;='Weight tables'!$B$68:$B$71)*('MY-REPORT-MAIN'!AL98&lt;='Weight tables'!$C$68:$C$71),0),1)</f>
        <v>1</v>
      </c>
      <c r="AV98" s="155" cm="1">
        <f t="array" ref="AV98">INDEX('Weight tables'!$A$74:$C$78,MATCH(1,('MY-REPORT-MAIN'!AN98&gt;='Weight tables'!$B$74:$B$78)*('MY-REPORT-MAIN'!AN98&lt;='Weight tables'!$C$74:$C$78),0),1)</f>
        <v>0</v>
      </c>
      <c r="AW98" s="16">
        <f>IF(I_Miei_Rendiconti[[#This Row],[Column1.totalAfterSubmitted]]/AM98&gt;50%,"Checked",0)</f>
        <v>0</v>
      </c>
      <c r="AX98" s="155">
        <f t="shared" si="3"/>
        <v>18.8</v>
      </c>
      <c r="AY98" s="155" t="str">
        <f>INDEX('Partner data'!A:EB,MATCH(I_Miei_Rendiconti[[#This Row],[Column1.partnerId]],'Partner data'!DG:DG,0),92)</f>
        <v>Italia (IT)</v>
      </c>
    </row>
    <row r="99" spans="1:51" ht="30" x14ac:dyDescent="0.25">
      <c r="A99" s="79">
        <v>285</v>
      </c>
      <c r="B99" s="79">
        <v>75</v>
      </c>
      <c r="C99" s="79">
        <v>219</v>
      </c>
      <c r="D99" s="79" t="s">
        <v>2013</v>
      </c>
      <c r="E99" s="79" t="s">
        <v>253</v>
      </c>
      <c r="F99" s="79">
        <v>6</v>
      </c>
      <c r="G99" s="206" t="s">
        <v>356</v>
      </c>
      <c r="H99" s="79">
        <v>1</v>
      </c>
      <c r="I99" s="79" t="s">
        <v>4339</v>
      </c>
      <c r="J99" s="79" t="s">
        <v>1118</v>
      </c>
      <c r="K99" s="208">
        <v>45380.38318675926</v>
      </c>
      <c r="M99" s="208">
        <v>45432.360781192132</v>
      </c>
      <c r="N99" s="79" t="s">
        <v>4509</v>
      </c>
      <c r="O99" s="79" t="s">
        <v>4363</v>
      </c>
      <c r="P99" s="79" t="s">
        <v>4348</v>
      </c>
      <c r="Q99" s="79" t="s">
        <v>4343</v>
      </c>
      <c r="R99" s="79">
        <v>44</v>
      </c>
      <c r="S99" s="79">
        <v>1</v>
      </c>
      <c r="T99" s="81">
        <v>3452.02</v>
      </c>
      <c r="U99" s="81">
        <v>3452.02</v>
      </c>
      <c r="V99" s="79" t="str">
        <f>INDEX(pARTNER[#All],MATCH(I_Miei_Rendiconti[[#This Row],[Column1.partnerId]],pARTNER[[#All],[Value.partnerSummary.id]],0),2)</f>
        <v>PRO-SIS</v>
      </c>
      <c r="W99" s="79" t="b">
        <v>0</v>
      </c>
      <c r="X99" s="82">
        <f>I_Miei_Rendiconti[[#This Row],[Column1.totalAfterSubmitted]]-I_Miei_Rendiconti[[#This Row],[Column1.totalEligibleAfterControl]]</f>
        <v>0</v>
      </c>
      <c r="Y99" s="80">
        <f>IF(I_Miei_Rendiconti[[#This Row],[Column1.status]]="Certified",IFERROR(I_Miei_Rendiconti[[#This Row],[Financial corection]]/I_Miei_Rendiconti[[#This Row],[Column1.totalAfterSubmitted]],0),"Rendiconto da certificare")</f>
        <v>0</v>
      </c>
      <c r="Z99" s="207" t="str">
        <f>IF(I_Miei_Rendiconti[[#This Row],[Column1.status]]&lt;&gt;"Certified",INDEX('Partner data'!DG:DQ,MATCH(I_Miei_Rendiconti[[#This Row],[Column1.partnerId]],'Partner data'!DG:DG,0),13),"Rendiconto CONVALIDATO")</f>
        <v>Rendiconto CONVALIDATO</v>
      </c>
      <c r="AA99"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99" s="81" t="str">
        <f>IF(OR(I_Miei_Rendiconti[[#This Row],[N. previouse validated report ]]="Rendiconto CONVALIDATO",I_Miei_Rendiconti[[#This Row],[N. previouse validated report ]]="NON è stato convalidato ancora nessun rendiconto"),"NON PERTINENTE","fai la fromula")</f>
        <v>NON PERTINENTE</v>
      </c>
      <c r="AC99"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99" s="2">
        <f>INDEX('Partner data'!DG:DJ,MATCH(I_Miei_Rendiconti[[#This Row],[Column1.partnerId]],'Partner data'!DG:DG,0),3)</f>
        <v>1</v>
      </c>
      <c r="AE99" t="str" cm="1">
        <f t="array" ref="AE99">INDEX('Varie Tabelle'!$A$37:$C$51,MATCH(1,(I_Miei_Rendiconti[[#This Row],[Column1.firstSubmission]]&gt;='Varie Tabelle'!$B$37:$B$51)*(I_Miei_Rendiconti[[#This Row],[Column1.firstSubmission]]&lt;'Varie Tabelle'!$C$37:$C$51),0),1)</f>
        <v>Finestra 2</v>
      </c>
      <c r="AF99" s="109">
        <f>INDEX('Varie Tabelle'!$A$37:$C$51,MATCH('MY-REPORT-MAIN'!AE99,'Varie Tabelle'!$A$37:$A$51,0),2)</f>
        <v>45352</v>
      </c>
      <c r="AG99" s="109">
        <f>INDEX('Partner data'!DG:DR,MATCH(I_Miei_Rendiconti[[#This Row],[Column1.partnerId]],'Partner data'!DG:DG,0),12)</f>
        <v>45200</v>
      </c>
      <c r="AH99" s="115">
        <f t="shared" si="2"/>
        <v>4.9983558040118385</v>
      </c>
      <c r="AI99" t="str" cm="1">
        <f t="array" ref="AI99">INDEX('Varie Tabelle'!$A$12:$C$22,MATCH(1,('MY-REPORT-MAIN'!AH99&gt;='Varie Tabelle'!$B$12:$B$22)*('MY-REPORT-MAIN'!AH99&lt;='Varie Tabelle'!$C$12:$C$22),0),1)</f>
        <v>Periodo-1</v>
      </c>
      <c r="AJ99" s="14">
        <f>INDEX('Partner data'!A:EC,MATCH(I_Miei_Rendiconti[[#This Row],[Column1.partnerId]],'Partner data'!DG:DG,0),MATCH('MY-REPORT-MAIN'!AI99,'Partner data'!$2:$2,0))</f>
        <v>9408</v>
      </c>
      <c r="AK99" s="10">
        <f>SUMIFS($U$2:U99,$C$2:C99,I_Miei_Rendiconti[[#This Row],[Column1.partnerId]])-AJ99</f>
        <v>-5955.98</v>
      </c>
      <c r="AL99" s="16">
        <f>IFERROR(1-(I_Miei_Rendiconti[[#This Row],[Column1.totalAfterSubmitted]]/AJ99),0)</f>
        <v>0.63307610544217685</v>
      </c>
      <c r="AM99" s="14">
        <f>INDEX('Partner data'!A:EB,MATCH(I_Miei_Rendiconti[[#This Row],[Column1.partnerId]],'Partner data'!DG:DG,0),44)</f>
        <v>69972</v>
      </c>
      <c r="AN99" s="14">
        <f>SUMIFS(ListOfExpenditure!AP:AP,ListOfExpenditure!AJ:AJ,I_Miei_Rendiconti[[#This Row],[Column1.id]])</f>
        <v>0</v>
      </c>
      <c r="AO99" s="148">
        <f>SUMIFS(ReportSubmittedBL!W:W,ReportSubmittedBL!D:D,I_Miei_Rendiconti[[#This Row],[Column1.id]])</f>
        <v>8</v>
      </c>
      <c r="AP99" s="155" cm="1">
        <f t="array" ref="AP99">INDEX('Weight tables'!$A$32:$C$36,MATCH(1,('MY-REPORT-MAIN'!AO99&gt;='Weight tables'!$B$32:$B$36)*('MY-REPORT-MAIN'!AO99&lt;='Weight tables'!$C$32:$C$36),0),1)</f>
        <v>6.3</v>
      </c>
      <c r="AQ99" s="155">
        <f>INDEX('Weight tables'!$A$39:$B$41,MATCH(I_Miei_Rendiconti[[#This Row],[Previouse Report checked?yes/no]],'Weight tables'!$B$39:$B$41,0),1)</f>
        <v>8.4</v>
      </c>
      <c r="AR99" s="155" cm="1">
        <f t="array" ref="AR99">IF(I_Miei_Rendiconti[[#This Row],[Sum of errors in previous report ]]="NON PERTINENTE",0,INDEX('Weight tables'!$A$43:$C$46,MATCH(1,(I_Miei_Rendiconti[[#This Row],[Sum of errors in previous report ]]&gt;='Weight tables'!$B$43:$B$46)*(I_Miei_Rendiconti[[#This Row],[Sum of errors in previous report ]]&lt;='Weight tables'!$C$43:$C$46),0),1))</f>
        <v>0</v>
      </c>
      <c r="AS99" s="155" cm="1">
        <f t="array" ref="AS99">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99" s="155" cm="1">
        <f t="array" ref="AT99">INDEX('Weight tables'!$A$56:$C$65,MATCH(1,('MY-REPORT-MAIN'!U99&gt;='Weight tables'!$B$56:$B$65)*('MY-REPORT-MAIN'!U99&lt;='Weight tables'!$C$56:$C$65),0),1)</f>
        <v>0</v>
      </c>
      <c r="AU99" s="155" cm="1">
        <f t="array" ref="AU99">INDEX('Weight tables'!$A$68:$C$71,MATCH(1,('MY-REPORT-MAIN'!AL99&gt;='Weight tables'!$B$68:$B$71)*('MY-REPORT-MAIN'!AL99&lt;='Weight tables'!$C$68:$C$71),0),1)</f>
        <v>2</v>
      </c>
      <c r="AV99" s="155" cm="1">
        <f t="array" ref="AV99">INDEX('Weight tables'!$A$74:$C$78,MATCH(1,('MY-REPORT-MAIN'!AN99&gt;='Weight tables'!$B$74:$B$78)*('MY-REPORT-MAIN'!AN99&lt;='Weight tables'!$C$74:$C$78),0),1)</f>
        <v>0</v>
      </c>
      <c r="AW99" s="16">
        <f>IF(I_Miei_Rendiconti[[#This Row],[Column1.totalAfterSubmitted]]/AM99&gt;50%,"Checked",0)</f>
        <v>0</v>
      </c>
      <c r="AX99" s="155">
        <f t="shared" si="3"/>
        <v>16.7</v>
      </c>
      <c r="AY99" s="155" t="str">
        <f>INDEX('Partner data'!A:EB,MATCH(I_Miei_Rendiconti[[#This Row],[Column1.partnerId]],'Partner data'!DG:DG,0),92)</f>
        <v>Slovenija (SI)</v>
      </c>
    </row>
    <row r="100" spans="1:51" ht="30" x14ac:dyDescent="0.25">
      <c r="A100" s="79">
        <v>288</v>
      </c>
      <c r="B100" s="79">
        <v>60</v>
      </c>
      <c r="C100" s="79">
        <v>117</v>
      </c>
      <c r="D100" s="79" t="s">
        <v>1551</v>
      </c>
      <c r="E100" s="79" t="s">
        <v>253</v>
      </c>
      <c r="F100" s="79">
        <v>2</v>
      </c>
      <c r="G100" s="206" t="s">
        <v>321</v>
      </c>
      <c r="H100" s="79">
        <v>1</v>
      </c>
      <c r="I100" s="79" t="s">
        <v>4339</v>
      </c>
      <c r="J100" s="79" t="s">
        <v>1118</v>
      </c>
      <c r="K100" s="208">
        <v>45380.39997810185</v>
      </c>
      <c r="M100" s="208">
        <v>45440.358501215276</v>
      </c>
      <c r="N100" s="79" t="s">
        <v>4512</v>
      </c>
      <c r="O100" s="79" t="s">
        <v>4363</v>
      </c>
      <c r="P100" s="79" t="s">
        <v>4348</v>
      </c>
      <c r="Q100" s="79" t="s">
        <v>4343</v>
      </c>
      <c r="T100" s="81">
        <v>14191.11</v>
      </c>
      <c r="U100" s="81">
        <v>17754.05</v>
      </c>
      <c r="V100" s="79" t="str">
        <f>INDEX(pARTNER[#All],MATCH(I_Miei_Rendiconti[[#This Row],[Column1.partnerId]],pARTNER[[#All],[Value.partnerSummary.id]],0),2)</f>
        <v>INTER BIKE III</v>
      </c>
      <c r="W100" s="79" t="b">
        <v>0</v>
      </c>
      <c r="X100" s="82">
        <f>I_Miei_Rendiconti[[#This Row],[Column1.totalAfterSubmitted]]-I_Miei_Rendiconti[[#This Row],[Column1.totalEligibleAfterControl]]</f>
        <v>3562.9399999999987</v>
      </c>
      <c r="Y100" s="80">
        <f>IF(I_Miei_Rendiconti[[#This Row],[Column1.status]]="Certified",IFERROR(I_Miei_Rendiconti[[#This Row],[Financial corection]]/I_Miei_Rendiconti[[#This Row],[Column1.totalAfterSubmitted]],0),"Rendiconto da certificare")</f>
        <v>0.20068322439105438</v>
      </c>
      <c r="Z100" s="207" t="str">
        <f>IF(I_Miei_Rendiconti[[#This Row],[Column1.status]]&lt;&gt;"Certified",INDEX('Partner data'!DG:DQ,MATCH(I_Miei_Rendiconti[[#This Row],[Column1.partnerId]],'Partner data'!DG:DG,0),13),"Rendiconto CONVALIDATO")</f>
        <v>Rendiconto CONVALIDATO</v>
      </c>
      <c r="AA100"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00" s="81" t="str">
        <f>IF(OR(I_Miei_Rendiconti[[#This Row],[N. previouse validated report ]]="Rendiconto CONVALIDATO",I_Miei_Rendiconti[[#This Row],[N. previouse validated report ]]="NON è stato convalidato ancora nessun rendiconto"),"NON PERTINENTE","fai la fromula")</f>
        <v>NON PERTINENTE</v>
      </c>
      <c r="AC100"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00" s="2">
        <f>INDEX('Partner data'!DG:DJ,MATCH(I_Miei_Rendiconti[[#This Row],[Column1.partnerId]],'Partner data'!DG:DG,0),3)</f>
        <v>1</v>
      </c>
      <c r="AE100" t="str" cm="1">
        <f t="array" ref="AE100">INDEX('Varie Tabelle'!$A$37:$C$51,MATCH(1,(I_Miei_Rendiconti[[#This Row],[Column1.firstSubmission]]&gt;='Varie Tabelle'!$B$37:$B$51)*(I_Miei_Rendiconti[[#This Row],[Column1.firstSubmission]]&lt;'Varie Tabelle'!$C$37:$C$51),0),1)</f>
        <v>Finestra 2</v>
      </c>
      <c r="AF100" s="109">
        <f>INDEX('Varie Tabelle'!$A$37:$C$51,MATCH('MY-REPORT-MAIN'!AE100,'Varie Tabelle'!$A$37:$A$51,0),2)</f>
        <v>45352</v>
      </c>
      <c r="AG100" s="109">
        <f>INDEX('Partner data'!DG:DR,MATCH(I_Miei_Rendiconti[[#This Row],[Column1.partnerId]],'Partner data'!DG:DG,0),12)</f>
        <v>45200</v>
      </c>
      <c r="AH100" s="115">
        <f t="shared" si="2"/>
        <v>4.9983558040118385</v>
      </c>
      <c r="AI100" t="str" cm="1">
        <f t="array" ref="AI100">INDEX('Varie Tabelle'!$A$12:$C$22,MATCH(1,('MY-REPORT-MAIN'!AH100&gt;='Varie Tabelle'!$B$12:$B$22)*('MY-REPORT-MAIN'!AH100&lt;='Varie Tabelle'!$C$12:$C$22),0),1)</f>
        <v>Periodo-1</v>
      </c>
      <c r="AJ100" s="14">
        <f>INDEX('Partner data'!A:EC,MATCH(I_Miei_Rendiconti[[#This Row],[Column1.partnerId]],'Partner data'!DG:DG,0),MATCH('MY-REPORT-MAIN'!AI100,'Partner data'!$2:$2,0))</f>
        <v>11382.55</v>
      </c>
      <c r="AK100" s="10">
        <f>SUMIFS($U$2:U100,$C$2:C100,I_Miei_Rendiconti[[#This Row],[Column1.partnerId]])-AJ100</f>
        <v>6371.5</v>
      </c>
      <c r="AL100" s="16">
        <f>IFERROR(1-(I_Miei_Rendiconti[[#This Row],[Column1.totalAfterSubmitted]]/AJ100),0)</f>
        <v>-0.55976033489859489</v>
      </c>
      <c r="AM100" s="14">
        <f>INDEX('Partner data'!A:EB,MATCH(I_Miei_Rendiconti[[#This Row],[Column1.partnerId]],'Partner data'!DG:DG,0),44)</f>
        <v>121228.4</v>
      </c>
      <c r="AN100" s="14">
        <f>SUMIFS(ListOfExpenditure!AP:AP,ListOfExpenditure!AJ:AJ,I_Miei_Rendiconti[[#This Row],[Column1.id]])</f>
        <v>0</v>
      </c>
      <c r="AO100" s="148">
        <f>SUMIFS(ReportSubmittedBL!W:W,ReportSubmittedBL!D:D,I_Miei_Rendiconti[[#This Row],[Column1.id]])</f>
        <v>16</v>
      </c>
      <c r="AP100" s="155" cm="1">
        <f t="array" ref="AP100">INDEX('Weight tables'!$A$32:$C$36,MATCH(1,('MY-REPORT-MAIN'!AO100&gt;='Weight tables'!$B$32:$B$36)*('MY-REPORT-MAIN'!AO100&lt;='Weight tables'!$C$32:$C$36),0),1)</f>
        <v>8.4</v>
      </c>
      <c r="AQ100" s="155">
        <f>INDEX('Weight tables'!$A$39:$B$41,MATCH(I_Miei_Rendiconti[[#This Row],[Previouse Report checked?yes/no]],'Weight tables'!$B$39:$B$41,0),1)</f>
        <v>8.4</v>
      </c>
      <c r="AR100" s="155" cm="1">
        <f t="array" ref="AR100">IF(I_Miei_Rendiconti[[#This Row],[Sum of errors in previous report ]]="NON PERTINENTE",0,INDEX('Weight tables'!$A$43:$C$46,MATCH(1,(I_Miei_Rendiconti[[#This Row],[Sum of errors in previous report ]]&gt;='Weight tables'!$B$43:$B$46)*(I_Miei_Rendiconti[[#This Row],[Sum of errors in previous report ]]&lt;='Weight tables'!$C$43:$C$46),0),1))</f>
        <v>0</v>
      </c>
      <c r="AS100" s="155" cm="1">
        <f t="array" ref="AS100">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00" s="155" cm="1">
        <f t="array" ref="AT100">INDEX('Weight tables'!$A$56:$C$65,MATCH(1,('MY-REPORT-MAIN'!U100&gt;='Weight tables'!$B$56:$B$65)*('MY-REPORT-MAIN'!U100&lt;='Weight tables'!$C$56:$C$65),0),1)</f>
        <v>1</v>
      </c>
      <c r="AU100" s="155" cm="1">
        <f t="array" ref="AU100">INDEX('Weight tables'!$A$68:$C$71,MATCH(1,('MY-REPORT-MAIN'!AL100&gt;='Weight tables'!$B$68:$B$71)*('MY-REPORT-MAIN'!AL100&lt;='Weight tables'!$C$68:$C$71),0),1)</f>
        <v>0</v>
      </c>
      <c r="AV100" s="155" cm="1">
        <f t="array" ref="AV100">INDEX('Weight tables'!$A$74:$C$78,MATCH(1,('MY-REPORT-MAIN'!AN100&gt;='Weight tables'!$B$74:$B$78)*('MY-REPORT-MAIN'!AN100&lt;='Weight tables'!$C$74:$C$78),0),1)</f>
        <v>0</v>
      </c>
      <c r="AW100" s="16">
        <f>IF(I_Miei_Rendiconti[[#This Row],[Column1.totalAfterSubmitted]]/AM100&gt;50%,"Checked",0)</f>
        <v>0</v>
      </c>
      <c r="AX100" s="155">
        <f t="shared" si="3"/>
        <v>17.8</v>
      </c>
      <c r="AY100" s="155" t="str">
        <f>INDEX('Partner data'!A:EB,MATCH(I_Miei_Rendiconti[[#This Row],[Column1.partnerId]],'Partner data'!DG:DG,0),92)</f>
        <v>Slovenija (SI)</v>
      </c>
    </row>
    <row r="101" spans="1:51" ht="30" x14ac:dyDescent="0.25">
      <c r="A101" s="79">
        <v>22</v>
      </c>
      <c r="B101" s="79">
        <v>69</v>
      </c>
      <c r="C101" s="79">
        <v>122</v>
      </c>
      <c r="D101" s="79" t="s">
        <v>1849</v>
      </c>
      <c r="E101" s="79" t="s">
        <v>264</v>
      </c>
      <c r="F101" s="79">
        <v>1</v>
      </c>
      <c r="G101" s="206" t="s">
        <v>292</v>
      </c>
      <c r="H101" s="79">
        <v>1</v>
      </c>
      <c r="I101" s="79" t="s">
        <v>4339</v>
      </c>
      <c r="J101" s="79" t="s">
        <v>490</v>
      </c>
      <c r="K101" s="208">
        <v>45380.400691435185</v>
      </c>
      <c r="M101" s="208">
        <v>45469.626169826392</v>
      </c>
      <c r="N101" s="79" t="s">
        <v>4346</v>
      </c>
      <c r="O101" s="79" t="s">
        <v>4347</v>
      </c>
      <c r="P101" s="79" t="s">
        <v>4348</v>
      </c>
      <c r="Q101" s="79" t="s">
        <v>4343</v>
      </c>
      <c r="T101" s="81">
        <v>31576.97</v>
      </c>
      <c r="U101" s="81">
        <v>31576.97</v>
      </c>
      <c r="V101" s="79" t="str">
        <f>INDEX(pARTNER[#All],MATCH(I_Miei_Rendiconti[[#This Row],[Column1.partnerId]],pARTNER[[#All],[Value.partnerSummary.id]],0),2)</f>
        <v>BeBlue</v>
      </c>
      <c r="W101" s="79" t="b">
        <v>0</v>
      </c>
      <c r="X101" s="82">
        <f>I_Miei_Rendiconti[[#This Row],[Column1.totalAfterSubmitted]]-I_Miei_Rendiconti[[#This Row],[Column1.totalEligibleAfterControl]]</f>
        <v>0</v>
      </c>
      <c r="Y101" s="80">
        <f>IF(I_Miei_Rendiconti[[#This Row],[Column1.status]]="Certified",IFERROR(I_Miei_Rendiconti[[#This Row],[Financial corection]]/I_Miei_Rendiconti[[#This Row],[Column1.totalAfterSubmitted]],0),"Rendiconto da certificare")</f>
        <v>0</v>
      </c>
      <c r="Z101" s="207" t="str">
        <f>IF(I_Miei_Rendiconti[[#This Row],[Column1.status]]&lt;&gt;"Certified",INDEX('Partner data'!DG:DQ,MATCH(I_Miei_Rendiconti[[#This Row],[Column1.partnerId]],'Partner data'!DG:DG,0),13),"Rendiconto CONVALIDATO")</f>
        <v>Rendiconto CONVALIDATO</v>
      </c>
      <c r="AA101"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01" s="81" t="str">
        <f>IF(OR(I_Miei_Rendiconti[[#This Row],[N. previouse validated report ]]="Rendiconto CONVALIDATO",I_Miei_Rendiconti[[#This Row],[N. previouse validated report ]]="NON è stato convalidato ancora nessun rendiconto"),"NON PERTINENTE","fai la fromula")</f>
        <v>NON PERTINENTE</v>
      </c>
      <c r="AC101"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01" s="2">
        <f>INDEX('Partner data'!DG:DJ,MATCH(I_Miei_Rendiconti[[#This Row],[Column1.partnerId]],'Partner data'!DG:DG,0),3)</f>
        <v>1</v>
      </c>
      <c r="AE101" t="str" cm="1">
        <f t="array" ref="AE101">INDEX('Varie Tabelle'!$A$37:$C$51,MATCH(1,(I_Miei_Rendiconti[[#This Row],[Column1.firstSubmission]]&gt;='Varie Tabelle'!$B$37:$B$51)*(I_Miei_Rendiconti[[#This Row],[Column1.firstSubmission]]&lt;'Varie Tabelle'!$C$37:$C$51),0),1)</f>
        <v>Finestra 2</v>
      </c>
      <c r="AF101" s="109">
        <f>INDEX('Varie Tabelle'!$A$37:$C$51,MATCH('MY-REPORT-MAIN'!AE101,'Varie Tabelle'!$A$37:$A$51,0),2)</f>
        <v>45352</v>
      </c>
      <c r="AG101" s="109">
        <f>INDEX('Partner data'!DG:DR,MATCH(I_Miei_Rendiconti[[#This Row],[Column1.partnerId]],'Partner data'!DG:DG,0),12)</f>
        <v>45170</v>
      </c>
      <c r="AH101" s="115">
        <f t="shared" si="2"/>
        <v>5.9848733969089114</v>
      </c>
      <c r="AI101" t="str" cm="1">
        <f t="array" ref="AI101">INDEX('Varie Tabelle'!$A$12:$C$22,MATCH(1,('MY-REPORT-MAIN'!AH101&gt;='Varie Tabelle'!$B$12:$B$22)*('MY-REPORT-MAIN'!AH101&lt;='Varie Tabelle'!$C$12:$C$22),0),1)</f>
        <v>Periodo-1</v>
      </c>
      <c r="AJ101" s="14">
        <f>INDEX('Partner data'!A:EC,MATCH(I_Miei_Rendiconti[[#This Row],[Column1.partnerId]],'Partner data'!DG:DG,0),MATCH('MY-REPORT-MAIN'!AI101,'Partner data'!$2:$2,0))</f>
        <v>55880.77</v>
      </c>
      <c r="AK101" s="10">
        <f>SUMIFS($U$2:U101,$C$2:C101,I_Miei_Rendiconti[[#This Row],[Column1.partnerId]])-AJ101</f>
        <v>-24303.799999999996</v>
      </c>
      <c r="AL101" s="16">
        <f>IFERROR(1-(I_Miei_Rendiconti[[#This Row],[Column1.totalAfterSubmitted]]/AJ101),0)</f>
        <v>0.43492242501311273</v>
      </c>
      <c r="AM101" s="14">
        <f>INDEX('Partner data'!A:EB,MATCH(I_Miei_Rendiconti[[#This Row],[Column1.partnerId]],'Partner data'!DG:DG,0),44)</f>
        <v>253972</v>
      </c>
      <c r="AN101" s="14">
        <f>SUMIFS(ListOfExpenditure!AP:AP,ListOfExpenditure!AJ:AJ,I_Miei_Rendiconti[[#This Row],[Column1.id]])</f>
        <v>0</v>
      </c>
      <c r="AO101" s="148">
        <f>SUMIFS(ReportSubmittedBL!W:W,ReportSubmittedBL!D:D,I_Miei_Rendiconti[[#This Row],[Column1.id]])</f>
        <v>12</v>
      </c>
      <c r="AP101" s="155" cm="1">
        <f t="array" ref="AP101">INDEX('Weight tables'!$A$32:$C$36,MATCH(1,('MY-REPORT-MAIN'!AO101&gt;='Weight tables'!$B$32:$B$36)*('MY-REPORT-MAIN'!AO101&lt;='Weight tables'!$C$32:$C$36),0),1)</f>
        <v>8.4</v>
      </c>
      <c r="AQ101" s="155">
        <f>INDEX('Weight tables'!$A$39:$B$41,MATCH(I_Miei_Rendiconti[[#This Row],[Previouse Report checked?yes/no]],'Weight tables'!$B$39:$B$41,0),1)</f>
        <v>8.4</v>
      </c>
      <c r="AR101" s="155" cm="1">
        <f t="array" ref="AR101">IF(I_Miei_Rendiconti[[#This Row],[Sum of errors in previous report ]]="NON PERTINENTE",0,INDEX('Weight tables'!$A$43:$C$46,MATCH(1,(I_Miei_Rendiconti[[#This Row],[Sum of errors in previous report ]]&gt;='Weight tables'!$B$43:$B$46)*(I_Miei_Rendiconti[[#This Row],[Sum of errors in previous report ]]&lt;='Weight tables'!$C$43:$C$46),0),1))</f>
        <v>0</v>
      </c>
      <c r="AS101" s="155" cm="1">
        <f t="array" ref="AS101">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01" s="155" cm="1">
        <f t="array" ref="AT101">INDEX('Weight tables'!$A$56:$C$65,MATCH(1,('MY-REPORT-MAIN'!U101&gt;='Weight tables'!$B$56:$B$65)*('MY-REPORT-MAIN'!U101&lt;='Weight tables'!$C$56:$C$65),0),1)</f>
        <v>3</v>
      </c>
      <c r="AU101" s="155" cm="1">
        <f t="array" ref="AU101">INDEX('Weight tables'!$A$68:$C$71,MATCH(1,('MY-REPORT-MAIN'!AL101&gt;='Weight tables'!$B$68:$B$71)*('MY-REPORT-MAIN'!AL101&lt;='Weight tables'!$C$68:$C$71),0),1)</f>
        <v>2</v>
      </c>
      <c r="AV101" s="155" cm="1">
        <f t="array" ref="AV101">INDEX('Weight tables'!$A$74:$C$78,MATCH(1,('MY-REPORT-MAIN'!AN101&gt;='Weight tables'!$B$74:$B$78)*('MY-REPORT-MAIN'!AN101&lt;='Weight tables'!$C$74:$C$78),0),1)</f>
        <v>0</v>
      </c>
      <c r="AW101" s="16">
        <f>IF(I_Miei_Rendiconti[[#This Row],[Column1.totalAfterSubmitted]]/AM101&gt;50%,"Checked",0)</f>
        <v>0</v>
      </c>
      <c r="AX101" s="155">
        <f t="shared" si="3"/>
        <v>21.8</v>
      </c>
      <c r="AY101" s="155" t="str">
        <f>INDEX('Partner data'!A:EB,MATCH(I_Miei_Rendiconti[[#This Row],[Column1.partnerId]],'Partner data'!DG:DG,0),92)</f>
        <v>Italia (IT)</v>
      </c>
    </row>
    <row r="102" spans="1:51" ht="30" x14ac:dyDescent="0.25">
      <c r="A102" s="79">
        <v>182</v>
      </c>
      <c r="B102" s="79">
        <v>69</v>
      </c>
      <c r="C102" s="79">
        <v>124</v>
      </c>
      <c r="D102" s="79" t="s">
        <v>1849</v>
      </c>
      <c r="E102" s="79" t="s">
        <v>253</v>
      </c>
      <c r="F102" s="79">
        <v>3</v>
      </c>
      <c r="G102" s="206" t="s">
        <v>338</v>
      </c>
      <c r="H102" s="79">
        <v>1</v>
      </c>
      <c r="I102" s="79" t="s">
        <v>4339</v>
      </c>
      <c r="J102" s="79" t="s">
        <v>490</v>
      </c>
      <c r="K102" s="208">
        <v>45380.449580069442</v>
      </c>
      <c r="M102" s="208">
        <v>45443.614553298612</v>
      </c>
      <c r="N102" s="79" t="s">
        <v>4432</v>
      </c>
      <c r="O102" s="79" t="s">
        <v>4347</v>
      </c>
      <c r="P102" s="79" t="s">
        <v>4348</v>
      </c>
      <c r="Q102" s="79" t="s">
        <v>4343</v>
      </c>
      <c r="T102" s="81">
        <v>24804.78</v>
      </c>
      <c r="U102" s="81">
        <v>26372.93</v>
      </c>
      <c r="V102" s="79" t="str">
        <f>INDEX(pARTNER[#All],MATCH(I_Miei_Rendiconti[[#This Row],[Column1.partnerId]],pARTNER[[#All],[Value.partnerSummary.id]],0),2)</f>
        <v>BeBlue</v>
      </c>
      <c r="W102" s="79" t="b">
        <v>0</v>
      </c>
      <c r="X102" s="82">
        <f>I_Miei_Rendiconti[[#This Row],[Column1.totalAfterSubmitted]]-I_Miei_Rendiconti[[#This Row],[Column1.totalEligibleAfterControl]]</f>
        <v>1568.1500000000015</v>
      </c>
      <c r="Y102" s="80">
        <f>IF(I_Miei_Rendiconti[[#This Row],[Column1.status]]="Certified",IFERROR(I_Miei_Rendiconti[[#This Row],[Financial corection]]/I_Miei_Rendiconti[[#This Row],[Column1.totalAfterSubmitted]],0),"Rendiconto da certificare")</f>
        <v>5.9460590840684044E-2</v>
      </c>
      <c r="Z102" s="207" t="str">
        <f>IF(I_Miei_Rendiconti[[#This Row],[Column1.status]]&lt;&gt;"Certified",INDEX('Partner data'!DG:DQ,MATCH(I_Miei_Rendiconti[[#This Row],[Column1.partnerId]],'Partner data'!DG:DG,0),13),"Rendiconto CONVALIDATO")</f>
        <v>Rendiconto CONVALIDATO</v>
      </c>
      <c r="AA102"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02" s="81" t="str">
        <f>IF(OR(I_Miei_Rendiconti[[#This Row],[N. previouse validated report ]]="Rendiconto CONVALIDATO",I_Miei_Rendiconti[[#This Row],[N. previouse validated report ]]="NON è stato convalidato ancora nessun rendiconto"),"NON PERTINENTE","fai la fromula")</f>
        <v>NON PERTINENTE</v>
      </c>
      <c r="AC102"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02" s="2">
        <f>INDEX('Partner data'!DG:DJ,MATCH(I_Miei_Rendiconti[[#This Row],[Column1.partnerId]],'Partner data'!DG:DG,0),3)</f>
        <v>1</v>
      </c>
      <c r="AE102" t="str" cm="1">
        <f t="array" ref="AE102">INDEX('Varie Tabelle'!$A$37:$C$51,MATCH(1,(I_Miei_Rendiconti[[#This Row],[Column1.firstSubmission]]&gt;='Varie Tabelle'!$B$37:$B$51)*(I_Miei_Rendiconti[[#This Row],[Column1.firstSubmission]]&lt;'Varie Tabelle'!$C$37:$C$51),0),1)</f>
        <v>Finestra 2</v>
      </c>
      <c r="AF102" s="109">
        <f>INDEX('Varie Tabelle'!$A$37:$C$51,MATCH('MY-REPORT-MAIN'!AE102,'Varie Tabelle'!$A$37:$A$51,0),2)</f>
        <v>45352</v>
      </c>
      <c r="AG102" s="109">
        <f>INDEX('Partner data'!DG:DR,MATCH(I_Miei_Rendiconti[[#This Row],[Column1.partnerId]],'Partner data'!DG:DG,0),12)</f>
        <v>45170</v>
      </c>
      <c r="AH102" s="115">
        <f t="shared" si="2"/>
        <v>5.9848733969089114</v>
      </c>
      <c r="AI102" t="str" cm="1">
        <f t="array" ref="AI102">INDEX('Varie Tabelle'!$A$12:$C$22,MATCH(1,('MY-REPORT-MAIN'!AH102&gt;='Varie Tabelle'!$B$12:$B$22)*('MY-REPORT-MAIN'!AH102&lt;='Varie Tabelle'!$C$12:$C$22),0),1)</f>
        <v>Periodo-1</v>
      </c>
      <c r="AJ102" s="14">
        <f>INDEX('Partner data'!A:EC,MATCH(I_Miei_Rendiconti[[#This Row],[Column1.partnerId]],'Partner data'!DG:DG,0),MATCH('MY-REPORT-MAIN'!AI102,'Partner data'!$2:$2,0))</f>
        <v>31311.5</v>
      </c>
      <c r="AK102" s="10">
        <f>SUMIFS($U$2:U102,$C$2:C102,I_Miei_Rendiconti[[#This Row],[Column1.partnerId]])-AJ102</f>
        <v>-4938.57</v>
      </c>
      <c r="AL102" s="16">
        <f>IFERROR(1-(I_Miei_Rendiconti[[#This Row],[Column1.totalAfterSubmitted]]/AJ102),0)</f>
        <v>0.15772383948389568</v>
      </c>
      <c r="AM102" s="14">
        <f>INDEX('Partner data'!A:EB,MATCH(I_Miei_Rendiconti[[#This Row],[Column1.partnerId]],'Partner data'!DG:DG,0),44)</f>
        <v>100346</v>
      </c>
      <c r="AN102" s="14">
        <f>SUMIFS(ListOfExpenditure!AP:AP,ListOfExpenditure!AJ:AJ,I_Miei_Rendiconti[[#This Row],[Column1.id]])</f>
        <v>1</v>
      </c>
      <c r="AO102" s="148">
        <f>SUMIFS(ReportSubmittedBL!W:W,ReportSubmittedBL!D:D,I_Miei_Rendiconti[[#This Row],[Column1.id]])</f>
        <v>16</v>
      </c>
      <c r="AP102" s="155" cm="1">
        <f t="array" ref="AP102">INDEX('Weight tables'!$A$32:$C$36,MATCH(1,('MY-REPORT-MAIN'!AO102&gt;='Weight tables'!$B$32:$B$36)*('MY-REPORT-MAIN'!AO102&lt;='Weight tables'!$C$32:$C$36),0),1)</f>
        <v>8.4</v>
      </c>
      <c r="AQ102" s="155">
        <f>INDEX('Weight tables'!$A$39:$B$41,MATCH(I_Miei_Rendiconti[[#This Row],[Previouse Report checked?yes/no]],'Weight tables'!$B$39:$B$41,0),1)</f>
        <v>8.4</v>
      </c>
      <c r="AR102" s="155" cm="1">
        <f t="array" ref="AR102">IF(I_Miei_Rendiconti[[#This Row],[Sum of errors in previous report ]]="NON PERTINENTE",0,INDEX('Weight tables'!$A$43:$C$46,MATCH(1,(I_Miei_Rendiconti[[#This Row],[Sum of errors in previous report ]]&gt;='Weight tables'!$B$43:$B$46)*(I_Miei_Rendiconti[[#This Row],[Sum of errors in previous report ]]&lt;='Weight tables'!$C$43:$C$46),0),1))</f>
        <v>0</v>
      </c>
      <c r="AS102" s="155" cm="1">
        <f t="array" ref="AS102">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02" s="155" cm="1">
        <f t="array" ref="AT102">INDEX('Weight tables'!$A$56:$C$65,MATCH(1,('MY-REPORT-MAIN'!U102&gt;='Weight tables'!$B$56:$B$65)*('MY-REPORT-MAIN'!U102&lt;='Weight tables'!$C$56:$C$65),0),1)</f>
        <v>2</v>
      </c>
      <c r="AU102" s="155" cm="1">
        <f t="array" ref="AU102">INDEX('Weight tables'!$A$68:$C$71,MATCH(1,('MY-REPORT-MAIN'!AL102&gt;='Weight tables'!$B$68:$B$71)*('MY-REPORT-MAIN'!AL102&lt;='Weight tables'!$C$68:$C$71),0),1)</f>
        <v>1</v>
      </c>
      <c r="AV102" s="155" cm="1">
        <f t="array" ref="AV102">INDEX('Weight tables'!$A$74:$C$78,MATCH(1,('MY-REPORT-MAIN'!AN102&gt;='Weight tables'!$B$74:$B$78)*('MY-REPORT-MAIN'!AN102&lt;='Weight tables'!$C$74:$C$78),0),1)</f>
        <v>0</v>
      </c>
      <c r="AW102" s="16">
        <f>IF(I_Miei_Rendiconti[[#This Row],[Column1.totalAfterSubmitted]]/AM102&gt;50%,"Checked",0)</f>
        <v>0</v>
      </c>
      <c r="AX102" s="155">
        <f t="shared" si="3"/>
        <v>19.8</v>
      </c>
      <c r="AY102" s="155" t="str">
        <f>INDEX('Partner data'!A:EB,MATCH(I_Miei_Rendiconti[[#This Row],[Column1.partnerId]],'Partner data'!DG:DG,0),92)</f>
        <v>Slovenija (SI)</v>
      </c>
    </row>
    <row r="103" spans="1:51" ht="30" x14ac:dyDescent="0.25">
      <c r="A103" s="79">
        <v>233</v>
      </c>
      <c r="B103" s="79">
        <v>30</v>
      </c>
      <c r="C103" s="79">
        <v>218</v>
      </c>
      <c r="D103" s="79" t="s">
        <v>764</v>
      </c>
      <c r="E103" s="79" t="s">
        <v>253</v>
      </c>
      <c r="F103" s="79">
        <v>2</v>
      </c>
      <c r="G103" s="206" t="s">
        <v>274</v>
      </c>
      <c r="H103" s="79">
        <v>1</v>
      </c>
      <c r="I103" s="79" t="s">
        <v>4339</v>
      </c>
      <c r="J103" s="79" t="s">
        <v>490</v>
      </c>
      <c r="K103" s="208">
        <v>45380.488477395833</v>
      </c>
      <c r="M103" s="208">
        <v>45443.373436099537</v>
      </c>
      <c r="N103" s="79" t="s">
        <v>4471</v>
      </c>
      <c r="O103" s="79" t="s">
        <v>4347</v>
      </c>
      <c r="P103" s="79" t="s">
        <v>4348</v>
      </c>
      <c r="Q103" s="79" t="s">
        <v>4343</v>
      </c>
      <c r="R103" s="79">
        <v>14</v>
      </c>
      <c r="S103" s="79">
        <v>1</v>
      </c>
      <c r="T103" s="81">
        <v>18210.939999999999</v>
      </c>
      <c r="U103" s="81">
        <v>20576.59</v>
      </c>
      <c r="V103" s="79" t="str">
        <f>INDEX(pARTNER[#All],MATCH(I_Miei_Rendiconti[[#This Row],[Column1.partnerId]],pARTNER[[#All],[Value.partnerSummary.id]],0),2)</f>
        <v>MEDS GARDEN+</v>
      </c>
      <c r="W103" s="79" t="b">
        <v>0</v>
      </c>
      <c r="X103" s="82">
        <f>I_Miei_Rendiconti[[#This Row],[Column1.totalAfterSubmitted]]-I_Miei_Rendiconti[[#This Row],[Column1.totalEligibleAfterControl]]</f>
        <v>2365.6500000000015</v>
      </c>
      <c r="Y103" s="80">
        <f>IF(I_Miei_Rendiconti[[#This Row],[Column1.status]]="Certified",IFERROR(I_Miei_Rendiconti[[#This Row],[Financial corection]]/I_Miei_Rendiconti[[#This Row],[Column1.totalAfterSubmitted]],0),"Rendiconto da certificare")</f>
        <v>0.11496802920211763</v>
      </c>
      <c r="Z103" s="207" t="str">
        <f>IF(I_Miei_Rendiconti[[#This Row],[Column1.status]]&lt;&gt;"Certified",INDEX('Partner data'!DG:DQ,MATCH(I_Miei_Rendiconti[[#This Row],[Column1.partnerId]],'Partner data'!DG:DG,0),13),"Rendiconto CONVALIDATO")</f>
        <v>Rendiconto CONVALIDATO</v>
      </c>
      <c r="AA103"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03" s="81" t="str">
        <f>IF(OR(I_Miei_Rendiconti[[#This Row],[N. previouse validated report ]]="Rendiconto CONVALIDATO",I_Miei_Rendiconti[[#This Row],[N. previouse validated report ]]="NON è stato convalidato ancora nessun rendiconto"),"NON PERTINENTE","fai la fromula")</f>
        <v>NON PERTINENTE</v>
      </c>
      <c r="AC103"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03" s="2">
        <f>INDEX('Partner data'!DG:DJ,MATCH(I_Miei_Rendiconti[[#This Row],[Column1.partnerId]],'Partner data'!DG:DG,0),3)</f>
        <v>1</v>
      </c>
      <c r="AE103" t="str" cm="1">
        <f t="array" ref="AE103">INDEX('Varie Tabelle'!$A$37:$C$51,MATCH(1,(I_Miei_Rendiconti[[#This Row],[Column1.firstSubmission]]&gt;='Varie Tabelle'!$B$37:$B$51)*(I_Miei_Rendiconti[[#This Row],[Column1.firstSubmission]]&lt;'Varie Tabelle'!$C$37:$C$51),0),1)</f>
        <v>Finestra 2</v>
      </c>
      <c r="AF103" s="109">
        <f>INDEX('Varie Tabelle'!$A$37:$C$51,MATCH('MY-REPORT-MAIN'!AE103,'Varie Tabelle'!$A$37:$A$51,0),2)</f>
        <v>45352</v>
      </c>
      <c r="AG103" s="109">
        <f>INDEX('Partner data'!DG:DR,MATCH(I_Miei_Rendiconti[[#This Row],[Column1.partnerId]],'Partner data'!DG:DG,0),12)</f>
        <v>45184</v>
      </c>
      <c r="AH103" s="115">
        <f t="shared" si="2"/>
        <v>5.5244985202236103</v>
      </c>
      <c r="AI103" t="str" cm="1">
        <f t="array" ref="AI103">INDEX('Varie Tabelle'!$A$12:$C$22,MATCH(1,('MY-REPORT-MAIN'!AH103&gt;='Varie Tabelle'!$B$12:$B$22)*('MY-REPORT-MAIN'!AH103&lt;='Varie Tabelle'!$C$12:$C$22),0),1)</f>
        <v>Periodo-1</v>
      </c>
      <c r="AJ103" s="14">
        <f>INDEX('Partner data'!A:EC,MATCH(I_Miei_Rendiconti[[#This Row],[Column1.partnerId]],'Partner data'!DG:DG,0),MATCH('MY-REPORT-MAIN'!AI103,'Partner data'!$2:$2,0))</f>
        <v>54854.400000000001</v>
      </c>
      <c r="AK103" s="10">
        <f>SUMIFS($U$2:U103,$C$2:C103,I_Miei_Rendiconti[[#This Row],[Column1.partnerId]])-AJ103</f>
        <v>-34277.81</v>
      </c>
      <c r="AL103" s="16">
        <f>IFERROR(1-(I_Miei_Rendiconti[[#This Row],[Column1.totalAfterSubmitted]]/AJ103),0)</f>
        <v>0.6248871558161242</v>
      </c>
      <c r="AM103" s="14">
        <f>INDEX('Partner data'!A:EB,MATCH(I_Miei_Rendiconti[[#This Row],[Column1.partnerId]],'Partner data'!DG:DG,0),44)</f>
        <v>146800</v>
      </c>
      <c r="AN103" s="14">
        <f>SUMIFS(ListOfExpenditure!AP:AP,ListOfExpenditure!AJ:AJ,I_Miei_Rendiconti[[#This Row],[Column1.id]])</f>
        <v>0</v>
      </c>
      <c r="AO103" s="148">
        <f>SUMIFS(ReportSubmittedBL!W:W,ReportSubmittedBL!D:D,I_Miei_Rendiconti[[#This Row],[Column1.id]])</f>
        <v>16</v>
      </c>
      <c r="AP103" s="155" cm="1">
        <f t="array" ref="AP103">INDEX('Weight tables'!$A$32:$C$36,MATCH(1,('MY-REPORT-MAIN'!AO103&gt;='Weight tables'!$B$32:$B$36)*('MY-REPORT-MAIN'!AO103&lt;='Weight tables'!$C$32:$C$36),0),1)</f>
        <v>8.4</v>
      </c>
      <c r="AQ103" s="155">
        <f>INDEX('Weight tables'!$A$39:$B$41,MATCH(I_Miei_Rendiconti[[#This Row],[Previouse Report checked?yes/no]],'Weight tables'!$B$39:$B$41,0),1)</f>
        <v>8.4</v>
      </c>
      <c r="AR103" s="155" cm="1">
        <f t="array" ref="AR103">IF(I_Miei_Rendiconti[[#This Row],[Sum of errors in previous report ]]="NON PERTINENTE",0,INDEX('Weight tables'!$A$43:$C$46,MATCH(1,(I_Miei_Rendiconti[[#This Row],[Sum of errors in previous report ]]&gt;='Weight tables'!$B$43:$B$46)*(I_Miei_Rendiconti[[#This Row],[Sum of errors in previous report ]]&lt;='Weight tables'!$C$43:$C$46),0),1))</f>
        <v>0</v>
      </c>
      <c r="AS103" s="155" cm="1">
        <f t="array" ref="AS103">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03" s="155" cm="1">
        <f t="array" ref="AT103">INDEX('Weight tables'!$A$56:$C$65,MATCH(1,('MY-REPORT-MAIN'!U103&gt;='Weight tables'!$B$56:$B$65)*('MY-REPORT-MAIN'!U103&lt;='Weight tables'!$C$56:$C$65),0),1)</f>
        <v>2</v>
      </c>
      <c r="AU103" s="155" cm="1">
        <f t="array" ref="AU103">INDEX('Weight tables'!$A$68:$C$71,MATCH(1,('MY-REPORT-MAIN'!AL103&gt;='Weight tables'!$B$68:$B$71)*('MY-REPORT-MAIN'!AL103&lt;='Weight tables'!$C$68:$C$71),0),1)</f>
        <v>2</v>
      </c>
      <c r="AV103" s="155" cm="1">
        <f t="array" ref="AV103">INDEX('Weight tables'!$A$74:$C$78,MATCH(1,('MY-REPORT-MAIN'!AN103&gt;='Weight tables'!$B$74:$B$78)*('MY-REPORT-MAIN'!AN103&lt;='Weight tables'!$C$74:$C$78),0),1)</f>
        <v>0</v>
      </c>
      <c r="AW103" s="16">
        <f>IF(I_Miei_Rendiconti[[#This Row],[Column1.totalAfterSubmitted]]/AM103&gt;50%,"Checked",0)</f>
        <v>0</v>
      </c>
      <c r="AX103" s="155">
        <f t="shared" si="3"/>
        <v>20.8</v>
      </c>
      <c r="AY103" s="155" t="str">
        <f>INDEX('Partner data'!A:EB,MATCH(I_Miei_Rendiconti[[#This Row],[Column1.partnerId]],'Partner data'!DG:DG,0),92)</f>
        <v>Slovenija (SI)</v>
      </c>
    </row>
    <row r="104" spans="1:51" ht="30" x14ac:dyDescent="0.25">
      <c r="A104" s="79">
        <v>312</v>
      </c>
      <c r="B104" s="79">
        <v>74</v>
      </c>
      <c r="C104" s="79">
        <v>294</v>
      </c>
      <c r="D104" s="79" t="s">
        <v>1972</v>
      </c>
      <c r="E104" s="79" t="s">
        <v>253</v>
      </c>
      <c r="F104" s="79">
        <v>3</v>
      </c>
      <c r="G104" s="206" t="s">
        <v>349</v>
      </c>
      <c r="H104" s="79">
        <v>1</v>
      </c>
      <c r="I104" s="79" t="s">
        <v>4339</v>
      </c>
      <c r="J104" s="79" t="s">
        <v>1043</v>
      </c>
      <c r="K104" s="208">
        <v>45380.497358668981</v>
      </c>
      <c r="M104" s="208">
        <v>45470.646744583333</v>
      </c>
      <c r="N104" s="79" t="s">
        <v>4527</v>
      </c>
      <c r="O104" s="79" t="s">
        <v>4347</v>
      </c>
      <c r="P104" s="79" t="s">
        <v>4348</v>
      </c>
      <c r="Q104" s="79" t="s">
        <v>4343</v>
      </c>
      <c r="R104" s="79">
        <v>33</v>
      </c>
      <c r="S104" s="79">
        <v>1</v>
      </c>
      <c r="T104" s="81">
        <v>10345.86</v>
      </c>
      <c r="U104" s="81">
        <v>10345.86</v>
      </c>
      <c r="V104" s="79" t="str">
        <f>INDEX(pARTNER[#All],MATCH(I_Miei_Rendiconti[[#This Row],[Column1.partnerId]],pARTNER[[#All],[Value.partnerSummary.id]],0),2)</f>
        <v>ENGREEN 2</v>
      </c>
      <c r="W104" s="79" t="b">
        <v>0</v>
      </c>
      <c r="X104" s="82">
        <f>I_Miei_Rendiconti[[#This Row],[Column1.totalAfterSubmitted]]-I_Miei_Rendiconti[[#This Row],[Column1.totalEligibleAfterControl]]</f>
        <v>0</v>
      </c>
      <c r="Y104" s="80">
        <f>IF(I_Miei_Rendiconti[[#This Row],[Column1.status]]="Certified",IFERROR(I_Miei_Rendiconti[[#This Row],[Financial corection]]/I_Miei_Rendiconti[[#This Row],[Column1.totalAfterSubmitted]],0),"Rendiconto da certificare")</f>
        <v>0</v>
      </c>
      <c r="Z104" s="207" t="str">
        <f>IF(I_Miei_Rendiconti[[#This Row],[Column1.status]]&lt;&gt;"Certified",INDEX('Partner data'!DG:DQ,MATCH(I_Miei_Rendiconti[[#This Row],[Column1.partnerId]],'Partner data'!DG:DG,0),13),"Rendiconto CONVALIDATO")</f>
        <v>Rendiconto CONVALIDATO</v>
      </c>
      <c r="AA104"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04" s="81" t="str">
        <f>IF(OR(I_Miei_Rendiconti[[#This Row],[N. previouse validated report ]]="Rendiconto CONVALIDATO",I_Miei_Rendiconti[[#This Row],[N. previouse validated report ]]="NON è stato convalidato ancora nessun rendiconto"),"NON PERTINENTE","fai la fromula")</f>
        <v>NON PERTINENTE</v>
      </c>
      <c r="AC104"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04" s="2">
        <f>INDEX('Partner data'!DG:DJ,MATCH(I_Miei_Rendiconti[[#This Row],[Column1.partnerId]],'Partner data'!DG:DG,0),3)</f>
        <v>1</v>
      </c>
      <c r="AE104" t="str" cm="1">
        <f t="array" ref="AE104">INDEX('Varie Tabelle'!$A$37:$C$51,MATCH(1,(I_Miei_Rendiconti[[#This Row],[Column1.firstSubmission]]&gt;='Varie Tabelle'!$B$37:$B$51)*(I_Miei_Rendiconti[[#This Row],[Column1.firstSubmission]]&lt;'Varie Tabelle'!$C$37:$C$51),0),1)</f>
        <v>Finestra 2</v>
      </c>
      <c r="AF104" s="109">
        <f>INDEX('Varie Tabelle'!$A$37:$C$51,MATCH('MY-REPORT-MAIN'!AE104,'Varie Tabelle'!$A$37:$A$51,0),2)</f>
        <v>45352</v>
      </c>
      <c r="AG104" s="109">
        <f>INDEX('Partner data'!DG:DR,MATCH(I_Miei_Rendiconti[[#This Row],[Column1.partnerId]],'Partner data'!DG:DG,0),12)</f>
        <v>45170</v>
      </c>
      <c r="AH104" s="115">
        <f t="shared" si="2"/>
        <v>5.9848733969089114</v>
      </c>
      <c r="AI104" t="str" cm="1">
        <f t="array" ref="AI104">INDEX('Varie Tabelle'!$A$12:$C$22,MATCH(1,('MY-REPORT-MAIN'!AH104&gt;='Varie Tabelle'!$B$12:$B$22)*('MY-REPORT-MAIN'!AH104&lt;='Varie Tabelle'!$C$12:$C$22),0),1)</f>
        <v>Periodo-1</v>
      </c>
      <c r="AJ104" s="14">
        <f>INDEX('Partner data'!A:EC,MATCH(I_Miei_Rendiconti[[#This Row],[Column1.partnerId]],'Partner data'!DG:DG,0),MATCH('MY-REPORT-MAIN'!AI104,'Partner data'!$2:$2,0))</f>
        <v>21900</v>
      </c>
      <c r="AK104" s="10">
        <f>SUMIFS($U$2:U104,$C$2:C104,I_Miei_Rendiconti[[#This Row],[Column1.partnerId]])-AJ104</f>
        <v>-11554.14</v>
      </c>
      <c r="AL104" s="16">
        <f>IFERROR(1-(I_Miei_Rendiconti[[#This Row],[Column1.totalAfterSubmitted]]/AJ104),0)</f>
        <v>0.52758630136986295</v>
      </c>
      <c r="AM104" s="14">
        <f>INDEX('Partner data'!A:EB,MATCH(I_Miei_Rendiconti[[#This Row],[Column1.partnerId]],'Partner data'!DG:DG,0),44)</f>
        <v>132616.66</v>
      </c>
      <c r="AN104" s="14">
        <f>SUMIFS(ListOfExpenditure!AP:AP,ListOfExpenditure!AJ:AJ,I_Miei_Rendiconti[[#This Row],[Column1.id]])</f>
        <v>0</v>
      </c>
      <c r="AO104" s="148">
        <f>SUMIFS(ReportSubmittedBL!W:W,ReportSubmittedBL!D:D,I_Miei_Rendiconti[[#This Row],[Column1.id]])</f>
        <v>12</v>
      </c>
      <c r="AP104" s="155" cm="1">
        <f t="array" ref="AP104">INDEX('Weight tables'!$A$32:$C$36,MATCH(1,('MY-REPORT-MAIN'!AO104&gt;='Weight tables'!$B$32:$B$36)*('MY-REPORT-MAIN'!AO104&lt;='Weight tables'!$C$32:$C$36),0),1)</f>
        <v>8.4</v>
      </c>
      <c r="AQ104" s="155">
        <f>INDEX('Weight tables'!$A$39:$B$41,MATCH(I_Miei_Rendiconti[[#This Row],[Previouse Report checked?yes/no]],'Weight tables'!$B$39:$B$41,0),1)</f>
        <v>8.4</v>
      </c>
      <c r="AR104" s="155" cm="1">
        <f t="array" ref="AR104">IF(I_Miei_Rendiconti[[#This Row],[Sum of errors in previous report ]]="NON PERTINENTE",0,INDEX('Weight tables'!$A$43:$C$46,MATCH(1,(I_Miei_Rendiconti[[#This Row],[Sum of errors in previous report ]]&gt;='Weight tables'!$B$43:$B$46)*(I_Miei_Rendiconti[[#This Row],[Sum of errors in previous report ]]&lt;='Weight tables'!$C$43:$C$46),0),1))</f>
        <v>0</v>
      </c>
      <c r="AS104" s="155" cm="1">
        <f t="array" ref="AS104">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04" s="155" cm="1">
        <f t="array" ref="AT104">INDEX('Weight tables'!$A$56:$C$65,MATCH(1,('MY-REPORT-MAIN'!U104&gt;='Weight tables'!$B$56:$B$65)*('MY-REPORT-MAIN'!U104&lt;='Weight tables'!$C$56:$C$65),0),1)</f>
        <v>1</v>
      </c>
      <c r="AU104" s="155" cm="1">
        <f t="array" ref="AU104">INDEX('Weight tables'!$A$68:$C$71,MATCH(1,('MY-REPORT-MAIN'!AL104&gt;='Weight tables'!$B$68:$B$71)*('MY-REPORT-MAIN'!AL104&lt;='Weight tables'!$C$68:$C$71),0),1)</f>
        <v>2</v>
      </c>
      <c r="AV104" s="155" cm="1">
        <f t="array" ref="AV104">INDEX('Weight tables'!$A$74:$C$78,MATCH(1,('MY-REPORT-MAIN'!AN104&gt;='Weight tables'!$B$74:$B$78)*('MY-REPORT-MAIN'!AN104&lt;='Weight tables'!$C$74:$C$78),0),1)</f>
        <v>0</v>
      </c>
      <c r="AW104" s="16">
        <f>IF(I_Miei_Rendiconti[[#This Row],[Column1.totalAfterSubmitted]]/AM104&gt;50%,"Checked",0)</f>
        <v>0</v>
      </c>
      <c r="AX104" s="155">
        <f t="shared" si="3"/>
        <v>19.8</v>
      </c>
      <c r="AY104" s="155" t="str">
        <f>INDEX('Partner data'!A:EB,MATCH(I_Miei_Rendiconti[[#This Row],[Column1.partnerId]],'Partner data'!DG:DG,0),92)</f>
        <v>Italia (IT)</v>
      </c>
    </row>
    <row r="105" spans="1:51" ht="30" x14ac:dyDescent="0.25">
      <c r="A105" s="79">
        <v>311</v>
      </c>
      <c r="B105" s="79">
        <v>60</v>
      </c>
      <c r="C105" s="79">
        <v>220</v>
      </c>
      <c r="D105" s="79" t="s">
        <v>1551</v>
      </c>
      <c r="E105" s="79" t="s">
        <v>253</v>
      </c>
      <c r="F105" s="79">
        <v>3</v>
      </c>
      <c r="G105" s="206" t="s">
        <v>39</v>
      </c>
      <c r="H105" s="79">
        <v>1</v>
      </c>
      <c r="I105" s="79" t="s">
        <v>4339</v>
      </c>
      <c r="J105" s="79" t="s">
        <v>1043</v>
      </c>
      <c r="K105" s="208">
        <v>45380.506940081017</v>
      </c>
      <c r="M105" s="208">
        <v>45470.643376655091</v>
      </c>
      <c r="N105" s="79" t="s">
        <v>4526</v>
      </c>
      <c r="O105" s="79" t="s">
        <v>4363</v>
      </c>
      <c r="P105" s="79" t="s">
        <v>4348</v>
      </c>
      <c r="Q105" s="79" t="s">
        <v>4343</v>
      </c>
      <c r="T105" s="81">
        <v>3341.52</v>
      </c>
      <c r="U105" s="81">
        <v>3341.52</v>
      </c>
      <c r="V105" s="79" t="str">
        <f>INDEX(pARTNER[#All],MATCH(I_Miei_Rendiconti[[#This Row],[Column1.partnerId]],pARTNER[[#All],[Value.partnerSummary.id]],0),2)</f>
        <v>INTER BIKE III</v>
      </c>
      <c r="W105" s="79" t="b">
        <v>0</v>
      </c>
      <c r="X105" s="82">
        <f>I_Miei_Rendiconti[[#This Row],[Column1.totalAfterSubmitted]]-I_Miei_Rendiconti[[#This Row],[Column1.totalEligibleAfterControl]]</f>
        <v>0</v>
      </c>
      <c r="Y105" s="80">
        <f>IF(I_Miei_Rendiconti[[#This Row],[Column1.status]]="Certified",IFERROR(I_Miei_Rendiconti[[#This Row],[Financial corection]]/I_Miei_Rendiconti[[#This Row],[Column1.totalAfterSubmitted]],0),"Rendiconto da certificare")</f>
        <v>0</v>
      </c>
      <c r="Z105" s="207" t="str">
        <f>IF(I_Miei_Rendiconti[[#This Row],[Column1.status]]&lt;&gt;"Certified",INDEX('Partner data'!DG:DQ,MATCH(I_Miei_Rendiconti[[#This Row],[Column1.partnerId]],'Partner data'!DG:DG,0),13),"Rendiconto CONVALIDATO")</f>
        <v>Rendiconto CONVALIDATO</v>
      </c>
      <c r="AA105"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05" s="81" t="str">
        <f>IF(OR(I_Miei_Rendiconti[[#This Row],[N. previouse validated report ]]="Rendiconto CONVALIDATO",I_Miei_Rendiconti[[#This Row],[N. previouse validated report ]]="NON è stato convalidato ancora nessun rendiconto"),"NON PERTINENTE","fai la fromula")</f>
        <v>NON PERTINENTE</v>
      </c>
      <c r="AC105"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05" s="2">
        <f>INDEX('Partner data'!DG:DJ,MATCH(I_Miei_Rendiconti[[#This Row],[Column1.partnerId]],'Partner data'!DG:DG,0),3)</f>
        <v>1</v>
      </c>
      <c r="AE105" t="str" cm="1">
        <f t="array" ref="AE105">INDEX('Varie Tabelle'!$A$37:$C$51,MATCH(1,(I_Miei_Rendiconti[[#This Row],[Column1.firstSubmission]]&gt;='Varie Tabelle'!$B$37:$B$51)*(I_Miei_Rendiconti[[#This Row],[Column1.firstSubmission]]&lt;'Varie Tabelle'!$C$37:$C$51),0),1)</f>
        <v>Finestra 2</v>
      </c>
      <c r="AF105" s="109">
        <f>INDEX('Varie Tabelle'!$A$37:$C$51,MATCH('MY-REPORT-MAIN'!AE105,'Varie Tabelle'!$A$37:$A$51,0),2)</f>
        <v>45352</v>
      </c>
      <c r="AG105" s="109">
        <f>INDEX('Partner data'!DG:DR,MATCH(I_Miei_Rendiconti[[#This Row],[Column1.partnerId]],'Partner data'!DG:DG,0),12)</f>
        <v>45200</v>
      </c>
      <c r="AH105" s="115">
        <f t="shared" si="2"/>
        <v>4.9983558040118385</v>
      </c>
      <c r="AI105" t="str" cm="1">
        <f t="array" ref="AI105">INDEX('Varie Tabelle'!$A$12:$C$22,MATCH(1,('MY-REPORT-MAIN'!AH105&gt;='Varie Tabelle'!$B$12:$B$22)*('MY-REPORT-MAIN'!AH105&lt;='Varie Tabelle'!$C$12:$C$22),0),1)</f>
        <v>Periodo-1</v>
      </c>
      <c r="AJ105" s="14">
        <f>INDEX('Partner data'!A:EC,MATCH(I_Miei_Rendiconti[[#This Row],[Column1.partnerId]],'Partner data'!DG:DG,0),MATCH('MY-REPORT-MAIN'!AI105,'Partner data'!$2:$2,0))</f>
        <v>22066.799999999999</v>
      </c>
      <c r="AK105" s="10">
        <f>SUMIFS($U$2:U105,$C$2:C105,I_Miei_Rendiconti[[#This Row],[Column1.partnerId]])-AJ105</f>
        <v>-18725.28</v>
      </c>
      <c r="AL105" s="16">
        <f>IFERROR(1-(I_Miei_Rendiconti[[#This Row],[Column1.totalAfterSubmitted]]/AJ105),0)</f>
        <v>0.84857251617814999</v>
      </c>
      <c r="AM105" s="14">
        <f>INDEX('Partner data'!A:EB,MATCH(I_Miei_Rendiconti[[#This Row],[Column1.partnerId]],'Partner data'!DG:DG,0),44)</f>
        <v>102648.79</v>
      </c>
      <c r="AN105" s="14">
        <f>SUMIFS(ListOfExpenditure!AP:AP,ListOfExpenditure!AJ:AJ,I_Miei_Rendiconti[[#This Row],[Column1.id]])</f>
        <v>0</v>
      </c>
      <c r="AO105" s="148">
        <f>SUMIFS(ReportSubmittedBL!W:W,ReportSubmittedBL!D:D,I_Miei_Rendiconti[[#This Row],[Column1.id]])</f>
        <v>12</v>
      </c>
      <c r="AP105" s="155" cm="1">
        <f t="array" ref="AP105">INDEX('Weight tables'!$A$32:$C$36,MATCH(1,('MY-REPORT-MAIN'!AO105&gt;='Weight tables'!$B$32:$B$36)*('MY-REPORT-MAIN'!AO105&lt;='Weight tables'!$C$32:$C$36),0),1)</f>
        <v>8.4</v>
      </c>
      <c r="AQ105" s="155">
        <f>INDEX('Weight tables'!$A$39:$B$41,MATCH(I_Miei_Rendiconti[[#This Row],[Previouse Report checked?yes/no]],'Weight tables'!$B$39:$B$41,0),1)</f>
        <v>8.4</v>
      </c>
      <c r="AR105" s="155" cm="1">
        <f t="array" ref="AR105">IF(I_Miei_Rendiconti[[#This Row],[Sum of errors in previous report ]]="NON PERTINENTE",0,INDEX('Weight tables'!$A$43:$C$46,MATCH(1,(I_Miei_Rendiconti[[#This Row],[Sum of errors in previous report ]]&gt;='Weight tables'!$B$43:$B$46)*(I_Miei_Rendiconti[[#This Row],[Sum of errors in previous report ]]&lt;='Weight tables'!$C$43:$C$46),0),1))</f>
        <v>0</v>
      </c>
      <c r="AS105" s="155" cm="1">
        <f t="array" ref="AS105">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05" s="155" cm="1">
        <f t="array" ref="AT105">INDEX('Weight tables'!$A$56:$C$65,MATCH(1,('MY-REPORT-MAIN'!U105&gt;='Weight tables'!$B$56:$B$65)*('MY-REPORT-MAIN'!U105&lt;='Weight tables'!$C$56:$C$65),0),1)</f>
        <v>0</v>
      </c>
      <c r="AU105" s="155" cm="1">
        <f t="array" ref="AU105">INDEX('Weight tables'!$A$68:$C$71,MATCH(1,('MY-REPORT-MAIN'!AL105&gt;='Weight tables'!$B$68:$B$71)*('MY-REPORT-MAIN'!AL105&lt;='Weight tables'!$C$68:$C$71),0),1)</f>
        <v>2</v>
      </c>
      <c r="AV105" s="155" cm="1">
        <f t="array" ref="AV105">INDEX('Weight tables'!$A$74:$C$78,MATCH(1,('MY-REPORT-MAIN'!AN105&gt;='Weight tables'!$B$74:$B$78)*('MY-REPORT-MAIN'!AN105&lt;='Weight tables'!$C$74:$C$78),0),1)</f>
        <v>0</v>
      </c>
      <c r="AW105" s="16">
        <f>IF(I_Miei_Rendiconti[[#This Row],[Column1.totalAfterSubmitted]]/AM105&gt;50%,"Checked",0)</f>
        <v>0</v>
      </c>
      <c r="AX105" s="155">
        <f t="shared" si="3"/>
        <v>18.8</v>
      </c>
      <c r="AY105" s="155" t="str">
        <f>INDEX('Partner data'!A:EB,MATCH(I_Miei_Rendiconti[[#This Row],[Column1.partnerId]],'Partner data'!DG:DG,0),92)</f>
        <v>Italia (IT)</v>
      </c>
    </row>
    <row r="106" spans="1:51" ht="30" x14ac:dyDescent="0.25">
      <c r="A106" s="79">
        <v>143</v>
      </c>
      <c r="B106" s="79">
        <v>83</v>
      </c>
      <c r="C106" s="79">
        <v>238</v>
      </c>
      <c r="D106" s="79" t="s">
        <v>2171</v>
      </c>
      <c r="E106" s="79" t="s">
        <v>264</v>
      </c>
      <c r="F106" s="79">
        <v>1</v>
      </c>
      <c r="G106" s="206" t="s">
        <v>300</v>
      </c>
      <c r="H106" s="79">
        <v>1</v>
      </c>
      <c r="I106" s="79" t="s">
        <v>4339</v>
      </c>
      <c r="J106" s="79" t="s">
        <v>593</v>
      </c>
      <c r="K106" s="208">
        <v>45380.535099317131</v>
      </c>
      <c r="M106" s="208">
        <v>45441.301892199073</v>
      </c>
      <c r="N106" s="79" t="s">
        <v>4406</v>
      </c>
      <c r="O106" s="79" t="s">
        <v>4363</v>
      </c>
      <c r="P106" s="79" t="s">
        <v>4348</v>
      </c>
      <c r="Q106" s="79" t="s">
        <v>4343</v>
      </c>
      <c r="T106" s="81">
        <v>10615.95</v>
      </c>
      <c r="U106" s="81">
        <v>10615.95</v>
      </c>
      <c r="V106" s="79" t="str">
        <f>INDEX(pARTNER[#All],MATCH(I_Miei_Rendiconti[[#This Row],[Column1.partnerId]],pARTNER[[#All],[Value.partnerSummary.id]],0),2)</f>
        <v>IN4SAFETY</v>
      </c>
      <c r="W106" s="79" t="b">
        <v>0</v>
      </c>
      <c r="X106" s="82">
        <f>I_Miei_Rendiconti[[#This Row],[Column1.totalAfterSubmitted]]-I_Miei_Rendiconti[[#This Row],[Column1.totalEligibleAfterControl]]</f>
        <v>0</v>
      </c>
      <c r="Y106" s="80">
        <f>IF(I_Miei_Rendiconti[[#This Row],[Column1.status]]="Certified",IFERROR(I_Miei_Rendiconti[[#This Row],[Financial corection]]/I_Miei_Rendiconti[[#This Row],[Column1.totalAfterSubmitted]],0),"Rendiconto da certificare")</f>
        <v>0</v>
      </c>
      <c r="Z106" s="207" t="str">
        <f>IF(I_Miei_Rendiconti[[#This Row],[Column1.status]]&lt;&gt;"Certified",INDEX('Partner data'!DG:DQ,MATCH(I_Miei_Rendiconti[[#This Row],[Column1.partnerId]],'Partner data'!DG:DG,0),13),"Rendiconto CONVALIDATO")</f>
        <v>Rendiconto CONVALIDATO</v>
      </c>
      <c r="AA106"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06" s="81" t="str">
        <f>IF(OR(I_Miei_Rendiconti[[#This Row],[N. previouse validated report ]]="Rendiconto CONVALIDATO",I_Miei_Rendiconti[[#This Row],[N. previouse validated report ]]="NON è stato convalidato ancora nessun rendiconto"),"NON PERTINENTE","fai la fromula")</f>
        <v>NON PERTINENTE</v>
      </c>
      <c r="AC106"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06" s="2">
        <f>INDEX('Partner data'!DG:DJ,MATCH(I_Miei_Rendiconti[[#This Row],[Column1.partnerId]],'Partner data'!DG:DG,0),3)</f>
        <v>1</v>
      </c>
      <c r="AE106" t="str" cm="1">
        <f t="array" ref="AE106">INDEX('Varie Tabelle'!$A$37:$C$51,MATCH(1,(I_Miei_Rendiconti[[#This Row],[Column1.firstSubmission]]&gt;='Varie Tabelle'!$B$37:$B$51)*(I_Miei_Rendiconti[[#This Row],[Column1.firstSubmission]]&lt;'Varie Tabelle'!$C$37:$C$51),0),1)</f>
        <v>Finestra 2</v>
      </c>
      <c r="AF106" s="109">
        <f>INDEX('Varie Tabelle'!$A$37:$C$51,MATCH('MY-REPORT-MAIN'!AE106,'Varie Tabelle'!$A$37:$A$51,0),2)</f>
        <v>45352</v>
      </c>
      <c r="AG106" s="109">
        <f>INDEX('Partner data'!DG:DR,MATCH(I_Miei_Rendiconti[[#This Row],[Column1.partnerId]],'Partner data'!DG:DG,0),12)</f>
        <v>45200</v>
      </c>
      <c r="AH106" s="115">
        <f t="shared" si="2"/>
        <v>4.9983558040118385</v>
      </c>
      <c r="AI106" t="str" cm="1">
        <f t="array" ref="AI106">INDEX('Varie Tabelle'!$A$12:$C$22,MATCH(1,('MY-REPORT-MAIN'!AH106&gt;='Varie Tabelle'!$B$12:$B$22)*('MY-REPORT-MAIN'!AH106&lt;='Varie Tabelle'!$C$12:$C$22),0),1)</f>
        <v>Periodo-1</v>
      </c>
      <c r="AJ106" s="14">
        <f>INDEX('Partner data'!A:EC,MATCH(I_Miei_Rendiconti[[#This Row],[Column1.partnerId]],'Partner data'!DG:DG,0),MATCH('MY-REPORT-MAIN'!AI106,'Partner data'!$2:$2,0))</f>
        <v>30412.5</v>
      </c>
      <c r="AK106" s="10">
        <f>SUMIFS($U$2:U106,$C$2:C106,I_Miei_Rendiconti[[#This Row],[Column1.partnerId]])-AJ106</f>
        <v>-19796.55</v>
      </c>
      <c r="AL106" s="16">
        <f>IFERROR(1-(I_Miei_Rendiconti[[#This Row],[Column1.totalAfterSubmitted]]/AJ106),0)</f>
        <v>0.65093464858199757</v>
      </c>
      <c r="AM106" s="14">
        <f>INDEX('Partner data'!A:EB,MATCH(I_Miei_Rendiconti[[#This Row],[Column1.partnerId]],'Partner data'!DG:DG,0),44)</f>
        <v>142650</v>
      </c>
      <c r="AN106" s="14">
        <f>SUMIFS(ListOfExpenditure!AP:AP,ListOfExpenditure!AJ:AJ,I_Miei_Rendiconti[[#This Row],[Column1.id]])</f>
        <v>0</v>
      </c>
      <c r="AO106" s="148">
        <f>SUMIFS(ReportSubmittedBL!W:W,ReportSubmittedBL!D:D,I_Miei_Rendiconti[[#This Row],[Column1.id]])</f>
        <v>4</v>
      </c>
      <c r="AP106" s="155" cm="1">
        <f t="array" ref="AP106">INDEX('Weight tables'!$A$32:$C$36,MATCH(1,('MY-REPORT-MAIN'!AO106&gt;='Weight tables'!$B$32:$B$36)*('MY-REPORT-MAIN'!AO106&lt;='Weight tables'!$C$32:$C$36),0),1)</f>
        <v>2.1</v>
      </c>
      <c r="AQ106" s="155">
        <f>INDEX('Weight tables'!$A$39:$B$41,MATCH(I_Miei_Rendiconti[[#This Row],[Previouse Report checked?yes/no]],'Weight tables'!$B$39:$B$41,0),1)</f>
        <v>8.4</v>
      </c>
      <c r="AR106" s="155" cm="1">
        <f t="array" ref="AR106">IF(I_Miei_Rendiconti[[#This Row],[Sum of errors in previous report ]]="NON PERTINENTE",0,INDEX('Weight tables'!$A$43:$C$46,MATCH(1,(I_Miei_Rendiconti[[#This Row],[Sum of errors in previous report ]]&gt;='Weight tables'!$B$43:$B$46)*(I_Miei_Rendiconti[[#This Row],[Sum of errors in previous report ]]&lt;='Weight tables'!$C$43:$C$46),0),1))</f>
        <v>0</v>
      </c>
      <c r="AS106" s="155" cm="1">
        <f t="array" ref="AS106">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06" s="155" cm="1">
        <f t="array" ref="AT106">INDEX('Weight tables'!$A$56:$C$65,MATCH(1,('MY-REPORT-MAIN'!U106&gt;='Weight tables'!$B$56:$B$65)*('MY-REPORT-MAIN'!U106&lt;='Weight tables'!$C$56:$C$65),0),1)</f>
        <v>1</v>
      </c>
      <c r="AU106" s="155" cm="1">
        <f t="array" ref="AU106">INDEX('Weight tables'!$A$68:$C$71,MATCH(1,('MY-REPORT-MAIN'!AL106&gt;='Weight tables'!$B$68:$B$71)*('MY-REPORT-MAIN'!AL106&lt;='Weight tables'!$C$68:$C$71),0),1)</f>
        <v>2</v>
      </c>
      <c r="AV106" s="155" cm="1">
        <f t="array" ref="AV106">INDEX('Weight tables'!$A$74:$C$78,MATCH(1,('MY-REPORT-MAIN'!AN106&gt;='Weight tables'!$B$74:$B$78)*('MY-REPORT-MAIN'!AN106&lt;='Weight tables'!$C$74:$C$78),0),1)</f>
        <v>0</v>
      </c>
      <c r="AW106" s="16">
        <f>IF(I_Miei_Rendiconti[[#This Row],[Column1.totalAfterSubmitted]]/AM106&gt;50%,"Checked",0)</f>
        <v>0</v>
      </c>
      <c r="AX106" s="155">
        <f t="shared" si="3"/>
        <v>13.5</v>
      </c>
      <c r="AY106" s="155" t="str">
        <f>INDEX('Partner data'!A:EB,MATCH(I_Miei_Rendiconti[[#This Row],[Column1.partnerId]],'Partner data'!DG:DG,0),92)</f>
        <v>Slovenija (SI)</v>
      </c>
    </row>
    <row r="107" spans="1:51" ht="30" x14ac:dyDescent="0.25">
      <c r="A107" s="79">
        <v>217</v>
      </c>
      <c r="B107" s="79">
        <v>91</v>
      </c>
      <c r="C107" s="79">
        <v>303</v>
      </c>
      <c r="D107" s="79" t="s">
        <v>2561</v>
      </c>
      <c r="E107" s="79" t="s">
        <v>264</v>
      </c>
      <c r="F107" s="79">
        <v>1</v>
      </c>
      <c r="G107" s="206" t="s">
        <v>39</v>
      </c>
      <c r="H107" s="79">
        <v>3</v>
      </c>
      <c r="I107" s="79" t="s">
        <v>4339</v>
      </c>
      <c r="J107" s="79" t="s">
        <v>2563</v>
      </c>
      <c r="K107" s="208">
        <v>45380.544960405095</v>
      </c>
      <c r="M107" s="208">
        <v>45470.639409224539</v>
      </c>
      <c r="N107" s="79" t="s">
        <v>4457</v>
      </c>
      <c r="O107" s="79" t="s">
        <v>4363</v>
      </c>
      <c r="P107" s="79" t="s">
        <v>4348</v>
      </c>
      <c r="Q107" s="79" t="s">
        <v>4343</v>
      </c>
      <c r="R107" s="79">
        <v>36</v>
      </c>
      <c r="S107" s="79">
        <v>2</v>
      </c>
      <c r="T107" s="81">
        <v>26997.72</v>
      </c>
      <c r="U107" s="81">
        <v>26997.72</v>
      </c>
      <c r="V107" s="79" t="str">
        <f>INDEX(pARTNER[#All],MATCH(I_Miei_Rendiconti[[#This Row],[Column1.partnerId]],pARTNER[[#All],[Value.partnerSummary.id]],0),2)</f>
        <v>POSEIDONE</v>
      </c>
      <c r="W107" s="79" t="b">
        <v>0</v>
      </c>
      <c r="X107" s="82">
        <f>I_Miei_Rendiconti[[#This Row],[Column1.totalAfterSubmitted]]-I_Miei_Rendiconti[[#This Row],[Column1.totalEligibleAfterControl]]</f>
        <v>0</v>
      </c>
      <c r="Y107" s="80">
        <f>IF(I_Miei_Rendiconti[[#This Row],[Column1.status]]="Certified",IFERROR(I_Miei_Rendiconti[[#This Row],[Financial corection]]/I_Miei_Rendiconti[[#This Row],[Column1.totalAfterSubmitted]],0),"Rendiconto da certificare")</f>
        <v>0</v>
      </c>
      <c r="Z107" s="207" t="str">
        <f>IF(I_Miei_Rendiconti[[#This Row],[Column1.status]]&lt;&gt;"Certified",INDEX('Partner data'!DG:DQ,MATCH(I_Miei_Rendiconti[[#This Row],[Column1.partnerId]],'Partner data'!DG:DG,0),13),"Rendiconto CONVALIDATO")</f>
        <v>Rendiconto CONVALIDATO</v>
      </c>
      <c r="AA107"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07" s="81" t="str">
        <f>IF(OR(I_Miei_Rendiconti[[#This Row],[N. previouse validated report ]]="Rendiconto CONVALIDATO",I_Miei_Rendiconti[[#This Row],[N. previouse validated report ]]="NON è stato convalidato ancora nessun rendiconto"),"NON PERTINENTE","fai la fromula")</f>
        <v>NON PERTINENTE</v>
      </c>
      <c r="AC107"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07" s="2">
        <f>INDEX('Partner data'!DG:DJ,MATCH(I_Miei_Rendiconti[[#This Row],[Column1.partnerId]],'Partner data'!DG:DG,0),3)</f>
        <v>2</v>
      </c>
      <c r="AE107" t="str" cm="1">
        <f t="array" ref="AE107">INDEX('Varie Tabelle'!$A$37:$C$51,MATCH(1,(I_Miei_Rendiconti[[#This Row],[Column1.firstSubmission]]&gt;='Varie Tabelle'!$B$37:$B$51)*(I_Miei_Rendiconti[[#This Row],[Column1.firstSubmission]]&lt;'Varie Tabelle'!$C$37:$C$51),0),1)</f>
        <v>Finestra 2</v>
      </c>
      <c r="AF107" s="109">
        <f>INDEX('Varie Tabelle'!$A$37:$C$51,MATCH('MY-REPORT-MAIN'!AE107,'Varie Tabelle'!$A$37:$A$51,0),2)</f>
        <v>45352</v>
      </c>
      <c r="AG107" s="109">
        <f>INDEX('Partner data'!DG:DR,MATCH(I_Miei_Rendiconti[[#This Row],[Column1.partnerId]],'Partner data'!DG:DG,0),12)</f>
        <v>44927</v>
      </c>
      <c r="AH107" s="115">
        <f t="shared" si="2"/>
        <v>13.975665899375205</v>
      </c>
      <c r="AI107" t="str" cm="1">
        <f t="array" ref="AI107">INDEX('Varie Tabelle'!$A$12:$C$22,MATCH(1,('MY-REPORT-MAIN'!AH107&gt;='Varie Tabelle'!$B$12:$B$22)*('MY-REPORT-MAIN'!AH107&lt;='Varie Tabelle'!$C$12:$C$22),0),1)</f>
        <v>Periodo-2</v>
      </c>
      <c r="AJ107" s="14">
        <f>INDEX('Partner data'!A:EC,MATCH(I_Miei_Rendiconti[[#This Row],[Column1.partnerId]],'Partner data'!DG:DG,0),MATCH('MY-REPORT-MAIN'!AI107,'Partner data'!$2:$2,0))</f>
        <v>190143.73</v>
      </c>
      <c r="AK107" s="10">
        <f>SUMIFS($U$2:U107,$C$2:C107,I_Miei_Rendiconti[[#This Row],[Column1.partnerId]])-AJ107</f>
        <v>-122207.88</v>
      </c>
      <c r="AL107" s="16">
        <f>IFERROR(1-(I_Miei_Rendiconti[[#This Row],[Column1.totalAfterSubmitted]]/AJ107),0)</f>
        <v>0.85801414540463683</v>
      </c>
      <c r="AM107" s="14">
        <f>INDEX('Partner data'!A:EB,MATCH(I_Miei_Rendiconti[[#This Row],[Column1.partnerId]],'Partner data'!DG:DG,0),44)</f>
        <v>625564.4</v>
      </c>
      <c r="AN107" s="14">
        <f>SUMIFS(ListOfExpenditure!AP:AP,ListOfExpenditure!AJ:AJ,I_Miei_Rendiconti[[#This Row],[Column1.id]])</f>
        <v>1</v>
      </c>
      <c r="AO107" s="148">
        <f>SUMIFS(ReportSubmittedBL!W:W,ReportSubmittedBL!D:D,I_Miei_Rendiconti[[#This Row],[Column1.id]])</f>
        <v>14</v>
      </c>
      <c r="AP107" s="155" cm="1">
        <f t="array" ref="AP107">INDEX('Weight tables'!$A$32:$C$36,MATCH(1,('MY-REPORT-MAIN'!AO107&gt;='Weight tables'!$B$32:$B$36)*('MY-REPORT-MAIN'!AO107&lt;='Weight tables'!$C$32:$C$36),0),1)</f>
        <v>8.4</v>
      </c>
      <c r="AQ107" s="155">
        <f>INDEX('Weight tables'!$A$39:$B$41,MATCH(I_Miei_Rendiconti[[#This Row],[Previouse Report checked?yes/no]],'Weight tables'!$B$39:$B$41,0),1)</f>
        <v>8.4</v>
      </c>
      <c r="AR107" s="155" cm="1">
        <f t="array" ref="AR107">IF(I_Miei_Rendiconti[[#This Row],[Sum of errors in previous report ]]="NON PERTINENTE",0,INDEX('Weight tables'!$A$43:$C$46,MATCH(1,(I_Miei_Rendiconti[[#This Row],[Sum of errors in previous report ]]&gt;='Weight tables'!$B$43:$B$46)*(I_Miei_Rendiconti[[#This Row],[Sum of errors in previous report ]]&lt;='Weight tables'!$C$43:$C$46),0),1))</f>
        <v>0</v>
      </c>
      <c r="AS107" s="155" cm="1">
        <f t="array" ref="AS107">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07" s="155" cm="1">
        <f t="array" ref="AT107">INDEX('Weight tables'!$A$56:$C$65,MATCH(1,('MY-REPORT-MAIN'!U107&gt;='Weight tables'!$B$56:$B$65)*('MY-REPORT-MAIN'!U107&lt;='Weight tables'!$C$56:$C$65),0),1)</f>
        <v>2</v>
      </c>
      <c r="AU107" s="155" cm="1">
        <f t="array" ref="AU107">INDEX('Weight tables'!$A$68:$C$71,MATCH(1,('MY-REPORT-MAIN'!AL107&gt;='Weight tables'!$B$68:$B$71)*('MY-REPORT-MAIN'!AL107&lt;='Weight tables'!$C$68:$C$71),0),1)</f>
        <v>2</v>
      </c>
      <c r="AV107" s="155" cm="1">
        <f t="array" ref="AV107">INDEX('Weight tables'!$A$74:$C$78,MATCH(1,('MY-REPORT-MAIN'!AN107&gt;='Weight tables'!$B$74:$B$78)*('MY-REPORT-MAIN'!AN107&lt;='Weight tables'!$C$74:$C$78),0),1)</f>
        <v>0</v>
      </c>
      <c r="AW107" s="16">
        <f>IF(I_Miei_Rendiconti[[#This Row],[Column1.totalAfterSubmitted]]/AM107&gt;50%,"Checked",0)</f>
        <v>0</v>
      </c>
      <c r="AX107" s="155">
        <f t="shared" si="3"/>
        <v>20.8</v>
      </c>
      <c r="AY107" s="155" t="str">
        <f>INDEX('Partner data'!A:EB,MATCH(I_Miei_Rendiconti[[#This Row],[Column1.partnerId]],'Partner data'!DG:DG,0),92)</f>
        <v>Italia (IT)</v>
      </c>
    </row>
    <row r="108" spans="1:51" ht="30" x14ac:dyDescent="0.25">
      <c r="A108" s="79">
        <v>257</v>
      </c>
      <c r="B108" s="79">
        <v>76</v>
      </c>
      <c r="C108" s="79">
        <v>209</v>
      </c>
      <c r="D108" s="79" t="s">
        <v>2087</v>
      </c>
      <c r="E108" s="79" t="s">
        <v>253</v>
      </c>
      <c r="F108" s="79">
        <v>3</v>
      </c>
      <c r="G108" s="206" t="s">
        <v>56</v>
      </c>
      <c r="H108" s="79">
        <v>1</v>
      </c>
      <c r="I108" s="79" t="s">
        <v>4339</v>
      </c>
      <c r="J108" s="79" t="s">
        <v>1118</v>
      </c>
      <c r="K108" s="208">
        <v>45380.559290914352</v>
      </c>
      <c r="M108" s="208">
        <v>45453.597967569447</v>
      </c>
      <c r="N108" s="79" t="s">
        <v>4488</v>
      </c>
      <c r="O108" s="79" t="s">
        <v>4401</v>
      </c>
      <c r="P108" s="79" t="s">
        <v>4348</v>
      </c>
      <c r="Q108" s="79" t="s">
        <v>4343</v>
      </c>
      <c r="R108" s="79">
        <v>40</v>
      </c>
      <c r="S108" s="79">
        <v>1</v>
      </c>
      <c r="T108" s="81">
        <v>18189.689999999999</v>
      </c>
      <c r="U108" s="81">
        <v>19044.919999999998</v>
      </c>
      <c r="V108" s="79" t="str">
        <f>INDEX(pARTNER[#All],MATCH(I_Miei_Rendiconti[[#This Row],[Column1.partnerId]],pARTNER[[#All],[Value.partnerSummary.id]],0),2)</f>
        <v>BEE2GETHER</v>
      </c>
      <c r="W108" s="79" t="b">
        <v>0</v>
      </c>
      <c r="X108" s="82">
        <f>I_Miei_Rendiconti[[#This Row],[Column1.totalAfterSubmitted]]-I_Miei_Rendiconti[[#This Row],[Column1.totalEligibleAfterControl]]</f>
        <v>855.22999999999956</v>
      </c>
      <c r="Y108" s="80">
        <f>IF(I_Miei_Rendiconti[[#This Row],[Column1.status]]="Certified",IFERROR(I_Miei_Rendiconti[[#This Row],[Financial corection]]/I_Miei_Rendiconti[[#This Row],[Column1.totalAfterSubmitted]],0),"Rendiconto da certificare")</f>
        <v>4.4905938171438876E-2</v>
      </c>
      <c r="Z108" s="207" t="str">
        <f>IF(I_Miei_Rendiconti[[#This Row],[Column1.status]]&lt;&gt;"Certified",INDEX('Partner data'!DG:DQ,MATCH(I_Miei_Rendiconti[[#This Row],[Column1.partnerId]],'Partner data'!DG:DG,0),13),"Rendiconto CONVALIDATO")</f>
        <v>Rendiconto CONVALIDATO</v>
      </c>
      <c r="AA108"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08" s="81" t="str">
        <f>IF(OR(I_Miei_Rendiconti[[#This Row],[N. previouse validated report ]]="Rendiconto CONVALIDATO",I_Miei_Rendiconti[[#This Row],[N. previouse validated report ]]="NON è stato convalidato ancora nessun rendiconto"),"NON PERTINENTE","fai la fromula")</f>
        <v>NON PERTINENTE</v>
      </c>
      <c r="AC108"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08" s="2">
        <f>INDEX('Partner data'!DG:DJ,MATCH(I_Miei_Rendiconti[[#This Row],[Column1.partnerId]],'Partner data'!DG:DG,0),3)</f>
        <v>1</v>
      </c>
      <c r="AE108" t="str" cm="1">
        <f t="array" ref="AE108">INDEX('Varie Tabelle'!$A$37:$C$51,MATCH(1,(I_Miei_Rendiconti[[#This Row],[Column1.firstSubmission]]&gt;='Varie Tabelle'!$B$37:$B$51)*(I_Miei_Rendiconti[[#This Row],[Column1.firstSubmission]]&lt;'Varie Tabelle'!$C$37:$C$51),0),1)</f>
        <v>Finestra 2</v>
      </c>
      <c r="AF108" s="109">
        <f>INDEX('Varie Tabelle'!$A$37:$C$51,MATCH('MY-REPORT-MAIN'!AE108,'Varie Tabelle'!$A$37:$A$51,0),2)</f>
        <v>45352</v>
      </c>
      <c r="AG108" s="109">
        <f>INDEX('Partner data'!DG:DR,MATCH(I_Miei_Rendiconti[[#This Row],[Column1.partnerId]],'Partner data'!DG:DG,0),12)</f>
        <v>45170</v>
      </c>
      <c r="AH108" s="115">
        <f t="shared" si="2"/>
        <v>5.9848733969089114</v>
      </c>
      <c r="AI108" t="str" cm="1">
        <f t="array" ref="AI108">INDEX('Varie Tabelle'!$A$12:$C$22,MATCH(1,('MY-REPORT-MAIN'!AH108&gt;='Varie Tabelle'!$B$12:$B$22)*('MY-REPORT-MAIN'!AH108&lt;='Varie Tabelle'!$C$12:$C$22),0),1)</f>
        <v>Periodo-1</v>
      </c>
      <c r="AJ108" s="14">
        <f>INDEX('Partner data'!A:EC,MATCH(I_Miei_Rendiconti[[#This Row],[Column1.partnerId]],'Partner data'!DG:DG,0),MATCH('MY-REPORT-MAIN'!AI108,'Partner data'!$2:$2,0))</f>
        <v>27300</v>
      </c>
      <c r="AK108" s="10">
        <f>SUMIFS($U$2:U108,$C$2:C108,I_Miei_Rendiconti[[#This Row],[Column1.partnerId]])-AJ108</f>
        <v>-8255.0800000000017</v>
      </c>
      <c r="AL108" s="16">
        <f>IFERROR(1-(I_Miei_Rendiconti[[#This Row],[Column1.totalAfterSubmitted]]/AJ108),0)</f>
        <v>0.30238388278388284</v>
      </c>
      <c r="AM108" s="14">
        <f>INDEX('Partner data'!A:EB,MATCH(I_Miei_Rendiconti[[#This Row],[Column1.partnerId]],'Partner data'!DG:DG,0),44)</f>
        <v>109200</v>
      </c>
      <c r="AN108" s="14">
        <f>SUMIFS(ListOfExpenditure!AP:AP,ListOfExpenditure!AJ:AJ,I_Miei_Rendiconti[[#This Row],[Column1.id]])</f>
        <v>0</v>
      </c>
      <c r="AO108" s="148">
        <f>SUMIFS(ReportSubmittedBL!W:W,ReportSubmittedBL!D:D,I_Miei_Rendiconti[[#This Row],[Column1.id]])</f>
        <v>8</v>
      </c>
      <c r="AP108" s="155" cm="1">
        <f t="array" ref="AP108">INDEX('Weight tables'!$A$32:$C$36,MATCH(1,('MY-REPORT-MAIN'!AO108&gt;='Weight tables'!$B$32:$B$36)*('MY-REPORT-MAIN'!AO108&lt;='Weight tables'!$C$32:$C$36),0),1)</f>
        <v>6.3</v>
      </c>
      <c r="AQ108" s="155">
        <f>INDEX('Weight tables'!$A$39:$B$41,MATCH(I_Miei_Rendiconti[[#This Row],[Previouse Report checked?yes/no]],'Weight tables'!$B$39:$B$41,0),1)</f>
        <v>8.4</v>
      </c>
      <c r="AR108" s="155" cm="1">
        <f t="array" ref="AR108">IF(I_Miei_Rendiconti[[#This Row],[Sum of errors in previous report ]]="NON PERTINENTE",0,INDEX('Weight tables'!$A$43:$C$46,MATCH(1,(I_Miei_Rendiconti[[#This Row],[Sum of errors in previous report ]]&gt;='Weight tables'!$B$43:$B$46)*(I_Miei_Rendiconti[[#This Row],[Sum of errors in previous report ]]&lt;='Weight tables'!$C$43:$C$46),0),1))</f>
        <v>0</v>
      </c>
      <c r="AS108" s="155" cm="1">
        <f t="array" ref="AS108">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08" s="155" cm="1">
        <f t="array" ref="AT108">INDEX('Weight tables'!$A$56:$C$65,MATCH(1,('MY-REPORT-MAIN'!U108&gt;='Weight tables'!$B$56:$B$65)*('MY-REPORT-MAIN'!U108&lt;='Weight tables'!$C$56:$C$65),0),1)</f>
        <v>1</v>
      </c>
      <c r="AU108" s="155" cm="1">
        <f t="array" ref="AU108">INDEX('Weight tables'!$A$68:$C$71,MATCH(1,('MY-REPORT-MAIN'!AL108&gt;='Weight tables'!$B$68:$B$71)*('MY-REPORT-MAIN'!AL108&lt;='Weight tables'!$C$68:$C$71),0),1)</f>
        <v>2</v>
      </c>
      <c r="AV108" s="155" cm="1">
        <f t="array" ref="AV108">INDEX('Weight tables'!$A$74:$C$78,MATCH(1,('MY-REPORT-MAIN'!AN108&gt;='Weight tables'!$B$74:$B$78)*('MY-REPORT-MAIN'!AN108&lt;='Weight tables'!$C$74:$C$78),0),1)</f>
        <v>0</v>
      </c>
      <c r="AW108" s="16">
        <f>IF(I_Miei_Rendiconti[[#This Row],[Column1.totalAfterSubmitted]]/AM108&gt;50%,"Checked",0)</f>
        <v>0</v>
      </c>
      <c r="AX108" s="155">
        <f t="shared" si="3"/>
        <v>17.7</v>
      </c>
      <c r="AY108" s="155" t="str">
        <f>INDEX('Partner data'!A:EB,MATCH(I_Miei_Rendiconti[[#This Row],[Column1.partnerId]],'Partner data'!DG:DG,0),92)</f>
        <v>Slovenija (SI)</v>
      </c>
    </row>
    <row r="109" spans="1:51" ht="30" x14ac:dyDescent="0.25">
      <c r="A109" s="79">
        <v>214</v>
      </c>
      <c r="B109" s="79">
        <v>90</v>
      </c>
      <c r="C109" s="79">
        <v>297</v>
      </c>
      <c r="D109" s="79" t="s">
        <v>2319</v>
      </c>
      <c r="E109" s="79" t="s">
        <v>264</v>
      </c>
      <c r="F109" s="79">
        <v>1</v>
      </c>
      <c r="G109" s="206" t="s">
        <v>376</v>
      </c>
      <c r="H109" s="79">
        <v>1</v>
      </c>
      <c r="I109" s="79" t="s">
        <v>4339</v>
      </c>
      <c r="J109" s="79" t="s">
        <v>1043</v>
      </c>
      <c r="K109" s="208">
        <v>45380.562828518516</v>
      </c>
      <c r="M109" s="208">
        <v>45477.69158914352</v>
      </c>
      <c r="N109" s="79" t="s">
        <v>4454</v>
      </c>
      <c r="O109" s="79" t="s">
        <v>4455</v>
      </c>
      <c r="P109" s="79" t="s">
        <v>4348</v>
      </c>
      <c r="Q109" s="79" t="s">
        <v>4343</v>
      </c>
      <c r="R109" s="79">
        <v>17</v>
      </c>
      <c r="S109" s="79">
        <v>1</v>
      </c>
      <c r="T109" s="81">
        <v>634</v>
      </c>
      <c r="U109" s="81">
        <v>25609.3</v>
      </c>
      <c r="V109" s="79" t="str">
        <f>INDEX(pARTNER[#All],MATCH(I_Miei_Rendiconti[[#This Row],[Column1.partnerId]],pARTNER[[#All],[Value.partnerSummary.id]],0),2)</f>
        <v>RECREATE</v>
      </c>
      <c r="W109" s="79" t="b">
        <v>0</v>
      </c>
      <c r="X109" s="82">
        <f>I_Miei_Rendiconti[[#This Row],[Column1.totalAfterSubmitted]]-I_Miei_Rendiconti[[#This Row],[Column1.totalEligibleAfterControl]]</f>
        <v>24975.3</v>
      </c>
      <c r="Y109" s="80">
        <f>IF(I_Miei_Rendiconti[[#This Row],[Column1.status]]="Certified",IFERROR(I_Miei_Rendiconti[[#This Row],[Financial corection]]/I_Miei_Rendiconti[[#This Row],[Column1.totalAfterSubmitted]],0),"Rendiconto da certificare")</f>
        <v>0.9752433686199935</v>
      </c>
      <c r="Z109" s="207" t="str">
        <f>IF(I_Miei_Rendiconti[[#This Row],[Column1.status]]&lt;&gt;"Certified",INDEX('Partner data'!DG:DQ,MATCH(I_Miei_Rendiconti[[#This Row],[Column1.partnerId]],'Partner data'!DG:DG,0),13),"Rendiconto CONVALIDATO")</f>
        <v>Rendiconto CONVALIDATO</v>
      </c>
      <c r="AA109"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09" s="81" t="str">
        <f>IF(OR(I_Miei_Rendiconti[[#This Row],[N. previouse validated report ]]="Rendiconto CONVALIDATO",I_Miei_Rendiconti[[#This Row],[N. previouse validated report ]]="NON è stato convalidato ancora nessun rendiconto"),"NON PERTINENTE","fai la fromula")</f>
        <v>NON PERTINENTE</v>
      </c>
      <c r="AC109"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09" s="2">
        <f>INDEX('Partner data'!DG:DJ,MATCH(I_Miei_Rendiconti[[#This Row],[Column1.partnerId]],'Partner data'!DG:DG,0),3)</f>
        <v>1</v>
      </c>
      <c r="AE109" t="str" cm="1">
        <f t="array" ref="AE109">INDEX('Varie Tabelle'!$A$37:$C$51,MATCH(1,(I_Miei_Rendiconti[[#This Row],[Column1.firstSubmission]]&gt;='Varie Tabelle'!$B$37:$B$51)*(I_Miei_Rendiconti[[#This Row],[Column1.firstSubmission]]&lt;'Varie Tabelle'!$C$37:$C$51),0),1)</f>
        <v>Finestra 2</v>
      </c>
      <c r="AF109" s="109">
        <f>INDEX('Varie Tabelle'!$A$37:$C$51,MATCH('MY-REPORT-MAIN'!AE109,'Varie Tabelle'!$A$37:$A$51,0),2)</f>
        <v>45352</v>
      </c>
      <c r="AG109" s="109">
        <f>INDEX('Partner data'!DG:DR,MATCH(I_Miei_Rendiconti[[#This Row],[Column1.partnerId]],'Partner data'!DG:DG,0),12)</f>
        <v>45194</v>
      </c>
      <c r="AH109" s="115">
        <f t="shared" si="2"/>
        <v>5.1956593225912533</v>
      </c>
      <c r="AI109" t="str" cm="1">
        <f t="array" ref="AI109">INDEX('Varie Tabelle'!$A$12:$C$22,MATCH(1,('MY-REPORT-MAIN'!AH109&gt;='Varie Tabelle'!$B$12:$B$22)*('MY-REPORT-MAIN'!AH109&lt;='Varie Tabelle'!$C$12:$C$22),0),1)</f>
        <v>Periodo-1</v>
      </c>
      <c r="AJ109" s="14">
        <f>INDEX('Partner data'!A:EC,MATCH(I_Miei_Rendiconti[[#This Row],[Column1.partnerId]],'Partner data'!DG:DG,0),MATCH('MY-REPORT-MAIN'!AI109,'Partner data'!$2:$2,0))</f>
        <v>36650.339999999997</v>
      </c>
      <c r="AK109" s="10">
        <f>SUMIFS($U$2:U109,$C$2:C109,I_Miei_Rendiconti[[#This Row],[Column1.partnerId]])-AJ109</f>
        <v>-11041.039999999997</v>
      </c>
      <c r="AL109" s="16">
        <f>IFERROR(1-(I_Miei_Rendiconti[[#This Row],[Column1.totalAfterSubmitted]]/AJ109),0)</f>
        <v>0.3012534126559262</v>
      </c>
      <c r="AM109" s="14">
        <f>INDEX('Partner data'!A:EB,MATCH(I_Miei_Rendiconti[[#This Row],[Column1.partnerId]],'Partner data'!DG:DG,0),44)</f>
        <v>128000</v>
      </c>
      <c r="AN109" s="14">
        <f>SUMIFS(ListOfExpenditure!AP:AP,ListOfExpenditure!AJ:AJ,I_Miei_Rendiconti[[#This Row],[Column1.id]])</f>
        <v>0</v>
      </c>
      <c r="AO109" s="148">
        <f>SUMIFS(ReportSubmittedBL!W:W,ReportSubmittedBL!D:D,I_Miei_Rendiconti[[#This Row],[Column1.id]])</f>
        <v>16</v>
      </c>
      <c r="AP109" s="155" cm="1">
        <f t="array" ref="AP109">INDEX('Weight tables'!$A$32:$C$36,MATCH(1,('MY-REPORT-MAIN'!AO109&gt;='Weight tables'!$B$32:$B$36)*('MY-REPORT-MAIN'!AO109&lt;='Weight tables'!$C$32:$C$36),0),1)</f>
        <v>8.4</v>
      </c>
      <c r="AQ109" s="155">
        <f>INDEX('Weight tables'!$A$39:$B$41,MATCH(I_Miei_Rendiconti[[#This Row],[Previouse Report checked?yes/no]],'Weight tables'!$B$39:$B$41,0),1)</f>
        <v>8.4</v>
      </c>
      <c r="AR109" s="155" cm="1">
        <f t="array" ref="AR109">IF(I_Miei_Rendiconti[[#This Row],[Sum of errors in previous report ]]="NON PERTINENTE",0,INDEX('Weight tables'!$A$43:$C$46,MATCH(1,(I_Miei_Rendiconti[[#This Row],[Sum of errors in previous report ]]&gt;='Weight tables'!$B$43:$B$46)*(I_Miei_Rendiconti[[#This Row],[Sum of errors in previous report ]]&lt;='Weight tables'!$C$43:$C$46),0),1))</f>
        <v>0</v>
      </c>
      <c r="AS109" s="155" cm="1">
        <f t="array" ref="AS109">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09" s="155" cm="1">
        <f t="array" ref="AT109">INDEX('Weight tables'!$A$56:$C$65,MATCH(1,('MY-REPORT-MAIN'!U109&gt;='Weight tables'!$B$56:$B$65)*('MY-REPORT-MAIN'!U109&lt;='Weight tables'!$C$56:$C$65),0),1)</f>
        <v>2</v>
      </c>
      <c r="AU109" s="155" cm="1">
        <f t="array" ref="AU109">INDEX('Weight tables'!$A$68:$C$71,MATCH(1,('MY-REPORT-MAIN'!AL109&gt;='Weight tables'!$B$68:$B$71)*('MY-REPORT-MAIN'!AL109&lt;='Weight tables'!$C$68:$C$71),0),1)</f>
        <v>2</v>
      </c>
      <c r="AV109" s="155" cm="1">
        <f t="array" ref="AV109">INDEX('Weight tables'!$A$74:$C$78,MATCH(1,('MY-REPORT-MAIN'!AN109&gt;='Weight tables'!$B$74:$B$78)*('MY-REPORT-MAIN'!AN109&lt;='Weight tables'!$C$74:$C$78),0),1)</f>
        <v>0</v>
      </c>
      <c r="AW109" s="16">
        <f>IF(I_Miei_Rendiconti[[#This Row],[Column1.totalAfterSubmitted]]/AM109&gt;50%,"Checked",0)</f>
        <v>0</v>
      </c>
      <c r="AX109" s="155">
        <f t="shared" si="3"/>
        <v>20.8</v>
      </c>
      <c r="AY109" s="155" t="str">
        <f>INDEX('Partner data'!A:EB,MATCH(I_Miei_Rendiconti[[#This Row],[Column1.partnerId]],'Partner data'!DG:DG,0),92)</f>
        <v>Italia (IT)</v>
      </c>
    </row>
    <row r="110" spans="1:51" ht="30" x14ac:dyDescent="0.25">
      <c r="A110" s="79">
        <v>224</v>
      </c>
      <c r="B110" s="79">
        <v>84</v>
      </c>
      <c r="C110" s="79">
        <v>241</v>
      </c>
      <c r="D110" s="79" t="s">
        <v>2214</v>
      </c>
      <c r="E110" s="79" t="s">
        <v>264</v>
      </c>
      <c r="F110" s="79">
        <v>1</v>
      </c>
      <c r="G110" s="206" t="s">
        <v>367</v>
      </c>
      <c r="H110" s="79">
        <v>1</v>
      </c>
      <c r="I110" s="79" t="s">
        <v>4339</v>
      </c>
      <c r="J110" s="79" t="s">
        <v>490</v>
      </c>
      <c r="K110" s="208">
        <v>45380.567322430557</v>
      </c>
      <c r="M110" s="208">
        <v>45468.69745443287</v>
      </c>
      <c r="N110" s="79" t="s">
        <v>4463</v>
      </c>
      <c r="O110" s="79" t="s">
        <v>4347</v>
      </c>
      <c r="P110" s="79" t="s">
        <v>4364</v>
      </c>
      <c r="Q110" s="79" t="s">
        <v>4343</v>
      </c>
      <c r="R110" s="79">
        <v>34</v>
      </c>
      <c r="S110" s="79">
        <v>1</v>
      </c>
      <c r="T110" s="81">
        <v>14998.18</v>
      </c>
      <c r="U110" s="81">
        <v>15003.95</v>
      </c>
      <c r="V110" s="79" t="str">
        <f>INDEX(pARTNER[#All],MATCH(I_Miei_Rendiconti[[#This Row],[Column1.partnerId]],pARTNER[[#All],[Value.partnerSummary.id]],0),2)</f>
        <v>CONCERTO</v>
      </c>
      <c r="W110" s="79" t="b">
        <v>0</v>
      </c>
      <c r="X110" s="82">
        <f>I_Miei_Rendiconti[[#This Row],[Column1.totalAfterSubmitted]]-I_Miei_Rendiconti[[#This Row],[Column1.totalEligibleAfterControl]]</f>
        <v>5.7700000000004366</v>
      </c>
      <c r="Y110" s="80">
        <f>IF(I_Miei_Rendiconti[[#This Row],[Column1.status]]="Certified",IFERROR(I_Miei_Rendiconti[[#This Row],[Financial corection]]/I_Miei_Rendiconti[[#This Row],[Column1.totalAfterSubmitted]],0),"Rendiconto da certificare")</f>
        <v>3.8456539777861404E-4</v>
      </c>
      <c r="Z110" s="207" t="str">
        <f>IF(I_Miei_Rendiconti[[#This Row],[Column1.status]]&lt;&gt;"Certified",INDEX('Partner data'!DG:DQ,MATCH(I_Miei_Rendiconti[[#This Row],[Column1.partnerId]],'Partner data'!DG:DG,0),13),"Rendiconto CONVALIDATO")</f>
        <v>Rendiconto CONVALIDATO</v>
      </c>
      <c r="AA110"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10" s="81" t="str">
        <f>IF(OR(I_Miei_Rendiconti[[#This Row],[N. previouse validated report ]]="Rendiconto CONVALIDATO",I_Miei_Rendiconti[[#This Row],[N. previouse validated report ]]="NON è stato convalidato ancora nessun rendiconto"),"NON PERTINENTE","fai la fromula")</f>
        <v>NON PERTINENTE</v>
      </c>
      <c r="AC110"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10" s="2">
        <f>INDEX('Partner data'!DG:DJ,MATCH(I_Miei_Rendiconti[[#This Row],[Column1.partnerId]],'Partner data'!DG:DG,0),3)</f>
        <v>1</v>
      </c>
      <c r="AE110" t="str" cm="1">
        <f t="array" ref="AE110">INDEX('Varie Tabelle'!$A$37:$C$51,MATCH(1,(I_Miei_Rendiconti[[#This Row],[Column1.firstSubmission]]&gt;='Varie Tabelle'!$B$37:$B$51)*(I_Miei_Rendiconti[[#This Row],[Column1.firstSubmission]]&lt;'Varie Tabelle'!$C$37:$C$51),0),1)</f>
        <v>Finestra 2</v>
      </c>
      <c r="AF110" s="109">
        <f>INDEX('Varie Tabelle'!$A$37:$C$51,MATCH('MY-REPORT-MAIN'!AE110,'Varie Tabelle'!$A$37:$A$51,0),2)</f>
        <v>45352</v>
      </c>
      <c r="AG110" s="109">
        <f>INDEX('Partner data'!DG:DR,MATCH(I_Miei_Rendiconti[[#This Row],[Column1.partnerId]],'Partner data'!DG:DG,0),12)</f>
        <v>45170</v>
      </c>
      <c r="AH110" s="115">
        <f t="shared" si="2"/>
        <v>5.9848733969089114</v>
      </c>
      <c r="AI110" t="str" cm="1">
        <f t="array" ref="AI110">INDEX('Varie Tabelle'!$A$12:$C$22,MATCH(1,('MY-REPORT-MAIN'!AH110&gt;='Varie Tabelle'!$B$12:$B$22)*('MY-REPORT-MAIN'!AH110&lt;='Varie Tabelle'!$C$12:$C$22),0),1)</f>
        <v>Periodo-1</v>
      </c>
      <c r="AJ110" s="14">
        <f>INDEX('Partner data'!A:EC,MATCH(I_Miei_Rendiconti[[#This Row],[Column1.partnerId]],'Partner data'!DG:DG,0),MATCH('MY-REPORT-MAIN'!AI110,'Partner data'!$2:$2,0))</f>
        <v>52244.71</v>
      </c>
      <c r="AK110" s="10">
        <f>SUMIFS($U$2:U110,$C$2:C110,I_Miei_Rendiconti[[#This Row],[Column1.partnerId]])-AJ110</f>
        <v>-37240.759999999995</v>
      </c>
      <c r="AL110" s="16">
        <f>IFERROR(1-(I_Miei_Rendiconti[[#This Row],[Column1.totalAfterSubmitted]]/AJ110),0)</f>
        <v>0.71281398633469295</v>
      </c>
      <c r="AM110" s="14">
        <f>INDEX('Partner data'!A:EB,MATCH(I_Miei_Rendiconti[[#This Row],[Column1.partnerId]],'Partner data'!DG:DG,0),44)</f>
        <v>181978.87</v>
      </c>
      <c r="AN110" s="14">
        <f>SUMIFS(ListOfExpenditure!AP:AP,ListOfExpenditure!AJ:AJ,I_Miei_Rendiconti[[#This Row],[Column1.id]])</f>
        <v>0</v>
      </c>
      <c r="AO110" s="148">
        <f>SUMIFS(ReportSubmittedBL!W:W,ReportSubmittedBL!D:D,I_Miei_Rendiconti[[#This Row],[Column1.id]])</f>
        <v>8</v>
      </c>
      <c r="AP110" s="155" cm="1">
        <f t="array" ref="AP110">INDEX('Weight tables'!$A$32:$C$36,MATCH(1,('MY-REPORT-MAIN'!AO110&gt;='Weight tables'!$B$32:$B$36)*('MY-REPORT-MAIN'!AO110&lt;='Weight tables'!$C$32:$C$36),0),1)</f>
        <v>6.3</v>
      </c>
      <c r="AQ110" s="155">
        <f>INDEX('Weight tables'!$A$39:$B$41,MATCH(I_Miei_Rendiconti[[#This Row],[Previouse Report checked?yes/no]],'Weight tables'!$B$39:$B$41,0),1)</f>
        <v>8.4</v>
      </c>
      <c r="AR110" s="155" cm="1">
        <f t="array" ref="AR110">IF(I_Miei_Rendiconti[[#This Row],[Sum of errors in previous report ]]="NON PERTINENTE",0,INDEX('Weight tables'!$A$43:$C$46,MATCH(1,(I_Miei_Rendiconti[[#This Row],[Sum of errors in previous report ]]&gt;='Weight tables'!$B$43:$B$46)*(I_Miei_Rendiconti[[#This Row],[Sum of errors in previous report ]]&lt;='Weight tables'!$C$43:$C$46),0),1))</f>
        <v>0</v>
      </c>
      <c r="AS110" s="155" cm="1">
        <f t="array" ref="AS110">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10" s="155" cm="1">
        <f t="array" ref="AT110">INDEX('Weight tables'!$A$56:$C$65,MATCH(1,('MY-REPORT-MAIN'!U110&gt;='Weight tables'!$B$56:$B$65)*('MY-REPORT-MAIN'!U110&lt;='Weight tables'!$C$56:$C$65),0),1)</f>
        <v>1</v>
      </c>
      <c r="AU110" s="155" cm="1">
        <f t="array" ref="AU110">INDEX('Weight tables'!$A$68:$C$71,MATCH(1,('MY-REPORT-MAIN'!AL110&gt;='Weight tables'!$B$68:$B$71)*('MY-REPORT-MAIN'!AL110&lt;='Weight tables'!$C$68:$C$71),0),1)</f>
        <v>2</v>
      </c>
      <c r="AV110" s="155" cm="1">
        <f t="array" ref="AV110">INDEX('Weight tables'!$A$74:$C$78,MATCH(1,('MY-REPORT-MAIN'!AN110&gt;='Weight tables'!$B$74:$B$78)*('MY-REPORT-MAIN'!AN110&lt;='Weight tables'!$C$74:$C$78),0),1)</f>
        <v>0</v>
      </c>
      <c r="AW110" s="16">
        <f>IF(I_Miei_Rendiconti[[#This Row],[Column1.totalAfterSubmitted]]/AM110&gt;50%,"Checked",0)</f>
        <v>0</v>
      </c>
      <c r="AX110" s="155">
        <f t="shared" si="3"/>
        <v>17.7</v>
      </c>
      <c r="AY110" s="155" t="str">
        <f>INDEX('Partner data'!A:EB,MATCH(I_Miei_Rendiconti[[#This Row],[Column1.partnerId]],'Partner data'!DG:DG,0),92)</f>
        <v>Italia (IT)</v>
      </c>
    </row>
    <row r="111" spans="1:51" ht="30" x14ac:dyDescent="0.25">
      <c r="A111" s="79">
        <v>317</v>
      </c>
      <c r="B111" s="79">
        <v>60</v>
      </c>
      <c r="C111" s="79">
        <v>222</v>
      </c>
      <c r="D111" s="79" t="s">
        <v>1551</v>
      </c>
      <c r="E111" s="79" t="s">
        <v>253</v>
      </c>
      <c r="F111" s="79">
        <v>4</v>
      </c>
      <c r="G111" s="206" t="s">
        <v>319</v>
      </c>
      <c r="H111" s="79">
        <v>1</v>
      </c>
      <c r="I111" s="79" t="s">
        <v>4339</v>
      </c>
      <c r="J111" s="79" t="s">
        <v>1043</v>
      </c>
      <c r="K111" s="208">
        <v>45380.579227881943</v>
      </c>
      <c r="M111" s="208">
        <v>45453.41415921296</v>
      </c>
      <c r="N111" s="79" t="s">
        <v>4531</v>
      </c>
      <c r="O111" s="79" t="s">
        <v>4363</v>
      </c>
      <c r="P111" s="79" t="s">
        <v>4428</v>
      </c>
      <c r="Q111" s="79" t="s">
        <v>4343</v>
      </c>
      <c r="T111" s="81">
        <v>4824.99</v>
      </c>
      <c r="U111" s="81">
        <v>5076.4399999999996</v>
      </c>
      <c r="V111" s="79" t="str">
        <f>INDEX(pARTNER[#All],MATCH(I_Miei_Rendiconti[[#This Row],[Column1.partnerId]],pARTNER[[#All],[Value.partnerSummary.id]],0),2)</f>
        <v>INTER BIKE III</v>
      </c>
      <c r="W111" s="79" t="b">
        <v>0</v>
      </c>
      <c r="X111" s="82">
        <f>I_Miei_Rendiconti[[#This Row],[Column1.totalAfterSubmitted]]-I_Miei_Rendiconti[[#This Row],[Column1.totalEligibleAfterControl]]</f>
        <v>251.44999999999982</v>
      </c>
      <c r="Y111" s="80">
        <f>IF(I_Miei_Rendiconti[[#This Row],[Column1.status]]="Certified",IFERROR(I_Miei_Rendiconti[[#This Row],[Financial corection]]/I_Miei_Rendiconti[[#This Row],[Column1.totalAfterSubmitted]],0),"Rendiconto da certificare")</f>
        <v>4.9532743418616167E-2</v>
      </c>
      <c r="Z111" s="207" t="str">
        <f>IF(I_Miei_Rendiconti[[#This Row],[Column1.status]]&lt;&gt;"Certified",INDEX('Partner data'!DG:DQ,MATCH(I_Miei_Rendiconti[[#This Row],[Column1.partnerId]],'Partner data'!DG:DG,0),13),"Rendiconto CONVALIDATO")</f>
        <v>Rendiconto CONVALIDATO</v>
      </c>
      <c r="AA111"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11" s="81" t="str">
        <f>IF(OR(I_Miei_Rendiconti[[#This Row],[N. previouse validated report ]]="Rendiconto CONVALIDATO",I_Miei_Rendiconti[[#This Row],[N. previouse validated report ]]="NON è stato convalidato ancora nessun rendiconto"),"NON PERTINENTE","fai la fromula")</f>
        <v>NON PERTINENTE</v>
      </c>
      <c r="AC111"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11" s="2">
        <f>INDEX('Partner data'!DG:DJ,MATCH(I_Miei_Rendiconti[[#This Row],[Column1.partnerId]],'Partner data'!DG:DG,0),3)</f>
        <v>1</v>
      </c>
      <c r="AE111" t="str" cm="1">
        <f t="array" ref="AE111">INDEX('Varie Tabelle'!$A$37:$C$51,MATCH(1,(I_Miei_Rendiconti[[#This Row],[Column1.firstSubmission]]&gt;='Varie Tabelle'!$B$37:$B$51)*(I_Miei_Rendiconti[[#This Row],[Column1.firstSubmission]]&lt;'Varie Tabelle'!$C$37:$C$51),0),1)</f>
        <v>Finestra 2</v>
      </c>
      <c r="AF111" s="109">
        <f>INDEX('Varie Tabelle'!$A$37:$C$51,MATCH('MY-REPORT-MAIN'!AE111,'Varie Tabelle'!$A$37:$A$51,0),2)</f>
        <v>45352</v>
      </c>
      <c r="AG111" s="109">
        <f>INDEX('Partner data'!DG:DR,MATCH(I_Miei_Rendiconti[[#This Row],[Column1.partnerId]],'Partner data'!DG:DG,0),12)</f>
        <v>45200</v>
      </c>
      <c r="AH111" s="115">
        <f t="shared" si="2"/>
        <v>4.9983558040118385</v>
      </c>
      <c r="AI111" t="str" cm="1">
        <f t="array" ref="AI111">INDEX('Varie Tabelle'!$A$12:$C$22,MATCH(1,('MY-REPORT-MAIN'!AH111&gt;='Varie Tabelle'!$B$12:$B$22)*('MY-REPORT-MAIN'!AH111&lt;='Varie Tabelle'!$C$12:$C$22),0),1)</f>
        <v>Periodo-1</v>
      </c>
      <c r="AJ111" s="14">
        <f>INDEX('Partner data'!A:EC,MATCH(I_Miei_Rendiconti[[#This Row],[Column1.partnerId]],'Partner data'!DG:DG,0),MATCH('MY-REPORT-MAIN'!AI111,'Partner data'!$2:$2,0))</f>
        <v>12615</v>
      </c>
      <c r="AK111" s="10">
        <f>SUMIFS($U$2:U111,$C$2:C111,I_Miei_Rendiconti[[#This Row],[Column1.partnerId]])-AJ111</f>
        <v>-7538.56</v>
      </c>
      <c r="AL111" s="16">
        <f>IFERROR(1-(I_Miei_Rendiconti[[#This Row],[Column1.totalAfterSubmitted]]/AJ111),0)</f>
        <v>0.59758699960364647</v>
      </c>
      <c r="AM111" s="14">
        <f>INDEX('Partner data'!A:EB,MATCH(I_Miei_Rendiconti[[#This Row],[Column1.partnerId]],'Partner data'!DG:DG,0),44)</f>
        <v>142157</v>
      </c>
      <c r="AN111" s="14">
        <f>SUMIFS(ListOfExpenditure!AP:AP,ListOfExpenditure!AJ:AJ,I_Miei_Rendiconti[[#This Row],[Column1.id]])</f>
        <v>0</v>
      </c>
      <c r="AO111" s="148">
        <f>SUMIFS(ReportSubmittedBL!W:W,ReportSubmittedBL!D:D,I_Miei_Rendiconti[[#This Row],[Column1.id]])</f>
        <v>12</v>
      </c>
      <c r="AP111" s="155" cm="1">
        <f t="array" ref="AP111">INDEX('Weight tables'!$A$32:$C$36,MATCH(1,('MY-REPORT-MAIN'!AO111&gt;='Weight tables'!$B$32:$B$36)*('MY-REPORT-MAIN'!AO111&lt;='Weight tables'!$C$32:$C$36),0),1)</f>
        <v>8.4</v>
      </c>
      <c r="AQ111" s="155">
        <f>INDEX('Weight tables'!$A$39:$B$41,MATCH(I_Miei_Rendiconti[[#This Row],[Previouse Report checked?yes/no]],'Weight tables'!$B$39:$B$41,0),1)</f>
        <v>8.4</v>
      </c>
      <c r="AR111" s="155" cm="1">
        <f t="array" ref="AR111">IF(I_Miei_Rendiconti[[#This Row],[Sum of errors in previous report ]]="NON PERTINENTE",0,INDEX('Weight tables'!$A$43:$C$46,MATCH(1,(I_Miei_Rendiconti[[#This Row],[Sum of errors in previous report ]]&gt;='Weight tables'!$B$43:$B$46)*(I_Miei_Rendiconti[[#This Row],[Sum of errors in previous report ]]&lt;='Weight tables'!$C$43:$C$46),0),1))</f>
        <v>0</v>
      </c>
      <c r="AS111" s="155" cm="1">
        <f t="array" ref="AS111">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11" s="155" cm="1">
        <f t="array" ref="AT111">INDEX('Weight tables'!$A$56:$C$65,MATCH(1,('MY-REPORT-MAIN'!U111&gt;='Weight tables'!$B$56:$B$65)*('MY-REPORT-MAIN'!U111&lt;='Weight tables'!$C$56:$C$65),0),1)</f>
        <v>0</v>
      </c>
      <c r="AU111" s="155" cm="1">
        <f t="array" ref="AU111">INDEX('Weight tables'!$A$68:$C$71,MATCH(1,('MY-REPORT-MAIN'!AL111&gt;='Weight tables'!$B$68:$B$71)*('MY-REPORT-MAIN'!AL111&lt;='Weight tables'!$C$68:$C$71),0),1)</f>
        <v>2</v>
      </c>
      <c r="AV111" s="155" cm="1">
        <f t="array" ref="AV111">INDEX('Weight tables'!$A$74:$C$78,MATCH(1,('MY-REPORT-MAIN'!AN111&gt;='Weight tables'!$B$74:$B$78)*('MY-REPORT-MAIN'!AN111&lt;='Weight tables'!$C$74:$C$78),0),1)</f>
        <v>0</v>
      </c>
      <c r="AW111" s="16">
        <f>IF(I_Miei_Rendiconti[[#This Row],[Column1.totalAfterSubmitted]]/AM111&gt;50%,"Checked",0)</f>
        <v>0</v>
      </c>
      <c r="AX111" s="155">
        <f t="shared" si="3"/>
        <v>18.8</v>
      </c>
      <c r="AY111" s="155" t="str">
        <f>INDEX('Partner data'!A:EB,MATCH(I_Miei_Rendiconti[[#This Row],[Column1.partnerId]],'Partner data'!DG:DG,0),92)</f>
        <v>Slovenija (SI)</v>
      </c>
    </row>
    <row r="112" spans="1:51" ht="30" x14ac:dyDescent="0.25">
      <c r="A112" s="79">
        <v>287</v>
      </c>
      <c r="B112" s="79">
        <v>44</v>
      </c>
      <c r="C112" s="79">
        <v>91</v>
      </c>
      <c r="D112" s="79" t="s">
        <v>1116</v>
      </c>
      <c r="E112" s="79" t="s">
        <v>253</v>
      </c>
      <c r="F112" s="79">
        <v>2</v>
      </c>
      <c r="G112" s="206" t="s">
        <v>295</v>
      </c>
      <c r="H112" s="79">
        <v>1</v>
      </c>
      <c r="I112" s="79" t="s">
        <v>4339</v>
      </c>
      <c r="J112" s="79" t="s">
        <v>1118</v>
      </c>
      <c r="K112" s="208">
        <v>45380.58362409722</v>
      </c>
      <c r="M112" s="208">
        <v>45482.352875810182</v>
      </c>
      <c r="N112" s="79" t="s">
        <v>4511</v>
      </c>
      <c r="O112" s="79" t="s">
        <v>4401</v>
      </c>
      <c r="P112" s="79" t="s">
        <v>4348</v>
      </c>
      <c r="Q112" s="79" t="s">
        <v>4343</v>
      </c>
      <c r="R112" s="79">
        <v>2</v>
      </c>
      <c r="S112" s="79">
        <v>1</v>
      </c>
      <c r="T112" s="81">
        <v>1991.1</v>
      </c>
      <c r="U112" s="81">
        <v>1991.1</v>
      </c>
      <c r="V112" s="79" t="str">
        <f>INDEX(pARTNER[#All],MATCH(I_Miei_Rendiconti[[#This Row],[Column1.partnerId]],pARTNER[[#All],[Value.partnerSummary.id]],0),2)</f>
        <v>IMMUNOCLUSTER-2</v>
      </c>
      <c r="W112" s="79" t="b">
        <v>0</v>
      </c>
      <c r="X112" s="82">
        <f>I_Miei_Rendiconti[[#This Row],[Column1.totalAfterSubmitted]]-I_Miei_Rendiconti[[#This Row],[Column1.totalEligibleAfterControl]]</f>
        <v>0</v>
      </c>
      <c r="Y112" s="80">
        <f>IF(I_Miei_Rendiconti[[#This Row],[Column1.status]]="Certified",IFERROR(I_Miei_Rendiconti[[#This Row],[Financial corection]]/I_Miei_Rendiconti[[#This Row],[Column1.totalAfterSubmitted]],0),"Rendiconto da certificare")</f>
        <v>0</v>
      </c>
      <c r="Z112" s="207" t="str">
        <f>IF(I_Miei_Rendiconti[[#This Row],[Column1.status]]&lt;&gt;"Certified",INDEX('Partner data'!DG:DQ,MATCH(I_Miei_Rendiconti[[#This Row],[Column1.partnerId]],'Partner data'!DG:DG,0),13),"Rendiconto CONVALIDATO")</f>
        <v>Rendiconto CONVALIDATO</v>
      </c>
      <c r="AA112"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12" s="81" t="str">
        <f>IF(OR(I_Miei_Rendiconti[[#This Row],[N. previouse validated report ]]="Rendiconto CONVALIDATO",I_Miei_Rendiconti[[#This Row],[N. previouse validated report ]]="NON è stato convalidato ancora nessun rendiconto"),"NON PERTINENTE","fai la fromula")</f>
        <v>NON PERTINENTE</v>
      </c>
      <c r="AC112"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12" s="2">
        <f>INDEX('Partner data'!DG:DJ,MATCH(I_Miei_Rendiconti[[#This Row],[Column1.partnerId]],'Partner data'!DG:DG,0),3)</f>
        <v>1</v>
      </c>
      <c r="AE112" t="str" cm="1">
        <f t="array" ref="AE112">INDEX('Varie Tabelle'!$A$37:$C$51,MATCH(1,(I_Miei_Rendiconti[[#This Row],[Column1.firstSubmission]]&gt;='Varie Tabelle'!$B$37:$B$51)*(I_Miei_Rendiconti[[#This Row],[Column1.firstSubmission]]&lt;'Varie Tabelle'!$C$37:$C$51),0),1)</f>
        <v>Finestra 2</v>
      </c>
      <c r="AF112" s="109">
        <f>INDEX('Varie Tabelle'!$A$37:$C$51,MATCH('MY-REPORT-MAIN'!AE112,'Varie Tabelle'!$A$37:$A$51,0),2)</f>
        <v>45352</v>
      </c>
      <c r="AG112" s="109">
        <f>INDEX('Partner data'!DG:DR,MATCH(I_Miei_Rendiconti[[#This Row],[Column1.partnerId]],'Partner data'!DG:DG,0),12)</f>
        <v>45170</v>
      </c>
      <c r="AH112" s="115">
        <f t="shared" si="2"/>
        <v>5.9848733969089114</v>
      </c>
      <c r="AI112" t="str" cm="1">
        <f t="array" ref="AI112">INDEX('Varie Tabelle'!$A$12:$C$22,MATCH(1,('MY-REPORT-MAIN'!AH112&gt;='Varie Tabelle'!$B$12:$B$22)*('MY-REPORT-MAIN'!AH112&lt;='Varie Tabelle'!$C$12:$C$22),0),1)</f>
        <v>Periodo-1</v>
      </c>
      <c r="AJ112" s="14">
        <f>INDEX('Partner data'!A:EC,MATCH(I_Miei_Rendiconti[[#This Row],[Column1.partnerId]],'Partner data'!DG:DG,0),MATCH('MY-REPORT-MAIN'!AI112,'Partner data'!$2:$2,0))</f>
        <v>22925</v>
      </c>
      <c r="AK112" s="10">
        <f>SUMIFS($U$2:U112,$C$2:C112,I_Miei_Rendiconti[[#This Row],[Column1.partnerId]])-AJ112</f>
        <v>-20933.900000000001</v>
      </c>
      <c r="AL112" s="16">
        <f>IFERROR(1-(I_Miei_Rendiconti[[#This Row],[Column1.totalAfterSubmitted]]/AJ112),0)</f>
        <v>0.91314721919302078</v>
      </c>
      <c r="AM112" s="14">
        <f>INDEX('Partner data'!A:EB,MATCH(I_Miei_Rendiconti[[#This Row],[Column1.partnerId]],'Partner data'!DG:DG,0),44)</f>
        <v>91700</v>
      </c>
      <c r="AN112" s="14">
        <f>SUMIFS(ListOfExpenditure!AP:AP,ListOfExpenditure!AJ:AJ,I_Miei_Rendiconti[[#This Row],[Column1.id]])</f>
        <v>0</v>
      </c>
      <c r="AO112" s="148">
        <f>SUMIFS(ReportSubmittedBL!W:W,ReportSubmittedBL!D:D,I_Miei_Rendiconti[[#This Row],[Column1.id]])</f>
        <v>8</v>
      </c>
      <c r="AP112" s="155" cm="1">
        <f t="array" ref="AP112">INDEX('Weight tables'!$A$32:$C$36,MATCH(1,('MY-REPORT-MAIN'!AO112&gt;='Weight tables'!$B$32:$B$36)*('MY-REPORT-MAIN'!AO112&lt;='Weight tables'!$C$32:$C$36),0),1)</f>
        <v>6.3</v>
      </c>
      <c r="AQ112" s="155">
        <f>INDEX('Weight tables'!$A$39:$B$41,MATCH(I_Miei_Rendiconti[[#This Row],[Previouse Report checked?yes/no]],'Weight tables'!$B$39:$B$41,0),1)</f>
        <v>8.4</v>
      </c>
      <c r="AR112" s="155" cm="1">
        <f t="array" ref="AR112">IF(I_Miei_Rendiconti[[#This Row],[Sum of errors in previous report ]]="NON PERTINENTE",0,INDEX('Weight tables'!$A$43:$C$46,MATCH(1,(I_Miei_Rendiconti[[#This Row],[Sum of errors in previous report ]]&gt;='Weight tables'!$B$43:$B$46)*(I_Miei_Rendiconti[[#This Row],[Sum of errors in previous report ]]&lt;='Weight tables'!$C$43:$C$46),0),1))</f>
        <v>0</v>
      </c>
      <c r="AS112" s="155" cm="1">
        <f t="array" ref="AS112">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12" s="155" cm="1">
        <f t="array" ref="AT112">INDEX('Weight tables'!$A$56:$C$65,MATCH(1,('MY-REPORT-MAIN'!U112&gt;='Weight tables'!$B$56:$B$65)*('MY-REPORT-MAIN'!U112&lt;='Weight tables'!$C$56:$C$65),0),1)</f>
        <v>0</v>
      </c>
      <c r="AU112" s="155" cm="1">
        <f t="array" ref="AU112">INDEX('Weight tables'!$A$68:$C$71,MATCH(1,('MY-REPORT-MAIN'!AL112&gt;='Weight tables'!$B$68:$B$71)*('MY-REPORT-MAIN'!AL112&lt;='Weight tables'!$C$68:$C$71),0),1)</f>
        <v>2</v>
      </c>
      <c r="AV112" s="155" cm="1">
        <f t="array" ref="AV112">INDEX('Weight tables'!$A$74:$C$78,MATCH(1,('MY-REPORT-MAIN'!AN112&gt;='Weight tables'!$B$74:$B$78)*('MY-REPORT-MAIN'!AN112&lt;='Weight tables'!$C$74:$C$78),0),1)</f>
        <v>0</v>
      </c>
      <c r="AW112" s="16">
        <f>IF(I_Miei_Rendiconti[[#This Row],[Column1.totalAfterSubmitted]]/AM112&gt;50%,"Checked",0)</f>
        <v>0</v>
      </c>
      <c r="AX112" s="155">
        <f t="shared" si="3"/>
        <v>16.7</v>
      </c>
      <c r="AY112" s="155" t="str">
        <f>INDEX('Partner data'!A:EB,MATCH(I_Miei_Rendiconti[[#This Row],[Column1.partnerId]],'Partner data'!DG:DG,0),92)</f>
        <v>Slovenija (SI)</v>
      </c>
    </row>
    <row r="113" spans="1:51" ht="30" x14ac:dyDescent="0.25">
      <c r="A113" s="79">
        <v>210</v>
      </c>
      <c r="B113" s="79">
        <v>91</v>
      </c>
      <c r="C113" s="79">
        <v>310</v>
      </c>
      <c r="D113" s="79" t="s">
        <v>2561</v>
      </c>
      <c r="E113" s="79" t="s">
        <v>253</v>
      </c>
      <c r="F113" s="79">
        <v>8</v>
      </c>
      <c r="G113" s="206" t="s">
        <v>50</v>
      </c>
      <c r="H113" s="79">
        <v>2</v>
      </c>
      <c r="I113" s="79" t="s">
        <v>4339</v>
      </c>
      <c r="J113" s="79" t="s">
        <v>2563</v>
      </c>
      <c r="K113" s="208">
        <v>45380.62386</v>
      </c>
      <c r="M113" s="208">
        <v>45457.499793668983</v>
      </c>
      <c r="N113" s="79" t="s">
        <v>4451</v>
      </c>
      <c r="O113" s="79" t="s">
        <v>4363</v>
      </c>
      <c r="P113" s="79" t="s">
        <v>4348</v>
      </c>
      <c r="Q113" s="79" t="s">
        <v>4343</v>
      </c>
      <c r="R113" s="79">
        <v>36</v>
      </c>
      <c r="S113" s="79">
        <v>2</v>
      </c>
      <c r="T113" s="81">
        <v>69756.740000000005</v>
      </c>
      <c r="U113" s="81">
        <v>70173.31</v>
      </c>
      <c r="V113" s="79" t="str">
        <f>INDEX(pARTNER[#All],MATCH(I_Miei_Rendiconti[[#This Row],[Column1.partnerId]],pARTNER[[#All],[Value.partnerSummary.id]],0),2)</f>
        <v>POSEIDONE</v>
      </c>
      <c r="W113" s="79" t="b">
        <v>0</v>
      </c>
      <c r="X113" s="82">
        <f>I_Miei_Rendiconti[[#This Row],[Column1.totalAfterSubmitted]]-I_Miei_Rendiconti[[#This Row],[Column1.totalEligibleAfterControl]]</f>
        <v>416.56999999999243</v>
      </c>
      <c r="Y113" s="80">
        <f>IF(I_Miei_Rendiconti[[#This Row],[Column1.status]]="Certified",IFERROR(I_Miei_Rendiconti[[#This Row],[Financial corection]]/I_Miei_Rendiconti[[#This Row],[Column1.totalAfterSubmitted]],0),"Rendiconto da certificare")</f>
        <v>5.9363025628973816E-3</v>
      </c>
      <c r="Z113" s="207" t="str">
        <f>IF(I_Miei_Rendiconti[[#This Row],[Column1.status]]&lt;&gt;"Certified",INDEX('Partner data'!DG:DQ,MATCH(I_Miei_Rendiconti[[#This Row],[Column1.partnerId]],'Partner data'!DG:DG,0),13),"Rendiconto CONVALIDATO")</f>
        <v>Rendiconto CONVALIDATO</v>
      </c>
      <c r="AA113"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13" s="81" t="str">
        <f>IF(OR(I_Miei_Rendiconti[[#This Row],[N. previouse validated report ]]="Rendiconto CONVALIDATO",I_Miei_Rendiconti[[#This Row],[N. previouse validated report ]]="NON è stato convalidato ancora nessun rendiconto"),"NON PERTINENTE","fai la fromula")</f>
        <v>NON PERTINENTE</v>
      </c>
      <c r="AC113"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13" s="2">
        <f>INDEX('Partner data'!DG:DJ,MATCH(I_Miei_Rendiconti[[#This Row],[Column1.partnerId]],'Partner data'!DG:DG,0),3)</f>
        <v>2</v>
      </c>
      <c r="AE113" t="str" cm="1">
        <f t="array" ref="AE113">INDEX('Varie Tabelle'!$A$37:$C$51,MATCH(1,(I_Miei_Rendiconti[[#This Row],[Column1.firstSubmission]]&gt;='Varie Tabelle'!$B$37:$B$51)*(I_Miei_Rendiconti[[#This Row],[Column1.firstSubmission]]&lt;'Varie Tabelle'!$C$37:$C$51),0),1)</f>
        <v>Finestra 2</v>
      </c>
      <c r="AF113" s="109">
        <f>INDEX('Varie Tabelle'!$A$37:$C$51,MATCH('MY-REPORT-MAIN'!AE113,'Varie Tabelle'!$A$37:$A$51,0),2)</f>
        <v>45352</v>
      </c>
      <c r="AG113" s="109">
        <f>INDEX('Partner data'!DG:DR,MATCH(I_Miei_Rendiconti[[#This Row],[Column1.partnerId]],'Partner data'!DG:DG,0),12)</f>
        <v>44927</v>
      </c>
      <c r="AH113" s="115">
        <f t="shared" si="2"/>
        <v>13.975665899375205</v>
      </c>
      <c r="AI113" t="str" cm="1">
        <f t="array" ref="AI113">INDEX('Varie Tabelle'!$A$12:$C$22,MATCH(1,('MY-REPORT-MAIN'!AH113&gt;='Varie Tabelle'!$B$12:$B$22)*('MY-REPORT-MAIN'!AH113&lt;='Varie Tabelle'!$C$12:$C$22),0),1)</f>
        <v>Periodo-2</v>
      </c>
      <c r="AJ113" s="14">
        <f>INDEX('Partner data'!A:EC,MATCH(I_Miei_Rendiconti[[#This Row],[Column1.partnerId]],'Partner data'!DG:DG,0),MATCH('MY-REPORT-MAIN'!AI113,'Partner data'!$2:$2,0))</f>
        <v>116874.35999999999</v>
      </c>
      <c r="AK113" s="10">
        <f>SUMIFS($U$2:U113,$C$2:C113,I_Miei_Rendiconti[[#This Row],[Column1.partnerId]])-AJ113</f>
        <v>-10814.099999999991</v>
      </c>
      <c r="AL113" s="16">
        <f>IFERROR(1-(I_Miei_Rendiconti[[#This Row],[Column1.totalAfterSubmitted]]/AJ113),0)</f>
        <v>0.39958336456345078</v>
      </c>
      <c r="AM113" s="14">
        <f>INDEX('Partner data'!A:EB,MATCH(I_Miei_Rendiconti[[#This Row],[Column1.partnerId]],'Partner data'!DG:DG,0),44)</f>
        <v>312500</v>
      </c>
      <c r="AN113" s="14">
        <f>SUMIFS(ListOfExpenditure!AP:AP,ListOfExpenditure!AJ:AJ,I_Miei_Rendiconti[[#This Row],[Column1.id]])</f>
        <v>0</v>
      </c>
      <c r="AO113" s="148">
        <f>SUMIFS(ReportSubmittedBL!W:W,ReportSubmittedBL!D:D,I_Miei_Rendiconti[[#This Row],[Column1.id]])</f>
        <v>16</v>
      </c>
      <c r="AP113" s="155" cm="1">
        <f t="array" ref="AP113">INDEX('Weight tables'!$A$32:$C$36,MATCH(1,('MY-REPORT-MAIN'!AO113&gt;='Weight tables'!$B$32:$B$36)*('MY-REPORT-MAIN'!AO113&lt;='Weight tables'!$C$32:$C$36),0),1)</f>
        <v>8.4</v>
      </c>
      <c r="AQ113" s="155">
        <f>INDEX('Weight tables'!$A$39:$B$41,MATCH(I_Miei_Rendiconti[[#This Row],[Previouse Report checked?yes/no]],'Weight tables'!$B$39:$B$41,0),1)</f>
        <v>8.4</v>
      </c>
      <c r="AR113" s="155" cm="1">
        <f t="array" ref="AR113">IF(I_Miei_Rendiconti[[#This Row],[Sum of errors in previous report ]]="NON PERTINENTE",0,INDEX('Weight tables'!$A$43:$C$46,MATCH(1,(I_Miei_Rendiconti[[#This Row],[Sum of errors in previous report ]]&gt;='Weight tables'!$B$43:$B$46)*(I_Miei_Rendiconti[[#This Row],[Sum of errors in previous report ]]&lt;='Weight tables'!$C$43:$C$46),0),1))</f>
        <v>0</v>
      </c>
      <c r="AS113" s="155" cm="1">
        <f t="array" ref="AS113">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13" s="155" cm="1">
        <f t="array" ref="AT113">INDEX('Weight tables'!$A$56:$C$65,MATCH(1,('MY-REPORT-MAIN'!U113&gt;='Weight tables'!$B$56:$B$65)*('MY-REPORT-MAIN'!U113&lt;='Weight tables'!$C$56:$C$65),0),1)</f>
        <v>7</v>
      </c>
      <c r="AU113" s="155" cm="1">
        <f t="array" ref="AU113">INDEX('Weight tables'!$A$68:$C$71,MATCH(1,('MY-REPORT-MAIN'!AL113&gt;='Weight tables'!$B$68:$B$71)*('MY-REPORT-MAIN'!AL113&lt;='Weight tables'!$C$68:$C$71),0),1)</f>
        <v>2</v>
      </c>
      <c r="AV113" s="155" cm="1">
        <f t="array" ref="AV113">INDEX('Weight tables'!$A$74:$C$78,MATCH(1,('MY-REPORT-MAIN'!AN113&gt;='Weight tables'!$B$74:$B$78)*('MY-REPORT-MAIN'!AN113&lt;='Weight tables'!$C$74:$C$78),0),1)</f>
        <v>0</v>
      </c>
      <c r="AW113" s="16">
        <f>IF(I_Miei_Rendiconti[[#This Row],[Column1.totalAfterSubmitted]]/AM113&gt;50%,"Checked",0)</f>
        <v>0</v>
      </c>
      <c r="AX113" s="155">
        <f t="shared" si="3"/>
        <v>25.8</v>
      </c>
      <c r="AY113" s="155" t="str">
        <f>INDEX('Partner data'!A:EB,MATCH(I_Miei_Rendiconti[[#This Row],[Column1.partnerId]],'Partner data'!DG:DG,0),92)</f>
        <v>Slovenija (SI)</v>
      </c>
    </row>
    <row r="114" spans="1:51" ht="30" x14ac:dyDescent="0.25">
      <c r="A114" s="79">
        <v>251</v>
      </c>
      <c r="B114" s="79">
        <v>65</v>
      </c>
      <c r="C114" s="79">
        <v>172</v>
      </c>
      <c r="D114" s="79" t="s">
        <v>1693</v>
      </c>
      <c r="E114" s="79" t="s">
        <v>253</v>
      </c>
      <c r="F114" s="79">
        <v>5</v>
      </c>
      <c r="G114" s="206" t="s">
        <v>26</v>
      </c>
      <c r="H114" s="79">
        <v>2</v>
      </c>
      <c r="I114" s="79" t="s">
        <v>4339</v>
      </c>
      <c r="J114" s="79" t="s">
        <v>490</v>
      </c>
      <c r="K114" s="208">
        <v>45380.633065833332</v>
      </c>
      <c r="M114" s="208">
        <v>45456.34502753472</v>
      </c>
      <c r="N114" s="79" t="s">
        <v>4483</v>
      </c>
      <c r="O114" s="79" t="s">
        <v>4363</v>
      </c>
      <c r="P114" s="79" t="s">
        <v>4348</v>
      </c>
      <c r="Q114" s="79" t="s">
        <v>4343</v>
      </c>
      <c r="T114" s="81">
        <v>18169.310000000001</v>
      </c>
      <c r="U114" s="81">
        <v>18169.310000000001</v>
      </c>
      <c r="V114" s="79" t="str">
        <f>INDEX(pARTNER[#All],MATCH(I_Miei_Rendiconti[[#This Row],[Column1.partnerId]],pARTNER[[#All],[Value.partnerSummary.id]],0),2)</f>
        <v>TARTINI BIS</v>
      </c>
      <c r="W114" s="79" t="b">
        <v>0</v>
      </c>
      <c r="X114" s="82">
        <f>I_Miei_Rendiconti[[#This Row],[Column1.totalAfterSubmitted]]-I_Miei_Rendiconti[[#This Row],[Column1.totalEligibleAfterControl]]</f>
        <v>0</v>
      </c>
      <c r="Y114" s="80">
        <f>IF(I_Miei_Rendiconti[[#This Row],[Column1.status]]="Certified",IFERROR(I_Miei_Rendiconti[[#This Row],[Financial corection]]/I_Miei_Rendiconti[[#This Row],[Column1.totalAfterSubmitted]],0),"Rendiconto da certificare")</f>
        <v>0</v>
      </c>
      <c r="Z114" s="207" t="str">
        <f>IF(I_Miei_Rendiconti[[#This Row],[Column1.status]]&lt;&gt;"Certified",INDEX('Partner data'!DG:DQ,MATCH(I_Miei_Rendiconti[[#This Row],[Column1.partnerId]],'Partner data'!DG:DG,0),13),"Rendiconto CONVALIDATO")</f>
        <v>Rendiconto CONVALIDATO</v>
      </c>
      <c r="AA114"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14" s="81" t="str">
        <f>IF(OR(I_Miei_Rendiconti[[#This Row],[N. previouse validated report ]]="Rendiconto CONVALIDATO",I_Miei_Rendiconti[[#This Row],[N. previouse validated report ]]="NON è stato convalidato ancora nessun rendiconto"),"NON PERTINENTE","fai la fromula")</f>
        <v>NON PERTINENTE</v>
      </c>
      <c r="AC114"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14" s="2">
        <f>INDEX('Partner data'!DG:DJ,MATCH(I_Miei_Rendiconti[[#This Row],[Column1.partnerId]],'Partner data'!DG:DG,0),3)</f>
        <v>2</v>
      </c>
      <c r="AE114" t="str" cm="1">
        <f t="array" ref="AE114">INDEX('Varie Tabelle'!$A$37:$C$51,MATCH(1,(I_Miei_Rendiconti[[#This Row],[Column1.firstSubmission]]&gt;='Varie Tabelle'!$B$37:$B$51)*(I_Miei_Rendiconti[[#This Row],[Column1.firstSubmission]]&lt;'Varie Tabelle'!$C$37:$C$51),0),1)</f>
        <v>Finestra 2</v>
      </c>
      <c r="AF114" s="109">
        <f>INDEX('Varie Tabelle'!$A$37:$C$51,MATCH('MY-REPORT-MAIN'!AE114,'Varie Tabelle'!$A$37:$A$51,0),2)</f>
        <v>45352</v>
      </c>
      <c r="AG114" s="109">
        <f>INDEX('Partner data'!DG:DR,MATCH(I_Miei_Rendiconti[[#This Row],[Column1.partnerId]],'Partner data'!DG:DG,0),12)</f>
        <v>45078</v>
      </c>
      <c r="AH114" s="115">
        <f t="shared" si="2"/>
        <v>9.0101940151266025</v>
      </c>
      <c r="AI114" t="str" cm="1">
        <f t="array" ref="AI114">INDEX('Varie Tabelle'!$A$12:$C$22,MATCH(1,('MY-REPORT-MAIN'!AH114&gt;='Varie Tabelle'!$B$12:$B$22)*('MY-REPORT-MAIN'!AH114&lt;='Varie Tabelle'!$C$12:$C$22),0),1)</f>
        <v>Periodo-1</v>
      </c>
      <c r="AJ114" s="14">
        <f>INDEX('Partner data'!A:EC,MATCH(I_Miei_Rendiconti[[#This Row],[Column1.partnerId]],'Partner data'!DG:DG,0),MATCH('MY-REPORT-MAIN'!AI114,'Partner data'!$2:$2,0))</f>
        <v>29890</v>
      </c>
      <c r="AK114" s="10">
        <f>SUMIFS($U$2:U114,$C$2:C114,I_Miei_Rendiconti[[#This Row],[Column1.partnerId]])-AJ114</f>
        <v>-676.88999999999942</v>
      </c>
      <c r="AL114" s="16">
        <f>IFERROR(1-(I_Miei_Rendiconti[[#This Row],[Column1.totalAfterSubmitted]]/AJ114),0)</f>
        <v>0.39212746738039472</v>
      </c>
      <c r="AM114" s="14">
        <f>INDEX('Partner data'!A:EB,MATCH(I_Miei_Rendiconti[[#This Row],[Column1.partnerId]],'Partner data'!DG:DG,0),44)</f>
        <v>119170</v>
      </c>
      <c r="AN114" s="14">
        <f>SUMIFS(ListOfExpenditure!AP:AP,ListOfExpenditure!AJ:AJ,I_Miei_Rendiconti[[#This Row],[Column1.id]])</f>
        <v>0</v>
      </c>
      <c r="AO114" s="148">
        <f>SUMIFS(ReportSubmittedBL!W:W,ReportSubmittedBL!D:D,I_Miei_Rendiconti[[#This Row],[Column1.id]])</f>
        <v>16</v>
      </c>
      <c r="AP114" s="155" cm="1">
        <f t="array" ref="AP114">INDEX('Weight tables'!$A$32:$C$36,MATCH(1,('MY-REPORT-MAIN'!AO114&gt;='Weight tables'!$B$32:$B$36)*('MY-REPORT-MAIN'!AO114&lt;='Weight tables'!$C$32:$C$36),0),1)</f>
        <v>8.4</v>
      </c>
      <c r="AQ114" s="155">
        <f>INDEX('Weight tables'!$A$39:$B$41,MATCH(I_Miei_Rendiconti[[#This Row],[Previouse Report checked?yes/no]],'Weight tables'!$B$39:$B$41,0),1)</f>
        <v>8.4</v>
      </c>
      <c r="AR114" s="155" cm="1">
        <f t="array" ref="AR114">IF(I_Miei_Rendiconti[[#This Row],[Sum of errors in previous report ]]="NON PERTINENTE",0,INDEX('Weight tables'!$A$43:$C$46,MATCH(1,(I_Miei_Rendiconti[[#This Row],[Sum of errors in previous report ]]&gt;='Weight tables'!$B$43:$B$46)*(I_Miei_Rendiconti[[#This Row],[Sum of errors in previous report ]]&lt;='Weight tables'!$C$43:$C$46),0),1))</f>
        <v>0</v>
      </c>
      <c r="AS114" s="155" cm="1">
        <f t="array" ref="AS114">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14" s="155" cm="1">
        <f t="array" ref="AT114">INDEX('Weight tables'!$A$56:$C$65,MATCH(1,('MY-REPORT-MAIN'!U114&gt;='Weight tables'!$B$56:$B$65)*('MY-REPORT-MAIN'!U114&lt;='Weight tables'!$C$56:$C$65),0),1)</f>
        <v>1</v>
      </c>
      <c r="AU114" s="155" cm="1">
        <f t="array" ref="AU114">INDEX('Weight tables'!$A$68:$C$71,MATCH(1,('MY-REPORT-MAIN'!AL114&gt;='Weight tables'!$B$68:$B$71)*('MY-REPORT-MAIN'!AL114&lt;='Weight tables'!$C$68:$C$71),0),1)</f>
        <v>2</v>
      </c>
      <c r="AV114" s="155" cm="1">
        <f t="array" ref="AV114">INDEX('Weight tables'!$A$74:$C$78,MATCH(1,('MY-REPORT-MAIN'!AN114&gt;='Weight tables'!$B$74:$B$78)*('MY-REPORT-MAIN'!AN114&lt;='Weight tables'!$C$74:$C$78),0),1)</f>
        <v>0</v>
      </c>
      <c r="AW114" s="16">
        <f>IF(I_Miei_Rendiconti[[#This Row],[Column1.totalAfterSubmitted]]/AM114&gt;50%,"Checked",0)</f>
        <v>0</v>
      </c>
      <c r="AX114" s="155">
        <f t="shared" si="3"/>
        <v>19.8</v>
      </c>
      <c r="AY114" s="155" t="str">
        <f>INDEX('Partner data'!A:EB,MATCH(I_Miei_Rendiconti[[#This Row],[Column1.partnerId]],'Partner data'!DG:DG,0),92)</f>
        <v>Slovenija (SI)</v>
      </c>
    </row>
    <row r="115" spans="1:51" ht="30" x14ac:dyDescent="0.25">
      <c r="A115" s="79">
        <v>295</v>
      </c>
      <c r="B115" s="79">
        <v>75</v>
      </c>
      <c r="C115" s="79">
        <v>194</v>
      </c>
      <c r="D115" s="79" t="s">
        <v>2013</v>
      </c>
      <c r="E115" s="79" t="s">
        <v>253</v>
      </c>
      <c r="F115" s="79">
        <v>5</v>
      </c>
      <c r="G115" s="206" t="s">
        <v>354</v>
      </c>
      <c r="H115" s="79">
        <v>1</v>
      </c>
      <c r="I115" s="79" t="s">
        <v>4339</v>
      </c>
      <c r="J115" s="79" t="s">
        <v>1118</v>
      </c>
      <c r="K115" s="208">
        <v>45380.647774143516</v>
      </c>
      <c r="M115" s="208">
        <v>45456.416483796296</v>
      </c>
      <c r="N115" s="79" t="s">
        <v>4516</v>
      </c>
      <c r="O115" s="79" t="s">
        <v>4363</v>
      </c>
      <c r="P115" s="79" t="s">
        <v>4428</v>
      </c>
      <c r="Q115" s="79" t="s">
        <v>4343</v>
      </c>
      <c r="R115" s="79">
        <v>44</v>
      </c>
      <c r="S115" s="79">
        <v>1</v>
      </c>
      <c r="T115" s="81">
        <v>0</v>
      </c>
      <c r="U115" s="81">
        <v>9948.93</v>
      </c>
      <c r="V115" s="79" t="str">
        <f>INDEX(pARTNER[#All],MATCH(I_Miei_Rendiconti[[#This Row],[Column1.partnerId]],pARTNER[[#All],[Value.partnerSummary.id]],0),2)</f>
        <v>PRO-SIS</v>
      </c>
      <c r="W115" s="79" t="b">
        <v>0</v>
      </c>
      <c r="X115" s="82">
        <f>I_Miei_Rendiconti[[#This Row],[Column1.totalAfterSubmitted]]-I_Miei_Rendiconti[[#This Row],[Column1.totalEligibleAfterControl]]</f>
        <v>9948.93</v>
      </c>
      <c r="Y115" s="80">
        <f>IF(I_Miei_Rendiconti[[#This Row],[Column1.status]]="Certified",IFERROR(I_Miei_Rendiconti[[#This Row],[Financial corection]]/I_Miei_Rendiconti[[#This Row],[Column1.totalAfterSubmitted]],0),"Rendiconto da certificare")</f>
        <v>1</v>
      </c>
      <c r="Z115" s="207" t="str">
        <f>IF(I_Miei_Rendiconti[[#This Row],[Column1.status]]&lt;&gt;"Certified",INDEX('Partner data'!DG:DQ,MATCH(I_Miei_Rendiconti[[#This Row],[Column1.partnerId]],'Partner data'!DG:DG,0),13),"Rendiconto CONVALIDATO")</f>
        <v>Rendiconto CONVALIDATO</v>
      </c>
      <c r="AA115"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15" s="81" t="str">
        <f>IF(OR(I_Miei_Rendiconti[[#This Row],[N. previouse validated report ]]="Rendiconto CONVALIDATO",I_Miei_Rendiconti[[#This Row],[N. previouse validated report ]]="NON è stato convalidato ancora nessun rendiconto"),"NON PERTINENTE","fai la fromula")</f>
        <v>NON PERTINENTE</v>
      </c>
      <c r="AC115"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15" s="2">
        <f>INDEX('Partner data'!DG:DJ,MATCH(I_Miei_Rendiconti[[#This Row],[Column1.partnerId]],'Partner data'!DG:DG,0),3)</f>
        <v>1</v>
      </c>
      <c r="AE115" t="str" cm="1">
        <f t="array" ref="AE115">INDEX('Varie Tabelle'!$A$37:$C$51,MATCH(1,(I_Miei_Rendiconti[[#This Row],[Column1.firstSubmission]]&gt;='Varie Tabelle'!$B$37:$B$51)*(I_Miei_Rendiconti[[#This Row],[Column1.firstSubmission]]&lt;'Varie Tabelle'!$C$37:$C$51),0),1)</f>
        <v>Finestra 2</v>
      </c>
      <c r="AF115" s="109">
        <f>INDEX('Varie Tabelle'!$A$37:$C$51,MATCH('MY-REPORT-MAIN'!AE115,'Varie Tabelle'!$A$37:$A$51,0),2)</f>
        <v>45352</v>
      </c>
      <c r="AG115" s="109">
        <f>INDEX('Partner data'!DG:DR,MATCH(I_Miei_Rendiconti[[#This Row],[Column1.partnerId]],'Partner data'!DG:DG,0),12)</f>
        <v>45200</v>
      </c>
      <c r="AH115" s="115">
        <f t="shared" si="2"/>
        <v>4.9983558040118385</v>
      </c>
      <c r="AI115" t="str" cm="1">
        <f t="array" ref="AI115">INDEX('Varie Tabelle'!$A$12:$C$22,MATCH(1,('MY-REPORT-MAIN'!AH115&gt;='Varie Tabelle'!$B$12:$B$22)*('MY-REPORT-MAIN'!AH115&lt;='Varie Tabelle'!$C$12:$C$22),0),1)</f>
        <v>Periodo-1</v>
      </c>
      <c r="AJ115" s="14">
        <f>INDEX('Partner data'!A:EC,MATCH(I_Miei_Rendiconti[[#This Row],[Column1.partnerId]],'Partner data'!DG:DG,0),MATCH('MY-REPORT-MAIN'!AI115,'Partner data'!$2:$2,0))</f>
        <v>10003</v>
      </c>
      <c r="AK115" s="10">
        <f>SUMIFS($U$2:U115,$C$2:C115,I_Miei_Rendiconti[[#This Row],[Column1.partnerId]])-AJ115</f>
        <v>-54.069999999999709</v>
      </c>
      <c r="AL115" s="16">
        <f>IFERROR(1-(I_Miei_Rendiconti[[#This Row],[Column1.totalAfterSubmitted]]/AJ115),0)</f>
        <v>5.4053783864840277E-3</v>
      </c>
      <c r="AM115" s="14">
        <f>INDEX('Partner data'!A:EB,MATCH(I_Miei_Rendiconti[[#This Row],[Column1.partnerId]],'Partner data'!DG:DG,0),44)</f>
        <v>79996</v>
      </c>
      <c r="AN115" s="14">
        <f>SUMIFS(ListOfExpenditure!AP:AP,ListOfExpenditure!AJ:AJ,I_Miei_Rendiconti[[#This Row],[Column1.id]])</f>
        <v>0</v>
      </c>
      <c r="AO115" s="148">
        <f>SUMIFS(ReportSubmittedBL!W:W,ReportSubmittedBL!D:D,I_Miei_Rendiconti[[#This Row],[Column1.id]])</f>
        <v>8</v>
      </c>
      <c r="AP115" s="155" cm="1">
        <f t="array" ref="AP115">INDEX('Weight tables'!$A$32:$C$36,MATCH(1,('MY-REPORT-MAIN'!AO115&gt;='Weight tables'!$B$32:$B$36)*('MY-REPORT-MAIN'!AO115&lt;='Weight tables'!$C$32:$C$36),0),1)</f>
        <v>6.3</v>
      </c>
      <c r="AQ115" s="155">
        <f>INDEX('Weight tables'!$A$39:$B$41,MATCH(I_Miei_Rendiconti[[#This Row],[Previouse Report checked?yes/no]],'Weight tables'!$B$39:$B$41,0),1)</f>
        <v>8.4</v>
      </c>
      <c r="AR115" s="155" cm="1">
        <f t="array" ref="AR115">IF(I_Miei_Rendiconti[[#This Row],[Sum of errors in previous report ]]="NON PERTINENTE",0,INDEX('Weight tables'!$A$43:$C$46,MATCH(1,(I_Miei_Rendiconti[[#This Row],[Sum of errors in previous report ]]&gt;='Weight tables'!$B$43:$B$46)*(I_Miei_Rendiconti[[#This Row],[Sum of errors in previous report ]]&lt;='Weight tables'!$C$43:$C$46),0),1))</f>
        <v>0</v>
      </c>
      <c r="AS115" s="155" cm="1">
        <f t="array" ref="AS115">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15" s="155" cm="1">
        <f t="array" ref="AT115">INDEX('Weight tables'!$A$56:$C$65,MATCH(1,('MY-REPORT-MAIN'!U115&gt;='Weight tables'!$B$56:$B$65)*('MY-REPORT-MAIN'!U115&lt;='Weight tables'!$C$56:$C$65),0),1)</f>
        <v>0</v>
      </c>
      <c r="AU115" s="155" cm="1">
        <f t="array" ref="AU115">INDEX('Weight tables'!$A$68:$C$71,MATCH(1,('MY-REPORT-MAIN'!AL115&gt;='Weight tables'!$B$68:$B$71)*('MY-REPORT-MAIN'!AL115&lt;='Weight tables'!$C$68:$C$71),0),1)</f>
        <v>0</v>
      </c>
      <c r="AV115" s="155" cm="1">
        <f t="array" ref="AV115">INDEX('Weight tables'!$A$74:$C$78,MATCH(1,('MY-REPORT-MAIN'!AN115&gt;='Weight tables'!$B$74:$B$78)*('MY-REPORT-MAIN'!AN115&lt;='Weight tables'!$C$74:$C$78),0),1)</f>
        <v>0</v>
      </c>
      <c r="AW115" s="16">
        <f>IF(I_Miei_Rendiconti[[#This Row],[Column1.totalAfterSubmitted]]/AM115&gt;50%,"Checked",0)</f>
        <v>0</v>
      </c>
      <c r="AX115" s="155">
        <f t="shared" si="3"/>
        <v>14.7</v>
      </c>
      <c r="AY115" s="155" t="str">
        <f>INDEX('Partner data'!A:EB,MATCH(I_Miei_Rendiconti[[#This Row],[Column1.partnerId]],'Partner data'!DG:DG,0),92)</f>
        <v>Slovenija (SI)</v>
      </c>
    </row>
    <row r="116" spans="1:51" ht="30" x14ac:dyDescent="0.25">
      <c r="A116" s="79">
        <v>125</v>
      </c>
      <c r="B116" s="79">
        <v>36</v>
      </c>
      <c r="C116" s="79">
        <v>92</v>
      </c>
      <c r="D116" s="79" t="s">
        <v>943</v>
      </c>
      <c r="E116" s="79" t="s">
        <v>264</v>
      </c>
      <c r="F116" s="79">
        <v>1</v>
      </c>
      <c r="G116" s="206" t="s">
        <v>56</v>
      </c>
      <c r="H116" s="79">
        <v>1</v>
      </c>
      <c r="I116" s="79" t="s">
        <v>4339</v>
      </c>
      <c r="J116" s="79" t="s">
        <v>593</v>
      </c>
      <c r="K116" s="208">
        <v>45380.649596504627</v>
      </c>
      <c r="M116" s="208">
        <v>45482.357723761575</v>
      </c>
      <c r="N116" s="79" t="s">
        <v>4400</v>
      </c>
      <c r="O116" s="79" t="s">
        <v>4401</v>
      </c>
      <c r="P116" s="79" t="s">
        <v>4348</v>
      </c>
      <c r="Q116" s="79" t="s">
        <v>4343</v>
      </c>
      <c r="R116" s="79">
        <v>19</v>
      </c>
      <c r="S116" s="79">
        <v>1</v>
      </c>
      <c r="T116" s="81">
        <v>47819.35</v>
      </c>
      <c r="U116" s="81">
        <v>47819.35</v>
      </c>
      <c r="V116" s="79" t="str">
        <f>INDEX(pARTNER[#All],MATCH(I_Miei_Rendiconti[[#This Row],[Column1.partnerId]],pARTNER[[#All],[Value.partnerSummary.id]],0),2)</f>
        <v>E-NAT2CARE</v>
      </c>
      <c r="W116" s="79" t="b">
        <v>0</v>
      </c>
      <c r="X116" s="82">
        <f>I_Miei_Rendiconti[[#This Row],[Column1.totalAfterSubmitted]]-I_Miei_Rendiconti[[#This Row],[Column1.totalEligibleAfterControl]]</f>
        <v>0</v>
      </c>
      <c r="Y116" s="80">
        <f>IF(I_Miei_Rendiconti[[#This Row],[Column1.status]]="Certified",IFERROR(I_Miei_Rendiconti[[#This Row],[Financial corection]]/I_Miei_Rendiconti[[#This Row],[Column1.totalAfterSubmitted]],0),"Rendiconto da certificare")</f>
        <v>0</v>
      </c>
      <c r="Z116" s="207" t="str">
        <f>IF(I_Miei_Rendiconti[[#This Row],[Column1.status]]&lt;&gt;"Certified",INDEX('Partner data'!DG:DQ,MATCH(I_Miei_Rendiconti[[#This Row],[Column1.partnerId]],'Partner data'!DG:DG,0),13),"Rendiconto CONVALIDATO")</f>
        <v>Rendiconto CONVALIDATO</v>
      </c>
      <c r="AA116"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16" s="81" t="str">
        <f>IF(OR(I_Miei_Rendiconti[[#This Row],[N. previouse validated report ]]="Rendiconto CONVALIDATO",I_Miei_Rendiconti[[#This Row],[N. previouse validated report ]]="NON è stato convalidato ancora nessun rendiconto"),"NON PERTINENTE","fai la fromula")</f>
        <v>NON PERTINENTE</v>
      </c>
      <c r="AC116"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16" s="2">
        <f>INDEX('Partner data'!DG:DJ,MATCH(I_Miei_Rendiconti[[#This Row],[Column1.partnerId]],'Partner data'!DG:DG,0),3)</f>
        <v>1</v>
      </c>
      <c r="AE116" t="str" cm="1">
        <f t="array" ref="AE116">INDEX('Varie Tabelle'!$A$37:$C$51,MATCH(1,(I_Miei_Rendiconti[[#This Row],[Column1.firstSubmission]]&gt;='Varie Tabelle'!$B$37:$B$51)*(I_Miei_Rendiconti[[#This Row],[Column1.firstSubmission]]&lt;'Varie Tabelle'!$C$37:$C$51),0),1)</f>
        <v>Finestra 2</v>
      </c>
      <c r="AF116" s="109">
        <f>INDEX('Varie Tabelle'!$A$37:$C$51,MATCH('MY-REPORT-MAIN'!AE116,'Varie Tabelle'!$A$37:$A$51,0),2)</f>
        <v>45352</v>
      </c>
      <c r="AG116" s="109">
        <f>INDEX('Partner data'!DG:DR,MATCH(I_Miei_Rendiconti[[#This Row],[Column1.partnerId]],'Partner data'!DG:DG,0),12)</f>
        <v>45170</v>
      </c>
      <c r="AH116" s="115">
        <f t="shared" si="2"/>
        <v>5.9848733969089114</v>
      </c>
      <c r="AI116" t="str" cm="1">
        <f t="array" ref="AI116">INDEX('Varie Tabelle'!$A$12:$C$22,MATCH(1,('MY-REPORT-MAIN'!AH116&gt;='Varie Tabelle'!$B$12:$B$22)*('MY-REPORT-MAIN'!AH116&lt;='Varie Tabelle'!$C$12:$C$22),0),1)</f>
        <v>Periodo-1</v>
      </c>
      <c r="AJ116" s="14">
        <f>INDEX('Partner data'!A:EC,MATCH(I_Miei_Rendiconti[[#This Row],[Column1.partnerId]],'Partner data'!DG:DG,0),MATCH('MY-REPORT-MAIN'!AI116,'Partner data'!$2:$2,0))</f>
        <v>54579.14</v>
      </c>
      <c r="AK116" s="10">
        <f>SUMIFS($U$2:U116,$C$2:C116,I_Miei_Rendiconti[[#This Row],[Column1.partnerId]])-AJ116</f>
        <v>-6759.7900000000009</v>
      </c>
      <c r="AL116" s="16">
        <f>IFERROR(1-(I_Miei_Rendiconti[[#This Row],[Column1.totalAfterSubmitted]]/AJ116),0)</f>
        <v>0.12385299585152865</v>
      </c>
      <c r="AM116" s="14">
        <f>INDEX('Partner data'!A:EB,MATCH(I_Miei_Rendiconti[[#This Row],[Column1.partnerId]],'Partner data'!DG:DG,0),44)</f>
        <v>191315.47</v>
      </c>
      <c r="AN116" s="14">
        <f>SUMIFS(ListOfExpenditure!AP:AP,ListOfExpenditure!AJ:AJ,I_Miei_Rendiconti[[#This Row],[Column1.id]])</f>
        <v>0</v>
      </c>
      <c r="AO116" s="148">
        <f>SUMIFS(ReportSubmittedBL!W:W,ReportSubmittedBL!D:D,I_Miei_Rendiconti[[#This Row],[Column1.id]])</f>
        <v>8</v>
      </c>
      <c r="AP116" s="155" cm="1">
        <f t="array" ref="AP116">INDEX('Weight tables'!$A$32:$C$36,MATCH(1,('MY-REPORT-MAIN'!AO116&gt;='Weight tables'!$B$32:$B$36)*('MY-REPORT-MAIN'!AO116&lt;='Weight tables'!$C$32:$C$36),0),1)</f>
        <v>6.3</v>
      </c>
      <c r="AQ116" s="155">
        <f>INDEX('Weight tables'!$A$39:$B$41,MATCH(I_Miei_Rendiconti[[#This Row],[Previouse Report checked?yes/no]],'Weight tables'!$B$39:$B$41,0),1)</f>
        <v>8.4</v>
      </c>
      <c r="AR116" s="155" cm="1">
        <f t="array" ref="AR116">IF(I_Miei_Rendiconti[[#This Row],[Sum of errors in previous report ]]="NON PERTINENTE",0,INDEX('Weight tables'!$A$43:$C$46,MATCH(1,(I_Miei_Rendiconti[[#This Row],[Sum of errors in previous report ]]&gt;='Weight tables'!$B$43:$B$46)*(I_Miei_Rendiconti[[#This Row],[Sum of errors in previous report ]]&lt;='Weight tables'!$C$43:$C$46),0),1))</f>
        <v>0</v>
      </c>
      <c r="AS116" s="155" cm="1">
        <f t="array" ref="AS116">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16" s="155" cm="1">
        <f t="array" ref="AT116">INDEX('Weight tables'!$A$56:$C$65,MATCH(1,('MY-REPORT-MAIN'!U116&gt;='Weight tables'!$B$56:$B$65)*('MY-REPORT-MAIN'!U116&lt;='Weight tables'!$C$56:$C$65),0),1)</f>
        <v>4</v>
      </c>
      <c r="AU116" s="155" cm="1">
        <f t="array" ref="AU116">INDEX('Weight tables'!$A$68:$C$71,MATCH(1,('MY-REPORT-MAIN'!AL116&gt;='Weight tables'!$B$68:$B$71)*('MY-REPORT-MAIN'!AL116&lt;='Weight tables'!$C$68:$C$71),0),1)</f>
        <v>1</v>
      </c>
      <c r="AV116" s="155" cm="1">
        <f t="array" ref="AV116">INDEX('Weight tables'!$A$74:$C$78,MATCH(1,('MY-REPORT-MAIN'!AN116&gt;='Weight tables'!$B$74:$B$78)*('MY-REPORT-MAIN'!AN116&lt;='Weight tables'!$C$74:$C$78),0),1)</f>
        <v>0</v>
      </c>
      <c r="AW116" s="16">
        <f>IF(I_Miei_Rendiconti[[#This Row],[Column1.totalAfterSubmitted]]/AM116&gt;50%,"Checked",0)</f>
        <v>0</v>
      </c>
      <c r="AX116" s="155">
        <f t="shared" si="3"/>
        <v>19.7</v>
      </c>
      <c r="AY116" s="155" t="str">
        <f>INDEX('Partner data'!A:EB,MATCH(I_Miei_Rendiconti[[#This Row],[Column1.partnerId]],'Partner data'!DG:DG,0),92)</f>
        <v>Slovenija (SI)</v>
      </c>
    </row>
    <row r="117" spans="1:51" ht="30" x14ac:dyDescent="0.25">
      <c r="A117" s="79">
        <v>270</v>
      </c>
      <c r="B117" s="79">
        <v>84</v>
      </c>
      <c r="C117" s="79">
        <v>264</v>
      </c>
      <c r="D117" s="79" t="s">
        <v>2214</v>
      </c>
      <c r="E117" s="79" t="s">
        <v>253</v>
      </c>
      <c r="F117" s="79">
        <v>4</v>
      </c>
      <c r="G117" s="206" t="s">
        <v>369</v>
      </c>
      <c r="H117" s="79">
        <v>1</v>
      </c>
      <c r="I117" s="79" t="s">
        <v>4339</v>
      </c>
      <c r="J117" s="79" t="s">
        <v>490</v>
      </c>
      <c r="K117" s="208">
        <v>45380.652767870371</v>
      </c>
      <c r="M117" s="208">
        <v>45470.665502777774</v>
      </c>
      <c r="N117" s="79" t="s">
        <v>4498</v>
      </c>
      <c r="O117" s="79" t="s">
        <v>4347</v>
      </c>
      <c r="P117" s="79" t="s">
        <v>4348</v>
      </c>
      <c r="Q117" s="79" t="s">
        <v>4343</v>
      </c>
      <c r="R117" s="79">
        <v>34</v>
      </c>
      <c r="S117" s="79">
        <v>1</v>
      </c>
      <c r="T117" s="81">
        <v>9889.6</v>
      </c>
      <c r="U117" s="81">
        <v>9889.6</v>
      </c>
      <c r="V117" s="79" t="str">
        <f>INDEX(pARTNER[#All],MATCH(I_Miei_Rendiconti[[#This Row],[Column1.partnerId]],pARTNER[[#All],[Value.partnerSummary.id]],0),2)</f>
        <v>CONCERTO</v>
      </c>
      <c r="W117" s="79" t="b">
        <v>0</v>
      </c>
      <c r="X117" s="82">
        <f>I_Miei_Rendiconti[[#This Row],[Column1.totalAfterSubmitted]]-I_Miei_Rendiconti[[#This Row],[Column1.totalEligibleAfterControl]]</f>
        <v>0</v>
      </c>
      <c r="Y117" s="80">
        <f>IF(I_Miei_Rendiconti[[#This Row],[Column1.status]]="Certified",IFERROR(I_Miei_Rendiconti[[#This Row],[Financial corection]]/I_Miei_Rendiconti[[#This Row],[Column1.totalAfterSubmitted]],0),"Rendiconto da certificare")</f>
        <v>0</v>
      </c>
      <c r="Z117" s="207" t="str">
        <f>IF(I_Miei_Rendiconti[[#This Row],[Column1.status]]&lt;&gt;"Certified",INDEX('Partner data'!DG:DQ,MATCH(I_Miei_Rendiconti[[#This Row],[Column1.partnerId]],'Partner data'!DG:DG,0),13),"Rendiconto CONVALIDATO")</f>
        <v>Rendiconto CONVALIDATO</v>
      </c>
      <c r="AA117"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17" s="81" t="str">
        <f>IF(OR(I_Miei_Rendiconti[[#This Row],[N. previouse validated report ]]="Rendiconto CONVALIDATO",I_Miei_Rendiconti[[#This Row],[N. previouse validated report ]]="NON è stato convalidato ancora nessun rendiconto"),"NON PERTINENTE","fai la fromula")</f>
        <v>NON PERTINENTE</v>
      </c>
      <c r="AC117"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17" s="2">
        <f>INDEX('Partner data'!DG:DJ,MATCH(I_Miei_Rendiconti[[#This Row],[Column1.partnerId]],'Partner data'!DG:DG,0),3)</f>
        <v>1</v>
      </c>
      <c r="AE117" t="str" cm="1">
        <f t="array" ref="AE117">INDEX('Varie Tabelle'!$A$37:$C$51,MATCH(1,(I_Miei_Rendiconti[[#This Row],[Column1.firstSubmission]]&gt;='Varie Tabelle'!$B$37:$B$51)*(I_Miei_Rendiconti[[#This Row],[Column1.firstSubmission]]&lt;'Varie Tabelle'!$C$37:$C$51),0),1)</f>
        <v>Finestra 2</v>
      </c>
      <c r="AF117" s="109">
        <f>INDEX('Varie Tabelle'!$A$37:$C$51,MATCH('MY-REPORT-MAIN'!AE117,'Varie Tabelle'!$A$37:$A$51,0),2)</f>
        <v>45352</v>
      </c>
      <c r="AG117" s="109">
        <f>INDEX('Partner data'!DG:DR,MATCH(I_Miei_Rendiconti[[#This Row],[Column1.partnerId]],'Partner data'!DG:DG,0),12)</f>
        <v>45170</v>
      </c>
      <c r="AH117" s="115">
        <f t="shared" si="2"/>
        <v>5.9848733969089114</v>
      </c>
      <c r="AI117" t="str" cm="1">
        <f t="array" ref="AI117">INDEX('Varie Tabelle'!$A$12:$C$22,MATCH(1,('MY-REPORT-MAIN'!AH117&gt;='Varie Tabelle'!$B$12:$B$22)*('MY-REPORT-MAIN'!AH117&lt;='Varie Tabelle'!$C$12:$C$22),0),1)</f>
        <v>Periodo-1</v>
      </c>
      <c r="AJ117" s="14">
        <f>INDEX('Partner data'!A:EC,MATCH(I_Miei_Rendiconti[[#This Row],[Column1.partnerId]],'Partner data'!DG:DG,0),MATCH('MY-REPORT-MAIN'!AI117,'Partner data'!$2:$2,0))</f>
        <v>19696.68</v>
      </c>
      <c r="AK117" s="10">
        <f>SUMIFS($U$2:U117,$C$2:C117,I_Miei_Rendiconti[[#This Row],[Column1.partnerId]])-AJ117</f>
        <v>-9807.08</v>
      </c>
      <c r="AL117" s="16">
        <f>IFERROR(1-(I_Miei_Rendiconti[[#This Row],[Column1.totalAfterSubmitted]]/AJ117),0)</f>
        <v>0.49790523072923965</v>
      </c>
      <c r="AM117" s="14">
        <f>INDEX('Partner data'!A:EB,MATCH(I_Miei_Rendiconti[[#This Row],[Column1.partnerId]],'Partner data'!DG:DG,0),44)</f>
        <v>78786.73</v>
      </c>
      <c r="AN117" s="14">
        <f>SUMIFS(ListOfExpenditure!AP:AP,ListOfExpenditure!AJ:AJ,I_Miei_Rendiconti[[#This Row],[Column1.id]])</f>
        <v>0</v>
      </c>
      <c r="AO117" s="148">
        <f>SUMIFS(ReportSubmittedBL!W:W,ReportSubmittedBL!D:D,I_Miei_Rendiconti[[#This Row],[Column1.id]])</f>
        <v>6</v>
      </c>
      <c r="AP117" s="155" cm="1">
        <f t="array" ref="AP117">INDEX('Weight tables'!$A$32:$C$36,MATCH(1,('MY-REPORT-MAIN'!AO117&gt;='Weight tables'!$B$32:$B$36)*('MY-REPORT-MAIN'!AO117&lt;='Weight tables'!$C$32:$C$36),0),1)</f>
        <v>4.2</v>
      </c>
      <c r="AQ117" s="155">
        <f>INDEX('Weight tables'!$A$39:$B$41,MATCH(I_Miei_Rendiconti[[#This Row],[Previouse Report checked?yes/no]],'Weight tables'!$B$39:$B$41,0),1)</f>
        <v>8.4</v>
      </c>
      <c r="AR117" s="155" cm="1">
        <f t="array" ref="AR117">IF(I_Miei_Rendiconti[[#This Row],[Sum of errors in previous report ]]="NON PERTINENTE",0,INDEX('Weight tables'!$A$43:$C$46,MATCH(1,(I_Miei_Rendiconti[[#This Row],[Sum of errors in previous report ]]&gt;='Weight tables'!$B$43:$B$46)*(I_Miei_Rendiconti[[#This Row],[Sum of errors in previous report ]]&lt;='Weight tables'!$C$43:$C$46),0),1))</f>
        <v>0</v>
      </c>
      <c r="AS117" s="155" cm="1">
        <f t="array" ref="AS117">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17" s="155" cm="1">
        <f t="array" ref="AT117">INDEX('Weight tables'!$A$56:$C$65,MATCH(1,('MY-REPORT-MAIN'!U117&gt;='Weight tables'!$B$56:$B$65)*('MY-REPORT-MAIN'!U117&lt;='Weight tables'!$C$56:$C$65),0),1)</f>
        <v>0</v>
      </c>
      <c r="AU117" s="155" cm="1">
        <f t="array" ref="AU117">INDEX('Weight tables'!$A$68:$C$71,MATCH(1,('MY-REPORT-MAIN'!AL117&gt;='Weight tables'!$B$68:$B$71)*('MY-REPORT-MAIN'!AL117&lt;='Weight tables'!$C$68:$C$71),0),1)</f>
        <v>2</v>
      </c>
      <c r="AV117" s="155" cm="1">
        <f t="array" ref="AV117">INDEX('Weight tables'!$A$74:$C$78,MATCH(1,('MY-REPORT-MAIN'!AN117&gt;='Weight tables'!$B$74:$B$78)*('MY-REPORT-MAIN'!AN117&lt;='Weight tables'!$C$74:$C$78),0),1)</f>
        <v>0</v>
      </c>
      <c r="AW117" s="16">
        <f>IF(I_Miei_Rendiconti[[#This Row],[Column1.totalAfterSubmitted]]/AM117&gt;50%,"Checked",0)</f>
        <v>0</v>
      </c>
      <c r="AX117" s="155">
        <f t="shared" si="3"/>
        <v>14.600000000000001</v>
      </c>
      <c r="AY117" s="155" t="str">
        <f>INDEX('Partner data'!A:EB,MATCH(I_Miei_Rendiconti[[#This Row],[Column1.partnerId]],'Partner data'!DG:DG,0),92)</f>
        <v>Italia (IT)</v>
      </c>
    </row>
    <row r="118" spans="1:51" ht="30" x14ac:dyDescent="0.25">
      <c r="A118" s="79">
        <v>246</v>
      </c>
      <c r="B118" s="79">
        <v>30</v>
      </c>
      <c r="C118" s="79">
        <v>229</v>
      </c>
      <c r="D118" s="79" t="s">
        <v>764</v>
      </c>
      <c r="E118" s="79" t="s">
        <v>253</v>
      </c>
      <c r="F118" s="79">
        <v>4</v>
      </c>
      <c r="G118" s="206" t="s">
        <v>272</v>
      </c>
      <c r="H118" s="79">
        <v>1</v>
      </c>
      <c r="I118" s="79" t="s">
        <v>4339</v>
      </c>
      <c r="J118" s="79" t="s">
        <v>490</v>
      </c>
      <c r="K118" s="208">
        <v>45380.726112187498</v>
      </c>
      <c r="M118" s="208">
        <v>45470.734866423612</v>
      </c>
      <c r="N118" s="79" t="s">
        <v>4479</v>
      </c>
      <c r="O118" s="79" t="s">
        <v>4444</v>
      </c>
      <c r="P118" s="79" t="s">
        <v>4348</v>
      </c>
      <c r="Q118" s="79" t="s">
        <v>4343</v>
      </c>
      <c r="R118" s="79">
        <v>14</v>
      </c>
      <c r="S118" s="79">
        <v>1</v>
      </c>
      <c r="T118" s="81">
        <v>41448.5</v>
      </c>
      <c r="U118" s="81">
        <v>41448.5</v>
      </c>
      <c r="V118" s="79" t="str">
        <f>INDEX(pARTNER[#All],MATCH(I_Miei_Rendiconti[[#This Row],[Column1.partnerId]],pARTNER[[#All],[Value.partnerSummary.id]],0),2)</f>
        <v>MEDS GARDEN+</v>
      </c>
      <c r="W118" s="79" t="b">
        <v>0</v>
      </c>
      <c r="X118" s="82">
        <f>I_Miei_Rendiconti[[#This Row],[Column1.totalAfterSubmitted]]-I_Miei_Rendiconti[[#This Row],[Column1.totalEligibleAfterControl]]</f>
        <v>0</v>
      </c>
      <c r="Y118" s="80">
        <f>IF(I_Miei_Rendiconti[[#This Row],[Column1.status]]="Certified",IFERROR(I_Miei_Rendiconti[[#This Row],[Financial corection]]/I_Miei_Rendiconti[[#This Row],[Column1.totalAfterSubmitted]],0),"Rendiconto da certificare")</f>
        <v>0</v>
      </c>
      <c r="Z118" s="207" t="str">
        <f>IF(I_Miei_Rendiconti[[#This Row],[Column1.status]]&lt;&gt;"Certified",INDEX('Partner data'!DG:DQ,MATCH(I_Miei_Rendiconti[[#This Row],[Column1.partnerId]],'Partner data'!DG:DG,0),13),"Rendiconto CONVALIDATO")</f>
        <v>Rendiconto CONVALIDATO</v>
      </c>
      <c r="AA118"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18" s="81" t="str">
        <f>IF(OR(I_Miei_Rendiconti[[#This Row],[N. previouse validated report ]]="Rendiconto CONVALIDATO",I_Miei_Rendiconti[[#This Row],[N. previouse validated report ]]="NON è stato convalidato ancora nessun rendiconto"),"NON PERTINENTE","fai la fromula")</f>
        <v>NON PERTINENTE</v>
      </c>
      <c r="AC118"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18" s="2">
        <f>INDEX('Partner data'!DG:DJ,MATCH(I_Miei_Rendiconti[[#This Row],[Column1.partnerId]],'Partner data'!DG:DG,0),3)</f>
        <v>1</v>
      </c>
      <c r="AE118" t="str" cm="1">
        <f t="array" ref="AE118">INDEX('Varie Tabelle'!$A$37:$C$51,MATCH(1,(I_Miei_Rendiconti[[#This Row],[Column1.firstSubmission]]&gt;='Varie Tabelle'!$B$37:$B$51)*(I_Miei_Rendiconti[[#This Row],[Column1.firstSubmission]]&lt;'Varie Tabelle'!$C$37:$C$51),0),1)</f>
        <v>Finestra 2</v>
      </c>
      <c r="AF118" s="109">
        <f>INDEX('Varie Tabelle'!$A$37:$C$51,MATCH('MY-REPORT-MAIN'!AE118,'Varie Tabelle'!$A$37:$A$51,0),2)</f>
        <v>45352</v>
      </c>
      <c r="AG118" s="109">
        <f>INDEX('Partner data'!DG:DR,MATCH(I_Miei_Rendiconti[[#This Row],[Column1.partnerId]],'Partner data'!DG:DG,0),12)</f>
        <v>45184</v>
      </c>
      <c r="AH118" s="115">
        <f t="shared" si="2"/>
        <v>5.5244985202236103</v>
      </c>
      <c r="AI118" t="str" cm="1">
        <f t="array" ref="AI118">INDEX('Varie Tabelle'!$A$12:$C$22,MATCH(1,('MY-REPORT-MAIN'!AH118&gt;='Varie Tabelle'!$B$12:$B$22)*('MY-REPORT-MAIN'!AH118&lt;='Varie Tabelle'!$C$12:$C$22),0),1)</f>
        <v>Periodo-1</v>
      </c>
      <c r="AJ118" s="14">
        <f>INDEX('Partner data'!A:EC,MATCH(I_Miei_Rendiconti[[#This Row],[Column1.partnerId]],'Partner data'!DG:DG,0),MATCH('MY-REPORT-MAIN'!AI118,'Partner data'!$2:$2,0))</f>
        <v>14118.15</v>
      </c>
      <c r="AK118" s="10">
        <f>SUMIFS($U$2:U118,$C$2:C118,I_Miei_Rendiconti[[#This Row],[Column1.partnerId]])-AJ118</f>
        <v>27330.35</v>
      </c>
      <c r="AL118" s="16">
        <f>IFERROR(1-(I_Miei_Rendiconti[[#This Row],[Column1.totalAfterSubmitted]]/AJ118),0)</f>
        <v>-1.93583082769343</v>
      </c>
      <c r="AM118" s="14">
        <f>INDEX('Partner data'!A:EB,MATCH(I_Miei_Rendiconti[[#This Row],[Column1.partnerId]],'Partner data'!DG:DG,0),44)</f>
        <v>132787.88</v>
      </c>
      <c r="AN118" s="14">
        <f>SUMIFS(ListOfExpenditure!AP:AP,ListOfExpenditure!AJ:AJ,I_Miei_Rendiconti[[#This Row],[Column1.id]])</f>
        <v>0</v>
      </c>
      <c r="AO118" s="148">
        <f>SUMIFS(ReportSubmittedBL!W:W,ReportSubmittedBL!D:D,I_Miei_Rendiconti[[#This Row],[Column1.id]])</f>
        <v>12</v>
      </c>
      <c r="AP118" s="155" cm="1">
        <f t="array" ref="AP118">INDEX('Weight tables'!$A$32:$C$36,MATCH(1,('MY-REPORT-MAIN'!AO118&gt;='Weight tables'!$B$32:$B$36)*('MY-REPORT-MAIN'!AO118&lt;='Weight tables'!$C$32:$C$36),0),1)</f>
        <v>8.4</v>
      </c>
      <c r="AQ118" s="155">
        <f>INDEX('Weight tables'!$A$39:$B$41,MATCH(I_Miei_Rendiconti[[#This Row],[Previouse Report checked?yes/no]],'Weight tables'!$B$39:$B$41,0),1)</f>
        <v>8.4</v>
      </c>
      <c r="AR118" s="155" cm="1">
        <f t="array" ref="AR118">IF(I_Miei_Rendiconti[[#This Row],[Sum of errors in previous report ]]="NON PERTINENTE",0,INDEX('Weight tables'!$A$43:$C$46,MATCH(1,(I_Miei_Rendiconti[[#This Row],[Sum of errors in previous report ]]&gt;='Weight tables'!$B$43:$B$46)*(I_Miei_Rendiconti[[#This Row],[Sum of errors in previous report ]]&lt;='Weight tables'!$C$43:$C$46),0),1))</f>
        <v>0</v>
      </c>
      <c r="AS118" s="155" cm="1">
        <f t="array" ref="AS118">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18" s="155" cm="1">
        <f t="array" ref="AT118">INDEX('Weight tables'!$A$56:$C$65,MATCH(1,('MY-REPORT-MAIN'!U118&gt;='Weight tables'!$B$56:$B$65)*('MY-REPORT-MAIN'!U118&lt;='Weight tables'!$C$56:$C$65),0),1)</f>
        <v>4</v>
      </c>
      <c r="AU118" s="155" cm="1">
        <f t="array" ref="AU118">INDEX('Weight tables'!$A$68:$C$71,MATCH(1,('MY-REPORT-MAIN'!AL118&gt;='Weight tables'!$B$68:$B$71)*('MY-REPORT-MAIN'!AL118&lt;='Weight tables'!$C$68:$C$71),0),1)</f>
        <v>0</v>
      </c>
      <c r="AV118" s="155" cm="1">
        <f t="array" ref="AV118">INDEX('Weight tables'!$A$74:$C$78,MATCH(1,('MY-REPORT-MAIN'!AN118&gt;='Weight tables'!$B$74:$B$78)*('MY-REPORT-MAIN'!AN118&lt;='Weight tables'!$C$74:$C$78),0),1)</f>
        <v>0</v>
      </c>
      <c r="AW118" s="16">
        <f>IF(I_Miei_Rendiconti[[#This Row],[Column1.totalAfterSubmitted]]/AM118&gt;50%,"Checked",0)</f>
        <v>0</v>
      </c>
      <c r="AX118" s="155">
        <f t="shared" si="3"/>
        <v>20.8</v>
      </c>
      <c r="AY118" s="155" t="str">
        <f>INDEX('Partner data'!A:EB,MATCH(I_Miei_Rendiconti[[#This Row],[Column1.partnerId]],'Partner data'!DG:DG,0),92)</f>
        <v>Italia (IT)</v>
      </c>
    </row>
    <row r="119" spans="1:51" ht="30" x14ac:dyDescent="0.25">
      <c r="A119" s="79">
        <v>315</v>
      </c>
      <c r="B119" s="79">
        <v>76</v>
      </c>
      <c r="C119" s="79">
        <v>161</v>
      </c>
      <c r="D119" s="79" t="s">
        <v>2087</v>
      </c>
      <c r="E119" s="79" t="s">
        <v>253</v>
      </c>
      <c r="F119" s="79">
        <v>2</v>
      </c>
      <c r="G119" s="206" t="s">
        <v>359</v>
      </c>
      <c r="H119" s="79">
        <v>1</v>
      </c>
      <c r="I119" s="79" t="s">
        <v>4339</v>
      </c>
      <c r="J119" s="79" t="s">
        <v>1118</v>
      </c>
      <c r="K119" s="208">
        <v>45380.729249039352</v>
      </c>
      <c r="M119" s="208">
        <v>45477.699232569445</v>
      </c>
      <c r="N119" s="79" t="s">
        <v>4529</v>
      </c>
      <c r="O119" s="79" t="s">
        <v>4347</v>
      </c>
      <c r="P119" s="79" t="s">
        <v>4348</v>
      </c>
      <c r="Q119" s="79" t="s">
        <v>4343</v>
      </c>
      <c r="R119" s="79">
        <v>40</v>
      </c>
      <c r="S119" s="79">
        <v>1</v>
      </c>
      <c r="T119" s="81">
        <v>2235</v>
      </c>
      <c r="U119" s="81">
        <v>17006.39</v>
      </c>
      <c r="V119" s="79" t="str">
        <f>INDEX(pARTNER[#All],MATCH(I_Miei_Rendiconti[[#This Row],[Column1.partnerId]],pARTNER[[#All],[Value.partnerSummary.id]],0),2)</f>
        <v>BEE2GETHER</v>
      </c>
      <c r="W119" s="79" t="b">
        <v>0</v>
      </c>
      <c r="X119" s="82">
        <f>I_Miei_Rendiconti[[#This Row],[Column1.totalAfterSubmitted]]-I_Miei_Rendiconti[[#This Row],[Column1.totalEligibleAfterControl]]</f>
        <v>14771.39</v>
      </c>
      <c r="Y119" s="80">
        <f>IF(I_Miei_Rendiconti[[#This Row],[Column1.status]]="Certified",IFERROR(I_Miei_Rendiconti[[#This Row],[Financial corection]]/I_Miei_Rendiconti[[#This Row],[Column1.totalAfterSubmitted]],0),"Rendiconto da certificare")</f>
        <v>0.86857881067057729</v>
      </c>
      <c r="Z119" s="207" t="str">
        <f>IF(I_Miei_Rendiconti[[#This Row],[Column1.status]]&lt;&gt;"Certified",INDEX('Partner data'!DG:DQ,MATCH(I_Miei_Rendiconti[[#This Row],[Column1.partnerId]],'Partner data'!DG:DG,0),13),"Rendiconto CONVALIDATO")</f>
        <v>Rendiconto CONVALIDATO</v>
      </c>
      <c r="AA119"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19" s="81" t="str">
        <f>IF(OR(I_Miei_Rendiconti[[#This Row],[N. previouse validated report ]]="Rendiconto CONVALIDATO",I_Miei_Rendiconti[[#This Row],[N. previouse validated report ]]="NON è stato convalidato ancora nessun rendiconto"),"NON PERTINENTE","fai la fromula")</f>
        <v>NON PERTINENTE</v>
      </c>
      <c r="AC119"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19" s="2">
        <f>INDEX('Partner data'!DG:DJ,MATCH(I_Miei_Rendiconti[[#This Row],[Column1.partnerId]],'Partner data'!DG:DG,0),3)</f>
        <v>1</v>
      </c>
      <c r="AE119" t="str" cm="1">
        <f t="array" ref="AE119">INDEX('Varie Tabelle'!$A$37:$C$51,MATCH(1,(I_Miei_Rendiconti[[#This Row],[Column1.firstSubmission]]&gt;='Varie Tabelle'!$B$37:$B$51)*(I_Miei_Rendiconti[[#This Row],[Column1.firstSubmission]]&lt;'Varie Tabelle'!$C$37:$C$51),0),1)</f>
        <v>Finestra 2</v>
      </c>
      <c r="AF119" s="109">
        <f>INDEX('Varie Tabelle'!$A$37:$C$51,MATCH('MY-REPORT-MAIN'!AE119,'Varie Tabelle'!$A$37:$A$51,0),2)</f>
        <v>45352</v>
      </c>
      <c r="AG119" s="109">
        <f>INDEX('Partner data'!DG:DR,MATCH(I_Miei_Rendiconti[[#This Row],[Column1.partnerId]],'Partner data'!DG:DG,0),12)</f>
        <v>45170</v>
      </c>
      <c r="AH119" s="115">
        <f t="shared" si="2"/>
        <v>5.9848733969089114</v>
      </c>
      <c r="AI119" t="str" cm="1">
        <f t="array" ref="AI119">INDEX('Varie Tabelle'!$A$12:$C$22,MATCH(1,('MY-REPORT-MAIN'!AH119&gt;='Varie Tabelle'!$B$12:$B$22)*('MY-REPORT-MAIN'!AH119&lt;='Varie Tabelle'!$C$12:$C$22),0),1)</f>
        <v>Periodo-1</v>
      </c>
      <c r="AJ119" s="14">
        <f>INDEX('Partner data'!A:EC,MATCH(I_Miei_Rendiconti[[#This Row],[Column1.partnerId]],'Partner data'!DG:DG,0),MATCH('MY-REPORT-MAIN'!AI119,'Partner data'!$2:$2,0))</f>
        <v>35063.370000000003</v>
      </c>
      <c r="AK119" s="10">
        <f>SUMIFS($U$2:U119,$C$2:C119,I_Miei_Rendiconti[[#This Row],[Column1.partnerId]])-AJ119</f>
        <v>-18056.980000000003</v>
      </c>
      <c r="AL119" s="16">
        <f>IFERROR(1-(I_Miei_Rendiconti[[#This Row],[Column1.totalAfterSubmitted]]/AJ119),0)</f>
        <v>0.51498130385071383</v>
      </c>
      <c r="AM119" s="14">
        <f>INDEX('Partner data'!A:EB,MATCH(I_Miei_Rendiconti[[#This Row],[Column1.partnerId]],'Partner data'!DG:DG,0),44)</f>
        <v>158512.79999999999</v>
      </c>
      <c r="AN119" s="14">
        <f>SUMIFS(ListOfExpenditure!AP:AP,ListOfExpenditure!AJ:AJ,I_Miei_Rendiconti[[#This Row],[Column1.id]])</f>
        <v>0</v>
      </c>
      <c r="AO119" s="148">
        <f>SUMIFS(ReportSubmittedBL!W:W,ReportSubmittedBL!D:D,I_Miei_Rendiconti[[#This Row],[Column1.id]])</f>
        <v>16</v>
      </c>
      <c r="AP119" s="155" cm="1">
        <f t="array" ref="AP119">INDEX('Weight tables'!$A$32:$C$36,MATCH(1,('MY-REPORT-MAIN'!AO119&gt;='Weight tables'!$B$32:$B$36)*('MY-REPORT-MAIN'!AO119&lt;='Weight tables'!$C$32:$C$36),0),1)</f>
        <v>8.4</v>
      </c>
      <c r="AQ119" s="155">
        <f>INDEX('Weight tables'!$A$39:$B$41,MATCH(I_Miei_Rendiconti[[#This Row],[Previouse Report checked?yes/no]],'Weight tables'!$B$39:$B$41,0),1)</f>
        <v>8.4</v>
      </c>
      <c r="AR119" s="155" cm="1">
        <f t="array" ref="AR119">IF(I_Miei_Rendiconti[[#This Row],[Sum of errors in previous report ]]="NON PERTINENTE",0,INDEX('Weight tables'!$A$43:$C$46,MATCH(1,(I_Miei_Rendiconti[[#This Row],[Sum of errors in previous report ]]&gt;='Weight tables'!$B$43:$B$46)*(I_Miei_Rendiconti[[#This Row],[Sum of errors in previous report ]]&lt;='Weight tables'!$C$43:$C$46),0),1))</f>
        <v>0</v>
      </c>
      <c r="AS119" s="155" cm="1">
        <f t="array" ref="AS119">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19" s="155" cm="1">
        <f t="array" ref="AT119">INDEX('Weight tables'!$A$56:$C$65,MATCH(1,('MY-REPORT-MAIN'!U119&gt;='Weight tables'!$B$56:$B$65)*('MY-REPORT-MAIN'!U119&lt;='Weight tables'!$C$56:$C$65),0),1)</f>
        <v>1</v>
      </c>
      <c r="AU119" s="155" cm="1">
        <f t="array" ref="AU119">INDEX('Weight tables'!$A$68:$C$71,MATCH(1,('MY-REPORT-MAIN'!AL119&gt;='Weight tables'!$B$68:$B$71)*('MY-REPORT-MAIN'!AL119&lt;='Weight tables'!$C$68:$C$71),0),1)</f>
        <v>2</v>
      </c>
      <c r="AV119" s="155" cm="1">
        <f t="array" ref="AV119">INDEX('Weight tables'!$A$74:$C$78,MATCH(1,('MY-REPORT-MAIN'!AN119&gt;='Weight tables'!$B$74:$B$78)*('MY-REPORT-MAIN'!AN119&lt;='Weight tables'!$C$74:$C$78),0),1)</f>
        <v>0</v>
      </c>
      <c r="AW119" s="16">
        <f>IF(I_Miei_Rendiconti[[#This Row],[Column1.totalAfterSubmitted]]/AM119&gt;50%,"Checked",0)</f>
        <v>0</v>
      </c>
      <c r="AX119" s="155">
        <f t="shared" si="3"/>
        <v>19.8</v>
      </c>
      <c r="AY119" s="155" t="str">
        <f>INDEX('Partner data'!A:EB,MATCH(I_Miei_Rendiconti[[#This Row],[Column1.partnerId]],'Partner data'!DG:DG,0),92)</f>
        <v>Italia (IT)</v>
      </c>
    </row>
    <row r="120" spans="1:51" ht="30" x14ac:dyDescent="0.25">
      <c r="A120" s="79">
        <v>324</v>
      </c>
      <c r="B120" s="79">
        <v>92</v>
      </c>
      <c r="C120" s="79">
        <v>326</v>
      </c>
      <c r="D120" s="79" t="s">
        <v>2433</v>
      </c>
      <c r="E120" s="79" t="s">
        <v>253</v>
      </c>
      <c r="F120" s="79">
        <v>12</v>
      </c>
      <c r="G120" s="206" t="s">
        <v>44</v>
      </c>
      <c r="H120" s="79">
        <v>3</v>
      </c>
      <c r="I120" s="79" t="s">
        <v>4339</v>
      </c>
      <c r="J120" s="79" t="s">
        <v>2435</v>
      </c>
      <c r="K120" s="208">
        <v>45381.856543483795</v>
      </c>
      <c r="M120" s="208">
        <v>45470.662414270832</v>
      </c>
      <c r="N120" s="79" t="s">
        <v>4535</v>
      </c>
      <c r="O120" s="79" t="s">
        <v>4363</v>
      </c>
      <c r="P120" s="79" t="s">
        <v>4348</v>
      </c>
      <c r="Q120" s="79" t="s">
        <v>4343</v>
      </c>
      <c r="R120" s="79">
        <v>41</v>
      </c>
      <c r="S120" s="79">
        <v>2</v>
      </c>
      <c r="T120" s="81">
        <v>21223.14</v>
      </c>
      <c r="U120" s="81">
        <v>21223.14</v>
      </c>
      <c r="V120" s="79" t="str">
        <f>INDEX(pARTNER[#All],MATCH(I_Miei_Rendiconti[[#This Row],[Column1.partnerId]],pARTNER[[#All],[Value.partnerSummary.id]],0),2)</f>
        <v>KRAS-CARSO II</v>
      </c>
      <c r="W120" s="79" t="b">
        <v>0</v>
      </c>
      <c r="X120" s="82">
        <f>I_Miei_Rendiconti[[#This Row],[Column1.totalAfterSubmitted]]-I_Miei_Rendiconti[[#This Row],[Column1.totalEligibleAfterControl]]</f>
        <v>0</v>
      </c>
      <c r="Y120" s="80">
        <f>IF(I_Miei_Rendiconti[[#This Row],[Column1.status]]="Certified",IFERROR(I_Miei_Rendiconti[[#This Row],[Financial corection]]/I_Miei_Rendiconti[[#This Row],[Column1.totalAfterSubmitted]],0),"Rendiconto da certificare")</f>
        <v>0</v>
      </c>
      <c r="Z120" s="207" t="str">
        <f>IF(I_Miei_Rendiconti[[#This Row],[Column1.status]]&lt;&gt;"Certified",INDEX('Partner data'!DG:DQ,MATCH(I_Miei_Rendiconti[[#This Row],[Column1.partnerId]],'Partner data'!DG:DG,0),13),"Rendiconto CONVALIDATO")</f>
        <v>Rendiconto CONVALIDATO</v>
      </c>
      <c r="AA120"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20" s="81" t="str">
        <f>IF(OR(I_Miei_Rendiconti[[#This Row],[N. previouse validated report ]]="Rendiconto CONVALIDATO",I_Miei_Rendiconti[[#This Row],[N. previouse validated report ]]="NON è stato convalidato ancora nessun rendiconto"),"NON PERTINENTE","fai la fromula")</f>
        <v>NON PERTINENTE</v>
      </c>
      <c r="AC120"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20" s="2">
        <f>INDEX('Partner data'!DG:DJ,MATCH(I_Miei_Rendiconti[[#This Row],[Column1.partnerId]],'Partner data'!DG:DG,0),3)</f>
        <v>2</v>
      </c>
      <c r="AE120" t="str" cm="1">
        <f t="array" ref="AE120">INDEX('Varie Tabelle'!$A$37:$C$51,MATCH(1,(I_Miei_Rendiconti[[#This Row],[Column1.firstSubmission]]&gt;='Varie Tabelle'!$B$37:$B$51)*(I_Miei_Rendiconti[[#This Row],[Column1.firstSubmission]]&lt;'Varie Tabelle'!$C$37:$C$51),0),1)</f>
        <v>Finestra 2</v>
      </c>
      <c r="AF120" s="109">
        <f>INDEX('Varie Tabelle'!$A$37:$C$51,MATCH('MY-REPORT-MAIN'!AE120,'Varie Tabelle'!$A$37:$A$51,0),2)</f>
        <v>45352</v>
      </c>
      <c r="AG120" s="109">
        <f>INDEX('Partner data'!DG:DR,MATCH(I_Miei_Rendiconti[[#This Row],[Column1.partnerId]],'Partner data'!DG:DG,0),12)</f>
        <v>44927</v>
      </c>
      <c r="AH120" s="115">
        <f t="shared" si="2"/>
        <v>13.975665899375205</v>
      </c>
      <c r="AI120" t="str" cm="1">
        <f t="array" ref="AI120">INDEX('Varie Tabelle'!$A$12:$C$22,MATCH(1,('MY-REPORT-MAIN'!AH120&gt;='Varie Tabelle'!$B$12:$B$22)*('MY-REPORT-MAIN'!AH120&lt;='Varie Tabelle'!$C$12:$C$22),0),1)</f>
        <v>Periodo-2</v>
      </c>
      <c r="AJ120" s="14">
        <f>INDEX('Partner data'!A:EC,MATCH(I_Miei_Rendiconti[[#This Row],[Column1.partnerId]],'Partner data'!DG:DG,0),MATCH('MY-REPORT-MAIN'!AI120,'Partner data'!$2:$2,0))</f>
        <v>17972.18</v>
      </c>
      <c r="AK120" s="10">
        <f>SUMIFS($U$2:U120,$C$2:C120,I_Miei_Rendiconti[[#This Row],[Column1.partnerId]])-AJ120</f>
        <v>21292.620000000003</v>
      </c>
      <c r="AL120" s="16">
        <f>IFERROR(1-(I_Miei_Rendiconti[[#This Row],[Column1.totalAfterSubmitted]]/AJ120),0)</f>
        <v>-0.180888462056356</v>
      </c>
      <c r="AM120" s="14">
        <f>INDEX('Partner data'!A:EB,MATCH(I_Miei_Rendiconti[[#This Row],[Column1.partnerId]],'Partner data'!DG:DG,0),44)</f>
        <v>180003.75</v>
      </c>
      <c r="AN120" s="14">
        <f>SUMIFS(ListOfExpenditure!AP:AP,ListOfExpenditure!AJ:AJ,I_Miei_Rendiconti[[#This Row],[Column1.id]])</f>
        <v>0</v>
      </c>
      <c r="AO120" s="148">
        <f>SUMIFS(ReportSubmittedBL!W:W,ReportSubmittedBL!D:D,I_Miei_Rendiconti[[#This Row],[Column1.id]])</f>
        <v>8</v>
      </c>
      <c r="AP120" s="155" cm="1">
        <f t="array" ref="AP120">INDEX('Weight tables'!$A$32:$C$36,MATCH(1,('MY-REPORT-MAIN'!AO120&gt;='Weight tables'!$B$32:$B$36)*('MY-REPORT-MAIN'!AO120&lt;='Weight tables'!$C$32:$C$36),0),1)</f>
        <v>6.3</v>
      </c>
      <c r="AQ120" s="155">
        <f>INDEX('Weight tables'!$A$39:$B$41,MATCH(I_Miei_Rendiconti[[#This Row],[Previouse Report checked?yes/no]],'Weight tables'!$B$39:$B$41,0),1)</f>
        <v>8.4</v>
      </c>
      <c r="AR120" s="155" cm="1">
        <f t="array" ref="AR120">IF(I_Miei_Rendiconti[[#This Row],[Sum of errors in previous report ]]="NON PERTINENTE",0,INDEX('Weight tables'!$A$43:$C$46,MATCH(1,(I_Miei_Rendiconti[[#This Row],[Sum of errors in previous report ]]&gt;='Weight tables'!$B$43:$B$46)*(I_Miei_Rendiconti[[#This Row],[Sum of errors in previous report ]]&lt;='Weight tables'!$C$43:$C$46),0),1))</f>
        <v>0</v>
      </c>
      <c r="AS120" s="155" cm="1">
        <f t="array" ref="AS120">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20" s="155" cm="1">
        <f t="array" ref="AT120">INDEX('Weight tables'!$A$56:$C$65,MATCH(1,('MY-REPORT-MAIN'!U120&gt;='Weight tables'!$B$56:$B$65)*('MY-REPORT-MAIN'!U120&lt;='Weight tables'!$C$56:$C$65),0),1)</f>
        <v>2</v>
      </c>
      <c r="AU120" s="155" cm="1">
        <f t="array" ref="AU120">INDEX('Weight tables'!$A$68:$C$71,MATCH(1,('MY-REPORT-MAIN'!AL120&gt;='Weight tables'!$B$68:$B$71)*('MY-REPORT-MAIN'!AL120&lt;='Weight tables'!$C$68:$C$71),0),1)</f>
        <v>0</v>
      </c>
      <c r="AV120" s="155" cm="1">
        <f t="array" ref="AV120">INDEX('Weight tables'!$A$74:$C$78,MATCH(1,('MY-REPORT-MAIN'!AN120&gt;='Weight tables'!$B$74:$B$78)*('MY-REPORT-MAIN'!AN120&lt;='Weight tables'!$C$74:$C$78),0),1)</f>
        <v>0</v>
      </c>
      <c r="AW120" s="16">
        <f>IF(I_Miei_Rendiconti[[#This Row],[Column1.totalAfterSubmitted]]/AM120&gt;50%,"Checked",0)</f>
        <v>0</v>
      </c>
      <c r="AX120" s="155">
        <f t="shared" si="3"/>
        <v>16.7</v>
      </c>
      <c r="AY120" s="155" t="str">
        <f>INDEX('Partner data'!A:EB,MATCH(I_Miei_Rendiconti[[#This Row],[Column1.partnerId]],'Partner data'!DG:DG,0),92)</f>
        <v>Italia (IT)</v>
      </c>
    </row>
    <row r="121" spans="1:51" ht="30" x14ac:dyDescent="0.25">
      <c r="A121" s="79">
        <v>265</v>
      </c>
      <c r="B121" s="79">
        <v>84</v>
      </c>
      <c r="C121" s="79">
        <v>263</v>
      </c>
      <c r="D121" s="79" t="s">
        <v>2214</v>
      </c>
      <c r="E121" s="79" t="s">
        <v>253</v>
      </c>
      <c r="F121" s="79">
        <v>3</v>
      </c>
      <c r="G121" s="206" t="s">
        <v>366</v>
      </c>
      <c r="H121" s="79">
        <v>1</v>
      </c>
      <c r="I121" s="79" t="s">
        <v>4339</v>
      </c>
      <c r="J121" s="79" t="s">
        <v>490</v>
      </c>
      <c r="K121" s="208">
        <v>45382.563478310185</v>
      </c>
      <c r="M121" s="208">
        <v>45463.390307743059</v>
      </c>
      <c r="N121" s="79" t="s">
        <v>4494</v>
      </c>
      <c r="O121" s="79" t="s">
        <v>4347</v>
      </c>
      <c r="P121" s="79" t="s">
        <v>4348</v>
      </c>
      <c r="Q121" s="79" t="s">
        <v>4343</v>
      </c>
      <c r="R121" s="79">
        <v>34</v>
      </c>
      <c r="S121" s="79">
        <v>1</v>
      </c>
      <c r="T121" s="81">
        <v>16668.41</v>
      </c>
      <c r="U121" s="81">
        <v>19075.89</v>
      </c>
      <c r="V121" s="79" t="str">
        <f>INDEX(pARTNER[#All],MATCH(I_Miei_Rendiconti[[#This Row],[Column1.partnerId]],pARTNER[[#All],[Value.partnerSummary.id]],0),2)</f>
        <v>CONCERTO</v>
      </c>
      <c r="W121" s="79" t="b">
        <v>0</v>
      </c>
      <c r="X121" s="82">
        <f>I_Miei_Rendiconti[[#This Row],[Column1.totalAfterSubmitted]]-I_Miei_Rendiconti[[#This Row],[Column1.totalEligibleAfterControl]]</f>
        <v>2407.4799999999996</v>
      </c>
      <c r="Y121" s="80">
        <f>IF(I_Miei_Rendiconti[[#This Row],[Column1.status]]="Certified",IFERROR(I_Miei_Rendiconti[[#This Row],[Financial corection]]/I_Miei_Rendiconti[[#This Row],[Column1.totalAfterSubmitted]],0),"Rendiconto da certificare")</f>
        <v>0.12620538281569035</v>
      </c>
      <c r="Z121" s="207" t="str">
        <f>IF(I_Miei_Rendiconti[[#This Row],[Column1.status]]&lt;&gt;"Certified",INDEX('Partner data'!DG:DQ,MATCH(I_Miei_Rendiconti[[#This Row],[Column1.partnerId]],'Partner data'!DG:DG,0),13),"Rendiconto CONVALIDATO")</f>
        <v>Rendiconto CONVALIDATO</v>
      </c>
      <c r="AA121"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21" s="81" t="str">
        <f>IF(OR(I_Miei_Rendiconti[[#This Row],[N. previouse validated report ]]="Rendiconto CONVALIDATO",I_Miei_Rendiconti[[#This Row],[N. previouse validated report ]]="NON è stato convalidato ancora nessun rendiconto"),"NON PERTINENTE","fai la fromula")</f>
        <v>NON PERTINENTE</v>
      </c>
      <c r="AC121"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21" s="2">
        <f>INDEX('Partner data'!DG:DJ,MATCH(I_Miei_Rendiconti[[#This Row],[Column1.partnerId]],'Partner data'!DG:DG,0),3)</f>
        <v>1</v>
      </c>
      <c r="AE121" t="str" cm="1">
        <f t="array" ref="AE121">INDEX('Varie Tabelle'!$A$37:$C$51,MATCH(1,(I_Miei_Rendiconti[[#This Row],[Column1.firstSubmission]]&gt;='Varie Tabelle'!$B$37:$B$51)*(I_Miei_Rendiconti[[#This Row],[Column1.firstSubmission]]&lt;'Varie Tabelle'!$C$37:$C$51),0),1)</f>
        <v>Finestra 2</v>
      </c>
      <c r="AF121" s="109">
        <f>INDEX('Varie Tabelle'!$A$37:$C$51,MATCH('MY-REPORT-MAIN'!AE121,'Varie Tabelle'!$A$37:$A$51,0),2)</f>
        <v>45352</v>
      </c>
      <c r="AG121" s="109">
        <f>INDEX('Partner data'!DG:DR,MATCH(I_Miei_Rendiconti[[#This Row],[Column1.partnerId]],'Partner data'!DG:DG,0),12)</f>
        <v>45170</v>
      </c>
      <c r="AH121" s="115">
        <f t="shared" si="2"/>
        <v>5.9848733969089114</v>
      </c>
      <c r="AI121" t="str" cm="1">
        <f t="array" ref="AI121">INDEX('Varie Tabelle'!$A$12:$C$22,MATCH(1,('MY-REPORT-MAIN'!AH121&gt;='Varie Tabelle'!$B$12:$B$22)*('MY-REPORT-MAIN'!AH121&lt;='Varie Tabelle'!$C$12:$C$22),0),1)</f>
        <v>Periodo-1</v>
      </c>
      <c r="AJ121" s="14">
        <f>INDEX('Partner data'!A:EC,MATCH(I_Miei_Rendiconti[[#This Row],[Column1.partnerId]],'Partner data'!DG:DG,0),MATCH('MY-REPORT-MAIN'!AI121,'Partner data'!$2:$2,0))</f>
        <v>20069.7</v>
      </c>
      <c r="AK121" s="10">
        <f>SUMIFS($U$2:U121,$C$2:C121,I_Miei_Rendiconti[[#This Row],[Column1.partnerId]])-AJ121</f>
        <v>-993.81000000000131</v>
      </c>
      <c r="AL121" s="16">
        <f>IFERROR(1-(I_Miei_Rendiconti[[#This Row],[Column1.totalAfterSubmitted]]/AJ121),0)</f>
        <v>4.951793001390159E-2</v>
      </c>
      <c r="AM121" s="14">
        <f>INDEX('Partner data'!A:EB,MATCH(I_Miei_Rendiconti[[#This Row],[Column1.partnerId]],'Partner data'!DG:DG,0),44)</f>
        <v>80278.8</v>
      </c>
      <c r="AN121" s="14">
        <f>SUMIFS(ListOfExpenditure!AP:AP,ListOfExpenditure!AJ:AJ,I_Miei_Rendiconti[[#This Row],[Column1.id]])</f>
        <v>0</v>
      </c>
      <c r="AO121" s="148">
        <f>SUMIFS(ReportSubmittedBL!W:W,ReportSubmittedBL!D:D,I_Miei_Rendiconti[[#This Row],[Column1.id]])</f>
        <v>8</v>
      </c>
      <c r="AP121" s="155" cm="1">
        <f t="array" ref="AP121">INDEX('Weight tables'!$A$32:$C$36,MATCH(1,('MY-REPORT-MAIN'!AO121&gt;='Weight tables'!$B$32:$B$36)*('MY-REPORT-MAIN'!AO121&lt;='Weight tables'!$C$32:$C$36),0),1)</f>
        <v>6.3</v>
      </c>
      <c r="AQ121" s="155">
        <f>INDEX('Weight tables'!$A$39:$B$41,MATCH(I_Miei_Rendiconti[[#This Row],[Previouse Report checked?yes/no]],'Weight tables'!$B$39:$B$41,0),1)</f>
        <v>8.4</v>
      </c>
      <c r="AR121" s="155" cm="1">
        <f t="array" ref="AR121">IF(I_Miei_Rendiconti[[#This Row],[Sum of errors in previous report ]]="NON PERTINENTE",0,INDEX('Weight tables'!$A$43:$C$46,MATCH(1,(I_Miei_Rendiconti[[#This Row],[Sum of errors in previous report ]]&gt;='Weight tables'!$B$43:$B$46)*(I_Miei_Rendiconti[[#This Row],[Sum of errors in previous report ]]&lt;='Weight tables'!$C$43:$C$46),0),1))</f>
        <v>0</v>
      </c>
      <c r="AS121" s="155" cm="1">
        <f t="array" ref="AS121">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21" s="155" cm="1">
        <f t="array" ref="AT121">INDEX('Weight tables'!$A$56:$C$65,MATCH(1,('MY-REPORT-MAIN'!U121&gt;='Weight tables'!$B$56:$B$65)*('MY-REPORT-MAIN'!U121&lt;='Weight tables'!$C$56:$C$65),0),1)</f>
        <v>1</v>
      </c>
      <c r="AU121" s="155" cm="1">
        <f t="array" ref="AU121">INDEX('Weight tables'!$A$68:$C$71,MATCH(1,('MY-REPORT-MAIN'!AL121&gt;='Weight tables'!$B$68:$B$71)*('MY-REPORT-MAIN'!AL121&lt;='Weight tables'!$C$68:$C$71),0),1)</f>
        <v>0</v>
      </c>
      <c r="AV121" s="155" cm="1">
        <f t="array" ref="AV121">INDEX('Weight tables'!$A$74:$C$78,MATCH(1,('MY-REPORT-MAIN'!AN121&gt;='Weight tables'!$B$74:$B$78)*('MY-REPORT-MAIN'!AN121&lt;='Weight tables'!$C$74:$C$78),0),1)</f>
        <v>0</v>
      </c>
      <c r="AW121" s="16">
        <f>IF(I_Miei_Rendiconti[[#This Row],[Column1.totalAfterSubmitted]]/AM121&gt;50%,"Checked",0)</f>
        <v>0</v>
      </c>
      <c r="AX121" s="155">
        <f t="shared" si="3"/>
        <v>15.7</v>
      </c>
      <c r="AY121" s="155" t="str">
        <f>INDEX('Partner data'!A:EB,MATCH(I_Miei_Rendiconti[[#This Row],[Column1.partnerId]],'Partner data'!DG:DG,0),92)</f>
        <v>Slovenija (SI)</v>
      </c>
    </row>
    <row r="122" spans="1:51" ht="30" x14ac:dyDescent="0.25">
      <c r="A122" s="79">
        <v>218</v>
      </c>
      <c r="B122" s="79">
        <v>91</v>
      </c>
      <c r="C122" s="79">
        <v>312</v>
      </c>
      <c r="D122" s="79" t="s">
        <v>2561</v>
      </c>
      <c r="E122" s="79" t="s">
        <v>253</v>
      </c>
      <c r="F122" s="79">
        <v>10</v>
      </c>
      <c r="G122" s="206" t="s">
        <v>29</v>
      </c>
      <c r="H122" s="79">
        <v>2</v>
      </c>
      <c r="I122" s="79" t="s">
        <v>4339</v>
      </c>
      <c r="J122" s="79" t="s">
        <v>2563</v>
      </c>
      <c r="K122" s="208">
        <v>45384.435038645832</v>
      </c>
      <c r="M122" s="208">
        <v>45474.415912222219</v>
      </c>
      <c r="N122" s="79" t="s">
        <v>4458</v>
      </c>
      <c r="O122" s="79" t="s">
        <v>4363</v>
      </c>
      <c r="P122" s="79" t="s">
        <v>4348</v>
      </c>
      <c r="Q122" s="79" t="s">
        <v>4343</v>
      </c>
      <c r="R122" s="79">
        <v>36</v>
      </c>
      <c r="S122" s="79">
        <v>2</v>
      </c>
      <c r="T122" s="81">
        <v>39887.370000000003</v>
      </c>
      <c r="U122" s="81">
        <v>39980.620000000003</v>
      </c>
      <c r="V122" s="79" t="str">
        <f>INDEX(pARTNER[#All],MATCH(I_Miei_Rendiconti[[#This Row],[Column1.partnerId]],pARTNER[[#All],[Value.partnerSummary.id]],0),2)</f>
        <v>POSEIDONE</v>
      </c>
      <c r="W122" s="79" t="b">
        <v>0</v>
      </c>
      <c r="X122" s="82">
        <f>I_Miei_Rendiconti[[#This Row],[Column1.totalAfterSubmitted]]-I_Miei_Rendiconti[[#This Row],[Column1.totalEligibleAfterControl]]</f>
        <v>93.25</v>
      </c>
      <c r="Y122" s="80">
        <f>IF(I_Miei_Rendiconti[[#This Row],[Column1.status]]="Certified",IFERROR(I_Miei_Rendiconti[[#This Row],[Financial corection]]/I_Miei_Rendiconti[[#This Row],[Column1.totalAfterSubmitted]],0),"Rendiconto da certificare")</f>
        <v>2.3323800381284733E-3</v>
      </c>
      <c r="Z122" s="207" t="str">
        <f>IF(I_Miei_Rendiconti[[#This Row],[Column1.status]]&lt;&gt;"Certified",INDEX('Partner data'!DG:DQ,MATCH(I_Miei_Rendiconti[[#This Row],[Column1.partnerId]],'Partner data'!DG:DG,0),13),"Rendiconto CONVALIDATO")</f>
        <v>Rendiconto CONVALIDATO</v>
      </c>
      <c r="AA122"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22" s="81" t="str">
        <f>IF(OR(I_Miei_Rendiconti[[#This Row],[N. previouse validated report ]]="Rendiconto CONVALIDATO",I_Miei_Rendiconti[[#This Row],[N. previouse validated report ]]="NON è stato convalidato ancora nessun rendiconto"),"NON PERTINENTE","fai la fromula")</f>
        <v>NON PERTINENTE</v>
      </c>
      <c r="AC122"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22" s="2">
        <f>INDEX('Partner data'!DG:DJ,MATCH(I_Miei_Rendiconti[[#This Row],[Column1.partnerId]],'Partner data'!DG:DG,0),3)</f>
        <v>2</v>
      </c>
      <c r="AE122" t="str" cm="1">
        <f t="array" ref="AE122">INDEX('Varie Tabelle'!$A$37:$C$51,MATCH(1,(I_Miei_Rendiconti[[#This Row],[Column1.firstSubmission]]&gt;='Varie Tabelle'!$B$37:$B$51)*(I_Miei_Rendiconti[[#This Row],[Column1.firstSubmission]]&lt;'Varie Tabelle'!$C$37:$C$51),0),1)</f>
        <v>Finestra 2</v>
      </c>
      <c r="AF122" s="109">
        <f>INDEX('Varie Tabelle'!$A$37:$C$51,MATCH('MY-REPORT-MAIN'!AE122,'Varie Tabelle'!$A$37:$A$51,0),2)</f>
        <v>45352</v>
      </c>
      <c r="AG122" s="109">
        <f>INDEX('Partner data'!DG:DR,MATCH(I_Miei_Rendiconti[[#This Row],[Column1.partnerId]],'Partner data'!DG:DG,0),12)</f>
        <v>44927</v>
      </c>
      <c r="AH122" s="115">
        <f t="shared" si="2"/>
        <v>13.975665899375205</v>
      </c>
      <c r="AI122" t="str" cm="1">
        <f t="array" ref="AI122">INDEX('Varie Tabelle'!$A$12:$C$22,MATCH(1,('MY-REPORT-MAIN'!AH122&gt;='Varie Tabelle'!$B$12:$B$22)*('MY-REPORT-MAIN'!AH122&lt;='Varie Tabelle'!$C$12:$C$22),0),1)</f>
        <v>Periodo-2</v>
      </c>
      <c r="AJ122" s="14">
        <f>INDEX('Partner data'!A:EC,MATCH(I_Miei_Rendiconti[[#This Row],[Column1.partnerId]],'Partner data'!DG:DG,0),MATCH('MY-REPORT-MAIN'!AI122,'Partner data'!$2:$2,0))</f>
        <v>142696</v>
      </c>
      <c r="AK122" s="10">
        <f>SUMIFS($U$2:U122,$C$2:C122,I_Miei_Rendiconti[[#This Row],[Column1.partnerId]])-AJ122</f>
        <v>-74352.069999999992</v>
      </c>
      <c r="AL122" s="16">
        <f>IFERROR(1-(I_Miei_Rendiconti[[#This Row],[Column1.totalAfterSubmitted]]/AJ122),0)</f>
        <v>0.71981961652744286</v>
      </c>
      <c r="AM122" s="14">
        <f>INDEX('Partner data'!A:EB,MATCH(I_Miei_Rendiconti[[#This Row],[Column1.partnerId]],'Partner data'!DG:DG,0),44)</f>
        <v>312088</v>
      </c>
      <c r="AN122" s="14">
        <f>SUMIFS(ListOfExpenditure!AP:AP,ListOfExpenditure!AJ:AJ,I_Miei_Rendiconti[[#This Row],[Column1.id]])</f>
        <v>0</v>
      </c>
      <c r="AO122" s="148">
        <f>SUMIFS(ReportSubmittedBL!W:W,ReportSubmittedBL!D:D,I_Miei_Rendiconti[[#This Row],[Column1.id]])</f>
        <v>12</v>
      </c>
      <c r="AP122" s="155" cm="1">
        <f t="array" ref="AP122">INDEX('Weight tables'!$A$32:$C$36,MATCH(1,('MY-REPORT-MAIN'!AO122&gt;='Weight tables'!$B$32:$B$36)*('MY-REPORT-MAIN'!AO122&lt;='Weight tables'!$C$32:$C$36),0),1)</f>
        <v>8.4</v>
      </c>
      <c r="AQ122" s="155">
        <f>INDEX('Weight tables'!$A$39:$B$41,MATCH(I_Miei_Rendiconti[[#This Row],[Previouse Report checked?yes/no]],'Weight tables'!$B$39:$B$41,0),1)</f>
        <v>8.4</v>
      </c>
      <c r="AR122" s="155" cm="1">
        <f t="array" ref="AR122">IF(I_Miei_Rendiconti[[#This Row],[Sum of errors in previous report ]]="NON PERTINENTE",0,INDEX('Weight tables'!$A$43:$C$46,MATCH(1,(I_Miei_Rendiconti[[#This Row],[Sum of errors in previous report ]]&gt;='Weight tables'!$B$43:$B$46)*(I_Miei_Rendiconti[[#This Row],[Sum of errors in previous report ]]&lt;='Weight tables'!$C$43:$C$46),0),1))</f>
        <v>0</v>
      </c>
      <c r="AS122" s="155" cm="1">
        <f t="array" ref="AS122">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22" s="155" cm="1">
        <f t="array" ref="AT122">INDEX('Weight tables'!$A$56:$C$65,MATCH(1,('MY-REPORT-MAIN'!U122&gt;='Weight tables'!$B$56:$B$65)*('MY-REPORT-MAIN'!U122&lt;='Weight tables'!$C$56:$C$65),0),1)</f>
        <v>3</v>
      </c>
      <c r="AU122" s="155" cm="1">
        <f t="array" ref="AU122">INDEX('Weight tables'!$A$68:$C$71,MATCH(1,('MY-REPORT-MAIN'!AL122&gt;='Weight tables'!$B$68:$B$71)*('MY-REPORT-MAIN'!AL122&lt;='Weight tables'!$C$68:$C$71),0),1)</f>
        <v>2</v>
      </c>
      <c r="AV122" s="155" cm="1">
        <f t="array" ref="AV122">INDEX('Weight tables'!$A$74:$C$78,MATCH(1,('MY-REPORT-MAIN'!AN122&gt;='Weight tables'!$B$74:$B$78)*('MY-REPORT-MAIN'!AN122&lt;='Weight tables'!$C$74:$C$78),0),1)</f>
        <v>0</v>
      </c>
      <c r="AW122" s="16">
        <f>IF(I_Miei_Rendiconti[[#This Row],[Column1.totalAfterSubmitted]]/AM122&gt;50%,"Checked",0)</f>
        <v>0</v>
      </c>
      <c r="AX122" s="155">
        <f t="shared" si="3"/>
        <v>21.8</v>
      </c>
      <c r="AY122" s="155" t="str">
        <f>INDEX('Partner data'!A:EB,MATCH(I_Miei_Rendiconti[[#This Row],[Column1.partnerId]],'Partner data'!DG:DG,0),92)</f>
        <v>Slovenija (SI)</v>
      </c>
    </row>
    <row r="123" spans="1:51" ht="30" x14ac:dyDescent="0.25">
      <c r="A123" s="79">
        <v>262</v>
      </c>
      <c r="B123" s="79">
        <v>45</v>
      </c>
      <c r="C123" s="79">
        <v>52</v>
      </c>
      <c r="D123" s="79" t="s">
        <v>1197</v>
      </c>
      <c r="E123" s="79" t="s">
        <v>264</v>
      </c>
      <c r="F123" s="79">
        <v>1</v>
      </c>
      <c r="G123" s="206" t="s">
        <v>275</v>
      </c>
      <c r="H123" s="79">
        <v>1</v>
      </c>
      <c r="I123" s="79" t="s">
        <v>4339</v>
      </c>
      <c r="J123" s="79" t="s">
        <v>490</v>
      </c>
      <c r="K123" s="208">
        <v>45384.641346886572</v>
      </c>
      <c r="M123" s="208">
        <v>45461.382607789354</v>
      </c>
      <c r="N123" s="79" t="s">
        <v>4491</v>
      </c>
      <c r="O123" s="79" t="s">
        <v>4345</v>
      </c>
      <c r="P123" s="79" t="s">
        <v>4348</v>
      </c>
      <c r="Q123" s="79" t="s">
        <v>4343</v>
      </c>
      <c r="R123" s="79">
        <v>38</v>
      </c>
      <c r="S123" s="79">
        <v>1</v>
      </c>
      <c r="T123" s="81">
        <v>0</v>
      </c>
      <c r="U123" s="81">
        <v>9000</v>
      </c>
      <c r="V123" s="79" t="str">
        <f>INDEX(pARTNER[#All],MATCH(I_Miei_Rendiconti[[#This Row],[Column1.partnerId]],pARTNER[[#All],[Value.partnerSummary.id]],0),2)</f>
        <v>GRENNAT</v>
      </c>
      <c r="W123" s="79" t="b">
        <v>0</v>
      </c>
      <c r="X123" s="82">
        <f>I_Miei_Rendiconti[[#This Row],[Column1.totalAfterSubmitted]]-I_Miei_Rendiconti[[#This Row],[Column1.totalEligibleAfterControl]]</f>
        <v>9000</v>
      </c>
      <c r="Y123" s="80">
        <f>IF(I_Miei_Rendiconti[[#This Row],[Column1.status]]="Certified",IFERROR(I_Miei_Rendiconti[[#This Row],[Financial corection]]/I_Miei_Rendiconti[[#This Row],[Column1.totalAfterSubmitted]],0),"Rendiconto da certificare")</f>
        <v>1</v>
      </c>
      <c r="Z123" s="207" t="str">
        <f>IF(I_Miei_Rendiconti[[#This Row],[Column1.status]]&lt;&gt;"Certified",INDEX('Partner data'!DG:DQ,MATCH(I_Miei_Rendiconti[[#This Row],[Column1.partnerId]],'Partner data'!DG:DG,0),13),"Rendiconto CONVALIDATO")</f>
        <v>Rendiconto CONVALIDATO</v>
      </c>
      <c r="AA123"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23" s="81" t="str">
        <f>IF(OR(I_Miei_Rendiconti[[#This Row],[N. previouse validated report ]]="Rendiconto CONVALIDATO",I_Miei_Rendiconti[[#This Row],[N. previouse validated report ]]="NON è stato convalidato ancora nessun rendiconto"),"NON PERTINENTE","fai la fromula")</f>
        <v>NON PERTINENTE</v>
      </c>
      <c r="AC123"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23" s="2">
        <f>INDEX('Partner data'!DG:DJ,MATCH(I_Miei_Rendiconti[[#This Row],[Column1.partnerId]],'Partner data'!DG:DG,0),3)</f>
        <v>1</v>
      </c>
      <c r="AE123" t="str" cm="1">
        <f t="array" ref="AE123">INDEX('Varie Tabelle'!$A$37:$C$51,MATCH(1,(I_Miei_Rendiconti[[#This Row],[Column1.firstSubmission]]&gt;='Varie Tabelle'!$B$37:$B$51)*(I_Miei_Rendiconti[[#This Row],[Column1.firstSubmission]]&lt;'Varie Tabelle'!$C$37:$C$51),0),1)</f>
        <v>Finestra 2</v>
      </c>
      <c r="AF123" s="109">
        <f>INDEX('Varie Tabelle'!$A$37:$C$51,MATCH('MY-REPORT-MAIN'!AE123,'Varie Tabelle'!$A$37:$A$51,0),2)</f>
        <v>45352</v>
      </c>
      <c r="AG123" s="109">
        <f>INDEX('Partner data'!DG:DR,MATCH(I_Miei_Rendiconti[[#This Row],[Column1.partnerId]],'Partner data'!DG:DG,0),12)</f>
        <v>45108</v>
      </c>
      <c r="AH123" s="115">
        <f t="shared" si="2"/>
        <v>8.0236764222295296</v>
      </c>
      <c r="AI123" t="str" cm="1">
        <f t="array" ref="AI123">INDEX('Varie Tabelle'!$A$12:$C$22,MATCH(1,('MY-REPORT-MAIN'!AH123&gt;='Varie Tabelle'!$B$12:$B$22)*('MY-REPORT-MAIN'!AH123&lt;='Varie Tabelle'!$C$12:$C$22),0),1)</f>
        <v>Periodo-1</v>
      </c>
      <c r="AJ123" s="14">
        <f>INDEX('Partner data'!A:EC,MATCH(I_Miei_Rendiconti[[#This Row],[Column1.partnerId]],'Partner data'!DG:DG,0),MATCH('MY-REPORT-MAIN'!AI123,'Partner data'!$2:$2,0))</f>
        <v>10238</v>
      </c>
      <c r="AK123" s="10">
        <f>SUMIFS($U$2:U123,$C$2:C123,I_Miei_Rendiconti[[#This Row],[Column1.partnerId]])-AJ123</f>
        <v>-1238</v>
      </c>
      <c r="AL123" s="16">
        <f>IFERROR(1-(I_Miei_Rendiconti[[#This Row],[Column1.totalAfterSubmitted]]/AJ123),0)</f>
        <v>0.12092205508888454</v>
      </c>
      <c r="AM123" s="14">
        <f>INDEX('Partner data'!A:EB,MATCH(I_Miei_Rendiconti[[#This Row],[Column1.partnerId]],'Partner data'!DG:DG,0),44)</f>
        <v>161397.79999999999</v>
      </c>
      <c r="AN123" s="14">
        <f>SUMIFS(ListOfExpenditure!AP:AP,ListOfExpenditure!AJ:AJ,I_Miei_Rendiconti[[#This Row],[Column1.id]])</f>
        <v>0</v>
      </c>
      <c r="AO123" s="148">
        <f>SUMIFS(ReportSubmittedBL!W:W,ReportSubmittedBL!D:D,I_Miei_Rendiconti[[#This Row],[Column1.id]])</f>
        <v>0</v>
      </c>
      <c r="AP123" s="155" cm="1">
        <f t="array" ref="AP123">INDEX('Weight tables'!$A$32:$C$36,MATCH(1,('MY-REPORT-MAIN'!AO123&gt;='Weight tables'!$B$32:$B$36)*('MY-REPORT-MAIN'!AO123&lt;='Weight tables'!$C$32:$C$36),0),1)</f>
        <v>0</v>
      </c>
      <c r="AQ123" s="155">
        <f>INDEX('Weight tables'!$A$39:$B$41,MATCH(I_Miei_Rendiconti[[#This Row],[Previouse Report checked?yes/no]],'Weight tables'!$B$39:$B$41,0),1)</f>
        <v>8.4</v>
      </c>
      <c r="AR123" s="155" cm="1">
        <f t="array" ref="AR123">IF(I_Miei_Rendiconti[[#This Row],[Sum of errors in previous report ]]="NON PERTINENTE",0,INDEX('Weight tables'!$A$43:$C$46,MATCH(1,(I_Miei_Rendiconti[[#This Row],[Sum of errors in previous report ]]&gt;='Weight tables'!$B$43:$B$46)*(I_Miei_Rendiconti[[#This Row],[Sum of errors in previous report ]]&lt;='Weight tables'!$C$43:$C$46),0),1))</f>
        <v>0</v>
      </c>
      <c r="AS123" s="155" cm="1">
        <f t="array" ref="AS123">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23" s="155" cm="1">
        <f t="array" ref="AT123">INDEX('Weight tables'!$A$56:$C$65,MATCH(1,('MY-REPORT-MAIN'!U123&gt;='Weight tables'!$B$56:$B$65)*('MY-REPORT-MAIN'!U123&lt;='Weight tables'!$C$56:$C$65),0),1)</f>
        <v>0</v>
      </c>
      <c r="AU123" s="155" cm="1">
        <f t="array" ref="AU123">INDEX('Weight tables'!$A$68:$C$71,MATCH(1,('MY-REPORT-MAIN'!AL123&gt;='Weight tables'!$B$68:$B$71)*('MY-REPORT-MAIN'!AL123&lt;='Weight tables'!$C$68:$C$71),0),1)</f>
        <v>1</v>
      </c>
      <c r="AV123" s="155" cm="1">
        <f t="array" ref="AV123">INDEX('Weight tables'!$A$74:$C$78,MATCH(1,('MY-REPORT-MAIN'!AN123&gt;='Weight tables'!$B$74:$B$78)*('MY-REPORT-MAIN'!AN123&lt;='Weight tables'!$C$74:$C$78),0),1)</f>
        <v>0</v>
      </c>
      <c r="AW123" s="16">
        <f>IF(I_Miei_Rendiconti[[#This Row],[Column1.totalAfterSubmitted]]/AM123&gt;50%,"Checked",0)</f>
        <v>0</v>
      </c>
      <c r="AX123" s="155">
        <f t="shared" si="3"/>
        <v>9.4</v>
      </c>
      <c r="AY123" s="155" t="str">
        <f>INDEX('Partner data'!A:EB,MATCH(I_Miei_Rendiconti[[#This Row],[Column1.partnerId]],'Partner data'!DG:DG,0),92)</f>
        <v>Slovenija (SI)</v>
      </c>
    </row>
    <row r="124" spans="1:51" ht="30" x14ac:dyDescent="0.25">
      <c r="A124" s="79">
        <v>57</v>
      </c>
      <c r="B124" s="79">
        <v>92</v>
      </c>
      <c r="C124" s="79">
        <v>319</v>
      </c>
      <c r="D124" s="79" t="s">
        <v>2433</v>
      </c>
      <c r="E124" s="79" t="s">
        <v>253</v>
      </c>
      <c r="F124" s="79">
        <v>5</v>
      </c>
      <c r="G124" s="206" t="s">
        <v>48</v>
      </c>
      <c r="H124" s="79">
        <v>2</v>
      </c>
      <c r="I124" s="79" t="s">
        <v>4339</v>
      </c>
      <c r="J124" s="79" t="s">
        <v>2373</v>
      </c>
      <c r="K124" s="208">
        <v>45384.664616793983</v>
      </c>
      <c r="M124" s="208">
        <v>45461.346988564816</v>
      </c>
      <c r="N124" s="79" t="s">
        <v>4373</v>
      </c>
      <c r="O124" s="79" t="s">
        <v>4363</v>
      </c>
      <c r="P124" s="79" t="s">
        <v>4348</v>
      </c>
      <c r="Q124" s="79" t="s">
        <v>4343</v>
      </c>
      <c r="R124" s="79">
        <v>41</v>
      </c>
      <c r="S124" s="79">
        <v>2</v>
      </c>
      <c r="T124" s="81">
        <v>10556.97</v>
      </c>
      <c r="U124" s="81">
        <v>10990.71</v>
      </c>
      <c r="V124" s="79" t="str">
        <f>INDEX(pARTNER[#All],MATCH(I_Miei_Rendiconti[[#This Row],[Column1.partnerId]],pARTNER[[#All],[Value.partnerSummary.id]],0),2)</f>
        <v>KRAS-CARSO II</v>
      </c>
      <c r="W124" s="79" t="b">
        <v>0</v>
      </c>
      <c r="X124" s="82">
        <f>I_Miei_Rendiconti[[#This Row],[Column1.totalAfterSubmitted]]-I_Miei_Rendiconti[[#This Row],[Column1.totalEligibleAfterControl]]</f>
        <v>433.73999999999978</v>
      </c>
      <c r="Y124" s="80">
        <f>IF(I_Miei_Rendiconti[[#This Row],[Column1.status]]="Certified",IFERROR(I_Miei_Rendiconti[[#This Row],[Financial corection]]/I_Miei_Rendiconti[[#This Row],[Column1.totalAfterSubmitted]],0),"Rendiconto da certificare")</f>
        <v>3.9464238434095689E-2</v>
      </c>
      <c r="Z124" s="207" t="str">
        <f>IF(I_Miei_Rendiconti[[#This Row],[Column1.status]]&lt;&gt;"Certified",INDEX('Partner data'!DG:DQ,MATCH(I_Miei_Rendiconti[[#This Row],[Column1.partnerId]],'Partner data'!DG:DG,0),13),"Rendiconto CONVALIDATO")</f>
        <v>Rendiconto CONVALIDATO</v>
      </c>
      <c r="AA124"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24" s="81" t="str">
        <f>IF(OR(I_Miei_Rendiconti[[#This Row],[N. previouse validated report ]]="Rendiconto CONVALIDATO",I_Miei_Rendiconti[[#This Row],[N. previouse validated report ]]="NON è stato convalidato ancora nessun rendiconto"),"NON PERTINENTE","fai la fromula")</f>
        <v>NON PERTINENTE</v>
      </c>
      <c r="AC124"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24" s="2">
        <f>INDEX('Partner data'!DG:DJ,MATCH(I_Miei_Rendiconti[[#This Row],[Column1.partnerId]],'Partner data'!DG:DG,0),3)</f>
        <v>2</v>
      </c>
      <c r="AE124" t="str" cm="1">
        <f t="array" ref="AE124">INDEX('Varie Tabelle'!$A$37:$C$51,MATCH(1,(I_Miei_Rendiconti[[#This Row],[Column1.firstSubmission]]&gt;='Varie Tabelle'!$B$37:$B$51)*(I_Miei_Rendiconti[[#This Row],[Column1.firstSubmission]]&lt;'Varie Tabelle'!$C$37:$C$51),0),1)</f>
        <v>Finestra 2</v>
      </c>
      <c r="AF124" s="109">
        <f>INDEX('Varie Tabelle'!$A$37:$C$51,MATCH('MY-REPORT-MAIN'!AE124,'Varie Tabelle'!$A$37:$A$51,0),2)</f>
        <v>45352</v>
      </c>
      <c r="AG124" s="109">
        <f>INDEX('Partner data'!DG:DR,MATCH(I_Miei_Rendiconti[[#This Row],[Column1.partnerId]],'Partner data'!DG:DG,0),12)</f>
        <v>44927</v>
      </c>
      <c r="AH124" s="115">
        <f t="shared" si="2"/>
        <v>13.975665899375205</v>
      </c>
      <c r="AI124" t="str" cm="1">
        <f t="array" ref="AI124">INDEX('Varie Tabelle'!$A$12:$C$22,MATCH(1,('MY-REPORT-MAIN'!AH124&gt;='Varie Tabelle'!$B$12:$B$22)*('MY-REPORT-MAIN'!AH124&lt;='Varie Tabelle'!$C$12:$C$22),0),1)</f>
        <v>Periodo-2</v>
      </c>
      <c r="AJ124" s="14">
        <f>INDEX('Partner data'!A:EC,MATCH(I_Miei_Rendiconti[[#This Row],[Column1.partnerId]],'Partner data'!DG:DG,0),MATCH('MY-REPORT-MAIN'!AI124,'Partner data'!$2:$2,0))</f>
        <v>27221.25</v>
      </c>
      <c r="AK124" s="10">
        <f>SUMIFS($U$2:U124,$C$2:C124,I_Miei_Rendiconti[[#This Row],[Column1.partnerId]])-AJ124</f>
        <v>-7083.4800000000032</v>
      </c>
      <c r="AL124" s="16">
        <f>IFERROR(1-(I_Miei_Rendiconti[[#This Row],[Column1.totalAfterSubmitted]]/AJ124),0)</f>
        <v>0.59624521283923415</v>
      </c>
      <c r="AM124" s="14">
        <f>INDEX('Partner data'!A:EB,MATCH(I_Miei_Rendiconti[[#This Row],[Column1.partnerId]],'Partner data'!DG:DG,0),44)</f>
        <v>120000.05</v>
      </c>
      <c r="AN124" s="14">
        <f>SUMIFS(ListOfExpenditure!AP:AP,ListOfExpenditure!AJ:AJ,I_Miei_Rendiconti[[#This Row],[Column1.id]])</f>
        <v>0</v>
      </c>
      <c r="AO124" s="148">
        <f>SUMIFS(ReportSubmittedBL!W:W,ReportSubmittedBL!D:D,I_Miei_Rendiconti[[#This Row],[Column1.id]])</f>
        <v>8</v>
      </c>
      <c r="AP124" s="155" cm="1">
        <f t="array" ref="AP124">INDEX('Weight tables'!$A$32:$C$36,MATCH(1,('MY-REPORT-MAIN'!AO124&gt;='Weight tables'!$B$32:$B$36)*('MY-REPORT-MAIN'!AO124&lt;='Weight tables'!$C$32:$C$36),0),1)</f>
        <v>6.3</v>
      </c>
      <c r="AQ124" s="155">
        <f>INDEX('Weight tables'!$A$39:$B$41,MATCH(I_Miei_Rendiconti[[#This Row],[Previouse Report checked?yes/no]],'Weight tables'!$B$39:$B$41,0),1)</f>
        <v>8.4</v>
      </c>
      <c r="AR124" s="155" cm="1">
        <f t="array" ref="AR124">IF(I_Miei_Rendiconti[[#This Row],[Sum of errors in previous report ]]="NON PERTINENTE",0,INDEX('Weight tables'!$A$43:$C$46,MATCH(1,(I_Miei_Rendiconti[[#This Row],[Sum of errors in previous report ]]&gt;='Weight tables'!$B$43:$B$46)*(I_Miei_Rendiconti[[#This Row],[Sum of errors in previous report ]]&lt;='Weight tables'!$C$43:$C$46),0),1))</f>
        <v>0</v>
      </c>
      <c r="AS124" s="155" cm="1">
        <f t="array" ref="AS124">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24" s="155" cm="1">
        <f t="array" ref="AT124">INDEX('Weight tables'!$A$56:$C$65,MATCH(1,('MY-REPORT-MAIN'!U124&gt;='Weight tables'!$B$56:$B$65)*('MY-REPORT-MAIN'!U124&lt;='Weight tables'!$C$56:$C$65),0),1)</f>
        <v>1</v>
      </c>
      <c r="AU124" s="155" cm="1">
        <f t="array" ref="AU124">INDEX('Weight tables'!$A$68:$C$71,MATCH(1,('MY-REPORT-MAIN'!AL124&gt;='Weight tables'!$B$68:$B$71)*('MY-REPORT-MAIN'!AL124&lt;='Weight tables'!$C$68:$C$71),0),1)</f>
        <v>2</v>
      </c>
      <c r="AV124" s="155" cm="1">
        <f t="array" ref="AV124">INDEX('Weight tables'!$A$74:$C$78,MATCH(1,('MY-REPORT-MAIN'!AN124&gt;='Weight tables'!$B$74:$B$78)*('MY-REPORT-MAIN'!AN124&lt;='Weight tables'!$C$74:$C$78),0),1)</f>
        <v>0</v>
      </c>
      <c r="AW124" s="16">
        <f>IF(I_Miei_Rendiconti[[#This Row],[Column1.totalAfterSubmitted]]/AM124&gt;50%,"Checked",0)</f>
        <v>0</v>
      </c>
      <c r="AX124" s="155">
        <f t="shared" si="3"/>
        <v>17.7</v>
      </c>
      <c r="AY124" s="155" t="str">
        <f>INDEX('Partner data'!A:EB,MATCH(I_Miei_Rendiconti[[#This Row],[Column1.partnerId]],'Partner data'!DG:DG,0),92)</f>
        <v>Slovenija (SI)</v>
      </c>
    </row>
    <row r="125" spans="1:51" ht="30" x14ac:dyDescent="0.25">
      <c r="A125" s="79">
        <v>227</v>
      </c>
      <c r="B125" s="79">
        <v>13</v>
      </c>
      <c r="C125" s="79">
        <v>10</v>
      </c>
      <c r="D125" s="79" t="s">
        <v>2371</v>
      </c>
      <c r="E125" s="79" t="s">
        <v>264</v>
      </c>
      <c r="F125" s="79">
        <v>1</v>
      </c>
      <c r="G125" s="206" t="s">
        <v>25</v>
      </c>
      <c r="H125" s="79">
        <v>2</v>
      </c>
      <c r="I125" s="79" t="s">
        <v>4339</v>
      </c>
      <c r="J125" s="79" t="s">
        <v>2373</v>
      </c>
      <c r="K125" s="208">
        <v>45384.673551064814</v>
      </c>
      <c r="M125" s="208">
        <v>45470.680145370374</v>
      </c>
      <c r="N125" s="79" t="s">
        <v>4465</v>
      </c>
      <c r="O125" s="79" t="s">
        <v>4363</v>
      </c>
      <c r="P125" s="79" t="s">
        <v>4348</v>
      </c>
      <c r="Q125" s="79" t="s">
        <v>4343</v>
      </c>
      <c r="R125" s="79">
        <v>30</v>
      </c>
      <c r="S125" s="79">
        <v>2</v>
      </c>
      <c r="T125" s="81">
        <v>16910.849999999999</v>
      </c>
      <c r="U125" s="81">
        <v>16910.849999999999</v>
      </c>
      <c r="V125" s="79" t="str">
        <f>INDEX(pARTNER[#All],MATCH(I_Miei_Rendiconti[[#This Row],[Column1.partnerId]],pARTNER[[#All],[Value.partnerSummary.id]],0),2)</f>
        <v>ADRIONCYCLETOUR</v>
      </c>
      <c r="W125" s="79" t="b">
        <v>0</v>
      </c>
      <c r="X125" s="82">
        <f>I_Miei_Rendiconti[[#This Row],[Column1.totalAfterSubmitted]]-I_Miei_Rendiconti[[#This Row],[Column1.totalEligibleAfterControl]]</f>
        <v>0</v>
      </c>
      <c r="Y125" s="80">
        <f>IF(I_Miei_Rendiconti[[#This Row],[Column1.status]]="Certified",IFERROR(I_Miei_Rendiconti[[#This Row],[Financial corection]]/I_Miei_Rendiconti[[#This Row],[Column1.totalAfterSubmitted]],0),"Rendiconto da certificare")</f>
        <v>0</v>
      </c>
      <c r="Z125" s="207" t="str">
        <f>IF(I_Miei_Rendiconti[[#This Row],[Column1.status]]&lt;&gt;"Certified",INDEX('Partner data'!DG:DQ,MATCH(I_Miei_Rendiconti[[#This Row],[Column1.partnerId]],'Partner data'!DG:DG,0),13),"Rendiconto CONVALIDATO")</f>
        <v>Rendiconto CONVALIDATO</v>
      </c>
      <c r="AA125"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25" s="81" t="str">
        <f>IF(OR(I_Miei_Rendiconti[[#This Row],[N. previouse validated report ]]="Rendiconto CONVALIDATO",I_Miei_Rendiconti[[#This Row],[N. previouse validated report ]]="NON è stato convalidato ancora nessun rendiconto"),"NON PERTINENTE","fai la fromula")</f>
        <v>NON PERTINENTE</v>
      </c>
      <c r="AC125"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25" s="2">
        <f>INDEX('Partner data'!DG:DJ,MATCH(I_Miei_Rendiconti[[#This Row],[Column1.partnerId]],'Partner data'!DG:DG,0),3)</f>
        <v>2</v>
      </c>
      <c r="AE125" t="str" cm="1">
        <f t="array" ref="AE125">INDEX('Varie Tabelle'!$A$37:$C$51,MATCH(1,(I_Miei_Rendiconti[[#This Row],[Column1.firstSubmission]]&gt;='Varie Tabelle'!$B$37:$B$51)*(I_Miei_Rendiconti[[#This Row],[Column1.firstSubmission]]&lt;'Varie Tabelle'!$C$37:$C$51),0),1)</f>
        <v>Finestra 2</v>
      </c>
      <c r="AF125" s="109">
        <f>INDEX('Varie Tabelle'!$A$37:$C$51,MATCH('MY-REPORT-MAIN'!AE125,'Varie Tabelle'!$A$37:$A$51,0),2)</f>
        <v>45352</v>
      </c>
      <c r="AG125" s="109">
        <f>INDEX('Partner data'!DG:DR,MATCH(I_Miei_Rendiconti[[#This Row],[Column1.partnerId]],'Partner data'!DG:DG,0),12)</f>
        <v>44805</v>
      </c>
      <c r="AH125" s="115">
        <f t="shared" si="2"/>
        <v>17.987504110489969</v>
      </c>
      <c r="AI125" t="str" cm="1">
        <f t="array" ref="AI125">INDEX('Varie Tabelle'!$A$12:$C$22,MATCH(1,('MY-REPORT-MAIN'!AH125&gt;='Varie Tabelle'!$B$12:$B$22)*('MY-REPORT-MAIN'!AH125&lt;='Varie Tabelle'!$C$12:$C$22),0),1)</f>
        <v>Periodo-2</v>
      </c>
      <c r="AJ125" s="14">
        <f>INDEX('Partner data'!A:EC,MATCH(I_Miei_Rendiconti[[#This Row],[Column1.partnerId]],'Partner data'!DG:DG,0),MATCH('MY-REPORT-MAIN'!AI125,'Partner data'!$2:$2,0))</f>
        <v>25409.119999999999</v>
      </c>
      <c r="AK125" s="10">
        <f>SUMIFS($U$2:U125,$C$2:C125,I_Miei_Rendiconti[[#This Row],[Column1.partnerId]])-AJ125</f>
        <v>6759.91</v>
      </c>
      <c r="AL125" s="16">
        <f>IFERROR(1-(I_Miei_Rendiconti[[#This Row],[Column1.totalAfterSubmitted]]/AJ125),0)</f>
        <v>0.33445747038858487</v>
      </c>
      <c r="AM125" s="14">
        <f>INDEX('Partner data'!A:EB,MATCH(I_Miei_Rendiconti[[#This Row],[Column1.partnerId]],'Partner data'!DG:DG,0),44)</f>
        <v>1360000</v>
      </c>
      <c r="AN125" s="14">
        <f>SUMIFS(ListOfExpenditure!AP:AP,ListOfExpenditure!AJ:AJ,I_Miei_Rendiconti[[#This Row],[Column1.id]])</f>
        <v>0</v>
      </c>
      <c r="AO125" s="148">
        <f>SUMIFS(ReportSubmittedBL!W:W,ReportSubmittedBL!D:D,I_Miei_Rendiconti[[#This Row],[Column1.id]])</f>
        <v>14</v>
      </c>
      <c r="AP125" s="155" cm="1">
        <f t="array" ref="AP125">INDEX('Weight tables'!$A$32:$C$36,MATCH(1,('MY-REPORT-MAIN'!AO125&gt;='Weight tables'!$B$32:$B$36)*('MY-REPORT-MAIN'!AO125&lt;='Weight tables'!$C$32:$C$36),0),1)</f>
        <v>8.4</v>
      </c>
      <c r="AQ125" s="155">
        <f>INDEX('Weight tables'!$A$39:$B$41,MATCH(I_Miei_Rendiconti[[#This Row],[Previouse Report checked?yes/no]],'Weight tables'!$B$39:$B$41,0),1)</f>
        <v>8.4</v>
      </c>
      <c r="AR125" s="155" cm="1">
        <f t="array" ref="AR125">IF(I_Miei_Rendiconti[[#This Row],[Sum of errors in previous report ]]="NON PERTINENTE",0,INDEX('Weight tables'!$A$43:$C$46,MATCH(1,(I_Miei_Rendiconti[[#This Row],[Sum of errors in previous report ]]&gt;='Weight tables'!$B$43:$B$46)*(I_Miei_Rendiconti[[#This Row],[Sum of errors in previous report ]]&lt;='Weight tables'!$C$43:$C$46),0),1))</f>
        <v>0</v>
      </c>
      <c r="AS125" s="155" cm="1">
        <f t="array" ref="AS125">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25" s="155" cm="1">
        <f t="array" ref="AT125">INDEX('Weight tables'!$A$56:$C$65,MATCH(1,('MY-REPORT-MAIN'!U125&gt;='Weight tables'!$B$56:$B$65)*('MY-REPORT-MAIN'!U125&lt;='Weight tables'!$C$56:$C$65),0),1)</f>
        <v>1</v>
      </c>
      <c r="AU125" s="155" cm="1">
        <f t="array" ref="AU125">INDEX('Weight tables'!$A$68:$C$71,MATCH(1,('MY-REPORT-MAIN'!AL125&gt;='Weight tables'!$B$68:$B$71)*('MY-REPORT-MAIN'!AL125&lt;='Weight tables'!$C$68:$C$71),0),1)</f>
        <v>2</v>
      </c>
      <c r="AV125" s="155" cm="1">
        <f t="array" ref="AV125">INDEX('Weight tables'!$A$74:$C$78,MATCH(1,('MY-REPORT-MAIN'!AN125&gt;='Weight tables'!$B$74:$B$78)*('MY-REPORT-MAIN'!AN125&lt;='Weight tables'!$C$74:$C$78),0),1)</f>
        <v>0</v>
      </c>
      <c r="AW125" s="16">
        <f>IF(I_Miei_Rendiconti[[#This Row],[Column1.totalAfterSubmitted]]/AM125&gt;50%,"Checked",0)</f>
        <v>0</v>
      </c>
      <c r="AX125" s="155">
        <f t="shared" si="3"/>
        <v>19.8</v>
      </c>
      <c r="AY125" s="155" t="str">
        <f>INDEX('Partner data'!A:EB,MATCH(I_Miei_Rendiconti[[#This Row],[Column1.partnerId]],'Partner data'!DG:DG,0),92)</f>
        <v>Italia (IT)</v>
      </c>
    </row>
    <row r="126" spans="1:51" ht="30" x14ac:dyDescent="0.25">
      <c r="A126" s="79">
        <v>286</v>
      </c>
      <c r="B126" s="79">
        <v>36</v>
      </c>
      <c r="C126" s="79">
        <v>199</v>
      </c>
      <c r="D126" s="79" t="s">
        <v>943</v>
      </c>
      <c r="E126" s="79" t="s">
        <v>253</v>
      </c>
      <c r="F126" s="79">
        <v>5</v>
      </c>
      <c r="G126" s="206" t="s">
        <v>287</v>
      </c>
      <c r="H126" s="79">
        <v>1</v>
      </c>
      <c r="I126" s="79" t="s">
        <v>4339</v>
      </c>
      <c r="J126" s="79" t="s">
        <v>593</v>
      </c>
      <c r="K126" s="208">
        <v>45385.381268356483</v>
      </c>
      <c r="M126" s="208">
        <v>45462.333881180559</v>
      </c>
      <c r="N126" s="79" t="s">
        <v>4510</v>
      </c>
      <c r="O126" s="79" t="s">
        <v>4347</v>
      </c>
      <c r="P126" s="79" t="s">
        <v>4348</v>
      </c>
      <c r="Q126" s="79" t="s">
        <v>4343</v>
      </c>
      <c r="R126" s="79">
        <v>19</v>
      </c>
      <c r="S126" s="79">
        <v>1</v>
      </c>
      <c r="T126" s="81">
        <v>16675.330000000002</v>
      </c>
      <c r="U126" s="81">
        <v>16898.560000000001</v>
      </c>
      <c r="V126" s="79" t="str">
        <f>INDEX(pARTNER[#All],MATCH(I_Miei_Rendiconti[[#This Row],[Column1.partnerId]],pARTNER[[#All],[Value.partnerSummary.id]],0),2)</f>
        <v>E-NAT2CARE</v>
      </c>
      <c r="W126" s="79" t="b">
        <v>0</v>
      </c>
      <c r="X126" s="82">
        <f>I_Miei_Rendiconti[[#This Row],[Column1.totalAfterSubmitted]]-I_Miei_Rendiconti[[#This Row],[Column1.totalEligibleAfterControl]]</f>
        <v>223.22999999999956</v>
      </c>
      <c r="Y126" s="80">
        <f>IF(I_Miei_Rendiconti[[#This Row],[Column1.status]]="Certified",IFERROR(I_Miei_Rendiconti[[#This Row],[Financial corection]]/I_Miei_Rendiconti[[#This Row],[Column1.totalAfterSubmitted]],0),"Rendiconto da certificare")</f>
        <v>1.3210001325556707E-2</v>
      </c>
      <c r="Z126" s="207" t="str">
        <f>IF(I_Miei_Rendiconti[[#This Row],[Column1.status]]&lt;&gt;"Certified",INDEX('Partner data'!DG:DQ,MATCH(I_Miei_Rendiconti[[#This Row],[Column1.partnerId]],'Partner data'!DG:DG,0),13),"Rendiconto CONVALIDATO")</f>
        <v>Rendiconto CONVALIDATO</v>
      </c>
      <c r="AA126"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26" s="81" t="str">
        <f>IF(OR(I_Miei_Rendiconti[[#This Row],[N. previouse validated report ]]="Rendiconto CONVALIDATO",I_Miei_Rendiconti[[#This Row],[N. previouse validated report ]]="NON è stato convalidato ancora nessun rendiconto"),"NON PERTINENTE","fai la fromula")</f>
        <v>NON PERTINENTE</v>
      </c>
      <c r="AC126"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26" s="2">
        <f>INDEX('Partner data'!DG:DJ,MATCH(I_Miei_Rendiconti[[#This Row],[Column1.partnerId]],'Partner data'!DG:DG,0),3)</f>
        <v>1</v>
      </c>
      <c r="AE126" t="str" cm="1">
        <f t="array" ref="AE126">INDEX('Varie Tabelle'!$A$37:$C$51,MATCH(1,(I_Miei_Rendiconti[[#This Row],[Column1.firstSubmission]]&gt;='Varie Tabelle'!$B$37:$B$51)*(I_Miei_Rendiconti[[#This Row],[Column1.firstSubmission]]&lt;'Varie Tabelle'!$C$37:$C$51),0),1)</f>
        <v>Finestra 2</v>
      </c>
      <c r="AF126" s="109">
        <f>INDEX('Varie Tabelle'!$A$37:$C$51,MATCH('MY-REPORT-MAIN'!AE126,'Varie Tabelle'!$A$37:$A$51,0),2)</f>
        <v>45352</v>
      </c>
      <c r="AG126" s="109">
        <f>INDEX('Partner data'!DG:DR,MATCH(I_Miei_Rendiconti[[#This Row],[Column1.partnerId]],'Partner data'!DG:DG,0),12)</f>
        <v>45170</v>
      </c>
      <c r="AH126" s="115">
        <f t="shared" si="2"/>
        <v>5.9848733969089114</v>
      </c>
      <c r="AI126" t="str" cm="1">
        <f t="array" ref="AI126">INDEX('Varie Tabelle'!$A$12:$C$22,MATCH(1,('MY-REPORT-MAIN'!AH126&gt;='Varie Tabelle'!$B$12:$B$22)*('MY-REPORT-MAIN'!AH126&lt;='Varie Tabelle'!$C$12:$C$22),0),1)</f>
        <v>Periodo-1</v>
      </c>
      <c r="AJ126" s="14">
        <f>INDEX('Partner data'!A:EC,MATCH(I_Miei_Rendiconti[[#This Row],[Column1.partnerId]],'Partner data'!DG:DG,0),MATCH('MY-REPORT-MAIN'!AI126,'Partner data'!$2:$2,0))</f>
        <v>28619.5</v>
      </c>
      <c r="AK126" s="10">
        <f>SUMIFS($U$2:U126,$C$2:C126,I_Miei_Rendiconti[[#This Row],[Column1.partnerId]])-AJ126</f>
        <v>-11720.939999999999</v>
      </c>
      <c r="AL126" s="16">
        <f>IFERROR(1-(I_Miei_Rendiconti[[#This Row],[Column1.totalAfterSubmitted]]/AJ126),0)</f>
        <v>0.40954384248501896</v>
      </c>
      <c r="AM126" s="14">
        <f>INDEX('Partner data'!A:EB,MATCH(I_Miei_Rendiconti[[#This Row],[Column1.partnerId]],'Partner data'!DG:DG,0),44)</f>
        <v>140182</v>
      </c>
      <c r="AN126" s="14">
        <f>SUMIFS(ListOfExpenditure!AP:AP,ListOfExpenditure!AJ:AJ,I_Miei_Rendiconti[[#This Row],[Column1.id]])</f>
        <v>0</v>
      </c>
      <c r="AO126" s="148">
        <f>SUMIFS(ReportSubmittedBL!W:W,ReportSubmittedBL!D:D,I_Miei_Rendiconti[[#This Row],[Column1.id]])</f>
        <v>8</v>
      </c>
      <c r="AP126" s="155" cm="1">
        <f t="array" ref="AP126">INDEX('Weight tables'!$A$32:$C$36,MATCH(1,('MY-REPORT-MAIN'!AO126&gt;='Weight tables'!$B$32:$B$36)*('MY-REPORT-MAIN'!AO126&lt;='Weight tables'!$C$32:$C$36),0),1)</f>
        <v>6.3</v>
      </c>
      <c r="AQ126" s="155">
        <f>INDEX('Weight tables'!$A$39:$B$41,MATCH(I_Miei_Rendiconti[[#This Row],[Previouse Report checked?yes/no]],'Weight tables'!$B$39:$B$41,0),1)</f>
        <v>8.4</v>
      </c>
      <c r="AR126" s="155" cm="1">
        <f t="array" ref="AR126">IF(I_Miei_Rendiconti[[#This Row],[Sum of errors in previous report ]]="NON PERTINENTE",0,INDEX('Weight tables'!$A$43:$C$46,MATCH(1,(I_Miei_Rendiconti[[#This Row],[Sum of errors in previous report ]]&gt;='Weight tables'!$B$43:$B$46)*(I_Miei_Rendiconti[[#This Row],[Sum of errors in previous report ]]&lt;='Weight tables'!$C$43:$C$46),0),1))</f>
        <v>0</v>
      </c>
      <c r="AS126" s="155" cm="1">
        <f t="array" ref="AS126">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26" s="155" cm="1">
        <f t="array" ref="AT126">INDEX('Weight tables'!$A$56:$C$65,MATCH(1,('MY-REPORT-MAIN'!U126&gt;='Weight tables'!$B$56:$B$65)*('MY-REPORT-MAIN'!U126&lt;='Weight tables'!$C$56:$C$65),0),1)</f>
        <v>1</v>
      </c>
      <c r="AU126" s="155" cm="1">
        <f t="array" ref="AU126">INDEX('Weight tables'!$A$68:$C$71,MATCH(1,('MY-REPORT-MAIN'!AL126&gt;='Weight tables'!$B$68:$B$71)*('MY-REPORT-MAIN'!AL126&lt;='Weight tables'!$C$68:$C$71),0),1)</f>
        <v>2</v>
      </c>
      <c r="AV126" s="155" cm="1">
        <f t="array" ref="AV126">INDEX('Weight tables'!$A$74:$C$78,MATCH(1,('MY-REPORT-MAIN'!AN126&gt;='Weight tables'!$B$74:$B$78)*('MY-REPORT-MAIN'!AN126&lt;='Weight tables'!$C$74:$C$78),0),1)</f>
        <v>0</v>
      </c>
      <c r="AW126" s="16">
        <f>IF(I_Miei_Rendiconti[[#This Row],[Column1.totalAfterSubmitted]]/AM126&gt;50%,"Checked",0)</f>
        <v>0</v>
      </c>
      <c r="AX126" s="155">
        <f t="shared" si="3"/>
        <v>17.7</v>
      </c>
      <c r="AY126" s="155" t="str">
        <f>INDEX('Partner data'!A:EB,MATCH(I_Miei_Rendiconti[[#This Row],[Column1.partnerId]],'Partner data'!DG:DG,0),92)</f>
        <v>Slovenija (SI)</v>
      </c>
    </row>
    <row r="127" spans="1:51" ht="30" x14ac:dyDescent="0.25">
      <c r="A127" s="79">
        <v>231</v>
      </c>
      <c r="B127" s="79">
        <v>53</v>
      </c>
      <c r="C127" s="79">
        <v>103</v>
      </c>
      <c r="D127" s="79" t="s">
        <v>1364</v>
      </c>
      <c r="E127" s="79" t="s">
        <v>253</v>
      </c>
      <c r="F127" s="79">
        <v>2</v>
      </c>
      <c r="G127" s="206" t="s">
        <v>309</v>
      </c>
      <c r="H127" s="79">
        <v>1</v>
      </c>
      <c r="I127" s="79" t="s">
        <v>4339</v>
      </c>
      <c r="J127" s="79" t="s">
        <v>490</v>
      </c>
      <c r="K127" s="208">
        <v>45385.42409508102</v>
      </c>
      <c r="M127" s="208">
        <v>45464.622704791669</v>
      </c>
      <c r="N127" s="79" t="s">
        <v>4469</v>
      </c>
      <c r="O127" s="79" t="s">
        <v>4347</v>
      </c>
      <c r="P127" s="79" t="s">
        <v>4348</v>
      </c>
      <c r="Q127" s="79" t="s">
        <v>4343</v>
      </c>
      <c r="R127" s="79">
        <v>31</v>
      </c>
      <c r="S127" s="79">
        <v>1</v>
      </c>
      <c r="T127" s="81">
        <v>24119.01</v>
      </c>
      <c r="U127" s="81">
        <v>25247.46</v>
      </c>
      <c r="V127" s="79" t="str">
        <f>INDEX(pARTNER[#All],MATCH(I_Miei_Rendiconti[[#This Row],[Column1.partnerId]],pARTNER[[#All],[Value.partnerSummary.id]],0),2)</f>
        <v>ECO2SMART</v>
      </c>
      <c r="W127" s="79" t="b">
        <v>0</v>
      </c>
      <c r="X127" s="82">
        <f>I_Miei_Rendiconti[[#This Row],[Column1.totalAfterSubmitted]]-I_Miei_Rendiconti[[#This Row],[Column1.totalEligibleAfterControl]]</f>
        <v>1128.4500000000007</v>
      </c>
      <c r="Y127" s="80">
        <f>IF(I_Miei_Rendiconti[[#This Row],[Column1.status]]="Certified",IFERROR(I_Miei_Rendiconti[[#This Row],[Financial corection]]/I_Miei_Rendiconti[[#This Row],[Column1.totalAfterSubmitted]],0),"Rendiconto da certificare")</f>
        <v>4.469558521926565E-2</v>
      </c>
      <c r="Z127" s="207" t="str">
        <f>IF(I_Miei_Rendiconti[[#This Row],[Column1.status]]&lt;&gt;"Certified",INDEX('Partner data'!DG:DQ,MATCH(I_Miei_Rendiconti[[#This Row],[Column1.partnerId]],'Partner data'!DG:DG,0),13),"Rendiconto CONVALIDATO")</f>
        <v>Rendiconto CONVALIDATO</v>
      </c>
      <c r="AA127"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27" s="81" t="str">
        <f>IF(OR(I_Miei_Rendiconti[[#This Row],[N. previouse validated report ]]="Rendiconto CONVALIDATO",I_Miei_Rendiconti[[#This Row],[N. previouse validated report ]]="NON è stato convalidato ancora nessun rendiconto"),"NON PERTINENTE","fai la fromula")</f>
        <v>NON PERTINENTE</v>
      </c>
      <c r="AC127"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27" s="2">
        <f>INDEX('Partner data'!DG:DJ,MATCH(I_Miei_Rendiconti[[#This Row],[Column1.partnerId]],'Partner data'!DG:DG,0),3)</f>
        <v>1</v>
      </c>
      <c r="AE127" t="str" cm="1">
        <f t="array" ref="AE127">INDEX('Varie Tabelle'!$A$37:$C$51,MATCH(1,(I_Miei_Rendiconti[[#This Row],[Column1.firstSubmission]]&gt;='Varie Tabelle'!$B$37:$B$51)*(I_Miei_Rendiconti[[#This Row],[Column1.firstSubmission]]&lt;'Varie Tabelle'!$C$37:$C$51),0),1)</f>
        <v>Finestra 2</v>
      </c>
      <c r="AF127" s="109">
        <f>INDEX('Varie Tabelle'!$A$37:$C$51,MATCH('MY-REPORT-MAIN'!AE127,'Varie Tabelle'!$A$37:$A$51,0),2)</f>
        <v>45352</v>
      </c>
      <c r="AG127" s="109">
        <f>INDEX('Partner data'!DG:DR,MATCH(I_Miei_Rendiconti[[#This Row],[Column1.partnerId]],'Partner data'!DG:DG,0),12)</f>
        <v>45170</v>
      </c>
      <c r="AH127" s="115">
        <f t="shared" si="2"/>
        <v>5.9848733969089114</v>
      </c>
      <c r="AI127" t="str" cm="1">
        <f t="array" ref="AI127">INDEX('Varie Tabelle'!$A$12:$C$22,MATCH(1,('MY-REPORT-MAIN'!AH127&gt;='Varie Tabelle'!$B$12:$B$22)*('MY-REPORT-MAIN'!AH127&lt;='Varie Tabelle'!$C$12:$C$22),0),1)</f>
        <v>Periodo-1</v>
      </c>
      <c r="AJ127" s="14">
        <f>INDEX('Partner data'!A:EC,MATCH(I_Miei_Rendiconti[[#This Row],[Column1.partnerId]],'Partner data'!DG:DG,0),MATCH('MY-REPORT-MAIN'!AI127,'Partner data'!$2:$2,0))</f>
        <v>33977.279999999999</v>
      </c>
      <c r="AK127" s="10">
        <f>SUMIFS($U$2:U127,$C$2:C127,I_Miei_Rendiconti[[#This Row],[Column1.partnerId]])-AJ127</f>
        <v>-8729.82</v>
      </c>
      <c r="AL127" s="16">
        <f>IFERROR(1-(I_Miei_Rendiconti[[#This Row],[Column1.totalAfterSubmitted]]/AJ127),0)</f>
        <v>0.25693110219534931</v>
      </c>
      <c r="AM127" s="14">
        <f>INDEX('Partner data'!A:EB,MATCH(I_Miei_Rendiconti[[#This Row],[Column1.partnerId]],'Partner data'!DG:DG,0),44)</f>
        <v>135909.14000000001</v>
      </c>
      <c r="AN127" s="14">
        <f>SUMIFS(ListOfExpenditure!AP:AP,ListOfExpenditure!AJ:AJ,I_Miei_Rendiconti[[#This Row],[Column1.id]])</f>
        <v>0</v>
      </c>
      <c r="AO127" s="148">
        <f>SUMIFS(ReportSubmittedBL!W:W,ReportSubmittedBL!D:D,I_Miei_Rendiconti[[#This Row],[Column1.id]])</f>
        <v>8</v>
      </c>
      <c r="AP127" s="155" cm="1">
        <f t="array" ref="AP127">INDEX('Weight tables'!$A$32:$C$36,MATCH(1,('MY-REPORT-MAIN'!AO127&gt;='Weight tables'!$B$32:$B$36)*('MY-REPORT-MAIN'!AO127&lt;='Weight tables'!$C$32:$C$36),0),1)</f>
        <v>6.3</v>
      </c>
      <c r="AQ127" s="155">
        <f>INDEX('Weight tables'!$A$39:$B$41,MATCH(I_Miei_Rendiconti[[#This Row],[Previouse Report checked?yes/no]],'Weight tables'!$B$39:$B$41,0),1)</f>
        <v>8.4</v>
      </c>
      <c r="AR127" s="155" cm="1">
        <f t="array" ref="AR127">IF(I_Miei_Rendiconti[[#This Row],[Sum of errors in previous report ]]="NON PERTINENTE",0,INDEX('Weight tables'!$A$43:$C$46,MATCH(1,(I_Miei_Rendiconti[[#This Row],[Sum of errors in previous report ]]&gt;='Weight tables'!$B$43:$B$46)*(I_Miei_Rendiconti[[#This Row],[Sum of errors in previous report ]]&lt;='Weight tables'!$C$43:$C$46),0),1))</f>
        <v>0</v>
      </c>
      <c r="AS127" s="155" cm="1">
        <f t="array" ref="AS127">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27" s="155" cm="1">
        <f t="array" ref="AT127">INDEX('Weight tables'!$A$56:$C$65,MATCH(1,('MY-REPORT-MAIN'!U127&gt;='Weight tables'!$B$56:$B$65)*('MY-REPORT-MAIN'!U127&lt;='Weight tables'!$C$56:$C$65),0),1)</f>
        <v>2</v>
      </c>
      <c r="AU127" s="155" cm="1">
        <f t="array" ref="AU127">INDEX('Weight tables'!$A$68:$C$71,MATCH(1,('MY-REPORT-MAIN'!AL127&gt;='Weight tables'!$B$68:$B$71)*('MY-REPORT-MAIN'!AL127&lt;='Weight tables'!$C$68:$C$71),0),1)</f>
        <v>2</v>
      </c>
      <c r="AV127" s="155" cm="1">
        <f t="array" ref="AV127">INDEX('Weight tables'!$A$74:$C$78,MATCH(1,('MY-REPORT-MAIN'!AN127&gt;='Weight tables'!$B$74:$B$78)*('MY-REPORT-MAIN'!AN127&lt;='Weight tables'!$C$74:$C$78),0),1)</f>
        <v>0</v>
      </c>
      <c r="AW127" s="16">
        <f>IF(I_Miei_Rendiconti[[#This Row],[Column1.totalAfterSubmitted]]/AM127&gt;50%,"Checked",0)</f>
        <v>0</v>
      </c>
      <c r="AX127" s="155">
        <f t="shared" si="3"/>
        <v>18.7</v>
      </c>
      <c r="AY127" s="155" t="str">
        <f>INDEX('Partner data'!A:EB,MATCH(I_Miei_Rendiconti[[#This Row],[Column1.partnerId]],'Partner data'!DG:DG,0),92)</f>
        <v>Slovenija (SI)</v>
      </c>
    </row>
    <row r="128" spans="1:51" ht="30" x14ac:dyDescent="0.25">
      <c r="A128" s="79">
        <v>264</v>
      </c>
      <c r="B128" s="79">
        <v>13</v>
      </c>
      <c r="C128" s="79">
        <v>15</v>
      </c>
      <c r="D128" s="79" t="s">
        <v>2371</v>
      </c>
      <c r="E128" s="79" t="s">
        <v>253</v>
      </c>
      <c r="F128" s="79">
        <v>5</v>
      </c>
      <c r="G128" s="206" t="s">
        <v>33</v>
      </c>
      <c r="H128" s="79">
        <v>2</v>
      </c>
      <c r="I128" s="79" t="s">
        <v>4339</v>
      </c>
      <c r="J128" s="79" t="s">
        <v>2373</v>
      </c>
      <c r="K128" s="208">
        <v>45385.445089652778</v>
      </c>
      <c r="M128" s="208">
        <v>45482.361483738423</v>
      </c>
      <c r="N128" s="79" t="s">
        <v>4493</v>
      </c>
      <c r="O128" s="79" t="s">
        <v>4363</v>
      </c>
      <c r="P128" s="79" t="s">
        <v>4348</v>
      </c>
      <c r="Q128" s="79" t="s">
        <v>4343</v>
      </c>
      <c r="R128" s="79">
        <v>30</v>
      </c>
      <c r="S128" s="79">
        <v>2</v>
      </c>
      <c r="T128" s="81">
        <v>18925.939999999999</v>
      </c>
      <c r="U128" s="81">
        <v>18925.939999999999</v>
      </c>
      <c r="V128" s="79" t="str">
        <f>INDEX(pARTNER[#All],MATCH(I_Miei_Rendiconti[[#This Row],[Column1.partnerId]],pARTNER[[#All],[Value.partnerSummary.id]],0),2)</f>
        <v>ADRIONCYCLETOUR</v>
      </c>
      <c r="W128" s="79" t="b">
        <v>0</v>
      </c>
      <c r="X128" s="82">
        <f>I_Miei_Rendiconti[[#This Row],[Column1.totalAfterSubmitted]]-I_Miei_Rendiconti[[#This Row],[Column1.totalEligibleAfterControl]]</f>
        <v>0</v>
      </c>
      <c r="Y128" s="80">
        <f>IF(I_Miei_Rendiconti[[#This Row],[Column1.status]]="Certified",IFERROR(I_Miei_Rendiconti[[#This Row],[Financial corection]]/I_Miei_Rendiconti[[#This Row],[Column1.totalAfterSubmitted]],0),"Rendiconto da certificare")</f>
        <v>0</v>
      </c>
      <c r="Z128" s="207" t="str">
        <f>IF(I_Miei_Rendiconti[[#This Row],[Column1.status]]&lt;&gt;"Certified",INDEX('Partner data'!DG:DQ,MATCH(I_Miei_Rendiconti[[#This Row],[Column1.partnerId]],'Partner data'!DG:DG,0),13),"Rendiconto CONVALIDATO")</f>
        <v>Rendiconto CONVALIDATO</v>
      </c>
      <c r="AA128"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28" s="81" t="str">
        <f>IF(OR(I_Miei_Rendiconti[[#This Row],[N. previouse validated report ]]="Rendiconto CONVALIDATO",I_Miei_Rendiconti[[#This Row],[N. previouse validated report ]]="NON è stato convalidato ancora nessun rendiconto"),"NON PERTINENTE","fai la fromula")</f>
        <v>NON PERTINENTE</v>
      </c>
      <c r="AC128"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28" s="2">
        <f>INDEX('Partner data'!DG:DJ,MATCH(I_Miei_Rendiconti[[#This Row],[Column1.partnerId]],'Partner data'!DG:DG,0),3)</f>
        <v>2</v>
      </c>
      <c r="AE128" t="str" cm="1">
        <f t="array" ref="AE128">INDEX('Varie Tabelle'!$A$37:$C$51,MATCH(1,(I_Miei_Rendiconti[[#This Row],[Column1.firstSubmission]]&gt;='Varie Tabelle'!$B$37:$B$51)*(I_Miei_Rendiconti[[#This Row],[Column1.firstSubmission]]&lt;'Varie Tabelle'!$C$37:$C$51),0),1)</f>
        <v>Finestra 2</v>
      </c>
      <c r="AF128" s="109">
        <f>INDEX('Varie Tabelle'!$A$37:$C$51,MATCH('MY-REPORT-MAIN'!AE128,'Varie Tabelle'!$A$37:$A$51,0),2)</f>
        <v>45352</v>
      </c>
      <c r="AG128" s="109">
        <f>INDEX('Partner data'!DG:DR,MATCH(I_Miei_Rendiconti[[#This Row],[Column1.partnerId]],'Partner data'!DG:DG,0),12)</f>
        <v>44805</v>
      </c>
      <c r="AH128" s="115">
        <f t="shared" si="2"/>
        <v>17.987504110489969</v>
      </c>
      <c r="AI128" t="str" cm="1">
        <f t="array" ref="AI128">INDEX('Varie Tabelle'!$A$12:$C$22,MATCH(1,('MY-REPORT-MAIN'!AH128&gt;='Varie Tabelle'!$B$12:$B$22)*('MY-REPORT-MAIN'!AH128&lt;='Varie Tabelle'!$C$12:$C$22),0),1)</f>
        <v>Periodo-2</v>
      </c>
      <c r="AJ128" s="14">
        <f>INDEX('Partner data'!A:EC,MATCH(I_Miei_Rendiconti[[#This Row],[Column1.partnerId]],'Partner data'!DG:DG,0),MATCH('MY-REPORT-MAIN'!AI128,'Partner data'!$2:$2,0))</f>
        <v>57900.54</v>
      </c>
      <c r="AK128" s="10">
        <f>SUMIFS($U$2:U128,$C$2:C128,I_Miei_Rendiconti[[#This Row],[Column1.partnerId]])-AJ128</f>
        <v>96307.53</v>
      </c>
      <c r="AL128" s="16">
        <f>IFERROR(1-(I_Miei_Rendiconti[[#This Row],[Column1.totalAfterSubmitted]]/AJ128),0)</f>
        <v>0.67313016424371863</v>
      </c>
      <c r="AM128" s="14">
        <f>INDEX('Partner data'!A:EB,MATCH(I_Miei_Rendiconti[[#This Row],[Column1.partnerId]],'Partner data'!DG:DG,0),44)</f>
        <v>316504</v>
      </c>
      <c r="AN128" s="14">
        <f>SUMIFS(ListOfExpenditure!AP:AP,ListOfExpenditure!AJ:AJ,I_Miei_Rendiconti[[#This Row],[Column1.id]])</f>
        <v>0</v>
      </c>
      <c r="AO128" s="148">
        <f>SUMIFS(ReportSubmittedBL!W:W,ReportSubmittedBL!D:D,I_Miei_Rendiconti[[#This Row],[Column1.id]])</f>
        <v>12</v>
      </c>
      <c r="AP128" s="155" cm="1">
        <f t="array" ref="AP128">INDEX('Weight tables'!$A$32:$C$36,MATCH(1,('MY-REPORT-MAIN'!AO128&gt;='Weight tables'!$B$32:$B$36)*('MY-REPORT-MAIN'!AO128&lt;='Weight tables'!$C$32:$C$36),0),1)</f>
        <v>8.4</v>
      </c>
      <c r="AQ128" s="155">
        <f>INDEX('Weight tables'!$A$39:$B$41,MATCH(I_Miei_Rendiconti[[#This Row],[Previouse Report checked?yes/no]],'Weight tables'!$B$39:$B$41,0),1)</f>
        <v>8.4</v>
      </c>
      <c r="AR128" s="155" cm="1">
        <f t="array" ref="AR128">IF(I_Miei_Rendiconti[[#This Row],[Sum of errors in previous report ]]="NON PERTINENTE",0,INDEX('Weight tables'!$A$43:$C$46,MATCH(1,(I_Miei_Rendiconti[[#This Row],[Sum of errors in previous report ]]&gt;='Weight tables'!$B$43:$B$46)*(I_Miei_Rendiconti[[#This Row],[Sum of errors in previous report ]]&lt;='Weight tables'!$C$43:$C$46),0),1))</f>
        <v>0</v>
      </c>
      <c r="AS128" s="155" cm="1">
        <f t="array" ref="AS128">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28" s="155" cm="1">
        <f t="array" ref="AT128">INDEX('Weight tables'!$A$56:$C$65,MATCH(1,('MY-REPORT-MAIN'!U128&gt;='Weight tables'!$B$56:$B$65)*('MY-REPORT-MAIN'!U128&lt;='Weight tables'!$C$56:$C$65),0),1)</f>
        <v>1</v>
      </c>
      <c r="AU128" s="155" cm="1">
        <f t="array" ref="AU128">INDEX('Weight tables'!$A$68:$C$71,MATCH(1,('MY-REPORT-MAIN'!AL128&gt;='Weight tables'!$B$68:$B$71)*('MY-REPORT-MAIN'!AL128&lt;='Weight tables'!$C$68:$C$71),0),1)</f>
        <v>2</v>
      </c>
      <c r="AV128" s="155" cm="1">
        <f t="array" ref="AV128">INDEX('Weight tables'!$A$74:$C$78,MATCH(1,('MY-REPORT-MAIN'!AN128&gt;='Weight tables'!$B$74:$B$78)*('MY-REPORT-MAIN'!AN128&lt;='Weight tables'!$C$74:$C$78),0),1)</f>
        <v>0</v>
      </c>
      <c r="AW128" s="16">
        <f>IF(I_Miei_Rendiconti[[#This Row],[Column1.totalAfterSubmitted]]/AM128&gt;50%,"Checked",0)</f>
        <v>0</v>
      </c>
      <c r="AX128" s="155">
        <f t="shared" si="3"/>
        <v>19.8</v>
      </c>
      <c r="AY128" s="155" t="str">
        <f>INDEX('Partner data'!A:EB,MATCH(I_Miei_Rendiconti[[#This Row],[Column1.partnerId]],'Partner data'!DG:DG,0),92)</f>
        <v>Slovenija (SI)</v>
      </c>
    </row>
    <row r="129" spans="1:51" ht="30" x14ac:dyDescent="0.25">
      <c r="A129" s="79">
        <v>283</v>
      </c>
      <c r="B129" s="79">
        <v>91</v>
      </c>
      <c r="C129" s="79">
        <v>316</v>
      </c>
      <c r="D129" s="79" t="s">
        <v>2561</v>
      </c>
      <c r="E129" s="79" t="s">
        <v>253</v>
      </c>
      <c r="F129" s="79">
        <v>12</v>
      </c>
      <c r="G129" s="206" t="s">
        <v>42</v>
      </c>
      <c r="H129" s="79">
        <v>2</v>
      </c>
      <c r="I129" s="79" t="s">
        <v>4339</v>
      </c>
      <c r="J129" s="79" t="s">
        <v>2563</v>
      </c>
      <c r="K129" s="208">
        <v>45385.653943310186</v>
      </c>
      <c r="M129" s="208">
        <v>45463.326399490739</v>
      </c>
      <c r="N129" s="79" t="s">
        <v>4508</v>
      </c>
      <c r="O129" s="79" t="s">
        <v>4363</v>
      </c>
      <c r="P129" s="79" t="s">
        <v>4348</v>
      </c>
      <c r="Q129" s="79" t="s">
        <v>4343</v>
      </c>
      <c r="R129" s="79">
        <v>36</v>
      </c>
      <c r="S129" s="79">
        <v>2</v>
      </c>
      <c r="T129" s="81">
        <v>22552.78</v>
      </c>
      <c r="U129" s="81">
        <v>22714.48</v>
      </c>
      <c r="V129" s="79" t="str">
        <f>INDEX(pARTNER[#All],MATCH(I_Miei_Rendiconti[[#This Row],[Column1.partnerId]],pARTNER[[#All],[Value.partnerSummary.id]],0),2)</f>
        <v>POSEIDONE</v>
      </c>
      <c r="W129" s="79" t="b">
        <v>0</v>
      </c>
      <c r="X129" s="82">
        <f>I_Miei_Rendiconti[[#This Row],[Column1.totalAfterSubmitted]]-I_Miei_Rendiconti[[#This Row],[Column1.totalEligibleAfterControl]]</f>
        <v>161.70000000000073</v>
      </c>
      <c r="Y129" s="80">
        <f>IF(I_Miei_Rendiconti[[#This Row],[Column1.status]]="Certified",IFERROR(I_Miei_Rendiconti[[#This Row],[Financial corection]]/I_Miei_Rendiconti[[#This Row],[Column1.totalAfterSubmitted]],0),"Rendiconto da certificare")</f>
        <v>7.1188070341033881E-3</v>
      </c>
      <c r="Z129" s="207" t="str">
        <f>IF(I_Miei_Rendiconti[[#This Row],[Column1.status]]&lt;&gt;"Certified",INDEX('Partner data'!DG:DQ,MATCH(I_Miei_Rendiconti[[#This Row],[Column1.partnerId]],'Partner data'!DG:DG,0),13),"Rendiconto CONVALIDATO")</f>
        <v>Rendiconto CONVALIDATO</v>
      </c>
      <c r="AA129"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29" s="81" t="str">
        <f>IF(OR(I_Miei_Rendiconti[[#This Row],[N. previouse validated report ]]="Rendiconto CONVALIDATO",I_Miei_Rendiconti[[#This Row],[N. previouse validated report ]]="NON è stato convalidato ancora nessun rendiconto"),"NON PERTINENTE","fai la fromula")</f>
        <v>NON PERTINENTE</v>
      </c>
      <c r="AC129"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29" s="2">
        <f>INDEX('Partner data'!DG:DJ,MATCH(I_Miei_Rendiconti[[#This Row],[Column1.partnerId]],'Partner data'!DG:DG,0),3)</f>
        <v>2</v>
      </c>
      <c r="AE129" t="str" cm="1">
        <f t="array" ref="AE129">INDEX('Varie Tabelle'!$A$37:$C$51,MATCH(1,(I_Miei_Rendiconti[[#This Row],[Column1.firstSubmission]]&gt;='Varie Tabelle'!$B$37:$B$51)*(I_Miei_Rendiconti[[#This Row],[Column1.firstSubmission]]&lt;'Varie Tabelle'!$C$37:$C$51),0),1)</f>
        <v>Finestra 2</v>
      </c>
      <c r="AF129" s="109">
        <f>INDEX('Varie Tabelle'!$A$37:$C$51,MATCH('MY-REPORT-MAIN'!AE129,'Varie Tabelle'!$A$37:$A$51,0),2)</f>
        <v>45352</v>
      </c>
      <c r="AG129" s="109">
        <f>INDEX('Partner data'!DG:DR,MATCH(I_Miei_Rendiconti[[#This Row],[Column1.partnerId]],'Partner data'!DG:DG,0),12)</f>
        <v>44927</v>
      </c>
      <c r="AH129" s="115">
        <f t="shared" si="2"/>
        <v>13.975665899375205</v>
      </c>
      <c r="AI129" t="str" cm="1">
        <f t="array" ref="AI129">INDEX('Varie Tabelle'!$A$12:$C$22,MATCH(1,('MY-REPORT-MAIN'!AH129&gt;='Varie Tabelle'!$B$12:$B$22)*('MY-REPORT-MAIN'!AH129&lt;='Varie Tabelle'!$C$12:$C$22),0),1)</f>
        <v>Periodo-2</v>
      </c>
      <c r="AJ129" s="14">
        <f>INDEX('Partner data'!A:EC,MATCH(I_Miei_Rendiconti[[#This Row],[Column1.partnerId]],'Partner data'!DG:DG,0),MATCH('MY-REPORT-MAIN'!AI129,'Partner data'!$2:$2,0))</f>
        <v>172513.2</v>
      </c>
      <c r="AK129" s="10">
        <f>SUMIFS($U$2:U129,$C$2:C129,I_Miei_Rendiconti[[#This Row],[Column1.partnerId]])-AJ129</f>
        <v>-17018.649999999994</v>
      </c>
      <c r="AL129" s="16">
        <f>IFERROR(1-(I_Miei_Rendiconti[[#This Row],[Column1.totalAfterSubmitted]]/AJ129),0)</f>
        <v>0.86833193054212665</v>
      </c>
      <c r="AM129" s="14">
        <f>INDEX('Partner data'!A:EB,MATCH(I_Miei_Rendiconti[[#This Row],[Column1.partnerId]],'Partner data'!DG:DG,0),44)</f>
        <v>312500</v>
      </c>
      <c r="AN129" s="14">
        <f>SUMIFS(ListOfExpenditure!AP:AP,ListOfExpenditure!AJ:AJ,I_Miei_Rendiconti[[#This Row],[Column1.id]])</f>
        <v>0</v>
      </c>
      <c r="AO129" s="148">
        <f>SUMIFS(ReportSubmittedBL!W:W,ReportSubmittedBL!D:D,I_Miei_Rendiconti[[#This Row],[Column1.id]])</f>
        <v>12</v>
      </c>
      <c r="AP129" s="155" cm="1">
        <f t="array" ref="AP129">INDEX('Weight tables'!$A$32:$C$36,MATCH(1,('MY-REPORT-MAIN'!AO129&gt;='Weight tables'!$B$32:$B$36)*('MY-REPORT-MAIN'!AO129&lt;='Weight tables'!$C$32:$C$36),0),1)</f>
        <v>8.4</v>
      </c>
      <c r="AQ129" s="155">
        <f>INDEX('Weight tables'!$A$39:$B$41,MATCH(I_Miei_Rendiconti[[#This Row],[Previouse Report checked?yes/no]],'Weight tables'!$B$39:$B$41,0),1)</f>
        <v>8.4</v>
      </c>
      <c r="AR129" s="155" cm="1">
        <f t="array" ref="AR129">IF(I_Miei_Rendiconti[[#This Row],[Sum of errors in previous report ]]="NON PERTINENTE",0,INDEX('Weight tables'!$A$43:$C$46,MATCH(1,(I_Miei_Rendiconti[[#This Row],[Sum of errors in previous report ]]&gt;='Weight tables'!$B$43:$B$46)*(I_Miei_Rendiconti[[#This Row],[Sum of errors in previous report ]]&lt;='Weight tables'!$C$43:$C$46),0),1))</f>
        <v>0</v>
      </c>
      <c r="AS129" s="155" cm="1">
        <f t="array" ref="AS129">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29" s="155" cm="1">
        <f t="array" ref="AT129">INDEX('Weight tables'!$A$56:$C$65,MATCH(1,('MY-REPORT-MAIN'!U129&gt;='Weight tables'!$B$56:$B$65)*('MY-REPORT-MAIN'!U129&lt;='Weight tables'!$C$56:$C$65),0),1)</f>
        <v>2</v>
      </c>
      <c r="AU129" s="155" cm="1">
        <f t="array" ref="AU129">INDEX('Weight tables'!$A$68:$C$71,MATCH(1,('MY-REPORT-MAIN'!AL129&gt;='Weight tables'!$B$68:$B$71)*('MY-REPORT-MAIN'!AL129&lt;='Weight tables'!$C$68:$C$71),0),1)</f>
        <v>2</v>
      </c>
      <c r="AV129" s="155" cm="1">
        <f t="array" ref="AV129">INDEX('Weight tables'!$A$74:$C$78,MATCH(1,('MY-REPORT-MAIN'!AN129&gt;='Weight tables'!$B$74:$B$78)*('MY-REPORT-MAIN'!AN129&lt;='Weight tables'!$C$74:$C$78),0),1)</f>
        <v>0</v>
      </c>
      <c r="AW129" s="16">
        <f>IF(I_Miei_Rendiconti[[#This Row],[Column1.totalAfterSubmitted]]/AM129&gt;50%,"Checked",0)</f>
        <v>0</v>
      </c>
      <c r="AX129" s="155">
        <f t="shared" si="3"/>
        <v>20.8</v>
      </c>
      <c r="AY129" s="155" t="str">
        <f>INDEX('Partner data'!A:EB,MATCH(I_Miei_Rendiconti[[#This Row],[Column1.partnerId]],'Partner data'!DG:DG,0),92)</f>
        <v>Slovenija (SI)</v>
      </c>
    </row>
    <row r="130" spans="1:51" ht="30" x14ac:dyDescent="0.25">
      <c r="A130" s="79">
        <v>305</v>
      </c>
      <c r="B130" s="79">
        <v>68</v>
      </c>
      <c r="C130" s="79">
        <v>252</v>
      </c>
      <c r="D130" s="79" t="s">
        <v>1774</v>
      </c>
      <c r="E130" s="79" t="s">
        <v>253</v>
      </c>
      <c r="F130" s="79">
        <v>2</v>
      </c>
      <c r="G130" s="206" t="s">
        <v>332</v>
      </c>
      <c r="H130" s="79">
        <v>1</v>
      </c>
      <c r="I130" s="79" t="s">
        <v>4339</v>
      </c>
      <c r="J130" s="79" t="s">
        <v>593</v>
      </c>
      <c r="K130" s="208">
        <v>45385.668263518521</v>
      </c>
      <c r="M130" s="208">
        <v>45470.682446805557</v>
      </c>
      <c r="N130" s="79" t="s">
        <v>4521</v>
      </c>
      <c r="O130" s="79" t="s">
        <v>4347</v>
      </c>
      <c r="P130" s="79" t="s">
        <v>4348</v>
      </c>
      <c r="Q130" s="79" t="s">
        <v>4343</v>
      </c>
      <c r="R130" s="79">
        <v>35</v>
      </c>
      <c r="S130" s="79">
        <v>1</v>
      </c>
      <c r="T130" s="81">
        <v>2440</v>
      </c>
      <c r="U130" s="81">
        <v>2440</v>
      </c>
      <c r="V130" s="79" t="str">
        <f>INDEX(pARTNER[#All],MATCH(I_Miei_Rendiconti[[#This Row],[Column1.partnerId]],pARTNER[[#All],[Value.partnerSummary.id]],0),2)</f>
        <v>Primis Plus</v>
      </c>
      <c r="W130" s="79" t="b">
        <v>0</v>
      </c>
      <c r="X130" s="82">
        <f>I_Miei_Rendiconti[[#This Row],[Column1.totalAfterSubmitted]]-I_Miei_Rendiconti[[#This Row],[Column1.totalEligibleAfterControl]]</f>
        <v>0</v>
      </c>
      <c r="Y130" s="80">
        <f>IF(I_Miei_Rendiconti[[#This Row],[Column1.status]]="Certified",IFERROR(I_Miei_Rendiconti[[#This Row],[Financial corection]]/I_Miei_Rendiconti[[#This Row],[Column1.totalAfterSubmitted]],0),"Rendiconto da certificare")</f>
        <v>0</v>
      </c>
      <c r="Z130" s="207" t="str">
        <f>IF(I_Miei_Rendiconti[[#This Row],[Column1.status]]&lt;&gt;"Certified",INDEX('Partner data'!DG:DQ,MATCH(I_Miei_Rendiconti[[#This Row],[Column1.partnerId]],'Partner data'!DG:DG,0),13),"Rendiconto CONVALIDATO")</f>
        <v>Rendiconto CONVALIDATO</v>
      </c>
      <c r="AA130"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30" s="81" t="str">
        <f>IF(OR(I_Miei_Rendiconti[[#This Row],[N. previouse validated report ]]="Rendiconto CONVALIDATO",I_Miei_Rendiconti[[#This Row],[N. previouse validated report ]]="NON è stato convalidato ancora nessun rendiconto"),"NON PERTINENTE","fai la fromula")</f>
        <v>NON PERTINENTE</v>
      </c>
      <c r="AC130"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30" s="2">
        <f>INDEX('Partner data'!DG:DJ,MATCH(I_Miei_Rendiconti[[#This Row],[Column1.partnerId]],'Partner data'!DG:DG,0),3)</f>
        <v>1</v>
      </c>
      <c r="AE130" t="str" cm="1">
        <f t="array" ref="AE130">INDEX('Varie Tabelle'!$A$37:$C$51,MATCH(1,(I_Miei_Rendiconti[[#This Row],[Column1.firstSubmission]]&gt;='Varie Tabelle'!$B$37:$B$51)*(I_Miei_Rendiconti[[#This Row],[Column1.firstSubmission]]&lt;'Varie Tabelle'!$C$37:$C$51),0),1)</f>
        <v>Finestra 2</v>
      </c>
      <c r="AF130" s="109">
        <f>INDEX('Varie Tabelle'!$A$37:$C$51,MATCH('MY-REPORT-MAIN'!AE130,'Varie Tabelle'!$A$37:$A$51,0),2)</f>
        <v>45352</v>
      </c>
      <c r="AG130" s="109">
        <f>INDEX('Partner data'!DG:DR,MATCH(I_Miei_Rendiconti[[#This Row],[Column1.partnerId]],'Partner data'!DG:DG,0),12)</f>
        <v>45170</v>
      </c>
      <c r="AH130" s="115">
        <f t="shared" si="2"/>
        <v>5.9848733969089114</v>
      </c>
      <c r="AI130" t="str" cm="1">
        <f t="array" ref="AI130">INDEX('Varie Tabelle'!$A$12:$C$22,MATCH(1,('MY-REPORT-MAIN'!AH130&gt;='Varie Tabelle'!$B$12:$B$22)*('MY-REPORT-MAIN'!AH130&lt;='Varie Tabelle'!$C$12:$C$22),0),1)</f>
        <v>Periodo-1</v>
      </c>
      <c r="AJ130" s="14">
        <f>INDEX('Partner data'!A:EC,MATCH(I_Miei_Rendiconti[[#This Row],[Column1.partnerId]],'Partner data'!DG:DG,0),MATCH('MY-REPORT-MAIN'!AI130,'Partner data'!$2:$2,0))</f>
        <v>30900</v>
      </c>
      <c r="AK130" s="10">
        <f>SUMIFS($U$2:U130,$C$2:C130,I_Miei_Rendiconti[[#This Row],[Column1.partnerId]])-AJ130</f>
        <v>-28460</v>
      </c>
      <c r="AL130" s="16">
        <f>IFERROR(1-(I_Miei_Rendiconti[[#This Row],[Column1.totalAfterSubmitted]]/AJ130),0)</f>
        <v>0.92103559870550167</v>
      </c>
      <c r="AM130" s="14">
        <f>INDEX('Partner data'!A:EB,MATCH(I_Miei_Rendiconti[[#This Row],[Column1.partnerId]],'Partner data'!DG:DG,0),44)</f>
        <v>100885.75999999999</v>
      </c>
      <c r="AN130" s="14">
        <f>SUMIFS(ListOfExpenditure!AP:AP,ListOfExpenditure!AJ:AJ,I_Miei_Rendiconti[[#This Row],[Column1.id]])</f>
        <v>0</v>
      </c>
      <c r="AO130" s="148">
        <f>SUMIFS(ReportSubmittedBL!W:W,ReportSubmittedBL!D:D,I_Miei_Rendiconti[[#This Row],[Column1.id]])</f>
        <v>4</v>
      </c>
      <c r="AP130" s="155" cm="1">
        <f t="array" ref="AP130">INDEX('Weight tables'!$A$32:$C$36,MATCH(1,('MY-REPORT-MAIN'!AO130&gt;='Weight tables'!$B$32:$B$36)*('MY-REPORT-MAIN'!AO130&lt;='Weight tables'!$C$32:$C$36),0),1)</f>
        <v>2.1</v>
      </c>
      <c r="AQ130" s="155">
        <f>INDEX('Weight tables'!$A$39:$B$41,MATCH(I_Miei_Rendiconti[[#This Row],[Previouse Report checked?yes/no]],'Weight tables'!$B$39:$B$41,0),1)</f>
        <v>8.4</v>
      </c>
      <c r="AR130" s="155" cm="1">
        <f t="array" ref="AR130">IF(I_Miei_Rendiconti[[#This Row],[Sum of errors in previous report ]]="NON PERTINENTE",0,INDEX('Weight tables'!$A$43:$C$46,MATCH(1,(I_Miei_Rendiconti[[#This Row],[Sum of errors in previous report ]]&gt;='Weight tables'!$B$43:$B$46)*(I_Miei_Rendiconti[[#This Row],[Sum of errors in previous report ]]&lt;='Weight tables'!$C$43:$C$46),0),1))</f>
        <v>0</v>
      </c>
      <c r="AS130" s="155" cm="1">
        <f t="array" ref="AS130">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30" s="155" cm="1">
        <f t="array" ref="AT130">INDEX('Weight tables'!$A$56:$C$65,MATCH(1,('MY-REPORT-MAIN'!U130&gt;='Weight tables'!$B$56:$B$65)*('MY-REPORT-MAIN'!U130&lt;='Weight tables'!$C$56:$C$65),0),1)</f>
        <v>0</v>
      </c>
      <c r="AU130" s="155" cm="1">
        <f t="array" ref="AU130">INDEX('Weight tables'!$A$68:$C$71,MATCH(1,('MY-REPORT-MAIN'!AL130&gt;='Weight tables'!$B$68:$B$71)*('MY-REPORT-MAIN'!AL130&lt;='Weight tables'!$C$68:$C$71),0),1)</f>
        <v>2</v>
      </c>
      <c r="AV130" s="155" cm="1">
        <f t="array" ref="AV130">INDEX('Weight tables'!$A$74:$C$78,MATCH(1,('MY-REPORT-MAIN'!AN130&gt;='Weight tables'!$B$74:$B$78)*('MY-REPORT-MAIN'!AN130&lt;='Weight tables'!$C$74:$C$78),0),1)</f>
        <v>0</v>
      </c>
      <c r="AW130" s="16">
        <f>IF(I_Miei_Rendiconti[[#This Row],[Column1.totalAfterSubmitted]]/AM130&gt;50%,"Checked",0)</f>
        <v>0</v>
      </c>
      <c r="AX130" s="155">
        <f t="shared" si="3"/>
        <v>12.5</v>
      </c>
      <c r="AY130" s="155" t="str">
        <f>INDEX('Partner data'!A:EB,MATCH(I_Miei_Rendiconti[[#This Row],[Column1.partnerId]],'Partner data'!DG:DG,0),92)</f>
        <v>Italia (IT)</v>
      </c>
    </row>
    <row r="131" spans="1:51" ht="30" x14ac:dyDescent="0.25">
      <c r="A131" s="79">
        <v>181</v>
      </c>
      <c r="B131" s="79">
        <v>43</v>
      </c>
      <c r="C131" s="79">
        <v>59</v>
      </c>
      <c r="D131" s="79" t="s">
        <v>1041</v>
      </c>
      <c r="E131" s="79" t="s">
        <v>264</v>
      </c>
      <c r="F131" s="79">
        <v>1</v>
      </c>
      <c r="G131" s="206" t="s">
        <v>286</v>
      </c>
      <c r="H131" s="79">
        <v>1</v>
      </c>
      <c r="I131" s="79" t="s">
        <v>4339</v>
      </c>
      <c r="J131" s="79" t="s">
        <v>1043</v>
      </c>
      <c r="K131" s="208">
        <v>45385.668870833331</v>
      </c>
      <c r="M131" s="208">
        <v>45470.687928912041</v>
      </c>
      <c r="N131" s="79" t="s">
        <v>4431</v>
      </c>
      <c r="O131" s="79" t="s">
        <v>4363</v>
      </c>
      <c r="P131" s="79" t="s">
        <v>4348</v>
      </c>
      <c r="Q131" s="79" t="s">
        <v>4343</v>
      </c>
      <c r="T131" s="81">
        <v>31439.5</v>
      </c>
      <c r="U131" s="81">
        <v>31439.5</v>
      </c>
      <c r="V131" s="79" t="str">
        <f>INDEX(pARTNER[#All],MATCH(I_Miei_Rendiconti[[#This Row],[Column1.partnerId]],pARTNER[[#All],[Value.partnerSummary.id]],0),2)</f>
        <v>IRRIGAVIT</v>
      </c>
      <c r="W131" s="79" t="b">
        <v>0</v>
      </c>
      <c r="X131" s="82">
        <f>I_Miei_Rendiconti[[#This Row],[Column1.totalAfterSubmitted]]-I_Miei_Rendiconti[[#This Row],[Column1.totalEligibleAfterControl]]</f>
        <v>0</v>
      </c>
      <c r="Y131" s="80">
        <f>IF(I_Miei_Rendiconti[[#This Row],[Column1.status]]="Certified",IFERROR(I_Miei_Rendiconti[[#This Row],[Financial corection]]/I_Miei_Rendiconti[[#This Row],[Column1.totalAfterSubmitted]],0),"Rendiconto da certificare")</f>
        <v>0</v>
      </c>
      <c r="Z131" s="207" t="str">
        <f>IF(I_Miei_Rendiconti[[#This Row],[Column1.status]]&lt;&gt;"Certified",INDEX('Partner data'!DG:DQ,MATCH(I_Miei_Rendiconti[[#This Row],[Column1.partnerId]],'Partner data'!DG:DG,0),13),"Rendiconto CONVALIDATO")</f>
        <v>Rendiconto CONVALIDATO</v>
      </c>
      <c r="AA131"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31" s="81" t="str">
        <f>IF(OR(I_Miei_Rendiconti[[#This Row],[N. previouse validated report ]]="Rendiconto CONVALIDATO",I_Miei_Rendiconti[[#This Row],[N. previouse validated report ]]="NON è stato convalidato ancora nessun rendiconto"),"NON PERTINENTE","fai la fromula")</f>
        <v>NON PERTINENTE</v>
      </c>
      <c r="AC131"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31" s="2">
        <f>INDEX('Partner data'!DG:DJ,MATCH(I_Miei_Rendiconti[[#This Row],[Column1.partnerId]],'Partner data'!DG:DG,0),3)</f>
        <v>1</v>
      </c>
      <c r="AE131" t="str" cm="1">
        <f t="array" ref="AE131">INDEX('Varie Tabelle'!$A$37:$C$51,MATCH(1,(I_Miei_Rendiconti[[#This Row],[Column1.firstSubmission]]&gt;='Varie Tabelle'!$B$37:$B$51)*(I_Miei_Rendiconti[[#This Row],[Column1.firstSubmission]]&lt;'Varie Tabelle'!$C$37:$C$51),0),1)</f>
        <v>Finestra 2</v>
      </c>
      <c r="AF131" s="109">
        <f>INDEX('Varie Tabelle'!$A$37:$C$51,MATCH('MY-REPORT-MAIN'!AE131,'Varie Tabelle'!$A$37:$A$51,0),2)</f>
        <v>45352</v>
      </c>
      <c r="AG131" s="109">
        <f>INDEX('Partner data'!DG:DR,MATCH(I_Miei_Rendiconti[[#This Row],[Column1.partnerId]],'Partner data'!DG:DG,0),12)</f>
        <v>45200</v>
      </c>
      <c r="AH131" s="115">
        <f t="shared" ref="AH131:AH174" si="4">(AF131-AG131)/30.41</f>
        <v>4.9983558040118385</v>
      </c>
      <c r="AI131" t="str" cm="1">
        <f t="array" ref="AI131">INDEX('Varie Tabelle'!$A$12:$C$22,MATCH(1,('MY-REPORT-MAIN'!AH131&gt;='Varie Tabelle'!$B$12:$B$22)*('MY-REPORT-MAIN'!AH131&lt;='Varie Tabelle'!$C$12:$C$22),0),1)</f>
        <v>Periodo-1</v>
      </c>
      <c r="AJ131" s="14">
        <f>INDEX('Partner data'!A:EC,MATCH(I_Miei_Rendiconti[[#This Row],[Column1.partnerId]],'Partner data'!DG:DG,0),MATCH('MY-REPORT-MAIN'!AI131,'Partner data'!$2:$2,0))</f>
        <v>32672.6</v>
      </c>
      <c r="AK131" s="10">
        <f>SUMIFS($U$2:U131,$C$2:C131,I_Miei_Rendiconti[[#This Row],[Column1.partnerId]])-AJ131</f>
        <v>-1233.0999999999985</v>
      </c>
      <c r="AL131" s="16">
        <f>IFERROR(1-(I_Miei_Rendiconti[[#This Row],[Column1.totalAfterSubmitted]]/AJ131),0)</f>
        <v>3.7741104166794104E-2</v>
      </c>
      <c r="AM131" s="14">
        <f>INDEX('Partner data'!A:EB,MATCH(I_Miei_Rendiconti[[#This Row],[Column1.partnerId]],'Partner data'!DG:DG,0),44)</f>
        <v>158954</v>
      </c>
      <c r="AN131" s="14">
        <f>SUMIFS(ListOfExpenditure!AP:AP,ListOfExpenditure!AJ:AJ,I_Miei_Rendiconti[[#This Row],[Column1.id]])</f>
        <v>1</v>
      </c>
      <c r="AO131" s="148">
        <f>SUMIFS(ReportSubmittedBL!W:W,ReportSubmittedBL!D:D,I_Miei_Rendiconti[[#This Row],[Column1.id]])</f>
        <v>14</v>
      </c>
      <c r="AP131" s="155" cm="1">
        <f t="array" ref="AP131">INDEX('Weight tables'!$A$32:$C$36,MATCH(1,('MY-REPORT-MAIN'!AO131&gt;='Weight tables'!$B$32:$B$36)*('MY-REPORT-MAIN'!AO131&lt;='Weight tables'!$C$32:$C$36),0),1)</f>
        <v>8.4</v>
      </c>
      <c r="AQ131" s="155">
        <f>INDEX('Weight tables'!$A$39:$B$41,MATCH(I_Miei_Rendiconti[[#This Row],[Previouse Report checked?yes/no]],'Weight tables'!$B$39:$B$41,0),1)</f>
        <v>8.4</v>
      </c>
      <c r="AR131" s="155" cm="1">
        <f t="array" ref="AR131">IF(I_Miei_Rendiconti[[#This Row],[Sum of errors in previous report ]]="NON PERTINENTE",0,INDEX('Weight tables'!$A$43:$C$46,MATCH(1,(I_Miei_Rendiconti[[#This Row],[Sum of errors in previous report ]]&gt;='Weight tables'!$B$43:$B$46)*(I_Miei_Rendiconti[[#This Row],[Sum of errors in previous report ]]&lt;='Weight tables'!$C$43:$C$46),0),1))</f>
        <v>0</v>
      </c>
      <c r="AS131" s="155" cm="1">
        <f t="array" ref="AS131">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31" s="155" cm="1">
        <f t="array" ref="AT131">INDEX('Weight tables'!$A$56:$C$65,MATCH(1,('MY-REPORT-MAIN'!U131&gt;='Weight tables'!$B$56:$B$65)*('MY-REPORT-MAIN'!U131&lt;='Weight tables'!$C$56:$C$65),0),1)</f>
        <v>3</v>
      </c>
      <c r="AU131" s="155" cm="1">
        <f t="array" ref="AU131">INDEX('Weight tables'!$A$68:$C$71,MATCH(1,('MY-REPORT-MAIN'!AL131&gt;='Weight tables'!$B$68:$B$71)*('MY-REPORT-MAIN'!AL131&lt;='Weight tables'!$C$68:$C$71),0),1)</f>
        <v>0</v>
      </c>
      <c r="AV131" s="155" cm="1">
        <f t="array" ref="AV131">INDEX('Weight tables'!$A$74:$C$78,MATCH(1,('MY-REPORT-MAIN'!AN131&gt;='Weight tables'!$B$74:$B$78)*('MY-REPORT-MAIN'!AN131&lt;='Weight tables'!$C$74:$C$78),0),1)</f>
        <v>0</v>
      </c>
      <c r="AW131" s="16">
        <f>IF(I_Miei_Rendiconti[[#This Row],[Column1.totalAfterSubmitted]]/AM131&gt;50%,"Checked",0)</f>
        <v>0</v>
      </c>
      <c r="AX131" s="155">
        <f t="shared" ref="AX131:AX149" si="5">SUM(AP131:AV131)</f>
        <v>19.8</v>
      </c>
      <c r="AY131" s="155" t="str">
        <f>INDEX('Partner data'!A:EB,MATCH(I_Miei_Rendiconti[[#This Row],[Column1.partnerId]],'Partner data'!DG:DG,0),92)</f>
        <v>Italia (IT)</v>
      </c>
    </row>
    <row r="132" spans="1:51" ht="30" x14ac:dyDescent="0.25">
      <c r="A132" s="79">
        <v>277</v>
      </c>
      <c r="B132" s="79">
        <v>75</v>
      </c>
      <c r="C132" s="79">
        <v>170</v>
      </c>
      <c r="D132" s="79" t="s">
        <v>2013</v>
      </c>
      <c r="E132" s="79" t="s">
        <v>264</v>
      </c>
      <c r="F132" s="79">
        <v>1</v>
      </c>
      <c r="G132" s="206" t="s">
        <v>352</v>
      </c>
      <c r="H132" s="79">
        <v>1</v>
      </c>
      <c r="I132" s="79" t="s">
        <v>4339</v>
      </c>
      <c r="J132" s="79" t="s">
        <v>1118</v>
      </c>
      <c r="K132" s="208">
        <v>45386.410463391207</v>
      </c>
      <c r="M132" s="208">
        <v>45478.687935173613</v>
      </c>
      <c r="N132" s="79" t="s">
        <v>4504</v>
      </c>
      <c r="O132" s="79" t="s">
        <v>4363</v>
      </c>
      <c r="P132" s="79" t="s">
        <v>4348</v>
      </c>
      <c r="Q132" s="79" t="s">
        <v>4343</v>
      </c>
      <c r="R132" s="79">
        <v>44</v>
      </c>
      <c r="S132" s="79">
        <v>1</v>
      </c>
      <c r="T132" s="81">
        <v>28699.4</v>
      </c>
      <c r="U132" s="81">
        <v>28699.4</v>
      </c>
      <c r="V132" s="79" t="str">
        <f>INDEX(pARTNER[#All],MATCH(I_Miei_Rendiconti[[#This Row],[Column1.partnerId]],pARTNER[[#All],[Value.partnerSummary.id]],0),2)</f>
        <v>PRO-SIS</v>
      </c>
      <c r="W132" s="79" t="b">
        <v>0</v>
      </c>
      <c r="X132" s="82">
        <f>I_Miei_Rendiconti[[#This Row],[Column1.totalAfterSubmitted]]-I_Miei_Rendiconti[[#This Row],[Column1.totalEligibleAfterControl]]</f>
        <v>0</v>
      </c>
      <c r="Y132" s="80">
        <f>IF(I_Miei_Rendiconti[[#This Row],[Column1.status]]="Certified",IFERROR(I_Miei_Rendiconti[[#This Row],[Financial corection]]/I_Miei_Rendiconti[[#This Row],[Column1.totalAfterSubmitted]],0),"Rendiconto da certificare")</f>
        <v>0</v>
      </c>
      <c r="Z132" s="207" t="str">
        <f>IF(I_Miei_Rendiconti[[#This Row],[Column1.status]]&lt;&gt;"Certified",INDEX('Partner data'!DG:DQ,MATCH(I_Miei_Rendiconti[[#This Row],[Column1.partnerId]],'Partner data'!DG:DG,0),13),"Rendiconto CONVALIDATO")</f>
        <v>Rendiconto CONVALIDATO</v>
      </c>
      <c r="AA132"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32" s="81" t="str">
        <f>IF(OR(I_Miei_Rendiconti[[#This Row],[N. previouse validated report ]]="Rendiconto CONVALIDATO",I_Miei_Rendiconti[[#This Row],[N. previouse validated report ]]="NON è stato convalidato ancora nessun rendiconto"),"NON PERTINENTE","fai la fromula")</f>
        <v>NON PERTINENTE</v>
      </c>
      <c r="AC132"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32" s="2">
        <f>INDEX('Partner data'!DG:DJ,MATCH(I_Miei_Rendiconti[[#This Row],[Column1.partnerId]],'Partner data'!DG:DG,0),3)</f>
        <v>1</v>
      </c>
      <c r="AE132" t="str" cm="1">
        <f t="array" ref="AE132">INDEX('Varie Tabelle'!$A$37:$C$51,MATCH(1,(I_Miei_Rendiconti[[#This Row],[Column1.firstSubmission]]&gt;='Varie Tabelle'!$B$37:$B$51)*(I_Miei_Rendiconti[[#This Row],[Column1.firstSubmission]]&lt;'Varie Tabelle'!$C$37:$C$51),0),1)</f>
        <v>Finestra 2</v>
      </c>
      <c r="AF132" s="109">
        <f>INDEX('Varie Tabelle'!$A$37:$C$51,MATCH('MY-REPORT-MAIN'!AE132,'Varie Tabelle'!$A$37:$A$51,0),2)</f>
        <v>45352</v>
      </c>
      <c r="AG132" s="109">
        <f>INDEX('Partner data'!DG:DR,MATCH(I_Miei_Rendiconti[[#This Row],[Column1.partnerId]],'Partner data'!DG:DG,0),12)</f>
        <v>45200</v>
      </c>
      <c r="AH132" s="115">
        <f t="shared" si="4"/>
        <v>4.9983558040118385</v>
      </c>
      <c r="AI132" t="str" cm="1">
        <f t="array" ref="AI132">INDEX('Varie Tabelle'!$A$12:$C$22,MATCH(1,('MY-REPORT-MAIN'!AH132&gt;='Varie Tabelle'!$B$12:$B$22)*('MY-REPORT-MAIN'!AH132&lt;='Varie Tabelle'!$C$12:$C$22),0),1)</f>
        <v>Periodo-1</v>
      </c>
      <c r="AJ132" s="14">
        <f>INDEX('Partner data'!A:EC,MATCH(I_Miei_Rendiconti[[#This Row],[Column1.partnerId]],'Partner data'!DG:DG,0),MATCH('MY-REPORT-MAIN'!AI132,'Partner data'!$2:$2,0))</f>
        <v>31569.4</v>
      </c>
      <c r="AK132" s="10">
        <f>SUMIFS($U$2:U132,$C$2:C132,I_Miei_Rendiconti[[#This Row],[Column1.partnerId]])-AJ132</f>
        <v>-2870</v>
      </c>
      <c r="AL132" s="16">
        <f>IFERROR(1-(I_Miei_Rendiconti[[#This Row],[Column1.totalAfterSubmitted]]/AJ132),0)</f>
        <v>9.0910818704188268E-2</v>
      </c>
      <c r="AM132" s="14">
        <f>INDEX('Partner data'!A:EB,MATCH(I_Miei_Rendiconti[[#This Row],[Column1.partnerId]],'Partner data'!DG:DG,0),44)</f>
        <v>177225.4</v>
      </c>
      <c r="AN132" s="14">
        <f>SUMIFS(ListOfExpenditure!AP:AP,ListOfExpenditure!AJ:AJ,I_Miei_Rendiconti[[#This Row],[Column1.id]])</f>
        <v>0</v>
      </c>
      <c r="AO132" s="148">
        <f>SUMIFS(ReportSubmittedBL!W:W,ReportSubmittedBL!D:D,I_Miei_Rendiconti[[#This Row],[Column1.id]])</f>
        <v>6</v>
      </c>
      <c r="AP132" s="155" cm="1">
        <f t="array" ref="AP132">INDEX('Weight tables'!$A$32:$C$36,MATCH(1,('MY-REPORT-MAIN'!AO132&gt;='Weight tables'!$B$32:$B$36)*('MY-REPORT-MAIN'!AO132&lt;='Weight tables'!$C$32:$C$36),0),1)</f>
        <v>4.2</v>
      </c>
      <c r="AQ132" s="155">
        <f>INDEX('Weight tables'!$A$39:$B$41,MATCH(I_Miei_Rendiconti[[#This Row],[Previouse Report checked?yes/no]],'Weight tables'!$B$39:$B$41,0),1)</f>
        <v>8.4</v>
      </c>
      <c r="AR132" s="155" cm="1">
        <f t="array" ref="AR132">IF(I_Miei_Rendiconti[[#This Row],[Sum of errors in previous report ]]="NON PERTINENTE",0,INDEX('Weight tables'!$A$43:$C$46,MATCH(1,(I_Miei_Rendiconti[[#This Row],[Sum of errors in previous report ]]&gt;='Weight tables'!$B$43:$B$46)*(I_Miei_Rendiconti[[#This Row],[Sum of errors in previous report ]]&lt;='Weight tables'!$C$43:$C$46),0),1))</f>
        <v>0</v>
      </c>
      <c r="AS132" s="155" cm="1">
        <f t="array" ref="AS132">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32" s="155" cm="1">
        <f t="array" ref="AT132">INDEX('Weight tables'!$A$56:$C$65,MATCH(1,('MY-REPORT-MAIN'!U132&gt;='Weight tables'!$B$56:$B$65)*('MY-REPORT-MAIN'!U132&lt;='Weight tables'!$C$56:$C$65),0),1)</f>
        <v>2</v>
      </c>
      <c r="AU132" s="155" cm="1">
        <f t="array" ref="AU132">INDEX('Weight tables'!$A$68:$C$71,MATCH(1,('MY-REPORT-MAIN'!AL132&gt;='Weight tables'!$B$68:$B$71)*('MY-REPORT-MAIN'!AL132&lt;='Weight tables'!$C$68:$C$71),0),1)</f>
        <v>0</v>
      </c>
      <c r="AV132" s="155" cm="1">
        <f t="array" ref="AV132">INDEX('Weight tables'!$A$74:$C$78,MATCH(1,('MY-REPORT-MAIN'!AN132&gt;='Weight tables'!$B$74:$B$78)*('MY-REPORT-MAIN'!AN132&lt;='Weight tables'!$C$74:$C$78),0),1)</f>
        <v>0</v>
      </c>
      <c r="AW132" s="16">
        <f>IF(I_Miei_Rendiconti[[#This Row],[Column1.totalAfterSubmitted]]/AM132&gt;50%,"Checked",0)</f>
        <v>0</v>
      </c>
      <c r="AX132" s="155">
        <f t="shared" si="5"/>
        <v>14.600000000000001</v>
      </c>
      <c r="AY132" s="155" t="str">
        <f>INDEX('Partner data'!A:EB,MATCH(I_Miei_Rendiconti[[#This Row],[Column1.partnerId]],'Partner data'!DG:DG,0),92)</f>
        <v>Italia (IT)</v>
      </c>
    </row>
    <row r="133" spans="1:51" ht="30" x14ac:dyDescent="0.25">
      <c r="A133" s="79">
        <v>266</v>
      </c>
      <c r="B133" s="79">
        <v>80</v>
      </c>
      <c r="C133" s="79">
        <v>288</v>
      </c>
      <c r="D133" s="79" t="s">
        <v>2132</v>
      </c>
      <c r="E133" s="79" t="s">
        <v>253</v>
      </c>
      <c r="F133" s="79">
        <v>4</v>
      </c>
      <c r="G133" s="206" t="s">
        <v>37</v>
      </c>
      <c r="H133" s="79">
        <v>2</v>
      </c>
      <c r="I133" s="79" t="s">
        <v>4339</v>
      </c>
      <c r="J133" s="79" t="s">
        <v>490</v>
      </c>
      <c r="K133" s="208">
        <v>45386.441983425924</v>
      </c>
      <c r="M133" s="208">
        <v>45470.689785243056</v>
      </c>
      <c r="N133" s="79" t="s">
        <v>4495</v>
      </c>
      <c r="O133" s="79" t="s">
        <v>4363</v>
      </c>
      <c r="P133" s="79" t="s">
        <v>4364</v>
      </c>
      <c r="Q133" s="79" t="s">
        <v>4343</v>
      </c>
      <c r="R133" s="79">
        <v>28</v>
      </c>
      <c r="S133" s="79">
        <v>2</v>
      </c>
      <c r="T133" s="81">
        <v>14667.71</v>
      </c>
      <c r="U133" s="81">
        <v>14667.71</v>
      </c>
      <c r="V133" s="79" t="str">
        <f>INDEX(pARTNER[#All],MATCH(I_Miei_Rendiconti[[#This Row],[Column1.partnerId]],pARTNER[[#All],[Value.partnerSummary.id]],0),2)</f>
        <v>RecapMCV</v>
      </c>
      <c r="W133" s="79" t="b">
        <v>0</v>
      </c>
      <c r="X133" s="82">
        <f>I_Miei_Rendiconti[[#This Row],[Column1.totalAfterSubmitted]]-I_Miei_Rendiconti[[#This Row],[Column1.totalEligibleAfterControl]]</f>
        <v>0</v>
      </c>
      <c r="Y133" s="80">
        <f>IF(I_Miei_Rendiconti[[#This Row],[Column1.status]]="Certified",IFERROR(I_Miei_Rendiconti[[#This Row],[Financial corection]]/I_Miei_Rendiconti[[#This Row],[Column1.totalAfterSubmitted]],0),"Rendiconto da certificare")</f>
        <v>0</v>
      </c>
      <c r="Z133" s="207" t="str">
        <f>IF(I_Miei_Rendiconti[[#This Row],[Column1.status]]&lt;&gt;"Certified",INDEX('Partner data'!DG:DQ,MATCH(I_Miei_Rendiconti[[#This Row],[Column1.partnerId]],'Partner data'!DG:DG,0),13),"Rendiconto CONVALIDATO")</f>
        <v>Rendiconto CONVALIDATO</v>
      </c>
      <c r="AA133"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33" s="81" t="str">
        <f>IF(OR(I_Miei_Rendiconti[[#This Row],[N. previouse validated report ]]="Rendiconto CONVALIDATO",I_Miei_Rendiconti[[#This Row],[N. previouse validated report ]]="NON è stato convalidato ancora nessun rendiconto"),"NON PERTINENTE","fai la fromula")</f>
        <v>NON PERTINENTE</v>
      </c>
      <c r="AC133"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33" s="2">
        <f>INDEX('Partner data'!DG:DJ,MATCH(I_Miei_Rendiconti[[#This Row],[Column1.partnerId]],'Partner data'!DG:DG,0),3)</f>
        <v>2</v>
      </c>
      <c r="AE133" t="str" cm="1">
        <f t="array" ref="AE133">INDEX('Varie Tabelle'!$A$37:$C$51,MATCH(1,(I_Miei_Rendiconti[[#This Row],[Column1.firstSubmission]]&gt;='Varie Tabelle'!$B$37:$B$51)*(I_Miei_Rendiconti[[#This Row],[Column1.firstSubmission]]&lt;'Varie Tabelle'!$C$37:$C$51),0),1)</f>
        <v>Finestra 2</v>
      </c>
      <c r="AF133" s="109">
        <f>INDEX('Varie Tabelle'!$A$37:$C$51,MATCH('MY-REPORT-MAIN'!AE133,'Varie Tabelle'!$A$37:$A$51,0),2)</f>
        <v>45352</v>
      </c>
      <c r="AG133" s="109">
        <f>INDEX('Partner data'!DG:DR,MATCH(I_Miei_Rendiconti[[#This Row],[Column1.partnerId]],'Partner data'!DG:DG,0),12)</f>
        <v>45108</v>
      </c>
      <c r="AH133" s="115">
        <f t="shared" si="4"/>
        <v>8.0236764222295296</v>
      </c>
      <c r="AI133" t="str" cm="1">
        <f t="array" ref="AI133">INDEX('Varie Tabelle'!$A$12:$C$22,MATCH(1,('MY-REPORT-MAIN'!AH133&gt;='Varie Tabelle'!$B$12:$B$22)*('MY-REPORT-MAIN'!AH133&lt;='Varie Tabelle'!$C$12:$C$22),0),1)</f>
        <v>Periodo-1</v>
      </c>
      <c r="AJ133" s="14">
        <f>INDEX('Partner data'!A:EC,MATCH(I_Miei_Rendiconti[[#This Row],[Column1.partnerId]],'Partner data'!DG:DG,0),MATCH('MY-REPORT-MAIN'!AI133,'Partner data'!$2:$2,0))</f>
        <v>32650.799999999999</v>
      </c>
      <c r="AK133" s="10">
        <f>SUMIFS($U$2:U133,$C$2:C133,I_Miei_Rendiconti[[#This Row],[Column1.partnerId]])-AJ133</f>
        <v>-8295.9200000000019</v>
      </c>
      <c r="AL133" s="16">
        <f>IFERROR(1-(I_Miei_Rendiconti[[#This Row],[Column1.totalAfterSubmitted]]/AJ133),0)</f>
        <v>0.55077027209134233</v>
      </c>
      <c r="AM133" s="14">
        <f>INDEX('Partner data'!A:EB,MATCH(I_Miei_Rendiconti[[#This Row],[Column1.partnerId]],'Partner data'!DG:DG,0),44)</f>
        <v>175089.6</v>
      </c>
      <c r="AN133" s="14">
        <f>SUMIFS(ListOfExpenditure!AP:AP,ListOfExpenditure!AJ:AJ,I_Miei_Rendiconti[[#This Row],[Column1.id]])</f>
        <v>0</v>
      </c>
      <c r="AO133" s="148">
        <f>SUMIFS(ReportSubmittedBL!W:W,ReportSubmittedBL!D:D,I_Miei_Rendiconti[[#This Row],[Column1.id]])</f>
        <v>8</v>
      </c>
      <c r="AP133" s="155" cm="1">
        <f t="array" ref="AP133">INDEX('Weight tables'!$A$32:$C$36,MATCH(1,('MY-REPORT-MAIN'!AO133&gt;='Weight tables'!$B$32:$B$36)*('MY-REPORT-MAIN'!AO133&lt;='Weight tables'!$C$32:$C$36),0),1)</f>
        <v>6.3</v>
      </c>
      <c r="AQ133" s="155">
        <f>INDEX('Weight tables'!$A$39:$B$41,MATCH(I_Miei_Rendiconti[[#This Row],[Previouse Report checked?yes/no]],'Weight tables'!$B$39:$B$41,0),1)</f>
        <v>8.4</v>
      </c>
      <c r="AR133" s="155" cm="1">
        <f t="array" ref="AR133">IF(I_Miei_Rendiconti[[#This Row],[Sum of errors in previous report ]]="NON PERTINENTE",0,INDEX('Weight tables'!$A$43:$C$46,MATCH(1,(I_Miei_Rendiconti[[#This Row],[Sum of errors in previous report ]]&gt;='Weight tables'!$B$43:$B$46)*(I_Miei_Rendiconti[[#This Row],[Sum of errors in previous report ]]&lt;='Weight tables'!$C$43:$C$46),0),1))</f>
        <v>0</v>
      </c>
      <c r="AS133" s="155" cm="1">
        <f t="array" ref="AS133">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33" s="155" cm="1">
        <f t="array" ref="AT133">INDEX('Weight tables'!$A$56:$C$65,MATCH(1,('MY-REPORT-MAIN'!U133&gt;='Weight tables'!$B$56:$B$65)*('MY-REPORT-MAIN'!U133&lt;='Weight tables'!$C$56:$C$65),0),1)</f>
        <v>1</v>
      </c>
      <c r="AU133" s="155" cm="1">
        <f t="array" ref="AU133">INDEX('Weight tables'!$A$68:$C$71,MATCH(1,('MY-REPORT-MAIN'!AL133&gt;='Weight tables'!$B$68:$B$71)*('MY-REPORT-MAIN'!AL133&lt;='Weight tables'!$C$68:$C$71),0),1)</f>
        <v>2</v>
      </c>
      <c r="AV133" s="155" cm="1">
        <f t="array" ref="AV133">INDEX('Weight tables'!$A$74:$C$78,MATCH(1,('MY-REPORT-MAIN'!AN133&gt;='Weight tables'!$B$74:$B$78)*('MY-REPORT-MAIN'!AN133&lt;='Weight tables'!$C$74:$C$78),0),1)</f>
        <v>0</v>
      </c>
      <c r="AW133" s="16">
        <f>IF(I_Miei_Rendiconti[[#This Row],[Column1.totalAfterSubmitted]]/AM133&gt;50%,"Checked",0)</f>
        <v>0</v>
      </c>
      <c r="AX133" s="155">
        <f t="shared" si="5"/>
        <v>17.7</v>
      </c>
      <c r="AY133" s="155" t="str">
        <f>INDEX('Partner data'!A:EB,MATCH(I_Miei_Rendiconti[[#This Row],[Column1.partnerId]],'Partner data'!DG:DG,0),92)</f>
        <v>Italia (IT)</v>
      </c>
    </row>
    <row r="134" spans="1:51" ht="30" x14ac:dyDescent="0.25">
      <c r="A134" s="79">
        <v>253</v>
      </c>
      <c r="B134" s="79">
        <v>92</v>
      </c>
      <c r="C134" s="79">
        <v>317</v>
      </c>
      <c r="D134" s="79" t="s">
        <v>2433</v>
      </c>
      <c r="E134" s="79" t="s">
        <v>253</v>
      </c>
      <c r="F134" s="79">
        <v>3</v>
      </c>
      <c r="G134" s="206" t="s">
        <v>28</v>
      </c>
      <c r="H134" s="79">
        <v>2</v>
      </c>
      <c r="I134" s="79" t="s">
        <v>4339</v>
      </c>
      <c r="J134" s="79" t="s">
        <v>2435</v>
      </c>
      <c r="K134" s="208">
        <v>45386.448780625004</v>
      </c>
      <c r="M134" s="208">
        <v>45482.36493329861</v>
      </c>
      <c r="N134" s="79" t="s">
        <v>4485</v>
      </c>
      <c r="O134" s="79" t="s">
        <v>4347</v>
      </c>
      <c r="P134" s="79" t="s">
        <v>4348</v>
      </c>
      <c r="Q134" s="79" t="s">
        <v>4343</v>
      </c>
      <c r="R134" s="79">
        <v>41</v>
      </c>
      <c r="S134" s="79">
        <v>2</v>
      </c>
      <c r="T134" s="81">
        <v>28260.400000000001</v>
      </c>
      <c r="U134" s="81">
        <v>28260.400000000001</v>
      </c>
      <c r="V134" s="79" t="str">
        <f>INDEX(pARTNER[#All],MATCH(I_Miei_Rendiconti[[#This Row],[Column1.partnerId]],pARTNER[[#All],[Value.partnerSummary.id]],0),2)</f>
        <v>KRAS-CARSO II</v>
      </c>
      <c r="W134" s="79" t="b">
        <v>0</v>
      </c>
      <c r="X134" s="82">
        <f>I_Miei_Rendiconti[[#This Row],[Column1.totalAfterSubmitted]]-I_Miei_Rendiconti[[#This Row],[Column1.totalEligibleAfterControl]]</f>
        <v>0</v>
      </c>
      <c r="Y134" s="80">
        <f>IF(I_Miei_Rendiconti[[#This Row],[Column1.status]]="Certified",IFERROR(I_Miei_Rendiconti[[#This Row],[Financial corection]]/I_Miei_Rendiconti[[#This Row],[Column1.totalAfterSubmitted]],0),"Rendiconto da certificare")</f>
        <v>0</v>
      </c>
      <c r="Z134" s="207" t="str">
        <f>IF(I_Miei_Rendiconti[[#This Row],[Column1.status]]&lt;&gt;"Certified",INDEX('Partner data'!DG:DQ,MATCH(I_Miei_Rendiconti[[#This Row],[Column1.partnerId]],'Partner data'!DG:DG,0),13),"Rendiconto CONVALIDATO")</f>
        <v>Rendiconto CONVALIDATO</v>
      </c>
      <c r="AA134"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34" s="81" t="str">
        <f>IF(OR(I_Miei_Rendiconti[[#This Row],[N. previouse validated report ]]="Rendiconto CONVALIDATO",I_Miei_Rendiconti[[#This Row],[N. previouse validated report ]]="NON è stato convalidato ancora nessun rendiconto"),"NON PERTINENTE","fai la fromula")</f>
        <v>NON PERTINENTE</v>
      </c>
      <c r="AC134"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34" s="2">
        <f>INDEX('Partner data'!DG:DJ,MATCH(I_Miei_Rendiconti[[#This Row],[Column1.partnerId]],'Partner data'!DG:DG,0),3)</f>
        <v>2</v>
      </c>
      <c r="AE134" t="str" cm="1">
        <f t="array" ref="AE134">INDEX('Varie Tabelle'!$A$37:$C$51,MATCH(1,(I_Miei_Rendiconti[[#This Row],[Column1.firstSubmission]]&gt;='Varie Tabelle'!$B$37:$B$51)*(I_Miei_Rendiconti[[#This Row],[Column1.firstSubmission]]&lt;'Varie Tabelle'!$C$37:$C$51),0),1)</f>
        <v>Finestra 2</v>
      </c>
      <c r="AF134" s="109">
        <f>INDEX('Varie Tabelle'!$A$37:$C$51,MATCH('MY-REPORT-MAIN'!AE134,'Varie Tabelle'!$A$37:$A$51,0),2)</f>
        <v>45352</v>
      </c>
      <c r="AG134" s="109">
        <f>INDEX('Partner data'!DG:DR,MATCH(I_Miei_Rendiconti[[#This Row],[Column1.partnerId]],'Partner data'!DG:DG,0),12)</f>
        <v>44927</v>
      </c>
      <c r="AH134" s="115">
        <f t="shared" si="4"/>
        <v>13.975665899375205</v>
      </c>
      <c r="AI134" t="str" cm="1">
        <f t="array" ref="AI134">INDEX('Varie Tabelle'!$A$12:$C$22,MATCH(1,('MY-REPORT-MAIN'!AH134&gt;='Varie Tabelle'!$B$12:$B$22)*('MY-REPORT-MAIN'!AH134&lt;='Varie Tabelle'!$C$12:$C$22),0),1)</f>
        <v>Periodo-2</v>
      </c>
      <c r="AJ134" s="14">
        <f>INDEX('Partner data'!A:EC,MATCH(I_Miei_Rendiconti[[#This Row],[Column1.partnerId]],'Partner data'!DG:DG,0),MATCH('MY-REPORT-MAIN'!AI134,'Partner data'!$2:$2,0))</f>
        <v>59966.64</v>
      </c>
      <c r="AK134" s="10">
        <f>SUMIFS($U$2:U134,$C$2:C134,I_Miei_Rendiconti[[#This Row],[Column1.partnerId]])-AJ134</f>
        <v>-8603.14</v>
      </c>
      <c r="AL134" s="16">
        <f>IFERROR(1-(I_Miei_Rendiconti[[#This Row],[Column1.totalAfterSubmitted]]/AJ134),0)</f>
        <v>0.52873130794054823</v>
      </c>
      <c r="AM134" s="14">
        <f>INDEX('Partner data'!A:EB,MATCH(I_Miei_Rendiconti[[#This Row],[Column1.partnerId]],'Partner data'!DG:DG,0),44)</f>
        <v>188300</v>
      </c>
      <c r="AN134" s="14">
        <f>SUMIFS(ListOfExpenditure!AP:AP,ListOfExpenditure!AJ:AJ,I_Miei_Rendiconti[[#This Row],[Column1.id]])</f>
        <v>0</v>
      </c>
      <c r="AO134" s="148">
        <f>SUMIFS(ReportSubmittedBL!W:W,ReportSubmittedBL!D:D,I_Miei_Rendiconti[[#This Row],[Column1.id]])</f>
        <v>8</v>
      </c>
      <c r="AP134" s="155" cm="1">
        <f t="array" ref="AP134">INDEX('Weight tables'!$A$32:$C$36,MATCH(1,('MY-REPORT-MAIN'!AO134&gt;='Weight tables'!$B$32:$B$36)*('MY-REPORT-MAIN'!AO134&lt;='Weight tables'!$C$32:$C$36),0),1)</f>
        <v>6.3</v>
      </c>
      <c r="AQ134" s="155">
        <f>INDEX('Weight tables'!$A$39:$B$41,MATCH(I_Miei_Rendiconti[[#This Row],[Previouse Report checked?yes/no]],'Weight tables'!$B$39:$B$41,0),1)</f>
        <v>8.4</v>
      </c>
      <c r="AR134" s="155" cm="1">
        <f t="array" ref="AR134">IF(I_Miei_Rendiconti[[#This Row],[Sum of errors in previous report ]]="NON PERTINENTE",0,INDEX('Weight tables'!$A$43:$C$46,MATCH(1,(I_Miei_Rendiconti[[#This Row],[Sum of errors in previous report ]]&gt;='Weight tables'!$B$43:$B$46)*(I_Miei_Rendiconti[[#This Row],[Sum of errors in previous report ]]&lt;='Weight tables'!$C$43:$C$46),0),1))</f>
        <v>0</v>
      </c>
      <c r="AS134" s="155" cm="1">
        <f t="array" ref="AS134">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34" s="155" cm="1">
        <f t="array" ref="AT134">INDEX('Weight tables'!$A$56:$C$65,MATCH(1,('MY-REPORT-MAIN'!U134&gt;='Weight tables'!$B$56:$B$65)*('MY-REPORT-MAIN'!U134&lt;='Weight tables'!$C$56:$C$65),0),1)</f>
        <v>2</v>
      </c>
      <c r="AU134" s="155" cm="1">
        <f t="array" ref="AU134">INDEX('Weight tables'!$A$68:$C$71,MATCH(1,('MY-REPORT-MAIN'!AL134&gt;='Weight tables'!$B$68:$B$71)*('MY-REPORT-MAIN'!AL134&lt;='Weight tables'!$C$68:$C$71),0),1)</f>
        <v>2</v>
      </c>
      <c r="AV134" s="155" cm="1">
        <f t="array" ref="AV134">INDEX('Weight tables'!$A$74:$C$78,MATCH(1,('MY-REPORT-MAIN'!AN134&gt;='Weight tables'!$B$74:$B$78)*('MY-REPORT-MAIN'!AN134&lt;='Weight tables'!$C$74:$C$78),0),1)</f>
        <v>0</v>
      </c>
      <c r="AW134" s="16">
        <f>IF(I_Miei_Rendiconti[[#This Row],[Column1.totalAfterSubmitted]]/AM134&gt;50%,"Checked",0)</f>
        <v>0</v>
      </c>
      <c r="AX134" s="155">
        <f t="shared" si="5"/>
        <v>18.7</v>
      </c>
      <c r="AY134" s="155" t="str">
        <f>INDEX('Partner data'!A:EB,MATCH(I_Miei_Rendiconti[[#This Row],[Column1.partnerId]],'Partner data'!DG:DG,0),92)</f>
        <v>Slovenija (SI)</v>
      </c>
    </row>
    <row r="135" spans="1:51" ht="30" x14ac:dyDescent="0.25">
      <c r="A135" s="79">
        <v>162</v>
      </c>
      <c r="B135" s="79">
        <v>76</v>
      </c>
      <c r="C135" s="79">
        <v>210</v>
      </c>
      <c r="D135" s="79" t="s">
        <v>2087</v>
      </c>
      <c r="E135" s="79" t="s">
        <v>253</v>
      </c>
      <c r="F135" s="79">
        <v>4</v>
      </c>
      <c r="G135" s="206" t="s">
        <v>320</v>
      </c>
      <c r="H135" s="79">
        <v>1</v>
      </c>
      <c r="I135" s="79" t="s">
        <v>4339</v>
      </c>
      <c r="J135" s="79" t="s">
        <v>1118</v>
      </c>
      <c r="K135" s="208">
        <v>45386.456657060182</v>
      </c>
      <c r="M135" s="208">
        <v>45469.548508761574</v>
      </c>
      <c r="N135" s="79" t="s">
        <v>4416</v>
      </c>
      <c r="O135" s="79" t="s">
        <v>4347</v>
      </c>
      <c r="P135" s="79" t="s">
        <v>4348</v>
      </c>
      <c r="Q135" s="79" t="s">
        <v>4343</v>
      </c>
      <c r="R135" s="79">
        <v>40</v>
      </c>
      <c r="S135" s="79">
        <v>1</v>
      </c>
      <c r="T135" s="81">
        <v>24424.05</v>
      </c>
      <c r="U135" s="81">
        <v>33468.980000000003</v>
      </c>
      <c r="V135" s="79" t="str">
        <f>INDEX(pARTNER[#All],MATCH(I_Miei_Rendiconti[[#This Row],[Column1.partnerId]],pARTNER[[#All],[Value.partnerSummary.id]],0),2)</f>
        <v>BEE2GETHER</v>
      </c>
      <c r="W135" s="79" t="b">
        <v>0</v>
      </c>
      <c r="X135" s="82">
        <f>I_Miei_Rendiconti[[#This Row],[Column1.totalAfterSubmitted]]-I_Miei_Rendiconti[[#This Row],[Column1.totalEligibleAfterControl]]</f>
        <v>9044.9300000000039</v>
      </c>
      <c r="Y135" s="80">
        <f>IF(I_Miei_Rendiconti[[#This Row],[Column1.status]]="Certified",IFERROR(I_Miei_Rendiconti[[#This Row],[Financial corection]]/I_Miei_Rendiconti[[#This Row],[Column1.totalAfterSubmitted]],0),"Rendiconto da certificare")</f>
        <v>0.27024815216956127</v>
      </c>
      <c r="Z135" s="207" t="str">
        <f>IF(I_Miei_Rendiconti[[#This Row],[Column1.status]]&lt;&gt;"Certified",INDEX('Partner data'!DG:DQ,MATCH(I_Miei_Rendiconti[[#This Row],[Column1.partnerId]],'Partner data'!DG:DG,0),13),"Rendiconto CONVALIDATO")</f>
        <v>Rendiconto CONVALIDATO</v>
      </c>
      <c r="AA135"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35" s="81" t="str">
        <f>IF(OR(I_Miei_Rendiconti[[#This Row],[N. previouse validated report ]]="Rendiconto CONVALIDATO",I_Miei_Rendiconti[[#This Row],[N. previouse validated report ]]="NON è stato convalidato ancora nessun rendiconto"),"NON PERTINENTE","fai la fromula")</f>
        <v>NON PERTINENTE</v>
      </c>
      <c r="AC135"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35" s="2">
        <f>INDEX('Partner data'!DG:DJ,MATCH(I_Miei_Rendiconti[[#This Row],[Column1.partnerId]],'Partner data'!DG:DG,0),3)</f>
        <v>1</v>
      </c>
      <c r="AE135" t="str" cm="1">
        <f t="array" ref="AE135">INDEX('Varie Tabelle'!$A$37:$C$51,MATCH(1,(I_Miei_Rendiconti[[#This Row],[Column1.firstSubmission]]&gt;='Varie Tabelle'!$B$37:$B$51)*(I_Miei_Rendiconti[[#This Row],[Column1.firstSubmission]]&lt;'Varie Tabelle'!$C$37:$C$51),0),1)</f>
        <v>Finestra 2</v>
      </c>
      <c r="AF135" s="109">
        <f>INDEX('Varie Tabelle'!$A$37:$C$51,MATCH('MY-REPORT-MAIN'!AE135,'Varie Tabelle'!$A$37:$A$51,0),2)</f>
        <v>45352</v>
      </c>
      <c r="AG135" s="109">
        <f>INDEX('Partner data'!DG:DR,MATCH(I_Miei_Rendiconti[[#This Row],[Column1.partnerId]],'Partner data'!DG:DG,0),12)</f>
        <v>45170</v>
      </c>
      <c r="AH135" s="115">
        <f t="shared" si="4"/>
        <v>5.9848733969089114</v>
      </c>
      <c r="AI135" t="str" cm="1">
        <f t="array" ref="AI135">INDEX('Varie Tabelle'!$A$12:$C$22,MATCH(1,('MY-REPORT-MAIN'!AH135&gt;='Varie Tabelle'!$B$12:$B$22)*('MY-REPORT-MAIN'!AH135&lt;='Varie Tabelle'!$C$12:$C$22),0),1)</f>
        <v>Periodo-1</v>
      </c>
      <c r="AJ135" s="14">
        <f>INDEX('Partner data'!A:EC,MATCH(I_Miei_Rendiconti[[#This Row],[Column1.partnerId]],'Partner data'!DG:DG,0),MATCH('MY-REPORT-MAIN'!AI135,'Partner data'!$2:$2,0))</f>
        <v>31668</v>
      </c>
      <c r="AK135" s="10">
        <f>SUMIFS($U$2:U135,$C$2:C135,I_Miei_Rendiconti[[#This Row],[Column1.partnerId]])-AJ135</f>
        <v>1800.9800000000032</v>
      </c>
      <c r="AL135" s="16">
        <f>IFERROR(1-(I_Miei_Rendiconti[[#This Row],[Column1.totalAfterSubmitted]]/AJ135),0)</f>
        <v>-5.6870658077554648E-2</v>
      </c>
      <c r="AM135" s="14">
        <f>INDEX('Partner data'!A:EB,MATCH(I_Miei_Rendiconti[[#This Row],[Column1.partnerId]],'Partner data'!DG:DG,0),44)</f>
        <v>126672</v>
      </c>
      <c r="AN135" s="14">
        <f>SUMIFS(ListOfExpenditure!AP:AP,ListOfExpenditure!AJ:AJ,I_Miei_Rendiconti[[#This Row],[Column1.id]])</f>
        <v>0</v>
      </c>
      <c r="AO135" s="148">
        <f>SUMIFS(ReportSubmittedBL!W:W,ReportSubmittedBL!D:D,I_Miei_Rendiconti[[#This Row],[Column1.id]])</f>
        <v>8</v>
      </c>
      <c r="AP135" s="155" cm="1">
        <f t="array" ref="AP135">INDEX('Weight tables'!$A$32:$C$36,MATCH(1,('MY-REPORT-MAIN'!AO135&gt;='Weight tables'!$B$32:$B$36)*('MY-REPORT-MAIN'!AO135&lt;='Weight tables'!$C$32:$C$36),0),1)</f>
        <v>6.3</v>
      </c>
      <c r="AQ135" s="155">
        <f>INDEX('Weight tables'!$A$39:$B$41,MATCH(I_Miei_Rendiconti[[#This Row],[Previouse Report checked?yes/no]],'Weight tables'!$B$39:$B$41,0),1)</f>
        <v>8.4</v>
      </c>
      <c r="AR135" s="155" cm="1">
        <f t="array" ref="AR135">IF(I_Miei_Rendiconti[[#This Row],[Sum of errors in previous report ]]="NON PERTINENTE",0,INDEX('Weight tables'!$A$43:$C$46,MATCH(1,(I_Miei_Rendiconti[[#This Row],[Sum of errors in previous report ]]&gt;='Weight tables'!$B$43:$B$46)*(I_Miei_Rendiconti[[#This Row],[Sum of errors in previous report ]]&lt;='Weight tables'!$C$43:$C$46),0),1))</f>
        <v>0</v>
      </c>
      <c r="AS135" s="155" cm="1">
        <f t="array" ref="AS135">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35" s="155" cm="1">
        <f t="array" ref="AT135">INDEX('Weight tables'!$A$56:$C$65,MATCH(1,('MY-REPORT-MAIN'!U135&gt;='Weight tables'!$B$56:$B$65)*('MY-REPORT-MAIN'!U135&lt;='Weight tables'!$C$56:$C$65),0),1)</f>
        <v>3</v>
      </c>
      <c r="AU135" s="155" cm="1">
        <f t="array" ref="AU135">INDEX('Weight tables'!$A$68:$C$71,MATCH(1,('MY-REPORT-MAIN'!AL135&gt;='Weight tables'!$B$68:$B$71)*('MY-REPORT-MAIN'!AL135&lt;='Weight tables'!$C$68:$C$71),0),1)</f>
        <v>0</v>
      </c>
      <c r="AV135" s="155" cm="1">
        <f t="array" ref="AV135">INDEX('Weight tables'!$A$74:$C$78,MATCH(1,('MY-REPORT-MAIN'!AN135&gt;='Weight tables'!$B$74:$B$78)*('MY-REPORT-MAIN'!AN135&lt;='Weight tables'!$C$74:$C$78),0),1)</f>
        <v>0</v>
      </c>
      <c r="AW135" s="16">
        <f>IF(I_Miei_Rendiconti[[#This Row],[Column1.totalAfterSubmitted]]/AM135&gt;50%,"Checked",0)</f>
        <v>0</v>
      </c>
      <c r="AX135" s="155">
        <f t="shared" si="5"/>
        <v>17.7</v>
      </c>
      <c r="AY135" s="155" t="str">
        <f>INDEX('Partner data'!A:EB,MATCH(I_Miei_Rendiconti[[#This Row],[Column1.partnerId]],'Partner data'!DG:DG,0),92)</f>
        <v>Slovenija (SI)</v>
      </c>
    </row>
    <row r="136" spans="1:51" ht="30" x14ac:dyDescent="0.25">
      <c r="A136" s="79">
        <v>180</v>
      </c>
      <c r="B136" s="79">
        <v>43</v>
      </c>
      <c r="C136" s="79">
        <v>64</v>
      </c>
      <c r="D136" s="79" t="s">
        <v>1041</v>
      </c>
      <c r="E136" s="79" t="s">
        <v>253</v>
      </c>
      <c r="F136" s="79">
        <v>5</v>
      </c>
      <c r="G136" s="206" t="s">
        <v>289</v>
      </c>
      <c r="H136" s="79">
        <v>1</v>
      </c>
      <c r="I136" s="79" t="s">
        <v>4339</v>
      </c>
      <c r="J136" s="79" t="s">
        <v>1043</v>
      </c>
      <c r="K136" s="208">
        <v>45386.464671076392</v>
      </c>
      <c r="M136" s="208">
        <v>45477.501556064817</v>
      </c>
      <c r="N136" s="79" t="s">
        <v>4429</v>
      </c>
      <c r="O136" s="79" t="s">
        <v>4363</v>
      </c>
      <c r="P136" s="79" t="s">
        <v>4430</v>
      </c>
      <c r="Q136" s="79" t="s">
        <v>4343</v>
      </c>
      <c r="T136" s="81">
        <v>7218.14</v>
      </c>
      <c r="U136" s="81">
        <v>13589.82</v>
      </c>
      <c r="V136" s="79" t="str">
        <f>INDEX(pARTNER[#All],MATCH(I_Miei_Rendiconti[[#This Row],[Column1.partnerId]],pARTNER[[#All],[Value.partnerSummary.id]],0),2)</f>
        <v>IRRIGAVIT</v>
      </c>
      <c r="W136" s="79" t="b">
        <v>0</v>
      </c>
      <c r="X136" s="82">
        <f>I_Miei_Rendiconti[[#This Row],[Column1.totalAfterSubmitted]]-I_Miei_Rendiconti[[#This Row],[Column1.totalEligibleAfterControl]]</f>
        <v>6371.6799999999994</v>
      </c>
      <c r="Y136" s="80">
        <f>IF(I_Miei_Rendiconti[[#This Row],[Column1.status]]="Certified",IFERROR(I_Miei_Rendiconti[[#This Row],[Financial corection]]/I_Miei_Rendiconti[[#This Row],[Column1.totalAfterSubmitted]],0),"Rendiconto da certificare")</f>
        <v>0.46885683548420798</v>
      </c>
      <c r="Z136" s="207" t="str">
        <f>IF(I_Miei_Rendiconti[[#This Row],[Column1.status]]&lt;&gt;"Certified",INDEX('Partner data'!DG:DQ,MATCH(I_Miei_Rendiconti[[#This Row],[Column1.partnerId]],'Partner data'!DG:DG,0),13),"Rendiconto CONVALIDATO")</f>
        <v>Rendiconto CONVALIDATO</v>
      </c>
      <c r="AA136"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36" s="81" t="str">
        <f>IF(OR(I_Miei_Rendiconti[[#This Row],[N. previouse validated report ]]="Rendiconto CONVALIDATO",I_Miei_Rendiconti[[#This Row],[N. previouse validated report ]]="NON è stato convalidato ancora nessun rendiconto"),"NON PERTINENTE","fai la fromula")</f>
        <v>NON PERTINENTE</v>
      </c>
      <c r="AC136"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36" s="2">
        <f>INDEX('Partner data'!DG:DJ,MATCH(I_Miei_Rendiconti[[#This Row],[Column1.partnerId]],'Partner data'!DG:DG,0),3)</f>
        <v>1</v>
      </c>
      <c r="AE136" t="str" cm="1">
        <f t="array" ref="AE136">INDEX('Varie Tabelle'!$A$37:$C$51,MATCH(1,(I_Miei_Rendiconti[[#This Row],[Column1.firstSubmission]]&gt;='Varie Tabelle'!$B$37:$B$51)*(I_Miei_Rendiconti[[#This Row],[Column1.firstSubmission]]&lt;'Varie Tabelle'!$C$37:$C$51),0),1)</f>
        <v>Finestra 2</v>
      </c>
      <c r="AF136" s="109">
        <f>INDEX('Varie Tabelle'!$A$37:$C$51,MATCH('MY-REPORT-MAIN'!AE136,'Varie Tabelle'!$A$37:$A$51,0),2)</f>
        <v>45352</v>
      </c>
      <c r="AG136" s="109">
        <f>INDEX('Partner data'!DG:DR,MATCH(I_Miei_Rendiconti[[#This Row],[Column1.partnerId]],'Partner data'!DG:DG,0),12)</f>
        <v>45200</v>
      </c>
      <c r="AH136" s="115">
        <f t="shared" si="4"/>
        <v>4.9983558040118385</v>
      </c>
      <c r="AI136" t="str" cm="1">
        <f t="array" ref="AI136">INDEX('Varie Tabelle'!$A$12:$C$22,MATCH(1,('MY-REPORT-MAIN'!AH136&gt;='Varie Tabelle'!$B$12:$B$22)*('MY-REPORT-MAIN'!AH136&lt;='Varie Tabelle'!$C$12:$C$22),0),1)</f>
        <v>Periodo-1</v>
      </c>
      <c r="AJ136" s="14">
        <f>INDEX('Partner data'!A:EC,MATCH(I_Miei_Rendiconti[[#This Row],[Column1.partnerId]],'Partner data'!DG:DG,0),MATCH('MY-REPORT-MAIN'!AI136,'Partner data'!$2:$2,0))</f>
        <v>21760</v>
      </c>
      <c r="AK136" s="10">
        <f>SUMIFS($U$2:U136,$C$2:C136,I_Miei_Rendiconti[[#This Row],[Column1.partnerId]])-AJ136</f>
        <v>-8170.18</v>
      </c>
      <c r="AL136" s="16">
        <f>IFERROR(1-(I_Miei_Rendiconti[[#This Row],[Column1.totalAfterSubmitted]]/AJ136),0)</f>
        <v>0.37546783088235292</v>
      </c>
      <c r="AM136" s="14">
        <f>INDEX('Partner data'!A:EB,MATCH(I_Miei_Rendiconti[[#This Row],[Column1.partnerId]],'Partner data'!DG:DG,0),44)</f>
        <v>79999.240000000005</v>
      </c>
      <c r="AN136" s="14">
        <f>SUMIFS(ListOfExpenditure!AP:AP,ListOfExpenditure!AJ:AJ,I_Miei_Rendiconti[[#This Row],[Column1.id]])</f>
        <v>0</v>
      </c>
      <c r="AO136" s="148">
        <f>SUMIFS(ReportSubmittedBL!W:W,ReportSubmittedBL!D:D,I_Miei_Rendiconti[[#This Row],[Column1.id]])</f>
        <v>14</v>
      </c>
      <c r="AP136" s="155" cm="1">
        <f t="array" ref="AP136">INDEX('Weight tables'!$A$32:$C$36,MATCH(1,('MY-REPORT-MAIN'!AO136&gt;='Weight tables'!$B$32:$B$36)*('MY-REPORT-MAIN'!AO136&lt;='Weight tables'!$C$32:$C$36),0),1)</f>
        <v>8.4</v>
      </c>
      <c r="AQ136" s="155">
        <f>INDEX('Weight tables'!$A$39:$B$41,MATCH(I_Miei_Rendiconti[[#This Row],[Previouse Report checked?yes/no]],'Weight tables'!$B$39:$B$41,0),1)</f>
        <v>8.4</v>
      </c>
      <c r="AR136" s="155" cm="1">
        <f t="array" ref="AR136">IF(I_Miei_Rendiconti[[#This Row],[Sum of errors in previous report ]]="NON PERTINENTE",0,INDEX('Weight tables'!$A$43:$C$46,MATCH(1,(I_Miei_Rendiconti[[#This Row],[Sum of errors in previous report ]]&gt;='Weight tables'!$B$43:$B$46)*(I_Miei_Rendiconti[[#This Row],[Sum of errors in previous report ]]&lt;='Weight tables'!$C$43:$C$46),0),1))</f>
        <v>0</v>
      </c>
      <c r="AS136" s="155" cm="1">
        <f t="array" ref="AS136">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36" s="155" cm="1">
        <f t="array" ref="AT136">INDEX('Weight tables'!$A$56:$C$65,MATCH(1,('MY-REPORT-MAIN'!U136&gt;='Weight tables'!$B$56:$B$65)*('MY-REPORT-MAIN'!U136&lt;='Weight tables'!$C$56:$C$65),0),1)</f>
        <v>1</v>
      </c>
      <c r="AU136" s="155" cm="1">
        <f t="array" ref="AU136">INDEX('Weight tables'!$A$68:$C$71,MATCH(1,('MY-REPORT-MAIN'!AL136&gt;='Weight tables'!$B$68:$B$71)*('MY-REPORT-MAIN'!AL136&lt;='Weight tables'!$C$68:$C$71),0),1)</f>
        <v>2</v>
      </c>
      <c r="AV136" s="155" cm="1">
        <f t="array" ref="AV136">INDEX('Weight tables'!$A$74:$C$78,MATCH(1,('MY-REPORT-MAIN'!AN136&gt;='Weight tables'!$B$74:$B$78)*('MY-REPORT-MAIN'!AN136&lt;='Weight tables'!$C$74:$C$78),0),1)</f>
        <v>0</v>
      </c>
      <c r="AW136" s="16">
        <f>IF(I_Miei_Rendiconti[[#This Row],[Column1.totalAfterSubmitted]]/AM136&gt;50%,"Checked",0)</f>
        <v>0</v>
      </c>
      <c r="AX136" s="155">
        <f t="shared" si="5"/>
        <v>19.8</v>
      </c>
      <c r="AY136" s="155" t="str">
        <f>INDEX('Partner data'!A:EB,MATCH(I_Miei_Rendiconti[[#This Row],[Column1.partnerId]],'Partner data'!DG:DG,0),92)</f>
        <v>Italia (IT)</v>
      </c>
    </row>
    <row r="137" spans="1:51" ht="30" x14ac:dyDescent="0.25">
      <c r="A137" s="79">
        <v>211</v>
      </c>
      <c r="B137" s="79">
        <v>83</v>
      </c>
      <c r="C137" s="79">
        <v>240</v>
      </c>
      <c r="D137" s="79" t="s">
        <v>2171</v>
      </c>
      <c r="E137" s="79" t="s">
        <v>253</v>
      </c>
      <c r="F137" s="79">
        <v>3</v>
      </c>
      <c r="G137" s="206" t="s">
        <v>342</v>
      </c>
      <c r="H137" s="79">
        <v>1</v>
      </c>
      <c r="I137" s="79" t="s">
        <v>4339</v>
      </c>
      <c r="J137" s="79" t="s">
        <v>593</v>
      </c>
      <c r="K137" s="208">
        <v>45386.553920289349</v>
      </c>
      <c r="M137" s="208">
        <v>45482.367462939816</v>
      </c>
      <c r="N137" s="79" t="s">
        <v>4452</v>
      </c>
      <c r="O137" s="79" t="s">
        <v>4363</v>
      </c>
      <c r="P137" s="79" t="s">
        <v>4348</v>
      </c>
      <c r="Q137" s="79" t="s">
        <v>4343</v>
      </c>
      <c r="T137" s="81">
        <v>2442.1999999999998</v>
      </c>
      <c r="U137" s="81">
        <v>2442.1999999999998</v>
      </c>
      <c r="V137" s="79" t="str">
        <f>INDEX(pARTNER[#All],MATCH(I_Miei_Rendiconti[[#This Row],[Column1.partnerId]],pARTNER[[#All],[Value.partnerSummary.id]],0),2)</f>
        <v>IN4SAFETY</v>
      </c>
      <c r="W137" s="79" t="b">
        <v>0</v>
      </c>
      <c r="X137" s="82">
        <f>I_Miei_Rendiconti[[#This Row],[Column1.totalAfterSubmitted]]-I_Miei_Rendiconti[[#This Row],[Column1.totalEligibleAfterControl]]</f>
        <v>0</v>
      </c>
      <c r="Y137" s="80">
        <f>IF(I_Miei_Rendiconti[[#This Row],[Column1.status]]="Certified",IFERROR(I_Miei_Rendiconti[[#This Row],[Financial corection]]/I_Miei_Rendiconti[[#This Row],[Column1.totalAfterSubmitted]],0),"Rendiconto da certificare")</f>
        <v>0</v>
      </c>
      <c r="Z137" s="207" t="str">
        <f>IF(I_Miei_Rendiconti[[#This Row],[Column1.status]]&lt;&gt;"Certified",INDEX('Partner data'!DG:DQ,MATCH(I_Miei_Rendiconti[[#This Row],[Column1.partnerId]],'Partner data'!DG:DG,0),13),"Rendiconto CONVALIDATO")</f>
        <v>Rendiconto CONVALIDATO</v>
      </c>
      <c r="AA137"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37" s="81" t="str">
        <f>IF(OR(I_Miei_Rendiconti[[#This Row],[N. previouse validated report ]]="Rendiconto CONVALIDATO",I_Miei_Rendiconti[[#This Row],[N. previouse validated report ]]="NON è stato convalidato ancora nessun rendiconto"),"NON PERTINENTE","fai la fromula")</f>
        <v>NON PERTINENTE</v>
      </c>
      <c r="AC137"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37" s="2">
        <f>INDEX('Partner data'!DG:DJ,MATCH(I_Miei_Rendiconti[[#This Row],[Column1.partnerId]],'Partner data'!DG:DG,0),3)</f>
        <v>1</v>
      </c>
      <c r="AE137" t="str" cm="1">
        <f t="array" ref="AE137">INDEX('Varie Tabelle'!$A$37:$C$51,MATCH(1,(I_Miei_Rendiconti[[#This Row],[Column1.firstSubmission]]&gt;='Varie Tabelle'!$B$37:$B$51)*(I_Miei_Rendiconti[[#This Row],[Column1.firstSubmission]]&lt;'Varie Tabelle'!$C$37:$C$51),0),1)</f>
        <v>Finestra 2</v>
      </c>
      <c r="AF137" s="109">
        <f>INDEX('Varie Tabelle'!$A$37:$C$51,MATCH('MY-REPORT-MAIN'!AE137,'Varie Tabelle'!$A$37:$A$51,0),2)</f>
        <v>45352</v>
      </c>
      <c r="AG137" s="109">
        <f>INDEX('Partner data'!DG:DR,MATCH(I_Miei_Rendiconti[[#This Row],[Column1.partnerId]],'Partner data'!DG:DG,0),12)</f>
        <v>45200</v>
      </c>
      <c r="AH137" s="115">
        <f t="shared" si="4"/>
        <v>4.9983558040118385</v>
      </c>
      <c r="AI137" t="str" cm="1">
        <f t="array" ref="AI137">INDEX('Varie Tabelle'!$A$12:$C$22,MATCH(1,('MY-REPORT-MAIN'!AH137&gt;='Varie Tabelle'!$B$12:$B$22)*('MY-REPORT-MAIN'!AH137&lt;='Varie Tabelle'!$C$12:$C$22),0),1)</f>
        <v>Periodo-1</v>
      </c>
      <c r="AJ137" s="14">
        <f>INDEX('Partner data'!A:EC,MATCH(I_Miei_Rendiconti[[#This Row],[Column1.partnerId]],'Partner data'!DG:DG,0),MATCH('MY-REPORT-MAIN'!AI137,'Partner data'!$2:$2,0))</f>
        <v>17084.400000000001</v>
      </c>
      <c r="AK137" s="10">
        <f>SUMIFS($U$2:U137,$C$2:C137,I_Miei_Rendiconti[[#This Row],[Column1.partnerId]])-AJ137</f>
        <v>-14642.2</v>
      </c>
      <c r="AL137" s="16">
        <f>IFERROR(1-(I_Miei_Rendiconti[[#This Row],[Column1.totalAfterSubmitted]]/AJ137),0)</f>
        <v>0.85705087682330083</v>
      </c>
      <c r="AM137" s="14">
        <f>INDEX('Partner data'!A:EB,MATCH(I_Miei_Rendiconti[[#This Row],[Column1.partnerId]],'Partner data'!DG:DG,0),44)</f>
        <v>110058.2</v>
      </c>
      <c r="AN137" s="14">
        <f>SUMIFS(ListOfExpenditure!AP:AP,ListOfExpenditure!AJ:AJ,I_Miei_Rendiconti[[#This Row],[Column1.id]])</f>
        <v>0</v>
      </c>
      <c r="AO137" s="148">
        <f>SUMIFS(ReportSubmittedBL!W:W,ReportSubmittedBL!D:D,I_Miei_Rendiconti[[#This Row],[Column1.id]])</f>
        <v>8</v>
      </c>
      <c r="AP137" s="155" cm="1">
        <f t="array" ref="AP137">INDEX('Weight tables'!$A$32:$C$36,MATCH(1,('MY-REPORT-MAIN'!AO137&gt;='Weight tables'!$B$32:$B$36)*('MY-REPORT-MAIN'!AO137&lt;='Weight tables'!$C$32:$C$36),0),1)</f>
        <v>6.3</v>
      </c>
      <c r="AQ137" s="155">
        <f>INDEX('Weight tables'!$A$39:$B$41,MATCH(I_Miei_Rendiconti[[#This Row],[Previouse Report checked?yes/no]],'Weight tables'!$B$39:$B$41,0),1)</f>
        <v>8.4</v>
      </c>
      <c r="AR137" s="155" cm="1">
        <f t="array" ref="AR137">IF(I_Miei_Rendiconti[[#This Row],[Sum of errors in previous report ]]="NON PERTINENTE",0,INDEX('Weight tables'!$A$43:$C$46,MATCH(1,(I_Miei_Rendiconti[[#This Row],[Sum of errors in previous report ]]&gt;='Weight tables'!$B$43:$B$46)*(I_Miei_Rendiconti[[#This Row],[Sum of errors in previous report ]]&lt;='Weight tables'!$C$43:$C$46),0),1))</f>
        <v>0</v>
      </c>
      <c r="AS137" s="155" cm="1">
        <f t="array" ref="AS137">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37" s="155" cm="1">
        <f t="array" ref="AT137">INDEX('Weight tables'!$A$56:$C$65,MATCH(1,('MY-REPORT-MAIN'!U137&gt;='Weight tables'!$B$56:$B$65)*('MY-REPORT-MAIN'!U137&lt;='Weight tables'!$C$56:$C$65),0),1)</f>
        <v>0</v>
      </c>
      <c r="AU137" s="155" cm="1">
        <f t="array" ref="AU137">INDEX('Weight tables'!$A$68:$C$71,MATCH(1,('MY-REPORT-MAIN'!AL137&gt;='Weight tables'!$B$68:$B$71)*('MY-REPORT-MAIN'!AL137&lt;='Weight tables'!$C$68:$C$71),0),1)</f>
        <v>2</v>
      </c>
      <c r="AV137" s="155" cm="1">
        <f t="array" ref="AV137">INDEX('Weight tables'!$A$74:$C$78,MATCH(1,('MY-REPORT-MAIN'!AN137&gt;='Weight tables'!$B$74:$B$78)*('MY-REPORT-MAIN'!AN137&lt;='Weight tables'!$C$74:$C$78),0),1)</f>
        <v>0</v>
      </c>
      <c r="AW137" s="16">
        <f>IF(I_Miei_Rendiconti[[#This Row],[Column1.totalAfterSubmitted]]/AM137&gt;50%,"Checked",0)</f>
        <v>0</v>
      </c>
      <c r="AX137" s="155">
        <f t="shared" si="5"/>
        <v>16.7</v>
      </c>
      <c r="AY137" s="155" t="str">
        <f>INDEX('Partner data'!A:EB,MATCH(I_Miei_Rendiconti[[#This Row],[Column1.partnerId]],'Partner data'!DG:DG,0),92)</f>
        <v>Slovenija (SI)</v>
      </c>
    </row>
    <row r="138" spans="1:51" ht="30" x14ac:dyDescent="0.25">
      <c r="A138" s="79">
        <v>334</v>
      </c>
      <c r="B138" s="79">
        <v>60</v>
      </c>
      <c r="C138" s="79">
        <v>87</v>
      </c>
      <c r="D138" s="79" t="s">
        <v>1551</v>
      </c>
      <c r="E138" s="79" t="s">
        <v>264</v>
      </c>
      <c r="F138" s="79">
        <v>1</v>
      </c>
      <c r="G138" s="206" t="s">
        <v>320</v>
      </c>
      <c r="H138" s="79">
        <v>1</v>
      </c>
      <c r="I138" s="79" t="s">
        <v>4339</v>
      </c>
      <c r="J138" s="79" t="s">
        <v>1043</v>
      </c>
      <c r="K138" s="208">
        <v>45386.589629305556</v>
      </c>
      <c r="M138" s="208">
        <v>45476.366182303238</v>
      </c>
      <c r="N138" s="79" t="s">
        <v>4538</v>
      </c>
      <c r="O138" s="79" t="s">
        <v>4363</v>
      </c>
      <c r="P138" s="79" t="s">
        <v>4348</v>
      </c>
      <c r="Q138" s="79" t="s">
        <v>4343</v>
      </c>
      <c r="T138" s="81">
        <v>27903.62</v>
      </c>
      <c r="U138" s="81">
        <v>28779.5</v>
      </c>
      <c r="V138" s="79" t="str">
        <f>INDEX(pARTNER[#All],MATCH(I_Miei_Rendiconti[[#This Row],[Column1.partnerId]],pARTNER[[#All],[Value.partnerSummary.id]],0),2)</f>
        <v>INTER BIKE III</v>
      </c>
      <c r="W138" s="79" t="b">
        <v>0</v>
      </c>
      <c r="X138" s="82">
        <f>I_Miei_Rendiconti[[#This Row],[Column1.totalAfterSubmitted]]-I_Miei_Rendiconti[[#This Row],[Column1.totalEligibleAfterControl]]</f>
        <v>875.88000000000102</v>
      </c>
      <c r="Y138" s="80">
        <f>IF(I_Miei_Rendiconti[[#This Row],[Column1.status]]="Certified",IFERROR(I_Miei_Rendiconti[[#This Row],[Financial corection]]/I_Miei_Rendiconti[[#This Row],[Column1.totalAfterSubmitted]],0),"Rendiconto da certificare")</f>
        <v>3.043416320644907E-2</v>
      </c>
      <c r="Z138" s="207" t="str">
        <f>IF(I_Miei_Rendiconti[[#This Row],[Column1.status]]&lt;&gt;"Certified",INDEX('Partner data'!DG:DQ,MATCH(I_Miei_Rendiconti[[#This Row],[Column1.partnerId]],'Partner data'!DG:DG,0),13),"Rendiconto CONVALIDATO")</f>
        <v>Rendiconto CONVALIDATO</v>
      </c>
      <c r="AA138"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38" s="81" t="str">
        <f>IF(OR(I_Miei_Rendiconti[[#This Row],[N. previouse validated report ]]="Rendiconto CONVALIDATO",I_Miei_Rendiconti[[#This Row],[N. previouse validated report ]]="NON è stato convalidato ancora nessun rendiconto"),"NON PERTINENTE","fai la fromula")</f>
        <v>NON PERTINENTE</v>
      </c>
      <c r="AC138"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38" s="2">
        <f>INDEX('Partner data'!DG:DJ,MATCH(I_Miei_Rendiconti[[#This Row],[Column1.partnerId]],'Partner data'!DG:DG,0),3)</f>
        <v>1</v>
      </c>
      <c r="AE138" t="str" cm="1">
        <f t="array" ref="AE138">INDEX('Varie Tabelle'!$A$37:$C$51,MATCH(1,(I_Miei_Rendiconti[[#This Row],[Column1.firstSubmission]]&gt;='Varie Tabelle'!$B$37:$B$51)*(I_Miei_Rendiconti[[#This Row],[Column1.firstSubmission]]&lt;'Varie Tabelle'!$C$37:$C$51),0),1)</f>
        <v>Finestra 2</v>
      </c>
      <c r="AF138" s="109">
        <f>INDEX('Varie Tabelle'!$A$37:$C$51,MATCH('MY-REPORT-MAIN'!AE138,'Varie Tabelle'!$A$37:$A$51,0),2)</f>
        <v>45352</v>
      </c>
      <c r="AG138" s="109">
        <f>INDEX('Partner data'!DG:DR,MATCH(I_Miei_Rendiconti[[#This Row],[Column1.partnerId]],'Partner data'!DG:DG,0),12)</f>
        <v>45200</v>
      </c>
      <c r="AH138" s="115">
        <f t="shared" si="4"/>
        <v>4.9983558040118385</v>
      </c>
      <c r="AI138" t="str" cm="1">
        <f t="array" ref="AI138">INDEX('Varie Tabelle'!$A$12:$C$22,MATCH(1,('MY-REPORT-MAIN'!AH138&gt;='Varie Tabelle'!$B$12:$B$22)*('MY-REPORT-MAIN'!AH138&lt;='Varie Tabelle'!$C$12:$C$22),0),1)</f>
        <v>Periodo-1</v>
      </c>
      <c r="AJ138" s="14">
        <f>INDEX('Partner data'!A:EC,MATCH(I_Miei_Rendiconti[[#This Row],[Column1.partnerId]],'Partner data'!DG:DG,0),MATCH('MY-REPORT-MAIN'!AI138,'Partner data'!$2:$2,0))</f>
        <v>45610</v>
      </c>
      <c r="AK138" s="10">
        <f>SUMIFS($U$2:U138,$C$2:C138,I_Miei_Rendiconti[[#This Row],[Column1.partnerId]])-AJ138</f>
        <v>-16830.5</v>
      </c>
      <c r="AL138" s="16">
        <f>IFERROR(1-(I_Miei_Rendiconti[[#This Row],[Column1.totalAfterSubmitted]]/AJ138),0)</f>
        <v>0.36900898925674197</v>
      </c>
      <c r="AM138" s="14">
        <f>INDEX('Partner data'!A:EB,MATCH(I_Miei_Rendiconti[[#This Row],[Column1.partnerId]],'Partner data'!DG:DG,0),44)</f>
        <v>162440</v>
      </c>
      <c r="AN138" s="14">
        <f>SUMIFS(ListOfExpenditure!AP:AP,ListOfExpenditure!AJ:AJ,I_Miei_Rendiconti[[#This Row],[Column1.id]])</f>
        <v>0</v>
      </c>
      <c r="AO138" s="148">
        <f>SUMIFS(ReportSubmittedBL!W:W,ReportSubmittedBL!D:D,I_Miei_Rendiconti[[#This Row],[Column1.id]])</f>
        <v>16</v>
      </c>
      <c r="AP138" s="155" cm="1">
        <f t="array" ref="AP138">INDEX('Weight tables'!$A$32:$C$36,MATCH(1,('MY-REPORT-MAIN'!AO138&gt;='Weight tables'!$B$32:$B$36)*('MY-REPORT-MAIN'!AO138&lt;='Weight tables'!$C$32:$C$36),0),1)</f>
        <v>8.4</v>
      </c>
      <c r="AQ138" s="155">
        <f>INDEX('Weight tables'!$A$39:$B$41,MATCH(I_Miei_Rendiconti[[#This Row],[Previouse Report checked?yes/no]],'Weight tables'!$B$39:$B$41,0),1)</f>
        <v>8.4</v>
      </c>
      <c r="AR138" s="155" cm="1">
        <f t="array" ref="AR138">IF(I_Miei_Rendiconti[[#This Row],[Sum of errors in previous report ]]="NON PERTINENTE",0,INDEX('Weight tables'!$A$43:$C$46,MATCH(1,(I_Miei_Rendiconti[[#This Row],[Sum of errors in previous report ]]&gt;='Weight tables'!$B$43:$B$46)*(I_Miei_Rendiconti[[#This Row],[Sum of errors in previous report ]]&lt;='Weight tables'!$C$43:$C$46),0),1))</f>
        <v>0</v>
      </c>
      <c r="AS138" s="155" cm="1">
        <f t="array" ref="AS138">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38" s="155" cm="1">
        <f t="array" ref="AT138">INDEX('Weight tables'!$A$56:$C$65,MATCH(1,('MY-REPORT-MAIN'!U138&gt;='Weight tables'!$B$56:$B$65)*('MY-REPORT-MAIN'!U138&lt;='Weight tables'!$C$56:$C$65),0),1)</f>
        <v>2</v>
      </c>
      <c r="AU138" s="155" cm="1">
        <f t="array" ref="AU138">INDEX('Weight tables'!$A$68:$C$71,MATCH(1,('MY-REPORT-MAIN'!AL138&gt;='Weight tables'!$B$68:$B$71)*('MY-REPORT-MAIN'!AL138&lt;='Weight tables'!$C$68:$C$71),0),1)</f>
        <v>2</v>
      </c>
      <c r="AV138" s="155" cm="1">
        <f t="array" ref="AV138">INDEX('Weight tables'!$A$74:$C$78,MATCH(1,('MY-REPORT-MAIN'!AN138&gt;='Weight tables'!$B$74:$B$78)*('MY-REPORT-MAIN'!AN138&lt;='Weight tables'!$C$74:$C$78),0),1)</f>
        <v>0</v>
      </c>
      <c r="AW138" s="16">
        <f>IF(I_Miei_Rendiconti[[#This Row],[Column1.totalAfterSubmitted]]/AM138&gt;50%,"Checked",0)</f>
        <v>0</v>
      </c>
      <c r="AX138" s="155">
        <f t="shared" si="5"/>
        <v>20.8</v>
      </c>
      <c r="AY138" s="155" t="str">
        <f>INDEX('Partner data'!A:EB,MATCH(I_Miei_Rendiconti[[#This Row],[Column1.partnerId]],'Partner data'!DG:DG,0),92)</f>
        <v>Slovenija (SI)</v>
      </c>
    </row>
    <row r="139" spans="1:51" ht="30" x14ac:dyDescent="0.25">
      <c r="A139" s="79">
        <v>250</v>
      </c>
      <c r="B139" s="79">
        <v>7</v>
      </c>
      <c r="C139" s="79">
        <v>31</v>
      </c>
      <c r="D139" s="79" t="s">
        <v>488</v>
      </c>
      <c r="E139" s="79" t="s">
        <v>253</v>
      </c>
      <c r="F139" s="79">
        <v>4</v>
      </c>
      <c r="G139" s="206" t="s">
        <v>256</v>
      </c>
      <c r="H139" s="79">
        <v>1</v>
      </c>
      <c r="I139" s="79" t="s">
        <v>4339</v>
      </c>
      <c r="J139" s="79" t="s">
        <v>1043</v>
      </c>
      <c r="K139" s="208">
        <v>45386.620301967596</v>
      </c>
      <c r="M139" s="208">
        <v>45470.471742199072</v>
      </c>
      <c r="N139" s="79" t="s">
        <v>4482</v>
      </c>
      <c r="O139" s="79" t="s">
        <v>4363</v>
      </c>
      <c r="P139" s="79" t="s">
        <v>4348</v>
      </c>
      <c r="Q139" s="79" t="s">
        <v>4343</v>
      </c>
      <c r="T139" s="81">
        <v>32022.44</v>
      </c>
      <c r="U139" s="81">
        <v>40320.5</v>
      </c>
      <c r="V139" s="79" t="str">
        <f>INDEX(pARTNER[#All],MATCH(I_Miei_Rendiconti[[#This Row],[Column1.partnerId]],pARTNER[[#All],[Value.partnerSummary.id]],0),2)</f>
        <v>CrossCare 2</v>
      </c>
      <c r="W139" s="79" t="b">
        <v>0</v>
      </c>
      <c r="X139" s="82">
        <f>I_Miei_Rendiconti[[#This Row],[Column1.totalAfterSubmitted]]-I_Miei_Rendiconti[[#This Row],[Column1.totalEligibleAfterControl]]</f>
        <v>8298.0600000000013</v>
      </c>
      <c r="Y139" s="80">
        <f>IF(I_Miei_Rendiconti[[#This Row],[Column1.status]]="Certified",IFERROR(I_Miei_Rendiconti[[#This Row],[Financial corection]]/I_Miei_Rendiconti[[#This Row],[Column1.totalAfterSubmitted]],0),"Rendiconto da certificare")</f>
        <v>0.20580250740938236</v>
      </c>
      <c r="Z139" s="207" t="str">
        <f>IF(I_Miei_Rendiconti[[#This Row],[Column1.status]]&lt;&gt;"Certified",INDEX('Partner data'!DG:DQ,MATCH(I_Miei_Rendiconti[[#This Row],[Column1.partnerId]],'Partner data'!DG:DG,0),13),"Rendiconto CONVALIDATO")</f>
        <v>Rendiconto CONVALIDATO</v>
      </c>
      <c r="AA139"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39" s="81" t="str">
        <f>IF(OR(I_Miei_Rendiconti[[#This Row],[N. previouse validated report ]]="Rendiconto CONVALIDATO",I_Miei_Rendiconti[[#This Row],[N. previouse validated report ]]="NON è stato convalidato ancora nessun rendiconto"),"NON PERTINENTE","fai la fromula")</f>
        <v>NON PERTINENTE</v>
      </c>
      <c r="AC139"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39" s="2">
        <f>INDEX('Partner data'!DG:DJ,MATCH(I_Miei_Rendiconti[[#This Row],[Column1.partnerId]],'Partner data'!DG:DG,0),3)</f>
        <v>1</v>
      </c>
      <c r="AE139" t="str" cm="1">
        <f t="array" ref="AE139">INDEX('Varie Tabelle'!$A$37:$C$51,MATCH(1,(I_Miei_Rendiconti[[#This Row],[Column1.firstSubmission]]&gt;='Varie Tabelle'!$B$37:$B$51)*(I_Miei_Rendiconti[[#This Row],[Column1.firstSubmission]]&lt;'Varie Tabelle'!$C$37:$C$51),0),1)</f>
        <v>Finestra 2</v>
      </c>
      <c r="AF139" s="109">
        <f>INDEX('Varie Tabelle'!$A$37:$C$51,MATCH('MY-REPORT-MAIN'!AE139,'Varie Tabelle'!$A$37:$A$51,0),2)</f>
        <v>45352</v>
      </c>
      <c r="AG139" s="109">
        <f>INDEX('Partner data'!DG:DR,MATCH(I_Miei_Rendiconti[[#This Row],[Column1.partnerId]],'Partner data'!DG:DG,0),12)</f>
        <v>45200</v>
      </c>
      <c r="AH139" s="115">
        <f t="shared" si="4"/>
        <v>4.9983558040118385</v>
      </c>
      <c r="AI139" t="str" cm="1">
        <f t="array" ref="AI139">INDEX('Varie Tabelle'!$A$12:$C$22,MATCH(1,('MY-REPORT-MAIN'!AH139&gt;='Varie Tabelle'!$B$12:$B$22)*('MY-REPORT-MAIN'!AH139&lt;='Varie Tabelle'!$C$12:$C$22),0),1)</f>
        <v>Periodo-1</v>
      </c>
      <c r="AJ139" s="14">
        <f>INDEX('Partner data'!A:EC,MATCH(I_Miei_Rendiconti[[#This Row],[Column1.partnerId]],'Partner data'!DG:DG,0),MATCH('MY-REPORT-MAIN'!AI139,'Partner data'!$2:$2,0))</f>
        <v>58189.04</v>
      </c>
      <c r="AK139" s="10">
        <f>SUMIFS($U$2:U139,$C$2:C139,I_Miei_Rendiconti[[#This Row],[Column1.partnerId]])-AJ139</f>
        <v>-17868.54</v>
      </c>
      <c r="AL139" s="16">
        <f>IFERROR(1-(I_Miei_Rendiconti[[#This Row],[Column1.totalAfterSubmitted]]/AJ139),0)</f>
        <v>0.3070774152658301</v>
      </c>
      <c r="AM139" s="14">
        <f>INDEX('Partner data'!A:EB,MATCH(I_Miei_Rendiconti[[#This Row],[Column1.partnerId]],'Partner data'!DG:DG,0),44)</f>
        <v>149067.20000000001</v>
      </c>
      <c r="AN139" s="14">
        <f>SUMIFS(ListOfExpenditure!AP:AP,ListOfExpenditure!AJ:AJ,I_Miei_Rendiconti[[#This Row],[Column1.id]])</f>
        <v>0</v>
      </c>
      <c r="AO139" s="148">
        <f>SUMIFS(ReportSubmittedBL!W:W,ReportSubmittedBL!D:D,I_Miei_Rendiconti[[#This Row],[Column1.id]])</f>
        <v>12</v>
      </c>
      <c r="AP139" s="155" cm="1">
        <f t="array" ref="AP139">INDEX('Weight tables'!$A$32:$C$36,MATCH(1,('MY-REPORT-MAIN'!AO139&gt;='Weight tables'!$B$32:$B$36)*('MY-REPORT-MAIN'!AO139&lt;='Weight tables'!$C$32:$C$36),0),1)</f>
        <v>8.4</v>
      </c>
      <c r="AQ139" s="155">
        <f>INDEX('Weight tables'!$A$39:$B$41,MATCH(I_Miei_Rendiconti[[#This Row],[Previouse Report checked?yes/no]],'Weight tables'!$B$39:$B$41,0),1)</f>
        <v>8.4</v>
      </c>
      <c r="AR139" s="155" cm="1">
        <f t="array" ref="AR139">IF(I_Miei_Rendiconti[[#This Row],[Sum of errors in previous report ]]="NON PERTINENTE",0,INDEX('Weight tables'!$A$43:$C$46,MATCH(1,(I_Miei_Rendiconti[[#This Row],[Sum of errors in previous report ]]&gt;='Weight tables'!$B$43:$B$46)*(I_Miei_Rendiconti[[#This Row],[Sum of errors in previous report ]]&lt;='Weight tables'!$C$43:$C$46),0),1))</f>
        <v>0</v>
      </c>
      <c r="AS139" s="155" cm="1">
        <f t="array" ref="AS139">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39" s="155" cm="1">
        <f t="array" ref="AT139">INDEX('Weight tables'!$A$56:$C$65,MATCH(1,('MY-REPORT-MAIN'!U139&gt;='Weight tables'!$B$56:$B$65)*('MY-REPORT-MAIN'!U139&lt;='Weight tables'!$C$56:$C$65),0),1)</f>
        <v>4</v>
      </c>
      <c r="AU139" s="155" cm="1">
        <f t="array" ref="AU139">INDEX('Weight tables'!$A$68:$C$71,MATCH(1,('MY-REPORT-MAIN'!AL139&gt;='Weight tables'!$B$68:$B$71)*('MY-REPORT-MAIN'!AL139&lt;='Weight tables'!$C$68:$C$71),0),1)</f>
        <v>2</v>
      </c>
      <c r="AV139" s="155" cm="1">
        <f t="array" ref="AV139">INDEX('Weight tables'!$A$74:$C$78,MATCH(1,('MY-REPORT-MAIN'!AN139&gt;='Weight tables'!$B$74:$B$78)*('MY-REPORT-MAIN'!AN139&lt;='Weight tables'!$C$74:$C$78),0),1)</f>
        <v>0</v>
      </c>
      <c r="AW139" s="16">
        <f>IF(I_Miei_Rendiconti[[#This Row],[Column1.totalAfterSubmitted]]/AM139&gt;50%,"Checked",0)</f>
        <v>0</v>
      </c>
      <c r="AX139" s="155">
        <f t="shared" si="5"/>
        <v>22.8</v>
      </c>
      <c r="AY139" s="155" t="str">
        <f>INDEX('Partner data'!A:EB,MATCH(I_Miei_Rendiconti[[#This Row],[Column1.partnerId]],'Partner data'!DG:DG,0),92)</f>
        <v>Slovenija (SI)</v>
      </c>
    </row>
    <row r="140" spans="1:51" ht="30" x14ac:dyDescent="0.25">
      <c r="A140" s="79">
        <v>145</v>
      </c>
      <c r="B140" s="79">
        <v>33</v>
      </c>
      <c r="C140" s="79">
        <v>93</v>
      </c>
      <c r="D140" s="79" t="s">
        <v>825</v>
      </c>
      <c r="E140" s="79" t="s">
        <v>264</v>
      </c>
      <c r="F140" s="79">
        <v>1</v>
      </c>
      <c r="G140" s="206" t="s">
        <v>281</v>
      </c>
      <c r="H140" s="79">
        <v>1</v>
      </c>
      <c r="I140" s="79" t="s">
        <v>4339</v>
      </c>
      <c r="J140" s="79" t="s">
        <v>490</v>
      </c>
      <c r="K140" s="208">
        <v>45386.627383923609</v>
      </c>
      <c r="M140" s="208">
        <v>45470.392058564816</v>
      </c>
      <c r="N140" s="79" t="s">
        <v>4408</v>
      </c>
      <c r="O140" s="79" t="s">
        <v>4363</v>
      </c>
      <c r="P140" s="79" t="s">
        <v>4348</v>
      </c>
      <c r="Q140" s="79" t="s">
        <v>4343</v>
      </c>
      <c r="R140" s="79">
        <v>32</v>
      </c>
      <c r="S140" s="79">
        <v>1</v>
      </c>
      <c r="T140" s="81">
        <v>26066.93</v>
      </c>
      <c r="U140" s="81">
        <v>26828.3</v>
      </c>
      <c r="V140" s="79" t="str">
        <f>INDEX(pARTNER[#All],MATCH(I_Miei_Rendiconti[[#This Row],[Column1.partnerId]],pARTNER[[#All],[Value.partnerSummary.id]],0),2)</f>
        <v>WASTE DESIGN 2</v>
      </c>
      <c r="W140" s="79" t="b">
        <v>0</v>
      </c>
      <c r="X140" s="82">
        <f>I_Miei_Rendiconti[[#This Row],[Column1.totalAfterSubmitted]]-I_Miei_Rendiconti[[#This Row],[Column1.totalEligibleAfterControl]]</f>
        <v>761.36999999999898</v>
      </c>
      <c r="Y140" s="80">
        <f>IF(I_Miei_Rendiconti[[#This Row],[Column1.status]]="Certified",IFERROR(I_Miei_Rendiconti[[#This Row],[Financial corection]]/I_Miei_Rendiconti[[#This Row],[Column1.totalAfterSubmitted]],0),"Rendiconto da certificare")</f>
        <v>2.837936060055982E-2</v>
      </c>
      <c r="Z140" s="207" t="str">
        <f>IF(I_Miei_Rendiconti[[#This Row],[Column1.status]]&lt;&gt;"Certified",INDEX('Partner data'!DG:DQ,MATCH(I_Miei_Rendiconti[[#This Row],[Column1.partnerId]],'Partner data'!DG:DG,0),13),"Rendiconto CONVALIDATO")</f>
        <v>Rendiconto CONVALIDATO</v>
      </c>
      <c r="AA140"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40" s="81" t="str">
        <f>IF(OR(I_Miei_Rendiconti[[#This Row],[N. previouse validated report ]]="Rendiconto CONVALIDATO",I_Miei_Rendiconti[[#This Row],[N. previouse validated report ]]="NON è stato convalidato ancora nessun rendiconto"),"NON PERTINENTE","fai la fromula")</f>
        <v>NON PERTINENTE</v>
      </c>
      <c r="AC140"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40" s="2">
        <f>INDEX('Partner data'!DG:DJ,MATCH(I_Miei_Rendiconti[[#This Row],[Column1.partnerId]],'Partner data'!DG:DG,0),3)</f>
        <v>1</v>
      </c>
      <c r="AE140" t="str" cm="1">
        <f t="array" ref="AE140">INDEX('Varie Tabelle'!$A$37:$C$51,MATCH(1,(I_Miei_Rendiconti[[#This Row],[Column1.firstSubmission]]&gt;='Varie Tabelle'!$B$37:$B$51)*(I_Miei_Rendiconti[[#This Row],[Column1.firstSubmission]]&lt;'Varie Tabelle'!$C$37:$C$51),0),1)</f>
        <v>Finestra 2</v>
      </c>
      <c r="AF140" s="109">
        <f>INDEX('Varie Tabelle'!$A$37:$C$51,MATCH('MY-REPORT-MAIN'!AE140,'Varie Tabelle'!$A$37:$A$51,0),2)</f>
        <v>45352</v>
      </c>
      <c r="AG140" s="109">
        <f>INDEX('Partner data'!DG:DR,MATCH(I_Miei_Rendiconti[[#This Row],[Column1.partnerId]],'Partner data'!DG:DG,0),12)</f>
        <v>45200</v>
      </c>
      <c r="AH140" s="115">
        <f t="shared" si="4"/>
        <v>4.9983558040118385</v>
      </c>
      <c r="AI140" t="str" cm="1">
        <f t="array" ref="AI140">INDEX('Varie Tabelle'!$A$12:$C$22,MATCH(1,('MY-REPORT-MAIN'!AH140&gt;='Varie Tabelle'!$B$12:$B$22)*('MY-REPORT-MAIN'!AH140&lt;='Varie Tabelle'!$C$12:$C$22),0),1)</f>
        <v>Periodo-1</v>
      </c>
      <c r="AJ140" s="14">
        <f>INDEX('Partner data'!A:EC,MATCH(I_Miei_Rendiconti[[#This Row],[Column1.partnerId]],'Partner data'!DG:DG,0),MATCH('MY-REPORT-MAIN'!AI140,'Partner data'!$2:$2,0))</f>
        <v>23546.5</v>
      </c>
      <c r="AK140" s="10">
        <f>SUMIFS($U$2:U140,$C$2:C140,I_Miei_Rendiconti[[#This Row],[Column1.partnerId]])-AJ140</f>
        <v>3281.7999999999993</v>
      </c>
      <c r="AL140" s="16">
        <f>IFERROR(1-(I_Miei_Rendiconti[[#This Row],[Column1.totalAfterSubmitted]]/AJ140),0)</f>
        <v>-0.13937527870384137</v>
      </c>
      <c r="AM140" s="14">
        <f>INDEX('Partner data'!A:EB,MATCH(I_Miei_Rendiconti[[#This Row],[Column1.partnerId]],'Partner data'!DG:DG,0),44)</f>
        <v>239887</v>
      </c>
      <c r="AN140" s="14">
        <f>SUMIFS(ListOfExpenditure!AP:AP,ListOfExpenditure!AJ:AJ,I_Miei_Rendiconti[[#This Row],[Column1.id]])</f>
        <v>0</v>
      </c>
      <c r="AO140" s="148">
        <f>SUMIFS(ReportSubmittedBL!W:W,ReportSubmittedBL!D:D,I_Miei_Rendiconti[[#This Row],[Column1.id]])</f>
        <v>12</v>
      </c>
      <c r="AP140" s="155" cm="1">
        <f t="array" ref="AP140">INDEX('Weight tables'!$A$32:$C$36,MATCH(1,('MY-REPORT-MAIN'!AO140&gt;='Weight tables'!$B$32:$B$36)*('MY-REPORT-MAIN'!AO140&lt;='Weight tables'!$C$32:$C$36),0),1)</f>
        <v>8.4</v>
      </c>
      <c r="AQ140" s="155">
        <f>INDEX('Weight tables'!$A$39:$B$41,MATCH(I_Miei_Rendiconti[[#This Row],[Previouse Report checked?yes/no]],'Weight tables'!$B$39:$B$41,0),1)</f>
        <v>8.4</v>
      </c>
      <c r="AR140" s="155" cm="1">
        <f t="array" ref="AR140">IF(I_Miei_Rendiconti[[#This Row],[Sum of errors in previous report ]]="NON PERTINENTE",0,INDEX('Weight tables'!$A$43:$C$46,MATCH(1,(I_Miei_Rendiconti[[#This Row],[Sum of errors in previous report ]]&gt;='Weight tables'!$B$43:$B$46)*(I_Miei_Rendiconti[[#This Row],[Sum of errors in previous report ]]&lt;='Weight tables'!$C$43:$C$46),0),1))</f>
        <v>0</v>
      </c>
      <c r="AS140" s="155" cm="1">
        <f t="array" ref="AS140">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40" s="155" cm="1">
        <f t="array" ref="AT140">INDEX('Weight tables'!$A$56:$C$65,MATCH(1,('MY-REPORT-MAIN'!U140&gt;='Weight tables'!$B$56:$B$65)*('MY-REPORT-MAIN'!U140&lt;='Weight tables'!$C$56:$C$65),0),1)</f>
        <v>2</v>
      </c>
      <c r="AU140" s="155" cm="1">
        <f t="array" ref="AU140">INDEX('Weight tables'!$A$68:$C$71,MATCH(1,('MY-REPORT-MAIN'!AL140&gt;='Weight tables'!$B$68:$B$71)*('MY-REPORT-MAIN'!AL140&lt;='Weight tables'!$C$68:$C$71),0),1)</f>
        <v>0</v>
      </c>
      <c r="AV140" s="155" cm="1">
        <f t="array" ref="AV140">INDEX('Weight tables'!$A$74:$C$78,MATCH(1,('MY-REPORT-MAIN'!AN140&gt;='Weight tables'!$B$74:$B$78)*('MY-REPORT-MAIN'!AN140&lt;='Weight tables'!$C$74:$C$78),0),1)</f>
        <v>0</v>
      </c>
      <c r="AW140" s="16">
        <f>IF(I_Miei_Rendiconti[[#This Row],[Column1.totalAfterSubmitted]]/AM140&gt;50%,"Checked",0)</f>
        <v>0</v>
      </c>
      <c r="AX140" s="155">
        <f t="shared" si="5"/>
        <v>18.8</v>
      </c>
      <c r="AY140" s="155" t="str">
        <f>INDEX('Partner data'!A:EB,MATCH(I_Miei_Rendiconti[[#This Row],[Column1.partnerId]],'Partner data'!DG:DG,0),92)</f>
        <v>Slovenija (SI)</v>
      </c>
    </row>
    <row r="141" spans="1:51" ht="30" x14ac:dyDescent="0.25">
      <c r="A141" s="79">
        <v>255</v>
      </c>
      <c r="B141" s="79">
        <v>71</v>
      </c>
      <c r="C141" s="79">
        <v>133</v>
      </c>
      <c r="D141" s="79" t="s">
        <v>1911</v>
      </c>
      <c r="E141" s="79" t="s">
        <v>264</v>
      </c>
      <c r="F141" s="79">
        <v>1</v>
      </c>
      <c r="G141" s="206" t="s">
        <v>344</v>
      </c>
      <c r="H141" s="79">
        <v>1</v>
      </c>
      <c r="I141" s="79" t="s">
        <v>4339</v>
      </c>
      <c r="J141" s="79" t="s">
        <v>1043</v>
      </c>
      <c r="K141" s="208">
        <v>45386.635824594909</v>
      </c>
      <c r="M141" s="208">
        <v>45476.552165960646</v>
      </c>
      <c r="N141" s="79" t="s">
        <v>4486</v>
      </c>
      <c r="O141" s="79" t="s">
        <v>4363</v>
      </c>
      <c r="P141" s="79" t="s">
        <v>4348</v>
      </c>
      <c r="Q141" s="79" t="s">
        <v>4343</v>
      </c>
      <c r="R141" s="79">
        <v>42</v>
      </c>
      <c r="S141" s="79">
        <v>1</v>
      </c>
      <c r="T141" s="81">
        <v>25422.19</v>
      </c>
      <c r="U141" s="81">
        <v>25422.19</v>
      </c>
      <c r="V141" s="79" t="str">
        <f>INDEX(pARTNER[#All],MATCH(I_Miei_Rendiconti[[#This Row],[Column1.partnerId]],pARTNER[[#All],[Value.partnerSummary.id]],0),2)</f>
        <v>KARST-SAFE</v>
      </c>
      <c r="W141" s="79" t="b">
        <v>0</v>
      </c>
      <c r="X141" s="82">
        <f>I_Miei_Rendiconti[[#This Row],[Column1.totalAfterSubmitted]]-I_Miei_Rendiconti[[#This Row],[Column1.totalEligibleAfterControl]]</f>
        <v>0</v>
      </c>
      <c r="Y141" s="80">
        <f>IF(I_Miei_Rendiconti[[#This Row],[Column1.status]]="Certified",IFERROR(I_Miei_Rendiconti[[#This Row],[Financial corection]]/I_Miei_Rendiconti[[#This Row],[Column1.totalAfterSubmitted]],0),"Rendiconto da certificare")</f>
        <v>0</v>
      </c>
      <c r="Z141" s="207" t="str">
        <f>IF(I_Miei_Rendiconti[[#This Row],[Column1.status]]&lt;&gt;"Certified",INDEX('Partner data'!DG:DQ,MATCH(I_Miei_Rendiconti[[#This Row],[Column1.partnerId]],'Partner data'!DG:DG,0),13),"Rendiconto CONVALIDATO")</f>
        <v>Rendiconto CONVALIDATO</v>
      </c>
      <c r="AA141"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41" s="81" t="str">
        <f>IF(OR(I_Miei_Rendiconti[[#This Row],[N. previouse validated report ]]="Rendiconto CONVALIDATO",I_Miei_Rendiconti[[#This Row],[N. previouse validated report ]]="NON è stato convalidato ancora nessun rendiconto"),"NON PERTINENTE","fai la fromula")</f>
        <v>NON PERTINENTE</v>
      </c>
      <c r="AC141"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41" s="2">
        <f>INDEX('Partner data'!DG:DJ,MATCH(I_Miei_Rendiconti[[#This Row],[Column1.partnerId]],'Partner data'!DG:DG,0),3)</f>
        <v>1</v>
      </c>
      <c r="AE141" t="str" cm="1">
        <f t="array" ref="AE141">INDEX('Varie Tabelle'!$A$37:$C$51,MATCH(1,(I_Miei_Rendiconti[[#This Row],[Column1.firstSubmission]]&gt;='Varie Tabelle'!$B$37:$B$51)*(I_Miei_Rendiconti[[#This Row],[Column1.firstSubmission]]&lt;'Varie Tabelle'!$C$37:$C$51),0),1)</f>
        <v>Finestra 2</v>
      </c>
      <c r="AF141" s="109">
        <f>INDEX('Varie Tabelle'!$A$37:$C$51,MATCH('MY-REPORT-MAIN'!AE141,'Varie Tabelle'!$A$37:$A$51,0),2)</f>
        <v>45352</v>
      </c>
      <c r="AG141" s="109">
        <f>INDEX('Partner data'!DG:DR,MATCH(I_Miei_Rendiconti[[#This Row],[Column1.partnerId]],'Partner data'!DG:DG,0),12)</f>
        <v>45200</v>
      </c>
      <c r="AH141" s="115">
        <f t="shared" si="4"/>
        <v>4.9983558040118385</v>
      </c>
      <c r="AI141" t="str" cm="1">
        <f t="array" ref="AI141">INDEX('Varie Tabelle'!$A$12:$C$22,MATCH(1,('MY-REPORT-MAIN'!AH141&gt;='Varie Tabelle'!$B$12:$B$22)*('MY-REPORT-MAIN'!AH141&lt;='Varie Tabelle'!$C$12:$C$22),0),1)</f>
        <v>Periodo-1</v>
      </c>
      <c r="AJ141" s="14">
        <f>INDEX('Partner data'!A:EC,MATCH(I_Miei_Rendiconti[[#This Row],[Column1.partnerId]],'Partner data'!DG:DG,0),MATCH('MY-REPORT-MAIN'!AI141,'Partner data'!$2:$2,0))</f>
        <v>25425</v>
      </c>
      <c r="AK141" s="10">
        <f>SUMIFS($U$2:U141,$C$2:C141,I_Miei_Rendiconti[[#This Row],[Column1.partnerId]])-AJ141</f>
        <v>-2.8100000000013097</v>
      </c>
      <c r="AL141" s="16">
        <f>IFERROR(1-(I_Miei_Rendiconti[[#This Row],[Column1.totalAfterSubmitted]]/AJ141),0)</f>
        <v>1.1052114060972063E-4</v>
      </c>
      <c r="AM141" s="14">
        <f>INDEX('Partner data'!A:EB,MATCH(I_Miei_Rendiconti[[#This Row],[Column1.partnerId]],'Partner data'!DG:DG,0),44)</f>
        <v>169625</v>
      </c>
      <c r="AN141" s="14">
        <f>SUMIFS(ListOfExpenditure!AP:AP,ListOfExpenditure!AJ:AJ,I_Miei_Rendiconti[[#This Row],[Column1.id]])</f>
        <v>0</v>
      </c>
      <c r="AO141" s="148">
        <f>SUMIFS(ReportSubmittedBL!W:W,ReportSubmittedBL!D:D,I_Miei_Rendiconti[[#This Row],[Column1.id]])</f>
        <v>16</v>
      </c>
      <c r="AP141" s="155" cm="1">
        <f t="array" ref="AP141">INDEX('Weight tables'!$A$32:$C$36,MATCH(1,('MY-REPORT-MAIN'!AO141&gt;='Weight tables'!$B$32:$B$36)*('MY-REPORT-MAIN'!AO141&lt;='Weight tables'!$C$32:$C$36),0),1)</f>
        <v>8.4</v>
      </c>
      <c r="AQ141" s="155">
        <f>INDEX('Weight tables'!$A$39:$B$41,MATCH(I_Miei_Rendiconti[[#This Row],[Previouse Report checked?yes/no]],'Weight tables'!$B$39:$B$41,0),1)</f>
        <v>8.4</v>
      </c>
      <c r="AR141" s="155" cm="1">
        <f t="array" ref="AR141">IF(I_Miei_Rendiconti[[#This Row],[Sum of errors in previous report ]]="NON PERTINENTE",0,INDEX('Weight tables'!$A$43:$C$46,MATCH(1,(I_Miei_Rendiconti[[#This Row],[Sum of errors in previous report ]]&gt;='Weight tables'!$B$43:$B$46)*(I_Miei_Rendiconti[[#This Row],[Sum of errors in previous report ]]&lt;='Weight tables'!$C$43:$C$46),0),1))</f>
        <v>0</v>
      </c>
      <c r="AS141" s="155" cm="1">
        <f t="array" ref="AS141">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41" s="155" cm="1">
        <f t="array" ref="AT141">INDEX('Weight tables'!$A$56:$C$65,MATCH(1,('MY-REPORT-MAIN'!U141&gt;='Weight tables'!$B$56:$B$65)*('MY-REPORT-MAIN'!U141&lt;='Weight tables'!$C$56:$C$65),0),1)</f>
        <v>2</v>
      </c>
      <c r="AU141" s="155" cm="1">
        <f t="array" ref="AU141">INDEX('Weight tables'!$A$68:$C$71,MATCH(1,('MY-REPORT-MAIN'!AL141&gt;='Weight tables'!$B$68:$B$71)*('MY-REPORT-MAIN'!AL141&lt;='Weight tables'!$C$68:$C$71),0),1)</f>
        <v>0</v>
      </c>
      <c r="AV141" s="155" cm="1">
        <f t="array" ref="AV141">INDEX('Weight tables'!$A$74:$C$78,MATCH(1,('MY-REPORT-MAIN'!AN141&gt;='Weight tables'!$B$74:$B$78)*('MY-REPORT-MAIN'!AN141&lt;='Weight tables'!$C$74:$C$78),0),1)</f>
        <v>0</v>
      </c>
      <c r="AW141" s="16">
        <f>IF(I_Miei_Rendiconti[[#This Row],[Column1.totalAfterSubmitted]]/AM141&gt;50%,"Checked",0)</f>
        <v>0</v>
      </c>
      <c r="AX141" s="155">
        <f t="shared" si="5"/>
        <v>18.8</v>
      </c>
      <c r="AY141" s="155" t="str">
        <f>INDEX('Partner data'!A:EB,MATCH(I_Miei_Rendiconti[[#This Row],[Column1.partnerId]],'Partner data'!DG:DG,0),92)</f>
        <v>Slovenija (SI)</v>
      </c>
    </row>
    <row r="142" spans="1:51" ht="30" x14ac:dyDescent="0.25">
      <c r="A142" s="79">
        <v>308</v>
      </c>
      <c r="B142" s="79">
        <v>65</v>
      </c>
      <c r="C142" s="79">
        <v>94</v>
      </c>
      <c r="D142" s="79" t="s">
        <v>1693</v>
      </c>
      <c r="E142" s="79" t="s">
        <v>264</v>
      </c>
      <c r="F142" s="79">
        <v>1</v>
      </c>
      <c r="G142" s="206" t="s">
        <v>68</v>
      </c>
      <c r="H142" s="79">
        <v>2</v>
      </c>
      <c r="I142" s="79" t="s">
        <v>4339</v>
      </c>
      <c r="J142" s="79" t="s">
        <v>490</v>
      </c>
      <c r="K142" s="208">
        <v>45386.647182534725</v>
      </c>
      <c r="M142" s="208">
        <v>45477.460860185187</v>
      </c>
      <c r="N142" s="79" t="s">
        <v>4522</v>
      </c>
      <c r="O142" s="79" t="s">
        <v>4363</v>
      </c>
      <c r="P142" s="79" t="s">
        <v>4348</v>
      </c>
      <c r="Q142" s="79" t="s">
        <v>4343</v>
      </c>
      <c r="T142" s="81">
        <v>15927.17</v>
      </c>
      <c r="U142" s="81">
        <v>15927.17</v>
      </c>
      <c r="V142" s="79" t="str">
        <f>INDEX(pARTNER[#All],MATCH(I_Miei_Rendiconti[[#This Row],[Column1.partnerId]],pARTNER[[#All],[Value.partnerSummary.id]],0),2)</f>
        <v>TARTINI BIS</v>
      </c>
      <c r="W142" s="79" t="b">
        <v>0</v>
      </c>
      <c r="X142" s="82">
        <f>I_Miei_Rendiconti[[#This Row],[Column1.totalAfterSubmitted]]-I_Miei_Rendiconti[[#This Row],[Column1.totalEligibleAfterControl]]</f>
        <v>0</v>
      </c>
      <c r="Y142" s="80">
        <f>IF(I_Miei_Rendiconti[[#This Row],[Column1.status]]="Certified",IFERROR(I_Miei_Rendiconti[[#This Row],[Financial corection]]/I_Miei_Rendiconti[[#This Row],[Column1.totalAfterSubmitted]],0),"Rendiconto da certificare")</f>
        <v>0</v>
      </c>
      <c r="Z142" s="207" t="str">
        <f>IF(I_Miei_Rendiconti[[#This Row],[Column1.status]]&lt;&gt;"Certified",INDEX('Partner data'!DG:DQ,MATCH(I_Miei_Rendiconti[[#This Row],[Column1.partnerId]],'Partner data'!DG:DG,0),13),"Rendiconto CONVALIDATO")</f>
        <v>Rendiconto CONVALIDATO</v>
      </c>
      <c r="AA142"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42" s="81" t="str">
        <f>IF(OR(I_Miei_Rendiconti[[#This Row],[N. previouse validated report ]]="Rendiconto CONVALIDATO",I_Miei_Rendiconti[[#This Row],[N. previouse validated report ]]="NON è stato convalidato ancora nessun rendiconto"),"NON PERTINENTE","fai la fromula")</f>
        <v>NON PERTINENTE</v>
      </c>
      <c r="AC142"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42" s="2">
        <f>INDEX('Partner data'!DG:DJ,MATCH(I_Miei_Rendiconti[[#This Row],[Column1.partnerId]],'Partner data'!DG:DG,0),3)</f>
        <v>2</v>
      </c>
      <c r="AE142" t="str" cm="1">
        <f t="array" ref="AE142">INDEX('Varie Tabelle'!$A$37:$C$51,MATCH(1,(I_Miei_Rendiconti[[#This Row],[Column1.firstSubmission]]&gt;='Varie Tabelle'!$B$37:$B$51)*(I_Miei_Rendiconti[[#This Row],[Column1.firstSubmission]]&lt;'Varie Tabelle'!$C$37:$C$51),0),1)</f>
        <v>Finestra 2</v>
      </c>
      <c r="AF142" s="109">
        <f>INDEX('Varie Tabelle'!$A$37:$C$51,MATCH('MY-REPORT-MAIN'!AE142,'Varie Tabelle'!$A$37:$A$51,0),2)</f>
        <v>45352</v>
      </c>
      <c r="AG142" s="109">
        <f>INDEX('Partner data'!DG:DR,MATCH(I_Miei_Rendiconti[[#This Row],[Column1.partnerId]],'Partner data'!DG:DG,0),12)</f>
        <v>45078</v>
      </c>
      <c r="AH142" s="115">
        <f t="shared" si="4"/>
        <v>9.0101940151266025</v>
      </c>
      <c r="AI142" t="str" cm="1">
        <f t="array" ref="AI142">INDEX('Varie Tabelle'!$A$12:$C$22,MATCH(1,('MY-REPORT-MAIN'!AH142&gt;='Varie Tabelle'!$B$12:$B$22)*('MY-REPORT-MAIN'!AH142&lt;='Varie Tabelle'!$C$12:$C$22),0),1)</f>
        <v>Periodo-1</v>
      </c>
      <c r="AJ142" s="14">
        <f>INDEX('Partner data'!A:EC,MATCH(I_Miei_Rendiconti[[#This Row],[Column1.partnerId]],'Partner data'!DG:DG,0),MATCH('MY-REPORT-MAIN'!AI142,'Partner data'!$2:$2,0))</f>
        <v>39950</v>
      </c>
      <c r="AK142" s="10">
        <f>SUMIFS($U$2:U142,$C$2:C142,I_Miei_Rendiconti[[#This Row],[Column1.partnerId]])-AJ142</f>
        <v>-15022.830000000002</v>
      </c>
      <c r="AL142" s="16">
        <f>IFERROR(1-(I_Miei_Rendiconti[[#This Row],[Column1.totalAfterSubmitted]]/AJ142),0)</f>
        <v>0.60132240300375472</v>
      </c>
      <c r="AM142" s="14">
        <f>INDEX('Partner data'!A:EB,MATCH(I_Miei_Rendiconti[[#This Row],[Column1.partnerId]],'Partner data'!DG:DG,0),44)</f>
        <v>121781.8</v>
      </c>
      <c r="AN142" s="14">
        <f>SUMIFS(ListOfExpenditure!AP:AP,ListOfExpenditure!AJ:AJ,I_Miei_Rendiconti[[#This Row],[Column1.id]])</f>
        <v>0</v>
      </c>
      <c r="AO142" s="148">
        <f>SUMIFS(ReportSubmittedBL!W:W,ReportSubmittedBL!D:D,I_Miei_Rendiconti[[#This Row],[Column1.id]])</f>
        <v>12</v>
      </c>
      <c r="AP142" s="155" cm="1">
        <f t="array" ref="AP142">INDEX('Weight tables'!$A$32:$C$36,MATCH(1,('MY-REPORT-MAIN'!AO142&gt;='Weight tables'!$B$32:$B$36)*('MY-REPORT-MAIN'!AO142&lt;='Weight tables'!$C$32:$C$36),0),1)</f>
        <v>8.4</v>
      </c>
      <c r="AQ142" s="155">
        <f>INDEX('Weight tables'!$A$39:$B$41,MATCH(I_Miei_Rendiconti[[#This Row],[Previouse Report checked?yes/no]],'Weight tables'!$B$39:$B$41,0),1)</f>
        <v>8.4</v>
      </c>
      <c r="AR142" s="155" cm="1">
        <f t="array" ref="AR142">IF(I_Miei_Rendiconti[[#This Row],[Sum of errors in previous report ]]="NON PERTINENTE",0,INDEX('Weight tables'!$A$43:$C$46,MATCH(1,(I_Miei_Rendiconti[[#This Row],[Sum of errors in previous report ]]&gt;='Weight tables'!$B$43:$B$46)*(I_Miei_Rendiconti[[#This Row],[Sum of errors in previous report ]]&lt;='Weight tables'!$C$43:$C$46),0),1))</f>
        <v>0</v>
      </c>
      <c r="AS142" s="155" cm="1">
        <f t="array" ref="AS142">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42" s="155" cm="1">
        <f t="array" ref="AT142">INDEX('Weight tables'!$A$56:$C$65,MATCH(1,('MY-REPORT-MAIN'!U142&gt;='Weight tables'!$B$56:$B$65)*('MY-REPORT-MAIN'!U142&lt;='Weight tables'!$C$56:$C$65),0),1)</f>
        <v>1</v>
      </c>
      <c r="AU142" s="155" cm="1">
        <f t="array" ref="AU142">INDEX('Weight tables'!$A$68:$C$71,MATCH(1,('MY-REPORT-MAIN'!AL142&gt;='Weight tables'!$B$68:$B$71)*('MY-REPORT-MAIN'!AL142&lt;='Weight tables'!$C$68:$C$71),0),1)</f>
        <v>2</v>
      </c>
      <c r="AV142" s="155" cm="1">
        <f t="array" ref="AV142">INDEX('Weight tables'!$A$74:$C$78,MATCH(1,('MY-REPORT-MAIN'!AN142&gt;='Weight tables'!$B$74:$B$78)*('MY-REPORT-MAIN'!AN142&lt;='Weight tables'!$C$74:$C$78),0),1)</f>
        <v>0</v>
      </c>
      <c r="AW142" s="16">
        <f>IF(I_Miei_Rendiconti[[#This Row],[Column1.totalAfterSubmitted]]/AM142&gt;50%,"Checked",0)</f>
        <v>0</v>
      </c>
      <c r="AX142" s="155">
        <f t="shared" si="5"/>
        <v>19.8</v>
      </c>
      <c r="AY142" s="155" t="str">
        <f>INDEX('Partner data'!A:EB,MATCH(I_Miei_Rendiconti[[#This Row],[Column1.partnerId]],'Partner data'!DG:DG,0),92)</f>
        <v>Italia (IT)</v>
      </c>
    </row>
    <row r="143" spans="1:51" ht="30" x14ac:dyDescent="0.25">
      <c r="A143" s="79">
        <v>208</v>
      </c>
      <c r="B143" s="79">
        <v>13</v>
      </c>
      <c r="C143" s="79">
        <v>16</v>
      </c>
      <c r="D143" s="79" t="s">
        <v>2371</v>
      </c>
      <c r="E143" s="79" t="s">
        <v>253</v>
      </c>
      <c r="F143" s="79">
        <v>6</v>
      </c>
      <c r="G143" s="206" t="s">
        <v>36</v>
      </c>
      <c r="H143" s="79">
        <v>2</v>
      </c>
      <c r="I143" s="79" t="s">
        <v>4339</v>
      </c>
      <c r="J143" s="79" t="s">
        <v>2373</v>
      </c>
      <c r="K143" s="208">
        <v>45386.654728125002</v>
      </c>
      <c r="M143" s="208">
        <v>45482.37006306713</v>
      </c>
      <c r="N143" s="79" t="s">
        <v>4450</v>
      </c>
      <c r="O143" s="79" t="s">
        <v>4363</v>
      </c>
      <c r="P143" s="79" t="s">
        <v>4348</v>
      </c>
      <c r="Q143" s="79" t="s">
        <v>4343</v>
      </c>
      <c r="R143" s="79">
        <v>30</v>
      </c>
      <c r="S143" s="79">
        <v>2</v>
      </c>
      <c r="T143" s="81">
        <v>52167.88</v>
      </c>
      <c r="U143" s="81">
        <v>52167.88</v>
      </c>
      <c r="V143" s="79" t="str">
        <f>INDEX(pARTNER[#All],MATCH(I_Miei_Rendiconti[[#This Row],[Column1.partnerId]],pARTNER[[#All],[Value.partnerSummary.id]],0),2)</f>
        <v>ADRIONCYCLETOUR</v>
      </c>
      <c r="W143" s="79" t="b">
        <v>0</v>
      </c>
      <c r="X143" s="82">
        <f>I_Miei_Rendiconti[[#This Row],[Column1.totalAfterSubmitted]]-I_Miei_Rendiconti[[#This Row],[Column1.totalEligibleAfterControl]]</f>
        <v>0</v>
      </c>
      <c r="Y143" s="80">
        <f>IF(I_Miei_Rendiconti[[#This Row],[Column1.status]]="Certified",IFERROR(I_Miei_Rendiconti[[#This Row],[Financial corection]]/I_Miei_Rendiconti[[#This Row],[Column1.totalAfterSubmitted]],0),"Rendiconto da certificare")</f>
        <v>0</v>
      </c>
      <c r="Z143" s="207" t="str">
        <f>IF(I_Miei_Rendiconti[[#This Row],[Column1.status]]&lt;&gt;"Certified",INDEX('Partner data'!DG:DQ,MATCH(I_Miei_Rendiconti[[#This Row],[Column1.partnerId]],'Partner data'!DG:DG,0),13),"Rendiconto CONVALIDATO")</f>
        <v>Rendiconto CONVALIDATO</v>
      </c>
      <c r="AA143"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43" s="81" t="str">
        <f>IF(OR(I_Miei_Rendiconti[[#This Row],[N. previouse validated report ]]="Rendiconto CONVALIDATO",I_Miei_Rendiconti[[#This Row],[N. previouse validated report ]]="NON è stato convalidato ancora nessun rendiconto"),"NON PERTINENTE","fai la fromula")</f>
        <v>NON PERTINENTE</v>
      </c>
      <c r="AC143"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43" s="2">
        <f>INDEX('Partner data'!DG:DJ,MATCH(I_Miei_Rendiconti[[#This Row],[Column1.partnerId]],'Partner data'!DG:DG,0),3)</f>
        <v>2</v>
      </c>
      <c r="AE143" t="str" cm="1">
        <f t="array" ref="AE143">INDEX('Varie Tabelle'!$A$37:$C$51,MATCH(1,(I_Miei_Rendiconti[[#This Row],[Column1.firstSubmission]]&gt;='Varie Tabelle'!$B$37:$B$51)*(I_Miei_Rendiconti[[#This Row],[Column1.firstSubmission]]&lt;'Varie Tabelle'!$C$37:$C$51),0),1)</f>
        <v>Finestra 2</v>
      </c>
      <c r="AF143" s="109">
        <f>INDEX('Varie Tabelle'!$A$37:$C$51,MATCH('MY-REPORT-MAIN'!AE143,'Varie Tabelle'!$A$37:$A$51,0),2)</f>
        <v>45352</v>
      </c>
      <c r="AG143" s="109">
        <f>INDEX('Partner data'!DG:DR,MATCH(I_Miei_Rendiconti[[#This Row],[Column1.partnerId]],'Partner data'!DG:DG,0),12)</f>
        <v>44805</v>
      </c>
      <c r="AH143" s="115">
        <f t="shared" si="4"/>
        <v>17.987504110489969</v>
      </c>
      <c r="AI143" t="str" cm="1">
        <f t="array" ref="AI143">INDEX('Varie Tabelle'!$A$12:$C$22,MATCH(1,('MY-REPORT-MAIN'!AH143&gt;='Varie Tabelle'!$B$12:$B$22)*('MY-REPORT-MAIN'!AH143&lt;='Varie Tabelle'!$C$12:$C$22),0),1)</f>
        <v>Periodo-2</v>
      </c>
      <c r="AJ143" s="14">
        <f>INDEX('Partner data'!A:EC,MATCH(I_Miei_Rendiconti[[#This Row],[Column1.partnerId]],'Partner data'!DG:DG,0),MATCH('MY-REPORT-MAIN'!AI143,'Partner data'!$2:$2,0))</f>
        <v>94986</v>
      </c>
      <c r="AK143" s="10">
        <f>SUMIFS($U$2:U143,$C$2:C143,I_Miei_Rendiconti[[#This Row],[Column1.partnerId]])-AJ143</f>
        <v>25201.639999999985</v>
      </c>
      <c r="AL143" s="16">
        <f>IFERROR(1-(I_Miei_Rendiconti[[#This Row],[Column1.totalAfterSubmitted]]/AJ143),0)</f>
        <v>0.4507834838818352</v>
      </c>
      <c r="AM143" s="14">
        <f>INDEX('Partner data'!A:EB,MATCH(I_Miei_Rendiconti[[#This Row],[Column1.partnerId]],'Partner data'!DG:DG,0),44)</f>
        <v>316688</v>
      </c>
      <c r="AN143" s="14">
        <f>SUMIFS(ListOfExpenditure!AP:AP,ListOfExpenditure!AJ:AJ,I_Miei_Rendiconti[[#This Row],[Column1.id]])</f>
        <v>0</v>
      </c>
      <c r="AO143" s="148">
        <f>SUMIFS(ReportSubmittedBL!W:W,ReportSubmittedBL!D:D,I_Miei_Rendiconti[[#This Row],[Column1.id]])</f>
        <v>16</v>
      </c>
      <c r="AP143" s="155" cm="1">
        <f t="array" ref="AP143">INDEX('Weight tables'!$A$32:$C$36,MATCH(1,('MY-REPORT-MAIN'!AO143&gt;='Weight tables'!$B$32:$B$36)*('MY-REPORT-MAIN'!AO143&lt;='Weight tables'!$C$32:$C$36),0),1)</f>
        <v>8.4</v>
      </c>
      <c r="AQ143" s="155">
        <f>INDEX('Weight tables'!$A$39:$B$41,MATCH(I_Miei_Rendiconti[[#This Row],[Previouse Report checked?yes/no]],'Weight tables'!$B$39:$B$41,0),1)</f>
        <v>8.4</v>
      </c>
      <c r="AR143" s="155" cm="1">
        <f t="array" ref="AR143">IF(I_Miei_Rendiconti[[#This Row],[Sum of errors in previous report ]]="NON PERTINENTE",0,INDEX('Weight tables'!$A$43:$C$46,MATCH(1,(I_Miei_Rendiconti[[#This Row],[Sum of errors in previous report ]]&gt;='Weight tables'!$B$43:$B$46)*(I_Miei_Rendiconti[[#This Row],[Sum of errors in previous report ]]&lt;='Weight tables'!$C$43:$C$46),0),1))</f>
        <v>0</v>
      </c>
      <c r="AS143" s="155" cm="1">
        <f t="array" ref="AS143">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43" s="155" cm="1">
        <f t="array" ref="AT143">INDEX('Weight tables'!$A$56:$C$65,MATCH(1,('MY-REPORT-MAIN'!U143&gt;='Weight tables'!$B$56:$B$65)*('MY-REPORT-MAIN'!U143&lt;='Weight tables'!$C$56:$C$65),0),1)</f>
        <v>5</v>
      </c>
      <c r="AU143" s="155" cm="1">
        <f t="array" ref="AU143">INDEX('Weight tables'!$A$68:$C$71,MATCH(1,('MY-REPORT-MAIN'!AL143&gt;='Weight tables'!$B$68:$B$71)*('MY-REPORT-MAIN'!AL143&lt;='Weight tables'!$C$68:$C$71),0),1)</f>
        <v>2</v>
      </c>
      <c r="AV143" s="155" cm="1">
        <f t="array" ref="AV143">INDEX('Weight tables'!$A$74:$C$78,MATCH(1,('MY-REPORT-MAIN'!AN143&gt;='Weight tables'!$B$74:$B$78)*('MY-REPORT-MAIN'!AN143&lt;='Weight tables'!$C$74:$C$78),0),1)</f>
        <v>0</v>
      </c>
      <c r="AW143" s="16">
        <f>IF(I_Miei_Rendiconti[[#This Row],[Column1.totalAfterSubmitted]]/AM143&gt;50%,"Checked",0)</f>
        <v>0</v>
      </c>
      <c r="AX143" s="155">
        <f t="shared" si="5"/>
        <v>23.8</v>
      </c>
      <c r="AY143" s="155" t="str">
        <f>INDEX('Partner data'!A:EB,MATCH(I_Miei_Rendiconti[[#This Row],[Column1.partnerId]],'Partner data'!DG:DG,0),92)</f>
        <v>Slovenija (SI)</v>
      </c>
    </row>
    <row r="144" spans="1:51" ht="30" x14ac:dyDescent="0.25">
      <c r="A144" s="79">
        <v>313</v>
      </c>
      <c r="B144" s="79">
        <v>44</v>
      </c>
      <c r="C144" s="79">
        <v>109</v>
      </c>
      <c r="D144" s="79" t="s">
        <v>1116</v>
      </c>
      <c r="E144" s="79" t="s">
        <v>253</v>
      </c>
      <c r="F144" s="79">
        <v>3</v>
      </c>
      <c r="G144" s="206" t="s">
        <v>31</v>
      </c>
      <c r="H144" s="79">
        <v>2</v>
      </c>
      <c r="I144" s="79" t="s">
        <v>4339</v>
      </c>
      <c r="J144" s="79" t="s">
        <v>1118</v>
      </c>
      <c r="K144" s="208">
        <v>45386.65937991898</v>
      </c>
      <c r="M144" s="208">
        <v>45470.691822731482</v>
      </c>
      <c r="N144" s="79" t="s">
        <v>4528</v>
      </c>
      <c r="O144" s="79" t="s">
        <v>4363</v>
      </c>
      <c r="P144" s="79" t="s">
        <v>4348</v>
      </c>
      <c r="Q144" s="79" t="s">
        <v>4343</v>
      </c>
      <c r="R144" s="79">
        <v>2</v>
      </c>
      <c r="S144" s="79">
        <v>1</v>
      </c>
      <c r="T144" s="81">
        <v>22625.82</v>
      </c>
      <c r="U144" s="81">
        <v>22625.82</v>
      </c>
      <c r="V144" s="79" t="str">
        <f>INDEX(pARTNER[#All],MATCH(I_Miei_Rendiconti[[#This Row],[Column1.partnerId]],pARTNER[[#All],[Value.partnerSummary.id]],0),2)</f>
        <v>IMMUNOCLUSTER-2</v>
      </c>
      <c r="W144" s="79" t="b">
        <v>0</v>
      </c>
      <c r="X144" s="82">
        <f>I_Miei_Rendiconti[[#This Row],[Column1.totalAfterSubmitted]]-I_Miei_Rendiconti[[#This Row],[Column1.totalEligibleAfterControl]]</f>
        <v>0</v>
      </c>
      <c r="Y144" s="80">
        <f>IF(I_Miei_Rendiconti[[#This Row],[Column1.status]]="Certified",IFERROR(I_Miei_Rendiconti[[#This Row],[Financial corection]]/I_Miei_Rendiconti[[#This Row],[Column1.totalAfterSubmitted]],0),"Rendiconto da certificare")</f>
        <v>0</v>
      </c>
      <c r="Z144" s="207" t="str">
        <f>IF(I_Miei_Rendiconti[[#This Row],[Column1.status]]&lt;&gt;"Certified",INDEX('Partner data'!DG:DQ,MATCH(I_Miei_Rendiconti[[#This Row],[Column1.partnerId]],'Partner data'!DG:DG,0),13),"Rendiconto CONVALIDATO")</f>
        <v>Rendiconto CONVALIDATO</v>
      </c>
      <c r="AA144"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44" s="81" t="str">
        <f>IF(OR(I_Miei_Rendiconti[[#This Row],[N. previouse validated report ]]="Rendiconto CONVALIDATO",I_Miei_Rendiconti[[#This Row],[N. previouse validated report ]]="NON è stato convalidato ancora nessun rendiconto"),"NON PERTINENTE","fai la fromula")</f>
        <v>NON PERTINENTE</v>
      </c>
      <c r="AC144"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44" s="2">
        <f>INDEX('Partner data'!DG:DJ,MATCH(I_Miei_Rendiconti[[#This Row],[Column1.partnerId]],'Partner data'!DG:DG,0),3)</f>
        <v>2</v>
      </c>
      <c r="AE144" t="str" cm="1">
        <f t="array" ref="AE144">INDEX('Varie Tabelle'!$A$37:$C$51,MATCH(1,(I_Miei_Rendiconti[[#This Row],[Column1.firstSubmission]]&gt;='Varie Tabelle'!$B$37:$B$51)*(I_Miei_Rendiconti[[#This Row],[Column1.firstSubmission]]&lt;'Varie Tabelle'!$C$37:$C$51),0),1)</f>
        <v>Finestra 2</v>
      </c>
      <c r="AF144" s="109">
        <f>INDEX('Varie Tabelle'!$A$37:$C$51,MATCH('MY-REPORT-MAIN'!AE144,'Varie Tabelle'!$A$37:$A$51,0),2)</f>
        <v>45352</v>
      </c>
      <c r="AG144" s="109">
        <f>INDEX('Partner data'!DG:DR,MATCH(I_Miei_Rendiconti[[#This Row],[Column1.partnerId]],'Partner data'!DG:DG,0),12)</f>
        <v>45170</v>
      </c>
      <c r="AH144" s="115">
        <f t="shared" si="4"/>
        <v>5.9848733969089114</v>
      </c>
      <c r="AI144" t="str" cm="1">
        <f t="array" ref="AI144">INDEX('Varie Tabelle'!$A$12:$C$22,MATCH(1,('MY-REPORT-MAIN'!AH144&gt;='Varie Tabelle'!$B$12:$B$22)*('MY-REPORT-MAIN'!AH144&lt;='Varie Tabelle'!$C$12:$C$22),0),1)</f>
        <v>Periodo-1</v>
      </c>
      <c r="AJ144" s="14">
        <f>INDEX('Partner data'!A:EC,MATCH(I_Miei_Rendiconti[[#This Row],[Column1.partnerId]],'Partner data'!DG:DG,0),MATCH('MY-REPORT-MAIN'!AI144,'Partner data'!$2:$2,0))</f>
        <v>31766</v>
      </c>
      <c r="AK144" s="10">
        <f>SUMIFS($U$2:U144,$C$2:C144,I_Miei_Rendiconti[[#This Row],[Column1.partnerId]])-AJ144</f>
        <v>7664.4499999999971</v>
      </c>
      <c r="AL144" s="16">
        <f>IFERROR(1-(I_Miei_Rendiconti[[#This Row],[Column1.totalAfterSubmitted]]/AJ144),0)</f>
        <v>0.28773468488320852</v>
      </c>
      <c r="AM144" s="14">
        <f>INDEX('Partner data'!A:EB,MATCH(I_Miei_Rendiconti[[#This Row],[Column1.partnerId]],'Partner data'!DG:DG,0),44)</f>
        <v>127064</v>
      </c>
      <c r="AN144" s="14">
        <f>SUMIFS(ListOfExpenditure!AP:AP,ListOfExpenditure!AJ:AJ,I_Miei_Rendiconti[[#This Row],[Column1.id]])</f>
        <v>0</v>
      </c>
      <c r="AO144" s="148">
        <f>SUMIFS(ReportSubmittedBL!W:W,ReportSubmittedBL!D:D,I_Miei_Rendiconti[[#This Row],[Column1.id]])</f>
        <v>8</v>
      </c>
      <c r="AP144" s="155" cm="1">
        <f t="array" ref="AP144">INDEX('Weight tables'!$A$32:$C$36,MATCH(1,('MY-REPORT-MAIN'!AO144&gt;='Weight tables'!$B$32:$B$36)*('MY-REPORT-MAIN'!AO144&lt;='Weight tables'!$C$32:$C$36),0),1)</f>
        <v>6.3</v>
      </c>
      <c r="AQ144" s="155">
        <f>INDEX('Weight tables'!$A$39:$B$41,MATCH(I_Miei_Rendiconti[[#This Row],[Previouse Report checked?yes/no]],'Weight tables'!$B$39:$B$41,0),1)</f>
        <v>8.4</v>
      </c>
      <c r="AR144" s="155" cm="1">
        <f t="array" ref="AR144">IF(I_Miei_Rendiconti[[#This Row],[Sum of errors in previous report ]]="NON PERTINENTE",0,INDEX('Weight tables'!$A$43:$C$46,MATCH(1,(I_Miei_Rendiconti[[#This Row],[Sum of errors in previous report ]]&gt;='Weight tables'!$B$43:$B$46)*(I_Miei_Rendiconti[[#This Row],[Sum of errors in previous report ]]&lt;='Weight tables'!$C$43:$C$46),0),1))</f>
        <v>0</v>
      </c>
      <c r="AS144" s="155" cm="1">
        <f t="array" ref="AS144">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44" s="155" cm="1">
        <f t="array" ref="AT144">INDEX('Weight tables'!$A$56:$C$65,MATCH(1,('MY-REPORT-MAIN'!U144&gt;='Weight tables'!$B$56:$B$65)*('MY-REPORT-MAIN'!U144&lt;='Weight tables'!$C$56:$C$65),0),1)</f>
        <v>2</v>
      </c>
      <c r="AU144" s="155" cm="1">
        <f t="array" ref="AU144">INDEX('Weight tables'!$A$68:$C$71,MATCH(1,('MY-REPORT-MAIN'!AL144&gt;='Weight tables'!$B$68:$B$71)*('MY-REPORT-MAIN'!AL144&lt;='Weight tables'!$C$68:$C$71),0),1)</f>
        <v>2</v>
      </c>
      <c r="AV144" s="155" cm="1">
        <f t="array" ref="AV144">INDEX('Weight tables'!$A$74:$C$78,MATCH(1,('MY-REPORT-MAIN'!AN144&gt;='Weight tables'!$B$74:$B$78)*('MY-REPORT-MAIN'!AN144&lt;='Weight tables'!$C$74:$C$78),0),1)</f>
        <v>0</v>
      </c>
      <c r="AW144" s="16">
        <f>IF(I_Miei_Rendiconti[[#This Row],[Column1.totalAfterSubmitted]]/AM144&gt;50%,"Checked",0)</f>
        <v>0</v>
      </c>
      <c r="AX144" s="155">
        <f t="shared" si="5"/>
        <v>18.7</v>
      </c>
      <c r="AY144" s="155" t="str">
        <f>INDEX('Partner data'!A:EB,MATCH(I_Miei_Rendiconti[[#This Row],[Column1.partnerId]],'Partner data'!DG:DG,0),92)</f>
        <v>Italia (IT)</v>
      </c>
    </row>
    <row r="145" spans="1:51" ht="30" x14ac:dyDescent="0.25">
      <c r="A145" s="79">
        <v>309</v>
      </c>
      <c r="B145" s="79">
        <v>91</v>
      </c>
      <c r="C145" s="79">
        <v>308</v>
      </c>
      <c r="D145" s="79" t="s">
        <v>2561</v>
      </c>
      <c r="E145" s="79" t="s">
        <v>253</v>
      </c>
      <c r="F145" s="79">
        <v>6</v>
      </c>
      <c r="G145" s="206" t="s">
        <v>23</v>
      </c>
      <c r="H145" s="79">
        <v>2</v>
      </c>
      <c r="I145" s="79" t="s">
        <v>4339</v>
      </c>
      <c r="J145" s="79" t="s">
        <v>2563</v>
      </c>
      <c r="K145" s="208">
        <v>45386.660621655094</v>
      </c>
      <c r="M145" s="208">
        <v>45477.397131782411</v>
      </c>
      <c r="N145" s="79" t="s">
        <v>4523</v>
      </c>
      <c r="O145" s="79" t="s">
        <v>4363</v>
      </c>
      <c r="P145" s="79" t="s">
        <v>4348</v>
      </c>
      <c r="Q145" s="79" t="s">
        <v>4343</v>
      </c>
      <c r="R145" s="79">
        <v>36</v>
      </c>
      <c r="S145" s="79">
        <v>2</v>
      </c>
      <c r="T145" s="81">
        <v>51193.01</v>
      </c>
      <c r="U145" s="81">
        <v>51193.01</v>
      </c>
      <c r="V145" s="79" t="str">
        <f>INDEX(pARTNER[#All],MATCH(I_Miei_Rendiconti[[#This Row],[Column1.partnerId]],pARTNER[[#All],[Value.partnerSummary.id]],0),2)</f>
        <v>POSEIDONE</v>
      </c>
      <c r="W145" s="79" t="b">
        <v>0</v>
      </c>
      <c r="X145" s="82">
        <f>I_Miei_Rendiconti[[#This Row],[Column1.totalAfterSubmitted]]-I_Miei_Rendiconti[[#This Row],[Column1.totalEligibleAfterControl]]</f>
        <v>0</v>
      </c>
      <c r="Y145" s="80">
        <f>IF(I_Miei_Rendiconti[[#This Row],[Column1.status]]="Certified",IFERROR(I_Miei_Rendiconti[[#This Row],[Financial corection]]/I_Miei_Rendiconti[[#This Row],[Column1.totalAfterSubmitted]],0),"Rendiconto da certificare")</f>
        <v>0</v>
      </c>
      <c r="Z145" s="207" t="str">
        <f>IF(I_Miei_Rendiconti[[#This Row],[Column1.status]]&lt;&gt;"Certified",INDEX('Partner data'!DG:DQ,MATCH(I_Miei_Rendiconti[[#This Row],[Column1.partnerId]],'Partner data'!DG:DG,0),13),"Rendiconto CONVALIDATO")</f>
        <v>Rendiconto CONVALIDATO</v>
      </c>
      <c r="AA145"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45" s="81" t="str">
        <f>IF(OR(I_Miei_Rendiconti[[#This Row],[N. previouse validated report ]]="Rendiconto CONVALIDATO",I_Miei_Rendiconti[[#This Row],[N. previouse validated report ]]="NON è stato convalidato ancora nessun rendiconto"),"NON PERTINENTE","fai la fromula")</f>
        <v>NON PERTINENTE</v>
      </c>
      <c r="AC145"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45" s="2">
        <f>INDEX('Partner data'!DG:DJ,MATCH(I_Miei_Rendiconti[[#This Row],[Column1.partnerId]],'Partner data'!DG:DG,0),3)</f>
        <v>2</v>
      </c>
      <c r="AE145" t="str" cm="1">
        <f t="array" ref="AE145">INDEX('Varie Tabelle'!$A$37:$C$51,MATCH(1,(I_Miei_Rendiconti[[#This Row],[Column1.firstSubmission]]&gt;='Varie Tabelle'!$B$37:$B$51)*(I_Miei_Rendiconti[[#This Row],[Column1.firstSubmission]]&lt;'Varie Tabelle'!$C$37:$C$51),0),1)</f>
        <v>Finestra 2</v>
      </c>
      <c r="AF145" s="109">
        <f>INDEX('Varie Tabelle'!$A$37:$C$51,MATCH('MY-REPORT-MAIN'!AE145,'Varie Tabelle'!$A$37:$A$51,0),2)</f>
        <v>45352</v>
      </c>
      <c r="AG145" s="109">
        <f>INDEX('Partner data'!DG:DR,MATCH(I_Miei_Rendiconti[[#This Row],[Column1.partnerId]],'Partner data'!DG:DG,0),12)</f>
        <v>44927</v>
      </c>
      <c r="AH145" s="115">
        <f t="shared" si="4"/>
        <v>13.975665899375205</v>
      </c>
      <c r="AI145" t="str" cm="1">
        <f t="array" ref="AI145">INDEX('Varie Tabelle'!$A$12:$C$22,MATCH(1,('MY-REPORT-MAIN'!AH145&gt;='Varie Tabelle'!$B$12:$B$22)*('MY-REPORT-MAIN'!AH145&lt;='Varie Tabelle'!$C$12:$C$22),0),1)</f>
        <v>Periodo-2</v>
      </c>
      <c r="AJ145" s="14">
        <f>INDEX('Partner data'!A:EC,MATCH(I_Miei_Rendiconti[[#This Row],[Column1.partnerId]],'Partner data'!DG:DG,0),MATCH('MY-REPORT-MAIN'!AI145,'Partner data'!$2:$2,0))</f>
        <v>85045.68</v>
      </c>
      <c r="AK145" s="10">
        <f>SUMIFS($U$2:U145,$C$2:C145,I_Miei_Rendiconti[[#This Row],[Column1.partnerId]])-AJ145</f>
        <v>2122.070000000007</v>
      </c>
      <c r="AL145" s="16">
        <f>IFERROR(1-(I_Miei_Rendiconti[[#This Row],[Column1.totalAfterSubmitted]]/AJ145),0)</f>
        <v>0.3980527876313058</v>
      </c>
      <c r="AM145" s="14">
        <f>INDEX('Partner data'!A:EB,MATCH(I_Miei_Rendiconti[[#This Row],[Column1.partnerId]],'Partner data'!DG:DG,0),44)</f>
        <v>275000.09999999998</v>
      </c>
      <c r="AN145" s="14">
        <f>SUMIFS(ListOfExpenditure!AP:AP,ListOfExpenditure!AJ:AJ,I_Miei_Rendiconti[[#This Row],[Column1.id]])</f>
        <v>0</v>
      </c>
      <c r="AO145" s="148">
        <f>SUMIFS(ReportSubmittedBL!W:W,ReportSubmittedBL!D:D,I_Miei_Rendiconti[[#This Row],[Column1.id]])</f>
        <v>14</v>
      </c>
      <c r="AP145" s="155" cm="1">
        <f t="array" ref="AP145">INDEX('Weight tables'!$A$32:$C$36,MATCH(1,('MY-REPORT-MAIN'!AO145&gt;='Weight tables'!$B$32:$B$36)*('MY-REPORT-MAIN'!AO145&lt;='Weight tables'!$C$32:$C$36),0),1)</f>
        <v>8.4</v>
      </c>
      <c r="AQ145" s="155">
        <f>INDEX('Weight tables'!$A$39:$B$41,MATCH(I_Miei_Rendiconti[[#This Row],[Previouse Report checked?yes/no]],'Weight tables'!$B$39:$B$41,0),1)</f>
        <v>8.4</v>
      </c>
      <c r="AR145" s="155" cm="1">
        <f t="array" ref="AR145">IF(I_Miei_Rendiconti[[#This Row],[Sum of errors in previous report ]]="NON PERTINENTE",0,INDEX('Weight tables'!$A$43:$C$46,MATCH(1,(I_Miei_Rendiconti[[#This Row],[Sum of errors in previous report ]]&gt;='Weight tables'!$B$43:$B$46)*(I_Miei_Rendiconti[[#This Row],[Sum of errors in previous report ]]&lt;='Weight tables'!$C$43:$C$46),0),1))</f>
        <v>0</v>
      </c>
      <c r="AS145" s="155" cm="1">
        <f t="array" ref="AS145">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45" s="155" cm="1">
        <f t="array" ref="AT145">INDEX('Weight tables'!$A$56:$C$65,MATCH(1,('MY-REPORT-MAIN'!U145&gt;='Weight tables'!$B$56:$B$65)*('MY-REPORT-MAIN'!U145&lt;='Weight tables'!$C$56:$C$65),0),1)</f>
        <v>5</v>
      </c>
      <c r="AU145" s="155" cm="1">
        <f t="array" ref="AU145">INDEX('Weight tables'!$A$68:$C$71,MATCH(1,('MY-REPORT-MAIN'!AL145&gt;='Weight tables'!$B$68:$B$71)*('MY-REPORT-MAIN'!AL145&lt;='Weight tables'!$C$68:$C$71),0),1)</f>
        <v>2</v>
      </c>
      <c r="AV145" s="155" cm="1">
        <f t="array" ref="AV145">INDEX('Weight tables'!$A$74:$C$78,MATCH(1,('MY-REPORT-MAIN'!AN145&gt;='Weight tables'!$B$74:$B$78)*('MY-REPORT-MAIN'!AN145&lt;='Weight tables'!$C$74:$C$78),0),1)</f>
        <v>0</v>
      </c>
      <c r="AW145" s="16">
        <f>IF(I_Miei_Rendiconti[[#This Row],[Column1.totalAfterSubmitted]]/AM145&gt;50%,"Checked",0)</f>
        <v>0</v>
      </c>
      <c r="AX145" s="155">
        <f t="shared" si="5"/>
        <v>23.8</v>
      </c>
      <c r="AY145" s="155" t="str">
        <f>INDEX('Partner data'!A:EB,MATCH(I_Miei_Rendiconti[[#This Row],[Column1.partnerId]],'Partner data'!DG:DG,0),92)</f>
        <v>Italia (IT)</v>
      </c>
    </row>
    <row r="146" spans="1:51" ht="30" x14ac:dyDescent="0.25">
      <c r="A146" s="79">
        <v>237</v>
      </c>
      <c r="B146" s="79">
        <v>91</v>
      </c>
      <c r="C146" s="79">
        <v>313</v>
      </c>
      <c r="D146" s="79" t="s">
        <v>2561</v>
      </c>
      <c r="E146" s="79" t="s">
        <v>253</v>
      </c>
      <c r="F146" s="79">
        <v>11</v>
      </c>
      <c r="G146" s="206" t="s">
        <v>24</v>
      </c>
      <c r="H146" s="79">
        <v>3</v>
      </c>
      <c r="I146" s="79" t="s">
        <v>4339</v>
      </c>
      <c r="J146" s="79" t="s">
        <v>2563</v>
      </c>
      <c r="K146" s="208">
        <v>45386.662269791668</v>
      </c>
      <c r="M146" s="208">
        <v>45478.391633252315</v>
      </c>
      <c r="N146" s="79" t="s">
        <v>4474</v>
      </c>
      <c r="O146" s="79" t="s">
        <v>4347</v>
      </c>
      <c r="P146" s="79" t="s">
        <v>4348</v>
      </c>
      <c r="Q146" s="79" t="s">
        <v>4343</v>
      </c>
      <c r="R146" s="79">
        <v>36</v>
      </c>
      <c r="S146" s="79">
        <v>2</v>
      </c>
      <c r="T146" s="81">
        <v>36815.97</v>
      </c>
      <c r="U146" s="81">
        <v>37837.440000000002</v>
      </c>
      <c r="V146" s="79" t="str">
        <f>INDEX(pARTNER[#All],MATCH(I_Miei_Rendiconti[[#This Row],[Column1.partnerId]],pARTNER[[#All],[Value.partnerSummary.id]],0),2)</f>
        <v>POSEIDONE</v>
      </c>
      <c r="W146" s="79" t="b">
        <v>0</v>
      </c>
      <c r="X146" s="82">
        <f>I_Miei_Rendiconti[[#This Row],[Column1.totalAfterSubmitted]]-I_Miei_Rendiconti[[#This Row],[Column1.totalEligibleAfterControl]]</f>
        <v>1021.4700000000012</v>
      </c>
      <c r="Y146" s="80">
        <f>IF(I_Miei_Rendiconti[[#This Row],[Column1.status]]="Certified",IFERROR(I_Miei_Rendiconti[[#This Row],[Financial corection]]/I_Miei_Rendiconti[[#This Row],[Column1.totalAfterSubmitted]],0),"Rendiconto da certificare")</f>
        <v>2.6996276703709372E-2</v>
      </c>
      <c r="Z146" s="207" t="str">
        <f>IF(I_Miei_Rendiconti[[#This Row],[Column1.status]]&lt;&gt;"Certified",INDEX('Partner data'!DG:DQ,MATCH(I_Miei_Rendiconti[[#This Row],[Column1.partnerId]],'Partner data'!DG:DG,0),13),"Rendiconto CONVALIDATO")</f>
        <v>Rendiconto CONVALIDATO</v>
      </c>
      <c r="AA146"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46" s="81" t="str">
        <f>IF(OR(I_Miei_Rendiconti[[#This Row],[N. previouse validated report ]]="Rendiconto CONVALIDATO",I_Miei_Rendiconti[[#This Row],[N. previouse validated report ]]="NON è stato convalidato ancora nessun rendiconto"),"NON PERTINENTE","fai la fromula")</f>
        <v>NON PERTINENTE</v>
      </c>
      <c r="AC146"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46" s="2">
        <f>INDEX('Partner data'!DG:DJ,MATCH(I_Miei_Rendiconti[[#This Row],[Column1.partnerId]],'Partner data'!DG:DG,0),3)</f>
        <v>2</v>
      </c>
      <c r="AE146" t="str" cm="1">
        <f t="array" ref="AE146">INDEX('Varie Tabelle'!$A$37:$C$51,MATCH(1,(I_Miei_Rendiconti[[#This Row],[Column1.firstSubmission]]&gt;='Varie Tabelle'!$B$37:$B$51)*(I_Miei_Rendiconti[[#This Row],[Column1.firstSubmission]]&lt;'Varie Tabelle'!$C$37:$C$51),0),1)</f>
        <v>Finestra 2</v>
      </c>
      <c r="AF146" s="109">
        <f>INDEX('Varie Tabelle'!$A$37:$C$51,MATCH('MY-REPORT-MAIN'!AE146,'Varie Tabelle'!$A$37:$A$51,0),2)</f>
        <v>45352</v>
      </c>
      <c r="AG146" s="109">
        <f>INDEX('Partner data'!DG:DR,MATCH(I_Miei_Rendiconti[[#This Row],[Column1.partnerId]],'Partner data'!DG:DG,0),12)</f>
        <v>44927</v>
      </c>
      <c r="AH146" s="115">
        <f t="shared" si="4"/>
        <v>13.975665899375205</v>
      </c>
      <c r="AI146" t="str" cm="1">
        <f t="array" ref="AI146">INDEX('Varie Tabelle'!$A$12:$C$22,MATCH(1,('MY-REPORT-MAIN'!AH146&gt;='Varie Tabelle'!$B$12:$B$22)*('MY-REPORT-MAIN'!AH146&lt;='Varie Tabelle'!$C$12:$C$22),0),1)</f>
        <v>Periodo-2</v>
      </c>
      <c r="AJ146" s="14">
        <f>INDEX('Partner data'!A:EC,MATCH(I_Miei_Rendiconti[[#This Row],[Column1.partnerId]],'Partner data'!DG:DG,0),MATCH('MY-REPORT-MAIN'!AI146,'Partner data'!$2:$2,0))</f>
        <v>110885.97</v>
      </c>
      <c r="AK146" s="10">
        <f>SUMIFS($U$2:U146,$C$2:C146,I_Miei_Rendiconti[[#This Row],[Column1.partnerId]])-AJ146</f>
        <v>9035.0200000000041</v>
      </c>
      <c r="AL146" s="16">
        <f>IFERROR(1-(I_Miei_Rendiconti[[#This Row],[Column1.totalAfterSubmitted]]/AJ146),0)</f>
        <v>0.65877161916877314</v>
      </c>
      <c r="AM146" s="14">
        <f>INDEX('Partner data'!A:EB,MATCH(I_Miei_Rendiconti[[#This Row],[Column1.partnerId]],'Partner data'!DG:DG,0),44)</f>
        <v>312357.7</v>
      </c>
      <c r="AN146" s="14">
        <f>SUMIFS(ListOfExpenditure!AP:AP,ListOfExpenditure!AJ:AJ,I_Miei_Rendiconti[[#This Row],[Column1.id]])</f>
        <v>0</v>
      </c>
      <c r="AO146" s="148">
        <f>SUMIFS(ReportSubmittedBL!W:W,ReportSubmittedBL!D:D,I_Miei_Rendiconti[[#This Row],[Column1.id]])</f>
        <v>16</v>
      </c>
      <c r="AP146" s="155" cm="1">
        <f t="array" ref="AP146">INDEX('Weight tables'!$A$32:$C$36,MATCH(1,('MY-REPORT-MAIN'!AO146&gt;='Weight tables'!$B$32:$B$36)*('MY-REPORT-MAIN'!AO146&lt;='Weight tables'!$C$32:$C$36),0),1)</f>
        <v>8.4</v>
      </c>
      <c r="AQ146" s="155">
        <f>INDEX('Weight tables'!$A$39:$B$41,MATCH(I_Miei_Rendiconti[[#This Row],[Previouse Report checked?yes/no]],'Weight tables'!$B$39:$B$41,0),1)</f>
        <v>8.4</v>
      </c>
      <c r="AR146" s="155" cm="1">
        <f t="array" ref="AR146">IF(I_Miei_Rendiconti[[#This Row],[Sum of errors in previous report ]]="NON PERTINENTE",0,INDEX('Weight tables'!$A$43:$C$46,MATCH(1,(I_Miei_Rendiconti[[#This Row],[Sum of errors in previous report ]]&gt;='Weight tables'!$B$43:$B$46)*(I_Miei_Rendiconti[[#This Row],[Sum of errors in previous report ]]&lt;='Weight tables'!$C$43:$C$46),0),1))</f>
        <v>0</v>
      </c>
      <c r="AS146" s="155" cm="1">
        <f t="array" ref="AS146">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46" s="155" cm="1">
        <f t="array" ref="AT146">INDEX('Weight tables'!$A$56:$C$65,MATCH(1,('MY-REPORT-MAIN'!U146&gt;='Weight tables'!$B$56:$B$65)*('MY-REPORT-MAIN'!U146&lt;='Weight tables'!$C$56:$C$65),0),1)</f>
        <v>3</v>
      </c>
      <c r="AU146" s="155" cm="1">
        <f t="array" ref="AU146">INDEX('Weight tables'!$A$68:$C$71,MATCH(1,('MY-REPORT-MAIN'!AL146&gt;='Weight tables'!$B$68:$B$71)*('MY-REPORT-MAIN'!AL146&lt;='Weight tables'!$C$68:$C$71),0),1)</f>
        <v>2</v>
      </c>
      <c r="AV146" s="155" cm="1">
        <f t="array" ref="AV146">INDEX('Weight tables'!$A$74:$C$78,MATCH(1,('MY-REPORT-MAIN'!AN146&gt;='Weight tables'!$B$74:$B$78)*('MY-REPORT-MAIN'!AN146&lt;='Weight tables'!$C$74:$C$78),0),1)</f>
        <v>0</v>
      </c>
      <c r="AW146" s="16">
        <f>IF(I_Miei_Rendiconti[[#This Row],[Column1.totalAfterSubmitted]]/AM146&gt;50%,"Checked",0)</f>
        <v>0</v>
      </c>
      <c r="AX146" s="155">
        <f t="shared" si="5"/>
        <v>21.8</v>
      </c>
      <c r="AY146" s="155" t="str">
        <f>INDEX('Partner data'!A:EB,MATCH(I_Miei_Rendiconti[[#This Row],[Column1.partnerId]],'Partner data'!DG:DG,0),92)</f>
        <v>Slovenija (SI)</v>
      </c>
    </row>
    <row r="147" spans="1:51" ht="30" x14ac:dyDescent="0.25">
      <c r="A147" s="79">
        <v>289</v>
      </c>
      <c r="B147" s="79">
        <v>75</v>
      </c>
      <c r="C147" s="79">
        <v>177</v>
      </c>
      <c r="D147" s="79" t="s">
        <v>2013</v>
      </c>
      <c r="E147" s="79" t="s">
        <v>253</v>
      </c>
      <c r="F147" s="79">
        <v>3</v>
      </c>
      <c r="G147" s="206" t="s">
        <v>353</v>
      </c>
      <c r="H147" s="79">
        <v>1</v>
      </c>
      <c r="I147" s="79" t="s">
        <v>4339</v>
      </c>
      <c r="J147" s="79" t="s">
        <v>1118</v>
      </c>
      <c r="K147" s="208">
        <v>45386.674539548614</v>
      </c>
      <c r="M147" s="208">
        <v>45477.472293159721</v>
      </c>
      <c r="N147" s="79" t="s">
        <v>4513</v>
      </c>
      <c r="O147" s="79" t="s">
        <v>4363</v>
      </c>
      <c r="P147" s="79" t="s">
        <v>4428</v>
      </c>
      <c r="Q147" s="79" t="s">
        <v>4343</v>
      </c>
      <c r="R147" s="79">
        <v>44</v>
      </c>
      <c r="S147" s="79">
        <v>1</v>
      </c>
      <c r="T147" s="81">
        <v>18041.28</v>
      </c>
      <c r="U147" s="81">
        <v>29539.63</v>
      </c>
      <c r="V147" s="79" t="str">
        <f>INDEX(pARTNER[#All],MATCH(I_Miei_Rendiconti[[#This Row],[Column1.partnerId]],pARTNER[[#All],[Value.partnerSummary.id]],0),2)</f>
        <v>PRO-SIS</v>
      </c>
      <c r="W147" s="79" t="b">
        <v>0</v>
      </c>
      <c r="X147" s="82">
        <f>I_Miei_Rendiconti[[#This Row],[Column1.totalAfterSubmitted]]-I_Miei_Rendiconti[[#This Row],[Column1.totalEligibleAfterControl]]</f>
        <v>11498.350000000002</v>
      </c>
      <c r="Y147" s="80">
        <f>IF(I_Miei_Rendiconti[[#This Row],[Column1.status]]="Certified",IFERROR(I_Miei_Rendiconti[[#This Row],[Financial corection]]/I_Miei_Rendiconti[[#This Row],[Column1.totalAfterSubmitted]],0),"Rendiconto da certificare")</f>
        <v>0.38925165955023816</v>
      </c>
      <c r="Z147" s="207" t="str">
        <f>IF(I_Miei_Rendiconti[[#This Row],[Column1.status]]&lt;&gt;"Certified",INDEX('Partner data'!DG:DQ,MATCH(I_Miei_Rendiconti[[#This Row],[Column1.partnerId]],'Partner data'!DG:DG,0),13),"Rendiconto CONVALIDATO")</f>
        <v>Rendiconto CONVALIDATO</v>
      </c>
      <c r="AA147"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47" s="81" t="str">
        <f>IF(OR(I_Miei_Rendiconti[[#This Row],[N. previouse validated report ]]="Rendiconto CONVALIDATO",I_Miei_Rendiconti[[#This Row],[N. previouse validated report ]]="NON è stato convalidato ancora nessun rendiconto"),"NON PERTINENTE","fai la fromula")</f>
        <v>NON PERTINENTE</v>
      </c>
      <c r="AC147"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47" s="2">
        <f>INDEX('Partner data'!DG:DJ,MATCH(I_Miei_Rendiconti[[#This Row],[Column1.partnerId]],'Partner data'!DG:DG,0),3)</f>
        <v>1</v>
      </c>
      <c r="AE147" t="str" cm="1">
        <f t="array" ref="AE147">INDEX('Varie Tabelle'!$A$37:$C$51,MATCH(1,(I_Miei_Rendiconti[[#This Row],[Column1.firstSubmission]]&gt;='Varie Tabelle'!$B$37:$B$51)*(I_Miei_Rendiconti[[#This Row],[Column1.firstSubmission]]&lt;'Varie Tabelle'!$C$37:$C$51),0),1)</f>
        <v>Finestra 2</v>
      </c>
      <c r="AF147" s="109">
        <f>INDEX('Varie Tabelle'!$A$37:$C$51,MATCH('MY-REPORT-MAIN'!AE147,'Varie Tabelle'!$A$37:$A$51,0),2)</f>
        <v>45352</v>
      </c>
      <c r="AG147" s="109">
        <f>INDEX('Partner data'!DG:DR,MATCH(I_Miei_Rendiconti[[#This Row],[Column1.partnerId]],'Partner data'!DG:DG,0),12)</f>
        <v>45200</v>
      </c>
      <c r="AH147" s="115">
        <f t="shared" si="4"/>
        <v>4.9983558040118385</v>
      </c>
      <c r="AI147" t="str" cm="1">
        <f t="array" ref="AI147">INDEX('Varie Tabelle'!$A$12:$C$22,MATCH(1,('MY-REPORT-MAIN'!AH147&gt;='Varie Tabelle'!$B$12:$B$22)*('MY-REPORT-MAIN'!AH147&lt;='Varie Tabelle'!$C$12:$C$22),0),1)</f>
        <v>Periodo-1</v>
      </c>
      <c r="AJ147" s="14">
        <f>INDEX('Partner data'!A:EC,MATCH(I_Miei_Rendiconti[[#This Row],[Column1.partnerId]],'Partner data'!DG:DG,0),MATCH('MY-REPORT-MAIN'!AI147,'Partner data'!$2:$2,0))</f>
        <v>25519.72</v>
      </c>
      <c r="AK147" s="10">
        <f>SUMIFS($U$2:U147,$C$2:C147,I_Miei_Rendiconti[[#This Row],[Column1.partnerId]])-AJ147</f>
        <v>4019.91</v>
      </c>
      <c r="AL147" s="16">
        <f>IFERROR(1-(I_Miei_Rendiconti[[#This Row],[Column1.totalAfterSubmitted]]/AJ147),0)</f>
        <v>-0.15752171262067138</v>
      </c>
      <c r="AM147" s="14">
        <f>INDEX('Partner data'!A:EB,MATCH(I_Miei_Rendiconti[[#This Row],[Column1.partnerId]],'Partner data'!DG:DG,0),44)</f>
        <v>79852.12</v>
      </c>
      <c r="AN147" s="14">
        <f>SUMIFS(ListOfExpenditure!AP:AP,ListOfExpenditure!AJ:AJ,I_Miei_Rendiconti[[#This Row],[Column1.id]])</f>
        <v>0</v>
      </c>
      <c r="AO147" s="148">
        <f>SUMIFS(ReportSubmittedBL!W:W,ReportSubmittedBL!D:D,I_Miei_Rendiconti[[#This Row],[Column1.id]])</f>
        <v>16</v>
      </c>
      <c r="AP147" s="155" cm="1">
        <f t="array" ref="AP147">INDEX('Weight tables'!$A$32:$C$36,MATCH(1,('MY-REPORT-MAIN'!AO147&gt;='Weight tables'!$B$32:$B$36)*('MY-REPORT-MAIN'!AO147&lt;='Weight tables'!$C$32:$C$36),0),1)</f>
        <v>8.4</v>
      </c>
      <c r="AQ147" s="155">
        <f>INDEX('Weight tables'!$A$39:$B$41,MATCH(I_Miei_Rendiconti[[#This Row],[Previouse Report checked?yes/no]],'Weight tables'!$B$39:$B$41,0),1)</f>
        <v>8.4</v>
      </c>
      <c r="AR147" s="155" cm="1">
        <f t="array" ref="AR147">IF(I_Miei_Rendiconti[[#This Row],[Sum of errors in previous report ]]="NON PERTINENTE",0,INDEX('Weight tables'!$A$43:$C$46,MATCH(1,(I_Miei_Rendiconti[[#This Row],[Sum of errors in previous report ]]&gt;='Weight tables'!$B$43:$B$46)*(I_Miei_Rendiconti[[#This Row],[Sum of errors in previous report ]]&lt;='Weight tables'!$C$43:$C$46),0),1))</f>
        <v>0</v>
      </c>
      <c r="AS147" s="155" cm="1">
        <f t="array" ref="AS147">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47" s="155" cm="1">
        <f t="array" ref="AT147">INDEX('Weight tables'!$A$56:$C$65,MATCH(1,('MY-REPORT-MAIN'!U147&gt;='Weight tables'!$B$56:$B$65)*('MY-REPORT-MAIN'!U147&lt;='Weight tables'!$C$56:$C$65),0),1)</f>
        <v>2</v>
      </c>
      <c r="AU147" s="155" cm="1">
        <f t="array" ref="AU147">INDEX('Weight tables'!$A$68:$C$71,MATCH(1,('MY-REPORT-MAIN'!AL147&gt;='Weight tables'!$B$68:$B$71)*('MY-REPORT-MAIN'!AL147&lt;='Weight tables'!$C$68:$C$71),0),1)</f>
        <v>0</v>
      </c>
      <c r="AV147" s="155" cm="1">
        <f t="array" ref="AV147">INDEX('Weight tables'!$A$74:$C$78,MATCH(1,('MY-REPORT-MAIN'!AN147&gt;='Weight tables'!$B$74:$B$78)*('MY-REPORT-MAIN'!AN147&lt;='Weight tables'!$C$74:$C$78),0),1)</f>
        <v>0</v>
      </c>
      <c r="AW147" s="16">
        <f>IF(I_Miei_Rendiconti[[#This Row],[Column1.totalAfterSubmitted]]/AM147&gt;50%,"Checked",0)</f>
        <v>0</v>
      </c>
      <c r="AX147" s="155">
        <f t="shared" si="5"/>
        <v>18.8</v>
      </c>
      <c r="AY147" s="155" t="str">
        <f>INDEX('Partner data'!A:EB,MATCH(I_Miei_Rendiconti[[#This Row],[Column1.partnerId]],'Partner data'!DG:DG,0),92)</f>
        <v>Italia (IT)</v>
      </c>
    </row>
    <row r="148" spans="1:51" ht="30" x14ac:dyDescent="0.25">
      <c r="A148" s="79">
        <v>234</v>
      </c>
      <c r="B148" s="79">
        <v>80</v>
      </c>
      <c r="C148" s="79">
        <v>230</v>
      </c>
      <c r="D148" s="79" t="s">
        <v>2132</v>
      </c>
      <c r="E148" s="79" t="s">
        <v>264</v>
      </c>
      <c r="F148" s="79">
        <v>1</v>
      </c>
      <c r="G148" s="206" t="s">
        <v>46</v>
      </c>
      <c r="H148" s="79">
        <v>2</v>
      </c>
      <c r="I148" s="79" t="s">
        <v>4339</v>
      </c>
      <c r="J148" s="79" t="s">
        <v>490</v>
      </c>
      <c r="K148" s="208">
        <v>45386.687619502314</v>
      </c>
      <c r="M148" s="208">
        <v>45475.327043356483</v>
      </c>
      <c r="N148" s="79" t="s">
        <v>4472</v>
      </c>
      <c r="O148" s="79" t="s">
        <v>4363</v>
      </c>
      <c r="P148" s="79" t="s">
        <v>4348</v>
      </c>
      <c r="Q148" s="79" t="s">
        <v>4343</v>
      </c>
      <c r="R148" s="79">
        <v>28</v>
      </c>
      <c r="S148" s="79">
        <v>2</v>
      </c>
      <c r="T148" s="81">
        <v>41043.31</v>
      </c>
      <c r="U148" s="81">
        <v>42144.97</v>
      </c>
      <c r="V148" s="79" t="str">
        <f>INDEX(pARTNER[#All],MATCH(I_Miei_Rendiconti[[#This Row],[Column1.partnerId]],pARTNER[[#All],[Value.partnerSummary.id]],0),2)</f>
        <v>RecapMCV</v>
      </c>
      <c r="W148" s="79" t="b">
        <v>0</v>
      </c>
      <c r="X148" s="82">
        <f>I_Miei_Rendiconti[[#This Row],[Column1.totalAfterSubmitted]]-I_Miei_Rendiconti[[#This Row],[Column1.totalEligibleAfterControl]]</f>
        <v>1101.6600000000035</v>
      </c>
      <c r="Y148" s="80">
        <f>IF(I_Miei_Rendiconti[[#This Row],[Column1.status]]="Certified",IFERROR(I_Miei_Rendiconti[[#This Row],[Financial corection]]/I_Miei_Rendiconti[[#This Row],[Column1.totalAfterSubmitted]],0),"Rendiconto da certificare")</f>
        <v>2.6139774212675996E-2</v>
      </c>
      <c r="Z148" s="207" t="str">
        <f>IF(I_Miei_Rendiconti[[#This Row],[Column1.status]]&lt;&gt;"Certified",INDEX('Partner data'!DG:DQ,MATCH(I_Miei_Rendiconti[[#This Row],[Column1.partnerId]],'Partner data'!DG:DG,0),13),"Rendiconto CONVALIDATO")</f>
        <v>Rendiconto CONVALIDATO</v>
      </c>
      <c r="AA148"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48" s="81" t="str">
        <f>IF(OR(I_Miei_Rendiconti[[#This Row],[N. previouse validated report ]]="Rendiconto CONVALIDATO",I_Miei_Rendiconti[[#This Row],[N. previouse validated report ]]="NON è stato convalidato ancora nessun rendiconto"),"NON PERTINENTE","fai la fromula")</f>
        <v>NON PERTINENTE</v>
      </c>
      <c r="AC148"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48" s="2">
        <f>INDEX('Partner data'!DG:DJ,MATCH(I_Miei_Rendiconti[[#This Row],[Column1.partnerId]],'Partner data'!DG:DG,0),3)</f>
        <v>2</v>
      </c>
      <c r="AE148" t="str" cm="1">
        <f t="array" ref="AE148">INDEX('Varie Tabelle'!$A$37:$C$51,MATCH(1,(I_Miei_Rendiconti[[#This Row],[Column1.firstSubmission]]&gt;='Varie Tabelle'!$B$37:$B$51)*(I_Miei_Rendiconti[[#This Row],[Column1.firstSubmission]]&lt;'Varie Tabelle'!$C$37:$C$51),0),1)</f>
        <v>Finestra 2</v>
      </c>
      <c r="AF148" s="109">
        <f>INDEX('Varie Tabelle'!$A$37:$C$51,MATCH('MY-REPORT-MAIN'!AE148,'Varie Tabelle'!$A$37:$A$51,0),2)</f>
        <v>45352</v>
      </c>
      <c r="AG148" s="109">
        <f>INDEX('Partner data'!DG:DR,MATCH(I_Miei_Rendiconti[[#This Row],[Column1.partnerId]],'Partner data'!DG:DG,0),12)</f>
        <v>45108</v>
      </c>
      <c r="AH148" s="115">
        <f t="shared" si="4"/>
        <v>8.0236764222295296</v>
      </c>
      <c r="AI148" t="str" cm="1">
        <f t="array" ref="AI148">INDEX('Varie Tabelle'!$A$12:$C$22,MATCH(1,('MY-REPORT-MAIN'!AH148&gt;='Varie Tabelle'!$B$12:$B$22)*('MY-REPORT-MAIN'!AH148&lt;='Varie Tabelle'!$C$12:$C$22),0),1)</f>
        <v>Periodo-1</v>
      </c>
      <c r="AJ148" s="14">
        <f>INDEX('Partner data'!A:EC,MATCH(I_Miei_Rendiconti[[#This Row],[Column1.partnerId]],'Partner data'!DG:DG,0),MATCH('MY-REPORT-MAIN'!AI148,'Partner data'!$2:$2,0))</f>
        <v>68992.39</v>
      </c>
      <c r="AK148" s="10">
        <f>SUMIFS($U$2:U148,$C$2:C148,I_Miei_Rendiconti[[#This Row],[Column1.partnerId]])-AJ148</f>
        <v>7634.75</v>
      </c>
      <c r="AL148" s="16">
        <f>IFERROR(1-(I_Miei_Rendiconti[[#This Row],[Column1.totalAfterSubmitted]]/AJ148),0)</f>
        <v>0.38913596122702809</v>
      </c>
      <c r="AM148" s="14">
        <f>INDEX('Partner data'!A:EB,MATCH(I_Miei_Rendiconti[[#This Row],[Column1.partnerId]],'Partner data'!DG:DG,0),44)</f>
        <v>248969.54</v>
      </c>
      <c r="AN148" s="14">
        <f>SUMIFS(ListOfExpenditure!AP:AP,ListOfExpenditure!AJ:AJ,I_Miei_Rendiconti[[#This Row],[Column1.id]])</f>
        <v>0</v>
      </c>
      <c r="AO148" s="148">
        <f>SUMIFS(ReportSubmittedBL!W:W,ReportSubmittedBL!D:D,I_Miei_Rendiconti[[#This Row],[Column1.id]])</f>
        <v>8</v>
      </c>
      <c r="AP148" s="155" cm="1">
        <f t="array" ref="AP148">INDEX('Weight tables'!$A$32:$C$36,MATCH(1,('MY-REPORT-MAIN'!AO148&gt;='Weight tables'!$B$32:$B$36)*('MY-REPORT-MAIN'!AO148&lt;='Weight tables'!$C$32:$C$36),0),1)</f>
        <v>6.3</v>
      </c>
      <c r="AQ148" s="155">
        <f>INDEX('Weight tables'!$A$39:$B$41,MATCH(I_Miei_Rendiconti[[#This Row],[Previouse Report checked?yes/no]],'Weight tables'!$B$39:$B$41,0),1)</f>
        <v>8.4</v>
      </c>
      <c r="AR148" s="155" cm="1">
        <f t="array" ref="AR148">IF(I_Miei_Rendiconti[[#This Row],[Sum of errors in previous report ]]="NON PERTINENTE",0,INDEX('Weight tables'!$A$43:$C$46,MATCH(1,(I_Miei_Rendiconti[[#This Row],[Sum of errors in previous report ]]&gt;='Weight tables'!$B$43:$B$46)*(I_Miei_Rendiconti[[#This Row],[Sum of errors in previous report ]]&lt;='Weight tables'!$C$43:$C$46),0),1))</f>
        <v>0</v>
      </c>
      <c r="AS148" s="155" cm="1">
        <f t="array" ref="AS148">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48" s="155" cm="1">
        <f t="array" ref="AT148">INDEX('Weight tables'!$A$56:$C$65,MATCH(1,('MY-REPORT-MAIN'!U148&gt;='Weight tables'!$B$56:$B$65)*('MY-REPORT-MAIN'!U148&lt;='Weight tables'!$C$56:$C$65),0),1)</f>
        <v>4</v>
      </c>
      <c r="AU148" s="155" cm="1">
        <f t="array" ref="AU148">INDEX('Weight tables'!$A$68:$C$71,MATCH(1,('MY-REPORT-MAIN'!AL148&gt;='Weight tables'!$B$68:$B$71)*('MY-REPORT-MAIN'!AL148&lt;='Weight tables'!$C$68:$C$71),0),1)</f>
        <v>2</v>
      </c>
      <c r="AV148" s="155" cm="1">
        <f t="array" ref="AV148">INDEX('Weight tables'!$A$74:$C$78,MATCH(1,('MY-REPORT-MAIN'!AN148&gt;='Weight tables'!$B$74:$B$78)*('MY-REPORT-MAIN'!AN148&lt;='Weight tables'!$C$74:$C$78),0),1)</f>
        <v>0</v>
      </c>
      <c r="AW148" s="16">
        <f>IF(I_Miei_Rendiconti[[#This Row],[Column1.totalAfterSubmitted]]/AM148&gt;50%,"Checked",0)</f>
        <v>0</v>
      </c>
      <c r="AX148" s="155">
        <f t="shared" si="5"/>
        <v>20.7</v>
      </c>
      <c r="AY148" s="155" t="str">
        <f>INDEX('Partner data'!A:EB,MATCH(I_Miei_Rendiconti[[#This Row],[Column1.partnerId]],'Partner data'!DG:DG,0),92)</f>
        <v>Slovenija (SI)</v>
      </c>
    </row>
    <row r="149" spans="1:51" ht="30" x14ac:dyDescent="0.25">
      <c r="A149" s="79">
        <v>297</v>
      </c>
      <c r="B149" s="79">
        <v>13</v>
      </c>
      <c r="C149" s="79">
        <v>14</v>
      </c>
      <c r="D149" s="79" t="s">
        <v>2371</v>
      </c>
      <c r="E149" s="79" t="s">
        <v>253</v>
      </c>
      <c r="F149" s="79">
        <v>4</v>
      </c>
      <c r="G149" s="206" t="s">
        <v>40</v>
      </c>
      <c r="H149" s="79">
        <v>2</v>
      </c>
      <c r="I149" s="79" t="s">
        <v>4339</v>
      </c>
      <c r="J149" s="79" t="s">
        <v>2373</v>
      </c>
      <c r="K149" s="208">
        <v>45386.715110393518</v>
      </c>
      <c r="M149" s="208">
        <v>45469.435038090276</v>
      </c>
      <c r="N149" s="79" t="s">
        <v>4518</v>
      </c>
      <c r="O149" s="79" t="s">
        <v>4363</v>
      </c>
      <c r="P149" s="79" t="s">
        <v>4348</v>
      </c>
      <c r="Q149" s="79" t="s">
        <v>4343</v>
      </c>
      <c r="R149" s="79">
        <v>30</v>
      </c>
      <c r="S149" s="79">
        <v>2</v>
      </c>
      <c r="T149" s="81">
        <v>19298.37</v>
      </c>
      <c r="U149" s="81">
        <v>19298.37</v>
      </c>
      <c r="V149" s="79" t="str">
        <f>INDEX(pARTNER[#All],MATCH(I_Miei_Rendiconti[[#This Row],[Column1.partnerId]],pARTNER[[#All],[Value.partnerSummary.id]],0),2)</f>
        <v>ADRIONCYCLETOUR</v>
      </c>
      <c r="W149" s="79" t="b">
        <v>0</v>
      </c>
      <c r="X149" s="82">
        <f>I_Miei_Rendiconti[[#This Row],[Column1.totalAfterSubmitted]]-I_Miei_Rendiconti[[#This Row],[Column1.totalEligibleAfterControl]]</f>
        <v>0</v>
      </c>
      <c r="Y149" s="80">
        <f>IF(I_Miei_Rendiconti[[#This Row],[Column1.status]]="Certified",IFERROR(I_Miei_Rendiconti[[#This Row],[Financial corection]]/I_Miei_Rendiconti[[#This Row],[Column1.totalAfterSubmitted]],0),"Rendiconto da certificare")</f>
        <v>0</v>
      </c>
      <c r="Z149" s="207" t="str">
        <f>IF(I_Miei_Rendiconti[[#This Row],[Column1.status]]&lt;&gt;"Certified",INDEX('Partner data'!DG:DQ,MATCH(I_Miei_Rendiconti[[#This Row],[Column1.partnerId]],'Partner data'!DG:DG,0),13),"Rendiconto CONVALIDATO")</f>
        <v>Rendiconto CONVALIDATO</v>
      </c>
      <c r="AA149"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49" s="81" t="str">
        <f>IF(OR(I_Miei_Rendiconti[[#This Row],[N. previouse validated report ]]="Rendiconto CONVALIDATO",I_Miei_Rendiconti[[#This Row],[N. previouse validated report ]]="NON è stato convalidato ancora nessun rendiconto"),"NON PERTINENTE","fai la fromula")</f>
        <v>NON PERTINENTE</v>
      </c>
      <c r="AC149"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49" s="2">
        <f>INDEX('Partner data'!DG:DJ,MATCH(I_Miei_Rendiconti[[#This Row],[Column1.partnerId]],'Partner data'!DG:DG,0),3)</f>
        <v>2</v>
      </c>
      <c r="AE149" t="str" cm="1">
        <f t="array" ref="AE149">INDEX('Varie Tabelle'!$A$37:$C$51,MATCH(1,(I_Miei_Rendiconti[[#This Row],[Column1.firstSubmission]]&gt;='Varie Tabelle'!$B$37:$B$51)*(I_Miei_Rendiconti[[#This Row],[Column1.firstSubmission]]&lt;'Varie Tabelle'!$C$37:$C$51),0),1)</f>
        <v>Finestra 2</v>
      </c>
      <c r="AF149" s="109">
        <f>INDEX('Varie Tabelle'!$A$37:$C$51,MATCH('MY-REPORT-MAIN'!AE149,'Varie Tabelle'!$A$37:$A$51,0),2)</f>
        <v>45352</v>
      </c>
      <c r="AG149" s="109">
        <f>INDEX('Partner data'!DG:DR,MATCH(I_Miei_Rendiconti[[#This Row],[Column1.partnerId]],'Partner data'!DG:DG,0),12)</f>
        <v>44805</v>
      </c>
      <c r="AH149" s="115">
        <f t="shared" si="4"/>
        <v>17.987504110489969</v>
      </c>
      <c r="AI149" t="str" cm="1">
        <f t="array" ref="AI149">INDEX('Varie Tabelle'!$A$12:$C$22,MATCH(1,('MY-REPORT-MAIN'!AH149&gt;='Varie Tabelle'!$B$12:$B$22)*('MY-REPORT-MAIN'!AH149&lt;='Varie Tabelle'!$C$12:$C$22),0),1)</f>
        <v>Periodo-2</v>
      </c>
      <c r="AJ149" s="14">
        <f>INDEX('Partner data'!A:EC,MATCH(I_Miei_Rendiconti[[#This Row],[Column1.partnerId]],'Partner data'!DG:DG,0),MATCH('MY-REPORT-MAIN'!AI149,'Partner data'!$2:$2,0))</f>
        <v>51600</v>
      </c>
      <c r="AK149" s="10">
        <f>SUMIFS($U$2:U149,$C$2:C149,I_Miei_Rendiconti[[#This Row],[Column1.partnerId]])-AJ149</f>
        <v>11167.429999999993</v>
      </c>
      <c r="AL149" s="16">
        <f>IFERROR(1-(I_Miei_Rendiconti[[#This Row],[Column1.totalAfterSubmitted]]/AJ149),0)</f>
        <v>0.62600058139534887</v>
      </c>
      <c r="AM149" s="14">
        <f>INDEX('Partner data'!A:EB,MATCH(I_Miei_Rendiconti[[#This Row],[Column1.partnerId]],'Partner data'!DG:DG,0),44)</f>
        <v>316808</v>
      </c>
      <c r="AN149" s="14">
        <f>SUMIFS(ListOfExpenditure!AP:AP,ListOfExpenditure!AJ:AJ,I_Miei_Rendiconti[[#This Row],[Column1.id]])</f>
        <v>0</v>
      </c>
      <c r="AO149" s="148">
        <f>SUMIFS(ReportSubmittedBL!W:W,ReportSubmittedBL!D:D,I_Miei_Rendiconti[[#This Row],[Column1.id]])</f>
        <v>12</v>
      </c>
      <c r="AP149" s="155" cm="1">
        <f t="array" ref="AP149">INDEX('Weight tables'!$A$32:$C$36,MATCH(1,('MY-REPORT-MAIN'!AO149&gt;='Weight tables'!$B$32:$B$36)*('MY-REPORT-MAIN'!AO149&lt;='Weight tables'!$C$32:$C$36),0),1)</f>
        <v>8.4</v>
      </c>
      <c r="AQ149" s="155">
        <f>INDEX('Weight tables'!$A$39:$B$41,MATCH(I_Miei_Rendiconti[[#This Row],[Previouse Report checked?yes/no]],'Weight tables'!$B$39:$B$41,0),1)</f>
        <v>8.4</v>
      </c>
      <c r="AR149" s="155" cm="1">
        <f t="array" ref="AR149">IF(I_Miei_Rendiconti[[#This Row],[Sum of errors in previous report ]]="NON PERTINENTE",0,INDEX('Weight tables'!$A$43:$C$46,MATCH(1,(I_Miei_Rendiconti[[#This Row],[Sum of errors in previous report ]]&gt;='Weight tables'!$B$43:$B$46)*(I_Miei_Rendiconti[[#This Row],[Sum of errors in previous report ]]&lt;='Weight tables'!$C$43:$C$46),0),1))</f>
        <v>0</v>
      </c>
      <c r="AS149" s="155" cm="1">
        <f t="array" ref="AS149">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49" s="155" cm="1">
        <f t="array" ref="AT149">INDEX('Weight tables'!$A$56:$C$65,MATCH(1,('MY-REPORT-MAIN'!U149&gt;='Weight tables'!$B$56:$B$65)*('MY-REPORT-MAIN'!U149&lt;='Weight tables'!$C$56:$C$65),0),1)</f>
        <v>1</v>
      </c>
      <c r="AU149" s="155" cm="1">
        <f t="array" ref="AU149">INDEX('Weight tables'!$A$68:$C$71,MATCH(1,('MY-REPORT-MAIN'!AL149&gt;='Weight tables'!$B$68:$B$71)*('MY-REPORT-MAIN'!AL149&lt;='Weight tables'!$C$68:$C$71),0),1)</f>
        <v>2</v>
      </c>
      <c r="AV149" s="155" cm="1">
        <f t="array" ref="AV149">INDEX('Weight tables'!$A$74:$C$78,MATCH(1,('MY-REPORT-MAIN'!AN149&gt;='Weight tables'!$B$74:$B$78)*('MY-REPORT-MAIN'!AN149&lt;='Weight tables'!$C$74:$C$78),0),1)</f>
        <v>0</v>
      </c>
      <c r="AW149" s="16">
        <f>IF(I_Miei_Rendiconti[[#This Row],[Column1.totalAfterSubmitted]]/AM149&gt;50%,"Checked",0)</f>
        <v>0</v>
      </c>
      <c r="AX149" s="155">
        <f t="shared" si="5"/>
        <v>19.8</v>
      </c>
      <c r="AY149" s="155" t="str">
        <f>INDEX('Partner data'!A:EB,MATCH(I_Miei_Rendiconti[[#This Row],[Column1.partnerId]],'Partner data'!DG:DG,0),92)</f>
        <v>Slovenija (SI)</v>
      </c>
    </row>
    <row r="150" spans="1:51" ht="30" x14ac:dyDescent="0.25">
      <c r="A150" s="79">
        <v>338</v>
      </c>
      <c r="B150" s="79">
        <v>54</v>
      </c>
      <c r="C150" s="79">
        <v>80</v>
      </c>
      <c r="D150" s="79" t="s">
        <v>1435</v>
      </c>
      <c r="E150" s="79" t="s">
        <v>264</v>
      </c>
      <c r="F150" s="79">
        <v>1</v>
      </c>
      <c r="G150" s="206" t="s">
        <v>32</v>
      </c>
      <c r="H150" s="79">
        <v>2</v>
      </c>
      <c r="I150" s="79" t="s">
        <v>4339</v>
      </c>
      <c r="J150" s="79" t="s">
        <v>593</v>
      </c>
      <c r="K150" s="208">
        <v>45386.756818391201</v>
      </c>
      <c r="M150" s="208">
        <v>45470.694967546297</v>
      </c>
      <c r="N150" s="79" t="s">
        <v>4539</v>
      </c>
      <c r="O150" s="79" t="s">
        <v>4363</v>
      </c>
      <c r="P150" s="79" t="s">
        <v>4348</v>
      </c>
      <c r="Q150" s="79" t="s">
        <v>4343</v>
      </c>
      <c r="R150" s="79">
        <v>39</v>
      </c>
      <c r="S150" s="79">
        <v>2</v>
      </c>
      <c r="T150" s="81">
        <v>17826.45</v>
      </c>
      <c r="U150" s="81">
        <v>17826.45</v>
      </c>
      <c r="V150" s="79" t="str">
        <f>INDEX(pARTNER[#All],MATCH(I_Miei_Rendiconti[[#This Row],[Column1.partnerId]],pARTNER[[#All],[Value.partnerSummary.id]],0),2)</f>
        <v>X-BRAIN</v>
      </c>
      <c r="W150" s="79" t="b">
        <v>0</v>
      </c>
      <c r="X150" s="82">
        <f>I_Miei_Rendiconti[[#This Row],[Column1.totalAfterSubmitted]]-I_Miei_Rendiconti[[#This Row],[Column1.totalEligibleAfterControl]]</f>
        <v>0</v>
      </c>
      <c r="Y150" s="80">
        <f>IF(I_Miei_Rendiconti[[#This Row],[Column1.status]]="Certified",IFERROR(I_Miei_Rendiconti[[#This Row],[Financial corection]]/I_Miei_Rendiconti[[#This Row],[Column1.totalAfterSubmitted]],0),"Rendiconto da certificare")</f>
        <v>0</v>
      </c>
      <c r="Z150" s="207" t="str">
        <f>IF(I_Miei_Rendiconti[[#This Row],[Column1.status]]&lt;&gt;"Certified",INDEX('Partner data'!DG:DQ,MATCH(I_Miei_Rendiconti[[#This Row],[Column1.partnerId]],'Partner data'!DG:DG,0),13),"Rendiconto CONVALIDATO")</f>
        <v>Rendiconto CONVALIDATO</v>
      </c>
      <c r="AA150"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50" s="81" t="str">
        <f>IF(OR(I_Miei_Rendiconti[[#This Row],[N. previouse validated report ]]="Rendiconto CONVALIDATO",I_Miei_Rendiconti[[#This Row],[N. previouse validated report ]]="NON è stato convalidato ancora nessun rendiconto"),"NON PERTINENTE","fai la fromula")</f>
        <v>NON PERTINENTE</v>
      </c>
      <c r="AC150"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50" s="2">
        <f>INDEX('Partner data'!DG:DJ,MATCH(I_Miei_Rendiconti[[#This Row],[Column1.partnerId]],'Partner data'!DG:DG,0),3)</f>
        <v>2</v>
      </c>
      <c r="AE150" t="str" cm="1">
        <f t="array" ref="AE150">INDEX('Varie Tabelle'!$A$37:$C$51,MATCH(1,(I_Miei_Rendiconti[[#This Row],[Column1.firstSubmission]]&gt;='Varie Tabelle'!$B$37:$B$51)*(I_Miei_Rendiconti[[#This Row],[Column1.firstSubmission]]&lt;'Varie Tabelle'!$C$37:$C$51),0),1)</f>
        <v>Finestra 2</v>
      </c>
      <c r="AF150" s="109">
        <f>INDEX('Varie Tabelle'!$A$37:$C$51,MATCH('MY-REPORT-MAIN'!AE150,'Varie Tabelle'!$A$37:$A$51,0),2)</f>
        <v>45352</v>
      </c>
      <c r="AG150" s="109">
        <f>INDEX('Partner data'!DG:DR,MATCH(I_Miei_Rendiconti[[#This Row],[Column1.partnerId]],'Partner data'!DG:DG,0),12)</f>
        <v>45078</v>
      </c>
      <c r="AH150" s="115">
        <f t="shared" si="4"/>
        <v>9.0101940151266025</v>
      </c>
      <c r="AI150" t="str" cm="1">
        <f t="array" ref="AI150">INDEX('Varie Tabelle'!$A$12:$C$22,MATCH(1,('MY-REPORT-MAIN'!AH150&gt;='Varie Tabelle'!$B$12:$B$22)*('MY-REPORT-MAIN'!AH150&lt;='Varie Tabelle'!$C$12:$C$22),0),1)</f>
        <v>Periodo-1</v>
      </c>
      <c r="AJ150" s="14">
        <f>INDEX('Partner data'!A:EC,MATCH(I_Miei_Rendiconti[[#This Row],[Column1.partnerId]],'Partner data'!DG:DG,0),MATCH('MY-REPORT-MAIN'!AI150,'Partner data'!$2:$2,0))</f>
        <v>23745.69</v>
      </c>
      <c r="AK150" s="10">
        <f>SUMIFS($U$2:U150,$C$2:C150,I_Miei_Rendiconti[[#This Row],[Column1.partnerId]])-AJ150</f>
        <v>5209.6400000000031</v>
      </c>
      <c r="AL150" s="16">
        <f>IFERROR(1-(I_Miei_Rendiconti[[#This Row],[Column1.totalAfterSubmitted]]/AJ150),0)</f>
        <v>0.24927639500052423</v>
      </c>
      <c r="AM150" s="14">
        <f>INDEX('Partner data'!A:EB,MATCH(I_Miei_Rendiconti[[#This Row],[Column1.partnerId]],'Partner data'!DG:DG,0),44)</f>
        <v>150246.35999999999</v>
      </c>
      <c r="AN150" s="14">
        <f>SUMIFS(ListOfExpenditure!AP:AP,ListOfExpenditure!AJ:AJ,I_Miei_Rendiconti[[#This Row],[Column1.id]])</f>
        <v>0</v>
      </c>
      <c r="AO150" s="148">
        <f>SUMIFS(ReportSubmittedBL!W:W,ReportSubmittedBL!D:D,I_Miei_Rendiconti[[#This Row],[Column1.id]])</f>
        <v>14</v>
      </c>
      <c r="AP150" s="155" cm="1">
        <f t="array" ref="AP150">INDEX('Weight tables'!$A$32:$C$36,MATCH(1,('MY-REPORT-MAIN'!AO150&gt;='Weight tables'!$B$32:$B$36)*('MY-REPORT-MAIN'!AO150&lt;='Weight tables'!$C$32:$C$36),0),1)</f>
        <v>8.4</v>
      </c>
      <c r="AQ150" s="155">
        <f>INDEX('Weight tables'!$A$39:$B$41,MATCH(I_Miei_Rendiconti[[#This Row],[Previouse Report checked?yes/no]],'Weight tables'!$B$39:$B$41,0),1)</f>
        <v>8.4</v>
      </c>
      <c r="AR150" s="155" cm="1">
        <f t="array" ref="AR150">IF(I_Miei_Rendiconti[[#This Row],[Sum of errors in previous report ]]="NON PERTINENTE",0,INDEX('Weight tables'!$A$43:$C$46,MATCH(1,(I_Miei_Rendiconti[[#This Row],[Sum of errors in previous report ]]&gt;='Weight tables'!$B$43:$B$46)*(I_Miei_Rendiconti[[#This Row],[Sum of errors in previous report ]]&lt;='Weight tables'!$C$43:$C$46),0),1))</f>
        <v>0</v>
      </c>
      <c r="AS150" s="155" cm="1">
        <f t="array" ref="AS150">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50" s="155" cm="1">
        <f t="array" ref="AT150">INDEX('Weight tables'!$A$56:$C$65,MATCH(1,('MY-REPORT-MAIN'!U150&gt;='Weight tables'!$B$56:$B$65)*('MY-REPORT-MAIN'!U150&lt;='Weight tables'!$C$56:$C$65),0),1)</f>
        <v>1</v>
      </c>
      <c r="AU150" s="155" cm="1">
        <f t="array" ref="AU150">INDEX('Weight tables'!$A$68:$C$71,MATCH(1,('MY-REPORT-MAIN'!AL150&gt;='Weight tables'!$B$68:$B$71)*('MY-REPORT-MAIN'!AL150&lt;='Weight tables'!$C$68:$C$71),0),1)</f>
        <v>2</v>
      </c>
      <c r="AV150" s="155" cm="1">
        <f t="array" ref="AV150">INDEX('Weight tables'!$A$74:$C$78,MATCH(1,('MY-REPORT-MAIN'!AN150&gt;='Weight tables'!$B$74:$B$78)*('MY-REPORT-MAIN'!AN150&lt;='Weight tables'!$C$74:$C$78),0),1)</f>
        <v>0</v>
      </c>
      <c r="AW150" s="16">
        <f>IF(I_Miei_Rendiconti[[#This Row],[Column1.totalAfterSubmitted]]/AM150&gt;50%,"Checked",0)</f>
        <v>0</v>
      </c>
      <c r="AX150" s="155">
        <f t="shared" ref="AX150:AX180" si="6">SUM(AP150:AV150)</f>
        <v>19.8</v>
      </c>
      <c r="AY150" s="155" t="str">
        <f>INDEX('Partner data'!A:EB,MATCH(I_Miei_Rendiconti[[#This Row],[Column1.partnerId]],'Partner data'!DG:DG,0),92)</f>
        <v>Italia (IT)</v>
      </c>
    </row>
    <row r="151" spans="1:51" ht="30" x14ac:dyDescent="0.25">
      <c r="A151" s="79">
        <v>326</v>
      </c>
      <c r="B151" s="79">
        <v>80</v>
      </c>
      <c r="C151" s="79">
        <v>287</v>
      </c>
      <c r="D151" s="79" t="s">
        <v>2132</v>
      </c>
      <c r="E151" s="79" t="s">
        <v>253</v>
      </c>
      <c r="F151" s="79">
        <v>3</v>
      </c>
      <c r="G151" s="206" t="s">
        <v>51</v>
      </c>
      <c r="H151" s="79">
        <v>2</v>
      </c>
      <c r="I151" s="79" t="s">
        <v>4339</v>
      </c>
      <c r="J151" s="79" t="s">
        <v>490</v>
      </c>
      <c r="K151" s="208">
        <v>45386.764293055552</v>
      </c>
      <c r="M151" s="208">
        <v>45468.746726678241</v>
      </c>
      <c r="N151" s="79" t="s">
        <v>4537</v>
      </c>
      <c r="O151" s="79" t="s">
        <v>4363</v>
      </c>
      <c r="P151" s="79" t="s">
        <v>4348</v>
      </c>
      <c r="Q151" s="79" t="s">
        <v>4343</v>
      </c>
      <c r="R151" s="79">
        <v>28</v>
      </c>
      <c r="S151" s="79">
        <v>2</v>
      </c>
      <c r="T151" s="81">
        <v>21467.65</v>
      </c>
      <c r="U151" s="81">
        <v>21467.65</v>
      </c>
      <c r="V151" s="79" t="str">
        <f>INDEX(pARTNER[#All],MATCH(I_Miei_Rendiconti[[#This Row],[Column1.partnerId]],pARTNER[[#All],[Value.partnerSummary.id]],0),2)</f>
        <v>RecapMCV</v>
      </c>
      <c r="W151" s="79" t="b">
        <v>0</v>
      </c>
      <c r="X151" s="82">
        <f>I_Miei_Rendiconti[[#This Row],[Column1.totalAfterSubmitted]]-I_Miei_Rendiconti[[#This Row],[Column1.totalEligibleAfterControl]]</f>
        <v>0</v>
      </c>
      <c r="Y151" s="80">
        <f>IF(I_Miei_Rendiconti[[#This Row],[Column1.status]]="Certified",IFERROR(I_Miei_Rendiconti[[#This Row],[Financial corection]]/I_Miei_Rendiconti[[#This Row],[Column1.totalAfterSubmitted]],0),"Rendiconto da certificare")</f>
        <v>0</v>
      </c>
      <c r="Z151" s="207" t="str">
        <f>IF(I_Miei_Rendiconti[[#This Row],[Column1.status]]&lt;&gt;"Certified",INDEX('Partner data'!DG:DQ,MATCH(I_Miei_Rendiconti[[#This Row],[Column1.partnerId]],'Partner data'!DG:DG,0),13),"Rendiconto CONVALIDATO")</f>
        <v>Rendiconto CONVALIDATO</v>
      </c>
      <c r="AA151"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51" s="81" t="str">
        <f>IF(OR(I_Miei_Rendiconti[[#This Row],[N. previouse validated report ]]="Rendiconto CONVALIDATO",I_Miei_Rendiconti[[#This Row],[N. previouse validated report ]]="NON è stato convalidato ancora nessun rendiconto"),"NON PERTINENTE","fai la fromula")</f>
        <v>NON PERTINENTE</v>
      </c>
      <c r="AC151"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51" s="2">
        <f>INDEX('Partner data'!DG:DJ,MATCH(I_Miei_Rendiconti[[#This Row],[Column1.partnerId]],'Partner data'!DG:DG,0),3)</f>
        <v>2</v>
      </c>
      <c r="AE151" t="str" cm="1">
        <f t="array" ref="AE151">INDEX('Varie Tabelle'!$A$37:$C$51,MATCH(1,(I_Miei_Rendiconti[[#This Row],[Column1.firstSubmission]]&gt;='Varie Tabelle'!$B$37:$B$51)*(I_Miei_Rendiconti[[#This Row],[Column1.firstSubmission]]&lt;'Varie Tabelle'!$C$37:$C$51),0),1)</f>
        <v>Finestra 2</v>
      </c>
      <c r="AF151" s="109">
        <f>INDEX('Varie Tabelle'!$A$37:$C$51,MATCH('MY-REPORT-MAIN'!AE151,'Varie Tabelle'!$A$37:$A$51,0),2)</f>
        <v>45352</v>
      </c>
      <c r="AG151" s="109">
        <f>INDEX('Partner data'!DG:DR,MATCH(I_Miei_Rendiconti[[#This Row],[Column1.partnerId]],'Partner data'!DG:DG,0),12)</f>
        <v>45108</v>
      </c>
      <c r="AH151" s="115">
        <f t="shared" si="4"/>
        <v>8.0236764222295296</v>
      </c>
      <c r="AI151" t="str" cm="1">
        <f t="array" ref="AI151">INDEX('Varie Tabelle'!$A$12:$C$22,MATCH(1,('MY-REPORT-MAIN'!AH151&gt;='Varie Tabelle'!$B$12:$B$22)*('MY-REPORT-MAIN'!AH151&lt;='Varie Tabelle'!$C$12:$C$22),0),1)</f>
        <v>Periodo-1</v>
      </c>
      <c r="AJ151" s="14">
        <f>INDEX('Partner data'!A:EC,MATCH(I_Miei_Rendiconti[[#This Row],[Column1.partnerId]],'Partner data'!DG:DG,0),MATCH('MY-REPORT-MAIN'!AI151,'Partner data'!$2:$2,0))</f>
        <v>44241</v>
      </c>
      <c r="AK151" s="10">
        <f>SUMIFS($U$2:U151,$C$2:C151,I_Miei_Rendiconti[[#This Row],[Column1.partnerId]])-AJ151</f>
        <v>-6890.6499999999942</v>
      </c>
      <c r="AL151" s="16">
        <f>IFERROR(1-(I_Miei_Rendiconti[[#This Row],[Column1.totalAfterSubmitted]]/AJ151),0)</f>
        <v>0.51475667367374145</v>
      </c>
      <c r="AM151" s="14">
        <f>INDEX('Partner data'!A:EB,MATCH(I_Miei_Rendiconti[[#This Row],[Column1.partnerId]],'Partner data'!DG:DG,0),44)</f>
        <v>175314.06</v>
      </c>
      <c r="AN151" s="14">
        <f>SUMIFS(ListOfExpenditure!AP:AP,ListOfExpenditure!AJ:AJ,I_Miei_Rendiconti[[#This Row],[Column1.id]])</f>
        <v>0</v>
      </c>
      <c r="AO151" s="148">
        <f>SUMIFS(ReportSubmittedBL!W:W,ReportSubmittedBL!D:D,I_Miei_Rendiconti[[#This Row],[Column1.id]])</f>
        <v>12</v>
      </c>
      <c r="AP151" s="155" cm="1">
        <f t="array" ref="AP151">INDEX('Weight tables'!$A$32:$C$36,MATCH(1,('MY-REPORT-MAIN'!AO151&gt;='Weight tables'!$B$32:$B$36)*('MY-REPORT-MAIN'!AO151&lt;='Weight tables'!$C$32:$C$36),0),1)</f>
        <v>8.4</v>
      </c>
      <c r="AQ151" s="155">
        <f>INDEX('Weight tables'!$A$39:$B$41,MATCH(I_Miei_Rendiconti[[#This Row],[Previouse Report checked?yes/no]],'Weight tables'!$B$39:$B$41,0),1)</f>
        <v>8.4</v>
      </c>
      <c r="AR151" s="155" cm="1">
        <f t="array" ref="AR151">IF(I_Miei_Rendiconti[[#This Row],[Sum of errors in previous report ]]="NON PERTINENTE",0,INDEX('Weight tables'!$A$43:$C$46,MATCH(1,(I_Miei_Rendiconti[[#This Row],[Sum of errors in previous report ]]&gt;='Weight tables'!$B$43:$B$46)*(I_Miei_Rendiconti[[#This Row],[Sum of errors in previous report ]]&lt;='Weight tables'!$C$43:$C$46),0),1))</f>
        <v>0</v>
      </c>
      <c r="AS151" s="155" cm="1">
        <f t="array" ref="AS151">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51" s="155" cm="1">
        <f t="array" ref="AT151">INDEX('Weight tables'!$A$56:$C$65,MATCH(1,('MY-REPORT-MAIN'!U151&gt;='Weight tables'!$B$56:$B$65)*('MY-REPORT-MAIN'!U151&lt;='Weight tables'!$C$56:$C$65),0),1)</f>
        <v>2</v>
      </c>
      <c r="AU151" s="155" cm="1">
        <f t="array" ref="AU151">INDEX('Weight tables'!$A$68:$C$71,MATCH(1,('MY-REPORT-MAIN'!AL151&gt;='Weight tables'!$B$68:$B$71)*('MY-REPORT-MAIN'!AL151&lt;='Weight tables'!$C$68:$C$71),0),1)</f>
        <v>2</v>
      </c>
      <c r="AV151" s="155" cm="1">
        <f t="array" ref="AV151">INDEX('Weight tables'!$A$74:$C$78,MATCH(1,('MY-REPORT-MAIN'!AN151&gt;='Weight tables'!$B$74:$B$78)*('MY-REPORT-MAIN'!AN151&lt;='Weight tables'!$C$74:$C$78),0),1)</f>
        <v>0</v>
      </c>
      <c r="AW151" s="16">
        <f>IF(I_Miei_Rendiconti[[#This Row],[Column1.totalAfterSubmitted]]/AM151&gt;50%,"Checked",0)</f>
        <v>0</v>
      </c>
      <c r="AX151" s="155">
        <f t="shared" si="6"/>
        <v>20.8</v>
      </c>
      <c r="AY151" s="155" t="str">
        <f>INDEX('Partner data'!A:EB,MATCH(I_Miei_Rendiconti[[#This Row],[Column1.partnerId]],'Partner data'!DG:DG,0),92)</f>
        <v>Italia (IT)</v>
      </c>
    </row>
    <row r="152" spans="1:51" ht="30" x14ac:dyDescent="0.25">
      <c r="A152" s="79">
        <v>252</v>
      </c>
      <c r="B152" s="79">
        <v>7</v>
      </c>
      <c r="C152" s="79">
        <v>32</v>
      </c>
      <c r="D152" s="79" t="s">
        <v>488</v>
      </c>
      <c r="E152" s="79" t="s">
        <v>253</v>
      </c>
      <c r="F152" s="79">
        <v>5</v>
      </c>
      <c r="G152" s="206" t="s">
        <v>261</v>
      </c>
      <c r="H152" s="79">
        <v>1</v>
      </c>
      <c r="I152" s="79" t="s">
        <v>4339</v>
      </c>
      <c r="J152" s="79" t="s">
        <v>1043</v>
      </c>
      <c r="K152" s="208">
        <v>45386.774235046294</v>
      </c>
      <c r="M152" s="208">
        <v>45476.457680370368</v>
      </c>
      <c r="N152" s="79" t="s">
        <v>4484</v>
      </c>
      <c r="O152" s="79" t="s">
        <v>4363</v>
      </c>
      <c r="P152" s="79" t="s">
        <v>4348</v>
      </c>
      <c r="Q152" s="79" t="s">
        <v>4343</v>
      </c>
      <c r="T152" s="81">
        <v>23804.7</v>
      </c>
      <c r="U152" s="81">
        <v>31908.82</v>
      </c>
      <c r="V152" s="79" t="str">
        <f>INDEX(pARTNER[#All],MATCH(I_Miei_Rendiconti[[#This Row],[Column1.partnerId]],pARTNER[[#All],[Value.partnerSummary.id]],0),2)</f>
        <v>CrossCare 2</v>
      </c>
      <c r="W152" s="79" t="b">
        <v>0</v>
      </c>
      <c r="X152" s="82">
        <f>I_Miei_Rendiconti[[#This Row],[Column1.totalAfterSubmitted]]-I_Miei_Rendiconti[[#This Row],[Column1.totalEligibleAfterControl]]</f>
        <v>8104.119999999999</v>
      </c>
      <c r="Y152" s="80">
        <f>IF(I_Miei_Rendiconti[[#This Row],[Column1.status]]="Certified",IFERROR(I_Miei_Rendiconti[[#This Row],[Financial corection]]/I_Miei_Rendiconti[[#This Row],[Column1.totalAfterSubmitted]],0),"Rendiconto da certificare")</f>
        <v>0.25397742693086112</v>
      </c>
      <c r="Z152" s="207" t="str">
        <f>IF(I_Miei_Rendiconti[[#This Row],[Column1.status]]&lt;&gt;"Certified",INDEX('Partner data'!DG:DQ,MATCH(I_Miei_Rendiconti[[#This Row],[Column1.partnerId]],'Partner data'!DG:DG,0),13),"Rendiconto CONVALIDATO")</f>
        <v>Rendiconto CONVALIDATO</v>
      </c>
      <c r="AA152"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52" s="81" t="str">
        <f>IF(OR(I_Miei_Rendiconti[[#This Row],[N. previouse validated report ]]="Rendiconto CONVALIDATO",I_Miei_Rendiconti[[#This Row],[N. previouse validated report ]]="NON è stato convalidato ancora nessun rendiconto"),"NON PERTINENTE","fai la fromula")</f>
        <v>NON PERTINENTE</v>
      </c>
      <c r="AC152"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52" s="2">
        <f>INDEX('Partner data'!DG:DJ,MATCH(I_Miei_Rendiconti[[#This Row],[Column1.partnerId]],'Partner data'!DG:DG,0),3)</f>
        <v>1</v>
      </c>
      <c r="AE152" t="str" cm="1">
        <f t="array" ref="AE152">INDEX('Varie Tabelle'!$A$37:$C$51,MATCH(1,(I_Miei_Rendiconti[[#This Row],[Column1.firstSubmission]]&gt;='Varie Tabelle'!$B$37:$B$51)*(I_Miei_Rendiconti[[#This Row],[Column1.firstSubmission]]&lt;'Varie Tabelle'!$C$37:$C$51),0),1)</f>
        <v>Finestra 2</v>
      </c>
      <c r="AF152" s="109">
        <f>INDEX('Varie Tabelle'!$A$37:$C$51,MATCH('MY-REPORT-MAIN'!AE152,'Varie Tabelle'!$A$37:$A$51,0),2)</f>
        <v>45352</v>
      </c>
      <c r="AG152" s="109">
        <f>INDEX('Partner data'!DG:DR,MATCH(I_Miei_Rendiconti[[#This Row],[Column1.partnerId]],'Partner data'!DG:DG,0),12)</f>
        <v>45200</v>
      </c>
      <c r="AH152" s="115">
        <f t="shared" si="4"/>
        <v>4.9983558040118385</v>
      </c>
      <c r="AI152" t="str" cm="1">
        <f t="array" ref="AI152">INDEX('Varie Tabelle'!$A$12:$C$22,MATCH(1,('MY-REPORT-MAIN'!AH152&gt;='Varie Tabelle'!$B$12:$B$22)*('MY-REPORT-MAIN'!AH152&lt;='Varie Tabelle'!$C$12:$C$22),0),1)</f>
        <v>Periodo-1</v>
      </c>
      <c r="AJ152" s="14">
        <f>INDEX('Partner data'!A:EC,MATCH(I_Miei_Rendiconti[[#This Row],[Column1.partnerId]],'Partner data'!DG:DG,0),MATCH('MY-REPORT-MAIN'!AI152,'Partner data'!$2:$2,0))</f>
        <v>35835.65</v>
      </c>
      <c r="AK152" s="10">
        <f>SUMIFS($U$2:U152,$C$2:C152,I_Miei_Rendiconti[[#This Row],[Column1.partnerId]])-AJ152</f>
        <v>-3926.8300000000017</v>
      </c>
      <c r="AL152" s="16">
        <f>IFERROR(1-(I_Miei_Rendiconti[[#This Row],[Column1.totalAfterSubmitted]]/AJ152),0)</f>
        <v>0.10957886908706838</v>
      </c>
      <c r="AM152" s="14">
        <f>INDEX('Partner data'!A:EB,MATCH(I_Miei_Rendiconti[[#This Row],[Column1.partnerId]],'Partner data'!DG:DG,0),44)</f>
        <v>108007</v>
      </c>
      <c r="AN152" s="14">
        <f>SUMIFS(ListOfExpenditure!AP:AP,ListOfExpenditure!AJ:AJ,I_Miei_Rendiconti[[#This Row],[Column1.id]])</f>
        <v>0</v>
      </c>
      <c r="AO152" s="148">
        <f>SUMIFS(ReportSubmittedBL!W:W,ReportSubmittedBL!D:D,I_Miei_Rendiconti[[#This Row],[Column1.id]])</f>
        <v>12</v>
      </c>
      <c r="AP152" s="155" cm="1">
        <f t="array" ref="AP152">INDEX('Weight tables'!$A$32:$C$36,MATCH(1,('MY-REPORT-MAIN'!AO152&gt;='Weight tables'!$B$32:$B$36)*('MY-REPORT-MAIN'!AO152&lt;='Weight tables'!$C$32:$C$36),0),1)</f>
        <v>8.4</v>
      </c>
      <c r="AQ152" s="155">
        <f>INDEX('Weight tables'!$A$39:$B$41,MATCH(I_Miei_Rendiconti[[#This Row],[Previouse Report checked?yes/no]],'Weight tables'!$B$39:$B$41,0),1)</f>
        <v>8.4</v>
      </c>
      <c r="AR152" s="155" cm="1">
        <f t="array" ref="AR152">IF(I_Miei_Rendiconti[[#This Row],[Sum of errors in previous report ]]="NON PERTINENTE",0,INDEX('Weight tables'!$A$43:$C$46,MATCH(1,(I_Miei_Rendiconti[[#This Row],[Sum of errors in previous report ]]&gt;='Weight tables'!$B$43:$B$46)*(I_Miei_Rendiconti[[#This Row],[Sum of errors in previous report ]]&lt;='Weight tables'!$C$43:$C$46),0),1))</f>
        <v>0</v>
      </c>
      <c r="AS152" s="155" cm="1">
        <f t="array" ref="AS152">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52" s="155" cm="1">
        <f t="array" ref="AT152">INDEX('Weight tables'!$A$56:$C$65,MATCH(1,('MY-REPORT-MAIN'!U152&gt;='Weight tables'!$B$56:$B$65)*('MY-REPORT-MAIN'!U152&lt;='Weight tables'!$C$56:$C$65),0),1)</f>
        <v>3</v>
      </c>
      <c r="AU152" s="155" cm="1">
        <f t="array" ref="AU152">INDEX('Weight tables'!$A$68:$C$71,MATCH(1,('MY-REPORT-MAIN'!AL152&gt;='Weight tables'!$B$68:$B$71)*('MY-REPORT-MAIN'!AL152&lt;='Weight tables'!$C$68:$C$71),0),1)</f>
        <v>1</v>
      </c>
      <c r="AV152" s="155" cm="1">
        <f t="array" ref="AV152">INDEX('Weight tables'!$A$74:$C$78,MATCH(1,('MY-REPORT-MAIN'!AN152&gt;='Weight tables'!$B$74:$B$78)*('MY-REPORT-MAIN'!AN152&lt;='Weight tables'!$C$74:$C$78),0),1)</f>
        <v>0</v>
      </c>
      <c r="AW152" s="16">
        <f>IF(I_Miei_Rendiconti[[#This Row],[Column1.totalAfterSubmitted]]/AM152&gt;50%,"Checked",0)</f>
        <v>0</v>
      </c>
      <c r="AX152" s="155">
        <f t="shared" si="6"/>
        <v>20.8</v>
      </c>
      <c r="AY152" s="155" t="str">
        <f>INDEX('Partner data'!A:EB,MATCH(I_Miei_Rendiconti[[#This Row],[Column1.partnerId]],'Partner data'!DG:DG,0),92)</f>
        <v>Slovenija (SI)</v>
      </c>
    </row>
    <row r="153" spans="1:51" ht="30" x14ac:dyDescent="0.25">
      <c r="A153" s="79">
        <v>186</v>
      </c>
      <c r="B153" s="79">
        <v>43</v>
      </c>
      <c r="C153" s="79">
        <v>65</v>
      </c>
      <c r="D153" s="79" t="s">
        <v>1041</v>
      </c>
      <c r="E153" s="79" t="s">
        <v>253</v>
      </c>
      <c r="F153" s="79">
        <v>6</v>
      </c>
      <c r="G153" s="206" t="s">
        <v>291</v>
      </c>
      <c r="H153" s="79">
        <v>1</v>
      </c>
      <c r="I153" s="79" t="s">
        <v>4339</v>
      </c>
      <c r="J153" s="79" t="s">
        <v>1043</v>
      </c>
      <c r="K153" s="208">
        <v>45386.872883611111</v>
      </c>
      <c r="M153" s="208">
        <v>45482.372266030092</v>
      </c>
      <c r="N153" s="79" t="s">
        <v>4437</v>
      </c>
      <c r="O153" s="79" t="s">
        <v>4363</v>
      </c>
      <c r="P153" s="79" t="s">
        <v>4348</v>
      </c>
      <c r="Q153" s="79" t="s">
        <v>4343</v>
      </c>
      <c r="T153" s="81">
        <v>4676.79</v>
      </c>
      <c r="U153" s="81">
        <v>4676.79</v>
      </c>
      <c r="V153" s="79" t="str">
        <f>INDEX(pARTNER[#All],MATCH(I_Miei_Rendiconti[[#This Row],[Column1.partnerId]],pARTNER[[#All],[Value.partnerSummary.id]],0),2)</f>
        <v>IRRIGAVIT</v>
      </c>
      <c r="W153" s="79" t="b">
        <v>0</v>
      </c>
      <c r="X153" s="82">
        <f>I_Miei_Rendiconti[[#This Row],[Column1.totalAfterSubmitted]]-I_Miei_Rendiconti[[#This Row],[Column1.totalEligibleAfterControl]]</f>
        <v>0</v>
      </c>
      <c r="Y153" s="80">
        <f>IF(I_Miei_Rendiconti[[#This Row],[Column1.status]]="Certified",IFERROR(I_Miei_Rendiconti[[#This Row],[Financial corection]]/I_Miei_Rendiconti[[#This Row],[Column1.totalAfterSubmitted]],0),"Rendiconto da certificare")</f>
        <v>0</v>
      </c>
      <c r="Z153" s="207" t="str">
        <f>IF(I_Miei_Rendiconti[[#This Row],[Column1.status]]&lt;&gt;"Certified",INDEX('Partner data'!DG:DQ,MATCH(I_Miei_Rendiconti[[#This Row],[Column1.partnerId]],'Partner data'!DG:DG,0),13),"Rendiconto CONVALIDATO")</f>
        <v>Rendiconto CONVALIDATO</v>
      </c>
      <c r="AA153"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53" s="81" t="str">
        <f>IF(OR(I_Miei_Rendiconti[[#This Row],[N. previouse validated report ]]="Rendiconto CONVALIDATO",I_Miei_Rendiconti[[#This Row],[N. previouse validated report ]]="NON è stato convalidato ancora nessun rendiconto"),"NON PERTINENTE","fai la fromula")</f>
        <v>NON PERTINENTE</v>
      </c>
      <c r="AC153"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53" s="2">
        <f>INDEX('Partner data'!DG:DJ,MATCH(I_Miei_Rendiconti[[#This Row],[Column1.partnerId]],'Partner data'!DG:DG,0),3)</f>
        <v>1</v>
      </c>
      <c r="AE153" t="str" cm="1">
        <f t="array" ref="AE153">INDEX('Varie Tabelle'!$A$37:$C$51,MATCH(1,(I_Miei_Rendiconti[[#This Row],[Column1.firstSubmission]]&gt;='Varie Tabelle'!$B$37:$B$51)*(I_Miei_Rendiconti[[#This Row],[Column1.firstSubmission]]&lt;'Varie Tabelle'!$C$37:$C$51),0),1)</f>
        <v>Finestra 2</v>
      </c>
      <c r="AF153" s="109">
        <f>INDEX('Varie Tabelle'!$A$37:$C$51,MATCH('MY-REPORT-MAIN'!AE153,'Varie Tabelle'!$A$37:$A$51,0),2)</f>
        <v>45352</v>
      </c>
      <c r="AG153" s="109">
        <f>INDEX('Partner data'!DG:DR,MATCH(I_Miei_Rendiconti[[#This Row],[Column1.partnerId]],'Partner data'!DG:DG,0),12)</f>
        <v>45200</v>
      </c>
      <c r="AH153" s="115">
        <f t="shared" si="4"/>
        <v>4.9983558040118385</v>
      </c>
      <c r="AI153" t="str" cm="1">
        <f t="array" ref="AI153">INDEX('Varie Tabelle'!$A$12:$C$22,MATCH(1,('MY-REPORT-MAIN'!AH153&gt;='Varie Tabelle'!$B$12:$B$22)*('MY-REPORT-MAIN'!AH153&lt;='Varie Tabelle'!$C$12:$C$22),0),1)</f>
        <v>Periodo-1</v>
      </c>
      <c r="AJ153" s="14">
        <f>INDEX('Partner data'!A:EC,MATCH(I_Miei_Rendiconti[[#This Row],[Column1.partnerId]],'Partner data'!DG:DG,0),MATCH('MY-REPORT-MAIN'!AI153,'Partner data'!$2:$2,0))</f>
        <v>7556.5</v>
      </c>
      <c r="AK153" s="10">
        <f>SUMIFS($U$2:U153,$C$2:C153,I_Miei_Rendiconti[[#This Row],[Column1.partnerId]])-AJ153</f>
        <v>-2879.71</v>
      </c>
      <c r="AL153" s="16">
        <f>IFERROR(1-(I_Miei_Rendiconti[[#This Row],[Column1.totalAfterSubmitted]]/AJ153),0)</f>
        <v>0.38109045192880298</v>
      </c>
      <c r="AM153" s="14">
        <f>INDEX('Partner data'!A:EB,MATCH(I_Miei_Rendiconti[[#This Row],[Column1.partnerId]],'Partner data'!DG:DG,0),44)</f>
        <v>73736.5</v>
      </c>
      <c r="AN153" s="14">
        <f>SUMIFS(ListOfExpenditure!AP:AP,ListOfExpenditure!AJ:AJ,I_Miei_Rendiconti[[#This Row],[Column1.id]])</f>
        <v>0</v>
      </c>
      <c r="AO153" s="148">
        <f>SUMIFS(ReportSubmittedBL!W:W,ReportSubmittedBL!D:D,I_Miei_Rendiconti[[#This Row],[Column1.id]])</f>
        <v>12</v>
      </c>
      <c r="AP153" s="155" cm="1">
        <f t="array" ref="AP153">INDEX('Weight tables'!$A$32:$C$36,MATCH(1,('MY-REPORT-MAIN'!AO153&gt;='Weight tables'!$B$32:$B$36)*('MY-REPORT-MAIN'!AO153&lt;='Weight tables'!$C$32:$C$36),0),1)</f>
        <v>8.4</v>
      </c>
      <c r="AQ153" s="155">
        <f>INDEX('Weight tables'!$A$39:$B$41,MATCH(I_Miei_Rendiconti[[#This Row],[Previouse Report checked?yes/no]],'Weight tables'!$B$39:$B$41,0),1)</f>
        <v>8.4</v>
      </c>
      <c r="AR153" s="155" cm="1">
        <f t="array" ref="AR153">IF(I_Miei_Rendiconti[[#This Row],[Sum of errors in previous report ]]="NON PERTINENTE",0,INDEX('Weight tables'!$A$43:$C$46,MATCH(1,(I_Miei_Rendiconti[[#This Row],[Sum of errors in previous report ]]&gt;='Weight tables'!$B$43:$B$46)*(I_Miei_Rendiconti[[#This Row],[Sum of errors in previous report ]]&lt;='Weight tables'!$C$43:$C$46),0),1))</f>
        <v>0</v>
      </c>
      <c r="AS153" s="155" cm="1">
        <f t="array" ref="AS153">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53" s="155" cm="1">
        <f t="array" ref="AT153">INDEX('Weight tables'!$A$56:$C$65,MATCH(1,('MY-REPORT-MAIN'!U153&gt;='Weight tables'!$B$56:$B$65)*('MY-REPORT-MAIN'!U153&lt;='Weight tables'!$C$56:$C$65),0),1)</f>
        <v>0</v>
      </c>
      <c r="AU153" s="155" cm="1">
        <f t="array" ref="AU153">INDEX('Weight tables'!$A$68:$C$71,MATCH(1,('MY-REPORT-MAIN'!AL153&gt;='Weight tables'!$B$68:$B$71)*('MY-REPORT-MAIN'!AL153&lt;='Weight tables'!$C$68:$C$71),0),1)</f>
        <v>2</v>
      </c>
      <c r="AV153" s="155" cm="1">
        <f t="array" ref="AV153">INDEX('Weight tables'!$A$74:$C$78,MATCH(1,('MY-REPORT-MAIN'!AN153&gt;='Weight tables'!$B$74:$B$78)*('MY-REPORT-MAIN'!AN153&lt;='Weight tables'!$C$74:$C$78),0),1)</f>
        <v>0</v>
      </c>
      <c r="AW153" s="16">
        <f>IF(I_Miei_Rendiconti[[#This Row],[Column1.totalAfterSubmitted]]/AM153&gt;50%,"Checked",0)</f>
        <v>0</v>
      </c>
      <c r="AX153" s="155">
        <f t="shared" si="6"/>
        <v>18.8</v>
      </c>
      <c r="AY153" s="155" t="str">
        <f>INDEX('Partner data'!A:EB,MATCH(I_Miei_Rendiconti[[#This Row],[Column1.partnerId]],'Partner data'!DG:DG,0),92)</f>
        <v>Slovenija (SI)</v>
      </c>
    </row>
    <row r="154" spans="1:51" ht="30" x14ac:dyDescent="0.25">
      <c r="A154" s="79">
        <v>300</v>
      </c>
      <c r="B154" s="79">
        <v>75</v>
      </c>
      <c r="C154" s="79">
        <v>176</v>
      </c>
      <c r="D154" s="79" t="s">
        <v>2013</v>
      </c>
      <c r="E154" s="79" t="s">
        <v>253</v>
      </c>
      <c r="F154" s="79">
        <v>2</v>
      </c>
      <c r="G154" s="206" t="s">
        <v>351</v>
      </c>
      <c r="H154" s="79">
        <v>1</v>
      </c>
      <c r="I154" s="79" t="s">
        <v>4339</v>
      </c>
      <c r="J154" s="79" t="s">
        <v>1118</v>
      </c>
      <c r="K154" s="208">
        <v>45386.924894074073</v>
      </c>
      <c r="M154" s="208">
        <v>45470.697925347224</v>
      </c>
      <c r="N154" s="79" t="s">
        <v>4520</v>
      </c>
      <c r="O154" s="79" t="s">
        <v>4363</v>
      </c>
      <c r="P154" s="79" t="s">
        <v>4348</v>
      </c>
      <c r="Q154" s="79" t="s">
        <v>4343</v>
      </c>
      <c r="R154" s="79">
        <v>44</v>
      </c>
      <c r="S154" s="79">
        <v>1</v>
      </c>
      <c r="T154" s="81">
        <v>5829.81</v>
      </c>
      <c r="U154" s="81">
        <v>5829.81</v>
      </c>
      <c r="V154" s="79" t="str">
        <f>INDEX(pARTNER[#All],MATCH(I_Miei_Rendiconti[[#This Row],[Column1.partnerId]],pARTNER[[#All],[Value.partnerSummary.id]],0),2)</f>
        <v>PRO-SIS</v>
      </c>
      <c r="W154" s="79" t="b">
        <v>0</v>
      </c>
      <c r="X154" s="82">
        <f>I_Miei_Rendiconti[[#This Row],[Column1.totalAfterSubmitted]]-I_Miei_Rendiconti[[#This Row],[Column1.totalEligibleAfterControl]]</f>
        <v>0</v>
      </c>
      <c r="Y154" s="80">
        <f>IF(I_Miei_Rendiconti[[#This Row],[Column1.status]]="Certified",IFERROR(I_Miei_Rendiconti[[#This Row],[Financial corection]]/I_Miei_Rendiconti[[#This Row],[Column1.totalAfterSubmitted]],0),"Rendiconto da certificare")</f>
        <v>0</v>
      </c>
      <c r="Z154" s="207" t="str">
        <f>IF(I_Miei_Rendiconti[[#This Row],[Column1.status]]&lt;&gt;"Certified",INDEX('Partner data'!DG:DQ,MATCH(I_Miei_Rendiconti[[#This Row],[Column1.partnerId]],'Partner data'!DG:DG,0),13),"Rendiconto CONVALIDATO")</f>
        <v>Rendiconto CONVALIDATO</v>
      </c>
      <c r="AA154"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54" s="81" t="str">
        <f>IF(OR(I_Miei_Rendiconti[[#This Row],[N. previouse validated report ]]="Rendiconto CONVALIDATO",I_Miei_Rendiconti[[#This Row],[N. previouse validated report ]]="NON è stato convalidato ancora nessun rendiconto"),"NON PERTINENTE","fai la fromula")</f>
        <v>NON PERTINENTE</v>
      </c>
      <c r="AC154"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54" s="2">
        <f>INDEX('Partner data'!DG:DJ,MATCH(I_Miei_Rendiconti[[#This Row],[Column1.partnerId]],'Partner data'!DG:DG,0),3)</f>
        <v>1</v>
      </c>
      <c r="AE154" t="str" cm="1">
        <f t="array" ref="AE154">INDEX('Varie Tabelle'!$A$37:$C$51,MATCH(1,(I_Miei_Rendiconti[[#This Row],[Column1.firstSubmission]]&gt;='Varie Tabelle'!$B$37:$B$51)*(I_Miei_Rendiconti[[#This Row],[Column1.firstSubmission]]&lt;'Varie Tabelle'!$C$37:$C$51),0),1)</f>
        <v>Finestra 2</v>
      </c>
      <c r="AF154" s="109">
        <f>INDEX('Varie Tabelle'!$A$37:$C$51,MATCH('MY-REPORT-MAIN'!AE154,'Varie Tabelle'!$A$37:$A$51,0),2)</f>
        <v>45352</v>
      </c>
      <c r="AG154" s="109">
        <f>INDEX('Partner data'!DG:DR,MATCH(I_Miei_Rendiconti[[#This Row],[Column1.partnerId]],'Partner data'!DG:DG,0),12)</f>
        <v>45200</v>
      </c>
      <c r="AH154" s="115">
        <f t="shared" si="4"/>
        <v>4.9983558040118385</v>
      </c>
      <c r="AI154" t="str" cm="1">
        <f t="array" ref="AI154">INDEX('Varie Tabelle'!$A$12:$C$22,MATCH(1,('MY-REPORT-MAIN'!AH154&gt;='Varie Tabelle'!$B$12:$B$22)*('MY-REPORT-MAIN'!AH154&lt;='Varie Tabelle'!$C$12:$C$22),0),1)</f>
        <v>Periodo-1</v>
      </c>
      <c r="AJ154" s="14">
        <f>INDEX('Partner data'!A:EC,MATCH(I_Miei_Rendiconti[[#This Row],[Column1.partnerId]],'Partner data'!DG:DG,0),MATCH('MY-REPORT-MAIN'!AI154,'Partner data'!$2:$2,0))</f>
        <v>10831</v>
      </c>
      <c r="AK154" s="10">
        <f>SUMIFS($U$2:U154,$C$2:C154,I_Miei_Rendiconti[[#This Row],[Column1.partnerId]])-AJ154</f>
        <v>-5001.1899999999996</v>
      </c>
      <c r="AL154" s="16">
        <f>IFERROR(1-(I_Miei_Rendiconti[[#This Row],[Column1.totalAfterSubmitted]]/AJ154),0)</f>
        <v>0.4617477610562275</v>
      </c>
      <c r="AM154" s="14">
        <f>INDEX('Partner data'!A:EB,MATCH(I_Miei_Rendiconti[[#This Row],[Column1.partnerId]],'Partner data'!DG:DG,0),44)</f>
        <v>70869</v>
      </c>
      <c r="AN154" s="14">
        <f>SUMIFS(ListOfExpenditure!AP:AP,ListOfExpenditure!AJ:AJ,I_Miei_Rendiconti[[#This Row],[Column1.id]])</f>
        <v>0</v>
      </c>
      <c r="AO154" s="148">
        <f>SUMIFS(ReportSubmittedBL!W:W,ReportSubmittedBL!D:D,I_Miei_Rendiconti[[#This Row],[Column1.id]])</f>
        <v>10</v>
      </c>
      <c r="AP154" s="155" cm="1">
        <f t="array" ref="AP154">INDEX('Weight tables'!$A$32:$C$36,MATCH(1,('MY-REPORT-MAIN'!AO154&gt;='Weight tables'!$B$32:$B$36)*('MY-REPORT-MAIN'!AO154&lt;='Weight tables'!$C$32:$C$36),0),1)</f>
        <v>8.4</v>
      </c>
      <c r="AQ154" s="155">
        <f>INDEX('Weight tables'!$A$39:$B$41,MATCH(I_Miei_Rendiconti[[#This Row],[Previouse Report checked?yes/no]],'Weight tables'!$B$39:$B$41,0),1)</f>
        <v>8.4</v>
      </c>
      <c r="AR154" s="155" cm="1">
        <f t="array" ref="AR154">IF(I_Miei_Rendiconti[[#This Row],[Sum of errors in previous report ]]="NON PERTINENTE",0,INDEX('Weight tables'!$A$43:$C$46,MATCH(1,(I_Miei_Rendiconti[[#This Row],[Sum of errors in previous report ]]&gt;='Weight tables'!$B$43:$B$46)*(I_Miei_Rendiconti[[#This Row],[Sum of errors in previous report ]]&lt;='Weight tables'!$C$43:$C$46),0),1))</f>
        <v>0</v>
      </c>
      <c r="AS154" s="155" cm="1">
        <f t="array" ref="AS154">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54" s="155" cm="1">
        <f t="array" ref="AT154">INDEX('Weight tables'!$A$56:$C$65,MATCH(1,('MY-REPORT-MAIN'!U154&gt;='Weight tables'!$B$56:$B$65)*('MY-REPORT-MAIN'!U154&lt;='Weight tables'!$C$56:$C$65),0),1)</f>
        <v>0</v>
      </c>
      <c r="AU154" s="155" cm="1">
        <f t="array" ref="AU154">INDEX('Weight tables'!$A$68:$C$71,MATCH(1,('MY-REPORT-MAIN'!AL154&gt;='Weight tables'!$B$68:$B$71)*('MY-REPORT-MAIN'!AL154&lt;='Weight tables'!$C$68:$C$71),0),1)</f>
        <v>2</v>
      </c>
      <c r="AV154" s="155" cm="1">
        <f t="array" ref="AV154">INDEX('Weight tables'!$A$74:$C$78,MATCH(1,('MY-REPORT-MAIN'!AN154&gt;='Weight tables'!$B$74:$B$78)*('MY-REPORT-MAIN'!AN154&lt;='Weight tables'!$C$74:$C$78),0),1)</f>
        <v>0</v>
      </c>
      <c r="AW154" s="16">
        <f>IF(I_Miei_Rendiconti[[#This Row],[Column1.totalAfterSubmitted]]/AM154&gt;50%,"Checked",0)</f>
        <v>0</v>
      </c>
      <c r="AX154" s="155">
        <f t="shared" si="6"/>
        <v>18.8</v>
      </c>
      <c r="AY154" s="155" t="str">
        <f>INDEX('Partner data'!A:EB,MATCH(I_Miei_Rendiconti[[#This Row],[Column1.partnerId]],'Partner data'!DG:DG,0),92)</f>
        <v>Italia (IT)</v>
      </c>
    </row>
    <row r="155" spans="1:51" ht="30" x14ac:dyDescent="0.25">
      <c r="A155" s="79">
        <v>199</v>
      </c>
      <c r="B155" s="79">
        <v>91</v>
      </c>
      <c r="C155" s="79">
        <v>311</v>
      </c>
      <c r="D155" s="79" t="s">
        <v>2561</v>
      </c>
      <c r="E155" s="79" t="s">
        <v>253</v>
      </c>
      <c r="F155" s="79">
        <v>9</v>
      </c>
      <c r="G155" s="206" t="s">
        <v>45</v>
      </c>
      <c r="H155" s="79">
        <v>2</v>
      </c>
      <c r="I155" s="79" t="s">
        <v>4339</v>
      </c>
      <c r="J155" s="79" t="s">
        <v>2563</v>
      </c>
      <c r="K155" s="208">
        <v>45387.045961307871</v>
      </c>
      <c r="M155" s="208">
        <v>45482.375182222226</v>
      </c>
      <c r="N155" s="79" t="s">
        <v>4445</v>
      </c>
      <c r="O155" s="79" t="s">
        <v>4363</v>
      </c>
      <c r="P155" s="79" t="s">
        <v>4348</v>
      </c>
      <c r="Q155" s="79" t="s">
        <v>4343</v>
      </c>
      <c r="R155" s="79">
        <v>36</v>
      </c>
      <c r="S155" s="79">
        <v>2</v>
      </c>
      <c r="T155" s="81">
        <v>21930.63</v>
      </c>
      <c r="U155" s="81">
        <v>21930.63</v>
      </c>
      <c r="V155" s="79" t="str">
        <f>INDEX(pARTNER[#All],MATCH(I_Miei_Rendiconti[[#This Row],[Column1.partnerId]],pARTNER[[#All],[Value.partnerSummary.id]],0),2)</f>
        <v>POSEIDONE</v>
      </c>
      <c r="W155" s="79" t="b">
        <v>0</v>
      </c>
      <c r="X155" s="82">
        <f>I_Miei_Rendiconti[[#This Row],[Column1.totalAfterSubmitted]]-I_Miei_Rendiconti[[#This Row],[Column1.totalEligibleAfterControl]]</f>
        <v>0</v>
      </c>
      <c r="Y155" s="80">
        <f>IF(I_Miei_Rendiconti[[#This Row],[Column1.status]]="Certified",IFERROR(I_Miei_Rendiconti[[#This Row],[Financial corection]]/I_Miei_Rendiconti[[#This Row],[Column1.totalAfterSubmitted]],0),"Rendiconto da certificare")</f>
        <v>0</v>
      </c>
      <c r="Z155" s="207" t="str">
        <f>IF(I_Miei_Rendiconti[[#This Row],[Column1.status]]&lt;&gt;"Certified",INDEX('Partner data'!DG:DQ,MATCH(I_Miei_Rendiconti[[#This Row],[Column1.partnerId]],'Partner data'!DG:DG,0),13),"Rendiconto CONVALIDATO")</f>
        <v>Rendiconto CONVALIDATO</v>
      </c>
      <c r="AA155"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55" s="81" t="str">
        <f>IF(OR(I_Miei_Rendiconti[[#This Row],[N. previouse validated report ]]="Rendiconto CONVALIDATO",I_Miei_Rendiconti[[#This Row],[N. previouse validated report ]]="NON è stato convalidato ancora nessun rendiconto"),"NON PERTINENTE","fai la fromula")</f>
        <v>NON PERTINENTE</v>
      </c>
      <c r="AC155"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55" s="2">
        <f>INDEX('Partner data'!DG:DJ,MATCH(I_Miei_Rendiconti[[#This Row],[Column1.partnerId]],'Partner data'!DG:DG,0),3)</f>
        <v>2</v>
      </c>
      <c r="AE155" t="str" cm="1">
        <f t="array" ref="AE155">INDEX('Varie Tabelle'!$A$37:$C$51,MATCH(1,(I_Miei_Rendiconti[[#This Row],[Column1.firstSubmission]]&gt;='Varie Tabelle'!$B$37:$B$51)*(I_Miei_Rendiconti[[#This Row],[Column1.firstSubmission]]&lt;'Varie Tabelle'!$C$37:$C$51),0),1)</f>
        <v>Finestra 2</v>
      </c>
      <c r="AF155" s="109">
        <f>INDEX('Varie Tabelle'!$A$37:$C$51,MATCH('MY-REPORT-MAIN'!AE155,'Varie Tabelle'!$A$37:$A$51,0),2)</f>
        <v>45352</v>
      </c>
      <c r="AG155" s="109">
        <f>INDEX('Partner data'!DG:DR,MATCH(I_Miei_Rendiconti[[#This Row],[Column1.partnerId]],'Partner data'!DG:DG,0),12)</f>
        <v>44927</v>
      </c>
      <c r="AH155" s="115">
        <f t="shared" si="4"/>
        <v>13.975665899375205</v>
      </c>
      <c r="AI155" t="str" cm="1">
        <f t="array" ref="AI155">INDEX('Varie Tabelle'!$A$12:$C$22,MATCH(1,('MY-REPORT-MAIN'!AH155&gt;='Varie Tabelle'!$B$12:$B$22)*('MY-REPORT-MAIN'!AH155&lt;='Varie Tabelle'!$C$12:$C$22),0),1)</f>
        <v>Periodo-2</v>
      </c>
      <c r="AJ155" s="14">
        <f>INDEX('Partner data'!A:EC,MATCH(I_Miei_Rendiconti[[#This Row],[Column1.partnerId]],'Partner data'!DG:DG,0),MATCH('MY-REPORT-MAIN'!AI155,'Partner data'!$2:$2,0))</f>
        <v>137672.64000000001</v>
      </c>
      <c r="AK155" s="10">
        <f>SUMIFS($U$2:U155,$C$2:C155,I_Miei_Rendiconti[[#This Row],[Column1.partnerId]])-AJ155</f>
        <v>-2730.6200000000244</v>
      </c>
      <c r="AL155" s="16">
        <f>IFERROR(1-(I_Miei_Rendiconti[[#This Row],[Column1.totalAfterSubmitted]]/AJ155),0)</f>
        <v>0.84070451470967655</v>
      </c>
      <c r="AM155" s="14">
        <f>INDEX('Partner data'!A:EB,MATCH(I_Miei_Rendiconti[[#This Row],[Column1.partnerId]],'Partner data'!DG:DG,0),44)</f>
        <v>312500</v>
      </c>
      <c r="AN155" s="14">
        <f>SUMIFS(ListOfExpenditure!AP:AP,ListOfExpenditure!AJ:AJ,I_Miei_Rendiconti[[#This Row],[Column1.id]])</f>
        <v>0</v>
      </c>
      <c r="AO155" s="148">
        <f>SUMIFS(ReportSubmittedBL!W:W,ReportSubmittedBL!D:D,I_Miei_Rendiconti[[#This Row],[Column1.id]])</f>
        <v>12</v>
      </c>
      <c r="AP155" s="155" cm="1">
        <f t="array" ref="AP155">INDEX('Weight tables'!$A$32:$C$36,MATCH(1,('MY-REPORT-MAIN'!AO155&gt;='Weight tables'!$B$32:$B$36)*('MY-REPORT-MAIN'!AO155&lt;='Weight tables'!$C$32:$C$36),0),1)</f>
        <v>8.4</v>
      </c>
      <c r="AQ155" s="155">
        <f>INDEX('Weight tables'!$A$39:$B$41,MATCH(I_Miei_Rendiconti[[#This Row],[Previouse Report checked?yes/no]],'Weight tables'!$B$39:$B$41,0),1)</f>
        <v>8.4</v>
      </c>
      <c r="AR155" s="155" cm="1">
        <f t="array" ref="AR155">IF(I_Miei_Rendiconti[[#This Row],[Sum of errors in previous report ]]="NON PERTINENTE",0,INDEX('Weight tables'!$A$43:$C$46,MATCH(1,(I_Miei_Rendiconti[[#This Row],[Sum of errors in previous report ]]&gt;='Weight tables'!$B$43:$B$46)*(I_Miei_Rendiconti[[#This Row],[Sum of errors in previous report ]]&lt;='Weight tables'!$C$43:$C$46),0),1))</f>
        <v>0</v>
      </c>
      <c r="AS155" s="155" cm="1">
        <f t="array" ref="AS155">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55" s="155" cm="1">
        <f t="array" ref="AT155">INDEX('Weight tables'!$A$56:$C$65,MATCH(1,('MY-REPORT-MAIN'!U155&gt;='Weight tables'!$B$56:$B$65)*('MY-REPORT-MAIN'!U155&lt;='Weight tables'!$C$56:$C$65),0),1)</f>
        <v>2</v>
      </c>
      <c r="AU155" s="155" cm="1">
        <f t="array" ref="AU155">INDEX('Weight tables'!$A$68:$C$71,MATCH(1,('MY-REPORT-MAIN'!AL155&gt;='Weight tables'!$B$68:$B$71)*('MY-REPORT-MAIN'!AL155&lt;='Weight tables'!$C$68:$C$71),0),1)</f>
        <v>2</v>
      </c>
      <c r="AV155" s="155" cm="1">
        <f t="array" ref="AV155">INDEX('Weight tables'!$A$74:$C$78,MATCH(1,('MY-REPORT-MAIN'!AN155&gt;='Weight tables'!$B$74:$B$78)*('MY-REPORT-MAIN'!AN155&lt;='Weight tables'!$C$74:$C$78),0),1)</f>
        <v>0</v>
      </c>
      <c r="AW155" s="16">
        <f>IF(I_Miei_Rendiconti[[#This Row],[Column1.totalAfterSubmitted]]/AM155&gt;50%,"Checked",0)</f>
        <v>0</v>
      </c>
      <c r="AX155" s="155">
        <f t="shared" si="6"/>
        <v>20.8</v>
      </c>
      <c r="AY155" s="155" t="str">
        <f>INDEX('Partner data'!A:EB,MATCH(I_Miei_Rendiconti[[#This Row],[Column1.partnerId]],'Partner data'!DG:DG,0),92)</f>
        <v>Slovenija (SI)</v>
      </c>
    </row>
    <row r="156" spans="1:51" ht="30" x14ac:dyDescent="0.25">
      <c r="A156" s="79">
        <v>272</v>
      </c>
      <c r="B156" s="79">
        <v>33</v>
      </c>
      <c r="C156" s="79">
        <v>119</v>
      </c>
      <c r="D156" s="79" t="s">
        <v>825</v>
      </c>
      <c r="E156" s="79" t="s">
        <v>253</v>
      </c>
      <c r="F156" s="79">
        <v>3</v>
      </c>
      <c r="G156" s="206" t="s">
        <v>275</v>
      </c>
      <c r="H156" s="79">
        <v>1</v>
      </c>
      <c r="I156" s="79" t="s">
        <v>4339</v>
      </c>
      <c r="J156" s="79" t="s">
        <v>490</v>
      </c>
      <c r="K156" s="208">
        <v>45387.366861921299</v>
      </c>
      <c r="M156" s="208">
        <v>45470.452423287039</v>
      </c>
      <c r="N156" s="79" t="s">
        <v>4500</v>
      </c>
      <c r="O156" s="79" t="s">
        <v>4363</v>
      </c>
      <c r="P156" s="79" t="s">
        <v>4501</v>
      </c>
      <c r="Q156" s="79" t="s">
        <v>4343</v>
      </c>
      <c r="R156" s="79">
        <v>32</v>
      </c>
      <c r="S156" s="79">
        <v>1</v>
      </c>
      <c r="T156" s="81">
        <v>24694.38</v>
      </c>
      <c r="U156" s="81">
        <v>24694.38</v>
      </c>
      <c r="V156" s="79" t="str">
        <f>INDEX(pARTNER[#All],MATCH(I_Miei_Rendiconti[[#This Row],[Column1.partnerId]],pARTNER[[#All],[Value.partnerSummary.id]],0),2)</f>
        <v>WASTE DESIGN 2</v>
      </c>
      <c r="W156" s="79" t="b">
        <v>0</v>
      </c>
      <c r="X156" s="82">
        <f>I_Miei_Rendiconti[[#This Row],[Column1.totalAfterSubmitted]]-I_Miei_Rendiconti[[#This Row],[Column1.totalEligibleAfterControl]]</f>
        <v>0</v>
      </c>
      <c r="Y156" s="80">
        <f>IF(I_Miei_Rendiconti[[#This Row],[Column1.status]]="Certified",IFERROR(I_Miei_Rendiconti[[#This Row],[Financial corection]]/I_Miei_Rendiconti[[#This Row],[Column1.totalAfterSubmitted]],0),"Rendiconto da certificare")</f>
        <v>0</v>
      </c>
      <c r="Z156" s="207" t="str">
        <f>IF(I_Miei_Rendiconti[[#This Row],[Column1.status]]&lt;&gt;"Certified",INDEX('Partner data'!DG:DQ,MATCH(I_Miei_Rendiconti[[#This Row],[Column1.partnerId]],'Partner data'!DG:DG,0),13),"Rendiconto CONVALIDATO")</f>
        <v>Rendiconto CONVALIDATO</v>
      </c>
      <c r="AA156"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56" s="81" t="str">
        <f>IF(OR(I_Miei_Rendiconti[[#This Row],[N. previouse validated report ]]="Rendiconto CONVALIDATO",I_Miei_Rendiconti[[#This Row],[N. previouse validated report ]]="NON è stato convalidato ancora nessun rendiconto"),"NON PERTINENTE","fai la fromula")</f>
        <v>NON PERTINENTE</v>
      </c>
      <c r="AC156"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56" s="2">
        <f>INDEX('Partner data'!DG:DJ,MATCH(I_Miei_Rendiconti[[#This Row],[Column1.partnerId]],'Partner data'!DG:DG,0),3)</f>
        <v>1</v>
      </c>
      <c r="AE156" t="str" cm="1">
        <f t="array" ref="AE156">INDEX('Varie Tabelle'!$A$37:$C$51,MATCH(1,(I_Miei_Rendiconti[[#This Row],[Column1.firstSubmission]]&gt;='Varie Tabelle'!$B$37:$B$51)*(I_Miei_Rendiconti[[#This Row],[Column1.firstSubmission]]&lt;'Varie Tabelle'!$C$37:$C$51),0),1)</f>
        <v>Finestra 2</v>
      </c>
      <c r="AF156" s="109">
        <f>INDEX('Varie Tabelle'!$A$37:$C$51,MATCH('MY-REPORT-MAIN'!AE156,'Varie Tabelle'!$A$37:$A$51,0),2)</f>
        <v>45352</v>
      </c>
      <c r="AG156" s="109">
        <f>INDEX('Partner data'!DG:DR,MATCH(I_Miei_Rendiconti[[#This Row],[Column1.partnerId]],'Partner data'!DG:DG,0),12)</f>
        <v>45200</v>
      </c>
      <c r="AH156" s="115">
        <f t="shared" si="4"/>
        <v>4.9983558040118385</v>
      </c>
      <c r="AI156" t="str" cm="1">
        <f t="array" ref="AI156">INDEX('Varie Tabelle'!$A$12:$C$22,MATCH(1,('MY-REPORT-MAIN'!AH156&gt;='Varie Tabelle'!$B$12:$B$22)*('MY-REPORT-MAIN'!AH156&lt;='Varie Tabelle'!$C$12:$C$22),0),1)</f>
        <v>Periodo-1</v>
      </c>
      <c r="AJ156" s="14">
        <f>INDEX('Partner data'!A:EC,MATCH(I_Miei_Rendiconti[[#This Row],[Column1.partnerId]],'Partner data'!DG:DG,0),MATCH('MY-REPORT-MAIN'!AI156,'Partner data'!$2:$2,0))</f>
        <v>26307.5</v>
      </c>
      <c r="AK156" s="10">
        <f>SUMIFS($U$2:U156,$C$2:C156,I_Miei_Rendiconti[[#This Row],[Column1.partnerId]])-AJ156</f>
        <v>-1613.119999999999</v>
      </c>
      <c r="AL156" s="16">
        <f>IFERROR(1-(I_Miei_Rendiconti[[#This Row],[Column1.totalAfterSubmitted]]/AJ156),0)</f>
        <v>6.1317875130666111E-2</v>
      </c>
      <c r="AM156" s="14">
        <f>INDEX('Partner data'!A:EB,MATCH(I_Miei_Rendiconti[[#This Row],[Column1.partnerId]],'Partner data'!DG:DG,0),44)</f>
        <v>107706</v>
      </c>
      <c r="AN156" s="14">
        <f>SUMIFS(ListOfExpenditure!AP:AP,ListOfExpenditure!AJ:AJ,I_Miei_Rendiconti[[#This Row],[Column1.id]])</f>
        <v>0</v>
      </c>
      <c r="AO156" s="148">
        <f>SUMIFS(ReportSubmittedBL!W:W,ReportSubmittedBL!D:D,I_Miei_Rendiconti[[#This Row],[Column1.id]])</f>
        <v>12</v>
      </c>
      <c r="AP156" s="155" cm="1">
        <f t="array" ref="AP156">INDEX('Weight tables'!$A$32:$C$36,MATCH(1,('MY-REPORT-MAIN'!AO156&gt;='Weight tables'!$B$32:$B$36)*('MY-REPORT-MAIN'!AO156&lt;='Weight tables'!$C$32:$C$36),0),1)</f>
        <v>8.4</v>
      </c>
      <c r="AQ156" s="155">
        <f>INDEX('Weight tables'!$A$39:$B$41,MATCH(I_Miei_Rendiconti[[#This Row],[Previouse Report checked?yes/no]],'Weight tables'!$B$39:$B$41,0),1)</f>
        <v>8.4</v>
      </c>
      <c r="AR156" s="155" cm="1">
        <f t="array" ref="AR156">IF(I_Miei_Rendiconti[[#This Row],[Sum of errors in previous report ]]="NON PERTINENTE",0,INDEX('Weight tables'!$A$43:$C$46,MATCH(1,(I_Miei_Rendiconti[[#This Row],[Sum of errors in previous report ]]&gt;='Weight tables'!$B$43:$B$46)*(I_Miei_Rendiconti[[#This Row],[Sum of errors in previous report ]]&lt;='Weight tables'!$C$43:$C$46),0),1))</f>
        <v>0</v>
      </c>
      <c r="AS156" s="155" cm="1">
        <f t="array" ref="AS156">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56" s="155" cm="1">
        <f t="array" ref="AT156">INDEX('Weight tables'!$A$56:$C$65,MATCH(1,('MY-REPORT-MAIN'!U156&gt;='Weight tables'!$B$56:$B$65)*('MY-REPORT-MAIN'!U156&lt;='Weight tables'!$C$56:$C$65),0),1)</f>
        <v>2</v>
      </c>
      <c r="AU156" s="155" cm="1">
        <f t="array" ref="AU156">INDEX('Weight tables'!$A$68:$C$71,MATCH(1,('MY-REPORT-MAIN'!AL156&gt;='Weight tables'!$B$68:$B$71)*('MY-REPORT-MAIN'!AL156&lt;='Weight tables'!$C$68:$C$71),0),1)</f>
        <v>0</v>
      </c>
      <c r="AV156" s="155" cm="1">
        <f t="array" ref="AV156">INDEX('Weight tables'!$A$74:$C$78,MATCH(1,('MY-REPORT-MAIN'!AN156&gt;='Weight tables'!$B$74:$B$78)*('MY-REPORT-MAIN'!AN156&lt;='Weight tables'!$C$74:$C$78),0),1)</f>
        <v>0</v>
      </c>
      <c r="AW156" s="16">
        <f>IF(I_Miei_Rendiconti[[#This Row],[Column1.totalAfterSubmitted]]/AM156&gt;50%,"Checked",0)</f>
        <v>0</v>
      </c>
      <c r="AX156" s="155">
        <f t="shared" si="6"/>
        <v>18.8</v>
      </c>
      <c r="AY156" s="155" t="str">
        <f>INDEX('Partner data'!A:EB,MATCH(I_Miei_Rendiconti[[#This Row],[Column1.partnerId]],'Partner data'!DG:DG,0),92)</f>
        <v>Slovenija (SI)</v>
      </c>
    </row>
    <row r="157" spans="1:51" ht="30" x14ac:dyDescent="0.25">
      <c r="A157" s="79">
        <v>261</v>
      </c>
      <c r="B157" s="79">
        <v>91</v>
      </c>
      <c r="C157" s="79">
        <v>306</v>
      </c>
      <c r="D157" s="79" t="s">
        <v>2561</v>
      </c>
      <c r="E157" s="79" t="s">
        <v>253</v>
      </c>
      <c r="F157" s="79">
        <v>4</v>
      </c>
      <c r="G157" s="206" t="s">
        <v>34</v>
      </c>
      <c r="H157" s="79">
        <v>2</v>
      </c>
      <c r="I157" s="79" t="s">
        <v>4339</v>
      </c>
      <c r="J157" s="79" t="s">
        <v>2563</v>
      </c>
      <c r="K157" s="208">
        <v>45387.396488310187</v>
      </c>
      <c r="M157" s="208">
        <v>45489.697183530094</v>
      </c>
      <c r="N157" s="79" t="s">
        <v>4490</v>
      </c>
      <c r="O157" s="79" t="s">
        <v>4363</v>
      </c>
      <c r="P157" s="79" t="s">
        <v>4348</v>
      </c>
      <c r="Q157" s="79" t="s">
        <v>4343</v>
      </c>
      <c r="T157" s="81">
        <v>46878.48</v>
      </c>
      <c r="U157" s="81">
        <v>46956.11</v>
      </c>
      <c r="V157" s="79" t="str">
        <f>INDEX(pARTNER[#All],MATCH(I_Miei_Rendiconti[[#This Row],[Column1.partnerId]],pARTNER[[#All],[Value.partnerSummary.id]],0),2)</f>
        <v>POSEIDONE</v>
      </c>
      <c r="W157" s="79" t="b">
        <v>0</v>
      </c>
      <c r="X157" s="82">
        <f>I_Miei_Rendiconti[[#This Row],[Column1.totalAfterSubmitted]]-I_Miei_Rendiconti[[#This Row],[Column1.totalEligibleAfterControl]]</f>
        <v>77.629999999997381</v>
      </c>
      <c r="Y157" s="80">
        <f>IF(I_Miei_Rendiconti[[#This Row],[Column1.status]]="Certified",IFERROR(I_Miei_Rendiconti[[#This Row],[Financial corection]]/I_Miei_Rendiconti[[#This Row],[Column1.totalAfterSubmitted]],0),"Rendiconto da certificare")</f>
        <v>1.6532459779993994E-3</v>
      </c>
      <c r="Z157" s="207" t="str">
        <f>IF(I_Miei_Rendiconti[[#This Row],[Column1.status]]&lt;&gt;"Certified",INDEX('Partner data'!DG:DQ,MATCH(I_Miei_Rendiconti[[#This Row],[Column1.partnerId]],'Partner data'!DG:DG,0),13),"Rendiconto CONVALIDATO")</f>
        <v>Rendiconto CONVALIDATO</v>
      </c>
      <c r="AA157"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57" s="81" t="str">
        <f>IF(OR(I_Miei_Rendiconti[[#This Row],[N. previouse validated report ]]="Rendiconto CONVALIDATO",I_Miei_Rendiconti[[#This Row],[N. previouse validated report ]]="NON è stato convalidato ancora nessun rendiconto"),"NON PERTINENTE","fai la fromula")</f>
        <v>NON PERTINENTE</v>
      </c>
      <c r="AC157"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57" s="2">
        <f>INDEX('Partner data'!DG:DJ,MATCH(I_Miei_Rendiconti[[#This Row],[Column1.partnerId]],'Partner data'!DG:DG,0),3)</f>
        <v>2</v>
      </c>
      <c r="AE157" t="str" cm="1">
        <f t="array" ref="AE157">INDEX('Varie Tabelle'!$A$37:$C$51,MATCH(1,(I_Miei_Rendiconti[[#This Row],[Column1.firstSubmission]]&gt;='Varie Tabelle'!$B$37:$B$51)*(I_Miei_Rendiconti[[#This Row],[Column1.firstSubmission]]&lt;'Varie Tabelle'!$C$37:$C$51),0),1)</f>
        <v>Finestra 2</v>
      </c>
      <c r="AF157" s="109">
        <f>INDEX('Varie Tabelle'!$A$37:$C$51,MATCH('MY-REPORT-MAIN'!AE157,'Varie Tabelle'!$A$37:$A$51,0),2)</f>
        <v>45352</v>
      </c>
      <c r="AG157" s="109">
        <f>INDEX('Partner data'!DG:DR,MATCH(I_Miei_Rendiconti[[#This Row],[Column1.partnerId]],'Partner data'!DG:DG,0),12)</f>
        <v>44927</v>
      </c>
      <c r="AH157" s="115">
        <f t="shared" si="4"/>
        <v>13.975665899375205</v>
      </c>
      <c r="AI157" t="str" cm="1">
        <f t="array" ref="AI157">INDEX('Varie Tabelle'!$A$12:$C$22,MATCH(1,('MY-REPORT-MAIN'!AH157&gt;='Varie Tabelle'!$B$12:$B$22)*('MY-REPORT-MAIN'!AH157&lt;='Varie Tabelle'!$C$12:$C$22),0),1)</f>
        <v>Periodo-2</v>
      </c>
      <c r="AJ157" s="14">
        <f>INDEX('Partner data'!A:EC,MATCH(I_Miei_Rendiconti[[#This Row],[Column1.partnerId]],'Partner data'!DG:DG,0),MATCH('MY-REPORT-MAIN'!AI157,'Partner data'!$2:$2,0))</f>
        <v>120872.26000000001</v>
      </c>
      <c r="AK157" s="10">
        <f>SUMIFS($U$2:U157,$C$2:C157,I_Miei_Rendiconti[[#This Row],[Column1.partnerId]])-AJ157</f>
        <v>-53295.22</v>
      </c>
      <c r="AL157" s="16">
        <f>IFERROR(1-(I_Miei_Rendiconti[[#This Row],[Column1.totalAfterSubmitted]]/AJ157),0)</f>
        <v>0.61152285892561298</v>
      </c>
      <c r="AM157" s="14">
        <f>INDEX('Partner data'!A:EB,MATCH(I_Miei_Rendiconti[[#This Row],[Column1.partnerId]],'Partner data'!DG:DG,0),44)</f>
        <v>350000</v>
      </c>
      <c r="AN157" s="14">
        <f>SUMIFS(ListOfExpenditure!AP:AP,ListOfExpenditure!AJ:AJ,I_Miei_Rendiconti[[#This Row],[Column1.id]])</f>
        <v>0</v>
      </c>
      <c r="AO157" s="148">
        <f>SUMIFS(ReportSubmittedBL!W:W,ReportSubmittedBL!D:D,I_Miei_Rendiconti[[#This Row],[Column1.id]])</f>
        <v>16</v>
      </c>
      <c r="AP157" s="155" cm="1">
        <f t="array" ref="AP157">INDEX('Weight tables'!$A$32:$C$36,MATCH(1,('MY-REPORT-MAIN'!AO157&gt;='Weight tables'!$B$32:$B$36)*('MY-REPORT-MAIN'!AO157&lt;='Weight tables'!$C$32:$C$36),0),1)</f>
        <v>8.4</v>
      </c>
      <c r="AQ157" s="155">
        <f>INDEX('Weight tables'!$A$39:$B$41,MATCH(I_Miei_Rendiconti[[#This Row],[Previouse Report checked?yes/no]],'Weight tables'!$B$39:$B$41,0),1)</f>
        <v>8.4</v>
      </c>
      <c r="AR157" s="155" cm="1">
        <f t="array" ref="AR157">IF(I_Miei_Rendiconti[[#This Row],[Sum of errors in previous report ]]="NON PERTINENTE",0,INDEX('Weight tables'!$A$43:$C$46,MATCH(1,(I_Miei_Rendiconti[[#This Row],[Sum of errors in previous report ]]&gt;='Weight tables'!$B$43:$B$46)*(I_Miei_Rendiconti[[#This Row],[Sum of errors in previous report ]]&lt;='Weight tables'!$C$43:$C$46),0),1))</f>
        <v>0</v>
      </c>
      <c r="AS157" s="155" cm="1">
        <f t="array" ref="AS157">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57" s="155" cm="1">
        <f t="array" ref="AT157">INDEX('Weight tables'!$A$56:$C$65,MATCH(1,('MY-REPORT-MAIN'!U157&gt;='Weight tables'!$B$56:$B$65)*('MY-REPORT-MAIN'!U157&lt;='Weight tables'!$C$56:$C$65),0),1)</f>
        <v>4</v>
      </c>
      <c r="AU157" s="155" cm="1">
        <f t="array" ref="AU157">INDEX('Weight tables'!$A$68:$C$71,MATCH(1,('MY-REPORT-MAIN'!AL157&gt;='Weight tables'!$B$68:$B$71)*('MY-REPORT-MAIN'!AL157&lt;='Weight tables'!$C$68:$C$71),0),1)</f>
        <v>2</v>
      </c>
      <c r="AV157" s="155" cm="1">
        <f t="array" ref="AV157">INDEX('Weight tables'!$A$74:$C$78,MATCH(1,('MY-REPORT-MAIN'!AN157&gt;='Weight tables'!$B$74:$B$78)*('MY-REPORT-MAIN'!AN157&lt;='Weight tables'!$C$74:$C$78),0),1)</f>
        <v>0</v>
      </c>
      <c r="AW157" s="16">
        <f>IF(I_Miei_Rendiconti[[#This Row],[Column1.totalAfterSubmitted]]/AM157&gt;50%,"Checked",0)</f>
        <v>0</v>
      </c>
      <c r="AX157" s="155">
        <f t="shared" si="6"/>
        <v>22.8</v>
      </c>
      <c r="AY157" s="155" t="str">
        <f>INDEX('Partner data'!A:EB,MATCH(I_Miei_Rendiconti[[#This Row],[Column1.partnerId]],'Partner data'!DG:DG,0),92)</f>
        <v>Italia (IT)</v>
      </c>
    </row>
    <row r="158" spans="1:51" ht="30" x14ac:dyDescent="0.25">
      <c r="A158" s="79">
        <v>164</v>
      </c>
      <c r="B158" s="79">
        <v>92</v>
      </c>
      <c r="C158" s="79">
        <v>321</v>
      </c>
      <c r="D158" s="79" t="s">
        <v>2433</v>
      </c>
      <c r="E158" s="79" t="s">
        <v>253</v>
      </c>
      <c r="F158" s="79">
        <v>7</v>
      </c>
      <c r="G158" s="206" t="s">
        <v>49</v>
      </c>
      <c r="H158" s="79">
        <v>2</v>
      </c>
      <c r="I158" s="79" t="s">
        <v>4339</v>
      </c>
      <c r="J158" s="79" t="s">
        <v>2435</v>
      </c>
      <c r="K158" s="208">
        <v>45387.410898368056</v>
      </c>
      <c r="M158" s="208">
        <v>45471.387168576388</v>
      </c>
      <c r="N158" s="79" t="s">
        <v>4418</v>
      </c>
      <c r="O158" s="79" t="s">
        <v>4413</v>
      </c>
      <c r="P158" s="79" t="s">
        <v>4348</v>
      </c>
      <c r="Q158" s="79" t="s">
        <v>4343</v>
      </c>
      <c r="R158" s="79">
        <v>41</v>
      </c>
      <c r="S158" s="79">
        <v>2</v>
      </c>
      <c r="T158" s="81">
        <v>14643.66</v>
      </c>
      <c r="U158" s="81">
        <v>16410.400000000001</v>
      </c>
      <c r="V158" s="79" t="str">
        <f>INDEX(pARTNER[#All],MATCH(I_Miei_Rendiconti[[#This Row],[Column1.partnerId]],pARTNER[[#All],[Value.partnerSummary.id]],0),2)</f>
        <v>KRAS-CARSO II</v>
      </c>
      <c r="W158" s="79" t="b">
        <v>0</v>
      </c>
      <c r="X158" s="82">
        <f>I_Miei_Rendiconti[[#This Row],[Column1.totalAfterSubmitted]]-I_Miei_Rendiconti[[#This Row],[Column1.totalEligibleAfterControl]]</f>
        <v>1766.7400000000016</v>
      </c>
      <c r="Y158" s="80">
        <f>IF(I_Miei_Rendiconti[[#This Row],[Column1.status]]="Certified",IFERROR(I_Miei_Rendiconti[[#This Row],[Financial corection]]/I_Miei_Rendiconti[[#This Row],[Column1.totalAfterSubmitted]],0),"Rendiconto da certificare")</f>
        <v>0.10765977672695373</v>
      </c>
      <c r="Z158" s="207" t="str">
        <f>IF(I_Miei_Rendiconti[[#This Row],[Column1.status]]&lt;&gt;"Certified",INDEX('Partner data'!DG:DQ,MATCH(I_Miei_Rendiconti[[#This Row],[Column1.partnerId]],'Partner data'!DG:DG,0),13),"Rendiconto CONVALIDATO")</f>
        <v>Rendiconto CONVALIDATO</v>
      </c>
      <c r="AA158"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58" s="81" t="str">
        <f>IF(OR(I_Miei_Rendiconti[[#This Row],[N. previouse validated report ]]="Rendiconto CONVALIDATO",I_Miei_Rendiconti[[#This Row],[N. previouse validated report ]]="NON è stato convalidato ancora nessun rendiconto"),"NON PERTINENTE","fai la fromula")</f>
        <v>NON PERTINENTE</v>
      </c>
      <c r="AC158"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58" s="2">
        <f>INDEX('Partner data'!DG:DJ,MATCH(I_Miei_Rendiconti[[#This Row],[Column1.partnerId]],'Partner data'!DG:DG,0),3)</f>
        <v>2</v>
      </c>
      <c r="AE158" t="str" cm="1">
        <f t="array" ref="AE158">INDEX('Varie Tabelle'!$A$37:$C$51,MATCH(1,(I_Miei_Rendiconti[[#This Row],[Column1.firstSubmission]]&gt;='Varie Tabelle'!$B$37:$B$51)*(I_Miei_Rendiconti[[#This Row],[Column1.firstSubmission]]&lt;'Varie Tabelle'!$C$37:$C$51),0),1)</f>
        <v>Finestra 2</v>
      </c>
      <c r="AF158" s="109">
        <f>INDEX('Varie Tabelle'!$A$37:$C$51,MATCH('MY-REPORT-MAIN'!AE158,'Varie Tabelle'!$A$37:$A$51,0),2)</f>
        <v>45352</v>
      </c>
      <c r="AG158" s="109">
        <f>INDEX('Partner data'!DG:DR,MATCH(I_Miei_Rendiconti[[#This Row],[Column1.partnerId]],'Partner data'!DG:DG,0),12)</f>
        <v>44927</v>
      </c>
      <c r="AH158" s="115">
        <f t="shared" si="4"/>
        <v>13.975665899375205</v>
      </c>
      <c r="AI158" t="str" cm="1">
        <f t="array" ref="AI158">INDEX('Varie Tabelle'!$A$12:$C$22,MATCH(1,('MY-REPORT-MAIN'!AH158&gt;='Varie Tabelle'!$B$12:$B$22)*('MY-REPORT-MAIN'!AH158&lt;='Varie Tabelle'!$C$12:$C$22),0),1)</f>
        <v>Periodo-2</v>
      </c>
      <c r="AJ158" s="14">
        <f>INDEX('Partner data'!A:EC,MATCH(I_Miei_Rendiconti[[#This Row],[Column1.partnerId]],'Partner data'!DG:DG,0),MATCH('MY-REPORT-MAIN'!AI158,'Partner data'!$2:$2,0))</f>
        <v>36737.4</v>
      </c>
      <c r="AK158" s="10">
        <f>SUMIFS($U$2:U158,$C$2:C158,I_Miei_Rendiconti[[#This Row],[Column1.partnerId]])-AJ158</f>
        <v>-5632.77</v>
      </c>
      <c r="AL158" s="16">
        <f>IFERROR(1-(I_Miei_Rendiconti[[#This Row],[Column1.totalAfterSubmitted]]/AJ158),0)</f>
        <v>0.55330535095025768</v>
      </c>
      <c r="AM158" s="14">
        <f>INDEX('Partner data'!A:EB,MATCH(I_Miei_Rendiconti[[#This Row],[Column1.partnerId]],'Partner data'!DG:DG,0),44)</f>
        <v>120048.65</v>
      </c>
      <c r="AN158" s="14">
        <f>SUMIFS(ListOfExpenditure!AP:AP,ListOfExpenditure!AJ:AJ,I_Miei_Rendiconti[[#This Row],[Column1.id]])</f>
        <v>0</v>
      </c>
      <c r="AO158" s="148">
        <f>SUMIFS(ReportSubmittedBL!W:W,ReportSubmittedBL!D:D,I_Miei_Rendiconti[[#This Row],[Column1.id]])</f>
        <v>8</v>
      </c>
      <c r="AP158" s="155" cm="1">
        <f t="array" ref="AP158">INDEX('Weight tables'!$A$32:$C$36,MATCH(1,('MY-REPORT-MAIN'!AO158&gt;='Weight tables'!$B$32:$B$36)*('MY-REPORT-MAIN'!AO158&lt;='Weight tables'!$C$32:$C$36),0),1)</f>
        <v>6.3</v>
      </c>
      <c r="AQ158" s="155">
        <f>INDEX('Weight tables'!$A$39:$B$41,MATCH(I_Miei_Rendiconti[[#This Row],[Previouse Report checked?yes/no]],'Weight tables'!$B$39:$B$41,0),1)</f>
        <v>8.4</v>
      </c>
      <c r="AR158" s="155" cm="1">
        <f t="array" ref="AR158">IF(I_Miei_Rendiconti[[#This Row],[Sum of errors in previous report ]]="NON PERTINENTE",0,INDEX('Weight tables'!$A$43:$C$46,MATCH(1,(I_Miei_Rendiconti[[#This Row],[Sum of errors in previous report ]]&gt;='Weight tables'!$B$43:$B$46)*(I_Miei_Rendiconti[[#This Row],[Sum of errors in previous report ]]&lt;='Weight tables'!$C$43:$C$46),0),1))</f>
        <v>0</v>
      </c>
      <c r="AS158" s="155" cm="1">
        <f t="array" ref="AS158">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58" s="155" cm="1">
        <f t="array" ref="AT158">INDEX('Weight tables'!$A$56:$C$65,MATCH(1,('MY-REPORT-MAIN'!U158&gt;='Weight tables'!$B$56:$B$65)*('MY-REPORT-MAIN'!U158&lt;='Weight tables'!$C$56:$C$65),0),1)</f>
        <v>1</v>
      </c>
      <c r="AU158" s="155" cm="1">
        <f t="array" ref="AU158">INDEX('Weight tables'!$A$68:$C$71,MATCH(1,('MY-REPORT-MAIN'!AL158&gt;='Weight tables'!$B$68:$B$71)*('MY-REPORT-MAIN'!AL158&lt;='Weight tables'!$C$68:$C$71),0),1)</f>
        <v>2</v>
      </c>
      <c r="AV158" s="155" cm="1">
        <f t="array" ref="AV158">INDEX('Weight tables'!$A$74:$C$78,MATCH(1,('MY-REPORT-MAIN'!AN158&gt;='Weight tables'!$B$74:$B$78)*('MY-REPORT-MAIN'!AN158&lt;='Weight tables'!$C$74:$C$78),0),1)</f>
        <v>0</v>
      </c>
      <c r="AW158" s="16">
        <f>IF(I_Miei_Rendiconti[[#This Row],[Column1.totalAfterSubmitted]]/AM158&gt;50%,"Checked",0)</f>
        <v>0</v>
      </c>
      <c r="AX158" s="155">
        <f t="shared" si="6"/>
        <v>17.7</v>
      </c>
      <c r="AY158" s="155" t="str">
        <f>INDEX('Partner data'!A:EB,MATCH(I_Miei_Rendiconti[[#This Row],[Column1.partnerId]],'Partner data'!DG:DG,0),92)</f>
        <v>Slovenija (SI)</v>
      </c>
    </row>
    <row r="159" spans="1:51" ht="30" x14ac:dyDescent="0.25">
      <c r="A159" s="79">
        <v>220</v>
      </c>
      <c r="B159" s="79">
        <v>58</v>
      </c>
      <c r="C159" s="79">
        <v>183</v>
      </c>
      <c r="D159" s="79" t="s">
        <v>1501</v>
      </c>
      <c r="E159" s="79" t="s">
        <v>264</v>
      </c>
      <c r="F159" s="79">
        <v>1</v>
      </c>
      <c r="G159" s="206" t="s">
        <v>311</v>
      </c>
      <c r="H159" s="79">
        <v>1</v>
      </c>
      <c r="I159" s="79" t="s">
        <v>4339</v>
      </c>
      <c r="J159" s="79" t="s">
        <v>1118</v>
      </c>
      <c r="K159" s="208">
        <v>45387.436916458333</v>
      </c>
      <c r="M159" s="208">
        <v>45477.629832847226</v>
      </c>
      <c r="N159" s="79" t="s">
        <v>4460</v>
      </c>
      <c r="O159" s="79" t="s">
        <v>4347</v>
      </c>
      <c r="P159" s="79" t="s">
        <v>4348</v>
      </c>
      <c r="Q159" s="79" t="s">
        <v>4343</v>
      </c>
      <c r="T159" s="81">
        <v>11664.8</v>
      </c>
      <c r="U159" s="81">
        <v>11664.8</v>
      </c>
      <c r="V159" s="79" t="str">
        <f>INDEX(pARTNER[#All],MATCH(I_Miei_Rendiconti[[#This Row],[Column1.partnerId]],pARTNER[[#All],[Value.partnerSummary.id]],0),2)</f>
        <v>AidMIRE</v>
      </c>
      <c r="W159" s="79" t="b">
        <v>0</v>
      </c>
      <c r="X159" s="82">
        <f>I_Miei_Rendiconti[[#This Row],[Column1.totalAfterSubmitted]]-I_Miei_Rendiconti[[#This Row],[Column1.totalEligibleAfterControl]]</f>
        <v>0</v>
      </c>
      <c r="Y159" s="80">
        <f>IF(I_Miei_Rendiconti[[#This Row],[Column1.status]]="Certified",IFERROR(I_Miei_Rendiconti[[#This Row],[Financial corection]]/I_Miei_Rendiconti[[#This Row],[Column1.totalAfterSubmitted]],0),"Rendiconto da certificare")</f>
        <v>0</v>
      </c>
      <c r="Z159" s="207" t="str">
        <f>IF(I_Miei_Rendiconti[[#This Row],[Column1.status]]&lt;&gt;"Certified",INDEX('Partner data'!DG:DQ,MATCH(I_Miei_Rendiconti[[#This Row],[Column1.partnerId]],'Partner data'!DG:DG,0),13),"Rendiconto CONVALIDATO")</f>
        <v>Rendiconto CONVALIDATO</v>
      </c>
      <c r="AA159"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59" s="81" t="str">
        <f>IF(OR(I_Miei_Rendiconti[[#This Row],[N. previouse validated report ]]="Rendiconto CONVALIDATO",I_Miei_Rendiconti[[#This Row],[N. previouse validated report ]]="NON è stato convalidato ancora nessun rendiconto"),"NON PERTINENTE","fai la fromula")</f>
        <v>NON PERTINENTE</v>
      </c>
      <c r="AC159"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59" s="2">
        <f>INDEX('Partner data'!DG:DJ,MATCH(I_Miei_Rendiconti[[#This Row],[Column1.partnerId]],'Partner data'!DG:DG,0),3)</f>
        <v>1</v>
      </c>
      <c r="AE159" t="str" cm="1">
        <f t="array" ref="AE159">INDEX('Varie Tabelle'!$A$37:$C$51,MATCH(1,(I_Miei_Rendiconti[[#This Row],[Column1.firstSubmission]]&gt;='Varie Tabelle'!$B$37:$B$51)*(I_Miei_Rendiconti[[#This Row],[Column1.firstSubmission]]&lt;'Varie Tabelle'!$C$37:$C$51),0),1)</f>
        <v>Finestra 2</v>
      </c>
      <c r="AF159" s="109">
        <f>INDEX('Varie Tabelle'!$A$37:$C$51,MATCH('MY-REPORT-MAIN'!AE159,'Varie Tabelle'!$A$37:$A$51,0),2)</f>
        <v>45352</v>
      </c>
      <c r="AG159" s="109">
        <f>INDEX('Partner data'!DG:DR,MATCH(I_Miei_Rendiconti[[#This Row],[Column1.partnerId]],'Partner data'!DG:DG,0),12)</f>
        <v>45170</v>
      </c>
      <c r="AH159" s="115">
        <f t="shared" si="4"/>
        <v>5.9848733969089114</v>
      </c>
      <c r="AI159" t="str" cm="1">
        <f t="array" ref="AI159">INDEX('Varie Tabelle'!$A$12:$C$22,MATCH(1,('MY-REPORT-MAIN'!AH159&gt;='Varie Tabelle'!$B$12:$B$22)*('MY-REPORT-MAIN'!AH159&lt;='Varie Tabelle'!$C$12:$C$22),0),1)</f>
        <v>Periodo-1</v>
      </c>
      <c r="AJ159" s="14">
        <f>INDEX('Partner data'!A:EC,MATCH(I_Miei_Rendiconti[[#This Row],[Column1.partnerId]],'Partner data'!DG:DG,0),MATCH('MY-REPORT-MAIN'!AI159,'Partner data'!$2:$2,0))</f>
        <v>30665</v>
      </c>
      <c r="AK159" s="10">
        <f>SUMIFS($U$2:U159,$C$2:C159,I_Miei_Rendiconti[[#This Row],[Column1.partnerId]])-AJ159</f>
        <v>-19000.2</v>
      </c>
      <c r="AL159" s="16">
        <f>IFERROR(1-(I_Miei_Rendiconti[[#This Row],[Column1.totalAfterSubmitted]]/AJ159),0)</f>
        <v>0.61960541333768138</v>
      </c>
      <c r="AM159" s="14">
        <f>INDEX('Partner data'!A:EB,MATCH(I_Miei_Rendiconti[[#This Row],[Column1.partnerId]],'Partner data'!DG:DG,0),44)</f>
        <v>221317</v>
      </c>
      <c r="AN159" s="14">
        <f>SUMIFS(ListOfExpenditure!AP:AP,ListOfExpenditure!AJ:AJ,I_Miei_Rendiconti[[#This Row],[Column1.id]])</f>
        <v>0</v>
      </c>
      <c r="AO159" s="148">
        <f>SUMIFS(ReportSubmittedBL!W:W,ReportSubmittedBL!D:D,I_Miei_Rendiconti[[#This Row],[Column1.id]])</f>
        <v>12</v>
      </c>
      <c r="AP159" s="155" cm="1">
        <f t="array" ref="AP159">INDEX('Weight tables'!$A$32:$C$36,MATCH(1,('MY-REPORT-MAIN'!AO159&gt;='Weight tables'!$B$32:$B$36)*('MY-REPORT-MAIN'!AO159&lt;='Weight tables'!$C$32:$C$36),0),1)</f>
        <v>8.4</v>
      </c>
      <c r="AQ159" s="155">
        <f>INDEX('Weight tables'!$A$39:$B$41,MATCH(I_Miei_Rendiconti[[#This Row],[Previouse Report checked?yes/no]],'Weight tables'!$B$39:$B$41,0),1)</f>
        <v>8.4</v>
      </c>
      <c r="AR159" s="155" cm="1">
        <f t="array" ref="AR159">IF(I_Miei_Rendiconti[[#This Row],[Sum of errors in previous report ]]="NON PERTINENTE",0,INDEX('Weight tables'!$A$43:$C$46,MATCH(1,(I_Miei_Rendiconti[[#This Row],[Sum of errors in previous report ]]&gt;='Weight tables'!$B$43:$B$46)*(I_Miei_Rendiconti[[#This Row],[Sum of errors in previous report ]]&lt;='Weight tables'!$C$43:$C$46),0),1))</f>
        <v>0</v>
      </c>
      <c r="AS159" s="155" cm="1">
        <f t="array" ref="AS159">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59" s="155" cm="1">
        <f t="array" ref="AT159">INDEX('Weight tables'!$A$56:$C$65,MATCH(1,('MY-REPORT-MAIN'!U159&gt;='Weight tables'!$B$56:$B$65)*('MY-REPORT-MAIN'!U159&lt;='Weight tables'!$C$56:$C$65),0),1)</f>
        <v>1</v>
      </c>
      <c r="AU159" s="155" cm="1">
        <f t="array" ref="AU159">INDEX('Weight tables'!$A$68:$C$71,MATCH(1,('MY-REPORT-MAIN'!AL159&gt;='Weight tables'!$B$68:$B$71)*('MY-REPORT-MAIN'!AL159&lt;='Weight tables'!$C$68:$C$71),0),1)</f>
        <v>2</v>
      </c>
      <c r="AV159" s="155" cm="1">
        <f t="array" ref="AV159">INDEX('Weight tables'!$A$74:$C$78,MATCH(1,('MY-REPORT-MAIN'!AN159&gt;='Weight tables'!$B$74:$B$78)*('MY-REPORT-MAIN'!AN159&lt;='Weight tables'!$C$74:$C$78),0),1)</f>
        <v>0</v>
      </c>
      <c r="AW159" s="16">
        <f>IF(I_Miei_Rendiconti[[#This Row],[Column1.totalAfterSubmitted]]/AM159&gt;50%,"Checked",0)</f>
        <v>0</v>
      </c>
      <c r="AX159" s="155">
        <f t="shared" si="6"/>
        <v>19.8</v>
      </c>
      <c r="AY159" s="155" t="str">
        <f>INDEX('Partner data'!A:EB,MATCH(I_Miei_Rendiconti[[#This Row],[Column1.partnerId]],'Partner data'!DG:DG,0),92)</f>
        <v>Italia (IT)</v>
      </c>
    </row>
    <row r="160" spans="1:51" ht="30" x14ac:dyDescent="0.25">
      <c r="A160" s="79">
        <v>207</v>
      </c>
      <c r="B160" s="79">
        <v>86</v>
      </c>
      <c r="C160" s="79">
        <v>260</v>
      </c>
      <c r="D160" s="79" t="s">
        <v>2270</v>
      </c>
      <c r="E160" s="79" t="s">
        <v>253</v>
      </c>
      <c r="F160" s="79">
        <v>3</v>
      </c>
      <c r="G160" s="206" t="s">
        <v>36</v>
      </c>
      <c r="H160" s="79">
        <v>1</v>
      </c>
      <c r="I160" s="79" t="s">
        <v>4339</v>
      </c>
      <c r="J160" s="79" t="s">
        <v>1118</v>
      </c>
      <c r="K160" s="208">
        <v>45387.442634930558</v>
      </c>
      <c r="M160" s="208">
        <v>45482.377558738423</v>
      </c>
      <c r="N160" s="79" t="s">
        <v>4449</v>
      </c>
      <c r="O160" s="79" t="s">
        <v>4363</v>
      </c>
      <c r="P160" s="79" t="s">
        <v>4348</v>
      </c>
      <c r="Q160" s="79" t="s">
        <v>4343</v>
      </c>
      <c r="R160" s="79">
        <v>29</v>
      </c>
      <c r="S160" s="79">
        <v>1</v>
      </c>
      <c r="T160" s="81">
        <v>13840.45</v>
      </c>
      <c r="U160" s="81">
        <v>13840.45</v>
      </c>
      <c r="V160" s="79" t="str">
        <f>INDEX(pARTNER[#All],MATCH(I_Miei_Rendiconti[[#This Row],[Column1.partnerId]],pARTNER[[#All],[Value.partnerSummary.id]],0),2)</f>
        <v>WALKofPEACE+</v>
      </c>
      <c r="W160" s="79" t="b">
        <v>0</v>
      </c>
      <c r="X160" s="82">
        <f>I_Miei_Rendiconti[[#This Row],[Column1.totalAfterSubmitted]]-I_Miei_Rendiconti[[#This Row],[Column1.totalEligibleAfterControl]]</f>
        <v>0</v>
      </c>
      <c r="Y160" s="80">
        <f>IF(I_Miei_Rendiconti[[#This Row],[Column1.status]]="Certified",IFERROR(I_Miei_Rendiconti[[#This Row],[Financial corection]]/I_Miei_Rendiconti[[#This Row],[Column1.totalAfterSubmitted]],0),"Rendiconto da certificare")</f>
        <v>0</v>
      </c>
      <c r="Z160" s="207" t="str">
        <f>IF(I_Miei_Rendiconti[[#This Row],[Column1.status]]&lt;&gt;"Certified",INDEX('Partner data'!DG:DQ,MATCH(I_Miei_Rendiconti[[#This Row],[Column1.partnerId]],'Partner data'!DG:DG,0),13),"Rendiconto CONVALIDATO")</f>
        <v>Rendiconto CONVALIDATO</v>
      </c>
      <c r="AA160"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60" s="81" t="str">
        <f>IF(OR(I_Miei_Rendiconti[[#This Row],[N. previouse validated report ]]="Rendiconto CONVALIDATO",I_Miei_Rendiconti[[#This Row],[N. previouse validated report ]]="NON è stato convalidato ancora nessun rendiconto"),"NON PERTINENTE","fai la fromula")</f>
        <v>NON PERTINENTE</v>
      </c>
      <c r="AC160"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60" s="2">
        <f>INDEX('Partner data'!DG:DJ,MATCH(I_Miei_Rendiconti[[#This Row],[Column1.partnerId]],'Partner data'!DG:DG,0),3)</f>
        <v>1</v>
      </c>
      <c r="AE160" t="str" cm="1">
        <f t="array" ref="AE160">INDEX('Varie Tabelle'!$A$37:$C$51,MATCH(1,(I_Miei_Rendiconti[[#This Row],[Column1.firstSubmission]]&gt;='Varie Tabelle'!$B$37:$B$51)*(I_Miei_Rendiconti[[#This Row],[Column1.firstSubmission]]&lt;'Varie Tabelle'!$C$37:$C$51),0),1)</f>
        <v>Finestra 2</v>
      </c>
      <c r="AF160" s="109">
        <f>INDEX('Varie Tabelle'!$A$37:$C$51,MATCH('MY-REPORT-MAIN'!AE160,'Varie Tabelle'!$A$37:$A$51,0),2)</f>
        <v>45352</v>
      </c>
      <c r="AG160" s="109">
        <f>INDEX('Partner data'!DG:DR,MATCH(I_Miei_Rendiconti[[#This Row],[Column1.partnerId]],'Partner data'!DG:DG,0),12)</f>
        <v>45200</v>
      </c>
      <c r="AH160" s="115">
        <f t="shared" si="4"/>
        <v>4.9983558040118385</v>
      </c>
      <c r="AI160" t="str" cm="1">
        <f t="array" ref="AI160">INDEX('Varie Tabelle'!$A$12:$C$22,MATCH(1,('MY-REPORT-MAIN'!AH160&gt;='Varie Tabelle'!$B$12:$B$22)*('MY-REPORT-MAIN'!AH160&lt;='Varie Tabelle'!$C$12:$C$22),0),1)</f>
        <v>Periodo-1</v>
      </c>
      <c r="AJ160" s="14">
        <f>INDEX('Partner data'!A:EC,MATCH(I_Miei_Rendiconti[[#This Row],[Column1.partnerId]],'Partner data'!DG:DG,0),MATCH('MY-REPORT-MAIN'!AI160,'Partner data'!$2:$2,0))</f>
        <v>26836.799999999999</v>
      </c>
      <c r="AK160" s="10">
        <f>SUMIFS($U$2:U160,$C$2:C160,I_Miei_Rendiconti[[#This Row],[Column1.partnerId]])-AJ160</f>
        <v>-12996.349999999999</v>
      </c>
      <c r="AL160" s="16">
        <f>IFERROR(1-(I_Miei_Rendiconti[[#This Row],[Column1.totalAfterSubmitted]]/AJ160),0)</f>
        <v>0.48427346032313834</v>
      </c>
      <c r="AM160" s="14">
        <f>INDEX('Partner data'!A:EB,MATCH(I_Miei_Rendiconti[[#This Row],[Column1.partnerId]],'Partner data'!DG:DG,0),44)</f>
        <v>110000</v>
      </c>
      <c r="AN160" s="14">
        <f>SUMIFS(ListOfExpenditure!AP:AP,ListOfExpenditure!AJ:AJ,I_Miei_Rendiconti[[#This Row],[Column1.id]])</f>
        <v>0</v>
      </c>
      <c r="AO160" s="148">
        <f>SUMIFS(ReportSubmittedBL!W:W,ReportSubmittedBL!D:D,I_Miei_Rendiconti[[#This Row],[Column1.id]])</f>
        <v>16</v>
      </c>
      <c r="AP160" s="155" cm="1">
        <f t="array" ref="AP160">INDEX('Weight tables'!$A$32:$C$36,MATCH(1,('MY-REPORT-MAIN'!AO160&gt;='Weight tables'!$B$32:$B$36)*('MY-REPORT-MAIN'!AO160&lt;='Weight tables'!$C$32:$C$36),0),1)</f>
        <v>8.4</v>
      </c>
      <c r="AQ160" s="155">
        <f>INDEX('Weight tables'!$A$39:$B$41,MATCH(I_Miei_Rendiconti[[#This Row],[Previouse Report checked?yes/no]],'Weight tables'!$B$39:$B$41,0),1)</f>
        <v>8.4</v>
      </c>
      <c r="AR160" s="155" cm="1">
        <f t="array" ref="AR160">IF(I_Miei_Rendiconti[[#This Row],[Sum of errors in previous report ]]="NON PERTINENTE",0,INDEX('Weight tables'!$A$43:$C$46,MATCH(1,(I_Miei_Rendiconti[[#This Row],[Sum of errors in previous report ]]&gt;='Weight tables'!$B$43:$B$46)*(I_Miei_Rendiconti[[#This Row],[Sum of errors in previous report ]]&lt;='Weight tables'!$C$43:$C$46),0),1))</f>
        <v>0</v>
      </c>
      <c r="AS160" s="155" cm="1">
        <f t="array" ref="AS160">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60" s="155" cm="1">
        <f t="array" ref="AT160">INDEX('Weight tables'!$A$56:$C$65,MATCH(1,('MY-REPORT-MAIN'!U160&gt;='Weight tables'!$B$56:$B$65)*('MY-REPORT-MAIN'!U160&lt;='Weight tables'!$C$56:$C$65),0),1)</f>
        <v>1</v>
      </c>
      <c r="AU160" s="155" cm="1">
        <f t="array" ref="AU160">INDEX('Weight tables'!$A$68:$C$71,MATCH(1,('MY-REPORT-MAIN'!AL160&gt;='Weight tables'!$B$68:$B$71)*('MY-REPORT-MAIN'!AL160&lt;='Weight tables'!$C$68:$C$71),0),1)</f>
        <v>2</v>
      </c>
      <c r="AV160" s="155" cm="1">
        <f t="array" ref="AV160">INDEX('Weight tables'!$A$74:$C$78,MATCH(1,('MY-REPORT-MAIN'!AN160&gt;='Weight tables'!$B$74:$B$78)*('MY-REPORT-MAIN'!AN160&lt;='Weight tables'!$C$74:$C$78),0),1)</f>
        <v>0</v>
      </c>
      <c r="AW160" s="16">
        <f>IF(I_Miei_Rendiconti[[#This Row],[Column1.totalAfterSubmitted]]/AM160&gt;50%,"Checked",0)</f>
        <v>0</v>
      </c>
      <c r="AX160" s="155">
        <f t="shared" si="6"/>
        <v>19.8</v>
      </c>
      <c r="AY160" s="155" t="str">
        <f>INDEX('Partner data'!A:EB,MATCH(I_Miei_Rendiconti[[#This Row],[Column1.partnerId]],'Partner data'!DG:DG,0),92)</f>
        <v>Slovenija (SI)</v>
      </c>
    </row>
    <row r="161" spans="1:58" ht="30" x14ac:dyDescent="0.25">
      <c r="A161" s="79">
        <v>177</v>
      </c>
      <c r="B161" s="79">
        <v>33</v>
      </c>
      <c r="C161" s="79">
        <v>120</v>
      </c>
      <c r="D161" s="79" t="s">
        <v>825</v>
      </c>
      <c r="E161" s="79" t="s">
        <v>253</v>
      </c>
      <c r="F161" s="79">
        <v>4</v>
      </c>
      <c r="G161" s="206" t="s">
        <v>279</v>
      </c>
      <c r="H161" s="79">
        <v>1</v>
      </c>
      <c r="I161" s="79" t="s">
        <v>4339</v>
      </c>
      <c r="J161" s="79" t="s">
        <v>490</v>
      </c>
      <c r="K161" s="208">
        <v>45387.454093425928</v>
      </c>
      <c r="M161" s="208">
        <v>45471.746461921299</v>
      </c>
      <c r="N161" s="79" t="s">
        <v>4427</v>
      </c>
      <c r="O161" s="79" t="s">
        <v>4363</v>
      </c>
      <c r="P161" s="79" t="s">
        <v>4428</v>
      </c>
      <c r="Q161" s="79" t="s">
        <v>4343</v>
      </c>
      <c r="R161" s="79">
        <v>32</v>
      </c>
      <c r="S161" s="79">
        <v>1</v>
      </c>
      <c r="T161" s="81">
        <v>13047.66</v>
      </c>
      <c r="U161" s="81">
        <v>13051.27</v>
      </c>
      <c r="V161" s="79" t="str">
        <f>INDEX(pARTNER[#All],MATCH(I_Miei_Rendiconti[[#This Row],[Column1.partnerId]],pARTNER[[#All],[Value.partnerSummary.id]],0),2)</f>
        <v>WASTE DESIGN 2</v>
      </c>
      <c r="W161" s="79" t="b">
        <v>0</v>
      </c>
      <c r="X161" s="82">
        <f>I_Miei_Rendiconti[[#This Row],[Column1.totalAfterSubmitted]]-I_Miei_Rendiconti[[#This Row],[Column1.totalEligibleAfterControl]]</f>
        <v>3.6100000000005821</v>
      </c>
      <c r="Y161" s="80">
        <f>IF(I_Miei_Rendiconti[[#This Row],[Column1.status]]="Certified",IFERROR(I_Miei_Rendiconti[[#This Row],[Financial corection]]/I_Miei_Rendiconti[[#This Row],[Column1.totalAfterSubmitted]],0),"Rendiconto da certificare")</f>
        <v>2.7660143418997398E-4</v>
      </c>
      <c r="Z161" s="207" t="str">
        <f>IF(I_Miei_Rendiconti[[#This Row],[Column1.status]]&lt;&gt;"Certified",INDEX('Partner data'!DG:DQ,MATCH(I_Miei_Rendiconti[[#This Row],[Column1.partnerId]],'Partner data'!DG:DG,0),13),"Rendiconto CONVALIDATO")</f>
        <v>Rendiconto CONVALIDATO</v>
      </c>
      <c r="AA161"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61" s="81" t="str">
        <f>IF(OR(I_Miei_Rendiconti[[#This Row],[N. previouse validated report ]]="Rendiconto CONVALIDATO",I_Miei_Rendiconti[[#This Row],[N. previouse validated report ]]="NON è stato convalidato ancora nessun rendiconto"),"NON PERTINENTE","fai la fromula")</f>
        <v>NON PERTINENTE</v>
      </c>
      <c r="AC161"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61" s="2">
        <f>INDEX('Partner data'!DG:DJ,MATCH(I_Miei_Rendiconti[[#This Row],[Column1.partnerId]],'Partner data'!DG:DG,0),3)</f>
        <v>1</v>
      </c>
      <c r="AE161" t="str" cm="1">
        <f t="array" ref="AE161">INDEX('Varie Tabelle'!$A$37:$C$51,MATCH(1,(I_Miei_Rendiconti[[#This Row],[Column1.firstSubmission]]&gt;='Varie Tabelle'!$B$37:$B$51)*(I_Miei_Rendiconti[[#This Row],[Column1.firstSubmission]]&lt;'Varie Tabelle'!$C$37:$C$51),0),1)</f>
        <v>Finestra 2</v>
      </c>
      <c r="AF161" s="109">
        <f>INDEX('Varie Tabelle'!$A$37:$C$51,MATCH('MY-REPORT-MAIN'!AE161,'Varie Tabelle'!$A$37:$A$51,0),2)</f>
        <v>45352</v>
      </c>
      <c r="AG161" s="109">
        <f>INDEX('Partner data'!DG:DR,MATCH(I_Miei_Rendiconti[[#This Row],[Column1.partnerId]],'Partner data'!DG:DG,0),12)</f>
        <v>45200</v>
      </c>
      <c r="AH161" s="115">
        <f t="shared" si="4"/>
        <v>4.9983558040118385</v>
      </c>
      <c r="AI161" t="str" cm="1">
        <f t="array" ref="AI161">INDEX('Varie Tabelle'!$A$12:$C$22,MATCH(1,('MY-REPORT-MAIN'!AH161&gt;='Varie Tabelle'!$B$12:$B$22)*('MY-REPORT-MAIN'!AH161&lt;='Varie Tabelle'!$C$12:$C$22),0),1)</f>
        <v>Periodo-1</v>
      </c>
      <c r="AJ161" s="14">
        <f>INDEX('Partner data'!A:EC,MATCH(I_Miei_Rendiconti[[#This Row],[Column1.partnerId]],'Partner data'!DG:DG,0),MATCH('MY-REPORT-MAIN'!AI161,'Partner data'!$2:$2,0))</f>
        <v>26975.360000000001</v>
      </c>
      <c r="AK161" s="10">
        <f>SUMIFS($U$2:U161,$C$2:C161,I_Miei_Rendiconti[[#This Row],[Column1.partnerId]])-AJ161</f>
        <v>-13924.09</v>
      </c>
      <c r="AL161" s="16">
        <f>IFERROR(1-(I_Miei_Rendiconti[[#This Row],[Column1.totalAfterSubmitted]]/AJ161),0)</f>
        <v>0.51617809734513276</v>
      </c>
      <c r="AM161" s="14">
        <f>INDEX('Partner data'!A:EB,MATCH(I_Miei_Rendiconti[[#This Row],[Column1.partnerId]],'Partner data'!DG:DG,0),44)</f>
        <v>120557.5</v>
      </c>
      <c r="AN161" s="14">
        <f>SUMIFS(ListOfExpenditure!AP:AP,ListOfExpenditure!AJ:AJ,I_Miei_Rendiconti[[#This Row],[Column1.id]])</f>
        <v>0</v>
      </c>
      <c r="AO161" s="148">
        <f>SUMIFS(ReportSubmittedBL!W:W,ReportSubmittedBL!D:D,I_Miei_Rendiconti[[#This Row],[Column1.id]])</f>
        <v>8</v>
      </c>
      <c r="AP161" s="155" cm="1">
        <f t="array" ref="AP161">INDEX('Weight tables'!$A$32:$C$36,MATCH(1,('MY-REPORT-MAIN'!AO161&gt;='Weight tables'!$B$32:$B$36)*('MY-REPORT-MAIN'!AO161&lt;='Weight tables'!$C$32:$C$36),0),1)</f>
        <v>6.3</v>
      </c>
      <c r="AQ161" s="155">
        <f>INDEX('Weight tables'!$A$39:$B$41,MATCH(I_Miei_Rendiconti[[#This Row],[Previouse Report checked?yes/no]],'Weight tables'!$B$39:$B$41,0),1)</f>
        <v>8.4</v>
      </c>
      <c r="AR161" s="155" cm="1">
        <f t="array" ref="AR161">IF(I_Miei_Rendiconti[[#This Row],[Sum of errors in previous report ]]="NON PERTINENTE",0,INDEX('Weight tables'!$A$43:$C$46,MATCH(1,(I_Miei_Rendiconti[[#This Row],[Sum of errors in previous report ]]&gt;='Weight tables'!$B$43:$B$46)*(I_Miei_Rendiconti[[#This Row],[Sum of errors in previous report ]]&lt;='Weight tables'!$C$43:$C$46),0),1))</f>
        <v>0</v>
      </c>
      <c r="AS161" s="155" cm="1">
        <f t="array" ref="AS161">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61" s="155" cm="1">
        <f t="array" ref="AT161">INDEX('Weight tables'!$A$56:$C$65,MATCH(1,('MY-REPORT-MAIN'!U161&gt;='Weight tables'!$B$56:$B$65)*('MY-REPORT-MAIN'!U161&lt;='Weight tables'!$C$56:$C$65),0),1)</f>
        <v>1</v>
      </c>
      <c r="AU161" s="155" cm="1">
        <f t="array" ref="AU161">INDEX('Weight tables'!$A$68:$C$71,MATCH(1,('MY-REPORT-MAIN'!AL161&gt;='Weight tables'!$B$68:$B$71)*('MY-REPORT-MAIN'!AL161&lt;='Weight tables'!$C$68:$C$71),0),1)</f>
        <v>2</v>
      </c>
      <c r="AV161" s="155" cm="1">
        <f t="array" ref="AV161">INDEX('Weight tables'!$A$74:$C$78,MATCH(1,('MY-REPORT-MAIN'!AN161&gt;='Weight tables'!$B$74:$B$78)*('MY-REPORT-MAIN'!AN161&lt;='Weight tables'!$C$74:$C$78),0),1)</f>
        <v>0</v>
      </c>
      <c r="AW161" s="16">
        <f>IF(I_Miei_Rendiconti[[#This Row],[Column1.totalAfterSubmitted]]/AM161&gt;50%,"Checked",0)</f>
        <v>0</v>
      </c>
      <c r="AX161" s="155">
        <f t="shared" si="6"/>
        <v>17.7</v>
      </c>
      <c r="AY161" s="155" t="str">
        <f>INDEX('Partner data'!A:EB,MATCH(I_Miei_Rendiconti[[#This Row],[Column1.partnerId]],'Partner data'!DG:DG,0),92)</f>
        <v>Italia (IT)</v>
      </c>
    </row>
    <row r="162" spans="1:58" ht="30" x14ac:dyDescent="0.25">
      <c r="A162" s="79">
        <v>167</v>
      </c>
      <c r="B162" s="79">
        <v>92</v>
      </c>
      <c r="C162" s="79">
        <v>322</v>
      </c>
      <c r="D162" s="79" t="s">
        <v>2433</v>
      </c>
      <c r="E162" s="79" t="s">
        <v>253</v>
      </c>
      <c r="F162" s="79">
        <v>8</v>
      </c>
      <c r="G162" s="206" t="s">
        <v>382</v>
      </c>
      <c r="H162" s="79">
        <v>4</v>
      </c>
      <c r="I162" s="79" t="s">
        <v>4339</v>
      </c>
      <c r="J162" s="79" t="s">
        <v>2435</v>
      </c>
      <c r="K162" s="208">
        <v>45387.471528981485</v>
      </c>
      <c r="M162" s="208">
        <v>45471.737301944442</v>
      </c>
      <c r="N162" s="79" t="s">
        <v>4422</v>
      </c>
      <c r="O162" s="79" t="s">
        <v>4347</v>
      </c>
      <c r="P162" s="79" t="s">
        <v>4348</v>
      </c>
      <c r="Q162" s="79" t="s">
        <v>4343</v>
      </c>
      <c r="R162" s="79">
        <v>41</v>
      </c>
      <c r="S162" s="79">
        <v>2</v>
      </c>
      <c r="T162" s="81">
        <v>4846.3999999999996</v>
      </c>
      <c r="U162" s="81">
        <v>12584.58</v>
      </c>
      <c r="V162" s="79" t="str">
        <f>INDEX(pARTNER[#All],MATCH(I_Miei_Rendiconti[[#This Row],[Column1.partnerId]],pARTNER[[#All],[Value.partnerSummary.id]],0),2)</f>
        <v>KRAS-CARSO II</v>
      </c>
      <c r="W162" s="79" t="b">
        <v>0</v>
      </c>
      <c r="X162" s="82">
        <f>I_Miei_Rendiconti[[#This Row],[Column1.totalAfterSubmitted]]-I_Miei_Rendiconti[[#This Row],[Column1.totalEligibleAfterControl]]</f>
        <v>7738.18</v>
      </c>
      <c r="Y162" s="80">
        <f>IF(I_Miei_Rendiconti[[#This Row],[Column1.status]]="Certified",IFERROR(I_Miei_Rendiconti[[#This Row],[Financial corection]]/I_Miei_Rendiconti[[#This Row],[Column1.totalAfterSubmitted]],0),"Rendiconto da certificare")</f>
        <v>0.61489378270868</v>
      </c>
      <c r="Z162" s="207" t="str">
        <f>IF(I_Miei_Rendiconti[[#This Row],[Column1.status]]&lt;&gt;"Certified",INDEX('Partner data'!DG:DQ,MATCH(I_Miei_Rendiconti[[#This Row],[Column1.partnerId]],'Partner data'!DG:DG,0),13),"Rendiconto CONVALIDATO")</f>
        <v>Rendiconto CONVALIDATO</v>
      </c>
      <c r="AA162"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62" s="81" t="str">
        <f>IF(OR(I_Miei_Rendiconti[[#This Row],[N. previouse validated report ]]="Rendiconto CONVALIDATO",I_Miei_Rendiconti[[#This Row],[N. previouse validated report ]]="NON è stato convalidato ancora nessun rendiconto"),"NON PERTINENTE","fai la fromula")</f>
        <v>NON PERTINENTE</v>
      </c>
      <c r="AC162"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62" s="2">
        <f>INDEX('Partner data'!DG:DJ,MATCH(I_Miei_Rendiconti[[#This Row],[Column1.partnerId]],'Partner data'!DG:DG,0),3)</f>
        <v>1</v>
      </c>
      <c r="AE162" t="str" cm="1">
        <f t="array" ref="AE162">INDEX('Varie Tabelle'!$A$37:$C$51,MATCH(1,(I_Miei_Rendiconti[[#This Row],[Column1.firstSubmission]]&gt;='Varie Tabelle'!$B$37:$B$51)*(I_Miei_Rendiconti[[#This Row],[Column1.firstSubmission]]&lt;'Varie Tabelle'!$C$37:$C$51),0),1)</f>
        <v>Finestra 2</v>
      </c>
      <c r="AF162" s="109">
        <f>INDEX('Varie Tabelle'!$A$37:$C$51,MATCH('MY-REPORT-MAIN'!AE162,'Varie Tabelle'!$A$37:$A$51,0),2)</f>
        <v>45352</v>
      </c>
      <c r="AG162" s="109">
        <f>INDEX('Partner data'!DG:DR,MATCH(I_Miei_Rendiconti[[#This Row],[Column1.partnerId]],'Partner data'!DG:DG,0),12)</f>
        <v>44927</v>
      </c>
      <c r="AH162" s="115">
        <f t="shared" si="4"/>
        <v>13.975665899375205</v>
      </c>
      <c r="AI162" t="str" cm="1">
        <f t="array" ref="AI162">INDEX('Varie Tabelle'!$A$12:$C$22,MATCH(1,('MY-REPORT-MAIN'!AH162&gt;='Varie Tabelle'!$B$12:$B$22)*('MY-REPORT-MAIN'!AH162&lt;='Varie Tabelle'!$C$12:$C$22),0),1)</f>
        <v>Periodo-2</v>
      </c>
      <c r="AJ162" s="14">
        <f>INDEX('Partner data'!A:EC,MATCH(I_Miei_Rendiconti[[#This Row],[Column1.partnerId]],'Partner data'!DG:DG,0),MATCH('MY-REPORT-MAIN'!AI162,'Partner data'!$2:$2,0))</f>
        <v>62100</v>
      </c>
      <c r="AK162" s="10">
        <f>SUMIFS($U$2:U162,$C$2:C162,I_Miei_Rendiconti[[#This Row],[Column1.partnerId]])-AJ162</f>
        <v>-49515.42</v>
      </c>
      <c r="AL162" s="16">
        <f>IFERROR(1-(I_Miei_Rendiconti[[#This Row],[Column1.totalAfterSubmitted]]/AJ162),0)</f>
        <v>0.79734975845410627</v>
      </c>
      <c r="AM162" s="14">
        <f>INDEX('Partner data'!A:EB,MATCH(I_Miei_Rendiconti[[#This Row],[Column1.partnerId]],'Partner data'!DG:DG,0),44)</f>
        <v>334000</v>
      </c>
      <c r="AN162" s="14">
        <f>SUMIFS(ListOfExpenditure!AP:AP,ListOfExpenditure!AJ:AJ,I_Miei_Rendiconti[[#This Row],[Column1.id]])</f>
        <v>0</v>
      </c>
      <c r="AO162" s="148">
        <f>SUMIFS(ReportSubmittedBL!W:W,ReportSubmittedBL!D:D,I_Miei_Rendiconti[[#This Row],[Column1.id]])</f>
        <v>4</v>
      </c>
      <c r="AP162" s="155" cm="1">
        <f t="array" ref="AP162">INDEX('Weight tables'!$A$32:$C$36,MATCH(1,('MY-REPORT-MAIN'!AO162&gt;='Weight tables'!$B$32:$B$36)*('MY-REPORT-MAIN'!AO162&lt;='Weight tables'!$C$32:$C$36),0),1)</f>
        <v>2.1</v>
      </c>
      <c r="AQ162" s="155">
        <f>INDEX('Weight tables'!$A$39:$B$41,MATCH(I_Miei_Rendiconti[[#This Row],[Previouse Report checked?yes/no]],'Weight tables'!$B$39:$B$41,0),1)</f>
        <v>8.4</v>
      </c>
      <c r="AR162" s="155" cm="1">
        <f t="array" ref="AR162">IF(I_Miei_Rendiconti[[#This Row],[Sum of errors in previous report ]]="NON PERTINENTE",0,INDEX('Weight tables'!$A$43:$C$46,MATCH(1,(I_Miei_Rendiconti[[#This Row],[Sum of errors in previous report ]]&gt;='Weight tables'!$B$43:$B$46)*(I_Miei_Rendiconti[[#This Row],[Sum of errors in previous report ]]&lt;='Weight tables'!$C$43:$C$46),0),1))</f>
        <v>0</v>
      </c>
      <c r="AS162" s="155" cm="1">
        <f t="array" ref="AS162">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62" s="155" cm="1">
        <f t="array" ref="AT162">INDEX('Weight tables'!$A$56:$C$65,MATCH(1,('MY-REPORT-MAIN'!U162&gt;='Weight tables'!$B$56:$B$65)*('MY-REPORT-MAIN'!U162&lt;='Weight tables'!$C$56:$C$65),0),1)</f>
        <v>1</v>
      </c>
      <c r="AU162" s="155" cm="1">
        <f t="array" ref="AU162">INDEX('Weight tables'!$A$68:$C$71,MATCH(1,('MY-REPORT-MAIN'!AL162&gt;='Weight tables'!$B$68:$B$71)*('MY-REPORT-MAIN'!AL162&lt;='Weight tables'!$C$68:$C$71),0),1)</f>
        <v>2</v>
      </c>
      <c r="AV162" s="155" cm="1">
        <f t="array" ref="AV162">INDEX('Weight tables'!$A$74:$C$78,MATCH(1,('MY-REPORT-MAIN'!AN162&gt;='Weight tables'!$B$74:$B$78)*('MY-REPORT-MAIN'!AN162&lt;='Weight tables'!$C$74:$C$78),0),1)</f>
        <v>0</v>
      </c>
      <c r="AW162" s="16">
        <f>IF(I_Miei_Rendiconti[[#This Row],[Column1.totalAfterSubmitted]]/AM162&gt;50%,"Checked",0)</f>
        <v>0</v>
      </c>
      <c r="AX162" s="155">
        <f t="shared" si="6"/>
        <v>13.5</v>
      </c>
      <c r="AY162" s="155" t="str">
        <f>INDEX('Partner data'!A:EB,MATCH(I_Miei_Rendiconti[[#This Row],[Column1.partnerId]],'Partner data'!DG:DG,0),92)</f>
        <v>Italia (IT)</v>
      </c>
    </row>
    <row r="163" spans="1:58" ht="30" x14ac:dyDescent="0.25">
      <c r="A163" s="79">
        <v>339</v>
      </c>
      <c r="B163" s="79">
        <v>92</v>
      </c>
      <c r="C163" s="79">
        <v>323</v>
      </c>
      <c r="D163" s="79" t="s">
        <v>2433</v>
      </c>
      <c r="E163" s="79" t="s">
        <v>253</v>
      </c>
      <c r="F163" s="79">
        <v>9</v>
      </c>
      <c r="G163" s="206" t="s">
        <v>47</v>
      </c>
      <c r="H163" s="79">
        <v>2</v>
      </c>
      <c r="I163" s="79" t="s">
        <v>4339</v>
      </c>
      <c r="J163" s="79" t="s">
        <v>2435</v>
      </c>
      <c r="K163" s="208">
        <v>45387.471732407408</v>
      </c>
      <c r="M163" s="208">
        <v>45467.500310057869</v>
      </c>
      <c r="N163" s="79" t="s">
        <v>4540</v>
      </c>
      <c r="O163" s="79" t="s">
        <v>4363</v>
      </c>
      <c r="P163" s="79" t="s">
        <v>4348</v>
      </c>
      <c r="Q163" s="79" t="s">
        <v>4343</v>
      </c>
      <c r="R163" s="79">
        <v>41</v>
      </c>
      <c r="S163" s="79">
        <v>2</v>
      </c>
      <c r="T163" s="81">
        <v>33894.14</v>
      </c>
      <c r="U163" s="81">
        <v>43025.82</v>
      </c>
      <c r="V163" s="79" t="str">
        <f>INDEX(pARTNER[#All],MATCH(I_Miei_Rendiconti[[#This Row],[Column1.partnerId]],pARTNER[[#All],[Value.partnerSummary.id]],0),2)</f>
        <v>KRAS-CARSO II</v>
      </c>
      <c r="W163" s="79" t="b">
        <v>0</v>
      </c>
      <c r="X163" s="82">
        <f>I_Miei_Rendiconti[[#This Row],[Column1.totalAfterSubmitted]]-I_Miei_Rendiconti[[#This Row],[Column1.totalEligibleAfterControl]]</f>
        <v>9131.68</v>
      </c>
      <c r="Y163" s="80">
        <f>IF(I_Miei_Rendiconti[[#This Row],[Column1.status]]="Certified",IFERROR(I_Miei_Rendiconti[[#This Row],[Financial corection]]/I_Miei_Rendiconti[[#This Row],[Column1.totalAfterSubmitted]],0),"Rendiconto da certificare")</f>
        <v>0.21223721012173621</v>
      </c>
      <c r="Z163" s="207" t="str">
        <f>IF(I_Miei_Rendiconti[[#This Row],[Column1.status]]&lt;&gt;"Certified",INDEX('Partner data'!DG:DQ,MATCH(I_Miei_Rendiconti[[#This Row],[Column1.partnerId]],'Partner data'!DG:DG,0),13),"Rendiconto CONVALIDATO")</f>
        <v>Rendiconto CONVALIDATO</v>
      </c>
      <c r="AA163"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63" s="81" t="str">
        <f>IF(OR(I_Miei_Rendiconti[[#This Row],[N. previouse validated report ]]="Rendiconto CONVALIDATO",I_Miei_Rendiconti[[#This Row],[N. previouse validated report ]]="NON è stato convalidato ancora nessun rendiconto"),"NON PERTINENTE","fai la fromula")</f>
        <v>NON PERTINENTE</v>
      </c>
      <c r="AC163"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63" s="2">
        <f>INDEX('Partner data'!DG:DJ,MATCH(I_Miei_Rendiconti[[#This Row],[Column1.partnerId]],'Partner data'!DG:DG,0),3)</f>
        <v>2</v>
      </c>
      <c r="AE163" t="str" cm="1">
        <f t="array" ref="AE163">INDEX('Varie Tabelle'!$A$37:$C$51,MATCH(1,(I_Miei_Rendiconti[[#This Row],[Column1.firstSubmission]]&gt;='Varie Tabelle'!$B$37:$B$51)*(I_Miei_Rendiconti[[#This Row],[Column1.firstSubmission]]&lt;'Varie Tabelle'!$C$37:$C$51),0),1)</f>
        <v>Finestra 2</v>
      </c>
      <c r="AF163" s="109">
        <f>INDEX('Varie Tabelle'!$A$37:$C$51,MATCH('MY-REPORT-MAIN'!AE163,'Varie Tabelle'!$A$37:$A$51,0),2)</f>
        <v>45352</v>
      </c>
      <c r="AG163" s="109">
        <f>INDEX('Partner data'!DG:DR,MATCH(I_Miei_Rendiconti[[#This Row],[Column1.partnerId]],'Partner data'!DG:DG,0),12)</f>
        <v>44927</v>
      </c>
      <c r="AH163" s="115">
        <f t="shared" si="4"/>
        <v>13.975665899375205</v>
      </c>
      <c r="AI163" t="str" cm="1">
        <f t="array" ref="AI163">INDEX('Varie Tabelle'!$A$12:$C$22,MATCH(1,('MY-REPORT-MAIN'!AH163&gt;='Varie Tabelle'!$B$12:$B$22)*('MY-REPORT-MAIN'!AH163&lt;='Varie Tabelle'!$C$12:$C$22),0),1)</f>
        <v>Periodo-2</v>
      </c>
      <c r="AJ163" s="14">
        <f>INDEX('Partner data'!A:EC,MATCH(I_Miei_Rendiconti[[#This Row],[Column1.partnerId]],'Partner data'!DG:DG,0),MATCH('MY-REPORT-MAIN'!AI163,'Partner data'!$2:$2,0))</f>
        <v>126597.12</v>
      </c>
      <c r="AK163" s="10">
        <f>SUMIFS($U$2:U163,$C$2:C163,I_Miei_Rendiconti[[#This Row],[Column1.partnerId]])-AJ163</f>
        <v>-43190.75</v>
      </c>
      <c r="AL163" s="16">
        <f>IFERROR(1-(I_Miei_Rendiconti[[#This Row],[Column1.totalAfterSubmitted]]/AJ163),0)</f>
        <v>0.66013587038946864</v>
      </c>
      <c r="AM163" s="14">
        <f>INDEX('Partner data'!A:EB,MATCH(I_Miei_Rendiconti[[#This Row],[Column1.partnerId]],'Partner data'!DG:DG,0),44)</f>
        <v>529999.94999999995</v>
      </c>
      <c r="AN163" s="14">
        <f>SUMIFS(ListOfExpenditure!AP:AP,ListOfExpenditure!AJ:AJ,I_Miei_Rendiconti[[#This Row],[Column1.id]])</f>
        <v>0</v>
      </c>
      <c r="AO163" s="148">
        <f>SUMIFS(ReportSubmittedBL!W:W,ReportSubmittedBL!D:D,I_Miei_Rendiconti[[#This Row],[Column1.id]])</f>
        <v>16</v>
      </c>
      <c r="AP163" s="155" cm="1">
        <f t="array" ref="AP163">INDEX('Weight tables'!$A$32:$C$36,MATCH(1,('MY-REPORT-MAIN'!AO163&gt;='Weight tables'!$B$32:$B$36)*('MY-REPORT-MAIN'!AO163&lt;='Weight tables'!$C$32:$C$36),0),1)</f>
        <v>8.4</v>
      </c>
      <c r="AQ163" s="155">
        <f>INDEX('Weight tables'!$A$39:$B$41,MATCH(I_Miei_Rendiconti[[#This Row],[Previouse Report checked?yes/no]],'Weight tables'!$B$39:$B$41,0),1)</f>
        <v>8.4</v>
      </c>
      <c r="AR163" s="155" cm="1">
        <f t="array" ref="AR163">IF(I_Miei_Rendiconti[[#This Row],[Sum of errors in previous report ]]="NON PERTINENTE",0,INDEX('Weight tables'!$A$43:$C$46,MATCH(1,(I_Miei_Rendiconti[[#This Row],[Sum of errors in previous report ]]&gt;='Weight tables'!$B$43:$B$46)*(I_Miei_Rendiconti[[#This Row],[Sum of errors in previous report ]]&lt;='Weight tables'!$C$43:$C$46),0),1))</f>
        <v>0</v>
      </c>
      <c r="AS163" s="155" cm="1">
        <f t="array" ref="AS163">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63" s="155" cm="1">
        <f t="array" ref="AT163">INDEX('Weight tables'!$A$56:$C$65,MATCH(1,('MY-REPORT-MAIN'!U163&gt;='Weight tables'!$B$56:$B$65)*('MY-REPORT-MAIN'!U163&lt;='Weight tables'!$C$56:$C$65),0),1)</f>
        <v>4</v>
      </c>
      <c r="AU163" s="155" cm="1">
        <f t="array" ref="AU163">INDEX('Weight tables'!$A$68:$C$71,MATCH(1,('MY-REPORT-MAIN'!AL163&gt;='Weight tables'!$B$68:$B$71)*('MY-REPORT-MAIN'!AL163&lt;='Weight tables'!$C$68:$C$71),0),1)</f>
        <v>2</v>
      </c>
      <c r="AV163" s="155" cm="1">
        <f t="array" ref="AV163">INDEX('Weight tables'!$A$74:$C$78,MATCH(1,('MY-REPORT-MAIN'!AN163&gt;='Weight tables'!$B$74:$B$78)*('MY-REPORT-MAIN'!AN163&lt;='Weight tables'!$C$74:$C$78),0),1)</f>
        <v>0</v>
      </c>
      <c r="AW163" s="16">
        <f>IF(I_Miei_Rendiconti[[#This Row],[Column1.totalAfterSubmitted]]/AM163&gt;50%,"Checked",0)</f>
        <v>0</v>
      </c>
      <c r="AX163" s="155">
        <f t="shared" si="6"/>
        <v>22.8</v>
      </c>
      <c r="AY163" s="155" t="str">
        <f>INDEX('Partner data'!A:EB,MATCH(I_Miei_Rendiconti[[#This Row],[Column1.partnerId]],'Partner data'!DG:DG,0),92)</f>
        <v>Italia (IT)</v>
      </c>
    </row>
    <row r="164" spans="1:58" ht="30" x14ac:dyDescent="0.25">
      <c r="A164" s="79">
        <v>319</v>
      </c>
      <c r="B164" s="79">
        <v>58</v>
      </c>
      <c r="C164" s="79">
        <v>187</v>
      </c>
      <c r="D164" s="79" t="s">
        <v>1501</v>
      </c>
      <c r="E164" s="79" t="s">
        <v>253</v>
      </c>
      <c r="F164" s="79">
        <v>5</v>
      </c>
      <c r="G164" s="206" t="s">
        <v>315</v>
      </c>
      <c r="H164" s="79">
        <v>1</v>
      </c>
      <c r="I164" s="79" t="s">
        <v>4339</v>
      </c>
      <c r="J164" s="79" t="s">
        <v>1118</v>
      </c>
      <c r="K164" s="208">
        <v>45387.477177962966</v>
      </c>
      <c r="M164" s="208">
        <v>45478.438841898147</v>
      </c>
      <c r="N164" s="79" t="s">
        <v>4532</v>
      </c>
      <c r="O164" s="79" t="s">
        <v>4347</v>
      </c>
      <c r="P164" s="79" t="s">
        <v>4348</v>
      </c>
      <c r="Q164" s="79" t="s">
        <v>4343</v>
      </c>
      <c r="T164" s="81">
        <v>13244.83</v>
      </c>
      <c r="U164" s="81">
        <v>13244.83</v>
      </c>
      <c r="V164" s="79" t="str">
        <f>INDEX(pARTNER[#All],MATCH(I_Miei_Rendiconti[[#This Row],[Column1.partnerId]],pARTNER[[#All],[Value.partnerSummary.id]],0),2)</f>
        <v>AidMIRE</v>
      </c>
      <c r="W164" s="79" t="b">
        <v>0</v>
      </c>
      <c r="X164" s="82">
        <f>I_Miei_Rendiconti[[#This Row],[Column1.totalAfterSubmitted]]-I_Miei_Rendiconti[[#This Row],[Column1.totalEligibleAfterControl]]</f>
        <v>0</v>
      </c>
      <c r="Y164" s="80">
        <f>IF(I_Miei_Rendiconti[[#This Row],[Column1.status]]="Certified",IFERROR(I_Miei_Rendiconti[[#This Row],[Financial corection]]/I_Miei_Rendiconti[[#This Row],[Column1.totalAfterSubmitted]],0),"Rendiconto da certificare")</f>
        <v>0</v>
      </c>
      <c r="Z164" s="207" t="str">
        <f>IF(I_Miei_Rendiconti[[#This Row],[Column1.status]]&lt;&gt;"Certified",INDEX('Partner data'!DG:DQ,MATCH(I_Miei_Rendiconti[[#This Row],[Column1.partnerId]],'Partner data'!DG:DG,0),13),"Rendiconto CONVALIDATO")</f>
        <v>Rendiconto CONVALIDATO</v>
      </c>
      <c r="AA164"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64" s="81" t="str">
        <f>IF(OR(I_Miei_Rendiconti[[#This Row],[N. previouse validated report ]]="Rendiconto CONVALIDATO",I_Miei_Rendiconti[[#This Row],[N. previouse validated report ]]="NON è stato convalidato ancora nessun rendiconto"),"NON PERTINENTE","fai la fromula")</f>
        <v>NON PERTINENTE</v>
      </c>
      <c r="AC164"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64" s="2">
        <f>INDEX('Partner data'!DG:DJ,MATCH(I_Miei_Rendiconti[[#This Row],[Column1.partnerId]],'Partner data'!DG:DG,0),3)</f>
        <v>1</v>
      </c>
      <c r="AE164" t="str" cm="1">
        <f t="array" ref="AE164">INDEX('Varie Tabelle'!$A$37:$C$51,MATCH(1,(I_Miei_Rendiconti[[#This Row],[Column1.firstSubmission]]&gt;='Varie Tabelle'!$B$37:$B$51)*(I_Miei_Rendiconti[[#This Row],[Column1.firstSubmission]]&lt;'Varie Tabelle'!$C$37:$C$51),0),1)</f>
        <v>Finestra 2</v>
      </c>
      <c r="AF164" s="109">
        <f>INDEX('Varie Tabelle'!$A$37:$C$51,MATCH('MY-REPORT-MAIN'!AE164,'Varie Tabelle'!$A$37:$A$51,0),2)</f>
        <v>45352</v>
      </c>
      <c r="AG164" s="109">
        <f>INDEX('Partner data'!DG:DR,MATCH(I_Miei_Rendiconti[[#This Row],[Column1.partnerId]],'Partner data'!DG:DG,0),12)</f>
        <v>45170</v>
      </c>
      <c r="AH164" s="115">
        <f t="shared" si="4"/>
        <v>5.9848733969089114</v>
      </c>
      <c r="AI164" t="str" cm="1">
        <f t="array" ref="AI164">INDEX('Varie Tabelle'!$A$12:$C$22,MATCH(1,('MY-REPORT-MAIN'!AH164&gt;='Varie Tabelle'!$B$12:$B$22)*('MY-REPORT-MAIN'!AH164&lt;='Varie Tabelle'!$C$12:$C$22),0),1)</f>
        <v>Periodo-1</v>
      </c>
      <c r="AJ164" s="14">
        <f>INDEX('Partner data'!A:EC,MATCH(I_Miei_Rendiconti[[#This Row],[Column1.partnerId]],'Partner data'!DG:DG,0),MATCH('MY-REPORT-MAIN'!AI164,'Partner data'!$2:$2,0))</f>
        <v>16094</v>
      </c>
      <c r="AK164" s="10">
        <f>SUMIFS($U$2:U164,$C$2:C164,I_Miei_Rendiconti[[#This Row],[Column1.partnerId]])-AJ164</f>
        <v>-2849.17</v>
      </c>
      <c r="AL164" s="16">
        <f>IFERROR(1-(I_Miei_Rendiconti[[#This Row],[Column1.totalAfterSubmitted]]/AJ164),0)</f>
        <v>0.17703305579719153</v>
      </c>
      <c r="AM164" s="14">
        <f>INDEX('Partner data'!A:EB,MATCH(I_Miei_Rendiconti[[#This Row],[Column1.partnerId]],'Partner data'!DG:DG,0),44)</f>
        <v>119999.34</v>
      </c>
      <c r="AN164" s="14">
        <f>SUMIFS(ListOfExpenditure!AP:AP,ListOfExpenditure!AJ:AJ,I_Miei_Rendiconti[[#This Row],[Column1.id]])</f>
        <v>0</v>
      </c>
      <c r="AO164" s="148">
        <f>SUMIFS(ReportSubmittedBL!W:W,ReportSubmittedBL!D:D,I_Miei_Rendiconti[[#This Row],[Column1.id]])</f>
        <v>12</v>
      </c>
      <c r="AP164" s="155" cm="1">
        <f t="array" ref="AP164">INDEX('Weight tables'!$A$32:$C$36,MATCH(1,('MY-REPORT-MAIN'!AO164&gt;='Weight tables'!$B$32:$B$36)*('MY-REPORT-MAIN'!AO164&lt;='Weight tables'!$C$32:$C$36),0),1)</f>
        <v>8.4</v>
      </c>
      <c r="AQ164" s="155">
        <f>INDEX('Weight tables'!$A$39:$B$41,MATCH(I_Miei_Rendiconti[[#This Row],[Previouse Report checked?yes/no]],'Weight tables'!$B$39:$B$41,0),1)</f>
        <v>8.4</v>
      </c>
      <c r="AR164" s="155" cm="1">
        <f t="array" ref="AR164">IF(I_Miei_Rendiconti[[#This Row],[Sum of errors in previous report ]]="NON PERTINENTE",0,INDEX('Weight tables'!$A$43:$C$46,MATCH(1,(I_Miei_Rendiconti[[#This Row],[Sum of errors in previous report ]]&gt;='Weight tables'!$B$43:$B$46)*(I_Miei_Rendiconti[[#This Row],[Sum of errors in previous report ]]&lt;='Weight tables'!$C$43:$C$46),0),1))</f>
        <v>0</v>
      </c>
      <c r="AS164" s="155" cm="1">
        <f t="array" ref="AS164">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64" s="155" cm="1">
        <f t="array" ref="AT164">INDEX('Weight tables'!$A$56:$C$65,MATCH(1,('MY-REPORT-MAIN'!U164&gt;='Weight tables'!$B$56:$B$65)*('MY-REPORT-MAIN'!U164&lt;='Weight tables'!$C$56:$C$65),0),1)</f>
        <v>1</v>
      </c>
      <c r="AU164" s="155" cm="1">
        <f t="array" ref="AU164">INDEX('Weight tables'!$A$68:$C$71,MATCH(1,('MY-REPORT-MAIN'!AL164&gt;='Weight tables'!$B$68:$B$71)*('MY-REPORT-MAIN'!AL164&lt;='Weight tables'!$C$68:$C$71),0),1)</f>
        <v>1</v>
      </c>
      <c r="AV164" s="155" cm="1">
        <f t="array" ref="AV164">INDEX('Weight tables'!$A$74:$C$78,MATCH(1,('MY-REPORT-MAIN'!AN164&gt;='Weight tables'!$B$74:$B$78)*('MY-REPORT-MAIN'!AN164&lt;='Weight tables'!$C$74:$C$78),0),1)</f>
        <v>0</v>
      </c>
      <c r="AW164" s="16">
        <f>IF(I_Miei_Rendiconti[[#This Row],[Column1.totalAfterSubmitted]]/AM164&gt;50%,"Checked",0)</f>
        <v>0</v>
      </c>
      <c r="AX164" s="155">
        <f t="shared" si="6"/>
        <v>18.8</v>
      </c>
      <c r="AY164" s="155" t="str">
        <f>INDEX('Partner data'!A:EB,MATCH(I_Miei_Rendiconti[[#This Row],[Column1.partnerId]],'Partner data'!DG:DG,0),92)</f>
        <v>Slovenija (SI)</v>
      </c>
    </row>
    <row r="165" spans="1:58" ht="30" x14ac:dyDescent="0.25">
      <c r="A165" s="79">
        <v>343</v>
      </c>
      <c r="B165" s="79">
        <v>68</v>
      </c>
      <c r="C165" s="79">
        <v>189</v>
      </c>
      <c r="D165" s="79" t="s">
        <v>1774</v>
      </c>
      <c r="E165" s="79" t="s">
        <v>264</v>
      </c>
      <c r="F165" s="79">
        <v>1</v>
      </c>
      <c r="G165" s="206" t="s">
        <v>330</v>
      </c>
      <c r="H165" s="79">
        <v>1</v>
      </c>
      <c r="I165" s="79" t="s">
        <v>4339</v>
      </c>
      <c r="J165" s="79" t="s">
        <v>593</v>
      </c>
      <c r="K165" s="208">
        <v>45387.481353761577</v>
      </c>
      <c r="M165" s="208">
        <v>45462.535788055553</v>
      </c>
      <c r="N165" s="79" t="s">
        <v>4541</v>
      </c>
      <c r="O165" s="79" t="s">
        <v>4347</v>
      </c>
      <c r="P165" s="79" t="s">
        <v>4348</v>
      </c>
      <c r="Q165" s="79" t="s">
        <v>4343</v>
      </c>
      <c r="R165" s="79">
        <v>35</v>
      </c>
      <c r="S165" s="79">
        <v>1</v>
      </c>
      <c r="T165" s="81">
        <v>0</v>
      </c>
      <c r="U165" s="81">
        <v>9000</v>
      </c>
      <c r="V165" s="79" t="str">
        <f>INDEX(pARTNER[#All],MATCH(I_Miei_Rendiconti[[#This Row],[Column1.partnerId]],pARTNER[[#All],[Value.partnerSummary.id]],0),2)</f>
        <v>Primis Plus</v>
      </c>
      <c r="W165" s="79" t="b">
        <v>0</v>
      </c>
      <c r="X165" s="82">
        <f>I_Miei_Rendiconti[[#This Row],[Column1.totalAfterSubmitted]]-I_Miei_Rendiconti[[#This Row],[Column1.totalEligibleAfterControl]]</f>
        <v>9000</v>
      </c>
      <c r="Y165" s="80">
        <f>IF(I_Miei_Rendiconti[[#This Row],[Column1.status]]="Certified",IFERROR(I_Miei_Rendiconti[[#This Row],[Financial corection]]/I_Miei_Rendiconti[[#This Row],[Column1.totalAfterSubmitted]],0),"Rendiconto da certificare")</f>
        <v>1</v>
      </c>
      <c r="Z165" s="207" t="str">
        <f>IF(I_Miei_Rendiconti[[#This Row],[Column1.status]]&lt;&gt;"Certified",INDEX('Partner data'!DG:DQ,MATCH(I_Miei_Rendiconti[[#This Row],[Column1.partnerId]],'Partner data'!DG:DG,0),13),"Rendiconto CONVALIDATO")</f>
        <v>Rendiconto CONVALIDATO</v>
      </c>
      <c r="AA165"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65" s="81" t="str">
        <f>IF(OR(I_Miei_Rendiconti[[#This Row],[N. previouse validated report ]]="Rendiconto CONVALIDATO",I_Miei_Rendiconti[[#This Row],[N. previouse validated report ]]="NON è stato convalidato ancora nessun rendiconto"),"NON PERTINENTE","fai la fromula")</f>
        <v>NON PERTINENTE</v>
      </c>
      <c r="AC165"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65" s="2">
        <f>INDEX('Partner data'!DG:DJ,MATCH(I_Miei_Rendiconti[[#This Row],[Column1.partnerId]],'Partner data'!DG:DG,0),3)</f>
        <v>1</v>
      </c>
      <c r="AE165" t="str" cm="1">
        <f t="array" ref="AE165">INDEX('Varie Tabelle'!$A$37:$C$51,MATCH(1,(I_Miei_Rendiconti[[#This Row],[Column1.firstSubmission]]&gt;='Varie Tabelle'!$B$37:$B$51)*(I_Miei_Rendiconti[[#This Row],[Column1.firstSubmission]]&lt;'Varie Tabelle'!$C$37:$C$51),0),1)</f>
        <v>Finestra 2</v>
      </c>
      <c r="AF165" s="109">
        <f>INDEX('Varie Tabelle'!$A$37:$C$51,MATCH('MY-REPORT-MAIN'!AE165,'Varie Tabelle'!$A$37:$A$51,0),2)</f>
        <v>45352</v>
      </c>
      <c r="AG165" s="109">
        <f>INDEX('Partner data'!DG:DR,MATCH(I_Miei_Rendiconti[[#This Row],[Column1.partnerId]],'Partner data'!DG:DG,0),12)</f>
        <v>45170</v>
      </c>
      <c r="AH165" s="115">
        <f t="shared" si="4"/>
        <v>5.9848733969089114</v>
      </c>
      <c r="AI165" t="str" cm="1">
        <f t="array" ref="AI165">INDEX('Varie Tabelle'!$A$12:$C$22,MATCH(1,('MY-REPORT-MAIN'!AH165&gt;='Varie Tabelle'!$B$12:$B$22)*('MY-REPORT-MAIN'!AH165&lt;='Varie Tabelle'!$C$12:$C$22),0),1)</f>
        <v>Periodo-1</v>
      </c>
      <c r="AJ165" s="14">
        <f>INDEX('Partner data'!A:EC,MATCH(I_Miei_Rendiconti[[#This Row],[Column1.partnerId]],'Partner data'!DG:DG,0),MATCH('MY-REPORT-MAIN'!AI165,'Partner data'!$2:$2,0))</f>
        <v>32769.599999999999</v>
      </c>
      <c r="AK165" s="10">
        <f>SUMIFS($U$2:U165,$C$2:C165,I_Miei_Rendiconti[[#This Row],[Column1.partnerId]])-AJ165</f>
        <v>-23769.599999999999</v>
      </c>
      <c r="AL165" s="16">
        <f>IFERROR(1-(I_Miei_Rendiconti[[#This Row],[Column1.totalAfterSubmitted]]/AJ165),0)</f>
        <v>0.72535520726527025</v>
      </c>
      <c r="AM165" s="14">
        <f>INDEX('Partner data'!A:EB,MATCH(I_Miei_Rendiconti[[#This Row],[Column1.partnerId]],'Partner data'!DG:DG,0),44)</f>
        <v>140965.84</v>
      </c>
      <c r="AN165" s="14">
        <f>SUMIFS(ListOfExpenditure!AP:AP,ListOfExpenditure!AJ:AJ,I_Miei_Rendiconti[[#This Row],[Column1.id]])</f>
        <v>0</v>
      </c>
      <c r="AO165" s="148">
        <f>SUMIFS(ReportSubmittedBL!W:W,ReportSubmittedBL!D:D,I_Miei_Rendiconti[[#This Row],[Column1.id]])</f>
        <v>0</v>
      </c>
      <c r="AP165" s="155" cm="1">
        <f t="array" ref="AP165">INDEX('Weight tables'!$A$32:$C$36,MATCH(1,('MY-REPORT-MAIN'!AO165&gt;='Weight tables'!$B$32:$B$36)*('MY-REPORT-MAIN'!AO165&lt;='Weight tables'!$C$32:$C$36),0),1)</f>
        <v>0</v>
      </c>
      <c r="AQ165" s="155">
        <f>INDEX('Weight tables'!$A$39:$B$41,MATCH(I_Miei_Rendiconti[[#This Row],[Previouse Report checked?yes/no]],'Weight tables'!$B$39:$B$41,0),1)</f>
        <v>8.4</v>
      </c>
      <c r="AR165" s="155" cm="1">
        <f t="array" ref="AR165">IF(I_Miei_Rendiconti[[#This Row],[Sum of errors in previous report ]]="NON PERTINENTE",0,INDEX('Weight tables'!$A$43:$C$46,MATCH(1,(I_Miei_Rendiconti[[#This Row],[Sum of errors in previous report ]]&gt;='Weight tables'!$B$43:$B$46)*(I_Miei_Rendiconti[[#This Row],[Sum of errors in previous report ]]&lt;='Weight tables'!$C$43:$C$46),0),1))</f>
        <v>0</v>
      </c>
      <c r="AS165" s="155" cm="1">
        <f t="array" ref="AS165">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65" s="155" cm="1">
        <f t="array" ref="AT165">INDEX('Weight tables'!$A$56:$C$65,MATCH(1,('MY-REPORT-MAIN'!U165&gt;='Weight tables'!$B$56:$B$65)*('MY-REPORT-MAIN'!U165&lt;='Weight tables'!$C$56:$C$65),0),1)</f>
        <v>0</v>
      </c>
      <c r="AU165" s="155" cm="1">
        <f t="array" ref="AU165">INDEX('Weight tables'!$A$68:$C$71,MATCH(1,('MY-REPORT-MAIN'!AL165&gt;='Weight tables'!$B$68:$B$71)*('MY-REPORT-MAIN'!AL165&lt;='Weight tables'!$C$68:$C$71),0),1)</f>
        <v>2</v>
      </c>
      <c r="AV165" s="155" cm="1">
        <f t="array" ref="AV165">INDEX('Weight tables'!$A$74:$C$78,MATCH(1,('MY-REPORT-MAIN'!AN165&gt;='Weight tables'!$B$74:$B$78)*('MY-REPORT-MAIN'!AN165&lt;='Weight tables'!$C$74:$C$78),0),1)</f>
        <v>0</v>
      </c>
      <c r="AW165" s="16">
        <f>IF(I_Miei_Rendiconti[[#This Row],[Column1.totalAfterSubmitted]]/AM165&gt;50%,"Checked",0)</f>
        <v>0</v>
      </c>
      <c r="AX165" s="155">
        <f t="shared" si="6"/>
        <v>10.4</v>
      </c>
      <c r="AY165" s="155" t="str">
        <f>INDEX('Partner data'!A:EB,MATCH(I_Miei_Rendiconti[[#This Row],[Column1.partnerId]],'Partner data'!DG:DG,0),92)</f>
        <v>Slovenija (SI)</v>
      </c>
    </row>
    <row r="166" spans="1:58" ht="30" x14ac:dyDescent="0.25">
      <c r="A166" s="79">
        <v>280</v>
      </c>
      <c r="B166" s="79">
        <v>7</v>
      </c>
      <c r="C166" s="79">
        <v>28</v>
      </c>
      <c r="D166" s="79" t="s">
        <v>488</v>
      </c>
      <c r="E166" s="79" t="s">
        <v>264</v>
      </c>
      <c r="F166" s="79">
        <v>1</v>
      </c>
      <c r="G166" s="206" t="s">
        <v>263</v>
      </c>
      <c r="H166" s="79">
        <v>1</v>
      </c>
      <c r="I166" s="79" t="s">
        <v>4339</v>
      </c>
      <c r="J166" s="79" t="s">
        <v>1043</v>
      </c>
      <c r="K166" s="208">
        <v>45387.482230451387</v>
      </c>
      <c r="M166" s="208">
        <v>45469.672937384261</v>
      </c>
      <c r="N166" s="79" t="s">
        <v>4506</v>
      </c>
      <c r="O166" s="79" t="s">
        <v>4363</v>
      </c>
      <c r="P166" s="79" t="s">
        <v>4348</v>
      </c>
      <c r="Q166" s="79" t="s">
        <v>4343</v>
      </c>
      <c r="T166" s="81">
        <v>39629.120000000003</v>
      </c>
      <c r="U166" s="81">
        <v>39629.120000000003</v>
      </c>
      <c r="V166" s="79" t="str">
        <f>INDEX(pARTNER[#All],MATCH(I_Miei_Rendiconti[[#This Row],[Column1.partnerId]],pARTNER[[#All],[Value.partnerSummary.id]],0),2)</f>
        <v>CrossCare 2</v>
      </c>
      <c r="W166" s="79" t="b">
        <v>0</v>
      </c>
      <c r="X166" s="82">
        <f>I_Miei_Rendiconti[[#This Row],[Column1.totalAfterSubmitted]]-I_Miei_Rendiconti[[#This Row],[Column1.totalEligibleAfterControl]]</f>
        <v>0</v>
      </c>
      <c r="Y166" s="80">
        <f>IF(I_Miei_Rendiconti[[#This Row],[Column1.status]]="Certified",IFERROR(I_Miei_Rendiconti[[#This Row],[Financial corection]]/I_Miei_Rendiconti[[#This Row],[Column1.totalAfterSubmitted]],0),"Rendiconto da certificare")</f>
        <v>0</v>
      </c>
      <c r="Z166" s="207" t="str">
        <f>IF(I_Miei_Rendiconti[[#This Row],[Column1.status]]&lt;&gt;"Certified",INDEX('Partner data'!DG:DQ,MATCH(I_Miei_Rendiconti[[#This Row],[Column1.partnerId]],'Partner data'!DG:DG,0),13),"Rendiconto CONVALIDATO")</f>
        <v>Rendiconto CONVALIDATO</v>
      </c>
      <c r="AA166"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66" s="81" t="str">
        <f>IF(OR(I_Miei_Rendiconti[[#This Row],[N. previouse validated report ]]="Rendiconto CONVALIDATO",I_Miei_Rendiconti[[#This Row],[N. previouse validated report ]]="NON è stato convalidato ancora nessun rendiconto"),"NON PERTINENTE","fai la fromula")</f>
        <v>NON PERTINENTE</v>
      </c>
      <c r="AC166"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66" s="2">
        <f>INDEX('Partner data'!DG:DJ,MATCH(I_Miei_Rendiconti[[#This Row],[Column1.partnerId]],'Partner data'!DG:DG,0),3)</f>
        <v>1</v>
      </c>
      <c r="AE166" t="str" cm="1">
        <f t="array" ref="AE166">INDEX('Varie Tabelle'!$A$37:$C$51,MATCH(1,(I_Miei_Rendiconti[[#This Row],[Column1.firstSubmission]]&gt;='Varie Tabelle'!$B$37:$B$51)*(I_Miei_Rendiconti[[#This Row],[Column1.firstSubmission]]&lt;'Varie Tabelle'!$C$37:$C$51),0),1)</f>
        <v>Finestra 2</v>
      </c>
      <c r="AF166" s="109">
        <f>INDEX('Varie Tabelle'!$A$37:$C$51,MATCH('MY-REPORT-MAIN'!AE166,'Varie Tabelle'!$A$37:$A$51,0),2)</f>
        <v>45352</v>
      </c>
      <c r="AG166" s="109">
        <f>INDEX('Partner data'!DG:DR,MATCH(I_Miei_Rendiconti[[#This Row],[Column1.partnerId]],'Partner data'!DG:DG,0),12)</f>
        <v>45200</v>
      </c>
      <c r="AH166" s="115">
        <f t="shared" si="4"/>
        <v>4.9983558040118385</v>
      </c>
      <c r="AI166" t="str" cm="1">
        <f t="array" ref="AI166">INDEX('Varie Tabelle'!$A$12:$C$22,MATCH(1,('MY-REPORT-MAIN'!AH166&gt;='Varie Tabelle'!$B$12:$B$22)*('MY-REPORT-MAIN'!AH166&lt;='Varie Tabelle'!$C$12:$C$22),0),1)</f>
        <v>Periodo-1</v>
      </c>
      <c r="AJ166" s="14">
        <f>INDEX('Partner data'!A:EC,MATCH(I_Miei_Rendiconti[[#This Row],[Column1.partnerId]],'Partner data'!DG:DG,0),MATCH('MY-REPORT-MAIN'!AI166,'Partner data'!$2:$2,0))</f>
        <v>53312.09</v>
      </c>
      <c r="AK166" s="10">
        <f>SUMIFS($U$2:U166,$C$2:C166,I_Miei_Rendiconti[[#This Row],[Column1.partnerId]])-AJ166</f>
        <v>-13682.969999999994</v>
      </c>
      <c r="AL166" s="16">
        <f>IFERROR(1-(I_Miei_Rendiconti[[#This Row],[Column1.totalAfterSubmitted]]/AJ166),0)</f>
        <v>0.25665791755678669</v>
      </c>
      <c r="AM166" s="14">
        <f>INDEX('Partner data'!A:EB,MATCH(I_Miei_Rendiconti[[#This Row],[Column1.partnerId]],'Partner data'!DG:DG,0),44)</f>
        <v>193926.88</v>
      </c>
      <c r="AN166" s="14">
        <f>SUMIFS(ListOfExpenditure!AP:AP,ListOfExpenditure!AJ:AJ,I_Miei_Rendiconti[[#This Row],[Column1.id]])</f>
        <v>1</v>
      </c>
      <c r="AO166" s="148">
        <f>SUMIFS(ReportSubmittedBL!W:W,ReportSubmittedBL!D:D,I_Miei_Rendiconti[[#This Row],[Column1.id]])</f>
        <v>16</v>
      </c>
      <c r="AP166" s="155" cm="1">
        <f t="array" ref="AP166">INDEX('Weight tables'!$A$32:$C$36,MATCH(1,('MY-REPORT-MAIN'!AO166&gt;='Weight tables'!$B$32:$B$36)*('MY-REPORT-MAIN'!AO166&lt;='Weight tables'!$C$32:$C$36),0),1)</f>
        <v>8.4</v>
      </c>
      <c r="AQ166" s="155">
        <f>INDEX('Weight tables'!$A$39:$B$41,MATCH(I_Miei_Rendiconti[[#This Row],[Previouse Report checked?yes/no]],'Weight tables'!$B$39:$B$41,0),1)</f>
        <v>8.4</v>
      </c>
      <c r="AR166" s="155" cm="1">
        <f t="array" ref="AR166">IF(I_Miei_Rendiconti[[#This Row],[Sum of errors in previous report ]]="NON PERTINENTE",0,INDEX('Weight tables'!$A$43:$C$46,MATCH(1,(I_Miei_Rendiconti[[#This Row],[Sum of errors in previous report ]]&gt;='Weight tables'!$B$43:$B$46)*(I_Miei_Rendiconti[[#This Row],[Sum of errors in previous report ]]&lt;='Weight tables'!$C$43:$C$46),0),1))</f>
        <v>0</v>
      </c>
      <c r="AS166" s="155" cm="1">
        <f t="array" ref="AS166">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66" s="155" cm="1">
        <f t="array" ref="AT166">INDEX('Weight tables'!$A$56:$C$65,MATCH(1,('MY-REPORT-MAIN'!U166&gt;='Weight tables'!$B$56:$B$65)*('MY-REPORT-MAIN'!U166&lt;='Weight tables'!$C$56:$C$65),0),1)</f>
        <v>3</v>
      </c>
      <c r="AU166" s="155" cm="1">
        <f t="array" ref="AU166">INDEX('Weight tables'!$A$68:$C$71,MATCH(1,('MY-REPORT-MAIN'!AL166&gt;='Weight tables'!$B$68:$B$71)*('MY-REPORT-MAIN'!AL166&lt;='Weight tables'!$C$68:$C$71),0),1)</f>
        <v>2</v>
      </c>
      <c r="AV166" s="155" cm="1">
        <f t="array" ref="AV166">INDEX('Weight tables'!$A$74:$C$78,MATCH(1,('MY-REPORT-MAIN'!AN166&gt;='Weight tables'!$B$74:$B$78)*('MY-REPORT-MAIN'!AN166&lt;='Weight tables'!$C$74:$C$78),0),1)</f>
        <v>0</v>
      </c>
      <c r="AW166" s="16">
        <f>IF(I_Miei_Rendiconti[[#This Row],[Column1.totalAfterSubmitted]]/AM166&gt;50%,"Checked",0)</f>
        <v>0</v>
      </c>
      <c r="AX166" s="155">
        <f t="shared" si="6"/>
        <v>21.8</v>
      </c>
      <c r="AY166" s="155" t="str">
        <f>INDEX('Partner data'!A:EB,MATCH(I_Miei_Rendiconti[[#This Row],[Column1.partnerId]],'Partner data'!DG:DG,0),92)</f>
        <v>Italia (IT)</v>
      </c>
    </row>
    <row r="167" spans="1:58" ht="30" x14ac:dyDescent="0.25">
      <c r="A167" s="79">
        <v>323</v>
      </c>
      <c r="B167" s="79">
        <v>7</v>
      </c>
      <c r="C167" s="79">
        <v>29</v>
      </c>
      <c r="D167" s="79" t="s">
        <v>488</v>
      </c>
      <c r="E167" s="79" t="s">
        <v>253</v>
      </c>
      <c r="F167" s="79">
        <v>2</v>
      </c>
      <c r="G167" s="206" t="s">
        <v>252</v>
      </c>
      <c r="H167" s="79">
        <v>1</v>
      </c>
      <c r="I167" s="79" t="s">
        <v>4339</v>
      </c>
      <c r="J167" s="79" t="s">
        <v>1043</v>
      </c>
      <c r="K167" s="208">
        <v>45387.482402280089</v>
      </c>
      <c r="M167" s="208">
        <v>45470.699690729169</v>
      </c>
      <c r="N167" s="79" t="s">
        <v>4534</v>
      </c>
      <c r="O167" s="79" t="s">
        <v>4363</v>
      </c>
      <c r="P167" s="79" t="s">
        <v>4348</v>
      </c>
      <c r="Q167" s="79" t="s">
        <v>4343</v>
      </c>
      <c r="T167" s="81">
        <v>11717.93</v>
      </c>
      <c r="U167" s="81">
        <v>11717.93</v>
      </c>
      <c r="V167" s="79" t="str">
        <f>INDEX(pARTNER[#All],MATCH(I_Miei_Rendiconti[[#This Row],[Column1.partnerId]],pARTNER[[#All],[Value.partnerSummary.id]],0),2)</f>
        <v>CrossCare 2</v>
      </c>
      <c r="W167" s="79" t="b">
        <v>0</v>
      </c>
      <c r="X167" s="82">
        <f>I_Miei_Rendiconti[[#This Row],[Column1.totalAfterSubmitted]]-I_Miei_Rendiconti[[#This Row],[Column1.totalEligibleAfterControl]]</f>
        <v>0</v>
      </c>
      <c r="Y167" s="80">
        <f>IF(I_Miei_Rendiconti[[#This Row],[Column1.status]]="Certified",IFERROR(I_Miei_Rendiconti[[#This Row],[Financial corection]]/I_Miei_Rendiconti[[#This Row],[Column1.totalAfterSubmitted]],0),"Rendiconto da certificare")</f>
        <v>0</v>
      </c>
      <c r="Z167" s="207" t="str">
        <f>IF(I_Miei_Rendiconti[[#This Row],[Column1.status]]&lt;&gt;"Certified",INDEX('Partner data'!DG:DQ,MATCH(I_Miei_Rendiconti[[#This Row],[Column1.partnerId]],'Partner data'!DG:DG,0),13),"Rendiconto CONVALIDATO")</f>
        <v>Rendiconto CONVALIDATO</v>
      </c>
      <c r="AA167"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67" s="81" t="str">
        <f>IF(OR(I_Miei_Rendiconti[[#This Row],[N. previouse validated report ]]="Rendiconto CONVALIDATO",I_Miei_Rendiconti[[#This Row],[N. previouse validated report ]]="NON è stato convalidato ancora nessun rendiconto"),"NON PERTINENTE","fai la fromula")</f>
        <v>NON PERTINENTE</v>
      </c>
      <c r="AC167"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67" s="2">
        <f>INDEX('Partner data'!DG:DJ,MATCH(I_Miei_Rendiconti[[#This Row],[Column1.partnerId]],'Partner data'!DG:DG,0),3)</f>
        <v>1</v>
      </c>
      <c r="AE167" t="str" cm="1">
        <f t="array" ref="AE167">INDEX('Varie Tabelle'!$A$37:$C$51,MATCH(1,(I_Miei_Rendiconti[[#This Row],[Column1.firstSubmission]]&gt;='Varie Tabelle'!$B$37:$B$51)*(I_Miei_Rendiconti[[#This Row],[Column1.firstSubmission]]&lt;'Varie Tabelle'!$C$37:$C$51),0),1)</f>
        <v>Finestra 2</v>
      </c>
      <c r="AF167" s="109">
        <f>INDEX('Varie Tabelle'!$A$37:$C$51,MATCH('MY-REPORT-MAIN'!AE167,'Varie Tabelle'!$A$37:$A$51,0),2)</f>
        <v>45352</v>
      </c>
      <c r="AG167" s="109">
        <f>INDEX('Partner data'!DG:DR,MATCH(I_Miei_Rendiconti[[#This Row],[Column1.partnerId]],'Partner data'!DG:DG,0),12)</f>
        <v>45200</v>
      </c>
      <c r="AH167" s="115">
        <f t="shared" si="4"/>
        <v>4.9983558040118385</v>
      </c>
      <c r="AI167" t="str" cm="1">
        <f t="array" ref="AI167">INDEX('Varie Tabelle'!$A$12:$C$22,MATCH(1,('MY-REPORT-MAIN'!AH167&gt;='Varie Tabelle'!$B$12:$B$22)*('MY-REPORT-MAIN'!AH167&lt;='Varie Tabelle'!$C$12:$C$22),0),1)</f>
        <v>Periodo-1</v>
      </c>
      <c r="AJ167" s="14">
        <f>INDEX('Partner data'!A:EC,MATCH(I_Miei_Rendiconti[[#This Row],[Column1.partnerId]],'Partner data'!DG:DG,0),MATCH('MY-REPORT-MAIN'!AI167,'Partner data'!$2:$2,0))</f>
        <v>17456</v>
      </c>
      <c r="AK167" s="10">
        <f>SUMIFS($U$2:U167,$C$2:C167,I_Miei_Rendiconti[[#This Row],[Column1.partnerId]])-AJ167</f>
        <v>-5738.07</v>
      </c>
      <c r="AL167" s="16">
        <f>IFERROR(1-(I_Miei_Rendiconti[[#This Row],[Column1.totalAfterSubmitted]]/AJ167),0)</f>
        <v>0.32871620073327223</v>
      </c>
      <c r="AM167" s="14">
        <f>INDEX('Partner data'!A:EB,MATCH(I_Miei_Rendiconti[[#This Row],[Column1.partnerId]],'Partner data'!DG:DG,0),44)</f>
        <v>80151.399999999994</v>
      </c>
      <c r="AN167" s="14">
        <f>SUMIFS(ListOfExpenditure!AP:AP,ListOfExpenditure!AJ:AJ,I_Miei_Rendiconti[[#This Row],[Column1.id]])</f>
        <v>0</v>
      </c>
      <c r="AO167" s="148">
        <f>SUMIFS(ReportSubmittedBL!W:W,ReportSubmittedBL!D:D,I_Miei_Rendiconti[[#This Row],[Column1.id]])</f>
        <v>10</v>
      </c>
      <c r="AP167" s="155" cm="1">
        <f t="array" ref="AP167">INDEX('Weight tables'!$A$32:$C$36,MATCH(1,('MY-REPORT-MAIN'!AO167&gt;='Weight tables'!$B$32:$B$36)*('MY-REPORT-MAIN'!AO167&lt;='Weight tables'!$C$32:$C$36),0),1)</f>
        <v>8.4</v>
      </c>
      <c r="AQ167" s="155">
        <f>INDEX('Weight tables'!$A$39:$B$41,MATCH(I_Miei_Rendiconti[[#This Row],[Previouse Report checked?yes/no]],'Weight tables'!$B$39:$B$41,0),1)</f>
        <v>8.4</v>
      </c>
      <c r="AR167" s="155" cm="1">
        <f t="array" ref="AR167">IF(I_Miei_Rendiconti[[#This Row],[Sum of errors in previous report ]]="NON PERTINENTE",0,INDEX('Weight tables'!$A$43:$C$46,MATCH(1,(I_Miei_Rendiconti[[#This Row],[Sum of errors in previous report ]]&gt;='Weight tables'!$B$43:$B$46)*(I_Miei_Rendiconti[[#This Row],[Sum of errors in previous report ]]&lt;='Weight tables'!$C$43:$C$46),0),1))</f>
        <v>0</v>
      </c>
      <c r="AS167" s="155" cm="1">
        <f t="array" ref="AS167">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67" s="155" cm="1">
        <f t="array" ref="AT167">INDEX('Weight tables'!$A$56:$C$65,MATCH(1,('MY-REPORT-MAIN'!U167&gt;='Weight tables'!$B$56:$B$65)*('MY-REPORT-MAIN'!U167&lt;='Weight tables'!$C$56:$C$65),0),1)</f>
        <v>1</v>
      </c>
      <c r="AU167" s="155" cm="1">
        <f t="array" ref="AU167">INDEX('Weight tables'!$A$68:$C$71,MATCH(1,('MY-REPORT-MAIN'!AL167&gt;='Weight tables'!$B$68:$B$71)*('MY-REPORT-MAIN'!AL167&lt;='Weight tables'!$C$68:$C$71),0),1)</f>
        <v>2</v>
      </c>
      <c r="AV167" s="155" cm="1">
        <f t="array" ref="AV167">INDEX('Weight tables'!$A$74:$C$78,MATCH(1,('MY-REPORT-MAIN'!AN167&gt;='Weight tables'!$B$74:$B$78)*('MY-REPORT-MAIN'!AN167&lt;='Weight tables'!$C$74:$C$78),0),1)</f>
        <v>0</v>
      </c>
      <c r="AW167" s="16">
        <f>IF(I_Miei_Rendiconti[[#This Row],[Column1.totalAfterSubmitted]]/AM167&gt;50%,"Checked",0)</f>
        <v>0</v>
      </c>
      <c r="AX167" s="155">
        <f t="shared" si="6"/>
        <v>19.8</v>
      </c>
      <c r="AY167" s="155" t="str">
        <f>INDEX('Partner data'!A:EB,MATCH(I_Miei_Rendiconti[[#This Row],[Column1.partnerId]],'Partner data'!DG:DG,0),92)</f>
        <v>Italia (IT)</v>
      </c>
    </row>
    <row r="168" spans="1:58" ht="30" x14ac:dyDescent="0.25">
      <c r="A168" s="79">
        <v>271</v>
      </c>
      <c r="B168" s="79">
        <v>7</v>
      </c>
      <c r="C168" s="79">
        <v>30</v>
      </c>
      <c r="D168" s="79" t="s">
        <v>488</v>
      </c>
      <c r="E168" s="79" t="s">
        <v>253</v>
      </c>
      <c r="F168" s="79">
        <v>3</v>
      </c>
      <c r="G168" s="206" t="s">
        <v>262</v>
      </c>
      <c r="H168" s="79">
        <v>1</v>
      </c>
      <c r="I168" s="79" t="s">
        <v>4339</v>
      </c>
      <c r="J168" s="79" t="s">
        <v>1043</v>
      </c>
      <c r="K168" s="208">
        <v>45387.482545254628</v>
      </c>
      <c r="M168" s="208">
        <v>45475.497756932869</v>
      </c>
      <c r="N168" s="79" t="s">
        <v>4499</v>
      </c>
      <c r="O168" s="79" t="s">
        <v>4363</v>
      </c>
      <c r="P168" s="79" t="s">
        <v>4348</v>
      </c>
      <c r="Q168" s="79" t="s">
        <v>4343</v>
      </c>
      <c r="T168" s="81">
        <v>7531.98</v>
      </c>
      <c r="U168" s="81">
        <v>8990.65</v>
      </c>
      <c r="V168" s="79" t="str">
        <f>INDEX(pARTNER[#All],MATCH(I_Miei_Rendiconti[[#This Row],[Column1.partnerId]],pARTNER[[#All],[Value.partnerSummary.id]],0),2)</f>
        <v>CrossCare 2</v>
      </c>
      <c r="W168" s="79" t="b">
        <v>0</v>
      </c>
      <c r="X168" s="82">
        <f>I_Miei_Rendiconti[[#This Row],[Column1.totalAfterSubmitted]]-I_Miei_Rendiconti[[#This Row],[Column1.totalEligibleAfterControl]]</f>
        <v>1458.67</v>
      </c>
      <c r="Y168" s="80">
        <f>IF(I_Miei_Rendiconti[[#This Row],[Column1.status]]="Certified",IFERROR(I_Miei_Rendiconti[[#This Row],[Financial corection]]/I_Miei_Rendiconti[[#This Row],[Column1.totalAfterSubmitted]],0),"Rendiconto da certificare")</f>
        <v>0.16224299689121477</v>
      </c>
      <c r="Z168" s="207" t="str">
        <f>IF(I_Miei_Rendiconti[[#This Row],[Column1.status]]&lt;&gt;"Certified",INDEX('Partner data'!DG:DQ,MATCH(I_Miei_Rendiconti[[#This Row],[Column1.partnerId]],'Partner data'!DG:DG,0),13),"Rendiconto CONVALIDATO")</f>
        <v>Rendiconto CONVALIDATO</v>
      </c>
      <c r="AA168"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68" s="81" t="str">
        <f>IF(OR(I_Miei_Rendiconti[[#This Row],[N. previouse validated report ]]="Rendiconto CONVALIDATO",I_Miei_Rendiconti[[#This Row],[N. previouse validated report ]]="NON è stato convalidato ancora nessun rendiconto"),"NON PERTINENTE","fai la fromula")</f>
        <v>NON PERTINENTE</v>
      </c>
      <c r="AC168"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68" s="2">
        <f>INDEX('Partner data'!DG:DJ,MATCH(I_Miei_Rendiconti[[#This Row],[Column1.partnerId]],'Partner data'!DG:DG,0),3)</f>
        <v>1</v>
      </c>
      <c r="AE168" t="str" cm="1">
        <f t="array" ref="AE168">INDEX('Varie Tabelle'!$A$37:$C$51,MATCH(1,(I_Miei_Rendiconti[[#This Row],[Column1.firstSubmission]]&gt;='Varie Tabelle'!$B$37:$B$51)*(I_Miei_Rendiconti[[#This Row],[Column1.firstSubmission]]&lt;'Varie Tabelle'!$C$37:$C$51),0),1)</f>
        <v>Finestra 2</v>
      </c>
      <c r="AF168" s="109">
        <f>INDEX('Varie Tabelle'!$A$37:$C$51,MATCH('MY-REPORT-MAIN'!AE168,'Varie Tabelle'!$A$37:$A$51,0),2)</f>
        <v>45352</v>
      </c>
      <c r="AG168" s="109">
        <f>INDEX('Partner data'!DG:DR,MATCH(I_Miei_Rendiconti[[#This Row],[Column1.partnerId]],'Partner data'!DG:DG,0),12)</f>
        <v>45200</v>
      </c>
      <c r="AH168" s="115">
        <f t="shared" si="4"/>
        <v>4.9983558040118385</v>
      </c>
      <c r="AI168" t="str" cm="1">
        <f t="array" ref="AI168">INDEX('Varie Tabelle'!$A$12:$C$22,MATCH(1,('MY-REPORT-MAIN'!AH168&gt;='Varie Tabelle'!$B$12:$B$22)*('MY-REPORT-MAIN'!AH168&lt;='Varie Tabelle'!$C$12:$C$22),0),1)</f>
        <v>Periodo-1</v>
      </c>
      <c r="AJ168" s="14">
        <f>INDEX('Partner data'!A:EC,MATCH(I_Miei_Rendiconti[[#This Row],[Column1.partnerId]],'Partner data'!DG:DG,0),MATCH('MY-REPORT-MAIN'!AI168,'Partner data'!$2:$2,0))</f>
        <v>35445.839999999997</v>
      </c>
      <c r="AK168" s="10">
        <f>SUMIFS($U$2:U168,$C$2:C168,I_Miei_Rendiconti[[#This Row],[Column1.partnerId]])-AJ168</f>
        <v>-26455.189999999995</v>
      </c>
      <c r="AL168" s="16">
        <f>IFERROR(1-(I_Miei_Rendiconti[[#This Row],[Column1.totalAfterSubmitted]]/AJ168),0)</f>
        <v>0.74635528456935996</v>
      </c>
      <c r="AM168" s="14">
        <f>INDEX('Partner data'!A:EB,MATCH(I_Miei_Rendiconti[[#This Row],[Column1.partnerId]],'Partner data'!DG:DG,0),44)</f>
        <v>88337.54</v>
      </c>
      <c r="AN168" s="14">
        <f>SUMIFS(ListOfExpenditure!AP:AP,ListOfExpenditure!AJ:AJ,I_Miei_Rendiconti[[#This Row],[Column1.id]])</f>
        <v>0</v>
      </c>
      <c r="AO168" s="148">
        <f>SUMIFS(ReportSubmittedBL!W:W,ReportSubmittedBL!D:D,I_Miei_Rendiconti[[#This Row],[Column1.id]])</f>
        <v>16</v>
      </c>
      <c r="AP168" s="155" cm="1">
        <f t="array" ref="AP168">INDEX('Weight tables'!$A$32:$C$36,MATCH(1,('MY-REPORT-MAIN'!AO168&gt;='Weight tables'!$B$32:$B$36)*('MY-REPORT-MAIN'!AO168&lt;='Weight tables'!$C$32:$C$36),0),1)</f>
        <v>8.4</v>
      </c>
      <c r="AQ168" s="155">
        <f>INDEX('Weight tables'!$A$39:$B$41,MATCH(I_Miei_Rendiconti[[#This Row],[Previouse Report checked?yes/no]],'Weight tables'!$B$39:$B$41,0),1)</f>
        <v>8.4</v>
      </c>
      <c r="AR168" s="155" cm="1">
        <f t="array" ref="AR168">IF(I_Miei_Rendiconti[[#This Row],[Sum of errors in previous report ]]="NON PERTINENTE",0,INDEX('Weight tables'!$A$43:$C$46,MATCH(1,(I_Miei_Rendiconti[[#This Row],[Sum of errors in previous report ]]&gt;='Weight tables'!$B$43:$B$46)*(I_Miei_Rendiconti[[#This Row],[Sum of errors in previous report ]]&lt;='Weight tables'!$C$43:$C$46),0),1))</f>
        <v>0</v>
      </c>
      <c r="AS168" s="155" cm="1">
        <f t="array" ref="AS168">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68" s="155" cm="1">
        <f t="array" ref="AT168">INDEX('Weight tables'!$A$56:$C$65,MATCH(1,('MY-REPORT-MAIN'!U168&gt;='Weight tables'!$B$56:$B$65)*('MY-REPORT-MAIN'!U168&lt;='Weight tables'!$C$56:$C$65),0),1)</f>
        <v>0</v>
      </c>
      <c r="AU168" s="155" cm="1">
        <f t="array" ref="AU168">INDEX('Weight tables'!$A$68:$C$71,MATCH(1,('MY-REPORT-MAIN'!AL168&gt;='Weight tables'!$B$68:$B$71)*('MY-REPORT-MAIN'!AL168&lt;='Weight tables'!$C$68:$C$71),0),1)</f>
        <v>2</v>
      </c>
      <c r="AV168" s="155" cm="1">
        <f t="array" ref="AV168">INDEX('Weight tables'!$A$74:$C$78,MATCH(1,('MY-REPORT-MAIN'!AN168&gt;='Weight tables'!$B$74:$B$78)*('MY-REPORT-MAIN'!AN168&lt;='Weight tables'!$C$74:$C$78),0),1)</f>
        <v>0</v>
      </c>
      <c r="AW168" s="16">
        <f>IF(I_Miei_Rendiconti[[#This Row],[Column1.totalAfterSubmitted]]/AM168&gt;50%,"Checked",0)</f>
        <v>0</v>
      </c>
      <c r="AX168" s="155">
        <f t="shared" si="6"/>
        <v>18.8</v>
      </c>
      <c r="AY168" s="155" t="str">
        <f>INDEX('Partner data'!A:EB,MATCH(I_Miei_Rendiconti[[#This Row],[Column1.partnerId]],'Partner data'!DG:DG,0),92)</f>
        <v>Italia (IT)</v>
      </c>
    </row>
    <row r="169" spans="1:58" ht="30" x14ac:dyDescent="0.25">
      <c r="A169" s="79">
        <v>154</v>
      </c>
      <c r="B169" s="79">
        <v>54</v>
      </c>
      <c r="C169" s="79">
        <v>182</v>
      </c>
      <c r="D169" s="79" t="s">
        <v>1435</v>
      </c>
      <c r="E169" s="79" t="s">
        <v>253</v>
      </c>
      <c r="F169" s="79">
        <v>4</v>
      </c>
      <c r="G169" s="206" t="s">
        <v>38</v>
      </c>
      <c r="H169" s="79">
        <v>2</v>
      </c>
      <c r="I169" s="79" t="s">
        <v>4339</v>
      </c>
      <c r="J169" s="79" t="s">
        <v>593</v>
      </c>
      <c r="K169" s="208">
        <v>45387.492630671295</v>
      </c>
      <c r="M169" s="208">
        <v>45469.458114270834</v>
      </c>
      <c r="N169" s="79" t="s">
        <v>4412</v>
      </c>
      <c r="O169" s="79" t="s">
        <v>4363</v>
      </c>
      <c r="P169" s="79" t="s">
        <v>4348</v>
      </c>
      <c r="Q169" s="79" t="s">
        <v>4343</v>
      </c>
      <c r="R169" s="79">
        <v>39</v>
      </c>
      <c r="S169" s="79">
        <v>2</v>
      </c>
      <c r="T169" s="81">
        <v>60159.63</v>
      </c>
      <c r="U169" s="81">
        <v>61204.38</v>
      </c>
      <c r="V169" s="79" t="str">
        <f>INDEX(pARTNER[#All],MATCH(I_Miei_Rendiconti[[#This Row],[Column1.partnerId]],pARTNER[[#All],[Value.partnerSummary.id]],0),2)</f>
        <v>X-BRAIN</v>
      </c>
      <c r="W169" s="79" t="b">
        <v>0</v>
      </c>
      <c r="X169" s="82">
        <f>I_Miei_Rendiconti[[#This Row],[Column1.totalAfterSubmitted]]-I_Miei_Rendiconti[[#This Row],[Column1.totalEligibleAfterControl]]</f>
        <v>1044.75</v>
      </c>
      <c r="Y169" s="80">
        <f>IF(I_Miei_Rendiconti[[#This Row],[Column1.status]]="Certified",IFERROR(I_Miei_Rendiconti[[#This Row],[Financial corection]]/I_Miei_Rendiconti[[#This Row],[Column1.totalAfterSubmitted]],0),"Rendiconto da certificare")</f>
        <v>1.7069856765153085E-2</v>
      </c>
      <c r="Z169" s="207" t="str">
        <f>IF(I_Miei_Rendiconti[[#This Row],[Column1.status]]&lt;&gt;"Certified",INDEX('Partner data'!DG:DQ,MATCH(I_Miei_Rendiconti[[#This Row],[Column1.partnerId]],'Partner data'!DG:DG,0),13),"Rendiconto CONVALIDATO")</f>
        <v>Rendiconto CONVALIDATO</v>
      </c>
      <c r="AA169"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69" s="81" t="str">
        <f>IF(OR(I_Miei_Rendiconti[[#This Row],[N. previouse validated report ]]="Rendiconto CONVALIDATO",I_Miei_Rendiconti[[#This Row],[N. previouse validated report ]]="NON è stato convalidato ancora nessun rendiconto"),"NON PERTINENTE","fai la fromula")</f>
        <v>NON PERTINENTE</v>
      </c>
      <c r="AC169"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69" s="2">
        <f>INDEX('Partner data'!DG:DJ,MATCH(I_Miei_Rendiconti[[#This Row],[Column1.partnerId]],'Partner data'!DG:DG,0),3)</f>
        <v>2</v>
      </c>
      <c r="AE169" t="str" cm="1">
        <f t="array" ref="AE169">INDEX('Varie Tabelle'!$A$37:$C$51,MATCH(1,(I_Miei_Rendiconti[[#This Row],[Column1.firstSubmission]]&gt;='Varie Tabelle'!$B$37:$B$51)*(I_Miei_Rendiconti[[#This Row],[Column1.firstSubmission]]&lt;'Varie Tabelle'!$C$37:$C$51),0),1)</f>
        <v>Finestra 2</v>
      </c>
      <c r="AF169" s="109">
        <f>INDEX('Varie Tabelle'!$A$37:$C$51,MATCH('MY-REPORT-MAIN'!AE169,'Varie Tabelle'!$A$37:$A$51,0),2)</f>
        <v>45352</v>
      </c>
      <c r="AG169" s="109">
        <f>INDEX('Partner data'!DG:DR,MATCH(I_Miei_Rendiconti[[#This Row],[Column1.partnerId]],'Partner data'!DG:DG,0),12)</f>
        <v>45078</v>
      </c>
      <c r="AH169" s="115">
        <f t="shared" si="4"/>
        <v>9.0101940151266025</v>
      </c>
      <c r="AI169" t="str" cm="1">
        <f t="array" ref="AI169">INDEX('Varie Tabelle'!$A$12:$C$22,MATCH(1,('MY-REPORT-MAIN'!AH169&gt;='Varie Tabelle'!$B$12:$B$22)*('MY-REPORT-MAIN'!AH169&lt;='Varie Tabelle'!$C$12:$C$22),0),1)</f>
        <v>Periodo-1</v>
      </c>
      <c r="AJ169" s="14">
        <f>INDEX('Partner data'!A:EC,MATCH(I_Miei_Rendiconti[[#This Row],[Column1.partnerId]],'Partner data'!DG:DG,0),MATCH('MY-REPORT-MAIN'!AI169,'Partner data'!$2:$2,0))</f>
        <v>75478.53</v>
      </c>
      <c r="AK169" s="10">
        <f>SUMIFS($U$2:U169,$C$2:C169,I_Miei_Rendiconti[[#This Row],[Column1.partnerId]])-AJ169</f>
        <v>930.75</v>
      </c>
      <c r="AL169" s="16">
        <f>IFERROR(1-(I_Miei_Rendiconti[[#This Row],[Column1.totalAfterSubmitted]]/AJ169),0)</f>
        <v>0.18911536830407272</v>
      </c>
      <c r="AM169" s="14">
        <f>INDEX('Partner data'!A:EB,MATCH(I_Miei_Rendiconti[[#This Row],[Column1.partnerId]],'Partner data'!DG:DG,0),44)</f>
        <v>230000</v>
      </c>
      <c r="AN169" s="14">
        <f>SUMIFS(ListOfExpenditure!AP:AP,ListOfExpenditure!AJ:AJ,I_Miei_Rendiconti[[#This Row],[Column1.id]])</f>
        <v>0</v>
      </c>
      <c r="AO169" s="148">
        <f>SUMIFS(ReportSubmittedBL!W:W,ReportSubmittedBL!D:D,I_Miei_Rendiconti[[#This Row],[Column1.id]])</f>
        <v>16</v>
      </c>
      <c r="AP169" s="155" cm="1">
        <f t="array" ref="AP169">INDEX('Weight tables'!$A$32:$C$36,MATCH(1,('MY-REPORT-MAIN'!AO169&gt;='Weight tables'!$B$32:$B$36)*('MY-REPORT-MAIN'!AO169&lt;='Weight tables'!$C$32:$C$36),0),1)</f>
        <v>8.4</v>
      </c>
      <c r="AQ169" s="155">
        <f>INDEX('Weight tables'!$A$39:$B$41,MATCH(I_Miei_Rendiconti[[#This Row],[Previouse Report checked?yes/no]],'Weight tables'!$B$39:$B$41,0),1)</f>
        <v>8.4</v>
      </c>
      <c r="AR169" s="155" cm="1">
        <f t="array" ref="AR169">IF(I_Miei_Rendiconti[[#This Row],[Sum of errors in previous report ]]="NON PERTINENTE",0,INDEX('Weight tables'!$A$43:$C$46,MATCH(1,(I_Miei_Rendiconti[[#This Row],[Sum of errors in previous report ]]&gt;='Weight tables'!$B$43:$B$46)*(I_Miei_Rendiconti[[#This Row],[Sum of errors in previous report ]]&lt;='Weight tables'!$C$43:$C$46),0),1))</f>
        <v>0</v>
      </c>
      <c r="AS169" s="155" cm="1">
        <f t="array" ref="AS169">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69" s="155" cm="1">
        <f t="array" ref="AT169">INDEX('Weight tables'!$A$56:$C$65,MATCH(1,('MY-REPORT-MAIN'!U169&gt;='Weight tables'!$B$56:$B$65)*('MY-REPORT-MAIN'!U169&lt;='Weight tables'!$C$56:$C$65),0),1)</f>
        <v>6</v>
      </c>
      <c r="AU169" s="155" cm="1">
        <f t="array" ref="AU169">INDEX('Weight tables'!$A$68:$C$71,MATCH(1,('MY-REPORT-MAIN'!AL169&gt;='Weight tables'!$B$68:$B$71)*('MY-REPORT-MAIN'!AL169&lt;='Weight tables'!$C$68:$C$71),0),1)</f>
        <v>1</v>
      </c>
      <c r="AV169" s="155" cm="1">
        <f t="array" ref="AV169">INDEX('Weight tables'!$A$74:$C$78,MATCH(1,('MY-REPORT-MAIN'!AN169&gt;='Weight tables'!$B$74:$B$78)*('MY-REPORT-MAIN'!AN169&lt;='Weight tables'!$C$74:$C$78),0),1)</f>
        <v>0</v>
      </c>
      <c r="AW169" s="16">
        <f>IF(I_Miei_Rendiconti[[#This Row],[Column1.totalAfterSubmitted]]/AM169&gt;50%,"Checked",0)</f>
        <v>0</v>
      </c>
      <c r="AX169" s="155">
        <f t="shared" si="6"/>
        <v>23.8</v>
      </c>
      <c r="AY169" s="155" t="str">
        <f>INDEX('Partner data'!A:EB,MATCH(I_Miei_Rendiconti[[#This Row],[Column1.partnerId]],'Partner data'!DG:DG,0),92)</f>
        <v>Slovenija (SI)</v>
      </c>
    </row>
    <row r="170" spans="1:58" ht="30" x14ac:dyDescent="0.25">
      <c r="A170" s="79">
        <v>192</v>
      </c>
      <c r="B170" s="79">
        <v>54</v>
      </c>
      <c r="C170" s="79">
        <v>181</v>
      </c>
      <c r="D170" s="79" t="s">
        <v>1435</v>
      </c>
      <c r="E170" s="79" t="s">
        <v>253</v>
      </c>
      <c r="F170" s="79">
        <v>3</v>
      </c>
      <c r="G170" s="206" t="s">
        <v>311</v>
      </c>
      <c r="H170" s="79">
        <v>1</v>
      </c>
      <c r="I170" s="79" t="s">
        <v>4339</v>
      </c>
      <c r="J170" s="79" t="s">
        <v>593</v>
      </c>
      <c r="K170" s="208">
        <v>45387.493544456018</v>
      </c>
      <c r="M170" s="208">
        <v>45470.701242708332</v>
      </c>
      <c r="N170" s="79" t="s">
        <v>4440</v>
      </c>
      <c r="O170" s="79" t="s">
        <v>4354</v>
      </c>
      <c r="P170" s="79" t="s">
        <v>4348</v>
      </c>
      <c r="Q170" s="79" t="s">
        <v>4343</v>
      </c>
      <c r="R170" s="79">
        <v>39</v>
      </c>
      <c r="S170" s="79">
        <v>2</v>
      </c>
      <c r="T170" s="81">
        <v>4547.1000000000004</v>
      </c>
      <c r="U170" s="81">
        <v>4547.1000000000004</v>
      </c>
      <c r="V170" s="79" t="str">
        <f>INDEX(pARTNER[#All],MATCH(I_Miei_Rendiconti[[#This Row],[Column1.partnerId]],pARTNER[[#All],[Value.partnerSummary.id]],0),2)</f>
        <v>X-BRAIN</v>
      </c>
      <c r="W170" s="79" t="b">
        <v>0</v>
      </c>
      <c r="X170" s="82">
        <f>I_Miei_Rendiconti[[#This Row],[Column1.totalAfterSubmitted]]-I_Miei_Rendiconti[[#This Row],[Column1.totalEligibleAfterControl]]</f>
        <v>0</v>
      </c>
      <c r="Y170" s="80">
        <f>IF(I_Miei_Rendiconti[[#This Row],[Column1.status]]="Certified",IFERROR(I_Miei_Rendiconti[[#This Row],[Financial corection]]/I_Miei_Rendiconti[[#This Row],[Column1.totalAfterSubmitted]],0),"Rendiconto da certificare")</f>
        <v>0</v>
      </c>
      <c r="Z170" s="207" t="str">
        <f>IF(I_Miei_Rendiconti[[#This Row],[Column1.status]]&lt;&gt;"Certified",INDEX('Partner data'!DG:DQ,MATCH(I_Miei_Rendiconti[[#This Row],[Column1.partnerId]],'Partner data'!DG:DG,0),13),"Rendiconto CONVALIDATO")</f>
        <v>Rendiconto CONVALIDATO</v>
      </c>
      <c r="AA170"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70" s="81" t="str">
        <f>IF(OR(I_Miei_Rendiconti[[#This Row],[N. previouse validated report ]]="Rendiconto CONVALIDATO",I_Miei_Rendiconti[[#This Row],[N. previouse validated report ]]="NON è stato convalidato ancora nessun rendiconto"),"NON PERTINENTE","fai la fromula")</f>
        <v>NON PERTINENTE</v>
      </c>
      <c r="AC170"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70" s="2">
        <f>INDEX('Partner data'!DG:DJ,MATCH(I_Miei_Rendiconti[[#This Row],[Column1.partnerId]],'Partner data'!DG:DG,0),3)</f>
        <v>1</v>
      </c>
      <c r="AE170" t="str" cm="1">
        <f t="array" ref="AE170">INDEX('Varie Tabelle'!$A$37:$C$51,MATCH(1,(I_Miei_Rendiconti[[#This Row],[Column1.firstSubmission]]&gt;='Varie Tabelle'!$B$37:$B$51)*(I_Miei_Rendiconti[[#This Row],[Column1.firstSubmission]]&lt;'Varie Tabelle'!$C$37:$C$51),0),1)</f>
        <v>Finestra 2</v>
      </c>
      <c r="AF170" s="109">
        <f>INDEX('Varie Tabelle'!$A$37:$C$51,MATCH('MY-REPORT-MAIN'!AE170,'Varie Tabelle'!$A$37:$A$51,0),2)</f>
        <v>45352</v>
      </c>
      <c r="AG170" s="109">
        <f>INDEX('Partner data'!DG:DR,MATCH(I_Miei_Rendiconti[[#This Row],[Column1.partnerId]],'Partner data'!DG:DG,0),12)</f>
        <v>45078</v>
      </c>
      <c r="AH170" s="115">
        <f t="shared" si="4"/>
        <v>9.0101940151266025</v>
      </c>
      <c r="AI170" t="str" cm="1">
        <f t="array" ref="AI170">INDEX('Varie Tabelle'!$A$12:$C$22,MATCH(1,('MY-REPORT-MAIN'!AH170&gt;='Varie Tabelle'!$B$12:$B$22)*('MY-REPORT-MAIN'!AH170&lt;='Varie Tabelle'!$C$12:$C$22),0),1)</f>
        <v>Periodo-1</v>
      </c>
      <c r="AJ170" s="14">
        <f>INDEX('Partner data'!A:EC,MATCH(I_Miei_Rendiconti[[#This Row],[Column1.partnerId]],'Partner data'!DG:DG,0),MATCH('MY-REPORT-MAIN'!AI170,'Partner data'!$2:$2,0))</f>
        <v>4108.12</v>
      </c>
      <c r="AK170" s="10">
        <f>SUMIFS($U$2:U170,$C$2:C170,I_Miei_Rendiconti[[#This Row],[Column1.partnerId]])-AJ170</f>
        <v>438.98000000000047</v>
      </c>
      <c r="AL170" s="16">
        <f>IFERROR(1-(I_Miei_Rendiconti[[#This Row],[Column1.totalAfterSubmitted]]/AJ170),0)</f>
        <v>-0.10685666436228747</v>
      </c>
      <c r="AM170" s="14">
        <f>INDEX('Partner data'!A:EB,MATCH(I_Miei_Rendiconti[[#This Row],[Column1.partnerId]],'Partner data'!DG:DG,0),44)</f>
        <v>144729</v>
      </c>
      <c r="AN170" s="14">
        <f>SUMIFS(ListOfExpenditure!AP:AP,ListOfExpenditure!AJ:AJ,I_Miei_Rendiconti[[#This Row],[Column1.id]])</f>
        <v>0</v>
      </c>
      <c r="AO170" s="148">
        <f>SUMIFS(ReportSubmittedBL!W:W,ReportSubmittedBL!D:D,I_Miei_Rendiconti[[#This Row],[Column1.id]])</f>
        <v>6</v>
      </c>
      <c r="AP170" s="155" cm="1">
        <f t="array" ref="AP170">INDEX('Weight tables'!$A$32:$C$36,MATCH(1,('MY-REPORT-MAIN'!AO170&gt;='Weight tables'!$B$32:$B$36)*('MY-REPORT-MAIN'!AO170&lt;='Weight tables'!$C$32:$C$36),0),1)</f>
        <v>4.2</v>
      </c>
      <c r="AQ170" s="155">
        <f>INDEX('Weight tables'!$A$39:$B$41,MATCH(I_Miei_Rendiconti[[#This Row],[Previouse Report checked?yes/no]],'Weight tables'!$B$39:$B$41,0),1)</f>
        <v>8.4</v>
      </c>
      <c r="AR170" s="155" cm="1">
        <f t="array" ref="AR170">IF(I_Miei_Rendiconti[[#This Row],[Sum of errors in previous report ]]="NON PERTINENTE",0,INDEX('Weight tables'!$A$43:$C$46,MATCH(1,(I_Miei_Rendiconti[[#This Row],[Sum of errors in previous report ]]&gt;='Weight tables'!$B$43:$B$46)*(I_Miei_Rendiconti[[#This Row],[Sum of errors in previous report ]]&lt;='Weight tables'!$C$43:$C$46),0),1))</f>
        <v>0</v>
      </c>
      <c r="AS170" s="155" cm="1">
        <f t="array" ref="AS170">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70" s="155" cm="1">
        <f t="array" ref="AT170">INDEX('Weight tables'!$A$56:$C$65,MATCH(1,('MY-REPORT-MAIN'!U170&gt;='Weight tables'!$B$56:$B$65)*('MY-REPORT-MAIN'!U170&lt;='Weight tables'!$C$56:$C$65),0),1)</f>
        <v>0</v>
      </c>
      <c r="AU170" s="155" cm="1">
        <f t="array" ref="AU170">INDEX('Weight tables'!$A$68:$C$71,MATCH(1,('MY-REPORT-MAIN'!AL170&gt;='Weight tables'!$B$68:$B$71)*('MY-REPORT-MAIN'!AL170&lt;='Weight tables'!$C$68:$C$71),0),1)</f>
        <v>0</v>
      </c>
      <c r="AV170" s="155" cm="1">
        <f t="array" ref="AV170">INDEX('Weight tables'!$A$74:$C$78,MATCH(1,('MY-REPORT-MAIN'!AN170&gt;='Weight tables'!$B$74:$B$78)*('MY-REPORT-MAIN'!AN170&lt;='Weight tables'!$C$74:$C$78),0),1)</f>
        <v>0</v>
      </c>
      <c r="AW170" s="16">
        <f>IF(I_Miei_Rendiconti[[#This Row],[Column1.totalAfterSubmitted]]/AM170&gt;50%,"Checked",0)</f>
        <v>0</v>
      </c>
      <c r="AX170" s="155">
        <f t="shared" si="6"/>
        <v>12.600000000000001</v>
      </c>
      <c r="AY170" s="155" t="str">
        <f>INDEX('Partner data'!A:EB,MATCH(I_Miei_Rendiconti[[#This Row],[Column1.partnerId]],'Partner data'!DG:DG,0),92)</f>
        <v>Italia (IT)</v>
      </c>
    </row>
    <row r="171" spans="1:58" ht="30" x14ac:dyDescent="0.25">
      <c r="A171" s="79">
        <v>114</v>
      </c>
      <c r="B171" s="79">
        <v>58</v>
      </c>
      <c r="C171" s="79">
        <v>185</v>
      </c>
      <c r="D171" s="79" t="s">
        <v>1501</v>
      </c>
      <c r="E171" s="79" t="s">
        <v>253</v>
      </c>
      <c r="F171" s="79">
        <v>3</v>
      </c>
      <c r="G171" s="206" t="s">
        <v>314</v>
      </c>
      <c r="H171" s="79">
        <v>1</v>
      </c>
      <c r="I171" s="79" t="s">
        <v>4339</v>
      </c>
      <c r="J171" s="79" t="s">
        <v>1118</v>
      </c>
      <c r="K171" s="208">
        <v>45387.499003182871</v>
      </c>
      <c r="M171" s="208">
        <v>45457.460779386573</v>
      </c>
      <c r="N171" s="79" t="s">
        <v>4394</v>
      </c>
      <c r="O171" s="79" t="s">
        <v>4363</v>
      </c>
      <c r="P171" s="79" t="s">
        <v>4348</v>
      </c>
      <c r="Q171" s="79" t="s">
        <v>4343</v>
      </c>
      <c r="T171" s="81">
        <v>22448.76</v>
      </c>
      <c r="U171" s="81">
        <v>22547.61</v>
      </c>
      <c r="V171" s="79" t="str">
        <f>INDEX(pARTNER[#All],MATCH(I_Miei_Rendiconti[[#This Row],[Column1.partnerId]],pARTNER[[#All],[Value.partnerSummary.id]],0),2)</f>
        <v>AidMIRE</v>
      </c>
      <c r="W171" s="79" t="b">
        <v>0</v>
      </c>
      <c r="X171" s="82">
        <f>I_Miei_Rendiconti[[#This Row],[Column1.totalAfterSubmitted]]-I_Miei_Rendiconti[[#This Row],[Column1.totalEligibleAfterControl]]</f>
        <v>98.850000000002183</v>
      </c>
      <c r="Y171" s="80">
        <f>IF(I_Miei_Rendiconti[[#This Row],[Column1.status]]="Certified",IFERROR(I_Miei_Rendiconti[[#This Row],[Financial corection]]/I_Miei_Rendiconti[[#This Row],[Column1.totalAfterSubmitted]],0),"Rendiconto da certificare")</f>
        <v>4.3840566694209352E-3</v>
      </c>
      <c r="Z171" s="207" t="str">
        <f>IF(I_Miei_Rendiconti[[#This Row],[Column1.status]]&lt;&gt;"Certified",INDEX('Partner data'!DG:DQ,MATCH(I_Miei_Rendiconti[[#This Row],[Column1.partnerId]],'Partner data'!DG:DG,0),13),"Rendiconto CONVALIDATO")</f>
        <v>Rendiconto CONVALIDATO</v>
      </c>
      <c r="AA171"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71" s="81" t="str">
        <f>IF(OR(I_Miei_Rendiconti[[#This Row],[N. previouse validated report ]]="Rendiconto CONVALIDATO",I_Miei_Rendiconti[[#This Row],[N. previouse validated report ]]="NON è stato convalidato ancora nessun rendiconto"),"NON PERTINENTE","fai la fromula")</f>
        <v>NON PERTINENTE</v>
      </c>
      <c r="AC171"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71" s="2">
        <f>INDEX('Partner data'!DG:DJ,MATCH(I_Miei_Rendiconti[[#This Row],[Column1.partnerId]],'Partner data'!DG:DG,0),3)</f>
        <v>1</v>
      </c>
      <c r="AE171" t="str" cm="1">
        <f t="array" ref="AE171">INDEX('Varie Tabelle'!$A$37:$C$51,MATCH(1,(I_Miei_Rendiconti[[#This Row],[Column1.firstSubmission]]&gt;='Varie Tabelle'!$B$37:$B$51)*(I_Miei_Rendiconti[[#This Row],[Column1.firstSubmission]]&lt;'Varie Tabelle'!$C$37:$C$51),0),1)</f>
        <v>Finestra 2</v>
      </c>
      <c r="AF171" s="109">
        <f>INDEX('Varie Tabelle'!$A$37:$C$51,MATCH('MY-REPORT-MAIN'!AE171,'Varie Tabelle'!$A$37:$A$51,0),2)</f>
        <v>45352</v>
      </c>
      <c r="AG171" s="109">
        <f>INDEX('Partner data'!DG:DR,MATCH(I_Miei_Rendiconti[[#This Row],[Column1.partnerId]],'Partner data'!DG:DG,0),12)</f>
        <v>45170</v>
      </c>
      <c r="AH171" s="115">
        <f t="shared" si="4"/>
        <v>5.9848733969089114</v>
      </c>
      <c r="AI171" t="str" cm="1">
        <f t="array" ref="AI171">INDEX('Varie Tabelle'!$A$12:$C$22,MATCH(1,('MY-REPORT-MAIN'!AH171&gt;='Varie Tabelle'!$B$12:$B$22)*('MY-REPORT-MAIN'!AH171&lt;='Varie Tabelle'!$C$12:$C$22),0),1)</f>
        <v>Periodo-1</v>
      </c>
      <c r="AJ171" s="14">
        <f>INDEX('Partner data'!A:EC,MATCH(I_Miei_Rendiconti[[#This Row],[Column1.partnerId]],'Partner data'!DG:DG,0),MATCH('MY-REPORT-MAIN'!AI171,'Partner data'!$2:$2,0))</f>
        <v>32527.64</v>
      </c>
      <c r="AK171" s="10">
        <f>SUMIFS($U$2:U171,$C$2:C171,I_Miei_Rendiconti[[#This Row],[Column1.partnerId]])-AJ171</f>
        <v>-9980.0299999999988</v>
      </c>
      <c r="AL171" s="16">
        <f>IFERROR(1-(I_Miei_Rendiconti[[#This Row],[Column1.totalAfterSubmitted]]/AJ171),0)</f>
        <v>0.30681691017239487</v>
      </c>
      <c r="AM171" s="14">
        <f>INDEX('Partner data'!A:EB,MATCH(I_Miei_Rendiconti[[#This Row],[Column1.partnerId]],'Partner data'!DG:DG,0),44)</f>
        <v>212499.98</v>
      </c>
      <c r="AN171" s="14">
        <f>SUMIFS(ListOfExpenditure!AP:AP,ListOfExpenditure!AJ:AJ,I_Miei_Rendiconti[[#This Row],[Column1.id]])</f>
        <v>0</v>
      </c>
      <c r="AO171" s="148">
        <f>SUMIFS(ReportSubmittedBL!W:W,ReportSubmittedBL!D:D,I_Miei_Rendiconti[[#This Row],[Column1.id]])</f>
        <v>16</v>
      </c>
      <c r="AP171" s="155" cm="1">
        <f t="array" ref="AP171">INDEX('Weight tables'!$A$32:$C$36,MATCH(1,('MY-REPORT-MAIN'!AO171&gt;='Weight tables'!$B$32:$B$36)*('MY-REPORT-MAIN'!AO171&lt;='Weight tables'!$C$32:$C$36),0),1)</f>
        <v>8.4</v>
      </c>
      <c r="AQ171" s="155">
        <f>INDEX('Weight tables'!$A$39:$B$41,MATCH(I_Miei_Rendiconti[[#This Row],[Previouse Report checked?yes/no]],'Weight tables'!$B$39:$B$41,0),1)</f>
        <v>8.4</v>
      </c>
      <c r="AR171" s="155" cm="1">
        <f t="array" ref="AR171">IF(I_Miei_Rendiconti[[#This Row],[Sum of errors in previous report ]]="NON PERTINENTE",0,INDEX('Weight tables'!$A$43:$C$46,MATCH(1,(I_Miei_Rendiconti[[#This Row],[Sum of errors in previous report ]]&gt;='Weight tables'!$B$43:$B$46)*(I_Miei_Rendiconti[[#This Row],[Sum of errors in previous report ]]&lt;='Weight tables'!$C$43:$C$46),0),1))</f>
        <v>0</v>
      </c>
      <c r="AS171" s="155" cm="1">
        <f t="array" ref="AS171">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71" s="155" cm="1">
        <f t="array" ref="AT171">INDEX('Weight tables'!$A$56:$C$65,MATCH(1,('MY-REPORT-MAIN'!U171&gt;='Weight tables'!$B$56:$B$65)*('MY-REPORT-MAIN'!U171&lt;='Weight tables'!$C$56:$C$65),0),1)</f>
        <v>2</v>
      </c>
      <c r="AU171" s="155" cm="1">
        <f t="array" ref="AU171">INDEX('Weight tables'!$A$68:$C$71,MATCH(1,('MY-REPORT-MAIN'!AL171&gt;='Weight tables'!$B$68:$B$71)*('MY-REPORT-MAIN'!AL171&lt;='Weight tables'!$C$68:$C$71),0),1)</f>
        <v>2</v>
      </c>
      <c r="AV171" s="155" cm="1">
        <f t="array" ref="AV171">INDEX('Weight tables'!$A$74:$C$78,MATCH(1,('MY-REPORT-MAIN'!AN171&gt;='Weight tables'!$B$74:$B$78)*('MY-REPORT-MAIN'!AN171&lt;='Weight tables'!$C$74:$C$78),0),1)</f>
        <v>0</v>
      </c>
      <c r="AW171" s="16">
        <f>IF(I_Miei_Rendiconti[[#This Row],[Column1.totalAfterSubmitted]]/AM171&gt;50%,"Checked",0)</f>
        <v>0</v>
      </c>
      <c r="AX171" s="155">
        <f t="shared" si="6"/>
        <v>20.8</v>
      </c>
      <c r="AY171" s="155" t="str">
        <f>INDEX('Partner data'!A:EB,MATCH(I_Miei_Rendiconti[[#This Row],[Column1.partnerId]],'Partner data'!DG:DG,0),92)</f>
        <v>Slovenija (SI)</v>
      </c>
    </row>
    <row r="172" spans="1:58" ht="30" x14ac:dyDescent="0.25">
      <c r="A172" s="79">
        <v>166</v>
      </c>
      <c r="B172" s="79">
        <v>92</v>
      </c>
      <c r="C172" s="79">
        <v>314</v>
      </c>
      <c r="D172" s="79" t="s">
        <v>2433</v>
      </c>
      <c r="E172" s="79" t="s">
        <v>264</v>
      </c>
      <c r="F172" s="79">
        <v>1</v>
      </c>
      <c r="G172" s="206" t="s">
        <v>52</v>
      </c>
      <c r="H172" s="79">
        <v>2</v>
      </c>
      <c r="I172" s="79" t="s">
        <v>4339</v>
      </c>
      <c r="J172" s="79" t="s">
        <v>2435</v>
      </c>
      <c r="K172" s="208">
        <v>45387.499542592595</v>
      </c>
      <c r="M172" s="208">
        <v>45478.468679224534</v>
      </c>
      <c r="N172" s="79" t="s">
        <v>4420</v>
      </c>
      <c r="O172" s="79" t="s">
        <v>4421</v>
      </c>
      <c r="P172" s="79" t="s">
        <v>4348</v>
      </c>
      <c r="Q172" s="79" t="s">
        <v>4343</v>
      </c>
      <c r="R172" s="79">
        <v>41</v>
      </c>
      <c r="S172" s="79">
        <v>2</v>
      </c>
      <c r="T172" s="81">
        <v>119556.63</v>
      </c>
      <c r="U172" s="81">
        <v>123147.58</v>
      </c>
      <c r="V172" s="79" t="str">
        <f>INDEX(pARTNER[#All],MATCH(I_Miei_Rendiconti[[#This Row],[Column1.partnerId]],pARTNER[[#All],[Value.partnerSummary.id]],0),2)</f>
        <v>KRAS-CARSO II</v>
      </c>
      <c r="W172" s="79" t="b">
        <v>0</v>
      </c>
      <c r="X172" s="82">
        <f>I_Miei_Rendiconti[[#This Row],[Column1.totalAfterSubmitted]]-I_Miei_Rendiconti[[#This Row],[Column1.totalEligibleAfterControl]]</f>
        <v>3590.9499999999971</v>
      </c>
      <c r="Y172" s="80">
        <f>IF(I_Miei_Rendiconti[[#This Row],[Column1.status]]="Certified",IFERROR(I_Miei_Rendiconti[[#This Row],[Financial corection]]/I_Miei_Rendiconti[[#This Row],[Column1.totalAfterSubmitted]],0),"Rendiconto da certificare")</f>
        <v>2.9159728514356491E-2</v>
      </c>
      <c r="Z172" s="207" t="str">
        <f>IF(I_Miei_Rendiconti[[#This Row],[Column1.status]]&lt;&gt;"Certified",INDEX('Partner data'!DG:DQ,MATCH(I_Miei_Rendiconti[[#This Row],[Column1.partnerId]],'Partner data'!DG:DG,0),13),"Rendiconto CONVALIDATO")</f>
        <v>Rendiconto CONVALIDATO</v>
      </c>
      <c r="AA172"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72" s="81" t="str">
        <f>IF(OR(I_Miei_Rendiconti[[#This Row],[N. previouse validated report ]]="Rendiconto CONVALIDATO",I_Miei_Rendiconti[[#This Row],[N. previouse validated report ]]="NON è stato convalidato ancora nessun rendiconto"),"NON PERTINENTE","fai la fromula")</f>
        <v>NON PERTINENTE</v>
      </c>
      <c r="AC172"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72" s="2">
        <f>INDEX('Partner data'!DG:DJ,MATCH(I_Miei_Rendiconti[[#This Row],[Column1.partnerId]],'Partner data'!DG:DG,0),3)</f>
        <v>2</v>
      </c>
      <c r="AE172" t="str" cm="1">
        <f t="array" ref="AE172">INDEX('Varie Tabelle'!$A$37:$C$51,MATCH(1,(I_Miei_Rendiconti[[#This Row],[Column1.firstSubmission]]&gt;='Varie Tabelle'!$B$37:$B$51)*(I_Miei_Rendiconti[[#This Row],[Column1.firstSubmission]]&lt;'Varie Tabelle'!$C$37:$C$51),0),1)</f>
        <v>Finestra 2</v>
      </c>
      <c r="AF172" s="109">
        <f>INDEX('Varie Tabelle'!$A$37:$C$51,MATCH('MY-REPORT-MAIN'!AE172,'Varie Tabelle'!$A$37:$A$51,0),2)</f>
        <v>45352</v>
      </c>
      <c r="AG172" s="109">
        <f>INDEX('Partner data'!DG:DR,MATCH(I_Miei_Rendiconti[[#This Row],[Column1.partnerId]],'Partner data'!DG:DG,0),12)</f>
        <v>44927</v>
      </c>
      <c r="AH172" s="115">
        <f t="shared" si="4"/>
        <v>13.975665899375205</v>
      </c>
      <c r="AI172" t="str" cm="1">
        <f t="array" ref="AI172">INDEX('Varie Tabelle'!$A$12:$C$22,MATCH(1,('MY-REPORT-MAIN'!AH172&gt;='Varie Tabelle'!$B$12:$B$22)*('MY-REPORT-MAIN'!AH172&lt;='Varie Tabelle'!$C$12:$C$22),0),1)</f>
        <v>Periodo-2</v>
      </c>
      <c r="AJ172" s="14">
        <f>INDEX('Partner data'!A:EC,MATCH(I_Miei_Rendiconti[[#This Row],[Column1.partnerId]],'Partner data'!DG:DG,0),MATCH('MY-REPORT-MAIN'!AI172,'Partner data'!$2:$2,0))</f>
        <v>266392.58</v>
      </c>
      <c r="AK172" s="10">
        <f>SUMIFS($U$2:U172,$C$2:C172,I_Miei_Rendiconti[[#This Row],[Column1.partnerId]])-AJ172</f>
        <v>-112169.15000000002</v>
      </c>
      <c r="AL172" s="16">
        <f>IFERROR(1-(I_Miei_Rendiconti[[#This Row],[Column1.totalAfterSubmitted]]/AJ172),0)</f>
        <v>0.53772143353242052</v>
      </c>
      <c r="AM172" s="14">
        <f>INDEX('Partner data'!A:EB,MATCH(I_Miei_Rendiconti[[#This Row],[Column1.partnerId]],'Partner data'!DG:DG,0),44)</f>
        <v>1056445.8</v>
      </c>
      <c r="AN172" s="14">
        <f>SUMIFS(ListOfExpenditure!AP:AP,ListOfExpenditure!AJ:AJ,I_Miei_Rendiconti[[#This Row],[Column1.id]])</f>
        <v>0</v>
      </c>
      <c r="AO172" s="148">
        <f>SUMIFS(ReportSubmittedBL!W:W,ReportSubmittedBL!D:D,I_Miei_Rendiconti[[#This Row],[Column1.id]])</f>
        <v>12</v>
      </c>
      <c r="AP172" s="155" cm="1">
        <f t="array" ref="AP172">INDEX('Weight tables'!$A$32:$C$36,MATCH(1,('MY-REPORT-MAIN'!AO172&gt;='Weight tables'!$B$32:$B$36)*('MY-REPORT-MAIN'!AO172&lt;='Weight tables'!$C$32:$C$36),0),1)</f>
        <v>8.4</v>
      </c>
      <c r="AQ172" s="155">
        <f>INDEX('Weight tables'!$A$39:$B$41,MATCH(I_Miei_Rendiconti[[#This Row],[Previouse Report checked?yes/no]],'Weight tables'!$B$39:$B$41,0),1)</f>
        <v>8.4</v>
      </c>
      <c r="AR172" s="155" cm="1">
        <f t="array" ref="AR172">IF(I_Miei_Rendiconti[[#This Row],[Sum of errors in previous report ]]="NON PERTINENTE",0,INDEX('Weight tables'!$A$43:$C$46,MATCH(1,(I_Miei_Rendiconti[[#This Row],[Sum of errors in previous report ]]&gt;='Weight tables'!$B$43:$B$46)*(I_Miei_Rendiconti[[#This Row],[Sum of errors in previous report ]]&lt;='Weight tables'!$C$43:$C$46),0),1))</f>
        <v>0</v>
      </c>
      <c r="AS172" s="155" cm="1">
        <f t="array" ref="AS172">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72" s="155" cm="1">
        <f t="array" ref="AT172">INDEX('Weight tables'!$A$56:$C$65,MATCH(1,('MY-REPORT-MAIN'!U172&gt;='Weight tables'!$B$56:$B$65)*('MY-REPORT-MAIN'!U172&lt;='Weight tables'!$C$56:$C$65),0),1)</f>
        <v>8</v>
      </c>
      <c r="AU172" s="155" cm="1">
        <f t="array" ref="AU172">INDEX('Weight tables'!$A$68:$C$71,MATCH(1,('MY-REPORT-MAIN'!AL172&gt;='Weight tables'!$B$68:$B$71)*('MY-REPORT-MAIN'!AL172&lt;='Weight tables'!$C$68:$C$71),0),1)</f>
        <v>2</v>
      </c>
      <c r="AV172" s="155" cm="1">
        <f t="array" ref="AV172">INDEX('Weight tables'!$A$74:$C$78,MATCH(1,('MY-REPORT-MAIN'!AN172&gt;='Weight tables'!$B$74:$B$78)*('MY-REPORT-MAIN'!AN172&lt;='Weight tables'!$C$74:$C$78),0),1)</f>
        <v>0</v>
      </c>
      <c r="AW172" s="16">
        <f>IF(I_Miei_Rendiconti[[#This Row],[Column1.totalAfterSubmitted]]/AM172&gt;50%,"Checked",0)</f>
        <v>0</v>
      </c>
      <c r="AX172" s="155">
        <f t="shared" si="6"/>
        <v>26.8</v>
      </c>
      <c r="AY172" s="155" t="str">
        <f>INDEX('Partner data'!A:EB,MATCH(I_Miei_Rendiconti[[#This Row],[Column1.partnerId]],'Partner data'!DG:DG,0),92)</f>
        <v>Slovenija (SI)</v>
      </c>
    </row>
    <row r="173" spans="1:58" ht="30" x14ac:dyDescent="0.25">
      <c r="A173" s="79">
        <v>310</v>
      </c>
      <c r="B173" s="79">
        <v>92</v>
      </c>
      <c r="C173" s="79">
        <v>320</v>
      </c>
      <c r="D173" s="79" t="s">
        <v>2433</v>
      </c>
      <c r="E173" s="79" t="s">
        <v>253</v>
      </c>
      <c r="F173" s="79">
        <v>6</v>
      </c>
      <c r="G173" s="206" t="s">
        <v>41</v>
      </c>
      <c r="H173" s="79">
        <v>2</v>
      </c>
      <c r="I173" s="79" t="s">
        <v>4339</v>
      </c>
      <c r="J173" s="79" t="s">
        <v>2435</v>
      </c>
      <c r="K173" s="208">
        <v>45391.418296944445</v>
      </c>
      <c r="M173" s="208">
        <v>45475.475127523147</v>
      </c>
      <c r="N173" s="79" t="s">
        <v>4524</v>
      </c>
      <c r="O173" s="79" t="s">
        <v>4363</v>
      </c>
      <c r="P173" s="79" t="s">
        <v>4525</v>
      </c>
      <c r="Q173" s="79" t="s">
        <v>4343</v>
      </c>
      <c r="R173" s="79">
        <v>41</v>
      </c>
      <c r="S173" s="79">
        <v>2</v>
      </c>
      <c r="T173" s="81">
        <v>22612.59</v>
      </c>
      <c r="U173" s="81">
        <v>22612.59</v>
      </c>
      <c r="V173" s="79" t="str">
        <f>INDEX(pARTNER[#All],MATCH(I_Miei_Rendiconti[[#This Row],[Column1.partnerId]],pARTNER[[#All],[Value.partnerSummary.id]],0),2)</f>
        <v>KRAS-CARSO II</v>
      </c>
      <c r="W173" s="79" t="b">
        <v>0</v>
      </c>
      <c r="X173" s="82">
        <f>I_Miei_Rendiconti[[#This Row],[Column1.totalAfterSubmitted]]-I_Miei_Rendiconti[[#This Row],[Column1.totalEligibleAfterControl]]</f>
        <v>0</v>
      </c>
      <c r="Y173" s="80">
        <f>IF(I_Miei_Rendiconti[[#This Row],[Column1.status]]="Certified",IFERROR(I_Miei_Rendiconti[[#This Row],[Financial corection]]/I_Miei_Rendiconti[[#This Row],[Column1.totalAfterSubmitted]],0),"Rendiconto da certificare")</f>
        <v>0</v>
      </c>
      <c r="Z173" s="207" t="str">
        <f>IF(I_Miei_Rendiconti[[#This Row],[Column1.status]]&lt;&gt;"Certified",INDEX('Partner data'!DG:DQ,MATCH(I_Miei_Rendiconti[[#This Row],[Column1.partnerId]],'Partner data'!DG:DG,0),13),"Rendiconto CONVALIDATO")</f>
        <v>Rendiconto CONVALIDATO</v>
      </c>
      <c r="AA173"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73" s="81" t="str">
        <f>IF(OR(I_Miei_Rendiconti[[#This Row],[N. previouse validated report ]]="Rendiconto CONVALIDATO",I_Miei_Rendiconti[[#This Row],[N. previouse validated report ]]="NON è stato convalidato ancora nessun rendiconto"),"NON PERTINENTE","fai la fromula")</f>
        <v>NON PERTINENTE</v>
      </c>
      <c r="AC173"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D173" s="2">
        <f>INDEX('Partner data'!DG:DJ,MATCH(I_Miei_Rendiconti[[#This Row],[Column1.partnerId]],'Partner data'!DG:DG,0),3)</f>
        <v>2</v>
      </c>
      <c r="AE173" t="str" cm="1">
        <f t="array" ref="AE173">INDEX('Varie Tabelle'!$A$37:$C$51,MATCH(1,(I_Miei_Rendiconti[[#This Row],[Column1.firstSubmission]]&gt;='Varie Tabelle'!$B$37:$B$51)*(I_Miei_Rendiconti[[#This Row],[Column1.firstSubmission]]&lt;'Varie Tabelle'!$C$37:$C$51),0),1)</f>
        <v>Finestra 2</v>
      </c>
      <c r="AF173" s="109">
        <f>INDEX('Varie Tabelle'!$A$37:$C$51,MATCH('MY-REPORT-MAIN'!AE173,'Varie Tabelle'!$A$37:$A$51,0),2)</f>
        <v>45352</v>
      </c>
      <c r="AG173" s="109">
        <f>INDEX('Partner data'!DG:DR,MATCH(I_Miei_Rendiconti[[#This Row],[Column1.partnerId]],'Partner data'!DG:DG,0),12)</f>
        <v>44927</v>
      </c>
      <c r="AH173" s="115">
        <f t="shared" si="4"/>
        <v>13.975665899375205</v>
      </c>
      <c r="AI173" t="str" cm="1">
        <f t="array" ref="AI173">INDEX('Varie Tabelle'!$A$12:$C$22,MATCH(1,('MY-REPORT-MAIN'!AH173&gt;='Varie Tabelle'!$B$12:$B$22)*('MY-REPORT-MAIN'!AH173&lt;='Varie Tabelle'!$C$12:$C$22),0),1)</f>
        <v>Periodo-2</v>
      </c>
      <c r="AJ173" s="14">
        <f>INDEX('Partner data'!A:EC,MATCH(I_Miei_Rendiconti[[#This Row],[Column1.partnerId]],'Partner data'!DG:DG,0),MATCH('MY-REPORT-MAIN'!AI173,'Partner data'!$2:$2,0))</f>
        <v>58260.7</v>
      </c>
      <c r="AK173" s="10">
        <f>SUMIFS($U$2:U191,$C$2:C191,I_Miei_Rendiconti[[#This Row],[Column1.partnerId]])-AJ173</f>
        <v>247.66000000000349</v>
      </c>
      <c r="AL173" s="16">
        <f>IFERROR(1-(I_Miei_Rendiconti[[#This Row],[Column1.totalAfterSubmitted]]/AJ173),0)</f>
        <v>0.61187232559855953</v>
      </c>
      <c r="AM173" s="14">
        <f>INDEX('Partner data'!A:EB,MATCH(I_Miei_Rendiconti[[#This Row],[Column1.partnerId]],'Partner data'!DG:DG,0),44)</f>
        <v>239999.9</v>
      </c>
      <c r="AN173" s="14">
        <f>SUMIFS(ListOfExpenditure!AP:AP,ListOfExpenditure!AJ:AJ,I_Miei_Rendiconti[[#This Row],[Column1.id]])</f>
        <v>0</v>
      </c>
      <c r="AO173" s="148">
        <f>SUMIFS(ReportSubmittedBL!W:W,ReportSubmittedBL!D:D,I_Miei_Rendiconti[[#This Row],[Column1.id]])</f>
        <v>8</v>
      </c>
      <c r="AP173" s="155" cm="1">
        <f t="array" ref="AP173">INDEX('Weight tables'!$A$32:$C$36,MATCH(1,('MY-REPORT-MAIN'!AO173&gt;='Weight tables'!$B$32:$B$36)*('MY-REPORT-MAIN'!AO173&lt;='Weight tables'!$C$32:$C$36),0),1)</f>
        <v>6.3</v>
      </c>
      <c r="AQ173" s="155">
        <f>INDEX('Weight tables'!$A$39:$B$41,MATCH(I_Miei_Rendiconti[[#This Row],[Previouse Report checked?yes/no]],'Weight tables'!$B$39:$B$41,0),1)</f>
        <v>8.4</v>
      </c>
      <c r="AR173" s="155" cm="1">
        <f t="array" ref="AR173">IF(I_Miei_Rendiconti[[#This Row],[Sum of errors in previous report ]]="NON PERTINENTE",0,INDEX('Weight tables'!$A$43:$C$46,MATCH(1,(I_Miei_Rendiconti[[#This Row],[Sum of errors in previous report ]]&gt;='Weight tables'!$B$43:$B$46)*(I_Miei_Rendiconti[[#This Row],[Sum of errors in previous report ]]&lt;='Weight tables'!$C$43:$C$46),0),1))</f>
        <v>0</v>
      </c>
      <c r="AS173" s="155" cm="1">
        <f t="array" ref="AS173">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73" s="155" cm="1">
        <f t="array" ref="AT173">INDEX('Weight tables'!$A$56:$C$65,MATCH(1,('MY-REPORT-MAIN'!U173&gt;='Weight tables'!$B$56:$B$65)*('MY-REPORT-MAIN'!U173&lt;='Weight tables'!$C$56:$C$65),0),1)</f>
        <v>2</v>
      </c>
      <c r="AU173" s="155" cm="1">
        <f t="array" ref="AU173">INDEX('Weight tables'!$A$68:$C$71,MATCH(1,('MY-REPORT-MAIN'!AL173&gt;='Weight tables'!$B$68:$B$71)*('MY-REPORT-MAIN'!AL173&lt;='Weight tables'!$C$68:$C$71),0),1)</f>
        <v>2</v>
      </c>
      <c r="AV173" s="155" cm="1">
        <f t="array" ref="AV173">INDEX('Weight tables'!$A$74:$C$78,MATCH(1,('MY-REPORT-MAIN'!AN173&gt;='Weight tables'!$B$74:$B$78)*('MY-REPORT-MAIN'!AN173&lt;='Weight tables'!$C$74:$C$78),0),1)</f>
        <v>0</v>
      </c>
      <c r="AW173" s="16">
        <f>IF(I_Miei_Rendiconti[[#This Row],[Column1.totalAfterSubmitted]]/AM173&gt;50%,"Checked",0)</f>
        <v>0</v>
      </c>
      <c r="AX173" s="155">
        <f t="shared" si="6"/>
        <v>18.7</v>
      </c>
      <c r="AY173" s="155" t="str">
        <f>INDEX('Partner data'!A:EB,MATCH(I_Miei_Rendiconti[[#This Row],[Column1.partnerId]],'Partner data'!DG:DG,0),92)</f>
        <v>Slovenija (SI)</v>
      </c>
    </row>
    <row r="174" spans="1:58" s="190" customFormat="1" ht="30" x14ac:dyDescent="0.25">
      <c r="A174" s="209">
        <v>350</v>
      </c>
      <c r="B174" s="210">
        <v>13</v>
      </c>
      <c r="C174" s="210">
        <v>10</v>
      </c>
      <c r="D174" s="209" t="s">
        <v>2371</v>
      </c>
      <c r="E174" s="209" t="s">
        <v>264</v>
      </c>
      <c r="F174" s="209">
        <v>1</v>
      </c>
      <c r="G174" s="211" t="s">
        <v>25</v>
      </c>
      <c r="H174" s="209">
        <v>3</v>
      </c>
      <c r="I174" s="209" t="s">
        <v>7486</v>
      </c>
      <c r="J174" s="209" t="s">
        <v>2373</v>
      </c>
      <c r="K174" s="212">
        <v>45536</v>
      </c>
      <c r="L174" s="209"/>
      <c r="M174" s="212"/>
      <c r="N174" s="209"/>
      <c r="O174" s="209"/>
      <c r="P174" s="209"/>
      <c r="Q174" s="209"/>
      <c r="R174" s="209"/>
      <c r="S174" s="209"/>
      <c r="T174" s="210"/>
      <c r="U174" s="210">
        <v>32966</v>
      </c>
      <c r="V174" s="209" t="str">
        <f>INDEX(pARTNER[#All],MATCH(I_Miei_Rendiconti[[#This Row],[Column1.partnerId]],pARTNER[[#All],[Value.partnerSummary.id]],0),2)</f>
        <v>ADRIONCYCLETOUR</v>
      </c>
      <c r="W174" s="209"/>
      <c r="X174" s="213">
        <f>IF(I_Miei_Rendiconti[[#This Row],[Column1.status]]&lt;&gt;"Certified",0,I_Miei_Rendiconti[[#This Row],[Column1.totalAfterSubmitted]]-I_Miei_Rendiconti[[#This Row],[Column1.totalEligibleAfterControl]])</f>
        <v>0</v>
      </c>
      <c r="Y174" s="214" t="str">
        <f>IF(I_Miei_Rendiconti[[#This Row],[Column1.status]]="Certified",IFERROR(I_Miei_Rendiconti[[#This Row],[Financial corection]]/I_Miei_Rendiconti[[#This Row],[Column1.totalAfterSubmitted]],0),"Rendiconto da certificare")</f>
        <v>Rendiconto da certificare</v>
      </c>
      <c r="Z174" s="215">
        <f>IF(I_Miei_Rendiconti[[#This Row],[Column1.status]]&lt;&gt;"Certified",INDEX('Partner data'!DG:DQ,MATCH(I_Miei_Rendiconti[[#This Row],[Column1.partnerId]],'Partner data'!DG:DG,0),10),"Rendiconto CONVALIDATO")</f>
        <v>227</v>
      </c>
      <c r="AA174" s="215"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74" s="210">
        <f>IF(OR(I_Miei_Rendiconti[[#This Row],[N. previouse validated report ]]="Rendiconto CONVALIDATO",I_Miei_Rendiconti[[#This Row],[N. previouse validated report ]]="NON è stato convalidato ancora nessun rendiconto"),"NON PERTINENTE",SUMIFS(Errors!R:R,Errors!D:D,I_Miei_Rendiconti[[#This Row],[N. previouse validated report ]]))</f>
        <v>0</v>
      </c>
      <c r="AC174" s="210">
        <f>IF(OR(I_Miei_Rendiconti[[#This Row],[N. previouse validated report ]]="Rendiconto CONVALIDATO",I_Miei_Rendiconti[[#This Row],[N. previouse validated report ]]="NON è stato convalidato ancora nessun rendiconto"),"NON PERTINENTE",SUMIFS(Errors!R:R,Errors!C:C,I_Miei_Rendiconti[[#This Row],[Column1.partnerId]]))</f>
        <v>0</v>
      </c>
      <c r="AD174" s="191">
        <f>INDEX('Partner data'!DG:DJ,MATCH(I_Miei_Rendiconti[[#This Row],[Column1.partnerId]],'Partner data'!DG:DG,0),3)</f>
        <v>2</v>
      </c>
      <c r="AE174" s="190" t="str" cm="1">
        <f t="array" ref="AE174">INDEX('Varie Tabelle'!$A$37:$C$51,MATCH(1,(I_Miei_Rendiconti[[#This Row],[Column1.firstSubmission]]&gt;='Varie Tabelle'!$B$37:$B$51)*(I_Miei_Rendiconti[[#This Row],[Column1.firstSubmission]]&lt;'Varie Tabelle'!$C$37:$C$51),0),1)</f>
        <v>Finestra 3</v>
      </c>
      <c r="AF174" s="194">
        <f>INDEX('Varie Tabelle'!$A$37:$C$51,MATCH('MY-REPORT-MAIN'!AE174,'Varie Tabelle'!$A$37:$A$51,0),2)</f>
        <v>45534</v>
      </c>
      <c r="AG174" s="194">
        <f>INDEX('Partner data'!DG:DR,MATCH(I_Miei_Rendiconti[[#This Row],[Column1.partnerId]],'Partner data'!DG:DG,0),12)</f>
        <v>44805</v>
      </c>
      <c r="AH174" s="193">
        <f t="shared" si="4"/>
        <v>23.972377507398882</v>
      </c>
      <c r="AI174" s="190" t="str" cm="1">
        <f t="array" ref="AI174">INDEX('Varie Tabelle'!$A$12:$C$22,MATCH(1,('MY-REPORT-MAIN'!AH174&gt;='Varie Tabelle'!$B$12:$B$22)*('MY-REPORT-MAIN'!AH174&lt;='Varie Tabelle'!$C$12:$C$22),0),1)</f>
        <v>Periodo-3</v>
      </c>
      <c r="AJ174" s="195">
        <f>INDEX('Partner data'!A:EC,MATCH(I_Miei_Rendiconti[[#This Row],[Column1.partnerId]],'Partner data'!DG:DG,0),MATCH('MY-REPORT-MAIN'!AI174,'Partner data'!$2:$2,0))</f>
        <v>58375.360000000001</v>
      </c>
      <c r="AK174" s="10">
        <f>SUMIFS($U$2:U192,$C$2:C192,I_Miei_Rendiconti[[#This Row],[Column1.partnerId]])-AJ174</f>
        <v>6759.6699999999983</v>
      </c>
      <c r="AL174" s="192">
        <f t="shared" ref="AL174:AL181" si="7">IF(AK174&gt;AJ174,0,IFERROR(AK174/AJ174,0))</f>
        <v>0.11579663063319863</v>
      </c>
      <c r="AM174" s="195">
        <f>INDEX('Partner data'!A:EB,MATCH(I_Miei_Rendiconti[[#This Row],[Column1.partnerId]],'Partner data'!DG:DG,0),44)</f>
        <v>1360000</v>
      </c>
      <c r="AN174" s="14">
        <f>SUMIFS(ListOfExpenditure!AP:AP,ListOfExpenditure!AJ:AJ,I_Miei_Rendiconti[[#This Row],[Column1.id]])</f>
        <v>0</v>
      </c>
      <c r="AO174" s="148">
        <f>SUMIFS(ReportSubmittedBL!W:W,ReportSubmittedBL!D:D,I_Miei_Rendiconti[[#This Row],[Column1.id]])</f>
        <v>14</v>
      </c>
      <c r="AP174" s="196" cm="1">
        <f t="array" ref="AP174">INDEX('Weight tables'!$A$32:$C$36,MATCH(1,('MY-REPORT-MAIN'!AO174&gt;='Weight tables'!$B$32:$B$36)*('MY-REPORT-MAIN'!AO174&lt;='Weight tables'!$C$32:$C$36),0),1)</f>
        <v>8.4</v>
      </c>
      <c r="AQ174" s="196">
        <f>INDEX('Weight tables'!$A$39:$B$41,MATCH(I_Miei_Rendiconti[[#This Row],[Previouse Report checked?yes/no]],'Weight tables'!$B$39:$B$41,0),1)</f>
        <v>8.4</v>
      </c>
      <c r="AR174" s="196" cm="1">
        <f t="array" ref="AR174">IF(I_Miei_Rendiconti[[#This Row],[Sum of errors in previous report ]]="NON PERTINENTE",0,INDEX('Weight tables'!$A$43:$C$46,MATCH(1,(I_Miei_Rendiconti[[#This Row],[Sum of errors in previous report ]]&gt;='Weight tables'!$B$43:$B$46)*(I_Miei_Rendiconti[[#This Row],[Sum of errors in previous report ]]&lt;='Weight tables'!$C$43:$C$46),0),1))</f>
        <v>0</v>
      </c>
      <c r="AS174" s="196" cm="1">
        <f t="array" ref="AS174">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74" s="196" cm="1">
        <f t="array" ref="AT174">INDEX('Weight tables'!$A$56:$C$65,MATCH(1,('MY-REPORT-MAIN'!U174&gt;='Weight tables'!$B$56:$B$65)*('MY-REPORT-MAIN'!U174&lt;='Weight tables'!$C$56:$C$65),0),1)</f>
        <v>3</v>
      </c>
      <c r="AU174" s="196" cm="1">
        <f t="array" ref="AU174">INDEX('Weight tables'!$A$68:$C$71,MATCH(1,('MY-REPORT-MAIN'!AL174&gt;='Weight tables'!$B$68:$B$71)*('MY-REPORT-MAIN'!AL174&lt;='Weight tables'!$C$68:$C$71),0),1)</f>
        <v>1</v>
      </c>
      <c r="AV174" s="155" cm="1">
        <f t="array" ref="AV174">INDEX('Weight tables'!$A$74:$C$78,MATCH(1,('MY-REPORT-MAIN'!AN174&gt;='Weight tables'!$B$74:$B$78)*('MY-REPORT-MAIN'!AN174&lt;='Weight tables'!$C$74:$C$78),0),1)</f>
        <v>0</v>
      </c>
      <c r="AW174" s="16">
        <f>IF(I_Miei_Rendiconti[[#This Row],[Column1.totalAfterSubmitted]]/AM174&gt;50%,"Checked",0)</f>
        <v>0</v>
      </c>
      <c r="AX174" s="196">
        <f>SUM(AP174:AV174)</f>
        <v>20.8</v>
      </c>
      <c r="AY174" s="196" t="str">
        <f>INDEX('Partner data'!A:EB,MATCH(I_Miei_Rendiconti[[#This Row],[Column1.partnerId]],'Partner data'!DG:DG,0),92)</f>
        <v>Italia (IT)</v>
      </c>
      <c r="AZ174" s="197">
        <f t="shared" ref="AZ174:AZ180" si="8">IF(AY174="Italia (IT)",AX174,0)</f>
        <v>20.8</v>
      </c>
      <c r="BA174" s="20">
        <f>_xlfn.RANK.EQ(AZ174,$AZ$174:$AZ$191,0)</f>
        <v>2</v>
      </c>
      <c r="BB174" s="20" t="str">
        <f>IF(BA174&lt;5,"Check","NO CHECK")</f>
        <v>Check</v>
      </c>
      <c r="BC174" s="191">
        <f t="shared" ref="BC174:BC180" si="9">IF(AY174="Slovenija (SI)",AX174,0)</f>
        <v>0</v>
      </c>
      <c r="BD174" s="20">
        <f>_xlfn.RANK.EQ(BC174,$BC$174:$BC$191,0)</f>
        <v>11</v>
      </c>
      <c r="BE174" s="205" t="str">
        <f>IF(BD174&lt;5,"Check","NO Check")</f>
        <v>NO Check</v>
      </c>
      <c r="BF174" s="190" t="str">
        <f>IF(INDEX('Partner data'!A:DG,MATCH(I_Miei_Rendiconti[[#This Row],[Column1.partnerId]],'Partner data'!DG:DG,0),83)="Soggetto privato","Private","Public")</f>
        <v>Public</v>
      </c>
    </row>
    <row r="175" spans="1:58" ht="30" x14ac:dyDescent="0.25">
      <c r="A175" s="79">
        <v>351</v>
      </c>
      <c r="B175" s="81">
        <v>13</v>
      </c>
      <c r="C175" s="81">
        <v>12</v>
      </c>
      <c r="D175" s="79" t="s">
        <v>2371</v>
      </c>
      <c r="E175" s="79" t="s">
        <v>253</v>
      </c>
      <c r="F175" s="79">
        <v>2</v>
      </c>
      <c r="G175" s="206" t="s">
        <v>30</v>
      </c>
      <c r="H175" s="79">
        <v>3</v>
      </c>
      <c r="I175" s="79" t="s">
        <v>7486</v>
      </c>
      <c r="J175" s="79" t="s">
        <v>2373</v>
      </c>
      <c r="K175" s="208">
        <v>45537</v>
      </c>
      <c r="M175" s="208"/>
      <c r="U175" s="81">
        <v>50940</v>
      </c>
      <c r="V175" s="79" t="str">
        <f>INDEX(pARTNER[#All],MATCH(I_Miei_Rendiconti[[#This Row],[Column1.partnerId]],pARTNER[[#All],[Value.partnerSummary.id]],0),2)</f>
        <v>ADRIONCYCLETOUR</v>
      </c>
      <c r="X175" s="216">
        <f>IF(I_Miei_Rendiconti[[#This Row],[Column1.status]]&lt;&gt;"Certified",0,I_Miei_Rendiconti[[#This Row],[Column1.totalAfterSubmitted]]-I_Miei_Rendiconti[[#This Row],[Column1.totalEligibleAfterControl]])</f>
        <v>0</v>
      </c>
      <c r="Y175" s="80" t="str">
        <f>IF(I_Miei_Rendiconti[[#This Row],[Column1.status]]="Certified",IFERROR(I_Miei_Rendiconti[[#This Row],[Financial corection]]/I_Miei_Rendiconti[[#This Row],[Column1.totalAfterSubmitted]],0),"Rendiconto da certificare")</f>
        <v>Rendiconto da certificare</v>
      </c>
      <c r="Z175" s="207">
        <f>IF(I_Miei_Rendiconti[[#This Row],[Column1.status]]&lt;&gt;"Certified",INDEX('Partner data'!DG:DQ,MATCH(I_Miei_Rendiconti[[#This Row],[Column1.partnerId]],'Partner data'!DG:DG,0),10),"Rendiconto CONVALIDATO")</f>
        <v>222</v>
      </c>
      <c r="AA175"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SI</v>
      </c>
      <c r="AB175" s="81">
        <f>IF(OR(I_Miei_Rendiconti[[#This Row],[N. previouse validated report ]]="Rendiconto CONVALIDATO",I_Miei_Rendiconti[[#This Row],[N. previouse validated report ]]="NON è stato convalidato ancora nessun rendiconto"),"NON PERTINENTE",SUMIFS(Errors!R:R,Errors!D:D,I_Miei_Rendiconti[[#This Row],[N. previouse validated report ]]))</f>
        <v>0</v>
      </c>
      <c r="AC175" s="81">
        <f>IF(OR(I_Miei_Rendiconti[[#This Row],[N. previouse validated report ]]="Rendiconto CONVALIDATO",I_Miei_Rendiconti[[#This Row],[N. previouse validated report ]]="NON è stato convalidato ancora nessun rendiconto"),"NON PERTINENTE",SUMIFS(Errors!R:R,Errors!C:C,I_Miei_Rendiconti[[#This Row],[Column1.partnerId]]))</f>
        <v>0</v>
      </c>
      <c r="AD175" s="2">
        <f>INDEX('Partner data'!DG:DJ,MATCH(I_Miei_Rendiconti[[#This Row],[Column1.partnerId]],'Partner data'!DG:DG,0),3)</f>
        <v>2</v>
      </c>
      <c r="AE175" t="str" cm="1">
        <f t="array" ref="AE175">INDEX('Varie Tabelle'!$A$37:$C$51,MATCH(1,(I_Miei_Rendiconti[[#This Row],[Column1.firstSubmission]]&gt;='Varie Tabelle'!$B$37:$B$51)*(I_Miei_Rendiconti[[#This Row],[Column1.firstSubmission]]&lt;'Varie Tabelle'!$C$37:$C$51),0),1)</f>
        <v>Finestra 3</v>
      </c>
      <c r="AF175" s="109">
        <f>INDEX('Varie Tabelle'!$A$37:$C$51,MATCH('MY-REPORT-MAIN'!AE175,'Varie Tabelle'!$A$37:$A$51,0),2)</f>
        <v>45534</v>
      </c>
      <c r="AG175" s="109">
        <f>INDEX('Partner data'!DG:DR,MATCH(I_Miei_Rendiconti[[#This Row],[Column1.partnerId]],'Partner data'!DG:DG,0),12)</f>
        <v>44805</v>
      </c>
      <c r="AH175" s="115">
        <f t="shared" ref="AH175:AH180" si="10">(AF175-AG175)/30.41</f>
        <v>23.972377507398882</v>
      </c>
      <c r="AI175" t="str" cm="1">
        <f t="array" ref="AI175">INDEX('Varie Tabelle'!$A$12:$C$22,MATCH(1,('MY-REPORT-MAIN'!AH175&gt;='Varie Tabelle'!$B$12:$B$22)*('MY-REPORT-MAIN'!AH175&lt;='Varie Tabelle'!$C$12:$C$22),0),1)</f>
        <v>Periodo-3</v>
      </c>
      <c r="AJ175" s="14">
        <f>INDEX('Partner data'!A:EC,MATCH(I_Miei_Rendiconti[[#This Row],[Column1.partnerId]],'Partner data'!DG:DG,0),MATCH('MY-REPORT-MAIN'!AI175,'Partner data'!$2:$2,0))</f>
        <v>87889.5</v>
      </c>
      <c r="AK175" s="10">
        <f>SUMIFS($U$2:U193,$C$2:C193,I_Miei_Rendiconti[[#This Row],[Column1.partnerId]])-AJ175</f>
        <v>29329.130000000005</v>
      </c>
      <c r="AL175" s="192">
        <f t="shared" si="7"/>
        <v>0.33370459497437127</v>
      </c>
      <c r="AM175" s="14">
        <f>INDEX('Partner data'!A:EB,MATCH(I_Miei_Rendiconti[[#This Row],[Column1.partnerId]],'Partner data'!DG:DG,0),44)</f>
        <v>945000</v>
      </c>
      <c r="AN175" s="14">
        <f>SUMIFS(ListOfExpenditure!AP:AP,ListOfExpenditure!AJ:AJ,I_Miei_Rendiconti[[#This Row],[Column1.id]])</f>
        <v>0</v>
      </c>
      <c r="AO175" s="148">
        <f>SUMIFS(ReportSubmittedBL!W:W,ReportSubmittedBL!D:D,I_Miei_Rendiconti[[#This Row],[Column1.id]])</f>
        <v>14</v>
      </c>
      <c r="AP175" s="155" cm="1">
        <f t="array" ref="AP175">INDEX('Weight tables'!$A$32:$C$36,MATCH(1,('MY-REPORT-MAIN'!AO175&gt;='Weight tables'!$B$32:$B$36)*('MY-REPORT-MAIN'!AO175&lt;='Weight tables'!$C$32:$C$36),0),1)</f>
        <v>8.4</v>
      </c>
      <c r="AQ175" s="155">
        <f>INDEX('Weight tables'!$A$39:$B$41,MATCH(I_Miei_Rendiconti[[#This Row],[Previouse Report checked?yes/no]],'Weight tables'!$B$39:$B$41,0),1)</f>
        <v>0</v>
      </c>
      <c r="AR175" s="155" cm="1">
        <f t="array" ref="AR175">IF(I_Miei_Rendiconti[[#This Row],[Sum of errors in previous report ]]="NON PERTINENTE",0,INDEX('Weight tables'!$A$43:$C$46,MATCH(1,(I_Miei_Rendiconti[[#This Row],[Sum of errors in previous report ]]&gt;='Weight tables'!$B$43:$B$46)*(I_Miei_Rendiconti[[#This Row],[Sum of errors in previous report ]]&lt;='Weight tables'!$C$43:$C$46),0),1))</f>
        <v>0</v>
      </c>
      <c r="AS175" s="155" cm="1">
        <f t="array" ref="AS175">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75" s="155" cm="1">
        <f t="array" ref="AT175">INDEX('Weight tables'!$A$56:$C$65,MATCH(1,('MY-REPORT-MAIN'!U175&gt;='Weight tables'!$B$56:$B$65)*('MY-REPORT-MAIN'!U175&lt;='Weight tables'!$C$56:$C$65),0),1)</f>
        <v>5</v>
      </c>
      <c r="AU175" s="155" cm="1">
        <f t="array" ref="AU175">INDEX('Weight tables'!$A$68:$C$71,MATCH(1,('MY-REPORT-MAIN'!AL175&gt;='Weight tables'!$B$68:$B$71)*('MY-REPORT-MAIN'!AL175&lt;='Weight tables'!$C$68:$C$71),0),1)</f>
        <v>2</v>
      </c>
      <c r="AV175" s="155" cm="1">
        <f t="array" ref="AV175">INDEX('Weight tables'!$A$74:$C$78,MATCH(1,('MY-REPORT-MAIN'!AN175&gt;='Weight tables'!$B$74:$B$78)*('MY-REPORT-MAIN'!AN175&lt;='Weight tables'!$C$74:$C$78),0),1)</f>
        <v>0</v>
      </c>
      <c r="AW175" s="16">
        <f>IF(I_Miei_Rendiconti[[#This Row],[Column1.totalAfterSubmitted]]/AM175&gt;50%,"Checked",0)</f>
        <v>0</v>
      </c>
      <c r="AX175" s="155">
        <f t="shared" si="6"/>
        <v>15.4</v>
      </c>
      <c r="AY175" s="155" t="str">
        <f>INDEX('Partner data'!A:EB,MATCH(I_Miei_Rendiconti[[#This Row],[Column1.partnerId]],'Partner data'!DG:DG,0),92)</f>
        <v>Italia (IT)</v>
      </c>
      <c r="AZ175" s="198">
        <f t="shared" si="8"/>
        <v>15.4</v>
      </c>
      <c r="BA175" s="20">
        <f t="shared" ref="BA175:BA191" si="11">_xlfn.RANK.EQ(AZ175,$AZ$174:$AZ$191,0)</f>
        <v>6</v>
      </c>
      <c r="BB175" s="20" t="str">
        <f t="shared" ref="BB175:BB191" si="12">IF(BA175&lt;5,"Check","NO CHECK")</f>
        <v>NO CHECK</v>
      </c>
      <c r="BC175" s="2">
        <f t="shared" si="9"/>
        <v>0</v>
      </c>
      <c r="BD175" s="20">
        <f t="shared" ref="BD175:BD191" si="13">_xlfn.RANK.EQ(BC175,$BC$174:$BC$191,0)</f>
        <v>11</v>
      </c>
      <c r="BE175" s="205" t="str">
        <f t="shared" ref="BE175:BE191" si="14">IF(BD175&lt;5,"Check","NO Check")</f>
        <v>NO Check</v>
      </c>
      <c r="BF175" s="190" t="str">
        <f>IF(INDEX('Partner data'!A:DG,MATCH(I_Miei_Rendiconti[[#This Row],[Column1.partnerId]],'Partner data'!DG:DG,0),83)="Soggetto privato","Private","Public")</f>
        <v>Public</v>
      </c>
    </row>
    <row r="176" spans="1:58" ht="30" x14ac:dyDescent="0.25">
      <c r="A176" s="79">
        <v>352</v>
      </c>
      <c r="B176" s="81">
        <v>13</v>
      </c>
      <c r="C176" s="81">
        <v>13</v>
      </c>
      <c r="D176" s="79" t="s">
        <v>2371</v>
      </c>
      <c r="E176" s="79" t="s">
        <v>253</v>
      </c>
      <c r="F176" s="79">
        <v>3</v>
      </c>
      <c r="G176" s="206" t="s">
        <v>21</v>
      </c>
      <c r="H176" s="79">
        <v>3</v>
      </c>
      <c r="I176" s="79" t="s">
        <v>7486</v>
      </c>
      <c r="J176" s="79" t="s">
        <v>2373</v>
      </c>
      <c r="K176" s="208">
        <v>45537</v>
      </c>
      <c r="M176" s="208"/>
      <c r="U176" s="81">
        <v>31569</v>
      </c>
      <c r="V176" s="79" t="str">
        <f>INDEX(pARTNER[#All],MATCH(I_Miei_Rendiconti[[#This Row],[Column1.partnerId]],pARTNER[[#All],[Value.partnerSummary.id]],0),2)</f>
        <v>ADRIONCYCLETOUR</v>
      </c>
      <c r="X176" s="216">
        <f>IF(I_Miei_Rendiconti[[#This Row],[Column1.status]]&lt;&gt;"Certified",0,I_Miei_Rendiconti[[#This Row],[Column1.totalAfterSubmitted]]-I_Miei_Rendiconti[[#This Row],[Column1.totalEligibleAfterControl]])</f>
        <v>0</v>
      </c>
      <c r="Y176" s="80" t="str">
        <f>IF(I_Miei_Rendiconti[[#This Row],[Column1.status]]="Certified",IFERROR(I_Miei_Rendiconti[[#This Row],[Financial corection]]/I_Miei_Rendiconti[[#This Row],[Column1.totalAfterSubmitted]],0),"Rendiconto da certificare")</f>
        <v>Rendiconto da certificare</v>
      </c>
      <c r="Z176" s="207">
        <f>IF(I_Miei_Rendiconti[[#This Row],[Column1.status]]&lt;&gt;"Certified",INDEX('Partner data'!DG:DQ,MATCH(I_Miei_Rendiconti[[#This Row],[Column1.partnerId]],'Partner data'!DG:DG,0),10),"Rendiconto CONVALIDATO")</f>
        <v>189</v>
      </c>
      <c r="AA176"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SI</v>
      </c>
      <c r="AB176" s="81">
        <f>IF(OR(I_Miei_Rendiconti[[#This Row],[N. previouse validated report ]]="Rendiconto CONVALIDATO",I_Miei_Rendiconti[[#This Row],[N. previouse validated report ]]="NON è stato convalidato ancora nessun rendiconto"),"NON PERTINENTE",SUMIFS(Errors!R:R,Errors!D:D,I_Miei_Rendiconti[[#This Row],[N. previouse validated report ]]))</f>
        <v>0</v>
      </c>
      <c r="AC176" s="81">
        <f>IF(OR(I_Miei_Rendiconti[[#This Row],[N. previouse validated report ]]="Rendiconto CONVALIDATO",I_Miei_Rendiconti[[#This Row],[N. previouse validated report ]]="NON è stato convalidato ancora nessun rendiconto"),"NON PERTINENTE",SUMIFS(Errors!R:R,Errors!C:C,I_Miei_Rendiconti[[#This Row],[Column1.partnerId]]))</f>
        <v>0</v>
      </c>
      <c r="AD176" s="2">
        <f>INDEX('Partner data'!DG:DJ,MATCH(I_Miei_Rendiconti[[#This Row],[Column1.partnerId]],'Partner data'!DG:DG,0),3)</f>
        <v>2</v>
      </c>
      <c r="AE176" t="str" cm="1">
        <f t="array" ref="AE176">INDEX('Varie Tabelle'!$A$37:$C$51,MATCH(1,(I_Miei_Rendiconti[[#This Row],[Column1.firstSubmission]]&gt;='Varie Tabelle'!$B$37:$B$51)*(I_Miei_Rendiconti[[#This Row],[Column1.firstSubmission]]&lt;'Varie Tabelle'!$C$37:$C$51),0),1)</f>
        <v>Finestra 3</v>
      </c>
      <c r="AF176" s="109">
        <f>INDEX('Varie Tabelle'!$A$37:$C$51,MATCH('MY-REPORT-MAIN'!AE176,'Varie Tabelle'!$A$37:$A$51,0),2)</f>
        <v>45534</v>
      </c>
      <c r="AG176" s="109">
        <f>INDEX('Partner data'!DG:DR,MATCH(I_Miei_Rendiconti[[#This Row],[Column1.partnerId]],'Partner data'!DG:DG,0),12)</f>
        <v>44805</v>
      </c>
      <c r="AH176" s="115">
        <f t="shared" si="10"/>
        <v>23.972377507398882</v>
      </c>
      <c r="AI176" t="str" cm="1">
        <f t="array" ref="AI176">INDEX('Varie Tabelle'!$A$12:$C$22,MATCH(1,('MY-REPORT-MAIN'!AH176&gt;='Varie Tabelle'!$B$12:$B$22)*('MY-REPORT-MAIN'!AH176&lt;='Varie Tabelle'!$C$12:$C$22),0),1)</f>
        <v>Periodo-3</v>
      </c>
      <c r="AJ176" s="14">
        <f>INDEX('Partner data'!A:EC,MATCH(I_Miei_Rendiconti[[#This Row],[Column1.partnerId]],'Partner data'!DG:DG,0),MATCH('MY-REPORT-MAIN'!AI176,'Partner data'!$2:$2,0))</f>
        <v>55710</v>
      </c>
      <c r="AK176" s="10">
        <f>SUMIFS($U$2:U194,$C$2:C194,I_Miei_Rendiconti[[#This Row],[Column1.partnerId]])-AJ176</f>
        <v>17203.740000000005</v>
      </c>
      <c r="AL176" s="192">
        <f t="shared" si="7"/>
        <v>0.30880883144857307</v>
      </c>
      <c r="AM176" s="14">
        <f>INDEX('Partner data'!A:EB,MATCH(I_Miei_Rendiconti[[#This Row],[Column1.partnerId]],'Partner data'!DG:DG,0),44)</f>
        <v>320000</v>
      </c>
      <c r="AN176" s="14">
        <f>SUMIFS(ListOfExpenditure!AP:AP,ListOfExpenditure!AJ:AJ,I_Miei_Rendiconti[[#This Row],[Column1.id]])</f>
        <v>0</v>
      </c>
      <c r="AO176" s="148">
        <f>SUMIFS(ReportSubmittedBL!W:W,ReportSubmittedBL!D:D,I_Miei_Rendiconti[[#This Row],[Column1.id]])</f>
        <v>12</v>
      </c>
      <c r="AP176" s="155" cm="1">
        <f t="array" ref="AP176">INDEX('Weight tables'!$A$32:$C$36,MATCH(1,('MY-REPORT-MAIN'!AO176&gt;='Weight tables'!$B$32:$B$36)*('MY-REPORT-MAIN'!AO176&lt;='Weight tables'!$C$32:$C$36),0),1)</f>
        <v>8.4</v>
      </c>
      <c r="AQ176" s="155">
        <f>INDEX('Weight tables'!$A$39:$B$41,MATCH(I_Miei_Rendiconti[[#This Row],[Previouse Report checked?yes/no]],'Weight tables'!$B$39:$B$41,0),1)</f>
        <v>0</v>
      </c>
      <c r="AR176" s="155" cm="1">
        <f t="array" ref="AR176">IF(I_Miei_Rendiconti[[#This Row],[Sum of errors in previous report ]]="NON PERTINENTE",0,INDEX('Weight tables'!$A$43:$C$46,MATCH(1,(I_Miei_Rendiconti[[#This Row],[Sum of errors in previous report ]]&gt;='Weight tables'!$B$43:$B$46)*(I_Miei_Rendiconti[[#This Row],[Sum of errors in previous report ]]&lt;='Weight tables'!$C$43:$C$46),0),1))</f>
        <v>0</v>
      </c>
      <c r="AS176" s="155" cm="1">
        <f t="array" ref="AS176">IF(I_Miei_Rendiconti[[#This Row],[Sum of errors in the previous reports]]="NON PERTINENTE",0,INDEX('Weight tables'!$A$49:$C$52,MATCH(1,(I_Miei_Rendiconti[[#This Row],[Sum of errors in the previous reports]]&gt;='Weight tables'!$B$49:$B$52)*(I_Miei_Rendiconti[[#This Row],[Sum of errors in the previous reports]]&lt;='Weight tables'!$C$49:$C$52),0),1))</f>
        <v>0</v>
      </c>
      <c r="AT176" s="155" cm="1">
        <f t="array" ref="AT176">INDEX('Weight tables'!$A$56:$C$65,MATCH(1,('MY-REPORT-MAIN'!U176&gt;='Weight tables'!$B$56:$B$65)*('MY-REPORT-MAIN'!U176&lt;='Weight tables'!$C$56:$C$65),0),1)</f>
        <v>3</v>
      </c>
      <c r="AU176" s="155" cm="1">
        <f t="array" ref="AU176">INDEX('Weight tables'!$A$68:$C$71,MATCH(1,('MY-REPORT-MAIN'!AL176&gt;='Weight tables'!$B$68:$B$71)*('MY-REPORT-MAIN'!AL176&lt;='Weight tables'!$C$68:$C$71),0),1)</f>
        <v>2</v>
      </c>
      <c r="AV176" s="155" cm="1">
        <f t="array" ref="AV176">INDEX('Weight tables'!$A$74:$C$78,MATCH(1,('MY-REPORT-MAIN'!AN176&gt;='Weight tables'!$B$74:$B$78)*('MY-REPORT-MAIN'!AN176&lt;='Weight tables'!$C$74:$C$78),0),1)</f>
        <v>0</v>
      </c>
      <c r="AW176" s="16">
        <f>IF(I_Miei_Rendiconti[[#This Row],[Column1.totalAfterSubmitted]]/AM176&gt;50%,"Checked",0)</f>
        <v>0</v>
      </c>
      <c r="AX176" s="155">
        <f t="shared" si="6"/>
        <v>13.4</v>
      </c>
      <c r="AY176" s="155" t="str">
        <f>INDEX('Partner data'!A:EB,MATCH(I_Miei_Rendiconti[[#This Row],[Column1.partnerId]],'Partner data'!DG:DG,0),92)</f>
        <v>Italia (IT)</v>
      </c>
      <c r="AZ176" s="198">
        <f t="shared" si="8"/>
        <v>13.4</v>
      </c>
      <c r="BA176" s="20">
        <f t="shared" si="11"/>
        <v>7</v>
      </c>
      <c r="BB176" s="20" t="str">
        <f t="shared" si="12"/>
        <v>NO CHECK</v>
      </c>
      <c r="BC176" s="2">
        <f t="shared" si="9"/>
        <v>0</v>
      </c>
      <c r="BD176" s="20">
        <f t="shared" si="13"/>
        <v>11</v>
      </c>
      <c r="BE176" s="205" t="str">
        <f t="shared" si="14"/>
        <v>NO Check</v>
      </c>
      <c r="BF176" s="190" t="str">
        <f>IF(INDEX('Partner data'!A:DG,MATCH(I_Miei_Rendiconti[[#This Row],[Column1.partnerId]],'Partner data'!DG:DG,0),83)="Soggetto privato","Private","Public")</f>
        <v>Public</v>
      </c>
    </row>
    <row r="177" spans="1:58" ht="30" x14ac:dyDescent="0.25">
      <c r="A177" s="79">
        <v>353</v>
      </c>
      <c r="B177" s="81">
        <v>13</v>
      </c>
      <c r="C177" s="81">
        <v>14</v>
      </c>
      <c r="D177" s="79" t="s">
        <v>2371</v>
      </c>
      <c r="E177" s="79" t="s">
        <v>253</v>
      </c>
      <c r="F177" s="79">
        <v>4</v>
      </c>
      <c r="G177" s="206" t="s">
        <v>40</v>
      </c>
      <c r="H177" s="79">
        <v>3</v>
      </c>
      <c r="I177" s="79" t="s">
        <v>7486</v>
      </c>
      <c r="J177" s="79" t="s">
        <v>2373</v>
      </c>
      <c r="K177" s="208">
        <v>45537</v>
      </c>
      <c r="M177" s="208"/>
      <c r="U177" s="81">
        <v>52940</v>
      </c>
      <c r="V177" s="79" t="str">
        <f>INDEX(pARTNER[#All],MATCH(I_Miei_Rendiconti[[#This Row],[Column1.partnerId]],pARTNER[[#All],[Value.partnerSummary.id]],0),2)</f>
        <v>ADRIONCYCLETOUR</v>
      </c>
      <c r="X177" s="216">
        <f>IF(I_Miei_Rendiconti[[#This Row],[Column1.status]]&lt;&gt;"Certified",0,I_Miei_Rendiconti[[#This Row],[Column1.totalAfterSubmitted]]-I_Miei_Rendiconti[[#This Row],[Column1.totalEligibleAfterControl]])</f>
        <v>0</v>
      </c>
      <c r="Y177" s="80" t="str">
        <f>IF(I_Miei_Rendiconti[[#This Row],[Column1.status]]="Certified",IFERROR(I_Miei_Rendiconti[[#This Row],[Financial corection]]/I_Miei_Rendiconti[[#This Row],[Column1.totalAfterSubmitted]],0),"Rendiconto da certificare")</f>
        <v>Rendiconto da certificare</v>
      </c>
      <c r="Z177" s="207">
        <f>IF(I_Miei_Rendiconti[[#This Row],[Column1.status]]&lt;&gt;"Certified",INDEX('Partner data'!DG:DQ,MATCH(I_Miei_Rendiconti[[#This Row],[Column1.partnerId]],'Partner data'!DG:DG,0),10),"Rendiconto CONVALIDATO")</f>
        <v>297</v>
      </c>
      <c r="AA177"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SI</v>
      </c>
      <c r="AB177" s="81">
        <f>IF(OR(I_Miei_Rendiconti[[#This Row],[N. previouse validated report ]]="Rendiconto CONVALIDATO",I_Miei_Rendiconti[[#This Row],[N. previouse validated report ]]="NON è stato convalidato ancora nessun rendiconto"),"NON PERTINENTE",SUMIFS(Errors!R:R,Errors!D:D,I_Miei_Rendiconti[[#This Row],[N. previouse validated report ]]))</f>
        <v>0</v>
      </c>
      <c r="AC177" s="81">
        <f>IF(OR(I_Miei_Rendiconti[[#This Row],[N. previouse validated report ]]="Rendiconto CONVALIDATO",I_Miei_Rendiconti[[#This Row],[N. previouse validated report ]]="NON è stato convalidato ancora nessun rendiconto"),"NON PERTINENTE",SUMIFS(Errors!R:R,Errors!C:C,I_Miei_Rendiconti[[#This Row],[Column1.partnerId]]))</f>
        <v>8</v>
      </c>
      <c r="AD177" s="2">
        <f>INDEX('Partner data'!DG:DJ,MATCH(I_Miei_Rendiconti[[#This Row],[Column1.partnerId]],'Partner data'!DG:DG,0),3)</f>
        <v>2</v>
      </c>
      <c r="AE177" t="str" cm="1">
        <f t="array" ref="AE177">INDEX('Varie Tabelle'!$A$37:$C$51,MATCH(1,(I_Miei_Rendiconti[[#This Row],[Column1.firstSubmission]]&gt;='Varie Tabelle'!$B$37:$B$51)*(I_Miei_Rendiconti[[#This Row],[Column1.firstSubmission]]&lt;'Varie Tabelle'!$C$37:$C$51),0),1)</f>
        <v>Finestra 3</v>
      </c>
      <c r="AF177" s="109">
        <f>INDEX('Varie Tabelle'!$A$37:$C$51,MATCH('MY-REPORT-MAIN'!AE177,'Varie Tabelle'!$A$37:$A$51,0),2)</f>
        <v>45534</v>
      </c>
      <c r="AG177" s="109">
        <f>INDEX('Partner data'!DG:DR,MATCH(I_Miei_Rendiconti[[#This Row],[Column1.partnerId]],'Partner data'!DG:DG,0),12)</f>
        <v>44805</v>
      </c>
      <c r="AH177" s="115">
        <f t="shared" si="10"/>
        <v>23.972377507398882</v>
      </c>
      <c r="AI177" t="str" cm="1">
        <f t="array" ref="AI177">INDEX('Varie Tabelle'!$A$12:$C$22,MATCH(1,('MY-REPORT-MAIN'!AH177&gt;='Varie Tabelle'!$B$12:$B$22)*('MY-REPORT-MAIN'!AH177&lt;='Varie Tabelle'!$C$12:$C$22),0),1)</f>
        <v>Periodo-3</v>
      </c>
      <c r="AJ177" s="14">
        <f>INDEX('Partner data'!A:EC,MATCH(I_Miei_Rendiconti[[#This Row],[Column1.partnerId]],'Partner data'!DG:DG,0),MATCH('MY-REPORT-MAIN'!AI177,'Partner data'!$2:$2,0))</f>
        <v>104540</v>
      </c>
      <c r="AK177" s="10">
        <f>SUMIFS($U$2:U195,$C$2:C195,I_Miei_Rendiconti[[#This Row],[Column1.partnerId]])-AJ177</f>
        <v>11167.429999999993</v>
      </c>
      <c r="AL177" s="192">
        <f t="shared" si="7"/>
        <v>0.10682446910273573</v>
      </c>
      <c r="AM177" s="14">
        <f>INDEX('Partner data'!A:EB,MATCH(I_Miei_Rendiconti[[#This Row],[Column1.partnerId]],'Partner data'!DG:DG,0),44)</f>
        <v>316808</v>
      </c>
      <c r="AN177" s="14">
        <f>SUMIFS(ListOfExpenditure!AP:AP,ListOfExpenditure!AJ:AJ,I_Miei_Rendiconti[[#This Row],[Column1.id]])</f>
        <v>0</v>
      </c>
      <c r="AO177" s="148">
        <f>SUMIFS(ReportSubmittedBL!W:W,ReportSubmittedBL!D:D,I_Miei_Rendiconti[[#This Row],[Column1.id]])</f>
        <v>16</v>
      </c>
      <c r="AP177" s="155" cm="1">
        <f t="array" ref="AP177">INDEX('Weight tables'!$A$32:$C$36,MATCH(1,('MY-REPORT-MAIN'!AO177&gt;='Weight tables'!$B$32:$B$36)*('MY-REPORT-MAIN'!AO177&lt;='Weight tables'!$C$32:$C$36),0),1)</f>
        <v>8.4</v>
      </c>
      <c r="AQ177" s="155">
        <f>INDEX('Weight tables'!$A$39:$B$41,MATCH(I_Miei_Rendiconti[[#This Row],[Previouse Report checked?yes/no]],'Weight tables'!$B$39:$B$41,0),1)</f>
        <v>0</v>
      </c>
      <c r="AR177" s="155" cm="1">
        <f t="array" ref="AR177">IF(I_Miei_Rendiconti[[#This Row],[Sum of errors in previous report ]]="NON PERTINENTE",0,INDEX('Weight tables'!$A$43:$C$46,MATCH(1,(I_Miei_Rendiconti[[#This Row],[Sum of errors in previous report ]]&gt;='Weight tables'!$B$43:$B$46)*(I_Miei_Rendiconti[[#This Row],[Sum of errors in previous report ]]&lt;='Weight tables'!$C$43:$C$46),0),1))</f>
        <v>0</v>
      </c>
      <c r="AS177" s="155" cm="1">
        <f t="array" ref="AS177">IF(I_Miei_Rendiconti[[#This Row],[Sum of errors in the previous reports]]="NON PERTINENTE",0,INDEX('Weight tables'!$A$49:$C$52,MATCH(1,((I_Miei_Rendiconti[[#This Row],[Sum of errors in the previous reports]]/2)&gt;='Weight tables'!$B$49:$B$52)*((I_Miei_Rendiconti[[#This Row],[Sum of errors in the previous reports]]/2)&lt;='Weight tables'!$C$49:$C$52),0),1))</f>
        <v>1</v>
      </c>
      <c r="AT177" s="155" cm="1">
        <f t="array" ref="AT177">INDEX('Weight tables'!$A$56:$C$65,MATCH(1,('MY-REPORT-MAIN'!U177&gt;='Weight tables'!$B$56:$B$65)*('MY-REPORT-MAIN'!U177&lt;='Weight tables'!$C$56:$C$65),0),1)</f>
        <v>5</v>
      </c>
      <c r="AU177" s="155" cm="1">
        <f t="array" ref="AU177">INDEX('Weight tables'!$A$68:$C$71,MATCH(1,('MY-REPORT-MAIN'!AL177&gt;='Weight tables'!$B$68:$B$71)*('MY-REPORT-MAIN'!AL177&lt;='Weight tables'!$C$68:$C$71),0),1)</f>
        <v>1</v>
      </c>
      <c r="AV177" s="155" cm="1">
        <f t="array" ref="AV177">INDEX('Weight tables'!$A$74:$C$78,MATCH(1,('MY-REPORT-MAIN'!AN177&gt;='Weight tables'!$B$74:$B$78)*('MY-REPORT-MAIN'!AN177&lt;='Weight tables'!$C$74:$C$78),0),1)</f>
        <v>0</v>
      </c>
      <c r="AW177" s="16">
        <f>IF(I_Miei_Rendiconti[[#This Row],[Column1.totalAfterSubmitted]]/AM177&gt;50%,"Checked",0)</f>
        <v>0</v>
      </c>
      <c r="AX177" s="155">
        <f t="shared" si="6"/>
        <v>15.4</v>
      </c>
      <c r="AY177" s="155" t="str">
        <f>INDEX('Partner data'!A:EB,MATCH(I_Miei_Rendiconti[[#This Row],[Column1.partnerId]],'Partner data'!DG:DG,0),92)</f>
        <v>Slovenija (SI)</v>
      </c>
      <c r="AZ177" s="198">
        <f t="shared" si="8"/>
        <v>0</v>
      </c>
      <c r="BA177" s="20">
        <f t="shared" si="11"/>
        <v>9</v>
      </c>
      <c r="BB177" s="20" t="str">
        <f t="shared" si="12"/>
        <v>NO CHECK</v>
      </c>
      <c r="BC177" s="2">
        <f t="shared" si="9"/>
        <v>15.4</v>
      </c>
      <c r="BD177" s="20">
        <f t="shared" si="13"/>
        <v>9</v>
      </c>
      <c r="BE177" s="205" t="str">
        <f t="shared" si="14"/>
        <v>NO Check</v>
      </c>
      <c r="BF177" s="190" t="str">
        <f>IF(INDEX('Partner data'!A:DG,MATCH(I_Miei_Rendiconti[[#This Row],[Column1.partnerId]],'Partner data'!DG:DG,0),83)="Soggetto privato","Private","Public")</f>
        <v>Public</v>
      </c>
    </row>
    <row r="178" spans="1:58" ht="30" x14ac:dyDescent="0.25">
      <c r="A178" s="79">
        <v>354</v>
      </c>
      <c r="B178" s="81">
        <v>13</v>
      </c>
      <c r="C178" s="81">
        <v>15</v>
      </c>
      <c r="D178" s="79" t="s">
        <v>2371</v>
      </c>
      <c r="E178" s="79" t="s">
        <v>253</v>
      </c>
      <c r="F178" s="79">
        <v>5</v>
      </c>
      <c r="G178" s="206" t="s">
        <v>33</v>
      </c>
      <c r="H178" s="79">
        <v>3</v>
      </c>
      <c r="I178" s="79" t="s">
        <v>7486</v>
      </c>
      <c r="J178" s="79" t="s">
        <v>2373</v>
      </c>
      <c r="K178" s="208">
        <v>45537</v>
      </c>
      <c r="M178" s="208"/>
      <c r="U178" s="81">
        <v>103200.27</v>
      </c>
      <c r="V178" s="79" t="str">
        <f>INDEX(pARTNER[#All],MATCH(I_Miei_Rendiconti[[#This Row],[Column1.partnerId]],pARTNER[[#All],[Value.partnerSummary.id]],0),2)</f>
        <v>ADRIONCYCLETOUR</v>
      </c>
      <c r="X178" s="216">
        <f>IF(I_Miei_Rendiconti[[#This Row],[Column1.status]]&lt;&gt;"Certified",0,I_Miei_Rendiconti[[#This Row],[Column1.totalAfterSubmitted]]-I_Miei_Rendiconti[[#This Row],[Column1.totalEligibleAfterControl]])</f>
        <v>0</v>
      </c>
      <c r="Y178" s="80" t="str">
        <f>IF(I_Miei_Rendiconti[[#This Row],[Column1.status]]="Certified",IFERROR(I_Miei_Rendiconti[[#This Row],[Financial corection]]/I_Miei_Rendiconti[[#This Row],[Column1.totalAfterSubmitted]],0),"Rendiconto da certificare")</f>
        <v>Rendiconto da certificare</v>
      </c>
      <c r="Z178" s="207">
        <f>IF(I_Miei_Rendiconti[[#This Row],[Column1.status]]&lt;&gt;"Certified",INDEX('Partner data'!DG:DQ,MATCH(I_Miei_Rendiconti[[#This Row],[Column1.partnerId]],'Partner data'!DG:DG,0),10),"Rendiconto CONVALIDATO")</f>
        <v>264</v>
      </c>
      <c r="AA178"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78" s="81">
        <f>IF(OR(I_Miei_Rendiconti[[#This Row],[N. previouse validated report ]]="Rendiconto CONVALIDATO",I_Miei_Rendiconti[[#This Row],[N. previouse validated report ]]="NON è stato convalidato ancora nessun rendiconto"),"NON PERTINENTE",SUMIFS(Errors!R:R,Errors!D:D,I_Miei_Rendiconti[[#This Row],[N. previouse validated report ]]))</f>
        <v>0</v>
      </c>
      <c r="AC178" s="81">
        <f>IF(OR(I_Miei_Rendiconti[[#This Row],[N. previouse validated report ]]="Rendiconto CONVALIDATO",I_Miei_Rendiconti[[#This Row],[N. previouse validated report ]]="NON è stato convalidato ancora nessun rendiconto"),"NON PERTINENTE",SUMIFS(Errors!R:R,Errors!C:C,I_Miei_Rendiconti[[#This Row],[Column1.partnerId]]))</f>
        <v>2</v>
      </c>
      <c r="AD178" s="2">
        <f>INDEX('Partner data'!DG:DJ,MATCH(I_Miei_Rendiconti[[#This Row],[Column1.partnerId]],'Partner data'!DG:DG,0),3)</f>
        <v>2</v>
      </c>
      <c r="AE178" t="str" cm="1">
        <f t="array" ref="AE178">INDEX('Varie Tabelle'!$A$37:$C$51,MATCH(1,(I_Miei_Rendiconti[[#This Row],[Column1.firstSubmission]]&gt;='Varie Tabelle'!$B$37:$B$51)*(I_Miei_Rendiconti[[#This Row],[Column1.firstSubmission]]&lt;'Varie Tabelle'!$C$37:$C$51),0),1)</f>
        <v>Finestra 3</v>
      </c>
      <c r="AF178" s="109">
        <f>INDEX('Varie Tabelle'!$A$37:$C$51,MATCH('MY-REPORT-MAIN'!AE178,'Varie Tabelle'!$A$37:$A$51,0),2)</f>
        <v>45534</v>
      </c>
      <c r="AG178" s="109">
        <f>INDEX('Partner data'!DG:DR,MATCH(I_Miei_Rendiconti[[#This Row],[Column1.partnerId]],'Partner data'!DG:DG,0),12)</f>
        <v>44805</v>
      </c>
      <c r="AH178" s="115">
        <f t="shared" si="10"/>
        <v>23.972377507398882</v>
      </c>
      <c r="AI178" t="str" cm="1">
        <f t="array" ref="AI178">INDEX('Varie Tabelle'!$A$12:$C$22,MATCH(1,('MY-REPORT-MAIN'!AH178&gt;='Varie Tabelle'!$B$12:$B$22)*('MY-REPORT-MAIN'!AH178&lt;='Varie Tabelle'!$C$12:$C$22),0),1)</f>
        <v>Periodo-3</v>
      </c>
      <c r="AJ178" s="14">
        <f>INDEX('Partner data'!A:EC,MATCH(I_Miei_Rendiconti[[#This Row],[Column1.partnerId]],'Partner data'!DG:DG,0),MATCH('MY-REPORT-MAIN'!AI178,'Partner data'!$2:$2,0))</f>
        <v>161100.81</v>
      </c>
      <c r="AK178" s="10">
        <f>SUMIFS($U$2:U196,$C$2:C196,I_Miei_Rendiconti[[#This Row],[Column1.partnerId]])-AJ178</f>
        <v>96307.530000000028</v>
      </c>
      <c r="AL178" s="192">
        <f t="shared" si="7"/>
        <v>0.59780909853898334</v>
      </c>
      <c r="AM178" s="14">
        <f>INDEX('Partner data'!A:EB,MATCH(I_Miei_Rendiconti[[#This Row],[Column1.partnerId]],'Partner data'!DG:DG,0),44)</f>
        <v>316504</v>
      </c>
      <c r="AN178" s="14">
        <f>SUMIFS(ListOfExpenditure!AP:AP,ListOfExpenditure!AJ:AJ,I_Miei_Rendiconti[[#This Row],[Column1.id]])</f>
        <v>0</v>
      </c>
      <c r="AO178" s="148">
        <f>SUMIFS(ReportSubmittedBL!W:W,ReportSubmittedBL!D:D,I_Miei_Rendiconti[[#This Row],[Column1.id]])</f>
        <v>16</v>
      </c>
      <c r="AP178" s="155" cm="1">
        <f t="array" ref="AP178">INDEX('Weight tables'!$A$32:$C$36,MATCH(1,('MY-REPORT-MAIN'!AO178&gt;='Weight tables'!$B$32:$B$36)*('MY-REPORT-MAIN'!AO178&lt;='Weight tables'!$C$32:$C$36),0),1)</f>
        <v>8.4</v>
      </c>
      <c r="AQ178" s="155">
        <f>INDEX('Weight tables'!$A$39:$B$41,MATCH(I_Miei_Rendiconti[[#This Row],[Previouse Report checked?yes/no]],'Weight tables'!$B$39:$B$41,0),1)</f>
        <v>8.4</v>
      </c>
      <c r="AR178" s="155" cm="1">
        <f t="array" ref="AR178">IF(I_Miei_Rendiconti[[#This Row],[Sum of errors in previous report ]]="NON PERTINENTE",0,INDEX('Weight tables'!$A$43:$C$46,MATCH(1,(I_Miei_Rendiconti[[#This Row],[Sum of errors in previous report ]]&gt;='Weight tables'!$B$43:$B$46)*(I_Miei_Rendiconti[[#This Row],[Sum of errors in previous report ]]&lt;='Weight tables'!$C$43:$C$46),0),1))</f>
        <v>0</v>
      </c>
      <c r="AS178" s="155" cm="1">
        <f t="array" ref="AS178">IF(I_Miei_Rendiconti[[#This Row],[Sum of errors in the previous reports]]="NON PERTINENTE",0,INDEX('Weight tables'!$A$49:$C$52,MATCH(1,((I_Miei_Rendiconti[[#This Row],[Sum of errors in the previous reports]]/2)&gt;='Weight tables'!$B$49:$B$52)*((I_Miei_Rendiconti[[#This Row],[Sum of errors in the previous reports]]/2)&lt;='Weight tables'!$C$49:$C$52),0),1))</f>
        <v>0</v>
      </c>
      <c r="AT178" s="155" cm="1">
        <f t="array" ref="AT178">INDEX('Weight tables'!$A$56:$C$65,MATCH(1,('MY-REPORT-MAIN'!U178&gt;='Weight tables'!$B$56:$B$65)*('MY-REPORT-MAIN'!U178&lt;='Weight tables'!$C$56:$C$65),0),1)</f>
        <v>8</v>
      </c>
      <c r="AU178" s="155" cm="1">
        <f t="array" ref="AU178">INDEX('Weight tables'!$A$68:$C$71,MATCH(1,('MY-REPORT-MAIN'!AL178&gt;='Weight tables'!$B$68:$B$71)*('MY-REPORT-MAIN'!AL178&lt;='Weight tables'!$C$68:$C$71),0),1)</f>
        <v>2</v>
      </c>
      <c r="AV178" s="155" cm="1">
        <f t="array" ref="AV178">INDEX('Weight tables'!$A$74:$C$78,MATCH(1,('MY-REPORT-MAIN'!AN178&gt;='Weight tables'!$B$74:$B$78)*('MY-REPORT-MAIN'!AN178&lt;='Weight tables'!$C$74:$C$78),0),1)</f>
        <v>0</v>
      </c>
      <c r="AW178" s="16">
        <f>IF(I_Miei_Rendiconti[[#This Row],[Column1.totalAfterSubmitted]]/AM178&gt;50%,"Checked",0)</f>
        <v>0</v>
      </c>
      <c r="AX178" s="155">
        <f t="shared" si="6"/>
        <v>26.8</v>
      </c>
      <c r="AY178" s="155" t="str">
        <f>INDEX('Partner data'!A:EB,MATCH(I_Miei_Rendiconti[[#This Row],[Column1.partnerId]],'Partner data'!DG:DG,0),92)</f>
        <v>Slovenija (SI)</v>
      </c>
      <c r="AZ178" s="198">
        <f t="shared" si="8"/>
        <v>0</v>
      </c>
      <c r="BA178" s="20">
        <f t="shared" si="11"/>
        <v>9</v>
      </c>
      <c r="BB178" s="20" t="str">
        <f t="shared" si="12"/>
        <v>NO CHECK</v>
      </c>
      <c r="BC178" s="2">
        <f t="shared" si="9"/>
        <v>26.8</v>
      </c>
      <c r="BD178" s="20">
        <f t="shared" si="13"/>
        <v>1</v>
      </c>
      <c r="BE178" s="205" t="str">
        <f t="shared" si="14"/>
        <v>Check</v>
      </c>
      <c r="BF178" s="190" t="str">
        <f>IF(INDEX('Partner data'!A:DG,MATCH(I_Miei_Rendiconti[[#This Row],[Column1.partnerId]],'Partner data'!DG:DG,0),83)="Soggetto privato","Private","Public")</f>
        <v>Public</v>
      </c>
    </row>
    <row r="179" spans="1:58" ht="30" x14ac:dyDescent="0.25">
      <c r="A179" s="79">
        <v>355</v>
      </c>
      <c r="B179" s="81">
        <v>13</v>
      </c>
      <c r="C179" s="81">
        <v>16</v>
      </c>
      <c r="D179" s="79" t="s">
        <v>2371</v>
      </c>
      <c r="E179" s="79" t="s">
        <v>253</v>
      </c>
      <c r="F179" s="79">
        <v>6</v>
      </c>
      <c r="G179" s="206" t="s">
        <v>36</v>
      </c>
      <c r="H179" s="79">
        <v>3</v>
      </c>
      <c r="I179" s="79" t="s">
        <v>7486</v>
      </c>
      <c r="J179" s="79" t="s">
        <v>2373</v>
      </c>
      <c r="K179" s="208">
        <v>45537</v>
      </c>
      <c r="M179" s="208"/>
      <c r="U179" s="81">
        <v>70491</v>
      </c>
      <c r="V179" s="79" t="str">
        <f>INDEX(pARTNER[#All],MATCH(I_Miei_Rendiconti[[#This Row],[Column1.partnerId]],pARTNER[[#All],[Value.partnerSummary.id]],0),2)</f>
        <v>ADRIONCYCLETOUR</v>
      </c>
      <c r="X179" s="216">
        <f>IF(I_Miei_Rendiconti[[#This Row],[Column1.status]]&lt;&gt;"Certified",0,I_Miei_Rendiconti[[#This Row],[Column1.totalAfterSubmitted]]-I_Miei_Rendiconti[[#This Row],[Column1.totalEligibleAfterControl]])</f>
        <v>0</v>
      </c>
      <c r="Y179" s="80" t="str">
        <f>IF(I_Miei_Rendiconti[[#This Row],[Column1.status]]="Certified",IFERROR(I_Miei_Rendiconti[[#This Row],[Financial corection]]/I_Miei_Rendiconti[[#This Row],[Column1.totalAfterSubmitted]],0),"Rendiconto da certificare")</f>
        <v>Rendiconto da certificare</v>
      </c>
      <c r="Z179" s="207">
        <f>IF(I_Miei_Rendiconti[[#This Row],[Column1.status]]&lt;&gt;"Certified",INDEX('Partner data'!DG:DQ,MATCH(I_Miei_Rendiconti[[#This Row],[Column1.partnerId]],'Partner data'!DG:DG,0),10),"Rendiconto CONVALIDATO")</f>
        <v>208</v>
      </c>
      <c r="AA179"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79" s="81">
        <f>IF(OR(I_Miei_Rendiconti[[#This Row],[N. previouse validated report ]]="Rendiconto CONVALIDATO",I_Miei_Rendiconti[[#This Row],[N. previouse validated report ]]="NON è stato convalidato ancora nessun rendiconto"),"NON PERTINENTE",SUMIFS(Errors!R:R,Errors!D:D,I_Miei_Rendiconti[[#This Row],[N. previouse validated report ]]))</f>
        <v>0</v>
      </c>
      <c r="AC179" s="81">
        <f>IF(OR(I_Miei_Rendiconti[[#This Row],[N. previouse validated report ]]="Rendiconto CONVALIDATO",I_Miei_Rendiconti[[#This Row],[N. previouse validated report ]]="NON è stato convalidato ancora nessun rendiconto"),"NON PERTINENTE",SUMIFS(Errors!R:R,Errors!C:C,I_Miei_Rendiconti[[#This Row],[Column1.partnerId]]))</f>
        <v>0</v>
      </c>
      <c r="AD179" s="2">
        <f>INDEX('Partner data'!DG:DJ,MATCH(I_Miei_Rendiconti[[#This Row],[Column1.partnerId]],'Partner data'!DG:DG,0),3)</f>
        <v>2</v>
      </c>
      <c r="AE179" t="str" cm="1">
        <f t="array" ref="AE179">INDEX('Varie Tabelle'!$A$37:$C$51,MATCH(1,(I_Miei_Rendiconti[[#This Row],[Column1.firstSubmission]]&gt;='Varie Tabelle'!$B$37:$B$51)*(I_Miei_Rendiconti[[#This Row],[Column1.firstSubmission]]&lt;'Varie Tabelle'!$C$37:$C$51),0),1)</f>
        <v>Finestra 3</v>
      </c>
      <c r="AF179" s="109">
        <f>INDEX('Varie Tabelle'!$A$37:$C$51,MATCH('MY-REPORT-MAIN'!AE179,'Varie Tabelle'!$A$37:$A$51,0),2)</f>
        <v>45534</v>
      </c>
      <c r="AG179" s="109">
        <f>INDEX('Partner data'!DG:DR,MATCH(I_Miei_Rendiconti[[#This Row],[Column1.partnerId]],'Partner data'!DG:DG,0),12)</f>
        <v>44805</v>
      </c>
      <c r="AH179" s="115">
        <f t="shared" si="10"/>
        <v>23.972377507398882</v>
      </c>
      <c r="AI179" t="str" cm="1">
        <f t="array" ref="AI179">INDEX('Varie Tabelle'!$A$12:$C$22,MATCH(1,('MY-REPORT-MAIN'!AH179&gt;='Varie Tabelle'!$B$12:$B$22)*('MY-REPORT-MAIN'!AH179&lt;='Varie Tabelle'!$C$12:$C$22),0),1)</f>
        <v>Periodo-3</v>
      </c>
      <c r="AJ179" s="14">
        <f>INDEX('Partner data'!A:EC,MATCH(I_Miei_Rendiconti[[#This Row],[Column1.partnerId]],'Partner data'!DG:DG,0),MATCH('MY-REPORT-MAIN'!AI179,'Partner data'!$2:$2,0))</f>
        <v>165477</v>
      </c>
      <c r="AK179" s="10">
        <f>SUMIFS($U$2:U197,$C$2:C197,I_Miei_Rendiconti[[#This Row],[Column1.partnerId]])-AJ179</f>
        <v>25201.639999999985</v>
      </c>
      <c r="AL179" s="192">
        <f t="shared" si="7"/>
        <v>0.15229693552578294</v>
      </c>
      <c r="AM179" s="14">
        <f>INDEX('Partner data'!A:EB,MATCH(I_Miei_Rendiconti[[#This Row],[Column1.partnerId]],'Partner data'!DG:DG,0),44)</f>
        <v>316688</v>
      </c>
      <c r="AN179" s="14">
        <f>SUMIFS(ListOfExpenditure!AP:AP,ListOfExpenditure!AJ:AJ,I_Miei_Rendiconti[[#This Row],[Column1.id]])</f>
        <v>0</v>
      </c>
      <c r="AO179" s="148">
        <f>SUMIFS(ReportSubmittedBL!W:W,ReportSubmittedBL!D:D,I_Miei_Rendiconti[[#This Row],[Column1.id]])</f>
        <v>16</v>
      </c>
      <c r="AP179" s="155" cm="1">
        <f t="array" ref="AP179">INDEX('Weight tables'!$A$32:$C$36,MATCH(1,('MY-REPORT-MAIN'!AO179&gt;='Weight tables'!$B$32:$B$36)*('MY-REPORT-MAIN'!AO179&lt;='Weight tables'!$C$32:$C$36),0),1)</f>
        <v>8.4</v>
      </c>
      <c r="AQ179" s="155">
        <f>INDEX('Weight tables'!$A$39:$B$41,MATCH(I_Miei_Rendiconti[[#This Row],[Previouse Report checked?yes/no]],'Weight tables'!$B$39:$B$41,0),1)</f>
        <v>8.4</v>
      </c>
      <c r="AR179" s="155" cm="1">
        <f t="array" ref="AR179">IF(I_Miei_Rendiconti[[#This Row],[Sum of errors in previous report ]]="NON PERTINENTE",0,INDEX('Weight tables'!$A$43:$C$46,MATCH(1,(I_Miei_Rendiconti[[#This Row],[Sum of errors in previous report ]]&gt;='Weight tables'!$B$43:$B$46)*(I_Miei_Rendiconti[[#This Row],[Sum of errors in previous report ]]&lt;='Weight tables'!$C$43:$C$46),0),1))</f>
        <v>0</v>
      </c>
      <c r="AS179" s="155" cm="1">
        <f t="array" ref="AS179">IF(I_Miei_Rendiconti[[#This Row],[Sum of errors in the previous reports]]="NON PERTINENTE",0,INDEX('Weight tables'!$A$49:$C$52,MATCH(1,((I_Miei_Rendiconti[[#This Row],[Sum of errors in the previous reports]]/2)&gt;='Weight tables'!$B$49:$B$52)*((I_Miei_Rendiconti[[#This Row],[Sum of errors in the previous reports]]/2)&lt;='Weight tables'!$C$49:$C$52),0),1))</f>
        <v>0</v>
      </c>
      <c r="AT179" s="155" cm="1">
        <f t="array" ref="AT179">INDEX('Weight tables'!$A$56:$C$65,MATCH(1,('MY-REPORT-MAIN'!U179&gt;='Weight tables'!$B$56:$B$65)*('MY-REPORT-MAIN'!U179&lt;='Weight tables'!$C$56:$C$65),0),1)</f>
        <v>7</v>
      </c>
      <c r="AU179" s="155" cm="1">
        <f t="array" ref="AU179">INDEX('Weight tables'!$A$68:$C$71,MATCH(1,('MY-REPORT-MAIN'!AL179&gt;='Weight tables'!$B$68:$B$71)*('MY-REPORT-MAIN'!AL179&lt;='Weight tables'!$C$68:$C$71),0),1)</f>
        <v>1</v>
      </c>
      <c r="AV179" s="155" cm="1">
        <f t="array" ref="AV179">INDEX('Weight tables'!$A$74:$C$78,MATCH(1,('MY-REPORT-MAIN'!AN179&gt;='Weight tables'!$B$74:$B$78)*('MY-REPORT-MAIN'!AN179&lt;='Weight tables'!$C$74:$C$78),0),1)</f>
        <v>0</v>
      </c>
      <c r="AW179" s="16">
        <f>IF(I_Miei_Rendiconti[[#This Row],[Column1.totalAfterSubmitted]]/AM179&gt;50%,"Checked",0)</f>
        <v>0</v>
      </c>
      <c r="AX179" s="155">
        <f t="shared" si="6"/>
        <v>24.8</v>
      </c>
      <c r="AY179" s="155" t="str">
        <f>INDEX('Partner data'!A:EB,MATCH(I_Miei_Rendiconti[[#This Row],[Column1.partnerId]],'Partner data'!DG:DG,0),92)</f>
        <v>Slovenija (SI)</v>
      </c>
      <c r="AZ179" s="198">
        <f t="shared" si="8"/>
        <v>0</v>
      </c>
      <c r="BA179" s="20">
        <f t="shared" si="11"/>
        <v>9</v>
      </c>
      <c r="BB179" s="20" t="str">
        <f t="shared" si="12"/>
        <v>NO CHECK</v>
      </c>
      <c r="BC179" s="2">
        <f t="shared" si="9"/>
        <v>24.8</v>
      </c>
      <c r="BD179" s="20">
        <f t="shared" si="13"/>
        <v>2</v>
      </c>
      <c r="BE179" s="205" t="str">
        <f t="shared" si="14"/>
        <v>Check</v>
      </c>
      <c r="BF179" s="190" t="str">
        <f>IF(INDEX('Partner data'!A:DG,MATCH(I_Miei_Rendiconti[[#This Row],[Column1.partnerId]],'Partner data'!DG:DG,0),83)="Soggetto privato","Private","Public")</f>
        <v>Public</v>
      </c>
    </row>
    <row r="180" spans="1:58" ht="60" x14ac:dyDescent="0.25">
      <c r="A180" s="79">
        <v>356</v>
      </c>
      <c r="B180" s="81">
        <v>13</v>
      </c>
      <c r="C180" s="81">
        <v>17</v>
      </c>
      <c r="D180" s="79" t="s">
        <v>2371</v>
      </c>
      <c r="E180" s="79" t="s">
        <v>253</v>
      </c>
      <c r="F180" s="79">
        <v>7</v>
      </c>
      <c r="G180" s="206" t="s">
        <v>268</v>
      </c>
      <c r="H180" s="79">
        <v>3</v>
      </c>
      <c r="I180" s="79" t="s">
        <v>7486</v>
      </c>
      <c r="J180" s="79" t="s">
        <v>2373</v>
      </c>
      <c r="K180" s="208">
        <v>45537</v>
      </c>
      <c r="M180" s="208"/>
      <c r="U180" s="81">
        <v>5000</v>
      </c>
      <c r="V180" s="79" t="str">
        <f>INDEX(pARTNER[#All],MATCH(I_Miei_Rendiconti[[#This Row],[Column1.partnerId]],pARTNER[[#All],[Value.partnerSummary.id]],0),2)</f>
        <v>ADRIONCYCLETOUR</v>
      </c>
      <c r="X180" s="216">
        <f>IF(I_Miei_Rendiconti[[#This Row],[Column1.status]]&lt;&gt;"Certified",0,I_Miei_Rendiconti[[#This Row],[Column1.totalAfterSubmitted]]-I_Miei_Rendiconti[[#This Row],[Column1.totalEligibleAfterControl]])</f>
        <v>0</v>
      </c>
      <c r="Y180" s="80" t="str">
        <f>IF(I_Miei_Rendiconti[[#This Row],[Column1.status]]="Certified",IFERROR(I_Miei_Rendiconti[[#This Row],[Financial corection]]/I_Miei_Rendiconti[[#This Row],[Column1.totalAfterSubmitted]],0),"Rendiconto da certificare")</f>
        <v>Rendiconto da certificare</v>
      </c>
      <c r="Z180" s="207" t="str">
        <f>IF(I_Miei_Rendiconti[[#This Row],[Column1.status]]&lt;&gt;"Certified",INDEX('Partner data'!DG:DQ,MATCH(I_Miei_Rendiconti[[#This Row],[Column1.partnerId]],'Partner data'!DG:DG,0),10),"Rendiconto CONVALIDATO")</f>
        <v>NON è stato convalidato ancora nessun rendiconto</v>
      </c>
      <c r="AA180"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80"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C180" s="81" t="str">
        <f>IF(OR(I_Miei_Rendiconti[[#This Row],[N. previouse validated report ]]="Rendiconto CONVALIDATO",I_Miei_Rendiconti[[#This Row],[N. previouse validated report ]]="NON è stato convalidato ancora nessun rendiconto"),"NON PERTINENTE",SUMIFS(Errors!R:R,Errors!C:C,I_Miei_Rendiconti[[#This Row],[Column1.partnerId]]))</f>
        <v>NON PERTINENTE</v>
      </c>
      <c r="AD180" s="2">
        <f>INDEX('Partner data'!DG:DJ,MATCH(I_Miei_Rendiconti[[#This Row],[Column1.partnerId]],'Partner data'!DG:DG,0),3)</f>
        <v>0</v>
      </c>
      <c r="AE180" t="str" cm="1">
        <f t="array" ref="AE180">INDEX('Varie Tabelle'!$A$37:$C$51,MATCH(1,(I_Miei_Rendiconti[[#This Row],[Column1.firstSubmission]]&gt;='Varie Tabelle'!$B$37:$B$51)*(I_Miei_Rendiconti[[#This Row],[Column1.firstSubmission]]&lt;'Varie Tabelle'!$C$37:$C$51),0),1)</f>
        <v>Finestra 3</v>
      </c>
      <c r="AF180" s="109">
        <f>INDEX('Varie Tabelle'!$A$37:$C$51,MATCH('MY-REPORT-MAIN'!AE180,'Varie Tabelle'!$A$37:$A$51,0),2)</f>
        <v>45534</v>
      </c>
      <c r="AG180" s="109">
        <f>INDEX('Partner data'!DG:DR,MATCH(I_Miei_Rendiconti[[#This Row],[Column1.partnerId]],'Partner data'!DG:DG,0),12)</f>
        <v>44805</v>
      </c>
      <c r="AH180" s="115">
        <f t="shared" si="10"/>
        <v>23.972377507398882</v>
      </c>
      <c r="AI180" t="str" cm="1">
        <f t="array" ref="AI180">INDEX('Varie Tabelle'!$A$12:$C$22,MATCH(1,('MY-REPORT-MAIN'!AH180&gt;='Varie Tabelle'!$B$12:$B$22)*('MY-REPORT-MAIN'!AH180&lt;='Varie Tabelle'!$C$12:$C$22),0),1)</f>
        <v>Periodo-3</v>
      </c>
      <c r="AJ180" s="14">
        <f>INDEX('Partner data'!A:EC,MATCH(I_Miei_Rendiconti[[#This Row],[Column1.partnerId]],'Partner data'!DG:DG,0),MATCH('MY-REPORT-MAIN'!AI180,'Partner data'!$2:$2,0))</f>
        <v>0</v>
      </c>
      <c r="AK180" s="10">
        <f>SUMIFS($U$2:U198,$C$2:C198,I_Miei_Rendiconti[[#This Row],[Column1.partnerId]])-AJ180</f>
        <v>5000</v>
      </c>
      <c r="AL180" s="192">
        <f t="shared" si="7"/>
        <v>0</v>
      </c>
      <c r="AM180" s="14">
        <f>INDEX('Partner data'!A:EB,MATCH(I_Miei_Rendiconti[[#This Row],[Column1.partnerId]],'Partner data'!DG:DG,0),44)</f>
        <v>800000</v>
      </c>
      <c r="AN180" s="14">
        <f>SUMIFS(ListOfExpenditure!AP:AP,ListOfExpenditure!AJ:AJ,I_Miei_Rendiconti[[#This Row],[Column1.id]])</f>
        <v>0</v>
      </c>
      <c r="AO180" s="148">
        <f>SUMIFS(ReportSubmittedBL!W:W,ReportSubmittedBL!D:D,I_Miei_Rendiconti[[#This Row],[Column1.id]])</f>
        <v>4</v>
      </c>
      <c r="AP180" s="155" cm="1">
        <f t="array" ref="AP180">INDEX('Weight tables'!$A$32:$C$36,MATCH(1,('MY-REPORT-MAIN'!AO180&gt;='Weight tables'!$B$32:$B$36)*('MY-REPORT-MAIN'!AO180&lt;='Weight tables'!$C$32:$C$36),0),1)</f>
        <v>2.1</v>
      </c>
      <c r="AQ180" s="155">
        <f>INDEX('Weight tables'!$A$39:$B$41,MATCH(I_Miei_Rendiconti[[#This Row],[Previouse Report checked?yes/no]],'Weight tables'!$B$39:$B$41,0),1)</f>
        <v>8.4</v>
      </c>
      <c r="AR180" s="155" cm="1">
        <f t="array" ref="AR180">IF(I_Miei_Rendiconti[[#This Row],[Sum of errors in previous report ]]="NON PERTINENTE",0,INDEX('Weight tables'!$A$43:$C$46,MATCH(1,(I_Miei_Rendiconti[[#This Row],[Sum of errors in previous report ]]&gt;='Weight tables'!$B$43:$B$46)*(I_Miei_Rendiconti[[#This Row],[Sum of errors in previous report ]]&lt;='Weight tables'!$C$43:$C$46),0),1))</f>
        <v>0</v>
      </c>
      <c r="AS180" s="155" cm="1">
        <f t="array" ref="AS180">IF(I_Miei_Rendiconti[[#This Row],[Sum of errors in the previous reports]]="NON PERTINENTE",0,INDEX('Weight tables'!$A$49:$C$52,MATCH(1,((I_Miei_Rendiconti[[#This Row],[Sum of errors in the previous reports]]/2)&gt;='Weight tables'!$B$49:$B$52)*((I_Miei_Rendiconti[[#This Row],[Sum of errors in the previous reports]]/2)&lt;='Weight tables'!$C$49:$C$52),0),1))</f>
        <v>0</v>
      </c>
      <c r="AT180" s="155" cm="1">
        <f t="array" ref="AT180">INDEX('Weight tables'!$A$56:$C$65,MATCH(1,('MY-REPORT-MAIN'!U180&gt;='Weight tables'!$B$56:$B$65)*('MY-REPORT-MAIN'!U180&lt;='Weight tables'!$C$56:$C$65),0),1)</f>
        <v>0</v>
      </c>
      <c r="AU180" s="155" cm="1">
        <f t="array" ref="AU180">INDEX('Weight tables'!$A$68:$C$71,MATCH(1,('MY-REPORT-MAIN'!AL180&gt;='Weight tables'!$B$68:$B$71)*('MY-REPORT-MAIN'!AL180&lt;='Weight tables'!$C$68:$C$71),0),1)</f>
        <v>0</v>
      </c>
      <c r="AV180" s="155" cm="1">
        <f t="array" ref="AV180">INDEX('Weight tables'!$A$74:$C$78,MATCH(1,('MY-REPORT-MAIN'!AN180&gt;='Weight tables'!$B$74:$B$78)*('MY-REPORT-MAIN'!AN180&lt;='Weight tables'!$C$74:$C$78),0),1)</f>
        <v>0</v>
      </c>
      <c r="AW180" s="16">
        <f>IF(I_Miei_Rendiconti[[#This Row],[Column1.totalAfterSubmitted]]/AM180&gt;50%,"Checked",0)</f>
        <v>0</v>
      </c>
      <c r="AX180" s="155">
        <f t="shared" si="6"/>
        <v>10.5</v>
      </c>
      <c r="AY180" s="155" t="str">
        <f>INDEX('Partner data'!A:EB,MATCH(I_Miei_Rendiconti[[#This Row],[Column1.partnerId]],'Partner data'!DG:DG,0),92)</f>
        <v>Slovenija (SI)</v>
      </c>
      <c r="AZ180" s="198">
        <f t="shared" si="8"/>
        <v>0</v>
      </c>
      <c r="BA180" s="20">
        <f t="shared" si="11"/>
        <v>9</v>
      </c>
      <c r="BB180" s="20" t="str">
        <f t="shared" si="12"/>
        <v>NO CHECK</v>
      </c>
      <c r="BC180" s="2">
        <f t="shared" si="9"/>
        <v>10.5</v>
      </c>
      <c r="BD180" s="20">
        <f t="shared" si="13"/>
        <v>10</v>
      </c>
      <c r="BE180" s="205" t="str">
        <f t="shared" si="14"/>
        <v>NO Check</v>
      </c>
      <c r="BF180" s="190" t="str">
        <f>IF(INDEX('Partner data'!A:DG,MATCH(I_Miei_Rendiconti[[#This Row],[Column1.partnerId]],'Partner data'!DG:DG,0),83)="Soggetto privato","Private","Public")</f>
        <v>Public</v>
      </c>
    </row>
    <row r="181" spans="1:58" ht="30" x14ac:dyDescent="0.25">
      <c r="A181" s="79">
        <v>357</v>
      </c>
      <c r="B181" s="81">
        <v>60</v>
      </c>
      <c r="C181" s="81">
        <v>87</v>
      </c>
      <c r="D181" s="79" t="s">
        <v>1551</v>
      </c>
      <c r="E181" s="79" t="s">
        <v>264</v>
      </c>
      <c r="F181" s="79">
        <v>1</v>
      </c>
      <c r="G181" s="206" t="s">
        <v>320</v>
      </c>
      <c r="I181" s="79" t="s">
        <v>7486</v>
      </c>
      <c r="J181" s="79" t="s">
        <v>1118</v>
      </c>
      <c r="K181" s="208">
        <v>45537</v>
      </c>
      <c r="M181" s="208"/>
      <c r="U181" s="81">
        <v>36950</v>
      </c>
      <c r="V181" s="79" t="str">
        <f>INDEX(pARTNER[#All],MATCH(I_Miei_Rendiconti[[#This Row],[Column1.partnerId]],pARTNER[[#All],[Value.partnerSummary.id]],0),2)</f>
        <v>INTER BIKE III</v>
      </c>
      <c r="X181" s="216">
        <f>IF(I_Miei_Rendiconti[[#This Row],[Column1.status]]&lt;&gt;"Certified",0,I_Miei_Rendiconti[[#This Row],[Column1.totalAfterSubmitted]]-I_Miei_Rendiconti[[#This Row],[Column1.totalEligibleAfterControl]])</f>
        <v>0</v>
      </c>
      <c r="Y181" s="80" t="str">
        <f>IF(I_Miei_Rendiconti[[#This Row],[Column1.status]]="Certified",IFERROR(I_Miei_Rendiconti[[#This Row],[Financial corection]]/I_Miei_Rendiconti[[#This Row],[Column1.totalAfterSubmitted]],0),"Rendiconto da certificare")</f>
        <v>Rendiconto da certificare</v>
      </c>
      <c r="Z181" s="207">
        <f>IF(I_Miei_Rendiconti[[#This Row],[Column1.status]]&lt;&gt;"Certified",INDEX('Partner data'!DG:DQ,MATCH(I_Miei_Rendiconti[[#This Row],[Column1.partnerId]],'Partner data'!DG:DG,0),10),"Rendiconto CONVALIDATO")</f>
        <v>334</v>
      </c>
      <c r="AA181"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81" s="81">
        <f>IF(OR(I_Miei_Rendiconti[[#This Row],[N. previouse validated report ]]="Rendiconto CONVALIDATO",I_Miei_Rendiconti[[#This Row],[N. previouse validated report ]]="NON è stato convalidato ancora nessun rendiconto"),"NON PERTINENTE",SUMIFS(Errors!R:R,Errors!D:D,I_Miei_Rendiconti[[#This Row],[N. previouse validated report ]]))</f>
        <v>0</v>
      </c>
      <c r="AC181" s="81">
        <f>IF(OR(I_Miei_Rendiconti[[#This Row],[N. previouse validated report ]]="Rendiconto CONVALIDATO",I_Miei_Rendiconti[[#This Row],[N. previouse validated report ]]="NON è stato convalidato ancora nessun rendiconto"),"NON PERTINENTE",SUMIFS(Errors!R:R,Errors!C:C,I_Miei_Rendiconti[[#This Row],[Column1.partnerId]]))</f>
        <v>0</v>
      </c>
      <c r="AD181" s="2">
        <f>INDEX('Partner data'!DG:DJ,MATCH(I_Miei_Rendiconti[[#This Row],[Column1.partnerId]],'Partner data'!DG:DG,0),3)</f>
        <v>1</v>
      </c>
      <c r="AE181" t="str" cm="1">
        <f t="array" ref="AE181">INDEX('Varie Tabelle'!$A$37:$C$51,MATCH(1,(I_Miei_Rendiconti[[#This Row],[Column1.firstSubmission]]&gt;='Varie Tabelle'!$B$37:$B$51)*(I_Miei_Rendiconti[[#This Row],[Column1.firstSubmission]]&lt;'Varie Tabelle'!$C$37:$C$51),0),1)</f>
        <v>Finestra 3</v>
      </c>
      <c r="AF181" s="109">
        <f>INDEX('Varie Tabelle'!$A$37:$C$51,MATCH('MY-REPORT-MAIN'!AE181,'Varie Tabelle'!$A$37:$A$51,0),2)</f>
        <v>45534</v>
      </c>
      <c r="AG181" s="109">
        <f>INDEX('Partner data'!DG:DR,MATCH(I_Miei_Rendiconti[[#This Row],[Column1.partnerId]],'Partner data'!DG:DG,0),12)</f>
        <v>45200</v>
      </c>
      <c r="AH181" s="115">
        <f t="shared" ref="AH181:AH191" si="15">(AF181-AG181)/30.41</f>
        <v>10.98322920092075</v>
      </c>
      <c r="AI181" t="str" cm="1">
        <f t="array" ref="AI181">INDEX('Varie Tabelle'!$A$12:$C$22,MATCH(1,('MY-REPORT-MAIN'!AH181&gt;='Varie Tabelle'!$B$12:$B$22)*('MY-REPORT-MAIN'!AH181&lt;='Varie Tabelle'!$C$12:$C$22),0),1)</f>
        <v>Periodo-1</v>
      </c>
      <c r="AJ181" s="14">
        <f>INDEX('Partner data'!A:EC,MATCH(I_Miei_Rendiconti[[#This Row],[Column1.partnerId]],'Partner data'!DG:DG,0),MATCH('MY-REPORT-MAIN'!AI181,'Partner data'!$2:$2,0))</f>
        <v>45610</v>
      </c>
      <c r="AK181" s="10">
        <f>SUMIFS($U$2:U199,$C$2:C199,I_Miei_Rendiconti[[#This Row],[Column1.partnerId]])-AJ181</f>
        <v>20119.5</v>
      </c>
      <c r="AL181" s="192">
        <f t="shared" si="7"/>
        <v>0.44112036834027624</v>
      </c>
      <c r="AM181" s="14">
        <f>INDEX('Partner data'!A:EB,MATCH(I_Miei_Rendiconti[[#This Row],[Column1.partnerId]],'Partner data'!DG:DG,0),44)</f>
        <v>162440</v>
      </c>
      <c r="AN181" s="14">
        <f>SUMIFS(ListOfExpenditure!AP:AP,ListOfExpenditure!AJ:AJ,I_Miei_Rendiconti[[#This Row],[Column1.id]])</f>
        <v>0</v>
      </c>
      <c r="AO181" s="148">
        <f>SUMIFS(ReportSubmittedBL!W:W,ReportSubmittedBL!D:D,I_Miei_Rendiconti[[#This Row],[Column1.id]])</f>
        <v>16</v>
      </c>
      <c r="AP181" s="155" cm="1">
        <f t="array" ref="AP181">INDEX('Weight tables'!$A$32:$C$36,MATCH(1,('MY-REPORT-MAIN'!AO181&gt;='Weight tables'!$B$32:$B$36)*('MY-REPORT-MAIN'!AO181&lt;='Weight tables'!$C$32:$C$36),0),1)</f>
        <v>8.4</v>
      </c>
      <c r="AQ181" s="155">
        <f>INDEX('Weight tables'!$A$39:$B$41,MATCH(I_Miei_Rendiconti[[#This Row],[Previouse Report checked?yes/no]],'Weight tables'!$B$39:$B$41,0),1)</f>
        <v>8.4</v>
      </c>
      <c r="AR181" s="155" cm="1">
        <f t="array" ref="AR181">IF(I_Miei_Rendiconti[[#This Row],[Sum of errors in previous report ]]="NON PERTINENTE",0,INDEX('Weight tables'!$A$43:$C$46,MATCH(1,(I_Miei_Rendiconti[[#This Row],[Sum of errors in previous report ]]&gt;='Weight tables'!$B$43:$B$46)*(I_Miei_Rendiconti[[#This Row],[Sum of errors in previous report ]]&lt;='Weight tables'!$C$43:$C$46),0),1))</f>
        <v>0</v>
      </c>
      <c r="AS181" s="155" cm="1">
        <f t="array" ref="AS181">IF(I_Miei_Rendiconti[[#This Row],[Sum of errors in the previous reports]]="NON PERTINENTE",0,INDEX('Weight tables'!$A$49:$C$52,MATCH(1,((I_Miei_Rendiconti[[#This Row],[Sum of errors in the previous reports]]/2)&gt;='Weight tables'!$B$49:$B$52)*((I_Miei_Rendiconti[[#This Row],[Sum of errors in the previous reports]]/2)&lt;='Weight tables'!$C$49:$C$52),0),1))</f>
        <v>0</v>
      </c>
      <c r="AT181" s="155" cm="1">
        <f t="array" ref="AT181">INDEX('Weight tables'!$A$56:$C$65,MATCH(1,('MY-REPORT-MAIN'!U181&gt;='Weight tables'!$B$56:$B$65)*('MY-REPORT-MAIN'!U181&lt;='Weight tables'!$C$56:$C$65),0),1)</f>
        <v>3</v>
      </c>
      <c r="AU181" s="155" cm="1">
        <f t="array" ref="AU181">INDEX('Weight tables'!$A$68:$C$71,MATCH(1,('MY-REPORT-MAIN'!AL181&gt;='Weight tables'!$B$68:$B$71)*('MY-REPORT-MAIN'!AL181&lt;='Weight tables'!$C$68:$C$71),0),1)</f>
        <v>2</v>
      </c>
      <c r="AV181" s="155" cm="1">
        <f t="array" ref="AV181">INDEX('Weight tables'!$A$74:$C$78,MATCH(1,('MY-REPORT-MAIN'!AN181&gt;='Weight tables'!$B$74:$B$78)*('MY-REPORT-MAIN'!AN181&lt;='Weight tables'!$C$74:$C$78),0),1)</f>
        <v>0</v>
      </c>
      <c r="AW181" s="16">
        <f>IF(I_Miei_Rendiconti[[#This Row],[Column1.totalAfterSubmitted]]/AM181&gt;50%,"Checked",0)</f>
        <v>0</v>
      </c>
      <c r="AX181" s="155">
        <f t="shared" ref="AX181:AX191" si="16">SUM(AP181:AV181)</f>
        <v>21.8</v>
      </c>
      <c r="AY181" s="155" t="str">
        <f>INDEX('Partner data'!A:EB,MATCH(I_Miei_Rendiconti[[#This Row],[Column1.partnerId]],'Partner data'!DG:DG,0),92)</f>
        <v>Slovenija (SI)</v>
      </c>
      <c r="AZ181" s="198">
        <f t="shared" ref="AZ181:AZ191" si="17">IF(AY181="Italia (IT)",AX181,0)</f>
        <v>0</v>
      </c>
      <c r="BA181" s="20">
        <f t="shared" si="11"/>
        <v>9</v>
      </c>
      <c r="BB181" s="20" t="str">
        <f t="shared" si="12"/>
        <v>NO CHECK</v>
      </c>
      <c r="BC181" s="2">
        <f t="shared" ref="BC181:BC191" si="18">IF(AY181="Slovenija (SI)",AX181,0)</f>
        <v>21.8</v>
      </c>
      <c r="BD181" s="20">
        <f t="shared" si="13"/>
        <v>3</v>
      </c>
      <c r="BE181" s="205" t="str">
        <f t="shared" si="14"/>
        <v>Check</v>
      </c>
      <c r="BF181" s="190" t="str">
        <f>IF(INDEX('Partner data'!A:DG,MATCH(I_Miei_Rendiconti[[#This Row],[Column1.partnerId]],'Partner data'!DG:DG,0),83)="Soggetto privato","Private","Public")</f>
        <v>Public</v>
      </c>
    </row>
    <row r="182" spans="1:58" ht="30" x14ac:dyDescent="0.25">
      <c r="A182" s="79">
        <v>358</v>
      </c>
      <c r="B182" s="81">
        <v>60</v>
      </c>
      <c r="C182" s="81">
        <v>117</v>
      </c>
      <c r="D182" s="79" t="s">
        <v>1551</v>
      </c>
      <c r="E182" s="79" t="s">
        <v>253</v>
      </c>
      <c r="F182" s="79">
        <v>2</v>
      </c>
      <c r="G182" s="206" t="s">
        <v>321</v>
      </c>
      <c r="I182" s="79" t="s">
        <v>7486</v>
      </c>
      <c r="J182" s="79" t="s">
        <v>1118</v>
      </c>
      <c r="K182" s="208">
        <v>45537</v>
      </c>
      <c r="M182" s="208"/>
      <c r="U182" s="81">
        <v>11382.55</v>
      </c>
      <c r="V182" s="79" t="str">
        <f>INDEX(pARTNER[#All],MATCH(I_Miei_Rendiconti[[#This Row],[Column1.partnerId]],pARTNER[[#All],[Value.partnerSummary.id]],0),2)</f>
        <v>INTER BIKE III</v>
      </c>
      <c r="X182" s="216">
        <f>IF(I_Miei_Rendiconti[[#This Row],[Column1.status]]&lt;&gt;"Certified",0,I_Miei_Rendiconti[[#This Row],[Column1.totalAfterSubmitted]]-I_Miei_Rendiconti[[#This Row],[Column1.totalEligibleAfterControl]])</f>
        <v>0</v>
      </c>
      <c r="Y182" s="80" t="str">
        <f>IF(I_Miei_Rendiconti[[#This Row],[Column1.status]]="Certified",IFERROR(I_Miei_Rendiconti[[#This Row],[Financial corection]]/I_Miei_Rendiconti[[#This Row],[Column1.totalAfterSubmitted]],0),"Rendiconto da certificare")</f>
        <v>Rendiconto da certificare</v>
      </c>
      <c r="Z182" s="207">
        <f>IF(I_Miei_Rendiconti[[#This Row],[Column1.status]]&lt;&gt;"Certified",INDEX('Partner data'!DG:DQ,MATCH(I_Miei_Rendiconti[[#This Row],[Column1.partnerId]],'Partner data'!DG:DG,0),10),"Rendiconto CONVALIDATO")</f>
        <v>288</v>
      </c>
      <c r="AA182"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SI</v>
      </c>
      <c r="AB182" s="81">
        <f>IF(OR(I_Miei_Rendiconti[[#This Row],[N. previouse validated report ]]="Rendiconto CONVALIDATO",I_Miei_Rendiconti[[#This Row],[N. previouse validated report ]]="NON è stato convalidato ancora nessun rendiconto"),"NON PERTINENTE",SUMIFS(Errors!R:R,Errors!D:D,I_Miei_Rendiconti[[#This Row],[N. previouse validated report ]]))</f>
        <v>8</v>
      </c>
      <c r="AC182" s="81">
        <f>IF(OR(I_Miei_Rendiconti[[#This Row],[N. previouse validated report ]]="Rendiconto CONVALIDATO",I_Miei_Rendiconti[[#This Row],[N. previouse validated report ]]="NON è stato convalidato ancora nessun rendiconto"),"NON PERTINENTE",SUMIFS(Errors!R:R,Errors!C:C,I_Miei_Rendiconti[[#This Row],[Column1.partnerId]]))</f>
        <v>8</v>
      </c>
      <c r="AD182" s="2">
        <f>INDEX('Partner data'!DG:DJ,MATCH(I_Miei_Rendiconti[[#This Row],[Column1.partnerId]],'Partner data'!DG:DG,0),3)</f>
        <v>1</v>
      </c>
      <c r="AE182" t="str" cm="1">
        <f t="array" ref="AE182">INDEX('Varie Tabelle'!$A$37:$C$51,MATCH(1,(I_Miei_Rendiconti[[#This Row],[Column1.firstSubmission]]&gt;='Varie Tabelle'!$B$37:$B$51)*(I_Miei_Rendiconti[[#This Row],[Column1.firstSubmission]]&lt;'Varie Tabelle'!$C$37:$C$51),0),1)</f>
        <v>Finestra 3</v>
      </c>
      <c r="AF182" s="109">
        <f>INDEX('Varie Tabelle'!$A$37:$C$51,MATCH('MY-REPORT-MAIN'!AE182,'Varie Tabelle'!$A$37:$A$51,0),2)</f>
        <v>45534</v>
      </c>
      <c r="AG182" s="109">
        <f>INDEX('Partner data'!DG:DR,MATCH(I_Miei_Rendiconti[[#This Row],[Column1.partnerId]],'Partner data'!DG:DG,0),12)</f>
        <v>45200</v>
      </c>
      <c r="AH182" s="115">
        <f t="shared" si="15"/>
        <v>10.98322920092075</v>
      </c>
      <c r="AI182" t="str" cm="1">
        <f t="array" ref="AI182">INDEX('Varie Tabelle'!$A$12:$C$22,MATCH(1,('MY-REPORT-MAIN'!AH182&gt;='Varie Tabelle'!$B$12:$B$22)*('MY-REPORT-MAIN'!AH182&lt;='Varie Tabelle'!$C$12:$C$22),0),1)</f>
        <v>Periodo-1</v>
      </c>
      <c r="AJ182" s="14">
        <f>INDEX('Partner data'!A:EC,MATCH(I_Miei_Rendiconti[[#This Row],[Column1.partnerId]],'Partner data'!DG:DG,0),MATCH('MY-REPORT-MAIN'!AI182,'Partner data'!$2:$2,0))</f>
        <v>11382.55</v>
      </c>
      <c r="AK182" s="10">
        <f>SUMIFS($U$2:U200,$C$2:C200,I_Miei_Rendiconti[[#This Row],[Column1.partnerId]])-AJ182</f>
        <v>17754.05</v>
      </c>
      <c r="AL182" s="192">
        <f>IF(AK182&gt;AJ182,0,IFERROR(AK182/AJ182,0))</f>
        <v>0</v>
      </c>
      <c r="AM182" s="14">
        <f>INDEX('Partner data'!A:EB,MATCH(I_Miei_Rendiconti[[#This Row],[Column1.partnerId]],'Partner data'!DG:DG,0),44)</f>
        <v>121228.4</v>
      </c>
      <c r="AN182" s="14">
        <f>SUMIFS(ListOfExpenditure!AP:AP,ListOfExpenditure!AJ:AJ,I_Miei_Rendiconti[[#This Row],[Column1.id]])</f>
        <v>0</v>
      </c>
      <c r="AO182" s="148">
        <f>SUMIFS(ReportSubmittedBL!W:W,ReportSubmittedBL!D:D,I_Miei_Rendiconti[[#This Row],[Column1.id]])</f>
        <v>16</v>
      </c>
      <c r="AP182" s="155" cm="1">
        <f t="array" ref="AP182">INDEX('Weight tables'!$A$32:$C$36,MATCH(1,('MY-REPORT-MAIN'!AO182&gt;='Weight tables'!$B$32:$B$36)*('MY-REPORT-MAIN'!AO182&lt;='Weight tables'!$C$32:$C$36),0),1)</f>
        <v>8.4</v>
      </c>
      <c r="AQ182" s="155">
        <f>INDEX('Weight tables'!$A$39:$B$41,MATCH(I_Miei_Rendiconti[[#This Row],[Previouse Report checked?yes/no]],'Weight tables'!$B$39:$B$41,0),1)</f>
        <v>0</v>
      </c>
      <c r="AR182" s="155" cm="1">
        <f t="array" ref="AR182">IF(I_Miei_Rendiconti[[#This Row],[Sum of errors in previous report ]]="NON PERTINENTE",0,INDEX('Weight tables'!$A$43:$C$46,MATCH(1,(I_Miei_Rendiconti[[#This Row],[Sum of errors in previous report ]]&gt;='Weight tables'!$B$43:$B$46)*(I_Miei_Rendiconti[[#This Row],[Sum of errors in previous report ]]&lt;='Weight tables'!$C$43:$C$46),0),1))</f>
        <v>6.4</v>
      </c>
      <c r="AS182" s="155" cm="1">
        <f t="array" ref="AS182">IF(I_Miei_Rendiconti[[#This Row],[Sum of errors in the previous reports]]="NON PERTINENTE",0,INDEX('Weight tables'!$A$49:$C$52,MATCH(1,((I_Miei_Rendiconti[[#This Row],[Sum of errors in the previous reports]]/2)&gt;='Weight tables'!$B$49:$B$52)*((I_Miei_Rendiconti[[#This Row],[Sum of errors in the previous reports]]/2)&lt;='Weight tables'!$C$49:$C$52),0),1))</f>
        <v>1</v>
      </c>
      <c r="AT182" s="155" cm="1">
        <f t="array" ref="AT182">INDEX('Weight tables'!$A$56:$C$65,MATCH(1,('MY-REPORT-MAIN'!U182&gt;='Weight tables'!$B$56:$B$65)*('MY-REPORT-MAIN'!U182&lt;='Weight tables'!$C$56:$C$65),0),1)</f>
        <v>1</v>
      </c>
      <c r="AU182" s="155" cm="1">
        <f t="array" ref="AU182">INDEX('Weight tables'!$A$68:$C$71,MATCH(1,('MY-REPORT-MAIN'!AL182&gt;='Weight tables'!$B$68:$B$71)*('MY-REPORT-MAIN'!AL182&lt;='Weight tables'!$C$68:$C$71),0),1)</f>
        <v>0</v>
      </c>
      <c r="AV182" s="155" cm="1">
        <f t="array" ref="AV182">INDEX('Weight tables'!$A$74:$C$78,MATCH(1,('MY-REPORT-MAIN'!AN182&gt;='Weight tables'!$B$74:$B$78)*('MY-REPORT-MAIN'!AN182&lt;='Weight tables'!$C$74:$C$78),0),1)</f>
        <v>0</v>
      </c>
      <c r="AW182" s="16">
        <f>IF(I_Miei_Rendiconti[[#This Row],[Column1.totalAfterSubmitted]]/AM182&gt;50%,"Checked",0)</f>
        <v>0</v>
      </c>
      <c r="AX182" s="155">
        <f t="shared" si="16"/>
        <v>16.8</v>
      </c>
      <c r="AY182" s="155" t="str">
        <f>INDEX('Partner data'!A:EB,MATCH(I_Miei_Rendiconti[[#This Row],[Column1.partnerId]],'Partner data'!DG:DG,0),92)</f>
        <v>Slovenija (SI)</v>
      </c>
      <c r="AZ182" s="198">
        <f t="shared" si="17"/>
        <v>0</v>
      </c>
      <c r="BA182" s="20">
        <f t="shared" si="11"/>
        <v>9</v>
      </c>
      <c r="BB182" s="20" t="str">
        <f t="shared" si="12"/>
        <v>NO CHECK</v>
      </c>
      <c r="BC182" s="2">
        <f t="shared" si="18"/>
        <v>16.8</v>
      </c>
      <c r="BD182" s="20">
        <f t="shared" si="13"/>
        <v>7</v>
      </c>
      <c r="BE182" s="205" t="str">
        <f t="shared" si="14"/>
        <v>NO Check</v>
      </c>
      <c r="BF182" s="190" t="str">
        <f>IF(INDEX('Partner data'!A:DG,MATCH(I_Miei_Rendiconti[[#This Row],[Column1.partnerId]],'Partner data'!DG:DG,0),83)="Soggetto privato","Private","Public")</f>
        <v>Public</v>
      </c>
    </row>
    <row r="183" spans="1:58" ht="30" x14ac:dyDescent="0.25">
      <c r="A183" s="79">
        <v>359</v>
      </c>
      <c r="B183" s="81">
        <v>60</v>
      </c>
      <c r="C183" s="81">
        <v>220</v>
      </c>
      <c r="D183" s="79" t="s">
        <v>1551</v>
      </c>
      <c r="E183" s="79" t="s">
        <v>253</v>
      </c>
      <c r="F183" s="79">
        <v>3</v>
      </c>
      <c r="G183" s="206" t="s">
        <v>39</v>
      </c>
      <c r="I183" s="79" t="s">
        <v>7486</v>
      </c>
      <c r="J183" s="79" t="s">
        <v>1118</v>
      </c>
      <c r="K183" s="208">
        <v>45537</v>
      </c>
      <c r="M183" s="208"/>
      <c r="U183" s="81">
        <v>32384</v>
      </c>
      <c r="V183" s="79" t="str">
        <f>INDEX(pARTNER[#All],MATCH(I_Miei_Rendiconti[[#This Row],[Column1.partnerId]],pARTNER[[#All],[Value.partnerSummary.id]],0),2)</f>
        <v>INTER BIKE III</v>
      </c>
      <c r="X183" s="216">
        <f>IF(I_Miei_Rendiconti[[#This Row],[Column1.status]]&lt;&gt;"Certified",0,I_Miei_Rendiconti[[#This Row],[Column1.totalAfterSubmitted]]-I_Miei_Rendiconti[[#This Row],[Column1.totalEligibleAfterControl]])</f>
        <v>0</v>
      </c>
      <c r="Y183" s="80" t="str">
        <f>IF(I_Miei_Rendiconti[[#This Row],[Column1.status]]="Certified",IFERROR(I_Miei_Rendiconti[[#This Row],[Financial corection]]/I_Miei_Rendiconti[[#This Row],[Column1.totalAfterSubmitted]],0),"Rendiconto da certificare")</f>
        <v>Rendiconto da certificare</v>
      </c>
      <c r="Z183" s="207">
        <f>IF(I_Miei_Rendiconti[[#This Row],[Column1.status]]&lt;&gt;"Certified",INDEX('Partner data'!DG:DQ,MATCH(I_Miei_Rendiconti[[#This Row],[Column1.partnerId]],'Partner data'!DG:DG,0),10),"Rendiconto CONVALIDATO")</f>
        <v>311</v>
      </c>
      <c r="AA183"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83" s="81">
        <f>IF(OR(I_Miei_Rendiconti[[#This Row],[N. previouse validated report ]]="Rendiconto CONVALIDATO",I_Miei_Rendiconti[[#This Row],[N. previouse validated report ]]="NON è stato convalidato ancora nessun rendiconto"),"NON PERTINENTE",SUMIFS(Errors!R:R,Errors!D:D,I_Miei_Rendiconti[[#This Row],[N. previouse validated report ]]))</f>
        <v>0</v>
      </c>
      <c r="AC183" s="81">
        <f>IF(OR(I_Miei_Rendiconti[[#This Row],[N. previouse validated report ]]="Rendiconto CONVALIDATO",I_Miei_Rendiconti[[#This Row],[N. previouse validated report ]]="NON è stato convalidato ancora nessun rendiconto"),"NON PERTINENTE",SUMIFS(Errors!R:R,Errors!C:C,I_Miei_Rendiconti[[#This Row],[Column1.partnerId]]))</f>
        <v>0</v>
      </c>
      <c r="AD183" s="2">
        <f>INDEX('Partner data'!DG:DJ,MATCH(I_Miei_Rendiconti[[#This Row],[Column1.partnerId]],'Partner data'!DG:DG,0),3)</f>
        <v>1</v>
      </c>
      <c r="AE183" t="str" cm="1">
        <f t="array" ref="AE183">INDEX('Varie Tabelle'!$A$37:$C$51,MATCH(1,(I_Miei_Rendiconti[[#This Row],[Column1.firstSubmission]]&gt;='Varie Tabelle'!$B$37:$B$51)*(I_Miei_Rendiconti[[#This Row],[Column1.firstSubmission]]&lt;'Varie Tabelle'!$C$37:$C$51),0),1)</f>
        <v>Finestra 3</v>
      </c>
      <c r="AF183" s="109">
        <f>INDEX('Varie Tabelle'!$A$37:$C$51,MATCH('MY-REPORT-MAIN'!AE183,'Varie Tabelle'!$A$37:$A$51,0),2)</f>
        <v>45534</v>
      </c>
      <c r="AG183" s="109">
        <f>INDEX('Partner data'!DG:DR,MATCH(I_Miei_Rendiconti[[#This Row],[Column1.partnerId]],'Partner data'!DG:DG,0),12)</f>
        <v>45200</v>
      </c>
      <c r="AH183" s="115">
        <f t="shared" si="15"/>
        <v>10.98322920092075</v>
      </c>
      <c r="AI183" t="str" cm="1">
        <f t="array" ref="AI183">INDEX('Varie Tabelle'!$A$12:$C$22,MATCH(1,('MY-REPORT-MAIN'!AH183&gt;='Varie Tabelle'!$B$12:$B$22)*('MY-REPORT-MAIN'!AH183&lt;='Varie Tabelle'!$C$12:$C$22),0),1)</f>
        <v>Periodo-1</v>
      </c>
      <c r="AJ183" s="14">
        <f>INDEX('Partner data'!A:EC,MATCH(I_Miei_Rendiconti[[#This Row],[Column1.partnerId]],'Partner data'!DG:DG,0),MATCH('MY-REPORT-MAIN'!AI183,'Partner data'!$2:$2,0))</f>
        <v>22066.799999999999</v>
      </c>
      <c r="AK183" s="10">
        <f>SUMIFS($U$2:U201,$C$2:C201,I_Miei_Rendiconti[[#This Row],[Column1.partnerId]])-AJ183</f>
        <v>13658.719999999998</v>
      </c>
      <c r="AL183" s="192">
        <f t="shared" ref="AL183:AL187" si="19">IF(AK183&gt;AJ183,0,IFERROR(AK183/AJ183,0))</f>
        <v>0.61897148657712031</v>
      </c>
      <c r="AM183" s="14">
        <f>INDEX('Partner data'!A:EB,MATCH(I_Miei_Rendiconti[[#This Row],[Column1.partnerId]],'Partner data'!DG:DG,0),44)</f>
        <v>102648.79</v>
      </c>
      <c r="AN183" s="14">
        <f>SUMIFS(ListOfExpenditure!AP:AP,ListOfExpenditure!AJ:AJ,I_Miei_Rendiconti[[#This Row],[Column1.id]])</f>
        <v>0</v>
      </c>
      <c r="AO183" s="148">
        <f>SUMIFS(ReportSubmittedBL!W:W,ReportSubmittedBL!D:D,I_Miei_Rendiconti[[#This Row],[Column1.id]])</f>
        <v>16</v>
      </c>
      <c r="AP183" s="155" cm="1">
        <f t="array" ref="AP183">INDEX('Weight tables'!$A$32:$C$36,MATCH(1,('MY-REPORT-MAIN'!AO183&gt;='Weight tables'!$B$32:$B$36)*('MY-REPORT-MAIN'!AO183&lt;='Weight tables'!$C$32:$C$36),0),1)</f>
        <v>8.4</v>
      </c>
      <c r="AQ183" s="155">
        <f>INDEX('Weight tables'!$A$39:$B$41,MATCH(I_Miei_Rendiconti[[#This Row],[Previouse Report checked?yes/no]],'Weight tables'!$B$39:$B$41,0),1)</f>
        <v>8.4</v>
      </c>
      <c r="AR183" s="155" cm="1">
        <f t="array" ref="AR183">IF(I_Miei_Rendiconti[[#This Row],[Sum of errors in previous report ]]="NON PERTINENTE",0,INDEX('Weight tables'!$A$43:$C$46,MATCH(1,(I_Miei_Rendiconti[[#This Row],[Sum of errors in previous report ]]&gt;='Weight tables'!$B$43:$B$46)*(I_Miei_Rendiconti[[#This Row],[Sum of errors in previous report ]]&lt;='Weight tables'!$C$43:$C$46),0),1))</f>
        <v>0</v>
      </c>
      <c r="AS183" s="155" cm="1">
        <f t="array" ref="AS183">IF(I_Miei_Rendiconti[[#This Row],[Sum of errors in the previous reports]]="NON PERTINENTE",0,INDEX('Weight tables'!$A$49:$C$52,MATCH(1,((I_Miei_Rendiconti[[#This Row],[Sum of errors in the previous reports]]/2)&gt;='Weight tables'!$B$49:$B$52)*((I_Miei_Rendiconti[[#This Row],[Sum of errors in the previous reports]]/2)&lt;='Weight tables'!$C$49:$C$52),0),1))</f>
        <v>0</v>
      </c>
      <c r="AT183" s="155" cm="1">
        <f t="array" ref="AT183">INDEX('Weight tables'!$A$56:$C$65,MATCH(1,('MY-REPORT-MAIN'!U183&gt;='Weight tables'!$B$56:$B$65)*('MY-REPORT-MAIN'!U183&lt;='Weight tables'!$C$56:$C$65),0),1)</f>
        <v>3</v>
      </c>
      <c r="AU183" s="155" cm="1">
        <f t="array" ref="AU183">INDEX('Weight tables'!$A$68:$C$71,MATCH(1,('MY-REPORT-MAIN'!AL183&gt;='Weight tables'!$B$68:$B$71)*('MY-REPORT-MAIN'!AL183&lt;='Weight tables'!$C$68:$C$71),0),1)</f>
        <v>2</v>
      </c>
      <c r="AV183" s="155" cm="1">
        <f t="array" ref="AV183">INDEX('Weight tables'!$A$74:$C$78,MATCH(1,('MY-REPORT-MAIN'!AN183&gt;='Weight tables'!$B$74:$B$78)*('MY-REPORT-MAIN'!AN183&lt;='Weight tables'!$C$74:$C$78),0),1)</f>
        <v>0</v>
      </c>
      <c r="AW183" s="16">
        <f>IF(I_Miei_Rendiconti[[#This Row],[Column1.totalAfterSubmitted]]/AM183&gt;50%,"Checked",0)</f>
        <v>0</v>
      </c>
      <c r="AX183" s="155">
        <f t="shared" si="16"/>
        <v>21.8</v>
      </c>
      <c r="AY183" s="155" t="str">
        <f>INDEX('Partner data'!A:EB,MATCH(I_Miei_Rendiconti[[#This Row],[Column1.partnerId]],'Partner data'!DG:DG,0),92)</f>
        <v>Italia (IT)</v>
      </c>
      <c r="AZ183" s="198">
        <f t="shared" si="17"/>
        <v>21.8</v>
      </c>
      <c r="BA183" s="20">
        <f t="shared" si="11"/>
        <v>1</v>
      </c>
      <c r="BB183" s="20" t="str">
        <f t="shared" si="12"/>
        <v>Check</v>
      </c>
      <c r="BC183" s="2">
        <f t="shared" si="18"/>
        <v>0</v>
      </c>
      <c r="BD183" s="20">
        <f t="shared" si="13"/>
        <v>11</v>
      </c>
      <c r="BE183" s="205" t="str">
        <f t="shared" si="14"/>
        <v>NO Check</v>
      </c>
      <c r="BF183" s="190" t="str">
        <f>IF(INDEX('Partner data'!A:DG,MATCH(I_Miei_Rendiconti[[#This Row],[Column1.partnerId]],'Partner data'!DG:DG,0),83)="Soggetto privato","Private","Public")</f>
        <v>Public</v>
      </c>
    </row>
    <row r="184" spans="1:58" ht="30" x14ac:dyDescent="0.25">
      <c r="A184" s="79">
        <v>360</v>
      </c>
      <c r="B184" s="81">
        <v>60</v>
      </c>
      <c r="C184" s="81">
        <v>222</v>
      </c>
      <c r="D184" s="79" t="s">
        <v>1551</v>
      </c>
      <c r="E184" s="79" t="s">
        <v>253</v>
      </c>
      <c r="F184" s="79">
        <v>4</v>
      </c>
      <c r="G184" s="206" t="s">
        <v>319</v>
      </c>
      <c r="I184" s="79" t="s">
        <v>7486</v>
      </c>
      <c r="J184" s="79" t="s">
        <v>1118</v>
      </c>
      <c r="K184" s="208">
        <v>45537</v>
      </c>
      <c r="M184" s="208"/>
      <c r="U184" s="81">
        <v>44874.5</v>
      </c>
      <c r="V184" s="79" t="str">
        <f>INDEX(pARTNER[#All],MATCH(I_Miei_Rendiconti[[#This Row],[Column1.partnerId]],pARTNER[[#All],[Value.partnerSummary.id]],0),2)</f>
        <v>INTER BIKE III</v>
      </c>
      <c r="X184" s="216">
        <f>IF(I_Miei_Rendiconti[[#This Row],[Column1.status]]&lt;&gt;"Certified",0,I_Miei_Rendiconti[[#This Row],[Column1.totalAfterSubmitted]]-I_Miei_Rendiconti[[#This Row],[Column1.totalEligibleAfterControl]])</f>
        <v>0</v>
      </c>
      <c r="Y184" s="80" t="str">
        <f>IF(I_Miei_Rendiconti[[#This Row],[Column1.status]]="Certified",IFERROR(I_Miei_Rendiconti[[#This Row],[Financial corection]]/I_Miei_Rendiconti[[#This Row],[Column1.totalAfterSubmitted]],0),"Rendiconto da certificare")</f>
        <v>Rendiconto da certificare</v>
      </c>
      <c r="Z184" s="207">
        <f>IF(I_Miei_Rendiconti[[#This Row],[Column1.status]]&lt;&gt;"Certified",INDEX('Partner data'!DG:DQ,MATCH(I_Miei_Rendiconti[[#This Row],[Column1.partnerId]],'Partner data'!DG:DG,0),10),"Rendiconto CONVALIDATO")</f>
        <v>317</v>
      </c>
      <c r="AA184"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SI</v>
      </c>
      <c r="AB184" s="81">
        <f>IF(OR(I_Miei_Rendiconti[[#This Row],[N. previouse validated report ]]="Rendiconto CONVALIDATO",I_Miei_Rendiconti[[#This Row],[N. previouse validated report ]]="NON è stato convalidato ancora nessun rendiconto"),"NON PERTINENTE",SUMIFS(Errors!R:R,Errors!D:D,I_Miei_Rendiconti[[#This Row],[N. previouse validated report ]]))</f>
        <v>8</v>
      </c>
      <c r="AC184" s="81">
        <f>IF(OR(I_Miei_Rendiconti[[#This Row],[N. previouse validated report ]]="Rendiconto CONVALIDATO",I_Miei_Rendiconti[[#This Row],[N. previouse validated report ]]="NON è stato convalidato ancora nessun rendiconto"),"NON PERTINENTE",SUMIFS(Errors!R:R,Errors!C:C,I_Miei_Rendiconti[[#This Row],[Column1.partnerId]]))</f>
        <v>8</v>
      </c>
      <c r="AD184" s="2">
        <f>INDEX('Partner data'!DG:DJ,MATCH(I_Miei_Rendiconti[[#This Row],[Column1.partnerId]],'Partner data'!DG:DG,0),3)</f>
        <v>1</v>
      </c>
      <c r="AE184" t="str" cm="1">
        <f t="array" ref="AE184">INDEX('Varie Tabelle'!$A$37:$C$51,MATCH(1,(I_Miei_Rendiconti[[#This Row],[Column1.firstSubmission]]&gt;='Varie Tabelle'!$B$37:$B$51)*(I_Miei_Rendiconti[[#This Row],[Column1.firstSubmission]]&lt;'Varie Tabelle'!$C$37:$C$51),0),1)</f>
        <v>Finestra 3</v>
      </c>
      <c r="AF184" s="109">
        <f>INDEX('Varie Tabelle'!$A$37:$C$51,MATCH('MY-REPORT-MAIN'!AE184,'Varie Tabelle'!$A$37:$A$51,0),2)</f>
        <v>45534</v>
      </c>
      <c r="AG184" s="109">
        <f>INDEX('Partner data'!DG:DR,MATCH(I_Miei_Rendiconti[[#This Row],[Column1.partnerId]],'Partner data'!DG:DG,0),12)</f>
        <v>45200</v>
      </c>
      <c r="AH184" s="115">
        <f t="shared" si="15"/>
        <v>10.98322920092075</v>
      </c>
      <c r="AI184" t="str" cm="1">
        <f t="array" ref="AI184">INDEX('Varie Tabelle'!$A$12:$C$22,MATCH(1,('MY-REPORT-MAIN'!AH184&gt;='Varie Tabelle'!$B$12:$B$22)*('MY-REPORT-MAIN'!AH184&lt;='Varie Tabelle'!$C$12:$C$22),0),1)</f>
        <v>Periodo-1</v>
      </c>
      <c r="AJ184" s="14">
        <f>INDEX('Partner data'!A:EC,MATCH(I_Miei_Rendiconti[[#This Row],[Column1.partnerId]],'Partner data'!DG:DG,0),MATCH('MY-REPORT-MAIN'!AI184,'Partner data'!$2:$2,0))</f>
        <v>12615</v>
      </c>
      <c r="AK184" s="10">
        <f>SUMIFS($U$2:U202,$C$2:C202,I_Miei_Rendiconti[[#This Row],[Column1.partnerId]])-AJ184</f>
        <v>37335.94</v>
      </c>
      <c r="AL184" s="192">
        <f t="shared" si="19"/>
        <v>0</v>
      </c>
      <c r="AM184" s="14">
        <f>INDEX('Partner data'!A:EB,MATCH(I_Miei_Rendiconti[[#This Row],[Column1.partnerId]],'Partner data'!DG:DG,0),44)</f>
        <v>142157</v>
      </c>
      <c r="AN184" s="14">
        <f>SUMIFS(ListOfExpenditure!AP:AP,ListOfExpenditure!AJ:AJ,I_Miei_Rendiconti[[#This Row],[Column1.id]])</f>
        <v>0</v>
      </c>
      <c r="AO184" s="148">
        <f>SUMIFS(ReportSubmittedBL!W:W,ReportSubmittedBL!D:D,I_Miei_Rendiconti[[#This Row],[Column1.id]])</f>
        <v>16</v>
      </c>
      <c r="AP184" s="155" cm="1">
        <f t="array" ref="AP184">INDEX('Weight tables'!$A$32:$C$36,MATCH(1,('MY-REPORT-MAIN'!AO184&gt;='Weight tables'!$B$32:$B$36)*('MY-REPORT-MAIN'!AO184&lt;='Weight tables'!$C$32:$C$36),0),1)</f>
        <v>8.4</v>
      </c>
      <c r="AQ184" s="155">
        <f>INDEX('Weight tables'!$A$39:$B$41,MATCH(I_Miei_Rendiconti[[#This Row],[Previouse Report checked?yes/no]],'Weight tables'!$B$39:$B$41,0),1)</f>
        <v>0</v>
      </c>
      <c r="AR184" s="155" cm="1">
        <f t="array" ref="AR184">IF(I_Miei_Rendiconti[[#This Row],[Sum of errors in previous report ]]="NON PERTINENTE",0,INDEX('Weight tables'!$A$43:$C$46,MATCH(1,(I_Miei_Rendiconti[[#This Row],[Sum of errors in previous report ]]&gt;='Weight tables'!$B$43:$B$46)*(I_Miei_Rendiconti[[#This Row],[Sum of errors in previous report ]]&lt;='Weight tables'!$C$43:$C$46),0),1))</f>
        <v>6.4</v>
      </c>
      <c r="AS184" s="155" cm="1">
        <f t="array" ref="AS184">IF(I_Miei_Rendiconti[[#This Row],[Sum of errors in the previous reports]]="NON PERTINENTE",0,INDEX('Weight tables'!$A$49:$C$52,MATCH(1,((I_Miei_Rendiconti[[#This Row],[Sum of errors in the previous reports]]/2)&gt;='Weight tables'!$B$49:$B$52)*((I_Miei_Rendiconti[[#This Row],[Sum of errors in the previous reports]]/2)&lt;='Weight tables'!$C$49:$C$52),0),1))</f>
        <v>1</v>
      </c>
      <c r="AT184" s="155" cm="1">
        <f t="array" ref="AT184">INDEX('Weight tables'!$A$56:$C$65,MATCH(1,('MY-REPORT-MAIN'!U184&gt;='Weight tables'!$B$56:$B$65)*('MY-REPORT-MAIN'!U184&lt;='Weight tables'!$C$56:$C$65),0),1)</f>
        <v>4</v>
      </c>
      <c r="AU184" s="155" cm="1">
        <f t="array" ref="AU184">INDEX('Weight tables'!$A$68:$C$71,MATCH(1,('MY-REPORT-MAIN'!AL184&gt;='Weight tables'!$B$68:$B$71)*('MY-REPORT-MAIN'!AL184&lt;='Weight tables'!$C$68:$C$71),0),1)</f>
        <v>0</v>
      </c>
      <c r="AV184" s="155" cm="1">
        <f t="array" ref="AV184">INDEX('Weight tables'!$A$74:$C$78,MATCH(1,('MY-REPORT-MAIN'!AN184&gt;='Weight tables'!$B$74:$B$78)*('MY-REPORT-MAIN'!AN184&lt;='Weight tables'!$C$74:$C$78),0),1)</f>
        <v>0</v>
      </c>
      <c r="AW184" s="16">
        <f>IF(I_Miei_Rendiconti[[#This Row],[Column1.totalAfterSubmitted]]/AM184&gt;50%,"Checked",0)</f>
        <v>0</v>
      </c>
      <c r="AX184" s="155">
        <f t="shared" si="16"/>
        <v>19.8</v>
      </c>
      <c r="AY184" s="155" t="str">
        <f>INDEX('Partner data'!A:EB,MATCH(I_Miei_Rendiconti[[#This Row],[Column1.partnerId]],'Partner data'!DG:DG,0),92)</f>
        <v>Slovenija (SI)</v>
      </c>
      <c r="AZ184" s="198">
        <f t="shared" si="17"/>
        <v>0</v>
      </c>
      <c r="BA184" s="20">
        <f t="shared" si="11"/>
        <v>9</v>
      </c>
      <c r="BB184" s="20" t="str">
        <f t="shared" si="12"/>
        <v>NO CHECK</v>
      </c>
      <c r="BC184" s="2">
        <f t="shared" si="18"/>
        <v>19.8</v>
      </c>
      <c r="BD184" s="20">
        <f t="shared" si="13"/>
        <v>4</v>
      </c>
      <c r="BE184" s="205" t="str">
        <f t="shared" si="14"/>
        <v>Check</v>
      </c>
      <c r="BF184" s="190" t="str">
        <f>IF(INDEX('Partner data'!A:DG,MATCH(I_Miei_Rendiconti[[#This Row],[Column1.partnerId]],'Partner data'!DG:DG,0),83)="Soggetto privato","Private","Public")</f>
        <v>Public</v>
      </c>
    </row>
    <row r="185" spans="1:58" ht="60" x14ac:dyDescent="0.25">
      <c r="A185" s="79">
        <v>361</v>
      </c>
      <c r="B185" s="81">
        <v>60</v>
      </c>
      <c r="C185" s="81">
        <v>267</v>
      </c>
      <c r="D185" s="79" t="s">
        <v>1551</v>
      </c>
      <c r="E185" s="79" t="s">
        <v>253</v>
      </c>
      <c r="F185" s="79">
        <v>5</v>
      </c>
      <c r="G185" s="206" t="s">
        <v>318</v>
      </c>
      <c r="I185" s="79" t="s">
        <v>7486</v>
      </c>
      <c r="J185" s="79" t="s">
        <v>1118</v>
      </c>
      <c r="K185" s="208">
        <v>45537</v>
      </c>
      <c r="M185" s="208"/>
      <c r="U185" s="81">
        <v>30021.5</v>
      </c>
      <c r="V185" s="79" t="str">
        <f>INDEX(pARTNER[#All],MATCH(I_Miei_Rendiconti[[#This Row],[Column1.partnerId]],pARTNER[[#All],[Value.partnerSummary.id]],0),2)</f>
        <v>INTER BIKE III</v>
      </c>
      <c r="X185" s="216">
        <f>IF(I_Miei_Rendiconti[[#This Row],[Column1.status]]&lt;&gt;"Certified",0,I_Miei_Rendiconti[[#This Row],[Column1.totalAfterSubmitted]]-I_Miei_Rendiconti[[#This Row],[Column1.totalEligibleAfterControl]])</f>
        <v>0</v>
      </c>
      <c r="Y185" s="80" t="str">
        <f>IF(I_Miei_Rendiconti[[#This Row],[Column1.status]]="Certified",IFERROR(I_Miei_Rendiconti[[#This Row],[Financial corection]]/I_Miei_Rendiconti[[#This Row],[Column1.totalAfterSubmitted]],0),"Rendiconto da certificare")</f>
        <v>Rendiconto da certificare</v>
      </c>
      <c r="Z185" s="207" t="str">
        <f>IF(I_Miei_Rendiconti[[#This Row],[Column1.status]]&lt;&gt;"Certified",INDEX('Partner data'!DG:DQ,MATCH(I_Miei_Rendiconti[[#This Row],[Column1.partnerId]],'Partner data'!DG:DG,0),10),"Rendiconto CONVALIDATO")</f>
        <v>NON è stato convalidato ancora nessun rendiconto</v>
      </c>
      <c r="AA185"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85"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C185" s="81" t="str">
        <f>IF(OR(I_Miei_Rendiconti[[#This Row],[N. previouse validated report ]]="Rendiconto CONVALIDATO",I_Miei_Rendiconti[[#This Row],[N. previouse validated report ]]="NON è stato convalidato ancora nessun rendiconto"),"NON PERTINENTE",SUMIFS(Errors!R:R,Errors!C:C,I_Miei_Rendiconti[[#This Row],[Column1.partnerId]]))</f>
        <v>NON PERTINENTE</v>
      </c>
      <c r="AD185" s="2">
        <f>INDEX('Partner data'!DG:DJ,MATCH(I_Miei_Rendiconti[[#This Row],[Column1.partnerId]],'Partner data'!DG:DG,0),3)</f>
        <v>0</v>
      </c>
      <c r="AE185" t="str" cm="1">
        <f t="array" ref="AE185">INDEX('Varie Tabelle'!$A$37:$C$51,MATCH(1,(I_Miei_Rendiconti[[#This Row],[Column1.firstSubmission]]&gt;='Varie Tabelle'!$B$37:$B$51)*(I_Miei_Rendiconti[[#This Row],[Column1.firstSubmission]]&lt;'Varie Tabelle'!$C$37:$C$51),0),1)</f>
        <v>Finestra 3</v>
      </c>
      <c r="AF185" s="109">
        <f>INDEX('Varie Tabelle'!$A$37:$C$51,MATCH('MY-REPORT-MAIN'!AE185,'Varie Tabelle'!$A$37:$A$51,0),2)</f>
        <v>45534</v>
      </c>
      <c r="AG185" s="109">
        <f>INDEX('Partner data'!DG:DR,MATCH(I_Miei_Rendiconti[[#This Row],[Column1.partnerId]],'Partner data'!DG:DG,0),12)</f>
        <v>45200</v>
      </c>
      <c r="AH185" s="115">
        <f t="shared" si="15"/>
        <v>10.98322920092075</v>
      </c>
      <c r="AI185" t="str" cm="1">
        <f t="array" ref="AI185">INDEX('Varie Tabelle'!$A$12:$C$22,MATCH(1,('MY-REPORT-MAIN'!AH185&gt;='Varie Tabelle'!$B$12:$B$22)*('MY-REPORT-MAIN'!AH185&lt;='Varie Tabelle'!$C$12:$C$22),0),1)</f>
        <v>Periodo-1</v>
      </c>
      <c r="AJ185" s="14">
        <f>INDEX('Partner data'!A:EC,MATCH(I_Miei_Rendiconti[[#This Row],[Column1.partnerId]],'Partner data'!DG:DG,0),MATCH('MY-REPORT-MAIN'!AI185,'Partner data'!$2:$2,0))</f>
        <v>29402.5</v>
      </c>
      <c r="AK185" s="10">
        <f>SUMIFS($U$2:U203,$C$2:C203,I_Miei_Rendiconti[[#This Row],[Column1.partnerId]])-AJ185</f>
        <v>619</v>
      </c>
      <c r="AL185" s="192">
        <f t="shared" si="19"/>
        <v>2.1052631578947368E-2</v>
      </c>
      <c r="AM185" s="14">
        <f>INDEX('Partner data'!A:EB,MATCH(I_Miei_Rendiconti[[#This Row],[Column1.partnerId]],'Partner data'!DG:DG,0),44)</f>
        <v>120705</v>
      </c>
      <c r="AN185" s="14">
        <f>SUMIFS(ListOfExpenditure!AP:AP,ListOfExpenditure!AJ:AJ,I_Miei_Rendiconti[[#This Row],[Column1.id]])</f>
        <v>0</v>
      </c>
      <c r="AO185" s="148">
        <f>SUMIFS(ReportSubmittedBL!W:W,ReportSubmittedBL!D:D,I_Miei_Rendiconti[[#This Row],[Column1.id]])</f>
        <v>12</v>
      </c>
      <c r="AP185" s="155" cm="1">
        <f t="array" ref="AP185">INDEX('Weight tables'!$A$32:$C$36,MATCH(1,('MY-REPORT-MAIN'!AO185&gt;='Weight tables'!$B$32:$B$36)*('MY-REPORT-MAIN'!AO185&lt;='Weight tables'!$C$32:$C$36),0),1)</f>
        <v>8.4</v>
      </c>
      <c r="AQ185" s="155">
        <f>INDEX('Weight tables'!$A$39:$B$41,MATCH(I_Miei_Rendiconti[[#This Row],[Previouse Report checked?yes/no]],'Weight tables'!$B$39:$B$41,0),1)</f>
        <v>8.4</v>
      </c>
      <c r="AR185" s="155" cm="1">
        <f t="array" ref="AR185">IF(I_Miei_Rendiconti[[#This Row],[Sum of errors in previous report ]]="NON PERTINENTE",0,INDEX('Weight tables'!$A$43:$C$46,MATCH(1,(I_Miei_Rendiconti[[#This Row],[Sum of errors in previous report ]]&gt;='Weight tables'!$B$43:$B$46)*(I_Miei_Rendiconti[[#This Row],[Sum of errors in previous report ]]&lt;='Weight tables'!$C$43:$C$46),0),1))</f>
        <v>0</v>
      </c>
      <c r="AS185" s="155" cm="1">
        <f t="array" ref="AS185">IF(I_Miei_Rendiconti[[#This Row],[Sum of errors in the previous reports]]="NON PERTINENTE",0,INDEX('Weight tables'!$A$49:$C$52,MATCH(1,((I_Miei_Rendiconti[[#This Row],[Sum of errors in the previous reports]]/2)&gt;='Weight tables'!$B$49:$B$52)*((I_Miei_Rendiconti[[#This Row],[Sum of errors in the previous reports]]/2)&lt;='Weight tables'!$C$49:$C$52),0),1))</f>
        <v>0</v>
      </c>
      <c r="AT185" s="155" cm="1">
        <f t="array" ref="AT185">INDEX('Weight tables'!$A$56:$C$65,MATCH(1,('MY-REPORT-MAIN'!U185&gt;='Weight tables'!$B$56:$B$65)*('MY-REPORT-MAIN'!U185&lt;='Weight tables'!$C$56:$C$65),0),1)</f>
        <v>3</v>
      </c>
      <c r="AU185" s="155" cm="1">
        <f t="array" ref="AU185">INDEX('Weight tables'!$A$68:$C$71,MATCH(1,('MY-REPORT-MAIN'!AL185&gt;='Weight tables'!$B$68:$B$71)*('MY-REPORT-MAIN'!AL185&lt;='Weight tables'!$C$68:$C$71),0),1)</f>
        <v>0</v>
      </c>
      <c r="AV185" s="155" cm="1">
        <f t="array" ref="AV185">INDEX('Weight tables'!$A$74:$C$78,MATCH(1,('MY-REPORT-MAIN'!AN185&gt;='Weight tables'!$B$74:$B$78)*('MY-REPORT-MAIN'!AN185&lt;='Weight tables'!$C$74:$C$78),0),1)</f>
        <v>0</v>
      </c>
      <c r="AW185" s="16">
        <f>IF(I_Miei_Rendiconti[[#This Row],[Column1.totalAfterSubmitted]]/AM185&gt;50%,"Checked",0)</f>
        <v>0</v>
      </c>
      <c r="AX185" s="155">
        <f t="shared" si="16"/>
        <v>19.8</v>
      </c>
      <c r="AY185" s="155" t="str">
        <f>INDEX('Partner data'!A:EB,MATCH(I_Miei_Rendiconti[[#This Row],[Column1.partnerId]],'Partner data'!DG:DG,0),92)</f>
        <v>Italia (IT)</v>
      </c>
      <c r="AZ185" s="198">
        <f t="shared" si="17"/>
        <v>19.8</v>
      </c>
      <c r="BA185" s="20">
        <f t="shared" si="11"/>
        <v>3</v>
      </c>
      <c r="BB185" s="20" t="str">
        <f t="shared" si="12"/>
        <v>Check</v>
      </c>
      <c r="BC185" s="2">
        <f t="shared" si="18"/>
        <v>0</v>
      </c>
      <c r="BD185" s="20">
        <f t="shared" si="13"/>
        <v>11</v>
      </c>
      <c r="BE185" s="205" t="str">
        <f t="shared" si="14"/>
        <v>NO Check</v>
      </c>
      <c r="BF185" s="190" t="str">
        <f>IF(INDEX('Partner data'!A:DG,MATCH(I_Miei_Rendiconti[[#This Row],[Column1.partnerId]],'Partner data'!DG:DG,0),83)="Soggetto privato","Private","Public")</f>
        <v>Private</v>
      </c>
    </row>
    <row r="186" spans="1:58" ht="30" x14ac:dyDescent="0.25">
      <c r="A186" s="79">
        <v>362</v>
      </c>
      <c r="B186" s="81">
        <v>60</v>
      </c>
      <c r="C186" s="81">
        <v>285</v>
      </c>
      <c r="D186" s="79" t="s">
        <v>1551</v>
      </c>
      <c r="E186" s="79" t="s">
        <v>253</v>
      </c>
      <c r="F186" s="79">
        <v>6</v>
      </c>
      <c r="G186" s="206" t="s">
        <v>322</v>
      </c>
      <c r="I186" s="79" t="s">
        <v>7486</v>
      </c>
      <c r="J186" s="79" t="s">
        <v>1118</v>
      </c>
      <c r="K186" s="208">
        <v>45537</v>
      </c>
      <c r="M186" s="208"/>
      <c r="U186" s="81">
        <v>13711.18</v>
      </c>
      <c r="V186" s="79" t="str">
        <f>INDEX(pARTNER[#All],MATCH(I_Miei_Rendiconti[[#This Row],[Column1.partnerId]],pARTNER[[#All],[Value.partnerSummary.id]],0),2)</f>
        <v>INTER BIKE III</v>
      </c>
      <c r="X186" s="216">
        <f>IF(I_Miei_Rendiconti[[#This Row],[Column1.status]]&lt;&gt;"Certified",0,I_Miei_Rendiconti[[#This Row],[Column1.totalAfterSubmitted]]-I_Miei_Rendiconti[[#This Row],[Column1.totalEligibleAfterControl]])</f>
        <v>0</v>
      </c>
      <c r="Y186" s="80" t="str">
        <f>IF(I_Miei_Rendiconti[[#This Row],[Column1.status]]="Certified",IFERROR(I_Miei_Rendiconti[[#This Row],[Financial corection]]/I_Miei_Rendiconti[[#This Row],[Column1.totalAfterSubmitted]],0),"Rendiconto da certificare")</f>
        <v>Rendiconto da certificare</v>
      </c>
      <c r="Z186" s="207">
        <f>IF(I_Miei_Rendiconti[[#This Row],[Column1.status]]&lt;&gt;"Certified",INDEX('Partner data'!DG:DQ,MATCH(I_Miei_Rendiconti[[#This Row],[Column1.partnerId]],'Partner data'!DG:DG,0),10),"Rendiconto CONVALIDATO")</f>
        <v>316</v>
      </c>
      <c r="AA186"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SI</v>
      </c>
      <c r="AB186" s="81">
        <f>IF(OR(I_Miei_Rendiconti[[#This Row],[N. previouse validated report ]]="Rendiconto CONVALIDATO",I_Miei_Rendiconti[[#This Row],[N. previouse validated report ]]="NON è stato convalidato ancora nessun rendiconto"),"NON PERTINENTE",SUMIFS(Errors!R:R,Errors!D:D,I_Miei_Rendiconti[[#This Row],[N. previouse validated report ]]))</f>
        <v>0</v>
      </c>
      <c r="AC186" s="81">
        <f>IF(OR(I_Miei_Rendiconti[[#This Row],[N. previouse validated report ]]="Rendiconto CONVALIDATO",I_Miei_Rendiconti[[#This Row],[N. previouse validated report ]]="NON è stato convalidato ancora nessun rendiconto"),"NON PERTINENTE",SUMIFS(Errors!R:R,Errors!C:C,I_Miei_Rendiconti[[#This Row],[Column1.partnerId]]))</f>
        <v>0</v>
      </c>
      <c r="AD186" s="2">
        <f>INDEX('Partner data'!DG:DJ,MATCH(I_Miei_Rendiconti[[#This Row],[Column1.partnerId]],'Partner data'!DG:DG,0),3)</f>
        <v>1</v>
      </c>
      <c r="AE186" t="str" cm="1">
        <f t="array" ref="AE186">INDEX('Varie Tabelle'!$A$37:$C$51,MATCH(1,(I_Miei_Rendiconti[[#This Row],[Column1.firstSubmission]]&gt;='Varie Tabelle'!$B$37:$B$51)*(I_Miei_Rendiconti[[#This Row],[Column1.firstSubmission]]&lt;'Varie Tabelle'!$C$37:$C$51),0),1)</f>
        <v>Finestra 3</v>
      </c>
      <c r="AF186" s="109">
        <f>INDEX('Varie Tabelle'!$A$37:$C$51,MATCH('MY-REPORT-MAIN'!AE186,'Varie Tabelle'!$A$37:$A$51,0),2)</f>
        <v>45534</v>
      </c>
      <c r="AG186" s="109">
        <f>INDEX('Partner data'!DG:DR,MATCH(I_Miei_Rendiconti[[#This Row],[Column1.partnerId]],'Partner data'!DG:DG,0),12)</f>
        <v>45200</v>
      </c>
      <c r="AH186" s="115">
        <f t="shared" si="15"/>
        <v>10.98322920092075</v>
      </c>
      <c r="AI186" t="str" cm="1">
        <f t="array" ref="AI186">INDEX('Varie Tabelle'!$A$12:$C$22,MATCH(1,('MY-REPORT-MAIN'!AH186&gt;='Varie Tabelle'!$B$12:$B$22)*('MY-REPORT-MAIN'!AH186&lt;='Varie Tabelle'!$C$12:$C$22),0),1)</f>
        <v>Periodo-1</v>
      </c>
      <c r="AJ186" s="14">
        <f>INDEX('Partner data'!A:EC,MATCH(I_Miei_Rendiconti[[#This Row],[Column1.partnerId]],'Partner data'!DG:DG,0),MATCH('MY-REPORT-MAIN'!AI186,'Partner data'!$2:$2,0))</f>
        <v>4771.8999999999996</v>
      </c>
      <c r="AK186" s="10">
        <f>SUMIFS($U$2:U204,$C$2:C204,I_Miei_Rendiconti[[#This Row],[Column1.partnerId]])-AJ186</f>
        <v>13711.180000000002</v>
      </c>
      <c r="AL186" s="192">
        <f t="shared" si="19"/>
        <v>0</v>
      </c>
      <c r="AM186" s="14">
        <f>INDEX('Partner data'!A:EB,MATCH(I_Miei_Rendiconti[[#This Row],[Column1.partnerId]],'Partner data'!DG:DG,0),44)</f>
        <v>100400</v>
      </c>
      <c r="AN186" s="14">
        <f>SUMIFS(ListOfExpenditure!AP:AP,ListOfExpenditure!AJ:AJ,I_Miei_Rendiconti[[#This Row],[Column1.id]])</f>
        <v>0</v>
      </c>
      <c r="AO186" s="148">
        <f>SUMIFS(ReportSubmittedBL!W:W,ReportSubmittedBL!D:D,I_Miei_Rendiconti[[#This Row],[Column1.id]])</f>
        <v>10</v>
      </c>
      <c r="AP186" s="155" cm="1">
        <f t="array" ref="AP186">INDEX('Weight tables'!$A$32:$C$36,MATCH(1,('MY-REPORT-MAIN'!AO186&gt;='Weight tables'!$B$32:$B$36)*('MY-REPORT-MAIN'!AO186&lt;='Weight tables'!$C$32:$C$36),0),1)</f>
        <v>8.4</v>
      </c>
      <c r="AQ186" s="155">
        <f>INDEX('Weight tables'!$A$39:$B$41,MATCH(I_Miei_Rendiconti[[#This Row],[Previouse Report checked?yes/no]],'Weight tables'!$B$39:$B$41,0),1)</f>
        <v>0</v>
      </c>
      <c r="AR186" s="155" cm="1">
        <f t="array" ref="AR186">IF(I_Miei_Rendiconti[[#This Row],[Sum of errors in previous report ]]="NON PERTINENTE",0,INDEX('Weight tables'!$A$43:$C$46,MATCH(1,(I_Miei_Rendiconti[[#This Row],[Sum of errors in previous report ]]&gt;='Weight tables'!$B$43:$B$46)*(I_Miei_Rendiconti[[#This Row],[Sum of errors in previous report ]]&lt;='Weight tables'!$C$43:$C$46),0),1))</f>
        <v>0</v>
      </c>
      <c r="AS186" s="155" cm="1">
        <f t="array" ref="AS186">IF(I_Miei_Rendiconti[[#This Row],[Sum of errors in the previous reports]]="NON PERTINENTE",0,INDEX('Weight tables'!$A$49:$C$52,MATCH(1,((I_Miei_Rendiconti[[#This Row],[Sum of errors in the previous reports]]/2)&gt;='Weight tables'!$B$49:$B$52)*((I_Miei_Rendiconti[[#This Row],[Sum of errors in the previous reports]]/2)&lt;='Weight tables'!$C$49:$C$52),0),1))</f>
        <v>0</v>
      </c>
      <c r="AT186" s="155" cm="1">
        <f t="array" ref="AT186">INDEX('Weight tables'!$A$56:$C$65,MATCH(1,('MY-REPORT-MAIN'!U186&gt;='Weight tables'!$B$56:$B$65)*('MY-REPORT-MAIN'!U186&lt;='Weight tables'!$C$56:$C$65),0),1)</f>
        <v>1</v>
      </c>
      <c r="AU186" s="155" cm="1">
        <f t="array" ref="AU186">INDEX('Weight tables'!$A$68:$C$71,MATCH(1,('MY-REPORT-MAIN'!AL186&gt;='Weight tables'!$B$68:$B$71)*('MY-REPORT-MAIN'!AL186&lt;='Weight tables'!$C$68:$C$71),0),1)</f>
        <v>0</v>
      </c>
      <c r="AV186" s="155" cm="1">
        <f t="array" ref="AV186">INDEX('Weight tables'!$A$74:$C$78,MATCH(1,('MY-REPORT-MAIN'!AN186&gt;='Weight tables'!$B$74:$B$78)*('MY-REPORT-MAIN'!AN186&lt;='Weight tables'!$C$74:$C$78),0),1)</f>
        <v>0</v>
      </c>
      <c r="AW186" s="16">
        <f>IF(I_Miei_Rendiconti[[#This Row],[Column1.totalAfterSubmitted]]/AM186&gt;50%,"Checked",0)</f>
        <v>0</v>
      </c>
      <c r="AX186" s="155">
        <f t="shared" si="16"/>
        <v>9.4</v>
      </c>
      <c r="AY186" s="155" t="str">
        <f>INDEX('Partner data'!A:EB,MATCH(I_Miei_Rendiconti[[#This Row],[Column1.partnerId]],'Partner data'!DG:DG,0),92)</f>
        <v>Italia (IT)</v>
      </c>
      <c r="AZ186" s="198">
        <f t="shared" si="17"/>
        <v>9.4</v>
      </c>
      <c r="BA186" s="20">
        <f t="shared" si="11"/>
        <v>8</v>
      </c>
      <c r="BB186" s="20" t="str">
        <f t="shared" si="12"/>
        <v>NO CHECK</v>
      </c>
      <c r="BC186" s="2">
        <f t="shared" si="18"/>
        <v>0</v>
      </c>
      <c r="BD186" s="20">
        <f t="shared" si="13"/>
        <v>11</v>
      </c>
      <c r="BE186" s="205" t="str">
        <f t="shared" si="14"/>
        <v>NO Check</v>
      </c>
      <c r="BF186" s="190" t="str">
        <f>IF(INDEX('Partner data'!A:DG,MATCH(I_Miei_Rendiconti[[#This Row],[Column1.partnerId]],'Partner data'!DG:DG,0),83)="Soggetto privato","Private","Public")</f>
        <v>Public</v>
      </c>
    </row>
    <row r="187" spans="1:58" ht="60" x14ac:dyDescent="0.25">
      <c r="A187" s="79">
        <v>363</v>
      </c>
      <c r="B187" s="81">
        <v>159</v>
      </c>
      <c r="C187" s="81">
        <v>385</v>
      </c>
      <c r="D187" s="79" t="s">
        <v>3304</v>
      </c>
      <c r="E187" s="79" t="s">
        <v>264</v>
      </c>
      <c r="F187" s="79">
        <v>1</v>
      </c>
      <c r="G187" s="206" t="s">
        <v>3307</v>
      </c>
      <c r="I187" s="79" t="s">
        <v>7486</v>
      </c>
      <c r="K187" s="208">
        <v>45537</v>
      </c>
      <c r="M187" s="208"/>
      <c r="U187" s="81">
        <v>8666</v>
      </c>
      <c r="V187" s="79" t="str">
        <f>INDEX(pARTNER[#All],MATCH(I_Miei_Rendiconti[[#This Row],[Column1.partnerId]],pARTNER[[#All],[Value.partnerSummary.id]],0),2)</f>
        <v>CREW</v>
      </c>
      <c r="X187" s="216">
        <f>IF(I_Miei_Rendiconti[[#This Row],[Column1.status]]&lt;&gt;"Certified",0,I_Miei_Rendiconti[[#This Row],[Column1.totalAfterSubmitted]]-I_Miei_Rendiconti[[#This Row],[Column1.totalEligibleAfterControl]])</f>
        <v>0</v>
      </c>
      <c r="Y187" s="80" t="str">
        <f>IF(I_Miei_Rendiconti[[#This Row],[Column1.status]]="Certified",IFERROR(I_Miei_Rendiconti[[#This Row],[Financial corection]]/I_Miei_Rendiconti[[#This Row],[Column1.totalAfterSubmitted]],0),"Rendiconto da certificare")</f>
        <v>Rendiconto da certificare</v>
      </c>
      <c r="Z187" s="207" t="str">
        <f>IF(I_Miei_Rendiconti[[#This Row],[Column1.status]]&lt;&gt;"Certified",INDEX('Partner data'!DG:DQ,MATCH(I_Miei_Rendiconti[[#This Row],[Column1.partnerId]],'Partner data'!DG:DG,0),10),"Rendiconto CONVALIDATO")</f>
        <v>NON è stato convalidato ancora nessun rendiconto</v>
      </c>
      <c r="AA187"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87"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C187" s="81" t="str">
        <f>IF(OR(I_Miei_Rendiconti[[#This Row],[N. previouse validated report ]]="Rendiconto CONVALIDATO",I_Miei_Rendiconti[[#This Row],[N. previouse validated report ]]="NON è stato convalidato ancora nessun rendiconto"),"NON PERTINENTE",SUMIFS(Errors!R:R,Errors!C:C,I_Miei_Rendiconti[[#This Row],[Column1.partnerId]]))</f>
        <v>NON PERTINENTE</v>
      </c>
      <c r="AD187" s="2">
        <f>INDEX('Partner data'!DG:DJ,MATCH(I_Miei_Rendiconti[[#This Row],[Column1.partnerId]],'Partner data'!DG:DG,0),3)</f>
        <v>0</v>
      </c>
      <c r="AE187" t="str" cm="1">
        <f t="array" ref="AE187">INDEX('Varie Tabelle'!$A$37:$C$51,MATCH(1,(I_Miei_Rendiconti[[#This Row],[Column1.firstSubmission]]&gt;='Varie Tabelle'!$B$37:$B$51)*(I_Miei_Rendiconti[[#This Row],[Column1.firstSubmission]]&lt;'Varie Tabelle'!$C$37:$C$51),0),1)</f>
        <v>Finestra 3</v>
      </c>
      <c r="AF187" s="109">
        <f>INDEX('Varie Tabelle'!$A$37:$C$51,MATCH('MY-REPORT-MAIN'!AE187,'Varie Tabelle'!$A$37:$A$51,0),2)</f>
        <v>45534</v>
      </c>
      <c r="AG187" s="109">
        <f>INDEX('Partner data'!DG:DR,MATCH(I_Miei_Rendiconti[[#This Row],[Column1.partnerId]],'Partner data'!DG:DG,0),12)</f>
        <v>45401</v>
      </c>
      <c r="AH187" s="115">
        <f t="shared" si="15"/>
        <v>4.3735613285103581</v>
      </c>
      <c r="AI187" t="str" cm="1">
        <f t="array" ref="AI187">INDEX('Varie Tabelle'!$A$12:$C$22,MATCH(1,('MY-REPORT-MAIN'!AH187&gt;='Varie Tabelle'!$B$12:$B$22)*('MY-REPORT-MAIN'!AH187&lt;='Varie Tabelle'!$C$12:$C$22),0),1)</f>
        <v>Periodo-1</v>
      </c>
      <c r="AJ187" s="14">
        <f>INDEX('Partner data'!A:EC,MATCH(I_Miei_Rendiconti[[#This Row],[Column1.partnerId]],'Partner data'!DG:DG,0),MATCH('MY-REPORT-MAIN'!AI187,'Partner data'!$2:$2,0))</f>
        <v>17666</v>
      </c>
      <c r="AK187" s="10">
        <f>SUMIFS($U$2:U205,$C$2:C205,I_Miei_Rendiconti[[#This Row],[Column1.partnerId]])-AJ187</f>
        <v>-9000</v>
      </c>
      <c r="AL187" s="192">
        <f t="shared" si="19"/>
        <v>-0.50945318691271368</v>
      </c>
      <c r="AM187" s="14">
        <f>INDEX('Partner data'!A:EB,MATCH(I_Miei_Rendiconti[[#This Row],[Column1.partnerId]],'Partner data'!DG:DG,0),44)</f>
        <v>392161</v>
      </c>
      <c r="AN187" s="14">
        <f>SUMIFS(ListOfExpenditure!AP:AP,ListOfExpenditure!AJ:AJ,I_Miei_Rendiconti[[#This Row],[Column1.id]])</f>
        <v>0</v>
      </c>
      <c r="AO187" s="148">
        <f>SUMIFS(ReportSubmittedBL!W:W,ReportSubmittedBL!D:D,I_Miei_Rendiconti[[#This Row],[Column1.id]])</f>
        <v>12</v>
      </c>
      <c r="AP187" s="155" cm="1">
        <f t="array" ref="AP187">INDEX('Weight tables'!$A$32:$C$36,MATCH(1,('MY-REPORT-MAIN'!AO187&gt;='Weight tables'!$B$32:$B$36)*('MY-REPORT-MAIN'!AO187&lt;='Weight tables'!$C$32:$C$36),0),1)</f>
        <v>8.4</v>
      </c>
      <c r="AQ187" s="155">
        <f>INDEX('Weight tables'!$A$39:$B$41,MATCH(I_Miei_Rendiconti[[#This Row],[Previouse Report checked?yes/no]],'Weight tables'!$B$39:$B$41,0),1)</f>
        <v>8.4</v>
      </c>
      <c r="AR187" s="155" cm="1">
        <f t="array" ref="AR187">IF(I_Miei_Rendiconti[[#This Row],[Sum of errors in previous report ]]="NON PERTINENTE",0,INDEX('Weight tables'!$A$43:$C$46,MATCH(1,(I_Miei_Rendiconti[[#This Row],[Sum of errors in previous report ]]&gt;='Weight tables'!$B$43:$B$46)*(I_Miei_Rendiconti[[#This Row],[Sum of errors in previous report ]]&lt;='Weight tables'!$C$43:$C$46),0),1))</f>
        <v>0</v>
      </c>
      <c r="AS187" s="155" cm="1">
        <f t="array" ref="AS187">IF(I_Miei_Rendiconti[[#This Row],[Sum of errors in the previous reports]]="NON PERTINENTE",0,INDEX('Weight tables'!$A$49:$C$52,MATCH(1,((I_Miei_Rendiconti[[#This Row],[Sum of errors in the previous reports]]/2)&gt;='Weight tables'!$B$49:$B$52)*((I_Miei_Rendiconti[[#This Row],[Sum of errors in the previous reports]]/2)&lt;='Weight tables'!$C$49:$C$52),0),1))</f>
        <v>0</v>
      </c>
      <c r="AT187" s="155" cm="1">
        <f t="array" ref="AT187">INDEX('Weight tables'!$A$56:$C$65,MATCH(1,('MY-REPORT-MAIN'!U187&gt;='Weight tables'!$B$56:$B$65)*('MY-REPORT-MAIN'!U187&lt;='Weight tables'!$C$56:$C$65),0),1)</f>
        <v>0</v>
      </c>
      <c r="AU187" s="155" cm="1">
        <f t="array" ref="AU187">INDEX('Weight tables'!$A$68:$C$71,MATCH(1,('MY-REPORT-MAIN'!AL187&gt;='Weight tables'!$B$68:$B$71)*('MY-REPORT-MAIN'!AL187&lt;='Weight tables'!$C$68:$C$71),0),1)</f>
        <v>0</v>
      </c>
      <c r="AV187" s="155" cm="1">
        <f t="array" ref="AV187">INDEX('Weight tables'!$A$74:$C$78,MATCH(1,('MY-REPORT-MAIN'!AN187&gt;='Weight tables'!$B$74:$B$78)*('MY-REPORT-MAIN'!AN187&lt;='Weight tables'!$C$74:$C$78),0),1)</f>
        <v>0</v>
      </c>
      <c r="AW187" s="16">
        <f>IF(I_Miei_Rendiconti[[#This Row],[Column1.totalAfterSubmitted]]/AM187&gt;50%,"Checked",0)</f>
        <v>0</v>
      </c>
      <c r="AX187" s="155">
        <f t="shared" si="16"/>
        <v>16.8</v>
      </c>
      <c r="AY187" s="155" t="str">
        <f>INDEX('Partner data'!A:EB,MATCH(I_Miei_Rendiconti[[#This Row],[Column1.partnerId]],'Partner data'!DG:DG,0),92)</f>
        <v>Italia (IT)</v>
      </c>
      <c r="AZ187" s="198">
        <f t="shared" si="17"/>
        <v>16.8</v>
      </c>
      <c r="BA187" s="20">
        <f t="shared" si="11"/>
        <v>5</v>
      </c>
      <c r="BB187" s="20" t="str">
        <f t="shared" si="12"/>
        <v>NO CHECK</v>
      </c>
      <c r="BC187" s="2">
        <f t="shared" si="18"/>
        <v>0</v>
      </c>
      <c r="BD187" s="20">
        <f t="shared" si="13"/>
        <v>11</v>
      </c>
      <c r="BE187" s="205" t="str">
        <f t="shared" si="14"/>
        <v>NO Check</v>
      </c>
      <c r="BF187" s="190" t="str">
        <f>IF(INDEX('Partner data'!A:DG,MATCH(I_Miei_Rendiconti[[#This Row],[Column1.partnerId]],'Partner data'!DG:DG,0),83)="Soggetto privato","Private","Public")</f>
        <v>Private</v>
      </c>
    </row>
    <row r="188" spans="1:58" ht="60" x14ac:dyDescent="0.25">
      <c r="A188" s="79">
        <v>364</v>
      </c>
      <c r="B188" s="81">
        <v>159</v>
      </c>
      <c r="C188" s="81">
        <v>551</v>
      </c>
      <c r="D188" s="79" t="s">
        <v>3304</v>
      </c>
      <c r="E188" s="79" t="s">
        <v>253</v>
      </c>
      <c r="F188" s="79">
        <v>2</v>
      </c>
      <c r="G188" s="206" t="s">
        <v>3320</v>
      </c>
      <c r="I188" s="79" t="s">
        <v>7486</v>
      </c>
      <c r="K188" s="208">
        <v>45537</v>
      </c>
      <c r="M188" s="208"/>
      <c r="U188" s="81">
        <v>20764</v>
      </c>
      <c r="V188" s="79" t="str">
        <f>INDEX(pARTNER[#All],MATCH(I_Miei_Rendiconti[[#This Row],[Column1.partnerId]],pARTNER[[#All],[Value.partnerSummary.id]],0),2)</f>
        <v>CREW</v>
      </c>
      <c r="X188" s="216">
        <f>IF(I_Miei_Rendiconti[[#This Row],[Column1.status]]&lt;&gt;"Certified",0,I_Miei_Rendiconti[[#This Row],[Column1.totalAfterSubmitted]]-I_Miei_Rendiconti[[#This Row],[Column1.totalEligibleAfterControl]])</f>
        <v>0</v>
      </c>
      <c r="Y188" s="80" t="str">
        <f>IF(I_Miei_Rendiconti[[#This Row],[Column1.status]]="Certified",IFERROR(I_Miei_Rendiconti[[#This Row],[Financial corection]]/I_Miei_Rendiconti[[#This Row],[Column1.totalAfterSubmitted]],0),"Rendiconto da certificare")</f>
        <v>Rendiconto da certificare</v>
      </c>
      <c r="Z188" s="207" t="str">
        <f>IF(I_Miei_Rendiconti[[#This Row],[Column1.status]]&lt;&gt;"Certified",INDEX('Partner data'!DG:DQ,MATCH(I_Miei_Rendiconti[[#This Row],[Column1.partnerId]],'Partner data'!DG:DG,0),10),"Rendiconto CONVALIDATO")</f>
        <v>NON è stato convalidato ancora nessun rendiconto</v>
      </c>
      <c r="AA188"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88"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C188" s="81" t="str">
        <f>IF(OR(I_Miei_Rendiconti[[#This Row],[N. previouse validated report ]]="Rendiconto CONVALIDATO",I_Miei_Rendiconti[[#This Row],[N. previouse validated report ]]="NON è stato convalidato ancora nessun rendiconto"),"NON PERTINENTE",SUMIFS(Errors!R:R,Errors!C:C,I_Miei_Rendiconti[[#This Row],[Column1.partnerId]]))</f>
        <v>NON PERTINENTE</v>
      </c>
      <c r="AD188" s="2">
        <f>INDEX('Partner data'!DG:DJ,MATCH(I_Miei_Rendiconti[[#This Row],[Column1.partnerId]],'Partner data'!DG:DG,0),3)</f>
        <v>0</v>
      </c>
      <c r="AE188" t="str" cm="1">
        <f t="array" ref="AE188">INDEX('Varie Tabelle'!$A$37:$C$51,MATCH(1,(I_Miei_Rendiconti[[#This Row],[Column1.firstSubmission]]&gt;='Varie Tabelle'!$B$37:$B$51)*(I_Miei_Rendiconti[[#This Row],[Column1.firstSubmission]]&lt;'Varie Tabelle'!$C$37:$C$51),0),1)</f>
        <v>Finestra 3</v>
      </c>
      <c r="AF188" s="109">
        <f>INDEX('Varie Tabelle'!$A$37:$C$51,MATCH('MY-REPORT-MAIN'!AE188,'Varie Tabelle'!$A$37:$A$51,0),2)</f>
        <v>45534</v>
      </c>
      <c r="AG188" s="109">
        <f>INDEX('Partner data'!DG:DR,MATCH(I_Miei_Rendiconti[[#This Row],[Column1.partnerId]],'Partner data'!DG:DG,0),12)</f>
        <v>45401</v>
      </c>
      <c r="AH188" s="115">
        <f t="shared" si="15"/>
        <v>4.3735613285103581</v>
      </c>
      <c r="AI188" t="str" cm="1">
        <f t="array" ref="AI188">INDEX('Varie Tabelle'!$A$12:$C$22,MATCH(1,('MY-REPORT-MAIN'!AH188&gt;='Varie Tabelle'!$B$12:$B$22)*('MY-REPORT-MAIN'!AH188&lt;='Varie Tabelle'!$C$12:$C$22),0),1)</f>
        <v>Periodo-1</v>
      </c>
      <c r="AJ188" s="14">
        <f>INDEX('Partner data'!A:EC,MATCH(I_Miei_Rendiconti[[#This Row],[Column1.partnerId]],'Partner data'!DG:DG,0),MATCH('MY-REPORT-MAIN'!AI188,'Partner data'!$2:$2,0))</f>
        <v>20764</v>
      </c>
      <c r="AK188" s="10">
        <f>SUMIFS($U$2:U206,$C$2:C206,I_Miei_Rendiconti[[#This Row],[Column1.partnerId]])-AJ188</f>
        <v>0</v>
      </c>
      <c r="AL188" s="192">
        <f t="shared" ref="AL188:AL191" si="20">IFERROR(AK188/AJ188,0)</f>
        <v>0</v>
      </c>
      <c r="AM188" s="14">
        <f>INDEX('Partner data'!A:EB,MATCH(I_Miei_Rendiconti[[#This Row],[Column1.partnerId]],'Partner data'!DG:DG,0),44)</f>
        <v>279720</v>
      </c>
      <c r="AN188" s="14">
        <f>SUMIFS(ListOfExpenditure!AP:AP,ListOfExpenditure!AJ:AJ,I_Miei_Rendiconti[[#This Row],[Column1.id]])</f>
        <v>0</v>
      </c>
      <c r="AO188" s="148">
        <f>SUMIFS(ReportSubmittedBL!W:W,ReportSubmittedBL!D:D,I_Miei_Rendiconti[[#This Row],[Column1.id]])</f>
        <v>16</v>
      </c>
      <c r="AP188" s="155" cm="1">
        <f t="array" ref="AP188">INDEX('Weight tables'!$A$32:$C$36,MATCH(1,('MY-REPORT-MAIN'!AO188&gt;='Weight tables'!$B$32:$B$36)*('MY-REPORT-MAIN'!AO188&lt;='Weight tables'!$C$32:$C$36),0),1)</f>
        <v>8.4</v>
      </c>
      <c r="AQ188" s="155">
        <f>INDEX('Weight tables'!$A$39:$B$41,MATCH(I_Miei_Rendiconti[[#This Row],[Previouse Report checked?yes/no]],'Weight tables'!$B$39:$B$41,0),1)</f>
        <v>8.4</v>
      </c>
      <c r="AR188" s="155" cm="1">
        <f t="array" ref="AR188">IF(I_Miei_Rendiconti[[#This Row],[Sum of errors in previous report ]]="NON PERTINENTE",0,INDEX('Weight tables'!$A$43:$C$46,MATCH(1,(I_Miei_Rendiconti[[#This Row],[Sum of errors in previous report ]]&gt;='Weight tables'!$B$43:$B$46)*(I_Miei_Rendiconti[[#This Row],[Sum of errors in previous report ]]&lt;='Weight tables'!$C$43:$C$46),0),1))</f>
        <v>0</v>
      </c>
      <c r="AS188" s="155" cm="1">
        <f t="array" ref="AS188">IF(I_Miei_Rendiconti[[#This Row],[Sum of errors in the previous reports]]="NON PERTINENTE",0,INDEX('Weight tables'!$A$49:$C$52,MATCH(1,((I_Miei_Rendiconti[[#This Row],[Sum of errors in the previous reports]]/2)&gt;='Weight tables'!$B$49:$B$52)*((I_Miei_Rendiconti[[#This Row],[Sum of errors in the previous reports]]/2)&lt;='Weight tables'!$C$49:$C$52),0),1))</f>
        <v>0</v>
      </c>
      <c r="AT188" s="155" cm="1">
        <f t="array" ref="AT188">INDEX('Weight tables'!$A$56:$C$65,MATCH(1,('MY-REPORT-MAIN'!U188&gt;='Weight tables'!$B$56:$B$65)*('MY-REPORT-MAIN'!U188&lt;='Weight tables'!$C$56:$C$65),0),1)</f>
        <v>2</v>
      </c>
      <c r="AU188" s="155" cm="1">
        <f t="array" ref="AU188">INDEX('Weight tables'!$A$68:$C$71,MATCH(1,('MY-REPORT-MAIN'!AL188&gt;='Weight tables'!$B$68:$B$71)*('MY-REPORT-MAIN'!AL188&lt;='Weight tables'!$C$68:$C$71),0),1)</f>
        <v>0</v>
      </c>
      <c r="AV188" s="155" cm="1">
        <f t="array" ref="AV188">INDEX('Weight tables'!$A$74:$C$78,MATCH(1,('MY-REPORT-MAIN'!AN188&gt;='Weight tables'!$B$74:$B$78)*('MY-REPORT-MAIN'!AN188&lt;='Weight tables'!$C$74:$C$78),0),1)</f>
        <v>0</v>
      </c>
      <c r="AW188" s="16">
        <f>IF(I_Miei_Rendiconti[[#This Row],[Column1.totalAfterSubmitted]]/AM188&gt;50%,"Checked",0)</f>
        <v>0</v>
      </c>
      <c r="AX188" s="155">
        <f t="shared" si="16"/>
        <v>18.8</v>
      </c>
      <c r="AY188" s="155" t="str">
        <f>INDEX('Partner data'!A:EB,MATCH(I_Miei_Rendiconti[[#This Row],[Column1.partnerId]],'Partner data'!DG:DG,0),92)</f>
        <v>Slovenija (SI)</v>
      </c>
      <c r="AZ188" s="198">
        <f t="shared" si="17"/>
        <v>0</v>
      </c>
      <c r="BA188" s="20">
        <f t="shared" si="11"/>
        <v>9</v>
      </c>
      <c r="BB188" s="20" t="str">
        <f t="shared" si="12"/>
        <v>NO CHECK</v>
      </c>
      <c r="BC188" s="2">
        <f t="shared" si="18"/>
        <v>18.8</v>
      </c>
      <c r="BD188" s="20">
        <f t="shared" si="13"/>
        <v>6</v>
      </c>
      <c r="BE188" s="205" t="str">
        <f t="shared" si="14"/>
        <v>NO Check</v>
      </c>
      <c r="BF188" s="190" t="str">
        <f>IF(INDEX('Partner data'!A:DG,MATCH(I_Miei_Rendiconti[[#This Row],[Column1.partnerId]],'Partner data'!DG:DG,0),83)="Soggetto privato","Private","Public")</f>
        <v>Public</v>
      </c>
    </row>
    <row r="189" spans="1:58" ht="60" x14ac:dyDescent="0.25">
      <c r="A189" s="79">
        <v>365</v>
      </c>
      <c r="B189" s="81">
        <v>159</v>
      </c>
      <c r="C189" s="81">
        <v>602</v>
      </c>
      <c r="D189" s="79" t="s">
        <v>3304</v>
      </c>
      <c r="E189" s="79" t="s">
        <v>253</v>
      </c>
      <c r="F189" s="79">
        <v>3</v>
      </c>
      <c r="G189" s="206" t="s">
        <v>279</v>
      </c>
      <c r="I189" s="79" t="s">
        <v>7486</v>
      </c>
      <c r="K189" s="208">
        <v>45537</v>
      </c>
      <c r="M189" s="208"/>
      <c r="U189" s="81">
        <v>39000</v>
      </c>
      <c r="V189" s="79" t="str">
        <f>INDEX(pARTNER[#All],MATCH(I_Miei_Rendiconti[[#This Row],[Column1.partnerId]],pARTNER[[#All],[Value.partnerSummary.id]],0),2)</f>
        <v>CREW</v>
      </c>
      <c r="X189" s="216">
        <f>IF(I_Miei_Rendiconti[[#This Row],[Column1.status]]&lt;&gt;"Certified",0,I_Miei_Rendiconti[[#This Row],[Column1.totalAfterSubmitted]]-I_Miei_Rendiconti[[#This Row],[Column1.totalEligibleAfterControl]])</f>
        <v>0</v>
      </c>
      <c r="Y189" s="80" t="str">
        <f>IF(I_Miei_Rendiconti[[#This Row],[Column1.status]]="Certified",IFERROR(I_Miei_Rendiconti[[#This Row],[Financial corection]]/I_Miei_Rendiconti[[#This Row],[Column1.totalAfterSubmitted]],0),"Rendiconto da certificare")</f>
        <v>Rendiconto da certificare</v>
      </c>
      <c r="Z189" s="207" t="str">
        <f>IF(I_Miei_Rendiconti[[#This Row],[Column1.status]]&lt;&gt;"Certified",INDEX('Partner data'!DG:DQ,MATCH(I_Miei_Rendiconti[[#This Row],[Column1.partnerId]],'Partner data'!DG:DG,0),10),"Rendiconto CONVALIDATO")</f>
        <v>NON è stato convalidato ancora nessun rendiconto</v>
      </c>
      <c r="AA189"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89"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C189" s="81" t="str">
        <f>IF(OR(I_Miei_Rendiconti[[#This Row],[N. previouse validated report ]]="Rendiconto CONVALIDATO",I_Miei_Rendiconti[[#This Row],[N. previouse validated report ]]="NON è stato convalidato ancora nessun rendiconto"),"NON PERTINENTE",SUMIFS(Errors!R:R,Errors!C:C,I_Miei_Rendiconti[[#This Row],[Column1.partnerId]]))</f>
        <v>NON PERTINENTE</v>
      </c>
      <c r="AD189" s="2">
        <f>INDEX('Partner data'!DG:DJ,MATCH(I_Miei_Rendiconti[[#This Row],[Column1.partnerId]],'Partner data'!DG:DG,0),3)</f>
        <v>0</v>
      </c>
      <c r="AE189" t="str" cm="1">
        <f t="array" ref="AE189">INDEX('Varie Tabelle'!$A$37:$C$51,MATCH(1,(I_Miei_Rendiconti[[#This Row],[Column1.firstSubmission]]&gt;='Varie Tabelle'!$B$37:$B$51)*(I_Miei_Rendiconti[[#This Row],[Column1.firstSubmission]]&lt;'Varie Tabelle'!$C$37:$C$51),0),1)</f>
        <v>Finestra 3</v>
      </c>
      <c r="AF189" s="109">
        <f>INDEX('Varie Tabelle'!$A$37:$C$51,MATCH('MY-REPORT-MAIN'!AE189,'Varie Tabelle'!$A$37:$A$51,0),2)</f>
        <v>45534</v>
      </c>
      <c r="AG189" s="109">
        <f>INDEX('Partner data'!DG:DR,MATCH(I_Miei_Rendiconti[[#This Row],[Column1.partnerId]],'Partner data'!DG:DG,0),12)</f>
        <v>45401</v>
      </c>
      <c r="AH189" s="115">
        <f t="shared" si="15"/>
        <v>4.3735613285103581</v>
      </c>
      <c r="AI189" t="str" cm="1">
        <f t="array" ref="AI189">INDEX('Varie Tabelle'!$A$12:$C$22,MATCH(1,('MY-REPORT-MAIN'!AH189&gt;='Varie Tabelle'!$B$12:$B$22)*('MY-REPORT-MAIN'!AH189&lt;='Varie Tabelle'!$C$12:$C$22),0),1)</f>
        <v>Periodo-1</v>
      </c>
      <c r="AJ189" s="14">
        <f>INDEX('Partner data'!A:EC,MATCH(I_Miei_Rendiconti[[#This Row],[Column1.partnerId]],'Partner data'!DG:DG,0),MATCH('MY-REPORT-MAIN'!AI189,'Partner data'!$2:$2,0))</f>
        <v>39900</v>
      </c>
      <c r="AK189" s="10">
        <f>SUMIFS($U$2:U207,$C$2:C207,I_Miei_Rendiconti[[#This Row],[Column1.partnerId]])-AJ189</f>
        <v>-900</v>
      </c>
      <c r="AL189" s="192">
        <f t="shared" si="20"/>
        <v>-2.2556390977443608E-2</v>
      </c>
      <c r="AM189" s="14">
        <f>INDEX('Partner data'!A:EB,MATCH(I_Miei_Rendiconti[[#This Row],[Column1.partnerId]],'Partner data'!DG:DG,0),44)</f>
        <v>250000.38</v>
      </c>
      <c r="AN189" s="14">
        <f>SUMIFS(ListOfExpenditure!AP:AP,ListOfExpenditure!AJ:AJ,I_Miei_Rendiconti[[#This Row],[Column1.id]])</f>
        <v>0</v>
      </c>
      <c r="AO189" s="148">
        <f>SUMIFS(ReportSubmittedBL!W:W,ReportSubmittedBL!D:D,I_Miei_Rendiconti[[#This Row],[Column1.id]])</f>
        <v>8</v>
      </c>
      <c r="AP189" s="155" cm="1">
        <f t="array" ref="AP189">INDEX('Weight tables'!$A$32:$C$36,MATCH(1,('MY-REPORT-MAIN'!AO189&gt;='Weight tables'!$B$32:$B$36)*('MY-REPORT-MAIN'!AO189&lt;='Weight tables'!$C$32:$C$36),0),1)</f>
        <v>6.3</v>
      </c>
      <c r="AQ189" s="155">
        <f>INDEX('Weight tables'!$A$39:$B$41,MATCH(I_Miei_Rendiconti[[#This Row],[Previouse Report checked?yes/no]],'Weight tables'!$B$39:$B$41,0),1)</f>
        <v>8.4</v>
      </c>
      <c r="AR189" s="155" cm="1">
        <f t="array" ref="AR189">IF(I_Miei_Rendiconti[[#This Row],[Sum of errors in previous report ]]="NON PERTINENTE",0,INDEX('Weight tables'!$A$43:$C$46,MATCH(1,(I_Miei_Rendiconti[[#This Row],[Sum of errors in previous report ]]&gt;='Weight tables'!$B$43:$B$46)*(I_Miei_Rendiconti[[#This Row],[Sum of errors in previous report ]]&lt;='Weight tables'!$C$43:$C$46),0),1))</f>
        <v>0</v>
      </c>
      <c r="AS189" s="155" cm="1">
        <f t="array" ref="AS189">IF(I_Miei_Rendiconti[[#This Row],[Sum of errors in the previous reports]]="NON PERTINENTE",0,INDEX('Weight tables'!$A$49:$C$52,MATCH(1,((I_Miei_Rendiconti[[#This Row],[Sum of errors in the previous reports]]/2)&gt;='Weight tables'!$B$49:$B$52)*((I_Miei_Rendiconti[[#This Row],[Sum of errors in the previous reports]]/2)&lt;='Weight tables'!$C$49:$C$52),0),1))</f>
        <v>0</v>
      </c>
      <c r="AT189" s="155" cm="1">
        <f t="array" ref="AT189">INDEX('Weight tables'!$A$56:$C$65,MATCH(1,('MY-REPORT-MAIN'!U189&gt;='Weight tables'!$B$56:$B$65)*('MY-REPORT-MAIN'!U189&lt;='Weight tables'!$C$56:$C$65),0),1)</f>
        <v>3</v>
      </c>
      <c r="AU189" s="155" cm="1">
        <f t="array" ref="AU189">INDEX('Weight tables'!$A$68:$C$71,MATCH(1,('MY-REPORT-MAIN'!AL189&gt;='Weight tables'!$B$68:$B$71)*('MY-REPORT-MAIN'!AL189&lt;='Weight tables'!$C$68:$C$71),0),1)</f>
        <v>0</v>
      </c>
      <c r="AV189" s="155" cm="1">
        <f t="array" ref="AV189">INDEX('Weight tables'!$A$74:$C$78,MATCH(1,('MY-REPORT-MAIN'!AN189&gt;='Weight tables'!$B$74:$B$78)*('MY-REPORT-MAIN'!AN189&lt;='Weight tables'!$C$74:$C$78),0),1)</f>
        <v>0</v>
      </c>
      <c r="AW189" s="16">
        <f>IF(I_Miei_Rendiconti[[#This Row],[Column1.totalAfterSubmitted]]/AM189&gt;50%,"Checked",0)</f>
        <v>0</v>
      </c>
      <c r="AX189" s="155">
        <f t="shared" si="16"/>
        <v>17.7</v>
      </c>
      <c r="AY189" s="155" t="str">
        <f>INDEX('Partner data'!A:EB,MATCH(I_Miei_Rendiconti[[#This Row],[Column1.partnerId]],'Partner data'!DG:DG,0),92)</f>
        <v>Italia (IT)</v>
      </c>
      <c r="AZ189" s="198">
        <f t="shared" si="17"/>
        <v>17.7</v>
      </c>
      <c r="BA189" s="20">
        <f t="shared" si="11"/>
        <v>4</v>
      </c>
      <c r="BB189" s="20" t="str">
        <f t="shared" si="12"/>
        <v>Check</v>
      </c>
      <c r="BC189" s="2">
        <f t="shared" si="18"/>
        <v>0</v>
      </c>
      <c r="BD189" s="20">
        <f t="shared" si="13"/>
        <v>11</v>
      </c>
      <c r="BE189" s="205" t="str">
        <f t="shared" si="14"/>
        <v>NO Check</v>
      </c>
      <c r="BF189" s="190" t="str">
        <f>IF(INDEX('Partner data'!A:DG,MATCH(I_Miei_Rendiconti[[#This Row],[Column1.partnerId]],'Partner data'!DG:DG,0),83)="Soggetto privato","Private","Public")</f>
        <v>Public</v>
      </c>
    </row>
    <row r="190" spans="1:58" ht="60" x14ac:dyDescent="0.25">
      <c r="A190" s="79">
        <v>366</v>
      </c>
      <c r="B190" s="81">
        <v>159</v>
      </c>
      <c r="C190" s="81">
        <v>603</v>
      </c>
      <c r="D190" s="79" t="s">
        <v>3304</v>
      </c>
      <c r="E190" s="79" t="s">
        <v>253</v>
      </c>
      <c r="F190" s="79">
        <v>4</v>
      </c>
      <c r="G190" s="206" t="s">
        <v>2791</v>
      </c>
      <c r="I190" s="79" t="s">
        <v>7486</v>
      </c>
      <c r="K190" s="208">
        <v>45537</v>
      </c>
      <c r="M190" s="208"/>
      <c r="U190" s="81">
        <v>39940</v>
      </c>
      <c r="V190" s="79" t="str">
        <f>INDEX(pARTNER[#All],MATCH(I_Miei_Rendiconti[[#This Row],[Column1.partnerId]],pARTNER[[#All],[Value.partnerSummary.id]],0),2)</f>
        <v>CREW</v>
      </c>
      <c r="X190" s="216">
        <f>IF(I_Miei_Rendiconti[[#This Row],[Column1.status]]&lt;&gt;"Certified",0,I_Miei_Rendiconti[[#This Row],[Column1.totalAfterSubmitted]]-I_Miei_Rendiconti[[#This Row],[Column1.totalEligibleAfterControl]])</f>
        <v>0</v>
      </c>
      <c r="Y190" s="80" t="str">
        <f>IF(I_Miei_Rendiconti[[#This Row],[Column1.status]]="Certified",IFERROR(I_Miei_Rendiconti[[#This Row],[Financial corection]]/I_Miei_Rendiconti[[#This Row],[Column1.totalAfterSubmitted]],0),"Rendiconto da certificare")</f>
        <v>Rendiconto da certificare</v>
      </c>
      <c r="Z190" s="207" t="str">
        <f>IF(I_Miei_Rendiconti[[#This Row],[Column1.status]]&lt;&gt;"Certified",INDEX('Partner data'!DG:DQ,MATCH(I_Miei_Rendiconti[[#This Row],[Column1.partnerId]],'Partner data'!DG:DG,0),10),"Rendiconto CONVALIDATO")</f>
        <v>NON è stato convalidato ancora nessun rendiconto</v>
      </c>
      <c r="AA190"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90"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C190" s="81" t="str">
        <f>IF(OR(I_Miei_Rendiconti[[#This Row],[N. previouse validated report ]]="Rendiconto CONVALIDATO",I_Miei_Rendiconti[[#This Row],[N. previouse validated report ]]="NON è stato convalidato ancora nessun rendiconto"),"NON PERTINENTE",SUMIFS(Errors!R:R,Errors!C:C,I_Miei_Rendiconti[[#This Row],[Column1.partnerId]]))</f>
        <v>NON PERTINENTE</v>
      </c>
      <c r="AD190" s="2">
        <f>INDEX('Partner data'!DG:DJ,MATCH(I_Miei_Rendiconti[[#This Row],[Column1.partnerId]],'Partner data'!DG:DG,0),3)</f>
        <v>0</v>
      </c>
      <c r="AE190" t="str" cm="1">
        <f t="array" ref="AE190">INDEX('Varie Tabelle'!$A$37:$C$51,MATCH(1,(I_Miei_Rendiconti[[#This Row],[Column1.firstSubmission]]&gt;='Varie Tabelle'!$B$37:$B$51)*(I_Miei_Rendiconti[[#This Row],[Column1.firstSubmission]]&lt;'Varie Tabelle'!$C$37:$C$51),0),1)</f>
        <v>Finestra 3</v>
      </c>
      <c r="AF190" s="109">
        <f>INDEX('Varie Tabelle'!$A$37:$C$51,MATCH('MY-REPORT-MAIN'!AE190,'Varie Tabelle'!$A$37:$A$51,0),2)</f>
        <v>45534</v>
      </c>
      <c r="AG190" s="109">
        <f>INDEX('Partner data'!DG:DR,MATCH(I_Miei_Rendiconti[[#This Row],[Column1.partnerId]],'Partner data'!DG:DG,0),12)</f>
        <v>45401</v>
      </c>
      <c r="AH190" s="115">
        <f t="shared" si="15"/>
        <v>4.3735613285103581</v>
      </c>
      <c r="AI190" t="str" cm="1">
        <f t="array" ref="AI190">INDEX('Varie Tabelle'!$A$12:$C$22,MATCH(1,('MY-REPORT-MAIN'!AH190&gt;='Varie Tabelle'!$B$12:$B$22)*('MY-REPORT-MAIN'!AH190&lt;='Varie Tabelle'!$C$12:$C$22),0),1)</f>
        <v>Periodo-1</v>
      </c>
      <c r="AJ190" s="14">
        <f>INDEX('Partner data'!A:EC,MATCH(I_Miei_Rendiconti[[#This Row],[Column1.partnerId]],'Partner data'!DG:DG,0),MATCH('MY-REPORT-MAIN'!AI190,'Partner data'!$2:$2,0))</f>
        <v>39940</v>
      </c>
      <c r="AK190" s="10">
        <f>SUMIFS($U$2:U208,$C$2:C208,I_Miei_Rendiconti[[#This Row],[Column1.partnerId]])-AJ190</f>
        <v>0</v>
      </c>
      <c r="AL190" s="192">
        <f t="shared" si="20"/>
        <v>0</v>
      </c>
      <c r="AM190" s="14">
        <f>INDEX('Partner data'!A:EB,MATCH(I_Miei_Rendiconti[[#This Row],[Column1.partnerId]],'Partner data'!DG:DG,0),44)</f>
        <v>249726</v>
      </c>
      <c r="AN190" s="14">
        <f>SUMIFS(ListOfExpenditure!AP:AP,ListOfExpenditure!AJ:AJ,I_Miei_Rendiconti[[#This Row],[Column1.id]])</f>
        <v>0</v>
      </c>
      <c r="AO190" s="148">
        <f>SUMIFS(ReportSubmittedBL!W:W,ReportSubmittedBL!D:D,I_Miei_Rendiconti[[#This Row],[Column1.id]])</f>
        <v>16</v>
      </c>
      <c r="AP190" s="155" cm="1">
        <f t="array" ref="AP190">INDEX('Weight tables'!$A$32:$C$36,MATCH(1,('MY-REPORT-MAIN'!AO190&gt;='Weight tables'!$B$32:$B$36)*('MY-REPORT-MAIN'!AO190&lt;='Weight tables'!$C$32:$C$36),0),1)</f>
        <v>8.4</v>
      </c>
      <c r="AQ190" s="155">
        <f>INDEX('Weight tables'!$A$39:$B$41,MATCH(I_Miei_Rendiconti[[#This Row],[Previouse Report checked?yes/no]],'Weight tables'!$B$39:$B$41,0),1)</f>
        <v>8.4</v>
      </c>
      <c r="AR190" s="155" cm="1">
        <f t="array" ref="AR190">IF(I_Miei_Rendiconti[[#This Row],[Sum of errors in previous report ]]="NON PERTINENTE",0,INDEX('Weight tables'!$A$43:$C$46,MATCH(1,(I_Miei_Rendiconti[[#This Row],[Sum of errors in previous report ]]&gt;='Weight tables'!$B$43:$B$46)*(I_Miei_Rendiconti[[#This Row],[Sum of errors in previous report ]]&lt;='Weight tables'!$C$43:$C$46),0),1))</f>
        <v>0</v>
      </c>
      <c r="AS190" s="155" cm="1">
        <f t="array" ref="AS190">IF(I_Miei_Rendiconti[[#This Row],[Sum of errors in the previous reports]]="NON PERTINENTE",0,INDEX('Weight tables'!$A$49:$C$52,MATCH(1,((I_Miei_Rendiconti[[#This Row],[Sum of errors in the previous reports]]/2)&gt;='Weight tables'!$B$49:$B$52)*((I_Miei_Rendiconti[[#This Row],[Sum of errors in the previous reports]]/2)&lt;='Weight tables'!$C$49:$C$52),0),1))</f>
        <v>0</v>
      </c>
      <c r="AT190" s="155" cm="1">
        <f t="array" ref="AT190">INDEX('Weight tables'!$A$56:$C$65,MATCH(1,('MY-REPORT-MAIN'!U190&gt;='Weight tables'!$B$56:$B$65)*('MY-REPORT-MAIN'!U190&lt;='Weight tables'!$C$56:$C$65),0),1)</f>
        <v>3</v>
      </c>
      <c r="AU190" s="155" cm="1">
        <f t="array" ref="AU190">INDEX('Weight tables'!$A$68:$C$71,MATCH(1,('MY-REPORT-MAIN'!AL190&gt;='Weight tables'!$B$68:$B$71)*('MY-REPORT-MAIN'!AL190&lt;='Weight tables'!$C$68:$C$71),0),1)</f>
        <v>0</v>
      </c>
      <c r="AV190" s="155" cm="1">
        <f t="array" ref="AV190">INDEX('Weight tables'!$A$74:$C$78,MATCH(1,('MY-REPORT-MAIN'!AN190&gt;='Weight tables'!$B$74:$B$78)*('MY-REPORT-MAIN'!AN190&lt;='Weight tables'!$C$74:$C$78),0),1)</f>
        <v>0</v>
      </c>
      <c r="AW190" s="16">
        <f>IF(I_Miei_Rendiconti[[#This Row],[Column1.totalAfterSubmitted]]/AM190&gt;50%,"Checked",0)</f>
        <v>0</v>
      </c>
      <c r="AX190" s="155">
        <f t="shared" si="16"/>
        <v>19.8</v>
      </c>
      <c r="AY190" s="155" t="str">
        <f>INDEX('Partner data'!A:EB,MATCH(I_Miei_Rendiconti[[#This Row],[Column1.partnerId]],'Partner data'!DG:DG,0),92)</f>
        <v>Slovenija (SI)</v>
      </c>
      <c r="AZ190" s="198">
        <f t="shared" si="17"/>
        <v>0</v>
      </c>
      <c r="BA190" s="20">
        <f t="shared" si="11"/>
        <v>9</v>
      </c>
      <c r="BB190" s="20" t="str">
        <f t="shared" si="12"/>
        <v>NO CHECK</v>
      </c>
      <c r="BC190" s="2">
        <f t="shared" si="18"/>
        <v>19.8</v>
      </c>
      <c r="BD190" s="20">
        <f t="shared" si="13"/>
        <v>4</v>
      </c>
      <c r="BE190" s="205" t="str">
        <f t="shared" si="14"/>
        <v>Check</v>
      </c>
      <c r="BF190" s="190" t="str">
        <f>IF(INDEX('Partner data'!A:DG,MATCH(I_Miei_Rendiconti[[#This Row],[Column1.partnerId]],'Partner data'!DG:DG,0),83)="Soggetto privato","Private","Public")</f>
        <v>Public</v>
      </c>
    </row>
    <row r="191" spans="1:58" ht="60" x14ac:dyDescent="0.25">
      <c r="A191" s="79">
        <v>367</v>
      </c>
      <c r="B191" s="81">
        <v>159</v>
      </c>
      <c r="C191" s="81">
        <v>604</v>
      </c>
      <c r="D191" s="79" t="s">
        <v>3304</v>
      </c>
      <c r="E191" s="79" t="s">
        <v>253</v>
      </c>
      <c r="F191" s="79">
        <v>5</v>
      </c>
      <c r="G191" s="206" t="s">
        <v>3350</v>
      </c>
      <c r="I191" s="79" t="s">
        <v>7486</v>
      </c>
      <c r="K191" s="208">
        <v>45537</v>
      </c>
      <c r="M191" s="208"/>
      <c r="U191" s="81">
        <v>3714</v>
      </c>
      <c r="V191" s="79" t="str">
        <f>INDEX(pARTNER[#All],MATCH(I_Miei_Rendiconti[[#This Row],[Column1.partnerId]],pARTNER[[#All],[Value.partnerSummary.id]],0),2)</f>
        <v>CREW</v>
      </c>
      <c r="X191" s="216">
        <f>IF(I_Miei_Rendiconti[[#This Row],[Column1.status]]&lt;&gt;"Certified",0,I_Miei_Rendiconti[[#This Row],[Column1.totalAfterSubmitted]]-I_Miei_Rendiconti[[#This Row],[Column1.totalEligibleAfterControl]])</f>
        <v>0</v>
      </c>
      <c r="Y191" s="80" t="str">
        <f>IF(I_Miei_Rendiconti[[#This Row],[Column1.status]]="Certified",IFERROR(I_Miei_Rendiconti[[#This Row],[Financial corection]]/I_Miei_Rendiconti[[#This Row],[Column1.totalAfterSubmitted]],0),"Rendiconto da certificare")</f>
        <v>Rendiconto da certificare</v>
      </c>
      <c r="Z191" s="207" t="str">
        <f>IF(I_Miei_Rendiconti[[#This Row],[Column1.status]]&lt;&gt;"Certified",INDEX('Partner data'!DG:DQ,MATCH(I_Miei_Rendiconti[[#This Row],[Column1.partnerId]],'Partner data'!DG:DG,0),10),"Rendiconto CONVALIDATO")</f>
        <v>NON è stato convalidato ancora nessun rendiconto</v>
      </c>
      <c r="AA191" s="207" t="str">
        <f>IFERROR(IF(COUNTIFS(List_Of_chek_list!L:L,I_Miei_Rendiconti[[#This Row],[N. previouse validated report ]],List_Of_chek_list!M:M,23)+COUNTIFS(List_Of_chek_list!L:L,I_Miei_Rendiconti[[#This Row],[N. previouse validated report ]],List_Of_chek_list!M:M,28)+COUNTIFS(List_Of_chek_list!L:L,I_Miei_Rendiconti[[#This Row],[N. previouse validated report ]],List_Of_chek_list!M:M,30)&gt;0,"SI","NO"),"NO")</f>
        <v>NO</v>
      </c>
      <c r="AB191" s="81" t="str">
        <f>IF(OR(I_Miei_Rendiconti[[#This Row],[N. previouse validated report ]]="Rendiconto CONVALIDATO",I_Miei_Rendiconti[[#This Row],[N. previouse validated report ]]="NON è stato convalidato ancora nessun rendiconto"),"NON PERTINENTE",SUMIFS(Errors!R:R,Errors!D:D,I_Miei_Rendiconti[[#This Row],[N. previouse validated report ]]))</f>
        <v>NON PERTINENTE</v>
      </c>
      <c r="AC191" s="81" t="str">
        <f>IF(OR(I_Miei_Rendiconti[[#This Row],[N. previouse validated report ]]="Rendiconto CONVALIDATO",I_Miei_Rendiconti[[#This Row],[N. previouse validated report ]]="NON è stato convalidato ancora nessun rendiconto"),"NON PERTINENTE",SUMIFS(Errors!R:R,Errors!C:C,I_Miei_Rendiconti[[#This Row],[Column1.partnerId]]))</f>
        <v>NON PERTINENTE</v>
      </c>
      <c r="AD191" s="2">
        <f>INDEX('Partner data'!DG:DJ,MATCH(I_Miei_Rendiconti[[#This Row],[Column1.partnerId]],'Partner data'!DG:DG,0),3)</f>
        <v>0</v>
      </c>
      <c r="AE191" t="str" cm="1">
        <f t="array" ref="AE191">INDEX('Varie Tabelle'!$A$37:$C$51,MATCH(1,(I_Miei_Rendiconti[[#This Row],[Column1.firstSubmission]]&gt;='Varie Tabelle'!$B$37:$B$51)*(I_Miei_Rendiconti[[#This Row],[Column1.firstSubmission]]&lt;'Varie Tabelle'!$C$37:$C$51),0),1)</f>
        <v>Finestra 3</v>
      </c>
      <c r="AF191" s="109">
        <f>INDEX('Varie Tabelle'!$A$37:$C$51,MATCH('MY-REPORT-MAIN'!AE191,'Varie Tabelle'!$A$37:$A$51,0),2)</f>
        <v>45534</v>
      </c>
      <c r="AG191" s="109">
        <f>INDEX('Partner data'!DG:DR,MATCH(I_Miei_Rendiconti[[#This Row],[Column1.partnerId]],'Partner data'!DG:DG,0),12)</f>
        <v>45401</v>
      </c>
      <c r="AH191" s="115">
        <f t="shared" si="15"/>
        <v>4.3735613285103581</v>
      </c>
      <c r="AI191" t="str" cm="1">
        <f t="array" ref="AI191">INDEX('Varie Tabelle'!$A$12:$C$22,MATCH(1,('MY-REPORT-MAIN'!AH191&gt;='Varie Tabelle'!$B$12:$B$22)*('MY-REPORT-MAIN'!AH191&lt;='Varie Tabelle'!$C$12:$C$22),0),1)</f>
        <v>Periodo-1</v>
      </c>
      <c r="AJ191" s="14">
        <f>INDEX('Partner data'!A:EC,MATCH(I_Miei_Rendiconti[[#This Row],[Column1.partnerId]],'Partner data'!DG:DG,0),MATCH('MY-REPORT-MAIN'!AI191,'Partner data'!$2:$2,0))</f>
        <v>3714</v>
      </c>
      <c r="AK191" s="10">
        <f>SUMIFS($U$2:U209,$C$2:C209,I_Miei_Rendiconti[[#This Row],[Column1.partnerId]])-AJ191</f>
        <v>0</v>
      </c>
      <c r="AL191" s="192">
        <f t="shared" si="20"/>
        <v>0</v>
      </c>
      <c r="AM191" s="14">
        <f>INDEX('Partner data'!A:EB,MATCH(I_Miei_Rendiconti[[#This Row],[Column1.partnerId]],'Partner data'!DG:DG,0),44)</f>
        <v>160940</v>
      </c>
      <c r="AN191" s="14">
        <f>SUMIFS(ListOfExpenditure!AP:AP,ListOfExpenditure!AJ:AJ,I_Miei_Rendiconti[[#This Row],[Column1.id]])</f>
        <v>0</v>
      </c>
      <c r="AO191" s="148">
        <f>SUMIFS(ReportSubmittedBL!W:W,ReportSubmittedBL!D:D,I_Miei_Rendiconti[[#This Row],[Column1.id]])</f>
        <v>12</v>
      </c>
      <c r="AP191" s="155" cm="1">
        <f t="array" ref="AP191">INDEX('Weight tables'!$A$32:$C$36,MATCH(1,('MY-REPORT-MAIN'!AO191&gt;='Weight tables'!$B$32:$B$36)*('MY-REPORT-MAIN'!AO191&lt;='Weight tables'!$C$32:$C$36),0),1)</f>
        <v>8.4</v>
      </c>
      <c r="AQ191" s="155">
        <f>INDEX('Weight tables'!$A$39:$B$41,MATCH(I_Miei_Rendiconti[[#This Row],[Previouse Report checked?yes/no]],'Weight tables'!$B$39:$B$41,0),1)</f>
        <v>8.4</v>
      </c>
      <c r="AR191" s="155" cm="1">
        <f t="array" ref="AR191">IF(I_Miei_Rendiconti[[#This Row],[Sum of errors in previous report ]]="NON PERTINENTE",0,INDEX('Weight tables'!$A$43:$C$46,MATCH(1,(I_Miei_Rendiconti[[#This Row],[Sum of errors in previous report ]]&gt;='Weight tables'!$B$43:$B$46)*(I_Miei_Rendiconti[[#This Row],[Sum of errors in previous report ]]&lt;='Weight tables'!$C$43:$C$46),0),1))</f>
        <v>0</v>
      </c>
      <c r="AS191" s="155" cm="1">
        <f t="array" ref="AS191">IF(I_Miei_Rendiconti[[#This Row],[Sum of errors in the previous reports]]="NON PERTINENTE",0,INDEX('Weight tables'!$A$49:$C$52,MATCH(1,((I_Miei_Rendiconti[[#This Row],[Sum of errors in the previous reports]]/2)&gt;='Weight tables'!$B$49:$B$52)*((I_Miei_Rendiconti[[#This Row],[Sum of errors in the previous reports]]/2)&lt;='Weight tables'!$C$49:$C$52),0),1))</f>
        <v>0</v>
      </c>
      <c r="AT191" s="155" cm="1">
        <f t="array" ref="AT191">INDEX('Weight tables'!$A$56:$C$65,MATCH(1,('MY-REPORT-MAIN'!U191&gt;='Weight tables'!$B$56:$B$65)*('MY-REPORT-MAIN'!U191&lt;='Weight tables'!$C$56:$C$65),0),1)</f>
        <v>0</v>
      </c>
      <c r="AU191" s="155" cm="1">
        <f t="array" ref="AU191">INDEX('Weight tables'!$A$68:$C$71,MATCH(1,('MY-REPORT-MAIN'!AL191&gt;='Weight tables'!$B$68:$B$71)*('MY-REPORT-MAIN'!AL191&lt;='Weight tables'!$C$68:$C$71),0),1)</f>
        <v>0</v>
      </c>
      <c r="AV191" s="155" cm="1">
        <f t="array" ref="AV191">INDEX('Weight tables'!$A$74:$C$78,MATCH(1,('MY-REPORT-MAIN'!AN191&gt;='Weight tables'!$B$74:$B$78)*('MY-REPORT-MAIN'!AN191&lt;='Weight tables'!$C$74:$C$78),0),1)</f>
        <v>0</v>
      </c>
      <c r="AW191" s="16">
        <f>IF(I_Miei_Rendiconti[[#This Row],[Column1.totalAfterSubmitted]]/AM191&gt;50%,"Checked",0)</f>
        <v>0</v>
      </c>
      <c r="AX191" s="155">
        <f t="shared" si="16"/>
        <v>16.8</v>
      </c>
      <c r="AY191" s="155" t="str">
        <f>INDEX('Partner data'!A:EB,MATCH(I_Miei_Rendiconti[[#This Row],[Column1.partnerId]],'Partner data'!DG:DG,0),92)</f>
        <v>Slovenija (SI)</v>
      </c>
      <c r="AZ191" s="198">
        <f t="shared" si="17"/>
        <v>0</v>
      </c>
      <c r="BA191" s="20">
        <f t="shared" si="11"/>
        <v>9</v>
      </c>
      <c r="BB191" s="20" t="str">
        <f t="shared" si="12"/>
        <v>NO CHECK</v>
      </c>
      <c r="BC191" s="2">
        <f t="shared" si="18"/>
        <v>16.8</v>
      </c>
      <c r="BD191" s="20">
        <f t="shared" si="13"/>
        <v>7</v>
      </c>
      <c r="BE191" s="205" t="str">
        <f t="shared" si="14"/>
        <v>NO Check</v>
      </c>
      <c r="BF191" s="190" t="str">
        <f>IF(INDEX('Partner data'!A:DG,MATCH(I_Miei_Rendiconti[[#This Row],[Column1.partnerId]],'Partner data'!DG:DG,0),83)="Soggetto privato","Private","Public")</f>
        <v>Public</v>
      </c>
    </row>
    <row r="192" spans="1:58" x14ac:dyDescent="0.25">
      <c r="AH192" s="115"/>
      <c r="AK192" s="10"/>
      <c r="AL192" s="16"/>
      <c r="AM192" s="14"/>
      <c r="AN192" s="14">
        <f>SUMIFS(ListOfExpenditure!AP:AP,ListOfExpenditure!AJ:AJ,I_Miei_Rendiconti[[#This Row],[Column1.id]])</f>
        <v>0</v>
      </c>
      <c r="AP192" s="155"/>
      <c r="AQ192" s="155"/>
      <c r="AR192" s="155"/>
      <c r="AS192" s="155"/>
      <c r="AT192" s="155"/>
      <c r="AU192" s="155"/>
      <c r="AV192" s="155"/>
      <c r="AW192" s="16" t="e">
        <f>IF(I_Miei_Rendiconti[[#This Row],[Column1.totalAfterSubmitted]]/AM192&gt;50%,"Checked",0)</f>
        <v>#VALUE!</v>
      </c>
      <c r="AX192" s="155"/>
      <c r="AY192" s="155"/>
      <c r="BF192" s="190" t="e">
        <f>IF(INDEX('Partner data'!A:DG,MATCH(I_Miei_Rendiconti[[#This Row],[Column1.partnerId]],'Partner data'!DG:DG,0),83)="Soggetto privato","Private","Public")</f>
        <v>#VALUE!</v>
      </c>
    </row>
    <row r="193" spans="34:58" x14ac:dyDescent="0.25">
      <c r="AH193" s="115"/>
      <c r="AK193" s="10"/>
      <c r="AL193" s="16"/>
      <c r="AM193" s="14"/>
      <c r="AN193" s="14">
        <f>SUMIFS(ListOfExpenditure!AP:AP,ListOfExpenditure!AJ:AJ,I_Miei_Rendiconti[[#This Row],[Column1.id]])</f>
        <v>0</v>
      </c>
      <c r="AP193" s="155"/>
      <c r="AQ193" s="155"/>
      <c r="AR193" s="155"/>
      <c r="AS193" s="155"/>
      <c r="AT193" s="155"/>
      <c r="AU193" s="155"/>
      <c r="AV193" s="155"/>
      <c r="AW193" s="16" t="e">
        <f>IF(I_Miei_Rendiconti[[#This Row],[Column1.totalAfterSubmitted]]/AM193&gt;50%,"Checked",0)</f>
        <v>#VALUE!</v>
      </c>
      <c r="AX193" s="155"/>
      <c r="AY193" s="155"/>
      <c r="BF193" s="190" t="e">
        <f>IF(INDEX('Partner data'!A:DG,MATCH(I_Miei_Rendiconti[[#This Row],[Column1.partnerId]],'Partner data'!DG:DG,0),83)="Soggetto privato","Private","Public")</f>
        <v>#VALUE!</v>
      </c>
    </row>
    <row r="194" spans="34:58" x14ac:dyDescent="0.25">
      <c r="AH194" s="115"/>
      <c r="AK194" s="10"/>
      <c r="AL194" s="16"/>
      <c r="AM194" s="14"/>
      <c r="AN194" s="14">
        <f>SUMIFS(ListOfExpenditure!AP:AP,ListOfExpenditure!AJ:AJ,I_Miei_Rendiconti[[#This Row],[Column1.id]])</f>
        <v>0</v>
      </c>
      <c r="AP194" s="155"/>
      <c r="AQ194" s="155"/>
      <c r="AR194" s="155"/>
      <c r="AS194" s="155"/>
      <c r="AT194" s="155"/>
      <c r="AU194" s="155"/>
      <c r="AV194" s="155"/>
      <c r="AW194" s="16" t="e">
        <f>IF(I_Miei_Rendiconti[[#This Row],[Column1.totalAfterSubmitted]]/AM194&gt;50%,"Checked",0)</f>
        <v>#VALUE!</v>
      </c>
      <c r="AX194" s="155"/>
      <c r="AY194" s="155"/>
      <c r="BF194" s="190" t="e">
        <f>IF(INDEX('Partner data'!A:DG,MATCH(I_Miei_Rendiconti[[#This Row],[Column1.partnerId]],'Partner data'!DG:DG,0),83)="Soggetto privato","Private","Public")</f>
        <v>#VALUE!</v>
      </c>
    </row>
    <row r="195" spans="34:58" x14ac:dyDescent="0.25">
      <c r="AH195" s="115"/>
      <c r="AK195" s="10"/>
      <c r="AL195" s="16"/>
      <c r="AM195" s="14"/>
      <c r="AN195" s="14">
        <f>SUMIFS(ListOfExpenditure!AP:AP,ListOfExpenditure!AJ:AJ,I_Miei_Rendiconti[[#This Row],[Column1.id]])</f>
        <v>0</v>
      </c>
      <c r="AP195" s="155"/>
      <c r="AQ195" s="155"/>
      <c r="AR195" s="155"/>
      <c r="AS195" s="155"/>
      <c r="AT195" s="155"/>
      <c r="AU195" s="155"/>
      <c r="AV195" s="155"/>
      <c r="AW195" s="16" t="e">
        <f>IF(I_Miei_Rendiconti[[#This Row],[Column1.totalAfterSubmitted]]/AM195&gt;50%,"Checked",0)</f>
        <v>#VALUE!</v>
      </c>
      <c r="AX195" s="155"/>
      <c r="AY195" s="155"/>
      <c r="BF195" s="190" t="e">
        <f>IF(INDEX('Partner data'!A:DG,MATCH(I_Miei_Rendiconti[[#This Row],[Column1.partnerId]],'Partner data'!DG:DG,0),83)="Soggetto privato","Private","Public")</f>
        <v>#VALUE!</v>
      </c>
    </row>
    <row r="196" spans="34:58" x14ac:dyDescent="0.25">
      <c r="AH196" s="115"/>
      <c r="AK196" s="10"/>
      <c r="AL196" s="16"/>
      <c r="AM196" s="14"/>
      <c r="AN196" s="14">
        <f>SUMIFS(ListOfExpenditure!AP:AP,ListOfExpenditure!AJ:AJ,I_Miei_Rendiconti[[#This Row],[Column1.id]])</f>
        <v>0</v>
      </c>
      <c r="AP196" s="155"/>
      <c r="AQ196" s="155"/>
      <c r="AR196" s="155"/>
      <c r="AS196" s="155"/>
      <c r="AT196" s="155"/>
      <c r="AU196" s="155"/>
      <c r="AV196" s="155"/>
      <c r="AW196" s="16" t="e">
        <f>IF(I_Miei_Rendiconti[[#This Row],[Column1.totalAfterSubmitted]]/AM196&gt;50%,"Checked",0)</f>
        <v>#VALUE!</v>
      </c>
      <c r="AX196" s="155"/>
      <c r="AY196" s="155"/>
      <c r="BF196" s="190" t="e">
        <f>IF(INDEX('Partner data'!A:DG,MATCH(I_Miei_Rendiconti[[#This Row],[Column1.partnerId]],'Partner data'!DG:DG,0),83)="Soggetto privato","Private","Public")</f>
        <v>#VALUE!</v>
      </c>
    </row>
    <row r="197" spans="34:58" x14ac:dyDescent="0.25">
      <c r="AH197" s="115"/>
      <c r="AK197" s="10"/>
      <c r="AL197" s="16"/>
      <c r="AM197" s="14"/>
      <c r="AN197" s="14">
        <f>SUMIFS(ListOfExpenditure!AP:AP,ListOfExpenditure!AJ:AJ,I_Miei_Rendiconti[[#This Row],[Column1.id]])</f>
        <v>0</v>
      </c>
      <c r="AP197" s="155"/>
      <c r="AQ197" s="155"/>
      <c r="AR197" s="155"/>
      <c r="AS197" s="155"/>
      <c r="AT197" s="155"/>
      <c r="AU197" s="155"/>
      <c r="AV197" s="155"/>
      <c r="AW197" s="16" t="e">
        <f>IF(I_Miei_Rendiconti[[#This Row],[Column1.totalAfterSubmitted]]/AM197&gt;50%,"Checked",0)</f>
        <v>#VALUE!</v>
      </c>
      <c r="AX197" s="155"/>
      <c r="AY197" s="155"/>
      <c r="BF197" s="190" t="e">
        <f>IF(INDEX('Partner data'!A:DG,MATCH(I_Miei_Rendiconti[[#This Row],[Column1.partnerId]],'Partner data'!DG:DG,0),83)="Soggetto privato","Private","Public")</f>
        <v>#VALUE!</v>
      </c>
    </row>
    <row r="198" spans="34:58" x14ac:dyDescent="0.25">
      <c r="AH198" s="115"/>
      <c r="AK198" s="10"/>
      <c r="AL198" s="16"/>
      <c r="AM198" s="14"/>
      <c r="AN198" s="14">
        <f>SUMIFS(ListOfExpenditure!AP:AP,ListOfExpenditure!AJ:AJ,I_Miei_Rendiconti[[#This Row],[Column1.id]])</f>
        <v>0</v>
      </c>
      <c r="AP198" s="155"/>
      <c r="AQ198" s="155"/>
      <c r="AR198" s="155"/>
      <c r="AS198" s="155"/>
      <c r="AT198" s="155"/>
      <c r="AU198" s="155"/>
      <c r="AV198" s="155"/>
      <c r="AW198" s="16" t="e">
        <f>IF(I_Miei_Rendiconti[[#This Row],[Column1.totalAfterSubmitted]]/AM198&gt;50%,"Checked",0)</f>
        <v>#VALUE!</v>
      </c>
      <c r="AX198" s="155"/>
      <c r="AY198" s="155"/>
      <c r="BF198" s="190" t="e">
        <f>IF(INDEX('Partner data'!A:DG,MATCH(I_Miei_Rendiconti[[#This Row],[Column1.partnerId]],'Partner data'!DG:DG,0),83)="Soggetto privato","Private","Public")</f>
        <v>#VALUE!</v>
      </c>
    </row>
    <row r="199" spans="34:58" x14ac:dyDescent="0.25">
      <c r="AH199" s="115"/>
      <c r="AK199" s="10"/>
      <c r="AL199" s="16"/>
      <c r="AM199" s="14"/>
      <c r="AN199" s="14">
        <f>SUMIFS(ListOfExpenditure!AP:AP,ListOfExpenditure!AJ:AJ,I_Miei_Rendiconti[[#This Row],[Column1.id]])</f>
        <v>0</v>
      </c>
      <c r="AP199" s="155"/>
      <c r="AQ199" s="155"/>
      <c r="AR199" s="155"/>
      <c r="AS199" s="155"/>
      <c r="AT199" s="155"/>
      <c r="AU199" s="155"/>
      <c r="AV199" s="155"/>
      <c r="AW199" s="16" t="e">
        <f>IF(I_Miei_Rendiconti[[#This Row],[Column1.totalAfterSubmitted]]/AM199&gt;50%,"Checked",0)</f>
        <v>#VALUE!</v>
      </c>
      <c r="AX199" s="155"/>
      <c r="AY199" s="155"/>
      <c r="BF199" s="190" t="e">
        <f>IF(INDEX('Partner data'!A:DG,MATCH(I_Miei_Rendiconti[[#This Row],[Column1.partnerId]],'Partner data'!DG:DG,0),83)="Soggetto privato","Private","Public")</f>
        <v>#VALUE!</v>
      </c>
    </row>
    <row r="200" spans="34:58" x14ac:dyDescent="0.25">
      <c r="AH200" s="115"/>
      <c r="AK200" s="10"/>
      <c r="AL200" s="16"/>
      <c r="AM200" s="14"/>
      <c r="AN200" s="14">
        <f>SUMIFS(ListOfExpenditure!AP:AP,ListOfExpenditure!AJ:AJ,I_Miei_Rendiconti[[#This Row],[Column1.id]])</f>
        <v>0</v>
      </c>
      <c r="AP200" s="155"/>
      <c r="AQ200" s="155"/>
      <c r="AR200" s="155"/>
      <c r="AS200" s="155"/>
      <c r="AT200" s="155"/>
      <c r="AU200" s="155"/>
      <c r="AV200" s="155"/>
      <c r="AW200" s="16" t="e">
        <f>IF(I_Miei_Rendiconti[[#This Row],[Column1.totalAfterSubmitted]]/AM200&gt;50%,"Checked",0)</f>
        <v>#VALUE!</v>
      </c>
      <c r="AX200" s="155"/>
      <c r="AY200" s="155"/>
      <c r="BF200" s="190" t="e">
        <f>IF(INDEX('Partner data'!A:DG,MATCH(I_Miei_Rendiconti[[#This Row],[Column1.partnerId]],'Partner data'!DG:DG,0),83)="Soggetto privato","Private","Public")</f>
        <v>#VALUE!</v>
      </c>
    </row>
    <row r="201" spans="34:58" x14ac:dyDescent="0.25">
      <c r="AH201" s="115"/>
      <c r="AK201" s="10"/>
      <c r="AL201" s="16"/>
      <c r="AM201" s="14"/>
      <c r="AN201" s="14">
        <f>SUMIFS(ListOfExpenditure!AP:AP,ListOfExpenditure!AJ:AJ,I_Miei_Rendiconti[[#This Row],[Column1.id]])</f>
        <v>0</v>
      </c>
      <c r="AP201" s="155"/>
      <c r="AQ201" s="155"/>
      <c r="AR201" s="155"/>
      <c r="AS201" s="155"/>
      <c r="AT201" s="155"/>
      <c r="AU201" s="155"/>
      <c r="AV201" s="155"/>
      <c r="AW201" s="16" t="e">
        <f>IF(I_Miei_Rendiconti[[#This Row],[Column1.totalAfterSubmitted]]/AM201&gt;50%,"Checked",0)</f>
        <v>#VALUE!</v>
      </c>
      <c r="AX201" s="155"/>
      <c r="AY201" s="155"/>
      <c r="BF201" s="190" t="e">
        <f>IF(INDEX('Partner data'!A:DG,MATCH(I_Miei_Rendiconti[[#This Row],[Column1.partnerId]],'Partner data'!DG:DG,0),83)="Soggetto privato","Private","Public")</f>
        <v>#VALUE!</v>
      </c>
    </row>
    <row r="202" spans="34:58" x14ac:dyDescent="0.25">
      <c r="AH202" s="115"/>
      <c r="AK202" s="10"/>
      <c r="AL202" s="16"/>
      <c r="AM202" s="14"/>
      <c r="AN202" s="14">
        <f>SUMIFS(ListOfExpenditure!AP:AP,ListOfExpenditure!AJ:AJ,I_Miei_Rendiconti[[#This Row],[Column1.id]])</f>
        <v>0</v>
      </c>
      <c r="AP202" s="155"/>
      <c r="AQ202" s="155"/>
      <c r="AR202" s="155"/>
      <c r="AS202" s="155"/>
      <c r="AT202" s="155"/>
      <c r="AU202" s="155"/>
      <c r="AV202" s="155"/>
      <c r="AW202" s="16" t="e">
        <f>IF(I_Miei_Rendiconti[[#This Row],[Column1.totalAfterSubmitted]]/AM202&gt;50%,"Checked",0)</f>
        <v>#VALUE!</v>
      </c>
      <c r="AX202" s="155"/>
      <c r="AY202" s="155"/>
      <c r="BF202" s="190" t="e">
        <f>IF(INDEX('Partner data'!A:DG,MATCH(I_Miei_Rendiconti[[#This Row],[Column1.partnerId]],'Partner data'!DG:DG,0),83)="Soggetto privato","Private","Public")</f>
        <v>#VALUE!</v>
      </c>
    </row>
    <row r="203" spans="34:58" x14ac:dyDescent="0.25">
      <c r="AH203" s="115"/>
      <c r="AK203" s="10"/>
      <c r="AL203" s="16"/>
      <c r="AM203" s="14"/>
      <c r="AN203" s="14">
        <f>SUMIFS(ListOfExpenditure!AP:AP,ListOfExpenditure!AJ:AJ,I_Miei_Rendiconti[[#This Row],[Column1.id]])</f>
        <v>0</v>
      </c>
      <c r="AP203" s="155"/>
      <c r="AQ203" s="155"/>
      <c r="AR203" s="155"/>
      <c r="AS203" s="155"/>
      <c r="AT203" s="155"/>
      <c r="AU203" s="155"/>
      <c r="AV203" s="155"/>
      <c r="AW203" s="16" t="e">
        <f>IF(I_Miei_Rendiconti[[#This Row],[Column1.totalAfterSubmitted]]/AM203&gt;50%,"Checked",0)</f>
        <v>#VALUE!</v>
      </c>
      <c r="AX203" s="155"/>
      <c r="AY203" s="155"/>
      <c r="BF203" s="190" t="e">
        <f>IF(INDEX('Partner data'!A:DG,MATCH(I_Miei_Rendiconti[[#This Row],[Column1.partnerId]],'Partner data'!DG:DG,0),83)="Soggetto privato","Private","Public")</f>
        <v>#VALUE!</v>
      </c>
    </row>
    <row r="204" spans="34:58" x14ac:dyDescent="0.25">
      <c r="AH204" s="115"/>
      <c r="AK204" s="10"/>
      <c r="AL204" s="16"/>
      <c r="AM204" s="14"/>
      <c r="AN204" s="14">
        <f>SUMIFS(ListOfExpenditure!AP:AP,ListOfExpenditure!AJ:AJ,I_Miei_Rendiconti[[#This Row],[Column1.id]])</f>
        <v>0</v>
      </c>
      <c r="AP204" s="155"/>
      <c r="AQ204" s="155"/>
      <c r="AR204" s="155"/>
      <c r="AS204" s="155"/>
      <c r="AT204" s="155"/>
      <c r="AU204" s="155"/>
      <c r="AV204" s="155"/>
      <c r="AW204" s="16" t="e">
        <f>IF(I_Miei_Rendiconti[[#This Row],[Column1.totalAfterSubmitted]]/AM204&gt;50%,"Checked",0)</f>
        <v>#VALUE!</v>
      </c>
      <c r="AX204" s="155"/>
      <c r="AY204" s="155"/>
      <c r="BF204" s="190" t="e">
        <f>IF(INDEX('Partner data'!A:DG,MATCH(I_Miei_Rendiconti[[#This Row],[Column1.partnerId]],'Partner data'!DG:DG,0),83)="Soggetto privato","Private","Public")</f>
        <v>#VALUE!</v>
      </c>
    </row>
    <row r="205" spans="34:58" x14ac:dyDescent="0.25">
      <c r="AH205" s="115"/>
      <c r="AK205" s="10"/>
      <c r="AL205" s="16"/>
      <c r="AM205" s="14"/>
      <c r="AN205" s="14">
        <f>SUMIFS(ListOfExpenditure!AP:AP,ListOfExpenditure!AJ:AJ,I_Miei_Rendiconti[[#This Row],[Column1.id]])</f>
        <v>0</v>
      </c>
      <c r="AP205" s="155"/>
      <c r="AQ205" s="155"/>
      <c r="AR205" s="155"/>
      <c r="AS205" s="155"/>
      <c r="AT205" s="155"/>
      <c r="AU205" s="155"/>
      <c r="AV205" s="155"/>
      <c r="AW205" s="16" t="e">
        <f>IF(I_Miei_Rendiconti[[#This Row],[Column1.totalAfterSubmitted]]/AM205&gt;50%,"Checked",0)</f>
        <v>#VALUE!</v>
      </c>
      <c r="AX205" s="155"/>
      <c r="AY205" s="155"/>
      <c r="BF205" s="190" t="e">
        <f>IF(INDEX('Partner data'!A:DG,MATCH(I_Miei_Rendiconti[[#This Row],[Column1.partnerId]],'Partner data'!DG:DG,0),83)="Soggetto privato","Private","Public")</f>
        <v>#VALUE!</v>
      </c>
    </row>
    <row r="206" spans="34:58" x14ac:dyDescent="0.25">
      <c r="AH206" s="115"/>
      <c r="AK206" s="10"/>
      <c r="AL206" s="16"/>
      <c r="AM206" s="14"/>
      <c r="AN206" s="14">
        <f>SUMIFS(ListOfExpenditure!AP:AP,ListOfExpenditure!AJ:AJ,I_Miei_Rendiconti[[#This Row],[Column1.id]])</f>
        <v>0</v>
      </c>
      <c r="AP206" s="155"/>
      <c r="AQ206" s="155"/>
      <c r="AR206" s="155"/>
      <c r="AS206" s="155"/>
      <c r="AT206" s="155"/>
      <c r="AU206" s="155"/>
      <c r="AV206" s="155"/>
      <c r="AW206" s="16" t="e">
        <f>IF(I_Miei_Rendiconti[[#This Row],[Column1.totalAfterSubmitted]]/AM206&gt;50%,"Checked",0)</f>
        <v>#VALUE!</v>
      </c>
      <c r="AX206" s="155"/>
      <c r="AY206" s="155"/>
      <c r="BF206" s="190" t="e">
        <f>IF(INDEX('Partner data'!A:DG,MATCH(I_Miei_Rendiconti[[#This Row],[Column1.partnerId]],'Partner data'!DG:DG,0),83)="Soggetto privato","Private","Public")</f>
        <v>#VALUE!</v>
      </c>
    </row>
    <row r="207" spans="34:58" x14ac:dyDescent="0.25">
      <c r="AH207" s="115"/>
      <c r="AK207" s="10"/>
      <c r="AL207" s="16"/>
      <c r="AM207" s="14"/>
      <c r="AN207" s="14">
        <f>SUMIFS(ListOfExpenditure!AP:AP,ListOfExpenditure!AJ:AJ,I_Miei_Rendiconti[[#This Row],[Column1.id]])</f>
        <v>0</v>
      </c>
      <c r="AP207" s="155"/>
      <c r="AQ207" s="155"/>
      <c r="AR207" s="155"/>
      <c r="AS207" s="155"/>
      <c r="AT207" s="155"/>
      <c r="AU207" s="155"/>
      <c r="AV207" s="155"/>
      <c r="AW207" s="16" t="e">
        <f>IF(I_Miei_Rendiconti[[#This Row],[Column1.totalAfterSubmitted]]/AM207&gt;50%,"Checked",0)</f>
        <v>#VALUE!</v>
      </c>
      <c r="AX207" s="155"/>
      <c r="AY207" s="155"/>
      <c r="BF207" s="190" t="e">
        <f>IF(INDEX('Partner data'!A:DG,MATCH(I_Miei_Rendiconti[[#This Row],[Column1.partnerId]],'Partner data'!DG:DG,0),83)="Soggetto privato","Private","Public")</f>
        <v>#VALUE!</v>
      </c>
    </row>
    <row r="208" spans="34:58" x14ac:dyDescent="0.25">
      <c r="AH208" s="115"/>
      <c r="AK208" s="10"/>
      <c r="AL208" s="16"/>
      <c r="AM208" s="14"/>
      <c r="AN208" s="14">
        <f>SUMIFS(ListOfExpenditure!AP:AP,ListOfExpenditure!AJ:AJ,I_Miei_Rendiconti[[#This Row],[Column1.id]])</f>
        <v>0</v>
      </c>
      <c r="AP208" s="155"/>
      <c r="AQ208" s="155"/>
      <c r="AR208" s="155"/>
      <c r="AS208" s="155"/>
      <c r="AT208" s="155"/>
      <c r="AU208" s="155"/>
      <c r="AV208" s="155"/>
      <c r="AW208" s="16" t="e">
        <f>IF(I_Miei_Rendiconti[[#This Row],[Column1.totalAfterSubmitted]]/AM208&gt;50%,"Checked",0)</f>
        <v>#VALUE!</v>
      </c>
      <c r="AX208" s="155"/>
      <c r="AY208" s="155"/>
      <c r="BF208" s="190" t="e">
        <f>IF(INDEX('Partner data'!A:DG,MATCH(I_Miei_Rendiconti[[#This Row],[Column1.partnerId]],'Partner data'!DG:DG,0),83)="Soggetto privato","Private","Public")</f>
        <v>#VALUE!</v>
      </c>
    </row>
    <row r="209" spans="34:58" x14ac:dyDescent="0.25">
      <c r="AH209" s="115"/>
      <c r="AK209" s="10"/>
      <c r="AL209" s="16"/>
      <c r="AM209" s="14"/>
      <c r="AN209" s="14">
        <f>SUMIFS(ListOfExpenditure!AP:AP,ListOfExpenditure!AJ:AJ,I_Miei_Rendiconti[[#This Row],[Column1.id]])</f>
        <v>0</v>
      </c>
      <c r="AP209" s="155"/>
      <c r="AQ209" s="155"/>
      <c r="AR209" s="155"/>
      <c r="AS209" s="155"/>
      <c r="AT209" s="155"/>
      <c r="AU209" s="155"/>
      <c r="AV209" s="155"/>
      <c r="AW209" s="16" t="e">
        <f>IF(I_Miei_Rendiconti[[#This Row],[Column1.totalAfterSubmitted]]/AM209&gt;50%,"Checked",0)</f>
        <v>#VALUE!</v>
      </c>
      <c r="AX209" s="155"/>
      <c r="AY209" s="155"/>
      <c r="BF209" s="190" t="e">
        <f>IF(INDEX('Partner data'!A:DG,MATCH(I_Miei_Rendiconti[[#This Row],[Column1.partnerId]],'Partner data'!DG:DG,0),83)="Soggetto privato","Private","Public")</f>
        <v>#VALUE!</v>
      </c>
    </row>
    <row r="210" spans="34:58" x14ac:dyDescent="0.25">
      <c r="AH210" s="115"/>
      <c r="AK210" s="10"/>
      <c r="AL210" s="16"/>
      <c r="AM210" s="14"/>
      <c r="AN210" s="14">
        <f>SUMIFS(ListOfExpenditure!AP:AP,ListOfExpenditure!AJ:AJ,I_Miei_Rendiconti[[#This Row],[Column1.id]])</f>
        <v>0</v>
      </c>
      <c r="AP210" s="155"/>
      <c r="AQ210" s="155"/>
      <c r="AR210" s="155"/>
      <c r="AS210" s="155"/>
      <c r="AT210" s="155"/>
      <c r="AU210" s="155"/>
      <c r="AV210" s="155"/>
      <c r="AW210" s="16" t="e">
        <f>IF(I_Miei_Rendiconti[[#This Row],[Column1.totalAfterSubmitted]]/AM210&gt;50%,"Checked",0)</f>
        <v>#VALUE!</v>
      </c>
      <c r="AX210" s="155"/>
      <c r="AY210" s="155"/>
      <c r="BF210" s="190" t="e">
        <f>IF(INDEX('Partner data'!A:DG,MATCH(I_Miei_Rendiconti[[#This Row],[Column1.partnerId]],'Partner data'!DG:DG,0),83)="Soggetto privato","Private","Public")</f>
        <v>#VALUE!</v>
      </c>
    </row>
    <row r="211" spans="34:58" x14ac:dyDescent="0.25">
      <c r="AH211" s="115"/>
      <c r="AK211" s="10"/>
      <c r="AL211" s="16"/>
      <c r="AM211" s="14"/>
      <c r="AN211" s="14">
        <f>SUMIFS(ListOfExpenditure!AP:AP,ListOfExpenditure!AJ:AJ,I_Miei_Rendiconti[[#This Row],[Column1.id]])</f>
        <v>0</v>
      </c>
      <c r="AP211" s="155"/>
      <c r="AQ211" s="155"/>
      <c r="AR211" s="155"/>
      <c r="AS211" s="155"/>
      <c r="AT211" s="155"/>
      <c r="AU211" s="155"/>
      <c r="AV211" s="155"/>
      <c r="AW211" s="16" t="e">
        <f>IF(I_Miei_Rendiconti[[#This Row],[Column1.totalAfterSubmitted]]/AM211&gt;50%,"Checked",0)</f>
        <v>#VALUE!</v>
      </c>
      <c r="AX211" s="155"/>
      <c r="AY211" s="155"/>
      <c r="BF211" s="190" t="e">
        <f>IF(INDEX('Partner data'!A:DG,MATCH(I_Miei_Rendiconti[[#This Row],[Column1.partnerId]],'Partner data'!DG:DG,0),83)="Soggetto privato","Private","Public")</f>
        <v>#VALUE!</v>
      </c>
    </row>
    <row r="212" spans="34:58" x14ac:dyDescent="0.25">
      <c r="AH212" s="115"/>
      <c r="AK212" s="10"/>
      <c r="AL212" s="16"/>
      <c r="AM212" s="14"/>
      <c r="AN212" s="14">
        <f>SUMIFS(ListOfExpenditure!AP:AP,ListOfExpenditure!AJ:AJ,I_Miei_Rendiconti[[#This Row],[Column1.id]])</f>
        <v>0</v>
      </c>
      <c r="AP212" s="155"/>
      <c r="AQ212" s="155"/>
      <c r="AR212" s="155"/>
      <c r="AS212" s="155"/>
      <c r="AT212" s="155"/>
      <c r="AU212" s="155"/>
      <c r="AV212" s="155"/>
      <c r="AW212" s="16" t="e">
        <f>IF(I_Miei_Rendiconti[[#This Row],[Column1.totalAfterSubmitted]]/AM212&gt;50%,"Checked",0)</f>
        <v>#VALUE!</v>
      </c>
      <c r="AX212" s="155"/>
      <c r="AY212" s="155"/>
      <c r="BF212" s="190" t="e">
        <f>IF(INDEX('Partner data'!A:DG,MATCH(I_Miei_Rendiconti[[#This Row],[Column1.partnerId]],'Partner data'!DG:DG,0),83)="Soggetto privato","Private","Public")</f>
        <v>#VALUE!</v>
      </c>
    </row>
  </sheetData>
  <autoFilter ref="AE1:AJ212" xr:uid="{00000000-0009-0000-0000-000000000000}"/>
  <phoneticPr fontId="10" type="noConversion"/>
  <pageMargins left="0.7" right="0.7" top="0.75" bottom="0.75" header="0.3" footer="0.3"/>
  <pageSetup paperSize="8" orientation="landscape"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6"/>
  <dimension ref="A1:R265"/>
  <sheetViews>
    <sheetView workbookViewId="0">
      <selection activeCell="J277" sqref="J277"/>
    </sheetView>
  </sheetViews>
  <sheetFormatPr defaultRowHeight="15" x14ac:dyDescent="0.25"/>
  <cols>
    <col min="1" max="1" width="18.5703125" bestFit="1" customWidth="1"/>
    <col min="2" max="2" width="17.85546875" bestFit="1" customWidth="1"/>
    <col min="3" max="3" width="5.42578125" customWidth="1"/>
    <col min="4" max="4" width="6.42578125" customWidth="1"/>
    <col min="5" max="5" width="14.5703125" customWidth="1"/>
    <col min="6" max="6" width="6.5703125" style="2" customWidth="1"/>
    <col min="7" max="8" width="9.85546875" style="2" customWidth="1"/>
    <col min="9" max="9" width="13" style="2" customWidth="1"/>
    <col min="10" max="10" width="13.42578125" style="2" customWidth="1"/>
    <col min="11" max="11" width="12.5703125" style="2" customWidth="1"/>
    <col min="12" max="12" width="11.7109375" style="2" customWidth="1"/>
    <col min="13" max="13" width="11.140625" style="2" customWidth="1"/>
    <col min="14" max="14" width="7.42578125" style="2" customWidth="1"/>
    <col min="15" max="15" width="9.85546875" style="2" customWidth="1"/>
    <col min="16" max="16" width="9" style="2" customWidth="1"/>
    <col min="17" max="17" width="15.42578125" style="2" bestFit="1" customWidth="1"/>
    <col min="18" max="18" width="9.140625" customWidth="1"/>
  </cols>
  <sheetData>
    <row r="1" spans="1:18" ht="75" x14ac:dyDescent="0.25">
      <c r="A1" s="206" t="s">
        <v>72</v>
      </c>
      <c r="B1" s="206" t="s">
        <v>73</v>
      </c>
      <c r="C1" s="206" t="s">
        <v>74</v>
      </c>
      <c r="D1" s="206" t="s">
        <v>75</v>
      </c>
      <c r="E1" s="206" t="s">
        <v>3</v>
      </c>
      <c r="F1" s="157" t="s">
        <v>4</v>
      </c>
      <c r="G1" s="157" t="s">
        <v>5</v>
      </c>
      <c r="H1" s="157" t="s">
        <v>6</v>
      </c>
      <c r="I1" s="157" t="s">
        <v>7</v>
      </c>
      <c r="J1" s="157" t="s">
        <v>8</v>
      </c>
      <c r="K1" s="157" t="s">
        <v>9</v>
      </c>
      <c r="L1" s="157" t="s">
        <v>10</v>
      </c>
      <c r="M1" s="157" t="s">
        <v>11</v>
      </c>
      <c r="N1" s="157" t="s">
        <v>12</v>
      </c>
      <c r="O1" s="157" t="s">
        <v>13</v>
      </c>
      <c r="P1" s="157" t="s">
        <v>14</v>
      </c>
      <c r="Q1" s="157" t="s">
        <v>15</v>
      </c>
      <c r="R1" s="81" t="s">
        <v>7416</v>
      </c>
    </row>
    <row r="2" spans="1:18" x14ac:dyDescent="0.25">
      <c r="A2" s="1" t="s">
        <v>58</v>
      </c>
      <c r="B2" s="1" t="s">
        <v>40</v>
      </c>
      <c r="C2" s="1">
        <v>14</v>
      </c>
      <c r="D2" s="1">
        <v>101</v>
      </c>
      <c r="E2" s="1" t="s">
        <v>16</v>
      </c>
      <c r="F2" s="13">
        <v>8</v>
      </c>
      <c r="G2" s="13" t="s">
        <v>76</v>
      </c>
      <c r="H2" s="13">
        <v>133.33000000000001</v>
      </c>
      <c r="I2" s="13">
        <v>0</v>
      </c>
      <c r="J2" s="13">
        <v>0</v>
      </c>
      <c r="K2" s="13">
        <v>0</v>
      </c>
      <c r="L2" s="13">
        <v>0</v>
      </c>
      <c r="M2" s="13">
        <v>0</v>
      </c>
      <c r="N2" s="13">
        <v>0</v>
      </c>
      <c r="O2" s="13">
        <v>0</v>
      </c>
      <c r="P2" s="13">
        <v>0</v>
      </c>
      <c r="Q2" s="13">
        <v>133.33000000000001</v>
      </c>
      <c r="R2" s="78">
        <f>IFERROR(INDEX(ListOFErrors!A:K,MATCH(ERRORI__3[[#This Row],[Value.typologyOfErrorId]],ListOFErrors!A:A,0),11),0)</f>
        <v>8</v>
      </c>
    </row>
    <row r="3" spans="1:18" x14ac:dyDescent="0.25">
      <c r="A3" s="1" t="s">
        <v>58</v>
      </c>
      <c r="B3" s="1" t="s">
        <v>40</v>
      </c>
      <c r="C3" s="1">
        <v>14</v>
      </c>
      <c r="D3" s="1">
        <v>101</v>
      </c>
      <c r="E3" s="1" t="s">
        <v>16</v>
      </c>
      <c r="F3" s="13"/>
      <c r="G3" s="13"/>
      <c r="H3" s="13"/>
      <c r="I3" s="13">
        <v>20</v>
      </c>
      <c r="J3" s="13">
        <v>5.33</v>
      </c>
      <c r="K3" s="13"/>
      <c r="L3" s="13"/>
      <c r="M3" s="13"/>
      <c r="N3" s="13"/>
      <c r="O3" s="13"/>
      <c r="P3" s="13"/>
      <c r="Q3" s="13">
        <v>25.33</v>
      </c>
      <c r="R3" s="78">
        <f>IFERROR(INDEX(ListOFErrors!A:K,MATCH(ERRORI__3[[#This Row],[Value.typologyOfErrorId]],ListOFErrors!A:A,0),11),0)</f>
        <v>0</v>
      </c>
    </row>
    <row r="4" spans="1:18" ht="30" x14ac:dyDescent="0.25">
      <c r="A4" s="206" t="s">
        <v>58</v>
      </c>
      <c r="B4" s="206" t="s">
        <v>40</v>
      </c>
      <c r="C4" s="206">
        <v>14</v>
      </c>
      <c r="D4" s="206">
        <v>297</v>
      </c>
      <c r="E4" s="206" t="s">
        <v>16</v>
      </c>
      <c r="F4" s="157"/>
      <c r="G4" s="157"/>
      <c r="H4" s="157"/>
      <c r="I4" s="157">
        <v>0</v>
      </c>
      <c r="J4" s="157">
        <v>0</v>
      </c>
      <c r="K4" s="157"/>
      <c r="L4" s="157"/>
      <c r="M4" s="157"/>
      <c r="N4" s="157"/>
      <c r="O4" s="157"/>
      <c r="P4" s="157"/>
      <c r="Q4" s="157">
        <v>0</v>
      </c>
      <c r="R4" s="114">
        <f>IFERROR(INDEX(ListOFErrors!A:K,MATCH(ERRORI__3[[#This Row],[Value.typologyOfErrorId]],ListOFErrors!A:A,0),11),0)</f>
        <v>0</v>
      </c>
    </row>
    <row r="5" spans="1:18" hidden="1" x14ac:dyDescent="0.25">
      <c r="A5" s="1" t="s">
        <v>58</v>
      </c>
      <c r="B5" s="1" t="s">
        <v>4545</v>
      </c>
      <c r="C5" s="1">
        <v>17</v>
      </c>
      <c r="D5" s="1">
        <v>239</v>
      </c>
      <c r="E5" s="1" t="s">
        <v>16</v>
      </c>
      <c r="F5" s="13"/>
      <c r="G5" s="13"/>
      <c r="H5" s="13"/>
      <c r="I5" s="13"/>
      <c r="J5" s="13"/>
      <c r="K5" s="13"/>
      <c r="L5" s="13"/>
      <c r="M5" s="13"/>
      <c r="N5" s="13"/>
      <c r="O5" s="13"/>
      <c r="P5" s="13"/>
      <c r="Q5" s="13">
        <v>0</v>
      </c>
      <c r="R5" s="78">
        <f>IFERROR(INDEX(ListOFErrors!A:K,MATCH(ERRORI__3[[#This Row],[Value.typologyOfErrorId]],ListOFErrors!A:A,0),11),0)</f>
        <v>0</v>
      </c>
    </row>
    <row r="6" spans="1:18" hidden="1" x14ac:dyDescent="0.25">
      <c r="A6" s="1" t="s">
        <v>58</v>
      </c>
      <c r="B6" s="1" t="s">
        <v>4545</v>
      </c>
      <c r="C6" s="1">
        <v>17</v>
      </c>
      <c r="D6" s="1">
        <v>79</v>
      </c>
      <c r="E6" s="1" t="s">
        <v>16</v>
      </c>
      <c r="F6" s="13"/>
      <c r="G6" s="13"/>
      <c r="H6" s="13"/>
      <c r="I6" s="13"/>
      <c r="J6" s="13"/>
      <c r="K6" s="13"/>
      <c r="L6" s="13"/>
      <c r="M6" s="13"/>
      <c r="N6" s="13"/>
      <c r="O6" s="13"/>
      <c r="P6" s="13"/>
      <c r="Q6" s="13">
        <v>0</v>
      </c>
      <c r="R6" s="78">
        <f>IFERROR(INDEX(ListOFErrors!A:K,MATCH(ERRORI__3[[#This Row],[Value.typologyOfErrorId]],ListOFErrors!A:A,0),11),0)</f>
        <v>0</v>
      </c>
    </row>
    <row r="7" spans="1:18" hidden="1" x14ac:dyDescent="0.25">
      <c r="A7" s="1" t="s">
        <v>58</v>
      </c>
      <c r="B7" s="1" t="s">
        <v>36</v>
      </c>
      <c r="C7" s="1">
        <v>16</v>
      </c>
      <c r="D7" s="1">
        <v>83</v>
      </c>
      <c r="E7" s="1" t="s">
        <v>16</v>
      </c>
      <c r="F7" s="13"/>
      <c r="G7" s="13"/>
      <c r="H7" s="13"/>
      <c r="I7" s="13">
        <v>0</v>
      </c>
      <c r="J7" s="13">
        <v>0</v>
      </c>
      <c r="K7" s="13"/>
      <c r="L7" s="13"/>
      <c r="M7" s="13"/>
      <c r="N7" s="13"/>
      <c r="O7" s="13"/>
      <c r="P7" s="13"/>
      <c r="Q7" s="13">
        <v>0</v>
      </c>
      <c r="R7" s="78">
        <f>IFERROR(INDEX(ListOFErrors!A:K,MATCH(ERRORI__3[[#This Row],[Value.typologyOfErrorId]],ListOFErrors!A:A,0),11),0)</f>
        <v>0</v>
      </c>
    </row>
    <row r="8" spans="1:18" ht="30" hidden="1" x14ac:dyDescent="0.25">
      <c r="A8" s="206" t="s">
        <v>58</v>
      </c>
      <c r="B8" s="206" t="s">
        <v>21</v>
      </c>
      <c r="C8" s="206">
        <v>13</v>
      </c>
      <c r="D8" s="206">
        <v>189</v>
      </c>
      <c r="E8" s="206" t="s">
        <v>16</v>
      </c>
      <c r="F8" s="157"/>
      <c r="G8" s="157"/>
      <c r="H8" s="157">
        <v>0</v>
      </c>
      <c r="I8" s="157">
        <v>0</v>
      </c>
      <c r="J8" s="157">
        <v>0</v>
      </c>
      <c r="K8" s="157"/>
      <c r="L8" s="157"/>
      <c r="M8" s="157"/>
      <c r="N8" s="157"/>
      <c r="O8" s="157"/>
      <c r="P8" s="157"/>
      <c r="Q8" s="157">
        <v>0</v>
      </c>
      <c r="R8" s="114">
        <f>IFERROR(INDEX(ListOFErrors!A:K,MATCH(ERRORI__3[[#This Row],[Value.typologyOfErrorId]],ListOFErrors!A:A,0),11),0)</f>
        <v>0</v>
      </c>
    </row>
    <row r="9" spans="1:18" hidden="1" x14ac:dyDescent="0.25">
      <c r="A9" s="1" t="s">
        <v>58</v>
      </c>
      <c r="B9" s="1" t="s">
        <v>21</v>
      </c>
      <c r="C9" s="1">
        <v>13</v>
      </c>
      <c r="D9" s="1">
        <v>5</v>
      </c>
      <c r="E9" s="1" t="s">
        <v>16</v>
      </c>
      <c r="F9" s="13"/>
      <c r="G9" s="13"/>
      <c r="H9" s="13">
        <v>0</v>
      </c>
      <c r="I9" s="13">
        <v>0</v>
      </c>
      <c r="J9" s="13">
        <v>0</v>
      </c>
      <c r="K9" s="13"/>
      <c r="L9" s="13"/>
      <c r="M9" s="13"/>
      <c r="N9" s="13"/>
      <c r="O9" s="13"/>
      <c r="P9" s="13"/>
      <c r="Q9" s="13">
        <v>0</v>
      </c>
      <c r="R9" s="78">
        <f>IFERROR(INDEX(ListOFErrors!A:K,MATCH(ERRORI__3[[#This Row],[Value.typologyOfErrorId]],ListOFErrors!A:A,0),11),0)</f>
        <v>0</v>
      </c>
    </row>
    <row r="10" spans="1:18" hidden="1" x14ac:dyDescent="0.25">
      <c r="A10" s="1" t="s">
        <v>58</v>
      </c>
      <c r="B10" s="1" t="s">
        <v>25</v>
      </c>
      <c r="C10" s="1">
        <v>10</v>
      </c>
      <c r="D10" s="1">
        <v>227</v>
      </c>
      <c r="E10" s="1" t="s">
        <v>16</v>
      </c>
      <c r="F10" s="13"/>
      <c r="G10" s="13"/>
      <c r="H10" s="13"/>
      <c r="I10" s="13">
        <v>0</v>
      </c>
      <c r="J10" s="13">
        <v>0</v>
      </c>
      <c r="K10" s="13"/>
      <c r="L10" s="13"/>
      <c r="M10" s="13"/>
      <c r="N10" s="13"/>
      <c r="O10" s="13"/>
      <c r="P10" s="13"/>
      <c r="Q10" s="13">
        <v>0</v>
      </c>
      <c r="R10" s="78">
        <f>IFERROR(INDEX(ListOFErrors!A:K,MATCH(ERRORI__3[[#This Row],[Value.typologyOfErrorId]],ListOFErrors!A:A,0),11),0)</f>
        <v>0</v>
      </c>
    </row>
    <row r="11" spans="1:18" hidden="1" x14ac:dyDescent="0.25">
      <c r="A11" s="1" t="s">
        <v>58</v>
      </c>
      <c r="B11" s="1" t="s">
        <v>25</v>
      </c>
      <c r="C11" s="1">
        <v>10</v>
      </c>
      <c r="D11" s="1">
        <v>27</v>
      </c>
      <c r="E11" s="1" t="s">
        <v>16</v>
      </c>
      <c r="F11" s="13"/>
      <c r="G11" s="13"/>
      <c r="H11" s="13"/>
      <c r="I11" s="13">
        <v>0</v>
      </c>
      <c r="J11" s="13">
        <v>0</v>
      </c>
      <c r="K11" s="13"/>
      <c r="L11" s="13"/>
      <c r="M11" s="13"/>
      <c r="N11" s="13"/>
      <c r="O11" s="13"/>
      <c r="P11" s="13"/>
      <c r="Q11" s="13">
        <v>0</v>
      </c>
      <c r="R11" s="78">
        <f>IFERROR(INDEX(ListOFErrors!A:K,MATCH(ERRORI__3[[#This Row],[Value.typologyOfErrorId]],ListOFErrors!A:A,0),11),0)</f>
        <v>0</v>
      </c>
    </row>
    <row r="12" spans="1:18" hidden="1" x14ac:dyDescent="0.25">
      <c r="A12" s="1" t="s">
        <v>58</v>
      </c>
      <c r="B12" s="1" t="s">
        <v>33</v>
      </c>
      <c r="C12" s="1">
        <v>15</v>
      </c>
      <c r="D12" s="1">
        <v>55</v>
      </c>
      <c r="E12" s="1" t="s">
        <v>16</v>
      </c>
      <c r="F12" s="13">
        <v>3</v>
      </c>
      <c r="G12" s="13" t="s">
        <v>77</v>
      </c>
      <c r="H12" s="13">
        <v>0.15</v>
      </c>
      <c r="I12" s="13">
        <v>0</v>
      </c>
      <c r="J12" s="13">
        <v>0</v>
      </c>
      <c r="K12" s="13">
        <v>0</v>
      </c>
      <c r="L12" s="13">
        <v>0</v>
      </c>
      <c r="M12" s="13">
        <v>0</v>
      </c>
      <c r="N12" s="13">
        <v>0</v>
      </c>
      <c r="O12" s="13">
        <v>0</v>
      </c>
      <c r="P12" s="13">
        <v>0</v>
      </c>
      <c r="Q12" s="13">
        <v>0.15</v>
      </c>
      <c r="R12" s="78">
        <f>IFERROR(INDEX(ListOFErrors!A:K,MATCH(ERRORI__3[[#This Row],[Value.typologyOfErrorId]],ListOFErrors!A:A,0),11),0)</f>
        <v>2</v>
      </c>
    </row>
    <row r="13" spans="1:18" hidden="1" x14ac:dyDescent="0.25">
      <c r="A13" s="1" t="s">
        <v>58</v>
      </c>
      <c r="B13" s="1" t="s">
        <v>33</v>
      </c>
      <c r="C13" s="1">
        <v>15</v>
      </c>
      <c r="D13" s="1">
        <v>55</v>
      </c>
      <c r="E13" s="1" t="s">
        <v>16</v>
      </c>
      <c r="F13" s="13"/>
      <c r="G13" s="13"/>
      <c r="H13" s="13"/>
      <c r="I13" s="13">
        <v>0.02</v>
      </c>
      <c r="J13" s="13">
        <v>0.01</v>
      </c>
      <c r="K13" s="13"/>
      <c r="L13" s="13"/>
      <c r="M13" s="13"/>
      <c r="N13" s="13"/>
      <c r="O13" s="13"/>
      <c r="P13" s="13"/>
      <c r="Q13" s="13">
        <v>0.03</v>
      </c>
      <c r="R13" s="78">
        <f>IFERROR(INDEX(ListOFErrors!A:K,MATCH(ERRORI__3[[#This Row],[Value.typologyOfErrorId]],ListOFErrors!A:A,0),11),0)</f>
        <v>0</v>
      </c>
    </row>
    <row r="14" spans="1:18" hidden="1" x14ac:dyDescent="0.25">
      <c r="A14" s="1" t="s">
        <v>58</v>
      </c>
      <c r="B14" s="1" t="s">
        <v>30</v>
      </c>
      <c r="C14" s="1">
        <v>12</v>
      </c>
      <c r="D14" s="1">
        <v>222</v>
      </c>
      <c r="E14" s="1" t="s">
        <v>16</v>
      </c>
      <c r="F14" s="13"/>
      <c r="G14" s="13"/>
      <c r="H14" s="13"/>
      <c r="I14" s="13">
        <v>0</v>
      </c>
      <c r="J14" s="13">
        <v>0</v>
      </c>
      <c r="K14" s="13"/>
      <c r="L14" s="13"/>
      <c r="M14" s="13"/>
      <c r="N14" s="13"/>
      <c r="O14" s="13"/>
      <c r="P14" s="13"/>
      <c r="Q14" s="13">
        <v>0</v>
      </c>
      <c r="R14" s="78">
        <f>IFERROR(INDEX(ListOFErrors!A:K,MATCH(ERRORI__3[[#This Row],[Value.typologyOfErrorId]],ListOFErrors!A:A,0),11),0)</f>
        <v>0</v>
      </c>
    </row>
    <row r="15" spans="1:18" hidden="1" x14ac:dyDescent="0.25">
      <c r="A15" s="1" t="s">
        <v>58</v>
      </c>
      <c r="B15" s="1" t="s">
        <v>30</v>
      </c>
      <c r="C15" s="1">
        <v>12</v>
      </c>
      <c r="D15" s="1">
        <v>74</v>
      </c>
      <c r="E15" s="1" t="s">
        <v>16</v>
      </c>
      <c r="F15" s="13"/>
      <c r="G15" s="13"/>
      <c r="H15" s="13"/>
      <c r="I15" s="13">
        <v>0</v>
      </c>
      <c r="J15" s="13">
        <v>0</v>
      </c>
      <c r="K15" s="13"/>
      <c r="L15" s="13"/>
      <c r="M15" s="13"/>
      <c r="N15" s="13"/>
      <c r="O15" s="13"/>
      <c r="P15" s="13"/>
      <c r="Q15" s="13">
        <v>0</v>
      </c>
      <c r="R15" s="78">
        <f>IFERROR(INDEX(ListOFErrors!A:K,MATCH(ERRORI__3[[#This Row],[Value.typologyOfErrorId]],ListOFErrors!A:A,0),11),0)</f>
        <v>0</v>
      </c>
    </row>
    <row r="16" spans="1:18" hidden="1" x14ac:dyDescent="0.25">
      <c r="A16" s="1" t="s">
        <v>71</v>
      </c>
      <c r="B16" s="1" t="s">
        <v>301</v>
      </c>
      <c r="C16" s="1">
        <v>156</v>
      </c>
      <c r="D16" s="1">
        <v>169</v>
      </c>
      <c r="E16" s="1" t="s">
        <v>16</v>
      </c>
      <c r="F16" s="13"/>
      <c r="G16" s="13"/>
      <c r="H16" s="13"/>
      <c r="I16" s="13">
        <v>0</v>
      </c>
      <c r="J16" s="13"/>
      <c r="K16" s="13"/>
      <c r="L16" s="13"/>
      <c r="M16" s="13"/>
      <c r="N16" s="13"/>
      <c r="O16" s="13"/>
      <c r="P16" s="13"/>
      <c r="Q16" s="13">
        <v>0</v>
      </c>
      <c r="R16" s="78">
        <f>IFERROR(INDEX(ListOFErrors!A:K,MATCH(ERRORI__3[[#This Row],[Value.typologyOfErrorId]],ListOFErrors!A:A,0),11),0)</f>
        <v>0</v>
      </c>
    </row>
    <row r="17" spans="1:18" hidden="1" x14ac:dyDescent="0.25">
      <c r="A17" s="1" t="s">
        <v>71</v>
      </c>
      <c r="B17" s="1" t="s">
        <v>47</v>
      </c>
      <c r="C17" s="1">
        <v>159</v>
      </c>
      <c r="D17" s="1">
        <v>291</v>
      </c>
      <c r="E17" s="1" t="s">
        <v>16</v>
      </c>
      <c r="F17" s="13"/>
      <c r="G17" s="13"/>
      <c r="H17" s="13">
        <v>0</v>
      </c>
      <c r="I17" s="13">
        <v>0</v>
      </c>
      <c r="J17" s="13">
        <v>0</v>
      </c>
      <c r="K17" s="13"/>
      <c r="L17" s="13"/>
      <c r="M17" s="13"/>
      <c r="N17" s="13"/>
      <c r="O17" s="13"/>
      <c r="P17" s="13"/>
      <c r="Q17" s="13">
        <v>0</v>
      </c>
      <c r="R17" s="78">
        <f>IFERROR(INDEX(ListOFErrors!A:K,MATCH(ERRORI__3[[#This Row],[Value.typologyOfErrorId]],ListOFErrors!A:A,0),11),0)</f>
        <v>0</v>
      </c>
    </row>
    <row r="18" spans="1:18" hidden="1" x14ac:dyDescent="0.25">
      <c r="A18" s="1" t="s">
        <v>71</v>
      </c>
      <c r="B18" s="1" t="s">
        <v>290</v>
      </c>
      <c r="C18" s="1">
        <v>72</v>
      </c>
      <c r="D18" s="1">
        <v>134</v>
      </c>
      <c r="E18" s="1" t="s">
        <v>16</v>
      </c>
      <c r="F18" s="13">
        <v>14</v>
      </c>
      <c r="G18" s="13" t="s">
        <v>78</v>
      </c>
      <c r="H18" s="13">
        <v>59.57</v>
      </c>
      <c r="I18" s="13">
        <v>0</v>
      </c>
      <c r="J18" s="13">
        <v>0</v>
      </c>
      <c r="K18" s="13">
        <v>0</v>
      </c>
      <c r="L18" s="13">
        <v>0</v>
      </c>
      <c r="M18" s="13">
        <v>0</v>
      </c>
      <c r="N18" s="13">
        <v>0</v>
      </c>
      <c r="O18" s="13">
        <v>0</v>
      </c>
      <c r="P18" s="13">
        <v>0</v>
      </c>
      <c r="Q18" s="13">
        <v>59.57</v>
      </c>
      <c r="R18" s="78">
        <f>IFERROR(INDEX(ListOFErrors!A:K,MATCH(ERRORI__3[[#This Row],[Value.typologyOfErrorId]],ListOFErrors!A:A,0),11),0)</f>
        <v>8</v>
      </c>
    </row>
    <row r="19" spans="1:18" hidden="1" x14ac:dyDescent="0.25">
      <c r="A19" s="1" t="s">
        <v>71</v>
      </c>
      <c r="B19" s="1" t="s">
        <v>290</v>
      </c>
      <c r="C19" s="1">
        <v>72</v>
      </c>
      <c r="D19" s="1">
        <v>134</v>
      </c>
      <c r="E19" s="1" t="s">
        <v>16</v>
      </c>
      <c r="F19" s="13"/>
      <c r="G19" s="13"/>
      <c r="H19" s="13"/>
      <c r="I19" s="13">
        <v>8.94</v>
      </c>
      <c r="J19" s="13">
        <v>2.38</v>
      </c>
      <c r="K19" s="13"/>
      <c r="L19" s="13"/>
      <c r="M19" s="13"/>
      <c r="N19" s="13"/>
      <c r="O19" s="13"/>
      <c r="P19" s="13"/>
      <c r="Q19" s="13">
        <v>11.32</v>
      </c>
      <c r="R19" s="78">
        <f>IFERROR(INDEX(ListOFErrors!A:K,MATCH(ERRORI__3[[#This Row],[Value.typologyOfErrorId]],ListOFErrors!A:A,0),11),0)</f>
        <v>0</v>
      </c>
    </row>
    <row r="20" spans="1:18" hidden="1" x14ac:dyDescent="0.25">
      <c r="A20" s="1" t="s">
        <v>71</v>
      </c>
      <c r="B20" s="1" t="s">
        <v>303</v>
      </c>
      <c r="C20" s="1">
        <v>157</v>
      </c>
      <c r="D20" s="1">
        <v>206</v>
      </c>
      <c r="E20" s="1" t="s">
        <v>16</v>
      </c>
      <c r="F20" s="13">
        <v>2</v>
      </c>
      <c r="G20" s="13" t="s">
        <v>102</v>
      </c>
      <c r="H20" s="13">
        <v>0</v>
      </c>
      <c r="I20" s="13">
        <v>0</v>
      </c>
      <c r="J20" s="13">
        <v>0</v>
      </c>
      <c r="K20" s="13">
        <v>65.790000000000006</v>
      </c>
      <c r="L20" s="13">
        <v>0</v>
      </c>
      <c r="M20" s="13">
        <v>0</v>
      </c>
      <c r="N20" s="13">
        <v>0</v>
      </c>
      <c r="O20" s="13">
        <v>0</v>
      </c>
      <c r="P20" s="13">
        <v>0</v>
      </c>
      <c r="Q20" s="13">
        <v>65.790000000000006</v>
      </c>
      <c r="R20" s="78">
        <f>IFERROR(INDEX(ListOFErrors!A:K,MATCH(ERRORI__3[[#This Row],[Value.typologyOfErrorId]],ListOFErrors!A:A,0),11),0)</f>
        <v>0</v>
      </c>
    </row>
    <row r="21" spans="1:18" hidden="1" x14ac:dyDescent="0.25">
      <c r="A21" s="1" t="s">
        <v>71</v>
      </c>
      <c r="B21" s="1" t="s">
        <v>303</v>
      </c>
      <c r="C21" s="1">
        <v>157</v>
      </c>
      <c r="D21" s="1">
        <v>206</v>
      </c>
      <c r="E21" s="1" t="s">
        <v>16</v>
      </c>
      <c r="F21" s="13"/>
      <c r="G21" s="13"/>
      <c r="H21" s="13">
        <v>13.16</v>
      </c>
      <c r="I21" s="13">
        <v>1.97</v>
      </c>
      <c r="J21" s="13"/>
      <c r="K21" s="13"/>
      <c r="L21" s="13"/>
      <c r="M21" s="13"/>
      <c r="N21" s="13"/>
      <c r="O21" s="13"/>
      <c r="P21" s="13"/>
      <c r="Q21" s="13">
        <v>15.13</v>
      </c>
      <c r="R21" s="78">
        <f>IFERROR(INDEX(ListOFErrors!A:K,MATCH(ERRORI__3[[#This Row],[Value.typologyOfErrorId]],ListOFErrors!A:A,0),11),0)</f>
        <v>0</v>
      </c>
    </row>
    <row r="22" spans="1:18" hidden="1" x14ac:dyDescent="0.25">
      <c r="A22" s="1" t="s">
        <v>71</v>
      </c>
      <c r="B22" s="1" t="s">
        <v>70</v>
      </c>
      <c r="C22" s="1">
        <v>155</v>
      </c>
      <c r="D22" s="1">
        <v>269</v>
      </c>
      <c r="E22" s="1" t="s">
        <v>16</v>
      </c>
      <c r="F22" s="13">
        <v>14</v>
      </c>
      <c r="G22" s="13" t="s">
        <v>78</v>
      </c>
      <c r="H22" s="13">
        <v>0</v>
      </c>
      <c r="I22" s="13">
        <v>0</v>
      </c>
      <c r="J22" s="13">
        <v>0</v>
      </c>
      <c r="K22" s="13">
        <v>887.95</v>
      </c>
      <c r="L22" s="13">
        <v>0</v>
      </c>
      <c r="M22" s="13">
        <v>0</v>
      </c>
      <c r="N22" s="13">
        <v>0</v>
      </c>
      <c r="O22" s="13">
        <v>0</v>
      </c>
      <c r="P22" s="13">
        <v>0</v>
      </c>
      <c r="Q22" s="13">
        <v>887.95</v>
      </c>
      <c r="R22" s="78">
        <f>IFERROR(INDEX(ListOFErrors!A:K,MATCH(ERRORI__3[[#This Row],[Value.typologyOfErrorId]],ListOFErrors!A:A,0),11),0)</f>
        <v>8</v>
      </c>
    </row>
    <row r="23" spans="1:18" hidden="1" x14ac:dyDescent="0.25">
      <c r="A23" s="1" t="s">
        <v>71</v>
      </c>
      <c r="B23" s="1" t="s">
        <v>70</v>
      </c>
      <c r="C23" s="1">
        <v>155</v>
      </c>
      <c r="D23" s="1">
        <v>269</v>
      </c>
      <c r="E23" s="1" t="s">
        <v>16</v>
      </c>
      <c r="F23" s="13"/>
      <c r="G23" s="13"/>
      <c r="H23" s="13"/>
      <c r="I23" s="13">
        <v>0</v>
      </c>
      <c r="J23" s="13">
        <v>0</v>
      </c>
      <c r="K23" s="13"/>
      <c r="L23" s="13"/>
      <c r="M23" s="13"/>
      <c r="N23" s="13"/>
      <c r="O23" s="13"/>
      <c r="P23" s="13"/>
      <c r="Q23" s="13">
        <v>0</v>
      </c>
      <c r="R23" s="78">
        <f>IFERROR(INDEX(ListOFErrors!A:K,MATCH(ERRORI__3[[#This Row],[Value.typologyOfErrorId]],ListOFErrors!A:A,0),11),0)</f>
        <v>0</v>
      </c>
    </row>
    <row r="24" spans="1:18" hidden="1" x14ac:dyDescent="0.25">
      <c r="A24" s="1" t="s">
        <v>71</v>
      </c>
      <c r="B24" s="1" t="s">
        <v>69</v>
      </c>
      <c r="C24" s="1">
        <v>154</v>
      </c>
      <c r="D24" s="1">
        <v>151</v>
      </c>
      <c r="E24" s="1" t="s">
        <v>16</v>
      </c>
      <c r="F24" s="13">
        <v>12</v>
      </c>
      <c r="G24" s="13" t="s">
        <v>82</v>
      </c>
      <c r="H24" s="13">
        <v>940.23</v>
      </c>
      <c r="I24" s="13">
        <v>0</v>
      </c>
      <c r="J24" s="13">
        <v>0</v>
      </c>
      <c r="K24" s="13">
        <v>0</v>
      </c>
      <c r="L24" s="13">
        <v>0</v>
      </c>
      <c r="M24" s="13">
        <v>0</v>
      </c>
      <c r="N24" s="13">
        <v>0</v>
      </c>
      <c r="O24" s="13">
        <v>0</v>
      </c>
      <c r="P24" s="13">
        <v>0</v>
      </c>
      <c r="Q24" s="13">
        <v>940.23</v>
      </c>
      <c r="R24" s="78">
        <f>IFERROR(INDEX(ListOFErrors!A:K,MATCH(ERRORI__3[[#This Row],[Value.typologyOfErrorId]],ListOFErrors!A:A,0),11),0)</f>
        <v>6</v>
      </c>
    </row>
    <row r="25" spans="1:18" hidden="1" x14ac:dyDescent="0.25">
      <c r="A25" s="1" t="s">
        <v>71</v>
      </c>
      <c r="B25" s="1" t="s">
        <v>69</v>
      </c>
      <c r="C25" s="1">
        <v>154</v>
      </c>
      <c r="D25" s="1">
        <v>151</v>
      </c>
      <c r="E25" s="1" t="s">
        <v>16</v>
      </c>
      <c r="F25" s="13"/>
      <c r="G25" s="13"/>
      <c r="H25" s="13"/>
      <c r="I25" s="13"/>
      <c r="J25" s="13"/>
      <c r="K25" s="13"/>
      <c r="L25" s="13"/>
      <c r="M25" s="13"/>
      <c r="N25" s="13"/>
      <c r="O25" s="13"/>
      <c r="P25" s="13">
        <v>376.09</v>
      </c>
      <c r="Q25" s="13">
        <v>376.09</v>
      </c>
      <c r="R25" s="78">
        <f>IFERROR(INDEX(ListOFErrors!A:K,MATCH(ERRORI__3[[#This Row],[Value.typologyOfErrorId]],ListOFErrors!A:A,0),11),0)</f>
        <v>0</v>
      </c>
    </row>
    <row r="26" spans="1:18" hidden="1" x14ac:dyDescent="0.25">
      <c r="A26" s="1" t="s">
        <v>312</v>
      </c>
      <c r="B26" s="1" t="s">
        <v>313</v>
      </c>
      <c r="C26" s="1">
        <v>184</v>
      </c>
      <c r="D26" s="1">
        <v>304</v>
      </c>
      <c r="E26" s="1" t="s">
        <v>16</v>
      </c>
      <c r="F26" s="13"/>
      <c r="G26" s="13"/>
      <c r="H26" s="13">
        <v>0</v>
      </c>
      <c r="I26" s="13">
        <v>0</v>
      </c>
      <c r="J26" s="13">
        <v>0</v>
      </c>
      <c r="K26" s="13"/>
      <c r="L26" s="13"/>
      <c r="M26" s="13"/>
      <c r="N26" s="13"/>
      <c r="O26" s="13"/>
      <c r="P26" s="13"/>
      <c r="Q26" s="13">
        <v>0</v>
      </c>
      <c r="R26" s="78">
        <f>IFERROR(INDEX(ListOFErrors!A:K,MATCH(ERRORI__3[[#This Row],[Value.typologyOfErrorId]],ListOFErrors!A:A,0),11),0)</f>
        <v>0</v>
      </c>
    </row>
    <row r="27" spans="1:18" hidden="1" x14ac:dyDescent="0.25">
      <c r="A27" s="1" t="s">
        <v>312</v>
      </c>
      <c r="B27" s="1" t="s">
        <v>314</v>
      </c>
      <c r="C27" s="1">
        <v>185</v>
      </c>
      <c r="D27" s="1">
        <v>114</v>
      </c>
      <c r="E27" s="1" t="s">
        <v>16</v>
      </c>
      <c r="F27" s="13">
        <v>14</v>
      </c>
      <c r="G27" s="13" t="s">
        <v>78</v>
      </c>
      <c r="H27" s="13">
        <v>83.07</v>
      </c>
      <c r="I27" s="13">
        <v>0</v>
      </c>
      <c r="J27" s="13">
        <v>0</v>
      </c>
      <c r="K27" s="13">
        <v>0</v>
      </c>
      <c r="L27" s="13">
        <v>0</v>
      </c>
      <c r="M27" s="13">
        <v>0</v>
      </c>
      <c r="N27" s="13">
        <v>0</v>
      </c>
      <c r="O27" s="13">
        <v>0</v>
      </c>
      <c r="P27" s="13">
        <v>0</v>
      </c>
      <c r="Q27" s="13">
        <v>83.07</v>
      </c>
      <c r="R27" s="78">
        <f>IFERROR(INDEX(ListOFErrors!A:K,MATCH(ERRORI__3[[#This Row],[Value.typologyOfErrorId]],ListOFErrors!A:A,0),11),0)</f>
        <v>8</v>
      </c>
    </row>
    <row r="28" spans="1:18" hidden="1" x14ac:dyDescent="0.25">
      <c r="A28" s="1" t="s">
        <v>312</v>
      </c>
      <c r="B28" s="1" t="s">
        <v>314</v>
      </c>
      <c r="C28" s="1">
        <v>185</v>
      </c>
      <c r="D28" s="1">
        <v>114</v>
      </c>
      <c r="E28" s="1" t="s">
        <v>16</v>
      </c>
      <c r="F28" s="13"/>
      <c r="G28" s="13"/>
      <c r="H28" s="13"/>
      <c r="I28" s="13">
        <v>12.46</v>
      </c>
      <c r="J28" s="13">
        <v>3.32</v>
      </c>
      <c r="K28" s="13"/>
      <c r="L28" s="13"/>
      <c r="M28" s="13"/>
      <c r="N28" s="13"/>
      <c r="O28" s="13"/>
      <c r="P28" s="13"/>
      <c r="Q28" s="13">
        <v>15.78</v>
      </c>
      <c r="R28" s="78">
        <f>IFERROR(INDEX(ListOFErrors!A:K,MATCH(ERRORI__3[[#This Row],[Value.typologyOfErrorId]],ListOFErrors!A:A,0),11),0)</f>
        <v>0</v>
      </c>
    </row>
    <row r="29" spans="1:18" hidden="1" x14ac:dyDescent="0.25">
      <c r="A29" s="1" t="s">
        <v>312</v>
      </c>
      <c r="B29" s="1" t="s">
        <v>316</v>
      </c>
      <c r="C29" s="1">
        <v>186</v>
      </c>
      <c r="D29" s="1">
        <v>329</v>
      </c>
      <c r="E29" s="1" t="s">
        <v>16</v>
      </c>
      <c r="F29" s="13"/>
      <c r="G29" s="13"/>
      <c r="H29" s="13">
        <v>0</v>
      </c>
      <c r="I29" s="13">
        <v>0</v>
      </c>
      <c r="J29" s="13">
        <v>0</v>
      </c>
      <c r="K29" s="13"/>
      <c r="L29" s="13"/>
      <c r="M29" s="13"/>
      <c r="N29" s="13"/>
      <c r="O29" s="13"/>
      <c r="P29" s="13"/>
      <c r="Q29" s="13">
        <v>0</v>
      </c>
      <c r="R29" s="78">
        <f>IFERROR(INDEX(ListOFErrors!A:K,MATCH(ERRORI__3[[#This Row],[Value.typologyOfErrorId]],ListOFErrors!A:A,0),11),0)</f>
        <v>0</v>
      </c>
    </row>
    <row r="30" spans="1:18" hidden="1" x14ac:dyDescent="0.25">
      <c r="A30" s="1" t="s">
        <v>337</v>
      </c>
      <c r="B30" s="1" t="s">
        <v>338</v>
      </c>
      <c r="C30" s="1">
        <v>124</v>
      </c>
      <c r="D30" s="1">
        <v>182</v>
      </c>
      <c r="E30" s="1" t="s">
        <v>16</v>
      </c>
      <c r="F30" s="13">
        <v>14</v>
      </c>
      <c r="G30" s="13" t="s">
        <v>78</v>
      </c>
      <c r="H30" s="13">
        <v>1317.78</v>
      </c>
      <c r="I30" s="13">
        <v>0</v>
      </c>
      <c r="J30" s="13">
        <v>0</v>
      </c>
      <c r="K30" s="13">
        <v>0</v>
      </c>
      <c r="L30" s="13">
        <v>0</v>
      </c>
      <c r="M30" s="13">
        <v>0</v>
      </c>
      <c r="N30" s="13">
        <v>0</v>
      </c>
      <c r="O30" s="13">
        <v>0</v>
      </c>
      <c r="P30" s="13">
        <v>0</v>
      </c>
      <c r="Q30" s="13">
        <v>1317.78</v>
      </c>
      <c r="R30" s="78">
        <f>IFERROR(INDEX(ListOFErrors!A:K,MATCH(ERRORI__3[[#This Row],[Value.typologyOfErrorId]],ListOFErrors!A:A,0),11),0)</f>
        <v>8</v>
      </c>
    </row>
    <row r="31" spans="1:18" hidden="1" x14ac:dyDescent="0.25">
      <c r="A31" s="1" t="s">
        <v>337</v>
      </c>
      <c r="B31" s="1" t="s">
        <v>338</v>
      </c>
      <c r="C31" s="1">
        <v>124</v>
      </c>
      <c r="D31" s="1">
        <v>182</v>
      </c>
      <c r="E31" s="1" t="s">
        <v>16</v>
      </c>
      <c r="F31" s="13"/>
      <c r="G31" s="13"/>
      <c r="H31" s="13"/>
      <c r="I31" s="13">
        <v>197.66</v>
      </c>
      <c r="J31" s="13">
        <v>52.71</v>
      </c>
      <c r="K31" s="13"/>
      <c r="L31" s="13"/>
      <c r="M31" s="13"/>
      <c r="N31" s="13"/>
      <c r="O31" s="13"/>
      <c r="P31" s="13"/>
      <c r="Q31" s="13">
        <v>250.37</v>
      </c>
      <c r="R31" s="78">
        <f>IFERROR(INDEX(ListOFErrors!A:K,MATCH(ERRORI__3[[#This Row],[Value.typologyOfErrorId]],ListOFErrors!A:A,0),11),0)</f>
        <v>0</v>
      </c>
    </row>
    <row r="32" spans="1:18" hidden="1" x14ac:dyDescent="0.25">
      <c r="A32" s="1" t="s">
        <v>337</v>
      </c>
      <c r="B32" s="1" t="s">
        <v>42</v>
      </c>
      <c r="C32" s="1">
        <v>126</v>
      </c>
      <c r="D32" s="1">
        <v>140</v>
      </c>
      <c r="E32" s="1" t="s">
        <v>16</v>
      </c>
      <c r="F32" s="13">
        <v>14</v>
      </c>
      <c r="G32" s="13" t="s">
        <v>78</v>
      </c>
      <c r="H32" s="13">
        <v>5540.93</v>
      </c>
      <c r="I32" s="13">
        <v>0</v>
      </c>
      <c r="J32" s="13">
        <v>0</v>
      </c>
      <c r="K32" s="13">
        <v>0</v>
      </c>
      <c r="L32" s="13">
        <v>0</v>
      </c>
      <c r="M32" s="13">
        <v>0</v>
      </c>
      <c r="N32" s="13">
        <v>0</v>
      </c>
      <c r="O32" s="13">
        <v>0</v>
      </c>
      <c r="P32" s="13">
        <v>0</v>
      </c>
      <c r="Q32" s="13">
        <v>5540.93</v>
      </c>
      <c r="R32" s="78">
        <f>IFERROR(INDEX(ListOFErrors!A:K,MATCH(ERRORI__3[[#This Row],[Value.typologyOfErrorId]],ListOFErrors!A:A,0),11),0)</f>
        <v>8</v>
      </c>
    </row>
    <row r="33" spans="1:18" hidden="1" x14ac:dyDescent="0.25">
      <c r="A33" s="1" t="s">
        <v>337</v>
      </c>
      <c r="B33" s="1" t="s">
        <v>42</v>
      </c>
      <c r="C33" s="1">
        <v>126</v>
      </c>
      <c r="D33" s="1">
        <v>140</v>
      </c>
      <c r="E33" s="1" t="s">
        <v>16</v>
      </c>
      <c r="F33" s="13"/>
      <c r="G33" s="13"/>
      <c r="H33" s="13"/>
      <c r="I33" s="13"/>
      <c r="J33" s="13"/>
      <c r="K33" s="13"/>
      <c r="L33" s="13"/>
      <c r="M33" s="13"/>
      <c r="N33" s="13"/>
      <c r="O33" s="13"/>
      <c r="P33" s="13">
        <v>2216.37</v>
      </c>
      <c r="Q33" s="13">
        <v>2216.37</v>
      </c>
      <c r="R33" s="78">
        <f>IFERROR(INDEX(ListOFErrors!A:K,MATCH(ERRORI__3[[#This Row],[Value.typologyOfErrorId]],ListOFErrors!A:A,0),11),0)</f>
        <v>0</v>
      </c>
    </row>
    <row r="34" spans="1:18" hidden="1" x14ac:dyDescent="0.25">
      <c r="A34" s="1" t="s">
        <v>337</v>
      </c>
      <c r="B34" s="1" t="s">
        <v>307</v>
      </c>
      <c r="C34" s="1">
        <v>125</v>
      </c>
      <c r="D34" s="1">
        <v>232</v>
      </c>
      <c r="E34" s="1" t="s">
        <v>16</v>
      </c>
      <c r="F34" s="13">
        <v>13</v>
      </c>
      <c r="G34" s="13" t="s">
        <v>80</v>
      </c>
      <c r="H34" s="13">
        <v>27</v>
      </c>
      <c r="I34" s="13">
        <v>0</v>
      </c>
      <c r="J34" s="13">
        <v>0</v>
      </c>
      <c r="K34" s="13">
        <v>0</v>
      </c>
      <c r="L34" s="13">
        <v>0</v>
      </c>
      <c r="M34" s="13">
        <v>0</v>
      </c>
      <c r="N34" s="13">
        <v>0</v>
      </c>
      <c r="O34" s="13">
        <v>0</v>
      </c>
      <c r="P34" s="13">
        <v>0</v>
      </c>
      <c r="Q34" s="13">
        <v>27</v>
      </c>
      <c r="R34" s="78">
        <f>IFERROR(INDEX(ListOFErrors!A:K,MATCH(ERRORI__3[[#This Row],[Value.typologyOfErrorId]],ListOFErrors!A:A,0),11),0)</f>
        <v>6</v>
      </c>
    </row>
    <row r="35" spans="1:18" hidden="1" x14ac:dyDescent="0.25">
      <c r="A35" s="1" t="s">
        <v>337</v>
      </c>
      <c r="B35" s="1" t="s">
        <v>307</v>
      </c>
      <c r="C35" s="1">
        <v>125</v>
      </c>
      <c r="D35" s="1">
        <v>232</v>
      </c>
      <c r="E35" s="1" t="s">
        <v>16</v>
      </c>
      <c r="F35" s="13"/>
      <c r="G35" s="13"/>
      <c r="H35" s="13"/>
      <c r="I35" s="13"/>
      <c r="J35" s="13"/>
      <c r="K35" s="13"/>
      <c r="L35" s="13"/>
      <c r="M35" s="13"/>
      <c r="N35" s="13"/>
      <c r="O35" s="13"/>
      <c r="P35" s="13">
        <v>10.8</v>
      </c>
      <c r="Q35" s="13">
        <v>10.8</v>
      </c>
      <c r="R35" s="78">
        <f>IFERROR(INDEX(ListOFErrors!A:K,MATCH(ERRORI__3[[#This Row],[Value.typologyOfErrorId]],ListOFErrors!A:A,0),11),0)</f>
        <v>0</v>
      </c>
    </row>
    <row r="36" spans="1:18" hidden="1" x14ac:dyDescent="0.25">
      <c r="A36" s="1" t="s">
        <v>337</v>
      </c>
      <c r="B36" s="1" t="s">
        <v>340</v>
      </c>
      <c r="C36" s="1">
        <v>123</v>
      </c>
      <c r="D36" s="1">
        <v>141</v>
      </c>
      <c r="E36" s="1" t="s">
        <v>16</v>
      </c>
      <c r="F36" s="13">
        <v>13</v>
      </c>
      <c r="G36" s="13" t="s">
        <v>80</v>
      </c>
      <c r="H36" s="13">
        <v>1953.58</v>
      </c>
      <c r="I36" s="13">
        <v>0</v>
      </c>
      <c r="J36" s="13">
        <v>0</v>
      </c>
      <c r="K36" s="13">
        <v>0</v>
      </c>
      <c r="L36" s="13">
        <v>0</v>
      </c>
      <c r="M36" s="13">
        <v>0</v>
      </c>
      <c r="N36" s="13">
        <v>0</v>
      </c>
      <c r="O36" s="13">
        <v>0</v>
      </c>
      <c r="P36" s="13">
        <v>0</v>
      </c>
      <c r="Q36" s="13">
        <v>1953.58</v>
      </c>
      <c r="R36" s="78">
        <f>IFERROR(INDEX(ListOFErrors!A:K,MATCH(ERRORI__3[[#This Row],[Value.typologyOfErrorId]],ListOFErrors!A:A,0),11),0)</f>
        <v>6</v>
      </c>
    </row>
    <row r="37" spans="1:18" hidden="1" x14ac:dyDescent="0.25">
      <c r="A37" s="1" t="s">
        <v>337</v>
      </c>
      <c r="B37" s="1" t="s">
        <v>340</v>
      </c>
      <c r="C37" s="1">
        <v>123</v>
      </c>
      <c r="D37" s="1">
        <v>141</v>
      </c>
      <c r="E37" s="1" t="s">
        <v>16</v>
      </c>
      <c r="F37" s="13"/>
      <c r="G37" s="13"/>
      <c r="H37" s="13"/>
      <c r="I37" s="13"/>
      <c r="J37" s="13"/>
      <c r="K37" s="13"/>
      <c r="L37" s="13"/>
      <c r="M37" s="13"/>
      <c r="N37" s="13"/>
      <c r="O37" s="13"/>
      <c r="P37" s="13">
        <v>781.43</v>
      </c>
      <c r="Q37" s="13">
        <v>781.43</v>
      </c>
      <c r="R37" s="78">
        <f>IFERROR(INDEX(ListOFErrors!A:K,MATCH(ERRORI__3[[#This Row],[Value.typologyOfErrorId]],ListOFErrors!A:A,0),11),0)</f>
        <v>0</v>
      </c>
    </row>
    <row r="38" spans="1:18" hidden="1" x14ac:dyDescent="0.25">
      <c r="A38" s="1" t="s">
        <v>337</v>
      </c>
      <c r="B38" s="1" t="s">
        <v>292</v>
      </c>
      <c r="C38" s="1">
        <v>122</v>
      </c>
      <c r="D38" s="1">
        <v>22</v>
      </c>
      <c r="E38" s="1" t="s">
        <v>16</v>
      </c>
      <c r="F38" s="13"/>
      <c r="G38" s="13"/>
      <c r="H38" s="13"/>
      <c r="I38" s="13">
        <v>0</v>
      </c>
      <c r="J38" s="13">
        <v>0</v>
      </c>
      <c r="K38" s="13"/>
      <c r="L38" s="13"/>
      <c r="M38" s="13"/>
      <c r="N38" s="13"/>
      <c r="O38" s="13"/>
      <c r="P38" s="13"/>
      <c r="Q38" s="13">
        <v>0</v>
      </c>
      <c r="R38" s="78">
        <f>IFERROR(INDEX(ListOFErrors!A:K,MATCH(ERRORI__3[[#This Row],[Value.typologyOfErrorId]],ListOFErrors!A:A,0),11),0)</f>
        <v>0</v>
      </c>
    </row>
    <row r="39" spans="1:18" hidden="1" x14ac:dyDescent="0.25">
      <c r="A39" s="1" t="s">
        <v>357</v>
      </c>
      <c r="B39" s="1" t="s">
        <v>358</v>
      </c>
      <c r="C39" s="1">
        <v>160</v>
      </c>
      <c r="D39" s="1">
        <v>225</v>
      </c>
      <c r="E39" s="1" t="s">
        <v>16</v>
      </c>
      <c r="F39" s="13"/>
      <c r="G39" s="13"/>
      <c r="H39" s="13"/>
      <c r="I39" s="13">
        <v>0</v>
      </c>
      <c r="J39" s="13">
        <v>0</v>
      </c>
      <c r="K39" s="13"/>
      <c r="L39" s="13"/>
      <c r="M39" s="13"/>
      <c r="N39" s="13"/>
      <c r="O39" s="13"/>
      <c r="P39" s="13"/>
      <c r="Q39" s="13">
        <v>0</v>
      </c>
      <c r="R39" s="78">
        <f>IFERROR(INDEX(ListOFErrors!A:K,MATCH(ERRORI__3[[#This Row],[Value.typologyOfErrorId]],ListOFErrors!A:A,0),11),0)</f>
        <v>0</v>
      </c>
    </row>
    <row r="40" spans="1:18" hidden="1" x14ac:dyDescent="0.25">
      <c r="A40" s="1" t="s">
        <v>357</v>
      </c>
      <c r="B40" s="1" t="s">
        <v>290</v>
      </c>
      <c r="C40" s="1">
        <v>232</v>
      </c>
      <c r="D40" s="1">
        <v>165</v>
      </c>
      <c r="E40" s="1" t="s">
        <v>16</v>
      </c>
      <c r="F40" s="13">
        <v>14</v>
      </c>
      <c r="G40" s="13" t="s">
        <v>78</v>
      </c>
      <c r="H40" s="13">
        <v>83.59</v>
      </c>
      <c r="I40" s="13">
        <v>0</v>
      </c>
      <c r="J40" s="13">
        <v>0</v>
      </c>
      <c r="K40" s="13">
        <v>0</v>
      </c>
      <c r="L40" s="13">
        <v>0</v>
      </c>
      <c r="M40" s="13">
        <v>0</v>
      </c>
      <c r="N40" s="13">
        <v>0</v>
      </c>
      <c r="O40" s="13">
        <v>0</v>
      </c>
      <c r="P40" s="13">
        <v>0</v>
      </c>
      <c r="Q40" s="13">
        <v>83.59</v>
      </c>
      <c r="R40" s="78">
        <f>IFERROR(INDEX(ListOFErrors!A:K,MATCH(ERRORI__3[[#This Row],[Value.typologyOfErrorId]],ListOFErrors!A:A,0),11),0)</f>
        <v>8</v>
      </c>
    </row>
    <row r="41" spans="1:18" hidden="1" x14ac:dyDescent="0.25">
      <c r="A41" s="1" t="s">
        <v>357</v>
      </c>
      <c r="B41" s="1" t="s">
        <v>290</v>
      </c>
      <c r="C41" s="1">
        <v>232</v>
      </c>
      <c r="D41" s="1">
        <v>165</v>
      </c>
      <c r="E41" s="1" t="s">
        <v>16</v>
      </c>
      <c r="F41" s="13"/>
      <c r="G41" s="13"/>
      <c r="H41" s="13"/>
      <c r="I41" s="13">
        <v>12.54</v>
      </c>
      <c r="J41" s="13">
        <v>3.34</v>
      </c>
      <c r="K41" s="13"/>
      <c r="L41" s="13"/>
      <c r="M41" s="13"/>
      <c r="N41" s="13"/>
      <c r="O41" s="13"/>
      <c r="P41" s="13"/>
      <c r="Q41" s="13">
        <v>15.88</v>
      </c>
      <c r="R41" s="78">
        <f>IFERROR(INDEX(ListOFErrors!A:K,MATCH(ERRORI__3[[#This Row],[Value.typologyOfErrorId]],ListOFErrors!A:A,0),11),0)</f>
        <v>0</v>
      </c>
    </row>
    <row r="42" spans="1:18" hidden="1" x14ac:dyDescent="0.25">
      <c r="A42" s="1" t="s">
        <v>357</v>
      </c>
      <c r="B42" s="1" t="s">
        <v>56</v>
      </c>
      <c r="C42" s="1">
        <v>209</v>
      </c>
      <c r="D42" s="1">
        <v>257</v>
      </c>
      <c r="E42" s="1" t="s">
        <v>16</v>
      </c>
      <c r="F42" s="13">
        <v>14</v>
      </c>
      <c r="G42" s="13" t="s">
        <v>78</v>
      </c>
      <c r="H42" s="13">
        <v>610.88</v>
      </c>
      <c r="I42" s="13">
        <v>0</v>
      </c>
      <c r="J42" s="13">
        <v>0</v>
      </c>
      <c r="K42" s="13">
        <v>0</v>
      </c>
      <c r="L42" s="13">
        <v>0</v>
      </c>
      <c r="M42" s="13">
        <v>0</v>
      </c>
      <c r="N42" s="13">
        <v>0</v>
      </c>
      <c r="O42" s="13">
        <v>0</v>
      </c>
      <c r="P42" s="13">
        <v>0</v>
      </c>
      <c r="Q42" s="13">
        <v>610.88</v>
      </c>
      <c r="R42" s="78">
        <f>IFERROR(INDEX(ListOFErrors!A:K,MATCH(ERRORI__3[[#This Row],[Value.typologyOfErrorId]],ListOFErrors!A:A,0),11),0)</f>
        <v>8</v>
      </c>
    </row>
    <row r="43" spans="1:18" hidden="1" x14ac:dyDescent="0.25">
      <c r="A43" s="1" t="s">
        <v>357</v>
      </c>
      <c r="B43" s="1" t="s">
        <v>56</v>
      </c>
      <c r="C43" s="1">
        <v>209</v>
      </c>
      <c r="D43" s="1">
        <v>257</v>
      </c>
      <c r="E43" s="1" t="s">
        <v>16</v>
      </c>
      <c r="F43" s="13"/>
      <c r="G43" s="13"/>
      <c r="H43" s="13"/>
      <c r="I43" s="13"/>
      <c r="J43" s="13"/>
      <c r="K43" s="13"/>
      <c r="L43" s="13"/>
      <c r="M43" s="13"/>
      <c r="N43" s="13"/>
      <c r="O43" s="13"/>
      <c r="P43" s="13">
        <v>244.35</v>
      </c>
      <c r="Q43" s="13">
        <v>244.35</v>
      </c>
      <c r="R43" s="78">
        <f>IFERROR(INDEX(ListOFErrors!A:K,MATCH(ERRORI__3[[#This Row],[Value.typologyOfErrorId]],ListOFErrors!A:A,0),11),0)</f>
        <v>0</v>
      </c>
    </row>
    <row r="44" spans="1:18" hidden="1" x14ac:dyDescent="0.25">
      <c r="A44" s="1" t="s">
        <v>357</v>
      </c>
      <c r="B44" s="1" t="s">
        <v>320</v>
      </c>
      <c r="C44" s="1">
        <v>210</v>
      </c>
      <c r="D44" s="1">
        <v>162</v>
      </c>
      <c r="E44" s="1" t="s">
        <v>16</v>
      </c>
      <c r="F44" s="13">
        <v>14</v>
      </c>
      <c r="G44" s="13" t="s">
        <v>78</v>
      </c>
      <c r="H44" s="13">
        <v>6460.67</v>
      </c>
      <c r="I44" s="13">
        <v>0</v>
      </c>
      <c r="J44" s="13">
        <v>0</v>
      </c>
      <c r="K44" s="13">
        <v>0</v>
      </c>
      <c r="L44" s="13">
        <v>0</v>
      </c>
      <c r="M44" s="13">
        <v>0</v>
      </c>
      <c r="N44" s="13">
        <v>0</v>
      </c>
      <c r="O44" s="13">
        <v>0</v>
      </c>
      <c r="P44" s="13">
        <v>0</v>
      </c>
      <c r="Q44" s="13">
        <v>6460.67</v>
      </c>
      <c r="R44" s="78">
        <f>IFERROR(INDEX(ListOFErrors!A:K,MATCH(ERRORI__3[[#This Row],[Value.typologyOfErrorId]],ListOFErrors!A:A,0),11),0)</f>
        <v>8</v>
      </c>
    </row>
    <row r="45" spans="1:18" hidden="1" x14ac:dyDescent="0.25">
      <c r="A45" s="1" t="s">
        <v>357</v>
      </c>
      <c r="B45" s="1" t="s">
        <v>320</v>
      </c>
      <c r="C45" s="1">
        <v>210</v>
      </c>
      <c r="D45" s="1">
        <v>162</v>
      </c>
      <c r="E45" s="1" t="s">
        <v>16</v>
      </c>
      <c r="F45" s="13"/>
      <c r="G45" s="13"/>
      <c r="H45" s="13"/>
      <c r="I45" s="13"/>
      <c r="J45" s="13"/>
      <c r="K45" s="13"/>
      <c r="L45" s="13"/>
      <c r="M45" s="13"/>
      <c r="N45" s="13"/>
      <c r="O45" s="13"/>
      <c r="P45" s="13">
        <v>2584.2600000000002</v>
      </c>
      <c r="Q45" s="13">
        <v>2584.2600000000002</v>
      </c>
      <c r="R45" s="78">
        <f>IFERROR(INDEX(ListOFErrors!A:K,MATCH(ERRORI__3[[#This Row],[Value.typologyOfErrorId]],ListOFErrors!A:A,0),11),0)</f>
        <v>0</v>
      </c>
    </row>
    <row r="46" spans="1:18" hidden="1" x14ac:dyDescent="0.25">
      <c r="A46" s="1" t="s">
        <v>365</v>
      </c>
      <c r="B46" s="1" t="s">
        <v>293</v>
      </c>
      <c r="C46" s="1">
        <v>266</v>
      </c>
      <c r="D46" s="1">
        <v>321</v>
      </c>
      <c r="E46" s="1" t="s">
        <v>16</v>
      </c>
      <c r="F46" s="13"/>
      <c r="G46" s="13"/>
      <c r="H46" s="13"/>
      <c r="I46" s="13"/>
      <c r="J46" s="13"/>
      <c r="K46" s="13"/>
      <c r="L46" s="13"/>
      <c r="M46" s="13"/>
      <c r="N46" s="13"/>
      <c r="O46" s="13"/>
      <c r="P46" s="13">
        <v>0</v>
      </c>
      <c r="Q46" s="13">
        <v>0</v>
      </c>
      <c r="R46" s="78">
        <f>IFERROR(INDEX(ListOFErrors!A:K,MATCH(ERRORI__3[[#This Row],[Value.typologyOfErrorId]],ListOFErrors!A:A,0),11),0)</f>
        <v>0</v>
      </c>
    </row>
    <row r="47" spans="1:18" hidden="1" x14ac:dyDescent="0.25">
      <c r="A47" s="1" t="s">
        <v>365</v>
      </c>
      <c r="B47" s="1" t="s">
        <v>366</v>
      </c>
      <c r="C47" s="1">
        <v>263</v>
      </c>
      <c r="D47" s="1">
        <v>265</v>
      </c>
      <c r="E47" s="1" t="s">
        <v>16</v>
      </c>
      <c r="F47" s="13">
        <v>14</v>
      </c>
      <c r="G47" s="13" t="s">
        <v>78</v>
      </c>
      <c r="H47" s="13">
        <v>1719.63</v>
      </c>
      <c r="I47" s="13">
        <v>0</v>
      </c>
      <c r="J47" s="13">
        <v>0</v>
      </c>
      <c r="K47" s="13">
        <v>0</v>
      </c>
      <c r="L47" s="13">
        <v>0</v>
      </c>
      <c r="M47" s="13">
        <v>0</v>
      </c>
      <c r="N47" s="13">
        <v>0</v>
      </c>
      <c r="O47" s="13">
        <v>0</v>
      </c>
      <c r="P47" s="13">
        <v>0</v>
      </c>
      <c r="Q47" s="13">
        <v>1719.63</v>
      </c>
      <c r="R47" s="78">
        <f>IFERROR(INDEX(ListOFErrors!A:K,MATCH(ERRORI__3[[#This Row],[Value.typologyOfErrorId]],ListOFErrors!A:A,0),11),0)</f>
        <v>8</v>
      </c>
    </row>
    <row r="48" spans="1:18" hidden="1" x14ac:dyDescent="0.25">
      <c r="A48" s="1" t="s">
        <v>365</v>
      </c>
      <c r="B48" s="1" t="s">
        <v>366</v>
      </c>
      <c r="C48" s="1">
        <v>263</v>
      </c>
      <c r="D48" s="1">
        <v>265</v>
      </c>
      <c r="E48" s="1" t="s">
        <v>16</v>
      </c>
      <c r="F48" s="13"/>
      <c r="G48" s="13"/>
      <c r="H48" s="13"/>
      <c r="I48" s="13"/>
      <c r="J48" s="13"/>
      <c r="K48" s="13"/>
      <c r="L48" s="13"/>
      <c r="M48" s="13"/>
      <c r="N48" s="13"/>
      <c r="O48" s="13"/>
      <c r="P48" s="13">
        <v>687.85</v>
      </c>
      <c r="Q48" s="13">
        <v>687.85</v>
      </c>
      <c r="R48" s="78">
        <f>IFERROR(INDEX(ListOFErrors!A:K,MATCH(ERRORI__3[[#This Row],[Value.typologyOfErrorId]],ListOFErrors!A:A,0),11),0)</f>
        <v>0</v>
      </c>
    </row>
    <row r="49" spans="1:18" hidden="1" x14ac:dyDescent="0.25">
      <c r="A49" s="1" t="s">
        <v>365</v>
      </c>
      <c r="B49" s="1" t="s">
        <v>367</v>
      </c>
      <c r="C49" s="1">
        <v>241</v>
      </c>
      <c r="D49" s="1">
        <v>224</v>
      </c>
      <c r="E49" s="1" t="s">
        <v>16</v>
      </c>
      <c r="F49" s="13">
        <v>24</v>
      </c>
      <c r="G49" s="13" t="s">
        <v>132</v>
      </c>
      <c r="H49" s="13">
        <v>4.12</v>
      </c>
      <c r="I49" s="13">
        <v>0</v>
      </c>
      <c r="J49" s="13">
        <v>0</v>
      </c>
      <c r="K49" s="13">
        <v>0</v>
      </c>
      <c r="L49" s="13">
        <v>0</v>
      </c>
      <c r="M49" s="13">
        <v>0</v>
      </c>
      <c r="N49" s="13">
        <v>0</v>
      </c>
      <c r="O49" s="13">
        <v>0</v>
      </c>
      <c r="P49" s="13">
        <v>0</v>
      </c>
      <c r="Q49" s="13">
        <v>4.12</v>
      </c>
      <c r="R49" s="78">
        <f>IFERROR(INDEX(ListOFErrors!A:K,MATCH(ERRORI__3[[#This Row],[Value.typologyOfErrorId]],ListOFErrors!A:A,0),11),0)</f>
        <v>2</v>
      </c>
    </row>
    <row r="50" spans="1:18" hidden="1" x14ac:dyDescent="0.25">
      <c r="A50" s="1" t="s">
        <v>365</v>
      </c>
      <c r="B50" s="1" t="s">
        <v>367</v>
      </c>
      <c r="C50" s="1">
        <v>241</v>
      </c>
      <c r="D50" s="1">
        <v>224</v>
      </c>
      <c r="E50" s="1" t="s">
        <v>16</v>
      </c>
      <c r="F50" s="13"/>
      <c r="G50" s="13"/>
      <c r="H50" s="13"/>
      <c r="I50" s="13"/>
      <c r="J50" s="13"/>
      <c r="K50" s="13"/>
      <c r="L50" s="13"/>
      <c r="M50" s="13"/>
      <c r="N50" s="13"/>
      <c r="O50" s="13"/>
      <c r="P50" s="13">
        <v>1.65</v>
      </c>
      <c r="Q50" s="13">
        <v>1.65</v>
      </c>
      <c r="R50" s="78">
        <f>IFERROR(INDEX(ListOFErrors!A:K,MATCH(ERRORI__3[[#This Row],[Value.typologyOfErrorId]],ListOFErrors!A:A,0),11),0)</f>
        <v>0</v>
      </c>
    </row>
    <row r="51" spans="1:18" hidden="1" x14ac:dyDescent="0.25">
      <c r="A51" s="1" t="s">
        <v>365</v>
      </c>
      <c r="B51" s="1" t="s">
        <v>368</v>
      </c>
      <c r="C51" s="1">
        <v>265</v>
      </c>
      <c r="D51" s="1">
        <v>256</v>
      </c>
      <c r="E51" s="1" t="s">
        <v>16</v>
      </c>
      <c r="F51" s="13"/>
      <c r="G51" s="13"/>
      <c r="H51" s="13"/>
      <c r="I51" s="13"/>
      <c r="J51" s="13"/>
      <c r="K51" s="13"/>
      <c r="L51" s="13"/>
      <c r="M51" s="13"/>
      <c r="N51" s="13"/>
      <c r="O51" s="13"/>
      <c r="P51" s="13">
        <v>0</v>
      </c>
      <c r="Q51" s="13">
        <v>0</v>
      </c>
      <c r="R51" s="78">
        <f>IFERROR(INDEX(ListOFErrors!A:K,MATCH(ERRORI__3[[#This Row],[Value.typologyOfErrorId]],ListOFErrors!A:A,0),11),0)</f>
        <v>0</v>
      </c>
    </row>
    <row r="52" spans="1:18" hidden="1" x14ac:dyDescent="0.25">
      <c r="A52" s="1" t="s">
        <v>365</v>
      </c>
      <c r="B52" s="1" t="s">
        <v>369</v>
      </c>
      <c r="C52" s="1">
        <v>264</v>
      </c>
      <c r="D52" s="1">
        <v>270</v>
      </c>
      <c r="E52" s="1" t="s">
        <v>16</v>
      </c>
      <c r="F52" s="13"/>
      <c r="G52" s="13"/>
      <c r="H52" s="13"/>
      <c r="I52" s="13"/>
      <c r="J52" s="13"/>
      <c r="K52" s="13"/>
      <c r="L52" s="13"/>
      <c r="M52" s="13"/>
      <c r="N52" s="13"/>
      <c r="O52" s="13"/>
      <c r="P52" s="13">
        <v>0</v>
      </c>
      <c r="Q52" s="13">
        <v>0</v>
      </c>
      <c r="R52" s="78">
        <f>IFERROR(INDEX(ListOFErrors!A:K,MATCH(ERRORI__3[[#This Row],[Value.typologyOfErrorId]],ListOFErrors!A:A,0),11),0)</f>
        <v>0</v>
      </c>
    </row>
    <row r="53" spans="1:18" hidden="1" x14ac:dyDescent="0.25">
      <c r="A53" s="1" t="s">
        <v>365</v>
      </c>
      <c r="B53" s="1" t="s">
        <v>370</v>
      </c>
      <c r="C53" s="1">
        <v>249</v>
      </c>
      <c r="D53" s="1">
        <v>299</v>
      </c>
      <c r="E53" s="1" t="s">
        <v>16</v>
      </c>
      <c r="F53" s="13"/>
      <c r="G53" s="13"/>
      <c r="H53" s="13"/>
      <c r="I53" s="13">
        <v>0</v>
      </c>
      <c r="J53" s="13">
        <v>0</v>
      </c>
      <c r="K53" s="13"/>
      <c r="L53" s="13"/>
      <c r="M53" s="13"/>
      <c r="N53" s="13"/>
      <c r="O53" s="13"/>
      <c r="P53" s="13"/>
      <c r="Q53" s="13">
        <v>0</v>
      </c>
      <c r="R53" s="78">
        <f>IFERROR(INDEX(ListOFErrors!A:K,MATCH(ERRORI__3[[#This Row],[Value.typologyOfErrorId]],ListOFErrors!A:A,0),11),0)</f>
        <v>0</v>
      </c>
    </row>
    <row r="54" spans="1:18" hidden="1" x14ac:dyDescent="0.25">
      <c r="A54" s="1" t="s">
        <v>250</v>
      </c>
      <c r="B54" s="1" t="s">
        <v>252</v>
      </c>
      <c r="C54" s="1">
        <v>29</v>
      </c>
      <c r="D54" s="1">
        <v>323</v>
      </c>
      <c r="E54" s="1" t="s">
        <v>16</v>
      </c>
      <c r="F54" s="13"/>
      <c r="G54" s="13"/>
      <c r="H54" s="13"/>
      <c r="I54" s="13">
        <v>0</v>
      </c>
      <c r="J54" s="13">
        <v>0</v>
      </c>
      <c r="K54" s="13"/>
      <c r="L54" s="13"/>
      <c r="M54" s="13"/>
      <c r="N54" s="13"/>
      <c r="O54" s="13"/>
      <c r="P54" s="13"/>
      <c r="Q54" s="13">
        <v>0</v>
      </c>
      <c r="R54" s="78">
        <f>IFERROR(INDEX(ListOFErrors!A:K,MATCH(ERRORI__3[[#This Row],[Value.typologyOfErrorId]],ListOFErrors!A:A,0),11),0)</f>
        <v>0</v>
      </c>
    </row>
    <row r="55" spans="1:18" hidden="1" x14ac:dyDescent="0.25">
      <c r="A55" s="1" t="s">
        <v>250</v>
      </c>
      <c r="B55" s="1" t="s">
        <v>256</v>
      </c>
      <c r="C55" s="1">
        <v>31</v>
      </c>
      <c r="D55" s="1">
        <v>250</v>
      </c>
      <c r="E55" s="1" t="s">
        <v>16</v>
      </c>
      <c r="F55" s="13">
        <v>14</v>
      </c>
      <c r="G55" s="13" t="s">
        <v>78</v>
      </c>
      <c r="H55" s="13">
        <v>6973.16</v>
      </c>
      <c r="I55" s="13">
        <v>0</v>
      </c>
      <c r="J55" s="13">
        <v>0</v>
      </c>
      <c r="K55" s="13">
        <v>0</v>
      </c>
      <c r="L55" s="13">
        <v>0</v>
      </c>
      <c r="M55" s="13">
        <v>0</v>
      </c>
      <c r="N55" s="13">
        <v>0</v>
      </c>
      <c r="O55" s="13">
        <v>0</v>
      </c>
      <c r="P55" s="13">
        <v>0</v>
      </c>
      <c r="Q55" s="13">
        <v>6973.16</v>
      </c>
      <c r="R55" s="78">
        <f>IFERROR(INDEX(ListOFErrors!A:K,MATCH(ERRORI__3[[#This Row],[Value.typologyOfErrorId]],ListOFErrors!A:A,0),11),0)</f>
        <v>8</v>
      </c>
    </row>
    <row r="56" spans="1:18" hidden="1" x14ac:dyDescent="0.25">
      <c r="A56" s="1" t="s">
        <v>250</v>
      </c>
      <c r="B56" s="1" t="s">
        <v>256</v>
      </c>
      <c r="C56" s="1">
        <v>31</v>
      </c>
      <c r="D56" s="1">
        <v>250</v>
      </c>
      <c r="E56" s="1" t="s">
        <v>16</v>
      </c>
      <c r="F56" s="13"/>
      <c r="G56" s="13"/>
      <c r="H56" s="13"/>
      <c r="I56" s="13">
        <v>1045.97</v>
      </c>
      <c r="J56" s="13">
        <v>278.93</v>
      </c>
      <c r="K56" s="13"/>
      <c r="L56" s="13"/>
      <c r="M56" s="13"/>
      <c r="N56" s="13"/>
      <c r="O56" s="13"/>
      <c r="P56" s="13"/>
      <c r="Q56" s="13">
        <v>1324.9</v>
      </c>
      <c r="R56" s="78">
        <f>IFERROR(INDEX(ListOFErrors!A:K,MATCH(ERRORI__3[[#This Row],[Value.typologyOfErrorId]],ListOFErrors!A:A,0),11),0)</f>
        <v>0</v>
      </c>
    </row>
    <row r="57" spans="1:18" hidden="1" x14ac:dyDescent="0.25">
      <c r="A57" s="1" t="s">
        <v>250</v>
      </c>
      <c r="B57" s="1" t="s">
        <v>259</v>
      </c>
      <c r="C57" s="1">
        <v>33</v>
      </c>
      <c r="D57" s="1">
        <v>320</v>
      </c>
      <c r="E57" s="1" t="s">
        <v>16</v>
      </c>
      <c r="F57" s="13"/>
      <c r="G57" s="13"/>
      <c r="H57" s="13"/>
      <c r="I57" s="13">
        <v>0</v>
      </c>
      <c r="J57" s="13">
        <v>0</v>
      </c>
      <c r="K57" s="13"/>
      <c r="L57" s="13"/>
      <c r="M57" s="13"/>
      <c r="N57" s="13"/>
      <c r="O57" s="13"/>
      <c r="P57" s="13"/>
      <c r="Q57" s="13">
        <v>0</v>
      </c>
      <c r="R57" s="78">
        <f>IFERROR(INDEX(ListOFErrors!A:K,MATCH(ERRORI__3[[#This Row],[Value.typologyOfErrorId]],ListOFErrors!A:A,0),11),0)</f>
        <v>0</v>
      </c>
    </row>
    <row r="58" spans="1:18" hidden="1" x14ac:dyDescent="0.25">
      <c r="A58" s="1" t="s">
        <v>250</v>
      </c>
      <c r="B58" s="1" t="s">
        <v>263</v>
      </c>
      <c r="C58" s="1">
        <v>28</v>
      </c>
      <c r="D58" s="1">
        <v>280</v>
      </c>
      <c r="E58" s="1" t="s">
        <v>16</v>
      </c>
      <c r="F58" s="13"/>
      <c r="G58" s="13"/>
      <c r="H58" s="13"/>
      <c r="I58" s="13">
        <v>0</v>
      </c>
      <c r="J58" s="13">
        <v>0</v>
      </c>
      <c r="K58" s="13"/>
      <c r="L58" s="13"/>
      <c r="M58" s="13"/>
      <c r="N58" s="13"/>
      <c r="O58" s="13"/>
      <c r="P58" s="13"/>
      <c r="Q58" s="13">
        <v>0</v>
      </c>
      <c r="R58" s="78">
        <f>IFERROR(INDEX(ListOFErrors!A:K,MATCH(ERRORI__3[[#This Row],[Value.typologyOfErrorId]],ListOFErrors!A:A,0),11),0)</f>
        <v>0</v>
      </c>
    </row>
    <row r="59" spans="1:18" hidden="1" x14ac:dyDescent="0.25">
      <c r="A59" s="1" t="s">
        <v>283</v>
      </c>
      <c r="B59" s="1" t="s">
        <v>284</v>
      </c>
      <c r="C59" s="1">
        <v>167</v>
      </c>
      <c r="D59" s="1">
        <v>327</v>
      </c>
      <c r="E59" s="1" t="s">
        <v>16</v>
      </c>
      <c r="F59" s="13"/>
      <c r="G59" s="13"/>
      <c r="H59" s="13">
        <v>0</v>
      </c>
      <c r="I59" s="13">
        <v>0</v>
      </c>
      <c r="J59" s="13">
        <v>0</v>
      </c>
      <c r="K59" s="13"/>
      <c r="L59" s="13"/>
      <c r="M59" s="13"/>
      <c r="N59" s="13"/>
      <c r="O59" s="13"/>
      <c r="P59" s="13"/>
      <c r="Q59" s="13">
        <v>0</v>
      </c>
      <c r="R59" s="78">
        <f>IFERROR(INDEX(ListOFErrors!A:K,MATCH(ERRORI__3[[#This Row],[Value.typologyOfErrorId]],ListOFErrors!A:A,0),11),0)</f>
        <v>0</v>
      </c>
    </row>
    <row r="60" spans="1:18" hidden="1" x14ac:dyDescent="0.25">
      <c r="A60" s="1" t="s">
        <v>283</v>
      </c>
      <c r="B60" s="1" t="s">
        <v>285</v>
      </c>
      <c r="C60" s="1">
        <v>197</v>
      </c>
      <c r="D60" s="1">
        <v>219</v>
      </c>
      <c r="E60" s="1" t="s">
        <v>16</v>
      </c>
      <c r="F60" s="13"/>
      <c r="G60" s="13"/>
      <c r="H60" s="13"/>
      <c r="I60" s="13">
        <v>0</v>
      </c>
      <c r="J60" s="13">
        <v>0</v>
      </c>
      <c r="K60" s="13"/>
      <c r="L60" s="13"/>
      <c r="M60" s="13"/>
      <c r="N60" s="13"/>
      <c r="O60" s="13"/>
      <c r="P60" s="13"/>
      <c r="Q60" s="13">
        <v>0</v>
      </c>
      <c r="R60" s="78">
        <f>IFERROR(INDEX(ListOFErrors!A:K,MATCH(ERRORI__3[[#This Row],[Value.typologyOfErrorId]],ListOFErrors!A:A,0),11),0)</f>
        <v>0</v>
      </c>
    </row>
    <row r="61" spans="1:18" hidden="1" x14ac:dyDescent="0.25">
      <c r="A61" s="1" t="s">
        <v>283</v>
      </c>
      <c r="B61" s="1" t="s">
        <v>286</v>
      </c>
      <c r="C61" s="1">
        <v>198</v>
      </c>
      <c r="D61" s="1">
        <v>149</v>
      </c>
      <c r="E61" s="1" t="s">
        <v>16</v>
      </c>
      <c r="F61" s="13"/>
      <c r="G61" s="13"/>
      <c r="H61" s="13"/>
      <c r="I61" s="13"/>
      <c r="J61" s="13"/>
      <c r="K61" s="13"/>
      <c r="L61" s="13"/>
      <c r="M61" s="13"/>
      <c r="N61" s="13"/>
      <c r="O61" s="13"/>
      <c r="P61" s="13">
        <v>0</v>
      </c>
      <c r="Q61" s="13">
        <v>0</v>
      </c>
      <c r="R61" s="78">
        <f>IFERROR(INDEX(ListOFErrors!A:K,MATCH(ERRORI__3[[#This Row],[Value.typologyOfErrorId]],ListOFErrors!A:A,0),11),0)</f>
        <v>0</v>
      </c>
    </row>
    <row r="62" spans="1:18" hidden="1" x14ac:dyDescent="0.25">
      <c r="A62" s="1" t="s">
        <v>283</v>
      </c>
      <c r="B62" s="1" t="s">
        <v>287</v>
      </c>
      <c r="C62" s="1">
        <v>199</v>
      </c>
      <c r="D62" s="1">
        <v>286</v>
      </c>
      <c r="E62" s="1" t="s">
        <v>16</v>
      </c>
      <c r="F62" s="13">
        <v>14</v>
      </c>
      <c r="G62" s="13" t="s">
        <v>78</v>
      </c>
      <c r="H62" s="13">
        <v>159.44999999999999</v>
      </c>
      <c r="I62" s="13">
        <v>0</v>
      </c>
      <c r="J62" s="13">
        <v>0</v>
      </c>
      <c r="K62" s="13">
        <v>0</v>
      </c>
      <c r="L62" s="13">
        <v>0</v>
      </c>
      <c r="M62" s="13">
        <v>0</v>
      </c>
      <c r="N62" s="13">
        <v>0</v>
      </c>
      <c r="O62" s="13">
        <v>0</v>
      </c>
      <c r="P62" s="13">
        <v>0</v>
      </c>
      <c r="Q62" s="13">
        <v>159.44999999999999</v>
      </c>
      <c r="R62" s="78">
        <f>IFERROR(INDEX(ListOFErrors!A:K,MATCH(ERRORI__3[[#This Row],[Value.typologyOfErrorId]],ListOFErrors!A:A,0),11),0)</f>
        <v>8</v>
      </c>
    </row>
    <row r="63" spans="1:18" hidden="1" x14ac:dyDescent="0.25">
      <c r="A63" s="1" t="s">
        <v>283</v>
      </c>
      <c r="B63" s="1" t="s">
        <v>287</v>
      </c>
      <c r="C63" s="1">
        <v>199</v>
      </c>
      <c r="D63" s="1">
        <v>286</v>
      </c>
      <c r="E63" s="1" t="s">
        <v>16</v>
      </c>
      <c r="F63" s="13"/>
      <c r="G63" s="13"/>
      <c r="H63" s="13"/>
      <c r="I63" s="13"/>
      <c r="J63" s="13"/>
      <c r="K63" s="13"/>
      <c r="L63" s="13"/>
      <c r="M63" s="13"/>
      <c r="N63" s="13"/>
      <c r="O63" s="13"/>
      <c r="P63" s="13">
        <v>63.78</v>
      </c>
      <c r="Q63" s="13">
        <v>63.78</v>
      </c>
      <c r="R63" s="78">
        <f>IFERROR(INDEX(ListOFErrors!A:K,MATCH(ERRORI__3[[#This Row],[Value.typologyOfErrorId]],ListOFErrors!A:A,0),11),0)</f>
        <v>0</v>
      </c>
    </row>
    <row r="64" spans="1:18" hidden="1" x14ac:dyDescent="0.25">
      <c r="A64" s="1" t="s">
        <v>304</v>
      </c>
      <c r="B64" s="1" t="s">
        <v>0</v>
      </c>
      <c r="C64" s="1">
        <v>174</v>
      </c>
      <c r="D64" s="1">
        <v>268</v>
      </c>
      <c r="E64" s="1" t="s">
        <v>16</v>
      </c>
      <c r="F64" s="13">
        <v>13</v>
      </c>
      <c r="G64" s="13" t="s">
        <v>80</v>
      </c>
      <c r="H64" s="13">
        <v>190</v>
      </c>
      <c r="I64" s="13">
        <v>0</v>
      </c>
      <c r="J64" s="13">
        <v>0</v>
      </c>
      <c r="K64" s="13">
        <v>0</v>
      </c>
      <c r="L64" s="13">
        <v>0</v>
      </c>
      <c r="M64" s="13">
        <v>0</v>
      </c>
      <c r="N64" s="13">
        <v>0</v>
      </c>
      <c r="O64" s="13">
        <v>0</v>
      </c>
      <c r="P64" s="13">
        <v>0</v>
      </c>
      <c r="Q64" s="13">
        <v>190</v>
      </c>
      <c r="R64" s="78">
        <f>IFERROR(INDEX(ListOFErrors!A:K,MATCH(ERRORI__3[[#This Row],[Value.typologyOfErrorId]],ListOFErrors!A:A,0),11),0)</f>
        <v>6</v>
      </c>
    </row>
    <row r="65" spans="1:18" hidden="1" x14ac:dyDescent="0.25">
      <c r="A65" s="1" t="s">
        <v>304</v>
      </c>
      <c r="B65" s="1" t="s">
        <v>0</v>
      </c>
      <c r="C65" s="1">
        <v>174</v>
      </c>
      <c r="D65" s="1">
        <v>268</v>
      </c>
      <c r="E65" s="1" t="s">
        <v>16</v>
      </c>
      <c r="F65" s="13"/>
      <c r="G65" s="13"/>
      <c r="H65" s="13"/>
      <c r="I65" s="13"/>
      <c r="J65" s="13"/>
      <c r="K65" s="13"/>
      <c r="L65" s="13"/>
      <c r="M65" s="13"/>
      <c r="N65" s="13"/>
      <c r="O65" s="13"/>
      <c r="P65" s="13">
        <v>76</v>
      </c>
      <c r="Q65" s="13">
        <v>76</v>
      </c>
      <c r="R65" s="78">
        <f>IFERROR(INDEX(ListOFErrors!A:K,MATCH(ERRORI__3[[#This Row],[Value.typologyOfErrorId]],ListOFErrors!A:A,0),11),0)</f>
        <v>0</v>
      </c>
    </row>
    <row r="66" spans="1:18" hidden="1" x14ac:dyDescent="0.25">
      <c r="A66" s="1" t="s">
        <v>304</v>
      </c>
      <c r="B66" s="1" t="s">
        <v>305</v>
      </c>
      <c r="C66" s="1">
        <v>101</v>
      </c>
      <c r="D66" s="1">
        <v>124</v>
      </c>
      <c r="E66" s="1" t="s">
        <v>16</v>
      </c>
      <c r="F66" s="13"/>
      <c r="G66" s="13"/>
      <c r="H66" s="13">
        <v>0</v>
      </c>
      <c r="I66" s="13">
        <v>0</v>
      </c>
      <c r="J66" s="13">
        <v>0</v>
      </c>
      <c r="K66" s="13"/>
      <c r="L66" s="13"/>
      <c r="M66" s="13"/>
      <c r="N66" s="13"/>
      <c r="O66" s="13"/>
      <c r="P66" s="13"/>
      <c r="Q66" s="13">
        <v>0</v>
      </c>
      <c r="R66" s="78">
        <f>IFERROR(INDEX(ListOFErrors!A:K,MATCH(ERRORI__3[[#This Row],[Value.typologyOfErrorId]],ListOFErrors!A:A,0),11),0)</f>
        <v>0</v>
      </c>
    </row>
    <row r="67" spans="1:18" hidden="1" x14ac:dyDescent="0.25">
      <c r="A67" s="1" t="s">
        <v>304</v>
      </c>
      <c r="B67" s="1" t="s">
        <v>306</v>
      </c>
      <c r="C67" s="1">
        <v>105</v>
      </c>
      <c r="D67" s="1">
        <v>330</v>
      </c>
      <c r="E67" s="1" t="s">
        <v>16</v>
      </c>
      <c r="F67" s="13"/>
      <c r="G67" s="13"/>
      <c r="H67" s="13"/>
      <c r="I67" s="13">
        <v>0</v>
      </c>
      <c r="J67" s="13">
        <v>0</v>
      </c>
      <c r="K67" s="13"/>
      <c r="L67" s="13"/>
      <c r="M67" s="13"/>
      <c r="N67" s="13"/>
      <c r="O67" s="13"/>
      <c r="P67" s="13"/>
      <c r="Q67" s="13">
        <v>0</v>
      </c>
      <c r="R67" s="78">
        <f>IFERROR(INDEX(ListOFErrors!A:K,MATCH(ERRORI__3[[#This Row],[Value.typologyOfErrorId]],ListOFErrors!A:A,0),11),0)</f>
        <v>0</v>
      </c>
    </row>
    <row r="68" spans="1:18" hidden="1" x14ac:dyDescent="0.25">
      <c r="A68" s="1" t="s">
        <v>304</v>
      </c>
      <c r="B68" s="1" t="s">
        <v>307</v>
      </c>
      <c r="C68" s="1">
        <v>171</v>
      </c>
      <c r="D68" s="1">
        <v>273</v>
      </c>
      <c r="E68" s="1" t="s">
        <v>16</v>
      </c>
      <c r="F68" s="13"/>
      <c r="G68" s="13"/>
      <c r="H68" s="13"/>
      <c r="I68" s="13"/>
      <c r="J68" s="13"/>
      <c r="K68" s="13"/>
      <c r="L68" s="13"/>
      <c r="M68" s="13"/>
      <c r="N68" s="13"/>
      <c r="O68" s="13"/>
      <c r="P68" s="13">
        <v>0</v>
      </c>
      <c r="Q68" s="13">
        <v>0</v>
      </c>
      <c r="R68" s="78">
        <f>IFERROR(INDEX(ListOFErrors!A:K,MATCH(ERRORI__3[[#This Row],[Value.typologyOfErrorId]],ListOFErrors!A:A,0),11),0)</f>
        <v>0</v>
      </c>
    </row>
    <row r="69" spans="1:18" hidden="1" x14ac:dyDescent="0.25">
      <c r="A69" s="1" t="s">
        <v>304</v>
      </c>
      <c r="B69" s="1" t="s">
        <v>308</v>
      </c>
      <c r="C69" s="1">
        <v>114</v>
      </c>
      <c r="D69" s="1">
        <v>194</v>
      </c>
      <c r="E69" s="1" t="s">
        <v>16</v>
      </c>
      <c r="F69" s="13"/>
      <c r="G69" s="13"/>
      <c r="H69" s="13">
        <v>0</v>
      </c>
      <c r="I69" s="13">
        <v>0</v>
      </c>
      <c r="J69" s="13">
        <v>0</v>
      </c>
      <c r="K69" s="13"/>
      <c r="L69" s="13"/>
      <c r="M69" s="13"/>
      <c r="N69" s="13"/>
      <c r="O69" s="13"/>
      <c r="P69" s="13"/>
      <c r="Q69" s="13">
        <v>0</v>
      </c>
      <c r="R69" s="78">
        <f>IFERROR(INDEX(ListOFErrors!A:K,MATCH(ERRORI__3[[#This Row],[Value.typologyOfErrorId]],ListOFErrors!A:A,0),11),0)</f>
        <v>0</v>
      </c>
    </row>
    <row r="70" spans="1:18" hidden="1" x14ac:dyDescent="0.25">
      <c r="A70" s="1" t="s">
        <v>304</v>
      </c>
      <c r="B70" s="1" t="s">
        <v>309</v>
      </c>
      <c r="C70" s="1">
        <v>103</v>
      </c>
      <c r="D70" s="1">
        <v>231</v>
      </c>
      <c r="E70" s="1" t="s">
        <v>16</v>
      </c>
      <c r="F70" s="13">
        <v>8</v>
      </c>
      <c r="G70" s="13" t="s">
        <v>76</v>
      </c>
      <c r="H70" s="13">
        <v>806.03</v>
      </c>
      <c r="I70" s="13">
        <v>0</v>
      </c>
      <c r="J70" s="13">
        <v>0</v>
      </c>
      <c r="K70" s="13">
        <v>0</v>
      </c>
      <c r="L70" s="13">
        <v>0</v>
      </c>
      <c r="M70" s="13">
        <v>0</v>
      </c>
      <c r="N70" s="13">
        <v>0</v>
      </c>
      <c r="O70" s="13">
        <v>0</v>
      </c>
      <c r="P70" s="13">
        <v>0</v>
      </c>
      <c r="Q70" s="13">
        <v>806.03</v>
      </c>
      <c r="R70" s="78">
        <f>IFERROR(INDEX(ListOFErrors!A:K,MATCH(ERRORI__3[[#This Row],[Value.typologyOfErrorId]],ListOFErrors!A:A,0),11),0)</f>
        <v>8</v>
      </c>
    </row>
    <row r="71" spans="1:18" hidden="1" x14ac:dyDescent="0.25">
      <c r="A71" s="1" t="s">
        <v>304</v>
      </c>
      <c r="B71" s="1" t="s">
        <v>309</v>
      </c>
      <c r="C71" s="1">
        <v>103</v>
      </c>
      <c r="D71" s="1">
        <v>231</v>
      </c>
      <c r="E71" s="1" t="s">
        <v>16</v>
      </c>
      <c r="F71" s="13"/>
      <c r="G71" s="13"/>
      <c r="H71" s="13"/>
      <c r="I71" s="13"/>
      <c r="J71" s="13"/>
      <c r="K71" s="13"/>
      <c r="L71" s="13"/>
      <c r="M71" s="13"/>
      <c r="N71" s="13"/>
      <c r="O71" s="13"/>
      <c r="P71" s="13">
        <v>322.42</v>
      </c>
      <c r="Q71" s="13">
        <v>322.42</v>
      </c>
      <c r="R71" s="78">
        <f>IFERROR(INDEX(ListOFErrors!A:K,MATCH(ERRORI__3[[#This Row],[Value.typologyOfErrorId]],ListOFErrors!A:A,0),11),0)</f>
        <v>0</v>
      </c>
    </row>
    <row r="72" spans="1:18" hidden="1" x14ac:dyDescent="0.25">
      <c r="A72" s="1" t="s">
        <v>346</v>
      </c>
      <c r="B72" s="1" t="s">
        <v>347</v>
      </c>
      <c r="C72" s="1">
        <v>293</v>
      </c>
      <c r="D72" s="1">
        <v>296</v>
      </c>
      <c r="E72" s="1" t="s">
        <v>16</v>
      </c>
      <c r="F72" s="13"/>
      <c r="G72" s="13"/>
      <c r="H72" s="13">
        <v>0</v>
      </c>
      <c r="I72" s="13">
        <v>0</v>
      </c>
      <c r="J72" s="13">
        <v>0</v>
      </c>
      <c r="K72" s="13"/>
      <c r="L72" s="13"/>
      <c r="M72" s="13"/>
      <c r="N72" s="13"/>
      <c r="O72" s="13"/>
      <c r="P72" s="13"/>
      <c r="Q72" s="13">
        <v>0</v>
      </c>
      <c r="R72" s="78">
        <f>IFERROR(INDEX(ListOFErrors!A:K,MATCH(ERRORI__3[[#This Row],[Value.typologyOfErrorId]],ListOFErrors!A:A,0),11),0)</f>
        <v>0</v>
      </c>
    </row>
    <row r="73" spans="1:18" hidden="1" x14ac:dyDescent="0.25">
      <c r="A73" s="1" t="s">
        <v>346</v>
      </c>
      <c r="B73" s="1" t="s">
        <v>348</v>
      </c>
      <c r="C73" s="1">
        <v>295</v>
      </c>
      <c r="D73" s="1">
        <v>190</v>
      </c>
      <c r="E73" s="1" t="s">
        <v>16</v>
      </c>
      <c r="F73" s="13">
        <v>7</v>
      </c>
      <c r="G73" s="13" t="s">
        <v>111</v>
      </c>
      <c r="H73" s="13">
        <v>401.12</v>
      </c>
      <c r="I73" s="13">
        <v>0</v>
      </c>
      <c r="J73" s="13">
        <v>0</v>
      </c>
      <c r="K73" s="13">
        <v>0</v>
      </c>
      <c r="L73" s="13">
        <v>0</v>
      </c>
      <c r="M73" s="13">
        <v>0</v>
      </c>
      <c r="N73" s="13">
        <v>0</v>
      </c>
      <c r="O73" s="13">
        <v>0</v>
      </c>
      <c r="P73" s="13">
        <v>0</v>
      </c>
      <c r="Q73" s="13">
        <v>401.12</v>
      </c>
      <c r="R73" s="78">
        <f>IFERROR(INDEX(ListOFErrors!A:K,MATCH(ERRORI__3[[#This Row],[Value.typologyOfErrorId]],ListOFErrors!A:A,0),11),0)</f>
        <v>0</v>
      </c>
    </row>
    <row r="74" spans="1:18" hidden="1" x14ac:dyDescent="0.25">
      <c r="A74" s="1" t="s">
        <v>346</v>
      </c>
      <c r="B74" s="1" t="s">
        <v>348</v>
      </c>
      <c r="C74" s="1">
        <v>295</v>
      </c>
      <c r="D74" s="1">
        <v>190</v>
      </c>
      <c r="E74" s="1" t="s">
        <v>16</v>
      </c>
      <c r="F74" s="13">
        <v>8</v>
      </c>
      <c r="G74" s="13" t="s">
        <v>76</v>
      </c>
      <c r="H74" s="13">
        <v>90.41</v>
      </c>
      <c r="I74" s="13">
        <v>0</v>
      </c>
      <c r="J74" s="13">
        <v>0</v>
      </c>
      <c r="K74" s="13">
        <v>0</v>
      </c>
      <c r="L74" s="13">
        <v>0</v>
      </c>
      <c r="M74" s="13">
        <v>0</v>
      </c>
      <c r="N74" s="13">
        <v>0</v>
      </c>
      <c r="O74" s="13">
        <v>0</v>
      </c>
      <c r="P74" s="13">
        <v>0</v>
      </c>
      <c r="Q74" s="13">
        <v>90.41</v>
      </c>
      <c r="R74" s="78">
        <f>IFERROR(INDEX(ListOFErrors!A:K,MATCH(ERRORI__3[[#This Row],[Value.typologyOfErrorId]],ListOFErrors!A:A,0),11),0)</f>
        <v>8</v>
      </c>
    </row>
    <row r="75" spans="1:18" hidden="1" x14ac:dyDescent="0.25">
      <c r="A75" s="1" t="s">
        <v>346</v>
      </c>
      <c r="B75" s="1" t="s">
        <v>348</v>
      </c>
      <c r="C75" s="1">
        <v>295</v>
      </c>
      <c r="D75" s="1">
        <v>190</v>
      </c>
      <c r="E75" s="1" t="s">
        <v>16</v>
      </c>
      <c r="F75" s="13">
        <v>14</v>
      </c>
      <c r="G75" s="13" t="s">
        <v>78</v>
      </c>
      <c r="H75" s="13">
        <v>229.94</v>
      </c>
      <c r="I75" s="13">
        <v>0</v>
      </c>
      <c r="J75" s="13">
        <v>0</v>
      </c>
      <c r="K75" s="13">
        <v>0</v>
      </c>
      <c r="L75" s="13">
        <v>0</v>
      </c>
      <c r="M75" s="13">
        <v>0</v>
      </c>
      <c r="N75" s="13">
        <v>0</v>
      </c>
      <c r="O75" s="13">
        <v>0</v>
      </c>
      <c r="P75" s="13">
        <v>0</v>
      </c>
      <c r="Q75" s="13">
        <v>229.94</v>
      </c>
      <c r="R75" s="78">
        <f>IFERROR(INDEX(ListOFErrors!A:K,MATCH(ERRORI__3[[#This Row],[Value.typologyOfErrorId]],ListOFErrors!A:A,0),11),0)</f>
        <v>8</v>
      </c>
    </row>
    <row r="76" spans="1:18" hidden="1" x14ac:dyDescent="0.25">
      <c r="A76" s="1" t="s">
        <v>346</v>
      </c>
      <c r="B76" s="1" t="s">
        <v>348</v>
      </c>
      <c r="C76" s="1">
        <v>295</v>
      </c>
      <c r="D76" s="1">
        <v>190</v>
      </c>
      <c r="E76" s="1" t="s">
        <v>16</v>
      </c>
      <c r="F76" s="13"/>
      <c r="G76" s="13"/>
      <c r="H76" s="13"/>
      <c r="I76" s="13">
        <v>108.23</v>
      </c>
      <c r="J76" s="13">
        <v>28.86</v>
      </c>
      <c r="K76" s="13"/>
      <c r="L76" s="13"/>
      <c r="M76" s="13"/>
      <c r="N76" s="13"/>
      <c r="O76" s="13"/>
      <c r="P76" s="13"/>
      <c r="Q76" s="13">
        <v>137.09</v>
      </c>
      <c r="R76" s="78">
        <f>IFERROR(INDEX(ListOFErrors!A:K,MATCH(ERRORI__3[[#This Row],[Value.typologyOfErrorId]],ListOFErrors!A:A,0),11),0)</f>
        <v>0</v>
      </c>
    </row>
    <row r="77" spans="1:18" hidden="1" x14ac:dyDescent="0.25">
      <c r="A77" s="1" t="s">
        <v>346</v>
      </c>
      <c r="B77" s="1" t="s">
        <v>285</v>
      </c>
      <c r="C77" s="1">
        <v>257</v>
      </c>
      <c r="D77" s="1">
        <v>197</v>
      </c>
      <c r="E77" s="1" t="s">
        <v>16</v>
      </c>
      <c r="F77" s="13"/>
      <c r="G77" s="13"/>
      <c r="H77" s="13"/>
      <c r="I77" s="13">
        <v>0</v>
      </c>
      <c r="J77" s="13">
        <v>0</v>
      </c>
      <c r="K77" s="13"/>
      <c r="L77" s="13"/>
      <c r="M77" s="13"/>
      <c r="N77" s="13"/>
      <c r="O77" s="13"/>
      <c r="P77" s="13"/>
      <c r="Q77" s="13">
        <v>0</v>
      </c>
      <c r="R77" s="78">
        <f>IFERROR(INDEX(ListOFErrors!A:K,MATCH(ERRORI__3[[#This Row],[Value.typologyOfErrorId]],ListOFErrors!A:A,0),11),0)</f>
        <v>0</v>
      </c>
    </row>
    <row r="78" spans="1:18" hidden="1" x14ac:dyDescent="0.25">
      <c r="A78" s="1" t="s">
        <v>346</v>
      </c>
      <c r="B78" s="1" t="s">
        <v>349</v>
      </c>
      <c r="C78" s="1">
        <v>294</v>
      </c>
      <c r="D78" s="1">
        <v>312</v>
      </c>
      <c r="E78" s="1" t="s">
        <v>16</v>
      </c>
      <c r="F78" s="13"/>
      <c r="G78" s="13"/>
      <c r="H78" s="13"/>
      <c r="I78" s="13">
        <v>0</v>
      </c>
      <c r="J78" s="13">
        <v>0</v>
      </c>
      <c r="K78" s="13"/>
      <c r="L78" s="13"/>
      <c r="M78" s="13"/>
      <c r="N78" s="13"/>
      <c r="O78" s="13"/>
      <c r="P78" s="13"/>
      <c r="Q78" s="13">
        <v>0</v>
      </c>
      <c r="R78" s="78">
        <f>IFERROR(INDEX(ListOFErrors!A:K,MATCH(ERRORI__3[[#This Row],[Value.typologyOfErrorId]],ListOFErrors!A:A,0),11),0)</f>
        <v>0</v>
      </c>
    </row>
    <row r="79" spans="1:18" hidden="1" x14ac:dyDescent="0.25">
      <c r="A79" s="1" t="s">
        <v>296</v>
      </c>
      <c r="B79" s="1" t="s">
        <v>297</v>
      </c>
      <c r="C79" s="1">
        <v>193</v>
      </c>
      <c r="D79" s="1">
        <v>240</v>
      </c>
      <c r="E79" s="1" t="s">
        <v>16</v>
      </c>
      <c r="F79" s="13"/>
      <c r="G79" s="13"/>
      <c r="H79" s="13">
        <v>0</v>
      </c>
      <c r="I79" s="13">
        <v>0</v>
      </c>
      <c r="J79" s="13">
        <v>0</v>
      </c>
      <c r="K79" s="13"/>
      <c r="L79" s="13"/>
      <c r="M79" s="13"/>
      <c r="N79" s="13"/>
      <c r="O79" s="13"/>
      <c r="P79" s="13"/>
      <c r="Q79" s="13">
        <v>0</v>
      </c>
      <c r="R79" s="78">
        <f>IFERROR(INDEX(ListOFErrors!A:K,MATCH(ERRORI__3[[#This Row],[Value.typologyOfErrorId]],ListOFErrors!A:A,0),11),0)</f>
        <v>0</v>
      </c>
    </row>
    <row r="80" spans="1:18" hidden="1" x14ac:dyDescent="0.25">
      <c r="A80" s="1" t="s">
        <v>296</v>
      </c>
      <c r="B80" s="1" t="s">
        <v>0</v>
      </c>
      <c r="C80" s="1">
        <v>195</v>
      </c>
      <c r="D80" s="1">
        <v>298</v>
      </c>
      <c r="E80" s="1" t="s">
        <v>16</v>
      </c>
      <c r="F80" s="13"/>
      <c r="G80" s="13"/>
      <c r="H80" s="13"/>
      <c r="I80" s="13">
        <v>0</v>
      </c>
      <c r="J80" s="13">
        <v>0</v>
      </c>
      <c r="K80" s="13"/>
      <c r="L80" s="13"/>
      <c r="M80" s="13"/>
      <c r="N80" s="13"/>
      <c r="O80" s="13"/>
      <c r="P80" s="13"/>
      <c r="Q80" s="13">
        <v>0</v>
      </c>
      <c r="R80" s="78">
        <f>IFERROR(INDEX(ListOFErrors!A:K,MATCH(ERRORI__3[[#This Row],[Value.typologyOfErrorId]],ListOFErrors!A:A,0),11),0)</f>
        <v>0</v>
      </c>
    </row>
    <row r="81" spans="1:18" hidden="1" x14ac:dyDescent="0.25">
      <c r="A81" s="1" t="s">
        <v>296</v>
      </c>
      <c r="B81" s="1" t="s">
        <v>298</v>
      </c>
      <c r="C81" s="1">
        <v>196</v>
      </c>
      <c r="D81" s="1">
        <v>336</v>
      </c>
      <c r="E81" s="1" t="s">
        <v>16</v>
      </c>
      <c r="F81" s="13"/>
      <c r="G81" s="13"/>
      <c r="H81" s="13"/>
      <c r="I81" s="13">
        <v>0</v>
      </c>
      <c r="J81" s="13">
        <v>0</v>
      </c>
      <c r="K81" s="13"/>
      <c r="L81" s="13"/>
      <c r="M81" s="13"/>
      <c r="N81" s="13"/>
      <c r="O81" s="13"/>
      <c r="P81" s="13"/>
      <c r="Q81" s="13">
        <v>0</v>
      </c>
      <c r="R81" s="78">
        <f>IFERROR(INDEX(ListOFErrors!A:K,MATCH(ERRORI__3[[#This Row],[Value.typologyOfErrorId]],ListOFErrors!A:A,0),11),0)</f>
        <v>0</v>
      </c>
    </row>
    <row r="82" spans="1:18" hidden="1" x14ac:dyDescent="0.25">
      <c r="A82" s="1" t="s">
        <v>296</v>
      </c>
      <c r="B82" s="1" t="s">
        <v>275</v>
      </c>
      <c r="C82" s="1">
        <v>52</v>
      </c>
      <c r="D82" s="1">
        <v>262</v>
      </c>
      <c r="E82" s="1" t="s">
        <v>16</v>
      </c>
      <c r="F82" s="13"/>
      <c r="G82" s="13"/>
      <c r="H82" s="13">
        <v>0</v>
      </c>
      <c r="I82" s="13">
        <v>0</v>
      </c>
      <c r="J82" s="13">
        <v>0</v>
      </c>
      <c r="K82" s="13"/>
      <c r="L82" s="13"/>
      <c r="M82" s="13"/>
      <c r="N82" s="13"/>
      <c r="O82" s="13"/>
      <c r="P82" s="13"/>
      <c r="Q82" s="13">
        <v>0</v>
      </c>
      <c r="R82" s="78">
        <f>IFERROR(INDEX(ListOFErrors!A:K,MATCH(ERRORI__3[[#This Row],[Value.typologyOfErrorId]],ListOFErrors!A:A,0),11),0)</f>
        <v>0</v>
      </c>
    </row>
    <row r="83" spans="1:18" hidden="1" x14ac:dyDescent="0.25">
      <c r="A83" s="1" t="s">
        <v>296</v>
      </c>
      <c r="B83" s="1" t="s">
        <v>299</v>
      </c>
      <c r="C83" s="1">
        <v>192</v>
      </c>
      <c r="D83" s="1">
        <v>342</v>
      </c>
      <c r="E83" s="1" t="s">
        <v>16</v>
      </c>
      <c r="F83" s="13"/>
      <c r="G83" s="13"/>
      <c r="H83" s="13"/>
      <c r="I83" s="13"/>
      <c r="J83" s="13"/>
      <c r="K83" s="13"/>
      <c r="L83" s="13"/>
      <c r="M83" s="13"/>
      <c r="N83" s="13"/>
      <c r="O83" s="13"/>
      <c r="P83" s="13"/>
      <c r="Q83" s="13">
        <v>0</v>
      </c>
      <c r="R83" s="78">
        <f>IFERROR(INDEX(ListOFErrors!A:K,MATCH(ERRORI__3[[#This Row],[Value.typologyOfErrorId]],ListOFErrors!A:A,0),11),0)</f>
        <v>0</v>
      </c>
    </row>
    <row r="84" spans="1:18" hidden="1" x14ac:dyDescent="0.25">
      <c r="A84" s="1" t="s">
        <v>296</v>
      </c>
      <c r="B84" s="1" t="s">
        <v>300</v>
      </c>
      <c r="C84" s="1">
        <v>191</v>
      </c>
      <c r="D84" s="1">
        <v>196</v>
      </c>
      <c r="E84" s="1" t="s">
        <v>16</v>
      </c>
      <c r="F84" s="13"/>
      <c r="G84" s="13"/>
      <c r="H84" s="13"/>
      <c r="I84" s="13">
        <v>0</v>
      </c>
      <c r="J84" s="13">
        <v>0</v>
      </c>
      <c r="K84" s="13"/>
      <c r="L84" s="13"/>
      <c r="M84" s="13"/>
      <c r="N84" s="13"/>
      <c r="O84" s="13"/>
      <c r="P84" s="13"/>
      <c r="Q84" s="13">
        <v>0</v>
      </c>
      <c r="R84" s="78">
        <f>IFERROR(INDEX(ListOFErrors!A:K,MATCH(ERRORI__3[[#This Row],[Value.typologyOfErrorId]],ListOFErrors!A:A,0),11),0)</f>
        <v>0</v>
      </c>
    </row>
    <row r="85" spans="1:18" hidden="1" x14ac:dyDescent="0.25">
      <c r="A85" s="1" t="s">
        <v>61</v>
      </c>
      <c r="B85" s="1" t="s">
        <v>293</v>
      </c>
      <c r="C85" s="1">
        <v>112</v>
      </c>
      <c r="D85" s="1">
        <v>171</v>
      </c>
      <c r="E85" s="1" t="s">
        <v>16</v>
      </c>
      <c r="F85" s="13"/>
      <c r="G85" s="13"/>
      <c r="H85" s="13"/>
      <c r="I85" s="13"/>
      <c r="J85" s="13"/>
      <c r="K85" s="13"/>
      <c r="L85" s="13"/>
      <c r="M85" s="13"/>
      <c r="N85" s="13"/>
      <c r="O85" s="13"/>
      <c r="P85" s="13">
        <v>0</v>
      </c>
      <c r="Q85" s="13">
        <v>0</v>
      </c>
      <c r="R85" s="78">
        <f>IFERROR(INDEX(ListOFErrors!A:K,MATCH(ERRORI__3[[#This Row],[Value.typologyOfErrorId]],ListOFErrors!A:A,0),11),0)</f>
        <v>0</v>
      </c>
    </row>
    <row r="86" spans="1:18" hidden="1" x14ac:dyDescent="0.25">
      <c r="A86" s="1" t="s">
        <v>61</v>
      </c>
      <c r="B86" s="1" t="s">
        <v>294</v>
      </c>
      <c r="C86" s="1">
        <v>90</v>
      </c>
      <c r="D86" s="1">
        <v>200</v>
      </c>
      <c r="E86" s="1" t="s">
        <v>16</v>
      </c>
      <c r="F86" s="13">
        <v>14</v>
      </c>
      <c r="G86" s="13" t="s">
        <v>78</v>
      </c>
      <c r="H86" s="13">
        <v>2491.3000000000002</v>
      </c>
      <c r="I86" s="13">
        <v>0</v>
      </c>
      <c r="J86" s="13">
        <v>0</v>
      </c>
      <c r="K86" s="13">
        <v>0</v>
      </c>
      <c r="L86" s="13">
        <v>0</v>
      </c>
      <c r="M86" s="13">
        <v>0</v>
      </c>
      <c r="N86" s="13">
        <v>0</v>
      </c>
      <c r="O86" s="13">
        <v>0</v>
      </c>
      <c r="P86" s="13">
        <v>0</v>
      </c>
      <c r="Q86" s="13">
        <v>2491.3000000000002</v>
      </c>
      <c r="R86" s="78">
        <f>IFERROR(INDEX(ListOFErrors!A:K,MATCH(ERRORI__3[[#This Row],[Value.typologyOfErrorId]],ListOFErrors!A:A,0),11),0)</f>
        <v>8</v>
      </c>
    </row>
    <row r="87" spans="1:18" hidden="1" x14ac:dyDescent="0.25">
      <c r="A87" s="1" t="s">
        <v>61</v>
      </c>
      <c r="B87" s="1" t="s">
        <v>294</v>
      </c>
      <c r="C87" s="1">
        <v>90</v>
      </c>
      <c r="D87" s="1">
        <v>200</v>
      </c>
      <c r="E87" s="1" t="s">
        <v>16</v>
      </c>
      <c r="F87" s="13"/>
      <c r="G87" s="13"/>
      <c r="H87" s="13"/>
      <c r="I87" s="13"/>
      <c r="J87" s="13"/>
      <c r="K87" s="13"/>
      <c r="L87" s="13"/>
      <c r="M87" s="13"/>
      <c r="N87" s="13"/>
      <c r="O87" s="13"/>
      <c r="P87" s="13">
        <v>996.52</v>
      </c>
      <c r="Q87" s="13">
        <v>996.52</v>
      </c>
      <c r="R87" s="78">
        <f>IFERROR(INDEX(ListOFErrors!A:K,MATCH(ERRORI__3[[#This Row],[Value.typologyOfErrorId]],ListOFErrors!A:A,0),11),0)</f>
        <v>0</v>
      </c>
    </row>
    <row r="88" spans="1:18" hidden="1" x14ac:dyDescent="0.25">
      <c r="A88" s="1" t="s">
        <v>61</v>
      </c>
      <c r="B88" s="1" t="s">
        <v>286</v>
      </c>
      <c r="C88" s="1">
        <v>111</v>
      </c>
      <c r="D88" s="1">
        <v>160</v>
      </c>
      <c r="E88" s="1" t="s">
        <v>16</v>
      </c>
      <c r="F88" s="13"/>
      <c r="G88" s="13"/>
      <c r="H88" s="13"/>
      <c r="I88" s="13"/>
      <c r="J88" s="13"/>
      <c r="K88" s="13"/>
      <c r="L88" s="13"/>
      <c r="M88" s="13"/>
      <c r="N88" s="13"/>
      <c r="O88" s="13"/>
      <c r="P88" s="13">
        <v>0</v>
      </c>
      <c r="Q88" s="13">
        <v>0</v>
      </c>
      <c r="R88" s="78">
        <f>IFERROR(INDEX(ListOFErrors!A:K,MATCH(ERRORI__3[[#This Row],[Value.typologyOfErrorId]],ListOFErrors!A:A,0),11),0)</f>
        <v>0</v>
      </c>
    </row>
    <row r="89" spans="1:18" hidden="1" x14ac:dyDescent="0.25">
      <c r="A89" s="1" t="s">
        <v>61</v>
      </c>
      <c r="B89" s="1" t="s">
        <v>31</v>
      </c>
      <c r="C89" s="1">
        <v>109</v>
      </c>
      <c r="D89" s="1">
        <v>313</v>
      </c>
      <c r="E89" s="1" t="s">
        <v>16</v>
      </c>
      <c r="F89" s="13"/>
      <c r="G89" s="13"/>
      <c r="H89" s="13"/>
      <c r="I89" s="13"/>
      <c r="J89" s="13"/>
      <c r="K89" s="13"/>
      <c r="L89" s="13"/>
      <c r="M89" s="13"/>
      <c r="N89" s="13"/>
      <c r="O89" s="13"/>
      <c r="P89" s="13">
        <v>0</v>
      </c>
      <c r="Q89" s="13">
        <v>0</v>
      </c>
      <c r="R89" s="78">
        <f>IFERROR(INDEX(ListOFErrors!A:K,MATCH(ERRORI__3[[#This Row],[Value.typologyOfErrorId]],ListOFErrors!A:A,0),11),0)</f>
        <v>0</v>
      </c>
    </row>
    <row r="90" spans="1:18" hidden="1" x14ac:dyDescent="0.25">
      <c r="A90" s="1" t="s">
        <v>61</v>
      </c>
      <c r="B90" s="1" t="s">
        <v>31</v>
      </c>
      <c r="C90" s="1">
        <v>109</v>
      </c>
      <c r="D90" s="1">
        <v>37</v>
      </c>
      <c r="E90" s="1" t="s">
        <v>16</v>
      </c>
      <c r="F90" s="13"/>
      <c r="G90" s="13"/>
      <c r="H90" s="13"/>
      <c r="I90" s="13"/>
      <c r="J90" s="13"/>
      <c r="K90" s="13"/>
      <c r="L90" s="13"/>
      <c r="M90" s="13"/>
      <c r="N90" s="13"/>
      <c r="O90" s="13"/>
      <c r="P90" s="13">
        <v>0</v>
      </c>
      <c r="Q90" s="13">
        <v>0</v>
      </c>
      <c r="R90" s="78">
        <f>IFERROR(INDEX(ListOFErrors!A:K,MATCH(ERRORI__3[[#This Row],[Value.typologyOfErrorId]],ListOFErrors!A:A,0),11),0)</f>
        <v>0</v>
      </c>
    </row>
    <row r="91" spans="1:18" hidden="1" x14ac:dyDescent="0.25">
      <c r="A91" s="1" t="s">
        <v>61</v>
      </c>
      <c r="B91" s="1" t="s">
        <v>53</v>
      </c>
      <c r="C91" s="1">
        <v>113</v>
      </c>
      <c r="D91" s="1">
        <v>204</v>
      </c>
      <c r="E91" s="1" t="s">
        <v>16</v>
      </c>
      <c r="F91" s="13">
        <v>14</v>
      </c>
      <c r="G91" s="13" t="s">
        <v>78</v>
      </c>
      <c r="H91" s="13">
        <v>150.75</v>
      </c>
      <c r="I91" s="13">
        <v>0</v>
      </c>
      <c r="J91" s="13">
        <v>0</v>
      </c>
      <c r="K91" s="13">
        <v>0</v>
      </c>
      <c r="L91" s="13">
        <v>0</v>
      </c>
      <c r="M91" s="13">
        <v>0</v>
      </c>
      <c r="N91" s="13">
        <v>0</v>
      </c>
      <c r="O91" s="13">
        <v>0</v>
      </c>
      <c r="P91" s="13">
        <v>0</v>
      </c>
      <c r="Q91" s="13">
        <v>150.75</v>
      </c>
      <c r="R91" s="78">
        <f>IFERROR(INDEX(ListOFErrors!A:K,MATCH(ERRORI__3[[#This Row],[Value.typologyOfErrorId]],ListOFErrors!A:A,0),11),0)</f>
        <v>8</v>
      </c>
    </row>
    <row r="92" spans="1:18" hidden="1" x14ac:dyDescent="0.25">
      <c r="A92" s="1" t="s">
        <v>61</v>
      </c>
      <c r="B92" s="1" t="s">
        <v>53</v>
      </c>
      <c r="C92" s="1">
        <v>113</v>
      </c>
      <c r="D92" s="1">
        <v>204</v>
      </c>
      <c r="E92" s="1" t="s">
        <v>16</v>
      </c>
      <c r="F92" s="13"/>
      <c r="G92" s="13"/>
      <c r="H92" s="13"/>
      <c r="I92" s="13"/>
      <c r="J92" s="13"/>
      <c r="K92" s="13"/>
      <c r="L92" s="13"/>
      <c r="M92" s="13"/>
      <c r="N92" s="13"/>
      <c r="O92" s="13"/>
      <c r="P92" s="13">
        <v>60.3</v>
      </c>
      <c r="Q92" s="13">
        <v>60.3</v>
      </c>
      <c r="R92" s="78">
        <f>IFERROR(INDEX(ListOFErrors!A:K,MATCH(ERRORI__3[[#This Row],[Value.typologyOfErrorId]],ListOFErrors!A:A,0),11),0)</f>
        <v>0</v>
      </c>
    </row>
    <row r="93" spans="1:18" hidden="1" x14ac:dyDescent="0.25">
      <c r="A93" t="s">
        <v>361</v>
      </c>
      <c r="B93" t="s">
        <v>362</v>
      </c>
      <c r="C93">
        <v>243</v>
      </c>
      <c r="D93">
        <v>152</v>
      </c>
      <c r="E93" t="s">
        <v>16</v>
      </c>
      <c r="F93"/>
      <c r="H93">
        <v>0</v>
      </c>
      <c r="I93">
        <v>0</v>
      </c>
      <c r="J93">
        <v>0</v>
      </c>
      <c r="K93"/>
      <c r="L93"/>
      <c r="M93"/>
      <c r="N93"/>
      <c r="O93"/>
      <c r="P93"/>
      <c r="Q93">
        <v>0</v>
      </c>
      <c r="R93" s="78">
        <f>IFERROR(INDEX(ListOFErrors!A:K,MATCH(ERRORI__3[[#This Row],[Value.typologyOfErrorId]],ListOFErrors!A:A,0),11),0)</f>
        <v>0</v>
      </c>
    </row>
    <row r="94" spans="1:18" hidden="1" x14ac:dyDescent="0.25">
      <c r="A94" t="s">
        <v>361</v>
      </c>
      <c r="B94" t="s">
        <v>363</v>
      </c>
      <c r="C94">
        <v>239</v>
      </c>
      <c r="D94">
        <v>144</v>
      </c>
      <c r="E94" t="s">
        <v>16</v>
      </c>
      <c r="F94">
        <v>14</v>
      </c>
      <c r="G94" s="2" t="s">
        <v>78</v>
      </c>
      <c r="H94">
        <v>0.03</v>
      </c>
      <c r="I94">
        <v>0</v>
      </c>
      <c r="J94">
        <v>0</v>
      </c>
      <c r="K94">
        <v>0</v>
      </c>
      <c r="L94">
        <v>0</v>
      </c>
      <c r="M94">
        <v>0</v>
      </c>
      <c r="N94">
        <v>0</v>
      </c>
      <c r="O94">
        <v>0</v>
      </c>
      <c r="P94">
        <v>0</v>
      </c>
      <c r="Q94">
        <v>0.03</v>
      </c>
      <c r="R94" s="78">
        <f>IFERROR(INDEX(ListOFErrors!A:K,MATCH(ERRORI__3[[#This Row],[Value.typologyOfErrorId]],ListOFErrors!A:A,0),11),0)</f>
        <v>8</v>
      </c>
    </row>
    <row r="95" spans="1:18" hidden="1" x14ac:dyDescent="0.25">
      <c r="A95" t="s">
        <v>361</v>
      </c>
      <c r="B95" t="s">
        <v>363</v>
      </c>
      <c r="C95">
        <v>239</v>
      </c>
      <c r="D95">
        <v>144</v>
      </c>
      <c r="E95" t="s">
        <v>16</v>
      </c>
      <c r="F95"/>
      <c r="H95"/>
      <c r="I95"/>
      <c r="J95"/>
      <c r="K95"/>
      <c r="L95"/>
      <c r="M95"/>
      <c r="N95"/>
      <c r="O95"/>
      <c r="P95">
        <v>0.01</v>
      </c>
      <c r="Q95">
        <v>0.01</v>
      </c>
      <c r="R95" s="78">
        <f>IFERROR(INDEX(ListOFErrors!A:K,MATCH(ERRORI__3[[#This Row],[Value.typologyOfErrorId]],ListOFErrors!A:A,0),11),0)</f>
        <v>0</v>
      </c>
    </row>
    <row r="96" spans="1:18" hidden="1" x14ac:dyDescent="0.25">
      <c r="A96" t="s">
        <v>361</v>
      </c>
      <c r="B96" t="s">
        <v>364</v>
      </c>
      <c r="C96">
        <v>242</v>
      </c>
      <c r="D96">
        <v>230</v>
      </c>
      <c r="E96" t="s">
        <v>16</v>
      </c>
      <c r="F96"/>
      <c r="H96"/>
      <c r="I96">
        <v>0</v>
      </c>
      <c r="J96">
        <v>0</v>
      </c>
      <c r="K96"/>
      <c r="L96"/>
      <c r="M96"/>
      <c r="N96"/>
      <c r="O96"/>
      <c r="P96"/>
      <c r="Q96">
        <v>0</v>
      </c>
      <c r="R96" s="78">
        <f>IFERROR(INDEX(ListOFErrors!A:K,MATCH(ERRORI__3[[#This Row],[Value.typologyOfErrorId]],ListOFErrors!A:A,0),11),0)</f>
        <v>0</v>
      </c>
    </row>
    <row r="97" spans="1:18" hidden="1" x14ac:dyDescent="0.25">
      <c r="A97" t="s">
        <v>361</v>
      </c>
      <c r="B97" t="s">
        <v>300</v>
      </c>
      <c r="C97">
        <v>238</v>
      </c>
      <c r="D97">
        <v>143</v>
      </c>
      <c r="E97" t="s">
        <v>16</v>
      </c>
      <c r="F97"/>
      <c r="H97"/>
      <c r="I97">
        <v>0</v>
      </c>
      <c r="J97">
        <v>0</v>
      </c>
      <c r="K97"/>
      <c r="L97"/>
      <c r="M97"/>
      <c r="N97"/>
      <c r="O97"/>
      <c r="P97"/>
      <c r="Q97">
        <v>0</v>
      </c>
      <c r="R97" s="78">
        <f>IFERROR(INDEX(ListOFErrors!A:K,MATCH(ERRORI__3[[#This Row],[Value.typologyOfErrorId]],ListOFErrors!A:A,0),11),0)</f>
        <v>0</v>
      </c>
    </row>
    <row r="98" spans="1:18" hidden="1" x14ac:dyDescent="0.25">
      <c r="A98" t="s">
        <v>361</v>
      </c>
      <c r="B98" t="s">
        <v>69</v>
      </c>
      <c r="C98">
        <v>244</v>
      </c>
      <c r="D98">
        <v>193</v>
      </c>
      <c r="E98" t="s">
        <v>16</v>
      </c>
      <c r="F98">
        <v>13</v>
      </c>
      <c r="G98" s="2" t="s">
        <v>80</v>
      </c>
      <c r="H98">
        <v>38</v>
      </c>
      <c r="I98">
        <v>0</v>
      </c>
      <c r="J98">
        <v>0</v>
      </c>
      <c r="K98">
        <v>0</v>
      </c>
      <c r="L98">
        <v>0</v>
      </c>
      <c r="M98">
        <v>0</v>
      </c>
      <c r="N98">
        <v>0</v>
      </c>
      <c r="O98">
        <v>0</v>
      </c>
      <c r="P98">
        <v>0</v>
      </c>
      <c r="Q98">
        <v>38</v>
      </c>
      <c r="R98" s="78">
        <f>IFERROR(INDEX(ListOFErrors!A:K,MATCH(ERRORI__3[[#This Row],[Value.typologyOfErrorId]],ListOFErrors!A:A,0),11),0)</f>
        <v>6</v>
      </c>
    </row>
    <row r="99" spans="1:18" hidden="1" x14ac:dyDescent="0.25">
      <c r="A99" t="s">
        <v>361</v>
      </c>
      <c r="B99" t="s">
        <v>69</v>
      </c>
      <c r="C99">
        <v>244</v>
      </c>
      <c r="D99">
        <v>193</v>
      </c>
      <c r="E99" t="s">
        <v>16</v>
      </c>
      <c r="F99"/>
      <c r="H99"/>
      <c r="I99"/>
      <c r="J99"/>
      <c r="K99"/>
      <c r="L99"/>
      <c r="M99"/>
      <c r="N99"/>
      <c r="O99"/>
      <c r="P99">
        <v>15.2</v>
      </c>
      <c r="Q99">
        <v>15.2</v>
      </c>
      <c r="R99" s="78">
        <f>IFERROR(INDEX(ListOFErrors!A:K,MATCH(ERRORI__3[[#This Row],[Value.typologyOfErrorId]],ListOFErrors!A:A,0),11),0)</f>
        <v>0</v>
      </c>
    </row>
    <row r="100" spans="1:18" hidden="1" x14ac:dyDescent="0.25">
      <c r="A100" t="s">
        <v>317</v>
      </c>
      <c r="B100" t="s">
        <v>318</v>
      </c>
      <c r="C100">
        <v>267</v>
      </c>
      <c r="D100">
        <v>254</v>
      </c>
      <c r="E100" t="s">
        <v>16</v>
      </c>
      <c r="F100"/>
      <c r="H100">
        <v>0</v>
      </c>
      <c r="I100">
        <v>0</v>
      </c>
      <c r="J100">
        <v>0</v>
      </c>
      <c r="K100"/>
      <c r="L100"/>
      <c r="M100"/>
      <c r="N100"/>
      <c r="O100"/>
      <c r="P100"/>
      <c r="Q100">
        <v>0</v>
      </c>
      <c r="R100" s="78">
        <f>IFERROR(INDEX(ListOFErrors!A:K,MATCH(ERRORI__3[[#This Row],[Value.typologyOfErrorId]],ListOFErrors!A:A,0),11),0)</f>
        <v>0</v>
      </c>
    </row>
    <row r="101" spans="1:18" ht="30" hidden="1" x14ac:dyDescent="0.25">
      <c r="A101" s="79" t="s">
        <v>317</v>
      </c>
      <c r="B101" s="79" t="s">
        <v>319</v>
      </c>
      <c r="C101" s="79">
        <v>222</v>
      </c>
      <c r="D101" s="79">
        <v>317</v>
      </c>
      <c r="E101" s="79" t="s">
        <v>16</v>
      </c>
      <c r="F101" s="79">
        <v>14</v>
      </c>
      <c r="G101" s="81" t="s">
        <v>78</v>
      </c>
      <c r="H101" s="79">
        <v>211.31</v>
      </c>
      <c r="I101" s="79">
        <v>0</v>
      </c>
      <c r="J101" s="79">
        <v>0</v>
      </c>
      <c r="K101" s="79">
        <v>0</v>
      </c>
      <c r="L101" s="79">
        <v>0</v>
      </c>
      <c r="M101" s="79">
        <v>0</v>
      </c>
      <c r="N101" s="79">
        <v>0</v>
      </c>
      <c r="O101" s="79">
        <v>0</v>
      </c>
      <c r="P101" s="79">
        <v>0</v>
      </c>
      <c r="Q101" s="79">
        <v>211.31</v>
      </c>
      <c r="R101" s="114">
        <f>IFERROR(INDEX(ListOFErrors!A:K,MATCH(ERRORI__3[[#This Row],[Value.typologyOfErrorId]],ListOFErrors!A:A,0),11),0)</f>
        <v>8</v>
      </c>
    </row>
    <row r="102" spans="1:18" ht="30" hidden="1" x14ac:dyDescent="0.25">
      <c r="A102" s="79" t="s">
        <v>317</v>
      </c>
      <c r="B102" s="79" t="s">
        <v>319</v>
      </c>
      <c r="C102" s="79">
        <v>222</v>
      </c>
      <c r="D102" s="79">
        <v>317</v>
      </c>
      <c r="E102" s="79" t="s">
        <v>16</v>
      </c>
      <c r="F102" s="79"/>
      <c r="G102" s="81"/>
      <c r="H102" s="79"/>
      <c r="I102" s="79">
        <v>31.69</v>
      </c>
      <c r="J102" s="79">
        <v>8.4499999999999993</v>
      </c>
      <c r="K102" s="79"/>
      <c r="L102" s="79"/>
      <c r="M102" s="79"/>
      <c r="N102" s="79"/>
      <c r="O102" s="79"/>
      <c r="P102" s="79"/>
      <c r="Q102" s="79">
        <v>40.14</v>
      </c>
      <c r="R102" s="114">
        <f>IFERROR(INDEX(ListOFErrors!A:K,MATCH(ERRORI__3[[#This Row],[Value.typologyOfErrorId]],ListOFErrors!A:A,0),11),0)</f>
        <v>0</v>
      </c>
    </row>
    <row r="103" spans="1:18" ht="30" hidden="1" x14ac:dyDescent="0.25">
      <c r="A103" s="79" t="s">
        <v>317</v>
      </c>
      <c r="B103" s="79" t="s">
        <v>321</v>
      </c>
      <c r="C103" s="79">
        <v>117</v>
      </c>
      <c r="D103" s="79">
        <v>288</v>
      </c>
      <c r="E103" s="79" t="s">
        <v>16</v>
      </c>
      <c r="F103" s="79">
        <v>14</v>
      </c>
      <c r="G103" s="81" t="s">
        <v>78</v>
      </c>
      <c r="H103" s="79">
        <v>2994.07</v>
      </c>
      <c r="I103" s="79">
        <v>0</v>
      </c>
      <c r="J103" s="79">
        <v>0</v>
      </c>
      <c r="K103" s="79">
        <v>0</v>
      </c>
      <c r="L103" s="79">
        <v>0</v>
      </c>
      <c r="M103" s="79">
        <v>0</v>
      </c>
      <c r="N103" s="79">
        <v>0</v>
      </c>
      <c r="O103" s="79">
        <v>0</v>
      </c>
      <c r="P103" s="79">
        <v>0</v>
      </c>
      <c r="Q103" s="79">
        <v>2994.07</v>
      </c>
      <c r="R103" s="114">
        <f>IFERROR(INDEX(ListOFErrors!A:K,MATCH(ERRORI__3[[#This Row],[Value.typologyOfErrorId]],ListOFErrors!A:A,0),11),0)</f>
        <v>8</v>
      </c>
    </row>
    <row r="104" spans="1:18" ht="30" hidden="1" x14ac:dyDescent="0.25">
      <c r="A104" s="79" t="s">
        <v>317</v>
      </c>
      <c r="B104" s="79" t="s">
        <v>321</v>
      </c>
      <c r="C104" s="79">
        <v>117</v>
      </c>
      <c r="D104" s="79">
        <v>288</v>
      </c>
      <c r="E104" s="79" t="s">
        <v>16</v>
      </c>
      <c r="F104" s="79"/>
      <c r="G104" s="81"/>
      <c r="H104" s="79"/>
      <c r="I104" s="79">
        <v>449.11</v>
      </c>
      <c r="J104" s="79">
        <v>119.76</v>
      </c>
      <c r="K104" s="79"/>
      <c r="L104" s="79"/>
      <c r="M104" s="79"/>
      <c r="N104" s="79"/>
      <c r="O104" s="79"/>
      <c r="P104" s="79"/>
      <c r="Q104" s="79">
        <v>568.87</v>
      </c>
      <c r="R104" s="114">
        <f>IFERROR(INDEX(ListOFErrors!A:K,MATCH(ERRORI__3[[#This Row],[Value.typologyOfErrorId]],ListOFErrors!A:A,0),11),0)</f>
        <v>0</v>
      </c>
    </row>
    <row r="105" spans="1:18" hidden="1" x14ac:dyDescent="0.25">
      <c r="A105" t="s">
        <v>317</v>
      </c>
      <c r="B105" t="s">
        <v>322</v>
      </c>
      <c r="C105">
        <v>285</v>
      </c>
      <c r="D105">
        <v>316</v>
      </c>
      <c r="E105" t="s">
        <v>16</v>
      </c>
      <c r="F105"/>
      <c r="H105"/>
      <c r="I105">
        <v>0</v>
      </c>
      <c r="J105">
        <v>0</v>
      </c>
      <c r="K105"/>
      <c r="L105"/>
      <c r="M105"/>
      <c r="N105"/>
      <c r="O105"/>
      <c r="P105"/>
      <c r="Q105">
        <v>0</v>
      </c>
      <c r="R105" s="78">
        <f>IFERROR(INDEX(ListOFErrors!A:K,MATCH(ERRORI__3[[#This Row],[Value.typologyOfErrorId]],ListOFErrors!A:A,0),11),0)</f>
        <v>0</v>
      </c>
    </row>
    <row r="106" spans="1:18" hidden="1" x14ac:dyDescent="0.25">
      <c r="A106" t="s">
        <v>317</v>
      </c>
      <c r="B106" t="s">
        <v>39</v>
      </c>
      <c r="C106">
        <v>220</v>
      </c>
      <c r="D106">
        <v>311</v>
      </c>
      <c r="E106" t="s">
        <v>16</v>
      </c>
      <c r="F106"/>
      <c r="H106"/>
      <c r="I106">
        <v>0</v>
      </c>
      <c r="J106">
        <v>0</v>
      </c>
      <c r="K106"/>
      <c r="L106"/>
      <c r="M106"/>
      <c r="N106"/>
      <c r="O106"/>
      <c r="P106"/>
      <c r="Q106">
        <v>0</v>
      </c>
      <c r="R106" s="78">
        <f>IFERROR(INDEX(ListOFErrors!A:K,MATCH(ERRORI__3[[#This Row],[Value.typologyOfErrorId]],ListOFErrors!A:A,0),11),0)</f>
        <v>0</v>
      </c>
    </row>
    <row r="107" spans="1:18" hidden="1" x14ac:dyDescent="0.25">
      <c r="A107" t="s">
        <v>288</v>
      </c>
      <c r="B107" t="s">
        <v>54</v>
      </c>
      <c r="C107">
        <v>63</v>
      </c>
      <c r="D107">
        <v>185</v>
      </c>
      <c r="E107" t="s">
        <v>16</v>
      </c>
      <c r="F107"/>
      <c r="H107"/>
      <c r="I107">
        <v>0</v>
      </c>
      <c r="J107">
        <v>0</v>
      </c>
      <c r="K107"/>
      <c r="L107"/>
      <c r="M107"/>
      <c r="N107"/>
      <c r="O107"/>
      <c r="P107"/>
      <c r="Q107">
        <v>0</v>
      </c>
      <c r="R107" s="78">
        <f>IFERROR(INDEX(ListOFErrors!A:K,MATCH(ERRORI__3[[#This Row],[Value.typologyOfErrorId]],ListOFErrors!A:A,0),11),0)</f>
        <v>0</v>
      </c>
    </row>
    <row r="108" spans="1:18" hidden="1" x14ac:dyDescent="0.25">
      <c r="A108" t="s">
        <v>288</v>
      </c>
      <c r="B108" t="s">
        <v>290</v>
      </c>
      <c r="C108">
        <v>62</v>
      </c>
      <c r="D108">
        <v>184</v>
      </c>
      <c r="E108" t="s">
        <v>16</v>
      </c>
      <c r="F108">
        <v>14</v>
      </c>
      <c r="G108" s="2" t="s">
        <v>78</v>
      </c>
      <c r="H108">
        <v>79.400000000000006</v>
      </c>
      <c r="I108">
        <v>0</v>
      </c>
      <c r="J108">
        <v>0</v>
      </c>
      <c r="K108">
        <v>0</v>
      </c>
      <c r="L108">
        <v>0</v>
      </c>
      <c r="M108">
        <v>0</v>
      </c>
      <c r="N108">
        <v>0</v>
      </c>
      <c r="O108">
        <v>0</v>
      </c>
      <c r="P108">
        <v>0</v>
      </c>
      <c r="Q108">
        <v>79.400000000000006</v>
      </c>
      <c r="R108" s="78">
        <f>IFERROR(INDEX(ListOFErrors!A:K,MATCH(ERRORI__3[[#This Row],[Value.typologyOfErrorId]],ListOFErrors!A:A,0),11),0)</f>
        <v>8</v>
      </c>
    </row>
    <row r="109" spans="1:18" hidden="1" x14ac:dyDescent="0.25">
      <c r="A109" t="s">
        <v>288</v>
      </c>
      <c r="B109" t="s">
        <v>290</v>
      </c>
      <c r="C109">
        <v>62</v>
      </c>
      <c r="D109">
        <v>184</v>
      </c>
      <c r="E109" t="s">
        <v>16</v>
      </c>
      <c r="F109"/>
      <c r="H109"/>
      <c r="I109">
        <v>11.91</v>
      </c>
      <c r="J109">
        <v>3.18</v>
      </c>
      <c r="K109"/>
      <c r="L109"/>
      <c r="M109"/>
      <c r="N109"/>
      <c r="O109"/>
      <c r="P109"/>
      <c r="Q109">
        <v>15.09</v>
      </c>
      <c r="R109" s="78">
        <f>IFERROR(INDEX(ListOFErrors!A:K,MATCH(ERRORI__3[[#This Row],[Value.typologyOfErrorId]],ListOFErrors!A:A,0),11),0)</f>
        <v>0</v>
      </c>
    </row>
    <row r="110" spans="1:18" hidden="1" x14ac:dyDescent="0.25">
      <c r="A110" t="s">
        <v>288</v>
      </c>
      <c r="B110" t="s">
        <v>286</v>
      </c>
      <c r="C110">
        <v>59</v>
      </c>
      <c r="D110">
        <v>181</v>
      </c>
      <c r="E110" t="s">
        <v>16</v>
      </c>
      <c r="F110"/>
      <c r="H110"/>
      <c r="I110">
        <v>0</v>
      </c>
      <c r="J110">
        <v>0</v>
      </c>
      <c r="K110"/>
      <c r="L110"/>
      <c r="M110"/>
      <c r="N110"/>
      <c r="O110"/>
      <c r="P110"/>
      <c r="Q110">
        <v>0</v>
      </c>
      <c r="R110" s="78">
        <f>IFERROR(INDEX(ListOFErrors!A:K,MATCH(ERRORI__3[[#This Row],[Value.typologyOfErrorId]],ListOFErrors!A:A,0),11),0)</f>
        <v>0</v>
      </c>
    </row>
    <row r="111" spans="1:18" hidden="1" x14ac:dyDescent="0.25">
      <c r="A111" t="s">
        <v>288</v>
      </c>
      <c r="B111" t="s">
        <v>292</v>
      </c>
      <c r="C111">
        <v>60</v>
      </c>
      <c r="D111">
        <v>183</v>
      </c>
      <c r="E111" t="s">
        <v>16</v>
      </c>
      <c r="F111"/>
      <c r="H111"/>
      <c r="I111">
        <v>0</v>
      </c>
      <c r="J111">
        <v>0</v>
      </c>
      <c r="K111"/>
      <c r="L111"/>
      <c r="M111"/>
      <c r="N111"/>
      <c r="O111"/>
      <c r="P111"/>
      <c r="Q111">
        <v>0</v>
      </c>
      <c r="R111" s="78">
        <f>IFERROR(INDEX(ListOFErrors!A:K,MATCH(ERRORI__3[[#This Row],[Value.typologyOfErrorId]],ListOFErrors!A:A,0),11),0)</f>
        <v>0</v>
      </c>
    </row>
    <row r="112" spans="1:18" hidden="1" x14ac:dyDescent="0.25">
      <c r="A112" t="s">
        <v>341</v>
      </c>
      <c r="B112" t="s">
        <v>278</v>
      </c>
      <c r="C112">
        <v>283</v>
      </c>
      <c r="D112">
        <v>278</v>
      </c>
      <c r="E112" t="s">
        <v>16</v>
      </c>
      <c r="F112"/>
      <c r="H112">
        <v>0</v>
      </c>
      <c r="I112">
        <v>0</v>
      </c>
      <c r="J112">
        <v>0</v>
      </c>
      <c r="K112"/>
      <c r="L112"/>
      <c r="M112"/>
      <c r="N112"/>
      <c r="O112"/>
      <c r="P112"/>
      <c r="Q112">
        <v>0</v>
      </c>
      <c r="R112" s="78">
        <f>IFERROR(INDEX(ListOFErrors!A:K,MATCH(ERRORI__3[[#This Row],[Value.typologyOfErrorId]],ListOFErrors!A:A,0),11),0)</f>
        <v>0</v>
      </c>
    </row>
    <row r="113" spans="1:18" hidden="1" x14ac:dyDescent="0.25">
      <c r="A113" t="s">
        <v>341</v>
      </c>
      <c r="B113" t="s">
        <v>47</v>
      </c>
      <c r="C113">
        <v>135</v>
      </c>
      <c r="D113">
        <v>293</v>
      </c>
      <c r="E113" t="s">
        <v>16</v>
      </c>
      <c r="F113"/>
      <c r="H113">
        <v>0</v>
      </c>
      <c r="I113">
        <v>0</v>
      </c>
      <c r="J113">
        <v>0</v>
      </c>
      <c r="K113"/>
      <c r="L113"/>
      <c r="M113"/>
      <c r="N113"/>
      <c r="O113"/>
      <c r="P113"/>
      <c r="Q113">
        <v>0</v>
      </c>
      <c r="R113" s="78">
        <f>IFERROR(INDEX(ListOFErrors!A:K,MATCH(ERRORI__3[[#This Row],[Value.typologyOfErrorId]],ListOFErrors!A:A,0),11),0)</f>
        <v>0</v>
      </c>
    </row>
    <row r="114" spans="1:18" hidden="1" x14ac:dyDescent="0.25">
      <c r="A114" t="s">
        <v>341</v>
      </c>
      <c r="B114" t="s">
        <v>342</v>
      </c>
      <c r="C114">
        <v>284</v>
      </c>
      <c r="D114">
        <v>332</v>
      </c>
      <c r="E114" t="s">
        <v>16</v>
      </c>
      <c r="F114"/>
      <c r="H114">
        <v>0</v>
      </c>
      <c r="I114">
        <v>0</v>
      </c>
      <c r="J114">
        <v>0</v>
      </c>
      <c r="K114"/>
      <c r="L114"/>
      <c r="M114"/>
      <c r="N114"/>
      <c r="O114"/>
      <c r="P114"/>
      <c r="Q114">
        <v>0</v>
      </c>
      <c r="R114" s="78">
        <f>IFERROR(INDEX(ListOFErrors!A:K,MATCH(ERRORI__3[[#This Row],[Value.typologyOfErrorId]],ListOFErrors!A:A,0),11),0)</f>
        <v>0</v>
      </c>
    </row>
    <row r="115" spans="1:18" hidden="1" x14ac:dyDescent="0.25">
      <c r="A115" t="s">
        <v>341</v>
      </c>
      <c r="B115" t="s">
        <v>4546</v>
      </c>
      <c r="C115">
        <v>270</v>
      </c>
      <c r="D115">
        <v>340</v>
      </c>
      <c r="E115" t="s">
        <v>16</v>
      </c>
      <c r="F115"/>
      <c r="H115"/>
      <c r="I115">
        <v>0</v>
      </c>
      <c r="J115">
        <v>0</v>
      </c>
      <c r="K115"/>
      <c r="L115"/>
      <c r="M115"/>
      <c r="N115"/>
      <c r="O115"/>
      <c r="P115"/>
      <c r="Q115">
        <v>0</v>
      </c>
      <c r="R115" s="78">
        <f>IFERROR(INDEX(ListOFErrors!A:K,MATCH(ERRORI__3[[#This Row],[Value.typologyOfErrorId]],ListOFErrors!A:A,0),11),0)</f>
        <v>0</v>
      </c>
    </row>
    <row r="116" spans="1:18" hidden="1" x14ac:dyDescent="0.25">
      <c r="A116" t="s">
        <v>59</v>
      </c>
      <c r="B116" t="s">
        <v>47</v>
      </c>
      <c r="C116">
        <v>323</v>
      </c>
      <c r="D116">
        <v>339</v>
      </c>
      <c r="E116" t="s">
        <v>16</v>
      </c>
      <c r="F116">
        <v>13</v>
      </c>
      <c r="G116" s="2" t="s">
        <v>80</v>
      </c>
      <c r="H116">
        <v>670.89</v>
      </c>
      <c r="I116">
        <v>0</v>
      </c>
      <c r="J116">
        <v>0</v>
      </c>
      <c r="K116">
        <v>0</v>
      </c>
      <c r="L116">
        <v>0</v>
      </c>
      <c r="M116">
        <v>0</v>
      </c>
      <c r="N116">
        <v>0</v>
      </c>
      <c r="O116">
        <v>0</v>
      </c>
      <c r="P116">
        <v>0</v>
      </c>
      <c r="Q116">
        <v>670.89</v>
      </c>
      <c r="R116" s="78">
        <f>IFERROR(INDEX(ListOFErrors!A:K,MATCH(ERRORI__3[[#This Row],[Value.typologyOfErrorId]],ListOFErrors!A:A,0),11),0)</f>
        <v>6</v>
      </c>
    </row>
    <row r="117" spans="1:18" hidden="1" x14ac:dyDescent="0.25">
      <c r="A117" t="s">
        <v>59</v>
      </c>
      <c r="B117" t="s">
        <v>47</v>
      </c>
      <c r="C117">
        <v>323</v>
      </c>
      <c r="D117">
        <v>339</v>
      </c>
      <c r="E117" t="s">
        <v>16</v>
      </c>
      <c r="F117">
        <v>26</v>
      </c>
      <c r="G117" s="2" t="s">
        <v>133</v>
      </c>
      <c r="H117">
        <v>0</v>
      </c>
      <c r="I117">
        <v>0</v>
      </c>
      <c r="J117">
        <v>0</v>
      </c>
      <c r="K117">
        <v>8333.32</v>
      </c>
      <c r="L117">
        <v>0</v>
      </c>
      <c r="M117">
        <v>0</v>
      </c>
      <c r="N117">
        <v>0</v>
      </c>
      <c r="O117">
        <v>0</v>
      </c>
      <c r="P117">
        <v>0</v>
      </c>
      <c r="Q117">
        <v>8333.32</v>
      </c>
      <c r="R117" s="78">
        <f>IFERROR(INDEX(ListOFErrors!A:K,MATCH(ERRORI__3[[#This Row],[Value.typologyOfErrorId]],ListOFErrors!A:A,0),11),0)</f>
        <v>6</v>
      </c>
    </row>
    <row r="118" spans="1:18" hidden="1" x14ac:dyDescent="0.25">
      <c r="A118" t="s">
        <v>59</v>
      </c>
      <c r="B118" t="s">
        <v>47</v>
      </c>
      <c r="C118">
        <v>323</v>
      </c>
      <c r="D118">
        <v>339</v>
      </c>
      <c r="E118" t="s">
        <v>16</v>
      </c>
      <c r="F118"/>
      <c r="H118"/>
      <c r="I118">
        <v>100.64</v>
      </c>
      <c r="J118">
        <v>26.83</v>
      </c>
      <c r="K118"/>
      <c r="L118"/>
      <c r="M118"/>
      <c r="N118"/>
      <c r="O118"/>
      <c r="P118"/>
      <c r="Q118">
        <v>127.47</v>
      </c>
      <c r="R118" s="78">
        <f>IFERROR(INDEX(ListOFErrors!A:K,MATCH(ERRORI__3[[#This Row],[Value.typologyOfErrorId]],ListOFErrors!A:A,0),11),0)</f>
        <v>0</v>
      </c>
    </row>
    <row r="119" spans="1:18" hidden="1" x14ac:dyDescent="0.25">
      <c r="A119" t="s">
        <v>59</v>
      </c>
      <c r="B119" t="s">
        <v>47</v>
      </c>
      <c r="C119">
        <v>323</v>
      </c>
      <c r="D119">
        <v>76</v>
      </c>
      <c r="E119" t="s">
        <v>16</v>
      </c>
      <c r="F119">
        <v>13</v>
      </c>
      <c r="G119" s="2" t="s">
        <v>80</v>
      </c>
      <c r="H119">
        <v>69.41</v>
      </c>
      <c r="I119">
        <v>0</v>
      </c>
      <c r="J119">
        <v>0</v>
      </c>
      <c r="K119">
        <v>0</v>
      </c>
      <c r="L119">
        <v>0</v>
      </c>
      <c r="M119">
        <v>0</v>
      </c>
      <c r="N119">
        <v>0</v>
      </c>
      <c r="O119">
        <v>0</v>
      </c>
      <c r="P119">
        <v>0</v>
      </c>
      <c r="Q119">
        <v>69.41</v>
      </c>
      <c r="R119" s="78">
        <f>IFERROR(INDEX(ListOFErrors!A:K,MATCH(ERRORI__3[[#This Row],[Value.typologyOfErrorId]],ListOFErrors!A:A,0),11),0)</f>
        <v>6</v>
      </c>
    </row>
    <row r="120" spans="1:18" hidden="1" x14ac:dyDescent="0.25">
      <c r="A120" t="s">
        <v>59</v>
      </c>
      <c r="B120" t="s">
        <v>47</v>
      </c>
      <c r="C120">
        <v>323</v>
      </c>
      <c r="D120">
        <v>76</v>
      </c>
      <c r="E120" t="s">
        <v>16</v>
      </c>
      <c r="F120"/>
      <c r="H120"/>
      <c r="I120">
        <v>10.42</v>
      </c>
      <c r="J120">
        <v>2.78</v>
      </c>
      <c r="K120"/>
      <c r="L120"/>
      <c r="M120"/>
      <c r="N120"/>
      <c r="O120"/>
      <c r="P120"/>
      <c r="Q120">
        <v>13.2</v>
      </c>
      <c r="R120" s="78">
        <f>IFERROR(INDEX(ListOFErrors!A:K,MATCH(ERRORI__3[[#This Row],[Value.typologyOfErrorId]],ListOFErrors!A:A,0),11),0)</f>
        <v>0</v>
      </c>
    </row>
    <row r="121" spans="1:18" hidden="1" x14ac:dyDescent="0.25">
      <c r="A121" t="s">
        <v>59</v>
      </c>
      <c r="B121" t="s">
        <v>44</v>
      </c>
      <c r="C121">
        <v>326</v>
      </c>
      <c r="D121">
        <v>324</v>
      </c>
      <c r="E121" t="s">
        <v>16</v>
      </c>
      <c r="F121"/>
      <c r="H121"/>
      <c r="I121"/>
      <c r="J121"/>
      <c r="K121"/>
      <c r="L121"/>
      <c r="M121"/>
      <c r="N121"/>
      <c r="O121"/>
      <c r="P121">
        <v>0</v>
      </c>
      <c r="Q121">
        <v>0</v>
      </c>
      <c r="R121" s="78">
        <f>IFERROR(INDEX(ListOFErrors!A:K,MATCH(ERRORI__3[[#This Row],[Value.typologyOfErrorId]],ListOFErrors!A:A,0),11),0)</f>
        <v>0</v>
      </c>
    </row>
    <row r="122" spans="1:18" hidden="1" x14ac:dyDescent="0.25">
      <c r="A122" t="s">
        <v>59</v>
      </c>
      <c r="B122" t="s">
        <v>44</v>
      </c>
      <c r="C122">
        <v>326</v>
      </c>
      <c r="D122">
        <v>95</v>
      </c>
      <c r="E122" t="s">
        <v>16</v>
      </c>
      <c r="F122"/>
      <c r="H122"/>
      <c r="I122"/>
      <c r="J122"/>
      <c r="K122"/>
      <c r="L122"/>
      <c r="M122"/>
      <c r="N122"/>
      <c r="O122"/>
      <c r="P122">
        <v>0</v>
      </c>
      <c r="Q122">
        <v>0</v>
      </c>
      <c r="R122" s="78">
        <f>IFERROR(INDEX(ListOFErrors!A:K,MATCH(ERRORI__3[[#This Row],[Value.typologyOfErrorId]],ListOFErrors!A:A,0),11),0)</f>
        <v>0</v>
      </c>
    </row>
    <row r="123" spans="1:18" hidden="1" x14ac:dyDescent="0.25">
      <c r="A123" t="s">
        <v>59</v>
      </c>
      <c r="B123" t="s">
        <v>49</v>
      </c>
      <c r="C123">
        <v>321</v>
      </c>
      <c r="D123">
        <v>164</v>
      </c>
      <c r="E123" t="s">
        <v>16</v>
      </c>
      <c r="F123">
        <v>24</v>
      </c>
      <c r="G123" s="2" t="s">
        <v>132</v>
      </c>
      <c r="H123">
        <v>1261.96</v>
      </c>
      <c r="I123">
        <v>0</v>
      </c>
      <c r="J123">
        <v>0</v>
      </c>
      <c r="K123">
        <v>0</v>
      </c>
      <c r="L123">
        <v>0</v>
      </c>
      <c r="M123">
        <v>0</v>
      </c>
      <c r="N123">
        <v>0</v>
      </c>
      <c r="O123">
        <v>0</v>
      </c>
      <c r="P123">
        <v>0</v>
      </c>
      <c r="Q123">
        <v>1261.96</v>
      </c>
      <c r="R123" s="78">
        <f>IFERROR(INDEX(ListOFErrors!A:K,MATCH(ERRORI__3[[#This Row],[Value.typologyOfErrorId]],ListOFErrors!A:A,0),11),0)</f>
        <v>2</v>
      </c>
    </row>
    <row r="124" spans="1:18" hidden="1" x14ac:dyDescent="0.25">
      <c r="A124" t="s">
        <v>59</v>
      </c>
      <c r="B124" t="s">
        <v>49</v>
      </c>
      <c r="C124">
        <v>321</v>
      </c>
      <c r="D124">
        <v>164</v>
      </c>
      <c r="E124" t="s">
        <v>16</v>
      </c>
      <c r="F124"/>
      <c r="H124"/>
      <c r="I124"/>
      <c r="J124"/>
      <c r="K124"/>
      <c r="L124"/>
      <c r="M124"/>
      <c r="N124"/>
      <c r="O124"/>
      <c r="P124">
        <v>504.78</v>
      </c>
      <c r="Q124">
        <v>504.78</v>
      </c>
      <c r="R124" s="78">
        <f>IFERROR(INDEX(ListOFErrors!A:K,MATCH(ERRORI__3[[#This Row],[Value.typologyOfErrorId]],ListOFErrors!A:A,0),11),0)</f>
        <v>0</v>
      </c>
    </row>
    <row r="125" spans="1:18" hidden="1" x14ac:dyDescent="0.25">
      <c r="A125" t="s">
        <v>59</v>
      </c>
      <c r="B125" t="s">
        <v>49</v>
      </c>
      <c r="C125">
        <v>321</v>
      </c>
      <c r="D125">
        <v>69</v>
      </c>
      <c r="E125" t="s">
        <v>16</v>
      </c>
      <c r="F125">
        <v>13</v>
      </c>
      <c r="G125" s="2" t="s">
        <v>80</v>
      </c>
      <c r="H125">
        <v>8669.08</v>
      </c>
      <c r="I125">
        <v>0</v>
      </c>
      <c r="J125">
        <v>0</v>
      </c>
      <c r="K125">
        <v>0</v>
      </c>
      <c r="L125">
        <v>0</v>
      </c>
      <c r="M125">
        <v>0</v>
      </c>
      <c r="N125">
        <v>0</v>
      </c>
      <c r="O125">
        <v>0</v>
      </c>
      <c r="P125">
        <v>0</v>
      </c>
      <c r="Q125">
        <v>8669.08</v>
      </c>
      <c r="R125" s="78">
        <f>IFERROR(INDEX(ListOFErrors!A:K,MATCH(ERRORI__3[[#This Row],[Value.typologyOfErrorId]],ListOFErrors!A:A,0),11),0)</f>
        <v>6</v>
      </c>
    </row>
    <row r="126" spans="1:18" hidden="1" x14ac:dyDescent="0.25">
      <c r="A126" t="s">
        <v>59</v>
      </c>
      <c r="B126" t="s">
        <v>49</v>
      </c>
      <c r="C126">
        <v>321</v>
      </c>
      <c r="D126">
        <v>69</v>
      </c>
      <c r="E126" t="s">
        <v>16</v>
      </c>
      <c r="F126"/>
      <c r="H126"/>
      <c r="I126"/>
      <c r="J126"/>
      <c r="K126"/>
      <c r="L126"/>
      <c r="M126"/>
      <c r="N126"/>
      <c r="O126"/>
      <c r="P126">
        <v>3467.63</v>
      </c>
      <c r="Q126">
        <v>3467.63</v>
      </c>
      <c r="R126" s="78">
        <f>IFERROR(INDEX(ListOFErrors!A:K,MATCH(ERRORI__3[[#This Row],[Value.typologyOfErrorId]],ListOFErrors!A:A,0),11),0)</f>
        <v>0</v>
      </c>
    </row>
    <row r="127" spans="1:18" hidden="1" x14ac:dyDescent="0.25">
      <c r="A127" t="s">
        <v>59</v>
      </c>
      <c r="B127" t="s">
        <v>4547</v>
      </c>
      <c r="C127">
        <v>315</v>
      </c>
      <c r="D127">
        <v>109</v>
      </c>
      <c r="E127" t="s">
        <v>16</v>
      </c>
      <c r="F127"/>
      <c r="H127"/>
      <c r="I127"/>
      <c r="J127"/>
      <c r="K127"/>
      <c r="L127"/>
      <c r="M127"/>
      <c r="N127"/>
      <c r="O127"/>
      <c r="P127"/>
      <c r="Q127">
        <v>0</v>
      </c>
      <c r="R127" s="78">
        <f>IFERROR(INDEX(ListOFErrors!A:K,MATCH(ERRORI__3[[#This Row],[Value.typologyOfErrorId]],ListOFErrors!A:A,0),11),0)</f>
        <v>0</v>
      </c>
    </row>
    <row r="128" spans="1:18" hidden="1" x14ac:dyDescent="0.25">
      <c r="A128" t="s">
        <v>59</v>
      </c>
      <c r="B128" t="s">
        <v>4547</v>
      </c>
      <c r="C128">
        <v>315</v>
      </c>
      <c r="D128">
        <v>328</v>
      </c>
      <c r="E128" t="s">
        <v>16</v>
      </c>
      <c r="F128"/>
      <c r="H128"/>
      <c r="I128"/>
      <c r="J128"/>
      <c r="K128"/>
      <c r="L128"/>
      <c r="M128"/>
      <c r="N128"/>
      <c r="O128"/>
      <c r="P128"/>
      <c r="Q128">
        <v>0</v>
      </c>
      <c r="R128" s="78">
        <f>IFERROR(INDEX(ListOFErrors!A:K,MATCH(ERRORI__3[[#This Row],[Value.typologyOfErrorId]],ListOFErrors!A:A,0),11),0)</f>
        <v>0</v>
      </c>
    </row>
    <row r="129" spans="1:18" hidden="1" x14ac:dyDescent="0.25">
      <c r="A129" t="s">
        <v>59</v>
      </c>
      <c r="B129" t="s">
        <v>52</v>
      </c>
      <c r="C129">
        <v>314</v>
      </c>
      <c r="D129">
        <v>63</v>
      </c>
      <c r="E129" t="s">
        <v>16</v>
      </c>
      <c r="F129"/>
      <c r="H129">
        <v>0</v>
      </c>
      <c r="I129">
        <v>0</v>
      </c>
      <c r="J129">
        <v>0</v>
      </c>
      <c r="K129"/>
      <c r="L129"/>
      <c r="M129"/>
      <c r="N129"/>
      <c r="O129"/>
      <c r="P129"/>
      <c r="Q129">
        <v>0</v>
      </c>
      <c r="R129" s="78">
        <f>IFERROR(INDEX(ListOFErrors!A:K,MATCH(ERRORI__3[[#This Row],[Value.typologyOfErrorId]],ListOFErrors!A:A,0),11),0)</f>
        <v>0</v>
      </c>
    </row>
    <row r="130" spans="1:18" hidden="1" x14ac:dyDescent="0.25">
      <c r="A130" t="s">
        <v>59</v>
      </c>
      <c r="B130" t="s">
        <v>21</v>
      </c>
      <c r="C130">
        <v>324</v>
      </c>
      <c r="D130">
        <v>102</v>
      </c>
      <c r="E130" t="s">
        <v>16</v>
      </c>
      <c r="F130"/>
      <c r="H130">
        <v>0</v>
      </c>
      <c r="I130">
        <v>0</v>
      </c>
      <c r="J130">
        <v>0</v>
      </c>
      <c r="K130"/>
      <c r="L130"/>
      <c r="M130"/>
      <c r="N130"/>
      <c r="O130"/>
      <c r="P130"/>
      <c r="Q130">
        <v>0</v>
      </c>
      <c r="R130" s="78">
        <f>IFERROR(INDEX(ListOFErrors!A:K,MATCH(ERRORI__3[[#This Row],[Value.typologyOfErrorId]],ListOFErrors!A:A,0),11),0)</f>
        <v>0</v>
      </c>
    </row>
    <row r="131" spans="1:18" hidden="1" x14ac:dyDescent="0.25">
      <c r="A131" t="s">
        <v>59</v>
      </c>
      <c r="B131" t="s">
        <v>21</v>
      </c>
      <c r="C131">
        <v>324</v>
      </c>
      <c r="D131">
        <v>163</v>
      </c>
      <c r="E131" t="s">
        <v>16</v>
      </c>
      <c r="F131"/>
      <c r="H131">
        <v>0</v>
      </c>
      <c r="I131">
        <v>0</v>
      </c>
      <c r="J131">
        <v>0</v>
      </c>
      <c r="K131"/>
      <c r="L131"/>
      <c r="M131"/>
      <c r="N131"/>
      <c r="O131"/>
      <c r="P131"/>
      <c r="Q131">
        <v>0</v>
      </c>
      <c r="R131" s="78">
        <f>IFERROR(INDEX(ListOFErrors!A:K,MATCH(ERRORI__3[[#This Row],[Value.typologyOfErrorId]],ListOFErrors!A:A,0),11),0)</f>
        <v>0</v>
      </c>
    </row>
    <row r="132" spans="1:18" hidden="1" x14ac:dyDescent="0.25">
      <c r="A132" t="s">
        <v>59</v>
      </c>
      <c r="B132" t="s">
        <v>382</v>
      </c>
      <c r="C132">
        <v>322</v>
      </c>
      <c r="D132">
        <v>108</v>
      </c>
      <c r="E132" t="s">
        <v>16</v>
      </c>
      <c r="F132"/>
      <c r="H132"/>
      <c r="I132"/>
      <c r="J132"/>
      <c r="K132"/>
      <c r="L132"/>
      <c r="M132"/>
      <c r="N132"/>
      <c r="O132"/>
      <c r="P132"/>
      <c r="Q132">
        <v>0</v>
      </c>
      <c r="R132" s="78">
        <f>IFERROR(INDEX(ListOFErrors!A:K,MATCH(ERRORI__3[[#This Row],[Value.typologyOfErrorId]],ListOFErrors!A:A,0),11),0)</f>
        <v>0</v>
      </c>
    </row>
    <row r="133" spans="1:18" hidden="1" x14ac:dyDescent="0.25">
      <c r="A133" t="s">
        <v>59</v>
      </c>
      <c r="B133" t="s">
        <v>382</v>
      </c>
      <c r="C133">
        <v>322</v>
      </c>
      <c r="D133">
        <v>167</v>
      </c>
      <c r="E133" t="s">
        <v>16</v>
      </c>
      <c r="F133">
        <v>26</v>
      </c>
      <c r="G133" s="2" t="s">
        <v>133</v>
      </c>
      <c r="H133">
        <v>0</v>
      </c>
      <c r="I133">
        <v>0</v>
      </c>
      <c r="J133">
        <v>0</v>
      </c>
      <c r="K133">
        <v>7738.18</v>
      </c>
      <c r="L133">
        <v>0</v>
      </c>
      <c r="M133">
        <v>0</v>
      </c>
      <c r="N133">
        <v>0</v>
      </c>
      <c r="O133">
        <v>0</v>
      </c>
      <c r="P133">
        <v>0</v>
      </c>
      <c r="Q133">
        <v>7738.18</v>
      </c>
      <c r="R133" s="78">
        <f>IFERROR(INDEX(ListOFErrors!A:K,MATCH(ERRORI__3[[#This Row],[Value.typologyOfErrorId]],ListOFErrors!A:A,0),11),0)</f>
        <v>6</v>
      </c>
    </row>
    <row r="134" spans="1:18" hidden="1" x14ac:dyDescent="0.25">
      <c r="A134" t="s">
        <v>59</v>
      </c>
      <c r="B134" t="s">
        <v>382</v>
      </c>
      <c r="C134">
        <v>322</v>
      </c>
      <c r="D134">
        <v>167</v>
      </c>
      <c r="E134" t="s">
        <v>16</v>
      </c>
      <c r="F134"/>
      <c r="H134"/>
      <c r="I134"/>
      <c r="J134"/>
      <c r="K134"/>
      <c r="L134"/>
      <c r="M134"/>
      <c r="N134"/>
      <c r="O134"/>
      <c r="P134"/>
      <c r="Q134">
        <v>0</v>
      </c>
      <c r="R134" s="78">
        <f>IFERROR(INDEX(ListOFErrors!A:K,MATCH(ERRORI__3[[#This Row],[Value.typologyOfErrorId]],ListOFErrors!A:A,0),11),0)</f>
        <v>0</v>
      </c>
    </row>
    <row r="135" spans="1:18" hidden="1" x14ac:dyDescent="0.25">
      <c r="A135" t="s">
        <v>59</v>
      </c>
      <c r="B135" t="s">
        <v>41</v>
      </c>
      <c r="C135">
        <v>320</v>
      </c>
      <c r="D135">
        <v>67</v>
      </c>
      <c r="E135" t="s">
        <v>16</v>
      </c>
      <c r="F135">
        <v>27</v>
      </c>
      <c r="G135" s="2" t="s">
        <v>81</v>
      </c>
      <c r="H135">
        <v>70.66</v>
      </c>
      <c r="I135">
        <v>0</v>
      </c>
      <c r="J135">
        <v>0</v>
      </c>
      <c r="K135">
        <v>0</v>
      </c>
      <c r="L135">
        <v>0</v>
      </c>
      <c r="M135">
        <v>0</v>
      </c>
      <c r="N135">
        <v>0</v>
      </c>
      <c r="O135">
        <v>0</v>
      </c>
      <c r="P135">
        <v>0</v>
      </c>
      <c r="Q135">
        <v>70.66</v>
      </c>
      <c r="R135" s="78">
        <f>IFERROR(INDEX(ListOFErrors!A:K,MATCH(ERRORI__3[[#This Row],[Value.typologyOfErrorId]],ListOFErrors!A:A,0),11),0)</f>
        <v>2</v>
      </c>
    </row>
    <row r="136" spans="1:18" hidden="1" x14ac:dyDescent="0.25">
      <c r="A136" t="s">
        <v>59</v>
      </c>
      <c r="B136" t="s">
        <v>41</v>
      </c>
      <c r="C136">
        <v>320</v>
      </c>
      <c r="D136">
        <v>67</v>
      </c>
      <c r="E136" t="s">
        <v>16</v>
      </c>
      <c r="F136"/>
      <c r="H136"/>
      <c r="I136"/>
      <c r="J136"/>
      <c r="K136"/>
      <c r="L136"/>
      <c r="M136"/>
      <c r="N136"/>
      <c r="O136"/>
      <c r="P136">
        <v>28.26</v>
      </c>
      <c r="Q136">
        <v>28.26</v>
      </c>
      <c r="R136" s="78">
        <f>IFERROR(INDEX(ListOFErrors!A:K,MATCH(ERRORI__3[[#This Row],[Value.typologyOfErrorId]],ListOFErrors!A:A,0),11),0)</f>
        <v>0</v>
      </c>
    </row>
    <row r="137" spans="1:18" hidden="1" x14ac:dyDescent="0.25">
      <c r="A137" t="s">
        <v>59</v>
      </c>
      <c r="B137" t="s">
        <v>69</v>
      </c>
      <c r="C137">
        <v>325</v>
      </c>
      <c r="D137">
        <v>244</v>
      </c>
      <c r="E137" t="s">
        <v>16</v>
      </c>
      <c r="F137"/>
      <c r="H137"/>
      <c r="I137"/>
      <c r="J137"/>
      <c r="K137"/>
      <c r="L137"/>
      <c r="M137"/>
      <c r="N137"/>
      <c r="O137"/>
      <c r="P137">
        <v>0</v>
      </c>
      <c r="Q137">
        <v>0</v>
      </c>
      <c r="R137" s="78">
        <f>IFERROR(INDEX(ListOFErrors!A:K,MATCH(ERRORI__3[[#This Row],[Value.typologyOfErrorId]],ListOFErrors!A:A,0),11),0)</f>
        <v>0</v>
      </c>
    </row>
    <row r="138" spans="1:18" hidden="1" x14ac:dyDescent="0.25">
      <c r="A138" t="s">
        <v>59</v>
      </c>
      <c r="B138" t="s">
        <v>69</v>
      </c>
      <c r="C138">
        <v>325</v>
      </c>
      <c r="D138">
        <v>75</v>
      </c>
      <c r="E138" t="s">
        <v>16</v>
      </c>
      <c r="F138">
        <v>12</v>
      </c>
      <c r="G138" s="2" t="s">
        <v>82</v>
      </c>
      <c r="H138">
        <v>28064.92</v>
      </c>
      <c r="I138">
        <v>0</v>
      </c>
      <c r="J138">
        <v>0</v>
      </c>
      <c r="K138">
        <v>0</v>
      </c>
      <c r="L138">
        <v>0</v>
      </c>
      <c r="M138">
        <v>0</v>
      </c>
      <c r="N138">
        <v>0</v>
      </c>
      <c r="O138">
        <v>0</v>
      </c>
      <c r="P138">
        <v>0</v>
      </c>
      <c r="Q138">
        <v>28064.92</v>
      </c>
      <c r="R138" s="78">
        <f>IFERROR(INDEX(ListOFErrors!A:K,MATCH(ERRORI__3[[#This Row],[Value.typologyOfErrorId]],ListOFErrors!A:A,0),11),0)</f>
        <v>6</v>
      </c>
    </row>
    <row r="139" spans="1:18" hidden="1" x14ac:dyDescent="0.25">
      <c r="A139" t="s">
        <v>59</v>
      </c>
      <c r="B139" t="s">
        <v>69</v>
      </c>
      <c r="C139">
        <v>325</v>
      </c>
      <c r="D139">
        <v>75</v>
      </c>
      <c r="E139" t="s">
        <v>16</v>
      </c>
      <c r="F139"/>
      <c r="H139"/>
      <c r="I139"/>
      <c r="J139"/>
      <c r="K139"/>
      <c r="L139"/>
      <c r="M139"/>
      <c r="N139"/>
      <c r="O139"/>
      <c r="P139">
        <v>8138.82</v>
      </c>
      <c r="Q139">
        <v>8138.82</v>
      </c>
      <c r="R139" s="78">
        <f>IFERROR(INDEX(ListOFErrors!A:K,MATCH(ERRORI__3[[#This Row],[Value.typologyOfErrorId]],ListOFErrors!A:A,0),11),0)</f>
        <v>0</v>
      </c>
    </row>
    <row r="140" spans="1:18" hidden="1" x14ac:dyDescent="0.25">
      <c r="A140" t="s">
        <v>59</v>
      </c>
      <c r="B140" t="s">
        <v>22</v>
      </c>
      <c r="C140">
        <v>318</v>
      </c>
      <c r="D140">
        <v>292</v>
      </c>
      <c r="E140" t="s">
        <v>16</v>
      </c>
      <c r="F140"/>
      <c r="H140"/>
      <c r="I140">
        <v>0</v>
      </c>
      <c r="J140">
        <v>0</v>
      </c>
      <c r="K140"/>
      <c r="L140"/>
      <c r="M140"/>
      <c r="N140"/>
      <c r="O140"/>
      <c r="P140"/>
      <c r="Q140">
        <v>0</v>
      </c>
      <c r="R140" s="78">
        <f>IFERROR(INDEX(ListOFErrors!A:K,MATCH(ERRORI__3[[#This Row],[Value.typologyOfErrorId]],ListOFErrors!A:A,0),11),0)</f>
        <v>0</v>
      </c>
    </row>
    <row r="141" spans="1:18" hidden="1" x14ac:dyDescent="0.25">
      <c r="A141" t="s">
        <v>59</v>
      </c>
      <c r="B141" t="s">
        <v>22</v>
      </c>
      <c r="C141">
        <v>318</v>
      </c>
      <c r="D141">
        <v>51</v>
      </c>
      <c r="E141" t="s">
        <v>16</v>
      </c>
      <c r="F141">
        <v>1</v>
      </c>
      <c r="G141" s="2" t="s">
        <v>17</v>
      </c>
      <c r="H141">
        <v>1143.4000000000001</v>
      </c>
      <c r="I141">
        <v>0</v>
      </c>
      <c r="J141">
        <v>0</v>
      </c>
      <c r="K141">
        <v>0</v>
      </c>
      <c r="L141">
        <v>0</v>
      </c>
      <c r="M141">
        <v>0</v>
      </c>
      <c r="N141">
        <v>0</v>
      </c>
      <c r="O141">
        <v>0</v>
      </c>
      <c r="P141">
        <v>0</v>
      </c>
      <c r="Q141">
        <v>1143.4000000000001</v>
      </c>
      <c r="R141" s="78">
        <f>IFERROR(INDEX(ListOFErrors!A:K,MATCH(ERRORI__3[[#This Row],[Value.typologyOfErrorId]],ListOFErrors!A:A,0),11),0)</f>
        <v>2</v>
      </c>
    </row>
    <row r="142" spans="1:18" hidden="1" x14ac:dyDescent="0.25">
      <c r="A142" t="s">
        <v>59</v>
      </c>
      <c r="B142" t="s">
        <v>22</v>
      </c>
      <c r="C142">
        <v>318</v>
      </c>
      <c r="D142">
        <v>51</v>
      </c>
      <c r="E142" t="s">
        <v>16</v>
      </c>
      <c r="F142"/>
      <c r="H142"/>
      <c r="I142">
        <v>171.51</v>
      </c>
      <c r="J142">
        <v>45.74</v>
      </c>
      <c r="K142"/>
      <c r="L142"/>
      <c r="M142"/>
      <c r="N142"/>
      <c r="O142"/>
      <c r="P142"/>
      <c r="Q142">
        <v>217.25</v>
      </c>
      <c r="R142" s="78">
        <f>IFERROR(INDEX(ListOFErrors!A:K,MATCH(ERRORI__3[[#This Row],[Value.typologyOfErrorId]],ListOFErrors!A:A,0),11),0)</f>
        <v>0</v>
      </c>
    </row>
    <row r="143" spans="1:18" hidden="1" x14ac:dyDescent="0.25">
      <c r="A143" t="s">
        <v>59</v>
      </c>
      <c r="B143" t="s">
        <v>48</v>
      </c>
      <c r="C143">
        <v>319</v>
      </c>
      <c r="D143">
        <v>56</v>
      </c>
      <c r="E143" t="s">
        <v>16</v>
      </c>
      <c r="F143">
        <v>3</v>
      </c>
      <c r="G143" s="2" t="s">
        <v>77</v>
      </c>
      <c r="H143">
        <v>31.83</v>
      </c>
      <c r="I143">
        <v>0</v>
      </c>
      <c r="J143">
        <v>0</v>
      </c>
      <c r="K143">
        <v>0</v>
      </c>
      <c r="L143">
        <v>0</v>
      </c>
      <c r="M143">
        <v>0</v>
      </c>
      <c r="N143">
        <v>0</v>
      </c>
      <c r="O143">
        <v>0</v>
      </c>
      <c r="P143">
        <v>0</v>
      </c>
      <c r="Q143">
        <v>31.83</v>
      </c>
      <c r="R143" s="78">
        <f>IFERROR(INDEX(ListOFErrors!A:K,MATCH(ERRORI__3[[#This Row],[Value.typologyOfErrorId]],ListOFErrors!A:A,0),11),0)</f>
        <v>2</v>
      </c>
    </row>
    <row r="144" spans="1:18" hidden="1" x14ac:dyDescent="0.25">
      <c r="A144" t="s">
        <v>59</v>
      </c>
      <c r="B144" t="s">
        <v>48</v>
      </c>
      <c r="C144">
        <v>319</v>
      </c>
      <c r="D144">
        <v>56</v>
      </c>
      <c r="E144" t="s">
        <v>16</v>
      </c>
      <c r="F144"/>
      <c r="H144"/>
      <c r="I144"/>
      <c r="J144"/>
      <c r="K144"/>
      <c r="L144"/>
      <c r="M144"/>
      <c r="N144"/>
      <c r="O144"/>
      <c r="P144">
        <v>8.6</v>
      </c>
      <c r="Q144">
        <v>8.6</v>
      </c>
      <c r="R144" s="78">
        <f>IFERROR(INDEX(ListOFErrors!A:K,MATCH(ERRORI__3[[#This Row],[Value.typologyOfErrorId]],ListOFErrors!A:A,0),11),0)</f>
        <v>0</v>
      </c>
    </row>
    <row r="145" spans="1:18" hidden="1" x14ac:dyDescent="0.25">
      <c r="A145" t="s">
        <v>59</v>
      </c>
      <c r="B145" t="s">
        <v>48</v>
      </c>
      <c r="C145">
        <v>319</v>
      </c>
      <c r="D145">
        <v>57</v>
      </c>
      <c r="E145" t="s">
        <v>16</v>
      </c>
      <c r="F145">
        <v>14</v>
      </c>
      <c r="G145" s="2" t="s">
        <v>78</v>
      </c>
      <c r="H145">
        <v>341.53</v>
      </c>
      <c r="I145">
        <v>0</v>
      </c>
      <c r="J145">
        <v>0</v>
      </c>
      <c r="K145">
        <v>0</v>
      </c>
      <c r="L145">
        <v>0</v>
      </c>
      <c r="M145">
        <v>0</v>
      </c>
      <c r="N145">
        <v>0</v>
      </c>
      <c r="O145">
        <v>0</v>
      </c>
      <c r="P145">
        <v>0</v>
      </c>
      <c r="Q145">
        <v>341.53</v>
      </c>
      <c r="R145" s="78">
        <f>IFERROR(INDEX(ListOFErrors!A:K,MATCH(ERRORI__3[[#This Row],[Value.typologyOfErrorId]],ListOFErrors!A:A,0),11),0)</f>
        <v>8</v>
      </c>
    </row>
    <row r="146" spans="1:18" hidden="1" x14ac:dyDescent="0.25">
      <c r="A146" t="s">
        <v>59</v>
      </c>
      <c r="B146" t="s">
        <v>48</v>
      </c>
      <c r="C146">
        <v>319</v>
      </c>
      <c r="D146">
        <v>57</v>
      </c>
      <c r="E146" t="s">
        <v>16</v>
      </c>
      <c r="F146"/>
      <c r="H146"/>
      <c r="I146"/>
      <c r="J146"/>
      <c r="K146"/>
      <c r="L146"/>
      <c r="M146"/>
      <c r="N146"/>
      <c r="O146"/>
      <c r="P146">
        <v>92.21</v>
      </c>
      <c r="Q146">
        <v>92.21</v>
      </c>
      <c r="R146" s="78">
        <f>IFERROR(INDEX(ListOFErrors!A:K,MATCH(ERRORI__3[[#This Row],[Value.typologyOfErrorId]],ListOFErrors!A:A,0),11),0)</f>
        <v>0</v>
      </c>
    </row>
    <row r="147" spans="1:18" hidden="1" x14ac:dyDescent="0.25">
      <c r="A147" t="s">
        <v>59</v>
      </c>
      <c r="B147" t="s">
        <v>28</v>
      </c>
      <c r="C147">
        <v>317</v>
      </c>
      <c r="D147">
        <v>53</v>
      </c>
      <c r="E147" t="s">
        <v>16</v>
      </c>
      <c r="F147"/>
      <c r="H147"/>
      <c r="I147"/>
      <c r="J147"/>
      <c r="K147"/>
      <c r="L147"/>
      <c r="M147"/>
      <c r="N147"/>
      <c r="O147"/>
      <c r="P147">
        <v>0</v>
      </c>
      <c r="Q147">
        <v>0</v>
      </c>
      <c r="R147" s="78">
        <f>IFERROR(INDEX(ListOFErrors!A:K,MATCH(ERRORI__3[[#This Row],[Value.typologyOfErrorId]],ListOFErrors!A:A,0),11),0)</f>
        <v>0</v>
      </c>
    </row>
    <row r="148" spans="1:18" hidden="1" x14ac:dyDescent="0.25">
      <c r="A148" t="s">
        <v>271</v>
      </c>
      <c r="B148" t="s">
        <v>272</v>
      </c>
      <c r="C148">
        <v>229</v>
      </c>
      <c r="D148">
        <v>246</v>
      </c>
      <c r="E148" t="s">
        <v>16</v>
      </c>
      <c r="F148"/>
      <c r="H148">
        <v>0</v>
      </c>
      <c r="I148">
        <v>0</v>
      </c>
      <c r="J148">
        <v>0</v>
      </c>
      <c r="K148"/>
      <c r="L148"/>
      <c r="M148"/>
      <c r="N148"/>
      <c r="O148"/>
      <c r="P148"/>
      <c r="Q148">
        <v>0</v>
      </c>
      <c r="R148" s="78">
        <f>IFERROR(INDEX(ListOFErrors!A:K,MATCH(ERRORI__3[[#This Row],[Value.typologyOfErrorId]],ListOFErrors!A:A,0),11),0)</f>
        <v>0</v>
      </c>
    </row>
    <row r="149" spans="1:18" hidden="1" x14ac:dyDescent="0.25">
      <c r="A149" t="s">
        <v>271</v>
      </c>
      <c r="B149" t="s">
        <v>274</v>
      </c>
      <c r="C149">
        <v>218</v>
      </c>
      <c r="D149">
        <v>233</v>
      </c>
      <c r="E149" t="s">
        <v>16</v>
      </c>
      <c r="F149">
        <v>14</v>
      </c>
      <c r="G149" s="2" t="s">
        <v>78</v>
      </c>
      <c r="H149">
        <v>1987.94</v>
      </c>
      <c r="I149">
        <v>0</v>
      </c>
      <c r="J149">
        <v>0</v>
      </c>
      <c r="K149">
        <v>0</v>
      </c>
      <c r="L149">
        <v>0</v>
      </c>
      <c r="M149">
        <v>0</v>
      </c>
      <c r="N149">
        <v>0</v>
      </c>
      <c r="O149">
        <v>0</v>
      </c>
      <c r="P149">
        <v>0</v>
      </c>
      <c r="Q149">
        <v>1987.94</v>
      </c>
      <c r="R149" s="78">
        <f>IFERROR(INDEX(ListOFErrors!A:K,MATCH(ERRORI__3[[#This Row],[Value.typologyOfErrorId]],ListOFErrors!A:A,0),11),0)</f>
        <v>8</v>
      </c>
    </row>
    <row r="150" spans="1:18" hidden="1" x14ac:dyDescent="0.25">
      <c r="A150" t="s">
        <v>271</v>
      </c>
      <c r="B150" t="s">
        <v>274</v>
      </c>
      <c r="C150">
        <v>218</v>
      </c>
      <c r="D150">
        <v>233</v>
      </c>
      <c r="E150" t="s">
        <v>16</v>
      </c>
      <c r="F150"/>
      <c r="H150"/>
      <c r="I150">
        <v>298.19</v>
      </c>
      <c r="J150">
        <v>79.52</v>
      </c>
      <c r="K150"/>
      <c r="L150"/>
      <c r="M150"/>
      <c r="N150"/>
      <c r="O150"/>
      <c r="P150"/>
      <c r="Q150">
        <v>377.71</v>
      </c>
      <c r="R150" s="78">
        <f>IFERROR(INDEX(ListOFErrors!A:K,MATCH(ERRORI__3[[#This Row],[Value.typologyOfErrorId]],ListOFErrors!A:A,0),11),0)</f>
        <v>0</v>
      </c>
    </row>
    <row r="151" spans="1:18" hidden="1" x14ac:dyDescent="0.25">
      <c r="A151" t="s">
        <v>271</v>
      </c>
      <c r="B151" t="s">
        <v>275</v>
      </c>
      <c r="C151">
        <v>221</v>
      </c>
      <c r="D151">
        <v>325</v>
      </c>
      <c r="E151" t="s">
        <v>16</v>
      </c>
      <c r="F151"/>
      <c r="H151"/>
      <c r="I151">
        <v>0</v>
      </c>
      <c r="J151">
        <v>0</v>
      </c>
      <c r="K151"/>
      <c r="L151"/>
      <c r="M151"/>
      <c r="N151"/>
      <c r="O151"/>
      <c r="P151"/>
      <c r="Q151">
        <v>0</v>
      </c>
      <c r="R151" s="78">
        <f>IFERROR(INDEX(ListOFErrors!A:K,MATCH(ERRORI__3[[#This Row],[Value.typologyOfErrorId]],ListOFErrors!A:A,0),11),0)</f>
        <v>0</v>
      </c>
    </row>
    <row r="152" spans="1:18" hidden="1" x14ac:dyDescent="0.25">
      <c r="A152" t="s">
        <v>271</v>
      </c>
      <c r="B152" t="s">
        <v>276</v>
      </c>
      <c r="C152">
        <v>76</v>
      </c>
      <c r="D152">
        <v>198</v>
      </c>
      <c r="E152" t="s">
        <v>16</v>
      </c>
      <c r="F152">
        <v>13</v>
      </c>
      <c r="G152" s="2" t="s">
        <v>80</v>
      </c>
      <c r="H152">
        <v>589.54999999999995</v>
      </c>
      <c r="I152">
        <v>0</v>
      </c>
      <c r="J152">
        <v>0</v>
      </c>
      <c r="K152">
        <v>0</v>
      </c>
      <c r="L152">
        <v>0</v>
      </c>
      <c r="M152">
        <v>0</v>
      </c>
      <c r="N152">
        <v>0</v>
      </c>
      <c r="O152">
        <v>0</v>
      </c>
      <c r="P152">
        <v>0</v>
      </c>
      <c r="Q152">
        <v>589.54999999999995</v>
      </c>
      <c r="R152" s="78">
        <f>IFERROR(INDEX(ListOFErrors!A:K,MATCH(ERRORI__3[[#This Row],[Value.typologyOfErrorId]],ListOFErrors!A:A,0),11),0)</f>
        <v>6</v>
      </c>
    </row>
    <row r="153" spans="1:18" hidden="1" x14ac:dyDescent="0.25">
      <c r="A153" t="s">
        <v>271</v>
      </c>
      <c r="B153" t="s">
        <v>276</v>
      </c>
      <c r="C153">
        <v>76</v>
      </c>
      <c r="D153">
        <v>198</v>
      </c>
      <c r="E153" t="s">
        <v>16</v>
      </c>
      <c r="F153"/>
      <c r="H153"/>
      <c r="I153"/>
      <c r="J153"/>
      <c r="K153"/>
      <c r="L153"/>
      <c r="M153"/>
      <c r="N153"/>
      <c r="O153"/>
      <c r="P153">
        <v>235.82</v>
      </c>
      <c r="Q153">
        <v>235.82</v>
      </c>
      <c r="R153" s="78">
        <f>IFERROR(INDEX(ListOFErrors!A:K,MATCH(ERRORI__3[[#This Row],[Value.typologyOfErrorId]],ListOFErrors!A:A,0),11),0)</f>
        <v>0</v>
      </c>
    </row>
    <row r="154" spans="1:18" hidden="1" x14ac:dyDescent="0.25">
      <c r="A154" t="s">
        <v>57</v>
      </c>
      <c r="B154" t="s">
        <v>29</v>
      </c>
      <c r="C154">
        <v>312</v>
      </c>
      <c r="D154">
        <v>218</v>
      </c>
      <c r="E154" t="s">
        <v>16</v>
      </c>
      <c r="F154">
        <v>14</v>
      </c>
      <c r="G154" s="2" t="s">
        <v>78</v>
      </c>
      <c r="H154">
        <v>78.36</v>
      </c>
      <c r="I154">
        <v>0</v>
      </c>
      <c r="J154">
        <v>0</v>
      </c>
      <c r="K154">
        <v>0</v>
      </c>
      <c r="L154">
        <v>0</v>
      </c>
      <c r="M154">
        <v>0</v>
      </c>
      <c r="N154">
        <v>0</v>
      </c>
      <c r="O154">
        <v>0</v>
      </c>
      <c r="P154">
        <v>0</v>
      </c>
      <c r="Q154">
        <v>78.36</v>
      </c>
      <c r="R154" s="78">
        <f>IFERROR(INDEX(ListOFErrors!A:K,MATCH(ERRORI__3[[#This Row],[Value.typologyOfErrorId]],ListOFErrors!A:A,0),11),0)</f>
        <v>8</v>
      </c>
    </row>
    <row r="155" spans="1:18" hidden="1" x14ac:dyDescent="0.25">
      <c r="A155" t="s">
        <v>57</v>
      </c>
      <c r="B155" t="s">
        <v>29</v>
      </c>
      <c r="C155">
        <v>312</v>
      </c>
      <c r="D155">
        <v>218</v>
      </c>
      <c r="E155" t="s">
        <v>16</v>
      </c>
      <c r="F155"/>
      <c r="H155"/>
      <c r="I155">
        <v>11.75</v>
      </c>
      <c r="J155">
        <v>3.14</v>
      </c>
      <c r="K155"/>
      <c r="L155"/>
      <c r="M155"/>
      <c r="N155"/>
      <c r="O155"/>
      <c r="P155"/>
      <c r="Q155">
        <v>14.89</v>
      </c>
      <c r="R155" s="78">
        <f>IFERROR(INDEX(ListOFErrors!A:K,MATCH(ERRORI__3[[#This Row],[Value.typologyOfErrorId]],ListOFErrors!A:A,0),11),0)</f>
        <v>0</v>
      </c>
    </row>
    <row r="156" spans="1:18" hidden="1" x14ac:dyDescent="0.25">
      <c r="A156" t="s">
        <v>57</v>
      </c>
      <c r="B156" t="s">
        <v>29</v>
      </c>
      <c r="C156">
        <v>312</v>
      </c>
      <c r="D156">
        <v>61</v>
      </c>
      <c r="E156" t="s">
        <v>16</v>
      </c>
      <c r="F156">
        <v>8</v>
      </c>
      <c r="G156" s="2" t="s">
        <v>76</v>
      </c>
      <c r="H156">
        <v>472.88</v>
      </c>
      <c r="I156">
        <v>0</v>
      </c>
      <c r="J156">
        <v>0</v>
      </c>
      <c r="K156">
        <v>0</v>
      </c>
      <c r="L156">
        <v>0</v>
      </c>
      <c r="M156">
        <v>0</v>
      </c>
      <c r="N156">
        <v>0</v>
      </c>
      <c r="O156">
        <v>0</v>
      </c>
      <c r="P156">
        <v>0</v>
      </c>
      <c r="Q156">
        <v>472.88</v>
      </c>
      <c r="R156" s="78">
        <f>IFERROR(INDEX(ListOFErrors!A:K,MATCH(ERRORI__3[[#This Row],[Value.typologyOfErrorId]],ListOFErrors!A:A,0),11),0)</f>
        <v>8</v>
      </c>
    </row>
    <row r="157" spans="1:18" hidden="1" x14ac:dyDescent="0.25">
      <c r="A157" t="s">
        <v>57</v>
      </c>
      <c r="B157" t="s">
        <v>29</v>
      </c>
      <c r="C157">
        <v>312</v>
      </c>
      <c r="D157">
        <v>61</v>
      </c>
      <c r="E157" t="s">
        <v>16</v>
      </c>
      <c r="F157">
        <v>14</v>
      </c>
      <c r="G157" s="2" t="s">
        <v>78</v>
      </c>
      <c r="H157">
        <v>207.37</v>
      </c>
      <c r="I157">
        <v>0</v>
      </c>
      <c r="J157">
        <v>0</v>
      </c>
      <c r="K157">
        <v>0</v>
      </c>
      <c r="L157">
        <v>0</v>
      </c>
      <c r="M157">
        <v>0</v>
      </c>
      <c r="N157">
        <v>0</v>
      </c>
      <c r="O157">
        <v>0</v>
      </c>
      <c r="P157">
        <v>0</v>
      </c>
      <c r="Q157">
        <v>207.37</v>
      </c>
      <c r="R157" s="78">
        <f>IFERROR(INDEX(ListOFErrors!A:K,MATCH(ERRORI__3[[#This Row],[Value.typologyOfErrorId]],ListOFErrors!A:A,0),11),0)</f>
        <v>8</v>
      </c>
    </row>
    <row r="158" spans="1:18" hidden="1" x14ac:dyDescent="0.25">
      <c r="A158" t="s">
        <v>57</v>
      </c>
      <c r="B158" t="s">
        <v>29</v>
      </c>
      <c r="C158">
        <v>312</v>
      </c>
      <c r="D158">
        <v>61</v>
      </c>
      <c r="E158" t="s">
        <v>16</v>
      </c>
      <c r="F158"/>
      <c r="H158"/>
      <c r="I158">
        <v>102.03</v>
      </c>
      <c r="J158">
        <v>27.21</v>
      </c>
      <c r="K158"/>
      <c r="L158"/>
      <c r="M158"/>
      <c r="N158"/>
      <c r="O158"/>
      <c r="P158"/>
      <c r="Q158">
        <v>129.24</v>
      </c>
      <c r="R158" s="78">
        <f>IFERROR(INDEX(ListOFErrors!A:K,MATCH(ERRORI__3[[#This Row],[Value.typologyOfErrorId]],ListOFErrors!A:A,0),11),0)</f>
        <v>0</v>
      </c>
    </row>
    <row r="159" spans="1:18" hidden="1" x14ac:dyDescent="0.25">
      <c r="A159" t="s">
        <v>57</v>
      </c>
      <c r="B159" t="s">
        <v>0</v>
      </c>
      <c r="C159">
        <v>305</v>
      </c>
      <c r="D159">
        <v>274</v>
      </c>
      <c r="E159" t="s">
        <v>16</v>
      </c>
      <c r="F159">
        <v>68</v>
      </c>
      <c r="G159" s="2" t="s">
        <v>83</v>
      </c>
      <c r="H159">
        <v>272</v>
      </c>
      <c r="I159">
        <v>0</v>
      </c>
      <c r="J159">
        <v>0</v>
      </c>
      <c r="K159">
        <v>0</v>
      </c>
      <c r="L159">
        <v>0</v>
      </c>
      <c r="M159">
        <v>0</v>
      </c>
      <c r="N159">
        <v>0</v>
      </c>
      <c r="O159">
        <v>0</v>
      </c>
      <c r="P159">
        <v>0</v>
      </c>
      <c r="Q159">
        <v>272</v>
      </c>
      <c r="R159" s="78">
        <f>IFERROR(INDEX(ListOFErrors!A:K,MATCH(ERRORI__3[[#This Row],[Value.typologyOfErrorId]],ListOFErrors!A:A,0),11),0)</f>
        <v>2</v>
      </c>
    </row>
    <row r="160" spans="1:18" hidden="1" x14ac:dyDescent="0.25">
      <c r="A160" t="s">
        <v>57</v>
      </c>
      <c r="B160" t="s">
        <v>0</v>
      </c>
      <c r="C160">
        <v>305</v>
      </c>
      <c r="D160">
        <v>274</v>
      </c>
      <c r="E160" t="s">
        <v>16</v>
      </c>
      <c r="F160"/>
      <c r="H160"/>
      <c r="I160">
        <v>40.799999999999997</v>
      </c>
      <c r="J160">
        <v>10.88</v>
      </c>
      <c r="K160"/>
      <c r="L160"/>
      <c r="M160"/>
      <c r="N160"/>
      <c r="O160"/>
      <c r="P160"/>
      <c r="Q160">
        <v>51.68</v>
      </c>
      <c r="R160" s="78">
        <f>IFERROR(INDEX(ListOFErrors!A:K,MATCH(ERRORI__3[[#This Row],[Value.typologyOfErrorId]],ListOFErrors!A:A,0),11),0)</f>
        <v>0</v>
      </c>
    </row>
    <row r="161" spans="1:18" hidden="1" x14ac:dyDescent="0.25">
      <c r="A161" t="s">
        <v>57</v>
      </c>
      <c r="B161" t="s">
        <v>0</v>
      </c>
      <c r="C161">
        <v>305</v>
      </c>
      <c r="D161">
        <v>94</v>
      </c>
      <c r="E161" t="s">
        <v>16</v>
      </c>
      <c r="F161">
        <v>68</v>
      </c>
      <c r="G161" s="2" t="s">
        <v>83</v>
      </c>
      <c r="H161">
        <v>13.5</v>
      </c>
      <c r="I161">
        <v>0</v>
      </c>
      <c r="J161">
        <v>0</v>
      </c>
      <c r="K161">
        <v>0</v>
      </c>
      <c r="L161">
        <v>0</v>
      </c>
      <c r="M161">
        <v>0</v>
      </c>
      <c r="N161">
        <v>0</v>
      </c>
      <c r="O161">
        <v>0</v>
      </c>
      <c r="P161">
        <v>0</v>
      </c>
      <c r="Q161">
        <v>13.5</v>
      </c>
      <c r="R161" s="78">
        <f>IFERROR(INDEX(ListOFErrors!A:K,MATCH(ERRORI__3[[#This Row],[Value.typologyOfErrorId]],ListOFErrors!A:A,0),11),0)</f>
        <v>2</v>
      </c>
    </row>
    <row r="162" spans="1:18" hidden="1" x14ac:dyDescent="0.25">
      <c r="A162" t="s">
        <v>57</v>
      </c>
      <c r="B162" t="s">
        <v>0</v>
      </c>
      <c r="C162">
        <v>305</v>
      </c>
      <c r="D162">
        <v>94</v>
      </c>
      <c r="E162" t="s">
        <v>16</v>
      </c>
      <c r="F162"/>
      <c r="H162"/>
      <c r="I162">
        <v>2.0299999999999998</v>
      </c>
      <c r="J162">
        <v>0.54</v>
      </c>
      <c r="K162"/>
      <c r="L162"/>
      <c r="M162"/>
      <c r="N162"/>
      <c r="O162"/>
      <c r="P162"/>
      <c r="Q162">
        <v>2.57</v>
      </c>
      <c r="R162" s="78">
        <f>IFERROR(INDEX(ListOFErrors!A:K,MATCH(ERRORI__3[[#This Row],[Value.typologyOfErrorId]],ListOFErrors!A:A,0),11),0)</f>
        <v>0</v>
      </c>
    </row>
    <row r="163" spans="1:18" hidden="1" x14ac:dyDescent="0.25">
      <c r="A163" t="s">
        <v>57</v>
      </c>
      <c r="B163" t="s">
        <v>34</v>
      </c>
      <c r="C163">
        <v>306</v>
      </c>
      <c r="D163">
        <v>52</v>
      </c>
      <c r="E163" t="s">
        <v>16</v>
      </c>
      <c r="F163">
        <v>12</v>
      </c>
      <c r="G163" s="2" t="s">
        <v>82</v>
      </c>
      <c r="H163">
        <v>1776.79</v>
      </c>
      <c r="I163">
        <v>0</v>
      </c>
      <c r="J163">
        <v>0</v>
      </c>
      <c r="K163">
        <v>0</v>
      </c>
      <c r="L163">
        <v>0</v>
      </c>
      <c r="M163">
        <v>0</v>
      </c>
      <c r="N163">
        <v>0</v>
      </c>
      <c r="O163">
        <v>0</v>
      </c>
      <c r="P163">
        <v>0</v>
      </c>
      <c r="Q163">
        <v>1776.79</v>
      </c>
      <c r="R163" s="78">
        <f>IFERROR(INDEX(ListOFErrors!A:K,MATCH(ERRORI__3[[#This Row],[Value.typologyOfErrorId]],ListOFErrors!A:A,0),11),0)</f>
        <v>6</v>
      </c>
    </row>
    <row r="164" spans="1:18" hidden="1" x14ac:dyDescent="0.25">
      <c r="A164" t="s">
        <v>57</v>
      </c>
      <c r="B164" t="s">
        <v>34</v>
      </c>
      <c r="C164">
        <v>306</v>
      </c>
      <c r="D164">
        <v>52</v>
      </c>
      <c r="E164" t="s">
        <v>16</v>
      </c>
      <c r="F164"/>
      <c r="H164"/>
      <c r="I164">
        <v>266.52</v>
      </c>
      <c r="J164">
        <v>71.069999999999993</v>
      </c>
      <c r="K164"/>
      <c r="L164"/>
      <c r="M164"/>
      <c r="N164"/>
      <c r="O164"/>
      <c r="P164"/>
      <c r="Q164">
        <v>337.59</v>
      </c>
      <c r="R164" s="78">
        <f>IFERROR(INDEX(ListOFErrors!A:K,MATCH(ERRORI__3[[#This Row],[Value.typologyOfErrorId]],ListOFErrors!A:A,0),11),0)</f>
        <v>0</v>
      </c>
    </row>
    <row r="165" spans="1:18" hidden="1" x14ac:dyDescent="0.25">
      <c r="A165" t="s">
        <v>57</v>
      </c>
      <c r="B165" t="s">
        <v>45</v>
      </c>
      <c r="C165">
        <v>311</v>
      </c>
      <c r="D165">
        <v>68</v>
      </c>
      <c r="E165" t="s">
        <v>16</v>
      </c>
      <c r="F165"/>
      <c r="H165"/>
      <c r="I165">
        <v>0</v>
      </c>
      <c r="J165">
        <v>0</v>
      </c>
      <c r="K165"/>
      <c r="L165"/>
      <c r="M165"/>
      <c r="N165"/>
      <c r="O165"/>
      <c r="P165"/>
      <c r="Q165">
        <v>0</v>
      </c>
      <c r="R165" s="78">
        <f>IFERROR(INDEX(ListOFErrors!A:K,MATCH(ERRORI__3[[#This Row],[Value.typologyOfErrorId]],ListOFErrors!A:A,0),11),0)</f>
        <v>0</v>
      </c>
    </row>
    <row r="166" spans="1:18" hidden="1" x14ac:dyDescent="0.25">
      <c r="A166" t="s">
        <v>57</v>
      </c>
      <c r="B166" t="s">
        <v>42</v>
      </c>
      <c r="C166">
        <v>316</v>
      </c>
      <c r="D166">
        <v>28</v>
      </c>
      <c r="E166" t="s">
        <v>16</v>
      </c>
      <c r="F166">
        <v>8</v>
      </c>
      <c r="G166" s="2" t="s">
        <v>76</v>
      </c>
      <c r="H166">
        <v>56.48</v>
      </c>
      <c r="I166">
        <v>0</v>
      </c>
      <c r="J166">
        <v>0</v>
      </c>
      <c r="K166">
        <v>0</v>
      </c>
      <c r="L166">
        <v>0</v>
      </c>
      <c r="M166">
        <v>0</v>
      </c>
      <c r="N166">
        <v>0</v>
      </c>
      <c r="O166">
        <v>0</v>
      </c>
      <c r="P166">
        <v>0</v>
      </c>
      <c r="Q166">
        <v>56.48</v>
      </c>
      <c r="R166" s="78">
        <f>IFERROR(INDEX(ListOFErrors!A:K,MATCH(ERRORI__3[[#This Row],[Value.typologyOfErrorId]],ListOFErrors!A:A,0),11),0)</f>
        <v>8</v>
      </c>
    </row>
    <row r="167" spans="1:18" hidden="1" x14ac:dyDescent="0.25">
      <c r="A167" t="s">
        <v>57</v>
      </c>
      <c r="B167" t="s">
        <v>42</v>
      </c>
      <c r="C167">
        <v>316</v>
      </c>
      <c r="D167">
        <v>28</v>
      </c>
      <c r="E167" t="s">
        <v>16</v>
      </c>
      <c r="F167">
        <v>14</v>
      </c>
      <c r="G167" s="2" t="s">
        <v>78</v>
      </c>
      <c r="H167">
        <v>45.62</v>
      </c>
      <c r="I167">
        <v>0</v>
      </c>
      <c r="J167">
        <v>0</v>
      </c>
      <c r="K167">
        <v>0</v>
      </c>
      <c r="L167">
        <v>0</v>
      </c>
      <c r="M167">
        <v>0</v>
      </c>
      <c r="N167">
        <v>0</v>
      </c>
      <c r="O167">
        <v>0</v>
      </c>
      <c r="P167">
        <v>0</v>
      </c>
      <c r="Q167">
        <v>45.62</v>
      </c>
      <c r="R167" s="78">
        <f>IFERROR(INDEX(ListOFErrors!A:K,MATCH(ERRORI__3[[#This Row],[Value.typologyOfErrorId]],ListOFErrors!A:A,0),11),0)</f>
        <v>8</v>
      </c>
    </row>
    <row r="168" spans="1:18" hidden="1" x14ac:dyDescent="0.25">
      <c r="A168" t="s">
        <v>57</v>
      </c>
      <c r="B168" t="s">
        <v>42</v>
      </c>
      <c r="C168">
        <v>316</v>
      </c>
      <c r="D168">
        <v>28</v>
      </c>
      <c r="E168" t="s">
        <v>16</v>
      </c>
      <c r="F168"/>
      <c r="H168"/>
      <c r="I168">
        <v>15.31</v>
      </c>
      <c r="J168">
        <v>4.08</v>
      </c>
      <c r="K168"/>
      <c r="L168"/>
      <c r="M168"/>
      <c r="N168"/>
      <c r="O168"/>
      <c r="P168"/>
      <c r="Q168">
        <v>19.39</v>
      </c>
      <c r="R168" s="78">
        <f>IFERROR(INDEX(ListOFErrors!A:K,MATCH(ERRORI__3[[#This Row],[Value.typologyOfErrorId]],ListOFErrors!A:A,0),11),0)</f>
        <v>0</v>
      </c>
    </row>
    <row r="169" spans="1:18" hidden="1" x14ac:dyDescent="0.25">
      <c r="A169" t="s">
        <v>57</v>
      </c>
      <c r="B169" t="s">
        <v>42</v>
      </c>
      <c r="C169">
        <v>316</v>
      </c>
      <c r="D169">
        <v>283</v>
      </c>
      <c r="E169" t="s">
        <v>16</v>
      </c>
      <c r="F169">
        <v>14</v>
      </c>
      <c r="G169" s="2" t="s">
        <v>78</v>
      </c>
      <c r="H169">
        <v>135.87</v>
      </c>
      <c r="I169">
        <v>0</v>
      </c>
      <c r="J169">
        <v>0</v>
      </c>
      <c r="K169">
        <v>0</v>
      </c>
      <c r="L169">
        <v>0</v>
      </c>
      <c r="M169">
        <v>0</v>
      </c>
      <c r="N169">
        <v>0</v>
      </c>
      <c r="O169">
        <v>0</v>
      </c>
      <c r="P169">
        <v>0</v>
      </c>
      <c r="Q169">
        <v>135.87</v>
      </c>
      <c r="R169" s="78">
        <f>IFERROR(INDEX(ListOFErrors!A:K,MATCH(ERRORI__3[[#This Row],[Value.typologyOfErrorId]],ListOFErrors!A:A,0),11),0)</f>
        <v>8</v>
      </c>
    </row>
    <row r="170" spans="1:18" hidden="1" x14ac:dyDescent="0.25">
      <c r="A170" t="s">
        <v>57</v>
      </c>
      <c r="B170" t="s">
        <v>42</v>
      </c>
      <c r="C170">
        <v>316</v>
      </c>
      <c r="D170">
        <v>283</v>
      </c>
      <c r="E170" t="s">
        <v>16</v>
      </c>
      <c r="F170"/>
      <c r="H170"/>
      <c r="I170">
        <v>20.39</v>
      </c>
      <c r="J170">
        <v>5.44</v>
      </c>
      <c r="K170"/>
      <c r="L170"/>
      <c r="M170"/>
      <c r="N170"/>
      <c r="O170"/>
      <c r="P170"/>
      <c r="Q170">
        <v>25.83</v>
      </c>
      <c r="R170" s="78">
        <f>IFERROR(INDEX(ListOFErrors!A:K,MATCH(ERRORI__3[[#This Row],[Value.typologyOfErrorId]],ListOFErrors!A:A,0),11),0)</f>
        <v>0</v>
      </c>
    </row>
    <row r="171" spans="1:18" hidden="1" x14ac:dyDescent="0.25">
      <c r="A171" t="s">
        <v>57</v>
      </c>
      <c r="B171" t="s">
        <v>27</v>
      </c>
      <c r="C171">
        <v>309</v>
      </c>
      <c r="D171">
        <v>216</v>
      </c>
      <c r="E171" t="s">
        <v>16</v>
      </c>
      <c r="F171"/>
      <c r="H171"/>
      <c r="I171">
        <v>0</v>
      </c>
      <c r="J171">
        <v>0</v>
      </c>
      <c r="K171"/>
      <c r="L171"/>
      <c r="M171"/>
      <c r="N171"/>
      <c r="O171"/>
      <c r="P171"/>
      <c r="Q171">
        <v>0</v>
      </c>
      <c r="R171" s="78">
        <f>IFERROR(INDEX(ListOFErrors!A:K,MATCH(ERRORI__3[[#This Row],[Value.typologyOfErrorId]],ListOFErrors!A:A,0),11),0)</f>
        <v>0</v>
      </c>
    </row>
    <row r="172" spans="1:18" hidden="1" x14ac:dyDescent="0.25">
      <c r="A172" t="s">
        <v>57</v>
      </c>
      <c r="B172" t="s">
        <v>27</v>
      </c>
      <c r="C172">
        <v>309</v>
      </c>
      <c r="D172">
        <v>64</v>
      </c>
      <c r="E172" t="s">
        <v>16</v>
      </c>
      <c r="F172">
        <v>3</v>
      </c>
      <c r="G172" s="2" t="s">
        <v>77</v>
      </c>
      <c r="H172">
        <v>146.13</v>
      </c>
      <c r="I172">
        <v>0</v>
      </c>
      <c r="J172">
        <v>0</v>
      </c>
      <c r="K172">
        <v>0</v>
      </c>
      <c r="L172">
        <v>0</v>
      </c>
      <c r="M172">
        <v>0</v>
      </c>
      <c r="N172">
        <v>0</v>
      </c>
      <c r="O172">
        <v>0</v>
      </c>
      <c r="P172">
        <v>0</v>
      </c>
      <c r="Q172">
        <v>146.13</v>
      </c>
      <c r="R172" s="78">
        <f>IFERROR(INDEX(ListOFErrors!A:K,MATCH(ERRORI__3[[#This Row],[Value.typologyOfErrorId]],ListOFErrors!A:A,0),11),0)</f>
        <v>2</v>
      </c>
    </row>
    <row r="173" spans="1:18" hidden="1" x14ac:dyDescent="0.25">
      <c r="A173" t="s">
        <v>57</v>
      </c>
      <c r="B173" t="s">
        <v>27</v>
      </c>
      <c r="C173">
        <v>309</v>
      </c>
      <c r="D173">
        <v>64</v>
      </c>
      <c r="E173" t="s">
        <v>16</v>
      </c>
      <c r="F173"/>
      <c r="H173"/>
      <c r="I173">
        <v>21.92</v>
      </c>
      <c r="J173">
        <v>5.84</v>
      </c>
      <c r="K173"/>
      <c r="L173"/>
      <c r="M173"/>
      <c r="N173"/>
      <c r="O173"/>
      <c r="P173"/>
      <c r="Q173">
        <v>27.76</v>
      </c>
      <c r="R173" s="78">
        <f>IFERROR(INDEX(ListOFErrors!A:K,MATCH(ERRORI__3[[#This Row],[Value.typologyOfErrorId]],ListOFErrors!A:A,0),11),0)</f>
        <v>0</v>
      </c>
    </row>
    <row r="174" spans="1:18" hidden="1" x14ac:dyDescent="0.25">
      <c r="A174" t="s">
        <v>57</v>
      </c>
      <c r="B174" t="s">
        <v>20</v>
      </c>
      <c r="C174">
        <v>304</v>
      </c>
      <c r="D174">
        <v>243</v>
      </c>
      <c r="E174" t="s">
        <v>16</v>
      </c>
      <c r="F174">
        <v>13</v>
      </c>
      <c r="G174" t="s">
        <v>80</v>
      </c>
      <c r="H174">
        <v>0</v>
      </c>
      <c r="I174">
        <v>0</v>
      </c>
      <c r="J174">
        <v>0</v>
      </c>
      <c r="K174">
        <v>192.78</v>
      </c>
      <c r="L174">
        <v>0</v>
      </c>
      <c r="M174">
        <v>0</v>
      </c>
      <c r="N174">
        <v>0</v>
      </c>
      <c r="O174">
        <v>0</v>
      </c>
      <c r="P174">
        <v>0</v>
      </c>
      <c r="Q174">
        <v>192.78</v>
      </c>
      <c r="R174" s="78">
        <f>IFERROR(INDEX(ListOFErrors!A:K,MATCH(ERRORI__3[[#This Row],[Value.typologyOfErrorId]],ListOFErrors!A:A,0),11),0)</f>
        <v>6</v>
      </c>
    </row>
    <row r="175" spans="1:18" hidden="1" x14ac:dyDescent="0.25">
      <c r="A175" t="s">
        <v>57</v>
      </c>
      <c r="B175" t="s">
        <v>20</v>
      </c>
      <c r="C175">
        <v>304</v>
      </c>
      <c r="D175">
        <v>243</v>
      </c>
      <c r="E175" t="s">
        <v>16</v>
      </c>
      <c r="F175"/>
      <c r="G175"/>
      <c r="H175">
        <v>38.56</v>
      </c>
      <c r="I175">
        <v>5.79</v>
      </c>
      <c r="J175">
        <v>1.55</v>
      </c>
      <c r="K175"/>
      <c r="L175"/>
      <c r="M175"/>
      <c r="N175"/>
      <c r="O175"/>
      <c r="P175"/>
      <c r="Q175">
        <v>45.9</v>
      </c>
      <c r="R175" s="78">
        <f>IFERROR(INDEX(ListOFErrors!A:K,MATCH(ERRORI__3[[#This Row],[Value.typologyOfErrorId]],ListOFErrors!A:A,0),11),0)</f>
        <v>0</v>
      </c>
    </row>
    <row r="176" spans="1:18" hidden="1" x14ac:dyDescent="0.25">
      <c r="A176" t="s">
        <v>57</v>
      </c>
      <c r="B176" t="s">
        <v>20</v>
      </c>
      <c r="C176">
        <v>304</v>
      </c>
      <c r="D176">
        <v>39</v>
      </c>
      <c r="E176" t="s">
        <v>16</v>
      </c>
      <c r="F176"/>
      <c r="G176"/>
      <c r="H176">
        <v>0</v>
      </c>
      <c r="I176">
        <v>0</v>
      </c>
      <c r="J176">
        <v>0</v>
      </c>
      <c r="K176"/>
      <c r="L176"/>
      <c r="M176"/>
      <c r="N176"/>
      <c r="O176"/>
      <c r="P176"/>
      <c r="Q176">
        <v>0</v>
      </c>
      <c r="R176" s="78">
        <f>IFERROR(INDEX(ListOFErrors!A:K,MATCH(ERRORI__3[[#This Row],[Value.typologyOfErrorId]],ListOFErrors!A:A,0),11),0)</f>
        <v>0</v>
      </c>
    </row>
    <row r="177" spans="1:18" hidden="1" x14ac:dyDescent="0.25">
      <c r="A177" t="s">
        <v>57</v>
      </c>
      <c r="B177" t="s">
        <v>380</v>
      </c>
      <c r="C177">
        <v>307</v>
      </c>
      <c r="D177">
        <v>245</v>
      </c>
      <c r="E177" t="s">
        <v>16</v>
      </c>
      <c r="F177"/>
      <c r="G177"/>
      <c r="H177">
        <v>0</v>
      </c>
      <c r="I177">
        <v>0</v>
      </c>
      <c r="J177">
        <v>0</v>
      </c>
      <c r="K177"/>
      <c r="L177"/>
      <c r="M177"/>
      <c r="N177"/>
      <c r="O177"/>
      <c r="P177"/>
      <c r="Q177">
        <v>0</v>
      </c>
      <c r="R177" s="78">
        <f>IFERROR(INDEX(ListOFErrors!A:K,MATCH(ERRORI__3[[#This Row],[Value.typologyOfErrorId]],ListOFErrors!A:A,0),11),0)</f>
        <v>0</v>
      </c>
    </row>
    <row r="178" spans="1:18" hidden="1" x14ac:dyDescent="0.25">
      <c r="A178" t="s">
        <v>57</v>
      </c>
      <c r="B178" t="s">
        <v>50</v>
      </c>
      <c r="C178">
        <v>310</v>
      </c>
      <c r="D178">
        <v>210</v>
      </c>
      <c r="E178" t="s">
        <v>16</v>
      </c>
      <c r="F178">
        <v>14</v>
      </c>
      <c r="G178" t="s">
        <v>78</v>
      </c>
      <c r="H178">
        <v>300.83</v>
      </c>
      <c r="I178">
        <v>0</v>
      </c>
      <c r="J178">
        <v>0</v>
      </c>
      <c r="K178">
        <v>0</v>
      </c>
      <c r="L178">
        <v>0</v>
      </c>
      <c r="M178">
        <v>0</v>
      </c>
      <c r="N178">
        <v>0</v>
      </c>
      <c r="O178">
        <v>0</v>
      </c>
      <c r="P178">
        <v>0</v>
      </c>
      <c r="Q178">
        <v>300.83</v>
      </c>
      <c r="R178" s="78">
        <f>IFERROR(INDEX(ListOFErrors!A:K,MATCH(ERRORI__3[[#This Row],[Value.typologyOfErrorId]],ListOFErrors!A:A,0),11),0)</f>
        <v>8</v>
      </c>
    </row>
    <row r="179" spans="1:18" hidden="1" x14ac:dyDescent="0.25">
      <c r="A179" t="s">
        <v>57</v>
      </c>
      <c r="B179" t="s">
        <v>50</v>
      </c>
      <c r="C179">
        <v>310</v>
      </c>
      <c r="D179">
        <v>210</v>
      </c>
      <c r="E179" t="s">
        <v>16</v>
      </c>
      <c r="F179"/>
      <c r="G179"/>
      <c r="H179"/>
      <c r="I179">
        <v>45.12</v>
      </c>
      <c r="J179">
        <v>12.03</v>
      </c>
      <c r="K179"/>
      <c r="L179"/>
      <c r="M179"/>
      <c r="N179"/>
      <c r="O179"/>
      <c r="P179"/>
      <c r="Q179">
        <v>57.15</v>
      </c>
      <c r="R179" s="78">
        <f>IFERROR(INDEX(ListOFErrors!A:K,MATCH(ERRORI__3[[#This Row],[Value.typologyOfErrorId]],ListOFErrors!A:A,0),11),0)</f>
        <v>0</v>
      </c>
    </row>
    <row r="180" spans="1:18" hidden="1" x14ac:dyDescent="0.25">
      <c r="A180" t="s">
        <v>57</v>
      </c>
      <c r="B180" t="s">
        <v>50</v>
      </c>
      <c r="C180">
        <v>310</v>
      </c>
      <c r="D180">
        <v>70</v>
      </c>
      <c r="E180" t="s">
        <v>16</v>
      </c>
      <c r="F180">
        <v>8</v>
      </c>
      <c r="G180" t="s">
        <v>76</v>
      </c>
      <c r="H180">
        <v>62.48</v>
      </c>
      <c r="I180">
        <v>0</v>
      </c>
      <c r="J180">
        <v>0</v>
      </c>
      <c r="K180">
        <v>0</v>
      </c>
      <c r="L180">
        <v>0</v>
      </c>
      <c r="M180">
        <v>0</v>
      </c>
      <c r="N180">
        <v>0</v>
      </c>
      <c r="O180">
        <v>0</v>
      </c>
      <c r="P180">
        <v>0</v>
      </c>
      <c r="Q180">
        <v>62.48</v>
      </c>
      <c r="R180" s="78">
        <f>IFERROR(INDEX(ListOFErrors!A:K,MATCH(ERRORI__3[[#This Row],[Value.typologyOfErrorId]],ListOFErrors!A:A,0),11),0)</f>
        <v>8</v>
      </c>
    </row>
    <row r="181" spans="1:18" hidden="1" x14ac:dyDescent="0.25">
      <c r="A181" t="s">
        <v>57</v>
      </c>
      <c r="B181" t="s">
        <v>50</v>
      </c>
      <c r="C181">
        <v>310</v>
      </c>
      <c r="D181">
        <v>70</v>
      </c>
      <c r="E181" t="s">
        <v>16</v>
      </c>
      <c r="F181"/>
      <c r="G181"/>
      <c r="H181"/>
      <c r="I181">
        <v>9.3699999999999992</v>
      </c>
      <c r="J181">
        <v>2.5</v>
      </c>
      <c r="K181"/>
      <c r="L181"/>
      <c r="M181"/>
      <c r="N181"/>
      <c r="O181"/>
      <c r="P181"/>
      <c r="Q181">
        <v>11.87</v>
      </c>
      <c r="R181" s="78">
        <f>IFERROR(INDEX(ListOFErrors!A:K,MATCH(ERRORI__3[[#This Row],[Value.typologyOfErrorId]],ListOFErrors!A:A,0),11),0)</f>
        <v>0</v>
      </c>
    </row>
    <row r="182" spans="1:18" hidden="1" x14ac:dyDescent="0.25">
      <c r="A182" t="s">
        <v>57</v>
      </c>
      <c r="B182" t="s">
        <v>39</v>
      </c>
      <c r="C182">
        <v>303</v>
      </c>
      <c r="D182">
        <v>217</v>
      </c>
      <c r="E182" t="s">
        <v>16</v>
      </c>
      <c r="F182"/>
      <c r="G182"/>
      <c r="H182"/>
      <c r="I182">
        <v>0</v>
      </c>
      <c r="J182">
        <v>0</v>
      </c>
      <c r="K182"/>
      <c r="L182"/>
      <c r="M182"/>
      <c r="N182"/>
      <c r="O182"/>
      <c r="P182"/>
      <c r="Q182">
        <v>0</v>
      </c>
      <c r="R182" s="78">
        <f>IFERROR(INDEX(ListOFErrors!A:K,MATCH(ERRORI__3[[#This Row],[Value.typologyOfErrorId]],ListOFErrors!A:A,0),11),0)</f>
        <v>0</v>
      </c>
    </row>
    <row r="183" spans="1:18" hidden="1" x14ac:dyDescent="0.25">
      <c r="A183" t="s">
        <v>57</v>
      </c>
      <c r="B183" t="s">
        <v>39</v>
      </c>
      <c r="C183">
        <v>303</v>
      </c>
      <c r="D183">
        <v>87</v>
      </c>
      <c r="E183" t="s">
        <v>16</v>
      </c>
      <c r="F183"/>
      <c r="G183"/>
      <c r="H183"/>
      <c r="I183">
        <v>0</v>
      </c>
      <c r="J183">
        <v>0</v>
      </c>
      <c r="K183"/>
      <c r="L183"/>
      <c r="M183"/>
      <c r="N183"/>
      <c r="O183"/>
      <c r="P183"/>
      <c r="Q183">
        <v>0</v>
      </c>
      <c r="R183" s="78">
        <f>IFERROR(INDEX(ListOFErrors!A:K,MATCH(ERRORI__3[[#This Row],[Value.typologyOfErrorId]],ListOFErrors!A:A,0),11),0)</f>
        <v>0</v>
      </c>
    </row>
    <row r="184" spans="1:18" hidden="1" x14ac:dyDescent="0.25">
      <c r="A184" t="s">
        <v>57</v>
      </c>
      <c r="B184" t="s">
        <v>23</v>
      </c>
      <c r="C184">
        <v>308</v>
      </c>
      <c r="D184">
        <v>48</v>
      </c>
      <c r="E184" t="s">
        <v>16</v>
      </c>
      <c r="F184">
        <v>68</v>
      </c>
      <c r="G184" t="s">
        <v>83</v>
      </c>
      <c r="H184">
        <v>2.88</v>
      </c>
      <c r="I184">
        <v>0</v>
      </c>
      <c r="J184">
        <v>0</v>
      </c>
      <c r="K184">
        <v>0</v>
      </c>
      <c r="L184">
        <v>0</v>
      </c>
      <c r="M184">
        <v>0</v>
      </c>
      <c r="N184">
        <v>0</v>
      </c>
      <c r="O184">
        <v>0</v>
      </c>
      <c r="P184">
        <v>0</v>
      </c>
      <c r="Q184">
        <v>2.88</v>
      </c>
      <c r="R184" s="78">
        <f>IFERROR(INDEX(ListOFErrors!A:K,MATCH(ERRORI__3[[#This Row],[Value.typologyOfErrorId]],ListOFErrors!A:A,0),11),0)</f>
        <v>2</v>
      </c>
    </row>
    <row r="185" spans="1:18" hidden="1" x14ac:dyDescent="0.25">
      <c r="A185" t="s">
        <v>57</v>
      </c>
      <c r="B185" t="s">
        <v>23</v>
      </c>
      <c r="C185">
        <v>308</v>
      </c>
      <c r="D185">
        <v>48</v>
      </c>
      <c r="E185" t="s">
        <v>16</v>
      </c>
      <c r="F185"/>
      <c r="G185"/>
      <c r="H185"/>
      <c r="I185">
        <v>0.43</v>
      </c>
      <c r="J185">
        <v>0.11</v>
      </c>
      <c r="K185"/>
      <c r="L185"/>
      <c r="M185"/>
      <c r="N185"/>
      <c r="O185"/>
      <c r="P185"/>
      <c r="Q185">
        <v>0.54</v>
      </c>
      <c r="R185" s="78">
        <f>IFERROR(INDEX(ListOFErrors!A:K,MATCH(ERRORI__3[[#This Row],[Value.typologyOfErrorId]],ListOFErrors!A:A,0),11),0)</f>
        <v>0</v>
      </c>
    </row>
    <row r="186" spans="1:18" hidden="1" x14ac:dyDescent="0.25">
      <c r="A186" t="s">
        <v>57</v>
      </c>
      <c r="B186" t="s">
        <v>24</v>
      </c>
      <c r="C186">
        <v>313</v>
      </c>
      <c r="D186">
        <v>82</v>
      </c>
      <c r="E186" t="s">
        <v>16</v>
      </c>
      <c r="F186">
        <v>8</v>
      </c>
      <c r="G186" t="s">
        <v>76</v>
      </c>
      <c r="H186">
        <v>539.38</v>
      </c>
      <c r="I186">
        <v>0</v>
      </c>
      <c r="J186">
        <v>0</v>
      </c>
      <c r="K186">
        <v>0</v>
      </c>
      <c r="L186">
        <v>0</v>
      </c>
      <c r="M186">
        <v>0</v>
      </c>
      <c r="N186">
        <v>0</v>
      </c>
      <c r="O186">
        <v>0</v>
      </c>
      <c r="P186">
        <v>0</v>
      </c>
      <c r="Q186">
        <v>539.38</v>
      </c>
      <c r="R186" s="78">
        <f>IFERROR(INDEX(ListOFErrors!A:K,MATCH(ERRORI__3[[#This Row],[Value.typologyOfErrorId]],ListOFErrors!A:A,0),11),0)</f>
        <v>8</v>
      </c>
    </row>
    <row r="187" spans="1:18" hidden="1" x14ac:dyDescent="0.25">
      <c r="A187" t="s">
        <v>57</v>
      </c>
      <c r="B187" t="s">
        <v>24</v>
      </c>
      <c r="C187">
        <v>313</v>
      </c>
      <c r="D187">
        <v>82</v>
      </c>
      <c r="E187" t="s">
        <v>16</v>
      </c>
      <c r="F187">
        <v>25</v>
      </c>
      <c r="G187" t="s">
        <v>84</v>
      </c>
      <c r="H187">
        <v>1229.19</v>
      </c>
      <c r="I187">
        <v>0</v>
      </c>
      <c r="J187">
        <v>0</v>
      </c>
      <c r="K187">
        <v>0</v>
      </c>
      <c r="L187">
        <v>0</v>
      </c>
      <c r="M187">
        <v>0</v>
      </c>
      <c r="N187">
        <v>0</v>
      </c>
      <c r="O187">
        <v>0</v>
      </c>
      <c r="P187">
        <v>0</v>
      </c>
      <c r="Q187">
        <v>1229.19</v>
      </c>
      <c r="R187" s="78">
        <f>IFERROR(INDEX(ListOFErrors!A:K,MATCH(ERRORI__3[[#This Row],[Value.typologyOfErrorId]],ListOFErrors!A:A,0),11),0)</f>
        <v>0</v>
      </c>
    </row>
    <row r="188" spans="1:18" hidden="1" x14ac:dyDescent="0.25">
      <c r="A188" t="s">
        <v>57</v>
      </c>
      <c r="B188" t="s">
        <v>24</v>
      </c>
      <c r="C188">
        <v>313</v>
      </c>
      <c r="D188">
        <v>82</v>
      </c>
      <c r="E188" t="s">
        <v>16</v>
      </c>
      <c r="F188"/>
      <c r="G188"/>
      <c r="H188"/>
      <c r="I188">
        <v>265.29000000000002</v>
      </c>
      <c r="J188">
        <v>70.75</v>
      </c>
      <c r="K188"/>
      <c r="L188"/>
      <c r="M188"/>
      <c r="N188"/>
      <c r="O188"/>
      <c r="P188"/>
      <c r="Q188">
        <v>336.04</v>
      </c>
      <c r="R188" s="78">
        <f>IFERROR(INDEX(ListOFErrors!A:K,MATCH(ERRORI__3[[#This Row],[Value.typologyOfErrorId]],ListOFErrors!A:A,0),11),0)</f>
        <v>0</v>
      </c>
    </row>
    <row r="189" spans="1:18" hidden="1" x14ac:dyDescent="0.25">
      <c r="A189" t="s">
        <v>331</v>
      </c>
      <c r="B189" t="s">
        <v>332</v>
      </c>
      <c r="C189">
        <v>252</v>
      </c>
      <c r="D189">
        <v>305</v>
      </c>
      <c r="E189" t="s">
        <v>16</v>
      </c>
      <c r="F189"/>
      <c r="G189"/>
      <c r="H189"/>
      <c r="I189">
        <v>0</v>
      </c>
      <c r="J189">
        <v>0</v>
      </c>
      <c r="K189"/>
      <c r="L189"/>
      <c r="M189"/>
      <c r="N189"/>
      <c r="O189"/>
      <c r="P189"/>
      <c r="Q189">
        <v>0</v>
      </c>
      <c r="R189" s="78">
        <f>IFERROR(INDEX(ListOFErrors!A:K,MATCH(ERRORI__3[[#This Row],[Value.typologyOfErrorId]],ListOFErrors!A:A,0),11),0)</f>
        <v>0</v>
      </c>
    </row>
    <row r="190" spans="1:18" hidden="1" x14ac:dyDescent="0.25">
      <c r="A190" t="s">
        <v>331</v>
      </c>
      <c r="B190" t="s">
        <v>333</v>
      </c>
      <c r="C190">
        <v>256</v>
      </c>
      <c r="D190">
        <v>247</v>
      </c>
      <c r="E190" t="s">
        <v>16</v>
      </c>
      <c r="F190">
        <v>14</v>
      </c>
      <c r="G190" t="s">
        <v>78</v>
      </c>
      <c r="H190">
        <v>4742.68</v>
      </c>
      <c r="I190">
        <v>0</v>
      </c>
      <c r="J190">
        <v>0</v>
      </c>
      <c r="K190">
        <v>0</v>
      </c>
      <c r="L190">
        <v>0</v>
      </c>
      <c r="M190">
        <v>0</v>
      </c>
      <c r="N190">
        <v>0</v>
      </c>
      <c r="O190">
        <v>0</v>
      </c>
      <c r="P190">
        <v>0</v>
      </c>
      <c r="Q190">
        <v>4742.68</v>
      </c>
      <c r="R190" s="78">
        <f>IFERROR(INDEX(ListOFErrors!A:K,MATCH(ERRORI__3[[#This Row],[Value.typologyOfErrorId]],ListOFErrors!A:A,0),11),0)</f>
        <v>8</v>
      </c>
    </row>
    <row r="191" spans="1:18" hidden="1" x14ac:dyDescent="0.25">
      <c r="A191" t="s">
        <v>331</v>
      </c>
      <c r="B191" t="s">
        <v>333</v>
      </c>
      <c r="C191">
        <v>256</v>
      </c>
      <c r="D191">
        <v>247</v>
      </c>
      <c r="E191" t="s">
        <v>16</v>
      </c>
      <c r="F191"/>
      <c r="G191"/>
      <c r="H191"/>
      <c r="I191"/>
      <c r="J191"/>
      <c r="K191"/>
      <c r="L191"/>
      <c r="M191"/>
      <c r="N191"/>
      <c r="O191"/>
      <c r="P191">
        <v>1043.3900000000001</v>
      </c>
      <c r="Q191">
        <v>1043.3900000000001</v>
      </c>
      <c r="R191" s="78">
        <f>IFERROR(INDEX(ListOFErrors!A:K,MATCH(ERRORI__3[[#This Row],[Value.typologyOfErrorId]],ListOFErrors!A:A,0),11),0)</f>
        <v>0</v>
      </c>
    </row>
    <row r="192" spans="1:18" hidden="1" x14ac:dyDescent="0.25">
      <c r="A192" t="s">
        <v>331</v>
      </c>
      <c r="B192" t="s">
        <v>334</v>
      </c>
      <c r="C192">
        <v>253</v>
      </c>
      <c r="D192">
        <v>236</v>
      </c>
      <c r="E192" t="s">
        <v>16</v>
      </c>
      <c r="F192">
        <v>13</v>
      </c>
      <c r="G192" t="s">
        <v>80</v>
      </c>
      <c r="H192">
        <v>281.39999999999998</v>
      </c>
      <c r="I192">
        <v>0</v>
      </c>
      <c r="J192">
        <v>0</v>
      </c>
      <c r="K192">
        <v>0</v>
      </c>
      <c r="L192">
        <v>0</v>
      </c>
      <c r="M192">
        <v>0</v>
      </c>
      <c r="N192">
        <v>0</v>
      </c>
      <c r="O192">
        <v>0</v>
      </c>
      <c r="P192">
        <v>0</v>
      </c>
      <c r="Q192">
        <v>281.39999999999998</v>
      </c>
      <c r="R192" s="78">
        <f>IFERROR(INDEX(ListOFErrors!A:K,MATCH(ERRORI__3[[#This Row],[Value.typologyOfErrorId]],ListOFErrors!A:A,0),11),0)</f>
        <v>6</v>
      </c>
    </row>
    <row r="193" spans="1:18" hidden="1" x14ac:dyDescent="0.25">
      <c r="A193" t="s">
        <v>331</v>
      </c>
      <c r="B193" t="s">
        <v>334</v>
      </c>
      <c r="C193">
        <v>253</v>
      </c>
      <c r="D193">
        <v>236</v>
      </c>
      <c r="E193" t="s">
        <v>16</v>
      </c>
      <c r="F193"/>
      <c r="G193"/>
      <c r="H193"/>
      <c r="I193">
        <v>42.21</v>
      </c>
      <c r="J193">
        <v>11.26</v>
      </c>
      <c r="K193"/>
      <c r="L193"/>
      <c r="M193"/>
      <c r="N193"/>
      <c r="O193"/>
      <c r="P193"/>
      <c r="Q193">
        <v>53.47</v>
      </c>
      <c r="R193" s="78">
        <f>IFERROR(INDEX(ListOFErrors!A:K,MATCH(ERRORI__3[[#This Row],[Value.typologyOfErrorId]],ListOFErrors!A:A,0),11),0)</f>
        <v>0</v>
      </c>
    </row>
    <row r="194" spans="1:18" hidden="1" x14ac:dyDescent="0.25">
      <c r="A194" t="s">
        <v>331</v>
      </c>
      <c r="B194" t="s">
        <v>335</v>
      </c>
      <c r="C194">
        <v>254</v>
      </c>
      <c r="D194">
        <v>226</v>
      </c>
      <c r="E194" t="s">
        <v>16</v>
      </c>
      <c r="F194"/>
      <c r="G194"/>
      <c r="H194">
        <v>0</v>
      </c>
      <c r="I194">
        <v>0</v>
      </c>
      <c r="J194">
        <v>0</v>
      </c>
      <c r="K194"/>
      <c r="L194"/>
      <c r="M194"/>
      <c r="N194"/>
      <c r="O194"/>
      <c r="P194"/>
      <c r="Q194">
        <v>0</v>
      </c>
      <c r="R194" s="78">
        <f>IFERROR(INDEX(ListOFErrors!A:K,MATCH(ERRORI__3[[#This Row],[Value.typologyOfErrorId]],ListOFErrors!A:A,0),11),0)</f>
        <v>0</v>
      </c>
    </row>
    <row r="195" spans="1:18" hidden="1" x14ac:dyDescent="0.25">
      <c r="A195" t="s">
        <v>331</v>
      </c>
      <c r="B195" t="s">
        <v>336</v>
      </c>
      <c r="C195">
        <v>255</v>
      </c>
      <c r="D195">
        <v>294</v>
      </c>
      <c r="E195" t="s">
        <v>16</v>
      </c>
      <c r="F195">
        <v>13</v>
      </c>
      <c r="G195" t="s">
        <v>80</v>
      </c>
      <c r="H195">
        <v>108</v>
      </c>
      <c r="I195">
        <v>0</v>
      </c>
      <c r="J195">
        <v>0</v>
      </c>
      <c r="K195">
        <v>0</v>
      </c>
      <c r="L195">
        <v>0</v>
      </c>
      <c r="M195">
        <v>0</v>
      </c>
      <c r="N195">
        <v>0</v>
      </c>
      <c r="O195">
        <v>0</v>
      </c>
      <c r="P195">
        <v>0</v>
      </c>
      <c r="Q195">
        <v>108</v>
      </c>
      <c r="R195" s="78">
        <f>IFERROR(INDEX(ListOFErrors!A:K,MATCH(ERRORI__3[[#This Row],[Value.typologyOfErrorId]],ListOFErrors!A:A,0),11),0)</f>
        <v>6</v>
      </c>
    </row>
    <row r="196" spans="1:18" hidden="1" x14ac:dyDescent="0.25">
      <c r="A196" t="s">
        <v>331</v>
      </c>
      <c r="B196" t="s">
        <v>336</v>
      </c>
      <c r="C196">
        <v>255</v>
      </c>
      <c r="D196">
        <v>294</v>
      </c>
      <c r="E196" t="s">
        <v>16</v>
      </c>
      <c r="F196"/>
      <c r="G196"/>
      <c r="H196"/>
      <c r="I196">
        <v>16.2</v>
      </c>
      <c r="J196">
        <v>4.32</v>
      </c>
      <c r="K196"/>
      <c r="L196"/>
      <c r="M196"/>
      <c r="N196"/>
      <c r="O196"/>
      <c r="P196"/>
      <c r="Q196">
        <v>20.52</v>
      </c>
      <c r="R196" s="78">
        <f>IFERROR(INDEX(ListOFErrors!A:K,MATCH(ERRORI__3[[#This Row],[Value.typologyOfErrorId]],ListOFErrors!A:A,0),11),0)</f>
        <v>0</v>
      </c>
    </row>
    <row r="197" spans="1:18" hidden="1" x14ac:dyDescent="0.25">
      <c r="A197" t="s">
        <v>331</v>
      </c>
      <c r="B197" t="s">
        <v>330</v>
      </c>
      <c r="C197">
        <v>189</v>
      </c>
      <c r="D197">
        <v>343</v>
      </c>
      <c r="E197" t="s">
        <v>16</v>
      </c>
      <c r="F197"/>
      <c r="G197"/>
      <c r="H197">
        <v>0</v>
      </c>
      <c r="I197">
        <v>0</v>
      </c>
      <c r="J197">
        <v>0</v>
      </c>
      <c r="K197"/>
      <c r="L197"/>
      <c r="M197"/>
      <c r="N197"/>
      <c r="O197"/>
      <c r="P197"/>
      <c r="Q197">
        <v>0</v>
      </c>
      <c r="R197" s="78">
        <f>IFERROR(INDEX(ListOFErrors!A:K,MATCH(ERRORI__3[[#This Row],[Value.typologyOfErrorId]],ListOFErrors!A:A,0),11),0)</f>
        <v>0</v>
      </c>
    </row>
    <row r="198" spans="1:18" hidden="1" x14ac:dyDescent="0.25">
      <c r="A198" t="s">
        <v>350</v>
      </c>
      <c r="B198" t="s">
        <v>351</v>
      </c>
      <c r="C198">
        <v>176</v>
      </c>
      <c r="D198">
        <v>300</v>
      </c>
      <c r="E198" t="s">
        <v>16</v>
      </c>
      <c r="F198"/>
      <c r="G198"/>
      <c r="H198"/>
      <c r="I198">
        <v>0</v>
      </c>
      <c r="J198">
        <v>0</v>
      </c>
      <c r="K198"/>
      <c r="L198"/>
      <c r="M198"/>
      <c r="N198"/>
      <c r="O198"/>
      <c r="P198"/>
      <c r="Q198">
        <v>0</v>
      </c>
      <c r="R198" s="78">
        <f>IFERROR(INDEX(ListOFErrors!A:K,MATCH(ERRORI__3[[#This Row],[Value.typologyOfErrorId]],ListOFErrors!A:A,0),11),0)</f>
        <v>0</v>
      </c>
    </row>
    <row r="199" spans="1:18" hidden="1" x14ac:dyDescent="0.25">
      <c r="A199" t="s">
        <v>350</v>
      </c>
      <c r="B199" t="s">
        <v>354</v>
      </c>
      <c r="C199">
        <v>194</v>
      </c>
      <c r="D199">
        <v>295</v>
      </c>
      <c r="E199" t="s">
        <v>16</v>
      </c>
      <c r="F199"/>
      <c r="G199"/>
      <c r="H199"/>
      <c r="I199"/>
      <c r="J199"/>
      <c r="K199"/>
      <c r="L199"/>
      <c r="M199"/>
      <c r="N199"/>
      <c r="O199"/>
      <c r="P199">
        <v>0</v>
      </c>
      <c r="Q199">
        <v>0</v>
      </c>
      <c r="R199" s="78">
        <f>IFERROR(INDEX(ListOFErrors!A:K,MATCH(ERRORI__3[[#This Row],[Value.typologyOfErrorId]],ListOFErrors!A:A,0),11),0)</f>
        <v>0</v>
      </c>
    </row>
    <row r="200" spans="1:18" hidden="1" x14ac:dyDescent="0.25">
      <c r="A200" t="s">
        <v>350</v>
      </c>
      <c r="B200" t="s">
        <v>355</v>
      </c>
      <c r="C200">
        <v>178</v>
      </c>
      <c r="D200">
        <v>279</v>
      </c>
      <c r="E200" t="s">
        <v>16</v>
      </c>
      <c r="F200"/>
      <c r="G200"/>
      <c r="H200"/>
      <c r="I200"/>
      <c r="J200"/>
      <c r="K200"/>
      <c r="L200"/>
      <c r="M200"/>
      <c r="N200"/>
      <c r="O200"/>
      <c r="P200">
        <v>0</v>
      </c>
      <c r="Q200">
        <v>0</v>
      </c>
      <c r="R200" s="78">
        <f>IFERROR(INDEX(ListOFErrors!A:K,MATCH(ERRORI__3[[#This Row],[Value.typologyOfErrorId]],ListOFErrors!A:A,0),11),0)</f>
        <v>0</v>
      </c>
    </row>
    <row r="201" spans="1:18" hidden="1" x14ac:dyDescent="0.25">
      <c r="A201" t="s">
        <v>350</v>
      </c>
      <c r="B201" t="s">
        <v>356</v>
      </c>
      <c r="C201">
        <v>219</v>
      </c>
      <c r="D201">
        <v>285</v>
      </c>
      <c r="E201" t="s">
        <v>16</v>
      </c>
      <c r="F201"/>
      <c r="G201"/>
      <c r="H201"/>
      <c r="I201"/>
      <c r="J201"/>
      <c r="K201"/>
      <c r="L201"/>
      <c r="M201"/>
      <c r="N201"/>
      <c r="O201"/>
      <c r="P201">
        <v>0</v>
      </c>
      <c r="Q201">
        <v>0</v>
      </c>
      <c r="R201" s="78">
        <f>IFERROR(INDEX(ListOFErrors!A:K,MATCH(ERRORI__3[[#This Row],[Value.typologyOfErrorId]],ListOFErrors!A:A,0),11),0)</f>
        <v>0</v>
      </c>
    </row>
    <row r="202" spans="1:18" hidden="1" x14ac:dyDescent="0.25">
      <c r="A202" t="s">
        <v>63</v>
      </c>
      <c r="B202" t="s">
        <v>37</v>
      </c>
      <c r="C202">
        <v>288</v>
      </c>
      <c r="D202">
        <v>266</v>
      </c>
      <c r="E202" t="s">
        <v>16</v>
      </c>
      <c r="F202"/>
      <c r="G202"/>
      <c r="H202"/>
      <c r="I202"/>
      <c r="J202"/>
      <c r="K202"/>
      <c r="L202"/>
      <c r="M202"/>
      <c r="N202"/>
      <c r="O202"/>
      <c r="P202">
        <v>0</v>
      </c>
      <c r="Q202">
        <v>0</v>
      </c>
      <c r="R202" s="78">
        <f>IFERROR(INDEX(ListOFErrors!A:K,MATCH(ERRORI__3[[#This Row],[Value.typologyOfErrorId]],ListOFErrors!A:A,0),11),0)</f>
        <v>0</v>
      </c>
    </row>
    <row r="203" spans="1:18" hidden="1" x14ac:dyDescent="0.25">
      <c r="A203" t="s">
        <v>63</v>
      </c>
      <c r="B203" t="s">
        <v>37</v>
      </c>
      <c r="C203">
        <v>288</v>
      </c>
      <c r="D203">
        <v>49</v>
      </c>
      <c r="E203" t="s">
        <v>16</v>
      </c>
      <c r="F203"/>
      <c r="G203"/>
      <c r="H203"/>
      <c r="I203"/>
      <c r="J203"/>
      <c r="K203"/>
      <c r="L203"/>
      <c r="M203"/>
      <c r="N203"/>
      <c r="O203"/>
      <c r="P203">
        <v>0</v>
      </c>
      <c r="Q203">
        <v>0</v>
      </c>
      <c r="R203" s="78">
        <f>IFERROR(INDEX(ListOFErrors!A:K,MATCH(ERRORI__3[[#This Row],[Value.typologyOfErrorId]],ListOFErrors!A:A,0),11),0)</f>
        <v>0</v>
      </c>
    </row>
    <row r="204" spans="1:18" hidden="1" x14ac:dyDescent="0.25">
      <c r="A204" t="s">
        <v>63</v>
      </c>
      <c r="B204" t="s">
        <v>4548</v>
      </c>
      <c r="C204">
        <v>286</v>
      </c>
      <c r="D204">
        <v>45</v>
      </c>
      <c r="E204" t="s">
        <v>16</v>
      </c>
      <c r="F204"/>
      <c r="G204"/>
      <c r="H204"/>
      <c r="I204"/>
      <c r="J204"/>
      <c r="K204"/>
      <c r="L204"/>
      <c r="M204"/>
      <c r="N204"/>
      <c r="O204"/>
      <c r="P204"/>
      <c r="Q204">
        <v>0</v>
      </c>
      <c r="R204" s="78">
        <f>IFERROR(INDEX(ListOFErrors!A:K,MATCH(ERRORI__3[[#This Row],[Value.typologyOfErrorId]],ListOFErrors!A:A,0),11),0)</f>
        <v>0</v>
      </c>
    </row>
    <row r="205" spans="1:18" hidden="1" x14ac:dyDescent="0.25">
      <c r="A205" t="s">
        <v>63</v>
      </c>
      <c r="B205" t="s">
        <v>4548</v>
      </c>
      <c r="C205">
        <v>286</v>
      </c>
      <c r="D205">
        <v>99</v>
      </c>
      <c r="E205" t="s">
        <v>16</v>
      </c>
      <c r="F205"/>
      <c r="G205"/>
      <c r="H205"/>
      <c r="I205"/>
      <c r="J205"/>
      <c r="K205"/>
      <c r="L205"/>
      <c r="M205"/>
      <c r="N205"/>
      <c r="O205"/>
      <c r="P205"/>
      <c r="Q205">
        <v>0</v>
      </c>
      <c r="R205" s="78">
        <f>IFERROR(INDEX(ListOFErrors!A:K,MATCH(ERRORI__3[[#This Row],[Value.typologyOfErrorId]],ListOFErrors!A:A,0),11),0)</f>
        <v>0</v>
      </c>
    </row>
    <row r="206" spans="1:18" hidden="1" x14ac:dyDescent="0.25">
      <c r="A206" t="s">
        <v>63</v>
      </c>
      <c r="B206" t="s">
        <v>51</v>
      </c>
      <c r="C206">
        <v>287</v>
      </c>
      <c r="D206">
        <v>326</v>
      </c>
      <c r="E206" t="s">
        <v>16</v>
      </c>
      <c r="F206"/>
      <c r="G206"/>
      <c r="H206"/>
      <c r="I206">
        <v>0</v>
      </c>
      <c r="J206">
        <v>0</v>
      </c>
      <c r="K206"/>
      <c r="L206"/>
      <c r="M206"/>
      <c r="N206"/>
      <c r="O206"/>
      <c r="P206"/>
      <c r="Q206">
        <v>0</v>
      </c>
      <c r="R206" s="78">
        <f>IFERROR(INDEX(ListOFErrors!A:K,MATCH(ERRORI__3[[#This Row],[Value.typologyOfErrorId]],ListOFErrors!A:A,0),11),0)</f>
        <v>0</v>
      </c>
    </row>
    <row r="207" spans="1:18" hidden="1" x14ac:dyDescent="0.25">
      <c r="A207" t="s">
        <v>63</v>
      </c>
      <c r="B207" t="s">
        <v>51</v>
      </c>
      <c r="C207">
        <v>287</v>
      </c>
      <c r="D207">
        <v>62</v>
      </c>
      <c r="E207" t="s">
        <v>16</v>
      </c>
      <c r="F207">
        <v>13</v>
      </c>
      <c r="G207" t="s">
        <v>80</v>
      </c>
      <c r="H207">
        <v>244.18</v>
      </c>
      <c r="I207">
        <v>0</v>
      </c>
      <c r="J207">
        <v>0</v>
      </c>
      <c r="K207">
        <v>0</v>
      </c>
      <c r="L207">
        <v>0</v>
      </c>
      <c r="M207">
        <v>0</v>
      </c>
      <c r="N207">
        <v>0</v>
      </c>
      <c r="O207">
        <v>0</v>
      </c>
      <c r="P207">
        <v>0</v>
      </c>
      <c r="Q207">
        <v>244.18</v>
      </c>
      <c r="R207" s="78">
        <f>IFERROR(INDEX(ListOFErrors!A:K,MATCH(ERRORI__3[[#This Row],[Value.typologyOfErrorId]],ListOFErrors!A:A,0),11),0)</f>
        <v>6</v>
      </c>
    </row>
    <row r="208" spans="1:18" hidden="1" x14ac:dyDescent="0.25">
      <c r="A208" t="s">
        <v>63</v>
      </c>
      <c r="B208" t="s">
        <v>51</v>
      </c>
      <c r="C208">
        <v>287</v>
      </c>
      <c r="D208">
        <v>62</v>
      </c>
      <c r="E208" t="s">
        <v>16</v>
      </c>
      <c r="F208"/>
      <c r="G208"/>
      <c r="H208"/>
      <c r="I208">
        <v>36.630000000000003</v>
      </c>
      <c r="J208">
        <v>9.77</v>
      </c>
      <c r="K208"/>
      <c r="L208"/>
      <c r="M208"/>
      <c r="N208"/>
      <c r="O208"/>
      <c r="P208"/>
      <c r="Q208">
        <v>46.4</v>
      </c>
      <c r="R208" s="78">
        <f>IFERROR(INDEX(ListOFErrors!A:K,MATCH(ERRORI__3[[#This Row],[Value.typologyOfErrorId]],ListOFErrors!A:A,0),11),0)</f>
        <v>0</v>
      </c>
    </row>
    <row r="209" spans="1:18" hidden="1" x14ac:dyDescent="0.25">
      <c r="A209" t="s">
        <v>63</v>
      </c>
      <c r="B209" t="s">
        <v>46</v>
      </c>
      <c r="C209">
        <v>230</v>
      </c>
      <c r="D209">
        <v>20</v>
      </c>
      <c r="E209" t="s">
        <v>16</v>
      </c>
      <c r="F209">
        <v>14</v>
      </c>
      <c r="G209" t="s">
        <v>78</v>
      </c>
      <c r="H209">
        <v>409.36</v>
      </c>
      <c r="I209">
        <v>0</v>
      </c>
      <c r="J209">
        <v>0</v>
      </c>
      <c r="K209">
        <v>0</v>
      </c>
      <c r="L209">
        <v>0</v>
      </c>
      <c r="M209">
        <v>0</v>
      </c>
      <c r="N209">
        <v>0</v>
      </c>
      <c r="O209">
        <v>0</v>
      </c>
      <c r="P209">
        <v>0</v>
      </c>
      <c r="Q209">
        <v>409.36</v>
      </c>
      <c r="R209" s="78">
        <f>IFERROR(INDEX(ListOFErrors!A:K,MATCH(ERRORI__3[[#This Row],[Value.typologyOfErrorId]],ListOFErrors!A:A,0),11),0)</f>
        <v>8</v>
      </c>
    </row>
    <row r="210" spans="1:18" hidden="1" x14ac:dyDescent="0.25">
      <c r="A210" t="s">
        <v>63</v>
      </c>
      <c r="B210" t="s">
        <v>46</v>
      </c>
      <c r="C210">
        <v>230</v>
      </c>
      <c r="D210">
        <v>20</v>
      </c>
      <c r="E210" t="s">
        <v>16</v>
      </c>
      <c r="F210"/>
      <c r="G210"/>
      <c r="H210"/>
      <c r="I210"/>
      <c r="J210"/>
      <c r="K210"/>
      <c r="L210"/>
      <c r="M210"/>
      <c r="N210"/>
      <c r="O210"/>
      <c r="P210">
        <v>163.75</v>
      </c>
      <c r="Q210">
        <v>163.75</v>
      </c>
      <c r="R210" s="78">
        <f>IFERROR(INDEX(ListOFErrors!A:K,MATCH(ERRORI__3[[#This Row],[Value.typologyOfErrorId]],ListOFErrors!A:A,0),11),0)</f>
        <v>0</v>
      </c>
    </row>
    <row r="211" spans="1:18" hidden="1" x14ac:dyDescent="0.25">
      <c r="A211" t="s">
        <v>63</v>
      </c>
      <c r="B211" t="s">
        <v>46</v>
      </c>
      <c r="C211">
        <v>230</v>
      </c>
      <c r="D211">
        <v>234</v>
      </c>
      <c r="E211" t="s">
        <v>16</v>
      </c>
      <c r="F211">
        <v>14</v>
      </c>
      <c r="G211" t="s">
        <v>78</v>
      </c>
      <c r="H211">
        <v>786.9</v>
      </c>
      <c r="I211">
        <v>0</v>
      </c>
      <c r="J211">
        <v>0</v>
      </c>
      <c r="K211">
        <v>0</v>
      </c>
      <c r="L211">
        <v>0</v>
      </c>
      <c r="M211">
        <v>0</v>
      </c>
      <c r="N211">
        <v>0</v>
      </c>
      <c r="O211">
        <v>0</v>
      </c>
      <c r="P211">
        <v>0</v>
      </c>
      <c r="Q211">
        <v>786.9</v>
      </c>
      <c r="R211" s="78">
        <f>IFERROR(INDEX(ListOFErrors!A:K,MATCH(ERRORI__3[[#This Row],[Value.typologyOfErrorId]],ListOFErrors!A:A,0),11),0)</f>
        <v>8</v>
      </c>
    </row>
    <row r="212" spans="1:18" hidden="1" x14ac:dyDescent="0.25">
      <c r="A212" t="s">
        <v>63</v>
      </c>
      <c r="B212" t="s">
        <v>46</v>
      </c>
      <c r="C212">
        <v>230</v>
      </c>
      <c r="D212">
        <v>234</v>
      </c>
      <c r="E212" t="s">
        <v>16</v>
      </c>
      <c r="F212"/>
      <c r="G212"/>
      <c r="H212"/>
      <c r="I212"/>
      <c r="J212"/>
      <c r="K212"/>
      <c r="L212"/>
      <c r="M212"/>
      <c r="N212"/>
      <c r="O212"/>
      <c r="P212">
        <v>314.76</v>
      </c>
      <c r="Q212">
        <v>314.76</v>
      </c>
      <c r="R212" s="78">
        <f>IFERROR(INDEX(ListOFErrors!A:K,MATCH(ERRORI__3[[#This Row],[Value.typologyOfErrorId]],ListOFErrors!A:A,0),11),0)</f>
        <v>0</v>
      </c>
    </row>
    <row r="213" spans="1:18" hidden="1" x14ac:dyDescent="0.25">
      <c r="A213" t="s">
        <v>373</v>
      </c>
      <c r="B213" t="s">
        <v>375</v>
      </c>
      <c r="C213">
        <v>299</v>
      </c>
      <c r="D213">
        <v>221</v>
      </c>
      <c r="E213" t="s">
        <v>16</v>
      </c>
      <c r="F213">
        <v>8</v>
      </c>
      <c r="G213" t="s">
        <v>76</v>
      </c>
      <c r="H213">
        <v>1433.27</v>
      </c>
      <c r="I213">
        <v>0</v>
      </c>
      <c r="J213">
        <v>0</v>
      </c>
      <c r="K213">
        <v>0</v>
      </c>
      <c r="L213">
        <v>0</v>
      </c>
      <c r="M213">
        <v>0</v>
      </c>
      <c r="N213">
        <v>0</v>
      </c>
      <c r="O213">
        <v>0</v>
      </c>
      <c r="P213">
        <v>0</v>
      </c>
      <c r="Q213">
        <v>1433.27</v>
      </c>
      <c r="R213" s="78">
        <f>IFERROR(INDEX(ListOFErrors!A:K,MATCH(ERRORI__3[[#This Row],[Value.typologyOfErrorId]],ListOFErrors!A:A,0),11),0)</f>
        <v>8</v>
      </c>
    </row>
    <row r="214" spans="1:18" hidden="1" x14ac:dyDescent="0.25">
      <c r="A214" t="s">
        <v>373</v>
      </c>
      <c r="B214" t="s">
        <v>375</v>
      </c>
      <c r="C214">
        <v>299</v>
      </c>
      <c r="D214">
        <v>221</v>
      </c>
      <c r="E214" t="s">
        <v>16</v>
      </c>
      <c r="F214">
        <v>14</v>
      </c>
      <c r="G214" t="s">
        <v>78</v>
      </c>
      <c r="H214">
        <v>22.29</v>
      </c>
      <c r="I214">
        <v>0</v>
      </c>
      <c r="J214">
        <v>0</v>
      </c>
      <c r="K214">
        <v>0</v>
      </c>
      <c r="L214">
        <v>0</v>
      </c>
      <c r="M214">
        <v>0</v>
      </c>
      <c r="N214">
        <v>0</v>
      </c>
      <c r="O214">
        <v>0</v>
      </c>
      <c r="P214">
        <v>0</v>
      </c>
      <c r="Q214">
        <v>22.29</v>
      </c>
      <c r="R214" s="78">
        <f>IFERROR(INDEX(ListOFErrors!A:K,MATCH(ERRORI__3[[#This Row],[Value.typologyOfErrorId]],ListOFErrors!A:A,0),11),0)</f>
        <v>8</v>
      </c>
    </row>
    <row r="215" spans="1:18" hidden="1" x14ac:dyDescent="0.25">
      <c r="A215" t="s">
        <v>373</v>
      </c>
      <c r="B215" t="s">
        <v>375</v>
      </c>
      <c r="C215">
        <v>299</v>
      </c>
      <c r="D215">
        <v>221</v>
      </c>
      <c r="E215" t="s">
        <v>16</v>
      </c>
      <c r="F215"/>
      <c r="G215"/>
      <c r="H215"/>
      <c r="I215">
        <v>218.33</v>
      </c>
      <c r="J215">
        <v>58.22</v>
      </c>
      <c r="K215"/>
      <c r="L215"/>
      <c r="M215"/>
      <c r="N215"/>
      <c r="O215"/>
      <c r="P215"/>
      <c r="Q215">
        <v>276.55</v>
      </c>
      <c r="R215" s="78">
        <f>IFERROR(INDEX(ListOFErrors!A:K,MATCH(ERRORI__3[[#This Row],[Value.typologyOfErrorId]],ListOFErrors!A:A,0),11),0)</f>
        <v>0</v>
      </c>
    </row>
    <row r="216" spans="1:18" hidden="1" x14ac:dyDescent="0.25">
      <c r="A216" t="s">
        <v>373</v>
      </c>
      <c r="B216" t="s">
        <v>377</v>
      </c>
      <c r="C216">
        <v>302</v>
      </c>
      <c r="D216">
        <v>228</v>
      </c>
      <c r="E216" t="s">
        <v>16</v>
      </c>
      <c r="F216"/>
      <c r="G216"/>
      <c r="H216"/>
      <c r="I216"/>
      <c r="J216">
        <v>0</v>
      </c>
      <c r="K216"/>
      <c r="L216"/>
      <c r="M216"/>
      <c r="N216"/>
      <c r="O216"/>
      <c r="P216"/>
      <c r="Q216">
        <v>0</v>
      </c>
      <c r="R216" s="78">
        <f>IFERROR(INDEX(ListOFErrors!A:K,MATCH(ERRORI__3[[#This Row],[Value.typologyOfErrorId]],ListOFErrors!A:A,0),11),0)</f>
        <v>0</v>
      </c>
    </row>
    <row r="217" spans="1:18" hidden="1" x14ac:dyDescent="0.25">
      <c r="A217" t="s">
        <v>373</v>
      </c>
      <c r="B217" t="s">
        <v>378</v>
      </c>
      <c r="C217">
        <v>301</v>
      </c>
      <c r="D217">
        <v>282</v>
      </c>
      <c r="E217" t="s">
        <v>16</v>
      </c>
      <c r="F217"/>
      <c r="G217"/>
      <c r="H217"/>
      <c r="I217">
        <v>0</v>
      </c>
      <c r="J217">
        <v>0</v>
      </c>
      <c r="K217"/>
      <c r="L217"/>
      <c r="M217"/>
      <c r="N217"/>
      <c r="O217"/>
      <c r="P217"/>
      <c r="Q217">
        <v>0</v>
      </c>
      <c r="R217" s="78">
        <f>IFERROR(INDEX(ListOFErrors!A:K,MATCH(ERRORI__3[[#This Row],[Value.typologyOfErrorId]],ListOFErrors!A:A,0),11),0)</f>
        <v>0</v>
      </c>
    </row>
    <row r="218" spans="1:18" hidden="1" x14ac:dyDescent="0.25">
      <c r="A218" t="s">
        <v>373</v>
      </c>
      <c r="B218" t="s">
        <v>379</v>
      </c>
      <c r="C218">
        <v>300</v>
      </c>
      <c r="D218">
        <v>260</v>
      </c>
      <c r="E218" t="s">
        <v>16</v>
      </c>
      <c r="F218"/>
      <c r="G218"/>
      <c r="H218"/>
      <c r="I218"/>
      <c r="J218"/>
      <c r="K218"/>
      <c r="L218"/>
      <c r="M218"/>
      <c r="N218"/>
      <c r="O218"/>
      <c r="P218">
        <v>0</v>
      </c>
      <c r="Q218">
        <v>0</v>
      </c>
      <c r="R218" s="78">
        <f>IFERROR(INDEX(ListOFErrors!A:K,MATCH(ERRORI__3[[#This Row],[Value.typologyOfErrorId]],ListOFErrors!A:A,0),11),0)</f>
        <v>0</v>
      </c>
    </row>
    <row r="219" spans="1:18" hidden="1" x14ac:dyDescent="0.25">
      <c r="A219" t="s">
        <v>64</v>
      </c>
      <c r="B219" t="s">
        <v>79</v>
      </c>
      <c r="C219">
        <v>333</v>
      </c>
      <c r="D219">
        <v>263</v>
      </c>
      <c r="E219" t="s">
        <v>16</v>
      </c>
      <c r="F219"/>
      <c r="G219"/>
      <c r="H219"/>
      <c r="I219">
        <v>0</v>
      </c>
      <c r="J219">
        <v>0</v>
      </c>
      <c r="K219"/>
      <c r="L219"/>
      <c r="M219"/>
      <c r="N219"/>
      <c r="O219"/>
      <c r="P219"/>
      <c r="Q219">
        <v>0</v>
      </c>
      <c r="R219" s="78">
        <f>IFERROR(INDEX(ListOFErrors!A:K,MATCH(ERRORI__3[[#This Row],[Value.typologyOfErrorId]],ListOFErrors!A:A,0),11),0)</f>
        <v>0</v>
      </c>
    </row>
    <row r="220" spans="1:18" hidden="1" x14ac:dyDescent="0.25">
      <c r="A220" t="s">
        <v>64</v>
      </c>
      <c r="B220" t="s">
        <v>79</v>
      </c>
      <c r="C220">
        <v>333</v>
      </c>
      <c r="D220">
        <v>80</v>
      </c>
      <c r="E220" t="s">
        <v>16</v>
      </c>
      <c r="F220">
        <v>8</v>
      </c>
      <c r="G220" t="s">
        <v>76</v>
      </c>
      <c r="H220">
        <v>13120.02</v>
      </c>
      <c r="I220">
        <v>0</v>
      </c>
      <c r="J220">
        <v>0</v>
      </c>
      <c r="K220">
        <v>0</v>
      </c>
      <c r="L220">
        <v>0</v>
      </c>
      <c r="M220">
        <v>0</v>
      </c>
      <c r="N220">
        <v>0</v>
      </c>
      <c r="O220">
        <v>0</v>
      </c>
      <c r="P220">
        <v>0</v>
      </c>
      <c r="Q220">
        <v>13120.02</v>
      </c>
      <c r="R220" s="78">
        <f>IFERROR(INDEX(ListOFErrors!A:K,MATCH(ERRORI__3[[#This Row],[Value.typologyOfErrorId]],ListOFErrors!A:A,0),11),0)</f>
        <v>8</v>
      </c>
    </row>
    <row r="221" spans="1:18" hidden="1" x14ac:dyDescent="0.25">
      <c r="A221" t="s">
        <v>64</v>
      </c>
      <c r="B221" t="s">
        <v>79</v>
      </c>
      <c r="C221">
        <v>333</v>
      </c>
      <c r="D221">
        <v>80</v>
      </c>
      <c r="E221" t="s">
        <v>16</v>
      </c>
      <c r="F221"/>
      <c r="G221"/>
      <c r="H221"/>
      <c r="I221">
        <v>1968</v>
      </c>
      <c r="J221">
        <v>524.79999999999995</v>
      </c>
      <c r="K221"/>
      <c r="L221"/>
      <c r="M221"/>
      <c r="N221"/>
      <c r="O221"/>
      <c r="P221"/>
      <c r="Q221">
        <v>2492.8000000000002</v>
      </c>
      <c r="R221" s="78">
        <f>IFERROR(INDEX(ListOFErrors!A:K,MATCH(ERRORI__3[[#This Row],[Value.typologyOfErrorId]],ListOFErrors!A:A,0),11),0)</f>
        <v>0</v>
      </c>
    </row>
    <row r="222" spans="1:18" hidden="1" x14ac:dyDescent="0.25">
      <c r="A222" t="s">
        <v>60</v>
      </c>
      <c r="B222" t="s">
        <v>328</v>
      </c>
      <c r="C222">
        <v>138</v>
      </c>
      <c r="D222">
        <v>318</v>
      </c>
      <c r="E222" t="s">
        <v>16</v>
      </c>
      <c r="F222"/>
      <c r="G222"/>
      <c r="H222">
        <v>0</v>
      </c>
      <c r="I222">
        <v>0</v>
      </c>
      <c r="J222">
        <v>0</v>
      </c>
      <c r="K222"/>
      <c r="L222"/>
      <c r="M222"/>
      <c r="N222"/>
      <c r="O222"/>
      <c r="P222"/>
      <c r="Q222">
        <v>0</v>
      </c>
      <c r="R222" s="78">
        <f>IFERROR(INDEX(ListOFErrors!A:K,MATCH(ERRORI__3[[#This Row],[Value.typologyOfErrorId]],ListOFErrors!A:A,0),11),0)</f>
        <v>0</v>
      </c>
    </row>
    <row r="223" spans="1:18" hidden="1" x14ac:dyDescent="0.25">
      <c r="A223" t="s">
        <v>60</v>
      </c>
      <c r="B223" t="s">
        <v>328</v>
      </c>
      <c r="C223">
        <v>138</v>
      </c>
      <c r="D223">
        <v>77</v>
      </c>
      <c r="E223" t="s">
        <v>16</v>
      </c>
      <c r="F223"/>
      <c r="G223"/>
      <c r="H223">
        <v>0</v>
      </c>
      <c r="I223">
        <v>0</v>
      </c>
      <c r="J223">
        <v>0</v>
      </c>
      <c r="K223"/>
      <c r="L223"/>
      <c r="M223"/>
      <c r="N223"/>
      <c r="O223"/>
      <c r="P223"/>
      <c r="Q223">
        <v>0</v>
      </c>
      <c r="R223" s="78">
        <f>IFERROR(INDEX(ListOFErrors!A:K,MATCH(ERRORI__3[[#This Row],[Value.typologyOfErrorId]],ListOFErrors!A:A,0),11),0)</f>
        <v>0</v>
      </c>
    </row>
    <row r="224" spans="1:18" hidden="1" x14ac:dyDescent="0.25">
      <c r="A224" t="s">
        <v>60</v>
      </c>
      <c r="B224" t="s">
        <v>68</v>
      </c>
      <c r="C224">
        <v>94</v>
      </c>
      <c r="D224">
        <v>30</v>
      </c>
      <c r="E224" t="s">
        <v>16</v>
      </c>
      <c r="F224"/>
      <c r="G224"/>
      <c r="H224">
        <v>0</v>
      </c>
      <c r="I224">
        <v>0</v>
      </c>
      <c r="J224">
        <v>0</v>
      </c>
      <c r="K224"/>
      <c r="L224"/>
      <c r="M224"/>
      <c r="N224"/>
      <c r="O224"/>
      <c r="P224"/>
      <c r="Q224">
        <v>0</v>
      </c>
      <c r="R224" s="78">
        <f>IFERROR(INDEX(ListOFErrors!A:K,MATCH(ERRORI__3[[#This Row],[Value.typologyOfErrorId]],ListOFErrors!A:A,0),11),0)</f>
        <v>0</v>
      </c>
    </row>
    <row r="225" spans="1:18" hidden="1" x14ac:dyDescent="0.25">
      <c r="A225" t="s">
        <v>60</v>
      </c>
      <c r="B225" t="s">
        <v>329</v>
      </c>
      <c r="C225">
        <v>173</v>
      </c>
      <c r="D225">
        <v>276</v>
      </c>
      <c r="E225" t="s">
        <v>16</v>
      </c>
      <c r="F225"/>
      <c r="G225"/>
      <c r="H225">
        <v>0</v>
      </c>
      <c r="I225">
        <v>0</v>
      </c>
      <c r="J225">
        <v>0</v>
      </c>
      <c r="K225"/>
      <c r="L225"/>
      <c r="M225"/>
      <c r="N225"/>
      <c r="O225"/>
      <c r="P225"/>
      <c r="Q225">
        <v>0</v>
      </c>
      <c r="R225" s="78">
        <f>IFERROR(INDEX(ListOFErrors!A:K,MATCH(ERRORI__3[[#This Row],[Value.typologyOfErrorId]],ListOFErrors!A:A,0),11),0)</f>
        <v>0</v>
      </c>
    </row>
    <row r="226" spans="1:18" hidden="1" x14ac:dyDescent="0.25">
      <c r="A226" t="s">
        <v>60</v>
      </c>
      <c r="B226" t="s">
        <v>329</v>
      </c>
      <c r="C226">
        <v>173</v>
      </c>
      <c r="D226">
        <v>78</v>
      </c>
      <c r="E226" t="s">
        <v>16</v>
      </c>
      <c r="F226"/>
      <c r="G226"/>
      <c r="H226">
        <v>0</v>
      </c>
      <c r="I226">
        <v>0</v>
      </c>
      <c r="J226">
        <v>0</v>
      </c>
      <c r="K226"/>
      <c r="L226"/>
      <c r="M226"/>
      <c r="N226"/>
      <c r="O226"/>
      <c r="P226"/>
      <c r="Q226">
        <v>0</v>
      </c>
      <c r="R226" s="78">
        <f>IFERROR(INDEX(ListOFErrors!A:K,MATCH(ERRORI__3[[#This Row],[Value.typologyOfErrorId]],ListOFErrors!A:A,0),11),0)</f>
        <v>0</v>
      </c>
    </row>
    <row r="227" spans="1:18" hidden="1" x14ac:dyDescent="0.25">
      <c r="A227" t="s">
        <v>60</v>
      </c>
      <c r="B227" t="s">
        <v>35</v>
      </c>
      <c r="C227">
        <v>95</v>
      </c>
      <c r="D227">
        <v>258</v>
      </c>
      <c r="E227" t="s">
        <v>16</v>
      </c>
      <c r="F227"/>
      <c r="G227"/>
      <c r="H227"/>
      <c r="I227">
        <v>0</v>
      </c>
      <c r="J227">
        <v>0</v>
      </c>
      <c r="K227"/>
      <c r="L227"/>
      <c r="M227"/>
      <c r="N227"/>
      <c r="O227"/>
      <c r="P227"/>
      <c r="Q227">
        <v>0</v>
      </c>
      <c r="R227" s="78">
        <f>IFERROR(INDEX(ListOFErrors!A:K,MATCH(ERRORI__3[[#This Row],[Value.typologyOfErrorId]],ListOFErrors!A:A,0),11),0)</f>
        <v>0</v>
      </c>
    </row>
    <row r="228" spans="1:18" hidden="1" x14ac:dyDescent="0.25">
      <c r="A228" t="s">
        <v>60</v>
      </c>
      <c r="B228" t="s">
        <v>35</v>
      </c>
      <c r="C228">
        <v>95</v>
      </c>
      <c r="D228">
        <v>42</v>
      </c>
      <c r="E228" t="s">
        <v>16</v>
      </c>
      <c r="F228">
        <v>14</v>
      </c>
      <c r="G228" t="s">
        <v>78</v>
      </c>
      <c r="H228">
        <v>2135.62</v>
      </c>
      <c r="I228">
        <v>0</v>
      </c>
      <c r="J228">
        <v>0</v>
      </c>
      <c r="K228">
        <v>0</v>
      </c>
      <c r="L228">
        <v>0</v>
      </c>
      <c r="M228">
        <v>0</v>
      </c>
      <c r="N228">
        <v>0</v>
      </c>
      <c r="O228">
        <v>0</v>
      </c>
      <c r="P228">
        <v>0</v>
      </c>
      <c r="Q228">
        <v>2135.62</v>
      </c>
      <c r="R228" s="78">
        <f>IFERROR(INDEX(ListOFErrors!A:K,MATCH(ERRORI__3[[#This Row],[Value.typologyOfErrorId]],ListOFErrors!A:A,0),11),0)</f>
        <v>8</v>
      </c>
    </row>
    <row r="229" spans="1:18" hidden="1" x14ac:dyDescent="0.25">
      <c r="A229" t="s">
        <v>60</v>
      </c>
      <c r="B229" t="s">
        <v>35</v>
      </c>
      <c r="C229">
        <v>95</v>
      </c>
      <c r="D229">
        <v>42</v>
      </c>
      <c r="E229" t="s">
        <v>16</v>
      </c>
      <c r="F229"/>
      <c r="G229"/>
      <c r="H229"/>
      <c r="I229">
        <v>320.33999999999997</v>
      </c>
      <c r="J229">
        <v>85.42</v>
      </c>
      <c r="K229"/>
      <c r="L229"/>
      <c r="M229"/>
      <c r="N229"/>
      <c r="O229"/>
      <c r="P229"/>
      <c r="Q229">
        <v>405.76</v>
      </c>
      <c r="R229" s="78">
        <f>IFERROR(INDEX(ListOFErrors!A:K,MATCH(ERRORI__3[[#This Row],[Value.typologyOfErrorId]],ListOFErrors!A:A,0),11),0)</f>
        <v>0</v>
      </c>
    </row>
    <row r="230" spans="1:18" hidden="1" x14ac:dyDescent="0.25">
      <c r="A230" t="s">
        <v>60</v>
      </c>
      <c r="B230" t="s">
        <v>26</v>
      </c>
      <c r="C230">
        <v>172</v>
      </c>
      <c r="D230">
        <v>251</v>
      </c>
      <c r="E230" t="s">
        <v>16</v>
      </c>
      <c r="F230"/>
      <c r="G230"/>
      <c r="H230"/>
      <c r="I230">
        <v>0</v>
      </c>
      <c r="J230">
        <v>0</v>
      </c>
      <c r="K230"/>
      <c r="L230"/>
      <c r="M230"/>
      <c r="N230"/>
      <c r="O230"/>
      <c r="P230"/>
      <c r="Q230">
        <v>0</v>
      </c>
      <c r="R230" s="78">
        <f>IFERROR(INDEX(ListOFErrors!A:K,MATCH(ERRORI__3[[#This Row],[Value.typologyOfErrorId]],ListOFErrors!A:A,0),11),0)</f>
        <v>0</v>
      </c>
    </row>
    <row r="231" spans="1:18" hidden="1" x14ac:dyDescent="0.25">
      <c r="A231" t="s">
        <v>60</v>
      </c>
      <c r="B231" t="s">
        <v>26</v>
      </c>
      <c r="C231">
        <v>172</v>
      </c>
      <c r="D231">
        <v>43</v>
      </c>
      <c r="E231" t="s">
        <v>16</v>
      </c>
      <c r="F231">
        <v>8</v>
      </c>
      <c r="G231" t="s">
        <v>76</v>
      </c>
      <c r="H231">
        <v>770.39</v>
      </c>
      <c r="I231">
        <v>0</v>
      </c>
      <c r="J231">
        <v>0</v>
      </c>
      <c r="K231">
        <v>0</v>
      </c>
      <c r="L231">
        <v>0</v>
      </c>
      <c r="M231">
        <v>0</v>
      </c>
      <c r="N231">
        <v>0</v>
      </c>
      <c r="O231">
        <v>0</v>
      </c>
      <c r="P231">
        <v>0</v>
      </c>
      <c r="Q231">
        <v>770.39</v>
      </c>
      <c r="R231" s="78">
        <f>IFERROR(INDEX(ListOFErrors!A:K,MATCH(ERRORI__3[[#This Row],[Value.typologyOfErrorId]],ListOFErrors!A:A,0),11),0)</f>
        <v>8</v>
      </c>
    </row>
    <row r="232" spans="1:18" hidden="1" x14ac:dyDescent="0.25">
      <c r="A232" t="s">
        <v>60</v>
      </c>
      <c r="B232" t="s">
        <v>26</v>
      </c>
      <c r="C232">
        <v>172</v>
      </c>
      <c r="D232">
        <v>43</v>
      </c>
      <c r="E232" t="s">
        <v>16</v>
      </c>
      <c r="F232"/>
      <c r="G232"/>
      <c r="H232"/>
      <c r="I232">
        <v>115.56</v>
      </c>
      <c r="J232">
        <v>30.82</v>
      </c>
      <c r="K232"/>
      <c r="L232"/>
      <c r="M232"/>
      <c r="N232"/>
      <c r="O232"/>
      <c r="P232"/>
      <c r="Q232">
        <v>146.38</v>
      </c>
      <c r="R232" s="78">
        <f>IFERROR(INDEX(ListOFErrors!A:K,MATCH(ERRORI__3[[#This Row],[Value.typologyOfErrorId]],ListOFErrors!A:A,0),11),0)</f>
        <v>0</v>
      </c>
    </row>
    <row r="233" spans="1:18" hidden="1" x14ac:dyDescent="0.25">
      <c r="A233" t="s">
        <v>60</v>
      </c>
      <c r="B233" t="s">
        <v>330</v>
      </c>
      <c r="C233">
        <v>137</v>
      </c>
      <c r="D233">
        <v>104</v>
      </c>
      <c r="E233" t="s">
        <v>16</v>
      </c>
      <c r="F233"/>
      <c r="G233"/>
      <c r="H233">
        <v>0</v>
      </c>
      <c r="I233">
        <v>0</v>
      </c>
      <c r="J233">
        <v>0</v>
      </c>
      <c r="K233"/>
      <c r="L233"/>
      <c r="M233"/>
      <c r="N233"/>
      <c r="O233"/>
      <c r="P233"/>
      <c r="Q233">
        <v>0</v>
      </c>
      <c r="R233" s="78">
        <f>IFERROR(INDEX(ListOFErrors!A:K,MATCH(ERRORI__3[[#This Row],[Value.typologyOfErrorId]],ListOFErrors!A:A,0),11),0)</f>
        <v>0</v>
      </c>
    </row>
    <row r="234" spans="1:18" hidden="1" x14ac:dyDescent="0.25">
      <c r="A234" t="s">
        <v>60</v>
      </c>
      <c r="B234" t="s">
        <v>330</v>
      </c>
      <c r="C234">
        <v>137</v>
      </c>
      <c r="D234">
        <v>337</v>
      </c>
      <c r="E234" t="s">
        <v>16</v>
      </c>
      <c r="F234"/>
      <c r="G234"/>
      <c r="H234">
        <v>0</v>
      </c>
      <c r="I234">
        <v>0</v>
      </c>
      <c r="J234">
        <v>0</v>
      </c>
      <c r="K234"/>
      <c r="L234"/>
      <c r="M234"/>
      <c r="N234"/>
      <c r="O234"/>
      <c r="P234"/>
      <c r="Q234">
        <v>0</v>
      </c>
      <c r="R234" s="78">
        <f>IFERROR(INDEX(ListOFErrors!A:K,MATCH(ERRORI__3[[#This Row],[Value.typologyOfErrorId]],ListOFErrors!A:A,0),11),0)</f>
        <v>0</v>
      </c>
    </row>
    <row r="235" spans="1:18" hidden="1" x14ac:dyDescent="0.25">
      <c r="A235" t="s">
        <v>67</v>
      </c>
      <c r="B235" t="s">
        <v>323</v>
      </c>
      <c r="C235">
        <v>169</v>
      </c>
      <c r="D235">
        <v>174</v>
      </c>
      <c r="E235" t="s">
        <v>16</v>
      </c>
      <c r="F235"/>
      <c r="G235"/>
      <c r="H235"/>
      <c r="I235"/>
      <c r="J235"/>
      <c r="K235"/>
      <c r="L235"/>
      <c r="M235"/>
      <c r="N235"/>
      <c r="O235"/>
      <c r="P235">
        <v>0</v>
      </c>
      <c r="Q235">
        <v>0</v>
      </c>
      <c r="R235" s="78">
        <f>IFERROR(INDEX(ListOFErrors!A:K,MATCH(ERRORI__3[[#This Row],[Value.typologyOfErrorId]],ListOFErrors!A:A,0),11),0)</f>
        <v>0</v>
      </c>
    </row>
    <row r="236" spans="1:18" hidden="1" x14ac:dyDescent="0.25">
      <c r="A236" t="s">
        <v>67</v>
      </c>
      <c r="B236" t="s">
        <v>324</v>
      </c>
      <c r="C236">
        <v>166</v>
      </c>
      <c r="D236">
        <v>148</v>
      </c>
      <c r="E236" t="s">
        <v>16</v>
      </c>
      <c r="F236"/>
      <c r="G236"/>
      <c r="H236"/>
      <c r="I236"/>
      <c r="J236"/>
      <c r="K236"/>
      <c r="L236"/>
      <c r="M236"/>
      <c r="N236"/>
      <c r="O236"/>
      <c r="P236">
        <v>0</v>
      </c>
      <c r="Q236">
        <v>0</v>
      </c>
      <c r="R236" s="78">
        <f>IFERROR(INDEX(ListOFErrors!A:K,MATCH(ERRORI__3[[#This Row],[Value.typologyOfErrorId]],ListOFErrors!A:A,0),11),0)</f>
        <v>0</v>
      </c>
    </row>
    <row r="237" spans="1:18" hidden="1" x14ac:dyDescent="0.25">
      <c r="A237" t="s">
        <v>67</v>
      </c>
      <c r="B237" t="s">
        <v>56</v>
      </c>
      <c r="C237">
        <v>165</v>
      </c>
      <c r="D237">
        <v>121</v>
      </c>
      <c r="E237" t="s">
        <v>16</v>
      </c>
      <c r="F237"/>
      <c r="G237"/>
      <c r="H237"/>
      <c r="I237"/>
      <c r="J237"/>
      <c r="K237"/>
      <c r="L237"/>
      <c r="M237"/>
      <c r="N237"/>
      <c r="O237"/>
      <c r="P237">
        <v>0</v>
      </c>
      <c r="Q237">
        <v>0</v>
      </c>
      <c r="R237" s="78">
        <f>IFERROR(INDEX(ListOFErrors!A:K,MATCH(ERRORI__3[[#This Row],[Value.typologyOfErrorId]],ListOFErrors!A:A,0),11),0)</f>
        <v>0</v>
      </c>
    </row>
    <row r="238" spans="1:18" hidden="1" x14ac:dyDescent="0.25">
      <c r="A238" t="s">
        <v>67</v>
      </c>
      <c r="B238" t="s">
        <v>325</v>
      </c>
      <c r="C238">
        <v>162</v>
      </c>
      <c r="D238">
        <v>115</v>
      </c>
      <c r="E238" t="s">
        <v>16</v>
      </c>
      <c r="F238"/>
      <c r="G238"/>
      <c r="H238"/>
      <c r="I238"/>
      <c r="J238"/>
      <c r="K238"/>
      <c r="L238"/>
      <c r="M238"/>
      <c r="N238"/>
      <c r="O238"/>
      <c r="P238">
        <v>0</v>
      </c>
      <c r="Q238">
        <v>0</v>
      </c>
      <c r="R238" s="78">
        <f>IFERROR(INDEX(ListOFErrors!A:K,MATCH(ERRORI__3[[#This Row],[Value.typologyOfErrorId]],ListOFErrors!A:A,0),11),0)</f>
        <v>0</v>
      </c>
    </row>
    <row r="239" spans="1:18" hidden="1" x14ac:dyDescent="0.25">
      <c r="A239" t="s">
        <v>67</v>
      </c>
      <c r="B239" t="s">
        <v>326</v>
      </c>
      <c r="C239">
        <v>164</v>
      </c>
      <c r="D239">
        <v>116</v>
      </c>
      <c r="E239" t="s">
        <v>16</v>
      </c>
      <c r="F239"/>
      <c r="G239"/>
      <c r="H239"/>
      <c r="I239"/>
      <c r="J239"/>
      <c r="K239"/>
      <c r="L239"/>
      <c r="M239"/>
      <c r="N239"/>
      <c r="O239"/>
      <c r="P239">
        <v>0</v>
      </c>
      <c r="Q239">
        <v>0</v>
      </c>
      <c r="R239" s="78">
        <f>IFERROR(INDEX(ListOFErrors!A:K,MATCH(ERRORI__3[[#This Row],[Value.typologyOfErrorId]],ListOFErrors!A:A,0),11),0)</f>
        <v>0</v>
      </c>
    </row>
    <row r="240" spans="1:18" hidden="1" x14ac:dyDescent="0.25">
      <c r="A240" t="s">
        <v>67</v>
      </c>
      <c r="B240" t="s">
        <v>327</v>
      </c>
      <c r="C240">
        <v>168</v>
      </c>
      <c r="D240">
        <v>117</v>
      </c>
      <c r="E240" t="s">
        <v>16</v>
      </c>
      <c r="F240">
        <v>14</v>
      </c>
      <c r="G240" t="s">
        <v>78</v>
      </c>
      <c r="H240">
        <v>2.77</v>
      </c>
      <c r="I240">
        <v>0</v>
      </c>
      <c r="J240">
        <v>0</v>
      </c>
      <c r="K240">
        <v>0</v>
      </c>
      <c r="L240">
        <v>0</v>
      </c>
      <c r="M240">
        <v>0</v>
      </c>
      <c r="N240">
        <v>0</v>
      </c>
      <c r="O240">
        <v>0</v>
      </c>
      <c r="P240">
        <v>0</v>
      </c>
      <c r="Q240">
        <v>2.77</v>
      </c>
      <c r="R240" s="78">
        <f>IFERROR(INDEX(ListOFErrors!A:K,MATCH(ERRORI__3[[#This Row],[Value.typologyOfErrorId]],ListOFErrors!A:A,0),11),0)</f>
        <v>8</v>
      </c>
    </row>
    <row r="241" spans="1:18" hidden="1" x14ac:dyDescent="0.25">
      <c r="A241" t="s">
        <v>67</v>
      </c>
      <c r="B241" t="s">
        <v>327</v>
      </c>
      <c r="C241">
        <v>168</v>
      </c>
      <c r="D241">
        <v>117</v>
      </c>
      <c r="E241" t="s">
        <v>16</v>
      </c>
      <c r="F241"/>
      <c r="G241"/>
      <c r="H241"/>
      <c r="I241"/>
      <c r="J241"/>
      <c r="K241"/>
      <c r="L241"/>
      <c r="M241"/>
      <c r="N241"/>
      <c r="O241"/>
      <c r="P241">
        <v>1.1100000000000001</v>
      </c>
      <c r="Q241">
        <v>1.1100000000000001</v>
      </c>
      <c r="R241" s="78">
        <f>IFERROR(INDEX(ListOFErrors!A:K,MATCH(ERRORI__3[[#This Row],[Value.typologyOfErrorId]],ListOFErrors!A:A,0),11),0)</f>
        <v>0</v>
      </c>
    </row>
    <row r="242" spans="1:18" hidden="1" x14ac:dyDescent="0.25">
      <c r="A242" t="s">
        <v>66</v>
      </c>
      <c r="B242" t="s">
        <v>371</v>
      </c>
      <c r="C242">
        <v>262</v>
      </c>
      <c r="D242">
        <v>302</v>
      </c>
      <c r="E242" t="s">
        <v>16</v>
      </c>
      <c r="F242"/>
      <c r="G242"/>
      <c r="H242">
        <v>0</v>
      </c>
      <c r="I242"/>
      <c r="J242"/>
      <c r="K242"/>
      <c r="L242"/>
      <c r="M242"/>
      <c r="N242"/>
      <c r="O242"/>
      <c r="P242"/>
      <c r="Q242">
        <v>0</v>
      </c>
      <c r="R242" s="78">
        <f>IFERROR(INDEX(ListOFErrors!A:K,MATCH(ERRORI__3[[#This Row],[Value.typologyOfErrorId]],ListOFErrors!A:A,0),11),0)</f>
        <v>0</v>
      </c>
    </row>
    <row r="243" spans="1:18" hidden="1" x14ac:dyDescent="0.25">
      <c r="A243" t="s">
        <v>66</v>
      </c>
      <c r="B243" t="s">
        <v>55</v>
      </c>
      <c r="C243">
        <v>259</v>
      </c>
      <c r="D243">
        <v>100</v>
      </c>
      <c r="E243" t="s">
        <v>16</v>
      </c>
      <c r="F243">
        <v>14</v>
      </c>
      <c r="G243" t="s">
        <v>78</v>
      </c>
      <c r="H243">
        <v>850.03</v>
      </c>
      <c r="I243">
        <v>0</v>
      </c>
      <c r="J243">
        <v>0</v>
      </c>
      <c r="K243">
        <v>0</v>
      </c>
      <c r="L243">
        <v>0</v>
      </c>
      <c r="M243">
        <v>0</v>
      </c>
      <c r="N243">
        <v>0</v>
      </c>
      <c r="O243">
        <v>0</v>
      </c>
      <c r="P243">
        <v>0</v>
      </c>
      <c r="Q243">
        <v>850.03</v>
      </c>
      <c r="R243" s="78">
        <f>IFERROR(INDEX(ListOFErrors!A:K,MATCH(ERRORI__3[[#This Row],[Value.typologyOfErrorId]],ListOFErrors!A:A,0),11),0)</f>
        <v>8</v>
      </c>
    </row>
    <row r="244" spans="1:18" hidden="1" x14ac:dyDescent="0.25">
      <c r="A244" t="s">
        <v>66</v>
      </c>
      <c r="B244" t="s">
        <v>55</v>
      </c>
      <c r="C244">
        <v>259</v>
      </c>
      <c r="D244">
        <v>100</v>
      </c>
      <c r="E244" t="s">
        <v>16</v>
      </c>
      <c r="F244"/>
      <c r="G244"/>
      <c r="H244"/>
      <c r="I244"/>
      <c r="J244"/>
      <c r="K244"/>
      <c r="L244"/>
      <c r="M244"/>
      <c r="N244"/>
      <c r="O244"/>
      <c r="P244">
        <v>340.01</v>
      </c>
      <c r="Q244">
        <v>340.01</v>
      </c>
      <c r="R244" s="78">
        <f>IFERROR(INDEX(ListOFErrors!A:K,MATCH(ERRORI__3[[#This Row],[Value.typologyOfErrorId]],ListOFErrors!A:A,0),11),0)</f>
        <v>0</v>
      </c>
    </row>
    <row r="245" spans="1:18" hidden="1" x14ac:dyDescent="0.25">
      <c r="A245" t="s">
        <v>66</v>
      </c>
      <c r="B245" t="s">
        <v>372</v>
      </c>
      <c r="C245">
        <v>261</v>
      </c>
      <c r="D245">
        <v>215</v>
      </c>
      <c r="E245" t="s">
        <v>16</v>
      </c>
      <c r="F245"/>
      <c r="G245"/>
      <c r="H245">
        <v>0</v>
      </c>
      <c r="I245"/>
      <c r="J245"/>
      <c r="K245"/>
      <c r="L245"/>
      <c r="M245"/>
      <c r="N245"/>
      <c r="O245"/>
      <c r="P245"/>
      <c r="Q245">
        <v>0</v>
      </c>
      <c r="R245" s="78">
        <f>IFERROR(INDEX(ListOFErrors!A:K,MATCH(ERRORI__3[[#This Row],[Value.typologyOfErrorId]],ListOFErrors!A:A,0),11),0)</f>
        <v>0</v>
      </c>
    </row>
    <row r="246" spans="1:18" hidden="1" x14ac:dyDescent="0.25">
      <c r="A246" t="s">
        <v>66</v>
      </c>
      <c r="B246" t="s">
        <v>21</v>
      </c>
      <c r="C246">
        <v>258</v>
      </c>
      <c r="D246">
        <v>161</v>
      </c>
      <c r="E246" t="s">
        <v>16</v>
      </c>
      <c r="F246"/>
      <c r="G246"/>
      <c r="H246">
        <v>0</v>
      </c>
      <c r="I246">
        <v>0</v>
      </c>
      <c r="J246">
        <v>0</v>
      </c>
      <c r="K246"/>
      <c r="L246"/>
      <c r="M246"/>
      <c r="N246"/>
      <c r="O246"/>
      <c r="P246"/>
      <c r="Q246">
        <v>0</v>
      </c>
      <c r="R246" s="78">
        <f>IFERROR(INDEX(ListOFErrors!A:K,MATCH(ERRORI__3[[#This Row],[Value.typologyOfErrorId]],ListOFErrors!A:A,0),11),0)</f>
        <v>0</v>
      </c>
    </row>
    <row r="247" spans="1:18" hidden="1" x14ac:dyDescent="0.25">
      <c r="A247" t="s">
        <v>277</v>
      </c>
      <c r="B247" t="s">
        <v>278</v>
      </c>
      <c r="C247">
        <v>233</v>
      </c>
      <c r="D247">
        <v>179</v>
      </c>
      <c r="E247" t="s">
        <v>16</v>
      </c>
      <c r="F247"/>
      <c r="G247"/>
      <c r="H247">
        <v>0</v>
      </c>
      <c r="I247">
        <v>0</v>
      </c>
      <c r="J247">
        <v>0</v>
      </c>
      <c r="K247"/>
      <c r="L247"/>
      <c r="M247"/>
      <c r="N247"/>
      <c r="O247"/>
      <c r="P247"/>
      <c r="Q247">
        <v>0</v>
      </c>
      <c r="R247" s="78">
        <f>IFERROR(INDEX(ListOFErrors!A:K,MATCH(ERRORI__3[[#This Row],[Value.typologyOfErrorId]],ListOFErrors!A:A,0),11),0)</f>
        <v>0</v>
      </c>
    </row>
    <row r="248" spans="1:18" hidden="1" x14ac:dyDescent="0.25">
      <c r="A248" t="s">
        <v>277</v>
      </c>
      <c r="B248" t="s">
        <v>279</v>
      </c>
      <c r="C248">
        <v>120</v>
      </c>
      <c r="D248">
        <v>177</v>
      </c>
      <c r="E248" t="s">
        <v>16</v>
      </c>
      <c r="F248">
        <v>13</v>
      </c>
      <c r="G248" t="s">
        <v>80</v>
      </c>
      <c r="H248">
        <v>2.58</v>
      </c>
      <c r="I248">
        <v>0</v>
      </c>
      <c r="J248">
        <v>0</v>
      </c>
      <c r="K248">
        <v>0</v>
      </c>
      <c r="L248">
        <v>0</v>
      </c>
      <c r="M248">
        <v>0</v>
      </c>
      <c r="N248">
        <v>0</v>
      </c>
      <c r="O248">
        <v>0</v>
      </c>
      <c r="P248">
        <v>0</v>
      </c>
      <c r="Q248">
        <v>2.58</v>
      </c>
      <c r="R248" s="78">
        <f>IFERROR(INDEX(ListOFErrors!A:K,MATCH(ERRORI__3[[#This Row],[Value.typologyOfErrorId]],ListOFErrors!A:A,0),11),0)</f>
        <v>6</v>
      </c>
    </row>
    <row r="249" spans="1:18" hidden="1" x14ac:dyDescent="0.25">
      <c r="A249" t="s">
        <v>277</v>
      </c>
      <c r="B249" t="s">
        <v>279</v>
      </c>
      <c r="C249">
        <v>120</v>
      </c>
      <c r="D249">
        <v>177</v>
      </c>
      <c r="E249" t="s">
        <v>16</v>
      </c>
      <c r="F249"/>
      <c r="G249"/>
      <c r="H249"/>
      <c r="I249"/>
      <c r="J249"/>
      <c r="K249"/>
      <c r="L249"/>
      <c r="M249"/>
      <c r="N249"/>
      <c r="O249"/>
      <c r="P249">
        <v>1.03</v>
      </c>
      <c r="Q249">
        <v>1.03</v>
      </c>
      <c r="R249" s="78">
        <f>IFERROR(INDEX(ListOFErrors!A:K,MATCH(ERRORI__3[[#This Row],[Value.typologyOfErrorId]],ListOFErrors!A:A,0),11),0)</f>
        <v>0</v>
      </c>
    </row>
    <row r="250" spans="1:18" hidden="1" x14ac:dyDescent="0.25">
      <c r="A250" t="s">
        <v>277</v>
      </c>
      <c r="B250" t="s">
        <v>280</v>
      </c>
      <c r="C250">
        <v>118</v>
      </c>
      <c r="D250">
        <v>155</v>
      </c>
      <c r="E250" t="s">
        <v>16</v>
      </c>
      <c r="F250"/>
      <c r="G250"/>
      <c r="H250">
        <v>0</v>
      </c>
      <c r="I250">
        <v>0</v>
      </c>
      <c r="J250">
        <v>0</v>
      </c>
      <c r="K250"/>
      <c r="L250"/>
      <c r="M250"/>
      <c r="N250"/>
      <c r="O250"/>
      <c r="P250"/>
      <c r="Q250">
        <v>0</v>
      </c>
      <c r="R250" s="78">
        <f>IFERROR(INDEX(ListOFErrors!A:K,MATCH(ERRORI__3[[#This Row],[Value.typologyOfErrorId]],ListOFErrors!A:A,0),11),0)</f>
        <v>0</v>
      </c>
    </row>
    <row r="251" spans="1:18" hidden="1" x14ac:dyDescent="0.25">
      <c r="A251" t="s">
        <v>277</v>
      </c>
      <c r="B251" t="s">
        <v>275</v>
      </c>
      <c r="C251">
        <v>119</v>
      </c>
      <c r="D251">
        <v>272</v>
      </c>
      <c r="E251" t="s">
        <v>16</v>
      </c>
      <c r="F251"/>
      <c r="G251"/>
      <c r="H251">
        <v>0</v>
      </c>
      <c r="I251">
        <v>0</v>
      </c>
      <c r="J251">
        <v>0</v>
      </c>
      <c r="K251"/>
      <c r="L251"/>
      <c r="M251"/>
      <c r="N251"/>
      <c r="O251"/>
      <c r="P251"/>
      <c r="Q251">
        <v>0</v>
      </c>
      <c r="R251" s="78">
        <f>IFERROR(INDEX(ListOFErrors!A:K,MATCH(ERRORI__3[[#This Row],[Value.typologyOfErrorId]],ListOFErrors!A:A,0),11),0)</f>
        <v>0</v>
      </c>
    </row>
    <row r="252" spans="1:18" hidden="1" x14ac:dyDescent="0.25">
      <c r="A252" t="s">
        <v>277</v>
      </c>
      <c r="B252" t="s">
        <v>281</v>
      </c>
      <c r="C252">
        <v>93</v>
      </c>
      <c r="D252">
        <v>145</v>
      </c>
      <c r="E252" t="s">
        <v>16</v>
      </c>
      <c r="F252"/>
      <c r="G252"/>
      <c r="H252">
        <v>0</v>
      </c>
      <c r="I252">
        <v>0</v>
      </c>
      <c r="J252">
        <v>0</v>
      </c>
      <c r="K252"/>
      <c r="L252"/>
      <c r="M252"/>
      <c r="N252"/>
      <c r="O252"/>
      <c r="P252"/>
      <c r="Q252">
        <v>0</v>
      </c>
      <c r="R252" s="78">
        <f>IFERROR(INDEX(ListOFErrors!A:K,MATCH(ERRORI__3[[#This Row],[Value.typologyOfErrorId]],ListOFErrors!A:A,0),11),0)</f>
        <v>0</v>
      </c>
    </row>
    <row r="253" spans="1:18" hidden="1" x14ac:dyDescent="0.25">
      <c r="A253" t="s">
        <v>310</v>
      </c>
      <c r="B253" t="s">
        <v>311</v>
      </c>
      <c r="C253">
        <v>181</v>
      </c>
      <c r="D253">
        <v>192</v>
      </c>
      <c r="E253" t="s">
        <v>16</v>
      </c>
      <c r="F253"/>
      <c r="G253"/>
      <c r="H253"/>
      <c r="I253">
        <v>0</v>
      </c>
      <c r="J253"/>
      <c r="K253"/>
      <c r="L253"/>
      <c r="M253"/>
      <c r="N253"/>
      <c r="O253"/>
      <c r="P253"/>
      <c r="Q253">
        <v>0</v>
      </c>
      <c r="R253" s="78">
        <f>IFERROR(INDEX(ListOFErrors!A:K,MATCH(ERRORI__3[[#This Row],[Value.typologyOfErrorId]],ListOFErrors!A:A,0),11),0)</f>
        <v>0</v>
      </c>
    </row>
    <row r="254" spans="1:18" hidden="1" x14ac:dyDescent="0.25">
      <c r="A254" t="s">
        <v>310</v>
      </c>
      <c r="B254" t="s">
        <v>32</v>
      </c>
      <c r="C254">
        <v>80</v>
      </c>
      <c r="D254">
        <v>338</v>
      </c>
      <c r="E254" t="s">
        <v>16</v>
      </c>
      <c r="F254"/>
      <c r="G254"/>
      <c r="H254"/>
      <c r="I254">
        <v>0</v>
      </c>
      <c r="J254">
        <v>0</v>
      </c>
      <c r="K254"/>
      <c r="L254"/>
      <c r="M254"/>
      <c r="N254"/>
      <c r="O254"/>
      <c r="P254"/>
      <c r="Q254">
        <v>0</v>
      </c>
      <c r="R254" s="78">
        <f>IFERROR(INDEX(ListOFErrors!A:K,MATCH(ERRORI__3[[#This Row],[Value.typologyOfErrorId]],ListOFErrors!A:A,0),11),0)</f>
        <v>0</v>
      </c>
    </row>
    <row r="255" spans="1:18" hidden="1" x14ac:dyDescent="0.25">
      <c r="A255" t="s">
        <v>310</v>
      </c>
      <c r="B255" t="s">
        <v>32</v>
      </c>
      <c r="C255">
        <v>80</v>
      </c>
      <c r="D255">
        <v>86</v>
      </c>
      <c r="E255" t="s">
        <v>16</v>
      </c>
      <c r="F255"/>
      <c r="G255"/>
      <c r="H255"/>
      <c r="I255">
        <v>0</v>
      </c>
      <c r="J255">
        <v>0</v>
      </c>
      <c r="K255"/>
      <c r="L255"/>
      <c r="M255"/>
      <c r="N255"/>
      <c r="O255"/>
      <c r="P255"/>
      <c r="Q255">
        <v>0</v>
      </c>
      <c r="R255" s="78">
        <f>IFERROR(INDEX(ListOFErrors!A:K,MATCH(ERRORI__3[[#This Row],[Value.typologyOfErrorId]],ListOFErrors!A:A,0),11),0)</f>
        <v>0</v>
      </c>
    </row>
    <row r="256" spans="1:18" hidden="1" x14ac:dyDescent="0.25">
      <c r="A256" t="s">
        <v>310</v>
      </c>
      <c r="B256" t="s">
        <v>38</v>
      </c>
      <c r="C256">
        <v>182</v>
      </c>
      <c r="D256">
        <v>154</v>
      </c>
      <c r="E256" t="s">
        <v>16</v>
      </c>
      <c r="F256">
        <v>14</v>
      </c>
      <c r="G256" t="s">
        <v>78</v>
      </c>
      <c r="H256">
        <v>650.71</v>
      </c>
      <c r="I256">
        <v>0</v>
      </c>
      <c r="J256">
        <v>0</v>
      </c>
      <c r="K256">
        <v>0</v>
      </c>
      <c r="L256">
        <v>270.39999999999998</v>
      </c>
      <c r="M256">
        <v>0</v>
      </c>
      <c r="N256">
        <v>0</v>
      </c>
      <c r="O256">
        <v>0</v>
      </c>
      <c r="P256">
        <v>0</v>
      </c>
      <c r="Q256">
        <v>921.11</v>
      </c>
      <c r="R256" s="78">
        <f>IFERROR(INDEX(ListOFErrors!A:K,MATCH(ERRORI__3[[#This Row],[Value.typologyOfErrorId]],ListOFErrors!A:A,0),11),0)</f>
        <v>8</v>
      </c>
    </row>
    <row r="257" spans="1:18" hidden="1" x14ac:dyDescent="0.25">
      <c r="A257" t="s">
        <v>310</v>
      </c>
      <c r="B257" t="s">
        <v>38</v>
      </c>
      <c r="C257">
        <v>182</v>
      </c>
      <c r="D257">
        <v>154</v>
      </c>
      <c r="E257" t="s">
        <v>16</v>
      </c>
      <c r="F257"/>
      <c r="G257"/>
      <c r="H257"/>
      <c r="I257">
        <v>97.61</v>
      </c>
      <c r="J257">
        <v>26.03</v>
      </c>
      <c r="K257"/>
      <c r="L257"/>
      <c r="M257"/>
      <c r="N257"/>
      <c r="O257"/>
      <c r="P257"/>
      <c r="Q257">
        <v>123.64</v>
      </c>
      <c r="R257" s="78">
        <f>IFERROR(INDEX(ListOFErrors!A:K,MATCH(ERRORI__3[[#This Row],[Value.typologyOfErrorId]],ListOFErrors!A:A,0),11),0)</f>
        <v>0</v>
      </c>
    </row>
    <row r="258" spans="1:18" hidden="1" x14ac:dyDescent="0.25">
      <c r="A258" t="s">
        <v>310</v>
      </c>
      <c r="B258" t="s">
        <v>38</v>
      </c>
      <c r="C258">
        <v>182</v>
      </c>
      <c r="D258">
        <v>44</v>
      </c>
      <c r="E258" t="s">
        <v>16</v>
      </c>
      <c r="F258">
        <v>8</v>
      </c>
      <c r="G258" t="s">
        <v>76</v>
      </c>
      <c r="H258">
        <v>303.16000000000003</v>
      </c>
      <c r="I258">
        <v>0</v>
      </c>
      <c r="J258">
        <v>0</v>
      </c>
      <c r="K258">
        <v>0</v>
      </c>
      <c r="L258">
        <v>0</v>
      </c>
      <c r="M258">
        <v>0</v>
      </c>
      <c r="N258">
        <v>0</v>
      </c>
      <c r="O258">
        <v>0</v>
      </c>
      <c r="P258">
        <v>0</v>
      </c>
      <c r="Q258">
        <v>303.16000000000003</v>
      </c>
      <c r="R258" s="78">
        <f>IFERROR(INDEX(ListOFErrors!A:K,MATCH(ERRORI__3[[#This Row],[Value.typologyOfErrorId]],ListOFErrors!A:A,0),11),0)</f>
        <v>8</v>
      </c>
    </row>
    <row r="259" spans="1:18" hidden="1" x14ac:dyDescent="0.25">
      <c r="A259" t="s">
        <v>310</v>
      </c>
      <c r="B259" t="s">
        <v>38</v>
      </c>
      <c r="C259">
        <v>182</v>
      </c>
      <c r="D259">
        <v>44</v>
      </c>
      <c r="E259" t="s">
        <v>16</v>
      </c>
      <c r="F259">
        <v>14</v>
      </c>
      <c r="G259" t="s">
        <v>78</v>
      </c>
      <c r="H259">
        <v>458.59</v>
      </c>
      <c r="I259">
        <v>0</v>
      </c>
      <c r="J259">
        <v>0</v>
      </c>
      <c r="K259">
        <v>0</v>
      </c>
      <c r="L259">
        <v>0</v>
      </c>
      <c r="M259">
        <v>0</v>
      </c>
      <c r="N259">
        <v>0</v>
      </c>
      <c r="O259">
        <v>0</v>
      </c>
      <c r="P259">
        <v>0</v>
      </c>
      <c r="Q259">
        <v>458.59</v>
      </c>
      <c r="R259" s="78">
        <f>IFERROR(INDEX(ListOFErrors!A:K,MATCH(ERRORI__3[[#This Row],[Value.typologyOfErrorId]],ListOFErrors!A:A,0),11),0)</f>
        <v>8</v>
      </c>
    </row>
    <row r="260" spans="1:18" hidden="1" x14ac:dyDescent="0.25">
      <c r="A260" t="s">
        <v>310</v>
      </c>
      <c r="B260" t="s">
        <v>38</v>
      </c>
      <c r="C260">
        <v>182</v>
      </c>
      <c r="D260">
        <v>44</v>
      </c>
      <c r="E260" t="s">
        <v>16</v>
      </c>
      <c r="F260"/>
      <c r="G260"/>
      <c r="H260"/>
      <c r="I260">
        <v>114.26</v>
      </c>
      <c r="J260">
        <v>30.47</v>
      </c>
      <c r="K260"/>
      <c r="L260"/>
      <c r="M260"/>
      <c r="N260"/>
      <c r="O260"/>
      <c r="P260"/>
      <c r="Q260">
        <v>144.72999999999999</v>
      </c>
      <c r="R260" s="78">
        <f>IFERROR(INDEX(ListOFErrors!A:K,MATCH(ERRORI__3[[#This Row],[Value.typologyOfErrorId]],ListOFErrors!A:A,0),11),0)</f>
        <v>0</v>
      </c>
    </row>
    <row r="261" spans="1:18" hidden="1" x14ac:dyDescent="0.25">
      <c r="A261" t="s">
        <v>310</v>
      </c>
      <c r="B261" t="s">
        <v>46</v>
      </c>
      <c r="C261">
        <v>86</v>
      </c>
      <c r="D261">
        <v>213</v>
      </c>
      <c r="E261" t="s">
        <v>16</v>
      </c>
      <c r="F261">
        <v>14</v>
      </c>
      <c r="G261" t="s">
        <v>78</v>
      </c>
      <c r="H261">
        <v>153.09</v>
      </c>
      <c r="I261">
        <v>0</v>
      </c>
      <c r="J261">
        <v>0</v>
      </c>
      <c r="K261">
        <v>0</v>
      </c>
      <c r="L261">
        <v>0</v>
      </c>
      <c r="M261">
        <v>0</v>
      </c>
      <c r="N261">
        <v>0</v>
      </c>
      <c r="O261">
        <v>0</v>
      </c>
      <c r="P261">
        <v>0</v>
      </c>
      <c r="Q261">
        <v>153.09</v>
      </c>
      <c r="R261" s="78">
        <f>IFERROR(INDEX(ListOFErrors!A:K,MATCH(ERRORI__3[[#This Row],[Value.typologyOfErrorId]],ListOFErrors!A:A,0),11),0)</f>
        <v>8</v>
      </c>
    </row>
    <row r="262" spans="1:18" hidden="1" x14ac:dyDescent="0.25">
      <c r="A262" t="s">
        <v>310</v>
      </c>
      <c r="B262" t="s">
        <v>46</v>
      </c>
      <c r="C262">
        <v>86</v>
      </c>
      <c r="D262">
        <v>213</v>
      </c>
      <c r="E262" t="s">
        <v>16</v>
      </c>
      <c r="F262"/>
      <c r="G262"/>
      <c r="H262"/>
      <c r="I262">
        <v>22.96</v>
      </c>
      <c r="J262">
        <v>6.12</v>
      </c>
      <c r="K262"/>
      <c r="L262"/>
      <c r="M262"/>
      <c r="N262"/>
      <c r="O262"/>
      <c r="P262"/>
      <c r="Q262">
        <v>29.08</v>
      </c>
      <c r="R262" s="78">
        <f>IFERROR(INDEX(ListOFErrors!A:K,MATCH(ERRORI__3[[#This Row],[Value.typologyOfErrorId]],ListOFErrors!A:A,0),11),0)</f>
        <v>0</v>
      </c>
    </row>
    <row r="263" spans="1:18" hidden="1" x14ac:dyDescent="0.25">
      <c r="A263" t="s">
        <v>310</v>
      </c>
      <c r="B263" t="s">
        <v>46</v>
      </c>
      <c r="C263">
        <v>86</v>
      </c>
      <c r="D263">
        <v>33</v>
      </c>
      <c r="E263" t="s">
        <v>16</v>
      </c>
      <c r="F263">
        <v>1</v>
      </c>
      <c r="G263" t="s">
        <v>17</v>
      </c>
      <c r="H263">
        <v>8.5399999999999991</v>
      </c>
      <c r="I263">
        <v>0</v>
      </c>
      <c r="J263">
        <v>0</v>
      </c>
      <c r="K263">
        <v>0</v>
      </c>
      <c r="L263">
        <v>0</v>
      </c>
      <c r="M263">
        <v>0</v>
      </c>
      <c r="N263">
        <v>0</v>
      </c>
      <c r="O263">
        <v>0</v>
      </c>
      <c r="P263">
        <v>0</v>
      </c>
      <c r="Q263">
        <v>8.5399999999999991</v>
      </c>
      <c r="R263" s="78">
        <f>IFERROR(INDEX(ListOFErrors!A:K,MATCH(ERRORI__3[[#This Row],[Value.typologyOfErrorId]],ListOFErrors!A:A,0),11),0)</f>
        <v>2</v>
      </c>
    </row>
    <row r="264" spans="1:18" hidden="1" x14ac:dyDescent="0.25">
      <c r="A264" t="s">
        <v>310</v>
      </c>
      <c r="B264" t="s">
        <v>46</v>
      </c>
      <c r="C264">
        <v>86</v>
      </c>
      <c r="D264">
        <v>33</v>
      </c>
      <c r="E264" t="s">
        <v>16</v>
      </c>
      <c r="F264">
        <v>27</v>
      </c>
      <c r="G264" t="s">
        <v>81</v>
      </c>
      <c r="H264">
        <v>1631.28</v>
      </c>
      <c r="I264">
        <v>0</v>
      </c>
      <c r="J264">
        <v>0</v>
      </c>
      <c r="K264">
        <v>0</v>
      </c>
      <c r="L264">
        <v>0</v>
      </c>
      <c r="M264">
        <v>0</v>
      </c>
      <c r="N264">
        <v>0</v>
      </c>
      <c r="O264">
        <v>0</v>
      </c>
      <c r="P264">
        <v>0</v>
      </c>
      <c r="Q264">
        <v>1631.28</v>
      </c>
      <c r="R264" s="78">
        <f>IFERROR(INDEX(ListOFErrors!A:K,MATCH(ERRORI__3[[#This Row],[Value.typologyOfErrorId]],ListOFErrors!A:A,0),11),0)</f>
        <v>2</v>
      </c>
    </row>
    <row r="265" spans="1:18" hidden="1" x14ac:dyDescent="0.25">
      <c r="A265" t="s">
        <v>310</v>
      </c>
      <c r="B265" t="s">
        <v>46</v>
      </c>
      <c r="C265">
        <v>86</v>
      </c>
      <c r="D265">
        <v>33</v>
      </c>
      <c r="E265" t="s">
        <v>16</v>
      </c>
      <c r="F265"/>
      <c r="G265"/>
      <c r="H265"/>
      <c r="I265">
        <v>245.98</v>
      </c>
      <c r="J265">
        <v>65.59</v>
      </c>
      <c r="K265"/>
      <c r="L265"/>
      <c r="M265"/>
      <c r="N265"/>
      <c r="O265"/>
      <c r="P265"/>
      <c r="Q265">
        <v>311.57</v>
      </c>
      <c r="R265" s="78">
        <f>IFERROR(INDEX(ListOFErrors!A:K,MATCH(ERRORI__3[[#This Row],[Value.typologyOfErrorId]],ListOFErrors!A:A,0),11),0)</f>
        <v>0</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0"/>
  <dimension ref="A1:F1481"/>
  <sheetViews>
    <sheetView workbookViewId="0">
      <selection activeCell="F1461" sqref="F1461"/>
    </sheetView>
  </sheetViews>
  <sheetFormatPr defaultRowHeight="15" x14ac:dyDescent="0.25"/>
  <cols>
    <col min="1" max="1" width="18.5703125" bestFit="1" customWidth="1"/>
    <col min="2" max="2" width="18" bestFit="1" customWidth="1"/>
    <col min="3" max="3" width="14.28515625" style="2" bestFit="1" customWidth="1"/>
    <col min="4" max="4" width="13.28515625" style="2" bestFit="1" customWidth="1"/>
    <col min="5" max="5" width="29.42578125" bestFit="1" customWidth="1"/>
    <col min="6" max="6" width="10" bestFit="1" customWidth="1"/>
  </cols>
  <sheetData>
    <row r="1" spans="1:6" x14ac:dyDescent="0.25">
      <c r="A1" s="1" t="s">
        <v>4298</v>
      </c>
      <c r="B1" s="1" t="s">
        <v>4299</v>
      </c>
      <c r="C1" s="13" t="s">
        <v>486</v>
      </c>
      <c r="D1" s="13" t="s">
        <v>4300</v>
      </c>
      <c r="E1" s="1" t="s">
        <v>3</v>
      </c>
      <c r="F1" s="1" t="s">
        <v>4301</v>
      </c>
    </row>
    <row r="2" spans="1:6" x14ac:dyDescent="0.25">
      <c r="A2" s="1" t="s">
        <v>58</v>
      </c>
      <c r="B2" s="1" t="s">
        <v>40</v>
      </c>
      <c r="C2" s="13">
        <v>14</v>
      </c>
      <c r="D2" s="13">
        <v>101</v>
      </c>
      <c r="E2" s="1" t="s">
        <v>4302</v>
      </c>
      <c r="F2" s="1">
        <v>43469.06</v>
      </c>
    </row>
    <row r="3" spans="1:6" x14ac:dyDescent="0.25">
      <c r="A3" s="1" t="s">
        <v>58</v>
      </c>
      <c r="B3" s="1" t="s">
        <v>40</v>
      </c>
      <c r="C3" s="13">
        <v>14</v>
      </c>
      <c r="D3" s="13">
        <v>101</v>
      </c>
      <c r="E3" s="1" t="s">
        <v>4303</v>
      </c>
      <c r="F3" s="1">
        <v>6630.78</v>
      </c>
    </row>
    <row r="4" spans="1:6" x14ac:dyDescent="0.25">
      <c r="A4" s="1" t="s">
        <v>58</v>
      </c>
      <c r="B4" s="1" t="s">
        <v>40</v>
      </c>
      <c r="C4" s="13">
        <v>14</v>
      </c>
      <c r="D4" s="13">
        <v>101</v>
      </c>
      <c r="E4" s="1" t="s">
        <v>4304</v>
      </c>
      <c r="F4" s="1">
        <v>36838.28</v>
      </c>
    </row>
    <row r="5" spans="1:6" x14ac:dyDescent="0.25">
      <c r="A5" s="1" t="s">
        <v>58</v>
      </c>
      <c r="B5" s="1" t="s">
        <v>40</v>
      </c>
      <c r="C5" s="13">
        <v>14</v>
      </c>
      <c r="D5" s="13">
        <v>101</v>
      </c>
      <c r="E5" s="1" t="s">
        <v>4305</v>
      </c>
      <c r="F5" s="1">
        <v>100</v>
      </c>
    </row>
    <row r="6" spans="1:6" x14ac:dyDescent="0.25">
      <c r="A6" s="1" t="s">
        <v>58</v>
      </c>
      <c r="B6" s="1" t="s">
        <v>40</v>
      </c>
      <c r="C6" s="13">
        <v>14</v>
      </c>
      <c r="D6" s="13">
        <v>101</v>
      </c>
      <c r="E6" s="1" t="s">
        <v>4306</v>
      </c>
      <c r="F6" s="1">
        <v>0</v>
      </c>
    </row>
    <row r="7" spans="1:6" x14ac:dyDescent="0.25">
      <c r="A7" s="1" t="s">
        <v>58</v>
      </c>
      <c r="B7" s="1" t="s">
        <v>40</v>
      </c>
      <c r="C7" s="13">
        <v>14</v>
      </c>
      <c r="D7" s="13">
        <v>101</v>
      </c>
      <c r="E7" s="1" t="s">
        <v>4307</v>
      </c>
      <c r="F7" s="1">
        <v>158.66</v>
      </c>
    </row>
    <row r="8" spans="1:6" x14ac:dyDescent="0.25">
      <c r="A8" s="1" t="s">
        <v>58</v>
      </c>
      <c r="B8" s="1" t="s">
        <v>40</v>
      </c>
      <c r="C8" s="13">
        <v>14</v>
      </c>
      <c r="D8" s="13">
        <v>101</v>
      </c>
      <c r="E8" s="1" t="s">
        <v>4308</v>
      </c>
      <c r="F8" s="1">
        <v>43310.400000000001</v>
      </c>
    </row>
    <row r="9" spans="1:6" x14ac:dyDescent="0.25">
      <c r="A9" s="1" t="s">
        <v>58</v>
      </c>
      <c r="B9" s="1" t="s">
        <v>40</v>
      </c>
      <c r="C9" s="13">
        <v>14</v>
      </c>
      <c r="D9" s="13">
        <v>101</v>
      </c>
      <c r="E9" s="1" t="s">
        <v>4309</v>
      </c>
      <c r="F9" s="1">
        <v>99.64</v>
      </c>
    </row>
    <row r="10" spans="1:6" x14ac:dyDescent="0.25">
      <c r="A10" s="1" t="s">
        <v>58</v>
      </c>
      <c r="B10" s="1" t="s">
        <v>40</v>
      </c>
      <c r="C10" s="13">
        <v>14</v>
      </c>
      <c r="D10" s="13">
        <v>297</v>
      </c>
      <c r="E10" s="1" t="s">
        <v>4302</v>
      </c>
      <c r="F10" s="1">
        <v>19298.37</v>
      </c>
    </row>
    <row r="11" spans="1:6" x14ac:dyDescent="0.25">
      <c r="A11" s="1" t="s">
        <v>58</v>
      </c>
      <c r="B11" s="1" t="s">
        <v>40</v>
      </c>
      <c r="C11" s="13">
        <v>14</v>
      </c>
      <c r="D11" s="13">
        <v>297</v>
      </c>
      <c r="E11" s="1" t="s">
        <v>4303</v>
      </c>
      <c r="F11" s="1">
        <v>3081.24</v>
      </c>
    </row>
    <row r="12" spans="1:6" x14ac:dyDescent="0.25">
      <c r="A12" s="1" t="s">
        <v>58</v>
      </c>
      <c r="B12" s="1" t="s">
        <v>40</v>
      </c>
      <c r="C12" s="13">
        <v>14</v>
      </c>
      <c r="D12" s="13">
        <v>297</v>
      </c>
      <c r="E12" s="1" t="s">
        <v>4304</v>
      </c>
      <c r="F12" s="1">
        <v>8188.01</v>
      </c>
    </row>
    <row r="13" spans="1:6" x14ac:dyDescent="0.25">
      <c r="A13" s="1" t="s">
        <v>58</v>
      </c>
      <c r="B13" s="1" t="s">
        <v>40</v>
      </c>
      <c r="C13" s="13">
        <v>14</v>
      </c>
      <c r="D13" s="13">
        <v>297</v>
      </c>
      <c r="E13" s="1" t="s">
        <v>4305</v>
      </c>
      <c r="F13" s="1">
        <v>50.49</v>
      </c>
    </row>
    <row r="14" spans="1:6" x14ac:dyDescent="0.25">
      <c r="A14" s="1" t="s">
        <v>58</v>
      </c>
      <c r="B14" s="1" t="s">
        <v>40</v>
      </c>
      <c r="C14" s="13">
        <v>14</v>
      </c>
      <c r="D14" s="13">
        <v>297</v>
      </c>
      <c r="E14" s="1" t="s">
        <v>4306</v>
      </c>
      <c r="F14" s="1">
        <v>0</v>
      </c>
    </row>
    <row r="15" spans="1:6" x14ac:dyDescent="0.25">
      <c r="A15" s="1" t="s">
        <v>58</v>
      </c>
      <c r="B15" s="1" t="s">
        <v>40</v>
      </c>
      <c r="C15" s="13">
        <v>14</v>
      </c>
      <c r="D15" s="13">
        <v>297</v>
      </c>
      <c r="E15" s="1" t="s">
        <v>4307</v>
      </c>
      <c r="F15" s="1">
        <v>0</v>
      </c>
    </row>
    <row r="16" spans="1:6" x14ac:dyDescent="0.25">
      <c r="A16" s="1" t="s">
        <v>58</v>
      </c>
      <c r="B16" s="1" t="s">
        <v>40</v>
      </c>
      <c r="C16" s="13">
        <v>14</v>
      </c>
      <c r="D16" s="13">
        <v>297</v>
      </c>
      <c r="E16" s="1" t="s">
        <v>4308</v>
      </c>
      <c r="F16" s="1">
        <v>19298.37</v>
      </c>
    </row>
    <row r="17" spans="1:6" x14ac:dyDescent="0.25">
      <c r="A17" s="1" t="s">
        <v>58</v>
      </c>
      <c r="B17" s="1" t="s">
        <v>40</v>
      </c>
      <c r="C17" s="13">
        <v>14</v>
      </c>
      <c r="D17" s="13">
        <v>297</v>
      </c>
      <c r="E17" s="1" t="s">
        <v>4309</v>
      </c>
      <c r="F17" s="1">
        <v>100</v>
      </c>
    </row>
    <row r="18" spans="1:6" x14ac:dyDescent="0.25">
      <c r="A18" s="1" t="s">
        <v>58</v>
      </c>
      <c r="B18" s="1" t="s">
        <v>4545</v>
      </c>
      <c r="C18" s="13">
        <v>17</v>
      </c>
      <c r="D18" s="13">
        <v>239</v>
      </c>
      <c r="E18" s="1" t="s">
        <v>4302</v>
      </c>
      <c r="F18" s="1">
        <v>0</v>
      </c>
    </row>
    <row r="19" spans="1:6" x14ac:dyDescent="0.25">
      <c r="A19" s="1" t="s">
        <v>58</v>
      </c>
      <c r="B19" s="1" t="s">
        <v>4545</v>
      </c>
      <c r="C19" s="13">
        <v>17</v>
      </c>
      <c r="D19" s="13">
        <v>239</v>
      </c>
      <c r="E19" s="1" t="s">
        <v>4303</v>
      </c>
      <c r="F19" s="1">
        <v>0</v>
      </c>
    </row>
    <row r="20" spans="1:6" x14ac:dyDescent="0.25">
      <c r="A20" s="1" t="s">
        <v>58</v>
      </c>
      <c r="B20" s="1" t="s">
        <v>4545</v>
      </c>
      <c r="C20" s="13">
        <v>17</v>
      </c>
      <c r="D20" s="13">
        <v>239</v>
      </c>
      <c r="E20" s="1" t="s">
        <v>4304</v>
      </c>
      <c r="F20" s="1">
        <v>0</v>
      </c>
    </row>
    <row r="21" spans="1:6" x14ac:dyDescent="0.25">
      <c r="A21" s="1" t="s">
        <v>58</v>
      </c>
      <c r="B21" s="1" t="s">
        <v>4545</v>
      </c>
      <c r="C21" s="13">
        <v>17</v>
      </c>
      <c r="D21" s="13">
        <v>239</v>
      </c>
      <c r="E21" s="1" t="s">
        <v>4305</v>
      </c>
      <c r="F21" s="1">
        <v>0</v>
      </c>
    </row>
    <row r="22" spans="1:6" x14ac:dyDescent="0.25">
      <c r="A22" s="1" t="s">
        <v>58</v>
      </c>
      <c r="B22" s="1" t="s">
        <v>4545</v>
      </c>
      <c r="C22" s="13">
        <v>17</v>
      </c>
      <c r="D22" s="13">
        <v>239</v>
      </c>
      <c r="E22" s="1" t="s">
        <v>4306</v>
      </c>
      <c r="F22" s="1">
        <v>0</v>
      </c>
    </row>
    <row r="23" spans="1:6" x14ac:dyDescent="0.25">
      <c r="A23" s="1" t="s">
        <v>58</v>
      </c>
      <c r="B23" s="1" t="s">
        <v>4545</v>
      </c>
      <c r="C23" s="13">
        <v>17</v>
      </c>
      <c r="D23" s="13">
        <v>239</v>
      </c>
      <c r="E23" s="1" t="s">
        <v>4307</v>
      </c>
      <c r="F23" s="1">
        <v>0</v>
      </c>
    </row>
    <row r="24" spans="1:6" x14ac:dyDescent="0.25">
      <c r="A24" s="1" t="s">
        <v>58</v>
      </c>
      <c r="B24" s="1" t="s">
        <v>4545</v>
      </c>
      <c r="C24" s="13">
        <v>17</v>
      </c>
      <c r="D24" s="13">
        <v>239</v>
      </c>
      <c r="E24" s="1" t="s">
        <v>4308</v>
      </c>
      <c r="F24" s="1">
        <v>0</v>
      </c>
    </row>
    <row r="25" spans="1:6" x14ac:dyDescent="0.25">
      <c r="A25" s="1" t="s">
        <v>58</v>
      </c>
      <c r="B25" s="1" t="s">
        <v>4545</v>
      </c>
      <c r="C25" s="13">
        <v>17</v>
      </c>
      <c r="D25" s="13">
        <v>239</v>
      </c>
      <c r="E25" s="1" t="s">
        <v>4309</v>
      </c>
      <c r="F25" s="1">
        <v>0</v>
      </c>
    </row>
    <row r="26" spans="1:6" x14ac:dyDescent="0.25">
      <c r="A26" s="1" t="s">
        <v>58</v>
      </c>
      <c r="B26" s="1" t="s">
        <v>4545</v>
      </c>
      <c r="C26" s="13">
        <v>17</v>
      </c>
      <c r="D26" s="13">
        <v>79</v>
      </c>
      <c r="E26" s="1" t="s">
        <v>4302</v>
      </c>
      <c r="F26" s="1">
        <v>0</v>
      </c>
    </row>
    <row r="27" spans="1:6" x14ac:dyDescent="0.25">
      <c r="A27" s="1" t="s">
        <v>58</v>
      </c>
      <c r="B27" s="1" t="s">
        <v>4545</v>
      </c>
      <c r="C27" s="13">
        <v>17</v>
      </c>
      <c r="D27" s="13">
        <v>79</v>
      </c>
      <c r="E27" s="1" t="s">
        <v>4303</v>
      </c>
      <c r="F27" s="1">
        <v>0</v>
      </c>
    </row>
    <row r="28" spans="1:6" x14ac:dyDescent="0.25">
      <c r="A28" s="1" t="s">
        <v>58</v>
      </c>
      <c r="B28" s="1" t="s">
        <v>4545</v>
      </c>
      <c r="C28" s="13">
        <v>17</v>
      </c>
      <c r="D28" s="13">
        <v>79</v>
      </c>
      <c r="E28" s="1" t="s">
        <v>4304</v>
      </c>
      <c r="F28" s="1">
        <v>0</v>
      </c>
    </row>
    <row r="29" spans="1:6" x14ac:dyDescent="0.25">
      <c r="A29" s="1" t="s">
        <v>58</v>
      </c>
      <c r="B29" s="1" t="s">
        <v>4545</v>
      </c>
      <c r="C29" s="13">
        <v>17</v>
      </c>
      <c r="D29" s="13">
        <v>79</v>
      </c>
      <c r="E29" s="1" t="s">
        <v>4305</v>
      </c>
      <c r="F29" s="1">
        <v>0</v>
      </c>
    </row>
    <row r="30" spans="1:6" x14ac:dyDescent="0.25">
      <c r="A30" s="1" t="s">
        <v>58</v>
      </c>
      <c r="B30" s="1" t="s">
        <v>4545</v>
      </c>
      <c r="C30" s="13">
        <v>17</v>
      </c>
      <c r="D30" s="13">
        <v>79</v>
      </c>
      <c r="E30" s="1" t="s">
        <v>4306</v>
      </c>
      <c r="F30" s="1">
        <v>0</v>
      </c>
    </row>
    <row r="31" spans="1:6" x14ac:dyDescent="0.25">
      <c r="A31" s="1" t="s">
        <v>58</v>
      </c>
      <c r="B31" s="1" t="s">
        <v>4545</v>
      </c>
      <c r="C31" s="13">
        <v>17</v>
      </c>
      <c r="D31" s="13">
        <v>79</v>
      </c>
      <c r="E31" s="1" t="s">
        <v>4307</v>
      </c>
      <c r="F31" s="1">
        <v>0</v>
      </c>
    </row>
    <row r="32" spans="1:6" x14ac:dyDescent="0.25">
      <c r="A32" s="1" t="s">
        <v>58</v>
      </c>
      <c r="B32" s="1" t="s">
        <v>4545</v>
      </c>
      <c r="C32" s="13">
        <v>17</v>
      </c>
      <c r="D32" s="13">
        <v>79</v>
      </c>
      <c r="E32" s="1" t="s">
        <v>4308</v>
      </c>
      <c r="F32" s="1">
        <v>0</v>
      </c>
    </row>
    <row r="33" spans="1:6" x14ac:dyDescent="0.25">
      <c r="A33" s="1" t="s">
        <v>58</v>
      </c>
      <c r="B33" s="1" t="s">
        <v>4545</v>
      </c>
      <c r="C33" s="13">
        <v>17</v>
      </c>
      <c r="D33" s="13">
        <v>79</v>
      </c>
      <c r="E33" s="1" t="s">
        <v>4309</v>
      </c>
      <c r="F33" s="1">
        <v>0</v>
      </c>
    </row>
    <row r="34" spans="1:6" x14ac:dyDescent="0.25">
      <c r="A34" s="1" t="s">
        <v>58</v>
      </c>
      <c r="B34" s="1" t="s">
        <v>36</v>
      </c>
      <c r="C34" s="13">
        <v>16</v>
      </c>
      <c r="D34" s="13">
        <v>83</v>
      </c>
      <c r="E34" s="1" t="s">
        <v>4302</v>
      </c>
      <c r="F34" s="1">
        <v>68019.759999999995</v>
      </c>
    </row>
    <row r="35" spans="1:6" x14ac:dyDescent="0.25">
      <c r="A35" s="1" t="s">
        <v>58</v>
      </c>
      <c r="B35" s="1" t="s">
        <v>36</v>
      </c>
      <c r="C35" s="13">
        <v>16</v>
      </c>
      <c r="D35" s="13">
        <v>83</v>
      </c>
      <c r="E35" s="1" t="s">
        <v>4303</v>
      </c>
      <c r="F35" s="1">
        <v>4121.2700000000004</v>
      </c>
    </row>
    <row r="36" spans="1:6" x14ac:dyDescent="0.25">
      <c r="A36" s="1" t="s">
        <v>58</v>
      </c>
      <c r="B36" s="1" t="s">
        <v>36</v>
      </c>
      <c r="C36" s="13">
        <v>16</v>
      </c>
      <c r="D36" s="13">
        <v>83</v>
      </c>
      <c r="E36" s="1" t="s">
        <v>4304</v>
      </c>
      <c r="F36" s="1">
        <v>0</v>
      </c>
    </row>
    <row r="37" spans="1:6" x14ac:dyDescent="0.25">
      <c r="A37" s="1" t="s">
        <v>58</v>
      </c>
      <c r="B37" s="1" t="s">
        <v>36</v>
      </c>
      <c r="C37" s="13">
        <v>16</v>
      </c>
      <c r="D37" s="13">
        <v>83</v>
      </c>
      <c r="E37" s="1" t="s">
        <v>4305</v>
      </c>
      <c r="F37" s="1">
        <v>0</v>
      </c>
    </row>
    <row r="38" spans="1:6" x14ac:dyDescent="0.25">
      <c r="A38" s="1" t="s">
        <v>58</v>
      </c>
      <c r="B38" s="1" t="s">
        <v>36</v>
      </c>
      <c r="C38" s="13">
        <v>16</v>
      </c>
      <c r="D38" s="13">
        <v>83</v>
      </c>
      <c r="E38" s="1" t="s">
        <v>4306</v>
      </c>
      <c r="F38" s="1">
        <v>0</v>
      </c>
    </row>
    <row r="39" spans="1:6" x14ac:dyDescent="0.25">
      <c r="A39" s="1" t="s">
        <v>58</v>
      </c>
      <c r="B39" s="1" t="s">
        <v>36</v>
      </c>
      <c r="C39" s="13">
        <v>16</v>
      </c>
      <c r="D39" s="13">
        <v>83</v>
      </c>
      <c r="E39" s="1" t="s">
        <v>4307</v>
      </c>
      <c r="F39" s="1">
        <v>0</v>
      </c>
    </row>
    <row r="40" spans="1:6" x14ac:dyDescent="0.25">
      <c r="A40" s="1" t="s">
        <v>58</v>
      </c>
      <c r="B40" s="1" t="s">
        <v>36</v>
      </c>
      <c r="C40" s="13">
        <v>16</v>
      </c>
      <c r="D40" s="13">
        <v>83</v>
      </c>
      <c r="E40" s="1" t="s">
        <v>4308</v>
      </c>
      <c r="F40" s="1">
        <v>68019.759999999995</v>
      </c>
    </row>
    <row r="41" spans="1:6" x14ac:dyDescent="0.25">
      <c r="A41" s="1" t="s">
        <v>58</v>
      </c>
      <c r="B41" s="1" t="s">
        <v>36</v>
      </c>
      <c r="C41" s="13">
        <v>16</v>
      </c>
      <c r="D41" s="13">
        <v>83</v>
      </c>
      <c r="E41" s="1" t="s">
        <v>4309</v>
      </c>
      <c r="F41" s="1">
        <v>100</v>
      </c>
    </row>
    <row r="42" spans="1:6" x14ac:dyDescent="0.25">
      <c r="A42" s="1" t="s">
        <v>58</v>
      </c>
      <c r="B42" s="1" t="s">
        <v>21</v>
      </c>
      <c r="C42" s="13">
        <v>13</v>
      </c>
      <c r="D42" s="13">
        <v>189</v>
      </c>
      <c r="E42" s="1" t="s">
        <v>4302</v>
      </c>
      <c r="F42" s="1">
        <v>15910.59</v>
      </c>
    </row>
    <row r="43" spans="1:6" x14ac:dyDescent="0.25">
      <c r="A43" s="1" t="s">
        <v>58</v>
      </c>
      <c r="B43" s="1" t="s">
        <v>21</v>
      </c>
      <c r="C43" s="13">
        <v>13</v>
      </c>
      <c r="D43" s="13">
        <v>189</v>
      </c>
      <c r="E43" s="1" t="s">
        <v>4303</v>
      </c>
      <c r="F43" s="1">
        <v>3058.73</v>
      </c>
    </row>
    <row r="44" spans="1:6" x14ac:dyDescent="0.25">
      <c r="A44" s="1" t="s">
        <v>58</v>
      </c>
      <c r="B44" s="1" t="s">
        <v>21</v>
      </c>
      <c r="C44" s="13">
        <v>13</v>
      </c>
      <c r="D44" s="13">
        <v>189</v>
      </c>
      <c r="E44" s="1" t="s">
        <v>4304</v>
      </c>
      <c r="F44" s="1">
        <v>12682</v>
      </c>
    </row>
    <row r="45" spans="1:6" x14ac:dyDescent="0.25">
      <c r="A45" s="1" t="s">
        <v>58</v>
      </c>
      <c r="B45" s="1" t="s">
        <v>21</v>
      </c>
      <c r="C45" s="13">
        <v>13</v>
      </c>
      <c r="D45" s="13">
        <v>189</v>
      </c>
      <c r="E45" s="1" t="s">
        <v>4305</v>
      </c>
      <c r="F45" s="1">
        <v>98.68</v>
      </c>
    </row>
    <row r="46" spans="1:6" x14ac:dyDescent="0.25">
      <c r="A46" s="1" t="s">
        <v>58</v>
      </c>
      <c r="B46" s="1" t="s">
        <v>21</v>
      </c>
      <c r="C46" s="13">
        <v>13</v>
      </c>
      <c r="D46" s="13">
        <v>189</v>
      </c>
      <c r="E46" s="1" t="s">
        <v>4306</v>
      </c>
      <c r="F46" s="1">
        <v>0</v>
      </c>
    </row>
    <row r="47" spans="1:6" x14ac:dyDescent="0.25">
      <c r="A47" s="1" t="s">
        <v>58</v>
      </c>
      <c r="B47" s="1" t="s">
        <v>21</v>
      </c>
      <c r="C47" s="13">
        <v>13</v>
      </c>
      <c r="D47" s="13">
        <v>189</v>
      </c>
      <c r="E47" s="1" t="s">
        <v>4307</v>
      </c>
      <c r="F47" s="1">
        <v>0</v>
      </c>
    </row>
    <row r="48" spans="1:6" x14ac:dyDescent="0.25">
      <c r="A48" s="1" t="s">
        <v>58</v>
      </c>
      <c r="B48" s="1" t="s">
        <v>21</v>
      </c>
      <c r="C48" s="13">
        <v>13</v>
      </c>
      <c r="D48" s="13">
        <v>189</v>
      </c>
      <c r="E48" s="1" t="s">
        <v>4308</v>
      </c>
      <c r="F48" s="1">
        <v>15910.59</v>
      </c>
    </row>
    <row r="49" spans="1:6" x14ac:dyDescent="0.25">
      <c r="A49" s="1" t="s">
        <v>58</v>
      </c>
      <c r="B49" s="1" t="s">
        <v>21</v>
      </c>
      <c r="C49" s="13">
        <v>13</v>
      </c>
      <c r="D49" s="13">
        <v>189</v>
      </c>
      <c r="E49" s="1" t="s">
        <v>4309</v>
      </c>
      <c r="F49" s="1">
        <v>100</v>
      </c>
    </row>
    <row r="50" spans="1:6" x14ac:dyDescent="0.25">
      <c r="A50" s="1" t="s">
        <v>58</v>
      </c>
      <c r="B50" s="1" t="s">
        <v>21</v>
      </c>
      <c r="C50" s="13">
        <v>13</v>
      </c>
      <c r="D50" s="13">
        <v>5</v>
      </c>
      <c r="E50" s="1" t="s">
        <v>4302</v>
      </c>
      <c r="F50" s="1">
        <v>25434.15</v>
      </c>
    </row>
    <row r="51" spans="1:6" x14ac:dyDescent="0.25">
      <c r="A51" s="1" t="s">
        <v>58</v>
      </c>
      <c r="B51" s="1" t="s">
        <v>21</v>
      </c>
      <c r="C51" s="13">
        <v>13</v>
      </c>
      <c r="D51" s="13">
        <v>5</v>
      </c>
      <c r="E51" s="1" t="s">
        <v>4303</v>
      </c>
      <c r="F51" s="1">
        <v>4889.59</v>
      </c>
    </row>
    <row r="52" spans="1:6" x14ac:dyDescent="0.25">
      <c r="A52" s="1" t="s">
        <v>58</v>
      </c>
      <c r="B52" s="1" t="s">
        <v>21</v>
      </c>
      <c r="C52" s="13">
        <v>13</v>
      </c>
      <c r="D52" s="13">
        <v>5</v>
      </c>
      <c r="E52" s="1" t="s">
        <v>4304</v>
      </c>
      <c r="F52" s="1">
        <v>20544.560000000001</v>
      </c>
    </row>
    <row r="53" spans="1:6" x14ac:dyDescent="0.25">
      <c r="A53" s="1" t="s">
        <v>58</v>
      </c>
      <c r="B53" s="1" t="s">
        <v>21</v>
      </c>
      <c r="C53" s="13">
        <v>13</v>
      </c>
      <c r="D53" s="13">
        <v>5</v>
      </c>
      <c r="E53" s="1" t="s">
        <v>4305</v>
      </c>
      <c r="F53" s="1">
        <v>100</v>
      </c>
    </row>
    <row r="54" spans="1:6" x14ac:dyDescent="0.25">
      <c r="A54" s="1" t="s">
        <v>58</v>
      </c>
      <c r="B54" s="1" t="s">
        <v>21</v>
      </c>
      <c r="C54" s="13">
        <v>13</v>
      </c>
      <c r="D54" s="13">
        <v>5</v>
      </c>
      <c r="E54" s="1" t="s">
        <v>4306</v>
      </c>
      <c r="F54" s="1">
        <v>0</v>
      </c>
    </row>
    <row r="55" spans="1:6" x14ac:dyDescent="0.25">
      <c r="A55" s="1" t="s">
        <v>58</v>
      </c>
      <c r="B55" s="1" t="s">
        <v>21</v>
      </c>
      <c r="C55" s="13">
        <v>13</v>
      </c>
      <c r="D55" s="13">
        <v>5</v>
      </c>
      <c r="E55" s="1" t="s">
        <v>4307</v>
      </c>
      <c r="F55" s="1">
        <v>0</v>
      </c>
    </row>
    <row r="56" spans="1:6" x14ac:dyDescent="0.25">
      <c r="A56" s="1" t="s">
        <v>58</v>
      </c>
      <c r="B56" s="1" t="s">
        <v>21</v>
      </c>
      <c r="C56" s="13">
        <v>13</v>
      </c>
      <c r="D56" s="13">
        <v>5</v>
      </c>
      <c r="E56" s="1" t="s">
        <v>4308</v>
      </c>
      <c r="F56" s="1">
        <v>25434.15</v>
      </c>
    </row>
    <row r="57" spans="1:6" x14ac:dyDescent="0.25">
      <c r="A57" s="1" t="s">
        <v>58</v>
      </c>
      <c r="B57" s="1" t="s">
        <v>21</v>
      </c>
      <c r="C57" s="13">
        <v>13</v>
      </c>
      <c r="D57" s="13">
        <v>5</v>
      </c>
      <c r="E57" s="1" t="s">
        <v>4309</v>
      </c>
      <c r="F57" s="1">
        <v>100</v>
      </c>
    </row>
    <row r="58" spans="1:6" x14ac:dyDescent="0.25">
      <c r="A58" s="1" t="s">
        <v>58</v>
      </c>
      <c r="B58" s="1" t="s">
        <v>25</v>
      </c>
      <c r="C58" s="13">
        <v>10</v>
      </c>
      <c r="D58" s="13">
        <v>227</v>
      </c>
      <c r="E58" s="1" t="s">
        <v>4302</v>
      </c>
      <c r="F58" s="1">
        <v>16910.849999999999</v>
      </c>
    </row>
    <row r="59" spans="1:6" x14ac:dyDescent="0.25">
      <c r="A59" s="1" t="s">
        <v>58</v>
      </c>
      <c r="B59" s="1" t="s">
        <v>25</v>
      </c>
      <c r="C59" s="13">
        <v>10</v>
      </c>
      <c r="D59" s="13">
        <v>227</v>
      </c>
      <c r="E59" s="1" t="s">
        <v>4303</v>
      </c>
      <c r="F59" s="1">
        <v>2316.1</v>
      </c>
    </row>
    <row r="60" spans="1:6" x14ac:dyDescent="0.25">
      <c r="A60" s="1" t="s">
        <v>58</v>
      </c>
      <c r="B60" s="1" t="s">
        <v>25</v>
      </c>
      <c r="C60" s="13">
        <v>10</v>
      </c>
      <c r="D60" s="13">
        <v>227</v>
      </c>
      <c r="E60" s="1" t="s">
        <v>4304</v>
      </c>
      <c r="F60" s="1">
        <v>0</v>
      </c>
    </row>
    <row r="61" spans="1:6" x14ac:dyDescent="0.25">
      <c r="A61" s="1" t="s">
        <v>58</v>
      </c>
      <c r="B61" s="1" t="s">
        <v>25</v>
      </c>
      <c r="C61" s="13">
        <v>10</v>
      </c>
      <c r="D61" s="13">
        <v>227</v>
      </c>
      <c r="E61" s="1" t="s">
        <v>4305</v>
      </c>
      <c r="F61" s="1">
        <v>0</v>
      </c>
    </row>
    <row r="62" spans="1:6" x14ac:dyDescent="0.25">
      <c r="A62" s="1" t="s">
        <v>58</v>
      </c>
      <c r="B62" s="1" t="s">
        <v>25</v>
      </c>
      <c r="C62" s="13">
        <v>10</v>
      </c>
      <c r="D62" s="13">
        <v>227</v>
      </c>
      <c r="E62" s="1" t="s">
        <v>4306</v>
      </c>
      <c r="F62" s="1">
        <v>0</v>
      </c>
    </row>
    <row r="63" spans="1:6" x14ac:dyDescent="0.25">
      <c r="A63" s="1" t="s">
        <v>58</v>
      </c>
      <c r="B63" s="1" t="s">
        <v>25</v>
      </c>
      <c r="C63" s="13">
        <v>10</v>
      </c>
      <c r="D63" s="13">
        <v>227</v>
      </c>
      <c r="E63" s="1" t="s">
        <v>4307</v>
      </c>
      <c r="F63" s="1">
        <v>0</v>
      </c>
    </row>
    <row r="64" spans="1:6" x14ac:dyDescent="0.25">
      <c r="A64" s="1" t="s">
        <v>58</v>
      </c>
      <c r="B64" s="1" t="s">
        <v>25</v>
      </c>
      <c r="C64" s="13">
        <v>10</v>
      </c>
      <c r="D64" s="13">
        <v>227</v>
      </c>
      <c r="E64" s="1" t="s">
        <v>4308</v>
      </c>
      <c r="F64" s="1">
        <v>16910.849999999999</v>
      </c>
    </row>
    <row r="65" spans="1:6" x14ac:dyDescent="0.25">
      <c r="A65" s="1" t="s">
        <v>58</v>
      </c>
      <c r="B65" s="1" t="s">
        <v>25</v>
      </c>
      <c r="C65" s="13">
        <v>10</v>
      </c>
      <c r="D65" s="13">
        <v>227</v>
      </c>
      <c r="E65" s="1" t="s">
        <v>4309</v>
      </c>
      <c r="F65" s="1">
        <v>100</v>
      </c>
    </row>
    <row r="66" spans="1:6" x14ac:dyDescent="0.25">
      <c r="A66" s="1" t="s">
        <v>58</v>
      </c>
      <c r="B66" s="1" t="s">
        <v>25</v>
      </c>
      <c r="C66" s="13">
        <v>10</v>
      </c>
      <c r="D66" s="13">
        <v>27</v>
      </c>
      <c r="E66" s="1" t="s">
        <v>4302</v>
      </c>
      <c r="F66" s="1">
        <v>15258.18</v>
      </c>
    </row>
    <row r="67" spans="1:6" x14ac:dyDescent="0.25">
      <c r="A67" s="1" t="s">
        <v>58</v>
      </c>
      <c r="B67" s="1" t="s">
        <v>25</v>
      </c>
      <c r="C67" s="13">
        <v>10</v>
      </c>
      <c r="D67" s="13">
        <v>27</v>
      </c>
      <c r="E67" s="1" t="s">
        <v>4303</v>
      </c>
      <c r="F67" s="1">
        <v>2436.1799999999998</v>
      </c>
    </row>
    <row r="68" spans="1:6" x14ac:dyDescent="0.25">
      <c r="A68" s="1" t="s">
        <v>58</v>
      </c>
      <c r="B68" s="1" t="s">
        <v>25</v>
      </c>
      <c r="C68" s="13">
        <v>10</v>
      </c>
      <c r="D68" s="13">
        <v>27</v>
      </c>
      <c r="E68" s="1" t="s">
        <v>4304</v>
      </c>
      <c r="F68" s="1">
        <v>12822</v>
      </c>
    </row>
    <row r="69" spans="1:6" x14ac:dyDescent="0.25">
      <c r="A69" s="1" t="s">
        <v>58</v>
      </c>
      <c r="B69" s="1" t="s">
        <v>25</v>
      </c>
      <c r="C69" s="13">
        <v>10</v>
      </c>
      <c r="D69" s="13">
        <v>27</v>
      </c>
      <c r="E69" s="1" t="s">
        <v>4305</v>
      </c>
      <c r="F69" s="1">
        <v>100</v>
      </c>
    </row>
    <row r="70" spans="1:6" x14ac:dyDescent="0.25">
      <c r="A70" s="1" t="s">
        <v>58</v>
      </c>
      <c r="B70" s="1" t="s">
        <v>25</v>
      </c>
      <c r="C70" s="13">
        <v>10</v>
      </c>
      <c r="D70" s="13">
        <v>27</v>
      </c>
      <c r="E70" s="1" t="s">
        <v>4306</v>
      </c>
      <c r="F70" s="1">
        <v>0</v>
      </c>
    </row>
    <row r="71" spans="1:6" x14ac:dyDescent="0.25">
      <c r="A71" s="1" t="s">
        <v>58</v>
      </c>
      <c r="B71" s="1" t="s">
        <v>25</v>
      </c>
      <c r="C71" s="13">
        <v>10</v>
      </c>
      <c r="D71" s="13">
        <v>27</v>
      </c>
      <c r="E71" s="1" t="s">
        <v>4307</v>
      </c>
      <c r="F71" s="1">
        <v>0</v>
      </c>
    </row>
    <row r="72" spans="1:6" x14ac:dyDescent="0.25">
      <c r="A72" s="1" t="s">
        <v>58</v>
      </c>
      <c r="B72" s="1" t="s">
        <v>25</v>
      </c>
      <c r="C72" s="13">
        <v>10</v>
      </c>
      <c r="D72" s="13">
        <v>27</v>
      </c>
      <c r="E72" s="1" t="s">
        <v>4308</v>
      </c>
      <c r="F72" s="1">
        <v>15258.18</v>
      </c>
    </row>
    <row r="73" spans="1:6" x14ac:dyDescent="0.25">
      <c r="A73" s="1" t="s">
        <v>58</v>
      </c>
      <c r="B73" s="1" t="s">
        <v>25</v>
      </c>
      <c r="C73" s="13">
        <v>10</v>
      </c>
      <c r="D73" s="13">
        <v>27</v>
      </c>
      <c r="E73" s="1" t="s">
        <v>4309</v>
      </c>
      <c r="F73" s="1">
        <v>100</v>
      </c>
    </row>
    <row r="74" spans="1:6" x14ac:dyDescent="0.25">
      <c r="A74" s="1" t="s">
        <v>58</v>
      </c>
      <c r="B74" s="1" t="s">
        <v>33</v>
      </c>
      <c r="C74" s="13">
        <v>15</v>
      </c>
      <c r="D74" s="13">
        <v>55</v>
      </c>
      <c r="E74" s="1" t="s">
        <v>4302</v>
      </c>
      <c r="F74" s="1">
        <v>135282.13</v>
      </c>
    </row>
    <row r="75" spans="1:6" x14ac:dyDescent="0.25">
      <c r="A75" s="1" t="s">
        <v>58</v>
      </c>
      <c r="B75" s="1" t="s">
        <v>33</v>
      </c>
      <c r="C75" s="13">
        <v>15</v>
      </c>
      <c r="D75" s="13">
        <v>55</v>
      </c>
      <c r="E75" s="1" t="s">
        <v>4303</v>
      </c>
      <c r="F75" s="1">
        <v>8532.77</v>
      </c>
    </row>
    <row r="76" spans="1:6" x14ac:dyDescent="0.25">
      <c r="A76" s="1" t="s">
        <v>58</v>
      </c>
      <c r="B76" s="1" t="s">
        <v>33</v>
      </c>
      <c r="C76" s="13">
        <v>15</v>
      </c>
      <c r="D76" s="13">
        <v>55</v>
      </c>
      <c r="E76" s="1" t="s">
        <v>4304</v>
      </c>
      <c r="F76" s="1">
        <v>126749.36</v>
      </c>
    </row>
    <row r="77" spans="1:6" x14ac:dyDescent="0.25">
      <c r="A77" s="1" t="s">
        <v>58</v>
      </c>
      <c r="B77" s="1" t="s">
        <v>33</v>
      </c>
      <c r="C77" s="13">
        <v>15</v>
      </c>
      <c r="D77" s="13">
        <v>55</v>
      </c>
      <c r="E77" s="1" t="s">
        <v>4305</v>
      </c>
      <c r="F77" s="1">
        <v>100</v>
      </c>
    </row>
    <row r="78" spans="1:6" x14ac:dyDescent="0.25">
      <c r="A78" s="1" t="s">
        <v>58</v>
      </c>
      <c r="B78" s="1" t="s">
        <v>33</v>
      </c>
      <c r="C78" s="13">
        <v>15</v>
      </c>
      <c r="D78" s="13">
        <v>55</v>
      </c>
      <c r="E78" s="1" t="s">
        <v>4306</v>
      </c>
      <c r="F78" s="1">
        <v>0</v>
      </c>
    </row>
    <row r="79" spans="1:6" x14ac:dyDescent="0.25">
      <c r="A79" s="1" t="s">
        <v>58</v>
      </c>
      <c r="B79" s="1" t="s">
        <v>33</v>
      </c>
      <c r="C79" s="13">
        <v>15</v>
      </c>
      <c r="D79" s="13">
        <v>55</v>
      </c>
      <c r="E79" s="1" t="s">
        <v>4307</v>
      </c>
      <c r="F79" s="1">
        <v>0.18</v>
      </c>
    </row>
    <row r="80" spans="1:6" x14ac:dyDescent="0.25">
      <c r="A80" s="1" t="s">
        <v>58</v>
      </c>
      <c r="B80" s="1" t="s">
        <v>33</v>
      </c>
      <c r="C80" s="13">
        <v>15</v>
      </c>
      <c r="D80" s="13">
        <v>55</v>
      </c>
      <c r="E80" s="1" t="s">
        <v>4308</v>
      </c>
      <c r="F80" s="1">
        <v>135281.95000000001</v>
      </c>
    </row>
    <row r="81" spans="1:6" x14ac:dyDescent="0.25">
      <c r="A81" s="1" t="s">
        <v>58</v>
      </c>
      <c r="B81" s="1" t="s">
        <v>33</v>
      </c>
      <c r="C81" s="13">
        <v>15</v>
      </c>
      <c r="D81" s="13">
        <v>55</v>
      </c>
      <c r="E81" s="1" t="s">
        <v>4309</v>
      </c>
      <c r="F81" s="1">
        <v>100</v>
      </c>
    </row>
    <row r="82" spans="1:6" x14ac:dyDescent="0.25">
      <c r="A82" s="1" t="s">
        <v>58</v>
      </c>
      <c r="B82" s="1" t="s">
        <v>30</v>
      </c>
      <c r="C82" s="13">
        <v>12</v>
      </c>
      <c r="D82" s="13">
        <v>222</v>
      </c>
      <c r="E82" s="1" t="s">
        <v>4302</v>
      </c>
      <c r="F82" s="1">
        <v>28022.29</v>
      </c>
    </row>
    <row r="83" spans="1:6" x14ac:dyDescent="0.25">
      <c r="A83" s="1" t="s">
        <v>58</v>
      </c>
      <c r="B83" s="1" t="s">
        <v>30</v>
      </c>
      <c r="C83" s="13">
        <v>12</v>
      </c>
      <c r="D83" s="13">
        <v>222</v>
      </c>
      <c r="E83" s="1" t="s">
        <v>4303</v>
      </c>
      <c r="F83" s="1">
        <v>2580.39</v>
      </c>
    </row>
    <row r="84" spans="1:6" x14ac:dyDescent="0.25">
      <c r="A84" s="1" t="s">
        <v>58</v>
      </c>
      <c r="B84" s="1" t="s">
        <v>30</v>
      </c>
      <c r="C84" s="13">
        <v>12</v>
      </c>
      <c r="D84" s="13">
        <v>222</v>
      </c>
      <c r="E84" s="1" t="s">
        <v>4304</v>
      </c>
      <c r="F84" s="1">
        <v>14911.9</v>
      </c>
    </row>
    <row r="85" spans="1:6" x14ac:dyDescent="0.25">
      <c r="A85" s="1" t="s">
        <v>58</v>
      </c>
      <c r="B85" s="1" t="s">
        <v>30</v>
      </c>
      <c r="C85" s="13">
        <v>12</v>
      </c>
      <c r="D85" s="13">
        <v>222</v>
      </c>
      <c r="E85" s="1" t="s">
        <v>4305</v>
      </c>
      <c r="F85" s="1">
        <v>58.61</v>
      </c>
    </row>
    <row r="86" spans="1:6" x14ac:dyDescent="0.25">
      <c r="A86" s="1" t="s">
        <v>58</v>
      </c>
      <c r="B86" s="1" t="s">
        <v>30</v>
      </c>
      <c r="C86" s="13">
        <v>12</v>
      </c>
      <c r="D86" s="13">
        <v>222</v>
      </c>
      <c r="E86" s="1" t="s">
        <v>4306</v>
      </c>
      <c r="F86" s="1">
        <v>0</v>
      </c>
    </row>
    <row r="87" spans="1:6" x14ac:dyDescent="0.25">
      <c r="A87" s="1" t="s">
        <v>58</v>
      </c>
      <c r="B87" s="1" t="s">
        <v>30</v>
      </c>
      <c r="C87" s="13">
        <v>12</v>
      </c>
      <c r="D87" s="13">
        <v>222</v>
      </c>
      <c r="E87" s="1" t="s">
        <v>4307</v>
      </c>
      <c r="F87" s="1">
        <v>0</v>
      </c>
    </row>
    <row r="88" spans="1:6" x14ac:dyDescent="0.25">
      <c r="A88" s="1" t="s">
        <v>58</v>
      </c>
      <c r="B88" s="1" t="s">
        <v>30</v>
      </c>
      <c r="C88" s="13">
        <v>12</v>
      </c>
      <c r="D88" s="13">
        <v>222</v>
      </c>
      <c r="E88" s="1" t="s">
        <v>4308</v>
      </c>
      <c r="F88" s="1">
        <v>28022.29</v>
      </c>
    </row>
    <row r="89" spans="1:6" x14ac:dyDescent="0.25">
      <c r="A89" s="1" t="s">
        <v>58</v>
      </c>
      <c r="B89" s="1" t="s">
        <v>30</v>
      </c>
      <c r="C89" s="13">
        <v>12</v>
      </c>
      <c r="D89" s="13">
        <v>222</v>
      </c>
      <c r="E89" s="1" t="s">
        <v>4309</v>
      </c>
      <c r="F89" s="1">
        <v>100</v>
      </c>
    </row>
    <row r="90" spans="1:6" x14ac:dyDescent="0.25">
      <c r="A90" s="1" t="s">
        <v>58</v>
      </c>
      <c r="B90" s="1" t="s">
        <v>30</v>
      </c>
      <c r="C90" s="13">
        <v>12</v>
      </c>
      <c r="D90" s="13">
        <v>74</v>
      </c>
      <c r="E90" s="1" t="s">
        <v>4302</v>
      </c>
      <c r="F90" s="1">
        <v>38256.339999999997</v>
      </c>
    </row>
    <row r="91" spans="1:6" x14ac:dyDescent="0.25">
      <c r="A91" s="1" t="s">
        <v>58</v>
      </c>
      <c r="B91" s="1" t="s">
        <v>30</v>
      </c>
      <c r="C91" s="13">
        <v>12</v>
      </c>
      <c r="D91" s="13">
        <v>74</v>
      </c>
      <c r="E91" s="1" t="s">
        <v>4303</v>
      </c>
      <c r="F91" s="1">
        <v>5017.1400000000003</v>
      </c>
    </row>
    <row r="92" spans="1:6" x14ac:dyDescent="0.25">
      <c r="A92" s="1" t="s">
        <v>58</v>
      </c>
      <c r="B92" s="1" t="s">
        <v>30</v>
      </c>
      <c r="C92" s="13">
        <v>12</v>
      </c>
      <c r="D92" s="13">
        <v>74</v>
      </c>
      <c r="E92" s="1" t="s">
        <v>4304</v>
      </c>
      <c r="F92" s="1">
        <v>33239.199999999997</v>
      </c>
    </row>
    <row r="93" spans="1:6" x14ac:dyDescent="0.25">
      <c r="A93" s="1" t="s">
        <v>58</v>
      </c>
      <c r="B93" s="1" t="s">
        <v>30</v>
      </c>
      <c r="C93" s="13">
        <v>12</v>
      </c>
      <c r="D93" s="13">
        <v>74</v>
      </c>
      <c r="E93" s="1" t="s">
        <v>4305</v>
      </c>
      <c r="F93" s="1">
        <v>100</v>
      </c>
    </row>
    <row r="94" spans="1:6" x14ac:dyDescent="0.25">
      <c r="A94" s="1" t="s">
        <v>58</v>
      </c>
      <c r="B94" s="1" t="s">
        <v>30</v>
      </c>
      <c r="C94" s="13">
        <v>12</v>
      </c>
      <c r="D94" s="13">
        <v>74</v>
      </c>
      <c r="E94" s="1" t="s">
        <v>4306</v>
      </c>
      <c r="F94" s="1">
        <v>0</v>
      </c>
    </row>
    <row r="95" spans="1:6" x14ac:dyDescent="0.25">
      <c r="A95" s="1" t="s">
        <v>58</v>
      </c>
      <c r="B95" s="1" t="s">
        <v>30</v>
      </c>
      <c r="C95" s="13">
        <v>12</v>
      </c>
      <c r="D95" s="13">
        <v>74</v>
      </c>
      <c r="E95" s="1" t="s">
        <v>4307</v>
      </c>
      <c r="F95" s="1">
        <v>0</v>
      </c>
    </row>
    <row r="96" spans="1:6" x14ac:dyDescent="0.25">
      <c r="A96" s="1" t="s">
        <v>58</v>
      </c>
      <c r="B96" s="1" t="s">
        <v>30</v>
      </c>
      <c r="C96" s="13">
        <v>12</v>
      </c>
      <c r="D96" s="13">
        <v>74</v>
      </c>
      <c r="E96" s="1" t="s">
        <v>4308</v>
      </c>
      <c r="F96" s="1">
        <v>38256.339999999997</v>
      </c>
    </row>
    <row r="97" spans="1:6" x14ac:dyDescent="0.25">
      <c r="A97" s="1" t="s">
        <v>58</v>
      </c>
      <c r="B97" s="1" t="s">
        <v>30</v>
      </c>
      <c r="C97" s="13">
        <v>12</v>
      </c>
      <c r="D97" s="13">
        <v>74</v>
      </c>
      <c r="E97" s="1" t="s">
        <v>4309</v>
      </c>
      <c r="F97" s="1">
        <v>100</v>
      </c>
    </row>
    <row r="98" spans="1:6" x14ac:dyDescent="0.25">
      <c r="A98" s="1" t="s">
        <v>71</v>
      </c>
      <c r="B98" s="1" t="s">
        <v>301</v>
      </c>
      <c r="C98" s="13">
        <v>156</v>
      </c>
      <c r="D98" s="13">
        <v>169</v>
      </c>
      <c r="E98" s="1" t="s">
        <v>4302</v>
      </c>
      <c r="F98" s="1">
        <v>9466.99</v>
      </c>
    </row>
    <row r="99" spans="1:6" x14ac:dyDescent="0.25">
      <c r="A99" s="1" t="s">
        <v>71</v>
      </c>
      <c r="B99" s="1" t="s">
        <v>301</v>
      </c>
      <c r="C99" s="13">
        <v>156</v>
      </c>
      <c r="D99" s="13">
        <v>169</v>
      </c>
      <c r="E99" s="1" t="s">
        <v>4303</v>
      </c>
      <c r="F99" s="1">
        <v>912</v>
      </c>
    </row>
    <row r="100" spans="1:6" x14ac:dyDescent="0.25">
      <c r="A100" s="1" t="s">
        <v>71</v>
      </c>
      <c r="B100" s="1" t="s">
        <v>301</v>
      </c>
      <c r="C100" s="13">
        <v>156</v>
      </c>
      <c r="D100" s="13">
        <v>169</v>
      </c>
      <c r="E100" s="1" t="s">
        <v>4304</v>
      </c>
      <c r="F100" s="1">
        <v>8554.99</v>
      </c>
    </row>
    <row r="101" spans="1:6" x14ac:dyDescent="0.25">
      <c r="A101" s="1" t="s">
        <v>71</v>
      </c>
      <c r="B101" s="1" t="s">
        <v>301</v>
      </c>
      <c r="C101" s="13">
        <v>156</v>
      </c>
      <c r="D101" s="13">
        <v>169</v>
      </c>
      <c r="E101" s="1" t="s">
        <v>4305</v>
      </c>
      <c r="F101" s="1">
        <v>100</v>
      </c>
    </row>
    <row r="102" spans="1:6" x14ac:dyDescent="0.25">
      <c r="A102" s="1" t="s">
        <v>71</v>
      </c>
      <c r="B102" s="1" t="s">
        <v>301</v>
      </c>
      <c r="C102" s="13">
        <v>156</v>
      </c>
      <c r="D102" s="13">
        <v>169</v>
      </c>
      <c r="E102" s="1" t="s">
        <v>4306</v>
      </c>
      <c r="F102" s="1">
        <v>9466.99</v>
      </c>
    </row>
    <row r="103" spans="1:6" x14ac:dyDescent="0.25">
      <c r="A103" s="1" t="s">
        <v>71</v>
      </c>
      <c r="B103" s="1" t="s">
        <v>301</v>
      </c>
      <c r="C103" s="13">
        <v>156</v>
      </c>
      <c r="D103" s="13">
        <v>169</v>
      </c>
      <c r="E103" s="1" t="s">
        <v>4307</v>
      </c>
      <c r="F103" s="1">
        <v>0</v>
      </c>
    </row>
    <row r="104" spans="1:6" x14ac:dyDescent="0.25">
      <c r="A104" s="1" t="s">
        <v>71</v>
      </c>
      <c r="B104" s="1" t="s">
        <v>301</v>
      </c>
      <c r="C104" s="13">
        <v>156</v>
      </c>
      <c r="D104" s="13">
        <v>169</v>
      </c>
      <c r="E104" s="1" t="s">
        <v>4308</v>
      </c>
      <c r="F104" s="1">
        <v>0</v>
      </c>
    </row>
    <row r="105" spans="1:6" x14ac:dyDescent="0.25">
      <c r="A105" s="1" t="s">
        <v>71</v>
      </c>
      <c r="B105" s="1" t="s">
        <v>301</v>
      </c>
      <c r="C105" s="13">
        <v>156</v>
      </c>
      <c r="D105" s="13">
        <v>169</v>
      </c>
      <c r="E105" s="1" t="s">
        <v>4309</v>
      </c>
      <c r="F105" s="1">
        <v>0</v>
      </c>
    </row>
    <row r="106" spans="1:6" x14ac:dyDescent="0.25">
      <c r="A106" s="1" t="s">
        <v>71</v>
      </c>
      <c r="B106" s="1" t="s">
        <v>47</v>
      </c>
      <c r="C106" s="13">
        <v>159</v>
      </c>
      <c r="D106" s="13">
        <v>291</v>
      </c>
      <c r="E106" s="1" t="s">
        <v>4302</v>
      </c>
      <c r="F106" s="1">
        <v>0</v>
      </c>
    </row>
    <row r="107" spans="1:6" x14ac:dyDescent="0.25">
      <c r="A107" s="1" t="s">
        <v>71</v>
      </c>
      <c r="B107" s="1" t="s">
        <v>47</v>
      </c>
      <c r="C107" s="13">
        <v>159</v>
      </c>
      <c r="D107" s="13">
        <v>291</v>
      </c>
      <c r="E107" s="1" t="s">
        <v>4303</v>
      </c>
      <c r="F107" s="1">
        <v>0</v>
      </c>
    </row>
    <row r="108" spans="1:6" x14ac:dyDescent="0.25">
      <c r="A108" s="1" t="s">
        <v>71</v>
      </c>
      <c r="B108" s="1" t="s">
        <v>47</v>
      </c>
      <c r="C108" s="13">
        <v>159</v>
      </c>
      <c r="D108" s="13">
        <v>291</v>
      </c>
      <c r="E108" s="1" t="s">
        <v>4304</v>
      </c>
      <c r="F108" s="1">
        <v>0</v>
      </c>
    </row>
    <row r="109" spans="1:6" x14ac:dyDescent="0.25">
      <c r="A109" s="1" t="s">
        <v>71</v>
      </c>
      <c r="B109" s="1" t="s">
        <v>47</v>
      </c>
      <c r="C109" s="13">
        <v>159</v>
      </c>
      <c r="D109" s="13">
        <v>291</v>
      </c>
      <c r="E109" s="1" t="s">
        <v>4305</v>
      </c>
      <c r="F109" s="1">
        <v>0</v>
      </c>
    </row>
    <row r="110" spans="1:6" x14ac:dyDescent="0.25">
      <c r="A110" s="1" t="s">
        <v>71</v>
      </c>
      <c r="B110" s="1" t="s">
        <v>47</v>
      </c>
      <c r="C110" s="13">
        <v>159</v>
      </c>
      <c r="D110" s="13">
        <v>291</v>
      </c>
      <c r="E110" s="1" t="s">
        <v>4306</v>
      </c>
      <c r="F110" s="1">
        <v>0</v>
      </c>
    </row>
    <row r="111" spans="1:6" x14ac:dyDescent="0.25">
      <c r="A111" s="1" t="s">
        <v>71</v>
      </c>
      <c r="B111" s="1" t="s">
        <v>47</v>
      </c>
      <c r="C111" s="13">
        <v>159</v>
      </c>
      <c r="D111" s="13">
        <v>291</v>
      </c>
      <c r="E111" s="1" t="s">
        <v>4307</v>
      </c>
      <c r="F111" s="1">
        <v>0</v>
      </c>
    </row>
    <row r="112" spans="1:6" x14ac:dyDescent="0.25">
      <c r="A112" s="1" t="s">
        <v>71</v>
      </c>
      <c r="B112" s="1" t="s">
        <v>47</v>
      </c>
      <c r="C112" s="13">
        <v>159</v>
      </c>
      <c r="D112" s="13">
        <v>291</v>
      </c>
      <c r="E112" s="1" t="s">
        <v>4308</v>
      </c>
      <c r="F112" s="1">
        <v>0</v>
      </c>
    </row>
    <row r="113" spans="1:6" x14ac:dyDescent="0.25">
      <c r="A113" s="1" t="s">
        <v>71</v>
      </c>
      <c r="B113" s="1" t="s">
        <v>47</v>
      </c>
      <c r="C113" s="13">
        <v>159</v>
      </c>
      <c r="D113" s="13">
        <v>291</v>
      </c>
      <c r="E113" s="1" t="s">
        <v>4309</v>
      </c>
      <c r="F113" s="1">
        <v>0</v>
      </c>
    </row>
    <row r="114" spans="1:6" x14ac:dyDescent="0.25">
      <c r="A114" s="1" t="s">
        <v>71</v>
      </c>
      <c r="B114" s="1" t="s">
        <v>290</v>
      </c>
      <c r="C114" s="13">
        <v>72</v>
      </c>
      <c r="D114" s="13">
        <v>134</v>
      </c>
      <c r="E114" s="1" t="s">
        <v>4302</v>
      </c>
      <c r="F114" s="1">
        <v>39388.660000000003</v>
      </c>
    </row>
    <row r="115" spans="1:6" x14ac:dyDescent="0.25">
      <c r="A115" s="1" t="s">
        <v>71</v>
      </c>
      <c r="B115" s="1" t="s">
        <v>290</v>
      </c>
      <c r="C115" s="13">
        <v>72</v>
      </c>
      <c r="D115" s="13">
        <v>134</v>
      </c>
      <c r="E115" s="1" t="s">
        <v>4303</v>
      </c>
      <c r="F115" s="1">
        <v>525.46</v>
      </c>
    </row>
    <row r="116" spans="1:6" x14ac:dyDescent="0.25">
      <c r="A116" s="1" t="s">
        <v>71</v>
      </c>
      <c r="B116" s="1" t="s">
        <v>290</v>
      </c>
      <c r="C116" s="13">
        <v>72</v>
      </c>
      <c r="D116" s="13">
        <v>134</v>
      </c>
      <c r="E116" s="1" t="s">
        <v>4304</v>
      </c>
      <c r="F116" s="1">
        <v>38863.199999999997</v>
      </c>
    </row>
    <row r="117" spans="1:6" x14ac:dyDescent="0.25">
      <c r="A117" s="1" t="s">
        <v>71</v>
      </c>
      <c r="B117" s="1" t="s">
        <v>290</v>
      </c>
      <c r="C117" s="13">
        <v>72</v>
      </c>
      <c r="D117" s="13">
        <v>134</v>
      </c>
      <c r="E117" s="1" t="s">
        <v>4305</v>
      </c>
      <c r="F117" s="1">
        <v>100</v>
      </c>
    </row>
    <row r="118" spans="1:6" x14ac:dyDescent="0.25">
      <c r="A118" s="1" t="s">
        <v>71</v>
      </c>
      <c r="B118" s="1" t="s">
        <v>290</v>
      </c>
      <c r="C118" s="13">
        <v>72</v>
      </c>
      <c r="D118" s="13">
        <v>134</v>
      </c>
      <c r="E118" s="1" t="s">
        <v>4306</v>
      </c>
      <c r="F118" s="1">
        <v>0</v>
      </c>
    </row>
    <row r="119" spans="1:6" x14ac:dyDescent="0.25">
      <c r="A119" s="1" t="s">
        <v>71</v>
      </c>
      <c r="B119" s="1" t="s">
        <v>290</v>
      </c>
      <c r="C119" s="13">
        <v>72</v>
      </c>
      <c r="D119" s="13">
        <v>134</v>
      </c>
      <c r="E119" s="1" t="s">
        <v>4307</v>
      </c>
      <c r="F119" s="1">
        <v>70.89</v>
      </c>
    </row>
    <row r="120" spans="1:6" x14ac:dyDescent="0.25">
      <c r="A120" s="1" t="s">
        <v>71</v>
      </c>
      <c r="B120" s="1" t="s">
        <v>290</v>
      </c>
      <c r="C120" s="13">
        <v>72</v>
      </c>
      <c r="D120" s="13">
        <v>134</v>
      </c>
      <c r="E120" s="1" t="s">
        <v>4308</v>
      </c>
      <c r="F120" s="1">
        <v>39317.769999999997</v>
      </c>
    </row>
    <row r="121" spans="1:6" x14ac:dyDescent="0.25">
      <c r="A121" s="1" t="s">
        <v>71</v>
      </c>
      <c r="B121" s="1" t="s">
        <v>290</v>
      </c>
      <c r="C121" s="13">
        <v>72</v>
      </c>
      <c r="D121" s="13">
        <v>134</v>
      </c>
      <c r="E121" s="1" t="s">
        <v>4309</v>
      </c>
      <c r="F121" s="1">
        <v>99.82</v>
      </c>
    </row>
    <row r="122" spans="1:6" x14ac:dyDescent="0.25">
      <c r="A122" s="1" t="s">
        <v>71</v>
      </c>
      <c r="B122" s="1" t="s">
        <v>303</v>
      </c>
      <c r="C122" s="13">
        <v>157</v>
      </c>
      <c r="D122" s="13">
        <v>206</v>
      </c>
      <c r="E122" s="1" t="s">
        <v>4302</v>
      </c>
      <c r="F122" s="1">
        <v>8997.27</v>
      </c>
    </row>
    <row r="123" spans="1:6" x14ac:dyDescent="0.25">
      <c r="A123" s="1" t="s">
        <v>71</v>
      </c>
      <c r="B123" s="1" t="s">
        <v>303</v>
      </c>
      <c r="C123" s="13">
        <v>157</v>
      </c>
      <c r="D123" s="13">
        <v>206</v>
      </c>
      <c r="E123" s="1" t="s">
        <v>4303</v>
      </c>
      <c r="F123" s="1">
        <v>1682.41</v>
      </c>
    </row>
    <row r="124" spans="1:6" x14ac:dyDescent="0.25">
      <c r="A124" s="1" t="s">
        <v>71</v>
      </c>
      <c r="B124" s="1" t="s">
        <v>303</v>
      </c>
      <c r="C124" s="13">
        <v>157</v>
      </c>
      <c r="D124" s="13">
        <v>206</v>
      </c>
      <c r="E124" s="1" t="s">
        <v>4304</v>
      </c>
      <c r="F124" s="1">
        <v>7314.86</v>
      </c>
    </row>
    <row r="125" spans="1:6" x14ac:dyDescent="0.25">
      <c r="A125" s="1" t="s">
        <v>71</v>
      </c>
      <c r="B125" s="1" t="s">
        <v>303</v>
      </c>
      <c r="C125" s="13">
        <v>157</v>
      </c>
      <c r="D125" s="13">
        <v>206</v>
      </c>
      <c r="E125" s="1" t="s">
        <v>4305</v>
      </c>
      <c r="F125" s="1">
        <v>100</v>
      </c>
    </row>
    <row r="126" spans="1:6" x14ac:dyDescent="0.25">
      <c r="A126" s="1" t="s">
        <v>71</v>
      </c>
      <c r="B126" s="1" t="s">
        <v>303</v>
      </c>
      <c r="C126" s="13">
        <v>157</v>
      </c>
      <c r="D126" s="13">
        <v>206</v>
      </c>
      <c r="E126" s="1" t="s">
        <v>4306</v>
      </c>
      <c r="F126" s="1">
        <v>0</v>
      </c>
    </row>
    <row r="127" spans="1:6" x14ac:dyDescent="0.25">
      <c r="A127" s="1" t="s">
        <v>71</v>
      </c>
      <c r="B127" s="1" t="s">
        <v>303</v>
      </c>
      <c r="C127" s="13">
        <v>157</v>
      </c>
      <c r="D127" s="13">
        <v>206</v>
      </c>
      <c r="E127" s="1" t="s">
        <v>4307</v>
      </c>
      <c r="F127" s="1">
        <v>80.92</v>
      </c>
    </row>
    <row r="128" spans="1:6" x14ac:dyDescent="0.25">
      <c r="A128" s="1" t="s">
        <v>71</v>
      </c>
      <c r="B128" s="1" t="s">
        <v>303</v>
      </c>
      <c r="C128" s="13">
        <v>157</v>
      </c>
      <c r="D128" s="13">
        <v>206</v>
      </c>
      <c r="E128" s="1" t="s">
        <v>4308</v>
      </c>
      <c r="F128" s="1">
        <v>8916.35</v>
      </c>
    </row>
    <row r="129" spans="1:6" x14ac:dyDescent="0.25">
      <c r="A129" s="1" t="s">
        <v>71</v>
      </c>
      <c r="B129" s="1" t="s">
        <v>303</v>
      </c>
      <c r="C129" s="13">
        <v>157</v>
      </c>
      <c r="D129" s="13">
        <v>206</v>
      </c>
      <c r="E129" s="1" t="s">
        <v>4309</v>
      </c>
      <c r="F129" s="1">
        <v>99.1</v>
      </c>
    </row>
    <row r="130" spans="1:6" x14ac:dyDescent="0.25">
      <c r="A130" s="1" t="s">
        <v>71</v>
      </c>
      <c r="B130" s="1" t="s">
        <v>70</v>
      </c>
      <c r="C130" s="13">
        <v>155</v>
      </c>
      <c r="D130" s="13">
        <v>269</v>
      </c>
      <c r="E130" s="1" t="s">
        <v>4302</v>
      </c>
      <c r="F130" s="1">
        <v>5896.01</v>
      </c>
    </row>
    <row r="131" spans="1:6" x14ac:dyDescent="0.25">
      <c r="A131" s="1" t="s">
        <v>71</v>
      </c>
      <c r="B131" s="1" t="s">
        <v>70</v>
      </c>
      <c r="C131" s="13">
        <v>155</v>
      </c>
      <c r="D131" s="13">
        <v>269</v>
      </c>
      <c r="E131" s="1" t="s">
        <v>4303</v>
      </c>
      <c r="F131" s="1">
        <v>571.95000000000005</v>
      </c>
    </row>
    <row r="132" spans="1:6" x14ac:dyDescent="0.25">
      <c r="A132" s="1" t="s">
        <v>71</v>
      </c>
      <c r="B132" s="1" t="s">
        <v>70</v>
      </c>
      <c r="C132" s="13">
        <v>155</v>
      </c>
      <c r="D132" s="13">
        <v>269</v>
      </c>
      <c r="E132" s="1" t="s">
        <v>4304</v>
      </c>
      <c r="F132" s="1">
        <v>5324.06</v>
      </c>
    </row>
    <row r="133" spans="1:6" x14ac:dyDescent="0.25">
      <c r="A133" s="1" t="s">
        <v>71</v>
      </c>
      <c r="B133" s="1" t="s">
        <v>70</v>
      </c>
      <c r="C133" s="13">
        <v>155</v>
      </c>
      <c r="D133" s="13">
        <v>269</v>
      </c>
      <c r="E133" s="1" t="s">
        <v>4305</v>
      </c>
      <c r="F133" s="1">
        <v>100</v>
      </c>
    </row>
    <row r="134" spans="1:6" x14ac:dyDescent="0.25">
      <c r="A134" s="1" t="s">
        <v>71</v>
      </c>
      <c r="B134" s="1" t="s">
        <v>70</v>
      </c>
      <c r="C134" s="13">
        <v>155</v>
      </c>
      <c r="D134" s="13">
        <v>269</v>
      </c>
      <c r="E134" s="1" t="s">
        <v>4306</v>
      </c>
      <c r="F134" s="1">
        <v>0</v>
      </c>
    </row>
    <row r="135" spans="1:6" x14ac:dyDescent="0.25">
      <c r="A135" s="1" t="s">
        <v>71</v>
      </c>
      <c r="B135" s="1" t="s">
        <v>70</v>
      </c>
      <c r="C135" s="13">
        <v>155</v>
      </c>
      <c r="D135" s="13">
        <v>269</v>
      </c>
      <c r="E135" s="1" t="s">
        <v>4307</v>
      </c>
      <c r="F135" s="1">
        <v>887.95</v>
      </c>
    </row>
    <row r="136" spans="1:6" x14ac:dyDescent="0.25">
      <c r="A136" s="1" t="s">
        <v>71</v>
      </c>
      <c r="B136" s="1" t="s">
        <v>70</v>
      </c>
      <c r="C136" s="13">
        <v>155</v>
      </c>
      <c r="D136" s="13">
        <v>269</v>
      </c>
      <c r="E136" s="1" t="s">
        <v>4308</v>
      </c>
      <c r="F136" s="1">
        <v>5008.0600000000004</v>
      </c>
    </row>
    <row r="137" spans="1:6" x14ac:dyDescent="0.25">
      <c r="A137" s="1" t="s">
        <v>71</v>
      </c>
      <c r="B137" s="1" t="s">
        <v>70</v>
      </c>
      <c r="C137" s="13">
        <v>155</v>
      </c>
      <c r="D137" s="13">
        <v>269</v>
      </c>
      <c r="E137" s="1" t="s">
        <v>4309</v>
      </c>
      <c r="F137" s="1">
        <v>84.94</v>
      </c>
    </row>
    <row r="138" spans="1:6" x14ac:dyDescent="0.25">
      <c r="A138" s="1" t="s">
        <v>71</v>
      </c>
      <c r="B138" s="1" t="s">
        <v>69</v>
      </c>
      <c r="C138" s="13">
        <v>154</v>
      </c>
      <c r="D138" s="13">
        <v>151</v>
      </c>
      <c r="E138" s="1" t="s">
        <v>4302</v>
      </c>
      <c r="F138" s="1">
        <v>30523.24</v>
      </c>
    </row>
    <row r="139" spans="1:6" x14ac:dyDescent="0.25">
      <c r="A139" s="1" t="s">
        <v>71</v>
      </c>
      <c r="B139" s="1" t="s">
        <v>69</v>
      </c>
      <c r="C139" s="13">
        <v>154</v>
      </c>
      <c r="D139" s="13">
        <v>151</v>
      </c>
      <c r="E139" s="1" t="s">
        <v>4303</v>
      </c>
      <c r="F139" s="1">
        <v>8720.92</v>
      </c>
    </row>
    <row r="140" spans="1:6" x14ac:dyDescent="0.25">
      <c r="A140" s="1" t="s">
        <v>71</v>
      </c>
      <c r="B140" s="1" t="s">
        <v>69</v>
      </c>
      <c r="C140" s="13">
        <v>154</v>
      </c>
      <c r="D140" s="13">
        <v>151</v>
      </c>
      <c r="E140" s="1" t="s">
        <v>4304</v>
      </c>
      <c r="F140" s="1">
        <v>21802.32</v>
      </c>
    </row>
    <row r="141" spans="1:6" x14ac:dyDescent="0.25">
      <c r="A141" s="1" t="s">
        <v>71</v>
      </c>
      <c r="B141" s="1" t="s">
        <v>69</v>
      </c>
      <c r="C141" s="13">
        <v>154</v>
      </c>
      <c r="D141" s="13">
        <v>151</v>
      </c>
      <c r="E141" s="1" t="s">
        <v>4305</v>
      </c>
      <c r="F141" s="1">
        <v>100</v>
      </c>
    </row>
    <row r="142" spans="1:6" x14ac:dyDescent="0.25">
      <c r="A142" s="1" t="s">
        <v>71</v>
      </c>
      <c r="B142" s="1" t="s">
        <v>69</v>
      </c>
      <c r="C142" s="13">
        <v>154</v>
      </c>
      <c r="D142" s="13">
        <v>151</v>
      </c>
      <c r="E142" s="1" t="s">
        <v>4306</v>
      </c>
      <c r="F142" s="1">
        <v>0</v>
      </c>
    </row>
    <row r="143" spans="1:6" x14ac:dyDescent="0.25">
      <c r="A143" s="1" t="s">
        <v>71</v>
      </c>
      <c r="B143" s="1" t="s">
        <v>69</v>
      </c>
      <c r="C143" s="13">
        <v>154</v>
      </c>
      <c r="D143" s="13">
        <v>151</v>
      </c>
      <c r="E143" s="1" t="s">
        <v>4307</v>
      </c>
      <c r="F143" s="1">
        <v>1316.32</v>
      </c>
    </row>
    <row r="144" spans="1:6" x14ac:dyDescent="0.25">
      <c r="A144" s="1" t="s">
        <v>71</v>
      </c>
      <c r="B144" s="1" t="s">
        <v>69</v>
      </c>
      <c r="C144" s="13">
        <v>154</v>
      </c>
      <c r="D144" s="13">
        <v>151</v>
      </c>
      <c r="E144" s="1" t="s">
        <v>4308</v>
      </c>
      <c r="F144" s="1">
        <v>29206.92</v>
      </c>
    </row>
    <row r="145" spans="1:6" x14ac:dyDescent="0.25">
      <c r="A145" s="1" t="s">
        <v>71</v>
      </c>
      <c r="B145" s="1" t="s">
        <v>69</v>
      </c>
      <c r="C145" s="13">
        <v>154</v>
      </c>
      <c r="D145" s="13">
        <v>151</v>
      </c>
      <c r="E145" s="1" t="s">
        <v>4309</v>
      </c>
      <c r="F145" s="1">
        <v>95.69</v>
      </c>
    </row>
    <row r="146" spans="1:6" x14ac:dyDescent="0.25">
      <c r="A146" s="1" t="s">
        <v>312</v>
      </c>
      <c r="B146" s="1" t="s">
        <v>313</v>
      </c>
      <c r="C146" s="13">
        <v>184</v>
      </c>
      <c r="D146" s="13">
        <v>304</v>
      </c>
      <c r="E146" s="1" t="s">
        <v>4302</v>
      </c>
      <c r="F146" s="1">
        <v>0</v>
      </c>
    </row>
    <row r="147" spans="1:6" x14ac:dyDescent="0.25">
      <c r="A147" s="1" t="s">
        <v>312</v>
      </c>
      <c r="B147" s="1" t="s">
        <v>313</v>
      </c>
      <c r="C147" s="13">
        <v>184</v>
      </c>
      <c r="D147" s="13">
        <v>304</v>
      </c>
      <c r="E147" s="1" t="s">
        <v>4303</v>
      </c>
      <c r="F147" s="1">
        <v>0</v>
      </c>
    </row>
    <row r="148" spans="1:6" x14ac:dyDescent="0.25">
      <c r="A148" s="1" t="s">
        <v>312</v>
      </c>
      <c r="B148" s="1" t="s">
        <v>313</v>
      </c>
      <c r="C148" s="13">
        <v>184</v>
      </c>
      <c r="D148" s="13">
        <v>304</v>
      </c>
      <c r="E148" s="1" t="s">
        <v>4304</v>
      </c>
      <c r="F148" s="1">
        <v>0</v>
      </c>
    </row>
    <row r="149" spans="1:6" x14ac:dyDescent="0.25">
      <c r="A149" s="1" t="s">
        <v>312</v>
      </c>
      <c r="B149" s="1" t="s">
        <v>313</v>
      </c>
      <c r="C149" s="13">
        <v>184</v>
      </c>
      <c r="D149" s="13">
        <v>304</v>
      </c>
      <c r="E149" s="1" t="s">
        <v>4305</v>
      </c>
      <c r="F149" s="1">
        <v>0</v>
      </c>
    </row>
    <row r="150" spans="1:6" x14ac:dyDescent="0.25">
      <c r="A150" s="1" t="s">
        <v>312</v>
      </c>
      <c r="B150" s="1" t="s">
        <v>313</v>
      </c>
      <c r="C150" s="13">
        <v>184</v>
      </c>
      <c r="D150" s="13">
        <v>304</v>
      </c>
      <c r="E150" s="1" t="s">
        <v>4306</v>
      </c>
      <c r="F150" s="1">
        <v>0</v>
      </c>
    </row>
    <row r="151" spans="1:6" x14ac:dyDescent="0.25">
      <c r="A151" s="1" t="s">
        <v>312</v>
      </c>
      <c r="B151" s="1" t="s">
        <v>313</v>
      </c>
      <c r="C151" s="13">
        <v>184</v>
      </c>
      <c r="D151" s="13">
        <v>304</v>
      </c>
      <c r="E151" s="1" t="s">
        <v>4307</v>
      </c>
      <c r="F151" s="1">
        <v>0</v>
      </c>
    </row>
    <row r="152" spans="1:6" x14ac:dyDescent="0.25">
      <c r="A152" s="1" t="s">
        <v>312</v>
      </c>
      <c r="B152" s="1" t="s">
        <v>313</v>
      </c>
      <c r="C152" s="13">
        <v>184</v>
      </c>
      <c r="D152" s="13">
        <v>304</v>
      </c>
      <c r="E152" s="1" t="s">
        <v>4308</v>
      </c>
      <c r="F152" s="1">
        <v>0</v>
      </c>
    </row>
    <row r="153" spans="1:6" x14ac:dyDescent="0.25">
      <c r="A153" s="1" t="s">
        <v>312</v>
      </c>
      <c r="B153" s="1" t="s">
        <v>313</v>
      </c>
      <c r="C153" s="13">
        <v>184</v>
      </c>
      <c r="D153" s="13">
        <v>304</v>
      </c>
      <c r="E153" s="1" t="s">
        <v>4309</v>
      </c>
      <c r="F153" s="1">
        <v>0</v>
      </c>
    </row>
    <row r="154" spans="1:6" x14ac:dyDescent="0.25">
      <c r="A154" s="1" t="s">
        <v>312</v>
      </c>
      <c r="B154" s="1" t="s">
        <v>314</v>
      </c>
      <c r="C154" s="13">
        <v>185</v>
      </c>
      <c r="D154" s="13">
        <v>114</v>
      </c>
      <c r="E154" s="1" t="s">
        <v>4302</v>
      </c>
      <c r="F154" s="1">
        <v>22547.61</v>
      </c>
    </row>
    <row r="155" spans="1:6" x14ac:dyDescent="0.25">
      <c r="A155" s="1" t="s">
        <v>312</v>
      </c>
      <c r="B155" s="1" t="s">
        <v>314</v>
      </c>
      <c r="C155" s="13">
        <v>185</v>
      </c>
      <c r="D155" s="13">
        <v>114</v>
      </c>
      <c r="E155" s="1" t="s">
        <v>4303</v>
      </c>
      <c r="F155" s="1">
        <v>3097.06</v>
      </c>
    </row>
    <row r="156" spans="1:6" x14ac:dyDescent="0.25">
      <c r="A156" s="1" t="s">
        <v>312</v>
      </c>
      <c r="B156" s="1" t="s">
        <v>314</v>
      </c>
      <c r="C156" s="13">
        <v>185</v>
      </c>
      <c r="D156" s="13">
        <v>114</v>
      </c>
      <c r="E156" s="1" t="s">
        <v>4304</v>
      </c>
      <c r="F156" s="1">
        <v>19450.55</v>
      </c>
    </row>
    <row r="157" spans="1:6" x14ac:dyDescent="0.25">
      <c r="A157" s="1" t="s">
        <v>312</v>
      </c>
      <c r="B157" s="1" t="s">
        <v>314</v>
      </c>
      <c r="C157" s="13">
        <v>185</v>
      </c>
      <c r="D157" s="13">
        <v>114</v>
      </c>
      <c r="E157" s="1" t="s">
        <v>4305</v>
      </c>
      <c r="F157" s="1">
        <v>100</v>
      </c>
    </row>
    <row r="158" spans="1:6" x14ac:dyDescent="0.25">
      <c r="A158" s="1" t="s">
        <v>312</v>
      </c>
      <c r="B158" s="1" t="s">
        <v>314</v>
      </c>
      <c r="C158" s="13">
        <v>185</v>
      </c>
      <c r="D158" s="13">
        <v>114</v>
      </c>
      <c r="E158" s="1" t="s">
        <v>4306</v>
      </c>
      <c r="F158" s="1">
        <v>0</v>
      </c>
    </row>
    <row r="159" spans="1:6" x14ac:dyDescent="0.25">
      <c r="A159" s="1" t="s">
        <v>312</v>
      </c>
      <c r="B159" s="1" t="s">
        <v>314</v>
      </c>
      <c r="C159" s="13">
        <v>185</v>
      </c>
      <c r="D159" s="13">
        <v>114</v>
      </c>
      <c r="E159" s="1" t="s">
        <v>4307</v>
      </c>
      <c r="F159" s="1">
        <v>98.85</v>
      </c>
    </row>
    <row r="160" spans="1:6" x14ac:dyDescent="0.25">
      <c r="A160" s="1" t="s">
        <v>312</v>
      </c>
      <c r="B160" s="1" t="s">
        <v>314</v>
      </c>
      <c r="C160" s="13">
        <v>185</v>
      </c>
      <c r="D160" s="13">
        <v>114</v>
      </c>
      <c r="E160" s="1" t="s">
        <v>4308</v>
      </c>
      <c r="F160" s="1">
        <v>22448.76</v>
      </c>
    </row>
    <row r="161" spans="1:6" x14ac:dyDescent="0.25">
      <c r="A161" s="1" t="s">
        <v>312</v>
      </c>
      <c r="B161" s="1" t="s">
        <v>314</v>
      </c>
      <c r="C161" s="13">
        <v>185</v>
      </c>
      <c r="D161" s="13">
        <v>114</v>
      </c>
      <c r="E161" s="1" t="s">
        <v>4309</v>
      </c>
      <c r="F161" s="1">
        <v>99.56</v>
      </c>
    </row>
    <row r="162" spans="1:6" x14ac:dyDescent="0.25">
      <c r="A162" s="1" t="s">
        <v>312</v>
      </c>
      <c r="B162" s="1" t="s">
        <v>316</v>
      </c>
      <c r="C162" s="13">
        <v>186</v>
      </c>
      <c r="D162" s="13">
        <v>329</v>
      </c>
      <c r="E162" s="1" t="s">
        <v>4302</v>
      </c>
      <c r="F162" s="1">
        <v>0</v>
      </c>
    </row>
    <row r="163" spans="1:6" x14ac:dyDescent="0.25">
      <c r="A163" s="1" t="s">
        <v>312</v>
      </c>
      <c r="B163" s="1" t="s">
        <v>316</v>
      </c>
      <c r="C163" s="13">
        <v>186</v>
      </c>
      <c r="D163" s="13">
        <v>329</v>
      </c>
      <c r="E163" s="1" t="s">
        <v>4303</v>
      </c>
      <c r="F163" s="1">
        <v>0</v>
      </c>
    </row>
    <row r="164" spans="1:6" x14ac:dyDescent="0.25">
      <c r="A164" s="1" t="s">
        <v>312</v>
      </c>
      <c r="B164" s="1" t="s">
        <v>316</v>
      </c>
      <c r="C164" s="13">
        <v>186</v>
      </c>
      <c r="D164" s="13">
        <v>329</v>
      </c>
      <c r="E164" s="1" t="s">
        <v>4304</v>
      </c>
      <c r="F164" s="1">
        <v>0</v>
      </c>
    </row>
    <row r="165" spans="1:6" x14ac:dyDescent="0.25">
      <c r="A165" s="1" t="s">
        <v>312</v>
      </c>
      <c r="B165" s="1" t="s">
        <v>316</v>
      </c>
      <c r="C165" s="13">
        <v>186</v>
      </c>
      <c r="D165" s="13">
        <v>329</v>
      </c>
      <c r="E165" s="1" t="s">
        <v>4305</v>
      </c>
      <c r="F165" s="1">
        <v>0</v>
      </c>
    </row>
    <row r="166" spans="1:6" x14ac:dyDescent="0.25">
      <c r="A166" s="1" t="s">
        <v>312</v>
      </c>
      <c r="B166" s="1" t="s">
        <v>316</v>
      </c>
      <c r="C166" s="13">
        <v>186</v>
      </c>
      <c r="D166" s="13">
        <v>329</v>
      </c>
      <c r="E166" s="1" t="s">
        <v>4306</v>
      </c>
      <c r="F166" s="1">
        <v>0</v>
      </c>
    </row>
    <row r="167" spans="1:6" x14ac:dyDescent="0.25">
      <c r="A167" s="1" t="s">
        <v>312</v>
      </c>
      <c r="B167" s="1" t="s">
        <v>316</v>
      </c>
      <c r="C167" s="13">
        <v>186</v>
      </c>
      <c r="D167" s="13">
        <v>329</v>
      </c>
      <c r="E167" s="1" t="s">
        <v>4307</v>
      </c>
      <c r="F167" s="1">
        <v>0</v>
      </c>
    </row>
    <row r="168" spans="1:6" x14ac:dyDescent="0.25">
      <c r="A168" s="1" t="s">
        <v>312</v>
      </c>
      <c r="B168" s="1" t="s">
        <v>316</v>
      </c>
      <c r="C168" s="13">
        <v>186</v>
      </c>
      <c r="D168" s="13">
        <v>329</v>
      </c>
      <c r="E168" s="1" t="s">
        <v>4308</v>
      </c>
      <c r="F168" s="1">
        <v>0</v>
      </c>
    </row>
    <row r="169" spans="1:6" x14ac:dyDescent="0.25">
      <c r="A169" s="1" t="s">
        <v>312</v>
      </c>
      <c r="B169" s="1" t="s">
        <v>316</v>
      </c>
      <c r="C169" s="13">
        <v>186</v>
      </c>
      <c r="D169" s="13">
        <v>329</v>
      </c>
      <c r="E169" s="1" t="s">
        <v>4309</v>
      </c>
      <c r="F169" s="1">
        <v>0</v>
      </c>
    </row>
    <row r="170" spans="1:6" x14ac:dyDescent="0.25">
      <c r="A170" s="1" t="s">
        <v>337</v>
      </c>
      <c r="B170" s="1" t="s">
        <v>338</v>
      </c>
      <c r="C170" s="13">
        <v>124</v>
      </c>
      <c r="D170" s="13">
        <v>182</v>
      </c>
      <c r="E170" s="1" t="s">
        <v>4302</v>
      </c>
      <c r="F170" s="1">
        <v>26372.93</v>
      </c>
    </row>
    <row r="171" spans="1:6" x14ac:dyDescent="0.25">
      <c r="A171" s="1" t="s">
        <v>337</v>
      </c>
      <c r="B171" s="1" t="s">
        <v>338</v>
      </c>
      <c r="C171" s="13">
        <v>124</v>
      </c>
      <c r="D171" s="13">
        <v>182</v>
      </c>
      <c r="E171" s="1" t="s">
        <v>4303</v>
      </c>
      <c r="F171" s="1">
        <v>2143.15</v>
      </c>
    </row>
    <row r="172" spans="1:6" x14ac:dyDescent="0.25">
      <c r="A172" s="1" t="s">
        <v>337</v>
      </c>
      <c r="B172" s="1" t="s">
        <v>338</v>
      </c>
      <c r="C172" s="13">
        <v>124</v>
      </c>
      <c r="D172" s="13">
        <v>182</v>
      </c>
      <c r="E172" s="1" t="s">
        <v>4304</v>
      </c>
      <c r="F172" s="1">
        <v>11279.78</v>
      </c>
    </row>
    <row r="173" spans="1:6" x14ac:dyDescent="0.25">
      <c r="A173" s="1" t="s">
        <v>337</v>
      </c>
      <c r="B173" s="1" t="s">
        <v>338</v>
      </c>
      <c r="C173" s="13">
        <v>124</v>
      </c>
      <c r="D173" s="13">
        <v>182</v>
      </c>
      <c r="E173" s="1" t="s">
        <v>4305</v>
      </c>
      <c r="F173" s="1">
        <v>46.55</v>
      </c>
    </row>
    <row r="174" spans="1:6" x14ac:dyDescent="0.25">
      <c r="A174" s="1" t="s">
        <v>337</v>
      </c>
      <c r="B174" s="1" t="s">
        <v>338</v>
      </c>
      <c r="C174" s="13">
        <v>124</v>
      </c>
      <c r="D174" s="13">
        <v>182</v>
      </c>
      <c r="E174" s="1" t="s">
        <v>4306</v>
      </c>
      <c r="F174" s="1">
        <v>0</v>
      </c>
    </row>
    <row r="175" spans="1:6" x14ac:dyDescent="0.25">
      <c r="A175" s="1" t="s">
        <v>337</v>
      </c>
      <c r="B175" s="1" t="s">
        <v>338</v>
      </c>
      <c r="C175" s="13">
        <v>124</v>
      </c>
      <c r="D175" s="13">
        <v>182</v>
      </c>
      <c r="E175" s="1" t="s">
        <v>4307</v>
      </c>
      <c r="F175" s="1">
        <v>1568.15</v>
      </c>
    </row>
    <row r="176" spans="1:6" x14ac:dyDescent="0.25">
      <c r="A176" s="1" t="s">
        <v>337</v>
      </c>
      <c r="B176" s="1" t="s">
        <v>338</v>
      </c>
      <c r="C176" s="13">
        <v>124</v>
      </c>
      <c r="D176" s="13">
        <v>182</v>
      </c>
      <c r="E176" s="1" t="s">
        <v>4308</v>
      </c>
      <c r="F176" s="1">
        <v>24804.78</v>
      </c>
    </row>
    <row r="177" spans="1:6" x14ac:dyDescent="0.25">
      <c r="A177" s="1" t="s">
        <v>337</v>
      </c>
      <c r="B177" s="1" t="s">
        <v>338</v>
      </c>
      <c r="C177" s="13">
        <v>124</v>
      </c>
      <c r="D177" s="13">
        <v>182</v>
      </c>
      <c r="E177" s="1" t="s">
        <v>4309</v>
      </c>
      <c r="F177" s="1">
        <v>94.05</v>
      </c>
    </row>
    <row r="178" spans="1:6" x14ac:dyDescent="0.25">
      <c r="A178" s="1" t="s">
        <v>337</v>
      </c>
      <c r="B178" s="1" t="s">
        <v>42</v>
      </c>
      <c r="C178" s="13">
        <v>126</v>
      </c>
      <c r="D178" s="13">
        <v>140</v>
      </c>
      <c r="E178" s="1" t="s">
        <v>4302</v>
      </c>
      <c r="F178" s="1">
        <v>11425.59</v>
      </c>
    </row>
    <row r="179" spans="1:6" x14ac:dyDescent="0.25">
      <c r="A179" s="1" t="s">
        <v>337</v>
      </c>
      <c r="B179" s="1" t="s">
        <v>42</v>
      </c>
      <c r="C179" s="13">
        <v>126</v>
      </c>
      <c r="D179" s="13">
        <v>140</v>
      </c>
      <c r="E179" s="1" t="s">
        <v>4303</v>
      </c>
      <c r="F179" s="1">
        <v>3264.45</v>
      </c>
    </row>
    <row r="180" spans="1:6" x14ac:dyDescent="0.25">
      <c r="A180" s="1" t="s">
        <v>337</v>
      </c>
      <c r="B180" s="1" t="s">
        <v>42</v>
      </c>
      <c r="C180" s="13">
        <v>126</v>
      </c>
      <c r="D180" s="13">
        <v>140</v>
      </c>
      <c r="E180" s="1" t="s">
        <v>4304</v>
      </c>
      <c r="F180" s="1">
        <v>8161.14</v>
      </c>
    </row>
    <row r="181" spans="1:6" x14ac:dyDescent="0.25">
      <c r="A181" s="1" t="s">
        <v>337</v>
      </c>
      <c r="B181" s="1" t="s">
        <v>42</v>
      </c>
      <c r="C181" s="13">
        <v>126</v>
      </c>
      <c r="D181" s="13">
        <v>140</v>
      </c>
      <c r="E181" s="1" t="s">
        <v>4305</v>
      </c>
      <c r="F181" s="1">
        <v>100</v>
      </c>
    </row>
    <row r="182" spans="1:6" x14ac:dyDescent="0.25">
      <c r="A182" s="1" t="s">
        <v>337</v>
      </c>
      <c r="B182" s="1" t="s">
        <v>42</v>
      </c>
      <c r="C182" s="13">
        <v>126</v>
      </c>
      <c r="D182" s="13">
        <v>140</v>
      </c>
      <c r="E182" s="1" t="s">
        <v>4306</v>
      </c>
      <c r="F182" s="1">
        <v>0</v>
      </c>
    </row>
    <row r="183" spans="1:6" x14ac:dyDescent="0.25">
      <c r="A183" s="1" t="s">
        <v>337</v>
      </c>
      <c r="B183" s="1" t="s">
        <v>42</v>
      </c>
      <c r="C183" s="13">
        <v>126</v>
      </c>
      <c r="D183" s="13">
        <v>140</v>
      </c>
      <c r="E183" s="1" t="s">
        <v>4307</v>
      </c>
      <c r="F183" s="1">
        <v>7757.3</v>
      </c>
    </row>
    <row r="184" spans="1:6" x14ac:dyDescent="0.25">
      <c r="A184" s="1" t="s">
        <v>337</v>
      </c>
      <c r="B184" s="1" t="s">
        <v>42</v>
      </c>
      <c r="C184" s="13">
        <v>126</v>
      </c>
      <c r="D184" s="13">
        <v>140</v>
      </c>
      <c r="E184" s="1" t="s">
        <v>4308</v>
      </c>
      <c r="F184" s="1">
        <v>3668.29</v>
      </c>
    </row>
    <row r="185" spans="1:6" x14ac:dyDescent="0.25">
      <c r="A185" s="1" t="s">
        <v>337</v>
      </c>
      <c r="B185" s="1" t="s">
        <v>42</v>
      </c>
      <c r="C185" s="13">
        <v>126</v>
      </c>
      <c r="D185" s="13">
        <v>140</v>
      </c>
      <c r="E185" s="1" t="s">
        <v>4309</v>
      </c>
      <c r="F185" s="1">
        <v>32.11</v>
      </c>
    </row>
    <row r="186" spans="1:6" x14ac:dyDescent="0.25">
      <c r="A186" s="1" t="s">
        <v>337</v>
      </c>
      <c r="B186" s="1" t="s">
        <v>307</v>
      </c>
      <c r="C186" s="13">
        <v>125</v>
      </c>
      <c r="D186" s="13">
        <v>232</v>
      </c>
      <c r="E186" s="1" t="s">
        <v>4302</v>
      </c>
      <c r="F186" s="1">
        <v>23104.2</v>
      </c>
    </row>
    <row r="187" spans="1:6" x14ac:dyDescent="0.25">
      <c r="A187" s="1" t="s">
        <v>337</v>
      </c>
      <c r="B187" s="1" t="s">
        <v>307</v>
      </c>
      <c r="C187" s="13">
        <v>125</v>
      </c>
      <c r="D187" s="13">
        <v>232</v>
      </c>
      <c r="E187" s="1" t="s">
        <v>4303</v>
      </c>
      <c r="F187" s="1">
        <v>6601.2</v>
      </c>
    </row>
    <row r="188" spans="1:6" x14ac:dyDescent="0.25">
      <c r="A188" s="1" t="s">
        <v>337</v>
      </c>
      <c r="B188" s="1" t="s">
        <v>307</v>
      </c>
      <c r="C188" s="13">
        <v>125</v>
      </c>
      <c r="D188" s="13">
        <v>232</v>
      </c>
      <c r="E188" s="1" t="s">
        <v>4304</v>
      </c>
      <c r="F188" s="1">
        <v>16503</v>
      </c>
    </row>
    <row r="189" spans="1:6" x14ac:dyDescent="0.25">
      <c r="A189" s="1" t="s">
        <v>337</v>
      </c>
      <c r="B189" s="1" t="s">
        <v>307</v>
      </c>
      <c r="C189" s="13">
        <v>125</v>
      </c>
      <c r="D189" s="13">
        <v>232</v>
      </c>
      <c r="E189" s="1" t="s">
        <v>4305</v>
      </c>
      <c r="F189" s="1">
        <v>100</v>
      </c>
    </row>
    <row r="190" spans="1:6" x14ac:dyDescent="0.25">
      <c r="A190" s="1" t="s">
        <v>337</v>
      </c>
      <c r="B190" s="1" t="s">
        <v>307</v>
      </c>
      <c r="C190" s="13">
        <v>125</v>
      </c>
      <c r="D190" s="13">
        <v>232</v>
      </c>
      <c r="E190" s="1" t="s">
        <v>4306</v>
      </c>
      <c r="F190" s="1">
        <v>0</v>
      </c>
    </row>
    <row r="191" spans="1:6" x14ac:dyDescent="0.25">
      <c r="A191" s="1" t="s">
        <v>337</v>
      </c>
      <c r="B191" s="1" t="s">
        <v>307</v>
      </c>
      <c r="C191" s="13">
        <v>125</v>
      </c>
      <c r="D191" s="13">
        <v>232</v>
      </c>
      <c r="E191" s="1" t="s">
        <v>4307</v>
      </c>
      <c r="F191" s="1">
        <v>37.799999999999997</v>
      </c>
    </row>
    <row r="192" spans="1:6" x14ac:dyDescent="0.25">
      <c r="A192" s="1" t="s">
        <v>337</v>
      </c>
      <c r="B192" s="1" t="s">
        <v>307</v>
      </c>
      <c r="C192" s="13">
        <v>125</v>
      </c>
      <c r="D192" s="13">
        <v>232</v>
      </c>
      <c r="E192" s="1" t="s">
        <v>4308</v>
      </c>
      <c r="F192" s="1">
        <v>23066.400000000001</v>
      </c>
    </row>
    <row r="193" spans="1:6" x14ac:dyDescent="0.25">
      <c r="A193" s="1" t="s">
        <v>337</v>
      </c>
      <c r="B193" s="1" t="s">
        <v>307</v>
      </c>
      <c r="C193" s="13">
        <v>125</v>
      </c>
      <c r="D193" s="13">
        <v>232</v>
      </c>
      <c r="E193" s="1" t="s">
        <v>4309</v>
      </c>
      <c r="F193" s="1">
        <v>99.84</v>
      </c>
    </row>
    <row r="194" spans="1:6" x14ac:dyDescent="0.25">
      <c r="A194" s="1" t="s">
        <v>337</v>
      </c>
      <c r="B194" s="1" t="s">
        <v>340</v>
      </c>
      <c r="C194" s="13">
        <v>123</v>
      </c>
      <c r="D194" s="13">
        <v>141</v>
      </c>
      <c r="E194" s="1" t="s">
        <v>4302</v>
      </c>
      <c r="F194" s="1">
        <v>2735.01</v>
      </c>
    </row>
    <row r="195" spans="1:6" x14ac:dyDescent="0.25">
      <c r="A195" s="1" t="s">
        <v>337</v>
      </c>
      <c r="B195" s="1" t="s">
        <v>340</v>
      </c>
      <c r="C195" s="13">
        <v>123</v>
      </c>
      <c r="D195" s="13">
        <v>141</v>
      </c>
      <c r="E195" s="1" t="s">
        <v>4303</v>
      </c>
      <c r="F195" s="1">
        <v>781.43</v>
      </c>
    </row>
    <row r="196" spans="1:6" x14ac:dyDescent="0.25">
      <c r="A196" s="1" t="s">
        <v>337</v>
      </c>
      <c r="B196" s="1" t="s">
        <v>340</v>
      </c>
      <c r="C196" s="13">
        <v>123</v>
      </c>
      <c r="D196" s="13">
        <v>141</v>
      </c>
      <c r="E196" s="1" t="s">
        <v>4304</v>
      </c>
      <c r="F196" s="1">
        <v>1953.58</v>
      </c>
    </row>
    <row r="197" spans="1:6" x14ac:dyDescent="0.25">
      <c r="A197" s="1" t="s">
        <v>337</v>
      </c>
      <c r="B197" s="1" t="s">
        <v>340</v>
      </c>
      <c r="C197" s="13">
        <v>123</v>
      </c>
      <c r="D197" s="13">
        <v>141</v>
      </c>
      <c r="E197" s="1" t="s">
        <v>4305</v>
      </c>
      <c r="F197" s="1">
        <v>100</v>
      </c>
    </row>
    <row r="198" spans="1:6" x14ac:dyDescent="0.25">
      <c r="A198" s="1" t="s">
        <v>337</v>
      </c>
      <c r="B198" s="1" t="s">
        <v>340</v>
      </c>
      <c r="C198" s="13">
        <v>123</v>
      </c>
      <c r="D198" s="13">
        <v>141</v>
      </c>
      <c r="E198" s="1" t="s">
        <v>4306</v>
      </c>
      <c r="F198" s="1">
        <v>0</v>
      </c>
    </row>
    <row r="199" spans="1:6" x14ac:dyDescent="0.25">
      <c r="A199" s="1" t="s">
        <v>337</v>
      </c>
      <c r="B199" s="1" t="s">
        <v>340</v>
      </c>
      <c r="C199" s="13">
        <v>123</v>
      </c>
      <c r="D199" s="13">
        <v>141</v>
      </c>
      <c r="E199" s="1" t="s">
        <v>4307</v>
      </c>
      <c r="F199" s="1">
        <v>2735.01</v>
      </c>
    </row>
    <row r="200" spans="1:6" x14ac:dyDescent="0.25">
      <c r="A200" s="1" t="s">
        <v>337</v>
      </c>
      <c r="B200" s="1" t="s">
        <v>340</v>
      </c>
      <c r="C200" s="13">
        <v>123</v>
      </c>
      <c r="D200" s="13">
        <v>141</v>
      </c>
      <c r="E200" s="1" t="s">
        <v>4308</v>
      </c>
      <c r="F200" s="1">
        <v>0</v>
      </c>
    </row>
    <row r="201" spans="1:6" x14ac:dyDescent="0.25">
      <c r="A201" s="1" t="s">
        <v>337</v>
      </c>
      <c r="B201" s="1" t="s">
        <v>340</v>
      </c>
      <c r="C201" s="13">
        <v>123</v>
      </c>
      <c r="D201" s="13">
        <v>141</v>
      </c>
      <c r="E201" s="1" t="s">
        <v>4309</v>
      </c>
      <c r="F201" s="1">
        <v>0</v>
      </c>
    </row>
    <row r="202" spans="1:6" x14ac:dyDescent="0.25">
      <c r="A202" s="1" t="s">
        <v>337</v>
      </c>
      <c r="B202" s="1" t="s">
        <v>292</v>
      </c>
      <c r="C202" s="13">
        <v>122</v>
      </c>
      <c r="D202" s="13">
        <v>22</v>
      </c>
      <c r="E202" s="1" t="s">
        <v>4302</v>
      </c>
      <c r="F202" s="1">
        <v>31576.97</v>
      </c>
    </row>
    <row r="203" spans="1:6" x14ac:dyDescent="0.25">
      <c r="A203" s="1" t="s">
        <v>337</v>
      </c>
      <c r="B203" s="1" t="s">
        <v>292</v>
      </c>
      <c r="C203" s="13">
        <v>122</v>
      </c>
      <c r="D203" s="13">
        <v>22</v>
      </c>
      <c r="E203" s="1" t="s">
        <v>4303</v>
      </c>
      <c r="F203" s="1">
        <v>2873.48</v>
      </c>
    </row>
    <row r="204" spans="1:6" x14ac:dyDescent="0.25">
      <c r="A204" s="1" t="s">
        <v>337</v>
      </c>
      <c r="B204" s="1" t="s">
        <v>292</v>
      </c>
      <c r="C204" s="13">
        <v>122</v>
      </c>
      <c r="D204" s="13">
        <v>22</v>
      </c>
      <c r="E204" s="1" t="s">
        <v>4304</v>
      </c>
      <c r="F204" s="1">
        <v>28703.49</v>
      </c>
    </row>
    <row r="205" spans="1:6" x14ac:dyDescent="0.25">
      <c r="A205" s="1" t="s">
        <v>337</v>
      </c>
      <c r="B205" s="1" t="s">
        <v>292</v>
      </c>
      <c r="C205" s="13">
        <v>122</v>
      </c>
      <c r="D205" s="13">
        <v>22</v>
      </c>
      <c r="E205" s="1" t="s">
        <v>4305</v>
      </c>
      <c r="F205" s="1">
        <v>100</v>
      </c>
    </row>
    <row r="206" spans="1:6" x14ac:dyDescent="0.25">
      <c r="A206" s="1" t="s">
        <v>337</v>
      </c>
      <c r="B206" s="1" t="s">
        <v>292</v>
      </c>
      <c r="C206" s="13">
        <v>122</v>
      </c>
      <c r="D206" s="13">
        <v>22</v>
      </c>
      <c r="E206" s="1" t="s">
        <v>4306</v>
      </c>
      <c r="F206" s="1">
        <v>0</v>
      </c>
    </row>
    <row r="207" spans="1:6" x14ac:dyDescent="0.25">
      <c r="A207" s="1" t="s">
        <v>337</v>
      </c>
      <c r="B207" s="1" t="s">
        <v>292</v>
      </c>
      <c r="C207" s="13">
        <v>122</v>
      </c>
      <c r="D207" s="13">
        <v>22</v>
      </c>
      <c r="E207" s="1" t="s">
        <v>4307</v>
      </c>
      <c r="F207" s="1">
        <v>0</v>
      </c>
    </row>
    <row r="208" spans="1:6" x14ac:dyDescent="0.25">
      <c r="A208" s="1" t="s">
        <v>337</v>
      </c>
      <c r="B208" s="1" t="s">
        <v>292</v>
      </c>
      <c r="C208" s="13">
        <v>122</v>
      </c>
      <c r="D208" s="13">
        <v>22</v>
      </c>
      <c r="E208" s="1" t="s">
        <v>4308</v>
      </c>
      <c r="F208" s="1">
        <v>31576.97</v>
      </c>
    </row>
    <row r="209" spans="1:6" x14ac:dyDescent="0.25">
      <c r="A209" s="1" t="s">
        <v>337</v>
      </c>
      <c r="B209" s="1" t="s">
        <v>292</v>
      </c>
      <c r="C209" s="13">
        <v>122</v>
      </c>
      <c r="D209" s="13">
        <v>22</v>
      </c>
      <c r="E209" s="1" t="s">
        <v>4309</v>
      </c>
      <c r="F209" s="1">
        <v>100</v>
      </c>
    </row>
    <row r="210" spans="1:6" x14ac:dyDescent="0.25">
      <c r="A210" s="1" t="s">
        <v>357</v>
      </c>
      <c r="B210" s="1" t="s">
        <v>358</v>
      </c>
      <c r="C210" s="13">
        <v>160</v>
      </c>
      <c r="D210" s="13">
        <v>225</v>
      </c>
      <c r="E210" s="1" t="s">
        <v>4302</v>
      </c>
      <c r="F210" s="1">
        <v>21305.79</v>
      </c>
    </row>
    <row r="211" spans="1:6" x14ac:dyDescent="0.25">
      <c r="A211" s="1" t="s">
        <v>357</v>
      </c>
      <c r="B211" s="1" t="s">
        <v>358</v>
      </c>
      <c r="C211" s="13">
        <v>160</v>
      </c>
      <c r="D211" s="13">
        <v>225</v>
      </c>
      <c r="E211" s="1" t="s">
        <v>4303</v>
      </c>
      <c r="F211" s="1">
        <v>1964.79</v>
      </c>
    </row>
    <row r="212" spans="1:6" x14ac:dyDescent="0.25">
      <c r="A212" s="1" t="s">
        <v>357</v>
      </c>
      <c r="B212" s="1" t="s">
        <v>358</v>
      </c>
      <c r="C212" s="13">
        <v>160</v>
      </c>
      <c r="D212" s="13">
        <v>225</v>
      </c>
      <c r="E212" s="1" t="s">
        <v>4304</v>
      </c>
      <c r="F212" s="1">
        <v>19341</v>
      </c>
    </row>
    <row r="213" spans="1:6" x14ac:dyDescent="0.25">
      <c r="A213" s="1" t="s">
        <v>357</v>
      </c>
      <c r="B213" s="1" t="s">
        <v>358</v>
      </c>
      <c r="C213" s="13">
        <v>160</v>
      </c>
      <c r="D213" s="13">
        <v>225</v>
      </c>
      <c r="E213" s="1" t="s">
        <v>4305</v>
      </c>
      <c r="F213" s="1">
        <v>100</v>
      </c>
    </row>
    <row r="214" spans="1:6" x14ac:dyDescent="0.25">
      <c r="A214" s="1" t="s">
        <v>357</v>
      </c>
      <c r="B214" s="1" t="s">
        <v>358</v>
      </c>
      <c r="C214" s="13">
        <v>160</v>
      </c>
      <c r="D214" s="13">
        <v>225</v>
      </c>
      <c r="E214" s="1" t="s">
        <v>4306</v>
      </c>
      <c r="F214" s="1">
        <v>0</v>
      </c>
    </row>
    <row r="215" spans="1:6" x14ac:dyDescent="0.25">
      <c r="A215" s="1" t="s">
        <v>357</v>
      </c>
      <c r="B215" s="1" t="s">
        <v>358</v>
      </c>
      <c r="C215" s="13">
        <v>160</v>
      </c>
      <c r="D215" s="13">
        <v>225</v>
      </c>
      <c r="E215" s="1" t="s">
        <v>4307</v>
      </c>
      <c r="F215" s="1">
        <v>0</v>
      </c>
    </row>
    <row r="216" spans="1:6" x14ac:dyDescent="0.25">
      <c r="A216" s="1" t="s">
        <v>357</v>
      </c>
      <c r="B216" s="1" t="s">
        <v>358</v>
      </c>
      <c r="C216" s="13">
        <v>160</v>
      </c>
      <c r="D216" s="13">
        <v>225</v>
      </c>
      <c r="E216" s="1" t="s">
        <v>4308</v>
      </c>
      <c r="F216" s="1">
        <v>21305.79</v>
      </c>
    </row>
    <row r="217" spans="1:6" x14ac:dyDescent="0.25">
      <c r="A217" s="1" t="s">
        <v>357</v>
      </c>
      <c r="B217" s="1" t="s">
        <v>358</v>
      </c>
      <c r="C217" s="13">
        <v>160</v>
      </c>
      <c r="D217" s="13">
        <v>225</v>
      </c>
      <c r="E217" s="1" t="s">
        <v>4309</v>
      </c>
      <c r="F217" s="1">
        <v>100</v>
      </c>
    </row>
    <row r="218" spans="1:6" x14ac:dyDescent="0.25">
      <c r="A218" s="1" t="s">
        <v>357</v>
      </c>
      <c r="B218" s="1" t="s">
        <v>290</v>
      </c>
      <c r="C218" s="13">
        <v>232</v>
      </c>
      <c r="D218" s="13">
        <v>165</v>
      </c>
      <c r="E218" s="1" t="s">
        <v>4302</v>
      </c>
      <c r="F218" s="1">
        <v>6031.08</v>
      </c>
    </row>
    <row r="219" spans="1:6" x14ac:dyDescent="0.25">
      <c r="A219" s="1" t="s">
        <v>357</v>
      </c>
      <c r="B219" s="1" t="s">
        <v>290</v>
      </c>
      <c r="C219" s="13">
        <v>232</v>
      </c>
      <c r="D219" s="13">
        <v>165</v>
      </c>
      <c r="E219" s="1" t="s">
        <v>4303</v>
      </c>
      <c r="F219" s="1">
        <v>313.62</v>
      </c>
    </row>
    <row r="220" spans="1:6" x14ac:dyDescent="0.25">
      <c r="A220" s="1" t="s">
        <v>357</v>
      </c>
      <c r="B220" s="1" t="s">
        <v>290</v>
      </c>
      <c r="C220" s="13">
        <v>232</v>
      </c>
      <c r="D220" s="13">
        <v>165</v>
      </c>
      <c r="E220" s="1" t="s">
        <v>4304</v>
      </c>
      <c r="F220" s="1">
        <v>5717.46</v>
      </c>
    </row>
    <row r="221" spans="1:6" x14ac:dyDescent="0.25">
      <c r="A221" s="1" t="s">
        <v>357</v>
      </c>
      <c r="B221" s="1" t="s">
        <v>290</v>
      </c>
      <c r="C221" s="13">
        <v>232</v>
      </c>
      <c r="D221" s="13">
        <v>165</v>
      </c>
      <c r="E221" s="1" t="s">
        <v>4305</v>
      </c>
      <c r="F221" s="1">
        <v>100</v>
      </c>
    </row>
    <row r="222" spans="1:6" x14ac:dyDescent="0.25">
      <c r="A222" s="1" t="s">
        <v>357</v>
      </c>
      <c r="B222" s="1" t="s">
        <v>290</v>
      </c>
      <c r="C222" s="13">
        <v>232</v>
      </c>
      <c r="D222" s="13">
        <v>165</v>
      </c>
      <c r="E222" s="1" t="s">
        <v>4306</v>
      </c>
      <c r="F222" s="1">
        <v>0</v>
      </c>
    </row>
    <row r="223" spans="1:6" x14ac:dyDescent="0.25">
      <c r="A223" s="1" t="s">
        <v>357</v>
      </c>
      <c r="B223" s="1" t="s">
        <v>290</v>
      </c>
      <c r="C223" s="13">
        <v>232</v>
      </c>
      <c r="D223" s="13">
        <v>165</v>
      </c>
      <c r="E223" s="1" t="s">
        <v>4307</v>
      </c>
      <c r="F223" s="1">
        <v>99.47</v>
      </c>
    </row>
    <row r="224" spans="1:6" x14ac:dyDescent="0.25">
      <c r="A224" s="1" t="s">
        <v>357</v>
      </c>
      <c r="B224" s="1" t="s">
        <v>290</v>
      </c>
      <c r="C224" s="13">
        <v>232</v>
      </c>
      <c r="D224" s="13">
        <v>165</v>
      </c>
      <c r="E224" s="1" t="s">
        <v>4308</v>
      </c>
      <c r="F224" s="1">
        <v>5931.61</v>
      </c>
    </row>
    <row r="225" spans="1:6" x14ac:dyDescent="0.25">
      <c r="A225" s="1" t="s">
        <v>357</v>
      </c>
      <c r="B225" s="1" t="s">
        <v>290</v>
      </c>
      <c r="C225" s="13">
        <v>232</v>
      </c>
      <c r="D225" s="13">
        <v>165</v>
      </c>
      <c r="E225" s="1" t="s">
        <v>4309</v>
      </c>
      <c r="F225" s="1">
        <v>98.35</v>
      </c>
    </row>
    <row r="226" spans="1:6" x14ac:dyDescent="0.25">
      <c r="A226" s="1" t="s">
        <v>357</v>
      </c>
      <c r="B226" s="1" t="s">
        <v>56</v>
      </c>
      <c r="C226" s="13">
        <v>209</v>
      </c>
      <c r="D226" s="13">
        <v>257</v>
      </c>
      <c r="E226" s="1" t="s">
        <v>4302</v>
      </c>
      <c r="F226" s="1">
        <v>19044.919999999998</v>
      </c>
    </row>
    <row r="227" spans="1:6" x14ac:dyDescent="0.25">
      <c r="A227" s="1" t="s">
        <v>357</v>
      </c>
      <c r="B227" s="1" t="s">
        <v>56</v>
      </c>
      <c r="C227" s="13">
        <v>209</v>
      </c>
      <c r="D227" s="13">
        <v>257</v>
      </c>
      <c r="E227" s="1" t="s">
        <v>4303</v>
      </c>
      <c r="F227" s="1">
        <v>5441.4</v>
      </c>
    </row>
    <row r="228" spans="1:6" x14ac:dyDescent="0.25">
      <c r="A228" s="1" t="s">
        <v>357</v>
      </c>
      <c r="B228" s="1" t="s">
        <v>56</v>
      </c>
      <c r="C228" s="13">
        <v>209</v>
      </c>
      <c r="D228" s="13">
        <v>257</v>
      </c>
      <c r="E228" s="1" t="s">
        <v>4304</v>
      </c>
      <c r="F228" s="1">
        <v>13603.52</v>
      </c>
    </row>
    <row r="229" spans="1:6" x14ac:dyDescent="0.25">
      <c r="A229" s="1" t="s">
        <v>357</v>
      </c>
      <c r="B229" s="1" t="s">
        <v>56</v>
      </c>
      <c r="C229" s="13">
        <v>209</v>
      </c>
      <c r="D229" s="13">
        <v>257</v>
      </c>
      <c r="E229" s="1" t="s">
        <v>4305</v>
      </c>
      <c r="F229" s="1">
        <v>100</v>
      </c>
    </row>
    <row r="230" spans="1:6" x14ac:dyDescent="0.25">
      <c r="A230" s="1" t="s">
        <v>357</v>
      </c>
      <c r="B230" s="1" t="s">
        <v>56</v>
      </c>
      <c r="C230" s="13">
        <v>209</v>
      </c>
      <c r="D230" s="13">
        <v>257</v>
      </c>
      <c r="E230" s="1" t="s">
        <v>4306</v>
      </c>
      <c r="F230" s="1">
        <v>0</v>
      </c>
    </row>
    <row r="231" spans="1:6" x14ac:dyDescent="0.25">
      <c r="A231" s="1" t="s">
        <v>357</v>
      </c>
      <c r="B231" s="1" t="s">
        <v>56</v>
      </c>
      <c r="C231" s="13">
        <v>209</v>
      </c>
      <c r="D231" s="13">
        <v>257</v>
      </c>
      <c r="E231" s="1" t="s">
        <v>4307</v>
      </c>
      <c r="F231" s="1">
        <v>855.23</v>
      </c>
    </row>
    <row r="232" spans="1:6" x14ac:dyDescent="0.25">
      <c r="A232" s="1" t="s">
        <v>357</v>
      </c>
      <c r="B232" s="1" t="s">
        <v>56</v>
      </c>
      <c r="C232" s="13">
        <v>209</v>
      </c>
      <c r="D232" s="13">
        <v>257</v>
      </c>
      <c r="E232" s="1" t="s">
        <v>4308</v>
      </c>
      <c r="F232" s="1">
        <v>18189.689999999999</v>
      </c>
    </row>
    <row r="233" spans="1:6" x14ac:dyDescent="0.25">
      <c r="A233" s="1" t="s">
        <v>357</v>
      </c>
      <c r="B233" s="1" t="s">
        <v>56</v>
      </c>
      <c r="C233" s="13">
        <v>209</v>
      </c>
      <c r="D233" s="13">
        <v>257</v>
      </c>
      <c r="E233" s="1" t="s">
        <v>4309</v>
      </c>
      <c r="F233" s="1">
        <v>95.51</v>
      </c>
    </row>
    <row r="234" spans="1:6" x14ac:dyDescent="0.25">
      <c r="A234" s="1" t="s">
        <v>357</v>
      </c>
      <c r="B234" s="1" t="s">
        <v>320</v>
      </c>
      <c r="C234" s="13">
        <v>210</v>
      </c>
      <c r="D234" s="13">
        <v>162</v>
      </c>
      <c r="E234" s="1" t="s">
        <v>4302</v>
      </c>
      <c r="F234" s="1">
        <v>33468.980000000003</v>
      </c>
    </row>
    <row r="235" spans="1:6" x14ac:dyDescent="0.25">
      <c r="A235" s="1" t="s">
        <v>357</v>
      </c>
      <c r="B235" s="1" t="s">
        <v>320</v>
      </c>
      <c r="C235" s="13">
        <v>210</v>
      </c>
      <c r="D235" s="13">
        <v>162</v>
      </c>
      <c r="E235" s="1" t="s">
        <v>4303</v>
      </c>
      <c r="F235" s="1">
        <v>9562.56</v>
      </c>
    </row>
    <row r="236" spans="1:6" x14ac:dyDescent="0.25">
      <c r="A236" s="1" t="s">
        <v>357</v>
      </c>
      <c r="B236" s="1" t="s">
        <v>320</v>
      </c>
      <c r="C236" s="13">
        <v>210</v>
      </c>
      <c r="D236" s="13">
        <v>162</v>
      </c>
      <c r="E236" s="1" t="s">
        <v>4304</v>
      </c>
      <c r="F236" s="1">
        <v>23906.42</v>
      </c>
    </row>
    <row r="237" spans="1:6" x14ac:dyDescent="0.25">
      <c r="A237" s="1" t="s">
        <v>357</v>
      </c>
      <c r="B237" s="1" t="s">
        <v>320</v>
      </c>
      <c r="C237" s="13">
        <v>210</v>
      </c>
      <c r="D237" s="13">
        <v>162</v>
      </c>
      <c r="E237" s="1" t="s">
        <v>4305</v>
      </c>
      <c r="F237" s="1">
        <v>100</v>
      </c>
    </row>
    <row r="238" spans="1:6" x14ac:dyDescent="0.25">
      <c r="A238" s="1" t="s">
        <v>357</v>
      </c>
      <c r="B238" s="1" t="s">
        <v>320</v>
      </c>
      <c r="C238" s="13">
        <v>210</v>
      </c>
      <c r="D238" s="13">
        <v>162</v>
      </c>
      <c r="E238" s="1" t="s">
        <v>4306</v>
      </c>
      <c r="F238" s="1">
        <v>0</v>
      </c>
    </row>
    <row r="239" spans="1:6" x14ac:dyDescent="0.25">
      <c r="A239" s="1" t="s">
        <v>357</v>
      </c>
      <c r="B239" s="1" t="s">
        <v>320</v>
      </c>
      <c r="C239" s="13">
        <v>210</v>
      </c>
      <c r="D239" s="13">
        <v>162</v>
      </c>
      <c r="E239" s="1" t="s">
        <v>4307</v>
      </c>
      <c r="F239" s="1">
        <v>9044.93</v>
      </c>
    </row>
    <row r="240" spans="1:6" x14ac:dyDescent="0.25">
      <c r="A240" s="1" t="s">
        <v>357</v>
      </c>
      <c r="B240" s="1" t="s">
        <v>320</v>
      </c>
      <c r="C240" s="13">
        <v>210</v>
      </c>
      <c r="D240" s="13">
        <v>162</v>
      </c>
      <c r="E240" s="1" t="s">
        <v>4308</v>
      </c>
      <c r="F240" s="1">
        <v>24424.05</v>
      </c>
    </row>
    <row r="241" spans="1:6" x14ac:dyDescent="0.25">
      <c r="A241" s="1" t="s">
        <v>357</v>
      </c>
      <c r="B241" s="1" t="s">
        <v>320</v>
      </c>
      <c r="C241" s="13">
        <v>210</v>
      </c>
      <c r="D241" s="13">
        <v>162</v>
      </c>
      <c r="E241" s="1" t="s">
        <v>4309</v>
      </c>
      <c r="F241" s="1">
        <v>72.98</v>
      </c>
    </row>
    <row r="242" spans="1:6" x14ac:dyDescent="0.25">
      <c r="A242" s="1" t="s">
        <v>365</v>
      </c>
      <c r="B242" s="1" t="s">
        <v>293</v>
      </c>
      <c r="C242" s="13">
        <v>266</v>
      </c>
      <c r="D242" s="13">
        <v>321</v>
      </c>
      <c r="E242" s="1" t="s">
        <v>4302</v>
      </c>
      <c r="F242" s="1">
        <v>945</v>
      </c>
    </row>
    <row r="243" spans="1:6" x14ac:dyDescent="0.25">
      <c r="A243" s="1" t="s">
        <v>365</v>
      </c>
      <c r="B243" s="1" t="s">
        <v>293</v>
      </c>
      <c r="C243" s="13">
        <v>266</v>
      </c>
      <c r="D243" s="13">
        <v>321</v>
      </c>
      <c r="E243" s="1" t="s">
        <v>4303</v>
      </c>
      <c r="F243" s="1">
        <v>270</v>
      </c>
    </row>
    <row r="244" spans="1:6" x14ac:dyDescent="0.25">
      <c r="A244" s="1" t="s">
        <v>365</v>
      </c>
      <c r="B244" s="1" t="s">
        <v>293</v>
      </c>
      <c r="C244" s="13">
        <v>266</v>
      </c>
      <c r="D244" s="13">
        <v>321</v>
      </c>
      <c r="E244" s="1" t="s">
        <v>4304</v>
      </c>
      <c r="F244" s="1">
        <v>675</v>
      </c>
    </row>
    <row r="245" spans="1:6" x14ac:dyDescent="0.25">
      <c r="A245" s="1" t="s">
        <v>365</v>
      </c>
      <c r="B245" s="1" t="s">
        <v>293</v>
      </c>
      <c r="C245" s="13">
        <v>266</v>
      </c>
      <c r="D245" s="13">
        <v>321</v>
      </c>
      <c r="E245" s="1" t="s">
        <v>4305</v>
      </c>
      <c r="F245" s="1">
        <v>100</v>
      </c>
    </row>
    <row r="246" spans="1:6" x14ac:dyDescent="0.25">
      <c r="A246" s="1" t="s">
        <v>365</v>
      </c>
      <c r="B246" s="1" t="s">
        <v>293</v>
      </c>
      <c r="C246" s="13">
        <v>266</v>
      </c>
      <c r="D246" s="13">
        <v>321</v>
      </c>
      <c r="E246" s="1" t="s">
        <v>4306</v>
      </c>
      <c r="F246" s="1">
        <v>0</v>
      </c>
    </row>
    <row r="247" spans="1:6" x14ac:dyDescent="0.25">
      <c r="A247" s="1" t="s">
        <v>365</v>
      </c>
      <c r="B247" s="1" t="s">
        <v>293</v>
      </c>
      <c r="C247" s="13">
        <v>266</v>
      </c>
      <c r="D247" s="13">
        <v>321</v>
      </c>
      <c r="E247" s="1" t="s">
        <v>4307</v>
      </c>
      <c r="F247" s="1">
        <v>0</v>
      </c>
    </row>
    <row r="248" spans="1:6" x14ac:dyDescent="0.25">
      <c r="A248" s="1" t="s">
        <v>365</v>
      </c>
      <c r="B248" s="1" t="s">
        <v>293</v>
      </c>
      <c r="C248" s="13">
        <v>266</v>
      </c>
      <c r="D248" s="13">
        <v>321</v>
      </c>
      <c r="E248" s="1" t="s">
        <v>4308</v>
      </c>
      <c r="F248" s="1">
        <v>945</v>
      </c>
    </row>
    <row r="249" spans="1:6" x14ac:dyDescent="0.25">
      <c r="A249" s="1" t="s">
        <v>365</v>
      </c>
      <c r="B249" s="1" t="s">
        <v>293</v>
      </c>
      <c r="C249" s="13">
        <v>266</v>
      </c>
      <c r="D249" s="13">
        <v>321</v>
      </c>
      <c r="E249" s="1" t="s">
        <v>4309</v>
      </c>
      <c r="F249" s="1">
        <v>100</v>
      </c>
    </row>
    <row r="250" spans="1:6" x14ac:dyDescent="0.25">
      <c r="A250" s="1" t="s">
        <v>365</v>
      </c>
      <c r="B250" s="1" t="s">
        <v>366</v>
      </c>
      <c r="C250" s="13">
        <v>263</v>
      </c>
      <c r="D250" s="13">
        <v>265</v>
      </c>
      <c r="E250" s="1" t="s">
        <v>4302</v>
      </c>
      <c r="F250" s="1">
        <v>19075.89</v>
      </c>
    </row>
    <row r="251" spans="1:6" x14ac:dyDescent="0.25">
      <c r="A251" s="1" t="s">
        <v>365</v>
      </c>
      <c r="B251" s="1" t="s">
        <v>366</v>
      </c>
      <c r="C251" s="13">
        <v>263</v>
      </c>
      <c r="D251" s="13">
        <v>265</v>
      </c>
      <c r="E251" s="1" t="s">
        <v>4303</v>
      </c>
      <c r="F251" s="1">
        <v>5450.25</v>
      </c>
    </row>
    <row r="252" spans="1:6" x14ac:dyDescent="0.25">
      <c r="A252" s="1" t="s">
        <v>365</v>
      </c>
      <c r="B252" s="1" t="s">
        <v>366</v>
      </c>
      <c r="C252" s="13">
        <v>263</v>
      </c>
      <c r="D252" s="13">
        <v>265</v>
      </c>
      <c r="E252" s="1" t="s">
        <v>4304</v>
      </c>
      <c r="F252" s="1">
        <v>13625.64</v>
      </c>
    </row>
    <row r="253" spans="1:6" x14ac:dyDescent="0.25">
      <c r="A253" s="1" t="s">
        <v>365</v>
      </c>
      <c r="B253" s="1" t="s">
        <v>366</v>
      </c>
      <c r="C253" s="13">
        <v>263</v>
      </c>
      <c r="D253" s="13">
        <v>265</v>
      </c>
      <c r="E253" s="1" t="s">
        <v>4305</v>
      </c>
      <c r="F253" s="1">
        <v>100</v>
      </c>
    </row>
    <row r="254" spans="1:6" x14ac:dyDescent="0.25">
      <c r="A254" s="1" t="s">
        <v>365</v>
      </c>
      <c r="B254" s="1" t="s">
        <v>366</v>
      </c>
      <c r="C254" s="13">
        <v>263</v>
      </c>
      <c r="D254" s="13">
        <v>265</v>
      </c>
      <c r="E254" s="1" t="s">
        <v>4306</v>
      </c>
      <c r="F254" s="1">
        <v>0</v>
      </c>
    </row>
    <row r="255" spans="1:6" x14ac:dyDescent="0.25">
      <c r="A255" s="1" t="s">
        <v>365</v>
      </c>
      <c r="B255" s="1" t="s">
        <v>366</v>
      </c>
      <c r="C255" s="13">
        <v>263</v>
      </c>
      <c r="D255" s="13">
        <v>265</v>
      </c>
      <c r="E255" s="1" t="s">
        <v>4307</v>
      </c>
      <c r="F255" s="1">
        <v>2407.48</v>
      </c>
    </row>
    <row r="256" spans="1:6" x14ac:dyDescent="0.25">
      <c r="A256" s="1" t="s">
        <v>365</v>
      </c>
      <c r="B256" s="1" t="s">
        <v>366</v>
      </c>
      <c r="C256" s="13">
        <v>263</v>
      </c>
      <c r="D256" s="13">
        <v>265</v>
      </c>
      <c r="E256" s="1" t="s">
        <v>4308</v>
      </c>
      <c r="F256" s="1">
        <v>16668.41</v>
      </c>
    </row>
    <row r="257" spans="1:6" x14ac:dyDescent="0.25">
      <c r="A257" s="1" t="s">
        <v>365</v>
      </c>
      <c r="B257" s="1" t="s">
        <v>366</v>
      </c>
      <c r="C257" s="13">
        <v>263</v>
      </c>
      <c r="D257" s="13">
        <v>265</v>
      </c>
      <c r="E257" s="1" t="s">
        <v>4309</v>
      </c>
      <c r="F257" s="1">
        <v>87.38</v>
      </c>
    </row>
    <row r="258" spans="1:6" x14ac:dyDescent="0.25">
      <c r="A258" s="1" t="s">
        <v>365</v>
      </c>
      <c r="B258" s="1" t="s">
        <v>367</v>
      </c>
      <c r="C258" s="13">
        <v>241</v>
      </c>
      <c r="D258" s="13">
        <v>224</v>
      </c>
      <c r="E258" s="1" t="s">
        <v>4302</v>
      </c>
      <c r="F258" s="1">
        <v>15003.95</v>
      </c>
    </row>
    <row r="259" spans="1:6" x14ac:dyDescent="0.25">
      <c r="A259" s="1" t="s">
        <v>365</v>
      </c>
      <c r="B259" s="1" t="s">
        <v>367</v>
      </c>
      <c r="C259" s="13">
        <v>241</v>
      </c>
      <c r="D259" s="13">
        <v>224</v>
      </c>
      <c r="E259" s="1" t="s">
        <v>4303</v>
      </c>
      <c r="F259" s="1">
        <v>1715.41</v>
      </c>
    </row>
    <row r="260" spans="1:6" x14ac:dyDescent="0.25">
      <c r="A260" s="1" t="s">
        <v>365</v>
      </c>
      <c r="B260" s="1" t="s">
        <v>367</v>
      </c>
      <c r="C260" s="13">
        <v>241</v>
      </c>
      <c r="D260" s="13">
        <v>224</v>
      </c>
      <c r="E260" s="1" t="s">
        <v>4304</v>
      </c>
      <c r="F260" s="1">
        <v>13288.54</v>
      </c>
    </row>
    <row r="261" spans="1:6" x14ac:dyDescent="0.25">
      <c r="A261" s="1" t="s">
        <v>365</v>
      </c>
      <c r="B261" s="1" t="s">
        <v>367</v>
      </c>
      <c r="C261" s="13">
        <v>241</v>
      </c>
      <c r="D261" s="13">
        <v>224</v>
      </c>
      <c r="E261" s="1" t="s">
        <v>4305</v>
      </c>
      <c r="F261" s="1">
        <v>100</v>
      </c>
    </row>
    <row r="262" spans="1:6" x14ac:dyDescent="0.25">
      <c r="A262" s="1" t="s">
        <v>365</v>
      </c>
      <c r="B262" s="1" t="s">
        <v>367</v>
      </c>
      <c r="C262" s="13">
        <v>241</v>
      </c>
      <c r="D262" s="13">
        <v>224</v>
      </c>
      <c r="E262" s="1" t="s">
        <v>4306</v>
      </c>
      <c r="F262" s="1">
        <v>0</v>
      </c>
    </row>
    <row r="263" spans="1:6" x14ac:dyDescent="0.25">
      <c r="A263" s="1" t="s">
        <v>365</v>
      </c>
      <c r="B263" s="1" t="s">
        <v>367</v>
      </c>
      <c r="C263" s="13">
        <v>241</v>
      </c>
      <c r="D263" s="13">
        <v>224</v>
      </c>
      <c r="E263" s="1" t="s">
        <v>4307</v>
      </c>
      <c r="F263" s="1">
        <v>5.77</v>
      </c>
    </row>
    <row r="264" spans="1:6" x14ac:dyDescent="0.25">
      <c r="A264" s="1" t="s">
        <v>365</v>
      </c>
      <c r="B264" s="1" t="s">
        <v>367</v>
      </c>
      <c r="C264" s="13">
        <v>241</v>
      </c>
      <c r="D264" s="13">
        <v>224</v>
      </c>
      <c r="E264" s="1" t="s">
        <v>4308</v>
      </c>
      <c r="F264" s="1">
        <v>14998.18</v>
      </c>
    </row>
    <row r="265" spans="1:6" x14ac:dyDescent="0.25">
      <c r="A265" s="1" t="s">
        <v>365</v>
      </c>
      <c r="B265" s="1" t="s">
        <v>367</v>
      </c>
      <c r="C265" s="13">
        <v>241</v>
      </c>
      <c r="D265" s="13">
        <v>224</v>
      </c>
      <c r="E265" s="1" t="s">
        <v>4309</v>
      </c>
      <c r="F265" s="1">
        <v>99.96</v>
      </c>
    </row>
    <row r="266" spans="1:6" x14ac:dyDescent="0.25">
      <c r="A266" s="1" t="s">
        <v>365</v>
      </c>
      <c r="B266" s="1" t="s">
        <v>368</v>
      </c>
      <c r="C266" s="13">
        <v>265</v>
      </c>
      <c r="D266" s="13">
        <v>256</v>
      </c>
      <c r="E266" s="1" t="s">
        <v>4302</v>
      </c>
      <c r="F266" s="1">
        <v>1401.12</v>
      </c>
    </row>
    <row r="267" spans="1:6" x14ac:dyDescent="0.25">
      <c r="A267" s="1" t="s">
        <v>365</v>
      </c>
      <c r="B267" s="1" t="s">
        <v>368</v>
      </c>
      <c r="C267" s="13">
        <v>265</v>
      </c>
      <c r="D267" s="13">
        <v>256</v>
      </c>
      <c r="E267" s="1" t="s">
        <v>4303</v>
      </c>
      <c r="F267" s="1">
        <v>400.32</v>
      </c>
    </row>
    <row r="268" spans="1:6" x14ac:dyDescent="0.25">
      <c r="A268" s="1" t="s">
        <v>365</v>
      </c>
      <c r="B268" s="1" t="s">
        <v>368</v>
      </c>
      <c r="C268" s="13">
        <v>265</v>
      </c>
      <c r="D268" s="13">
        <v>256</v>
      </c>
      <c r="E268" s="1" t="s">
        <v>4304</v>
      </c>
      <c r="F268" s="1">
        <v>0</v>
      </c>
    </row>
    <row r="269" spans="1:6" x14ac:dyDescent="0.25">
      <c r="A269" s="1" t="s">
        <v>365</v>
      </c>
      <c r="B269" s="1" t="s">
        <v>368</v>
      </c>
      <c r="C269" s="13">
        <v>265</v>
      </c>
      <c r="D269" s="13">
        <v>256</v>
      </c>
      <c r="E269" s="1" t="s">
        <v>4305</v>
      </c>
      <c r="F269" s="1">
        <v>0</v>
      </c>
    </row>
    <row r="270" spans="1:6" x14ac:dyDescent="0.25">
      <c r="A270" s="1" t="s">
        <v>365</v>
      </c>
      <c r="B270" s="1" t="s">
        <v>368</v>
      </c>
      <c r="C270" s="13">
        <v>265</v>
      </c>
      <c r="D270" s="13">
        <v>256</v>
      </c>
      <c r="E270" s="1" t="s">
        <v>4306</v>
      </c>
      <c r="F270" s="1">
        <v>0</v>
      </c>
    </row>
    <row r="271" spans="1:6" x14ac:dyDescent="0.25">
      <c r="A271" s="1" t="s">
        <v>365</v>
      </c>
      <c r="B271" s="1" t="s">
        <v>368</v>
      </c>
      <c r="C271" s="13">
        <v>265</v>
      </c>
      <c r="D271" s="13">
        <v>256</v>
      </c>
      <c r="E271" s="1" t="s">
        <v>4307</v>
      </c>
      <c r="F271" s="1">
        <v>0</v>
      </c>
    </row>
    <row r="272" spans="1:6" x14ac:dyDescent="0.25">
      <c r="A272" s="1" t="s">
        <v>365</v>
      </c>
      <c r="B272" s="1" t="s">
        <v>368</v>
      </c>
      <c r="C272" s="13">
        <v>265</v>
      </c>
      <c r="D272" s="13">
        <v>256</v>
      </c>
      <c r="E272" s="1" t="s">
        <v>4308</v>
      </c>
      <c r="F272" s="1">
        <v>1401.12</v>
      </c>
    </row>
    <row r="273" spans="1:6" x14ac:dyDescent="0.25">
      <c r="A273" s="1" t="s">
        <v>365</v>
      </c>
      <c r="B273" s="1" t="s">
        <v>368</v>
      </c>
      <c r="C273" s="13">
        <v>265</v>
      </c>
      <c r="D273" s="13">
        <v>256</v>
      </c>
      <c r="E273" s="1" t="s">
        <v>4309</v>
      </c>
      <c r="F273" s="1">
        <v>100</v>
      </c>
    </row>
    <row r="274" spans="1:6" x14ac:dyDescent="0.25">
      <c r="A274" s="1" t="s">
        <v>365</v>
      </c>
      <c r="B274" s="1" t="s">
        <v>369</v>
      </c>
      <c r="C274" s="13">
        <v>264</v>
      </c>
      <c r="D274" s="13">
        <v>270</v>
      </c>
      <c r="E274" s="1" t="s">
        <v>4302</v>
      </c>
      <c r="F274" s="1">
        <v>9889.6</v>
      </c>
    </row>
    <row r="275" spans="1:6" x14ac:dyDescent="0.25">
      <c r="A275" s="1" t="s">
        <v>365</v>
      </c>
      <c r="B275" s="1" t="s">
        <v>369</v>
      </c>
      <c r="C275" s="13">
        <v>264</v>
      </c>
      <c r="D275" s="13">
        <v>270</v>
      </c>
      <c r="E275" s="1" t="s">
        <v>4303</v>
      </c>
      <c r="F275" s="1">
        <v>2825.6</v>
      </c>
    </row>
    <row r="276" spans="1:6" x14ac:dyDescent="0.25">
      <c r="A276" s="1" t="s">
        <v>365</v>
      </c>
      <c r="B276" s="1" t="s">
        <v>369</v>
      </c>
      <c r="C276" s="13">
        <v>264</v>
      </c>
      <c r="D276" s="13">
        <v>270</v>
      </c>
      <c r="E276" s="1" t="s">
        <v>4304</v>
      </c>
      <c r="F276" s="1">
        <v>0</v>
      </c>
    </row>
    <row r="277" spans="1:6" x14ac:dyDescent="0.25">
      <c r="A277" s="1" t="s">
        <v>365</v>
      </c>
      <c r="B277" s="1" t="s">
        <v>369</v>
      </c>
      <c r="C277" s="13">
        <v>264</v>
      </c>
      <c r="D277" s="13">
        <v>270</v>
      </c>
      <c r="E277" s="1" t="s">
        <v>4305</v>
      </c>
      <c r="F277" s="1">
        <v>0</v>
      </c>
    </row>
    <row r="278" spans="1:6" x14ac:dyDescent="0.25">
      <c r="A278" s="1" t="s">
        <v>365</v>
      </c>
      <c r="B278" s="1" t="s">
        <v>369</v>
      </c>
      <c r="C278" s="13">
        <v>264</v>
      </c>
      <c r="D278" s="13">
        <v>270</v>
      </c>
      <c r="E278" s="1" t="s">
        <v>4306</v>
      </c>
      <c r="F278" s="1">
        <v>0</v>
      </c>
    </row>
    <row r="279" spans="1:6" x14ac:dyDescent="0.25">
      <c r="A279" s="1" t="s">
        <v>365</v>
      </c>
      <c r="B279" s="1" t="s">
        <v>369</v>
      </c>
      <c r="C279" s="13">
        <v>264</v>
      </c>
      <c r="D279" s="13">
        <v>270</v>
      </c>
      <c r="E279" s="1" t="s">
        <v>4307</v>
      </c>
      <c r="F279" s="1">
        <v>0</v>
      </c>
    </row>
    <row r="280" spans="1:6" x14ac:dyDescent="0.25">
      <c r="A280" s="1" t="s">
        <v>365</v>
      </c>
      <c r="B280" s="1" t="s">
        <v>369</v>
      </c>
      <c r="C280" s="13">
        <v>264</v>
      </c>
      <c r="D280" s="13">
        <v>270</v>
      </c>
      <c r="E280" s="1" t="s">
        <v>4308</v>
      </c>
      <c r="F280" s="1">
        <v>9889.6</v>
      </c>
    </row>
    <row r="281" spans="1:6" x14ac:dyDescent="0.25">
      <c r="A281" s="1" t="s">
        <v>365</v>
      </c>
      <c r="B281" s="1" t="s">
        <v>369</v>
      </c>
      <c r="C281" s="13">
        <v>264</v>
      </c>
      <c r="D281" s="13">
        <v>270</v>
      </c>
      <c r="E281" s="1" t="s">
        <v>4309</v>
      </c>
      <c r="F281" s="1">
        <v>100</v>
      </c>
    </row>
    <row r="282" spans="1:6" x14ac:dyDescent="0.25">
      <c r="A282" s="1" t="s">
        <v>365</v>
      </c>
      <c r="B282" s="1" t="s">
        <v>370</v>
      </c>
      <c r="C282" s="13">
        <v>249</v>
      </c>
      <c r="D282" s="13">
        <v>299</v>
      </c>
      <c r="E282" s="1" t="s">
        <v>4302</v>
      </c>
      <c r="F282" s="1">
        <v>0</v>
      </c>
    </row>
    <row r="283" spans="1:6" x14ac:dyDescent="0.25">
      <c r="A283" s="1" t="s">
        <v>365</v>
      </c>
      <c r="B283" s="1" t="s">
        <v>370</v>
      </c>
      <c r="C283" s="13">
        <v>249</v>
      </c>
      <c r="D283" s="13">
        <v>299</v>
      </c>
      <c r="E283" s="1" t="s">
        <v>4303</v>
      </c>
      <c r="F283" s="1">
        <v>0</v>
      </c>
    </row>
    <row r="284" spans="1:6" x14ac:dyDescent="0.25">
      <c r="A284" s="1" t="s">
        <v>365</v>
      </c>
      <c r="B284" s="1" t="s">
        <v>370</v>
      </c>
      <c r="C284" s="13">
        <v>249</v>
      </c>
      <c r="D284" s="13">
        <v>299</v>
      </c>
      <c r="E284" s="1" t="s">
        <v>4304</v>
      </c>
      <c r="F284" s="1">
        <v>0</v>
      </c>
    </row>
    <row r="285" spans="1:6" x14ac:dyDescent="0.25">
      <c r="A285" s="1" t="s">
        <v>365</v>
      </c>
      <c r="B285" s="1" t="s">
        <v>370</v>
      </c>
      <c r="C285" s="13">
        <v>249</v>
      </c>
      <c r="D285" s="13">
        <v>299</v>
      </c>
      <c r="E285" s="1" t="s">
        <v>4305</v>
      </c>
      <c r="F285" s="1">
        <v>0</v>
      </c>
    </row>
    <row r="286" spans="1:6" x14ac:dyDescent="0.25">
      <c r="A286" s="1" t="s">
        <v>365</v>
      </c>
      <c r="B286" s="1" t="s">
        <v>370</v>
      </c>
      <c r="C286" s="13">
        <v>249</v>
      </c>
      <c r="D286" s="13">
        <v>299</v>
      </c>
      <c r="E286" s="1" t="s">
        <v>4306</v>
      </c>
      <c r="F286" s="1">
        <v>0</v>
      </c>
    </row>
    <row r="287" spans="1:6" x14ac:dyDescent="0.25">
      <c r="A287" s="1" t="s">
        <v>365</v>
      </c>
      <c r="B287" s="1" t="s">
        <v>370</v>
      </c>
      <c r="C287" s="13">
        <v>249</v>
      </c>
      <c r="D287" s="13">
        <v>299</v>
      </c>
      <c r="E287" s="1" t="s">
        <v>4307</v>
      </c>
      <c r="F287" s="1">
        <v>0</v>
      </c>
    </row>
    <row r="288" spans="1:6" x14ac:dyDescent="0.25">
      <c r="A288" s="1" t="s">
        <v>365</v>
      </c>
      <c r="B288" s="1" t="s">
        <v>370</v>
      </c>
      <c r="C288" s="13">
        <v>249</v>
      </c>
      <c r="D288" s="13">
        <v>299</v>
      </c>
      <c r="E288" s="1" t="s">
        <v>4308</v>
      </c>
      <c r="F288" s="1">
        <v>0</v>
      </c>
    </row>
    <row r="289" spans="1:6" x14ac:dyDescent="0.25">
      <c r="A289" s="1" t="s">
        <v>365</v>
      </c>
      <c r="B289" s="1" t="s">
        <v>370</v>
      </c>
      <c r="C289" s="13">
        <v>249</v>
      </c>
      <c r="D289" s="13">
        <v>299</v>
      </c>
      <c r="E289" s="1" t="s">
        <v>4309</v>
      </c>
      <c r="F289" s="1">
        <v>0</v>
      </c>
    </row>
    <row r="290" spans="1:6" x14ac:dyDescent="0.25">
      <c r="A290" s="1" t="s">
        <v>250</v>
      </c>
      <c r="B290" s="1" t="s">
        <v>252</v>
      </c>
      <c r="C290" s="13">
        <v>29</v>
      </c>
      <c r="D290" s="13">
        <v>323</v>
      </c>
      <c r="E290" s="1" t="s">
        <v>4302</v>
      </c>
      <c r="F290" s="1">
        <v>11717.93</v>
      </c>
    </row>
    <row r="291" spans="1:6" x14ac:dyDescent="0.25">
      <c r="A291" s="1" t="s">
        <v>250</v>
      </c>
      <c r="B291" s="1" t="s">
        <v>252</v>
      </c>
      <c r="C291" s="13">
        <v>29</v>
      </c>
      <c r="D291" s="13">
        <v>323</v>
      </c>
      <c r="E291" s="1" t="s">
        <v>4303</v>
      </c>
      <c r="F291" s="1">
        <v>1870.93</v>
      </c>
    </row>
    <row r="292" spans="1:6" x14ac:dyDescent="0.25">
      <c r="A292" s="1" t="s">
        <v>250</v>
      </c>
      <c r="B292" s="1" t="s">
        <v>252</v>
      </c>
      <c r="C292" s="13">
        <v>29</v>
      </c>
      <c r="D292" s="13">
        <v>323</v>
      </c>
      <c r="E292" s="1" t="s">
        <v>4304</v>
      </c>
      <c r="F292" s="1">
        <v>0</v>
      </c>
    </row>
    <row r="293" spans="1:6" x14ac:dyDescent="0.25">
      <c r="A293" s="1" t="s">
        <v>250</v>
      </c>
      <c r="B293" s="1" t="s">
        <v>252</v>
      </c>
      <c r="C293" s="13">
        <v>29</v>
      </c>
      <c r="D293" s="13">
        <v>323</v>
      </c>
      <c r="E293" s="1" t="s">
        <v>4305</v>
      </c>
      <c r="F293" s="1">
        <v>0</v>
      </c>
    </row>
    <row r="294" spans="1:6" x14ac:dyDescent="0.25">
      <c r="A294" s="1" t="s">
        <v>250</v>
      </c>
      <c r="B294" s="1" t="s">
        <v>252</v>
      </c>
      <c r="C294" s="13">
        <v>29</v>
      </c>
      <c r="D294" s="13">
        <v>323</v>
      </c>
      <c r="E294" s="1" t="s">
        <v>4306</v>
      </c>
      <c r="F294" s="1">
        <v>0</v>
      </c>
    </row>
    <row r="295" spans="1:6" x14ac:dyDescent="0.25">
      <c r="A295" s="1" t="s">
        <v>250</v>
      </c>
      <c r="B295" s="1" t="s">
        <v>252</v>
      </c>
      <c r="C295" s="13">
        <v>29</v>
      </c>
      <c r="D295" s="13">
        <v>323</v>
      </c>
      <c r="E295" s="1" t="s">
        <v>4307</v>
      </c>
      <c r="F295" s="1">
        <v>0</v>
      </c>
    </row>
    <row r="296" spans="1:6" x14ac:dyDescent="0.25">
      <c r="A296" s="1" t="s">
        <v>250</v>
      </c>
      <c r="B296" s="1" t="s">
        <v>252</v>
      </c>
      <c r="C296" s="13">
        <v>29</v>
      </c>
      <c r="D296" s="13">
        <v>323</v>
      </c>
      <c r="E296" s="1" t="s">
        <v>4308</v>
      </c>
      <c r="F296" s="1">
        <v>11717.93</v>
      </c>
    </row>
    <row r="297" spans="1:6" x14ac:dyDescent="0.25">
      <c r="A297" s="1" t="s">
        <v>250</v>
      </c>
      <c r="B297" s="1" t="s">
        <v>252</v>
      </c>
      <c r="C297" s="13">
        <v>29</v>
      </c>
      <c r="D297" s="13">
        <v>323</v>
      </c>
      <c r="E297" s="1" t="s">
        <v>4309</v>
      </c>
      <c r="F297" s="1">
        <v>100</v>
      </c>
    </row>
    <row r="298" spans="1:6" x14ac:dyDescent="0.25">
      <c r="A298" s="1" t="s">
        <v>250</v>
      </c>
      <c r="B298" s="1" t="s">
        <v>256</v>
      </c>
      <c r="C298" s="13">
        <v>31</v>
      </c>
      <c r="D298" s="13">
        <v>250</v>
      </c>
      <c r="E298" s="1" t="s">
        <v>4302</v>
      </c>
      <c r="F298" s="1">
        <v>40320.5</v>
      </c>
    </row>
    <row r="299" spans="1:6" x14ac:dyDescent="0.25">
      <c r="A299" s="1" t="s">
        <v>250</v>
      </c>
      <c r="B299" s="1" t="s">
        <v>256</v>
      </c>
      <c r="C299" s="13">
        <v>31</v>
      </c>
      <c r="D299" s="13">
        <v>250</v>
      </c>
      <c r="E299" s="1" t="s">
        <v>4303</v>
      </c>
      <c r="F299" s="1">
        <v>6437.72</v>
      </c>
    </row>
    <row r="300" spans="1:6" x14ac:dyDescent="0.25">
      <c r="A300" s="1" t="s">
        <v>250</v>
      </c>
      <c r="B300" s="1" t="s">
        <v>256</v>
      </c>
      <c r="C300" s="13">
        <v>31</v>
      </c>
      <c r="D300" s="13">
        <v>250</v>
      </c>
      <c r="E300" s="1" t="s">
        <v>4304</v>
      </c>
      <c r="F300" s="1">
        <v>33882.78</v>
      </c>
    </row>
    <row r="301" spans="1:6" x14ac:dyDescent="0.25">
      <c r="A301" s="1" t="s">
        <v>250</v>
      </c>
      <c r="B301" s="1" t="s">
        <v>256</v>
      </c>
      <c r="C301" s="13">
        <v>31</v>
      </c>
      <c r="D301" s="13">
        <v>250</v>
      </c>
      <c r="E301" s="1" t="s">
        <v>4305</v>
      </c>
      <c r="F301" s="1">
        <v>100</v>
      </c>
    </row>
    <row r="302" spans="1:6" x14ac:dyDescent="0.25">
      <c r="A302" s="1" t="s">
        <v>250</v>
      </c>
      <c r="B302" s="1" t="s">
        <v>256</v>
      </c>
      <c r="C302" s="13">
        <v>31</v>
      </c>
      <c r="D302" s="13">
        <v>250</v>
      </c>
      <c r="E302" s="1" t="s">
        <v>4306</v>
      </c>
      <c r="F302" s="1">
        <v>0</v>
      </c>
    </row>
    <row r="303" spans="1:6" x14ac:dyDescent="0.25">
      <c r="A303" s="1" t="s">
        <v>250</v>
      </c>
      <c r="B303" s="1" t="s">
        <v>256</v>
      </c>
      <c r="C303" s="13">
        <v>31</v>
      </c>
      <c r="D303" s="13">
        <v>250</v>
      </c>
      <c r="E303" s="1" t="s">
        <v>4307</v>
      </c>
      <c r="F303" s="1">
        <v>8298.06</v>
      </c>
    </row>
    <row r="304" spans="1:6" x14ac:dyDescent="0.25">
      <c r="A304" s="1" t="s">
        <v>250</v>
      </c>
      <c r="B304" s="1" t="s">
        <v>256</v>
      </c>
      <c r="C304" s="13">
        <v>31</v>
      </c>
      <c r="D304" s="13">
        <v>250</v>
      </c>
      <c r="E304" s="1" t="s">
        <v>4308</v>
      </c>
      <c r="F304" s="1">
        <v>32022.44</v>
      </c>
    </row>
    <row r="305" spans="1:6" x14ac:dyDescent="0.25">
      <c r="A305" s="1" t="s">
        <v>250</v>
      </c>
      <c r="B305" s="1" t="s">
        <v>256</v>
      </c>
      <c r="C305" s="13">
        <v>31</v>
      </c>
      <c r="D305" s="13">
        <v>250</v>
      </c>
      <c r="E305" s="1" t="s">
        <v>4309</v>
      </c>
      <c r="F305" s="1">
        <v>79.42</v>
      </c>
    </row>
    <row r="306" spans="1:6" x14ac:dyDescent="0.25">
      <c r="A306" s="1" t="s">
        <v>250</v>
      </c>
      <c r="B306" s="1" t="s">
        <v>259</v>
      </c>
      <c r="C306" s="13">
        <v>33</v>
      </c>
      <c r="D306" s="13">
        <v>320</v>
      </c>
      <c r="E306" s="1" t="s">
        <v>4302</v>
      </c>
      <c r="F306" s="1">
        <v>0</v>
      </c>
    </row>
    <row r="307" spans="1:6" x14ac:dyDescent="0.25">
      <c r="A307" s="1" t="s">
        <v>250</v>
      </c>
      <c r="B307" s="1" t="s">
        <v>259</v>
      </c>
      <c r="C307" s="13">
        <v>33</v>
      </c>
      <c r="D307" s="13">
        <v>320</v>
      </c>
      <c r="E307" s="1" t="s">
        <v>4303</v>
      </c>
      <c r="F307" s="1">
        <v>0</v>
      </c>
    </row>
    <row r="308" spans="1:6" x14ac:dyDescent="0.25">
      <c r="A308" s="1" t="s">
        <v>250</v>
      </c>
      <c r="B308" s="1" t="s">
        <v>259</v>
      </c>
      <c r="C308" s="13">
        <v>33</v>
      </c>
      <c r="D308" s="13">
        <v>320</v>
      </c>
      <c r="E308" s="1" t="s">
        <v>4304</v>
      </c>
      <c r="F308" s="1">
        <v>0</v>
      </c>
    </row>
    <row r="309" spans="1:6" x14ac:dyDescent="0.25">
      <c r="A309" s="1" t="s">
        <v>250</v>
      </c>
      <c r="B309" s="1" t="s">
        <v>259</v>
      </c>
      <c r="C309" s="13">
        <v>33</v>
      </c>
      <c r="D309" s="13">
        <v>320</v>
      </c>
      <c r="E309" s="1" t="s">
        <v>4305</v>
      </c>
      <c r="F309" s="1">
        <v>0</v>
      </c>
    </row>
    <row r="310" spans="1:6" x14ac:dyDescent="0.25">
      <c r="A310" s="1" t="s">
        <v>250</v>
      </c>
      <c r="B310" s="1" t="s">
        <v>259</v>
      </c>
      <c r="C310" s="13">
        <v>33</v>
      </c>
      <c r="D310" s="13">
        <v>320</v>
      </c>
      <c r="E310" s="1" t="s">
        <v>4306</v>
      </c>
      <c r="F310" s="1">
        <v>0</v>
      </c>
    </row>
    <row r="311" spans="1:6" x14ac:dyDescent="0.25">
      <c r="A311" s="1" t="s">
        <v>250</v>
      </c>
      <c r="B311" s="1" t="s">
        <v>259</v>
      </c>
      <c r="C311" s="13">
        <v>33</v>
      </c>
      <c r="D311" s="13">
        <v>320</v>
      </c>
      <c r="E311" s="1" t="s">
        <v>4307</v>
      </c>
      <c r="F311" s="1">
        <v>0</v>
      </c>
    </row>
    <row r="312" spans="1:6" x14ac:dyDescent="0.25">
      <c r="A312" s="1" t="s">
        <v>250</v>
      </c>
      <c r="B312" s="1" t="s">
        <v>259</v>
      </c>
      <c r="C312" s="13">
        <v>33</v>
      </c>
      <c r="D312" s="13">
        <v>320</v>
      </c>
      <c r="E312" s="1" t="s">
        <v>4308</v>
      </c>
      <c r="F312" s="1">
        <v>0</v>
      </c>
    </row>
    <row r="313" spans="1:6" x14ac:dyDescent="0.25">
      <c r="A313" s="1" t="s">
        <v>250</v>
      </c>
      <c r="B313" s="1" t="s">
        <v>259</v>
      </c>
      <c r="C313" s="13">
        <v>33</v>
      </c>
      <c r="D313" s="13">
        <v>320</v>
      </c>
      <c r="E313" s="1" t="s">
        <v>4309</v>
      </c>
      <c r="F313" s="1">
        <v>0</v>
      </c>
    </row>
    <row r="314" spans="1:6" x14ac:dyDescent="0.25">
      <c r="A314" s="1" t="s">
        <v>250</v>
      </c>
      <c r="B314" s="1" t="s">
        <v>263</v>
      </c>
      <c r="C314" s="13">
        <v>28</v>
      </c>
      <c r="D314" s="13">
        <v>280</v>
      </c>
      <c r="E314" s="1" t="s">
        <v>4302</v>
      </c>
      <c r="F314" s="1">
        <v>39629.120000000003</v>
      </c>
    </row>
    <row r="315" spans="1:6" x14ac:dyDescent="0.25">
      <c r="A315" s="1" t="s">
        <v>250</v>
      </c>
      <c r="B315" s="1" t="s">
        <v>263</v>
      </c>
      <c r="C315" s="13">
        <v>28</v>
      </c>
      <c r="D315" s="13">
        <v>280</v>
      </c>
      <c r="E315" s="1" t="s">
        <v>4303</v>
      </c>
      <c r="F315" s="1">
        <v>2005.75</v>
      </c>
    </row>
    <row r="316" spans="1:6" x14ac:dyDescent="0.25">
      <c r="A316" s="1" t="s">
        <v>250</v>
      </c>
      <c r="B316" s="1" t="s">
        <v>263</v>
      </c>
      <c r="C316" s="13">
        <v>28</v>
      </c>
      <c r="D316" s="13">
        <v>280</v>
      </c>
      <c r="E316" s="1" t="s">
        <v>4304</v>
      </c>
      <c r="F316" s="1">
        <v>23159.93</v>
      </c>
    </row>
    <row r="317" spans="1:6" x14ac:dyDescent="0.25">
      <c r="A317" s="1" t="s">
        <v>250</v>
      </c>
      <c r="B317" s="1" t="s">
        <v>263</v>
      </c>
      <c r="C317" s="13">
        <v>28</v>
      </c>
      <c r="D317" s="13">
        <v>280</v>
      </c>
      <c r="E317" s="1" t="s">
        <v>4305</v>
      </c>
      <c r="F317" s="1">
        <v>61.56</v>
      </c>
    </row>
    <row r="318" spans="1:6" x14ac:dyDescent="0.25">
      <c r="A318" s="1" t="s">
        <v>250</v>
      </c>
      <c r="B318" s="1" t="s">
        <v>263</v>
      </c>
      <c r="C318" s="13">
        <v>28</v>
      </c>
      <c r="D318" s="13">
        <v>280</v>
      </c>
      <c r="E318" s="1" t="s">
        <v>4306</v>
      </c>
      <c r="F318" s="1">
        <v>0</v>
      </c>
    </row>
    <row r="319" spans="1:6" x14ac:dyDescent="0.25">
      <c r="A319" s="1" t="s">
        <v>250</v>
      </c>
      <c r="B319" s="1" t="s">
        <v>263</v>
      </c>
      <c r="C319" s="13">
        <v>28</v>
      </c>
      <c r="D319" s="13">
        <v>280</v>
      </c>
      <c r="E319" s="1" t="s">
        <v>4307</v>
      </c>
      <c r="F319" s="1">
        <v>0</v>
      </c>
    </row>
    <row r="320" spans="1:6" x14ac:dyDescent="0.25">
      <c r="A320" s="1" t="s">
        <v>250</v>
      </c>
      <c r="B320" s="1" t="s">
        <v>263</v>
      </c>
      <c r="C320" s="13">
        <v>28</v>
      </c>
      <c r="D320" s="13">
        <v>280</v>
      </c>
      <c r="E320" s="1" t="s">
        <v>4308</v>
      </c>
      <c r="F320" s="1">
        <v>39629.120000000003</v>
      </c>
    </row>
    <row r="321" spans="1:6" x14ac:dyDescent="0.25">
      <c r="A321" s="1" t="s">
        <v>250</v>
      </c>
      <c r="B321" s="1" t="s">
        <v>263</v>
      </c>
      <c r="C321" s="13">
        <v>28</v>
      </c>
      <c r="D321" s="13">
        <v>280</v>
      </c>
      <c r="E321" s="1" t="s">
        <v>4309</v>
      </c>
      <c r="F321" s="1">
        <v>100</v>
      </c>
    </row>
    <row r="322" spans="1:6" x14ac:dyDescent="0.25">
      <c r="A322" s="1" t="s">
        <v>283</v>
      </c>
      <c r="B322" s="1" t="s">
        <v>284</v>
      </c>
      <c r="C322" s="13">
        <v>167</v>
      </c>
      <c r="D322" s="13">
        <v>327</v>
      </c>
      <c r="E322" s="1" t="s">
        <v>4302</v>
      </c>
      <c r="F322" s="1">
        <v>0</v>
      </c>
    </row>
    <row r="323" spans="1:6" x14ac:dyDescent="0.25">
      <c r="A323" s="1" t="s">
        <v>283</v>
      </c>
      <c r="B323" s="1" t="s">
        <v>284</v>
      </c>
      <c r="C323" s="13">
        <v>167</v>
      </c>
      <c r="D323" s="13">
        <v>327</v>
      </c>
      <c r="E323" s="1" t="s">
        <v>4303</v>
      </c>
      <c r="F323" s="1">
        <v>0</v>
      </c>
    </row>
    <row r="324" spans="1:6" x14ac:dyDescent="0.25">
      <c r="A324" s="1" t="s">
        <v>283</v>
      </c>
      <c r="B324" s="1" t="s">
        <v>284</v>
      </c>
      <c r="C324" s="13">
        <v>167</v>
      </c>
      <c r="D324" s="13">
        <v>327</v>
      </c>
      <c r="E324" s="1" t="s">
        <v>4304</v>
      </c>
      <c r="F324" s="1">
        <v>0</v>
      </c>
    </row>
    <row r="325" spans="1:6" x14ac:dyDescent="0.25">
      <c r="A325" s="1" t="s">
        <v>283</v>
      </c>
      <c r="B325" s="1" t="s">
        <v>284</v>
      </c>
      <c r="C325" s="13">
        <v>167</v>
      </c>
      <c r="D325" s="13">
        <v>327</v>
      </c>
      <c r="E325" s="1" t="s">
        <v>4305</v>
      </c>
      <c r="F325" s="1">
        <v>0</v>
      </c>
    </row>
    <row r="326" spans="1:6" x14ac:dyDescent="0.25">
      <c r="A326" s="1" t="s">
        <v>283</v>
      </c>
      <c r="B326" s="1" t="s">
        <v>284</v>
      </c>
      <c r="C326" s="13">
        <v>167</v>
      </c>
      <c r="D326" s="13">
        <v>327</v>
      </c>
      <c r="E326" s="1" t="s">
        <v>4306</v>
      </c>
      <c r="F326" s="1">
        <v>0</v>
      </c>
    </row>
    <row r="327" spans="1:6" x14ac:dyDescent="0.25">
      <c r="A327" s="1" t="s">
        <v>283</v>
      </c>
      <c r="B327" s="1" t="s">
        <v>284</v>
      </c>
      <c r="C327" s="13">
        <v>167</v>
      </c>
      <c r="D327" s="13">
        <v>327</v>
      </c>
      <c r="E327" s="1" t="s">
        <v>4307</v>
      </c>
      <c r="F327" s="1">
        <v>0</v>
      </c>
    </row>
    <row r="328" spans="1:6" x14ac:dyDescent="0.25">
      <c r="A328" s="1" t="s">
        <v>283</v>
      </c>
      <c r="B328" s="1" t="s">
        <v>284</v>
      </c>
      <c r="C328" s="13">
        <v>167</v>
      </c>
      <c r="D328" s="13">
        <v>327</v>
      </c>
      <c r="E328" s="1" t="s">
        <v>4308</v>
      </c>
      <c r="F328" s="1">
        <v>0</v>
      </c>
    </row>
    <row r="329" spans="1:6" x14ac:dyDescent="0.25">
      <c r="A329" s="1" t="s">
        <v>283</v>
      </c>
      <c r="B329" s="1" t="s">
        <v>284</v>
      </c>
      <c r="C329" s="13">
        <v>167</v>
      </c>
      <c r="D329" s="13">
        <v>327</v>
      </c>
      <c r="E329" s="1" t="s">
        <v>4309</v>
      </c>
      <c r="F329" s="1">
        <v>0</v>
      </c>
    </row>
    <row r="330" spans="1:6" x14ac:dyDescent="0.25">
      <c r="A330" s="1" t="s">
        <v>283</v>
      </c>
      <c r="B330" s="1" t="s">
        <v>285</v>
      </c>
      <c r="C330" s="13">
        <v>197</v>
      </c>
      <c r="D330" s="13">
        <v>219</v>
      </c>
      <c r="E330" s="1" t="s">
        <v>4302</v>
      </c>
      <c r="F330" s="1">
        <v>17832</v>
      </c>
    </row>
    <row r="331" spans="1:6" x14ac:dyDescent="0.25">
      <c r="A331" s="1" t="s">
        <v>283</v>
      </c>
      <c r="B331" s="1" t="s">
        <v>285</v>
      </c>
      <c r="C331" s="13">
        <v>197</v>
      </c>
      <c r="D331" s="13">
        <v>219</v>
      </c>
      <c r="E331" s="1" t="s">
        <v>4303</v>
      </c>
      <c r="F331" s="1">
        <v>2794.93</v>
      </c>
    </row>
    <row r="332" spans="1:6" x14ac:dyDescent="0.25">
      <c r="A332" s="1" t="s">
        <v>283</v>
      </c>
      <c r="B332" s="1" t="s">
        <v>285</v>
      </c>
      <c r="C332" s="13">
        <v>197</v>
      </c>
      <c r="D332" s="13">
        <v>219</v>
      </c>
      <c r="E332" s="1" t="s">
        <v>4304</v>
      </c>
      <c r="F332" s="1">
        <v>15037.07</v>
      </c>
    </row>
    <row r="333" spans="1:6" x14ac:dyDescent="0.25">
      <c r="A333" s="1" t="s">
        <v>283</v>
      </c>
      <c r="B333" s="1" t="s">
        <v>285</v>
      </c>
      <c r="C333" s="13">
        <v>197</v>
      </c>
      <c r="D333" s="13">
        <v>219</v>
      </c>
      <c r="E333" s="1" t="s">
        <v>4305</v>
      </c>
      <c r="F333" s="1">
        <v>100</v>
      </c>
    </row>
    <row r="334" spans="1:6" x14ac:dyDescent="0.25">
      <c r="A334" s="1" t="s">
        <v>283</v>
      </c>
      <c r="B334" s="1" t="s">
        <v>285</v>
      </c>
      <c r="C334" s="13">
        <v>197</v>
      </c>
      <c r="D334" s="13">
        <v>219</v>
      </c>
      <c r="E334" s="1" t="s">
        <v>4306</v>
      </c>
      <c r="F334" s="1">
        <v>0</v>
      </c>
    </row>
    <row r="335" spans="1:6" x14ac:dyDescent="0.25">
      <c r="A335" s="1" t="s">
        <v>283</v>
      </c>
      <c r="B335" s="1" t="s">
        <v>285</v>
      </c>
      <c r="C335" s="13">
        <v>197</v>
      </c>
      <c r="D335" s="13">
        <v>219</v>
      </c>
      <c r="E335" s="1" t="s">
        <v>4307</v>
      </c>
      <c r="F335" s="1">
        <v>0</v>
      </c>
    </row>
    <row r="336" spans="1:6" x14ac:dyDescent="0.25">
      <c r="A336" s="1" t="s">
        <v>283</v>
      </c>
      <c r="B336" s="1" t="s">
        <v>285</v>
      </c>
      <c r="C336" s="13">
        <v>197</v>
      </c>
      <c r="D336" s="13">
        <v>219</v>
      </c>
      <c r="E336" s="1" t="s">
        <v>4308</v>
      </c>
      <c r="F336" s="1">
        <v>17832</v>
      </c>
    </row>
    <row r="337" spans="1:6" x14ac:dyDescent="0.25">
      <c r="A337" s="1" t="s">
        <v>283</v>
      </c>
      <c r="B337" s="1" t="s">
        <v>285</v>
      </c>
      <c r="C337" s="13">
        <v>197</v>
      </c>
      <c r="D337" s="13">
        <v>219</v>
      </c>
      <c r="E337" s="1" t="s">
        <v>4309</v>
      </c>
      <c r="F337" s="1">
        <v>100</v>
      </c>
    </row>
    <row r="338" spans="1:6" x14ac:dyDescent="0.25">
      <c r="A338" s="1" t="s">
        <v>283</v>
      </c>
      <c r="B338" s="1" t="s">
        <v>286</v>
      </c>
      <c r="C338" s="13">
        <v>198</v>
      </c>
      <c r="D338" s="13">
        <v>149</v>
      </c>
      <c r="E338" s="1" t="s">
        <v>4302</v>
      </c>
      <c r="F338" s="1">
        <v>19119.45</v>
      </c>
    </row>
    <row r="339" spans="1:6" x14ac:dyDescent="0.25">
      <c r="A339" s="1" t="s">
        <v>283</v>
      </c>
      <c r="B339" s="1" t="s">
        <v>286</v>
      </c>
      <c r="C339" s="13">
        <v>198</v>
      </c>
      <c r="D339" s="13">
        <v>149</v>
      </c>
      <c r="E339" s="1" t="s">
        <v>4303</v>
      </c>
      <c r="F339" s="1">
        <v>5462.7</v>
      </c>
    </row>
    <row r="340" spans="1:6" x14ac:dyDescent="0.25">
      <c r="A340" s="1" t="s">
        <v>283</v>
      </c>
      <c r="B340" s="1" t="s">
        <v>286</v>
      </c>
      <c r="C340" s="13">
        <v>198</v>
      </c>
      <c r="D340" s="13">
        <v>149</v>
      </c>
      <c r="E340" s="1" t="s">
        <v>4304</v>
      </c>
      <c r="F340" s="1">
        <v>13656.75</v>
      </c>
    </row>
    <row r="341" spans="1:6" x14ac:dyDescent="0.25">
      <c r="A341" s="1" t="s">
        <v>283</v>
      </c>
      <c r="B341" s="1" t="s">
        <v>286</v>
      </c>
      <c r="C341" s="13">
        <v>198</v>
      </c>
      <c r="D341" s="13">
        <v>149</v>
      </c>
      <c r="E341" s="1" t="s">
        <v>4305</v>
      </c>
      <c r="F341" s="1">
        <v>100</v>
      </c>
    </row>
    <row r="342" spans="1:6" x14ac:dyDescent="0.25">
      <c r="A342" s="1" t="s">
        <v>283</v>
      </c>
      <c r="B342" s="1" t="s">
        <v>286</v>
      </c>
      <c r="C342" s="13">
        <v>198</v>
      </c>
      <c r="D342" s="13">
        <v>149</v>
      </c>
      <c r="E342" s="1" t="s">
        <v>4306</v>
      </c>
      <c r="F342" s="1">
        <v>0</v>
      </c>
    </row>
    <row r="343" spans="1:6" x14ac:dyDescent="0.25">
      <c r="A343" s="1" t="s">
        <v>283</v>
      </c>
      <c r="B343" s="1" t="s">
        <v>286</v>
      </c>
      <c r="C343" s="13">
        <v>198</v>
      </c>
      <c r="D343" s="13">
        <v>149</v>
      </c>
      <c r="E343" s="1" t="s">
        <v>4307</v>
      </c>
      <c r="F343" s="1">
        <v>0</v>
      </c>
    </row>
    <row r="344" spans="1:6" x14ac:dyDescent="0.25">
      <c r="A344" s="1" t="s">
        <v>283</v>
      </c>
      <c r="B344" s="1" t="s">
        <v>286</v>
      </c>
      <c r="C344" s="13">
        <v>198</v>
      </c>
      <c r="D344" s="13">
        <v>149</v>
      </c>
      <c r="E344" s="1" t="s">
        <v>4308</v>
      </c>
      <c r="F344" s="1">
        <v>19119.45</v>
      </c>
    </row>
    <row r="345" spans="1:6" x14ac:dyDescent="0.25">
      <c r="A345" s="1" t="s">
        <v>283</v>
      </c>
      <c r="B345" s="1" t="s">
        <v>286</v>
      </c>
      <c r="C345" s="13">
        <v>198</v>
      </c>
      <c r="D345" s="13">
        <v>149</v>
      </c>
      <c r="E345" s="1" t="s">
        <v>4309</v>
      </c>
      <c r="F345" s="1">
        <v>100</v>
      </c>
    </row>
    <row r="346" spans="1:6" x14ac:dyDescent="0.25">
      <c r="A346" s="1" t="s">
        <v>283</v>
      </c>
      <c r="B346" s="1" t="s">
        <v>287</v>
      </c>
      <c r="C346" s="13">
        <v>199</v>
      </c>
      <c r="D346" s="13">
        <v>286</v>
      </c>
      <c r="E346" s="1" t="s">
        <v>4302</v>
      </c>
      <c r="F346" s="1">
        <v>16898.560000000001</v>
      </c>
    </row>
    <row r="347" spans="1:6" x14ac:dyDescent="0.25">
      <c r="A347" s="1" t="s">
        <v>283</v>
      </c>
      <c r="B347" s="1" t="s">
        <v>287</v>
      </c>
      <c r="C347" s="13">
        <v>199</v>
      </c>
      <c r="D347" s="13">
        <v>286</v>
      </c>
      <c r="E347" s="1" t="s">
        <v>4303</v>
      </c>
      <c r="F347" s="1">
        <v>4828.16</v>
      </c>
    </row>
    <row r="348" spans="1:6" x14ac:dyDescent="0.25">
      <c r="A348" s="1" t="s">
        <v>283</v>
      </c>
      <c r="B348" s="1" t="s">
        <v>287</v>
      </c>
      <c r="C348" s="13">
        <v>199</v>
      </c>
      <c r="D348" s="13">
        <v>286</v>
      </c>
      <c r="E348" s="1" t="s">
        <v>4304</v>
      </c>
      <c r="F348" s="1">
        <v>12070.4</v>
      </c>
    </row>
    <row r="349" spans="1:6" x14ac:dyDescent="0.25">
      <c r="A349" s="1" t="s">
        <v>283</v>
      </c>
      <c r="B349" s="1" t="s">
        <v>287</v>
      </c>
      <c r="C349" s="13">
        <v>199</v>
      </c>
      <c r="D349" s="13">
        <v>286</v>
      </c>
      <c r="E349" s="1" t="s">
        <v>4305</v>
      </c>
      <c r="F349" s="1">
        <v>100</v>
      </c>
    </row>
    <row r="350" spans="1:6" x14ac:dyDescent="0.25">
      <c r="A350" s="1" t="s">
        <v>283</v>
      </c>
      <c r="B350" s="1" t="s">
        <v>287</v>
      </c>
      <c r="C350" s="13">
        <v>199</v>
      </c>
      <c r="D350" s="13">
        <v>286</v>
      </c>
      <c r="E350" s="1" t="s">
        <v>4306</v>
      </c>
      <c r="F350" s="1">
        <v>0</v>
      </c>
    </row>
    <row r="351" spans="1:6" x14ac:dyDescent="0.25">
      <c r="A351" s="1" t="s">
        <v>283</v>
      </c>
      <c r="B351" s="1" t="s">
        <v>287</v>
      </c>
      <c r="C351" s="13">
        <v>199</v>
      </c>
      <c r="D351" s="13">
        <v>286</v>
      </c>
      <c r="E351" s="1" t="s">
        <v>4307</v>
      </c>
      <c r="F351" s="1">
        <v>223.23</v>
      </c>
    </row>
    <row r="352" spans="1:6" x14ac:dyDescent="0.25">
      <c r="A352" s="1" t="s">
        <v>283</v>
      </c>
      <c r="B352" s="1" t="s">
        <v>287</v>
      </c>
      <c r="C352" s="13">
        <v>199</v>
      </c>
      <c r="D352" s="13">
        <v>286</v>
      </c>
      <c r="E352" s="1" t="s">
        <v>4308</v>
      </c>
      <c r="F352" s="1">
        <v>16675.330000000002</v>
      </c>
    </row>
    <row r="353" spans="1:6" x14ac:dyDescent="0.25">
      <c r="A353" s="1" t="s">
        <v>283</v>
      </c>
      <c r="B353" s="1" t="s">
        <v>287</v>
      </c>
      <c r="C353" s="13">
        <v>199</v>
      </c>
      <c r="D353" s="13">
        <v>286</v>
      </c>
      <c r="E353" s="1" t="s">
        <v>4309</v>
      </c>
      <c r="F353" s="1">
        <v>98.68</v>
      </c>
    </row>
    <row r="354" spans="1:6" x14ac:dyDescent="0.25">
      <c r="A354" s="1" t="s">
        <v>304</v>
      </c>
      <c r="B354" s="1" t="s">
        <v>0</v>
      </c>
      <c r="C354" s="13">
        <v>174</v>
      </c>
      <c r="D354" s="13">
        <v>268</v>
      </c>
      <c r="E354" s="1" t="s">
        <v>4302</v>
      </c>
      <c r="F354" s="1">
        <v>24166.799999999999</v>
      </c>
    </row>
    <row r="355" spans="1:6" x14ac:dyDescent="0.25">
      <c r="A355" s="1" t="s">
        <v>304</v>
      </c>
      <c r="B355" s="1" t="s">
        <v>0</v>
      </c>
      <c r="C355" s="13">
        <v>174</v>
      </c>
      <c r="D355" s="13">
        <v>268</v>
      </c>
      <c r="E355" s="1" t="s">
        <v>4303</v>
      </c>
      <c r="F355" s="1">
        <v>6904.8</v>
      </c>
    </row>
    <row r="356" spans="1:6" x14ac:dyDescent="0.25">
      <c r="A356" s="1" t="s">
        <v>304</v>
      </c>
      <c r="B356" s="1" t="s">
        <v>0</v>
      </c>
      <c r="C356" s="13">
        <v>174</v>
      </c>
      <c r="D356" s="13">
        <v>268</v>
      </c>
      <c r="E356" s="1" t="s">
        <v>4304</v>
      </c>
      <c r="F356" s="1">
        <v>17262</v>
      </c>
    </row>
    <row r="357" spans="1:6" x14ac:dyDescent="0.25">
      <c r="A357" s="1" t="s">
        <v>304</v>
      </c>
      <c r="B357" s="1" t="s">
        <v>0</v>
      </c>
      <c r="C357" s="13">
        <v>174</v>
      </c>
      <c r="D357" s="13">
        <v>268</v>
      </c>
      <c r="E357" s="1" t="s">
        <v>4305</v>
      </c>
      <c r="F357" s="1">
        <v>100</v>
      </c>
    </row>
    <row r="358" spans="1:6" x14ac:dyDescent="0.25">
      <c r="A358" s="1" t="s">
        <v>304</v>
      </c>
      <c r="B358" s="1" t="s">
        <v>0</v>
      </c>
      <c r="C358" s="13">
        <v>174</v>
      </c>
      <c r="D358" s="13">
        <v>268</v>
      </c>
      <c r="E358" s="1" t="s">
        <v>4306</v>
      </c>
      <c r="F358" s="1">
        <v>0</v>
      </c>
    </row>
    <row r="359" spans="1:6" x14ac:dyDescent="0.25">
      <c r="A359" s="1" t="s">
        <v>304</v>
      </c>
      <c r="B359" s="1" t="s">
        <v>0</v>
      </c>
      <c r="C359" s="13">
        <v>174</v>
      </c>
      <c r="D359" s="13">
        <v>268</v>
      </c>
      <c r="E359" s="1" t="s">
        <v>4307</v>
      </c>
      <c r="F359" s="1">
        <v>266</v>
      </c>
    </row>
    <row r="360" spans="1:6" x14ac:dyDescent="0.25">
      <c r="A360" s="1" t="s">
        <v>304</v>
      </c>
      <c r="B360" s="1" t="s">
        <v>0</v>
      </c>
      <c r="C360" s="13">
        <v>174</v>
      </c>
      <c r="D360" s="13">
        <v>268</v>
      </c>
      <c r="E360" s="1" t="s">
        <v>4308</v>
      </c>
      <c r="F360" s="1">
        <v>23900.799999999999</v>
      </c>
    </row>
    <row r="361" spans="1:6" x14ac:dyDescent="0.25">
      <c r="A361" s="1" t="s">
        <v>304</v>
      </c>
      <c r="B361" s="1" t="s">
        <v>0</v>
      </c>
      <c r="C361" s="13">
        <v>174</v>
      </c>
      <c r="D361" s="13">
        <v>268</v>
      </c>
      <c r="E361" s="1" t="s">
        <v>4309</v>
      </c>
      <c r="F361" s="1">
        <v>98.9</v>
      </c>
    </row>
    <row r="362" spans="1:6" x14ac:dyDescent="0.25">
      <c r="A362" s="1" t="s">
        <v>304</v>
      </c>
      <c r="B362" s="1" t="s">
        <v>305</v>
      </c>
      <c r="C362" s="13">
        <v>101</v>
      </c>
      <c r="D362" s="13">
        <v>124</v>
      </c>
      <c r="E362" s="1" t="s">
        <v>4302</v>
      </c>
      <c r="F362" s="1">
        <v>13693.79</v>
      </c>
    </row>
    <row r="363" spans="1:6" x14ac:dyDescent="0.25">
      <c r="A363" s="1" t="s">
        <v>304</v>
      </c>
      <c r="B363" s="1" t="s">
        <v>305</v>
      </c>
      <c r="C363" s="13">
        <v>101</v>
      </c>
      <c r="D363" s="13">
        <v>124</v>
      </c>
      <c r="E363" s="1" t="s">
        <v>4303</v>
      </c>
      <c r="F363" s="1">
        <v>902.35</v>
      </c>
    </row>
    <row r="364" spans="1:6" x14ac:dyDescent="0.25">
      <c r="A364" s="1" t="s">
        <v>304</v>
      </c>
      <c r="B364" s="1" t="s">
        <v>305</v>
      </c>
      <c r="C364" s="13">
        <v>101</v>
      </c>
      <c r="D364" s="13">
        <v>124</v>
      </c>
      <c r="E364" s="1" t="s">
        <v>4304</v>
      </c>
      <c r="F364" s="1">
        <v>12791.44</v>
      </c>
    </row>
    <row r="365" spans="1:6" x14ac:dyDescent="0.25">
      <c r="A365" s="1" t="s">
        <v>304</v>
      </c>
      <c r="B365" s="1" t="s">
        <v>305</v>
      </c>
      <c r="C365" s="13">
        <v>101</v>
      </c>
      <c r="D365" s="13">
        <v>124</v>
      </c>
      <c r="E365" s="1" t="s">
        <v>4305</v>
      </c>
      <c r="F365" s="1">
        <v>100</v>
      </c>
    </row>
    <row r="366" spans="1:6" x14ac:dyDescent="0.25">
      <c r="A366" s="1" t="s">
        <v>304</v>
      </c>
      <c r="B366" s="1" t="s">
        <v>305</v>
      </c>
      <c r="C366" s="13">
        <v>101</v>
      </c>
      <c r="D366" s="13">
        <v>124</v>
      </c>
      <c r="E366" s="1" t="s">
        <v>4306</v>
      </c>
      <c r="F366" s="1">
        <v>0</v>
      </c>
    </row>
    <row r="367" spans="1:6" x14ac:dyDescent="0.25">
      <c r="A367" s="1" t="s">
        <v>304</v>
      </c>
      <c r="B367" s="1" t="s">
        <v>305</v>
      </c>
      <c r="C367" s="13">
        <v>101</v>
      </c>
      <c r="D367" s="13">
        <v>124</v>
      </c>
      <c r="E367" s="1" t="s">
        <v>4307</v>
      </c>
      <c r="F367" s="1">
        <v>0</v>
      </c>
    </row>
    <row r="368" spans="1:6" x14ac:dyDescent="0.25">
      <c r="A368" s="1" t="s">
        <v>304</v>
      </c>
      <c r="B368" s="1" t="s">
        <v>305</v>
      </c>
      <c r="C368" s="13">
        <v>101</v>
      </c>
      <c r="D368" s="13">
        <v>124</v>
      </c>
      <c r="E368" s="1" t="s">
        <v>4308</v>
      </c>
      <c r="F368" s="1">
        <v>13693.79</v>
      </c>
    </row>
    <row r="369" spans="1:6" x14ac:dyDescent="0.25">
      <c r="A369" s="1" t="s">
        <v>304</v>
      </c>
      <c r="B369" s="1" t="s">
        <v>305</v>
      </c>
      <c r="C369" s="13">
        <v>101</v>
      </c>
      <c r="D369" s="13">
        <v>124</v>
      </c>
      <c r="E369" s="1" t="s">
        <v>4309</v>
      </c>
      <c r="F369" s="1">
        <v>100</v>
      </c>
    </row>
    <row r="370" spans="1:6" x14ac:dyDescent="0.25">
      <c r="A370" s="1" t="s">
        <v>304</v>
      </c>
      <c r="B370" s="1" t="s">
        <v>306</v>
      </c>
      <c r="C370" s="13">
        <v>105</v>
      </c>
      <c r="D370" s="13">
        <v>330</v>
      </c>
      <c r="E370" s="1" t="s">
        <v>4302</v>
      </c>
      <c r="F370" s="1">
        <v>0</v>
      </c>
    </row>
    <row r="371" spans="1:6" x14ac:dyDescent="0.25">
      <c r="A371" s="1" t="s">
        <v>304</v>
      </c>
      <c r="B371" s="1" t="s">
        <v>306</v>
      </c>
      <c r="C371" s="13">
        <v>105</v>
      </c>
      <c r="D371" s="13">
        <v>330</v>
      </c>
      <c r="E371" s="1" t="s">
        <v>4303</v>
      </c>
      <c r="F371" s="1">
        <v>0</v>
      </c>
    </row>
    <row r="372" spans="1:6" x14ac:dyDescent="0.25">
      <c r="A372" s="1" t="s">
        <v>304</v>
      </c>
      <c r="B372" s="1" t="s">
        <v>306</v>
      </c>
      <c r="C372" s="13">
        <v>105</v>
      </c>
      <c r="D372" s="13">
        <v>330</v>
      </c>
      <c r="E372" s="1" t="s">
        <v>4304</v>
      </c>
      <c r="F372" s="1">
        <v>0</v>
      </c>
    </row>
    <row r="373" spans="1:6" x14ac:dyDescent="0.25">
      <c r="A373" s="1" t="s">
        <v>304</v>
      </c>
      <c r="B373" s="1" t="s">
        <v>306</v>
      </c>
      <c r="C373" s="13">
        <v>105</v>
      </c>
      <c r="D373" s="13">
        <v>330</v>
      </c>
      <c r="E373" s="1" t="s">
        <v>4305</v>
      </c>
      <c r="F373" s="1">
        <v>0</v>
      </c>
    </row>
    <row r="374" spans="1:6" x14ac:dyDescent="0.25">
      <c r="A374" s="1" t="s">
        <v>304</v>
      </c>
      <c r="B374" s="1" t="s">
        <v>306</v>
      </c>
      <c r="C374" s="13">
        <v>105</v>
      </c>
      <c r="D374" s="13">
        <v>330</v>
      </c>
      <c r="E374" s="1" t="s">
        <v>4306</v>
      </c>
      <c r="F374" s="1">
        <v>0</v>
      </c>
    </row>
    <row r="375" spans="1:6" x14ac:dyDescent="0.25">
      <c r="A375" s="1" t="s">
        <v>304</v>
      </c>
      <c r="B375" s="1" t="s">
        <v>306</v>
      </c>
      <c r="C375" s="13">
        <v>105</v>
      </c>
      <c r="D375" s="13">
        <v>330</v>
      </c>
      <c r="E375" s="1" t="s">
        <v>4307</v>
      </c>
      <c r="F375" s="1">
        <v>0</v>
      </c>
    </row>
    <row r="376" spans="1:6" x14ac:dyDescent="0.25">
      <c r="A376" s="1" t="s">
        <v>304</v>
      </c>
      <c r="B376" s="1" t="s">
        <v>306</v>
      </c>
      <c r="C376" s="13">
        <v>105</v>
      </c>
      <c r="D376" s="13">
        <v>330</v>
      </c>
      <c r="E376" s="1" t="s">
        <v>4308</v>
      </c>
      <c r="F376" s="1">
        <v>0</v>
      </c>
    </row>
    <row r="377" spans="1:6" x14ac:dyDescent="0.25">
      <c r="A377" s="1" t="s">
        <v>304</v>
      </c>
      <c r="B377" s="1" t="s">
        <v>306</v>
      </c>
      <c r="C377" s="13">
        <v>105</v>
      </c>
      <c r="D377" s="13">
        <v>330</v>
      </c>
      <c r="E377" s="1" t="s">
        <v>4309</v>
      </c>
      <c r="F377" s="1">
        <v>0</v>
      </c>
    </row>
    <row r="378" spans="1:6" x14ac:dyDescent="0.25">
      <c r="A378" s="1" t="s">
        <v>304</v>
      </c>
      <c r="B378" s="1" t="s">
        <v>307</v>
      </c>
      <c r="C378" s="13">
        <v>171</v>
      </c>
      <c r="D378" s="13">
        <v>273</v>
      </c>
      <c r="E378" s="1" t="s">
        <v>4302</v>
      </c>
      <c r="F378" s="1">
        <v>7571.46</v>
      </c>
    </row>
    <row r="379" spans="1:6" x14ac:dyDescent="0.25">
      <c r="A379" s="1" t="s">
        <v>304</v>
      </c>
      <c r="B379" s="1" t="s">
        <v>307</v>
      </c>
      <c r="C379" s="13">
        <v>171</v>
      </c>
      <c r="D379" s="13">
        <v>273</v>
      </c>
      <c r="E379" s="1" t="s">
        <v>4303</v>
      </c>
      <c r="F379" s="1">
        <v>2163.27</v>
      </c>
    </row>
    <row r="380" spans="1:6" x14ac:dyDescent="0.25">
      <c r="A380" s="1" t="s">
        <v>304</v>
      </c>
      <c r="B380" s="1" t="s">
        <v>307</v>
      </c>
      <c r="C380" s="13">
        <v>171</v>
      </c>
      <c r="D380" s="13">
        <v>273</v>
      </c>
      <c r="E380" s="1" t="s">
        <v>4304</v>
      </c>
      <c r="F380" s="1">
        <v>5408.19</v>
      </c>
    </row>
    <row r="381" spans="1:6" x14ac:dyDescent="0.25">
      <c r="A381" s="1" t="s">
        <v>304</v>
      </c>
      <c r="B381" s="1" t="s">
        <v>307</v>
      </c>
      <c r="C381" s="13">
        <v>171</v>
      </c>
      <c r="D381" s="13">
        <v>273</v>
      </c>
      <c r="E381" s="1" t="s">
        <v>4305</v>
      </c>
      <c r="F381" s="1">
        <v>100</v>
      </c>
    </row>
    <row r="382" spans="1:6" x14ac:dyDescent="0.25">
      <c r="A382" s="1" t="s">
        <v>304</v>
      </c>
      <c r="B382" s="1" t="s">
        <v>307</v>
      </c>
      <c r="C382" s="13">
        <v>171</v>
      </c>
      <c r="D382" s="13">
        <v>273</v>
      </c>
      <c r="E382" s="1" t="s">
        <v>4306</v>
      </c>
      <c r="F382" s="1">
        <v>0</v>
      </c>
    </row>
    <row r="383" spans="1:6" x14ac:dyDescent="0.25">
      <c r="A383" s="1" t="s">
        <v>304</v>
      </c>
      <c r="B383" s="1" t="s">
        <v>307</v>
      </c>
      <c r="C383" s="13">
        <v>171</v>
      </c>
      <c r="D383" s="13">
        <v>273</v>
      </c>
      <c r="E383" s="1" t="s">
        <v>4307</v>
      </c>
      <c r="F383" s="1">
        <v>0</v>
      </c>
    </row>
    <row r="384" spans="1:6" x14ac:dyDescent="0.25">
      <c r="A384" s="1" t="s">
        <v>304</v>
      </c>
      <c r="B384" s="1" t="s">
        <v>307</v>
      </c>
      <c r="C384" s="13">
        <v>171</v>
      </c>
      <c r="D384" s="13">
        <v>273</v>
      </c>
      <c r="E384" s="1" t="s">
        <v>4308</v>
      </c>
      <c r="F384" s="1">
        <v>7571.46</v>
      </c>
    </row>
    <row r="385" spans="1:6" x14ac:dyDescent="0.25">
      <c r="A385" s="1" t="s">
        <v>304</v>
      </c>
      <c r="B385" s="1" t="s">
        <v>307</v>
      </c>
      <c r="C385" s="13">
        <v>171</v>
      </c>
      <c r="D385" s="13">
        <v>273</v>
      </c>
      <c r="E385" s="1" t="s">
        <v>4309</v>
      </c>
      <c r="F385" s="1">
        <v>100</v>
      </c>
    </row>
    <row r="386" spans="1:6" x14ac:dyDescent="0.25">
      <c r="A386" s="1" t="s">
        <v>304</v>
      </c>
      <c r="B386" s="1" t="s">
        <v>308</v>
      </c>
      <c r="C386" s="13">
        <v>114</v>
      </c>
      <c r="D386" s="13">
        <v>194</v>
      </c>
      <c r="E386" s="1" t="s">
        <v>4302</v>
      </c>
      <c r="F386" s="1">
        <v>0</v>
      </c>
    </row>
    <row r="387" spans="1:6" x14ac:dyDescent="0.25">
      <c r="A387" s="1" t="s">
        <v>304</v>
      </c>
      <c r="B387" s="1" t="s">
        <v>308</v>
      </c>
      <c r="C387" s="13">
        <v>114</v>
      </c>
      <c r="D387" s="13">
        <v>194</v>
      </c>
      <c r="E387" s="1" t="s">
        <v>4303</v>
      </c>
      <c r="F387" s="1">
        <v>0</v>
      </c>
    </row>
    <row r="388" spans="1:6" x14ac:dyDescent="0.25">
      <c r="A388" s="1" t="s">
        <v>304</v>
      </c>
      <c r="B388" s="1" t="s">
        <v>308</v>
      </c>
      <c r="C388" s="13">
        <v>114</v>
      </c>
      <c r="D388" s="13">
        <v>194</v>
      </c>
      <c r="E388" s="1" t="s">
        <v>4304</v>
      </c>
      <c r="F388" s="1">
        <v>0</v>
      </c>
    </row>
    <row r="389" spans="1:6" x14ac:dyDescent="0.25">
      <c r="A389" s="1" t="s">
        <v>304</v>
      </c>
      <c r="B389" s="1" t="s">
        <v>308</v>
      </c>
      <c r="C389" s="13">
        <v>114</v>
      </c>
      <c r="D389" s="13">
        <v>194</v>
      </c>
      <c r="E389" s="1" t="s">
        <v>4305</v>
      </c>
      <c r="F389" s="1">
        <v>0</v>
      </c>
    </row>
    <row r="390" spans="1:6" x14ac:dyDescent="0.25">
      <c r="A390" s="1" t="s">
        <v>304</v>
      </c>
      <c r="B390" s="1" t="s">
        <v>308</v>
      </c>
      <c r="C390" s="13">
        <v>114</v>
      </c>
      <c r="D390" s="13">
        <v>194</v>
      </c>
      <c r="E390" s="1" t="s">
        <v>4306</v>
      </c>
      <c r="F390" s="1">
        <v>0</v>
      </c>
    </row>
    <row r="391" spans="1:6" x14ac:dyDescent="0.25">
      <c r="A391" s="1" t="s">
        <v>304</v>
      </c>
      <c r="B391" s="1" t="s">
        <v>308</v>
      </c>
      <c r="C391" s="13">
        <v>114</v>
      </c>
      <c r="D391" s="13">
        <v>194</v>
      </c>
      <c r="E391" s="1" t="s">
        <v>4307</v>
      </c>
      <c r="F391" s="1">
        <v>0</v>
      </c>
    </row>
    <row r="392" spans="1:6" x14ac:dyDescent="0.25">
      <c r="A392" s="1" t="s">
        <v>304</v>
      </c>
      <c r="B392" s="1" t="s">
        <v>308</v>
      </c>
      <c r="C392" s="13">
        <v>114</v>
      </c>
      <c r="D392" s="13">
        <v>194</v>
      </c>
      <c r="E392" s="1" t="s">
        <v>4308</v>
      </c>
      <c r="F392" s="1">
        <v>0</v>
      </c>
    </row>
    <row r="393" spans="1:6" x14ac:dyDescent="0.25">
      <c r="A393" s="1" t="s">
        <v>304</v>
      </c>
      <c r="B393" s="1" t="s">
        <v>308</v>
      </c>
      <c r="C393" s="13">
        <v>114</v>
      </c>
      <c r="D393" s="13">
        <v>194</v>
      </c>
      <c r="E393" s="1" t="s">
        <v>4309</v>
      </c>
      <c r="F393" s="1">
        <v>0</v>
      </c>
    </row>
    <row r="394" spans="1:6" x14ac:dyDescent="0.25">
      <c r="A394" s="1" t="s">
        <v>304</v>
      </c>
      <c r="B394" s="1" t="s">
        <v>309</v>
      </c>
      <c r="C394" s="13">
        <v>103</v>
      </c>
      <c r="D394" s="13">
        <v>231</v>
      </c>
      <c r="E394" s="1" t="s">
        <v>4302</v>
      </c>
      <c r="F394" s="1">
        <v>25247.46</v>
      </c>
    </row>
    <row r="395" spans="1:6" x14ac:dyDescent="0.25">
      <c r="A395" s="1" t="s">
        <v>304</v>
      </c>
      <c r="B395" s="1" t="s">
        <v>309</v>
      </c>
      <c r="C395" s="13">
        <v>103</v>
      </c>
      <c r="D395" s="13">
        <v>231</v>
      </c>
      <c r="E395" s="1" t="s">
        <v>4303</v>
      </c>
      <c r="F395" s="1">
        <v>7213.56</v>
      </c>
    </row>
    <row r="396" spans="1:6" x14ac:dyDescent="0.25">
      <c r="A396" s="1" t="s">
        <v>304</v>
      </c>
      <c r="B396" s="1" t="s">
        <v>309</v>
      </c>
      <c r="C396" s="13">
        <v>103</v>
      </c>
      <c r="D396" s="13">
        <v>231</v>
      </c>
      <c r="E396" s="1" t="s">
        <v>4304</v>
      </c>
      <c r="F396" s="1">
        <v>18033.900000000001</v>
      </c>
    </row>
    <row r="397" spans="1:6" x14ac:dyDescent="0.25">
      <c r="A397" s="1" t="s">
        <v>304</v>
      </c>
      <c r="B397" s="1" t="s">
        <v>309</v>
      </c>
      <c r="C397" s="13">
        <v>103</v>
      </c>
      <c r="D397" s="13">
        <v>231</v>
      </c>
      <c r="E397" s="1" t="s">
        <v>4305</v>
      </c>
      <c r="F397" s="1">
        <v>100</v>
      </c>
    </row>
    <row r="398" spans="1:6" x14ac:dyDescent="0.25">
      <c r="A398" s="1" t="s">
        <v>304</v>
      </c>
      <c r="B398" s="1" t="s">
        <v>309</v>
      </c>
      <c r="C398" s="13">
        <v>103</v>
      </c>
      <c r="D398" s="13">
        <v>231</v>
      </c>
      <c r="E398" s="1" t="s">
        <v>4306</v>
      </c>
      <c r="F398" s="1">
        <v>0</v>
      </c>
    </row>
    <row r="399" spans="1:6" x14ac:dyDescent="0.25">
      <c r="A399" s="1" t="s">
        <v>304</v>
      </c>
      <c r="B399" s="1" t="s">
        <v>309</v>
      </c>
      <c r="C399" s="13">
        <v>103</v>
      </c>
      <c r="D399" s="13">
        <v>231</v>
      </c>
      <c r="E399" s="1" t="s">
        <v>4307</v>
      </c>
      <c r="F399" s="1">
        <v>1128.45</v>
      </c>
    </row>
    <row r="400" spans="1:6" x14ac:dyDescent="0.25">
      <c r="A400" s="1" t="s">
        <v>304</v>
      </c>
      <c r="B400" s="1" t="s">
        <v>309</v>
      </c>
      <c r="C400" s="13">
        <v>103</v>
      </c>
      <c r="D400" s="13">
        <v>231</v>
      </c>
      <c r="E400" s="1" t="s">
        <v>4308</v>
      </c>
      <c r="F400" s="1">
        <v>24119.01</v>
      </c>
    </row>
    <row r="401" spans="1:6" x14ac:dyDescent="0.25">
      <c r="A401" s="1" t="s">
        <v>304</v>
      </c>
      <c r="B401" s="1" t="s">
        <v>309</v>
      </c>
      <c r="C401" s="13">
        <v>103</v>
      </c>
      <c r="D401" s="13">
        <v>231</v>
      </c>
      <c r="E401" s="1" t="s">
        <v>4309</v>
      </c>
      <c r="F401" s="1">
        <v>95.53</v>
      </c>
    </row>
    <row r="402" spans="1:6" x14ac:dyDescent="0.25">
      <c r="A402" s="1" t="s">
        <v>346</v>
      </c>
      <c r="B402" s="1" t="s">
        <v>347</v>
      </c>
      <c r="C402" s="13">
        <v>293</v>
      </c>
      <c r="D402" s="13">
        <v>296</v>
      </c>
      <c r="E402" s="1" t="s">
        <v>4302</v>
      </c>
      <c r="F402" s="1">
        <v>1207.05</v>
      </c>
    </row>
    <row r="403" spans="1:6" x14ac:dyDescent="0.25">
      <c r="A403" s="1" t="s">
        <v>346</v>
      </c>
      <c r="B403" s="1" t="s">
        <v>347</v>
      </c>
      <c r="C403" s="13">
        <v>293</v>
      </c>
      <c r="D403" s="13">
        <v>296</v>
      </c>
      <c r="E403" s="1" t="s">
        <v>4303</v>
      </c>
      <c r="F403" s="1">
        <v>232.05</v>
      </c>
    </row>
    <row r="404" spans="1:6" x14ac:dyDescent="0.25">
      <c r="A404" s="1" t="s">
        <v>346</v>
      </c>
      <c r="B404" s="1" t="s">
        <v>347</v>
      </c>
      <c r="C404" s="13">
        <v>293</v>
      </c>
      <c r="D404" s="13">
        <v>296</v>
      </c>
      <c r="E404" s="1" t="s">
        <v>4304</v>
      </c>
      <c r="F404" s="1">
        <v>975</v>
      </c>
    </row>
    <row r="405" spans="1:6" x14ac:dyDescent="0.25">
      <c r="A405" s="1" t="s">
        <v>346</v>
      </c>
      <c r="B405" s="1" t="s">
        <v>347</v>
      </c>
      <c r="C405" s="13">
        <v>293</v>
      </c>
      <c r="D405" s="13">
        <v>296</v>
      </c>
      <c r="E405" s="1" t="s">
        <v>4305</v>
      </c>
      <c r="F405" s="1">
        <v>100</v>
      </c>
    </row>
    <row r="406" spans="1:6" x14ac:dyDescent="0.25">
      <c r="A406" s="1" t="s">
        <v>346</v>
      </c>
      <c r="B406" s="1" t="s">
        <v>347</v>
      </c>
      <c r="C406" s="13">
        <v>293</v>
      </c>
      <c r="D406" s="13">
        <v>296</v>
      </c>
      <c r="E406" s="1" t="s">
        <v>4306</v>
      </c>
      <c r="F406" s="1">
        <v>0</v>
      </c>
    </row>
    <row r="407" spans="1:6" x14ac:dyDescent="0.25">
      <c r="A407" s="1" t="s">
        <v>346</v>
      </c>
      <c r="B407" s="1" t="s">
        <v>347</v>
      </c>
      <c r="C407" s="13">
        <v>293</v>
      </c>
      <c r="D407" s="13">
        <v>296</v>
      </c>
      <c r="E407" s="1" t="s">
        <v>4307</v>
      </c>
      <c r="F407" s="1">
        <v>0</v>
      </c>
    </row>
    <row r="408" spans="1:6" x14ac:dyDescent="0.25">
      <c r="A408" s="1" t="s">
        <v>346</v>
      </c>
      <c r="B408" s="1" t="s">
        <v>347</v>
      </c>
      <c r="C408" s="13">
        <v>293</v>
      </c>
      <c r="D408" s="13">
        <v>296</v>
      </c>
      <c r="E408" s="1" t="s">
        <v>4308</v>
      </c>
      <c r="F408" s="1">
        <v>1207.05</v>
      </c>
    </row>
    <row r="409" spans="1:6" x14ac:dyDescent="0.25">
      <c r="A409" s="1" t="s">
        <v>346</v>
      </c>
      <c r="B409" s="1" t="s">
        <v>347</v>
      </c>
      <c r="C409" s="13">
        <v>293</v>
      </c>
      <c r="D409" s="13">
        <v>296</v>
      </c>
      <c r="E409" s="1" t="s">
        <v>4309</v>
      </c>
      <c r="F409" s="1">
        <v>100</v>
      </c>
    </row>
    <row r="410" spans="1:6" x14ac:dyDescent="0.25">
      <c r="A410" s="1" t="s">
        <v>346</v>
      </c>
      <c r="B410" s="1" t="s">
        <v>348</v>
      </c>
      <c r="C410" s="13">
        <v>295</v>
      </c>
      <c r="D410" s="13">
        <v>190</v>
      </c>
      <c r="E410" s="1" t="s">
        <v>4302</v>
      </c>
      <c r="F410" s="1">
        <v>17522.91</v>
      </c>
    </row>
    <row r="411" spans="1:6" x14ac:dyDescent="0.25">
      <c r="A411" s="1" t="s">
        <v>346</v>
      </c>
      <c r="B411" s="1" t="s">
        <v>348</v>
      </c>
      <c r="C411" s="13">
        <v>295</v>
      </c>
      <c r="D411" s="13">
        <v>190</v>
      </c>
      <c r="E411" s="1" t="s">
        <v>4303</v>
      </c>
      <c r="F411" s="1">
        <v>2512.29</v>
      </c>
    </row>
    <row r="412" spans="1:6" x14ac:dyDescent="0.25">
      <c r="A412" s="1" t="s">
        <v>346</v>
      </c>
      <c r="B412" s="1" t="s">
        <v>348</v>
      </c>
      <c r="C412" s="13">
        <v>295</v>
      </c>
      <c r="D412" s="13">
        <v>190</v>
      </c>
      <c r="E412" s="1" t="s">
        <v>4304</v>
      </c>
      <c r="F412" s="1">
        <v>15010.62</v>
      </c>
    </row>
    <row r="413" spans="1:6" x14ac:dyDescent="0.25">
      <c r="A413" s="1" t="s">
        <v>346</v>
      </c>
      <c r="B413" s="1" t="s">
        <v>348</v>
      </c>
      <c r="C413" s="13">
        <v>295</v>
      </c>
      <c r="D413" s="13">
        <v>190</v>
      </c>
      <c r="E413" s="1" t="s">
        <v>4305</v>
      </c>
      <c r="F413" s="1">
        <v>100</v>
      </c>
    </row>
    <row r="414" spans="1:6" x14ac:dyDescent="0.25">
      <c r="A414" s="1" t="s">
        <v>346</v>
      </c>
      <c r="B414" s="1" t="s">
        <v>348</v>
      </c>
      <c r="C414" s="13">
        <v>295</v>
      </c>
      <c r="D414" s="13">
        <v>190</v>
      </c>
      <c r="E414" s="1" t="s">
        <v>4306</v>
      </c>
      <c r="F414" s="1">
        <v>0</v>
      </c>
    </row>
    <row r="415" spans="1:6" x14ac:dyDescent="0.25">
      <c r="A415" s="1" t="s">
        <v>346</v>
      </c>
      <c r="B415" s="1" t="s">
        <v>348</v>
      </c>
      <c r="C415" s="13">
        <v>295</v>
      </c>
      <c r="D415" s="13">
        <v>190</v>
      </c>
      <c r="E415" s="1" t="s">
        <v>4307</v>
      </c>
      <c r="F415" s="1">
        <v>858.56</v>
      </c>
    </row>
    <row r="416" spans="1:6" x14ac:dyDescent="0.25">
      <c r="A416" s="1" t="s">
        <v>346</v>
      </c>
      <c r="B416" s="1" t="s">
        <v>348</v>
      </c>
      <c r="C416" s="13">
        <v>295</v>
      </c>
      <c r="D416" s="13">
        <v>190</v>
      </c>
      <c r="E416" s="1" t="s">
        <v>4308</v>
      </c>
      <c r="F416" s="1">
        <v>16664.349999999999</v>
      </c>
    </row>
    <row r="417" spans="1:6" x14ac:dyDescent="0.25">
      <c r="A417" s="1" t="s">
        <v>346</v>
      </c>
      <c r="B417" s="1" t="s">
        <v>348</v>
      </c>
      <c r="C417" s="13">
        <v>295</v>
      </c>
      <c r="D417" s="13">
        <v>190</v>
      </c>
      <c r="E417" s="1" t="s">
        <v>4309</v>
      </c>
      <c r="F417" s="1">
        <v>95.1</v>
      </c>
    </row>
    <row r="418" spans="1:6" x14ac:dyDescent="0.25">
      <c r="A418" s="1" t="s">
        <v>346</v>
      </c>
      <c r="B418" s="1" t="s">
        <v>285</v>
      </c>
      <c r="C418" s="13">
        <v>257</v>
      </c>
      <c r="D418" s="13">
        <v>197</v>
      </c>
      <c r="E418" s="1" t="s">
        <v>4302</v>
      </c>
      <c r="F418" s="1">
        <v>76002.880000000005</v>
      </c>
    </row>
    <row r="419" spans="1:6" x14ac:dyDescent="0.25">
      <c r="A419" s="1" t="s">
        <v>346</v>
      </c>
      <c r="B419" s="1" t="s">
        <v>285</v>
      </c>
      <c r="C419" s="13">
        <v>257</v>
      </c>
      <c r="D419" s="13">
        <v>197</v>
      </c>
      <c r="E419" s="1" t="s">
        <v>4303</v>
      </c>
      <c r="F419" s="1">
        <v>5466.68</v>
      </c>
    </row>
    <row r="420" spans="1:6" x14ac:dyDescent="0.25">
      <c r="A420" s="1" t="s">
        <v>346</v>
      </c>
      <c r="B420" s="1" t="s">
        <v>285</v>
      </c>
      <c r="C420" s="13">
        <v>257</v>
      </c>
      <c r="D420" s="13">
        <v>197</v>
      </c>
      <c r="E420" s="1" t="s">
        <v>4304</v>
      </c>
      <c r="F420" s="1">
        <v>70536.2</v>
      </c>
    </row>
    <row r="421" spans="1:6" x14ac:dyDescent="0.25">
      <c r="A421" s="1" t="s">
        <v>346</v>
      </c>
      <c r="B421" s="1" t="s">
        <v>285</v>
      </c>
      <c r="C421" s="13">
        <v>257</v>
      </c>
      <c r="D421" s="13">
        <v>197</v>
      </c>
      <c r="E421" s="1" t="s">
        <v>4305</v>
      </c>
      <c r="F421" s="1">
        <v>100</v>
      </c>
    </row>
    <row r="422" spans="1:6" x14ac:dyDescent="0.25">
      <c r="A422" s="1" t="s">
        <v>346</v>
      </c>
      <c r="B422" s="1" t="s">
        <v>285</v>
      </c>
      <c r="C422" s="13">
        <v>257</v>
      </c>
      <c r="D422" s="13">
        <v>197</v>
      </c>
      <c r="E422" s="1" t="s">
        <v>4306</v>
      </c>
      <c r="F422" s="1">
        <v>0</v>
      </c>
    </row>
    <row r="423" spans="1:6" x14ac:dyDescent="0.25">
      <c r="A423" s="1" t="s">
        <v>346</v>
      </c>
      <c r="B423" s="1" t="s">
        <v>285</v>
      </c>
      <c r="C423" s="13">
        <v>257</v>
      </c>
      <c r="D423" s="13">
        <v>197</v>
      </c>
      <c r="E423" s="1" t="s">
        <v>4307</v>
      </c>
      <c r="F423" s="1">
        <v>0</v>
      </c>
    </row>
    <row r="424" spans="1:6" x14ac:dyDescent="0.25">
      <c r="A424" s="1" t="s">
        <v>346</v>
      </c>
      <c r="B424" s="1" t="s">
        <v>285</v>
      </c>
      <c r="C424" s="13">
        <v>257</v>
      </c>
      <c r="D424" s="13">
        <v>197</v>
      </c>
      <c r="E424" s="1" t="s">
        <v>4308</v>
      </c>
      <c r="F424" s="1">
        <v>76002.880000000005</v>
      </c>
    </row>
    <row r="425" spans="1:6" x14ac:dyDescent="0.25">
      <c r="A425" s="1" t="s">
        <v>346</v>
      </c>
      <c r="B425" s="1" t="s">
        <v>285</v>
      </c>
      <c r="C425" s="13">
        <v>257</v>
      </c>
      <c r="D425" s="13">
        <v>197</v>
      </c>
      <c r="E425" s="1" t="s">
        <v>4309</v>
      </c>
      <c r="F425" s="1">
        <v>100</v>
      </c>
    </row>
    <row r="426" spans="1:6" x14ac:dyDescent="0.25">
      <c r="A426" s="1" t="s">
        <v>346</v>
      </c>
      <c r="B426" s="1" t="s">
        <v>349</v>
      </c>
      <c r="C426" s="13">
        <v>294</v>
      </c>
      <c r="D426" s="13">
        <v>312</v>
      </c>
      <c r="E426" s="1" t="s">
        <v>4302</v>
      </c>
      <c r="F426" s="1">
        <v>10345.86</v>
      </c>
    </row>
    <row r="427" spans="1:6" x14ac:dyDescent="0.25">
      <c r="A427" s="1" t="s">
        <v>346</v>
      </c>
      <c r="B427" s="1" t="s">
        <v>349</v>
      </c>
      <c r="C427" s="13">
        <v>294</v>
      </c>
      <c r="D427" s="13">
        <v>312</v>
      </c>
      <c r="E427" s="1" t="s">
        <v>4303</v>
      </c>
      <c r="F427" s="1">
        <v>1651.86</v>
      </c>
    </row>
    <row r="428" spans="1:6" x14ac:dyDescent="0.25">
      <c r="A428" s="1" t="s">
        <v>346</v>
      </c>
      <c r="B428" s="1" t="s">
        <v>349</v>
      </c>
      <c r="C428" s="13">
        <v>294</v>
      </c>
      <c r="D428" s="13">
        <v>312</v>
      </c>
      <c r="E428" s="1" t="s">
        <v>4304</v>
      </c>
      <c r="F428" s="1">
        <v>0</v>
      </c>
    </row>
    <row r="429" spans="1:6" x14ac:dyDescent="0.25">
      <c r="A429" s="1" t="s">
        <v>346</v>
      </c>
      <c r="B429" s="1" t="s">
        <v>349</v>
      </c>
      <c r="C429" s="13">
        <v>294</v>
      </c>
      <c r="D429" s="13">
        <v>312</v>
      </c>
      <c r="E429" s="1" t="s">
        <v>4305</v>
      </c>
      <c r="F429" s="1">
        <v>0</v>
      </c>
    </row>
    <row r="430" spans="1:6" x14ac:dyDescent="0.25">
      <c r="A430" s="1" t="s">
        <v>346</v>
      </c>
      <c r="B430" s="1" t="s">
        <v>349</v>
      </c>
      <c r="C430" s="13">
        <v>294</v>
      </c>
      <c r="D430" s="13">
        <v>312</v>
      </c>
      <c r="E430" s="1" t="s">
        <v>4306</v>
      </c>
      <c r="F430" s="1">
        <v>0</v>
      </c>
    </row>
    <row r="431" spans="1:6" x14ac:dyDescent="0.25">
      <c r="A431" s="1" t="s">
        <v>346</v>
      </c>
      <c r="B431" s="1" t="s">
        <v>349</v>
      </c>
      <c r="C431" s="13">
        <v>294</v>
      </c>
      <c r="D431" s="13">
        <v>312</v>
      </c>
      <c r="E431" s="1" t="s">
        <v>4307</v>
      </c>
      <c r="F431" s="1">
        <v>0</v>
      </c>
    </row>
    <row r="432" spans="1:6" x14ac:dyDescent="0.25">
      <c r="A432" s="1" t="s">
        <v>346</v>
      </c>
      <c r="B432" s="1" t="s">
        <v>349</v>
      </c>
      <c r="C432" s="13">
        <v>294</v>
      </c>
      <c r="D432" s="13">
        <v>312</v>
      </c>
      <c r="E432" s="1" t="s">
        <v>4308</v>
      </c>
      <c r="F432" s="1">
        <v>10345.86</v>
      </c>
    </row>
    <row r="433" spans="1:6" x14ac:dyDescent="0.25">
      <c r="A433" s="1" t="s">
        <v>346</v>
      </c>
      <c r="B433" s="1" t="s">
        <v>349</v>
      </c>
      <c r="C433" s="13">
        <v>294</v>
      </c>
      <c r="D433" s="13">
        <v>312</v>
      </c>
      <c r="E433" s="1" t="s">
        <v>4309</v>
      </c>
      <c r="F433" s="1">
        <v>100</v>
      </c>
    </row>
    <row r="434" spans="1:6" x14ac:dyDescent="0.25">
      <c r="A434" s="1" t="s">
        <v>296</v>
      </c>
      <c r="B434" s="1" t="s">
        <v>297</v>
      </c>
      <c r="C434" s="13">
        <v>193</v>
      </c>
      <c r="D434" s="13">
        <v>240</v>
      </c>
      <c r="E434" s="1" t="s">
        <v>4302</v>
      </c>
      <c r="F434" s="1">
        <v>0</v>
      </c>
    </row>
    <row r="435" spans="1:6" x14ac:dyDescent="0.25">
      <c r="A435" s="1" t="s">
        <v>296</v>
      </c>
      <c r="B435" s="1" t="s">
        <v>297</v>
      </c>
      <c r="C435" s="13">
        <v>193</v>
      </c>
      <c r="D435" s="13">
        <v>240</v>
      </c>
      <c r="E435" s="1" t="s">
        <v>4303</v>
      </c>
      <c r="F435" s="1">
        <v>0</v>
      </c>
    </row>
    <row r="436" spans="1:6" x14ac:dyDescent="0.25">
      <c r="A436" s="1" t="s">
        <v>296</v>
      </c>
      <c r="B436" s="1" t="s">
        <v>297</v>
      </c>
      <c r="C436" s="13">
        <v>193</v>
      </c>
      <c r="D436" s="13">
        <v>240</v>
      </c>
      <c r="E436" s="1" t="s">
        <v>4304</v>
      </c>
      <c r="F436" s="1">
        <v>0</v>
      </c>
    </row>
    <row r="437" spans="1:6" x14ac:dyDescent="0.25">
      <c r="A437" s="1" t="s">
        <v>296</v>
      </c>
      <c r="B437" s="1" t="s">
        <v>297</v>
      </c>
      <c r="C437" s="13">
        <v>193</v>
      </c>
      <c r="D437" s="13">
        <v>240</v>
      </c>
      <c r="E437" s="1" t="s">
        <v>4305</v>
      </c>
      <c r="F437" s="1">
        <v>0</v>
      </c>
    </row>
    <row r="438" spans="1:6" x14ac:dyDescent="0.25">
      <c r="A438" s="1" t="s">
        <v>296</v>
      </c>
      <c r="B438" s="1" t="s">
        <v>297</v>
      </c>
      <c r="C438" s="13">
        <v>193</v>
      </c>
      <c r="D438" s="13">
        <v>240</v>
      </c>
      <c r="E438" s="1" t="s">
        <v>4306</v>
      </c>
      <c r="F438" s="1">
        <v>0</v>
      </c>
    </row>
    <row r="439" spans="1:6" x14ac:dyDescent="0.25">
      <c r="A439" s="1" t="s">
        <v>296</v>
      </c>
      <c r="B439" s="1" t="s">
        <v>297</v>
      </c>
      <c r="C439" s="13">
        <v>193</v>
      </c>
      <c r="D439" s="13">
        <v>240</v>
      </c>
      <c r="E439" s="1" t="s">
        <v>4307</v>
      </c>
      <c r="F439" s="1">
        <v>0</v>
      </c>
    </row>
    <row r="440" spans="1:6" x14ac:dyDescent="0.25">
      <c r="A440" s="1" t="s">
        <v>296</v>
      </c>
      <c r="B440" s="1" t="s">
        <v>297</v>
      </c>
      <c r="C440" s="13">
        <v>193</v>
      </c>
      <c r="D440" s="13">
        <v>240</v>
      </c>
      <c r="E440" s="1" t="s">
        <v>4308</v>
      </c>
      <c r="F440" s="1">
        <v>0</v>
      </c>
    </row>
    <row r="441" spans="1:6" x14ac:dyDescent="0.25">
      <c r="A441" s="1" t="s">
        <v>296</v>
      </c>
      <c r="B441" s="1" t="s">
        <v>297</v>
      </c>
      <c r="C441" s="13">
        <v>193</v>
      </c>
      <c r="D441" s="13">
        <v>240</v>
      </c>
      <c r="E441" s="1" t="s">
        <v>4309</v>
      </c>
      <c r="F441" s="1">
        <v>0</v>
      </c>
    </row>
    <row r="442" spans="1:6" x14ac:dyDescent="0.25">
      <c r="A442" t="s">
        <v>296</v>
      </c>
      <c r="B442" t="s">
        <v>0</v>
      </c>
      <c r="C442">
        <v>195</v>
      </c>
      <c r="D442">
        <v>298</v>
      </c>
      <c r="E442" t="s">
        <v>4302</v>
      </c>
      <c r="F442">
        <v>6752.06</v>
      </c>
    </row>
    <row r="443" spans="1:6" x14ac:dyDescent="0.25">
      <c r="A443" t="s">
        <v>296</v>
      </c>
      <c r="B443" t="s">
        <v>0</v>
      </c>
      <c r="C443">
        <v>195</v>
      </c>
      <c r="D443">
        <v>298</v>
      </c>
      <c r="E443" t="s">
        <v>4303</v>
      </c>
      <c r="F443">
        <v>1078.06</v>
      </c>
    </row>
    <row r="444" spans="1:6" x14ac:dyDescent="0.25">
      <c r="A444" t="s">
        <v>296</v>
      </c>
      <c r="B444" t="s">
        <v>0</v>
      </c>
      <c r="C444">
        <v>195</v>
      </c>
      <c r="D444">
        <v>298</v>
      </c>
      <c r="E444" t="s">
        <v>4304</v>
      </c>
      <c r="F444">
        <v>5674</v>
      </c>
    </row>
    <row r="445" spans="1:6" x14ac:dyDescent="0.25">
      <c r="A445" t="s">
        <v>296</v>
      </c>
      <c r="B445" t="s">
        <v>0</v>
      </c>
      <c r="C445">
        <v>195</v>
      </c>
      <c r="D445">
        <v>298</v>
      </c>
      <c r="E445" t="s">
        <v>4305</v>
      </c>
      <c r="F445">
        <v>100</v>
      </c>
    </row>
    <row r="446" spans="1:6" x14ac:dyDescent="0.25">
      <c r="A446" t="s">
        <v>296</v>
      </c>
      <c r="B446" t="s">
        <v>0</v>
      </c>
      <c r="C446">
        <v>195</v>
      </c>
      <c r="D446">
        <v>298</v>
      </c>
      <c r="E446" t="s">
        <v>4306</v>
      </c>
      <c r="F446">
        <v>0</v>
      </c>
    </row>
    <row r="447" spans="1:6" x14ac:dyDescent="0.25">
      <c r="A447" t="s">
        <v>296</v>
      </c>
      <c r="B447" t="s">
        <v>0</v>
      </c>
      <c r="C447">
        <v>195</v>
      </c>
      <c r="D447">
        <v>298</v>
      </c>
      <c r="E447" t="s">
        <v>4307</v>
      </c>
      <c r="F447">
        <v>0</v>
      </c>
    </row>
    <row r="448" spans="1:6" x14ac:dyDescent="0.25">
      <c r="A448" t="s">
        <v>296</v>
      </c>
      <c r="B448" t="s">
        <v>0</v>
      </c>
      <c r="C448">
        <v>195</v>
      </c>
      <c r="D448">
        <v>298</v>
      </c>
      <c r="E448" t="s">
        <v>4308</v>
      </c>
      <c r="F448">
        <v>6752.06</v>
      </c>
    </row>
    <row r="449" spans="1:6" x14ac:dyDescent="0.25">
      <c r="A449" t="s">
        <v>296</v>
      </c>
      <c r="B449" t="s">
        <v>0</v>
      </c>
      <c r="C449">
        <v>195</v>
      </c>
      <c r="D449">
        <v>298</v>
      </c>
      <c r="E449" t="s">
        <v>4309</v>
      </c>
      <c r="F449">
        <v>100</v>
      </c>
    </row>
    <row r="450" spans="1:6" x14ac:dyDescent="0.25">
      <c r="A450" t="s">
        <v>296</v>
      </c>
      <c r="B450" t="s">
        <v>298</v>
      </c>
      <c r="C450">
        <v>196</v>
      </c>
      <c r="D450">
        <v>336</v>
      </c>
      <c r="E450" t="s">
        <v>4302</v>
      </c>
      <c r="F450">
        <v>0</v>
      </c>
    </row>
    <row r="451" spans="1:6" x14ac:dyDescent="0.25">
      <c r="A451" t="s">
        <v>296</v>
      </c>
      <c r="B451" t="s">
        <v>298</v>
      </c>
      <c r="C451">
        <v>196</v>
      </c>
      <c r="D451">
        <v>336</v>
      </c>
      <c r="E451" t="s">
        <v>4303</v>
      </c>
      <c r="F451">
        <v>0</v>
      </c>
    </row>
    <row r="452" spans="1:6" x14ac:dyDescent="0.25">
      <c r="A452" t="s">
        <v>296</v>
      </c>
      <c r="B452" t="s">
        <v>298</v>
      </c>
      <c r="C452">
        <v>196</v>
      </c>
      <c r="D452">
        <v>336</v>
      </c>
      <c r="E452" t="s">
        <v>4304</v>
      </c>
      <c r="F452">
        <v>0</v>
      </c>
    </row>
    <row r="453" spans="1:6" x14ac:dyDescent="0.25">
      <c r="A453" t="s">
        <v>296</v>
      </c>
      <c r="B453" t="s">
        <v>298</v>
      </c>
      <c r="C453">
        <v>196</v>
      </c>
      <c r="D453">
        <v>336</v>
      </c>
      <c r="E453" t="s">
        <v>4305</v>
      </c>
      <c r="F453">
        <v>0</v>
      </c>
    </row>
    <row r="454" spans="1:6" x14ac:dyDescent="0.25">
      <c r="A454" t="s">
        <v>296</v>
      </c>
      <c r="B454" t="s">
        <v>298</v>
      </c>
      <c r="C454">
        <v>196</v>
      </c>
      <c r="D454">
        <v>336</v>
      </c>
      <c r="E454" t="s">
        <v>4306</v>
      </c>
      <c r="F454">
        <v>0</v>
      </c>
    </row>
    <row r="455" spans="1:6" x14ac:dyDescent="0.25">
      <c r="A455" t="s">
        <v>296</v>
      </c>
      <c r="B455" t="s">
        <v>298</v>
      </c>
      <c r="C455">
        <v>196</v>
      </c>
      <c r="D455">
        <v>336</v>
      </c>
      <c r="E455" t="s">
        <v>4307</v>
      </c>
      <c r="F455">
        <v>0</v>
      </c>
    </row>
    <row r="456" spans="1:6" x14ac:dyDescent="0.25">
      <c r="A456" t="s">
        <v>296</v>
      </c>
      <c r="B456" t="s">
        <v>298</v>
      </c>
      <c r="C456">
        <v>196</v>
      </c>
      <c r="D456">
        <v>336</v>
      </c>
      <c r="E456" t="s">
        <v>4308</v>
      </c>
      <c r="F456">
        <v>0</v>
      </c>
    </row>
    <row r="457" spans="1:6" x14ac:dyDescent="0.25">
      <c r="A457" t="s">
        <v>296</v>
      </c>
      <c r="B457" t="s">
        <v>298</v>
      </c>
      <c r="C457">
        <v>196</v>
      </c>
      <c r="D457">
        <v>336</v>
      </c>
      <c r="E457" t="s">
        <v>4309</v>
      </c>
      <c r="F457">
        <v>0</v>
      </c>
    </row>
    <row r="458" spans="1:6" x14ac:dyDescent="0.25">
      <c r="A458" t="s">
        <v>296</v>
      </c>
      <c r="B458" t="s">
        <v>275</v>
      </c>
      <c r="C458">
        <v>52</v>
      </c>
      <c r="D458">
        <v>262</v>
      </c>
      <c r="E458" t="s">
        <v>4302</v>
      </c>
      <c r="F458">
        <v>9000</v>
      </c>
    </row>
    <row r="459" spans="1:6" x14ac:dyDescent="0.25">
      <c r="A459" t="s">
        <v>296</v>
      </c>
      <c r="B459" t="s">
        <v>275</v>
      </c>
      <c r="C459">
        <v>52</v>
      </c>
      <c r="D459">
        <v>262</v>
      </c>
      <c r="E459" t="s">
        <v>4303</v>
      </c>
      <c r="F459">
        <v>0</v>
      </c>
    </row>
    <row r="460" spans="1:6" x14ac:dyDescent="0.25">
      <c r="A460" t="s">
        <v>296</v>
      </c>
      <c r="B460" t="s">
        <v>275</v>
      </c>
      <c r="C460">
        <v>52</v>
      </c>
      <c r="D460">
        <v>262</v>
      </c>
      <c r="E460" t="s">
        <v>4304</v>
      </c>
      <c r="F460">
        <v>9000</v>
      </c>
    </row>
    <row r="461" spans="1:6" x14ac:dyDescent="0.25">
      <c r="A461" t="s">
        <v>296</v>
      </c>
      <c r="B461" t="s">
        <v>275</v>
      </c>
      <c r="C461">
        <v>52</v>
      </c>
      <c r="D461">
        <v>262</v>
      </c>
      <c r="E461" t="s">
        <v>4305</v>
      </c>
      <c r="F461">
        <v>100</v>
      </c>
    </row>
    <row r="462" spans="1:6" x14ac:dyDescent="0.25">
      <c r="A462" t="s">
        <v>296</v>
      </c>
      <c r="B462" t="s">
        <v>275</v>
      </c>
      <c r="C462">
        <v>52</v>
      </c>
      <c r="D462">
        <v>262</v>
      </c>
      <c r="E462" t="s">
        <v>4306</v>
      </c>
      <c r="F462">
        <v>9000</v>
      </c>
    </row>
    <row r="463" spans="1:6" x14ac:dyDescent="0.25">
      <c r="A463" t="s">
        <v>296</v>
      </c>
      <c r="B463" t="s">
        <v>275</v>
      </c>
      <c r="C463">
        <v>52</v>
      </c>
      <c r="D463">
        <v>262</v>
      </c>
      <c r="E463" t="s">
        <v>4307</v>
      </c>
      <c r="F463">
        <v>0</v>
      </c>
    </row>
    <row r="464" spans="1:6" x14ac:dyDescent="0.25">
      <c r="A464" t="s">
        <v>296</v>
      </c>
      <c r="B464" t="s">
        <v>275</v>
      </c>
      <c r="C464">
        <v>52</v>
      </c>
      <c r="D464">
        <v>262</v>
      </c>
      <c r="E464" t="s">
        <v>4308</v>
      </c>
      <c r="F464">
        <v>0</v>
      </c>
    </row>
    <row r="465" spans="1:6" x14ac:dyDescent="0.25">
      <c r="A465" t="s">
        <v>296</v>
      </c>
      <c r="B465" t="s">
        <v>275</v>
      </c>
      <c r="C465">
        <v>52</v>
      </c>
      <c r="D465">
        <v>262</v>
      </c>
      <c r="E465" t="s">
        <v>4309</v>
      </c>
      <c r="F465">
        <v>0</v>
      </c>
    </row>
    <row r="466" spans="1:6" x14ac:dyDescent="0.25">
      <c r="A466" t="s">
        <v>296</v>
      </c>
      <c r="B466" t="s">
        <v>299</v>
      </c>
      <c r="C466">
        <v>192</v>
      </c>
      <c r="D466">
        <v>342</v>
      </c>
      <c r="E466" t="s">
        <v>4302</v>
      </c>
      <c r="F466">
        <v>0</v>
      </c>
    </row>
    <row r="467" spans="1:6" x14ac:dyDescent="0.25">
      <c r="A467" t="s">
        <v>296</v>
      </c>
      <c r="B467" t="s">
        <v>299</v>
      </c>
      <c r="C467">
        <v>192</v>
      </c>
      <c r="D467">
        <v>342</v>
      </c>
      <c r="E467" t="s">
        <v>4303</v>
      </c>
      <c r="F467">
        <v>0</v>
      </c>
    </row>
    <row r="468" spans="1:6" x14ac:dyDescent="0.25">
      <c r="A468" t="s">
        <v>296</v>
      </c>
      <c r="B468" t="s">
        <v>299</v>
      </c>
      <c r="C468">
        <v>192</v>
      </c>
      <c r="D468">
        <v>342</v>
      </c>
      <c r="E468" t="s">
        <v>4304</v>
      </c>
      <c r="F468">
        <v>0</v>
      </c>
    </row>
    <row r="469" spans="1:6" x14ac:dyDescent="0.25">
      <c r="A469" t="s">
        <v>296</v>
      </c>
      <c r="B469" t="s">
        <v>299</v>
      </c>
      <c r="C469">
        <v>192</v>
      </c>
      <c r="D469">
        <v>342</v>
      </c>
      <c r="E469" t="s">
        <v>4305</v>
      </c>
      <c r="F469">
        <v>0</v>
      </c>
    </row>
    <row r="470" spans="1:6" x14ac:dyDescent="0.25">
      <c r="A470" t="s">
        <v>296</v>
      </c>
      <c r="B470" t="s">
        <v>299</v>
      </c>
      <c r="C470">
        <v>192</v>
      </c>
      <c r="D470">
        <v>342</v>
      </c>
      <c r="E470" t="s">
        <v>4306</v>
      </c>
      <c r="F470">
        <v>0</v>
      </c>
    </row>
    <row r="471" spans="1:6" x14ac:dyDescent="0.25">
      <c r="A471" t="s">
        <v>296</v>
      </c>
      <c r="B471" t="s">
        <v>299</v>
      </c>
      <c r="C471">
        <v>192</v>
      </c>
      <c r="D471">
        <v>342</v>
      </c>
      <c r="E471" t="s">
        <v>4307</v>
      </c>
      <c r="F471">
        <v>0</v>
      </c>
    </row>
    <row r="472" spans="1:6" x14ac:dyDescent="0.25">
      <c r="A472" t="s">
        <v>296</v>
      </c>
      <c r="B472" t="s">
        <v>299</v>
      </c>
      <c r="C472">
        <v>192</v>
      </c>
      <c r="D472">
        <v>342</v>
      </c>
      <c r="E472" t="s">
        <v>4308</v>
      </c>
      <c r="F472">
        <v>0</v>
      </c>
    </row>
    <row r="473" spans="1:6" x14ac:dyDescent="0.25">
      <c r="A473" t="s">
        <v>296</v>
      </c>
      <c r="B473" t="s">
        <v>299</v>
      </c>
      <c r="C473">
        <v>192</v>
      </c>
      <c r="D473">
        <v>342</v>
      </c>
      <c r="E473" t="s">
        <v>4309</v>
      </c>
      <c r="F473">
        <v>0</v>
      </c>
    </row>
    <row r="474" spans="1:6" x14ac:dyDescent="0.25">
      <c r="A474" t="s">
        <v>296</v>
      </c>
      <c r="B474" t="s">
        <v>300</v>
      </c>
      <c r="C474">
        <v>191</v>
      </c>
      <c r="D474">
        <v>196</v>
      </c>
      <c r="E474" t="s">
        <v>4302</v>
      </c>
      <c r="F474">
        <v>0</v>
      </c>
    </row>
    <row r="475" spans="1:6" x14ac:dyDescent="0.25">
      <c r="A475" t="s">
        <v>296</v>
      </c>
      <c r="B475" t="s">
        <v>300</v>
      </c>
      <c r="C475">
        <v>191</v>
      </c>
      <c r="D475">
        <v>196</v>
      </c>
      <c r="E475" t="s">
        <v>4303</v>
      </c>
      <c r="F475">
        <v>0</v>
      </c>
    </row>
    <row r="476" spans="1:6" x14ac:dyDescent="0.25">
      <c r="A476" t="s">
        <v>296</v>
      </c>
      <c r="B476" t="s">
        <v>300</v>
      </c>
      <c r="C476">
        <v>191</v>
      </c>
      <c r="D476">
        <v>196</v>
      </c>
      <c r="E476" t="s">
        <v>4304</v>
      </c>
      <c r="F476">
        <v>0</v>
      </c>
    </row>
    <row r="477" spans="1:6" x14ac:dyDescent="0.25">
      <c r="A477" t="s">
        <v>296</v>
      </c>
      <c r="B477" t="s">
        <v>300</v>
      </c>
      <c r="C477">
        <v>191</v>
      </c>
      <c r="D477">
        <v>196</v>
      </c>
      <c r="E477" t="s">
        <v>4305</v>
      </c>
      <c r="F477">
        <v>0</v>
      </c>
    </row>
    <row r="478" spans="1:6" x14ac:dyDescent="0.25">
      <c r="A478" t="s">
        <v>296</v>
      </c>
      <c r="B478" t="s">
        <v>300</v>
      </c>
      <c r="C478">
        <v>191</v>
      </c>
      <c r="D478">
        <v>196</v>
      </c>
      <c r="E478" t="s">
        <v>4306</v>
      </c>
      <c r="F478">
        <v>0</v>
      </c>
    </row>
    <row r="479" spans="1:6" x14ac:dyDescent="0.25">
      <c r="A479" t="s">
        <v>296</v>
      </c>
      <c r="B479" t="s">
        <v>300</v>
      </c>
      <c r="C479">
        <v>191</v>
      </c>
      <c r="D479">
        <v>196</v>
      </c>
      <c r="E479" t="s">
        <v>4307</v>
      </c>
      <c r="F479">
        <v>0</v>
      </c>
    </row>
    <row r="480" spans="1:6" x14ac:dyDescent="0.25">
      <c r="A480" t="s">
        <v>296</v>
      </c>
      <c r="B480" t="s">
        <v>300</v>
      </c>
      <c r="C480">
        <v>191</v>
      </c>
      <c r="D480">
        <v>196</v>
      </c>
      <c r="E480" t="s">
        <v>4308</v>
      </c>
      <c r="F480">
        <v>0</v>
      </c>
    </row>
    <row r="481" spans="1:6" x14ac:dyDescent="0.25">
      <c r="A481" t="s">
        <v>296</v>
      </c>
      <c r="B481" t="s">
        <v>300</v>
      </c>
      <c r="C481">
        <v>191</v>
      </c>
      <c r="D481">
        <v>196</v>
      </c>
      <c r="E481" t="s">
        <v>4309</v>
      </c>
      <c r="F481">
        <v>0</v>
      </c>
    </row>
    <row r="482" spans="1:6" x14ac:dyDescent="0.25">
      <c r="A482" t="s">
        <v>61</v>
      </c>
      <c r="B482" t="s">
        <v>293</v>
      </c>
      <c r="C482">
        <v>112</v>
      </c>
      <c r="D482">
        <v>171</v>
      </c>
      <c r="E482" t="s">
        <v>4302</v>
      </c>
      <c r="F482">
        <v>1786.4</v>
      </c>
    </row>
    <row r="483" spans="1:6" x14ac:dyDescent="0.25">
      <c r="A483" t="s">
        <v>61</v>
      </c>
      <c r="B483" t="s">
        <v>293</v>
      </c>
      <c r="C483">
        <v>112</v>
      </c>
      <c r="D483">
        <v>171</v>
      </c>
      <c r="E483" t="s">
        <v>4303</v>
      </c>
      <c r="F483">
        <v>510.4</v>
      </c>
    </row>
    <row r="484" spans="1:6" x14ac:dyDescent="0.25">
      <c r="A484" t="s">
        <v>61</v>
      </c>
      <c r="B484" t="s">
        <v>293</v>
      </c>
      <c r="C484">
        <v>112</v>
      </c>
      <c r="D484">
        <v>171</v>
      </c>
      <c r="E484" t="s">
        <v>4304</v>
      </c>
      <c r="F484">
        <v>0</v>
      </c>
    </row>
    <row r="485" spans="1:6" x14ac:dyDescent="0.25">
      <c r="A485" t="s">
        <v>61</v>
      </c>
      <c r="B485" t="s">
        <v>293</v>
      </c>
      <c r="C485">
        <v>112</v>
      </c>
      <c r="D485">
        <v>171</v>
      </c>
      <c r="E485" t="s">
        <v>4305</v>
      </c>
      <c r="F485">
        <v>0</v>
      </c>
    </row>
    <row r="486" spans="1:6" x14ac:dyDescent="0.25">
      <c r="A486" t="s">
        <v>61</v>
      </c>
      <c r="B486" t="s">
        <v>293</v>
      </c>
      <c r="C486">
        <v>112</v>
      </c>
      <c r="D486">
        <v>171</v>
      </c>
      <c r="E486" t="s">
        <v>4306</v>
      </c>
      <c r="F486">
        <v>0</v>
      </c>
    </row>
    <row r="487" spans="1:6" x14ac:dyDescent="0.25">
      <c r="A487" t="s">
        <v>61</v>
      </c>
      <c r="B487" t="s">
        <v>293</v>
      </c>
      <c r="C487">
        <v>112</v>
      </c>
      <c r="D487">
        <v>171</v>
      </c>
      <c r="E487" t="s">
        <v>4307</v>
      </c>
      <c r="F487">
        <v>0</v>
      </c>
    </row>
    <row r="488" spans="1:6" x14ac:dyDescent="0.25">
      <c r="A488" t="s">
        <v>61</v>
      </c>
      <c r="B488" t="s">
        <v>293</v>
      </c>
      <c r="C488">
        <v>112</v>
      </c>
      <c r="D488">
        <v>171</v>
      </c>
      <c r="E488" t="s">
        <v>4308</v>
      </c>
      <c r="F488">
        <v>1786.4</v>
      </c>
    </row>
    <row r="489" spans="1:6" x14ac:dyDescent="0.25">
      <c r="A489" t="s">
        <v>61</v>
      </c>
      <c r="B489" t="s">
        <v>293</v>
      </c>
      <c r="C489">
        <v>112</v>
      </c>
      <c r="D489">
        <v>171</v>
      </c>
      <c r="E489" t="s">
        <v>4309</v>
      </c>
      <c r="F489">
        <v>100</v>
      </c>
    </row>
    <row r="490" spans="1:6" x14ac:dyDescent="0.25">
      <c r="A490" t="s">
        <v>61</v>
      </c>
      <c r="B490" t="s">
        <v>294</v>
      </c>
      <c r="C490">
        <v>90</v>
      </c>
      <c r="D490">
        <v>200</v>
      </c>
      <c r="E490" t="s">
        <v>4302</v>
      </c>
      <c r="F490">
        <v>61159.6</v>
      </c>
    </row>
    <row r="491" spans="1:6" x14ac:dyDescent="0.25">
      <c r="A491" t="s">
        <v>61</v>
      </c>
      <c r="B491" t="s">
        <v>294</v>
      </c>
      <c r="C491">
        <v>90</v>
      </c>
      <c r="D491">
        <v>200</v>
      </c>
      <c r="E491" t="s">
        <v>4303</v>
      </c>
      <c r="F491">
        <v>17474.169999999998</v>
      </c>
    </row>
    <row r="492" spans="1:6" x14ac:dyDescent="0.25">
      <c r="A492" t="s">
        <v>61</v>
      </c>
      <c r="B492" t="s">
        <v>294</v>
      </c>
      <c r="C492">
        <v>90</v>
      </c>
      <c r="D492">
        <v>200</v>
      </c>
      <c r="E492" t="s">
        <v>4304</v>
      </c>
      <c r="F492">
        <v>43685.43</v>
      </c>
    </row>
    <row r="493" spans="1:6" x14ac:dyDescent="0.25">
      <c r="A493" t="s">
        <v>61</v>
      </c>
      <c r="B493" t="s">
        <v>294</v>
      </c>
      <c r="C493">
        <v>90</v>
      </c>
      <c r="D493">
        <v>200</v>
      </c>
      <c r="E493" t="s">
        <v>4305</v>
      </c>
      <c r="F493">
        <v>100</v>
      </c>
    </row>
    <row r="494" spans="1:6" x14ac:dyDescent="0.25">
      <c r="A494" t="s">
        <v>61</v>
      </c>
      <c r="B494" t="s">
        <v>294</v>
      </c>
      <c r="C494">
        <v>90</v>
      </c>
      <c r="D494">
        <v>200</v>
      </c>
      <c r="E494" t="s">
        <v>4306</v>
      </c>
      <c r="F494">
        <v>0</v>
      </c>
    </row>
    <row r="495" spans="1:6" x14ac:dyDescent="0.25">
      <c r="A495" t="s">
        <v>61</v>
      </c>
      <c r="B495" t="s">
        <v>294</v>
      </c>
      <c r="C495">
        <v>90</v>
      </c>
      <c r="D495">
        <v>200</v>
      </c>
      <c r="E495" t="s">
        <v>4307</v>
      </c>
      <c r="F495">
        <v>3487.82</v>
      </c>
    </row>
    <row r="496" spans="1:6" x14ac:dyDescent="0.25">
      <c r="A496" t="s">
        <v>61</v>
      </c>
      <c r="B496" t="s">
        <v>294</v>
      </c>
      <c r="C496">
        <v>90</v>
      </c>
      <c r="D496">
        <v>200</v>
      </c>
      <c r="E496" t="s">
        <v>4308</v>
      </c>
      <c r="F496">
        <v>57671.78</v>
      </c>
    </row>
    <row r="497" spans="1:6" x14ac:dyDescent="0.25">
      <c r="A497" t="s">
        <v>61</v>
      </c>
      <c r="B497" t="s">
        <v>294</v>
      </c>
      <c r="C497">
        <v>90</v>
      </c>
      <c r="D497">
        <v>200</v>
      </c>
      <c r="E497" t="s">
        <v>4309</v>
      </c>
      <c r="F497">
        <v>94.3</v>
      </c>
    </row>
    <row r="498" spans="1:6" x14ac:dyDescent="0.25">
      <c r="A498" t="s">
        <v>61</v>
      </c>
      <c r="B498" t="s">
        <v>286</v>
      </c>
      <c r="C498">
        <v>111</v>
      </c>
      <c r="D498">
        <v>160</v>
      </c>
      <c r="E498" t="s">
        <v>4302</v>
      </c>
      <c r="F498">
        <v>6623.4</v>
      </c>
    </row>
    <row r="499" spans="1:6" x14ac:dyDescent="0.25">
      <c r="A499" t="s">
        <v>61</v>
      </c>
      <c r="B499" t="s">
        <v>286</v>
      </c>
      <c r="C499">
        <v>111</v>
      </c>
      <c r="D499">
        <v>160</v>
      </c>
      <c r="E499" t="s">
        <v>4303</v>
      </c>
      <c r="F499">
        <v>1892.4</v>
      </c>
    </row>
    <row r="500" spans="1:6" x14ac:dyDescent="0.25">
      <c r="A500" t="s">
        <v>61</v>
      </c>
      <c r="B500" t="s">
        <v>286</v>
      </c>
      <c r="C500">
        <v>111</v>
      </c>
      <c r="D500">
        <v>160</v>
      </c>
      <c r="E500" t="s">
        <v>4304</v>
      </c>
      <c r="F500">
        <v>4731</v>
      </c>
    </row>
    <row r="501" spans="1:6" x14ac:dyDescent="0.25">
      <c r="A501" t="s">
        <v>61</v>
      </c>
      <c r="B501" t="s">
        <v>286</v>
      </c>
      <c r="C501">
        <v>111</v>
      </c>
      <c r="D501">
        <v>160</v>
      </c>
      <c r="E501" t="s">
        <v>4305</v>
      </c>
      <c r="F501">
        <v>100</v>
      </c>
    </row>
    <row r="502" spans="1:6" x14ac:dyDescent="0.25">
      <c r="A502" t="s">
        <v>61</v>
      </c>
      <c r="B502" t="s">
        <v>286</v>
      </c>
      <c r="C502">
        <v>111</v>
      </c>
      <c r="D502">
        <v>160</v>
      </c>
      <c r="E502" t="s">
        <v>4306</v>
      </c>
      <c r="F502">
        <v>0</v>
      </c>
    </row>
    <row r="503" spans="1:6" x14ac:dyDescent="0.25">
      <c r="A503" t="s">
        <v>61</v>
      </c>
      <c r="B503" t="s">
        <v>286</v>
      </c>
      <c r="C503">
        <v>111</v>
      </c>
      <c r="D503">
        <v>160</v>
      </c>
      <c r="E503" t="s">
        <v>4307</v>
      </c>
      <c r="F503">
        <v>0</v>
      </c>
    </row>
    <row r="504" spans="1:6" x14ac:dyDescent="0.25">
      <c r="A504" t="s">
        <v>61</v>
      </c>
      <c r="B504" t="s">
        <v>286</v>
      </c>
      <c r="C504">
        <v>111</v>
      </c>
      <c r="D504">
        <v>160</v>
      </c>
      <c r="E504" t="s">
        <v>4308</v>
      </c>
      <c r="F504">
        <v>6623.4</v>
      </c>
    </row>
    <row r="505" spans="1:6" x14ac:dyDescent="0.25">
      <c r="A505" t="s">
        <v>61</v>
      </c>
      <c r="B505" t="s">
        <v>286</v>
      </c>
      <c r="C505">
        <v>111</v>
      </c>
      <c r="D505">
        <v>160</v>
      </c>
      <c r="E505" t="s">
        <v>4309</v>
      </c>
      <c r="F505">
        <v>100</v>
      </c>
    </row>
    <row r="506" spans="1:6" x14ac:dyDescent="0.25">
      <c r="A506" t="s">
        <v>61</v>
      </c>
      <c r="B506" t="s">
        <v>31</v>
      </c>
      <c r="C506">
        <v>109</v>
      </c>
      <c r="D506">
        <v>313</v>
      </c>
      <c r="E506" t="s">
        <v>4302</v>
      </c>
      <c r="F506">
        <v>22625.82</v>
      </c>
    </row>
    <row r="507" spans="1:6" x14ac:dyDescent="0.25">
      <c r="A507" t="s">
        <v>61</v>
      </c>
      <c r="B507" t="s">
        <v>31</v>
      </c>
      <c r="C507">
        <v>109</v>
      </c>
      <c r="D507">
        <v>313</v>
      </c>
      <c r="E507" t="s">
        <v>4303</v>
      </c>
      <c r="F507">
        <v>6464.52</v>
      </c>
    </row>
    <row r="508" spans="1:6" x14ac:dyDescent="0.25">
      <c r="A508" t="s">
        <v>61</v>
      </c>
      <c r="B508" t="s">
        <v>31</v>
      </c>
      <c r="C508">
        <v>109</v>
      </c>
      <c r="D508">
        <v>313</v>
      </c>
      <c r="E508" t="s">
        <v>4304</v>
      </c>
      <c r="F508">
        <v>0</v>
      </c>
    </row>
    <row r="509" spans="1:6" x14ac:dyDescent="0.25">
      <c r="A509" t="s">
        <v>61</v>
      </c>
      <c r="B509" t="s">
        <v>31</v>
      </c>
      <c r="C509">
        <v>109</v>
      </c>
      <c r="D509">
        <v>313</v>
      </c>
      <c r="E509" t="s">
        <v>4305</v>
      </c>
      <c r="F509">
        <v>0</v>
      </c>
    </row>
    <row r="510" spans="1:6" x14ac:dyDescent="0.25">
      <c r="A510" t="s">
        <v>61</v>
      </c>
      <c r="B510" t="s">
        <v>31</v>
      </c>
      <c r="C510">
        <v>109</v>
      </c>
      <c r="D510">
        <v>313</v>
      </c>
      <c r="E510" t="s">
        <v>4306</v>
      </c>
      <c r="F510">
        <v>0</v>
      </c>
    </row>
    <row r="511" spans="1:6" x14ac:dyDescent="0.25">
      <c r="A511" t="s">
        <v>61</v>
      </c>
      <c r="B511" t="s">
        <v>31</v>
      </c>
      <c r="C511">
        <v>109</v>
      </c>
      <c r="D511">
        <v>313</v>
      </c>
      <c r="E511" t="s">
        <v>4307</v>
      </c>
      <c r="F511">
        <v>0</v>
      </c>
    </row>
    <row r="512" spans="1:6" x14ac:dyDescent="0.25">
      <c r="A512" t="s">
        <v>61</v>
      </c>
      <c r="B512" t="s">
        <v>31</v>
      </c>
      <c r="C512">
        <v>109</v>
      </c>
      <c r="D512">
        <v>313</v>
      </c>
      <c r="E512" t="s">
        <v>4308</v>
      </c>
      <c r="F512">
        <v>22625.82</v>
      </c>
    </row>
    <row r="513" spans="1:6" x14ac:dyDescent="0.25">
      <c r="A513" t="s">
        <v>61</v>
      </c>
      <c r="B513" t="s">
        <v>31</v>
      </c>
      <c r="C513">
        <v>109</v>
      </c>
      <c r="D513">
        <v>313</v>
      </c>
      <c r="E513" t="s">
        <v>4309</v>
      </c>
      <c r="F513">
        <v>100</v>
      </c>
    </row>
    <row r="514" spans="1:6" x14ac:dyDescent="0.25">
      <c r="A514" t="s">
        <v>61</v>
      </c>
      <c r="B514" t="s">
        <v>31</v>
      </c>
      <c r="C514">
        <v>109</v>
      </c>
      <c r="D514">
        <v>37</v>
      </c>
      <c r="E514" t="s">
        <v>4302</v>
      </c>
      <c r="F514">
        <v>16804.63</v>
      </c>
    </row>
    <row r="515" spans="1:6" x14ac:dyDescent="0.25">
      <c r="A515" t="s">
        <v>61</v>
      </c>
      <c r="B515" t="s">
        <v>31</v>
      </c>
      <c r="C515">
        <v>109</v>
      </c>
      <c r="D515">
        <v>37</v>
      </c>
      <c r="E515" t="s">
        <v>4303</v>
      </c>
      <c r="F515">
        <v>4801.32</v>
      </c>
    </row>
    <row r="516" spans="1:6" x14ac:dyDescent="0.25">
      <c r="A516" t="s">
        <v>61</v>
      </c>
      <c r="B516" t="s">
        <v>31</v>
      </c>
      <c r="C516">
        <v>109</v>
      </c>
      <c r="D516">
        <v>37</v>
      </c>
      <c r="E516" t="s">
        <v>4304</v>
      </c>
      <c r="F516">
        <v>12003.31</v>
      </c>
    </row>
    <row r="517" spans="1:6" x14ac:dyDescent="0.25">
      <c r="A517" t="s">
        <v>61</v>
      </c>
      <c r="B517" t="s">
        <v>31</v>
      </c>
      <c r="C517">
        <v>109</v>
      </c>
      <c r="D517">
        <v>37</v>
      </c>
      <c r="E517" t="s">
        <v>4305</v>
      </c>
      <c r="F517">
        <v>100</v>
      </c>
    </row>
    <row r="518" spans="1:6" x14ac:dyDescent="0.25">
      <c r="A518" t="s">
        <v>61</v>
      </c>
      <c r="B518" t="s">
        <v>31</v>
      </c>
      <c r="C518">
        <v>109</v>
      </c>
      <c r="D518">
        <v>37</v>
      </c>
      <c r="E518" t="s">
        <v>4306</v>
      </c>
      <c r="F518">
        <v>0</v>
      </c>
    </row>
    <row r="519" spans="1:6" x14ac:dyDescent="0.25">
      <c r="A519" t="s">
        <v>61</v>
      </c>
      <c r="B519" t="s">
        <v>31</v>
      </c>
      <c r="C519">
        <v>109</v>
      </c>
      <c r="D519">
        <v>37</v>
      </c>
      <c r="E519" t="s">
        <v>4307</v>
      </c>
      <c r="F519">
        <v>0</v>
      </c>
    </row>
    <row r="520" spans="1:6" x14ac:dyDescent="0.25">
      <c r="A520" t="s">
        <v>61</v>
      </c>
      <c r="B520" t="s">
        <v>31</v>
      </c>
      <c r="C520">
        <v>109</v>
      </c>
      <c r="D520">
        <v>37</v>
      </c>
      <c r="E520" t="s">
        <v>4308</v>
      </c>
      <c r="F520">
        <v>16804.63</v>
      </c>
    </row>
    <row r="521" spans="1:6" x14ac:dyDescent="0.25">
      <c r="A521" t="s">
        <v>61</v>
      </c>
      <c r="B521" t="s">
        <v>31</v>
      </c>
      <c r="C521">
        <v>109</v>
      </c>
      <c r="D521">
        <v>37</v>
      </c>
      <c r="E521" t="s">
        <v>4309</v>
      </c>
      <c r="F521">
        <v>100</v>
      </c>
    </row>
    <row r="522" spans="1:6" x14ac:dyDescent="0.25">
      <c r="A522" t="s">
        <v>61</v>
      </c>
      <c r="B522" t="s">
        <v>53</v>
      </c>
      <c r="C522">
        <v>113</v>
      </c>
      <c r="D522">
        <v>204</v>
      </c>
      <c r="E522" t="s">
        <v>4302</v>
      </c>
      <c r="F522">
        <v>19532.7</v>
      </c>
    </row>
    <row r="523" spans="1:6" x14ac:dyDescent="0.25">
      <c r="A523" t="s">
        <v>61</v>
      </c>
      <c r="B523" t="s">
        <v>53</v>
      </c>
      <c r="C523">
        <v>113</v>
      </c>
      <c r="D523">
        <v>204</v>
      </c>
      <c r="E523" t="s">
        <v>4303</v>
      </c>
      <c r="F523">
        <v>5580.77</v>
      </c>
    </row>
    <row r="524" spans="1:6" x14ac:dyDescent="0.25">
      <c r="A524" t="s">
        <v>61</v>
      </c>
      <c r="B524" t="s">
        <v>53</v>
      </c>
      <c r="C524">
        <v>113</v>
      </c>
      <c r="D524">
        <v>204</v>
      </c>
      <c r="E524" t="s">
        <v>4304</v>
      </c>
      <c r="F524">
        <v>13951.93</v>
      </c>
    </row>
    <row r="525" spans="1:6" x14ac:dyDescent="0.25">
      <c r="A525" t="s">
        <v>61</v>
      </c>
      <c r="B525" t="s">
        <v>53</v>
      </c>
      <c r="C525">
        <v>113</v>
      </c>
      <c r="D525">
        <v>204</v>
      </c>
      <c r="E525" t="s">
        <v>4305</v>
      </c>
      <c r="F525">
        <v>100</v>
      </c>
    </row>
    <row r="526" spans="1:6" x14ac:dyDescent="0.25">
      <c r="A526" t="s">
        <v>61</v>
      </c>
      <c r="B526" t="s">
        <v>53</v>
      </c>
      <c r="C526">
        <v>113</v>
      </c>
      <c r="D526">
        <v>204</v>
      </c>
      <c r="E526" t="s">
        <v>4306</v>
      </c>
      <c r="F526">
        <v>0</v>
      </c>
    </row>
    <row r="527" spans="1:6" x14ac:dyDescent="0.25">
      <c r="A527" t="s">
        <v>61</v>
      </c>
      <c r="B527" t="s">
        <v>53</v>
      </c>
      <c r="C527">
        <v>113</v>
      </c>
      <c r="D527">
        <v>204</v>
      </c>
      <c r="E527" t="s">
        <v>4307</v>
      </c>
      <c r="F527">
        <v>211.05</v>
      </c>
    </row>
    <row r="528" spans="1:6" x14ac:dyDescent="0.25">
      <c r="A528" t="s">
        <v>61</v>
      </c>
      <c r="B528" t="s">
        <v>53</v>
      </c>
      <c r="C528">
        <v>113</v>
      </c>
      <c r="D528">
        <v>204</v>
      </c>
      <c r="E528" t="s">
        <v>4308</v>
      </c>
      <c r="F528">
        <v>19321.650000000001</v>
      </c>
    </row>
    <row r="529" spans="1:6" x14ac:dyDescent="0.25">
      <c r="A529" t="s">
        <v>61</v>
      </c>
      <c r="B529" t="s">
        <v>53</v>
      </c>
      <c r="C529">
        <v>113</v>
      </c>
      <c r="D529">
        <v>204</v>
      </c>
      <c r="E529" t="s">
        <v>4309</v>
      </c>
      <c r="F529">
        <v>98.92</v>
      </c>
    </row>
    <row r="530" spans="1:6" x14ac:dyDescent="0.25">
      <c r="A530" t="s">
        <v>361</v>
      </c>
      <c r="B530" t="s">
        <v>362</v>
      </c>
      <c r="C530">
        <v>243</v>
      </c>
      <c r="D530">
        <v>152</v>
      </c>
      <c r="E530" t="s">
        <v>4302</v>
      </c>
      <c r="F530">
        <v>0</v>
      </c>
    </row>
    <row r="531" spans="1:6" x14ac:dyDescent="0.25">
      <c r="A531" t="s">
        <v>361</v>
      </c>
      <c r="B531" t="s">
        <v>362</v>
      </c>
      <c r="C531">
        <v>243</v>
      </c>
      <c r="D531">
        <v>152</v>
      </c>
      <c r="E531" t="s">
        <v>4303</v>
      </c>
      <c r="F531">
        <v>0</v>
      </c>
    </row>
    <row r="532" spans="1:6" x14ac:dyDescent="0.25">
      <c r="A532" t="s">
        <v>361</v>
      </c>
      <c r="B532" t="s">
        <v>362</v>
      </c>
      <c r="C532">
        <v>243</v>
      </c>
      <c r="D532">
        <v>152</v>
      </c>
      <c r="E532" t="s">
        <v>4304</v>
      </c>
      <c r="F532">
        <v>0</v>
      </c>
    </row>
    <row r="533" spans="1:6" x14ac:dyDescent="0.25">
      <c r="A533" t="s">
        <v>361</v>
      </c>
      <c r="B533" t="s">
        <v>362</v>
      </c>
      <c r="C533">
        <v>243</v>
      </c>
      <c r="D533">
        <v>152</v>
      </c>
      <c r="E533" t="s">
        <v>4305</v>
      </c>
      <c r="F533">
        <v>0</v>
      </c>
    </row>
    <row r="534" spans="1:6" x14ac:dyDescent="0.25">
      <c r="A534" t="s">
        <v>361</v>
      </c>
      <c r="B534" t="s">
        <v>362</v>
      </c>
      <c r="C534">
        <v>243</v>
      </c>
      <c r="D534">
        <v>152</v>
      </c>
      <c r="E534" t="s">
        <v>4306</v>
      </c>
      <c r="F534">
        <v>0</v>
      </c>
    </row>
    <row r="535" spans="1:6" x14ac:dyDescent="0.25">
      <c r="A535" t="s">
        <v>361</v>
      </c>
      <c r="B535" t="s">
        <v>362</v>
      </c>
      <c r="C535">
        <v>243</v>
      </c>
      <c r="D535">
        <v>152</v>
      </c>
      <c r="E535" t="s">
        <v>4307</v>
      </c>
      <c r="F535">
        <v>0</v>
      </c>
    </row>
    <row r="536" spans="1:6" x14ac:dyDescent="0.25">
      <c r="A536" t="s">
        <v>361</v>
      </c>
      <c r="B536" t="s">
        <v>362</v>
      </c>
      <c r="C536">
        <v>243</v>
      </c>
      <c r="D536">
        <v>152</v>
      </c>
      <c r="E536" t="s">
        <v>4308</v>
      </c>
      <c r="F536">
        <v>0</v>
      </c>
    </row>
    <row r="537" spans="1:6" x14ac:dyDescent="0.25">
      <c r="A537" t="s">
        <v>361</v>
      </c>
      <c r="B537" t="s">
        <v>362</v>
      </c>
      <c r="C537">
        <v>243</v>
      </c>
      <c r="D537">
        <v>152</v>
      </c>
      <c r="E537" t="s">
        <v>4309</v>
      </c>
      <c r="F537">
        <v>0</v>
      </c>
    </row>
    <row r="538" spans="1:6" x14ac:dyDescent="0.25">
      <c r="A538" t="s">
        <v>361</v>
      </c>
      <c r="B538" t="s">
        <v>363</v>
      </c>
      <c r="C538">
        <v>239</v>
      </c>
      <c r="D538">
        <v>144</v>
      </c>
      <c r="E538" t="s">
        <v>4302</v>
      </c>
      <c r="F538">
        <v>52250.96</v>
      </c>
    </row>
    <row r="539" spans="1:6" x14ac:dyDescent="0.25">
      <c r="A539" t="s">
        <v>361</v>
      </c>
      <c r="B539" t="s">
        <v>363</v>
      </c>
      <c r="C539">
        <v>239</v>
      </c>
      <c r="D539">
        <v>144</v>
      </c>
      <c r="E539" t="s">
        <v>4303</v>
      </c>
      <c r="F539">
        <v>14928.84</v>
      </c>
    </row>
    <row r="540" spans="1:6" x14ac:dyDescent="0.25">
      <c r="A540" t="s">
        <v>361</v>
      </c>
      <c r="B540" t="s">
        <v>363</v>
      </c>
      <c r="C540">
        <v>239</v>
      </c>
      <c r="D540">
        <v>144</v>
      </c>
      <c r="E540" t="s">
        <v>4304</v>
      </c>
      <c r="F540">
        <v>37322.120000000003</v>
      </c>
    </row>
    <row r="541" spans="1:6" x14ac:dyDescent="0.25">
      <c r="A541" t="s">
        <v>361</v>
      </c>
      <c r="B541" t="s">
        <v>363</v>
      </c>
      <c r="C541">
        <v>239</v>
      </c>
      <c r="D541">
        <v>144</v>
      </c>
      <c r="E541" t="s">
        <v>4305</v>
      </c>
      <c r="F541">
        <v>100</v>
      </c>
    </row>
    <row r="542" spans="1:6" x14ac:dyDescent="0.25">
      <c r="A542" t="s">
        <v>361</v>
      </c>
      <c r="B542" t="s">
        <v>363</v>
      </c>
      <c r="C542">
        <v>239</v>
      </c>
      <c r="D542">
        <v>144</v>
      </c>
      <c r="E542" t="s">
        <v>4306</v>
      </c>
      <c r="F542">
        <v>0</v>
      </c>
    </row>
    <row r="543" spans="1:6" x14ac:dyDescent="0.25">
      <c r="A543" t="s">
        <v>361</v>
      </c>
      <c r="B543" t="s">
        <v>363</v>
      </c>
      <c r="C543">
        <v>239</v>
      </c>
      <c r="D543">
        <v>144</v>
      </c>
      <c r="E543" t="s">
        <v>4307</v>
      </c>
      <c r="F543">
        <v>0.04</v>
      </c>
    </row>
    <row r="544" spans="1:6" x14ac:dyDescent="0.25">
      <c r="A544" t="s">
        <v>361</v>
      </c>
      <c r="B544" t="s">
        <v>363</v>
      </c>
      <c r="C544">
        <v>239</v>
      </c>
      <c r="D544">
        <v>144</v>
      </c>
      <c r="E544" t="s">
        <v>4308</v>
      </c>
      <c r="F544">
        <v>52250.92</v>
      </c>
    </row>
    <row r="545" spans="1:6" x14ac:dyDescent="0.25">
      <c r="A545" t="s">
        <v>361</v>
      </c>
      <c r="B545" t="s">
        <v>363</v>
      </c>
      <c r="C545">
        <v>239</v>
      </c>
      <c r="D545">
        <v>144</v>
      </c>
      <c r="E545" t="s">
        <v>4309</v>
      </c>
      <c r="F545">
        <v>100</v>
      </c>
    </row>
    <row r="546" spans="1:6" x14ac:dyDescent="0.25">
      <c r="A546" t="s">
        <v>361</v>
      </c>
      <c r="B546" t="s">
        <v>364</v>
      </c>
      <c r="C546">
        <v>242</v>
      </c>
      <c r="D546">
        <v>230</v>
      </c>
      <c r="E546" t="s">
        <v>4302</v>
      </c>
      <c r="F546">
        <v>14095.16</v>
      </c>
    </row>
    <row r="547" spans="1:6" x14ac:dyDescent="0.25">
      <c r="A547" t="s">
        <v>361</v>
      </c>
      <c r="B547" t="s">
        <v>364</v>
      </c>
      <c r="C547">
        <v>242</v>
      </c>
      <c r="D547">
        <v>230</v>
      </c>
      <c r="E547" t="s">
        <v>4303</v>
      </c>
      <c r="F547">
        <v>2250.48</v>
      </c>
    </row>
    <row r="548" spans="1:6" x14ac:dyDescent="0.25">
      <c r="A548" t="s">
        <v>361</v>
      </c>
      <c r="B548" t="s">
        <v>364</v>
      </c>
      <c r="C548">
        <v>242</v>
      </c>
      <c r="D548">
        <v>230</v>
      </c>
      <c r="E548" t="s">
        <v>4304</v>
      </c>
      <c r="F548">
        <v>11844.68</v>
      </c>
    </row>
    <row r="549" spans="1:6" x14ac:dyDescent="0.25">
      <c r="A549" t="s">
        <v>361</v>
      </c>
      <c r="B549" t="s">
        <v>364</v>
      </c>
      <c r="C549">
        <v>242</v>
      </c>
      <c r="D549">
        <v>230</v>
      </c>
      <c r="E549" t="s">
        <v>4305</v>
      </c>
      <c r="F549">
        <v>100</v>
      </c>
    </row>
    <row r="550" spans="1:6" x14ac:dyDescent="0.25">
      <c r="A550" t="s">
        <v>361</v>
      </c>
      <c r="B550" t="s">
        <v>364</v>
      </c>
      <c r="C550">
        <v>242</v>
      </c>
      <c r="D550">
        <v>230</v>
      </c>
      <c r="E550" t="s">
        <v>4306</v>
      </c>
      <c r="F550">
        <v>0</v>
      </c>
    </row>
    <row r="551" spans="1:6" x14ac:dyDescent="0.25">
      <c r="A551" t="s">
        <v>361</v>
      </c>
      <c r="B551" t="s">
        <v>364</v>
      </c>
      <c r="C551">
        <v>242</v>
      </c>
      <c r="D551">
        <v>230</v>
      </c>
      <c r="E551" t="s">
        <v>4307</v>
      </c>
      <c r="F551">
        <v>0</v>
      </c>
    </row>
    <row r="552" spans="1:6" x14ac:dyDescent="0.25">
      <c r="A552" t="s">
        <v>361</v>
      </c>
      <c r="B552" t="s">
        <v>364</v>
      </c>
      <c r="C552">
        <v>242</v>
      </c>
      <c r="D552">
        <v>230</v>
      </c>
      <c r="E552" t="s">
        <v>4308</v>
      </c>
      <c r="F552">
        <v>14095.16</v>
      </c>
    </row>
    <row r="553" spans="1:6" x14ac:dyDescent="0.25">
      <c r="A553" t="s">
        <v>361</v>
      </c>
      <c r="B553" t="s">
        <v>364</v>
      </c>
      <c r="C553">
        <v>242</v>
      </c>
      <c r="D553">
        <v>230</v>
      </c>
      <c r="E553" t="s">
        <v>4309</v>
      </c>
      <c r="F553">
        <v>100</v>
      </c>
    </row>
    <row r="554" spans="1:6" x14ac:dyDescent="0.25">
      <c r="A554" t="s">
        <v>361</v>
      </c>
      <c r="B554" t="s">
        <v>300</v>
      </c>
      <c r="C554">
        <v>238</v>
      </c>
      <c r="D554">
        <v>143</v>
      </c>
      <c r="E554" t="s">
        <v>4302</v>
      </c>
      <c r="F554">
        <v>10615.95</v>
      </c>
    </row>
    <row r="555" spans="1:6" x14ac:dyDescent="0.25">
      <c r="A555" t="s">
        <v>361</v>
      </c>
      <c r="B555" t="s">
        <v>300</v>
      </c>
      <c r="C555">
        <v>238</v>
      </c>
      <c r="D555">
        <v>143</v>
      </c>
      <c r="E555" t="s">
        <v>4303</v>
      </c>
      <c r="F555">
        <v>0</v>
      </c>
    </row>
    <row r="556" spans="1:6" x14ac:dyDescent="0.25">
      <c r="A556" t="s">
        <v>361</v>
      </c>
      <c r="B556" t="s">
        <v>300</v>
      </c>
      <c r="C556">
        <v>238</v>
      </c>
      <c r="D556">
        <v>143</v>
      </c>
      <c r="E556" t="s">
        <v>4304</v>
      </c>
      <c r="F556">
        <v>10615.95</v>
      </c>
    </row>
    <row r="557" spans="1:6" x14ac:dyDescent="0.25">
      <c r="A557" t="s">
        <v>361</v>
      </c>
      <c r="B557" t="s">
        <v>300</v>
      </c>
      <c r="C557">
        <v>238</v>
      </c>
      <c r="D557">
        <v>143</v>
      </c>
      <c r="E557" t="s">
        <v>4305</v>
      </c>
      <c r="F557">
        <v>100</v>
      </c>
    </row>
    <row r="558" spans="1:6" x14ac:dyDescent="0.25">
      <c r="A558" t="s">
        <v>361</v>
      </c>
      <c r="B558" t="s">
        <v>300</v>
      </c>
      <c r="C558">
        <v>238</v>
      </c>
      <c r="D558">
        <v>143</v>
      </c>
      <c r="E558" t="s">
        <v>4306</v>
      </c>
      <c r="F558">
        <v>0</v>
      </c>
    </row>
    <row r="559" spans="1:6" x14ac:dyDescent="0.25">
      <c r="A559" t="s">
        <v>361</v>
      </c>
      <c r="B559" t="s">
        <v>300</v>
      </c>
      <c r="C559">
        <v>238</v>
      </c>
      <c r="D559">
        <v>143</v>
      </c>
      <c r="E559" t="s">
        <v>4307</v>
      </c>
      <c r="F559">
        <v>0</v>
      </c>
    </row>
    <row r="560" spans="1:6" x14ac:dyDescent="0.25">
      <c r="A560" t="s">
        <v>361</v>
      </c>
      <c r="B560" t="s">
        <v>300</v>
      </c>
      <c r="C560">
        <v>238</v>
      </c>
      <c r="D560">
        <v>143</v>
      </c>
      <c r="E560" t="s">
        <v>4308</v>
      </c>
      <c r="F560">
        <v>10615.95</v>
      </c>
    </row>
    <row r="561" spans="1:6" x14ac:dyDescent="0.25">
      <c r="A561" t="s">
        <v>361</v>
      </c>
      <c r="B561" t="s">
        <v>300</v>
      </c>
      <c r="C561">
        <v>238</v>
      </c>
      <c r="D561">
        <v>143</v>
      </c>
      <c r="E561" t="s">
        <v>4309</v>
      </c>
      <c r="F561">
        <v>100</v>
      </c>
    </row>
    <row r="562" spans="1:6" x14ac:dyDescent="0.25">
      <c r="A562" t="s">
        <v>361</v>
      </c>
      <c r="B562" t="s">
        <v>69</v>
      </c>
      <c r="C562">
        <v>244</v>
      </c>
      <c r="D562">
        <v>193</v>
      </c>
      <c r="E562" t="s">
        <v>4302</v>
      </c>
      <c r="F562">
        <v>18247.599999999999</v>
      </c>
    </row>
    <row r="563" spans="1:6" x14ac:dyDescent="0.25">
      <c r="A563" t="s">
        <v>361</v>
      </c>
      <c r="B563" t="s">
        <v>69</v>
      </c>
      <c r="C563">
        <v>244</v>
      </c>
      <c r="D563">
        <v>193</v>
      </c>
      <c r="E563" t="s">
        <v>4303</v>
      </c>
      <c r="F563">
        <v>5213.6000000000004</v>
      </c>
    </row>
    <row r="564" spans="1:6" x14ac:dyDescent="0.25">
      <c r="A564" t="s">
        <v>361</v>
      </c>
      <c r="B564" t="s">
        <v>69</v>
      </c>
      <c r="C564">
        <v>244</v>
      </c>
      <c r="D564">
        <v>193</v>
      </c>
      <c r="E564" t="s">
        <v>4304</v>
      </c>
      <c r="F564">
        <v>13034</v>
      </c>
    </row>
    <row r="565" spans="1:6" x14ac:dyDescent="0.25">
      <c r="A565" t="s">
        <v>361</v>
      </c>
      <c r="B565" t="s">
        <v>69</v>
      </c>
      <c r="C565">
        <v>244</v>
      </c>
      <c r="D565">
        <v>193</v>
      </c>
      <c r="E565" t="s">
        <v>4305</v>
      </c>
      <c r="F565">
        <v>100</v>
      </c>
    </row>
    <row r="566" spans="1:6" x14ac:dyDescent="0.25">
      <c r="A566" t="s">
        <v>361</v>
      </c>
      <c r="B566" t="s">
        <v>69</v>
      </c>
      <c r="C566">
        <v>244</v>
      </c>
      <c r="D566">
        <v>193</v>
      </c>
      <c r="E566" t="s">
        <v>4306</v>
      </c>
      <c r="F566">
        <v>0</v>
      </c>
    </row>
    <row r="567" spans="1:6" x14ac:dyDescent="0.25">
      <c r="A567" t="s">
        <v>361</v>
      </c>
      <c r="B567" t="s">
        <v>69</v>
      </c>
      <c r="C567">
        <v>244</v>
      </c>
      <c r="D567">
        <v>193</v>
      </c>
      <c r="E567" t="s">
        <v>4307</v>
      </c>
      <c r="F567">
        <v>53.2</v>
      </c>
    </row>
    <row r="568" spans="1:6" x14ac:dyDescent="0.25">
      <c r="A568" t="s">
        <v>361</v>
      </c>
      <c r="B568" t="s">
        <v>69</v>
      </c>
      <c r="C568">
        <v>244</v>
      </c>
      <c r="D568">
        <v>193</v>
      </c>
      <c r="E568" t="s">
        <v>4308</v>
      </c>
      <c r="F568">
        <v>18194.400000000001</v>
      </c>
    </row>
    <row r="569" spans="1:6" x14ac:dyDescent="0.25">
      <c r="A569" t="s">
        <v>361</v>
      </c>
      <c r="B569" t="s">
        <v>69</v>
      </c>
      <c r="C569">
        <v>244</v>
      </c>
      <c r="D569">
        <v>193</v>
      </c>
      <c r="E569" t="s">
        <v>4309</v>
      </c>
      <c r="F569">
        <v>99.71</v>
      </c>
    </row>
    <row r="570" spans="1:6" x14ac:dyDescent="0.25">
      <c r="A570" t="s">
        <v>317</v>
      </c>
      <c r="B570" t="s">
        <v>318</v>
      </c>
      <c r="C570">
        <v>267</v>
      </c>
      <c r="D570">
        <v>254</v>
      </c>
      <c r="E570" t="s">
        <v>4302</v>
      </c>
      <c r="F570">
        <v>0</v>
      </c>
    </row>
    <row r="571" spans="1:6" x14ac:dyDescent="0.25">
      <c r="A571" t="s">
        <v>317</v>
      </c>
      <c r="B571" t="s">
        <v>318</v>
      </c>
      <c r="C571">
        <v>267</v>
      </c>
      <c r="D571">
        <v>254</v>
      </c>
      <c r="E571" t="s">
        <v>4303</v>
      </c>
      <c r="F571">
        <v>0</v>
      </c>
    </row>
    <row r="572" spans="1:6" x14ac:dyDescent="0.25">
      <c r="A572" t="s">
        <v>317</v>
      </c>
      <c r="B572" t="s">
        <v>318</v>
      </c>
      <c r="C572">
        <v>267</v>
      </c>
      <c r="D572">
        <v>254</v>
      </c>
      <c r="E572" t="s">
        <v>4304</v>
      </c>
      <c r="F572">
        <v>0</v>
      </c>
    </row>
    <row r="573" spans="1:6" x14ac:dyDescent="0.25">
      <c r="A573" t="s">
        <v>317</v>
      </c>
      <c r="B573" t="s">
        <v>318</v>
      </c>
      <c r="C573">
        <v>267</v>
      </c>
      <c r="D573">
        <v>254</v>
      </c>
      <c r="E573" t="s">
        <v>4305</v>
      </c>
      <c r="F573">
        <v>0</v>
      </c>
    </row>
    <row r="574" spans="1:6" x14ac:dyDescent="0.25">
      <c r="A574" t="s">
        <v>317</v>
      </c>
      <c r="B574" t="s">
        <v>318</v>
      </c>
      <c r="C574">
        <v>267</v>
      </c>
      <c r="D574">
        <v>254</v>
      </c>
      <c r="E574" t="s">
        <v>4306</v>
      </c>
      <c r="F574">
        <v>0</v>
      </c>
    </row>
    <row r="575" spans="1:6" x14ac:dyDescent="0.25">
      <c r="A575" t="s">
        <v>317</v>
      </c>
      <c r="B575" t="s">
        <v>318</v>
      </c>
      <c r="C575">
        <v>267</v>
      </c>
      <c r="D575">
        <v>254</v>
      </c>
      <c r="E575" t="s">
        <v>4307</v>
      </c>
      <c r="F575">
        <v>0</v>
      </c>
    </row>
    <row r="576" spans="1:6" x14ac:dyDescent="0.25">
      <c r="A576" t="s">
        <v>317</v>
      </c>
      <c r="B576" t="s">
        <v>318</v>
      </c>
      <c r="C576">
        <v>267</v>
      </c>
      <c r="D576">
        <v>254</v>
      </c>
      <c r="E576" t="s">
        <v>4308</v>
      </c>
      <c r="F576">
        <v>0</v>
      </c>
    </row>
    <row r="577" spans="1:6" x14ac:dyDescent="0.25">
      <c r="A577" t="s">
        <v>317</v>
      </c>
      <c r="B577" t="s">
        <v>318</v>
      </c>
      <c r="C577">
        <v>267</v>
      </c>
      <c r="D577">
        <v>254</v>
      </c>
      <c r="E577" t="s">
        <v>4309</v>
      </c>
      <c r="F577">
        <v>0</v>
      </c>
    </row>
    <row r="578" spans="1:6" x14ac:dyDescent="0.25">
      <c r="A578" t="s">
        <v>317</v>
      </c>
      <c r="B578" t="s">
        <v>319</v>
      </c>
      <c r="C578">
        <v>222</v>
      </c>
      <c r="D578">
        <v>317</v>
      </c>
      <c r="E578" t="s">
        <v>4302</v>
      </c>
      <c r="F578">
        <v>5076.4399999999996</v>
      </c>
    </row>
    <row r="579" spans="1:6" x14ac:dyDescent="0.25">
      <c r="A579" t="s">
        <v>317</v>
      </c>
      <c r="B579" t="s">
        <v>319</v>
      </c>
      <c r="C579">
        <v>222</v>
      </c>
      <c r="D579">
        <v>317</v>
      </c>
      <c r="E579" t="s">
        <v>4303</v>
      </c>
      <c r="F579">
        <v>810.51</v>
      </c>
    </row>
    <row r="580" spans="1:6" x14ac:dyDescent="0.25">
      <c r="A580" t="s">
        <v>317</v>
      </c>
      <c r="B580" t="s">
        <v>319</v>
      </c>
      <c r="C580">
        <v>222</v>
      </c>
      <c r="D580">
        <v>317</v>
      </c>
      <c r="E580" t="s">
        <v>4304</v>
      </c>
      <c r="F580">
        <v>4265.93</v>
      </c>
    </row>
    <row r="581" spans="1:6" x14ac:dyDescent="0.25">
      <c r="A581" t="s">
        <v>317</v>
      </c>
      <c r="B581" t="s">
        <v>319</v>
      </c>
      <c r="C581">
        <v>222</v>
      </c>
      <c r="D581">
        <v>317</v>
      </c>
      <c r="E581" t="s">
        <v>4305</v>
      </c>
      <c r="F581">
        <v>100</v>
      </c>
    </row>
    <row r="582" spans="1:6" x14ac:dyDescent="0.25">
      <c r="A582" t="s">
        <v>317</v>
      </c>
      <c r="B582" t="s">
        <v>319</v>
      </c>
      <c r="C582">
        <v>222</v>
      </c>
      <c r="D582">
        <v>317</v>
      </c>
      <c r="E582" t="s">
        <v>4306</v>
      </c>
      <c r="F582">
        <v>0</v>
      </c>
    </row>
    <row r="583" spans="1:6" x14ac:dyDescent="0.25">
      <c r="A583" t="s">
        <v>317</v>
      </c>
      <c r="B583" t="s">
        <v>319</v>
      </c>
      <c r="C583">
        <v>222</v>
      </c>
      <c r="D583">
        <v>317</v>
      </c>
      <c r="E583" t="s">
        <v>4307</v>
      </c>
      <c r="F583">
        <v>251.45</v>
      </c>
    </row>
    <row r="584" spans="1:6" x14ac:dyDescent="0.25">
      <c r="A584" t="s">
        <v>317</v>
      </c>
      <c r="B584" t="s">
        <v>319</v>
      </c>
      <c r="C584">
        <v>222</v>
      </c>
      <c r="D584">
        <v>317</v>
      </c>
      <c r="E584" t="s">
        <v>4308</v>
      </c>
      <c r="F584">
        <v>4824.99</v>
      </c>
    </row>
    <row r="585" spans="1:6" x14ac:dyDescent="0.25">
      <c r="A585" t="s">
        <v>317</v>
      </c>
      <c r="B585" t="s">
        <v>319</v>
      </c>
      <c r="C585">
        <v>222</v>
      </c>
      <c r="D585">
        <v>317</v>
      </c>
      <c r="E585" t="s">
        <v>4309</v>
      </c>
      <c r="F585">
        <v>95.05</v>
      </c>
    </row>
    <row r="586" spans="1:6" x14ac:dyDescent="0.25">
      <c r="A586" t="s">
        <v>317</v>
      </c>
      <c r="B586" t="s">
        <v>321</v>
      </c>
      <c r="C586">
        <v>117</v>
      </c>
      <c r="D586">
        <v>288</v>
      </c>
      <c r="E586" t="s">
        <v>4302</v>
      </c>
      <c r="F586">
        <v>17754.05</v>
      </c>
    </row>
    <row r="587" spans="1:6" x14ac:dyDescent="0.25">
      <c r="A587" t="s">
        <v>317</v>
      </c>
      <c r="B587" t="s">
        <v>321</v>
      </c>
      <c r="C587">
        <v>117</v>
      </c>
      <c r="D587">
        <v>288</v>
      </c>
      <c r="E587" t="s">
        <v>4303</v>
      </c>
      <c r="F587">
        <v>2827.93</v>
      </c>
    </row>
    <row r="588" spans="1:6" x14ac:dyDescent="0.25">
      <c r="A588" t="s">
        <v>317</v>
      </c>
      <c r="B588" t="s">
        <v>321</v>
      </c>
      <c r="C588">
        <v>117</v>
      </c>
      <c r="D588">
        <v>288</v>
      </c>
      <c r="E588" t="s">
        <v>4304</v>
      </c>
      <c r="F588">
        <v>14926.12</v>
      </c>
    </row>
    <row r="589" spans="1:6" x14ac:dyDescent="0.25">
      <c r="A589" t="s">
        <v>317</v>
      </c>
      <c r="B589" t="s">
        <v>321</v>
      </c>
      <c r="C589">
        <v>117</v>
      </c>
      <c r="D589">
        <v>288</v>
      </c>
      <c r="E589" t="s">
        <v>4305</v>
      </c>
      <c r="F589">
        <v>100</v>
      </c>
    </row>
    <row r="590" spans="1:6" x14ac:dyDescent="0.25">
      <c r="A590" t="s">
        <v>317</v>
      </c>
      <c r="B590" t="s">
        <v>321</v>
      </c>
      <c r="C590">
        <v>117</v>
      </c>
      <c r="D590">
        <v>288</v>
      </c>
      <c r="E590" t="s">
        <v>4306</v>
      </c>
      <c r="F590">
        <v>0</v>
      </c>
    </row>
    <row r="591" spans="1:6" x14ac:dyDescent="0.25">
      <c r="A591" t="s">
        <v>317</v>
      </c>
      <c r="B591" t="s">
        <v>321</v>
      </c>
      <c r="C591">
        <v>117</v>
      </c>
      <c r="D591">
        <v>288</v>
      </c>
      <c r="E591" t="s">
        <v>4307</v>
      </c>
      <c r="F591">
        <v>3562.94</v>
      </c>
    </row>
    <row r="592" spans="1:6" x14ac:dyDescent="0.25">
      <c r="A592" t="s">
        <v>317</v>
      </c>
      <c r="B592" t="s">
        <v>321</v>
      </c>
      <c r="C592">
        <v>117</v>
      </c>
      <c r="D592">
        <v>288</v>
      </c>
      <c r="E592" t="s">
        <v>4308</v>
      </c>
      <c r="F592">
        <v>14191.11</v>
      </c>
    </row>
    <row r="593" spans="1:6" x14ac:dyDescent="0.25">
      <c r="A593" t="s">
        <v>317</v>
      </c>
      <c r="B593" t="s">
        <v>321</v>
      </c>
      <c r="C593">
        <v>117</v>
      </c>
      <c r="D593">
        <v>288</v>
      </c>
      <c r="E593" t="s">
        <v>4309</v>
      </c>
      <c r="F593">
        <v>79.930000000000007</v>
      </c>
    </row>
    <row r="594" spans="1:6" x14ac:dyDescent="0.25">
      <c r="A594" t="s">
        <v>317</v>
      </c>
      <c r="B594" t="s">
        <v>322</v>
      </c>
      <c r="C594">
        <v>285</v>
      </c>
      <c r="D594">
        <v>316</v>
      </c>
      <c r="E594" t="s">
        <v>4302</v>
      </c>
      <c r="F594">
        <v>4771.8999999999996</v>
      </c>
    </row>
    <row r="595" spans="1:6" x14ac:dyDescent="0.25">
      <c r="A595" t="s">
        <v>317</v>
      </c>
      <c r="B595" t="s">
        <v>322</v>
      </c>
      <c r="C595">
        <v>285</v>
      </c>
      <c r="D595">
        <v>316</v>
      </c>
      <c r="E595" t="s">
        <v>4303</v>
      </c>
      <c r="F595">
        <v>761.9</v>
      </c>
    </row>
    <row r="596" spans="1:6" x14ac:dyDescent="0.25">
      <c r="A596" t="s">
        <v>317</v>
      </c>
      <c r="B596" t="s">
        <v>322</v>
      </c>
      <c r="C596">
        <v>285</v>
      </c>
      <c r="D596">
        <v>316</v>
      </c>
      <c r="E596" t="s">
        <v>4304</v>
      </c>
      <c r="F596">
        <v>4010</v>
      </c>
    </row>
    <row r="597" spans="1:6" x14ac:dyDescent="0.25">
      <c r="A597" t="s">
        <v>317</v>
      </c>
      <c r="B597" t="s">
        <v>322</v>
      </c>
      <c r="C597">
        <v>285</v>
      </c>
      <c r="D597">
        <v>316</v>
      </c>
      <c r="E597" t="s">
        <v>4305</v>
      </c>
      <c r="F597">
        <v>100</v>
      </c>
    </row>
    <row r="598" spans="1:6" x14ac:dyDescent="0.25">
      <c r="A598" t="s">
        <v>317</v>
      </c>
      <c r="B598" t="s">
        <v>322</v>
      </c>
      <c r="C598">
        <v>285</v>
      </c>
      <c r="D598">
        <v>316</v>
      </c>
      <c r="E598" t="s">
        <v>4306</v>
      </c>
      <c r="F598">
        <v>0</v>
      </c>
    </row>
    <row r="599" spans="1:6" x14ac:dyDescent="0.25">
      <c r="A599" t="s">
        <v>317</v>
      </c>
      <c r="B599" t="s">
        <v>322</v>
      </c>
      <c r="C599">
        <v>285</v>
      </c>
      <c r="D599">
        <v>316</v>
      </c>
      <c r="E599" t="s">
        <v>4307</v>
      </c>
      <c r="F599">
        <v>0</v>
      </c>
    </row>
    <row r="600" spans="1:6" x14ac:dyDescent="0.25">
      <c r="A600" t="s">
        <v>317</v>
      </c>
      <c r="B600" t="s">
        <v>322</v>
      </c>
      <c r="C600">
        <v>285</v>
      </c>
      <c r="D600">
        <v>316</v>
      </c>
      <c r="E600" t="s">
        <v>4308</v>
      </c>
      <c r="F600">
        <v>4771.8999999999996</v>
      </c>
    </row>
    <row r="601" spans="1:6" x14ac:dyDescent="0.25">
      <c r="A601" t="s">
        <v>317</v>
      </c>
      <c r="B601" t="s">
        <v>322</v>
      </c>
      <c r="C601">
        <v>285</v>
      </c>
      <c r="D601">
        <v>316</v>
      </c>
      <c r="E601" t="s">
        <v>4309</v>
      </c>
      <c r="F601">
        <v>100</v>
      </c>
    </row>
    <row r="602" spans="1:6" x14ac:dyDescent="0.25">
      <c r="A602" t="s">
        <v>317</v>
      </c>
      <c r="B602" t="s">
        <v>39</v>
      </c>
      <c r="C602">
        <v>220</v>
      </c>
      <c r="D602">
        <v>311</v>
      </c>
      <c r="E602" t="s">
        <v>4302</v>
      </c>
      <c r="F602">
        <v>3341.52</v>
      </c>
    </row>
    <row r="603" spans="1:6" x14ac:dyDescent="0.25">
      <c r="A603" t="s">
        <v>317</v>
      </c>
      <c r="B603" t="s">
        <v>39</v>
      </c>
      <c r="C603">
        <v>220</v>
      </c>
      <c r="D603">
        <v>311</v>
      </c>
      <c r="E603" t="s">
        <v>4303</v>
      </c>
      <c r="F603">
        <v>533.52</v>
      </c>
    </row>
    <row r="604" spans="1:6" x14ac:dyDescent="0.25">
      <c r="A604" t="s">
        <v>317</v>
      </c>
      <c r="B604" t="s">
        <v>39</v>
      </c>
      <c r="C604">
        <v>220</v>
      </c>
      <c r="D604">
        <v>311</v>
      </c>
      <c r="E604" t="s">
        <v>4304</v>
      </c>
      <c r="F604">
        <v>0</v>
      </c>
    </row>
    <row r="605" spans="1:6" x14ac:dyDescent="0.25">
      <c r="A605" t="s">
        <v>317</v>
      </c>
      <c r="B605" t="s">
        <v>39</v>
      </c>
      <c r="C605">
        <v>220</v>
      </c>
      <c r="D605">
        <v>311</v>
      </c>
      <c r="E605" t="s">
        <v>4305</v>
      </c>
      <c r="F605">
        <v>0</v>
      </c>
    </row>
    <row r="606" spans="1:6" x14ac:dyDescent="0.25">
      <c r="A606" t="s">
        <v>317</v>
      </c>
      <c r="B606" t="s">
        <v>39</v>
      </c>
      <c r="C606">
        <v>220</v>
      </c>
      <c r="D606">
        <v>311</v>
      </c>
      <c r="E606" t="s">
        <v>4306</v>
      </c>
      <c r="F606">
        <v>0</v>
      </c>
    </row>
    <row r="607" spans="1:6" x14ac:dyDescent="0.25">
      <c r="A607" t="s">
        <v>317</v>
      </c>
      <c r="B607" t="s">
        <v>39</v>
      </c>
      <c r="C607">
        <v>220</v>
      </c>
      <c r="D607">
        <v>311</v>
      </c>
      <c r="E607" t="s">
        <v>4307</v>
      </c>
      <c r="F607">
        <v>0</v>
      </c>
    </row>
    <row r="608" spans="1:6" x14ac:dyDescent="0.25">
      <c r="A608" t="s">
        <v>317</v>
      </c>
      <c r="B608" t="s">
        <v>39</v>
      </c>
      <c r="C608">
        <v>220</v>
      </c>
      <c r="D608">
        <v>311</v>
      </c>
      <c r="E608" t="s">
        <v>4308</v>
      </c>
      <c r="F608">
        <v>3341.52</v>
      </c>
    </row>
    <row r="609" spans="1:6" x14ac:dyDescent="0.25">
      <c r="A609" t="s">
        <v>317</v>
      </c>
      <c r="B609" t="s">
        <v>39</v>
      </c>
      <c r="C609">
        <v>220</v>
      </c>
      <c r="D609">
        <v>311</v>
      </c>
      <c r="E609" t="s">
        <v>4309</v>
      </c>
      <c r="F609">
        <v>100</v>
      </c>
    </row>
    <row r="610" spans="1:6" x14ac:dyDescent="0.25">
      <c r="A610" t="s">
        <v>288</v>
      </c>
      <c r="B610" t="s">
        <v>54</v>
      </c>
      <c r="C610">
        <v>63</v>
      </c>
      <c r="D610">
        <v>185</v>
      </c>
      <c r="E610" t="s">
        <v>4302</v>
      </c>
      <c r="F610">
        <v>18095.64</v>
      </c>
    </row>
    <row r="611" spans="1:6" x14ac:dyDescent="0.25">
      <c r="A611" t="s">
        <v>288</v>
      </c>
      <c r="B611" t="s">
        <v>54</v>
      </c>
      <c r="C611">
        <v>63</v>
      </c>
      <c r="D611">
        <v>185</v>
      </c>
      <c r="E611" t="s">
        <v>4303</v>
      </c>
      <c r="F611">
        <v>2889.21</v>
      </c>
    </row>
    <row r="612" spans="1:6" x14ac:dyDescent="0.25">
      <c r="A612" t="s">
        <v>288</v>
      </c>
      <c r="B612" t="s">
        <v>54</v>
      </c>
      <c r="C612">
        <v>63</v>
      </c>
      <c r="D612">
        <v>185</v>
      </c>
      <c r="E612" t="s">
        <v>4304</v>
      </c>
      <c r="F612">
        <v>0</v>
      </c>
    </row>
    <row r="613" spans="1:6" x14ac:dyDescent="0.25">
      <c r="A613" t="s">
        <v>288</v>
      </c>
      <c r="B613" t="s">
        <v>54</v>
      </c>
      <c r="C613">
        <v>63</v>
      </c>
      <c r="D613">
        <v>185</v>
      </c>
      <c r="E613" t="s">
        <v>4305</v>
      </c>
      <c r="F613">
        <v>0</v>
      </c>
    </row>
    <row r="614" spans="1:6" x14ac:dyDescent="0.25">
      <c r="A614" t="s">
        <v>288</v>
      </c>
      <c r="B614" t="s">
        <v>54</v>
      </c>
      <c r="C614">
        <v>63</v>
      </c>
      <c r="D614">
        <v>185</v>
      </c>
      <c r="E614" t="s">
        <v>4306</v>
      </c>
      <c r="F614">
        <v>0</v>
      </c>
    </row>
    <row r="615" spans="1:6" x14ac:dyDescent="0.25">
      <c r="A615" t="s">
        <v>288</v>
      </c>
      <c r="B615" t="s">
        <v>54</v>
      </c>
      <c r="C615">
        <v>63</v>
      </c>
      <c r="D615">
        <v>185</v>
      </c>
      <c r="E615" t="s">
        <v>4307</v>
      </c>
      <c r="F615">
        <v>0</v>
      </c>
    </row>
    <row r="616" spans="1:6" x14ac:dyDescent="0.25">
      <c r="A616" t="s">
        <v>288</v>
      </c>
      <c r="B616" t="s">
        <v>54</v>
      </c>
      <c r="C616">
        <v>63</v>
      </c>
      <c r="D616">
        <v>185</v>
      </c>
      <c r="E616" t="s">
        <v>4308</v>
      </c>
      <c r="F616">
        <v>18095.64</v>
      </c>
    </row>
    <row r="617" spans="1:6" x14ac:dyDescent="0.25">
      <c r="A617" t="s">
        <v>288</v>
      </c>
      <c r="B617" t="s">
        <v>54</v>
      </c>
      <c r="C617">
        <v>63</v>
      </c>
      <c r="D617">
        <v>185</v>
      </c>
      <c r="E617" t="s">
        <v>4309</v>
      </c>
      <c r="F617">
        <v>100</v>
      </c>
    </row>
    <row r="618" spans="1:6" x14ac:dyDescent="0.25">
      <c r="A618" t="s">
        <v>288</v>
      </c>
      <c r="B618" t="s">
        <v>290</v>
      </c>
      <c r="C618">
        <v>62</v>
      </c>
      <c r="D618">
        <v>184</v>
      </c>
      <c r="E618" t="s">
        <v>4302</v>
      </c>
      <c r="F618">
        <v>4416.1499999999996</v>
      </c>
    </row>
    <row r="619" spans="1:6" x14ac:dyDescent="0.25">
      <c r="A619" t="s">
        <v>288</v>
      </c>
      <c r="B619" t="s">
        <v>290</v>
      </c>
      <c r="C619">
        <v>62</v>
      </c>
      <c r="D619">
        <v>184</v>
      </c>
      <c r="E619" t="s">
        <v>4303</v>
      </c>
      <c r="F619">
        <v>705.09</v>
      </c>
    </row>
    <row r="620" spans="1:6" x14ac:dyDescent="0.25">
      <c r="A620" t="s">
        <v>288</v>
      </c>
      <c r="B620" t="s">
        <v>290</v>
      </c>
      <c r="C620">
        <v>62</v>
      </c>
      <c r="D620">
        <v>184</v>
      </c>
      <c r="E620" t="s">
        <v>4304</v>
      </c>
      <c r="F620">
        <v>3711.06</v>
      </c>
    </row>
    <row r="621" spans="1:6" x14ac:dyDescent="0.25">
      <c r="A621" t="s">
        <v>288</v>
      </c>
      <c r="B621" t="s">
        <v>290</v>
      </c>
      <c r="C621">
        <v>62</v>
      </c>
      <c r="D621">
        <v>184</v>
      </c>
      <c r="E621" t="s">
        <v>4305</v>
      </c>
      <c r="F621">
        <v>100</v>
      </c>
    </row>
    <row r="622" spans="1:6" x14ac:dyDescent="0.25">
      <c r="A622" t="s">
        <v>288</v>
      </c>
      <c r="B622" t="s">
        <v>290</v>
      </c>
      <c r="C622">
        <v>62</v>
      </c>
      <c r="D622">
        <v>184</v>
      </c>
      <c r="E622" t="s">
        <v>4306</v>
      </c>
      <c r="F622">
        <v>0</v>
      </c>
    </row>
    <row r="623" spans="1:6" x14ac:dyDescent="0.25">
      <c r="A623" t="s">
        <v>288</v>
      </c>
      <c r="B623" t="s">
        <v>290</v>
      </c>
      <c r="C623">
        <v>62</v>
      </c>
      <c r="D623">
        <v>184</v>
      </c>
      <c r="E623" t="s">
        <v>4307</v>
      </c>
      <c r="F623">
        <v>94.49</v>
      </c>
    </row>
    <row r="624" spans="1:6" x14ac:dyDescent="0.25">
      <c r="A624" t="s">
        <v>288</v>
      </c>
      <c r="B624" t="s">
        <v>290</v>
      </c>
      <c r="C624">
        <v>62</v>
      </c>
      <c r="D624">
        <v>184</v>
      </c>
      <c r="E624" t="s">
        <v>4308</v>
      </c>
      <c r="F624">
        <v>4321.66</v>
      </c>
    </row>
    <row r="625" spans="1:6" x14ac:dyDescent="0.25">
      <c r="A625" t="s">
        <v>288</v>
      </c>
      <c r="B625" t="s">
        <v>290</v>
      </c>
      <c r="C625">
        <v>62</v>
      </c>
      <c r="D625">
        <v>184</v>
      </c>
      <c r="E625" t="s">
        <v>4309</v>
      </c>
      <c r="F625">
        <v>97.86</v>
      </c>
    </row>
    <row r="626" spans="1:6" x14ac:dyDescent="0.25">
      <c r="A626" t="s">
        <v>288</v>
      </c>
      <c r="B626" t="s">
        <v>286</v>
      </c>
      <c r="C626">
        <v>59</v>
      </c>
      <c r="D626">
        <v>181</v>
      </c>
      <c r="E626" t="s">
        <v>4302</v>
      </c>
      <c r="F626">
        <v>31439.5</v>
      </c>
    </row>
    <row r="627" spans="1:6" x14ac:dyDescent="0.25">
      <c r="A627" t="s">
        <v>288</v>
      </c>
      <c r="B627" t="s">
        <v>286</v>
      </c>
      <c r="C627">
        <v>59</v>
      </c>
      <c r="D627">
        <v>181</v>
      </c>
      <c r="E627" t="s">
        <v>4303</v>
      </c>
      <c r="F627">
        <v>1985.5</v>
      </c>
    </row>
    <row r="628" spans="1:6" x14ac:dyDescent="0.25">
      <c r="A628" t="s">
        <v>288</v>
      </c>
      <c r="B628" t="s">
        <v>286</v>
      </c>
      <c r="C628">
        <v>59</v>
      </c>
      <c r="D628">
        <v>181</v>
      </c>
      <c r="E628" t="s">
        <v>4304</v>
      </c>
      <c r="F628">
        <v>0</v>
      </c>
    </row>
    <row r="629" spans="1:6" x14ac:dyDescent="0.25">
      <c r="A629" t="s">
        <v>288</v>
      </c>
      <c r="B629" t="s">
        <v>286</v>
      </c>
      <c r="C629">
        <v>59</v>
      </c>
      <c r="D629">
        <v>181</v>
      </c>
      <c r="E629" t="s">
        <v>4305</v>
      </c>
      <c r="F629">
        <v>0</v>
      </c>
    </row>
    <row r="630" spans="1:6" x14ac:dyDescent="0.25">
      <c r="A630" t="s">
        <v>288</v>
      </c>
      <c r="B630" t="s">
        <v>286</v>
      </c>
      <c r="C630">
        <v>59</v>
      </c>
      <c r="D630">
        <v>181</v>
      </c>
      <c r="E630" t="s">
        <v>4306</v>
      </c>
      <c r="F630">
        <v>0</v>
      </c>
    </row>
    <row r="631" spans="1:6" x14ac:dyDescent="0.25">
      <c r="A631" t="s">
        <v>288</v>
      </c>
      <c r="B631" t="s">
        <v>286</v>
      </c>
      <c r="C631">
        <v>59</v>
      </c>
      <c r="D631">
        <v>181</v>
      </c>
      <c r="E631" t="s">
        <v>4307</v>
      </c>
      <c r="F631">
        <v>0</v>
      </c>
    </row>
    <row r="632" spans="1:6" x14ac:dyDescent="0.25">
      <c r="A632" t="s">
        <v>288</v>
      </c>
      <c r="B632" t="s">
        <v>286</v>
      </c>
      <c r="C632">
        <v>59</v>
      </c>
      <c r="D632">
        <v>181</v>
      </c>
      <c r="E632" t="s">
        <v>4308</v>
      </c>
      <c r="F632">
        <v>31439.5</v>
      </c>
    </row>
    <row r="633" spans="1:6" x14ac:dyDescent="0.25">
      <c r="A633" t="s">
        <v>288</v>
      </c>
      <c r="B633" t="s">
        <v>286</v>
      </c>
      <c r="C633">
        <v>59</v>
      </c>
      <c r="D633">
        <v>181</v>
      </c>
      <c r="E633" t="s">
        <v>4309</v>
      </c>
      <c r="F633">
        <v>100</v>
      </c>
    </row>
    <row r="634" spans="1:6" x14ac:dyDescent="0.25">
      <c r="A634" t="s">
        <v>288</v>
      </c>
      <c r="B634" t="s">
        <v>292</v>
      </c>
      <c r="C634">
        <v>60</v>
      </c>
      <c r="D634">
        <v>183</v>
      </c>
      <c r="E634" t="s">
        <v>4302</v>
      </c>
      <c r="F634">
        <v>12781.79</v>
      </c>
    </row>
    <row r="635" spans="1:6" x14ac:dyDescent="0.25">
      <c r="A635" t="s">
        <v>288</v>
      </c>
      <c r="B635" t="s">
        <v>292</v>
      </c>
      <c r="C635">
        <v>60</v>
      </c>
      <c r="D635">
        <v>183</v>
      </c>
      <c r="E635" t="s">
        <v>4303</v>
      </c>
      <c r="F635">
        <v>2040.79</v>
      </c>
    </row>
    <row r="636" spans="1:6" x14ac:dyDescent="0.25">
      <c r="A636" t="s">
        <v>288</v>
      </c>
      <c r="B636" t="s">
        <v>292</v>
      </c>
      <c r="C636">
        <v>60</v>
      </c>
      <c r="D636">
        <v>183</v>
      </c>
      <c r="E636" t="s">
        <v>4304</v>
      </c>
      <c r="F636">
        <v>10741</v>
      </c>
    </row>
    <row r="637" spans="1:6" x14ac:dyDescent="0.25">
      <c r="A637" t="s">
        <v>288</v>
      </c>
      <c r="B637" t="s">
        <v>292</v>
      </c>
      <c r="C637">
        <v>60</v>
      </c>
      <c r="D637">
        <v>183</v>
      </c>
      <c r="E637" t="s">
        <v>4305</v>
      </c>
      <c r="F637">
        <v>100</v>
      </c>
    </row>
    <row r="638" spans="1:6" x14ac:dyDescent="0.25">
      <c r="A638" t="s">
        <v>288</v>
      </c>
      <c r="B638" t="s">
        <v>292</v>
      </c>
      <c r="C638">
        <v>60</v>
      </c>
      <c r="D638">
        <v>183</v>
      </c>
      <c r="E638" t="s">
        <v>4306</v>
      </c>
      <c r="F638">
        <v>0</v>
      </c>
    </row>
    <row r="639" spans="1:6" x14ac:dyDescent="0.25">
      <c r="A639" t="s">
        <v>288</v>
      </c>
      <c r="B639" t="s">
        <v>292</v>
      </c>
      <c r="C639">
        <v>60</v>
      </c>
      <c r="D639">
        <v>183</v>
      </c>
      <c r="E639" t="s">
        <v>4307</v>
      </c>
      <c r="F639">
        <v>0</v>
      </c>
    </row>
    <row r="640" spans="1:6" x14ac:dyDescent="0.25">
      <c r="A640" t="s">
        <v>288</v>
      </c>
      <c r="B640" t="s">
        <v>292</v>
      </c>
      <c r="C640">
        <v>60</v>
      </c>
      <c r="D640">
        <v>183</v>
      </c>
      <c r="E640" t="s">
        <v>4308</v>
      </c>
      <c r="F640">
        <v>12781.79</v>
      </c>
    </row>
    <row r="641" spans="1:6" x14ac:dyDescent="0.25">
      <c r="A641" t="s">
        <v>288</v>
      </c>
      <c r="B641" t="s">
        <v>292</v>
      </c>
      <c r="C641">
        <v>60</v>
      </c>
      <c r="D641">
        <v>183</v>
      </c>
      <c r="E641" t="s">
        <v>4309</v>
      </c>
      <c r="F641">
        <v>100</v>
      </c>
    </row>
    <row r="642" spans="1:6" x14ac:dyDescent="0.25">
      <c r="A642" t="s">
        <v>341</v>
      </c>
      <c r="B642" t="s">
        <v>278</v>
      </c>
      <c r="C642">
        <v>283</v>
      </c>
      <c r="D642">
        <v>278</v>
      </c>
      <c r="E642" t="s">
        <v>4302</v>
      </c>
      <c r="F642">
        <v>0</v>
      </c>
    </row>
    <row r="643" spans="1:6" x14ac:dyDescent="0.25">
      <c r="A643" t="s">
        <v>341</v>
      </c>
      <c r="B643" t="s">
        <v>278</v>
      </c>
      <c r="C643">
        <v>283</v>
      </c>
      <c r="D643">
        <v>278</v>
      </c>
      <c r="E643" t="s">
        <v>4303</v>
      </c>
      <c r="F643">
        <v>0</v>
      </c>
    </row>
    <row r="644" spans="1:6" x14ac:dyDescent="0.25">
      <c r="A644" t="s">
        <v>341</v>
      </c>
      <c r="B644" t="s">
        <v>278</v>
      </c>
      <c r="C644">
        <v>283</v>
      </c>
      <c r="D644">
        <v>278</v>
      </c>
      <c r="E644" t="s">
        <v>4304</v>
      </c>
      <c r="F644">
        <v>0</v>
      </c>
    </row>
    <row r="645" spans="1:6" x14ac:dyDescent="0.25">
      <c r="A645" t="s">
        <v>341</v>
      </c>
      <c r="B645" t="s">
        <v>278</v>
      </c>
      <c r="C645">
        <v>283</v>
      </c>
      <c r="D645">
        <v>278</v>
      </c>
      <c r="E645" t="s">
        <v>4305</v>
      </c>
      <c r="F645">
        <v>0</v>
      </c>
    </row>
    <row r="646" spans="1:6" x14ac:dyDescent="0.25">
      <c r="A646" t="s">
        <v>341</v>
      </c>
      <c r="B646" t="s">
        <v>278</v>
      </c>
      <c r="C646">
        <v>283</v>
      </c>
      <c r="D646">
        <v>278</v>
      </c>
      <c r="E646" t="s">
        <v>4306</v>
      </c>
      <c r="F646">
        <v>0</v>
      </c>
    </row>
    <row r="647" spans="1:6" x14ac:dyDescent="0.25">
      <c r="A647" t="s">
        <v>341</v>
      </c>
      <c r="B647" t="s">
        <v>278</v>
      </c>
      <c r="C647">
        <v>283</v>
      </c>
      <c r="D647">
        <v>278</v>
      </c>
      <c r="E647" t="s">
        <v>4307</v>
      </c>
      <c r="F647">
        <v>0</v>
      </c>
    </row>
    <row r="648" spans="1:6" x14ac:dyDescent="0.25">
      <c r="A648" t="s">
        <v>341</v>
      </c>
      <c r="B648" t="s">
        <v>278</v>
      </c>
      <c r="C648">
        <v>283</v>
      </c>
      <c r="D648">
        <v>278</v>
      </c>
      <c r="E648" t="s">
        <v>4308</v>
      </c>
      <c r="F648">
        <v>0</v>
      </c>
    </row>
    <row r="649" spans="1:6" x14ac:dyDescent="0.25">
      <c r="A649" t="s">
        <v>341</v>
      </c>
      <c r="B649" t="s">
        <v>278</v>
      </c>
      <c r="C649">
        <v>283</v>
      </c>
      <c r="D649">
        <v>278</v>
      </c>
      <c r="E649" t="s">
        <v>4309</v>
      </c>
      <c r="F649">
        <v>0</v>
      </c>
    </row>
    <row r="650" spans="1:6" x14ac:dyDescent="0.25">
      <c r="A650" t="s">
        <v>341</v>
      </c>
      <c r="B650" t="s">
        <v>47</v>
      </c>
      <c r="C650">
        <v>135</v>
      </c>
      <c r="D650">
        <v>293</v>
      </c>
      <c r="E650" t="s">
        <v>4302</v>
      </c>
      <c r="F650">
        <v>0</v>
      </c>
    </row>
    <row r="651" spans="1:6" x14ac:dyDescent="0.25">
      <c r="A651" t="s">
        <v>341</v>
      </c>
      <c r="B651" t="s">
        <v>47</v>
      </c>
      <c r="C651">
        <v>135</v>
      </c>
      <c r="D651">
        <v>293</v>
      </c>
      <c r="E651" t="s">
        <v>4303</v>
      </c>
      <c r="F651">
        <v>0</v>
      </c>
    </row>
    <row r="652" spans="1:6" x14ac:dyDescent="0.25">
      <c r="A652" t="s">
        <v>341</v>
      </c>
      <c r="B652" t="s">
        <v>47</v>
      </c>
      <c r="C652">
        <v>135</v>
      </c>
      <c r="D652">
        <v>293</v>
      </c>
      <c r="E652" t="s">
        <v>4304</v>
      </c>
      <c r="F652">
        <v>0</v>
      </c>
    </row>
    <row r="653" spans="1:6" x14ac:dyDescent="0.25">
      <c r="A653" t="s">
        <v>341</v>
      </c>
      <c r="B653" t="s">
        <v>47</v>
      </c>
      <c r="C653">
        <v>135</v>
      </c>
      <c r="D653">
        <v>293</v>
      </c>
      <c r="E653" t="s">
        <v>4305</v>
      </c>
      <c r="F653">
        <v>0</v>
      </c>
    </row>
    <row r="654" spans="1:6" x14ac:dyDescent="0.25">
      <c r="A654" t="s">
        <v>341</v>
      </c>
      <c r="B654" t="s">
        <v>47</v>
      </c>
      <c r="C654">
        <v>135</v>
      </c>
      <c r="D654">
        <v>293</v>
      </c>
      <c r="E654" t="s">
        <v>4306</v>
      </c>
      <c r="F654">
        <v>0</v>
      </c>
    </row>
    <row r="655" spans="1:6" x14ac:dyDescent="0.25">
      <c r="A655" t="s">
        <v>341</v>
      </c>
      <c r="B655" t="s">
        <v>47</v>
      </c>
      <c r="C655">
        <v>135</v>
      </c>
      <c r="D655">
        <v>293</v>
      </c>
      <c r="E655" t="s">
        <v>4307</v>
      </c>
      <c r="F655">
        <v>0</v>
      </c>
    </row>
    <row r="656" spans="1:6" x14ac:dyDescent="0.25">
      <c r="A656" t="s">
        <v>341</v>
      </c>
      <c r="B656" t="s">
        <v>47</v>
      </c>
      <c r="C656">
        <v>135</v>
      </c>
      <c r="D656">
        <v>293</v>
      </c>
      <c r="E656" t="s">
        <v>4308</v>
      </c>
      <c r="F656">
        <v>0</v>
      </c>
    </row>
    <row r="657" spans="1:6" x14ac:dyDescent="0.25">
      <c r="A657" t="s">
        <v>341</v>
      </c>
      <c r="B657" t="s">
        <v>47</v>
      </c>
      <c r="C657">
        <v>135</v>
      </c>
      <c r="D657">
        <v>293</v>
      </c>
      <c r="E657" t="s">
        <v>4309</v>
      </c>
      <c r="F657">
        <v>0</v>
      </c>
    </row>
    <row r="658" spans="1:6" x14ac:dyDescent="0.25">
      <c r="A658" t="s">
        <v>341</v>
      </c>
      <c r="B658" t="s">
        <v>342</v>
      </c>
      <c r="C658">
        <v>284</v>
      </c>
      <c r="D658">
        <v>332</v>
      </c>
      <c r="E658" t="s">
        <v>4302</v>
      </c>
      <c r="F658">
        <v>0</v>
      </c>
    </row>
    <row r="659" spans="1:6" x14ac:dyDescent="0.25">
      <c r="A659" t="s">
        <v>341</v>
      </c>
      <c r="B659" t="s">
        <v>342</v>
      </c>
      <c r="C659">
        <v>284</v>
      </c>
      <c r="D659">
        <v>332</v>
      </c>
      <c r="E659" t="s">
        <v>4303</v>
      </c>
      <c r="F659">
        <v>0</v>
      </c>
    </row>
    <row r="660" spans="1:6" x14ac:dyDescent="0.25">
      <c r="A660" t="s">
        <v>341</v>
      </c>
      <c r="B660" t="s">
        <v>342</v>
      </c>
      <c r="C660">
        <v>284</v>
      </c>
      <c r="D660">
        <v>332</v>
      </c>
      <c r="E660" t="s">
        <v>4304</v>
      </c>
      <c r="F660">
        <v>0</v>
      </c>
    </row>
    <row r="661" spans="1:6" x14ac:dyDescent="0.25">
      <c r="A661" t="s">
        <v>341</v>
      </c>
      <c r="B661" t="s">
        <v>342</v>
      </c>
      <c r="C661">
        <v>284</v>
      </c>
      <c r="D661">
        <v>332</v>
      </c>
      <c r="E661" t="s">
        <v>4305</v>
      </c>
      <c r="F661">
        <v>0</v>
      </c>
    </row>
    <row r="662" spans="1:6" x14ac:dyDescent="0.25">
      <c r="A662" t="s">
        <v>341</v>
      </c>
      <c r="B662" t="s">
        <v>342</v>
      </c>
      <c r="C662">
        <v>284</v>
      </c>
      <c r="D662">
        <v>332</v>
      </c>
      <c r="E662" t="s">
        <v>4306</v>
      </c>
      <c r="F662">
        <v>0</v>
      </c>
    </row>
    <row r="663" spans="1:6" x14ac:dyDescent="0.25">
      <c r="A663" t="s">
        <v>341</v>
      </c>
      <c r="B663" t="s">
        <v>342</v>
      </c>
      <c r="C663">
        <v>284</v>
      </c>
      <c r="D663">
        <v>332</v>
      </c>
      <c r="E663" t="s">
        <v>4307</v>
      </c>
      <c r="F663">
        <v>0</v>
      </c>
    </row>
    <row r="664" spans="1:6" x14ac:dyDescent="0.25">
      <c r="A664" t="s">
        <v>341</v>
      </c>
      <c r="B664" t="s">
        <v>342</v>
      </c>
      <c r="C664">
        <v>284</v>
      </c>
      <c r="D664">
        <v>332</v>
      </c>
      <c r="E664" t="s">
        <v>4308</v>
      </c>
      <c r="F664">
        <v>0</v>
      </c>
    </row>
    <row r="665" spans="1:6" x14ac:dyDescent="0.25">
      <c r="A665" t="s">
        <v>341</v>
      </c>
      <c r="B665" t="s">
        <v>342</v>
      </c>
      <c r="C665">
        <v>284</v>
      </c>
      <c r="D665">
        <v>332</v>
      </c>
      <c r="E665" t="s">
        <v>4309</v>
      </c>
      <c r="F665">
        <v>0</v>
      </c>
    </row>
    <row r="666" spans="1:6" x14ac:dyDescent="0.25">
      <c r="A666" t="s">
        <v>341</v>
      </c>
      <c r="B666" t="s">
        <v>4546</v>
      </c>
      <c r="C666">
        <v>270</v>
      </c>
      <c r="D666">
        <v>340</v>
      </c>
      <c r="E666" t="s">
        <v>4302</v>
      </c>
      <c r="F666">
        <v>0</v>
      </c>
    </row>
    <row r="667" spans="1:6" x14ac:dyDescent="0.25">
      <c r="A667" t="s">
        <v>341</v>
      </c>
      <c r="B667" t="s">
        <v>4546</v>
      </c>
      <c r="C667">
        <v>270</v>
      </c>
      <c r="D667">
        <v>340</v>
      </c>
      <c r="E667" t="s">
        <v>4303</v>
      </c>
      <c r="F667">
        <v>0</v>
      </c>
    </row>
    <row r="668" spans="1:6" x14ac:dyDescent="0.25">
      <c r="A668" t="s">
        <v>341</v>
      </c>
      <c r="B668" t="s">
        <v>4546</v>
      </c>
      <c r="C668">
        <v>270</v>
      </c>
      <c r="D668">
        <v>340</v>
      </c>
      <c r="E668" t="s">
        <v>4304</v>
      </c>
      <c r="F668">
        <v>0</v>
      </c>
    </row>
    <row r="669" spans="1:6" x14ac:dyDescent="0.25">
      <c r="A669" t="s">
        <v>341</v>
      </c>
      <c r="B669" t="s">
        <v>4546</v>
      </c>
      <c r="C669">
        <v>270</v>
      </c>
      <c r="D669">
        <v>340</v>
      </c>
      <c r="E669" t="s">
        <v>4305</v>
      </c>
      <c r="F669">
        <v>0</v>
      </c>
    </row>
    <row r="670" spans="1:6" x14ac:dyDescent="0.25">
      <c r="A670" t="s">
        <v>341</v>
      </c>
      <c r="B670" t="s">
        <v>4546</v>
      </c>
      <c r="C670">
        <v>270</v>
      </c>
      <c r="D670">
        <v>340</v>
      </c>
      <c r="E670" t="s">
        <v>4306</v>
      </c>
      <c r="F670">
        <v>0</v>
      </c>
    </row>
    <row r="671" spans="1:6" x14ac:dyDescent="0.25">
      <c r="A671" t="s">
        <v>341</v>
      </c>
      <c r="B671" t="s">
        <v>4546</v>
      </c>
      <c r="C671">
        <v>270</v>
      </c>
      <c r="D671">
        <v>340</v>
      </c>
      <c r="E671" t="s">
        <v>4307</v>
      </c>
      <c r="F671">
        <v>0</v>
      </c>
    </row>
    <row r="672" spans="1:6" x14ac:dyDescent="0.25">
      <c r="A672" t="s">
        <v>341</v>
      </c>
      <c r="B672" t="s">
        <v>4546</v>
      </c>
      <c r="C672">
        <v>270</v>
      </c>
      <c r="D672">
        <v>340</v>
      </c>
      <c r="E672" t="s">
        <v>4308</v>
      </c>
      <c r="F672">
        <v>0</v>
      </c>
    </row>
    <row r="673" spans="1:6" x14ac:dyDescent="0.25">
      <c r="A673" t="s">
        <v>341</v>
      </c>
      <c r="B673" t="s">
        <v>4546</v>
      </c>
      <c r="C673">
        <v>270</v>
      </c>
      <c r="D673">
        <v>340</v>
      </c>
      <c r="E673" t="s">
        <v>4309</v>
      </c>
      <c r="F673">
        <v>0</v>
      </c>
    </row>
    <row r="674" spans="1:6" x14ac:dyDescent="0.25">
      <c r="A674" t="s">
        <v>59</v>
      </c>
      <c r="B674" t="s">
        <v>47</v>
      </c>
      <c r="C674">
        <v>323</v>
      </c>
      <c r="D674">
        <v>339</v>
      </c>
      <c r="E674" t="s">
        <v>4302</v>
      </c>
      <c r="F674">
        <v>43025.82</v>
      </c>
    </row>
    <row r="675" spans="1:6" x14ac:dyDescent="0.25">
      <c r="A675" t="s">
        <v>59</v>
      </c>
      <c r="B675" t="s">
        <v>47</v>
      </c>
      <c r="C675">
        <v>323</v>
      </c>
      <c r="D675">
        <v>339</v>
      </c>
      <c r="E675" t="s">
        <v>4303</v>
      </c>
      <c r="F675">
        <v>5206.5</v>
      </c>
    </row>
    <row r="676" spans="1:6" x14ac:dyDescent="0.25">
      <c r="A676" t="s">
        <v>59</v>
      </c>
      <c r="B676" t="s">
        <v>47</v>
      </c>
      <c r="C676">
        <v>323</v>
      </c>
      <c r="D676">
        <v>339</v>
      </c>
      <c r="E676" t="s">
        <v>4304</v>
      </c>
      <c r="F676">
        <v>37819.32</v>
      </c>
    </row>
    <row r="677" spans="1:6" x14ac:dyDescent="0.25">
      <c r="A677" t="s">
        <v>59</v>
      </c>
      <c r="B677" t="s">
        <v>47</v>
      </c>
      <c r="C677">
        <v>323</v>
      </c>
      <c r="D677">
        <v>339</v>
      </c>
      <c r="E677" t="s">
        <v>4305</v>
      </c>
      <c r="F677">
        <v>100</v>
      </c>
    </row>
    <row r="678" spans="1:6" x14ac:dyDescent="0.25">
      <c r="A678" t="s">
        <v>59</v>
      </c>
      <c r="B678" t="s">
        <v>47</v>
      </c>
      <c r="C678">
        <v>323</v>
      </c>
      <c r="D678">
        <v>339</v>
      </c>
      <c r="E678" t="s">
        <v>4306</v>
      </c>
      <c r="F678">
        <v>0</v>
      </c>
    </row>
    <row r="679" spans="1:6" x14ac:dyDescent="0.25">
      <c r="A679" t="s">
        <v>59</v>
      </c>
      <c r="B679" t="s">
        <v>47</v>
      </c>
      <c r="C679">
        <v>323</v>
      </c>
      <c r="D679">
        <v>339</v>
      </c>
      <c r="E679" t="s">
        <v>4307</v>
      </c>
      <c r="F679">
        <v>9131.68</v>
      </c>
    </row>
    <row r="680" spans="1:6" x14ac:dyDescent="0.25">
      <c r="A680" t="s">
        <v>59</v>
      </c>
      <c r="B680" t="s">
        <v>47</v>
      </c>
      <c r="C680">
        <v>323</v>
      </c>
      <c r="D680">
        <v>339</v>
      </c>
      <c r="E680" t="s">
        <v>4308</v>
      </c>
      <c r="F680">
        <v>33894.14</v>
      </c>
    </row>
    <row r="681" spans="1:6" x14ac:dyDescent="0.25">
      <c r="A681" t="s">
        <v>59</v>
      </c>
      <c r="B681" t="s">
        <v>47</v>
      </c>
      <c r="C681">
        <v>323</v>
      </c>
      <c r="D681">
        <v>339</v>
      </c>
      <c r="E681" t="s">
        <v>4309</v>
      </c>
      <c r="F681">
        <v>78.78</v>
      </c>
    </row>
    <row r="682" spans="1:6" x14ac:dyDescent="0.25">
      <c r="A682" t="s">
        <v>59</v>
      </c>
      <c r="B682" t="s">
        <v>47</v>
      </c>
      <c r="C682">
        <v>323</v>
      </c>
      <c r="D682">
        <v>76</v>
      </c>
      <c r="E682" t="s">
        <v>4302</v>
      </c>
      <c r="F682">
        <v>40380.550000000003</v>
      </c>
    </row>
    <row r="683" spans="1:6" x14ac:dyDescent="0.25">
      <c r="A683" t="s">
        <v>59</v>
      </c>
      <c r="B683" t="s">
        <v>47</v>
      </c>
      <c r="C683">
        <v>323</v>
      </c>
      <c r="D683">
        <v>76</v>
      </c>
      <c r="E683" t="s">
        <v>4303</v>
      </c>
      <c r="F683">
        <v>6114.68</v>
      </c>
    </row>
    <row r="684" spans="1:6" x14ac:dyDescent="0.25">
      <c r="A684" t="s">
        <v>59</v>
      </c>
      <c r="B684" t="s">
        <v>47</v>
      </c>
      <c r="C684">
        <v>323</v>
      </c>
      <c r="D684">
        <v>76</v>
      </c>
      <c r="E684" t="s">
        <v>4304</v>
      </c>
      <c r="F684">
        <v>34265.870000000003</v>
      </c>
    </row>
    <row r="685" spans="1:6" x14ac:dyDescent="0.25">
      <c r="A685" t="s">
        <v>59</v>
      </c>
      <c r="B685" t="s">
        <v>47</v>
      </c>
      <c r="C685">
        <v>323</v>
      </c>
      <c r="D685">
        <v>76</v>
      </c>
      <c r="E685" t="s">
        <v>4305</v>
      </c>
      <c r="F685">
        <v>100</v>
      </c>
    </row>
    <row r="686" spans="1:6" x14ac:dyDescent="0.25">
      <c r="A686" t="s">
        <v>59</v>
      </c>
      <c r="B686" t="s">
        <v>47</v>
      </c>
      <c r="C686">
        <v>323</v>
      </c>
      <c r="D686">
        <v>76</v>
      </c>
      <c r="E686" t="s">
        <v>4306</v>
      </c>
      <c r="F686">
        <v>0</v>
      </c>
    </row>
    <row r="687" spans="1:6" x14ac:dyDescent="0.25">
      <c r="A687" t="s">
        <v>59</v>
      </c>
      <c r="B687" t="s">
        <v>47</v>
      </c>
      <c r="C687">
        <v>323</v>
      </c>
      <c r="D687">
        <v>76</v>
      </c>
      <c r="E687" t="s">
        <v>4307</v>
      </c>
      <c r="F687">
        <v>82.61</v>
      </c>
    </row>
    <row r="688" spans="1:6" x14ac:dyDescent="0.25">
      <c r="A688" t="s">
        <v>59</v>
      </c>
      <c r="B688" t="s">
        <v>47</v>
      </c>
      <c r="C688">
        <v>323</v>
      </c>
      <c r="D688">
        <v>76</v>
      </c>
      <c r="E688" t="s">
        <v>4308</v>
      </c>
      <c r="F688">
        <v>40297.94</v>
      </c>
    </row>
    <row r="689" spans="1:6" x14ac:dyDescent="0.25">
      <c r="A689" t="s">
        <v>59</v>
      </c>
      <c r="B689" t="s">
        <v>47</v>
      </c>
      <c r="C689">
        <v>323</v>
      </c>
      <c r="D689">
        <v>76</v>
      </c>
      <c r="E689" t="s">
        <v>4309</v>
      </c>
      <c r="F689">
        <v>99.8</v>
      </c>
    </row>
    <row r="690" spans="1:6" x14ac:dyDescent="0.25">
      <c r="A690" t="s">
        <v>59</v>
      </c>
      <c r="B690" t="s">
        <v>44</v>
      </c>
      <c r="C690">
        <v>326</v>
      </c>
      <c r="D690">
        <v>324</v>
      </c>
      <c r="E690" t="s">
        <v>4302</v>
      </c>
      <c r="F690">
        <v>21223.14</v>
      </c>
    </row>
    <row r="691" spans="1:6" x14ac:dyDescent="0.25">
      <c r="A691" t="s">
        <v>59</v>
      </c>
      <c r="B691" t="s">
        <v>44</v>
      </c>
      <c r="C691">
        <v>326</v>
      </c>
      <c r="D691">
        <v>324</v>
      </c>
      <c r="E691" t="s">
        <v>4303</v>
      </c>
      <c r="F691">
        <v>6063.75</v>
      </c>
    </row>
    <row r="692" spans="1:6" x14ac:dyDescent="0.25">
      <c r="A692" t="s">
        <v>59</v>
      </c>
      <c r="B692" t="s">
        <v>44</v>
      </c>
      <c r="C692">
        <v>326</v>
      </c>
      <c r="D692">
        <v>324</v>
      </c>
      <c r="E692" t="s">
        <v>4304</v>
      </c>
      <c r="F692">
        <v>0</v>
      </c>
    </row>
    <row r="693" spans="1:6" x14ac:dyDescent="0.25">
      <c r="A693" t="s">
        <v>59</v>
      </c>
      <c r="B693" t="s">
        <v>44</v>
      </c>
      <c r="C693">
        <v>326</v>
      </c>
      <c r="D693">
        <v>324</v>
      </c>
      <c r="E693" t="s">
        <v>4305</v>
      </c>
      <c r="F693">
        <v>0</v>
      </c>
    </row>
    <row r="694" spans="1:6" x14ac:dyDescent="0.25">
      <c r="A694" t="s">
        <v>59</v>
      </c>
      <c r="B694" t="s">
        <v>44</v>
      </c>
      <c r="C694">
        <v>326</v>
      </c>
      <c r="D694">
        <v>324</v>
      </c>
      <c r="E694" t="s">
        <v>4306</v>
      </c>
      <c r="F694">
        <v>0</v>
      </c>
    </row>
    <row r="695" spans="1:6" x14ac:dyDescent="0.25">
      <c r="A695" t="s">
        <v>59</v>
      </c>
      <c r="B695" t="s">
        <v>44</v>
      </c>
      <c r="C695">
        <v>326</v>
      </c>
      <c r="D695">
        <v>324</v>
      </c>
      <c r="E695" t="s">
        <v>4307</v>
      </c>
      <c r="F695">
        <v>0</v>
      </c>
    </row>
    <row r="696" spans="1:6" x14ac:dyDescent="0.25">
      <c r="A696" t="s">
        <v>59</v>
      </c>
      <c r="B696" t="s">
        <v>44</v>
      </c>
      <c r="C696">
        <v>326</v>
      </c>
      <c r="D696">
        <v>324</v>
      </c>
      <c r="E696" t="s">
        <v>4308</v>
      </c>
      <c r="F696">
        <v>21223.14</v>
      </c>
    </row>
    <row r="697" spans="1:6" x14ac:dyDescent="0.25">
      <c r="A697" t="s">
        <v>59</v>
      </c>
      <c r="B697" t="s">
        <v>44</v>
      </c>
      <c r="C697">
        <v>326</v>
      </c>
      <c r="D697">
        <v>324</v>
      </c>
      <c r="E697" t="s">
        <v>4309</v>
      </c>
      <c r="F697">
        <v>100</v>
      </c>
    </row>
    <row r="698" spans="1:6" x14ac:dyDescent="0.25">
      <c r="A698" t="s">
        <v>59</v>
      </c>
      <c r="B698" t="s">
        <v>44</v>
      </c>
      <c r="C698">
        <v>326</v>
      </c>
      <c r="D698">
        <v>95</v>
      </c>
      <c r="E698" t="s">
        <v>4302</v>
      </c>
      <c r="F698">
        <v>18041.66</v>
      </c>
    </row>
    <row r="699" spans="1:6" x14ac:dyDescent="0.25">
      <c r="A699" t="s">
        <v>59</v>
      </c>
      <c r="B699" t="s">
        <v>44</v>
      </c>
      <c r="C699">
        <v>326</v>
      </c>
      <c r="D699">
        <v>95</v>
      </c>
      <c r="E699" t="s">
        <v>4303</v>
      </c>
      <c r="F699">
        <v>5154.76</v>
      </c>
    </row>
    <row r="700" spans="1:6" x14ac:dyDescent="0.25">
      <c r="A700" t="s">
        <v>59</v>
      </c>
      <c r="B700" t="s">
        <v>44</v>
      </c>
      <c r="C700">
        <v>326</v>
      </c>
      <c r="D700">
        <v>95</v>
      </c>
      <c r="E700" t="s">
        <v>4304</v>
      </c>
      <c r="F700">
        <v>12886.9</v>
      </c>
    </row>
    <row r="701" spans="1:6" x14ac:dyDescent="0.25">
      <c r="A701" t="s">
        <v>59</v>
      </c>
      <c r="B701" t="s">
        <v>44</v>
      </c>
      <c r="C701">
        <v>326</v>
      </c>
      <c r="D701">
        <v>95</v>
      </c>
      <c r="E701" t="s">
        <v>4305</v>
      </c>
      <c r="F701">
        <v>100</v>
      </c>
    </row>
    <row r="702" spans="1:6" x14ac:dyDescent="0.25">
      <c r="A702" t="s">
        <v>59</v>
      </c>
      <c r="B702" t="s">
        <v>44</v>
      </c>
      <c r="C702">
        <v>326</v>
      </c>
      <c r="D702">
        <v>95</v>
      </c>
      <c r="E702" t="s">
        <v>4306</v>
      </c>
      <c r="F702">
        <v>0</v>
      </c>
    </row>
    <row r="703" spans="1:6" x14ac:dyDescent="0.25">
      <c r="A703" t="s">
        <v>59</v>
      </c>
      <c r="B703" t="s">
        <v>44</v>
      </c>
      <c r="C703">
        <v>326</v>
      </c>
      <c r="D703">
        <v>95</v>
      </c>
      <c r="E703" t="s">
        <v>4307</v>
      </c>
      <c r="F703">
        <v>0</v>
      </c>
    </row>
    <row r="704" spans="1:6" x14ac:dyDescent="0.25">
      <c r="A704" t="s">
        <v>59</v>
      </c>
      <c r="B704" t="s">
        <v>44</v>
      </c>
      <c r="C704">
        <v>326</v>
      </c>
      <c r="D704">
        <v>95</v>
      </c>
      <c r="E704" t="s">
        <v>4308</v>
      </c>
      <c r="F704">
        <v>18041.66</v>
      </c>
    </row>
    <row r="705" spans="1:6" x14ac:dyDescent="0.25">
      <c r="A705" t="s">
        <v>59</v>
      </c>
      <c r="B705" t="s">
        <v>44</v>
      </c>
      <c r="C705">
        <v>326</v>
      </c>
      <c r="D705">
        <v>95</v>
      </c>
      <c r="E705" t="s">
        <v>4309</v>
      </c>
      <c r="F705">
        <v>100</v>
      </c>
    </row>
    <row r="706" spans="1:6" x14ac:dyDescent="0.25">
      <c r="A706" t="s">
        <v>59</v>
      </c>
      <c r="B706" t="s">
        <v>49</v>
      </c>
      <c r="C706">
        <v>321</v>
      </c>
      <c r="D706">
        <v>164</v>
      </c>
      <c r="E706" t="s">
        <v>4302</v>
      </c>
      <c r="F706">
        <v>16410.400000000001</v>
      </c>
    </row>
    <row r="707" spans="1:6" x14ac:dyDescent="0.25">
      <c r="A707" t="s">
        <v>59</v>
      </c>
      <c r="B707" t="s">
        <v>49</v>
      </c>
      <c r="C707">
        <v>321</v>
      </c>
      <c r="D707">
        <v>164</v>
      </c>
      <c r="E707" t="s">
        <v>4303</v>
      </c>
      <c r="F707">
        <v>4688.68</v>
      </c>
    </row>
    <row r="708" spans="1:6" x14ac:dyDescent="0.25">
      <c r="A708" t="s">
        <v>59</v>
      </c>
      <c r="B708" t="s">
        <v>49</v>
      </c>
      <c r="C708">
        <v>321</v>
      </c>
      <c r="D708">
        <v>164</v>
      </c>
      <c r="E708" t="s">
        <v>4304</v>
      </c>
      <c r="F708">
        <v>5564.23</v>
      </c>
    </row>
    <row r="709" spans="1:6" x14ac:dyDescent="0.25">
      <c r="A709" t="s">
        <v>59</v>
      </c>
      <c r="B709" t="s">
        <v>49</v>
      </c>
      <c r="C709">
        <v>321</v>
      </c>
      <c r="D709">
        <v>164</v>
      </c>
      <c r="E709" t="s">
        <v>4305</v>
      </c>
      <c r="F709">
        <v>47.47</v>
      </c>
    </row>
    <row r="710" spans="1:6" x14ac:dyDescent="0.25">
      <c r="A710" t="s">
        <v>59</v>
      </c>
      <c r="B710" t="s">
        <v>49</v>
      </c>
      <c r="C710">
        <v>321</v>
      </c>
      <c r="D710">
        <v>164</v>
      </c>
      <c r="E710" t="s">
        <v>4306</v>
      </c>
      <c r="F710">
        <v>0</v>
      </c>
    </row>
    <row r="711" spans="1:6" x14ac:dyDescent="0.25">
      <c r="A711" t="s">
        <v>59</v>
      </c>
      <c r="B711" t="s">
        <v>49</v>
      </c>
      <c r="C711">
        <v>321</v>
      </c>
      <c r="D711">
        <v>164</v>
      </c>
      <c r="E711" t="s">
        <v>4307</v>
      </c>
      <c r="F711">
        <v>1766.74</v>
      </c>
    </row>
    <row r="712" spans="1:6" x14ac:dyDescent="0.25">
      <c r="A712" t="s">
        <v>59</v>
      </c>
      <c r="B712" t="s">
        <v>49</v>
      </c>
      <c r="C712">
        <v>321</v>
      </c>
      <c r="D712">
        <v>164</v>
      </c>
      <c r="E712" t="s">
        <v>4308</v>
      </c>
      <c r="F712">
        <v>14643.66</v>
      </c>
    </row>
    <row r="713" spans="1:6" x14ac:dyDescent="0.25">
      <c r="A713" t="s">
        <v>59</v>
      </c>
      <c r="B713" t="s">
        <v>49</v>
      </c>
      <c r="C713">
        <v>321</v>
      </c>
      <c r="D713">
        <v>164</v>
      </c>
      <c r="E713" t="s">
        <v>4309</v>
      </c>
      <c r="F713">
        <v>89.23</v>
      </c>
    </row>
    <row r="714" spans="1:6" x14ac:dyDescent="0.25">
      <c r="A714" t="s">
        <v>59</v>
      </c>
      <c r="B714" t="s">
        <v>49</v>
      </c>
      <c r="C714">
        <v>321</v>
      </c>
      <c r="D714">
        <v>69</v>
      </c>
      <c r="E714" t="s">
        <v>4302</v>
      </c>
      <c r="F714">
        <v>14694.23</v>
      </c>
    </row>
    <row r="715" spans="1:6" x14ac:dyDescent="0.25">
      <c r="A715" t="s">
        <v>59</v>
      </c>
      <c r="B715" t="s">
        <v>49</v>
      </c>
      <c r="C715">
        <v>321</v>
      </c>
      <c r="D715">
        <v>69</v>
      </c>
      <c r="E715" t="s">
        <v>4303</v>
      </c>
      <c r="F715">
        <v>4198.3500000000004</v>
      </c>
    </row>
    <row r="716" spans="1:6" x14ac:dyDescent="0.25">
      <c r="A716" t="s">
        <v>59</v>
      </c>
      <c r="B716" t="s">
        <v>49</v>
      </c>
      <c r="C716">
        <v>321</v>
      </c>
      <c r="D716">
        <v>69</v>
      </c>
      <c r="E716" t="s">
        <v>4304</v>
      </c>
      <c r="F716">
        <v>10495.88</v>
      </c>
    </row>
    <row r="717" spans="1:6" x14ac:dyDescent="0.25">
      <c r="A717" t="s">
        <v>59</v>
      </c>
      <c r="B717" t="s">
        <v>49</v>
      </c>
      <c r="C717">
        <v>321</v>
      </c>
      <c r="D717">
        <v>69</v>
      </c>
      <c r="E717" t="s">
        <v>4305</v>
      </c>
      <c r="F717">
        <v>100</v>
      </c>
    </row>
    <row r="718" spans="1:6" x14ac:dyDescent="0.25">
      <c r="A718" t="s">
        <v>59</v>
      </c>
      <c r="B718" t="s">
        <v>49</v>
      </c>
      <c r="C718">
        <v>321</v>
      </c>
      <c r="D718">
        <v>69</v>
      </c>
      <c r="E718" t="s">
        <v>4306</v>
      </c>
      <c r="F718">
        <v>0</v>
      </c>
    </row>
    <row r="719" spans="1:6" x14ac:dyDescent="0.25">
      <c r="A719" t="s">
        <v>59</v>
      </c>
      <c r="B719" t="s">
        <v>49</v>
      </c>
      <c r="C719">
        <v>321</v>
      </c>
      <c r="D719">
        <v>69</v>
      </c>
      <c r="E719" t="s">
        <v>4307</v>
      </c>
      <c r="F719">
        <v>12136.71</v>
      </c>
    </row>
    <row r="720" spans="1:6" x14ac:dyDescent="0.25">
      <c r="A720" t="s">
        <v>59</v>
      </c>
      <c r="B720" t="s">
        <v>49</v>
      </c>
      <c r="C720">
        <v>321</v>
      </c>
      <c r="D720">
        <v>69</v>
      </c>
      <c r="E720" t="s">
        <v>4308</v>
      </c>
      <c r="F720">
        <v>2557.52</v>
      </c>
    </row>
    <row r="721" spans="1:6" x14ac:dyDescent="0.25">
      <c r="A721" t="s">
        <v>59</v>
      </c>
      <c r="B721" t="s">
        <v>49</v>
      </c>
      <c r="C721">
        <v>321</v>
      </c>
      <c r="D721">
        <v>69</v>
      </c>
      <c r="E721" t="s">
        <v>4309</v>
      </c>
      <c r="F721">
        <v>17.399999999999999</v>
      </c>
    </row>
    <row r="722" spans="1:6" x14ac:dyDescent="0.25">
      <c r="A722" t="s">
        <v>59</v>
      </c>
      <c r="B722" t="s">
        <v>4547</v>
      </c>
      <c r="C722">
        <v>315</v>
      </c>
      <c r="D722">
        <v>109</v>
      </c>
      <c r="E722" t="s">
        <v>4302</v>
      </c>
      <c r="F722">
        <v>0</v>
      </c>
    </row>
    <row r="723" spans="1:6" x14ac:dyDescent="0.25">
      <c r="A723" t="s">
        <v>59</v>
      </c>
      <c r="B723" t="s">
        <v>4547</v>
      </c>
      <c r="C723">
        <v>315</v>
      </c>
      <c r="D723">
        <v>109</v>
      </c>
      <c r="E723" t="s">
        <v>4303</v>
      </c>
      <c r="F723">
        <v>0</v>
      </c>
    </row>
    <row r="724" spans="1:6" x14ac:dyDescent="0.25">
      <c r="A724" t="s">
        <v>59</v>
      </c>
      <c r="B724" t="s">
        <v>4547</v>
      </c>
      <c r="C724">
        <v>315</v>
      </c>
      <c r="D724">
        <v>109</v>
      </c>
      <c r="E724" t="s">
        <v>4304</v>
      </c>
      <c r="F724">
        <v>0</v>
      </c>
    </row>
    <row r="725" spans="1:6" x14ac:dyDescent="0.25">
      <c r="A725" t="s">
        <v>59</v>
      </c>
      <c r="B725" t="s">
        <v>4547</v>
      </c>
      <c r="C725">
        <v>315</v>
      </c>
      <c r="D725">
        <v>109</v>
      </c>
      <c r="E725" t="s">
        <v>4305</v>
      </c>
      <c r="F725">
        <v>0</v>
      </c>
    </row>
    <row r="726" spans="1:6" x14ac:dyDescent="0.25">
      <c r="A726" t="s">
        <v>59</v>
      </c>
      <c r="B726" t="s">
        <v>4547</v>
      </c>
      <c r="C726">
        <v>315</v>
      </c>
      <c r="D726">
        <v>109</v>
      </c>
      <c r="E726" t="s">
        <v>4306</v>
      </c>
      <c r="F726">
        <v>0</v>
      </c>
    </row>
    <row r="727" spans="1:6" x14ac:dyDescent="0.25">
      <c r="A727" t="s">
        <v>59</v>
      </c>
      <c r="B727" t="s">
        <v>4547</v>
      </c>
      <c r="C727">
        <v>315</v>
      </c>
      <c r="D727">
        <v>109</v>
      </c>
      <c r="E727" t="s">
        <v>4307</v>
      </c>
      <c r="F727">
        <v>0</v>
      </c>
    </row>
    <row r="728" spans="1:6" x14ac:dyDescent="0.25">
      <c r="A728" t="s">
        <v>59</v>
      </c>
      <c r="B728" t="s">
        <v>4547</v>
      </c>
      <c r="C728">
        <v>315</v>
      </c>
      <c r="D728">
        <v>109</v>
      </c>
      <c r="E728" t="s">
        <v>4308</v>
      </c>
      <c r="F728">
        <v>0</v>
      </c>
    </row>
    <row r="729" spans="1:6" x14ac:dyDescent="0.25">
      <c r="A729" t="s">
        <v>59</v>
      </c>
      <c r="B729" t="s">
        <v>4547</v>
      </c>
      <c r="C729">
        <v>315</v>
      </c>
      <c r="D729">
        <v>109</v>
      </c>
      <c r="E729" t="s">
        <v>4309</v>
      </c>
      <c r="F729">
        <v>0</v>
      </c>
    </row>
    <row r="730" spans="1:6" x14ac:dyDescent="0.25">
      <c r="A730" t="s">
        <v>59</v>
      </c>
      <c r="B730" t="s">
        <v>4547</v>
      </c>
      <c r="C730">
        <v>315</v>
      </c>
      <c r="D730">
        <v>328</v>
      </c>
      <c r="E730" t="s">
        <v>4302</v>
      </c>
      <c r="F730">
        <v>0</v>
      </c>
    </row>
    <row r="731" spans="1:6" x14ac:dyDescent="0.25">
      <c r="A731" t="s">
        <v>59</v>
      </c>
      <c r="B731" t="s">
        <v>4547</v>
      </c>
      <c r="C731">
        <v>315</v>
      </c>
      <c r="D731">
        <v>328</v>
      </c>
      <c r="E731" t="s">
        <v>4303</v>
      </c>
      <c r="F731">
        <v>0</v>
      </c>
    </row>
    <row r="732" spans="1:6" x14ac:dyDescent="0.25">
      <c r="A732" t="s">
        <v>59</v>
      </c>
      <c r="B732" t="s">
        <v>4547</v>
      </c>
      <c r="C732">
        <v>315</v>
      </c>
      <c r="D732">
        <v>328</v>
      </c>
      <c r="E732" t="s">
        <v>4304</v>
      </c>
      <c r="F732">
        <v>0</v>
      </c>
    </row>
    <row r="733" spans="1:6" x14ac:dyDescent="0.25">
      <c r="A733" t="s">
        <v>59</v>
      </c>
      <c r="B733" t="s">
        <v>4547</v>
      </c>
      <c r="C733">
        <v>315</v>
      </c>
      <c r="D733">
        <v>328</v>
      </c>
      <c r="E733" t="s">
        <v>4305</v>
      </c>
      <c r="F733">
        <v>0</v>
      </c>
    </row>
    <row r="734" spans="1:6" x14ac:dyDescent="0.25">
      <c r="A734" t="s">
        <v>59</v>
      </c>
      <c r="B734" t="s">
        <v>4547</v>
      </c>
      <c r="C734">
        <v>315</v>
      </c>
      <c r="D734">
        <v>328</v>
      </c>
      <c r="E734" t="s">
        <v>4306</v>
      </c>
      <c r="F734">
        <v>0</v>
      </c>
    </row>
    <row r="735" spans="1:6" x14ac:dyDescent="0.25">
      <c r="A735" t="s">
        <v>59</v>
      </c>
      <c r="B735" t="s">
        <v>4547</v>
      </c>
      <c r="C735">
        <v>315</v>
      </c>
      <c r="D735">
        <v>328</v>
      </c>
      <c r="E735" t="s">
        <v>4307</v>
      </c>
      <c r="F735">
        <v>0</v>
      </c>
    </row>
    <row r="736" spans="1:6" x14ac:dyDescent="0.25">
      <c r="A736" t="s">
        <v>59</v>
      </c>
      <c r="B736" t="s">
        <v>4547</v>
      </c>
      <c r="C736">
        <v>315</v>
      </c>
      <c r="D736">
        <v>328</v>
      </c>
      <c r="E736" t="s">
        <v>4308</v>
      </c>
      <c r="F736">
        <v>0</v>
      </c>
    </row>
    <row r="737" spans="1:6" x14ac:dyDescent="0.25">
      <c r="A737" t="s">
        <v>59</v>
      </c>
      <c r="B737" t="s">
        <v>4547</v>
      </c>
      <c r="C737">
        <v>315</v>
      </c>
      <c r="D737">
        <v>328</v>
      </c>
      <c r="E737" t="s">
        <v>4309</v>
      </c>
      <c r="F737">
        <v>0</v>
      </c>
    </row>
    <row r="738" spans="1:6" x14ac:dyDescent="0.25">
      <c r="A738" t="s">
        <v>59</v>
      </c>
      <c r="B738" t="s">
        <v>52</v>
      </c>
      <c r="C738">
        <v>314</v>
      </c>
      <c r="D738">
        <v>63</v>
      </c>
      <c r="E738" t="s">
        <v>4302</v>
      </c>
      <c r="F738">
        <v>31075.85</v>
      </c>
    </row>
    <row r="739" spans="1:6" x14ac:dyDescent="0.25">
      <c r="A739" t="s">
        <v>59</v>
      </c>
      <c r="B739" t="s">
        <v>52</v>
      </c>
      <c r="C739">
        <v>314</v>
      </c>
      <c r="D739">
        <v>63</v>
      </c>
      <c r="E739" t="s">
        <v>4303</v>
      </c>
      <c r="F739">
        <v>4243.97</v>
      </c>
    </row>
    <row r="740" spans="1:6" x14ac:dyDescent="0.25">
      <c r="A740" t="s">
        <v>59</v>
      </c>
      <c r="B740" t="s">
        <v>52</v>
      </c>
      <c r="C740">
        <v>314</v>
      </c>
      <c r="D740">
        <v>63</v>
      </c>
      <c r="E740" t="s">
        <v>4304</v>
      </c>
      <c r="F740">
        <v>26831.88</v>
      </c>
    </row>
    <row r="741" spans="1:6" x14ac:dyDescent="0.25">
      <c r="A741" t="s">
        <v>59</v>
      </c>
      <c r="B741" t="s">
        <v>52</v>
      </c>
      <c r="C741">
        <v>314</v>
      </c>
      <c r="D741">
        <v>63</v>
      </c>
      <c r="E741" t="s">
        <v>4305</v>
      </c>
      <c r="F741">
        <v>100</v>
      </c>
    </row>
    <row r="742" spans="1:6" x14ac:dyDescent="0.25">
      <c r="A742" t="s">
        <v>59</v>
      </c>
      <c r="B742" t="s">
        <v>52</v>
      </c>
      <c r="C742">
        <v>314</v>
      </c>
      <c r="D742">
        <v>63</v>
      </c>
      <c r="E742" t="s">
        <v>4306</v>
      </c>
      <c r="F742">
        <v>0</v>
      </c>
    </row>
    <row r="743" spans="1:6" x14ac:dyDescent="0.25">
      <c r="A743" t="s">
        <v>59</v>
      </c>
      <c r="B743" t="s">
        <v>52</v>
      </c>
      <c r="C743">
        <v>314</v>
      </c>
      <c r="D743">
        <v>63</v>
      </c>
      <c r="E743" t="s">
        <v>4307</v>
      </c>
      <c r="F743">
        <v>0</v>
      </c>
    </row>
    <row r="744" spans="1:6" x14ac:dyDescent="0.25">
      <c r="A744" t="s">
        <v>59</v>
      </c>
      <c r="B744" t="s">
        <v>52</v>
      </c>
      <c r="C744">
        <v>314</v>
      </c>
      <c r="D744">
        <v>63</v>
      </c>
      <c r="E744" t="s">
        <v>4308</v>
      </c>
      <c r="F744">
        <v>31075.85</v>
      </c>
    </row>
    <row r="745" spans="1:6" x14ac:dyDescent="0.25">
      <c r="A745" t="s">
        <v>59</v>
      </c>
      <c r="B745" t="s">
        <v>52</v>
      </c>
      <c r="C745">
        <v>314</v>
      </c>
      <c r="D745">
        <v>63</v>
      </c>
      <c r="E745" t="s">
        <v>4309</v>
      </c>
      <c r="F745">
        <v>100</v>
      </c>
    </row>
    <row r="746" spans="1:6" x14ac:dyDescent="0.25">
      <c r="A746" t="s">
        <v>59</v>
      </c>
      <c r="B746" t="s">
        <v>21</v>
      </c>
      <c r="C746">
        <v>324</v>
      </c>
      <c r="D746">
        <v>102</v>
      </c>
      <c r="E746" t="s">
        <v>4302</v>
      </c>
      <c r="F746">
        <v>0</v>
      </c>
    </row>
    <row r="747" spans="1:6" x14ac:dyDescent="0.25">
      <c r="A747" t="s">
        <v>59</v>
      </c>
      <c r="B747" t="s">
        <v>21</v>
      </c>
      <c r="C747">
        <v>324</v>
      </c>
      <c r="D747">
        <v>102</v>
      </c>
      <c r="E747" t="s">
        <v>4303</v>
      </c>
      <c r="F747">
        <v>0</v>
      </c>
    </row>
    <row r="748" spans="1:6" x14ac:dyDescent="0.25">
      <c r="A748" t="s">
        <v>59</v>
      </c>
      <c r="B748" t="s">
        <v>21</v>
      </c>
      <c r="C748">
        <v>324</v>
      </c>
      <c r="D748">
        <v>102</v>
      </c>
      <c r="E748" t="s">
        <v>4304</v>
      </c>
      <c r="F748">
        <v>0</v>
      </c>
    </row>
    <row r="749" spans="1:6" x14ac:dyDescent="0.25">
      <c r="A749" t="s">
        <v>59</v>
      </c>
      <c r="B749" t="s">
        <v>21</v>
      </c>
      <c r="C749">
        <v>324</v>
      </c>
      <c r="D749">
        <v>102</v>
      </c>
      <c r="E749" t="s">
        <v>4305</v>
      </c>
      <c r="F749">
        <v>0</v>
      </c>
    </row>
    <row r="750" spans="1:6" x14ac:dyDescent="0.25">
      <c r="A750" t="s">
        <v>59</v>
      </c>
      <c r="B750" t="s">
        <v>21</v>
      </c>
      <c r="C750">
        <v>324</v>
      </c>
      <c r="D750">
        <v>102</v>
      </c>
      <c r="E750" t="s">
        <v>4306</v>
      </c>
      <c r="F750">
        <v>0</v>
      </c>
    </row>
    <row r="751" spans="1:6" x14ac:dyDescent="0.25">
      <c r="A751" t="s">
        <v>59</v>
      </c>
      <c r="B751" t="s">
        <v>21</v>
      </c>
      <c r="C751">
        <v>324</v>
      </c>
      <c r="D751">
        <v>102</v>
      </c>
      <c r="E751" t="s">
        <v>4307</v>
      </c>
      <c r="F751">
        <v>0</v>
      </c>
    </row>
    <row r="752" spans="1:6" x14ac:dyDescent="0.25">
      <c r="A752" t="s">
        <v>59</v>
      </c>
      <c r="B752" t="s">
        <v>21</v>
      </c>
      <c r="C752">
        <v>324</v>
      </c>
      <c r="D752">
        <v>102</v>
      </c>
      <c r="E752" t="s">
        <v>4308</v>
      </c>
      <c r="F752">
        <v>0</v>
      </c>
    </row>
    <row r="753" spans="1:6" x14ac:dyDescent="0.25">
      <c r="A753" t="s">
        <v>59</v>
      </c>
      <c r="B753" t="s">
        <v>21</v>
      </c>
      <c r="C753">
        <v>324</v>
      </c>
      <c r="D753">
        <v>102</v>
      </c>
      <c r="E753" t="s">
        <v>4309</v>
      </c>
      <c r="F753">
        <v>0</v>
      </c>
    </row>
    <row r="754" spans="1:6" x14ac:dyDescent="0.25">
      <c r="A754" t="s">
        <v>59</v>
      </c>
      <c r="B754" t="s">
        <v>21</v>
      </c>
      <c r="C754">
        <v>324</v>
      </c>
      <c r="D754">
        <v>163</v>
      </c>
      <c r="E754" t="s">
        <v>4302</v>
      </c>
      <c r="F754">
        <v>4595.4799999999996</v>
      </c>
    </row>
    <row r="755" spans="1:6" x14ac:dyDescent="0.25">
      <c r="A755" t="s">
        <v>59</v>
      </c>
      <c r="B755" t="s">
        <v>21</v>
      </c>
      <c r="C755">
        <v>324</v>
      </c>
      <c r="D755">
        <v>163</v>
      </c>
      <c r="E755" t="s">
        <v>4303</v>
      </c>
      <c r="F755">
        <v>883.45</v>
      </c>
    </row>
    <row r="756" spans="1:6" x14ac:dyDescent="0.25">
      <c r="A756" t="s">
        <v>59</v>
      </c>
      <c r="B756" t="s">
        <v>21</v>
      </c>
      <c r="C756">
        <v>324</v>
      </c>
      <c r="D756">
        <v>163</v>
      </c>
      <c r="E756" t="s">
        <v>4304</v>
      </c>
      <c r="F756">
        <v>3294.03</v>
      </c>
    </row>
    <row r="757" spans="1:6" x14ac:dyDescent="0.25">
      <c r="A757" t="s">
        <v>59</v>
      </c>
      <c r="B757" t="s">
        <v>21</v>
      </c>
      <c r="C757">
        <v>324</v>
      </c>
      <c r="D757">
        <v>163</v>
      </c>
      <c r="E757" t="s">
        <v>4305</v>
      </c>
      <c r="F757">
        <v>88.74</v>
      </c>
    </row>
    <row r="758" spans="1:6" x14ac:dyDescent="0.25">
      <c r="A758" t="s">
        <v>59</v>
      </c>
      <c r="B758" t="s">
        <v>21</v>
      </c>
      <c r="C758">
        <v>324</v>
      </c>
      <c r="D758">
        <v>163</v>
      </c>
      <c r="E758" t="s">
        <v>4306</v>
      </c>
      <c r="F758">
        <v>0</v>
      </c>
    </row>
    <row r="759" spans="1:6" x14ac:dyDescent="0.25">
      <c r="A759" t="s">
        <v>59</v>
      </c>
      <c r="B759" t="s">
        <v>21</v>
      </c>
      <c r="C759">
        <v>324</v>
      </c>
      <c r="D759">
        <v>163</v>
      </c>
      <c r="E759" t="s">
        <v>4307</v>
      </c>
      <c r="F759">
        <v>0</v>
      </c>
    </row>
    <row r="760" spans="1:6" x14ac:dyDescent="0.25">
      <c r="A760" t="s">
        <v>59</v>
      </c>
      <c r="B760" t="s">
        <v>21</v>
      </c>
      <c r="C760">
        <v>324</v>
      </c>
      <c r="D760">
        <v>163</v>
      </c>
      <c r="E760" t="s">
        <v>4308</v>
      </c>
      <c r="F760">
        <v>4595.4799999999996</v>
      </c>
    </row>
    <row r="761" spans="1:6" x14ac:dyDescent="0.25">
      <c r="A761" t="s">
        <v>59</v>
      </c>
      <c r="B761" t="s">
        <v>21</v>
      </c>
      <c r="C761">
        <v>324</v>
      </c>
      <c r="D761">
        <v>163</v>
      </c>
      <c r="E761" t="s">
        <v>4309</v>
      </c>
      <c r="F761">
        <v>100</v>
      </c>
    </row>
    <row r="762" spans="1:6" x14ac:dyDescent="0.25">
      <c r="A762" t="s">
        <v>59</v>
      </c>
      <c r="B762" t="s">
        <v>382</v>
      </c>
      <c r="C762">
        <v>322</v>
      </c>
      <c r="D762">
        <v>108</v>
      </c>
      <c r="E762" t="s">
        <v>4302</v>
      </c>
      <c r="F762">
        <v>0</v>
      </c>
    </row>
    <row r="763" spans="1:6" x14ac:dyDescent="0.25">
      <c r="A763" t="s">
        <v>59</v>
      </c>
      <c r="B763" t="s">
        <v>382</v>
      </c>
      <c r="C763">
        <v>322</v>
      </c>
      <c r="D763">
        <v>108</v>
      </c>
      <c r="E763" t="s">
        <v>4303</v>
      </c>
      <c r="F763">
        <v>0</v>
      </c>
    </row>
    <row r="764" spans="1:6" x14ac:dyDescent="0.25">
      <c r="A764" t="s">
        <v>59</v>
      </c>
      <c r="B764" t="s">
        <v>382</v>
      </c>
      <c r="C764">
        <v>322</v>
      </c>
      <c r="D764">
        <v>108</v>
      </c>
      <c r="E764" t="s">
        <v>4304</v>
      </c>
      <c r="F764">
        <v>0</v>
      </c>
    </row>
    <row r="765" spans="1:6" x14ac:dyDescent="0.25">
      <c r="A765" t="s">
        <v>59</v>
      </c>
      <c r="B765" t="s">
        <v>382</v>
      </c>
      <c r="C765">
        <v>322</v>
      </c>
      <c r="D765">
        <v>108</v>
      </c>
      <c r="E765" t="s">
        <v>4305</v>
      </c>
      <c r="F765">
        <v>0</v>
      </c>
    </row>
    <row r="766" spans="1:6" x14ac:dyDescent="0.25">
      <c r="A766" t="s">
        <v>59</v>
      </c>
      <c r="B766" t="s">
        <v>382</v>
      </c>
      <c r="C766">
        <v>322</v>
      </c>
      <c r="D766">
        <v>108</v>
      </c>
      <c r="E766" t="s">
        <v>4306</v>
      </c>
      <c r="F766">
        <v>0</v>
      </c>
    </row>
    <row r="767" spans="1:6" x14ac:dyDescent="0.25">
      <c r="A767" t="s">
        <v>59</v>
      </c>
      <c r="B767" t="s">
        <v>382</v>
      </c>
      <c r="C767">
        <v>322</v>
      </c>
      <c r="D767">
        <v>108</v>
      </c>
      <c r="E767" t="s">
        <v>4307</v>
      </c>
      <c r="F767">
        <v>0</v>
      </c>
    </row>
    <row r="768" spans="1:6" x14ac:dyDescent="0.25">
      <c r="A768" t="s">
        <v>59</v>
      </c>
      <c r="B768" t="s">
        <v>382</v>
      </c>
      <c r="C768">
        <v>322</v>
      </c>
      <c r="D768">
        <v>108</v>
      </c>
      <c r="E768" t="s">
        <v>4308</v>
      </c>
      <c r="F768">
        <v>0</v>
      </c>
    </row>
    <row r="769" spans="1:6" x14ac:dyDescent="0.25">
      <c r="A769" t="s">
        <v>59</v>
      </c>
      <c r="B769" t="s">
        <v>382</v>
      </c>
      <c r="C769">
        <v>322</v>
      </c>
      <c r="D769">
        <v>108</v>
      </c>
      <c r="E769" t="s">
        <v>4309</v>
      </c>
      <c r="F769">
        <v>0</v>
      </c>
    </row>
    <row r="770" spans="1:6" x14ac:dyDescent="0.25">
      <c r="A770" t="s">
        <v>59</v>
      </c>
      <c r="B770" t="s">
        <v>382</v>
      </c>
      <c r="C770">
        <v>322</v>
      </c>
      <c r="D770">
        <v>167</v>
      </c>
      <c r="E770" t="s">
        <v>4302</v>
      </c>
      <c r="F770">
        <v>12584.58</v>
      </c>
    </row>
    <row r="771" spans="1:6" x14ac:dyDescent="0.25">
      <c r="A771" t="s">
        <v>59</v>
      </c>
      <c r="B771" t="s">
        <v>382</v>
      </c>
      <c r="C771">
        <v>322</v>
      </c>
      <c r="D771">
        <v>167</v>
      </c>
      <c r="E771" t="s">
        <v>4303</v>
      </c>
      <c r="F771">
        <v>0</v>
      </c>
    </row>
    <row r="772" spans="1:6" x14ac:dyDescent="0.25">
      <c r="A772" t="s">
        <v>59</v>
      </c>
      <c r="B772" t="s">
        <v>382</v>
      </c>
      <c r="C772">
        <v>322</v>
      </c>
      <c r="D772">
        <v>167</v>
      </c>
      <c r="E772" t="s">
        <v>4304</v>
      </c>
      <c r="F772">
        <v>12584.58</v>
      </c>
    </row>
    <row r="773" spans="1:6" x14ac:dyDescent="0.25">
      <c r="A773" t="s">
        <v>59</v>
      </c>
      <c r="B773" t="s">
        <v>382</v>
      </c>
      <c r="C773">
        <v>322</v>
      </c>
      <c r="D773">
        <v>167</v>
      </c>
      <c r="E773" t="s">
        <v>4305</v>
      </c>
      <c r="F773">
        <v>100</v>
      </c>
    </row>
    <row r="774" spans="1:6" x14ac:dyDescent="0.25">
      <c r="A774" t="s">
        <v>59</v>
      </c>
      <c r="B774" t="s">
        <v>382</v>
      </c>
      <c r="C774">
        <v>322</v>
      </c>
      <c r="D774">
        <v>167</v>
      </c>
      <c r="E774" t="s">
        <v>4306</v>
      </c>
      <c r="F774">
        <v>0</v>
      </c>
    </row>
    <row r="775" spans="1:6" x14ac:dyDescent="0.25">
      <c r="A775" t="s">
        <v>59</v>
      </c>
      <c r="B775" t="s">
        <v>382</v>
      </c>
      <c r="C775">
        <v>322</v>
      </c>
      <c r="D775">
        <v>167</v>
      </c>
      <c r="E775" t="s">
        <v>4307</v>
      </c>
      <c r="F775">
        <v>7738.18</v>
      </c>
    </row>
    <row r="776" spans="1:6" x14ac:dyDescent="0.25">
      <c r="A776" t="s">
        <v>59</v>
      </c>
      <c r="B776" t="s">
        <v>382</v>
      </c>
      <c r="C776">
        <v>322</v>
      </c>
      <c r="D776">
        <v>167</v>
      </c>
      <c r="E776" t="s">
        <v>4308</v>
      </c>
      <c r="F776">
        <v>4846.3999999999996</v>
      </c>
    </row>
    <row r="777" spans="1:6" x14ac:dyDescent="0.25">
      <c r="A777" t="s">
        <v>59</v>
      </c>
      <c r="B777" t="s">
        <v>382</v>
      </c>
      <c r="C777">
        <v>322</v>
      </c>
      <c r="D777">
        <v>167</v>
      </c>
      <c r="E777" t="s">
        <v>4309</v>
      </c>
      <c r="F777">
        <v>38.51</v>
      </c>
    </row>
    <row r="778" spans="1:6" x14ac:dyDescent="0.25">
      <c r="A778" t="s">
        <v>59</v>
      </c>
      <c r="B778" t="s">
        <v>41</v>
      </c>
      <c r="C778">
        <v>320</v>
      </c>
      <c r="D778">
        <v>67</v>
      </c>
      <c r="E778" t="s">
        <v>4302</v>
      </c>
      <c r="F778">
        <v>35895.769999999997</v>
      </c>
    </row>
    <row r="779" spans="1:6" x14ac:dyDescent="0.25">
      <c r="A779" t="s">
        <v>59</v>
      </c>
      <c r="B779" t="s">
        <v>41</v>
      </c>
      <c r="C779">
        <v>320</v>
      </c>
      <c r="D779">
        <v>67</v>
      </c>
      <c r="E779" t="s">
        <v>4303</v>
      </c>
      <c r="F779">
        <v>10255.93</v>
      </c>
    </row>
    <row r="780" spans="1:6" x14ac:dyDescent="0.25">
      <c r="A780" t="s">
        <v>59</v>
      </c>
      <c r="B780" t="s">
        <v>41</v>
      </c>
      <c r="C780">
        <v>320</v>
      </c>
      <c r="D780">
        <v>67</v>
      </c>
      <c r="E780" t="s">
        <v>4304</v>
      </c>
      <c r="F780">
        <v>25639.84</v>
      </c>
    </row>
    <row r="781" spans="1:6" x14ac:dyDescent="0.25">
      <c r="A781" t="s">
        <v>59</v>
      </c>
      <c r="B781" t="s">
        <v>41</v>
      </c>
      <c r="C781">
        <v>320</v>
      </c>
      <c r="D781">
        <v>67</v>
      </c>
      <c r="E781" t="s">
        <v>4305</v>
      </c>
      <c r="F781">
        <v>100</v>
      </c>
    </row>
    <row r="782" spans="1:6" x14ac:dyDescent="0.25">
      <c r="A782" t="s">
        <v>59</v>
      </c>
      <c r="B782" t="s">
        <v>41</v>
      </c>
      <c r="C782">
        <v>320</v>
      </c>
      <c r="D782">
        <v>67</v>
      </c>
      <c r="E782" t="s">
        <v>4306</v>
      </c>
      <c r="F782">
        <v>0</v>
      </c>
    </row>
    <row r="783" spans="1:6" x14ac:dyDescent="0.25">
      <c r="A783" t="s">
        <v>59</v>
      </c>
      <c r="B783" t="s">
        <v>41</v>
      </c>
      <c r="C783">
        <v>320</v>
      </c>
      <c r="D783">
        <v>67</v>
      </c>
      <c r="E783" t="s">
        <v>4307</v>
      </c>
      <c r="F783">
        <v>98.92</v>
      </c>
    </row>
    <row r="784" spans="1:6" x14ac:dyDescent="0.25">
      <c r="A784" t="s">
        <v>59</v>
      </c>
      <c r="B784" t="s">
        <v>41</v>
      </c>
      <c r="C784">
        <v>320</v>
      </c>
      <c r="D784">
        <v>67</v>
      </c>
      <c r="E784" t="s">
        <v>4308</v>
      </c>
      <c r="F784">
        <v>35796.85</v>
      </c>
    </row>
    <row r="785" spans="1:6" x14ac:dyDescent="0.25">
      <c r="A785" t="s">
        <v>59</v>
      </c>
      <c r="B785" t="s">
        <v>41</v>
      </c>
      <c r="C785">
        <v>320</v>
      </c>
      <c r="D785">
        <v>67</v>
      </c>
      <c r="E785" t="s">
        <v>4309</v>
      </c>
      <c r="F785">
        <v>99.72</v>
      </c>
    </row>
    <row r="786" spans="1:6" x14ac:dyDescent="0.25">
      <c r="A786" t="s">
        <v>59</v>
      </c>
      <c r="B786" t="s">
        <v>69</v>
      </c>
      <c r="C786">
        <v>325</v>
      </c>
      <c r="D786">
        <v>244</v>
      </c>
      <c r="E786" t="s">
        <v>4302</v>
      </c>
      <c r="F786">
        <v>61000.26</v>
      </c>
    </row>
    <row r="787" spans="1:6" x14ac:dyDescent="0.25">
      <c r="A787" t="s">
        <v>59</v>
      </c>
      <c r="B787" t="s">
        <v>69</v>
      </c>
      <c r="C787">
        <v>325</v>
      </c>
      <c r="D787">
        <v>244</v>
      </c>
      <c r="E787" t="s">
        <v>4303</v>
      </c>
      <c r="F787">
        <v>13713.23</v>
      </c>
    </row>
    <row r="788" spans="1:6" x14ac:dyDescent="0.25">
      <c r="A788" t="s">
        <v>59</v>
      </c>
      <c r="B788" t="s">
        <v>69</v>
      </c>
      <c r="C788">
        <v>325</v>
      </c>
      <c r="D788">
        <v>244</v>
      </c>
      <c r="E788" t="s">
        <v>4304</v>
      </c>
      <c r="F788">
        <v>47287.03</v>
      </c>
    </row>
    <row r="789" spans="1:6" x14ac:dyDescent="0.25">
      <c r="A789" t="s">
        <v>59</v>
      </c>
      <c r="B789" t="s">
        <v>69</v>
      </c>
      <c r="C789">
        <v>325</v>
      </c>
      <c r="D789">
        <v>244</v>
      </c>
      <c r="E789" t="s">
        <v>4305</v>
      </c>
      <c r="F789">
        <v>100</v>
      </c>
    </row>
    <row r="790" spans="1:6" x14ac:dyDescent="0.25">
      <c r="A790" t="s">
        <v>59</v>
      </c>
      <c r="B790" t="s">
        <v>69</v>
      </c>
      <c r="C790">
        <v>325</v>
      </c>
      <c r="D790">
        <v>244</v>
      </c>
      <c r="E790" t="s">
        <v>4306</v>
      </c>
      <c r="F790">
        <v>0</v>
      </c>
    </row>
    <row r="791" spans="1:6" x14ac:dyDescent="0.25">
      <c r="A791" t="s">
        <v>59</v>
      </c>
      <c r="B791" t="s">
        <v>69</v>
      </c>
      <c r="C791">
        <v>325</v>
      </c>
      <c r="D791">
        <v>244</v>
      </c>
      <c r="E791" t="s">
        <v>4307</v>
      </c>
      <c r="F791">
        <v>0</v>
      </c>
    </row>
    <row r="792" spans="1:6" x14ac:dyDescent="0.25">
      <c r="A792" t="s">
        <v>59</v>
      </c>
      <c r="B792" t="s">
        <v>69</v>
      </c>
      <c r="C792">
        <v>325</v>
      </c>
      <c r="D792">
        <v>244</v>
      </c>
      <c r="E792" t="s">
        <v>4308</v>
      </c>
      <c r="F792">
        <v>61000.26</v>
      </c>
    </row>
    <row r="793" spans="1:6" x14ac:dyDescent="0.25">
      <c r="A793" t="s">
        <v>59</v>
      </c>
      <c r="B793" t="s">
        <v>69</v>
      </c>
      <c r="C793">
        <v>325</v>
      </c>
      <c r="D793">
        <v>244</v>
      </c>
      <c r="E793" t="s">
        <v>4309</v>
      </c>
      <c r="F793">
        <v>100</v>
      </c>
    </row>
    <row r="794" spans="1:6" x14ac:dyDescent="0.25">
      <c r="A794" t="s">
        <v>59</v>
      </c>
      <c r="B794" t="s">
        <v>69</v>
      </c>
      <c r="C794">
        <v>325</v>
      </c>
      <c r="D794">
        <v>75</v>
      </c>
      <c r="E794" t="s">
        <v>4302</v>
      </c>
      <c r="F794">
        <v>36203.74</v>
      </c>
    </row>
    <row r="795" spans="1:6" x14ac:dyDescent="0.25">
      <c r="A795" t="s">
        <v>59</v>
      </c>
      <c r="B795" t="s">
        <v>69</v>
      </c>
      <c r="C795">
        <v>325</v>
      </c>
      <c r="D795">
        <v>75</v>
      </c>
      <c r="E795" t="s">
        <v>4303</v>
      </c>
      <c r="F795">
        <v>8138.82</v>
      </c>
    </row>
    <row r="796" spans="1:6" x14ac:dyDescent="0.25">
      <c r="A796" t="s">
        <v>59</v>
      </c>
      <c r="B796" t="s">
        <v>69</v>
      </c>
      <c r="C796">
        <v>325</v>
      </c>
      <c r="D796">
        <v>75</v>
      </c>
      <c r="E796" t="s">
        <v>4304</v>
      </c>
      <c r="F796">
        <v>28064.92</v>
      </c>
    </row>
    <row r="797" spans="1:6" x14ac:dyDescent="0.25">
      <c r="A797" t="s">
        <v>59</v>
      </c>
      <c r="B797" t="s">
        <v>69</v>
      </c>
      <c r="C797">
        <v>325</v>
      </c>
      <c r="D797">
        <v>75</v>
      </c>
      <c r="E797" t="s">
        <v>4305</v>
      </c>
      <c r="F797">
        <v>100</v>
      </c>
    </row>
    <row r="798" spans="1:6" x14ac:dyDescent="0.25">
      <c r="A798" t="s">
        <v>59</v>
      </c>
      <c r="B798" t="s">
        <v>69</v>
      </c>
      <c r="C798">
        <v>325</v>
      </c>
      <c r="D798">
        <v>75</v>
      </c>
      <c r="E798" t="s">
        <v>4306</v>
      </c>
      <c r="F798">
        <v>0</v>
      </c>
    </row>
    <row r="799" spans="1:6" x14ac:dyDescent="0.25">
      <c r="A799" t="s">
        <v>59</v>
      </c>
      <c r="B799" t="s">
        <v>69</v>
      </c>
      <c r="C799">
        <v>325</v>
      </c>
      <c r="D799">
        <v>75</v>
      </c>
      <c r="E799" t="s">
        <v>4307</v>
      </c>
      <c r="F799">
        <v>36203.74</v>
      </c>
    </row>
    <row r="800" spans="1:6" x14ac:dyDescent="0.25">
      <c r="A800" t="s">
        <v>59</v>
      </c>
      <c r="B800" t="s">
        <v>69</v>
      </c>
      <c r="C800">
        <v>325</v>
      </c>
      <c r="D800">
        <v>75</v>
      </c>
      <c r="E800" t="s">
        <v>4308</v>
      </c>
      <c r="F800">
        <v>0</v>
      </c>
    </row>
    <row r="801" spans="1:6" x14ac:dyDescent="0.25">
      <c r="A801" t="s">
        <v>59</v>
      </c>
      <c r="B801" t="s">
        <v>69</v>
      </c>
      <c r="C801">
        <v>325</v>
      </c>
      <c r="D801">
        <v>75</v>
      </c>
      <c r="E801" t="s">
        <v>4309</v>
      </c>
      <c r="F801">
        <v>0</v>
      </c>
    </row>
    <row r="802" spans="1:6" x14ac:dyDescent="0.25">
      <c r="A802" t="s">
        <v>59</v>
      </c>
      <c r="B802" t="s">
        <v>22</v>
      </c>
      <c r="C802">
        <v>318</v>
      </c>
      <c r="D802">
        <v>292</v>
      </c>
      <c r="E802" t="s">
        <v>4302</v>
      </c>
      <c r="F802">
        <v>10819.36</v>
      </c>
    </row>
    <row r="803" spans="1:6" x14ac:dyDescent="0.25">
      <c r="A803" t="s">
        <v>59</v>
      </c>
      <c r="B803" t="s">
        <v>22</v>
      </c>
      <c r="C803">
        <v>318</v>
      </c>
      <c r="D803">
        <v>292</v>
      </c>
      <c r="E803" t="s">
        <v>4303</v>
      </c>
      <c r="F803">
        <v>1727.45</v>
      </c>
    </row>
    <row r="804" spans="1:6" x14ac:dyDescent="0.25">
      <c r="A804" t="s">
        <v>59</v>
      </c>
      <c r="B804" t="s">
        <v>22</v>
      </c>
      <c r="C804">
        <v>318</v>
      </c>
      <c r="D804">
        <v>292</v>
      </c>
      <c r="E804" t="s">
        <v>4304</v>
      </c>
      <c r="F804">
        <v>9091.91</v>
      </c>
    </row>
    <row r="805" spans="1:6" x14ac:dyDescent="0.25">
      <c r="A805" t="s">
        <v>59</v>
      </c>
      <c r="B805" t="s">
        <v>22</v>
      </c>
      <c r="C805">
        <v>318</v>
      </c>
      <c r="D805">
        <v>292</v>
      </c>
      <c r="E805" t="s">
        <v>4305</v>
      </c>
      <c r="F805">
        <v>100</v>
      </c>
    </row>
    <row r="806" spans="1:6" x14ac:dyDescent="0.25">
      <c r="A806" t="s">
        <v>59</v>
      </c>
      <c r="B806" t="s">
        <v>22</v>
      </c>
      <c r="C806">
        <v>318</v>
      </c>
      <c r="D806">
        <v>292</v>
      </c>
      <c r="E806" t="s">
        <v>4306</v>
      </c>
      <c r="F806">
        <v>0</v>
      </c>
    </row>
    <row r="807" spans="1:6" x14ac:dyDescent="0.25">
      <c r="A807" t="s">
        <v>59</v>
      </c>
      <c r="B807" t="s">
        <v>22</v>
      </c>
      <c r="C807">
        <v>318</v>
      </c>
      <c r="D807">
        <v>292</v>
      </c>
      <c r="E807" t="s">
        <v>4307</v>
      </c>
      <c r="F807">
        <v>0</v>
      </c>
    </row>
    <row r="808" spans="1:6" x14ac:dyDescent="0.25">
      <c r="A808" t="s">
        <v>59</v>
      </c>
      <c r="B808" t="s">
        <v>22</v>
      </c>
      <c r="C808">
        <v>318</v>
      </c>
      <c r="D808">
        <v>292</v>
      </c>
      <c r="E808" t="s">
        <v>4308</v>
      </c>
      <c r="F808">
        <v>10819.36</v>
      </c>
    </row>
    <row r="809" spans="1:6" x14ac:dyDescent="0.25">
      <c r="A809" t="s">
        <v>59</v>
      </c>
      <c r="B809" t="s">
        <v>22</v>
      </c>
      <c r="C809">
        <v>318</v>
      </c>
      <c r="D809">
        <v>292</v>
      </c>
      <c r="E809" t="s">
        <v>4309</v>
      </c>
      <c r="F809">
        <v>100</v>
      </c>
    </row>
    <row r="810" spans="1:6" x14ac:dyDescent="0.25">
      <c r="A810" t="s">
        <v>59</v>
      </c>
      <c r="B810" t="s">
        <v>22</v>
      </c>
      <c r="C810">
        <v>318</v>
      </c>
      <c r="D810">
        <v>51</v>
      </c>
      <c r="E810" t="s">
        <v>4302</v>
      </c>
      <c r="F810">
        <v>11186.13</v>
      </c>
    </row>
    <row r="811" spans="1:6" x14ac:dyDescent="0.25">
      <c r="A811" t="s">
        <v>59</v>
      </c>
      <c r="B811" t="s">
        <v>22</v>
      </c>
      <c r="C811">
        <v>318</v>
      </c>
      <c r="D811">
        <v>51</v>
      </c>
      <c r="E811" t="s">
        <v>4303</v>
      </c>
      <c r="F811">
        <v>1786.01</v>
      </c>
    </row>
    <row r="812" spans="1:6" x14ac:dyDescent="0.25">
      <c r="A812" t="s">
        <v>59</v>
      </c>
      <c r="B812" t="s">
        <v>22</v>
      </c>
      <c r="C812">
        <v>318</v>
      </c>
      <c r="D812">
        <v>51</v>
      </c>
      <c r="E812" t="s">
        <v>4304</v>
      </c>
      <c r="F812">
        <v>9400.1200000000008</v>
      </c>
    </row>
    <row r="813" spans="1:6" x14ac:dyDescent="0.25">
      <c r="A813" t="s">
        <v>59</v>
      </c>
      <c r="B813" t="s">
        <v>22</v>
      </c>
      <c r="C813">
        <v>318</v>
      </c>
      <c r="D813">
        <v>51</v>
      </c>
      <c r="E813" t="s">
        <v>4305</v>
      </c>
      <c r="F813">
        <v>100</v>
      </c>
    </row>
    <row r="814" spans="1:6" x14ac:dyDescent="0.25">
      <c r="A814" t="s">
        <v>59</v>
      </c>
      <c r="B814" t="s">
        <v>22</v>
      </c>
      <c r="C814">
        <v>318</v>
      </c>
      <c r="D814">
        <v>51</v>
      </c>
      <c r="E814" t="s">
        <v>4306</v>
      </c>
      <c r="F814">
        <v>0</v>
      </c>
    </row>
    <row r="815" spans="1:6" x14ac:dyDescent="0.25">
      <c r="A815" t="s">
        <v>59</v>
      </c>
      <c r="B815" t="s">
        <v>22</v>
      </c>
      <c r="C815">
        <v>318</v>
      </c>
      <c r="D815">
        <v>51</v>
      </c>
      <c r="E815" t="s">
        <v>4307</v>
      </c>
      <c r="F815">
        <v>1360.65</v>
      </c>
    </row>
    <row r="816" spans="1:6" x14ac:dyDescent="0.25">
      <c r="A816" t="s">
        <v>59</v>
      </c>
      <c r="B816" t="s">
        <v>22</v>
      </c>
      <c r="C816">
        <v>318</v>
      </c>
      <c r="D816">
        <v>51</v>
      </c>
      <c r="E816" t="s">
        <v>4308</v>
      </c>
      <c r="F816">
        <v>9825.48</v>
      </c>
    </row>
    <row r="817" spans="1:6" x14ac:dyDescent="0.25">
      <c r="A817" t="s">
        <v>59</v>
      </c>
      <c r="B817" t="s">
        <v>22</v>
      </c>
      <c r="C817">
        <v>318</v>
      </c>
      <c r="D817">
        <v>51</v>
      </c>
      <c r="E817" t="s">
        <v>4309</v>
      </c>
      <c r="F817">
        <v>87.84</v>
      </c>
    </row>
    <row r="818" spans="1:6" x14ac:dyDescent="0.25">
      <c r="A818" t="s">
        <v>59</v>
      </c>
      <c r="B818" t="s">
        <v>48</v>
      </c>
      <c r="C818">
        <v>319</v>
      </c>
      <c r="D818">
        <v>56</v>
      </c>
      <c r="E818" t="s">
        <v>4302</v>
      </c>
      <c r="F818">
        <v>9147.06</v>
      </c>
    </row>
    <row r="819" spans="1:6" x14ac:dyDescent="0.25">
      <c r="A819" t="s">
        <v>59</v>
      </c>
      <c r="B819" t="s">
        <v>48</v>
      </c>
      <c r="C819">
        <v>319</v>
      </c>
      <c r="D819">
        <v>56</v>
      </c>
      <c r="E819" t="s">
        <v>4303</v>
      </c>
      <c r="F819">
        <v>1944.65</v>
      </c>
    </row>
    <row r="820" spans="1:6" x14ac:dyDescent="0.25">
      <c r="A820" t="s">
        <v>59</v>
      </c>
      <c r="B820" t="s">
        <v>48</v>
      </c>
      <c r="C820">
        <v>319</v>
      </c>
      <c r="D820">
        <v>56</v>
      </c>
      <c r="E820" t="s">
        <v>4304</v>
      </c>
      <c r="F820">
        <v>7202.41</v>
      </c>
    </row>
    <row r="821" spans="1:6" x14ac:dyDescent="0.25">
      <c r="A821" t="s">
        <v>59</v>
      </c>
      <c r="B821" t="s">
        <v>48</v>
      </c>
      <c r="C821">
        <v>319</v>
      </c>
      <c r="D821">
        <v>56</v>
      </c>
      <c r="E821" t="s">
        <v>4305</v>
      </c>
      <c r="F821">
        <v>100</v>
      </c>
    </row>
    <row r="822" spans="1:6" x14ac:dyDescent="0.25">
      <c r="A822" t="s">
        <v>59</v>
      </c>
      <c r="B822" t="s">
        <v>48</v>
      </c>
      <c r="C822">
        <v>319</v>
      </c>
      <c r="D822">
        <v>56</v>
      </c>
      <c r="E822" t="s">
        <v>4306</v>
      </c>
      <c r="F822">
        <v>0</v>
      </c>
    </row>
    <row r="823" spans="1:6" x14ac:dyDescent="0.25">
      <c r="A823" t="s">
        <v>59</v>
      </c>
      <c r="B823" t="s">
        <v>48</v>
      </c>
      <c r="C823">
        <v>319</v>
      </c>
      <c r="D823">
        <v>56</v>
      </c>
      <c r="E823" t="s">
        <v>4307</v>
      </c>
      <c r="F823">
        <v>40.43</v>
      </c>
    </row>
    <row r="824" spans="1:6" x14ac:dyDescent="0.25">
      <c r="A824" t="s">
        <v>59</v>
      </c>
      <c r="B824" t="s">
        <v>48</v>
      </c>
      <c r="C824">
        <v>319</v>
      </c>
      <c r="D824">
        <v>56</v>
      </c>
      <c r="E824" t="s">
        <v>4308</v>
      </c>
      <c r="F824">
        <v>9106.6299999999992</v>
      </c>
    </row>
    <row r="825" spans="1:6" x14ac:dyDescent="0.25">
      <c r="A825" t="s">
        <v>59</v>
      </c>
      <c r="B825" t="s">
        <v>48</v>
      </c>
      <c r="C825">
        <v>319</v>
      </c>
      <c r="D825">
        <v>56</v>
      </c>
      <c r="E825" t="s">
        <v>4309</v>
      </c>
      <c r="F825">
        <v>99.56</v>
      </c>
    </row>
    <row r="826" spans="1:6" x14ac:dyDescent="0.25">
      <c r="A826" t="s">
        <v>59</v>
      </c>
      <c r="B826" t="s">
        <v>48</v>
      </c>
      <c r="C826">
        <v>319</v>
      </c>
      <c r="D826">
        <v>57</v>
      </c>
      <c r="E826" t="s">
        <v>4302</v>
      </c>
      <c r="F826">
        <v>10990.71</v>
      </c>
    </row>
    <row r="827" spans="1:6" x14ac:dyDescent="0.25">
      <c r="A827" t="s">
        <v>59</v>
      </c>
      <c r="B827" t="s">
        <v>48</v>
      </c>
      <c r="C827">
        <v>319</v>
      </c>
      <c r="D827">
        <v>57</v>
      </c>
      <c r="E827" t="s">
        <v>4303</v>
      </c>
      <c r="F827">
        <v>2336.6</v>
      </c>
    </row>
    <row r="828" spans="1:6" x14ac:dyDescent="0.25">
      <c r="A828" t="s">
        <v>59</v>
      </c>
      <c r="B828" t="s">
        <v>48</v>
      </c>
      <c r="C828">
        <v>319</v>
      </c>
      <c r="D828">
        <v>57</v>
      </c>
      <c r="E828" t="s">
        <v>4304</v>
      </c>
      <c r="F828">
        <v>7162.86</v>
      </c>
    </row>
    <row r="829" spans="1:6" x14ac:dyDescent="0.25">
      <c r="A829" t="s">
        <v>59</v>
      </c>
      <c r="B829" t="s">
        <v>48</v>
      </c>
      <c r="C829">
        <v>319</v>
      </c>
      <c r="D829">
        <v>57</v>
      </c>
      <c r="E829" t="s">
        <v>4305</v>
      </c>
      <c r="F829">
        <v>82.77</v>
      </c>
    </row>
    <row r="830" spans="1:6" x14ac:dyDescent="0.25">
      <c r="A830" t="s">
        <v>59</v>
      </c>
      <c r="B830" t="s">
        <v>48</v>
      </c>
      <c r="C830">
        <v>319</v>
      </c>
      <c r="D830">
        <v>57</v>
      </c>
      <c r="E830" t="s">
        <v>4306</v>
      </c>
      <c r="F830">
        <v>0</v>
      </c>
    </row>
    <row r="831" spans="1:6" x14ac:dyDescent="0.25">
      <c r="A831" t="s">
        <v>59</v>
      </c>
      <c r="B831" t="s">
        <v>48</v>
      </c>
      <c r="C831">
        <v>319</v>
      </c>
      <c r="D831">
        <v>57</v>
      </c>
      <c r="E831" t="s">
        <v>4307</v>
      </c>
      <c r="F831">
        <v>433.74</v>
      </c>
    </row>
    <row r="832" spans="1:6" x14ac:dyDescent="0.25">
      <c r="A832" t="s">
        <v>59</v>
      </c>
      <c r="B832" t="s">
        <v>48</v>
      </c>
      <c r="C832">
        <v>319</v>
      </c>
      <c r="D832">
        <v>57</v>
      </c>
      <c r="E832" t="s">
        <v>4308</v>
      </c>
      <c r="F832">
        <v>10556.97</v>
      </c>
    </row>
    <row r="833" spans="1:6" x14ac:dyDescent="0.25">
      <c r="A833" t="s">
        <v>59</v>
      </c>
      <c r="B833" t="s">
        <v>48</v>
      </c>
      <c r="C833">
        <v>319</v>
      </c>
      <c r="D833">
        <v>57</v>
      </c>
      <c r="E833" t="s">
        <v>4309</v>
      </c>
      <c r="F833">
        <v>96.05</v>
      </c>
    </row>
    <row r="834" spans="1:6" x14ac:dyDescent="0.25">
      <c r="A834" t="s">
        <v>59</v>
      </c>
      <c r="B834" t="s">
        <v>28</v>
      </c>
      <c r="C834">
        <v>317</v>
      </c>
      <c r="D834">
        <v>53</v>
      </c>
      <c r="E834" t="s">
        <v>4302</v>
      </c>
      <c r="F834">
        <v>23103.1</v>
      </c>
    </row>
    <row r="835" spans="1:6" x14ac:dyDescent="0.25">
      <c r="A835" t="s">
        <v>59</v>
      </c>
      <c r="B835" t="s">
        <v>28</v>
      </c>
      <c r="C835">
        <v>317</v>
      </c>
      <c r="D835">
        <v>53</v>
      </c>
      <c r="E835" t="s">
        <v>4303</v>
      </c>
      <c r="F835">
        <v>6600.88</v>
      </c>
    </row>
    <row r="836" spans="1:6" x14ac:dyDescent="0.25">
      <c r="A836" t="s">
        <v>59</v>
      </c>
      <c r="B836" t="s">
        <v>28</v>
      </c>
      <c r="C836">
        <v>317</v>
      </c>
      <c r="D836">
        <v>53</v>
      </c>
      <c r="E836" t="s">
        <v>4304</v>
      </c>
      <c r="F836">
        <v>0</v>
      </c>
    </row>
    <row r="837" spans="1:6" x14ac:dyDescent="0.25">
      <c r="A837" t="s">
        <v>59</v>
      </c>
      <c r="B837" t="s">
        <v>28</v>
      </c>
      <c r="C837">
        <v>317</v>
      </c>
      <c r="D837">
        <v>53</v>
      </c>
      <c r="E837" t="s">
        <v>4305</v>
      </c>
      <c r="F837">
        <v>0</v>
      </c>
    </row>
    <row r="838" spans="1:6" x14ac:dyDescent="0.25">
      <c r="A838" t="s">
        <v>59</v>
      </c>
      <c r="B838" t="s">
        <v>28</v>
      </c>
      <c r="C838">
        <v>317</v>
      </c>
      <c r="D838">
        <v>53</v>
      </c>
      <c r="E838" t="s">
        <v>4306</v>
      </c>
      <c r="F838">
        <v>0</v>
      </c>
    </row>
    <row r="839" spans="1:6" x14ac:dyDescent="0.25">
      <c r="A839" t="s">
        <v>59</v>
      </c>
      <c r="B839" t="s">
        <v>28</v>
      </c>
      <c r="C839">
        <v>317</v>
      </c>
      <c r="D839">
        <v>53</v>
      </c>
      <c r="E839" t="s">
        <v>4307</v>
      </c>
      <c r="F839">
        <v>0</v>
      </c>
    </row>
    <row r="840" spans="1:6" x14ac:dyDescent="0.25">
      <c r="A840" t="s">
        <v>59</v>
      </c>
      <c r="B840" t="s">
        <v>28</v>
      </c>
      <c r="C840">
        <v>317</v>
      </c>
      <c r="D840">
        <v>53</v>
      </c>
      <c r="E840" t="s">
        <v>4308</v>
      </c>
      <c r="F840">
        <v>23103.1</v>
      </c>
    </row>
    <row r="841" spans="1:6" x14ac:dyDescent="0.25">
      <c r="A841" t="s">
        <v>59</v>
      </c>
      <c r="B841" t="s">
        <v>28</v>
      </c>
      <c r="C841">
        <v>317</v>
      </c>
      <c r="D841">
        <v>53</v>
      </c>
      <c r="E841" t="s">
        <v>4309</v>
      </c>
      <c r="F841">
        <v>100</v>
      </c>
    </row>
    <row r="842" spans="1:6" x14ac:dyDescent="0.25">
      <c r="A842" t="s">
        <v>271</v>
      </c>
      <c r="B842" t="s">
        <v>272</v>
      </c>
      <c r="C842">
        <v>229</v>
      </c>
      <c r="D842">
        <v>246</v>
      </c>
      <c r="E842" t="s">
        <v>4302</v>
      </c>
      <c r="F842">
        <v>41448.5</v>
      </c>
    </row>
    <row r="843" spans="1:6" x14ac:dyDescent="0.25">
      <c r="A843" t="s">
        <v>271</v>
      </c>
      <c r="B843" t="s">
        <v>272</v>
      </c>
      <c r="C843">
        <v>229</v>
      </c>
      <c r="D843">
        <v>246</v>
      </c>
      <c r="E843" t="s">
        <v>4303</v>
      </c>
      <c r="F843">
        <v>7968.28</v>
      </c>
    </row>
    <row r="844" spans="1:6" x14ac:dyDescent="0.25">
      <c r="A844" t="s">
        <v>271</v>
      </c>
      <c r="B844" t="s">
        <v>272</v>
      </c>
      <c r="C844">
        <v>229</v>
      </c>
      <c r="D844">
        <v>246</v>
      </c>
      <c r="E844" t="s">
        <v>4304</v>
      </c>
      <c r="F844">
        <v>26646.22</v>
      </c>
    </row>
    <row r="845" spans="1:6" x14ac:dyDescent="0.25">
      <c r="A845" t="s">
        <v>271</v>
      </c>
      <c r="B845" t="s">
        <v>272</v>
      </c>
      <c r="C845">
        <v>229</v>
      </c>
      <c r="D845">
        <v>246</v>
      </c>
      <c r="E845" t="s">
        <v>4305</v>
      </c>
      <c r="F845">
        <v>79.59</v>
      </c>
    </row>
    <row r="846" spans="1:6" x14ac:dyDescent="0.25">
      <c r="A846" t="s">
        <v>271</v>
      </c>
      <c r="B846" t="s">
        <v>272</v>
      </c>
      <c r="C846">
        <v>229</v>
      </c>
      <c r="D846">
        <v>246</v>
      </c>
      <c r="E846" t="s">
        <v>4306</v>
      </c>
      <c r="F846">
        <v>0</v>
      </c>
    </row>
    <row r="847" spans="1:6" x14ac:dyDescent="0.25">
      <c r="A847" t="s">
        <v>271</v>
      </c>
      <c r="B847" t="s">
        <v>272</v>
      </c>
      <c r="C847">
        <v>229</v>
      </c>
      <c r="D847">
        <v>246</v>
      </c>
      <c r="E847" t="s">
        <v>4307</v>
      </c>
      <c r="F847">
        <v>0</v>
      </c>
    </row>
    <row r="848" spans="1:6" x14ac:dyDescent="0.25">
      <c r="A848" t="s">
        <v>271</v>
      </c>
      <c r="B848" t="s">
        <v>272</v>
      </c>
      <c r="C848">
        <v>229</v>
      </c>
      <c r="D848">
        <v>246</v>
      </c>
      <c r="E848" t="s">
        <v>4308</v>
      </c>
      <c r="F848">
        <v>41448.5</v>
      </c>
    </row>
    <row r="849" spans="1:6" x14ac:dyDescent="0.25">
      <c r="A849" t="s">
        <v>271</v>
      </c>
      <c r="B849" t="s">
        <v>272</v>
      </c>
      <c r="C849">
        <v>229</v>
      </c>
      <c r="D849">
        <v>246</v>
      </c>
      <c r="E849" t="s">
        <v>4309</v>
      </c>
      <c r="F849">
        <v>100</v>
      </c>
    </row>
    <row r="850" spans="1:6" x14ac:dyDescent="0.25">
      <c r="A850" t="s">
        <v>271</v>
      </c>
      <c r="B850" t="s">
        <v>274</v>
      </c>
      <c r="C850">
        <v>218</v>
      </c>
      <c r="D850">
        <v>233</v>
      </c>
      <c r="E850" t="s">
        <v>4302</v>
      </c>
      <c r="F850">
        <v>20576.59</v>
      </c>
    </row>
    <row r="851" spans="1:6" x14ac:dyDescent="0.25">
      <c r="A851" t="s">
        <v>271</v>
      </c>
      <c r="B851" t="s">
        <v>274</v>
      </c>
      <c r="C851">
        <v>218</v>
      </c>
      <c r="D851">
        <v>233</v>
      </c>
      <c r="E851" t="s">
        <v>4303</v>
      </c>
      <c r="F851">
        <v>2487.0100000000002</v>
      </c>
    </row>
    <row r="852" spans="1:6" x14ac:dyDescent="0.25">
      <c r="A852" t="s">
        <v>271</v>
      </c>
      <c r="B852" t="s">
        <v>274</v>
      </c>
      <c r="C852">
        <v>218</v>
      </c>
      <c r="D852">
        <v>233</v>
      </c>
      <c r="E852" t="s">
        <v>4304</v>
      </c>
      <c r="F852">
        <v>18089.580000000002</v>
      </c>
    </row>
    <row r="853" spans="1:6" x14ac:dyDescent="0.25">
      <c r="A853" t="s">
        <v>271</v>
      </c>
      <c r="B853" t="s">
        <v>274</v>
      </c>
      <c r="C853">
        <v>218</v>
      </c>
      <c r="D853">
        <v>233</v>
      </c>
      <c r="E853" t="s">
        <v>4305</v>
      </c>
      <c r="F853">
        <v>100</v>
      </c>
    </row>
    <row r="854" spans="1:6" x14ac:dyDescent="0.25">
      <c r="A854" t="s">
        <v>271</v>
      </c>
      <c r="B854" t="s">
        <v>274</v>
      </c>
      <c r="C854">
        <v>218</v>
      </c>
      <c r="D854">
        <v>233</v>
      </c>
      <c r="E854" t="s">
        <v>4306</v>
      </c>
      <c r="F854">
        <v>0</v>
      </c>
    </row>
    <row r="855" spans="1:6" x14ac:dyDescent="0.25">
      <c r="A855" t="s">
        <v>271</v>
      </c>
      <c r="B855" t="s">
        <v>274</v>
      </c>
      <c r="C855">
        <v>218</v>
      </c>
      <c r="D855">
        <v>233</v>
      </c>
      <c r="E855" t="s">
        <v>4307</v>
      </c>
      <c r="F855">
        <v>2365.65</v>
      </c>
    </row>
    <row r="856" spans="1:6" x14ac:dyDescent="0.25">
      <c r="A856" t="s">
        <v>271</v>
      </c>
      <c r="B856" t="s">
        <v>274</v>
      </c>
      <c r="C856">
        <v>218</v>
      </c>
      <c r="D856">
        <v>233</v>
      </c>
      <c r="E856" t="s">
        <v>4308</v>
      </c>
      <c r="F856">
        <v>18210.939999999999</v>
      </c>
    </row>
    <row r="857" spans="1:6" x14ac:dyDescent="0.25">
      <c r="A857" t="s">
        <v>271</v>
      </c>
      <c r="B857" t="s">
        <v>274</v>
      </c>
      <c r="C857">
        <v>218</v>
      </c>
      <c r="D857">
        <v>233</v>
      </c>
      <c r="E857" t="s">
        <v>4309</v>
      </c>
      <c r="F857">
        <v>88.5</v>
      </c>
    </row>
    <row r="858" spans="1:6" x14ac:dyDescent="0.25">
      <c r="A858" t="s">
        <v>271</v>
      </c>
      <c r="B858" t="s">
        <v>275</v>
      </c>
      <c r="C858">
        <v>221</v>
      </c>
      <c r="D858">
        <v>325</v>
      </c>
      <c r="E858" t="s">
        <v>4302</v>
      </c>
      <c r="F858">
        <v>0</v>
      </c>
    </row>
    <row r="859" spans="1:6" x14ac:dyDescent="0.25">
      <c r="A859" t="s">
        <v>271</v>
      </c>
      <c r="B859" t="s">
        <v>275</v>
      </c>
      <c r="C859">
        <v>221</v>
      </c>
      <c r="D859">
        <v>325</v>
      </c>
      <c r="E859" t="s">
        <v>4303</v>
      </c>
      <c r="F859">
        <v>0</v>
      </c>
    </row>
    <row r="860" spans="1:6" x14ac:dyDescent="0.25">
      <c r="A860" t="s">
        <v>271</v>
      </c>
      <c r="B860" t="s">
        <v>275</v>
      </c>
      <c r="C860">
        <v>221</v>
      </c>
      <c r="D860">
        <v>325</v>
      </c>
      <c r="E860" t="s">
        <v>4304</v>
      </c>
      <c r="F860">
        <v>0</v>
      </c>
    </row>
    <row r="861" spans="1:6" x14ac:dyDescent="0.25">
      <c r="A861" t="s">
        <v>271</v>
      </c>
      <c r="B861" t="s">
        <v>275</v>
      </c>
      <c r="C861">
        <v>221</v>
      </c>
      <c r="D861">
        <v>325</v>
      </c>
      <c r="E861" t="s">
        <v>4305</v>
      </c>
      <c r="F861">
        <v>0</v>
      </c>
    </row>
    <row r="862" spans="1:6" x14ac:dyDescent="0.25">
      <c r="A862" t="s">
        <v>271</v>
      </c>
      <c r="B862" t="s">
        <v>275</v>
      </c>
      <c r="C862">
        <v>221</v>
      </c>
      <c r="D862">
        <v>325</v>
      </c>
      <c r="E862" t="s">
        <v>4306</v>
      </c>
      <c r="F862">
        <v>0</v>
      </c>
    </row>
    <row r="863" spans="1:6" x14ac:dyDescent="0.25">
      <c r="A863" t="s">
        <v>271</v>
      </c>
      <c r="B863" t="s">
        <v>275</v>
      </c>
      <c r="C863">
        <v>221</v>
      </c>
      <c r="D863">
        <v>325</v>
      </c>
      <c r="E863" t="s">
        <v>4307</v>
      </c>
      <c r="F863">
        <v>0</v>
      </c>
    </row>
    <row r="864" spans="1:6" x14ac:dyDescent="0.25">
      <c r="A864" t="s">
        <v>271</v>
      </c>
      <c r="B864" t="s">
        <v>275</v>
      </c>
      <c r="C864">
        <v>221</v>
      </c>
      <c r="D864">
        <v>325</v>
      </c>
      <c r="E864" t="s">
        <v>4308</v>
      </c>
      <c r="F864">
        <v>0</v>
      </c>
    </row>
    <row r="865" spans="1:6" x14ac:dyDescent="0.25">
      <c r="A865" t="s">
        <v>271</v>
      </c>
      <c r="B865" t="s">
        <v>275</v>
      </c>
      <c r="C865">
        <v>221</v>
      </c>
      <c r="D865">
        <v>325</v>
      </c>
      <c r="E865" t="s">
        <v>4309</v>
      </c>
      <c r="F865">
        <v>0</v>
      </c>
    </row>
    <row r="866" spans="1:6" x14ac:dyDescent="0.25">
      <c r="A866" t="s">
        <v>271</v>
      </c>
      <c r="B866" t="s">
        <v>276</v>
      </c>
      <c r="C866">
        <v>76</v>
      </c>
      <c r="D866">
        <v>198</v>
      </c>
      <c r="E866" t="s">
        <v>4302</v>
      </c>
      <c r="F866">
        <v>53177.120000000003</v>
      </c>
    </row>
    <row r="867" spans="1:6" x14ac:dyDescent="0.25">
      <c r="A867" t="s">
        <v>271</v>
      </c>
      <c r="B867" t="s">
        <v>276</v>
      </c>
      <c r="C867">
        <v>76</v>
      </c>
      <c r="D867">
        <v>198</v>
      </c>
      <c r="E867" t="s">
        <v>4303</v>
      </c>
      <c r="F867">
        <v>12622.03</v>
      </c>
    </row>
    <row r="868" spans="1:6" x14ac:dyDescent="0.25">
      <c r="A868" t="s">
        <v>271</v>
      </c>
      <c r="B868" t="s">
        <v>276</v>
      </c>
      <c r="C868">
        <v>76</v>
      </c>
      <c r="D868">
        <v>198</v>
      </c>
      <c r="E868" t="s">
        <v>4304</v>
      </c>
      <c r="F868">
        <v>22855.5</v>
      </c>
    </row>
    <row r="869" spans="1:6" x14ac:dyDescent="0.25">
      <c r="A869" t="s">
        <v>271</v>
      </c>
      <c r="B869" t="s">
        <v>276</v>
      </c>
      <c r="C869">
        <v>76</v>
      </c>
      <c r="D869">
        <v>198</v>
      </c>
      <c r="E869" t="s">
        <v>4305</v>
      </c>
      <c r="F869">
        <v>56.36</v>
      </c>
    </row>
    <row r="870" spans="1:6" x14ac:dyDescent="0.25">
      <c r="A870" t="s">
        <v>271</v>
      </c>
      <c r="B870" t="s">
        <v>276</v>
      </c>
      <c r="C870">
        <v>76</v>
      </c>
      <c r="D870">
        <v>198</v>
      </c>
      <c r="E870" t="s">
        <v>4306</v>
      </c>
      <c r="F870">
        <v>0</v>
      </c>
    </row>
    <row r="871" spans="1:6" x14ac:dyDescent="0.25">
      <c r="A871" t="s">
        <v>271</v>
      </c>
      <c r="B871" t="s">
        <v>276</v>
      </c>
      <c r="C871">
        <v>76</v>
      </c>
      <c r="D871">
        <v>198</v>
      </c>
      <c r="E871" t="s">
        <v>4307</v>
      </c>
      <c r="F871">
        <v>825.37</v>
      </c>
    </row>
    <row r="872" spans="1:6" x14ac:dyDescent="0.25">
      <c r="A872" t="s">
        <v>271</v>
      </c>
      <c r="B872" t="s">
        <v>276</v>
      </c>
      <c r="C872">
        <v>76</v>
      </c>
      <c r="D872">
        <v>198</v>
      </c>
      <c r="E872" t="s">
        <v>4308</v>
      </c>
      <c r="F872">
        <v>52351.75</v>
      </c>
    </row>
    <row r="873" spans="1:6" x14ac:dyDescent="0.25">
      <c r="A873" t="s">
        <v>271</v>
      </c>
      <c r="B873" t="s">
        <v>276</v>
      </c>
      <c r="C873">
        <v>76</v>
      </c>
      <c r="D873">
        <v>198</v>
      </c>
      <c r="E873" t="s">
        <v>4309</v>
      </c>
      <c r="F873">
        <v>98.45</v>
      </c>
    </row>
    <row r="874" spans="1:6" x14ac:dyDescent="0.25">
      <c r="A874" t="s">
        <v>57</v>
      </c>
      <c r="B874" t="s">
        <v>29</v>
      </c>
      <c r="C874">
        <v>312</v>
      </c>
      <c r="D874">
        <v>218</v>
      </c>
      <c r="E874" t="s">
        <v>4302</v>
      </c>
      <c r="F874">
        <v>39980.620000000003</v>
      </c>
    </row>
    <row r="875" spans="1:6" x14ac:dyDescent="0.25">
      <c r="A875" t="s">
        <v>57</v>
      </c>
      <c r="B875" t="s">
        <v>29</v>
      </c>
      <c r="C875">
        <v>312</v>
      </c>
      <c r="D875">
        <v>218</v>
      </c>
      <c r="E875" t="s">
        <v>4303</v>
      </c>
      <c r="F875">
        <v>1394.12</v>
      </c>
    </row>
    <row r="876" spans="1:6" x14ac:dyDescent="0.25">
      <c r="A876" t="s">
        <v>57</v>
      </c>
      <c r="B876" t="s">
        <v>29</v>
      </c>
      <c r="C876">
        <v>312</v>
      </c>
      <c r="D876">
        <v>218</v>
      </c>
      <c r="E876" t="s">
        <v>4304</v>
      </c>
      <c r="F876">
        <v>36374.68</v>
      </c>
    </row>
    <row r="877" spans="1:6" x14ac:dyDescent="0.25">
      <c r="A877" t="s">
        <v>57</v>
      </c>
      <c r="B877" t="s">
        <v>29</v>
      </c>
      <c r="C877">
        <v>312</v>
      </c>
      <c r="D877">
        <v>218</v>
      </c>
      <c r="E877" t="s">
        <v>4305</v>
      </c>
      <c r="F877">
        <v>94.27</v>
      </c>
    </row>
    <row r="878" spans="1:6" x14ac:dyDescent="0.25">
      <c r="A878" t="s">
        <v>57</v>
      </c>
      <c r="B878" t="s">
        <v>29</v>
      </c>
      <c r="C878">
        <v>312</v>
      </c>
      <c r="D878">
        <v>218</v>
      </c>
      <c r="E878" t="s">
        <v>4306</v>
      </c>
      <c r="F878">
        <v>0</v>
      </c>
    </row>
    <row r="879" spans="1:6" x14ac:dyDescent="0.25">
      <c r="A879" t="s">
        <v>57</v>
      </c>
      <c r="B879" t="s">
        <v>29</v>
      </c>
      <c r="C879">
        <v>312</v>
      </c>
      <c r="D879">
        <v>218</v>
      </c>
      <c r="E879" t="s">
        <v>4307</v>
      </c>
      <c r="F879">
        <v>93.25</v>
      </c>
    </row>
    <row r="880" spans="1:6" x14ac:dyDescent="0.25">
      <c r="A880" t="s">
        <v>57</v>
      </c>
      <c r="B880" t="s">
        <v>29</v>
      </c>
      <c r="C880">
        <v>312</v>
      </c>
      <c r="D880">
        <v>218</v>
      </c>
      <c r="E880" t="s">
        <v>4308</v>
      </c>
      <c r="F880">
        <v>39887.370000000003</v>
      </c>
    </row>
    <row r="881" spans="1:6" x14ac:dyDescent="0.25">
      <c r="A881" t="s">
        <v>57</v>
      </c>
      <c r="B881" t="s">
        <v>29</v>
      </c>
      <c r="C881">
        <v>312</v>
      </c>
      <c r="D881">
        <v>218</v>
      </c>
      <c r="E881" t="s">
        <v>4309</v>
      </c>
      <c r="F881">
        <v>99.77</v>
      </c>
    </row>
    <row r="882" spans="1:6" x14ac:dyDescent="0.25">
      <c r="A882" t="s">
        <v>57</v>
      </c>
      <c r="B882" t="s">
        <v>29</v>
      </c>
      <c r="C882">
        <v>312</v>
      </c>
      <c r="D882">
        <v>61</v>
      </c>
      <c r="E882" t="s">
        <v>4302</v>
      </c>
      <c r="F882">
        <v>28363.31</v>
      </c>
    </row>
    <row r="883" spans="1:6" x14ac:dyDescent="0.25">
      <c r="A883" t="s">
        <v>57</v>
      </c>
      <c r="B883" t="s">
        <v>29</v>
      </c>
      <c r="C883">
        <v>312</v>
      </c>
      <c r="D883">
        <v>61</v>
      </c>
      <c r="E883" t="s">
        <v>4303</v>
      </c>
      <c r="F883">
        <v>4528.58</v>
      </c>
    </row>
    <row r="884" spans="1:6" x14ac:dyDescent="0.25">
      <c r="A884" t="s">
        <v>57</v>
      </c>
      <c r="B884" t="s">
        <v>29</v>
      </c>
      <c r="C884">
        <v>312</v>
      </c>
      <c r="D884">
        <v>61</v>
      </c>
      <c r="E884" t="s">
        <v>4304</v>
      </c>
      <c r="F884">
        <v>23834.73</v>
      </c>
    </row>
    <row r="885" spans="1:6" x14ac:dyDescent="0.25">
      <c r="A885" t="s">
        <v>57</v>
      </c>
      <c r="B885" t="s">
        <v>29</v>
      </c>
      <c r="C885">
        <v>312</v>
      </c>
      <c r="D885">
        <v>61</v>
      </c>
      <c r="E885" t="s">
        <v>4305</v>
      </c>
      <c r="F885">
        <v>100</v>
      </c>
    </row>
    <row r="886" spans="1:6" x14ac:dyDescent="0.25">
      <c r="A886" t="s">
        <v>57</v>
      </c>
      <c r="B886" t="s">
        <v>29</v>
      </c>
      <c r="C886">
        <v>312</v>
      </c>
      <c r="D886">
        <v>61</v>
      </c>
      <c r="E886" t="s">
        <v>4306</v>
      </c>
      <c r="F886">
        <v>0</v>
      </c>
    </row>
    <row r="887" spans="1:6" x14ac:dyDescent="0.25">
      <c r="A887" t="s">
        <v>57</v>
      </c>
      <c r="B887" t="s">
        <v>29</v>
      </c>
      <c r="C887">
        <v>312</v>
      </c>
      <c r="D887">
        <v>61</v>
      </c>
      <c r="E887" t="s">
        <v>4307</v>
      </c>
      <c r="F887">
        <v>809.49</v>
      </c>
    </row>
    <row r="888" spans="1:6" x14ac:dyDescent="0.25">
      <c r="A888" t="s">
        <v>57</v>
      </c>
      <c r="B888" t="s">
        <v>29</v>
      </c>
      <c r="C888">
        <v>312</v>
      </c>
      <c r="D888">
        <v>61</v>
      </c>
      <c r="E888" t="s">
        <v>4308</v>
      </c>
      <c r="F888">
        <v>27553.82</v>
      </c>
    </row>
    <row r="889" spans="1:6" x14ac:dyDescent="0.25">
      <c r="A889" t="s">
        <v>57</v>
      </c>
      <c r="B889" t="s">
        <v>29</v>
      </c>
      <c r="C889">
        <v>312</v>
      </c>
      <c r="D889">
        <v>61</v>
      </c>
      <c r="E889" t="s">
        <v>4309</v>
      </c>
      <c r="F889">
        <v>97.15</v>
      </c>
    </row>
    <row r="890" spans="1:6" x14ac:dyDescent="0.25">
      <c r="A890" t="s">
        <v>57</v>
      </c>
      <c r="B890" t="s">
        <v>0</v>
      </c>
      <c r="C890">
        <v>305</v>
      </c>
      <c r="D890">
        <v>274</v>
      </c>
      <c r="E890" t="s">
        <v>4302</v>
      </c>
      <c r="F890">
        <v>26577.200000000001</v>
      </c>
    </row>
    <row r="891" spans="1:6" x14ac:dyDescent="0.25">
      <c r="A891" t="s">
        <v>57</v>
      </c>
      <c r="B891" t="s">
        <v>0</v>
      </c>
      <c r="C891">
        <v>305</v>
      </c>
      <c r="D891">
        <v>274</v>
      </c>
      <c r="E891" t="s">
        <v>4303</v>
      </c>
      <c r="F891">
        <v>1896.2</v>
      </c>
    </row>
    <row r="892" spans="1:6" x14ac:dyDescent="0.25">
      <c r="A892" t="s">
        <v>57</v>
      </c>
      <c r="B892" t="s">
        <v>0</v>
      </c>
      <c r="C892">
        <v>305</v>
      </c>
      <c r="D892">
        <v>274</v>
      </c>
      <c r="E892" t="s">
        <v>4304</v>
      </c>
      <c r="F892">
        <v>24681</v>
      </c>
    </row>
    <row r="893" spans="1:6" x14ac:dyDescent="0.25">
      <c r="A893" t="s">
        <v>57</v>
      </c>
      <c r="B893" t="s">
        <v>0</v>
      </c>
      <c r="C893">
        <v>305</v>
      </c>
      <c r="D893">
        <v>274</v>
      </c>
      <c r="E893" t="s">
        <v>4305</v>
      </c>
      <c r="F893">
        <v>100</v>
      </c>
    </row>
    <row r="894" spans="1:6" x14ac:dyDescent="0.25">
      <c r="A894" t="s">
        <v>57</v>
      </c>
      <c r="B894" t="s">
        <v>0</v>
      </c>
      <c r="C894">
        <v>305</v>
      </c>
      <c r="D894">
        <v>274</v>
      </c>
      <c r="E894" t="s">
        <v>4306</v>
      </c>
      <c r="F894">
        <v>0</v>
      </c>
    </row>
    <row r="895" spans="1:6" x14ac:dyDescent="0.25">
      <c r="A895" t="s">
        <v>57</v>
      </c>
      <c r="B895" t="s">
        <v>0</v>
      </c>
      <c r="C895">
        <v>305</v>
      </c>
      <c r="D895">
        <v>274</v>
      </c>
      <c r="E895" t="s">
        <v>4307</v>
      </c>
      <c r="F895">
        <v>323.68</v>
      </c>
    </row>
    <row r="896" spans="1:6" x14ac:dyDescent="0.25">
      <c r="A896" t="s">
        <v>57</v>
      </c>
      <c r="B896" t="s">
        <v>0</v>
      </c>
      <c r="C896">
        <v>305</v>
      </c>
      <c r="D896">
        <v>274</v>
      </c>
      <c r="E896" t="s">
        <v>4308</v>
      </c>
      <c r="F896">
        <v>26253.52</v>
      </c>
    </row>
    <row r="897" spans="1:6" x14ac:dyDescent="0.25">
      <c r="A897" t="s">
        <v>57</v>
      </c>
      <c r="B897" t="s">
        <v>0</v>
      </c>
      <c r="C897">
        <v>305</v>
      </c>
      <c r="D897">
        <v>274</v>
      </c>
      <c r="E897" t="s">
        <v>4309</v>
      </c>
      <c r="F897">
        <v>98.78</v>
      </c>
    </row>
    <row r="898" spans="1:6" x14ac:dyDescent="0.25">
      <c r="A898" t="s">
        <v>57</v>
      </c>
      <c r="B898" t="s">
        <v>0</v>
      </c>
      <c r="C898">
        <v>305</v>
      </c>
      <c r="D898">
        <v>94</v>
      </c>
      <c r="E898" t="s">
        <v>4302</v>
      </c>
      <c r="F898">
        <v>22044.75</v>
      </c>
    </row>
    <row r="899" spans="1:6" x14ac:dyDescent="0.25">
      <c r="A899" t="s">
        <v>57</v>
      </c>
      <c r="B899" t="s">
        <v>0</v>
      </c>
      <c r="C899">
        <v>305</v>
      </c>
      <c r="D899">
        <v>94</v>
      </c>
      <c r="E899" t="s">
        <v>4303</v>
      </c>
      <c r="F899">
        <v>3519.75</v>
      </c>
    </row>
    <row r="900" spans="1:6" x14ac:dyDescent="0.25">
      <c r="A900" t="s">
        <v>57</v>
      </c>
      <c r="B900" t="s">
        <v>0</v>
      </c>
      <c r="C900">
        <v>305</v>
      </c>
      <c r="D900">
        <v>94</v>
      </c>
      <c r="E900" t="s">
        <v>4304</v>
      </c>
      <c r="F900">
        <v>18525</v>
      </c>
    </row>
    <row r="901" spans="1:6" x14ac:dyDescent="0.25">
      <c r="A901" t="s">
        <v>57</v>
      </c>
      <c r="B901" t="s">
        <v>0</v>
      </c>
      <c r="C901">
        <v>305</v>
      </c>
      <c r="D901">
        <v>94</v>
      </c>
      <c r="E901" t="s">
        <v>4305</v>
      </c>
      <c r="F901">
        <v>100</v>
      </c>
    </row>
    <row r="902" spans="1:6" x14ac:dyDescent="0.25">
      <c r="A902" t="s">
        <v>57</v>
      </c>
      <c r="B902" t="s">
        <v>0</v>
      </c>
      <c r="C902">
        <v>305</v>
      </c>
      <c r="D902">
        <v>94</v>
      </c>
      <c r="E902" t="s">
        <v>4306</v>
      </c>
      <c r="F902">
        <v>0</v>
      </c>
    </row>
    <row r="903" spans="1:6" x14ac:dyDescent="0.25">
      <c r="A903" t="s">
        <v>57</v>
      </c>
      <c r="B903" t="s">
        <v>0</v>
      </c>
      <c r="C903">
        <v>305</v>
      </c>
      <c r="D903">
        <v>94</v>
      </c>
      <c r="E903" t="s">
        <v>4307</v>
      </c>
      <c r="F903">
        <v>16.07</v>
      </c>
    </row>
    <row r="904" spans="1:6" x14ac:dyDescent="0.25">
      <c r="A904" t="s">
        <v>57</v>
      </c>
      <c r="B904" t="s">
        <v>0</v>
      </c>
      <c r="C904">
        <v>305</v>
      </c>
      <c r="D904">
        <v>94</v>
      </c>
      <c r="E904" t="s">
        <v>4308</v>
      </c>
      <c r="F904">
        <v>22028.68</v>
      </c>
    </row>
    <row r="905" spans="1:6" x14ac:dyDescent="0.25">
      <c r="A905" t="s">
        <v>57</v>
      </c>
      <c r="B905" t="s">
        <v>0</v>
      </c>
      <c r="C905">
        <v>305</v>
      </c>
      <c r="D905">
        <v>94</v>
      </c>
      <c r="E905" t="s">
        <v>4309</v>
      </c>
      <c r="F905">
        <v>99.93</v>
      </c>
    </row>
    <row r="906" spans="1:6" x14ac:dyDescent="0.25">
      <c r="A906" t="s">
        <v>57</v>
      </c>
      <c r="B906" t="s">
        <v>34</v>
      </c>
      <c r="C906">
        <v>306</v>
      </c>
      <c r="D906">
        <v>52</v>
      </c>
      <c r="E906" t="s">
        <v>4302</v>
      </c>
      <c r="F906">
        <v>20620.93</v>
      </c>
    </row>
    <row r="907" spans="1:6" x14ac:dyDescent="0.25">
      <c r="A907" t="s">
        <v>57</v>
      </c>
      <c r="B907" t="s">
        <v>34</v>
      </c>
      <c r="C907">
        <v>306</v>
      </c>
      <c r="D907">
        <v>52</v>
      </c>
      <c r="E907" t="s">
        <v>4303</v>
      </c>
      <c r="F907">
        <v>2898.53</v>
      </c>
    </row>
    <row r="908" spans="1:6" x14ac:dyDescent="0.25">
      <c r="A908" t="s">
        <v>57</v>
      </c>
      <c r="B908" t="s">
        <v>34</v>
      </c>
      <c r="C908">
        <v>306</v>
      </c>
      <c r="D908">
        <v>52</v>
      </c>
      <c r="E908" t="s">
        <v>4304</v>
      </c>
      <c r="F908">
        <v>17722.400000000001</v>
      </c>
    </row>
    <row r="909" spans="1:6" x14ac:dyDescent="0.25">
      <c r="A909" t="s">
        <v>57</v>
      </c>
      <c r="B909" t="s">
        <v>34</v>
      </c>
      <c r="C909">
        <v>306</v>
      </c>
      <c r="D909">
        <v>52</v>
      </c>
      <c r="E909" t="s">
        <v>4305</v>
      </c>
      <c r="F909">
        <v>100</v>
      </c>
    </row>
    <row r="910" spans="1:6" x14ac:dyDescent="0.25">
      <c r="A910" t="s">
        <v>57</v>
      </c>
      <c r="B910" t="s">
        <v>34</v>
      </c>
      <c r="C910">
        <v>306</v>
      </c>
      <c r="D910">
        <v>52</v>
      </c>
      <c r="E910" t="s">
        <v>4306</v>
      </c>
      <c r="F910">
        <v>0</v>
      </c>
    </row>
    <row r="911" spans="1:6" x14ac:dyDescent="0.25">
      <c r="A911" t="s">
        <v>57</v>
      </c>
      <c r="B911" t="s">
        <v>34</v>
      </c>
      <c r="C911">
        <v>306</v>
      </c>
      <c r="D911">
        <v>52</v>
      </c>
      <c r="E911" t="s">
        <v>4307</v>
      </c>
      <c r="F911">
        <v>2114.38</v>
      </c>
    </row>
    <row r="912" spans="1:6" x14ac:dyDescent="0.25">
      <c r="A912" t="s">
        <v>57</v>
      </c>
      <c r="B912" t="s">
        <v>34</v>
      </c>
      <c r="C912">
        <v>306</v>
      </c>
      <c r="D912">
        <v>52</v>
      </c>
      <c r="E912" t="s">
        <v>4308</v>
      </c>
      <c r="F912">
        <v>18506.55</v>
      </c>
    </row>
    <row r="913" spans="1:6" x14ac:dyDescent="0.25">
      <c r="A913" t="s">
        <v>57</v>
      </c>
      <c r="B913" t="s">
        <v>34</v>
      </c>
      <c r="C913">
        <v>306</v>
      </c>
      <c r="D913">
        <v>52</v>
      </c>
      <c r="E913" t="s">
        <v>4309</v>
      </c>
      <c r="F913">
        <v>89.75</v>
      </c>
    </row>
    <row r="914" spans="1:6" x14ac:dyDescent="0.25">
      <c r="A914" t="s">
        <v>57</v>
      </c>
      <c r="B914" t="s">
        <v>45</v>
      </c>
      <c r="C914">
        <v>311</v>
      </c>
      <c r="D914">
        <v>68</v>
      </c>
      <c r="E914" t="s">
        <v>4302</v>
      </c>
      <c r="F914">
        <v>113011.39</v>
      </c>
    </row>
    <row r="915" spans="1:6" x14ac:dyDescent="0.25">
      <c r="A915" t="s">
        <v>57</v>
      </c>
      <c r="B915" t="s">
        <v>45</v>
      </c>
      <c r="C915">
        <v>311</v>
      </c>
      <c r="D915">
        <v>68</v>
      </c>
      <c r="E915" t="s">
        <v>4303</v>
      </c>
      <c r="F915">
        <v>5849.67</v>
      </c>
    </row>
    <row r="916" spans="1:6" x14ac:dyDescent="0.25">
      <c r="A916" t="s">
        <v>57</v>
      </c>
      <c r="B916" t="s">
        <v>45</v>
      </c>
      <c r="C916">
        <v>311</v>
      </c>
      <c r="D916">
        <v>68</v>
      </c>
      <c r="E916" t="s">
        <v>4304</v>
      </c>
      <c r="F916">
        <v>0</v>
      </c>
    </row>
    <row r="917" spans="1:6" x14ac:dyDescent="0.25">
      <c r="A917" t="s">
        <v>57</v>
      </c>
      <c r="B917" t="s">
        <v>45</v>
      </c>
      <c r="C917">
        <v>311</v>
      </c>
      <c r="D917">
        <v>68</v>
      </c>
      <c r="E917" t="s">
        <v>4305</v>
      </c>
      <c r="F917">
        <v>0</v>
      </c>
    </row>
    <row r="918" spans="1:6" x14ac:dyDescent="0.25">
      <c r="A918" t="s">
        <v>57</v>
      </c>
      <c r="B918" t="s">
        <v>45</v>
      </c>
      <c r="C918">
        <v>311</v>
      </c>
      <c r="D918">
        <v>68</v>
      </c>
      <c r="E918" t="s">
        <v>4306</v>
      </c>
      <c r="F918">
        <v>0</v>
      </c>
    </row>
    <row r="919" spans="1:6" x14ac:dyDescent="0.25">
      <c r="A919" t="s">
        <v>57</v>
      </c>
      <c r="B919" t="s">
        <v>45</v>
      </c>
      <c r="C919">
        <v>311</v>
      </c>
      <c r="D919">
        <v>68</v>
      </c>
      <c r="E919" t="s">
        <v>4307</v>
      </c>
      <c r="F919">
        <v>0</v>
      </c>
    </row>
    <row r="920" spans="1:6" x14ac:dyDescent="0.25">
      <c r="A920" t="s">
        <v>57</v>
      </c>
      <c r="B920" t="s">
        <v>45</v>
      </c>
      <c r="C920">
        <v>311</v>
      </c>
      <c r="D920">
        <v>68</v>
      </c>
      <c r="E920" t="s">
        <v>4308</v>
      </c>
      <c r="F920">
        <v>113011.39</v>
      </c>
    </row>
    <row r="921" spans="1:6" x14ac:dyDescent="0.25">
      <c r="A921" t="s">
        <v>57</v>
      </c>
      <c r="B921" t="s">
        <v>45</v>
      </c>
      <c r="C921">
        <v>311</v>
      </c>
      <c r="D921">
        <v>68</v>
      </c>
      <c r="E921" t="s">
        <v>4309</v>
      </c>
      <c r="F921">
        <v>100</v>
      </c>
    </row>
    <row r="922" spans="1:6" x14ac:dyDescent="0.25">
      <c r="A922" t="s">
        <v>57</v>
      </c>
      <c r="B922" t="s">
        <v>42</v>
      </c>
      <c r="C922">
        <v>316</v>
      </c>
      <c r="D922">
        <v>28</v>
      </c>
      <c r="E922" t="s">
        <v>4302</v>
      </c>
      <c r="F922">
        <v>132780.07</v>
      </c>
    </row>
    <row r="923" spans="1:6" x14ac:dyDescent="0.25">
      <c r="A923" t="s">
        <v>57</v>
      </c>
      <c r="B923" t="s">
        <v>42</v>
      </c>
      <c r="C923">
        <v>316</v>
      </c>
      <c r="D923">
        <v>28</v>
      </c>
      <c r="E923" t="s">
        <v>4303</v>
      </c>
      <c r="F923">
        <v>3182.1</v>
      </c>
    </row>
    <row r="924" spans="1:6" x14ac:dyDescent="0.25">
      <c r="A924" t="s">
        <v>57</v>
      </c>
      <c r="B924" t="s">
        <v>42</v>
      </c>
      <c r="C924">
        <v>316</v>
      </c>
      <c r="D924">
        <v>28</v>
      </c>
      <c r="E924" t="s">
        <v>4304</v>
      </c>
      <c r="F924">
        <v>129597.97</v>
      </c>
    </row>
    <row r="925" spans="1:6" x14ac:dyDescent="0.25">
      <c r="A925" t="s">
        <v>57</v>
      </c>
      <c r="B925" t="s">
        <v>42</v>
      </c>
      <c r="C925">
        <v>316</v>
      </c>
      <c r="D925">
        <v>28</v>
      </c>
      <c r="E925" t="s">
        <v>4305</v>
      </c>
      <c r="F925">
        <v>100</v>
      </c>
    </row>
    <row r="926" spans="1:6" x14ac:dyDescent="0.25">
      <c r="A926" t="s">
        <v>57</v>
      </c>
      <c r="B926" t="s">
        <v>42</v>
      </c>
      <c r="C926">
        <v>316</v>
      </c>
      <c r="D926">
        <v>28</v>
      </c>
      <c r="E926" t="s">
        <v>4306</v>
      </c>
      <c r="F926">
        <v>0</v>
      </c>
    </row>
    <row r="927" spans="1:6" x14ac:dyDescent="0.25">
      <c r="A927" t="s">
        <v>57</v>
      </c>
      <c r="B927" t="s">
        <v>42</v>
      </c>
      <c r="C927">
        <v>316</v>
      </c>
      <c r="D927">
        <v>28</v>
      </c>
      <c r="E927" t="s">
        <v>4307</v>
      </c>
      <c r="F927">
        <v>121.49</v>
      </c>
    </row>
    <row r="928" spans="1:6" x14ac:dyDescent="0.25">
      <c r="A928" t="s">
        <v>57</v>
      </c>
      <c r="B928" t="s">
        <v>42</v>
      </c>
      <c r="C928">
        <v>316</v>
      </c>
      <c r="D928">
        <v>28</v>
      </c>
      <c r="E928" t="s">
        <v>4308</v>
      </c>
      <c r="F928">
        <v>132658.57999999999</v>
      </c>
    </row>
    <row r="929" spans="1:6" x14ac:dyDescent="0.25">
      <c r="A929" t="s">
        <v>57</v>
      </c>
      <c r="B929" t="s">
        <v>42</v>
      </c>
      <c r="C929">
        <v>316</v>
      </c>
      <c r="D929">
        <v>28</v>
      </c>
      <c r="E929" t="s">
        <v>4309</v>
      </c>
      <c r="F929">
        <v>99.91</v>
      </c>
    </row>
    <row r="930" spans="1:6" x14ac:dyDescent="0.25">
      <c r="A930" t="s">
        <v>57</v>
      </c>
      <c r="B930" t="s">
        <v>42</v>
      </c>
      <c r="C930">
        <v>316</v>
      </c>
      <c r="D930">
        <v>283</v>
      </c>
      <c r="E930" t="s">
        <v>4302</v>
      </c>
      <c r="F930">
        <v>22714.48</v>
      </c>
    </row>
    <row r="931" spans="1:6" x14ac:dyDescent="0.25">
      <c r="A931" t="s">
        <v>57</v>
      </c>
      <c r="B931" t="s">
        <v>42</v>
      </c>
      <c r="C931">
        <v>316</v>
      </c>
      <c r="D931">
        <v>283</v>
      </c>
      <c r="E931" t="s">
        <v>4303</v>
      </c>
      <c r="F931">
        <v>3626.68</v>
      </c>
    </row>
    <row r="932" spans="1:6" x14ac:dyDescent="0.25">
      <c r="A932" t="s">
        <v>57</v>
      </c>
      <c r="B932" t="s">
        <v>42</v>
      </c>
      <c r="C932">
        <v>316</v>
      </c>
      <c r="D932">
        <v>283</v>
      </c>
      <c r="E932" t="s">
        <v>4304</v>
      </c>
      <c r="F932">
        <v>19087.8</v>
      </c>
    </row>
    <row r="933" spans="1:6" x14ac:dyDescent="0.25">
      <c r="A933" t="s">
        <v>57</v>
      </c>
      <c r="B933" t="s">
        <v>42</v>
      </c>
      <c r="C933">
        <v>316</v>
      </c>
      <c r="D933">
        <v>283</v>
      </c>
      <c r="E933" t="s">
        <v>4305</v>
      </c>
      <c r="F933">
        <v>100</v>
      </c>
    </row>
    <row r="934" spans="1:6" x14ac:dyDescent="0.25">
      <c r="A934" t="s">
        <v>57</v>
      </c>
      <c r="B934" t="s">
        <v>42</v>
      </c>
      <c r="C934">
        <v>316</v>
      </c>
      <c r="D934">
        <v>283</v>
      </c>
      <c r="E934" t="s">
        <v>4306</v>
      </c>
      <c r="F934">
        <v>0</v>
      </c>
    </row>
    <row r="935" spans="1:6" x14ac:dyDescent="0.25">
      <c r="A935" t="s">
        <v>57</v>
      </c>
      <c r="B935" t="s">
        <v>42</v>
      </c>
      <c r="C935">
        <v>316</v>
      </c>
      <c r="D935">
        <v>283</v>
      </c>
      <c r="E935" t="s">
        <v>4307</v>
      </c>
      <c r="F935">
        <v>161.69999999999999</v>
      </c>
    </row>
    <row r="936" spans="1:6" x14ac:dyDescent="0.25">
      <c r="A936" t="s">
        <v>57</v>
      </c>
      <c r="B936" t="s">
        <v>42</v>
      </c>
      <c r="C936">
        <v>316</v>
      </c>
      <c r="D936">
        <v>283</v>
      </c>
      <c r="E936" t="s">
        <v>4308</v>
      </c>
      <c r="F936">
        <v>22552.78</v>
      </c>
    </row>
    <row r="937" spans="1:6" x14ac:dyDescent="0.25">
      <c r="A937" t="s">
        <v>57</v>
      </c>
      <c r="B937" t="s">
        <v>42</v>
      </c>
      <c r="C937">
        <v>316</v>
      </c>
      <c r="D937">
        <v>283</v>
      </c>
      <c r="E937" t="s">
        <v>4309</v>
      </c>
      <c r="F937">
        <v>99.29</v>
      </c>
    </row>
    <row r="938" spans="1:6" x14ac:dyDescent="0.25">
      <c r="A938" t="s">
        <v>57</v>
      </c>
      <c r="B938" t="s">
        <v>27</v>
      </c>
      <c r="C938">
        <v>309</v>
      </c>
      <c r="D938">
        <v>216</v>
      </c>
      <c r="E938" t="s">
        <v>4302</v>
      </c>
      <c r="F938">
        <v>45739.57</v>
      </c>
    </row>
    <row r="939" spans="1:6" x14ac:dyDescent="0.25">
      <c r="A939" t="s">
        <v>57</v>
      </c>
      <c r="B939" t="s">
        <v>27</v>
      </c>
      <c r="C939">
        <v>309</v>
      </c>
      <c r="D939">
        <v>216</v>
      </c>
      <c r="E939" t="s">
        <v>4303</v>
      </c>
      <c r="F939">
        <v>5541.04</v>
      </c>
    </row>
    <row r="940" spans="1:6" x14ac:dyDescent="0.25">
      <c r="A940" t="s">
        <v>57</v>
      </c>
      <c r="B940" t="s">
        <v>27</v>
      </c>
      <c r="C940">
        <v>309</v>
      </c>
      <c r="D940">
        <v>216</v>
      </c>
      <c r="E940" t="s">
        <v>4304</v>
      </c>
      <c r="F940">
        <v>0</v>
      </c>
    </row>
    <row r="941" spans="1:6" x14ac:dyDescent="0.25">
      <c r="A941" t="s">
        <v>57</v>
      </c>
      <c r="B941" t="s">
        <v>27</v>
      </c>
      <c r="C941">
        <v>309</v>
      </c>
      <c r="D941">
        <v>216</v>
      </c>
      <c r="E941" t="s">
        <v>4305</v>
      </c>
      <c r="F941">
        <v>0</v>
      </c>
    </row>
    <row r="942" spans="1:6" x14ac:dyDescent="0.25">
      <c r="A942" t="s">
        <v>57</v>
      </c>
      <c r="B942" t="s">
        <v>27</v>
      </c>
      <c r="C942">
        <v>309</v>
      </c>
      <c r="D942">
        <v>216</v>
      </c>
      <c r="E942" t="s">
        <v>4306</v>
      </c>
      <c r="F942">
        <v>0</v>
      </c>
    </row>
    <row r="943" spans="1:6" x14ac:dyDescent="0.25">
      <c r="A943" t="s">
        <v>57</v>
      </c>
      <c r="B943" t="s">
        <v>27</v>
      </c>
      <c r="C943">
        <v>309</v>
      </c>
      <c r="D943">
        <v>216</v>
      </c>
      <c r="E943" t="s">
        <v>4307</v>
      </c>
      <c r="F943">
        <v>0</v>
      </c>
    </row>
    <row r="944" spans="1:6" x14ac:dyDescent="0.25">
      <c r="A944" t="s">
        <v>57</v>
      </c>
      <c r="B944" t="s">
        <v>27</v>
      </c>
      <c r="C944">
        <v>309</v>
      </c>
      <c r="D944">
        <v>216</v>
      </c>
      <c r="E944" t="s">
        <v>4308</v>
      </c>
      <c r="F944">
        <v>45739.57</v>
      </c>
    </row>
    <row r="945" spans="1:6" x14ac:dyDescent="0.25">
      <c r="A945" t="s">
        <v>57</v>
      </c>
      <c r="B945" t="s">
        <v>27</v>
      </c>
      <c r="C945">
        <v>309</v>
      </c>
      <c r="D945">
        <v>216</v>
      </c>
      <c r="E945" t="s">
        <v>4309</v>
      </c>
      <c r="F945">
        <v>100</v>
      </c>
    </row>
    <row r="946" spans="1:6" x14ac:dyDescent="0.25">
      <c r="A946" t="s">
        <v>57</v>
      </c>
      <c r="B946" t="s">
        <v>27</v>
      </c>
      <c r="C946">
        <v>309</v>
      </c>
      <c r="D946">
        <v>64</v>
      </c>
      <c r="E946" t="s">
        <v>4302</v>
      </c>
      <c r="F946">
        <v>54532.639999999999</v>
      </c>
    </row>
    <row r="947" spans="1:6" x14ac:dyDescent="0.25">
      <c r="A947" t="s">
        <v>57</v>
      </c>
      <c r="B947" t="s">
        <v>27</v>
      </c>
      <c r="C947">
        <v>309</v>
      </c>
      <c r="D947">
        <v>64</v>
      </c>
      <c r="E947" t="s">
        <v>4303</v>
      </c>
      <c r="F947">
        <v>8228.9699999999993</v>
      </c>
    </row>
    <row r="948" spans="1:6" x14ac:dyDescent="0.25">
      <c r="A948" t="s">
        <v>57</v>
      </c>
      <c r="B948" t="s">
        <v>27</v>
      </c>
      <c r="C948">
        <v>309</v>
      </c>
      <c r="D948">
        <v>64</v>
      </c>
      <c r="E948" t="s">
        <v>4304</v>
      </c>
      <c r="F948">
        <v>46303.67</v>
      </c>
    </row>
    <row r="949" spans="1:6" x14ac:dyDescent="0.25">
      <c r="A949" t="s">
        <v>57</v>
      </c>
      <c r="B949" t="s">
        <v>27</v>
      </c>
      <c r="C949">
        <v>309</v>
      </c>
      <c r="D949">
        <v>64</v>
      </c>
      <c r="E949" t="s">
        <v>4305</v>
      </c>
      <c r="F949">
        <v>100</v>
      </c>
    </row>
    <row r="950" spans="1:6" x14ac:dyDescent="0.25">
      <c r="A950" t="s">
        <v>57</v>
      </c>
      <c r="B950" t="s">
        <v>27</v>
      </c>
      <c r="C950">
        <v>309</v>
      </c>
      <c r="D950">
        <v>64</v>
      </c>
      <c r="E950" t="s">
        <v>4306</v>
      </c>
      <c r="F950">
        <v>0</v>
      </c>
    </row>
    <row r="951" spans="1:6" x14ac:dyDescent="0.25">
      <c r="A951" t="s">
        <v>57</v>
      </c>
      <c r="B951" t="s">
        <v>27</v>
      </c>
      <c r="C951">
        <v>309</v>
      </c>
      <c r="D951">
        <v>64</v>
      </c>
      <c r="E951" t="s">
        <v>4307</v>
      </c>
      <c r="F951">
        <v>173.89</v>
      </c>
    </row>
    <row r="952" spans="1:6" x14ac:dyDescent="0.25">
      <c r="A952" t="s">
        <v>57</v>
      </c>
      <c r="B952" t="s">
        <v>27</v>
      </c>
      <c r="C952">
        <v>309</v>
      </c>
      <c r="D952">
        <v>64</v>
      </c>
      <c r="E952" t="s">
        <v>4308</v>
      </c>
      <c r="F952">
        <v>54358.75</v>
      </c>
    </row>
    <row r="953" spans="1:6" x14ac:dyDescent="0.25">
      <c r="A953" t="s">
        <v>57</v>
      </c>
      <c r="B953" t="s">
        <v>27</v>
      </c>
      <c r="C953">
        <v>309</v>
      </c>
      <c r="D953">
        <v>64</v>
      </c>
      <c r="E953" t="s">
        <v>4309</v>
      </c>
      <c r="F953">
        <v>99.68</v>
      </c>
    </row>
    <row r="954" spans="1:6" x14ac:dyDescent="0.25">
      <c r="A954" t="s">
        <v>57</v>
      </c>
      <c r="B954" t="s">
        <v>20</v>
      </c>
      <c r="C954">
        <v>304</v>
      </c>
      <c r="D954">
        <v>243</v>
      </c>
      <c r="E954" t="s">
        <v>4302</v>
      </c>
      <c r="F954">
        <v>17825.96</v>
      </c>
    </row>
    <row r="955" spans="1:6" x14ac:dyDescent="0.25">
      <c r="A955" t="s">
        <v>57</v>
      </c>
      <c r="B955" t="s">
        <v>20</v>
      </c>
      <c r="C955">
        <v>304</v>
      </c>
      <c r="D955">
        <v>243</v>
      </c>
      <c r="E955" t="s">
        <v>4303</v>
      </c>
      <c r="F955">
        <v>3426.96</v>
      </c>
    </row>
    <row r="956" spans="1:6" x14ac:dyDescent="0.25">
      <c r="A956" t="s">
        <v>57</v>
      </c>
      <c r="B956" t="s">
        <v>20</v>
      </c>
      <c r="C956">
        <v>304</v>
      </c>
      <c r="D956">
        <v>243</v>
      </c>
      <c r="E956" t="s">
        <v>4304</v>
      </c>
      <c r="F956">
        <v>14399</v>
      </c>
    </row>
    <row r="957" spans="1:6" x14ac:dyDescent="0.25">
      <c r="A957" t="s">
        <v>57</v>
      </c>
      <c r="B957" t="s">
        <v>20</v>
      </c>
      <c r="C957">
        <v>304</v>
      </c>
      <c r="D957">
        <v>243</v>
      </c>
      <c r="E957" t="s">
        <v>4305</v>
      </c>
      <c r="F957">
        <v>100</v>
      </c>
    </row>
    <row r="958" spans="1:6" x14ac:dyDescent="0.25">
      <c r="A958" t="s">
        <v>57</v>
      </c>
      <c r="B958" t="s">
        <v>20</v>
      </c>
      <c r="C958">
        <v>304</v>
      </c>
      <c r="D958">
        <v>243</v>
      </c>
      <c r="E958" t="s">
        <v>4306</v>
      </c>
      <c r="F958">
        <v>0</v>
      </c>
    </row>
    <row r="959" spans="1:6" x14ac:dyDescent="0.25">
      <c r="A959" t="s">
        <v>57</v>
      </c>
      <c r="B959" t="s">
        <v>20</v>
      </c>
      <c r="C959">
        <v>304</v>
      </c>
      <c r="D959">
        <v>243</v>
      </c>
      <c r="E959" t="s">
        <v>4307</v>
      </c>
      <c r="F959">
        <v>238.68</v>
      </c>
    </row>
    <row r="960" spans="1:6" x14ac:dyDescent="0.25">
      <c r="A960" t="s">
        <v>57</v>
      </c>
      <c r="B960" t="s">
        <v>20</v>
      </c>
      <c r="C960">
        <v>304</v>
      </c>
      <c r="D960">
        <v>243</v>
      </c>
      <c r="E960" t="s">
        <v>4308</v>
      </c>
      <c r="F960">
        <v>17587.28</v>
      </c>
    </row>
    <row r="961" spans="1:6" x14ac:dyDescent="0.25">
      <c r="A961" t="s">
        <v>57</v>
      </c>
      <c r="B961" t="s">
        <v>20</v>
      </c>
      <c r="C961">
        <v>304</v>
      </c>
      <c r="D961">
        <v>243</v>
      </c>
      <c r="E961" t="s">
        <v>4309</v>
      </c>
      <c r="F961">
        <v>98.66</v>
      </c>
    </row>
    <row r="962" spans="1:6" x14ac:dyDescent="0.25">
      <c r="A962" t="s">
        <v>57</v>
      </c>
      <c r="B962" t="s">
        <v>20</v>
      </c>
      <c r="C962">
        <v>304</v>
      </c>
      <c r="D962">
        <v>39</v>
      </c>
      <c r="E962" t="s">
        <v>4302</v>
      </c>
      <c r="F962">
        <v>377.59</v>
      </c>
    </row>
    <row r="963" spans="1:6" x14ac:dyDescent="0.25">
      <c r="A963" t="s">
        <v>57</v>
      </c>
      <c r="B963" t="s">
        <v>20</v>
      </c>
      <c r="C963">
        <v>304</v>
      </c>
      <c r="D963">
        <v>39</v>
      </c>
      <c r="E963" t="s">
        <v>4303</v>
      </c>
      <c r="F963">
        <v>72.59</v>
      </c>
    </row>
    <row r="964" spans="1:6" x14ac:dyDescent="0.25">
      <c r="A964" t="s">
        <v>57</v>
      </c>
      <c r="B964" t="s">
        <v>20</v>
      </c>
      <c r="C964">
        <v>304</v>
      </c>
      <c r="D964">
        <v>39</v>
      </c>
      <c r="E964" t="s">
        <v>4304</v>
      </c>
      <c r="F964">
        <v>305</v>
      </c>
    </row>
    <row r="965" spans="1:6" x14ac:dyDescent="0.25">
      <c r="A965" t="s">
        <v>57</v>
      </c>
      <c r="B965" t="s">
        <v>20</v>
      </c>
      <c r="C965">
        <v>304</v>
      </c>
      <c r="D965">
        <v>39</v>
      </c>
      <c r="E965" t="s">
        <v>4305</v>
      </c>
      <c r="F965">
        <v>100</v>
      </c>
    </row>
    <row r="966" spans="1:6" x14ac:dyDescent="0.25">
      <c r="A966" t="s">
        <v>57</v>
      </c>
      <c r="B966" t="s">
        <v>20</v>
      </c>
      <c r="C966">
        <v>304</v>
      </c>
      <c r="D966">
        <v>39</v>
      </c>
      <c r="E966" t="s">
        <v>4306</v>
      </c>
      <c r="F966">
        <v>0</v>
      </c>
    </row>
    <row r="967" spans="1:6" x14ac:dyDescent="0.25">
      <c r="A967" t="s">
        <v>57</v>
      </c>
      <c r="B967" t="s">
        <v>20</v>
      </c>
      <c r="C967">
        <v>304</v>
      </c>
      <c r="D967">
        <v>39</v>
      </c>
      <c r="E967" t="s">
        <v>4307</v>
      </c>
      <c r="F967">
        <v>0</v>
      </c>
    </row>
    <row r="968" spans="1:6" x14ac:dyDescent="0.25">
      <c r="A968" t="s">
        <v>57</v>
      </c>
      <c r="B968" t="s">
        <v>20</v>
      </c>
      <c r="C968">
        <v>304</v>
      </c>
      <c r="D968">
        <v>39</v>
      </c>
      <c r="E968" t="s">
        <v>4308</v>
      </c>
      <c r="F968">
        <v>377.59</v>
      </c>
    </row>
    <row r="969" spans="1:6" x14ac:dyDescent="0.25">
      <c r="A969" t="s">
        <v>57</v>
      </c>
      <c r="B969" t="s">
        <v>20</v>
      </c>
      <c r="C969">
        <v>304</v>
      </c>
      <c r="D969">
        <v>39</v>
      </c>
      <c r="E969" t="s">
        <v>4309</v>
      </c>
      <c r="F969">
        <v>100</v>
      </c>
    </row>
    <row r="970" spans="1:6" x14ac:dyDescent="0.25">
      <c r="A970" t="s">
        <v>57</v>
      </c>
      <c r="B970" t="s">
        <v>380</v>
      </c>
      <c r="C970">
        <v>307</v>
      </c>
      <c r="D970">
        <v>245</v>
      </c>
      <c r="E970" t="s">
        <v>4302</v>
      </c>
      <c r="F970">
        <v>0</v>
      </c>
    </row>
    <row r="971" spans="1:6" x14ac:dyDescent="0.25">
      <c r="A971" t="s">
        <v>57</v>
      </c>
      <c r="B971" t="s">
        <v>380</v>
      </c>
      <c r="C971">
        <v>307</v>
      </c>
      <c r="D971">
        <v>245</v>
      </c>
      <c r="E971" t="s">
        <v>4303</v>
      </c>
      <c r="F971">
        <v>0</v>
      </c>
    </row>
    <row r="972" spans="1:6" x14ac:dyDescent="0.25">
      <c r="A972" t="s">
        <v>57</v>
      </c>
      <c r="B972" t="s">
        <v>380</v>
      </c>
      <c r="C972">
        <v>307</v>
      </c>
      <c r="D972">
        <v>245</v>
      </c>
      <c r="E972" t="s">
        <v>4304</v>
      </c>
      <c r="F972">
        <v>0</v>
      </c>
    </row>
    <row r="973" spans="1:6" x14ac:dyDescent="0.25">
      <c r="A973" t="s">
        <v>57</v>
      </c>
      <c r="B973" t="s">
        <v>380</v>
      </c>
      <c r="C973">
        <v>307</v>
      </c>
      <c r="D973">
        <v>245</v>
      </c>
      <c r="E973" t="s">
        <v>4305</v>
      </c>
      <c r="F973">
        <v>0</v>
      </c>
    </row>
    <row r="974" spans="1:6" x14ac:dyDescent="0.25">
      <c r="A974" t="s">
        <v>57</v>
      </c>
      <c r="B974" t="s">
        <v>380</v>
      </c>
      <c r="C974">
        <v>307</v>
      </c>
      <c r="D974">
        <v>245</v>
      </c>
      <c r="E974" t="s">
        <v>4306</v>
      </c>
      <c r="F974">
        <v>0</v>
      </c>
    </row>
    <row r="975" spans="1:6" x14ac:dyDescent="0.25">
      <c r="A975" t="s">
        <v>57</v>
      </c>
      <c r="B975" t="s">
        <v>380</v>
      </c>
      <c r="C975">
        <v>307</v>
      </c>
      <c r="D975">
        <v>245</v>
      </c>
      <c r="E975" t="s">
        <v>4307</v>
      </c>
      <c r="F975">
        <v>0</v>
      </c>
    </row>
    <row r="976" spans="1:6" x14ac:dyDescent="0.25">
      <c r="A976" t="s">
        <v>57</v>
      </c>
      <c r="B976" t="s">
        <v>380</v>
      </c>
      <c r="C976">
        <v>307</v>
      </c>
      <c r="D976">
        <v>245</v>
      </c>
      <c r="E976" t="s">
        <v>4308</v>
      </c>
      <c r="F976">
        <v>0</v>
      </c>
    </row>
    <row r="977" spans="1:6" x14ac:dyDescent="0.25">
      <c r="A977" t="s">
        <v>57</v>
      </c>
      <c r="B977" t="s">
        <v>380</v>
      </c>
      <c r="C977">
        <v>307</v>
      </c>
      <c r="D977">
        <v>245</v>
      </c>
      <c r="E977" t="s">
        <v>4309</v>
      </c>
      <c r="F977">
        <v>0</v>
      </c>
    </row>
    <row r="978" spans="1:6" x14ac:dyDescent="0.25">
      <c r="A978" t="s">
        <v>57</v>
      </c>
      <c r="B978" t="s">
        <v>50</v>
      </c>
      <c r="C978">
        <v>310</v>
      </c>
      <c r="D978">
        <v>210</v>
      </c>
      <c r="E978" t="s">
        <v>4302</v>
      </c>
      <c r="F978">
        <v>70173.31</v>
      </c>
    </row>
    <row r="979" spans="1:6" x14ac:dyDescent="0.25">
      <c r="A979" t="s">
        <v>57</v>
      </c>
      <c r="B979" t="s">
        <v>50</v>
      </c>
      <c r="C979">
        <v>310</v>
      </c>
      <c r="D979">
        <v>210</v>
      </c>
      <c r="E979" t="s">
        <v>4303</v>
      </c>
      <c r="F979">
        <v>4275.74</v>
      </c>
    </row>
    <row r="980" spans="1:6" x14ac:dyDescent="0.25">
      <c r="A980" t="s">
        <v>57</v>
      </c>
      <c r="B980" t="s">
        <v>50</v>
      </c>
      <c r="C980">
        <v>310</v>
      </c>
      <c r="D980">
        <v>210</v>
      </c>
      <c r="E980" t="s">
        <v>4304</v>
      </c>
      <c r="F980">
        <v>65897.570000000007</v>
      </c>
    </row>
    <row r="981" spans="1:6" x14ac:dyDescent="0.25">
      <c r="A981" t="s">
        <v>57</v>
      </c>
      <c r="B981" t="s">
        <v>50</v>
      </c>
      <c r="C981">
        <v>310</v>
      </c>
      <c r="D981">
        <v>210</v>
      </c>
      <c r="E981" t="s">
        <v>4305</v>
      </c>
      <c r="F981">
        <v>100</v>
      </c>
    </row>
    <row r="982" spans="1:6" x14ac:dyDescent="0.25">
      <c r="A982" t="s">
        <v>57</v>
      </c>
      <c r="B982" t="s">
        <v>50</v>
      </c>
      <c r="C982">
        <v>310</v>
      </c>
      <c r="D982">
        <v>210</v>
      </c>
      <c r="E982" t="s">
        <v>4306</v>
      </c>
      <c r="F982">
        <v>58.59</v>
      </c>
    </row>
    <row r="983" spans="1:6" x14ac:dyDescent="0.25">
      <c r="A983" t="s">
        <v>57</v>
      </c>
      <c r="B983" t="s">
        <v>50</v>
      </c>
      <c r="C983">
        <v>310</v>
      </c>
      <c r="D983">
        <v>210</v>
      </c>
      <c r="E983" t="s">
        <v>4307</v>
      </c>
      <c r="F983">
        <v>357.98</v>
      </c>
    </row>
    <row r="984" spans="1:6" x14ac:dyDescent="0.25">
      <c r="A984" t="s">
        <v>57</v>
      </c>
      <c r="B984" t="s">
        <v>50</v>
      </c>
      <c r="C984">
        <v>310</v>
      </c>
      <c r="D984">
        <v>210</v>
      </c>
      <c r="E984" t="s">
        <v>4308</v>
      </c>
      <c r="F984">
        <v>69756.740000000005</v>
      </c>
    </row>
    <row r="985" spans="1:6" x14ac:dyDescent="0.25">
      <c r="A985" t="s">
        <v>57</v>
      </c>
      <c r="B985" t="s">
        <v>50</v>
      </c>
      <c r="C985">
        <v>310</v>
      </c>
      <c r="D985">
        <v>210</v>
      </c>
      <c r="E985" t="s">
        <v>4309</v>
      </c>
      <c r="F985">
        <v>99.41</v>
      </c>
    </row>
    <row r="986" spans="1:6" x14ac:dyDescent="0.25">
      <c r="A986" t="s">
        <v>57</v>
      </c>
      <c r="B986" t="s">
        <v>50</v>
      </c>
      <c r="C986">
        <v>310</v>
      </c>
      <c r="D986">
        <v>70</v>
      </c>
      <c r="E986" t="s">
        <v>4302</v>
      </c>
      <c r="F986">
        <v>35886.949999999997</v>
      </c>
    </row>
    <row r="987" spans="1:6" x14ac:dyDescent="0.25">
      <c r="A987" t="s">
        <v>57</v>
      </c>
      <c r="B987" t="s">
        <v>50</v>
      </c>
      <c r="C987">
        <v>310</v>
      </c>
      <c r="D987">
        <v>70</v>
      </c>
      <c r="E987" t="s">
        <v>4303</v>
      </c>
      <c r="F987">
        <v>5729.84</v>
      </c>
    </row>
    <row r="988" spans="1:6" x14ac:dyDescent="0.25">
      <c r="A988" t="s">
        <v>57</v>
      </c>
      <c r="B988" t="s">
        <v>50</v>
      </c>
      <c r="C988">
        <v>310</v>
      </c>
      <c r="D988">
        <v>70</v>
      </c>
      <c r="E988" t="s">
        <v>4304</v>
      </c>
      <c r="F988">
        <v>30157.11</v>
      </c>
    </row>
    <row r="989" spans="1:6" x14ac:dyDescent="0.25">
      <c r="A989" t="s">
        <v>57</v>
      </c>
      <c r="B989" t="s">
        <v>50</v>
      </c>
      <c r="C989">
        <v>310</v>
      </c>
      <c r="D989">
        <v>70</v>
      </c>
      <c r="E989" t="s">
        <v>4305</v>
      </c>
      <c r="F989">
        <v>100</v>
      </c>
    </row>
    <row r="990" spans="1:6" x14ac:dyDescent="0.25">
      <c r="A990" t="s">
        <v>57</v>
      </c>
      <c r="B990" t="s">
        <v>50</v>
      </c>
      <c r="C990">
        <v>310</v>
      </c>
      <c r="D990">
        <v>70</v>
      </c>
      <c r="E990" t="s">
        <v>4306</v>
      </c>
      <c r="F990">
        <v>0</v>
      </c>
    </row>
    <row r="991" spans="1:6" x14ac:dyDescent="0.25">
      <c r="A991" t="s">
        <v>57</v>
      </c>
      <c r="B991" t="s">
        <v>50</v>
      </c>
      <c r="C991">
        <v>310</v>
      </c>
      <c r="D991">
        <v>70</v>
      </c>
      <c r="E991" t="s">
        <v>4307</v>
      </c>
      <c r="F991">
        <v>74.349999999999994</v>
      </c>
    </row>
    <row r="992" spans="1:6" x14ac:dyDescent="0.25">
      <c r="A992" t="s">
        <v>57</v>
      </c>
      <c r="B992" t="s">
        <v>50</v>
      </c>
      <c r="C992">
        <v>310</v>
      </c>
      <c r="D992">
        <v>70</v>
      </c>
      <c r="E992" t="s">
        <v>4308</v>
      </c>
      <c r="F992">
        <v>35812.6</v>
      </c>
    </row>
    <row r="993" spans="1:6" x14ac:dyDescent="0.25">
      <c r="A993" t="s">
        <v>57</v>
      </c>
      <c r="B993" t="s">
        <v>50</v>
      </c>
      <c r="C993">
        <v>310</v>
      </c>
      <c r="D993">
        <v>70</v>
      </c>
      <c r="E993" t="s">
        <v>4309</v>
      </c>
      <c r="F993">
        <v>99.79</v>
      </c>
    </row>
    <row r="994" spans="1:6" x14ac:dyDescent="0.25">
      <c r="A994" t="s">
        <v>57</v>
      </c>
      <c r="B994" t="s">
        <v>39</v>
      </c>
      <c r="C994">
        <v>303</v>
      </c>
      <c r="D994">
        <v>217</v>
      </c>
      <c r="E994" t="s">
        <v>4302</v>
      </c>
      <c r="F994">
        <v>26997.72</v>
      </c>
    </row>
    <row r="995" spans="1:6" x14ac:dyDescent="0.25">
      <c r="A995" t="s">
        <v>57</v>
      </c>
      <c r="B995" t="s">
        <v>39</v>
      </c>
      <c r="C995">
        <v>303</v>
      </c>
      <c r="D995">
        <v>217</v>
      </c>
      <c r="E995" t="s">
        <v>4303</v>
      </c>
      <c r="F995">
        <v>2593.21</v>
      </c>
    </row>
    <row r="996" spans="1:6" x14ac:dyDescent="0.25">
      <c r="A996" t="s">
        <v>57</v>
      </c>
      <c r="B996" t="s">
        <v>39</v>
      </c>
      <c r="C996">
        <v>303</v>
      </c>
      <c r="D996">
        <v>217</v>
      </c>
      <c r="E996" t="s">
        <v>4304</v>
      </c>
      <c r="F996">
        <v>0</v>
      </c>
    </row>
    <row r="997" spans="1:6" x14ac:dyDescent="0.25">
      <c r="A997" t="s">
        <v>57</v>
      </c>
      <c r="B997" t="s">
        <v>39</v>
      </c>
      <c r="C997">
        <v>303</v>
      </c>
      <c r="D997">
        <v>217</v>
      </c>
      <c r="E997" t="s">
        <v>4305</v>
      </c>
      <c r="F997">
        <v>0</v>
      </c>
    </row>
    <row r="998" spans="1:6" x14ac:dyDescent="0.25">
      <c r="A998" t="s">
        <v>57</v>
      </c>
      <c r="B998" t="s">
        <v>39</v>
      </c>
      <c r="C998">
        <v>303</v>
      </c>
      <c r="D998">
        <v>217</v>
      </c>
      <c r="E998" t="s">
        <v>4306</v>
      </c>
      <c r="F998">
        <v>0</v>
      </c>
    </row>
    <row r="999" spans="1:6" x14ac:dyDescent="0.25">
      <c r="A999" t="s">
        <v>57</v>
      </c>
      <c r="B999" t="s">
        <v>39</v>
      </c>
      <c r="C999">
        <v>303</v>
      </c>
      <c r="D999">
        <v>217</v>
      </c>
      <c r="E999" t="s">
        <v>4307</v>
      </c>
      <c r="F999">
        <v>0</v>
      </c>
    </row>
    <row r="1000" spans="1:6" x14ac:dyDescent="0.25">
      <c r="A1000" t="s">
        <v>57</v>
      </c>
      <c r="B1000" t="s">
        <v>39</v>
      </c>
      <c r="C1000">
        <v>303</v>
      </c>
      <c r="D1000">
        <v>217</v>
      </c>
      <c r="E1000" t="s">
        <v>4308</v>
      </c>
      <c r="F1000">
        <v>26997.72</v>
      </c>
    </row>
    <row r="1001" spans="1:6" x14ac:dyDescent="0.25">
      <c r="A1001" t="s">
        <v>57</v>
      </c>
      <c r="B1001" t="s">
        <v>39</v>
      </c>
      <c r="C1001">
        <v>303</v>
      </c>
      <c r="D1001">
        <v>217</v>
      </c>
      <c r="E1001" t="s">
        <v>4309</v>
      </c>
      <c r="F1001">
        <v>100</v>
      </c>
    </row>
    <row r="1002" spans="1:6" x14ac:dyDescent="0.25">
      <c r="A1002" t="s">
        <v>57</v>
      </c>
      <c r="B1002" t="s">
        <v>39</v>
      </c>
      <c r="C1002">
        <v>303</v>
      </c>
      <c r="D1002">
        <v>87</v>
      </c>
      <c r="E1002" t="s">
        <v>4302</v>
      </c>
      <c r="F1002">
        <v>40938.129999999997</v>
      </c>
    </row>
    <row r="1003" spans="1:6" x14ac:dyDescent="0.25">
      <c r="A1003" t="s">
        <v>57</v>
      </c>
      <c r="B1003" t="s">
        <v>39</v>
      </c>
      <c r="C1003">
        <v>303</v>
      </c>
      <c r="D1003">
        <v>87</v>
      </c>
      <c r="E1003" t="s">
        <v>4303</v>
      </c>
      <c r="F1003">
        <v>4622.13</v>
      </c>
    </row>
    <row r="1004" spans="1:6" x14ac:dyDescent="0.25">
      <c r="A1004" t="s">
        <v>57</v>
      </c>
      <c r="B1004" t="s">
        <v>39</v>
      </c>
      <c r="C1004">
        <v>303</v>
      </c>
      <c r="D1004">
        <v>87</v>
      </c>
      <c r="E1004" t="s">
        <v>4304</v>
      </c>
      <c r="F1004">
        <v>36316</v>
      </c>
    </row>
    <row r="1005" spans="1:6" x14ac:dyDescent="0.25">
      <c r="A1005" t="s">
        <v>57</v>
      </c>
      <c r="B1005" t="s">
        <v>39</v>
      </c>
      <c r="C1005">
        <v>303</v>
      </c>
      <c r="D1005">
        <v>87</v>
      </c>
      <c r="E1005" t="s">
        <v>4305</v>
      </c>
      <c r="F1005">
        <v>100</v>
      </c>
    </row>
    <row r="1006" spans="1:6" x14ac:dyDescent="0.25">
      <c r="A1006" t="s">
        <v>57</v>
      </c>
      <c r="B1006" t="s">
        <v>39</v>
      </c>
      <c r="C1006">
        <v>303</v>
      </c>
      <c r="D1006">
        <v>87</v>
      </c>
      <c r="E1006" t="s">
        <v>4306</v>
      </c>
      <c r="F1006">
        <v>0</v>
      </c>
    </row>
    <row r="1007" spans="1:6" x14ac:dyDescent="0.25">
      <c r="A1007" t="s">
        <v>57</v>
      </c>
      <c r="B1007" t="s">
        <v>39</v>
      </c>
      <c r="C1007">
        <v>303</v>
      </c>
      <c r="D1007">
        <v>87</v>
      </c>
      <c r="E1007" t="s">
        <v>4307</v>
      </c>
      <c r="F1007">
        <v>0</v>
      </c>
    </row>
    <row r="1008" spans="1:6" x14ac:dyDescent="0.25">
      <c r="A1008" t="s">
        <v>57</v>
      </c>
      <c r="B1008" t="s">
        <v>39</v>
      </c>
      <c r="C1008">
        <v>303</v>
      </c>
      <c r="D1008">
        <v>87</v>
      </c>
      <c r="E1008" t="s">
        <v>4308</v>
      </c>
      <c r="F1008">
        <v>40938.129999999997</v>
      </c>
    </row>
    <row r="1009" spans="1:6" x14ac:dyDescent="0.25">
      <c r="A1009" t="s">
        <v>57</v>
      </c>
      <c r="B1009" t="s">
        <v>39</v>
      </c>
      <c r="C1009">
        <v>303</v>
      </c>
      <c r="D1009">
        <v>87</v>
      </c>
      <c r="E1009" t="s">
        <v>4309</v>
      </c>
      <c r="F1009">
        <v>100</v>
      </c>
    </row>
    <row r="1010" spans="1:6" x14ac:dyDescent="0.25">
      <c r="A1010" t="s">
        <v>57</v>
      </c>
      <c r="B1010" t="s">
        <v>23</v>
      </c>
      <c r="C1010">
        <v>308</v>
      </c>
      <c r="D1010">
        <v>48</v>
      </c>
      <c r="E1010" t="s">
        <v>4302</v>
      </c>
      <c r="F1010">
        <v>35974.74</v>
      </c>
    </row>
    <row r="1011" spans="1:6" x14ac:dyDescent="0.25">
      <c r="A1011" t="s">
        <v>57</v>
      </c>
      <c r="B1011" t="s">
        <v>23</v>
      </c>
      <c r="C1011">
        <v>308</v>
      </c>
      <c r="D1011">
        <v>48</v>
      </c>
      <c r="E1011" t="s">
        <v>4303</v>
      </c>
      <c r="F1011">
        <v>5743.86</v>
      </c>
    </row>
    <row r="1012" spans="1:6" x14ac:dyDescent="0.25">
      <c r="A1012" t="s">
        <v>57</v>
      </c>
      <c r="B1012" t="s">
        <v>23</v>
      </c>
      <c r="C1012">
        <v>308</v>
      </c>
      <c r="D1012">
        <v>48</v>
      </c>
      <c r="E1012" t="s">
        <v>4304</v>
      </c>
      <c r="F1012">
        <v>30230.880000000001</v>
      </c>
    </row>
    <row r="1013" spans="1:6" x14ac:dyDescent="0.25">
      <c r="A1013" t="s">
        <v>57</v>
      </c>
      <c r="B1013" t="s">
        <v>23</v>
      </c>
      <c r="C1013">
        <v>308</v>
      </c>
      <c r="D1013">
        <v>48</v>
      </c>
      <c r="E1013" t="s">
        <v>4305</v>
      </c>
      <c r="F1013">
        <v>100</v>
      </c>
    </row>
    <row r="1014" spans="1:6" x14ac:dyDescent="0.25">
      <c r="A1014" t="s">
        <v>57</v>
      </c>
      <c r="B1014" t="s">
        <v>23</v>
      </c>
      <c r="C1014">
        <v>308</v>
      </c>
      <c r="D1014">
        <v>48</v>
      </c>
      <c r="E1014" t="s">
        <v>4306</v>
      </c>
      <c r="F1014">
        <v>0</v>
      </c>
    </row>
    <row r="1015" spans="1:6" x14ac:dyDescent="0.25">
      <c r="A1015" t="s">
        <v>57</v>
      </c>
      <c r="B1015" t="s">
        <v>23</v>
      </c>
      <c r="C1015">
        <v>308</v>
      </c>
      <c r="D1015">
        <v>48</v>
      </c>
      <c r="E1015" t="s">
        <v>4307</v>
      </c>
      <c r="F1015">
        <v>3.42</v>
      </c>
    </row>
    <row r="1016" spans="1:6" x14ac:dyDescent="0.25">
      <c r="A1016" t="s">
        <v>57</v>
      </c>
      <c r="B1016" t="s">
        <v>23</v>
      </c>
      <c r="C1016">
        <v>308</v>
      </c>
      <c r="D1016">
        <v>48</v>
      </c>
      <c r="E1016" t="s">
        <v>4308</v>
      </c>
      <c r="F1016">
        <v>35971.32</v>
      </c>
    </row>
    <row r="1017" spans="1:6" x14ac:dyDescent="0.25">
      <c r="A1017" t="s">
        <v>57</v>
      </c>
      <c r="B1017" t="s">
        <v>23</v>
      </c>
      <c r="C1017">
        <v>308</v>
      </c>
      <c r="D1017">
        <v>48</v>
      </c>
      <c r="E1017" t="s">
        <v>4309</v>
      </c>
      <c r="F1017">
        <v>99.99</v>
      </c>
    </row>
    <row r="1018" spans="1:6" x14ac:dyDescent="0.25">
      <c r="A1018" t="s">
        <v>57</v>
      </c>
      <c r="B1018" t="s">
        <v>24</v>
      </c>
      <c r="C1018">
        <v>313</v>
      </c>
      <c r="D1018">
        <v>82</v>
      </c>
      <c r="E1018" t="s">
        <v>4302</v>
      </c>
      <c r="F1018">
        <v>82083.55</v>
      </c>
    </row>
    <row r="1019" spans="1:6" x14ac:dyDescent="0.25">
      <c r="A1019" t="s">
        <v>57</v>
      </c>
      <c r="B1019" t="s">
        <v>24</v>
      </c>
      <c r="C1019">
        <v>313</v>
      </c>
      <c r="D1019">
        <v>82</v>
      </c>
      <c r="E1019" t="s">
        <v>4303</v>
      </c>
      <c r="F1019">
        <v>13105.77</v>
      </c>
    </row>
    <row r="1020" spans="1:6" x14ac:dyDescent="0.25">
      <c r="A1020" t="s">
        <v>57</v>
      </c>
      <c r="B1020" t="s">
        <v>24</v>
      </c>
      <c r="C1020">
        <v>313</v>
      </c>
      <c r="D1020">
        <v>82</v>
      </c>
      <c r="E1020" t="s">
        <v>4304</v>
      </c>
      <c r="F1020">
        <v>28670.02</v>
      </c>
    </row>
    <row r="1021" spans="1:6" x14ac:dyDescent="0.25">
      <c r="A1021" t="s">
        <v>57</v>
      </c>
      <c r="B1021" t="s">
        <v>24</v>
      </c>
      <c r="C1021">
        <v>313</v>
      </c>
      <c r="D1021">
        <v>82</v>
      </c>
      <c r="E1021" t="s">
        <v>4305</v>
      </c>
      <c r="F1021">
        <v>41.56</v>
      </c>
    </row>
    <row r="1022" spans="1:6" x14ac:dyDescent="0.25">
      <c r="A1022" t="s">
        <v>57</v>
      </c>
      <c r="B1022" t="s">
        <v>24</v>
      </c>
      <c r="C1022">
        <v>313</v>
      </c>
      <c r="D1022">
        <v>82</v>
      </c>
      <c r="E1022" t="s">
        <v>4306</v>
      </c>
      <c r="F1022">
        <v>9256.56</v>
      </c>
    </row>
    <row r="1023" spans="1:6" x14ac:dyDescent="0.25">
      <c r="A1023" t="s">
        <v>57</v>
      </c>
      <c r="B1023" t="s">
        <v>24</v>
      </c>
      <c r="C1023">
        <v>313</v>
      </c>
      <c r="D1023">
        <v>82</v>
      </c>
      <c r="E1023" t="s">
        <v>4307</v>
      </c>
      <c r="F1023">
        <v>2104.61</v>
      </c>
    </row>
    <row r="1024" spans="1:6" x14ac:dyDescent="0.25">
      <c r="A1024" t="s">
        <v>57</v>
      </c>
      <c r="B1024" t="s">
        <v>24</v>
      </c>
      <c r="C1024">
        <v>313</v>
      </c>
      <c r="D1024">
        <v>82</v>
      </c>
      <c r="E1024" t="s">
        <v>4308</v>
      </c>
      <c r="F1024">
        <v>70722.38</v>
      </c>
    </row>
    <row r="1025" spans="1:6" x14ac:dyDescent="0.25">
      <c r="A1025" t="s">
        <v>57</v>
      </c>
      <c r="B1025" t="s">
        <v>24</v>
      </c>
      <c r="C1025">
        <v>313</v>
      </c>
      <c r="D1025">
        <v>82</v>
      </c>
      <c r="E1025" t="s">
        <v>4309</v>
      </c>
      <c r="F1025">
        <v>86.16</v>
      </c>
    </row>
    <row r="1026" spans="1:6" x14ac:dyDescent="0.25">
      <c r="A1026" t="s">
        <v>331</v>
      </c>
      <c r="B1026" t="s">
        <v>332</v>
      </c>
      <c r="C1026">
        <v>252</v>
      </c>
      <c r="D1026">
        <v>305</v>
      </c>
      <c r="E1026" t="s">
        <v>4302</v>
      </c>
      <c r="F1026">
        <v>2440</v>
      </c>
    </row>
    <row r="1027" spans="1:6" x14ac:dyDescent="0.25">
      <c r="A1027" t="s">
        <v>331</v>
      </c>
      <c r="B1027" t="s">
        <v>332</v>
      </c>
      <c r="C1027">
        <v>252</v>
      </c>
      <c r="D1027">
        <v>305</v>
      </c>
      <c r="E1027" t="s">
        <v>4303</v>
      </c>
      <c r="F1027">
        <v>0</v>
      </c>
    </row>
    <row r="1028" spans="1:6" x14ac:dyDescent="0.25">
      <c r="A1028" t="s">
        <v>331</v>
      </c>
      <c r="B1028" t="s">
        <v>332</v>
      </c>
      <c r="C1028">
        <v>252</v>
      </c>
      <c r="D1028">
        <v>305</v>
      </c>
      <c r="E1028" t="s">
        <v>4304</v>
      </c>
      <c r="F1028">
        <v>0</v>
      </c>
    </row>
    <row r="1029" spans="1:6" x14ac:dyDescent="0.25">
      <c r="A1029" t="s">
        <v>331</v>
      </c>
      <c r="B1029" t="s">
        <v>332</v>
      </c>
      <c r="C1029">
        <v>252</v>
      </c>
      <c r="D1029">
        <v>305</v>
      </c>
      <c r="E1029" t="s">
        <v>4305</v>
      </c>
      <c r="F1029">
        <v>0</v>
      </c>
    </row>
    <row r="1030" spans="1:6" x14ac:dyDescent="0.25">
      <c r="A1030" t="s">
        <v>331</v>
      </c>
      <c r="B1030" t="s">
        <v>332</v>
      </c>
      <c r="C1030">
        <v>252</v>
      </c>
      <c r="D1030">
        <v>305</v>
      </c>
      <c r="E1030" t="s">
        <v>4306</v>
      </c>
      <c r="F1030">
        <v>0</v>
      </c>
    </row>
    <row r="1031" spans="1:6" x14ac:dyDescent="0.25">
      <c r="A1031" t="s">
        <v>331</v>
      </c>
      <c r="B1031" t="s">
        <v>332</v>
      </c>
      <c r="C1031">
        <v>252</v>
      </c>
      <c r="D1031">
        <v>305</v>
      </c>
      <c r="E1031" t="s">
        <v>4307</v>
      </c>
      <c r="F1031">
        <v>0</v>
      </c>
    </row>
    <row r="1032" spans="1:6" x14ac:dyDescent="0.25">
      <c r="A1032" t="s">
        <v>331</v>
      </c>
      <c r="B1032" t="s">
        <v>332</v>
      </c>
      <c r="C1032">
        <v>252</v>
      </c>
      <c r="D1032">
        <v>305</v>
      </c>
      <c r="E1032" t="s">
        <v>4308</v>
      </c>
      <c r="F1032">
        <v>2440</v>
      </c>
    </row>
    <row r="1033" spans="1:6" x14ac:dyDescent="0.25">
      <c r="A1033" t="s">
        <v>331</v>
      </c>
      <c r="B1033" t="s">
        <v>332</v>
      </c>
      <c r="C1033">
        <v>252</v>
      </c>
      <c r="D1033">
        <v>305</v>
      </c>
      <c r="E1033" t="s">
        <v>4309</v>
      </c>
      <c r="F1033">
        <v>100</v>
      </c>
    </row>
    <row r="1034" spans="1:6" x14ac:dyDescent="0.25">
      <c r="A1034" t="s">
        <v>331</v>
      </c>
      <c r="B1034" t="s">
        <v>333</v>
      </c>
      <c r="C1034">
        <v>256</v>
      </c>
      <c r="D1034">
        <v>247</v>
      </c>
      <c r="E1034" t="s">
        <v>4302</v>
      </c>
      <c r="F1034">
        <v>24939.59</v>
      </c>
    </row>
    <row r="1035" spans="1:6" x14ac:dyDescent="0.25">
      <c r="A1035" t="s">
        <v>331</v>
      </c>
      <c r="B1035" t="s">
        <v>333</v>
      </c>
      <c r="C1035">
        <v>256</v>
      </c>
      <c r="D1035">
        <v>247</v>
      </c>
      <c r="E1035" t="s">
        <v>4303</v>
      </c>
      <c r="F1035">
        <v>4497.3</v>
      </c>
    </row>
    <row r="1036" spans="1:6" x14ac:dyDescent="0.25">
      <c r="A1036" t="s">
        <v>331</v>
      </c>
      <c r="B1036" t="s">
        <v>333</v>
      </c>
      <c r="C1036">
        <v>256</v>
      </c>
      <c r="D1036">
        <v>247</v>
      </c>
      <c r="E1036" t="s">
        <v>4304</v>
      </c>
      <c r="F1036">
        <v>20442.29</v>
      </c>
    </row>
    <row r="1037" spans="1:6" x14ac:dyDescent="0.25">
      <c r="A1037" t="s">
        <v>331</v>
      </c>
      <c r="B1037" t="s">
        <v>333</v>
      </c>
      <c r="C1037">
        <v>256</v>
      </c>
      <c r="D1037">
        <v>247</v>
      </c>
      <c r="E1037" t="s">
        <v>4305</v>
      </c>
      <c r="F1037">
        <v>100</v>
      </c>
    </row>
    <row r="1038" spans="1:6" x14ac:dyDescent="0.25">
      <c r="A1038" t="s">
        <v>331</v>
      </c>
      <c r="B1038" t="s">
        <v>333</v>
      </c>
      <c r="C1038">
        <v>256</v>
      </c>
      <c r="D1038">
        <v>247</v>
      </c>
      <c r="E1038" t="s">
        <v>4306</v>
      </c>
      <c r="F1038">
        <v>0</v>
      </c>
    </row>
    <row r="1039" spans="1:6" x14ac:dyDescent="0.25">
      <c r="A1039" t="s">
        <v>331</v>
      </c>
      <c r="B1039" t="s">
        <v>333</v>
      </c>
      <c r="C1039">
        <v>256</v>
      </c>
      <c r="D1039">
        <v>247</v>
      </c>
      <c r="E1039" t="s">
        <v>4307</v>
      </c>
      <c r="F1039">
        <v>5786.07</v>
      </c>
    </row>
    <row r="1040" spans="1:6" x14ac:dyDescent="0.25">
      <c r="A1040" t="s">
        <v>331</v>
      </c>
      <c r="B1040" t="s">
        <v>333</v>
      </c>
      <c r="C1040">
        <v>256</v>
      </c>
      <c r="D1040">
        <v>247</v>
      </c>
      <c r="E1040" t="s">
        <v>4308</v>
      </c>
      <c r="F1040">
        <v>19153.52</v>
      </c>
    </row>
    <row r="1041" spans="1:6" x14ac:dyDescent="0.25">
      <c r="A1041" t="s">
        <v>331</v>
      </c>
      <c r="B1041" t="s">
        <v>333</v>
      </c>
      <c r="C1041">
        <v>256</v>
      </c>
      <c r="D1041">
        <v>247</v>
      </c>
      <c r="E1041" t="s">
        <v>4309</v>
      </c>
      <c r="F1041">
        <v>76.8</v>
      </c>
    </row>
    <row r="1042" spans="1:6" x14ac:dyDescent="0.25">
      <c r="A1042" t="s">
        <v>331</v>
      </c>
      <c r="B1042" t="s">
        <v>334</v>
      </c>
      <c r="C1042">
        <v>253</v>
      </c>
      <c r="D1042">
        <v>236</v>
      </c>
      <c r="E1042" t="s">
        <v>4302</v>
      </c>
      <c r="F1042">
        <v>15857.94</v>
      </c>
    </row>
    <row r="1043" spans="1:6" x14ac:dyDescent="0.25">
      <c r="A1043" t="s">
        <v>331</v>
      </c>
      <c r="B1043" t="s">
        <v>334</v>
      </c>
      <c r="C1043">
        <v>253</v>
      </c>
      <c r="D1043">
        <v>236</v>
      </c>
      <c r="E1043" t="s">
        <v>4303</v>
      </c>
      <c r="F1043">
        <v>2531.94</v>
      </c>
    </row>
    <row r="1044" spans="1:6" x14ac:dyDescent="0.25">
      <c r="A1044" t="s">
        <v>331</v>
      </c>
      <c r="B1044" t="s">
        <v>334</v>
      </c>
      <c r="C1044">
        <v>253</v>
      </c>
      <c r="D1044">
        <v>236</v>
      </c>
      <c r="E1044" t="s">
        <v>4304</v>
      </c>
      <c r="F1044">
        <v>13326</v>
      </c>
    </row>
    <row r="1045" spans="1:6" x14ac:dyDescent="0.25">
      <c r="A1045" t="s">
        <v>331</v>
      </c>
      <c r="B1045" t="s">
        <v>334</v>
      </c>
      <c r="C1045">
        <v>253</v>
      </c>
      <c r="D1045">
        <v>236</v>
      </c>
      <c r="E1045" t="s">
        <v>4305</v>
      </c>
      <c r="F1045">
        <v>100</v>
      </c>
    </row>
    <row r="1046" spans="1:6" x14ac:dyDescent="0.25">
      <c r="A1046" t="s">
        <v>331</v>
      </c>
      <c r="B1046" t="s">
        <v>334</v>
      </c>
      <c r="C1046">
        <v>253</v>
      </c>
      <c r="D1046">
        <v>236</v>
      </c>
      <c r="E1046" t="s">
        <v>4306</v>
      </c>
      <c r="F1046">
        <v>0</v>
      </c>
    </row>
    <row r="1047" spans="1:6" x14ac:dyDescent="0.25">
      <c r="A1047" t="s">
        <v>331</v>
      </c>
      <c r="B1047" t="s">
        <v>334</v>
      </c>
      <c r="C1047">
        <v>253</v>
      </c>
      <c r="D1047">
        <v>236</v>
      </c>
      <c r="E1047" t="s">
        <v>4307</v>
      </c>
      <c r="F1047">
        <v>334.87</v>
      </c>
    </row>
    <row r="1048" spans="1:6" x14ac:dyDescent="0.25">
      <c r="A1048" t="s">
        <v>331</v>
      </c>
      <c r="B1048" t="s">
        <v>334</v>
      </c>
      <c r="C1048">
        <v>253</v>
      </c>
      <c r="D1048">
        <v>236</v>
      </c>
      <c r="E1048" t="s">
        <v>4308</v>
      </c>
      <c r="F1048">
        <v>15523.07</v>
      </c>
    </row>
    <row r="1049" spans="1:6" x14ac:dyDescent="0.25">
      <c r="A1049" t="s">
        <v>331</v>
      </c>
      <c r="B1049" t="s">
        <v>334</v>
      </c>
      <c r="C1049">
        <v>253</v>
      </c>
      <c r="D1049">
        <v>236</v>
      </c>
      <c r="E1049" t="s">
        <v>4309</v>
      </c>
      <c r="F1049">
        <v>97.89</v>
      </c>
    </row>
    <row r="1050" spans="1:6" x14ac:dyDescent="0.25">
      <c r="A1050" t="s">
        <v>331</v>
      </c>
      <c r="B1050" t="s">
        <v>335</v>
      </c>
      <c r="C1050">
        <v>254</v>
      </c>
      <c r="D1050">
        <v>226</v>
      </c>
      <c r="E1050" t="s">
        <v>4302</v>
      </c>
      <c r="F1050">
        <v>0</v>
      </c>
    </row>
    <row r="1051" spans="1:6" x14ac:dyDescent="0.25">
      <c r="A1051" t="s">
        <v>331</v>
      </c>
      <c r="B1051" t="s">
        <v>335</v>
      </c>
      <c r="C1051">
        <v>254</v>
      </c>
      <c r="D1051">
        <v>226</v>
      </c>
      <c r="E1051" t="s">
        <v>4303</v>
      </c>
      <c r="F1051">
        <v>0</v>
      </c>
    </row>
    <row r="1052" spans="1:6" x14ac:dyDescent="0.25">
      <c r="A1052" t="s">
        <v>331</v>
      </c>
      <c r="B1052" t="s">
        <v>335</v>
      </c>
      <c r="C1052">
        <v>254</v>
      </c>
      <c r="D1052">
        <v>226</v>
      </c>
      <c r="E1052" t="s">
        <v>4304</v>
      </c>
      <c r="F1052">
        <v>0</v>
      </c>
    </row>
    <row r="1053" spans="1:6" x14ac:dyDescent="0.25">
      <c r="A1053" t="s">
        <v>331</v>
      </c>
      <c r="B1053" t="s">
        <v>335</v>
      </c>
      <c r="C1053">
        <v>254</v>
      </c>
      <c r="D1053">
        <v>226</v>
      </c>
      <c r="E1053" t="s">
        <v>4305</v>
      </c>
      <c r="F1053">
        <v>0</v>
      </c>
    </row>
    <row r="1054" spans="1:6" x14ac:dyDescent="0.25">
      <c r="A1054" t="s">
        <v>331</v>
      </c>
      <c r="B1054" t="s">
        <v>335</v>
      </c>
      <c r="C1054">
        <v>254</v>
      </c>
      <c r="D1054">
        <v>226</v>
      </c>
      <c r="E1054" t="s">
        <v>4306</v>
      </c>
      <c r="F1054">
        <v>0</v>
      </c>
    </row>
    <row r="1055" spans="1:6" x14ac:dyDescent="0.25">
      <c r="A1055" t="s">
        <v>331</v>
      </c>
      <c r="B1055" t="s">
        <v>335</v>
      </c>
      <c r="C1055">
        <v>254</v>
      </c>
      <c r="D1055">
        <v>226</v>
      </c>
      <c r="E1055" t="s">
        <v>4307</v>
      </c>
      <c r="F1055">
        <v>0</v>
      </c>
    </row>
    <row r="1056" spans="1:6" x14ac:dyDescent="0.25">
      <c r="A1056" t="s">
        <v>331</v>
      </c>
      <c r="B1056" t="s">
        <v>335</v>
      </c>
      <c r="C1056">
        <v>254</v>
      </c>
      <c r="D1056">
        <v>226</v>
      </c>
      <c r="E1056" t="s">
        <v>4308</v>
      </c>
      <c r="F1056">
        <v>0</v>
      </c>
    </row>
    <row r="1057" spans="1:6" x14ac:dyDescent="0.25">
      <c r="A1057" t="s">
        <v>331</v>
      </c>
      <c r="B1057" t="s">
        <v>335</v>
      </c>
      <c r="C1057">
        <v>254</v>
      </c>
      <c r="D1057">
        <v>226</v>
      </c>
      <c r="E1057" t="s">
        <v>4309</v>
      </c>
      <c r="F1057">
        <v>0</v>
      </c>
    </row>
    <row r="1058" spans="1:6" x14ac:dyDescent="0.25">
      <c r="A1058" t="s">
        <v>331</v>
      </c>
      <c r="B1058" t="s">
        <v>336</v>
      </c>
      <c r="C1058">
        <v>255</v>
      </c>
      <c r="D1058">
        <v>294</v>
      </c>
      <c r="E1058" t="s">
        <v>4302</v>
      </c>
      <c r="F1058">
        <v>11007.5</v>
      </c>
    </row>
    <row r="1059" spans="1:6" x14ac:dyDescent="0.25">
      <c r="A1059" t="s">
        <v>331</v>
      </c>
      <c r="B1059" t="s">
        <v>336</v>
      </c>
      <c r="C1059">
        <v>255</v>
      </c>
      <c r="D1059">
        <v>294</v>
      </c>
      <c r="E1059" t="s">
        <v>4303</v>
      </c>
      <c r="F1059">
        <v>1757.5</v>
      </c>
    </row>
    <row r="1060" spans="1:6" x14ac:dyDescent="0.25">
      <c r="A1060" t="s">
        <v>331</v>
      </c>
      <c r="B1060" t="s">
        <v>336</v>
      </c>
      <c r="C1060">
        <v>255</v>
      </c>
      <c r="D1060">
        <v>294</v>
      </c>
      <c r="E1060" t="s">
        <v>4304</v>
      </c>
      <c r="F1060">
        <v>9250</v>
      </c>
    </row>
    <row r="1061" spans="1:6" x14ac:dyDescent="0.25">
      <c r="A1061" t="s">
        <v>331</v>
      </c>
      <c r="B1061" t="s">
        <v>336</v>
      </c>
      <c r="C1061">
        <v>255</v>
      </c>
      <c r="D1061">
        <v>294</v>
      </c>
      <c r="E1061" t="s">
        <v>4305</v>
      </c>
      <c r="F1061">
        <v>100</v>
      </c>
    </row>
    <row r="1062" spans="1:6" x14ac:dyDescent="0.25">
      <c r="A1062" t="s">
        <v>331</v>
      </c>
      <c r="B1062" t="s">
        <v>336</v>
      </c>
      <c r="C1062">
        <v>255</v>
      </c>
      <c r="D1062">
        <v>294</v>
      </c>
      <c r="E1062" t="s">
        <v>4306</v>
      </c>
      <c r="F1062">
        <v>0</v>
      </c>
    </row>
    <row r="1063" spans="1:6" x14ac:dyDescent="0.25">
      <c r="A1063" t="s">
        <v>331</v>
      </c>
      <c r="B1063" t="s">
        <v>336</v>
      </c>
      <c r="C1063">
        <v>255</v>
      </c>
      <c r="D1063">
        <v>294</v>
      </c>
      <c r="E1063" t="s">
        <v>4307</v>
      </c>
      <c r="F1063">
        <v>128.52000000000001</v>
      </c>
    </row>
    <row r="1064" spans="1:6" x14ac:dyDescent="0.25">
      <c r="A1064" t="s">
        <v>331</v>
      </c>
      <c r="B1064" t="s">
        <v>336</v>
      </c>
      <c r="C1064">
        <v>255</v>
      </c>
      <c r="D1064">
        <v>294</v>
      </c>
      <c r="E1064" t="s">
        <v>4308</v>
      </c>
      <c r="F1064">
        <v>10878.98</v>
      </c>
    </row>
    <row r="1065" spans="1:6" x14ac:dyDescent="0.25">
      <c r="A1065" t="s">
        <v>331</v>
      </c>
      <c r="B1065" t="s">
        <v>336</v>
      </c>
      <c r="C1065">
        <v>255</v>
      </c>
      <c r="D1065">
        <v>294</v>
      </c>
      <c r="E1065" t="s">
        <v>4309</v>
      </c>
      <c r="F1065">
        <v>98.83</v>
      </c>
    </row>
    <row r="1066" spans="1:6" x14ac:dyDescent="0.25">
      <c r="A1066" t="s">
        <v>331</v>
      </c>
      <c r="B1066" t="s">
        <v>330</v>
      </c>
      <c r="C1066">
        <v>189</v>
      </c>
      <c r="D1066">
        <v>343</v>
      </c>
      <c r="E1066" t="s">
        <v>4302</v>
      </c>
      <c r="F1066">
        <v>9000</v>
      </c>
    </row>
    <row r="1067" spans="1:6" x14ac:dyDescent="0.25">
      <c r="A1067" t="s">
        <v>331</v>
      </c>
      <c r="B1067" t="s">
        <v>330</v>
      </c>
      <c r="C1067">
        <v>189</v>
      </c>
      <c r="D1067">
        <v>343</v>
      </c>
      <c r="E1067" t="s">
        <v>4303</v>
      </c>
      <c r="F1067">
        <v>0</v>
      </c>
    </row>
    <row r="1068" spans="1:6" x14ac:dyDescent="0.25">
      <c r="A1068" t="s">
        <v>331</v>
      </c>
      <c r="B1068" t="s">
        <v>330</v>
      </c>
      <c r="C1068">
        <v>189</v>
      </c>
      <c r="D1068">
        <v>343</v>
      </c>
      <c r="E1068" t="s">
        <v>4304</v>
      </c>
      <c r="F1068">
        <v>9000</v>
      </c>
    </row>
    <row r="1069" spans="1:6" x14ac:dyDescent="0.25">
      <c r="A1069" t="s">
        <v>331</v>
      </c>
      <c r="B1069" t="s">
        <v>330</v>
      </c>
      <c r="C1069">
        <v>189</v>
      </c>
      <c r="D1069">
        <v>343</v>
      </c>
      <c r="E1069" t="s">
        <v>4305</v>
      </c>
      <c r="F1069">
        <v>100</v>
      </c>
    </row>
    <row r="1070" spans="1:6" x14ac:dyDescent="0.25">
      <c r="A1070" t="s">
        <v>331</v>
      </c>
      <c r="B1070" t="s">
        <v>330</v>
      </c>
      <c r="C1070">
        <v>189</v>
      </c>
      <c r="D1070">
        <v>343</v>
      </c>
      <c r="E1070" t="s">
        <v>4306</v>
      </c>
      <c r="F1070">
        <v>9000</v>
      </c>
    </row>
    <row r="1071" spans="1:6" x14ac:dyDescent="0.25">
      <c r="A1071" t="s">
        <v>331</v>
      </c>
      <c r="B1071" t="s">
        <v>330</v>
      </c>
      <c r="C1071">
        <v>189</v>
      </c>
      <c r="D1071">
        <v>343</v>
      </c>
      <c r="E1071" t="s">
        <v>4307</v>
      </c>
      <c r="F1071">
        <v>0</v>
      </c>
    </row>
    <row r="1072" spans="1:6" x14ac:dyDescent="0.25">
      <c r="A1072" t="s">
        <v>331</v>
      </c>
      <c r="B1072" t="s">
        <v>330</v>
      </c>
      <c r="C1072">
        <v>189</v>
      </c>
      <c r="D1072">
        <v>343</v>
      </c>
      <c r="E1072" t="s">
        <v>4308</v>
      </c>
      <c r="F1072">
        <v>0</v>
      </c>
    </row>
    <row r="1073" spans="1:6" x14ac:dyDescent="0.25">
      <c r="A1073" t="s">
        <v>331</v>
      </c>
      <c r="B1073" t="s">
        <v>330</v>
      </c>
      <c r="C1073">
        <v>189</v>
      </c>
      <c r="D1073">
        <v>343</v>
      </c>
      <c r="E1073" t="s">
        <v>4309</v>
      </c>
      <c r="F1073">
        <v>0</v>
      </c>
    </row>
    <row r="1074" spans="1:6" x14ac:dyDescent="0.25">
      <c r="A1074" t="s">
        <v>350</v>
      </c>
      <c r="B1074" t="s">
        <v>351</v>
      </c>
      <c r="C1074">
        <v>176</v>
      </c>
      <c r="D1074">
        <v>300</v>
      </c>
      <c r="E1074" t="s">
        <v>4302</v>
      </c>
      <c r="F1074">
        <v>5829.81</v>
      </c>
    </row>
    <row r="1075" spans="1:6" x14ac:dyDescent="0.25">
      <c r="A1075" t="s">
        <v>350</v>
      </c>
      <c r="B1075" t="s">
        <v>351</v>
      </c>
      <c r="C1075">
        <v>176</v>
      </c>
      <c r="D1075">
        <v>300</v>
      </c>
      <c r="E1075" t="s">
        <v>4303</v>
      </c>
      <c r="F1075">
        <v>930.81</v>
      </c>
    </row>
    <row r="1076" spans="1:6" x14ac:dyDescent="0.25">
      <c r="A1076" t="s">
        <v>350</v>
      </c>
      <c r="B1076" t="s">
        <v>351</v>
      </c>
      <c r="C1076">
        <v>176</v>
      </c>
      <c r="D1076">
        <v>300</v>
      </c>
      <c r="E1076" t="s">
        <v>4304</v>
      </c>
      <c r="F1076">
        <v>0</v>
      </c>
    </row>
    <row r="1077" spans="1:6" x14ac:dyDescent="0.25">
      <c r="A1077" t="s">
        <v>350</v>
      </c>
      <c r="B1077" t="s">
        <v>351</v>
      </c>
      <c r="C1077">
        <v>176</v>
      </c>
      <c r="D1077">
        <v>300</v>
      </c>
      <c r="E1077" t="s">
        <v>4305</v>
      </c>
      <c r="F1077">
        <v>0</v>
      </c>
    </row>
    <row r="1078" spans="1:6" x14ac:dyDescent="0.25">
      <c r="A1078" t="s">
        <v>350</v>
      </c>
      <c r="B1078" t="s">
        <v>351</v>
      </c>
      <c r="C1078">
        <v>176</v>
      </c>
      <c r="D1078">
        <v>300</v>
      </c>
      <c r="E1078" t="s">
        <v>4306</v>
      </c>
      <c r="F1078">
        <v>0</v>
      </c>
    </row>
    <row r="1079" spans="1:6" x14ac:dyDescent="0.25">
      <c r="A1079" t="s">
        <v>350</v>
      </c>
      <c r="B1079" t="s">
        <v>351</v>
      </c>
      <c r="C1079">
        <v>176</v>
      </c>
      <c r="D1079">
        <v>300</v>
      </c>
      <c r="E1079" t="s">
        <v>4307</v>
      </c>
      <c r="F1079">
        <v>0</v>
      </c>
    </row>
    <row r="1080" spans="1:6" x14ac:dyDescent="0.25">
      <c r="A1080" t="s">
        <v>350</v>
      </c>
      <c r="B1080" t="s">
        <v>351</v>
      </c>
      <c r="C1080">
        <v>176</v>
      </c>
      <c r="D1080">
        <v>300</v>
      </c>
      <c r="E1080" t="s">
        <v>4308</v>
      </c>
      <c r="F1080">
        <v>5829.81</v>
      </c>
    </row>
    <row r="1081" spans="1:6" x14ac:dyDescent="0.25">
      <c r="A1081" t="s">
        <v>350</v>
      </c>
      <c r="B1081" t="s">
        <v>351</v>
      </c>
      <c r="C1081">
        <v>176</v>
      </c>
      <c r="D1081">
        <v>300</v>
      </c>
      <c r="E1081" t="s">
        <v>4309</v>
      </c>
      <c r="F1081">
        <v>100</v>
      </c>
    </row>
    <row r="1082" spans="1:6" x14ac:dyDescent="0.25">
      <c r="A1082" t="s">
        <v>350</v>
      </c>
      <c r="B1082" t="s">
        <v>354</v>
      </c>
      <c r="C1082">
        <v>194</v>
      </c>
      <c r="D1082">
        <v>295</v>
      </c>
      <c r="E1082" t="s">
        <v>4302</v>
      </c>
      <c r="F1082">
        <v>9948.93</v>
      </c>
    </row>
    <row r="1083" spans="1:6" x14ac:dyDescent="0.25">
      <c r="A1083" t="s">
        <v>350</v>
      </c>
      <c r="B1083" t="s">
        <v>354</v>
      </c>
      <c r="C1083">
        <v>194</v>
      </c>
      <c r="D1083">
        <v>295</v>
      </c>
      <c r="E1083" t="s">
        <v>4303</v>
      </c>
      <c r="F1083">
        <v>2842.55</v>
      </c>
    </row>
    <row r="1084" spans="1:6" x14ac:dyDescent="0.25">
      <c r="A1084" t="s">
        <v>350</v>
      </c>
      <c r="B1084" t="s">
        <v>354</v>
      </c>
      <c r="C1084">
        <v>194</v>
      </c>
      <c r="D1084">
        <v>295</v>
      </c>
      <c r="E1084" t="s">
        <v>4304</v>
      </c>
      <c r="F1084">
        <v>7106.38</v>
      </c>
    </row>
    <row r="1085" spans="1:6" x14ac:dyDescent="0.25">
      <c r="A1085" t="s">
        <v>350</v>
      </c>
      <c r="B1085" t="s">
        <v>354</v>
      </c>
      <c r="C1085">
        <v>194</v>
      </c>
      <c r="D1085">
        <v>295</v>
      </c>
      <c r="E1085" t="s">
        <v>4305</v>
      </c>
      <c r="F1085">
        <v>100</v>
      </c>
    </row>
    <row r="1086" spans="1:6" x14ac:dyDescent="0.25">
      <c r="A1086" t="s">
        <v>350</v>
      </c>
      <c r="B1086" t="s">
        <v>354</v>
      </c>
      <c r="C1086">
        <v>194</v>
      </c>
      <c r="D1086">
        <v>295</v>
      </c>
      <c r="E1086" t="s">
        <v>4306</v>
      </c>
      <c r="F1086">
        <v>9948.93</v>
      </c>
    </row>
    <row r="1087" spans="1:6" x14ac:dyDescent="0.25">
      <c r="A1087" t="s">
        <v>350</v>
      </c>
      <c r="B1087" t="s">
        <v>354</v>
      </c>
      <c r="C1087">
        <v>194</v>
      </c>
      <c r="D1087">
        <v>295</v>
      </c>
      <c r="E1087" t="s">
        <v>4307</v>
      </c>
      <c r="F1087">
        <v>0</v>
      </c>
    </row>
    <row r="1088" spans="1:6" x14ac:dyDescent="0.25">
      <c r="A1088" t="s">
        <v>350</v>
      </c>
      <c r="B1088" t="s">
        <v>354</v>
      </c>
      <c r="C1088">
        <v>194</v>
      </c>
      <c r="D1088">
        <v>295</v>
      </c>
      <c r="E1088" t="s">
        <v>4308</v>
      </c>
      <c r="F1088">
        <v>0</v>
      </c>
    </row>
    <row r="1089" spans="1:6" x14ac:dyDescent="0.25">
      <c r="A1089" t="s">
        <v>350</v>
      </c>
      <c r="B1089" t="s">
        <v>354</v>
      </c>
      <c r="C1089">
        <v>194</v>
      </c>
      <c r="D1089">
        <v>295</v>
      </c>
      <c r="E1089" t="s">
        <v>4309</v>
      </c>
      <c r="F1089">
        <v>0</v>
      </c>
    </row>
    <row r="1090" spans="1:6" x14ac:dyDescent="0.25">
      <c r="A1090" t="s">
        <v>350</v>
      </c>
      <c r="B1090" t="s">
        <v>355</v>
      </c>
      <c r="C1090">
        <v>178</v>
      </c>
      <c r="D1090">
        <v>279</v>
      </c>
      <c r="E1090" t="s">
        <v>4302</v>
      </c>
      <c r="F1090">
        <v>16253.93</v>
      </c>
    </row>
    <row r="1091" spans="1:6" x14ac:dyDescent="0.25">
      <c r="A1091" t="s">
        <v>350</v>
      </c>
      <c r="B1091" t="s">
        <v>355</v>
      </c>
      <c r="C1091">
        <v>178</v>
      </c>
      <c r="D1091">
        <v>279</v>
      </c>
      <c r="E1091" t="s">
        <v>4303</v>
      </c>
      <c r="F1091">
        <v>4643.9799999999996</v>
      </c>
    </row>
    <row r="1092" spans="1:6" x14ac:dyDescent="0.25">
      <c r="A1092" t="s">
        <v>350</v>
      </c>
      <c r="B1092" t="s">
        <v>355</v>
      </c>
      <c r="C1092">
        <v>178</v>
      </c>
      <c r="D1092">
        <v>279</v>
      </c>
      <c r="E1092" t="s">
        <v>4304</v>
      </c>
      <c r="F1092">
        <v>11609.95</v>
      </c>
    </row>
    <row r="1093" spans="1:6" x14ac:dyDescent="0.25">
      <c r="A1093" t="s">
        <v>350</v>
      </c>
      <c r="B1093" t="s">
        <v>355</v>
      </c>
      <c r="C1093">
        <v>178</v>
      </c>
      <c r="D1093">
        <v>279</v>
      </c>
      <c r="E1093" t="s">
        <v>4305</v>
      </c>
      <c r="F1093">
        <v>100</v>
      </c>
    </row>
    <row r="1094" spans="1:6" x14ac:dyDescent="0.25">
      <c r="A1094" t="s">
        <v>350</v>
      </c>
      <c r="B1094" t="s">
        <v>355</v>
      </c>
      <c r="C1094">
        <v>178</v>
      </c>
      <c r="D1094">
        <v>279</v>
      </c>
      <c r="E1094" t="s">
        <v>4306</v>
      </c>
      <c r="F1094">
        <v>0</v>
      </c>
    </row>
    <row r="1095" spans="1:6" x14ac:dyDescent="0.25">
      <c r="A1095" t="s">
        <v>350</v>
      </c>
      <c r="B1095" t="s">
        <v>355</v>
      </c>
      <c r="C1095">
        <v>178</v>
      </c>
      <c r="D1095">
        <v>279</v>
      </c>
      <c r="E1095" t="s">
        <v>4307</v>
      </c>
      <c r="F1095">
        <v>0</v>
      </c>
    </row>
    <row r="1096" spans="1:6" x14ac:dyDescent="0.25">
      <c r="A1096" t="s">
        <v>350</v>
      </c>
      <c r="B1096" t="s">
        <v>355</v>
      </c>
      <c r="C1096">
        <v>178</v>
      </c>
      <c r="D1096">
        <v>279</v>
      </c>
      <c r="E1096" t="s">
        <v>4308</v>
      </c>
      <c r="F1096">
        <v>16253.93</v>
      </c>
    </row>
    <row r="1097" spans="1:6" x14ac:dyDescent="0.25">
      <c r="A1097" t="s">
        <v>350</v>
      </c>
      <c r="B1097" t="s">
        <v>355</v>
      </c>
      <c r="C1097">
        <v>178</v>
      </c>
      <c r="D1097">
        <v>279</v>
      </c>
      <c r="E1097" t="s">
        <v>4309</v>
      </c>
      <c r="F1097">
        <v>100</v>
      </c>
    </row>
    <row r="1098" spans="1:6" x14ac:dyDescent="0.25">
      <c r="A1098" t="s">
        <v>350</v>
      </c>
      <c r="B1098" t="s">
        <v>356</v>
      </c>
      <c r="C1098">
        <v>219</v>
      </c>
      <c r="D1098">
        <v>285</v>
      </c>
      <c r="E1098" t="s">
        <v>4302</v>
      </c>
      <c r="F1098">
        <v>3452.02</v>
      </c>
    </row>
    <row r="1099" spans="1:6" x14ac:dyDescent="0.25">
      <c r="A1099" t="s">
        <v>350</v>
      </c>
      <c r="B1099" t="s">
        <v>356</v>
      </c>
      <c r="C1099">
        <v>219</v>
      </c>
      <c r="D1099">
        <v>285</v>
      </c>
      <c r="E1099" t="s">
        <v>4303</v>
      </c>
      <c r="F1099">
        <v>986.29</v>
      </c>
    </row>
    <row r="1100" spans="1:6" x14ac:dyDescent="0.25">
      <c r="A1100" t="s">
        <v>350</v>
      </c>
      <c r="B1100" t="s">
        <v>356</v>
      </c>
      <c r="C1100">
        <v>219</v>
      </c>
      <c r="D1100">
        <v>285</v>
      </c>
      <c r="E1100" t="s">
        <v>4304</v>
      </c>
      <c r="F1100">
        <v>2465.73</v>
      </c>
    </row>
    <row r="1101" spans="1:6" x14ac:dyDescent="0.25">
      <c r="A1101" t="s">
        <v>350</v>
      </c>
      <c r="B1101" t="s">
        <v>356</v>
      </c>
      <c r="C1101">
        <v>219</v>
      </c>
      <c r="D1101">
        <v>285</v>
      </c>
      <c r="E1101" t="s">
        <v>4305</v>
      </c>
      <c r="F1101">
        <v>100</v>
      </c>
    </row>
    <row r="1102" spans="1:6" x14ac:dyDescent="0.25">
      <c r="A1102" t="s">
        <v>350</v>
      </c>
      <c r="B1102" t="s">
        <v>356</v>
      </c>
      <c r="C1102">
        <v>219</v>
      </c>
      <c r="D1102">
        <v>285</v>
      </c>
      <c r="E1102" t="s">
        <v>4306</v>
      </c>
      <c r="F1102">
        <v>0</v>
      </c>
    </row>
    <row r="1103" spans="1:6" x14ac:dyDescent="0.25">
      <c r="A1103" t="s">
        <v>350</v>
      </c>
      <c r="B1103" t="s">
        <v>356</v>
      </c>
      <c r="C1103">
        <v>219</v>
      </c>
      <c r="D1103">
        <v>285</v>
      </c>
      <c r="E1103" t="s">
        <v>4307</v>
      </c>
      <c r="F1103">
        <v>0</v>
      </c>
    </row>
    <row r="1104" spans="1:6" x14ac:dyDescent="0.25">
      <c r="A1104" t="s">
        <v>350</v>
      </c>
      <c r="B1104" t="s">
        <v>356</v>
      </c>
      <c r="C1104">
        <v>219</v>
      </c>
      <c r="D1104">
        <v>285</v>
      </c>
      <c r="E1104" t="s">
        <v>4308</v>
      </c>
      <c r="F1104">
        <v>3452.02</v>
      </c>
    </row>
    <row r="1105" spans="1:6" x14ac:dyDescent="0.25">
      <c r="A1105" t="s">
        <v>350</v>
      </c>
      <c r="B1105" t="s">
        <v>356</v>
      </c>
      <c r="C1105">
        <v>219</v>
      </c>
      <c r="D1105">
        <v>285</v>
      </c>
      <c r="E1105" t="s">
        <v>4309</v>
      </c>
      <c r="F1105">
        <v>100</v>
      </c>
    </row>
    <row r="1106" spans="1:6" x14ac:dyDescent="0.25">
      <c r="A1106" t="s">
        <v>63</v>
      </c>
      <c r="B1106" t="s">
        <v>37</v>
      </c>
      <c r="C1106">
        <v>288</v>
      </c>
      <c r="D1106">
        <v>266</v>
      </c>
      <c r="E1106" t="s">
        <v>4302</v>
      </c>
      <c r="F1106">
        <v>14667.71</v>
      </c>
    </row>
    <row r="1107" spans="1:6" x14ac:dyDescent="0.25">
      <c r="A1107" t="s">
        <v>63</v>
      </c>
      <c r="B1107" t="s">
        <v>37</v>
      </c>
      <c r="C1107">
        <v>288</v>
      </c>
      <c r="D1107">
        <v>266</v>
      </c>
      <c r="E1107" t="s">
        <v>4303</v>
      </c>
      <c r="F1107">
        <v>4190.7700000000004</v>
      </c>
    </row>
    <row r="1108" spans="1:6" x14ac:dyDescent="0.25">
      <c r="A1108" t="s">
        <v>63</v>
      </c>
      <c r="B1108" t="s">
        <v>37</v>
      </c>
      <c r="C1108">
        <v>288</v>
      </c>
      <c r="D1108">
        <v>266</v>
      </c>
      <c r="E1108" t="s">
        <v>4304</v>
      </c>
      <c r="F1108">
        <v>0</v>
      </c>
    </row>
    <row r="1109" spans="1:6" x14ac:dyDescent="0.25">
      <c r="A1109" t="s">
        <v>63</v>
      </c>
      <c r="B1109" t="s">
        <v>37</v>
      </c>
      <c r="C1109">
        <v>288</v>
      </c>
      <c r="D1109">
        <v>266</v>
      </c>
      <c r="E1109" t="s">
        <v>4305</v>
      </c>
      <c r="F1109">
        <v>0</v>
      </c>
    </row>
    <row r="1110" spans="1:6" x14ac:dyDescent="0.25">
      <c r="A1110" t="s">
        <v>63</v>
      </c>
      <c r="B1110" t="s">
        <v>37</v>
      </c>
      <c r="C1110">
        <v>288</v>
      </c>
      <c r="D1110">
        <v>266</v>
      </c>
      <c r="E1110" t="s">
        <v>4306</v>
      </c>
      <c r="F1110">
        <v>0</v>
      </c>
    </row>
    <row r="1111" spans="1:6" x14ac:dyDescent="0.25">
      <c r="A1111" t="s">
        <v>63</v>
      </c>
      <c r="B1111" t="s">
        <v>37</v>
      </c>
      <c r="C1111">
        <v>288</v>
      </c>
      <c r="D1111">
        <v>266</v>
      </c>
      <c r="E1111" t="s">
        <v>4307</v>
      </c>
      <c r="F1111">
        <v>0</v>
      </c>
    </row>
    <row r="1112" spans="1:6" x14ac:dyDescent="0.25">
      <c r="A1112" t="s">
        <v>63</v>
      </c>
      <c r="B1112" t="s">
        <v>37</v>
      </c>
      <c r="C1112">
        <v>288</v>
      </c>
      <c r="D1112">
        <v>266</v>
      </c>
      <c r="E1112" t="s">
        <v>4308</v>
      </c>
      <c r="F1112">
        <v>14667.71</v>
      </c>
    </row>
    <row r="1113" spans="1:6" x14ac:dyDescent="0.25">
      <c r="A1113" t="s">
        <v>63</v>
      </c>
      <c r="B1113" t="s">
        <v>37</v>
      </c>
      <c r="C1113">
        <v>288</v>
      </c>
      <c r="D1113">
        <v>266</v>
      </c>
      <c r="E1113" t="s">
        <v>4309</v>
      </c>
      <c r="F1113">
        <v>100</v>
      </c>
    </row>
    <row r="1114" spans="1:6" x14ac:dyDescent="0.25">
      <c r="A1114" t="s">
        <v>63</v>
      </c>
      <c r="B1114" t="s">
        <v>37</v>
      </c>
      <c r="C1114">
        <v>288</v>
      </c>
      <c r="D1114">
        <v>49</v>
      </c>
      <c r="E1114" t="s">
        <v>4302</v>
      </c>
      <c r="F1114">
        <v>9687.17</v>
      </c>
    </row>
    <row r="1115" spans="1:6" x14ac:dyDescent="0.25">
      <c r="A1115" t="s">
        <v>63</v>
      </c>
      <c r="B1115" t="s">
        <v>37</v>
      </c>
      <c r="C1115">
        <v>288</v>
      </c>
      <c r="D1115">
        <v>49</v>
      </c>
      <c r="E1115" t="s">
        <v>4303</v>
      </c>
      <c r="F1115">
        <v>2767.76</v>
      </c>
    </row>
    <row r="1116" spans="1:6" x14ac:dyDescent="0.25">
      <c r="A1116" t="s">
        <v>63</v>
      </c>
      <c r="B1116" t="s">
        <v>37</v>
      </c>
      <c r="C1116">
        <v>288</v>
      </c>
      <c r="D1116">
        <v>49</v>
      </c>
      <c r="E1116" t="s">
        <v>4304</v>
      </c>
      <c r="F1116">
        <v>6919.41</v>
      </c>
    </row>
    <row r="1117" spans="1:6" x14ac:dyDescent="0.25">
      <c r="A1117" t="s">
        <v>63</v>
      </c>
      <c r="B1117" t="s">
        <v>37</v>
      </c>
      <c r="C1117">
        <v>288</v>
      </c>
      <c r="D1117">
        <v>49</v>
      </c>
      <c r="E1117" t="s">
        <v>4305</v>
      </c>
      <c r="F1117">
        <v>100</v>
      </c>
    </row>
    <row r="1118" spans="1:6" x14ac:dyDescent="0.25">
      <c r="A1118" t="s">
        <v>63</v>
      </c>
      <c r="B1118" t="s">
        <v>37</v>
      </c>
      <c r="C1118">
        <v>288</v>
      </c>
      <c r="D1118">
        <v>49</v>
      </c>
      <c r="E1118" t="s">
        <v>4306</v>
      </c>
      <c r="F1118">
        <v>0</v>
      </c>
    </row>
    <row r="1119" spans="1:6" x14ac:dyDescent="0.25">
      <c r="A1119" t="s">
        <v>63</v>
      </c>
      <c r="B1119" t="s">
        <v>37</v>
      </c>
      <c r="C1119">
        <v>288</v>
      </c>
      <c r="D1119">
        <v>49</v>
      </c>
      <c r="E1119" t="s">
        <v>4307</v>
      </c>
      <c r="F1119">
        <v>0</v>
      </c>
    </row>
    <row r="1120" spans="1:6" x14ac:dyDescent="0.25">
      <c r="A1120" t="s">
        <v>63</v>
      </c>
      <c r="B1120" t="s">
        <v>37</v>
      </c>
      <c r="C1120">
        <v>288</v>
      </c>
      <c r="D1120">
        <v>49</v>
      </c>
      <c r="E1120" t="s">
        <v>4308</v>
      </c>
      <c r="F1120">
        <v>9687.17</v>
      </c>
    </row>
    <row r="1121" spans="1:6" x14ac:dyDescent="0.25">
      <c r="A1121" t="s">
        <v>63</v>
      </c>
      <c r="B1121" t="s">
        <v>37</v>
      </c>
      <c r="C1121">
        <v>288</v>
      </c>
      <c r="D1121">
        <v>49</v>
      </c>
      <c r="E1121" t="s">
        <v>4309</v>
      </c>
      <c r="F1121">
        <v>100</v>
      </c>
    </row>
    <row r="1122" spans="1:6" x14ac:dyDescent="0.25">
      <c r="A1122" t="s">
        <v>63</v>
      </c>
      <c r="B1122" t="s">
        <v>4548</v>
      </c>
      <c r="C1122">
        <v>286</v>
      </c>
      <c r="D1122">
        <v>45</v>
      </c>
      <c r="E1122" t="s">
        <v>4302</v>
      </c>
      <c r="F1122">
        <v>0</v>
      </c>
    </row>
    <row r="1123" spans="1:6" x14ac:dyDescent="0.25">
      <c r="A1123" t="s">
        <v>63</v>
      </c>
      <c r="B1123" t="s">
        <v>4548</v>
      </c>
      <c r="C1123">
        <v>286</v>
      </c>
      <c r="D1123">
        <v>45</v>
      </c>
      <c r="E1123" t="s">
        <v>4303</v>
      </c>
      <c r="F1123">
        <v>0</v>
      </c>
    </row>
    <row r="1124" spans="1:6" x14ac:dyDescent="0.25">
      <c r="A1124" t="s">
        <v>63</v>
      </c>
      <c r="B1124" t="s">
        <v>4548</v>
      </c>
      <c r="C1124">
        <v>286</v>
      </c>
      <c r="D1124">
        <v>45</v>
      </c>
      <c r="E1124" t="s">
        <v>4304</v>
      </c>
      <c r="F1124">
        <v>0</v>
      </c>
    </row>
    <row r="1125" spans="1:6" x14ac:dyDescent="0.25">
      <c r="A1125" t="s">
        <v>63</v>
      </c>
      <c r="B1125" t="s">
        <v>4548</v>
      </c>
      <c r="C1125">
        <v>286</v>
      </c>
      <c r="D1125">
        <v>45</v>
      </c>
      <c r="E1125" t="s">
        <v>4305</v>
      </c>
      <c r="F1125">
        <v>0</v>
      </c>
    </row>
    <row r="1126" spans="1:6" x14ac:dyDescent="0.25">
      <c r="A1126" t="s">
        <v>63</v>
      </c>
      <c r="B1126" t="s">
        <v>4548</v>
      </c>
      <c r="C1126">
        <v>286</v>
      </c>
      <c r="D1126">
        <v>45</v>
      </c>
      <c r="E1126" t="s">
        <v>4306</v>
      </c>
      <c r="F1126">
        <v>0</v>
      </c>
    </row>
    <row r="1127" spans="1:6" x14ac:dyDescent="0.25">
      <c r="A1127" t="s">
        <v>63</v>
      </c>
      <c r="B1127" t="s">
        <v>4548</v>
      </c>
      <c r="C1127">
        <v>286</v>
      </c>
      <c r="D1127">
        <v>45</v>
      </c>
      <c r="E1127" t="s">
        <v>4307</v>
      </c>
      <c r="F1127">
        <v>0</v>
      </c>
    </row>
    <row r="1128" spans="1:6" x14ac:dyDescent="0.25">
      <c r="A1128" t="s">
        <v>63</v>
      </c>
      <c r="B1128" t="s">
        <v>4548</v>
      </c>
      <c r="C1128">
        <v>286</v>
      </c>
      <c r="D1128">
        <v>45</v>
      </c>
      <c r="E1128" t="s">
        <v>4308</v>
      </c>
      <c r="F1128">
        <v>0</v>
      </c>
    </row>
    <row r="1129" spans="1:6" x14ac:dyDescent="0.25">
      <c r="A1129" t="s">
        <v>63</v>
      </c>
      <c r="B1129" t="s">
        <v>4548</v>
      </c>
      <c r="C1129">
        <v>286</v>
      </c>
      <c r="D1129">
        <v>45</v>
      </c>
      <c r="E1129" t="s">
        <v>4309</v>
      </c>
      <c r="F1129">
        <v>0</v>
      </c>
    </row>
    <row r="1130" spans="1:6" x14ac:dyDescent="0.25">
      <c r="A1130" t="s">
        <v>63</v>
      </c>
      <c r="B1130" t="s">
        <v>4548</v>
      </c>
      <c r="C1130">
        <v>286</v>
      </c>
      <c r="D1130">
        <v>99</v>
      </c>
      <c r="E1130" t="s">
        <v>4302</v>
      </c>
      <c r="F1130">
        <v>0</v>
      </c>
    </row>
    <row r="1131" spans="1:6" x14ac:dyDescent="0.25">
      <c r="A1131" t="s">
        <v>63</v>
      </c>
      <c r="B1131" t="s">
        <v>4548</v>
      </c>
      <c r="C1131">
        <v>286</v>
      </c>
      <c r="D1131">
        <v>99</v>
      </c>
      <c r="E1131" t="s">
        <v>4303</v>
      </c>
      <c r="F1131">
        <v>0</v>
      </c>
    </row>
    <row r="1132" spans="1:6" x14ac:dyDescent="0.25">
      <c r="A1132" t="s">
        <v>63</v>
      </c>
      <c r="B1132" t="s">
        <v>4548</v>
      </c>
      <c r="C1132">
        <v>286</v>
      </c>
      <c r="D1132">
        <v>99</v>
      </c>
      <c r="E1132" t="s">
        <v>4304</v>
      </c>
      <c r="F1132">
        <v>0</v>
      </c>
    </row>
    <row r="1133" spans="1:6" x14ac:dyDescent="0.25">
      <c r="A1133" t="s">
        <v>63</v>
      </c>
      <c r="B1133" t="s">
        <v>4548</v>
      </c>
      <c r="C1133">
        <v>286</v>
      </c>
      <c r="D1133">
        <v>99</v>
      </c>
      <c r="E1133" t="s">
        <v>4305</v>
      </c>
      <c r="F1133">
        <v>0</v>
      </c>
    </row>
    <row r="1134" spans="1:6" x14ac:dyDescent="0.25">
      <c r="A1134" t="s">
        <v>63</v>
      </c>
      <c r="B1134" t="s">
        <v>4548</v>
      </c>
      <c r="C1134">
        <v>286</v>
      </c>
      <c r="D1134">
        <v>99</v>
      </c>
      <c r="E1134" t="s">
        <v>4306</v>
      </c>
      <c r="F1134">
        <v>0</v>
      </c>
    </row>
    <row r="1135" spans="1:6" x14ac:dyDescent="0.25">
      <c r="A1135" t="s">
        <v>63</v>
      </c>
      <c r="B1135" t="s">
        <v>4548</v>
      </c>
      <c r="C1135">
        <v>286</v>
      </c>
      <c r="D1135">
        <v>99</v>
      </c>
      <c r="E1135" t="s">
        <v>4307</v>
      </c>
      <c r="F1135">
        <v>0</v>
      </c>
    </row>
    <row r="1136" spans="1:6" x14ac:dyDescent="0.25">
      <c r="A1136" t="s">
        <v>63</v>
      </c>
      <c r="B1136" t="s">
        <v>4548</v>
      </c>
      <c r="C1136">
        <v>286</v>
      </c>
      <c r="D1136">
        <v>99</v>
      </c>
      <c r="E1136" t="s">
        <v>4308</v>
      </c>
      <c r="F1136">
        <v>0</v>
      </c>
    </row>
    <row r="1137" spans="1:6" x14ac:dyDescent="0.25">
      <c r="A1137" t="s">
        <v>63</v>
      </c>
      <c r="B1137" t="s">
        <v>4548</v>
      </c>
      <c r="C1137">
        <v>286</v>
      </c>
      <c r="D1137">
        <v>99</v>
      </c>
      <c r="E1137" t="s">
        <v>4309</v>
      </c>
      <c r="F1137">
        <v>0</v>
      </c>
    </row>
    <row r="1138" spans="1:6" x14ac:dyDescent="0.25">
      <c r="A1138" t="s">
        <v>63</v>
      </c>
      <c r="B1138" t="s">
        <v>51</v>
      </c>
      <c r="C1138">
        <v>287</v>
      </c>
      <c r="D1138">
        <v>326</v>
      </c>
      <c r="E1138" t="s">
        <v>4302</v>
      </c>
      <c r="F1138">
        <v>21467.65</v>
      </c>
    </row>
    <row r="1139" spans="1:6" x14ac:dyDescent="0.25">
      <c r="A1139" t="s">
        <v>63</v>
      </c>
      <c r="B1139" t="s">
        <v>51</v>
      </c>
      <c r="C1139">
        <v>287</v>
      </c>
      <c r="D1139">
        <v>326</v>
      </c>
      <c r="E1139" t="s">
        <v>4303</v>
      </c>
      <c r="F1139">
        <v>3427.6</v>
      </c>
    </row>
    <row r="1140" spans="1:6" x14ac:dyDescent="0.25">
      <c r="A1140" t="s">
        <v>63</v>
      </c>
      <c r="B1140" t="s">
        <v>51</v>
      </c>
      <c r="C1140">
        <v>287</v>
      </c>
      <c r="D1140">
        <v>326</v>
      </c>
      <c r="E1140" t="s">
        <v>4304</v>
      </c>
      <c r="F1140">
        <v>10528</v>
      </c>
    </row>
    <row r="1141" spans="1:6" x14ac:dyDescent="0.25">
      <c r="A1141" t="s">
        <v>63</v>
      </c>
      <c r="B1141" t="s">
        <v>51</v>
      </c>
      <c r="C1141">
        <v>287</v>
      </c>
      <c r="D1141">
        <v>326</v>
      </c>
      <c r="E1141" t="s">
        <v>4305</v>
      </c>
      <c r="F1141">
        <v>58.36</v>
      </c>
    </row>
    <row r="1142" spans="1:6" x14ac:dyDescent="0.25">
      <c r="A1142" t="s">
        <v>63</v>
      </c>
      <c r="B1142" t="s">
        <v>51</v>
      </c>
      <c r="C1142">
        <v>287</v>
      </c>
      <c r="D1142">
        <v>326</v>
      </c>
      <c r="E1142" t="s">
        <v>4306</v>
      </c>
      <c r="F1142">
        <v>0</v>
      </c>
    </row>
    <row r="1143" spans="1:6" x14ac:dyDescent="0.25">
      <c r="A1143" t="s">
        <v>63</v>
      </c>
      <c r="B1143" t="s">
        <v>51</v>
      </c>
      <c r="C1143">
        <v>287</v>
      </c>
      <c r="D1143">
        <v>326</v>
      </c>
      <c r="E1143" t="s">
        <v>4307</v>
      </c>
      <c r="F1143">
        <v>0</v>
      </c>
    </row>
    <row r="1144" spans="1:6" x14ac:dyDescent="0.25">
      <c r="A1144" t="s">
        <v>63</v>
      </c>
      <c r="B1144" t="s">
        <v>51</v>
      </c>
      <c r="C1144">
        <v>287</v>
      </c>
      <c r="D1144">
        <v>326</v>
      </c>
      <c r="E1144" t="s">
        <v>4308</v>
      </c>
      <c r="F1144">
        <v>21467.65</v>
      </c>
    </row>
    <row r="1145" spans="1:6" x14ac:dyDescent="0.25">
      <c r="A1145" t="s">
        <v>63</v>
      </c>
      <c r="B1145" t="s">
        <v>51</v>
      </c>
      <c r="C1145">
        <v>287</v>
      </c>
      <c r="D1145">
        <v>326</v>
      </c>
      <c r="E1145" t="s">
        <v>4309</v>
      </c>
      <c r="F1145">
        <v>100</v>
      </c>
    </row>
    <row r="1146" spans="1:6" x14ac:dyDescent="0.25">
      <c r="A1146" t="s">
        <v>63</v>
      </c>
      <c r="B1146" t="s">
        <v>51</v>
      </c>
      <c r="C1146">
        <v>287</v>
      </c>
      <c r="D1146">
        <v>62</v>
      </c>
      <c r="E1146" t="s">
        <v>4302</v>
      </c>
      <c r="F1146">
        <v>15882.7</v>
      </c>
    </row>
    <row r="1147" spans="1:6" x14ac:dyDescent="0.25">
      <c r="A1147" t="s">
        <v>63</v>
      </c>
      <c r="B1147" t="s">
        <v>51</v>
      </c>
      <c r="C1147">
        <v>287</v>
      </c>
      <c r="D1147">
        <v>62</v>
      </c>
      <c r="E1147" t="s">
        <v>4303</v>
      </c>
      <c r="F1147">
        <v>2535.89</v>
      </c>
    </row>
    <row r="1148" spans="1:6" x14ac:dyDescent="0.25">
      <c r="A1148" t="s">
        <v>63</v>
      </c>
      <c r="B1148" t="s">
        <v>51</v>
      </c>
      <c r="C1148">
        <v>287</v>
      </c>
      <c r="D1148">
        <v>62</v>
      </c>
      <c r="E1148" t="s">
        <v>4304</v>
      </c>
      <c r="F1148">
        <v>13346.81</v>
      </c>
    </row>
    <row r="1149" spans="1:6" x14ac:dyDescent="0.25">
      <c r="A1149" t="s">
        <v>63</v>
      </c>
      <c r="B1149" t="s">
        <v>51</v>
      </c>
      <c r="C1149">
        <v>287</v>
      </c>
      <c r="D1149">
        <v>62</v>
      </c>
      <c r="E1149" t="s">
        <v>4305</v>
      </c>
      <c r="F1149">
        <v>100</v>
      </c>
    </row>
    <row r="1150" spans="1:6" x14ac:dyDescent="0.25">
      <c r="A1150" t="s">
        <v>63</v>
      </c>
      <c r="B1150" t="s">
        <v>51</v>
      </c>
      <c r="C1150">
        <v>287</v>
      </c>
      <c r="D1150">
        <v>62</v>
      </c>
      <c r="E1150" t="s">
        <v>4306</v>
      </c>
      <c r="F1150">
        <v>0</v>
      </c>
    </row>
    <row r="1151" spans="1:6" x14ac:dyDescent="0.25">
      <c r="A1151" t="s">
        <v>63</v>
      </c>
      <c r="B1151" t="s">
        <v>51</v>
      </c>
      <c r="C1151">
        <v>287</v>
      </c>
      <c r="D1151">
        <v>62</v>
      </c>
      <c r="E1151" t="s">
        <v>4307</v>
      </c>
      <c r="F1151">
        <v>290.58</v>
      </c>
    </row>
    <row r="1152" spans="1:6" x14ac:dyDescent="0.25">
      <c r="A1152" t="s">
        <v>63</v>
      </c>
      <c r="B1152" t="s">
        <v>51</v>
      </c>
      <c r="C1152">
        <v>287</v>
      </c>
      <c r="D1152">
        <v>62</v>
      </c>
      <c r="E1152" t="s">
        <v>4308</v>
      </c>
      <c r="F1152">
        <v>15592.12</v>
      </c>
    </row>
    <row r="1153" spans="1:6" x14ac:dyDescent="0.25">
      <c r="A1153" t="s">
        <v>63</v>
      </c>
      <c r="B1153" t="s">
        <v>51</v>
      </c>
      <c r="C1153">
        <v>287</v>
      </c>
      <c r="D1153">
        <v>62</v>
      </c>
      <c r="E1153" t="s">
        <v>4309</v>
      </c>
      <c r="F1153">
        <v>98.17</v>
      </c>
    </row>
    <row r="1154" spans="1:6" x14ac:dyDescent="0.25">
      <c r="A1154" t="s">
        <v>63</v>
      </c>
      <c r="B1154" t="s">
        <v>46</v>
      </c>
      <c r="C1154">
        <v>230</v>
      </c>
      <c r="D1154">
        <v>20</v>
      </c>
      <c r="E1154" t="s">
        <v>4302</v>
      </c>
      <c r="F1154">
        <v>34482.17</v>
      </c>
    </row>
    <row r="1155" spans="1:6" x14ac:dyDescent="0.25">
      <c r="A1155" t="s">
        <v>63</v>
      </c>
      <c r="B1155" t="s">
        <v>46</v>
      </c>
      <c r="C1155">
        <v>230</v>
      </c>
      <c r="D1155">
        <v>20</v>
      </c>
      <c r="E1155" t="s">
        <v>4303</v>
      </c>
      <c r="F1155">
        <v>7280.62</v>
      </c>
    </row>
    <row r="1156" spans="1:6" x14ac:dyDescent="0.25">
      <c r="A1156" t="s">
        <v>63</v>
      </c>
      <c r="B1156" t="s">
        <v>46</v>
      </c>
      <c r="C1156">
        <v>230</v>
      </c>
      <c r="D1156">
        <v>20</v>
      </c>
      <c r="E1156" t="s">
        <v>4304</v>
      </c>
      <c r="F1156">
        <v>27201.55</v>
      </c>
    </row>
    <row r="1157" spans="1:6" x14ac:dyDescent="0.25">
      <c r="A1157" t="s">
        <v>63</v>
      </c>
      <c r="B1157" t="s">
        <v>46</v>
      </c>
      <c r="C1157">
        <v>230</v>
      </c>
      <c r="D1157">
        <v>20</v>
      </c>
      <c r="E1157" t="s">
        <v>4305</v>
      </c>
      <c r="F1157">
        <v>100</v>
      </c>
    </row>
    <row r="1158" spans="1:6" x14ac:dyDescent="0.25">
      <c r="A1158" t="s">
        <v>63</v>
      </c>
      <c r="B1158" t="s">
        <v>46</v>
      </c>
      <c r="C1158">
        <v>230</v>
      </c>
      <c r="D1158">
        <v>20</v>
      </c>
      <c r="E1158" t="s">
        <v>4306</v>
      </c>
      <c r="F1158">
        <v>8922.1299999999992</v>
      </c>
    </row>
    <row r="1159" spans="1:6" x14ac:dyDescent="0.25">
      <c r="A1159" t="s">
        <v>63</v>
      </c>
      <c r="B1159" t="s">
        <v>46</v>
      </c>
      <c r="C1159">
        <v>230</v>
      </c>
      <c r="D1159">
        <v>20</v>
      </c>
      <c r="E1159" t="s">
        <v>4307</v>
      </c>
      <c r="F1159">
        <v>573.11</v>
      </c>
    </row>
    <row r="1160" spans="1:6" x14ac:dyDescent="0.25">
      <c r="A1160" t="s">
        <v>63</v>
      </c>
      <c r="B1160" t="s">
        <v>46</v>
      </c>
      <c r="C1160">
        <v>230</v>
      </c>
      <c r="D1160">
        <v>20</v>
      </c>
      <c r="E1160" t="s">
        <v>4308</v>
      </c>
      <c r="F1160">
        <v>24986.93</v>
      </c>
    </row>
    <row r="1161" spans="1:6" x14ac:dyDescent="0.25">
      <c r="A1161" t="s">
        <v>63</v>
      </c>
      <c r="B1161" t="s">
        <v>46</v>
      </c>
      <c r="C1161">
        <v>230</v>
      </c>
      <c r="D1161">
        <v>20</v>
      </c>
      <c r="E1161" t="s">
        <v>4309</v>
      </c>
      <c r="F1161">
        <v>72.459999999999994</v>
      </c>
    </row>
    <row r="1162" spans="1:6" x14ac:dyDescent="0.25">
      <c r="A1162" t="s">
        <v>63</v>
      </c>
      <c r="B1162" t="s">
        <v>46</v>
      </c>
      <c r="C1162">
        <v>230</v>
      </c>
      <c r="D1162">
        <v>234</v>
      </c>
      <c r="E1162" t="s">
        <v>4302</v>
      </c>
      <c r="F1162">
        <v>42144.97</v>
      </c>
    </row>
    <row r="1163" spans="1:6" x14ac:dyDescent="0.25">
      <c r="A1163" t="s">
        <v>63</v>
      </c>
      <c r="B1163" t="s">
        <v>46</v>
      </c>
      <c r="C1163">
        <v>230</v>
      </c>
      <c r="D1163">
        <v>234</v>
      </c>
      <c r="E1163" t="s">
        <v>4303</v>
      </c>
      <c r="F1163">
        <v>12041.42</v>
      </c>
    </row>
    <row r="1164" spans="1:6" x14ac:dyDescent="0.25">
      <c r="A1164" t="s">
        <v>63</v>
      </c>
      <c r="B1164" t="s">
        <v>46</v>
      </c>
      <c r="C1164">
        <v>230</v>
      </c>
      <c r="D1164">
        <v>234</v>
      </c>
      <c r="E1164" t="s">
        <v>4304</v>
      </c>
      <c r="F1164">
        <v>30103.55</v>
      </c>
    </row>
    <row r="1165" spans="1:6" x14ac:dyDescent="0.25">
      <c r="A1165" t="s">
        <v>63</v>
      </c>
      <c r="B1165" t="s">
        <v>46</v>
      </c>
      <c r="C1165">
        <v>230</v>
      </c>
      <c r="D1165">
        <v>234</v>
      </c>
      <c r="E1165" t="s">
        <v>4305</v>
      </c>
      <c r="F1165">
        <v>100</v>
      </c>
    </row>
    <row r="1166" spans="1:6" x14ac:dyDescent="0.25">
      <c r="A1166" t="s">
        <v>63</v>
      </c>
      <c r="B1166" t="s">
        <v>46</v>
      </c>
      <c r="C1166">
        <v>230</v>
      </c>
      <c r="D1166">
        <v>234</v>
      </c>
      <c r="E1166" t="s">
        <v>4306</v>
      </c>
      <c r="F1166">
        <v>0</v>
      </c>
    </row>
    <row r="1167" spans="1:6" x14ac:dyDescent="0.25">
      <c r="A1167" t="s">
        <v>63</v>
      </c>
      <c r="B1167" t="s">
        <v>46</v>
      </c>
      <c r="C1167">
        <v>230</v>
      </c>
      <c r="D1167">
        <v>234</v>
      </c>
      <c r="E1167" t="s">
        <v>4307</v>
      </c>
      <c r="F1167">
        <v>1101.6600000000001</v>
      </c>
    </row>
    <row r="1168" spans="1:6" x14ac:dyDescent="0.25">
      <c r="A1168" t="s">
        <v>63</v>
      </c>
      <c r="B1168" t="s">
        <v>46</v>
      </c>
      <c r="C1168">
        <v>230</v>
      </c>
      <c r="D1168">
        <v>234</v>
      </c>
      <c r="E1168" t="s">
        <v>4308</v>
      </c>
      <c r="F1168">
        <v>41043.31</v>
      </c>
    </row>
    <row r="1169" spans="1:6" x14ac:dyDescent="0.25">
      <c r="A1169" t="s">
        <v>63</v>
      </c>
      <c r="B1169" t="s">
        <v>46</v>
      </c>
      <c r="C1169">
        <v>230</v>
      </c>
      <c r="D1169">
        <v>234</v>
      </c>
      <c r="E1169" t="s">
        <v>4309</v>
      </c>
      <c r="F1169">
        <v>97.39</v>
      </c>
    </row>
    <row r="1170" spans="1:6" x14ac:dyDescent="0.25">
      <c r="A1170" t="s">
        <v>373</v>
      </c>
      <c r="B1170" t="s">
        <v>375</v>
      </c>
      <c r="C1170">
        <v>299</v>
      </c>
      <c r="D1170">
        <v>221</v>
      </c>
      <c r="E1170" t="s">
        <v>4302</v>
      </c>
      <c r="F1170">
        <v>10272.9</v>
      </c>
    </row>
    <row r="1171" spans="1:6" x14ac:dyDescent="0.25">
      <c r="A1171" t="s">
        <v>373</v>
      </c>
      <c r="B1171" t="s">
        <v>375</v>
      </c>
      <c r="C1171">
        <v>299</v>
      </c>
      <c r="D1171">
        <v>221</v>
      </c>
      <c r="E1171" t="s">
        <v>4303</v>
      </c>
      <c r="F1171">
        <v>1640.2</v>
      </c>
    </row>
    <row r="1172" spans="1:6" x14ac:dyDescent="0.25">
      <c r="A1172" t="s">
        <v>373</v>
      </c>
      <c r="B1172" t="s">
        <v>375</v>
      </c>
      <c r="C1172">
        <v>299</v>
      </c>
      <c r="D1172">
        <v>221</v>
      </c>
      <c r="E1172" t="s">
        <v>4304</v>
      </c>
      <c r="F1172">
        <v>8632.7000000000007</v>
      </c>
    </row>
    <row r="1173" spans="1:6" x14ac:dyDescent="0.25">
      <c r="A1173" t="s">
        <v>373</v>
      </c>
      <c r="B1173" t="s">
        <v>375</v>
      </c>
      <c r="C1173">
        <v>299</v>
      </c>
      <c r="D1173">
        <v>221</v>
      </c>
      <c r="E1173" t="s">
        <v>4305</v>
      </c>
      <c r="F1173">
        <v>100</v>
      </c>
    </row>
    <row r="1174" spans="1:6" x14ac:dyDescent="0.25">
      <c r="A1174" t="s">
        <v>373</v>
      </c>
      <c r="B1174" t="s">
        <v>375</v>
      </c>
      <c r="C1174">
        <v>299</v>
      </c>
      <c r="D1174">
        <v>221</v>
      </c>
      <c r="E1174" t="s">
        <v>4306</v>
      </c>
      <c r="F1174">
        <v>0</v>
      </c>
    </row>
    <row r="1175" spans="1:6" x14ac:dyDescent="0.25">
      <c r="A1175" t="s">
        <v>373</v>
      </c>
      <c r="B1175" t="s">
        <v>375</v>
      </c>
      <c r="C1175">
        <v>299</v>
      </c>
      <c r="D1175">
        <v>221</v>
      </c>
      <c r="E1175" t="s">
        <v>4307</v>
      </c>
      <c r="F1175">
        <v>1732.11</v>
      </c>
    </row>
    <row r="1176" spans="1:6" x14ac:dyDescent="0.25">
      <c r="A1176" t="s">
        <v>373</v>
      </c>
      <c r="B1176" t="s">
        <v>375</v>
      </c>
      <c r="C1176">
        <v>299</v>
      </c>
      <c r="D1176">
        <v>221</v>
      </c>
      <c r="E1176" t="s">
        <v>4308</v>
      </c>
      <c r="F1176">
        <v>8540.7900000000009</v>
      </c>
    </row>
    <row r="1177" spans="1:6" x14ac:dyDescent="0.25">
      <c r="A1177" t="s">
        <v>373</v>
      </c>
      <c r="B1177" t="s">
        <v>375</v>
      </c>
      <c r="C1177">
        <v>299</v>
      </c>
      <c r="D1177">
        <v>221</v>
      </c>
      <c r="E1177" t="s">
        <v>4309</v>
      </c>
      <c r="F1177">
        <v>83.14</v>
      </c>
    </row>
    <row r="1178" spans="1:6" x14ac:dyDescent="0.25">
      <c r="A1178" t="s">
        <v>373</v>
      </c>
      <c r="B1178" t="s">
        <v>377</v>
      </c>
      <c r="C1178">
        <v>302</v>
      </c>
      <c r="D1178">
        <v>228</v>
      </c>
      <c r="E1178" t="s">
        <v>4302</v>
      </c>
      <c r="F1178">
        <v>3031.6</v>
      </c>
    </row>
    <row r="1179" spans="1:6" x14ac:dyDescent="0.25">
      <c r="A1179" t="s">
        <v>373</v>
      </c>
      <c r="B1179" t="s">
        <v>377</v>
      </c>
      <c r="C1179">
        <v>302</v>
      </c>
      <c r="D1179">
        <v>228</v>
      </c>
      <c r="E1179" t="s">
        <v>4303</v>
      </c>
      <c r="F1179">
        <v>116.6</v>
      </c>
    </row>
    <row r="1180" spans="1:6" x14ac:dyDescent="0.25">
      <c r="A1180" t="s">
        <v>373</v>
      </c>
      <c r="B1180" t="s">
        <v>377</v>
      </c>
      <c r="C1180">
        <v>302</v>
      </c>
      <c r="D1180">
        <v>228</v>
      </c>
      <c r="E1180" t="s">
        <v>4304</v>
      </c>
      <c r="F1180">
        <v>2915</v>
      </c>
    </row>
    <row r="1181" spans="1:6" x14ac:dyDescent="0.25">
      <c r="A1181" t="s">
        <v>373</v>
      </c>
      <c r="B1181" t="s">
        <v>377</v>
      </c>
      <c r="C1181">
        <v>302</v>
      </c>
      <c r="D1181">
        <v>228</v>
      </c>
      <c r="E1181" t="s">
        <v>4305</v>
      </c>
      <c r="F1181">
        <v>100</v>
      </c>
    </row>
    <row r="1182" spans="1:6" x14ac:dyDescent="0.25">
      <c r="A1182" t="s">
        <v>373</v>
      </c>
      <c r="B1182" t="s">
        <v>377</v>
      </c>
      <c r="C1182">
        <v>302</v>
      </c>
      <c r="D1182">
        <v>228</v>
      </c>
      <c r="E1182" t="s">
        <v>4306</v>
      </c>
      <c r="F1182">
        <v>0</v>
      </c>
    </row>
    <row r="1183" spans="1:6" x14ac:dyDescent="0.25">
      <c r="A1183" t="s">
        <v>373</v>
      </c>
      <c r="B1183" t="s">
        <v>377</v>
      </c>
      <c r="C1183">
        <v>302</v>
      </c>
      <c r="D1183">
        <v>228</v>
      </c>
      <c r="E1183" t="s">
        <v>4307</v>
      </c>
      <c r="F1183">
        <v>0</v>
      </c>
    </row>
    <row r="1184" spans="1:6" x14ac:dyDescent="0.25">
      <c r="A1184" t="s">
        <v>373</v>
      </c>
      <c r="B1184" t="s">
        <v>377</v>
      </c>
      <c r="C1184">
        <v>302</v>
      </c>
      <c r="D1184">
        <v>228</v>
      </c>
      <c r="E1184" t="s">
        <v>4308</v>
      </c>
      <c r="F1184">
        <v>3031.6</v>
      </c>
    </row>
    <row r="1185" spans="1:6" x14ac:dyDescent="0.25">
      <c r="A1185" t="s">
        <v>373</v>
      </c>
      <c r="B1185" t="s">
        <v>377</v>
      </c>
      <c r="C1185">
        <v>302</v>
      </c>
      <c r="D1185">
        <v>228</v>
      </c>
      <c r="E1185" t="s">
        <v>4309</v>
      </c>
      <c r="F1185">
        <v>100</v>
      </c>
    </row>
    <row r="1186" spans="1:6" x14ac:dyDescent="0.25">
      <c r="A1186" t="s">
        <v>373</v>
      </c>
      <c r="B1186" t="s">
        <v>378</v>
      </c>
      <c r="C1186">
        <v>301</v>
      </c>
      <c r="D1186">
        <v>282</v>
      </c>
      <c r="E1186" t="s">
        <v>4302</v>
      </c>
      <c r="F1186">
        <v>5344.09</v>
      </c>
    </row>
    <row r="1187" spans="1:6" x14ac:dyDescent="0.25">
      <c r="A1187" t="s">
        <v>373</v>
      </c>
      <c r="B1187" t="s">
        <v>378</v>
      </c>
      <c r="C1187">
        <v>301</v>
      </c>
      <c r="D1187">
        <v>282</v>
      </c>
      <c r="E1187" t="s">
        <v>4303</v>
      </c>
      <c r="F1187">
        <v>853.25</v>
      </c>
    </row>
    <row r="1188" spans="1:6" x14ac:dyDescent="0.25">
      <c r="A1188" t="s">
        <v>373</v>
      </c>
      <c r="B1188" t="s">
        <v>378</v>
      </c>
      <c r="C1188">
        <v>301</v>
      </c>
      <c r="D1188">
        <v>282</v>
      </c>
      <c r="E1188" t="s">
        <v>4304</v>
      </c>
      <c r="F1188">
        <v>4490.84</v>
      </c>
    </row>
    <row r="1189" spans="1:6" x14ac:dyDescent="0.25">
      <c r="A1189" t="s">
        <v>373</v>
      </c>
      <c r="B1189" t="s">
        <v>378</v>
      </c>
      <c r="C1189">
        <v>301</v>
      </c>
      <c r="D1189">
        <v>282</v>
      </c>
      <c r="E1189" t="s">
        <v>4305</v>
      </c>
      <c r="F1189">
        <v>100</v>
      </c>
    </row>
    <row r="1190" spans="1:6" x14ac:dyDescent="0.25">
      <c r="A1190" t="s">
        <v>373</v>
      </c>
      <c r="B1190" t="s">
        <v>378</v>
      </c>
      <c r="C1190">
        <v>301</v>
      </c>
      <c r="D1190">
        <v>282</v>
      </c>
      <c r="E1190" t="s">
        <v>4306</v>
      </c>
      <c r="F1190">
        <v>0</v>
      </c>
    </row>
    <row r="1191" spans="1:6" x14ac:dyDescent="0.25">
      <c r="A1191" t="s">
        <v>373</v>
      </c>
      <c r="B1191" t="s">
        <v>378</v>
      </c>
      <c r="C1191">
        <v>301</v>
      </c>
      <c r="D1191">
        <v>282</v>
      </c>
      <c r="E1191" t="s">
        <v>4307</v>
      </c>
      <c r="F1191">
        <v>0</v>
      </c>
    </row>
    <row r="1192" spans="1:6" x14ac:dyDescent="0.25">
      <c r="A1192" t="s">
        <v>373</v>
      </c>
      <c r="B1192" t="s">
        <v>378</v>
      </c>
      <c r="C1192">
        <v>301</v>
      </c>
      <c r="D1192">
        <v>282</v>
      </c>
      <c r="E1192" t="s">
        <v>4308</v>
      </c>
      <c r="F1192">
        <v>5344.09</v>
      </c>
    </row>
    <row r="1193" spans="1:6" x14ac:dyDescent="0.25">
      <c r="A1193" t="s">
        <v>373</v>
      </c>
      <c r="B1193" t="s">
        <v>378</v>
      </c>
      <c r="C1193">
        <v>301</v>
      </c>
      <c r="D1193">
        <v>282</v>
      </c>
      <c r="E1193" t="s">
        <v>4309</v>
      </c>
      <c r="F1193">
        <v>100</v>
      </c>
    </row>
    <row r="1194" spans="1:6" x14ac:dyDescent="0.25">
      <c r="A1194" t="s">
        <v>373</v>
      </c>
      <c r="B1194" t="s">
        <v>379</v>
      </c>
      <c r="C1194">
        <v>300</v>
      </c>
      <c r="D1194">
        <v>260</v>
      </c>
      <c r="E1194" t="s">
        <v>4302</v>
      </c>
      <c r="F1194">
        <v>0</v>
      </c>
    </row>
    <row r="1195" spans="1:6" x14ac:dyDescent="0.25">
      <c r="A1195" t="s">
        <v>373</v>
      </c>
      <c r="B1195" t="s">
        <v>379</v>
      </c>
      <c r="C1195">
        <v>300</v>
      </c>
      <c r="D1195">
        <v>260</v>
      </c>
      <c r="E1195" t="s">
        <v>4303</v>
      </c>
      <c r="F1195">
        <v>0</v>
      </c>
    </row>
    <row r="1196" spans="1:6" x14ac:dyDescent="0.25">
      <c r="A1196" t="s">
        <v>373</v>
      </c>
      <c r="B1196" t="s">
        <v>379</v>
      </c>
      <c r="C1196">
        <v>300</v>
      </c>
      <c r="D1196">
        <v>260</v>
      </c>
      <c r="E1196" t="s">
        <v>4304</v>
      </c>
      <c r="F1196">
        <v>0</v>
      </c>
    </row>
    <row r="1197" spans="1:6" x14ac:dyDescent="0.25">
      <c r="A1197" t="s">
        <v>373</v>
      </c>
      <c r="B1197" t="s">
        <v>379</v>
      </c>
      <c r="C1197">
        <v>300</v>
      </c>
      <c r="D1197">
        <v>260</v>
      </c>
      <c r="E1197" t="s">
        <v>4305</v>
      </c>
      <c r="F1197">
        <v>0</v>
      </c>
    </row>
    <row r="1198" spans="1:6" x14ac:dyDescent="0.25">
      <c r="A1198" t="s">
        <v>373</v>
      </c>
      <c r="B1198" t="s">
        <v>379</v>
      </c>
      <c r="C1198">
        <v>300</v>
      </c>
      <c r="D1198">
        <v>260</v>
      </c>
      <c r="E1198" t="s">
        <v>4306</v>
      </c>
      <c r="F1198">
        <v>0</v>
      </c>
    </row>
    <row r="1199" spans="1:6" x14ac:dyDescent="0.25">
      <c r="A1199" t="s">
        <v>373</v>
      </c>
      <c r="B1199" t="s">
        <v>379</v>
      </c>
      <c r="C1199">
        <v>300</v>
      </c>
      <c r="D1199">
        <v>260</v>
      </c>
      <c r="E1199" t="s">
        <v>4307</v>
      </c>
      <c r="F1199">
        <v>0</v>
      </c>
    </row>
    <row r="1200" spans="1:6" x14ac:dyDescent="0.25">
      <c r="A1200" t="s">
        <v>373</v>
      </c>
      <c r="B1200" t="s">
        <v>379</v>
      </c>
      <c r="C1200">
        <v>300</v>
      </c>
      <c r="D1200">
        <v>260</v>
      </c>
      <c r="E1200" t="s">
        <v>4308</v>
      </c>
      <c r="F1200">
        <v>0</v>
      </c>
    </row>
    <row r="1201" spans="1:6" x14ac:dyDescent="0.25">
      <c r="A1201" t="s">
        <v>373</v>
      </c>
      <c r="B1201" t="s">
        <v>379</v>
      </c>
      <c r="C1201">
        <v>300</v>
      </c>
      <c r="D1201">
        <v>260</v>
      </c>
      <c r="E1201" t="s">
        <v>4309</v>
      </c>
      <c r="F1201">
        <v>0</v>
      </c>
    </row>
    <row r="1202" spans="1:6" x14ac:dyDescent="0.25">
      <c r="A1202" t="s">
        <v>64</v>
      </c>
      <c r="B1202" t="s">
        <v>79</v>
      </c>
      <c r="C1202">
        <v>333</v>
      </c>
      <c r="D1202">
        <v>263</v>
      </c>
      <c r="E1202" t="s">
        <v>4302</v>
      </c>
      <c r="F1202">
        <v>71138.61</v>
      </c>
    </row>
    <row r="1203" spans="1:6" x14ac:dyDescent="0.25">
      <c r="A1203" t="s">
        <v>64</v>
      </c>
      <c r="B1203" t="s">
        <v>79</v>
      </c>
      <c r="C1203">
        <v>333</v>
      </c>
      <c r="D1203">
        <v>263</v>
      </c>
      <c r="E1203" t="s">
        <v>4303</v>
      </c>
      <c r="F1203">
        <v>11358.26</v>
      </c>
    </row>
    <row r="1204" spans="1:6" x14ac:dyDescent="0.25">
      <c r="A1204" t="s">
        <v>64</v>
      </c>
      <c r="B1204" t="s">
        <v>79</v>
      </c>
      <c r="C1204">
        <v>333</v>
      </c>
      <c r="D1204">
        <v>263</v>
      </c>
      <c r="E1204" t="s">
        <v>4304</v>
      </c>
      <c r="F1204">
        <v>59780.35</v>
      </c>
    </row>
    <row r="1205" spans="1:6" x14ac:dyDescent="0.25">
      <c r="A1205" t="s">
        <v>64</v>
      </c>
      <c r="B1205" t="s">
        <v>79</v>
      </c>
      <c r="C1205">
        <v>333</v>
      </c>
      <c r="D1205">
        <v>263</v>
      </c>
      <c r="E1205" t="s">
        <v>4305</v>
      </c>
      <c r="F1205">
        <v>100</v>
      </c>
    </row>
    <row r="1206" spans="1:6" x14ac:dyDescent="0.25">
      <c r="A1206" t="s">
        <v>64</v>
      </c>
      <c r="B1206" t="s">
        <v>79</v>
      </c>
      <c r="C1206">
        <v>333</v>
      </c>
      <c r="D1206">
        <v>263</v>
      </c>
      <c r="E1206" t="s">
        <v>4306</v>
      </c>
      <c r="F1206">
        <v>0</v>
      </c>
    </row>
    <row r="1207" spans="1:6" x14ac:dyDescent="0.25">
      <c r="A1207" t="s">
        <v>64</v>
      </c>
      <c r="B1207" t="s">
        <v>79</v>
      </c>
      <c r="C1207">
        <v>333</v>
      </c>
      <c r="D1207">
        <v>263</v>
      </c>
      <c r="E1207" t="s">
        <v>4307</v>
      </c>
      <c r="F1207">
        <v>0</v>
      </c>
    </row>
    <row r="1208" spans="1:6" x14ac:dyDescent="0.25">
      <c r="A1208" t="s">
        <v>64</v>
      </c>
      <c r="B1208" t="s">
        <v>79</v>
      </c>
      <c r="C1208">
        <v>333</v>
      </c>
      <c r="D1208">
        <v>263</v>
      </c>
      <c r="E1208" t="s">
        <v>4308</v>
      </c>
      <c r="F1208">
        <v>71138.61</v>
      </c>
    </row>
    <row r="1209" spans="1:6" x14ac:dyDescent="0.25">
      <c r="A1209" t="s">
        <v>64</v>
      </c>
      <c r="B1209" t="s">
        <v>79</v>
      </c>
      <c r="C1209">
        <v>333</v>
      </c>
      <c r="D1209">
        <v>263</v>
      </c>
      <c r="E1209" t="s">
        <v>4309</v>
      </c>
      <c r="F1209">
        <v>100</v>
      </c>
    </row>
    <row r="1210" spans="1:6" x14ac:dyDescent="0.25">
      <c r="A1210" t="s">
        <v>64</v>
      </c>
      <c r="B1210" t="s">
        <v>79</v>
      </c>
      <c r="C1210">
        <v>333</v>
      </c>
      <c r="D1210">
        <v>80</v>
      </c>
      <c r="E1210" t="s">
        <v>4302</v>
      </c>
      <c r="F1210">
        <v>157408.17000000001</v>
      </c>
    </row>
    <row r="1211" spans="1:6" x14ac:dyDescent="0.25">
      <c r="A1211" t="s">
        <v>64</v>
      </c>
      <c r="B1211" t="s">
        <v>79</v>
      </c>
      <c r="C1211">
        <v>333</v>
      </c>
      <c r="D1211">
        <v>80</v>
      </c>
      <c r="E1211" t="s">
        <v>4303</v>
      </c>
      <c r="F1211">
        <v>23622.98</v>
      </c>
    </row>
    <row r="1212" spans="1:6" x14ac:dyDescent="0.25">
      <c r="A1212" t="s">
        <v>64</v>
      </c>
      <c r="B1212" t="s">
        <v>79</v>
      </c>
      <c r="C1212">
        <v>333</v>
      </c>
      <c r="D1212">
        <v>80</v>
      </c>
      <c r="E1212" t="s">
        <v>4304</v>
      </c>
      <c r="F1212">
        <v>133785.19</v>
      </c>
    </row>
    <row r="1213" spans="1:6" x14ac:dyDescent="0.25">
      <c r="A1213" t="s">
        <v>64</v>
      </c>
      <c r="B1213" t="s">
        <v>79</v>
      </c>
      <c r="C1213">
        <v>333</v>
      </c>
      <c r="D1213">
        <v>80</v>
      </c>
      <c r="E1213" t="s">
        <v>4305</v>
      </c>
      <c r="F1213">
        <v>100</v>
      </c>
    </row>
    <row r="1214" spans="1:6" x14ac:dyDescent="0.25">
      <c r="A1214" t="s">
        <v>64</v>
      </c>
      <c r="B1214" t="s">
        <v>79</v>
      </c>
      <c r="C1214">
        <v>333</v>
      </c>
      <c r="D1214">
        <v>80</v>
      </c>
      <c r="E1214" t="s">
        <v>4306</v>
      </c>
      <c r="F1214">
        <v>0</v>
      </c>
    </row>
    <row r="1215" spans="1:6" x14ac:dyDescent="0.25">
      <c r="A1215" t="s">
        <v>64</v>
      </c>
      <c r="B1215" t="s">
        <v>79</v>
      </c>
      <c r="C1215">
        <v>333</v>
      </c>
      <c r="D1215">
        <v>80</v>
      </c>
      <c r="E1215" t="s">
        <v>4307</v>
      </c>
      <c r="F1215">
        <v>15612.82</v>
      </c>
    </row>
    <row r="1216" spans="1:6" x14ac:dyDescent="0.25">
      <c r="A1216" t="s">
        <v>64</v>
      </c>
      <c r="B1216" t="s">
        <v>79</v>
      </c>
      <c r="C1216">
        <v>333</v>
      </c>
      <c r="D1216">
        <v>80</v>
      </c>
      <c r="E1216" t="s">
        <v>4308</v>
      </c>
      <c r="F1216">
        <v>141795.35</v>
      </c>
    </row>
    <row r="1217" spans="1:6" x14ac:dyDescent="0.25">
      <c r="A1217" t="s">
        <v>64</v>
      </c>
      <c r="B1217" t="s">
        <v>79</v>
      </c>
      <c r="C1217">
        <v>333</v>
      </c>
      <c r="D1217">
        <v>80</v>
      </c>
      <c r="E1217" t="s">
        <v>4309</v>
      </c>
      <c r="F1217">
        <v>90.08</v>
      </c>
    </row>
    <row r="1218" spans="1:6" x14ac:dyDescent="0.25">
      <c r="A1218" t="s">
        <v>60</v>
      </c>
      <c r="B1218" t="s">
        <v>328</v>
      </c>
      <c r="C1218">
        <v>138</v>
      </c>
      <c r="D1218">
        <v>318</v>
      </c>
      <c r="E1218" t="s">
        <v>4302</v>
      </c>
      <c r="F1218">
        <v>0</v>
      </c>
    </row>
    <row r="1219" spans="1:6" x14ac:dyDescent="0.25">
      <c r="A1219" t="s">
        <v>60</v>
      </c>
      <c r="B1219" t="s">
        <v>328</v>
      </c>
      <c r="C1219">
        <v>138</v>
      </c>
      <c r="D1219">
        <v>318</v>
      </c>
      <c r="E1219" t="s">
        <v>4303</v>
      </c>
      <c r="F1219">
        <v>0</v>
      </c>
    </row>
    <row r="1220" spans="1:6" x14ac:dyDescent="0.25">
      <c r="A1220" t="s">
        <v>60</v>
      </c>
      <c r="B1220" t="s">
        <v>328</v>
      </c>
      <c r="C1220">
        <v>138</v>
      </c>
      <c r="D1220">
        <v>318</v>
      </c>
      <c r="E1220" t="s">
        <v>4304</v>
      </c>
      <c r="F1220">
        <v>0</v>
      </c>
    </row>
    <row r="1221" spans="1:6" x14ac:dyDescent="0.25">
      <c r="A1221" t="s">
        <v>60</v>
      </c>
      <c r="B1221" t="s">
        <v>328</v>
      </c>
      <c r="C1221">
        <v>138</v>
      </c>
      <c r="D1221">
        <v>318</v>
      </c>
      <c r="E1221" t="s">
        <v>4305</v>
      </c>
      <c r="F1221">
        <v>0</v>
      </c>
    </row>
    <row r="1222" spans="1:6" x14ac:dyDescent="0.25">
      <c r="A1222" t="s">
        <v>60</v>
      </c>
      <c r="B1222" t="s">
        <v>328</v>
      </c>
      <c r="C1222">
        <v>138</v>
      </c>
      <c r="D1222">
        <v>318</v>
      </c>
      <c r="E1222" t="s">
        <v>4306</v>
      </c>
      <c r="F1222">
        <v>0</v>
      </c>
    </row>
    <row r="1223" spans="1:6" x14ac:dyDescent="0.25">
      <c r="A1223" t="s">
        <v>60</v>
      </c>
      <c r="B1223" t="s">
        <v>328</v>
      </c>
      <c r="C1223">
        <v>138</v>
      </c>
      <c r="D1223">
        <v>318</v>
      </c>
      <c r="E1223" t="s">
        <v>4307</v>
      </c>
      <c r="F1223">
        <v>0</v>
      </c>
    </row>
    <row r="1224" spans="1:6" x14ac:dyDescent="0.25">
      <c r="A1224" t="s">
        <v>60</v>
      </c>
      <c r="B1224" t="s">
        <v>328</v>
      </c>
      <c r="C1224">
        <v>138</v>
      </c>
      <c r="D1224">
        <v>318</v>
      </c>
      <c r="E1224" t="s">
        <v>4308</v>
      </c>
      <c r="F1224">
        <v>0</v>
      </c>
    </row>
    <row r="1225" spans="1:6" x14ac:dyDescent="0.25">
      <c r="A1225" t="s">
        <v>60</v>
      </c>
      <c r="B1225" t="s">
        <v>328</v>
      </c>
      <c r="C1225">
        <v>138</v>
      </c>
      <c r="D1225">
        <v>318</v>
      </c>
      <c r="E1225" t="s">
        <v>4309</v>
      </c>
      <c r="F1225">
        <v>0</v>
      </c>
    </row>
    <row r="1226" spans="1:6" x14ac:dyDescent="0.25">
      <c r="A1226" t="s">
        <v>60</v>
      </c>
      <c r="B1226" t="s">
        <v>328</v>
      </c>
      <c r="C1226">
        <v>138</v>
      </c>
      <c r="D1226">
        <v>77</v>
      </c>
      <c r="E1226" t="s">
        <v>4302</v>
      </c>
      <c r="F1226">
        <v>0</v>
      </c>
    </row>
    <row r="1227" spans="1:6" x14ac:dyDescent="0.25">
      <c r="A1227" t="s">
        <v>60</v>
      </c>
      <c r="B1227" t="s">
        <v>328</v>
      </c>
      <c r="C1227">
        <v>138</v>
      </c>
      <c r="D1227">
        <v>77</v>
      </c>
      <c r="E1227" t="s">
        <v>4303</v>
      </c>
      <c r="F1227">
        <v>0</v>
      </c>
    </row>
    <row r="1228" spans="1:6" x14ac:dyDescent="0.25">
      <c r="A1228" t="s">
        <v>60</v>
      </c>
      <c r="B1228" t="s">
        <v>328</v>
      </c>
      <c r="C1228">
        <v>138</v>
      </c>
      <c r="D1228">
        <v>77</v>
      </c>
      <c r="E1228" t="s">
        <v>4304</v>
      </c>
      <c r="F1228">
        <v>0</v>
      </c>
    </row>
    <row r="1229" spans="1:6" x14ac:dyDescent="0.25">
      <c r="A1229" t="s">
        <v>60</v>
      </c>
      <c r="B1229" t="s">
        <v>328</v>
      </c>
      <c r="C1229">
        <v>138</v>
      </c>
      <c r="D1229">
        <v>77</v>
      </c>
      <c r="E1229" t="s">
        <v>4305</v>
      </c>
      <c r="F1229">
        <v>0</v>
      </c>
    </row>
    <row r="1230" spans="1:6" x14ac:dyDescent="0.25">
      <c r="A1230" t="s">
        <v>60</v>
      </c>
      <c r="B1230" t="s">
        <v>328</v>
      </c>
      <c r="C1230">
        <v>138</v>
      </c>
      <c r="D1230">
        <v>77</v>
      </c>
      <c r="E1230" t="s">
        <v>4306</v>
      </c>
      <c r="F1230">
        <v>0</v>
      </c>
    </row>
    <row r="1231" spans="1:6" x14ac:dyDescent="0.25">
      <c r="A1231" t="s">
        <v>60</v>
      </c>
      <c r="B1231" t="s">
        <v>328</v>
      </c>
      <c r="C1231">
        <v>138</v>
      </c>
      <c r="D1231">
        <v>77</v>
      </c>
      <c r="E1231" t="s">
        <v>4307</v>
      </c>
      <c r="F1231">
        <v>0</v>
      </c>
    </row>
    <row r="1232" spans="1:6" x14ac:dyDescent="0.25">
      <c r="A1232" t="s">
        <v>60</v>
      </c>
      <c r="B1232" t="s">
        <v>328</v>
      </c>
      <c r="C1232">
        <v>138</v>
      </c>
      <c r="D1232">
        <v>77</v>
      </c>
      <c r="E1232" t="s">
        <v>4308</v>
      </c>
      <c r="F1232">
        <v>0</v>
      </c>
    </row>
    <row r="1233" spans="1:6" x14ac:dyDescent="0.25">
      <c r="A1233" t="s">
        <v>60</v>
      </c>
      <c r="B1233" t="s">
        <v>328</v>
      </c>
      <c r="C1233">
        <v>138</v>
      </c>
      <c r="D1233">
        <v>77</v>
      </c>
      <c r="E1233" t="s">
        <v>4309</v>
      </c>
      <c r="F1233">
        <v>0</v>
      </c>
    </row>
    <row r="1234" spans="1:6" x14ac:dyDescent="0.25">
      <c r="A1234" t="s">
        <v>60</v>
      </c>
      <c r="B1234" t="s">
        <v>68</v>
      </c>
      <c r="C1234">
        <v>94</v>
      </c>
      <c r="D1234">
        <v>30</v>
      </c>
      <c r="E1234" t="s">
        <v>4302</v>
      </c>
      <c r="F1234">
        <v>9000</v>
      </c>
    </row>
    <row r="1235" spans="1:6" x14ac:dyDescent="0.25">
      <c r="A1235" t="s">
        <v>60</v>
      </c>
      <c r="B1235" t="s">
        <v>68</v>
      </c>
      <c r="C1235">
        <v>94</v>
      </c>
      <c r="D1235">
        <v>30</v>
      </c>
      <c r="E1235" t="s">
        <v>4303</v>
      </c>
      <c r="F1235">
        <v>0</v>
      </c>
    </row>
    <row r="1236" spans="1:6" x14ac:dyDescent="0.25">
      <c r="A1236" t="s">
        <v>60</v>
      </c>
      <c r="B1236" t="s">
        <v>68</v>
      </c>
      <c r="C1236">
        <v>94</v>
      </c>
      <c r="D1236">
        <v>30</v>
      </c>
      <c r="E1236" t="s">
        <v>4304</v>
      </c>
      <c r="F1236">
        <v>9000</v>
      </c>
    </row>
    <row r="1237" spans="1:6" x14ac:dyDescent="0.25">
      <c r="A1237" t="s">
        <v>60</v>
      </c>
      <c r="B1237" t="s">
        <v>68</v>
      </c>
      <c r="C1237">
        <v>94</v>
      </c>
      <c r="D1237">
        <v>30</v>
      </c>
      <c r="E1237" t="s">
        <v>4305</v>
      </c>
      <c r="F1237">
        <v>100</v>
      </c>
    </row>
    <row r="1238" spans="1:6" x14ac:dyDescent="0.25">
      <c r="A1238" t="s">
        <v>60</v>
      </c>
      <c r="B1238" t="s">
        <v>68</v>
      </c>
      <c r="C1238">
        <v>94</v>
      </c>
      <c r="D1238">
        <v>30</v>
      </c>
      <c r="E1238" t="s">
        <v>4306</v>
      </c>
      <c r="F1238">
        <v>9000</v>
      </c>
    </row>
    <row r="1239" spans="1:6" x14ac:dyDescent="0.25">
      <c r="A1239" t="s">
        <v>60</v>
      </c>
      <c r="B1239" t="s">
        <v>68</v>
      </c>
      <c r="C1239">
        <v>94</v>
      </c>
      <c r="D1239">
        <v>30</v>
      </c>
      <c r="E1239" t="s">
        <v>4307</v>
      </c>
      <c r="F1239">
        <v>0</v>
      </c>
    </row>
    <row r="1240" spans="1:6" x14ac:dyDescent="0.25">
      <c r="A1240" t="s">
        <v>60</v>
      </c>
      <c r="B1240" t="s">
        <v>68</v>
      </c>
      <c r="C1240">
        <v>94</v>
      </c>
      <c r="D1240">
        <v>30</v>
      </c>
      <c r="E1240" t="s">
        <v>4308</v>
      </c>
      <c r="F1240">
        <v>0</v>
      </c>
    </row>
    <row r="1241" spans="1:6" x14ac:dyDescent="0.25">
      <c r="A1241" t="s">
        <v>60</v>
      </c>
      <c r="B1241" t="s">
        <v>68</v>
      </c>
      <c r="C1241">
        <v>94</v>
      </c>
      <c r="D1241">
        <v>30</v>
      </c>
      <c r="E1241" t="s">
        <v>4309</v>
      </c>
      <c r="F1241">
        <v>0</v>
      </c>
    </row>
    <row r="1242" spans="1:6" x14ac:dyDescent="0.25">
      <c r="A1242" t="s">
        <v>60</v>
      </c>
      <c r="B1242" t="s">
        <v>329</v>
      </c>
      <c r="C1242">
        <v>173</v>
      </c>
      <c r="D1242">
        <v>276</v>
      </c>
      <c r="E1242" t="s">
        <v>4302</v>
      </c>
      <c r="F1242">
        <v>0</v>
      </c>
    </row>
    <row r="1243" spans="1:6" x14ac:dyDescent="0.25">
      <c r="A1243" t="s">
        <v>60</v>
      </c>
      <c r="B1243" t="s">
        <v>329</v>
      </c>
      <c r="C1243">
        <v>173</v>
      </c>
      <c r="D1243">
        <v>276</v>
      </c>
      <c r="E1243" t="s">
        <v>4303</v>
      </c>
      <c r="F1243">
        <v>0</v>
      </c>
    </row>
    <row r="1244" spans="1:6" x14ac:dyDescent="0.25">
      <c r="A1244" t="s">
        <v>60</v>
      </c>
      <c r="B1244" t="s">
        <v>329</v>
      </c>
      <c r="C1244">
        <v>173</v>
      </c>
      <c r="D1244">
        <v>276</v>
      </c>
      <c r="E1244" t="s">
        <v>4304</v>
      </c>
      <c r="F1244">
        <v>0</v>
      </c>
    </row>
    <row r="1245" spans="1:6" x14ac:dyDescent="0.25">
      <c r="A1245" t="s">
        <v>60</v>
      </c>
      <c r="B1245" t="s">
        <v>329</v>
      </c>
      <c r="C1245">
        <v>173</v>
      </c>
      <c r="D1245">
        <v>276</v>
      </c>
      <c r="E1245" t="s">
        <v>4305</v>
      </c>
      <c r="F1245">
        <v>0</v>
      </c>
    </row>
    <row r="1246" spans="1:6" x14ac:dyDescent="0.25">
      <c r="A1246" t="s">
        <v>60</v>
      </c>
      <c r="B1246" t="s">
        <v>329</v>
      </c>
      <c r="C1246">
        <v>173</v>
      </c>
      <c r="D1246">
        <v>276</v>
      </c>
      <c r="E1246" t="s">
        <v>4306</v>
      </c>
      <c r="F1246">
        <v>0</v>
      </c>
    </row>
    <row r="1247" spans="1:6" x14ac:dyDescent="0.25">
      <c r="A1247" t="s">
        <v>60</v>
      </c>
      <c r="B1247" t="s">
        <v>329</v>
      </c>
      <c r="C1247">
        <v>173</v>
      </c>
      <c r="D1247">
        <v>276</v>
      </c>
      <c r="E1247" t="s">
        <v>4307</v>
      </c>
      <c r="F1247">
        <v>0</v>
      </c>
    </row>
    <row r="1248" spans="1:6" x14ac:dyDescent="0.25">
      <c r="A1248" t="s">
        <v>60</v>
      </c>
      <c r="B1248" t="s">
        <v>329</v>
      </c>
      <c r="C1248">
        <v>173</v>
      </c>
      <c r="D1248">
        <v>276</v>
      </c>
      <c r="E1248" t="s">
        <v>4308</v>
      </c>
      <c r="F1248">
        <v>0</v>
      </c>
    </row>
    <row r="1249" spans="1:6" x14ac:dyDescent="0.25">
      <c r="A1249" t="s">
        <v>60</v>
      </c>
      <c r="B1249" t="s">
        <v>329</v>
      </c>
      <c r="C1249">
        <v>173</v>
      </c>
      <c r="D1249">
        <v>276</v>
      </c>
      <c r="E1249" t="s">
        <v>4309</v>
      </c>
      <c r="F1249">
        <v>0</v>
      </c>
    </row>
    <row r="1250" spans="1:6" x14ac:dyDescent="0.25">
      <c r="A1250" t="s">
        <v>60</v>
      </c>
      <c r="B1250" t="s">
        <v>329</v>
      </c>
      <c r="C1250">
        <v>173</v>
      </c>
      <c r="D1250">
        <v>78</v>
      </c>
      <c r="E1250" t="s">
        <v>4302</v>
      </c>
      <c r="F1250">
        <v>0</v>
      </c>
    </row>
    <row r="1251" spans="1:6" x14ac:dyDescent="0.25">
      <c r="A1251" t="s">
        <v>60</v>
      </c>
      <c r="B1251" t="s">
        <v>329</v>
      </c>
      <c r="C1251">
        <v>173</v>
      </c>
      <c r="D1251">
        <v>78</v>
      </c>
      <c r="E1251" t="s">
        <v>4303</v>
      </c>
      <c r="F1251">
        <v>0</v>
      </c>
    </row>
    <row r="1252" spans="1:6" x14ac:dyDescent="0.25">
      <c r="A1252" t="s">
        <v>60</v>
      </c>
      <c r="B1252" t="s">
        <v>329</v>
      </c>
      <c r="C1252">
        <v>173</v>
      </c>
      <c r="D1252">
        <v>78</v>
      </c>
      <c r="E1252" t="s">
        <v>4304</v>
      </c>
      <c r="F1252">
        <v>0</v>
      </c>
    </row>
    <row r="1253" spans="1:6" x14ac:dyDescent="0.25">
      <c r="A1253" t="s">
        <v>60</v>
      </c>
      <c r="B1253" t="s">
        <v>329</v>
      </c>
      <c r="C1253">
        <v>173</v>
      </c>
      <c r="D1253">
        <v>78</v>
      </c>
      <c r="E1253" t="s">
        <v>4305</v>
      </c>
      <c r="F1253">
        <v>0</v>
      </c>
    </row>
    <row r="1254" spans="1:6" x14ac:dyDescent="0.25">
      <c r="A1254" t="s">
        <v>60</v>
      </c>
      <c r="B1254" t="s">
        <v>329</v>
      </c>
      <c r="C1254">
        <v>173</v>
      </c>
      <c r="D1254">
        <v>78</v>
      </c>
      <c r="E1254" t="s">
        <v>4306</v>
      </c>
      <c r="F1254">
        <v>0</v>
      </c>
    </row>
    <row r="1255" spans="1:6" x14ac:dyDescent="0.25">
      <c r="A1255" t="s">
        <v>60</v>
      </c>
      <c r="B1255" t="s">
        <v>329</v>
      </c>
      <c r="C1255">
        <v>173</v>
      </c>
      <c r="D1255">
        <v>78</v>
      </c>
      <c r="E1255" t="s">
        <v>4307</v>
      </c>
      <c r="F1255">
        <v>0</v>
      </c>
    </row>
    <row r="1256" spans="1:6" x14ac:dyDescent="0.25">
      <c r="A1256" t="s">
        <v>60</v>
      </c>
      <c r="B1256" t="s">
        <v>329</v>
      </c>
      <c r="C1256">
        <v>173</v>
      </c>
      <c r="D1256">
        <v>78</v>
      </c>
      <c r="E1256" t="s">
        <v>4308</v>
      </c>
      <c r="F1256">
        <v>0</v>
      </c>
    </row>
    <row r="1257" spans="1:6" x14ac:dyDescent="0.25">
      <c r="A1257" t="s">
        <v>60</v>
      </c>
      <c r="B1257" t="s">
        <v>329</v>
      </c>
      <c r="C1257">
        <v>173</v>
      </c>
      <c r="D1257">
        <v>78</v>
      </c>
      <c r="E1257" t="s">
        <v>4309</v>
      </c>
      <c r="F1257">
        <v>0</v>
      </c>
    </row>
    <row r="1258" spans="1:6" x14ac:dyDescent="0.25">
      <c r="A1258" t="s">
        <v>60</v>
      </c>
      <c r="B1258" t="s">
        <v>35</v>
      </c>
      <c r="C1258">
        <v>95</v>
      </c>
      <c r="D1258">
        <v>258</v>
      </c>
      <c r="E1258" t="s">
        <v>4302</v>
      </c>
      <c r="F1258">
        <v>15303.48</v>
      </c>
    </row>
    <row r="1259" spans="1:6" x14ac:dyDescent="0.25">
      <c r="A1259" t="s">
        <v>60</v>
      </c>
      <c r="B1259" t="s">
        <v>35</v>
      </c>
      <c r="C1259">
        <v>95</v>
      </c>
      <c r="D1259">
        <v>258</v>
      </c>
      <c r="E1259" t="s">
        <v>4303</v>
      </c>
      <c r="F1259">
        <v>2115.27</v>
      </c>
    </row>
    <row r="1260" spans="1:6" x14ac:dyDescent="0.25">
      <c r="A1260" t="s">
        <v>60</v>
      </c>
      <c r="B1260" t="s">
        <v>35</v>
      </c>
      <c r="C1260">
        <v>95</v>
      </c>
      <c r="D1260">
        <v>258</v>
      </c>
      <c r="E1260" t="s">
        <v>4304</v>
      </c>
      <c r="F1260">
        <v>13188.21</v>
      </c>
    </row>
    <row r="1261" spans="1:6" x14ac:dyDescent="0.25">
      <c r="A1261" t="s">
        <v>60</v>
      </c>
      <c r="B1261" t="s">
        <v>35</v>
      </c>
      <c r="C1261">
        <v>95</v>
      </c>
      <c r="D1261">
        <v>258</v>
      </c>
      <c r="E1261" t="s">
        <v>4305</v>
      </c>
      <c r="F1261">
        <v>100</v>
      </c>
    </row>
    <row r="1262" spans="1:6" x14ac:dyDescent="0.25">
      <c r="A1262" t="s">
        <v>60</v>
      </c>
      <c r="B1262" t="s">
        <v>35</v>
      </c>
      <c r="C1262">
        <v>95</v>
      </c>
      <c r="D1262">
        <v>258</v>
      </c>
      <c r="E1262" t="s">
        <v>4306</v>
      </c>
      <c r="F1262">
        <v>0</v>
      </c>
    </row>
    <row r="1263" spans="1:6" x14ac:dyDescent="0.25">
      <c r="A1263" t="s">
        <v>60</v>
      </c>
      <c r="B1263" t="s">
        <v>35</v>
      </c>
      <c r="C1263">
        <v>95</v>
      </c>
      <c r="D1263">
        <v>258</v>
      </c>
      <c r="E1263" t="s">
        <v>4307</v>
      </c>
      <c r="F1263">
        <v>0</v>
      </c>
    </row>
    <row r="1264" spans="1:6" x14ac:dyDescent="0.25">
      <c r="A1264" t="s">
        <v>60</v>
      </c>
      <c r="B1264" t="s">
        <v>35</v>
      </c>
      <c r="C1264">
        <v>95</v>
      </c>
      <c r="D1264">
        <v>258</v>
      </c>
      <c r="E1264" t="s">
        <v>4308</v>
      </c>
      <c r="F1264">
        <v>15303.48</v>
      </c>
    </row>
    <row r="1265" spans="1:6" x14ac:dyDescent="0.25">
      <c r="A1265" t="s">
        <v>60</v>
      </c>
      <c r="B1265" t="s">
        <v>35</v>
      </c>
      <c r="C1265">
        <v>95</v>
      </c>
      <c r="D1265">
        <v>258</v>
      </c>
      <c r="E1265" t="s">
        <v>4309</v>
      </c>
      <c r="F1265">
        <v>100</v>
      </c>
    </row>
    <row r="1266" spans="1:6" x14ac:dyDescent="0.25">
      <c r="A1266" t="s">
        <v>60</v>
      </c>
      <c r="B1266" t="s">
        <v>35</v>
      </c>
      <c r="C1266">
        <v>95</v>
      </c>
      <c r="D1266">
        <v>42</v>
      </c>
      <c r="E1266" t="s">
        <v>4302</v>
      </c>
      <c r="F1266">
        <v>11859.5</v>
      </c>
    </row>
    <row r="1267" spans="1:6" x14ac:dyDescent="0.25">
      <c r="A1267" t="s">
        <v>60</v>
      </c>
      <c r="B1267" t="s">
        <v>35</v>
      </c>
      <c r="C1267">
        <v>95</v>
      </c>
      <c r="D1267">
        <v>42</v>
      </c>
      <c r="E1267" t="s">
        <v>4303</v>
      </c>
      <c r="F1267">
        <v>1893.52</v>
      </c>
    </row>
    <row r="1268" spans="1:6" x14ac:dyDescent="0.25">
      <c r="A1268" t="s">
        <v>60</v>
      </c>
      <c r="B1268" t="s">
        <v>35</v>
      </c>
      <c r="C1268">
        <v>95</v>
      </c>
      <c r="D1268">
        <v>42</v>
      </c>
      <c r="E1268" t="s">
        <v>4304</v>
      </c>
      <c r="F1268">
        <v>7854.75</v>
      </c>
    </row>
    <row r="1269" spans="1:6" x14ac:dyDescent="0.25">
      <c r="A1269" t="s">
        <v>60</v>
      </c>
      <c r="B1269" t="s">
        <v>35</v>
      </c>
      <c r="C1269">
        <v>95</v>
      </c>
      <c r="D1269">
        <v>42</v>
      </c>
      <c r="E1269" t="s">
        <v>4305</v>
      </c>
      <c r="F1269">
        <v>78.819999999999993</v>
      </c>
    </row>
    <row r="1270" spans="1:6" x14ac:dyDescent="0.25">
      <c r="A1270" t="s">
        <v>60</v>
      </c>
      <c r="B1270" t="s">
        <v>35</v>
      </c>
      <c r="C1270">
        <v>95</v>
      </c>
      <c r="D1270">
        <v>42</v>
      </c>
      <c r="E1270" t="s">
        <v>4306</v>
      </c>
      <c r="F1270">
        <v>0</v>
      </c>
    </row>
    <row r="1271" spans="1:6" x14ac:dyDescent="0.25">
      <c r="A1271" t="s">
        <v>60</v>
      </c>
      <c r="B1271" t="s">
        <v>35</v>
      </c>
      <c r="C1271">
        <v>95</v>
      </c>
      <c r="D1271">
        <v>42</v>
      </c>
      <c r="E1271" t="s">
        <v>4307</v>
      </c>
      <c r="F1271">
        <v>2541.38</v>
      </c>
    </row>
    <row r="1272" spans="1:6" x14ac:dyDescent="0.25">
      <c r="A1272" t="s">
        <v>60</v>
      </c>
      <c r="B1272" t="s">
        <v>35</v>
      </c>
      <c r="C1272">
        <v>95</v>
      </c>
      <c r="D1272">
        <v>42</v>
      </c>
      <c r="E1272" t="s">
        <v>4308</v>
      </c>
      <c r="F1272">
        <v>9318.1200000000008</v>
      </c>
    </row>
    <row r="1273" spans="1:6" x14ac:dyDescent="0.25">
      <c r="A1273" t="s">
        <v>60</v>
      </c>
      <c r="B1273" t="s">
        <v>35</v>
      </c>
      <c r="C1273">
        <v>95</v>
      </c>
      <c r="D1273">
        <v>42</v>
      </c>
      <c r="E1273" t="s">
        <v>4309</v>
      </c>
      <c r="F1273">
        <v>78.569999999999993</v>
      </c>
    </row>
    <row r="1274" spans="1:6" x14ac:dyDescent="0.25">
      <c r="A1274" t="s">
        <v>60</v>
      </c>
      <c r="B1274" t="s">
        <v>26</v>
      </c>
      <c r="C1274">
        <v>172</v>
      </c>
      <c r="D1274">
        <v>251</v>
      </c>
      <c r="E1274" t="s">
        <v>4302</v>
      </c>
      <c r="F1274">
        <v>18169.310000000001</v>
      </c>
    </row>
    <row r="1275" spans="1:6" x14ac:dyDescent="0.25">
      <c r="A1275" t="s">
        <v>60</v>
      </c>
      <c r="B1275" t="s">
        <v>26</v>
      </c>
      <c r="C1275">
        <v>172</v>
      </c>
      <c r="D1275">
        <v>251</v>
      </c>
      <c r="E1275" t="s">
        <v>4303</v>
      </c>
      <c r="F1275">
        <v>2868.4</v>
      </c>
    </row>
    <row r="1276" spans="1:6" x14ac:dyDescent="0.25">
      <c r="A1276" t="s">
        <v>60</v>
      </c>
      <c r="B1276" t="s">
        <v>26</v>
      </c>
      <c r="C1276">
        <v>172</v>
      </c>
      <c r="D1276">
        <v>251</v>
      </c>
      <c r="E1276" t="s">
        <v>4304</v>
      </c>
      <c r="F1276">
        <v>9221.1299999999992</v>
      </c>
    </row>
    <row r="1277" spans="1:6" x14ac:dyDescent="0.25">
      <c r="A1277" t="s">
        <v>60</v>
      </c>
      <c r="B1277" t="s">
        <v>26</v>
      </c>
      <c r="C1277">
        <v>172</v>
      </c>
      <c r="D1277">
        <v>251</v>
      </c>
      <c r="E1277" t="s">
        <v>4305</v>
      </c>
      <c r="F1277">
        <v>60.27</v>
      </c>
    </row>
    <row r="1278" spans="1:6" x14ac:dyDescent="0.25">
      <c r="A1278" t="s">
        <v>60</v>
      </c>
      <c r="B1278" t="s">
        <v>26</v>
      </c>
      <c r="C1278">
        <v>172</v>
      </c>
      <c r="D1278">
        <v>251</v>
      </c>
      <c r="E1278" t="s">
        <v>4306</v>
      </c>
      <c r="F1278">
        <v>0</v>
      </c>
    </row>
    <row r="1279" spans="1:6" x14ac:dyDescent="0.25">
      <c r="A1279" t="s">
        <v>60</v>
      </c>
      <c r="B1279" t="s">
        <v>26</v>
      </c>
      <c r="C1279">
        <v>172</v>
      </c>
      <c r="D1279">
        <v>251</v>
      </c>
      <c r="E1279" t="s">
        <v>4307</v>
      </c>
      <c r="F1279">
        <v>0</v>
      </c>
    </row>
    <row r="1280" spans="1:6" x14ac:dyDescent="0.25">
      <c r="A1280" t="s">
        <v>60</v>
      </c>
      <c r="B1280" t="s">
        <v>26</v>
      </c>
      <c r="C1280">
        <v>172</v>
      </c>
      <c r="D1280">
        <v>251</v>
      </c>
      <c r="E1280" t="s">
        <v>4308</v>
      </c>
      <c r="F1280">
        <v>18169.310000000001</v>
      </c>
    </row>
    <row r="1281" spans="1:6" x14ac:dyDescent="0.25">
      <c r="A1281" t="s">
        <v>60</v>
      </c>
      <c r="B1281" t="s">
        <v>26</v>
      </c>
      <c r="C1281">
        <v>172</v>
      </c>
      <c r="D1281">
        <v>251</v>
      </c>
      <c r="E1281" t="s">
        <v>4309</v>
      </c>
      <c r="F1281">
        <v>100</v>
      </c>
    </row>
    <row r="1282" spans="1:6" x14ac:dyDescent="0.25">
      <c r="A1282" t="s">
        <v>60</v>
      </c>
      <c r="B1282" t="s">
        <v>26</v>
      </c>
      <c r="C1282">
        <v>172</v>
      </c>
      <c r="D1282">
        <v>43</v>
      </c>
      <c r="E1282" t="s">
        <v>4302</v>
      </c>
      <c r="F1282">
        <v>11043.8</v>
      </c>
    </row>
    <row r="1283" spans="1:6" x14ac:dyDescent="0.25">
      <c r="A1283" t="s">
        <v>60</v>
      </c>
      <c r="B1283" t="s">
        <v>26</v>
      </c>
      <c r="C1283">
        <v>172</v>
      </c>
      <c r="D1283">
        <v>43</v>
      </c>
      <c r="E1283" t="s">
        <v>4303</v>
      </c>
      <c r="F1283">
        <v>1761.73</v>
      </c>
    </row>
    <row r="1284" spans="1:6" x14ac:dyDescent="0.25">
      <c r="A1284" t="s">
        <v>60</v>
      </c>
      <c r="B1284" t="s">
        <v>26</v>
      </c>
      <c r="C1284">
        <v>172</v>
      </c>
      <c r="D1284">
        <v>43</v>
      </c>
      <c r="E1284" t="s">
        <v>4304</v>
      </c>
      <c r="F1284">
        <v>9282.07</v>
      </c>
    </row>
    <row r="1285" spans="1:6" x14ac:dyDescent="0.25">
      <c r="A1285" t="s">
        <v>60</v>
      </c>
      <c r="B1285" t="s">
        <v>26</v>
      </c>
      <c r="C1285">
        <v>172</v>
      </c>
      <c r="D1285">
        <v>43</v>
      </c>
      <c r="E1285" t="s">
        <v>4305</v>
      </c>
      <c r="F1285">
        <v>100</v>
      </c>
    </row>
    <row r="1286" spans="1:6" x14ac:dyDescent="0.25">
      <c r="A1286" t="s">
        <v>60</v>
      </c>
      <c r="B1286" t="s">
        <v>26</v>
      </c>
      <c r="C1286">
        <v>172</v>
      </c>
      <c r="D1286">
        <v>43</v>
      </c>
      <c r="E1286" t="s">
        <v>4306</v>
      </c>
      <c r="F1286">
        <v>0</v>
      </c>
    </row>
    <row r="1287" spans="1:6" x14ac:dyDescent="0.25">
      <c r="A1287" t="s">
        <v>60</v>
      </c>
      <c r="B1287" t="s">
        <v>26</v>
      </c>
      <c r="C1287">
        <v>172</v>
      </c>
      <c r="D1287">
        <v>43</v>
      </c>
      <c r="E1287" t="s">
        <v>4307</v>
      </c>
      <c r="F1287">
        <v>916.77</v>
      </c>
    </row>
    <row r="1288" spans="1:6" x14ac:dyDescent="0.25">
      <c r="A1288" t="s">
        <v>60</v>
      </c>
      <c r="B1288" t="s">
        <v>26</v>
      </c>
      <c r="C1288">
        <v>172</v>
      </c>
      <c r="D1288">
        <v>43</v>
      </c>
      <c r="E1288" t="s">
        <v>4308</v>
      </c>
      <c r="F1288">
        <v>10127.030000000001</v>
      </c>
    </row>
    <row r="1289" spans="1:6" x14ac:dyDescent="0.25">
      <c r="A1289" t="s">
        <v>60</v>
      </c>
      <c r="B1289" t="s">
        <v>26</v>
      </c>
      <c r="C1289">
        <v>172</v>
      </c>
      <c r="D1289">
        <v>43</v>
      </c>
      <c r="E1289" t="s">
        <v>4309</v>
      </c>
      <c r="F1289">
        <v>91.7</v>
      </c>
    </row>
    <row r="1290" spans="1:6" x14ac:dyDescent="0.25">
      <c r="A1290" t="s">
        <v>60</v>
      </c>
      <c r="B1290" t="s">
        <v>330</v>
      </c>
      <c r="C1290">
        <v>137</v>
      </c>
      <c r="D1290">
        <v>104</v>
      </c>
      <c r="E1290" t="s">
        <v>4302</v>
      </c>
      <c r="F1290">
        <v>0</v>
      </c>
    </row>
    <row r="1291" spans="1:6" x14ac:dyDescent="0.25">
      <c r="A1291" t="s">
        <v>60</v>
      </c>
      <c r="B1291" t="s">
        <v>330</v>
      </c>
      <c r="C1291">
        <v>137</v>
      </c>
      <c r="D1291">
        <v>104</v>
      </c>
      <c r="E1291" t="s">
        <v>4303</v>
      </c>
      <c r="F1291">
        <v>0</v>
      </c>
    </row>
    <row r="1292" spans="1:6" x14ac:dyDescent="0.25">
      <c r="A1292" t="s">
        <v>60</v>
      </c>
      <c r="B1292" t="s">
        <v>330</v>
      </c>
      <c r="C1292">
        <v>137</v>
      </c>
      <c r="D1292">
        <v>104</v>
      </c>
      <c r="E1292" t="s">
        <v>4304</v>
      </c>
      <c r="F1292">
        <v>0</v>
      </c>
    </row>
    <row r="1293" spans="1:6" x14ac:dyDescent="0.25">
      <c r="A1293" t="s">
        <v>60</v>
      </c>
      <c r="B1293" t="s">
        <v>330</v>
      </c>
      <c r="C1293">
        <v>137</v>
      </c>
      <c r="D1293">
        <v>104</v>
      </c>
      <c r="E1293" t="s">
        <v>4305</v>
      </c>
      <c r="F1293">
        <v>0</v>
      </c>
    </row>
    <row r="1294" spans="1:6" x14ac:dyDescent="0.25">
      <c r="A1294" t="s">
        <v>60</v>
      </c>
      <c r="B1294" t="s">
        <v>330</v>
      </c>
      <c r="C1294">
        <v>137</v>
      </c>
      <c r="D1294">
        <v>104</v>
      </c>
      <c r="E1294" t="s">
        <v>4306</v>
      </c>
      <c r="F1294">
        <v>0</v>
      </c>
    </row>
    <row r="1295" spans="1:6" x14ac:dyDescent="0.25">
      <c r="A1295" t="s">
        <v>60</v>
      </c>
      <c r="B1295" t="s">
        <v>330</v>
      </c>
      <c r="C1295">
        <v>137</v>
      </c>
      <c r="D1295">
        <v>104</v>
      </c>
      <c r="E1295" t="s">
        <v>4307</v>
      </c>
      <c r="F1295">
        <v>0</v>
      </c>
    </row>
    <row r="1296" spans="1:6" x14ac:dyDescent="0.25">
      <c r="A1296" t="s">
        <v>60</v>
      </c>
      <c r="B1296" t="s">
        <v>330</v>
      </c>
      <c r="C1296">
        <v>137</v>
      </c>
      <c r="D1296">
        <v>104</v>
      </c>
      <c r="E1296" t="s">
        <v>4308</v>
      </c>
      <c r="F1296">
        <v>0</v>
      </c>
    </row>
    <row r="1297" spans="1:6" x14ac:dyDescent="0.25">
      <c r="A1297" t="s">
        <v>60</v>
      </c>
      <c r="B1297" t="s">
        <v>330</v>
      </c>
      <c r="C1297">
        <v>137</v>
      </c>
      <c r="D1297">
        <v>104</v>
      </c>
      <c r="E1297" t="s">
        <v>4309</v>
      </c>
      <c r="F1297">
        <v>0</v>
      </c>
    </row>
    <row r="1298" spans="1:6" x14ac:dyDescent="0.25">
      <c r="A1298" t="s">
        <v>60</v>
      </c>
      <c r="B1298" t="s">
        <v>330</v>
      </c>
      <c r="C1298">
        <v>137</v>
      </c>
      <c r="D1298">
        <v>337</v>
      </c>
      <c r="E1298" t="s">
        <v>4302</v>
      </c>
      <c r="F1298">
        <v>0</v>
      </c>
    </row>
    <row r="1299" spans="1:6" x14ac:dyDescent="0.25">
      <c r="A1299" t="s">
        <v>60</v>
      </c>
      <c r="B1299" t="s">
        <v>330</v>
      </c>
      <c r="C1299">
        <v>137</v>
      </c>
      <c r="D1299">
        <v>337</v>
      </c>
      <c r="E1299" t="s">
        <v>4303</v>
      </c>
      <c r="F1299">
        <v>0</v>
      </c>
    </row>
    <row r="1300" spans="1:6" x14ac:dyDescent="0.25">
      <c r="A1300" t="s">
        <v>60</v>
      </c>
      <c r="B1300" t="s">
        <v>330</v>
      </c>
      <c r="C1300">
        <v>137</v>
      </c>
      <c r="D1300">
        <v>337</v>
      </c>
      <c r="E1300" t="s">
        <v>4304</v>
      </c>
      <c r="F1300">
        <v>0</v>
      </c>
    </row>
    <row r="1301" spans="1:6" x14ac:dyDescent="0.25">
      <c r="A1301" t="s">
        <v>60</v>
      </c>
      <c r="B1301" t="s">
        <v>330</v>
      </c>
      <c r="C1301">
        <v>137</v>
      </c>
      <c r="D1301">
        <v>337</v>
      </c>
      <c r="E1301" t="s">
        <v>4305</v>
      </c>
      <c r="F1301">
        <v>0</v>
      </c>
    </row>
    <row r="1302" spans="1:6" x14ac:dyDescent="0.25">
      <c r="A1302" t="s">
        <v>60</v>
      </c>
      <c r="B1302" t="s">
        <v>330</v>
      </c>
      <c r="C1302">
        <v>137</v>
      </c>
      <c r="D1302">
        <v>337</v>
      </c>
      <c r="E1302" t="s">
        <v>4306</v>
      </c>
      <c r="F1302">
        <v>0</v>
      </c>
    </row>
    <row r="1303" spans="1:6" x14ac:dyDescent="0.25">
      <c r="A1303" t="s">
        <v>60</v>
      </c>
      <c r="B1303" t="s">
        <v>330</v>
      </c>
      <c r="C1303">
        <v>137</v>
      </c>
      <c r="D1303">
        <v>337</v>
      </c>
      <c r="E1303" t="s">
        <v>4307</v>
      </c>
      <c r="F1303">
        <v>0</v>
      </c>
    </row>
    <row r="1304" spans="1:6" x14ac:dyDescent="0.25">
      <c r="A1304" t="s">
        <v>60</v>
      </c>
      <c r="B1304" t="s">
        <v>330</v>
      </c>
      <c r="C1304">
        <v>137</v>
      </c>
      <c r="D1304">
        <v>337</v>
      </c>
      <c r="E1304" t="s">
        <v>4308</v>
      </c>
      <c r="F1304">
        <v>0</v>
      </c>
    </row>
    <row r="1305" spans="1:6" x14ac:dyDescent="0.25">
      <c r="A1305" t="s">
        <v>60</v>
      </c>
      <c r="B1305" t="s">
        <v>330</v>
      </c>
      <c r="C1305">
        <v>137</v>
      </c>
      <c r="D1305">
        <v>337</v>
      </c>
      <c r="E1305" t="s">
        <v>4309</v>
      </c>
      <c r="F1305">
        <v>0</v>
      </c>
    </row>
    <row r="1306" spans="1:6" x14ac:dyDescent="0.25">
      <c r="A1306" t="s">
        <v>67</v>
      </c>
      <c r="B1306" t="s">
        <v>323</v>
      </c>
      <c r="C1306">
        <v>169</v>
      </c>
      <c r="D1306">
        <v>174</v>
      </c>
      <c r="E1306" t="s">
        <v>4302</v>
      </c>
      <c r="F1306">
        <v>12612.46</v>
      </c>
    </row>
    <row r="1307" spans="1:6" x14ac:dyDescent="0.25">
      <c r="A1307" t="s">
        <v>67</v>
      </c>
      <c r="B1307" t="s">
        <v>323</v>
      </c>
      <c r="C1307">
        <v>169</v>
      </c>
      <c r="D1307">
        <v>174</v>
      </c>
      <c r="E1307" t="s">
        <v>4303</v>
      </c>
      <c r="F1307">
        <v>3603.56</v>
      </c>
    </row>
    <row r="1308" spans="1:6" x14ac:dyDescent="0.25">
      <c r="A1308" t="s">
        <v>67</v>
      </c>
      <c r="B1308" t="s">
        <v>323</v>
      </c>
      <c r="C1308">
        <v>169</v>
      </c>
      <c r="D1308">
        <v>174</v>
      </c>
      <c r="E1308" t="s">
        <v>4304</v>
      </c>
      <c r="F1308">
        <v>9008.9</v>
      </c>
    </row>
    <row r="1309" spans="1:6" x14ac:dyDescent="0.25">
      <c r="A1309" t="s">
        <v>67</v>
      </c>
      <c r="B1309" t="s">
        <v>323</v>
      </c>
      <c r="C1309">
        <v>169</v>
      </c>
      <c r="D1309">
        <v>174</v>
      </c>
      <c r="E1309" t="s">
        <v>4305</v>
      </c>
      <c r="F1309">
        <v>100</v>
      </c>
    </row>
    <row r="1310" spans="1:6" x14ac:dyDescent="0.25">
      <c r="A1310" t="s">
        <v>67</v>
      </c>
      <c r="B1310" t="s">
        <v>323</v>
      </c>
      <c r="C1310">
        <v>169</v>
      </c>
      <c r="D1310">
        <v>174</v>
      </c>
      <c r="E1310" t="s">
        <v>4306</v>
      </c>
      <c r="F1310">
        <v>0</v>
      </c>
    </row>
    <row r="1311" spans="1:6" x14ac:dyDescent="0.25">
      <c r="A1311" t="s">
        <v>67</v>
      </c>
      <c r="B1311" t="s">
        <v>323</v>
      </c>
      <c r="C1311">
        <v>169</v>
      </c>
      <c r="D1311">
        <v>174</v>
      </c>
      <c r="E1311" t="s">
        <v>4307</v>
      </c>
      <c r="F1311">
        <v>0</v>
      </c>
    </row>
    <row r="1312" spans="1:6" x14ac:dyDescent="0.25">
      <c r="A1312" t="s">
        <v>67</v>
      </c>
      <c r="B1312" t="s">
        <v>323</v>
      </c>
      <c r="C1312">
        <v>169</v>
      </c>
      <c r="D1312">
        <v>174</v>
      </c>
      <c r="E1312" t="s">
        <v>4308</v>
      </c>
      <c r="F1312">
        <v>12612.46</v>
      </c>
    </row>
    <row r="1313" spans="1:6" x14ac:dyDescent="0.25">
      <c r="A1313" t="s">
        <v>67</v>
      </c>
      <c r="B1313" t="s">
        <v>323</v>
      </c>
      <c r="C1313">
        <v>169</v>
      </c>
      <c r="D1313">
        <v>174</v>
      </c>
      <c r="E1313" t="s">
        <v>4309</v>
      </c>
      <c r="F1313">
        <v>100</v>
      </c>
    </row>
    <row r="1314" spans="1:6" x14ac:dyDescent="0.25">
      <c r="A1314" t="s">
        <v>67</v>
      </c>
      <c r="B1314" t="s">
        <v>324</v>
      </c>
      <c r="C1314">
        <v>166</v>
      </c>
      <c r="D1314">
        <v>148</v>
      </c>
      <c r="E1314" t="s">
        <v>4302</v>
      </c>
      <c r="F1314">
        <v>25023.599999999999</v>
      </c>
    </row>
    <row r="1315" spans="1:6" x14ac:dyDescent="0.25">
      <c r="A1315" t="s">
        <v>67</v>
      </c>
      <c r="B1315" t="s">
        <v>324</v>
      </c>
      <c r="C1315">
        <v>166</v>
      </c>
      <c r="D1315">
        <v>148</v>
      </c>
      <c r="E1315" t="s">
        <v>4303</v>
      </c>
      <c r="F1315">
        <v>7149.6</v>
      </c>
    </row>
    <row r="1316" spans="1:6" x14ac:dyDescent="0.25">
      <c r="A1316" t="s">
        <v>67</v>
      </c>
      <c r="B1316" t="s">
        <v>324</v>
      </c>
      <c r="C1316">
        <v>166</v>
      </c>
      <c r="D1316">
        <v>148</v>
      </c>
      <c r="E1316" t="s">
        <v>4304</v>
      </c>
      <c r="F1316">
        <v>17874</v>
      </c>
    </row>
    <row r="1317" spans="1:6" x14ac:dyDescent="0.25">
      <c r="A1317" t="s">
        <v>67</v>
      </c>
      <c r="B1317" t="s">
        <v>324</v>
      </c>
      <c r="C1317">
        <v>166</v>
      </c>
      <c r="D1317">
        <v>148</v>
      </c>
      <c r="E1317" t="s">
        <v>4305</v>
      </c>
      <c r="F1317">
        <v>100</v>
      </c>
    </row>
    <row r="1318" spans="1:6" x14ac:dyDescent="0.25">
      <c r="A1318" t="s">
        <v>67</v>
      </c>
      <c r="B1318" t="s">
        <v>324</v>
      </c>
      <c r="C1318">
        <v>166</v>
      </c>
      <c r="D1318">
        <v>148</v>
      </c>
      <c r="E1318" t="s">
        <v>4306</v>
      </c>
      <c r="F1318">
        <v>0</v>
      </c>
    </row>
    <row r="1319" spans="1:6" x14ac:dyDescent="0.25">
      <c r="A1319" t="s">
        <v>67</v>
      </c>
      <c r="B1319" t="s">
        <v>324</v>
      </c>
      <c r="C1319">
        <v>166</v>
      </c>
      <c r="D1319">
        <v>148</v>
      </c>
      <c r="E1319" t="s">
        <v>4307</v>
      </c>
      <c r="F1319">
        <v>0</v>
      </c>
    </row>
    <row r="1320" spans="1:6" x14ac:dyDescent="0.25">
      <c r="A1320" t="s">
        <v>67</v>
      </c>
      <c r="B1320" t="s">
        <v>324</v>
      </c>
      <c r="C1320">
        <v>166</v>
      </c>
      <c r="D1320">
        <v>148</v>
      </c>
      <c r="E1320" t="s">
        <v>4308</v>
      </c>
      <c r="F1320">
        <v>25023.599999999999</v>
      </c>
    </row>
    <row r="1321" spans="1:6" x14ac:dyDescent="0.25">
      <c r="A1321" t="s">
        <v>67</v>
      </c>
      <c r="B1321" t="s">
        <v>324</v>
      </c>
      <c r="C1321">
        <v>166</v>
      </c>
      <c r="D1321">
        <v>148</v>
      </c>
      <c r="E1321" t="s">
        <v>4309</v>
      </c>
      <c r="F1321">
        <v>100</v>
      </c>
    </row>
    <row r="1322" spans="1:6" x14ac:dyDescent="0.25">
      <c r="A1322" t="s">
        <v>67</v>
      </c>
      <c r="B1322" t="s">
        <v>56</v>
      </c>
      <c r="C1322">
        <v>165</v>
      </c>
      <c r="D1322">
        <v>121</v>
      </c>
      <c r="E1322" t="s">
        <v>4302</v>
      </c>
      <c r="F1322">
        <v>4721.78</v>
      </c>
    </row>
    <row r="1323" spans="1:6" x14ac:dyDescent="0.25">
      <c r="A1323" t="s">
        <v>67</v>
      </c>
      <c r="B1323" t="s">
        <v>56</v>
      </c>
      <c r="C1323">
        <v>165</v>
      </c>
      <c r="D1323">
        <v>121</v>
      </c>
      <c r="E1323" t="s">
        <v>4303</v>
      </c>
      <c r="F1323">
        <v>1349.08</v>
      </c>
    </row>
    <row r="1324" spans="1:6" x14ac:dyDescent="0.25">
      <c r="A1324" t="s">
        <v>67</v>
      </c>
      <c r="B1324" t="s">
        <v>56</v>
      </c>
      <c r="C1324">
        <v>165</v>
      </c>
      <c r="D1324">
        <v>121</v>
      </c>
      <c r="E1324" t="s">
        <v>4304</v>
      </c>
      <c r="F1324">
        <v>3372.7</v>
      </c>
    </row>
    <row r="1325" spans="1:6" x14ac:dyDescent="0.25">
      <c r="A1325" t="s">
        <v>67</v>
      </c>
      <c r="B1325" t="s">
        <v>56</v>
      </c>
      <c r="C1325">
        <v>165</v>
      </c>
      <c r="D1325">
        <v>121</v>
      </c>
      <c r="E1325" t="s">
        <v>4305</v>
      </c>
      <c r="F1325">
        <v>100</v>
      </c>
    </row>
    <row r="1326" spans="1:6" x14ac:dyDescent="0.25">
      <c r="A1326" t="s">
        <v>67</v>
      </c>
      <c r="B1326" t="s">
        <v>56</v>
      </c>
      <c r="C1326">
        <v>165</v>
      </c>
      <c r="D1326">
        <v>121</v>
      </c>
      <c r="E1326" t="s">
        <v>4306</v>
      </c>
      <c r="F1326">
        <v>0</v>
      </c>
    </row>
    <row r="1327" spans="1:6" x14ac:dyDescent="0.25">
      <c r="A1327" t="s">
        <v>67</v>
      </c>
      <c r="B1327" t="s">
        <v>56</v>
      </c>
      <c r="C1327">
        <v>165</v>
      </c>
      <c r="D1327">
        <v>121</v>
      </c>
      <c r="E1327" t="s">
        <v>4307</v>
      </c>
      <c r="F1327">
        <v>0</v>
      </c>
    </row>
    <row r="1328" spans="1:6" x14ac:dyDescent="0.25">
      <c r="A1328" t="s">
        <v>67</v>
      </c>
      <c r="B1328" t="s">
        <v>56</v>
      </c>
      <c r="C1328">
        <v>165</v>
      </c>
      <c r="D1328">
        <v>121</v>
      </c>
      <c r="E1328" t="s">
        <v>4308</v>
      </c>
      <c r="F1328">
        <v>4721.78</v>
      </c>
    </row>
    <row r="1329" spans="1:6" x14ac:dyDescent="0.25">
      <c r="A1329" t="s">
        <v>67</v>
      </c>
      <c r="B1329" t="s">
        <v>56</v>
      </c>
      <c r="C1329">
        <v>165</v>
      </c>
      <c r="D1329">
        <v>121</v>
      </c>
      <c r="E1329" t="s">
        <v>4309</v>
      </c>
      <c r="F1329">
        <v>100</v>
      </c>
    </row>
    <row r="1330" spans="1:6" x14ac:dyDescent="0.25">
      <c r="A1330" t="s">
        <v>67</v>
      </c>
      <c r="B1330" t="s">
        <v>325</v>
      </c>
      <c r="C1330">
        <v>162</v>
      </c>
      <c r="D1330">
        <v>115</v>
      </c>
      <c r="E1330" t="s">
        <v>4302</v>
      </c>
      <c r="F1330">
        <v>38862</v>
      </c>
    </row>
    <row r="1331" spans="1:6" x14ac:dyDescent="0.25">
      <c r="A1331" t="s">
        <v>67</v>
      </c>
      <c r="B1331" t="s">
        <v>325</v>
      </c>
      <c r="C1331">
        <v>162</v>
      </c>
      <c r="D1331">
        <v>115</v>
      </c>
      <c r="E1331" t="s">
        <v>4303</v>
      </c>
      <c r="F1331">
        <v>8532</v>
      </c>
    </row>
    <row r="1332" spans="1:6" x14ac:dyDescent="0.25">
      <c r="A1332" t="s">
        <v>67</v>
      </c>
      <c r="B1332" t="s">
        <v>325</v>
      </c>
      <c r="C1332">
        <v>162</v>
      </c>
      <c r="D1332">
        <v>115</v>
      </c>
      <c r="E1332" t="s">
        <v>4304</v>
      </c>
      <c r="F1332">
        <v>30330</v>
      </c>
    </row>
    <row r="1333" spans="1:6" x14ac:dyDescent="0.25">
      <c r="A1333" t="s">
        <v>67</v>
      </c>
      <c r="B1333" t="s">
        <v>325</v>
      </c>
      <c r="C1333">
        <v>162</v>
      </c>
      <c r="D1333">
        <v>115</v>
      </c>
      <c r="E1333" t="s">
        <v>4305</v>
      </c>
      <c r="F1333">
        <v>100</v>
      </c>
    </row>
    <row r="1334" spans="1:6" x14ac:dyDescent="0.25">
      <c r="A1334" t="s">
        <v>67</v>
      </c>
      <c r="B1334" t="s">
        <v>325</v>
      </c>
      <c r="C1334">
        <v>162</v>
      </c>
      <c r="D1334">
        <v>115</v>
      </c>
      <c r="E1334" t="s">
        <v>4306</v>
      </c>
      <c r="F1334">
        <v>0</v>
      </c>
    </row>
    <row r="1335" spans="1:6" x14ac:dyDescent="0.25">
      <c r="A1335" t="s">
        <v>67</v>
      </c>
      <c r="B1335" t="s">
        <v>325</v>
      </c>
      <c r="C1335">
        <v>162</v>
      </c>
      <c r="D1335">
        <v>115</v>
      </c>
      <c r="E1335" t="s">
        <v>4307</v>
      </c>
      <c r="F1335">
        <v>0</v>
      </c>
    </row>
    <row r="1336" spans="1:6" x14ac:dyDescent="0.25">
      <c r="A1336" t="s">
        <v>67</v>
      </c>
      <c r="B1336" t="s">
        <v>325</v>
      </c>
      <c r="C1336">
        <v>162</v>
      </c>
      <c r="D1336">
        <v>115</v>
      </c>
      <c r="E1336" t="s">
        <v>4308</v>
      </c>
      <c r="F1336">
        <v>38862</v>
      </c>
    </row>
    <row r="1337" spans="1:6" x14ac:dyDescent="0.25">
      <c r="A1337" t="s">
        <v>67</v>
      </c>
      <c r="B1337" t="s">
        <v>325</v>
      </c>
      <c r="C1337">
        <v>162</v>
      </c>
      <c r="D1337">
        <v>115</v>
      </c>
      <c r="E1337" t="s">
        <v>4309</v>
      </c>
      <c r="F1337">
        <v>100</v>
      </c>
    </row>
    <row r="1338" spans="1:6" x14ac:dyDescent="0.25">
      <c r="A1338" t="s">
        <v>67</v>
      </c>
      <c r="B1338" t="s">
        <v>326</v>
      </c>
      <c r="C1338">
        <v>164</v>
      </c>
      <c r="D1338">
        <v>116</v>
      </c>
      <c r="E1338" t="s">
        <v>4302</v>
      </c>
      <c r="F1338">
        <v>23478</v>
      </c>
    </row>
    <row r="1339" spans="1:6" x14ac:dyDescent="0.25">
      <c r="A1339" t="s">
        <v>67</v>
      </c>
      <c r="B1339" t="s">
        <v>326</v>
      </c>
      <c r="C1339">
        <v>164</v>
      </c>
      <c r="D1339">
        <v>116</v>
      </c>
      <c r="E1339" t="s">
        <v>4303</v>
      </c>
      <c r="F1339">
        <v>6708</v>
      </c>
    </row>
    <row r="1340" spans="1:6" x14ac:dyDescent="0.25">
      <c r="A1340" t="s">
        <v>67</v>
      </c>
      <c r="B1340" t="s">
        <v>326</v>
      </c>
      <c r="C1340">
        <v>164</v>
      </c>
      <c r="D1340">
        <v>116</v>
      </c>
      <c r="E1340" t="s">
        <v>4304</v>
      </c>
      <c r="F1340">
        <v>16770</v>
      </c>
    </row>
    <row r="1341" spans="1:6" x14ac:dyDescent="0.25">
      <c r="A1341" t="s">
        <v>67</v>
      </c>
      <c r="B1341" t="s">
        <v>326</v>
      </c>
      <c r="C1341">
        <v>164</v>
      </c>
      <c r="D1341">
        <v>116</v>
      </c>
      <c r="E1341" t="s">
        <v>4305</v>
      </c>
      <c r="F1341">
        <v>100</v>
      </c>
    </row>
    <row r="1342" spans="1:6" x14ac:dyDescent="0.25">
      <c r="A1342" t="s">
        <v>67</v>
      </c>
      <c r="B1342" t="s">
        <v>326</v>
      </c>
      <c r="C1342">
        <v>164</v>
      </c>
      <c r="D1342">
        <v>116</v>
      </c>
      <c r="E1342" t="s">
        <v>4306</v>
      </c>
      <c r="F1342">
        <v>0</v>
      </c>
    </row>
    <row r="1343" spans="1:6" x14ac:dyDescent="0.25">
      <c r="A1343" t="s">
        <v>67</v>
      </c>
      <c r="B1343" t="s">
        <v>326</v>
      </c>
      <c r="C1343">
        <v>164</v>
      </c>
      <c r="D1343">
        <v>116</v>
      </c>
      <c r="E1343" t="s">
        <v>4307</v>
      </c>
      <c r="F1343">
        <v>0</v>
      </c>
    </row>
    <row r="1344" spans="1:6" x14ac:dyDescent="0.25">
      <c r="A1344" t="s">
        <v>67</v>
      </c>
      <c r="B1344" t="s">
        <v>326</v>
      </c>
      <c r="C1344">
        <v>164</v>
      </c>
      <c r="D1344">
        <v>116</v>
      </c>
      <c r="E1344" t="s">
        <v>4308</v>
      </c>
      <c r="F1344">
        <v>23478</v>
      </c>
    </row>
    <row r="1345" spans="1:6" x14ac:dyDescent="0.25">
      <c r="A1345" t="s">
        <v>67</v>
      </c>
      <c r="B1345" t="s">
        <v>326</v>
      </c>
      <c r="C1345">
        <v>164</v>
      </c>
      <c r="D1345">
        <v>116</v>
      </c>
      <c r="E1345" t="s">
        <v>4309</v>
      </c>
      <c r="F1345">
        <v>100</v>
      </c>
    </row>
    <row r="1346" spans="1:6" x14ac:dyDescent="0.25">
      <c r="A1346" t="s">
        <v>67</v>
      </c>
      <c r="B1346" t="s">
        <v>327</v>
      </c>
      <c r="C1346">
        <v>168</v>
      </c>
      <c r="D1346">
        <v>117</v>
      </c>
      <c r="E1346" t="s">
        <v>4302</v>
      </c>
      <c r="F1346">
        <v>21616.92</v>
      </c>
    </row>
    <row r="1347" spans="1:6" x14ac:dyDescent="0.25">
      <c r="A1347" t="s">
        <v>67</v>
      </c>
      <c r="B1347" t="s">
        <v>327</v>
      </c>
      <c r="C1347">
        <v>168</v>
      </c>
      <c r="D1347">
        <v>117</v>
      </c>
      <c r="E1347" t="s">
        <v>4303</v>
      </c>
      <c r="F1347">
        <v>6176.26</v>
      </c>
    </row>
    <row r="1348" spans="1:6" x14ac:dyDescent="0.25">
      <c r="A1348" t="s">
        <v>67</v>
      </c>
      <c r="B1348" t="s">
        <v>327</v>
      </c>
      <c r="C1348">
        <v>168</v>
      </c>
      <c r="D1348">
        <v>117</v>
      </c>
      <c r="E1348" t="s">
        <v>4304</v>
      </c>
      <c r="F1348">
        <v>15440.66</v>
      </c>
    </row>
    <row r="1349" spans="1:6" x14ac:dyDescent="0.25">
      <c r="A1349" t="s">
        <v>67</v>
      </c>
      <c r="B1349" t="s">
        <v>327</v>
      </c>
      <c r="C1349">
        <v>168</v>
      </c>
      <c r="D1349">
        <v>117</v>
      </c>
      <c r="E1349" t="s">
        <v>4305</v>
      </c>
      <c r="F1349">
        <v>100</v>
      </c>
    </row>
    <row r="1350" spans="1:6" x14ac:dyDescent="0.25">
      <c r="A1350" t="s">
        <v>67</v>
      </c>
      <c r="B1350" t="s">
        <v>327</v>
      </c>
      <c r="C1350">
        <v>168</v>
      </c>
      <c r="D1350">
        <v>117</v>
      </c>
      <c r="E1350" t="s">
        <v>4306</v>
      </c>
      <c r="F1350">
        <v>0</v>
      </c>
    </row>
    <row r="1351" spans="1:6" x14ac:dyDescent="0.25">
      <c r="A1351" t="s">
        <v>67</v>
      </c>
      <c r="B1351" t="s">
        <v>327</v>
      </c>
      <c r="C1351">
        <v>168</v>
      </c>
      <c r="D1351">
        <v>117</v>
      </c>
      <c r="E1351" t="s">
        <v>4307</v>
      </c>
      <c r="F1351">
        <v>3.88</v>
      </c>
    </row>
    <row r="1352" spans="1:6" x14ac:dyDescent="0.25">
      <c r="A1352" t="s">
        <v>67</v>
      </c>
      <c r="B1352" t="s">
        <v>327</v>
      </c>
      <c r="C1352">
        <v>168</v>
      </c>
      <c r="D1352">
        <v>117</v>
      </c>
      <c r="E1352" t="s">
        <v>4308</v>
      </c>
      <c r="F1352">
        <v>21613.040000000001</v>
      </c>
    </row>
    <row r="1353" spans="1:6" x14ac:dyDescent="0.25">
      <c r="A1353" t="s">
        <v>67</v>
      </c>
      <c r="B1353" t="s">
        <v>327</v>
      </c>
      <c r="C1353">
        <v>168</v>
      </c>
      <c r="D1353">
        <v>117</v>
      </c>
      <c r="E1353" t="s">
        <v>4309</v>
      </c>
      <c r="F1353">
        <v>99.98</v>
      </c>
    </row>
    <row r="1354" spans="1:6" x14ac:dyDescent="0.25">
      <c r="A1354" t="s">
        <v>66</v>
      </c>
      <c r="B1354" t="s">
        <v>371</v>
      </c>
      <c r="C1354">
        <v>262</v>
      </c>
      <c r="D1354">
        <v>302</v>
      </c>
      <c r="E1354" t="s">
        <v>4302</v>
      </c>
      <c r="F1354">
        <v>0</v>
      </c>
    </row>
    <row r="1355" spans="1:6" x14ac:dyDescent="0.25">
      <c r="A1355" t="s">
        <v>66</v>
      </c>
      <c r="B1355" t="s">
        <v>371</v>
      </c>
      <c r="C1355">
        <v>262</v>
      </c>
      <c r="D1355">
        <v>302</v>
      </c>
      <c r="E1355" t="s">
        <v>4303</v>
      </c>
      <c r="F1355">
        <v>0</v>
      </c>
    </row>
    <row r="1356" spans="1:6" x14ac:dyDescent="0.25">
      <c r="A1356" t="s">
        <v>66</v>
      </c>
      <c r="B1356" t="s">
        <v>371</v>
      </c>
      <c r="C1356">
        <v>262</v>
      </c>
      <c r="D1356">
        <v>302</v>
      </c>
      <c r="E1356" t="s">
        <v>4304</v>
      </c>
      <c r="F1356">
        <v>0</v>
      </c>
    </row>
    <row r="1357" spans="1:6" x14ac:dyDescent="0.25">
      <c r="A1357" t="s">
        <v>66</v>
      </c>
      <c r="B1357" t="s">
        <v>371</v>
      </c>
      <c r="C1357">
        <v>262</v>
      </c>
      <c r="D1357">
        <v>302</v>
      </c>
      <c r="E1357" t="s">
        <v>4305</v>
      </c>
      <c r="F1357">
        <v>0</v>
      </c>
    </row>
    <row r="1358" spans="1:6" x14ac:dyDescent="0.25">
      <c r="A1358" t="s">
        <v>66</v>
      </c>
      <c r="B1358" t="s">
        <v>371</v>
      </c>
      <c r="C1358">
        <v>262</v>
      </c>
      <c r="D1358">
        <v>302</v>
      </c>
      <c r="E1358" t="s">
        <v>4306</v>
      </c>
      <c r="F1358">
        <v>0</v>
      </c>
    </row>
    <row r="1359" spans="1:6" x14ac:dyDescent="0.25">
      <c r="A1359" t="s">
        <v>66</v>
      </c>
      <c r="B1359" t="s">
        <v>371</v>
      </c>
      <c r="C1359">
        <v>262</v>
      </c>
      <c r="D1359">
        <v>302</v>
      </c>
      <c r="E1359" t="s">
        <v>4307</v>
      </c>
      <c r="F1359">
        <v>0</v>
      </c>
    </row>
    <row r="1360" spans="1:6" x14ac:dyDescent="0.25">
      <c r="A1360" t="s">
        <v>66</v>
      </c>
      <c r="B1360" t="s">
        <v>371</v>
      </c>
      <c r="C1360">
        <v>262</v>
      </c>
      <c r="D1360">
        <v>302</v>
      </c>
      <c r="E1360" t="s">
        <v>4308</v>
      </c>
      <c r="F1360">
        <v>0</v>
      </c>
    </row>
    <row r="1361" spans="1:6" x14ac:dyDescent="0.25">
      <c r="A1361" t="s">
        <v>66</v>
      </c>
      <c r="B1361" t="s">
        <v>371</v>
      </c>
      <c r="C1361">
        <v>262</v>
      </c>
      <c r="D1361">
        <v>302</v>
      </c>
      <c r="E1361" t="s">
        <v>4309</v>
      </c>
      <c r="F1361">
        <v>0</v>
      </c>
    </row>
    <row r="1362" spans="1:6" x14ac:dyDescent="0.25">
      <c r="A1362" t="s">
        <v>66</v>
      </c>
      <c r="B1362" t="s">
        <v>55</v>
      </c>
      <c r="C1362">
        <v>259</v>
      </c>
      <c r="D1362">
        <v>100</v>
      </c>
      <c r="E1362" t="s">
        <v>4302</v>
      </c>
      <c r="F1362">
        <v>31098.46</v>
      </c>
    </row>
    <row r="1363" spans="1:6" x14ac:dyDescent="0.25">
      <c r="A1363" t="s">
        <v>66</v>
      </c>
      <c r="B1363" t="s">
        <v>55</v>
      </c>
      <c r="C1363">
        <v>259</v>
      </c>
      <c r="D1363">
        <v>100</v>
      </c>
      <c r="E1363" t="s">
        <v>4303</v>
      </c>
      <c r="F1363">
        <v>8885.27</v>
      </c>
    </row>
    <row r="1364" spans="1:6" x14ac:dyDescent="0.25">
      <c r="A1364" t="s">
        <v>66</v>
      </c>
      <c r="B1364" t="s">
        <v>55</v>
      </c>
      <c r="C1364">
        <v>259</v>
      </c>
      <c r="D1364">
        <v>100</v>
      </c>
      <c r="E1364" t="s">
        <v>4304</v>
      </c>
      <c r="F1364">
        <v>22213.19</v>
      </c>
    </row>
    <row r="1365" spans="1:6" x14ac:dyDescent="0.25">
      <c r="A1365" t="s">
        <v>66</v>
      </c>
      <c r="B1365" t="s">
        <v>55</v>
      </c>
      <c r="C1365">
        <v>259</v>
      </c>
      <c r="D1365">
        <v>100</v>
      </c>
      <c r="E1365" t="s">
        <v>4305</v>
      </c>
      <c r="F1365">
        <v>100</v>
      </c>
    </row>
    <row r="1366" spans="1:6" x14ac:dyDescent="0.25">
      <c r="A1366" t="s">
        <v>66</v>
      </c>
      <c r="B1366" t="s">
        <v>55</v>
      </c>
      <c r="C1366">
        <v>259</v>
      </c>
      <c r="D1366">
        <v>100</v>
      </c>
      <c r="E1366" t="s">
        <v>4306</v>
      </c>
      <c r="F1366">
        <v>0</v>
      </c>
    </row>
    <row r="1367" spans="1:6" x14ac:dyDescent="0.25">
      <c r="A1367" t="s">
        <v>66</v>
      </c>
      <c r="B1367" t="s">
        <v>55</v>
      </c>
      <c r="C1367">
        <v>259</v>
      </c>
      <c r="D1367">
        <v>100</v>
      </c>
      <c r="E1367" t="s">
        <v>4307</v>
      </c>
      <c r="F1367">
        <v>1190.04</v>
      </c>
    </row>
    <row r="1368" spans="1:6" x14ac:dyDescent="0.25">
      <c r="A1368" t="s">
        <v>66</v>
      </c>
      <c r="B1368" t="s">
        <v>55</v>
      </c>
      <c r="C1368">
        <v>259</v>
      </c>
      <c r="D1368">
        <v>100</v>
      </c>
      <c r="E1368" t="s">
        <v>4308</v>
      </c>
      <c r="F1368">
        <v>29908.42</v>
      </c>
    </row>
    <row r="1369" spans="1:6" x14ac:dyDescent="0.25">
      <c r="A1369" t="s">
        <v>66</v>
      </c>
      <c r="B1369" t="s">
        <v>55</v>
      </c>
      <c r="C1369">
        <v>259</v>
      </c>
      <c r="D1369">
        <v>100</v>
      </c>
      <c r="E1369" t="s">
        <v>4309</v>
      </c>
      <c r="F1369">
        <v>96.17</v>
      </c>
    </row>
    <row r="1370" spans="1:6" x14ac:dyDescent="0.25">
      <c r="A1370" t="s">
        <v>66</v>
      </c>
      <c r="B1370" t="s">
        <v>372</v>
      </c>
      <c r="C1370">
        <v>261</v>
      </c>
      <c r="D1370">
        <v>215</v>
      </c>
      <c r="E1370" t="s">
        <v>4302</v>
      </c>
      <c r="F1370">
        <v>0</v>
      </c>
    </row>
    <row r="1371" spans="1:6" x14ac:dyDescent="0.25">
      <c r="A1371" t="s">
        <v>66</v>
      </c>
      <c r="B1371" t="s">
        <v>372</v>
      </c>
      <c r="C1371">
        <v>261</v>
      </c>
      <c r="D1371">
        <v>215</v>
      </c>
      <c r="E1371" t="s">
        <v>4303</v>
      </c>
      <c r="F1371">
        <v>0</v>
      </c>
    </row>
    <row r="1372" spans="1:6" x14ac:dyDescent="0.25">
      <c r="A1372" t="s">
        <v>66</v>
      </c>
      <c r="B1372" t="s">
        <v>372</v>
      </c>
      <c r="C1372">
        <v>261</v>
      </c>
      <c r="D1372">
        <v>215</v>
      </c>
      <c r="E1372" t="s">
        <v>4304</v>
      </c>
      <c r="F1372">
        <v>0</v>
      </c>
    </row>
    <row r="1373" spans="1:6" x14ac:dyDescent="0.25">
      <c r="A1373" t="s">
        <v>66</v>
      </c>
      <c r="B1373" t="s">
        <v>372</v>
      </c>
      <c r="C1373">
        <v>261</v>
      </c>
      <c r="D1373">
        <v>215</v>
      </c>
      <c r="E1373" t="s">
        <v>4305</v>
      </c>
      <c r="F1373">
        <v>0</v>
      </c>
    </row>
    <row r="1374" spans="1:6" x14ac:dyDescent="0.25">
      <c r="A1374" t="s">
        <v>66</v>
      </c>
      <c r="B1374" t="s">
        <v>372</v>
      </c>
      <c r="C1374">
        <v>261</v>
      </c>
      <c r="D1374">
        <v>215</v>
      </c>
      <c r="E1374" t="s">
        <v>4306</v>
      </c>
      <c r="F1374">
        <v>0</v>
      </c>
    </row>
    <row r="1375" spans="1:6" x14ac:dyDescent="0.25">
      <c r="A1375" t="s">
        <v>66</v>
      </c>
      <c r="B1375" t="s">
        <v>372</v>
      </c>
      <c r="C1375">
        <v>261</v>
      </c>
      <c r="D1375">
        <v>215</v>
      </c>
      <c r="E1375" t="s">
        <v>4307</v>
      </c>
      <c r="F1375">
        <v>0</v>
      </c>
    </row>
    <row r="1376" spans="1:6" x14ac:dyDescent="0.25">
      <c r="A1376" t="s">
        <v>66</v>
      </c>
      <c r="B1376" t="s">
        <v>372</v>
      </c>
      <c r="C1376">
        <v>261</v>
      </c>
      <c r="D1376">
        <v>215</v>
      </c>
      <c r="E1376" t="s">
        <v>4308</v>
      </c>
      <c r="F1376">
        <v>0</v>
      </c>
    </row>
    <row r="1377" spans="1:6" x14ac:dyDescent="0.25">
      <c r="A1377" t="s">
        <v>66</v>
      </c>
      <c r="B1377" t="s">
        <v>372</v>
      </c>
      <c r="C1377">
        <v>261</v>
      </c>
      <c r="D1377">
        <v>215</v>
      </c>
      <c r="E1377" t="s">
        <v>4309</v>
      </c>
      <c r="F1377">
        <v>0</v>
      </c>
    </row>
    <row r="1378" spans="1:6" x14ac:dyDescent="0.25">
      <c r="A1378" t="s">
        <v>66</v>
      </c>
      <c r="B1378" t="s">
        <v>21</v>
      </c>
      <c r="C1378">
        <v>258</v>
      </c>
      <c r="D1378">
        <v>161</v>
      </c>
      <c r="E1378" t="s">
        <v>4302</v>
      </c>
      <c r="F1378">
        <v>20413.88</v>
      </c>
    </row>
    <row r="1379" spans="1:6" x14ac:dyDescent="0.25">
      <c r="A1379" t="s">
        <v>66</v>
      </c>
      <c r="B1379" t="s">
        <v>21</v>
      </c>
      <c r="C1379">
        <v>258</v>
      </c>
      <c r="D1379">
        <v>161</v>
      </c>
      <c r="E1379" t="s">
        <v>4303</v>
      </c>
      <c r="F1379">
        <v>2194.25</v>
      </c>
    </row>
    <row r="1380" spans="1:6" x14ac:dyDescent="0.25">
      <c r="A1380" t="s">
        <v>66</v>
      </c>
      <c r="B1380" t="s">
        <v>21</v>
      </c>
      <c r="C1380">
        <v>258</v>
      </c>
      <c r="D1380">
        <v>161</v>
      </c>
      <c r="E1380" t="s">
        <v>4304</v>
      </c>
      <c r="F1380">
        <v>13827.63</v>
      </c>
    </row>
    <row r="1381" spans="1:6" x14ac:dyDescent="0.25">
      <c r="A1381" t="s">
        <v>66</v>
      </c>
      <c r="B1381" t="s">
        <v>21</v>
      </c>
      <c r="C1381">
        <v>258</v>
      </c>
      <c r="D1381">
        <v>161</v>
      </c>
      <c r="E1381" t="s">
        <v>4305</v>
      </c>
      <c r="F1381">
        <v>75.89</v>
      </c>
    </row>
    <row r="1382" spans="1:6" x14ac:dyDescent="0.25">
      <c r="A1382" t="s">
        <v>66</v>
      </c>
      <c r="B1382" t="s">
        <v>21</v>
      </c>
      <c r="C1382">
        <v>258</v>
      </c>
      <c r="D1382">
        <v>161</v>
      </c>
      <c r="E1382" t="s">
        <v>4306</v>
      </c>
      <c r="F1382">
        <v>0</v>
      </c>
    </row>
    <row r="1383" spans="1:6" x14ac:dyDescent="0.25">
      <c r="A1383" t="s">
        <v>66</v>
      </c>
      <c r="B1383" t="s">
        <v>21</v>
      </c>
      <c r="C1383">
        <v>258</v>
      </c>
      <c r="D1383">
        <v>161</v>
      </c>
      <c r="E1383" t="s">
        <v>4307</v>
      </c>
      <c r="F1383">
        <v>0</v>
      </c>
    </row>
    <row r="1384" spans="1:6" x14ac:dyDescent="0.25">
      <c r="A1384" t="s">
        <v>66</v>
      </c>
      <c r="B1384" t="s">
        <v>21</v>
      </c>
      <c r="C1384">
        <v>258</v>
      </c>
      <c r="D1384">
        <v>161</v>
      </c>
      <c r="E1384" t="s">
        <v>4308</v>
      </c>
      <c r="F1384">
        <v>20413.88</v>
      </c>
    </row>
    <row r="1385" spans="1:6" x14ac:dyDescent="0.25">
      <c r="A1385" t="s">
        <v>66</v>
      </c>
      <c r="B1385" t="s">
        <v>21</v>
      </c>
      <c r="C1385">
        <v>258</v>
      </c>
      <c r="D1385">
        <v>161</v>
      </c>
      <c r="E1385" t="s">
        <v>4309</v>
      </c>
      <c r="F1385">
        <v>100</v>
      </c>
    </row>
    <row r="1386" spans="1:6" x14ac:dyDescent="0.25">
      <c r="A1386" t="s">
        <v>277</v>
      </c>
      <c r="B1386" t="s">
        <v>278</v>
      </c>
      <c r="C1386">
        <v>233</v>
      </c>
      <c r="D1386">
        <v>179</v>
      </c>
      <c r="E1386" t="s">
        <v>4302</v>
      </c>
      <c r="F1386">
        <v>0</v>
      </c>
    </row>
    <row r="1387" spans="1:6" x14ac:dyDescent="0.25">
      <c r="A1387" t="s">
        <v>277</v>
      </c>
      <c r="B1387" t="s">
        <v>278</v>
      </c>
      <c r="C1387">
        <v>233</v>
      </c>
      <c r="D1387">
        <v>179</v>
      </c>
      <c r="E1387" t="s">
        <v>4303</v>
      </c>
      <c r="F1387">
        <v>0</v>
      </c>
    </row>
    <row r="1388" spans="1:6" x14ac:dyDescent="0.25">
      <c r="A1388" t="s">
        <v>277</v>
      </c>
      <c r="B1388" t="s">
        <v>278</v>
      </c>
      <c r="C1388">
        <v>233</v>
      </c>
      <c r="D1388">
        <v>179</v>
      </c>
      <c r="E1388" t="s">
        <v>4304</v>
      </c>
      <c r="F1388">
        <v>0</v>
      </c>
    </row>
    <row r="1389" spans="1:6" x14ac:dyDescent="0.25">
      <c r="A1389" t="s">
        <v>277</v>
      </c>
      <c r="B1389" t="s">
        <v>278</v>
      </c>
      <c r="C1389">
        <v>233</v>
      </c>
      <c r="D1389">
        <v>179</v>
      </c>
      <c r="E1389" t="s">
        <v>4305</v>
      </c>
      <c r="F1389">
        <v>0</v>
      </c>
    </row>
    <row r="1390" spans="1:6" x14ac:dyDescent="0.25">
      <c r="A1390" t="s">
        <v>277</v>
      </c>
      <c r="B1390" t="s">
        <v>278</v>
      </c>
      <c r="C1390">
        <v>233</v>
      </c>
      <c r="D1390">
        <v>179</v>
      </c>
      <c r="E1390" t="s">
        <v>4306</v>
      </c>
      <c r="F1390">
        <v>0</v>
      </c>
    </row>
    <row r="1391" spans="1:6" x14ac:dyDescent="0.25">
      <c r="A1391" t="s">
        <v>277</v>
      </c>
      <c r="B1391" t="s">
        <v>278</v>
      </c>
      <c r="C1391">
        <v>233</v>
      </c>
      <c r="D1391">
        <v>179</v>
      </c>
      <c r="E1391" t="s">
        <v>4307</v>
      </c>
      <c r="F1391">
        <v>0</v>
      </c>
    </row>
    <row r="1392" spans="1:6" x14ac:dyDescent="0.25">
      <c r="A1392" t="s">
        <v>277</v>
      </c>
      <c r="B1392" t="s">
        <v>278</v>
      </c>
      <c r="C1392">
        <v>233</v>
      </c>
      <c r="D1392">
        <v>179</v>
      </c>
      <c r="E1392" t="s">
        <v>4308</v>
      </c>
      <c r="F1392">
        <v>0</v>
      </c>
    </row>
    <row r="1393" spans="1:6" x14ac:dyDescent="0.25">
      <c r="A1393" t="s">
        <v>277</v>
      </c>
      <c r="B1393" t="s">
        <v>278</v>
      </c>
      <c r="C1393">
        <v>233</v>
      </c>
      <c r="D1393">
        <v>179</v>
      </c>
      <c r="E1393" t="s">
        <v>4309</v>
      </c>
      <c r="F1393">
        <v>0</v>
      </c>
    </row>
    <row r="1394" spans="1:6" x14ac:dyDescent="0.25">
      <c r="A1394" t="s">
        <v>277</v>
      </c>
      <c r="B1394" t="s">
        <v>279</v>
      </c>
      <c r="C1394">
        <v>120</v>
      </c>
      <c r="D1394">
        <v>177</v>
      </c>
      <c r="E1394" t="s">
        <v>4302</v>
      </c>
      <c r="F1394">
        <v>13051.27</v>
      </c>
    </row>
    <row r="1395" spans="1:6" x14ac:dyDescent="0.25">
      <c r="A1395" t="s">
        <v>277</v>
      </c>
      <c r="B1395" t="s">
        <v>279</v>
      </c>
      <c r="C1395">
        <v>120</v>
      </c>
      <c r="D1395">
        <v>177</v>
      </c>
      <c r="E1395" t="s">
        <v>4303</v>
      </c>
      <c r="F1395">
        <v>3728.93</v>
      </c>
    </row>
    <row r="1396" spans="1:6" x14ac:dyDescent="0.25">
      <c r="A1396" t="s">
        <v>277</v>
      </c>
      <c r="B1396" t="s">
        <v>279</v>
      </c>
      <c r="C1396">
        <v>120</v>
      </c>
      <c r="D1396">
        <v>177</v>
      </c>
      <c r="E1396" t="s">
        <v>4304</v>
      </c>
      <c r="F1396">
        <v>9322.34</v>
      </c>
    </row>
    <row r="1397" spans="1:6" x14ac:dyDescent="0.25">
      <c r="A1397" t="s">
        <v>277</v>
      </c>
      <c r="B1397" t="s">
        <v>279</v>
      </c>
      <c r="C1397">
        <v>120</v>
      </c>
      <c r="D1397">
        <v>177</v>
      </c>
      <c r="E1397" t="s">
        <v>4305</v>
      </c>
      <c r="F1397">
        <v>100</v>
      </c>
    </row>
    <row r="1398" spans="1:6" x14ac:dyDescent="0.25">
      <c r="A1398" t="s">
        <v>277</v>
      </c>
      <c r="B1398" t="s">
        <v>279</v>
      </c>
      <c r="C1398">
        <v>120</v>
      </c>
      <c r="D1398">
        <v>177</v>
      </c>
      <c r="E1398" t="s">
        <v>4306</v>
      </c>
      <c r="F1398">
        <v>0</v>
      </c>
    </row>
    <row r="1399" spans="1:6" x14ac:dyDescent="0.25">
      <c r="A1399" t="s">
        <v>277</v>
      </c>
      <c r="B1399" t="s">
        <v>279</v>
      </c>
      <c r="C1399">
        <v>120</v>
      </c>
      <c r="D1399">
        <v>177</v>
      </c>
      <c r="E1399" t="s">
        <v>4307</v>
      </c>
      <c r="F1399">
        <v>3.61</v>
      </c>
    </row>
    <row r="1400" spans="1:6" x14ac:dyDescent="0.25">
      <c r="A1400" t="s">
        <v>277</v>
      </c>
      <c r="B1400" t="s">
        <v>279</v>
      </c>
      <c r="C1400">
        <v>120</v>
      </c>
      <c r="D1400">
        <v>177</v>
      </c>
      <c r="E1400" t="s">
        <v>4308</v>
      </c>
      <c r="F1400">
        <v>13047.66</v>
      </c>
    </row>
    <row r="1401" spans="1:6" x14ac:dyDescent="0.25">
      <c r="A1401" t="s">
        <v>277</v>
      </c>
      <c r="B1401" t="s">
        <v>279</v>
      </c>
      <c r="C1401">
        <v>120</v>
      </c>
      <c r="D1401">
        <v>177</v>
      </c>
      <c r="E1401" t="s">
        <v>4309</v>
      </c>
      <c r="F1401">
        <v>99.97</v>
      </c>
    </row>
    <row r="1402" spans="1:6" x14ac:dyDescent="0.25">
      <c r="A1402" t="s">
        <v>277</v>
      </c>
      <c r="B1402" t="s">
        <v>280</v>
      </c>
      <c r="C1402">
        <v>118</v>
      </c>
      <c r="D1402">
        <v>155</v>
      </c>
      <c r="E1402" t="s">
        <v>4302</v>
      </c>
      <c r="F1402">
        <v>0</v>
      </c>
    </row>
    <row r="1403" spans="1:6" x14ac:dyDescent="0.25">
      <c r="A1403" t="s">
        <v>277</v>
      </c>
      <c r="B1403" t="s">
        <v>280</v>
      </c>
      <c r="C1403">
        <v>118</v>
      </c>
      <c r="D1403">
        <v>155</v>
      </c>
      <c r="E1403" t="s">
        <v>4303</v>
      </c>
      <c r="F1403">
        <v>0</v>
      </c>
    </row>
    <row r="1404" spans="1:6" x14ac:dyDescent="0.25">
      <c r="A1404" t="s">
        <v>277</v>
      </c>
      <c r="B1404" t="s">
        <v>280</v>
      </c>
      <c r="C1404">
        <v>118</v>
      </c>
      <c r="D1404">
        <v>155</v>
      </c>
      <c r="E1404" t="s">
        <v>4304</v>
      </c>
      <c r="F1404">
        <v>0</v>
      </c>
    </row>
    <row r="1405" spans="1:6" x14ac:dyDescent="0.25">
      <c r="A1405" t="s">
        <v>277</v>
      </c>
      <c r="B1405" t="s">
        <v>280</v>
      </c>
      <c r="C1405">
        <v>118</v>
      </c>
      <c r="D1405">
        <v>155</v>
      </c>
      <c r="E1405" t="s">
        <v>4305</v>
      </c>
      <c r="F1405">
        <v>0</v>
      </c>
    </row>
    <row r="1406" spans="1:6" x14ac:dyDescent="0.25">
      <c r="A1406" t="s">
        <v>277</v>
      </c>
      <c r="B1406" t="s">
        <v>280</v>
      </c>
      <c r="C1406">
        <v>118</v>
      </c>
      <c r="D1406">
        <v>155</v>
      </c>
      <c r="E1406" t="s">
        <v>4306</v>
      </c>
      <c r="F1406">
        <v>0</v>
      </c>
    </row>
    <row r="1407" spans="1:6" x14ac:dyDescent="0.25">
      <c r="A1407" t="s">
        <v>277</v>
      </c>
      <c r="B1407" t="s">
        <v>280</v>
      </c>
      <c r="C1407">
        <v>118</v>
      </c>
      <c r="D1407">
        <v>155</v>
      </c>
      <c r="E1407" t="s">
        <v>4307</v>
      </c>
      <c r="F1407">
        <v>0</v>
      </c>
    </row>
    <row r="1408" spans="1:6" x14ac:dyDescent="0.25">
      <c r="A1408" t="s">
        <v>277</v>
      </c>
      <c r="B1408" t="s">
        <v>280</v>
      </c>
      <c r="C1408">
        <v>118</v>
      </c>
      <c r="D1408">
        <v>155</v>
      </c>
      <c r="E1408" t="s">
        <v>4308</v>
      </c>
      <c r="F1408">
        <v>0</v>
      </c>
    </row>
    <row r="1409" spans="1:6" x14ac:dyDescent="0.25">
      <c r="A1409" t="s">
        <v>277</v>
      </c>
      <c r="B1409" t="s">
        <v>280</v>
      </c>
      <c r="C1409">
        <v>118</v>
      </c>
      <c r="D1409">
        <v>155</v>
      </c>
      <c r="E1409" t="s">
        <v>4309</v>
      </c>
      <c r="F1409">
        <v>0</v>
      </c>
    </row>
    <row r="1410" spans="1:6" x14ac:dyDescent="0.25">
      <c r="A1410" t="s">
        <v>277</v>
      </c>
      <c r="B1410" t="s">
        <v>275</v>
      </c>
      <c r="C1410">
        <v>119</v>
      </c>
      <c r="D1410">
        <v>272</v>
      </c>
      <c r="E1410" t="s">
        <v>4302</v>
      </c>
      <c r="F1410">
        <v>24694.38</v>
      </c>
    </row>
    <row r="1411" spans="1:6" x14ac:dyDescent="0.25">
      <c r="A1411" t="s">
        <v>277</v>
      </c>
      <c r="B1411" t="s">
        <v>275</v>
      </c>
      <c r="C1411">
        <v>119</v>
      </c>
      <c r="D1411">
        <v>272</v>
      </c>
      <c r="E1411" t="s">
        <v>4303</v>
      </c>
      <c r="F1411">
        <v>4747.38</v>
      </c>
    </row>
    <row r="1412" spans="1:6" x14ac:dyDescent="0.25">
      <c r="A1412" t="s">
        <v>277</v>
      </c>
      <c r="B1412" t="s">
        <v>275</v>
      </c>
      <c r="C1412">
        <v>119</v>
      </c>
      <c r="D1412">
        <v>272</v>
      </c>
      <c r="E1412" t="s">
        <v>4304</v>
      </c>
      <c r="F1412">
        <v>19947</v>
      </c>
    </row>
    <row r="1413" spans="1:6" x14ac:dyDescent="0.25">
      <c r="A1413" t="s">
        <v>277</v>
      </c>
      <c r="B1413" t="s">
        <v>275</v>
      </c>
      <c r="C1413">
        <v>119</v>
      </c>
      <c r="D1413">
        <v>272</v>
      </c>
      <c r="E1413" t="s">
        <v>4305</v>
      </c>
      <c r="F1413">
        <v>100</v>
      </c>
    </row>
    <row r="1414" spans="1:6" x14ac:dyDescent="0.25">
      <c r="A1414" t="s">
        <v>277</v>
      </c>
      <c r="B1414" t="s">
        <v>275</v>
      </c>
      <c r="C1414">
        <v>119</v>
      </c>
      <c r="D1414">
        <v>272</v>
      </c>
      <c r="E1414" t="s">
        <v>4306</v>
      </c>
      <c r="F1414">
        <v>0</v>
      </c>
    </row>
    <row r="1415" spans="1:6" x14ac:dyDescent="0.25">
      <c r="A1415" t="s">
        <v>277</v>
      </c>
      <c r="B1415" t="s">
        <v>275</v>
      </c>
      <c r="C1415">
        <v>119</v>
      </c>
      <c r="D1415">
        <v>272</v>
      </c>
      <c r="E1415" t="s">
        <v>4307</v>
      </c>
      <c r="F1415">
        <v>0</v>
      </c>
    </row>
    <row r="1416" spans="1:6" x14ac:dyDescent="0.25">
      <c r="A1416" t="s">
        <v>277</v>
      </c>
      <c r="B1416" t="s">
        <v>275</v>
      </c>
      <c r="C1416">
        <v>119</v>
      </c>
      <c r="D1416">
        <v>272</v>
      </c>
      <c r="E1416" t="s">
        <v>4308</v>
      </c>
      <c r="F1416">
        <v>24694.38</v>
      </c>
    </row>
    <row r="1417" spans="1:6" x14ac:dyDescent="0.25">
      <c r="A1417" t="s">
        <v>277</v>
      </c>
      <c r="B1417" t="s">
        <v>275</v>
      </c>
      <c r="C1417">
        <v>119</v>
      </c>
      <c r="D1417">
        <v>272</v>
      </c>
      <c r="E1417" t="s">
        <v>4309</v>
      </c>
      <c r="F1417">
        <v>100</v>
      </c>
    </row>
    <row r="1418" spans="1:6" x14ac:dyDescent="0.25">
      <c r="A1418" t="s">
        <v>277</v>
      </c>
      <c r="B1418" t="s">
        <v>281</v>
      </c>
      <c r="C1418">
        <v>93</v>
      </c>
      <c r="D1418">
        <v>145</v>
      </c>
      <c r="E1418" t="s">
        <v>4302</v>
      </c>
      <c r="F1418">
        <v>26828.3</v>
      </c>
    </row>
    <row r="1419" spans="1:6" x14ac:dyDescent="0.25">
      <c r="A1419" t="s">
        <v>277</v>
      </c>
      <c r="B1419" t="s">
        <v>281</v>
      </c>
      <c r="C1419">
        <v>93</v>
      </c>
      <c r="D1419">
        <v>145</v>
      </c>
      <c r="E1419" t="s">
        <v>4303</v>
      </c>
      <c r="F1419">
        <v>3427.4</v>
      </c>
    </row>
    <row r="1420" spans="1:6" x14ac:dyDescent="0.25">
      <c r="A1420" t="s">
        <v>277</v>
      </c>
      <c r="B1420" t="s">
        <v>281</v>
      </c>
      <c r="C1420">
        <v>93</v>
      </c>
      <c r="D1420">
        <v>145</v>
      </c>
      <c r="E1420" t="s">
        <v>4304</v>
      </c>
      <c r="F1420">
        <v>23400.9</v>
      </c>
    </row>
    <row r="1421" spans="1:6" x14ac:dyDescent="0.25">
      <c r="A1421" t="s">
        <v>277</v>
      </c>
      <c r="B1421" t="s">
        <v>281</v>
      </c>
      <c r="C1421">
        <v>93</v>
      </c>
      <c r="D1421">
        <v>145</v>
      </c>
      <c r="E1421" t="s">
        <v>4305</v>
      </c>
      <c r="F1421">
        <v>100</v>
      </c>
    </row>
    <row r="1422" spans="1:6" x14ac:dyDescent="0.25">
      <c r="A1422" t="s">
        <v>277</v>
      </c>
      <c r="B1422" t="s">
        <v>281</v>
      </c>
      <c r="C1422">
        <v>93</v>
      </c>
      <c r="D1422">
        <v>145</v>
      </c>
      <c r="E1422" t="s">
        <v>4306</v>
      </c>
      <c r="F1422">
        <v>761.37</v>
      </c>
    </row>
    <row r="1423" spans="1:6" x14ac:dyDescent="0.25">
      <c r="A1423" t="s">
        <v>277</v>
      </c>
      <c r="B1423" t="s">
        <v>281</v>
      </c>
      <c r="C1423">
        <v>93</v>
      </c>
      <c r="D1423">
        <v>145</v>
      </c>
      <c r="E1423" t="s">
        <v>4307</v>
      </c>
      <c r="F1423">
        <v>0</v>
      </c>
    </row>
    <row r="1424" spans="1:6" x14ac:dyDescent="0.25">
      <c r="A1424" t="s">
        <v>277</v>
      </c>
      <c r="B1424" t="s">
        <v>281</v>
      </c>
      <c r="C1424">
        <v>93</v>
      </c>
      <c r="D1424">
        <v>145</v>
      </c>
      <c r="E1424" t="s">
        <v>4308</v>
      </c>
      <c r="F1424">
        <v>26066.93</v>
      </c>
    </row>
    <row r="1425" spans="1:6" x14ac:dyDescent="0.25">
      <c r="A1425" t="s">
        <v>277</v>
      </c>
      <c r="B1425" t="s">
        <v>281</v>
      </c>
      <c r="C1425">
        <v>93</v>
      </c>
      <c r="D1425">
        <v>145</v>
      </c>
      <c r="E1425" t="s">
        <v>4309</v>
      </c>
      <c r="F1425">
        <v>97.16</v>
      </c>
    </row>
    <row r="1426" spans="1:6" x14ac:dyDescent="0.25">
      <c r="A1426" t="s">
        <v>310</v>
      </c>
      <c r="B1426" t="s">
        <v>311</v>
      </c>
      <c r="C1426">
        <v>181</v>
      </c>
      <c r="D1426">
        <v>192</v>
      </c>
      <c r="E1426" t="s">
        <v>4302</v>
      </c>
      <c r="F1426">
        <v>4547.1000000000004</v>
      </c>
    </row>
    <row r="1427" spans="1:6" x14ac:dyDescent="0.25">
      <c r="A1427" t="s">
        <v>310</v>
      </c>
      <c r="B1427" t="s">
        <v>311</v>
      </c>
      <c r="C1427">
        <v>181</v>
      </c>
      <c r="D1427">
        <v>192</v>
      </c>
      <c r="E1427" t="s">
        <v>4303</v>
      </c>
      <c r="F1427">
        <v>593.1</v>
      </c>
    </row>
    <row r="1428" spans="1:6" x14ac:dyDescent="0.25">
      <c r="A1428" t="s">
        <v>310</v>
      </c>
      <c r="B1428" t="s">
        <v>311</v>
      </c>
      <c r="C1428">
        <v>181</v>
      </c>
      <c r="D1428">
        <v>192</v>
      </c>
      <c r="E1428" t="s">
        <v>4304</v>
      </c>
      <c r="F1428">
        <v>0</v>
      </c>
    </row>
    <row r="1429" spans="1:6" x14ac:dyDescent="0.25">
      <c r="A1429" t="s">
        <v>310</v>
      </c>
      <c r="B1429" t="s">
        <v>311</v>
      </c>
      <c r="C1429">
        <v>181</v>
      </c>
      <c r="D1429">
        <v>192</v>
      </c>
      <c r="E1429" t="s">
        <v>4305</v>
      </c>
      <c r="F1429">
        <v>0</v>
      </c>
    </row>
    <row r="1430" spans="1:6" x14ac:dyDescent="0.25">
      <c r="A1430" t="s">
        <v>310</v>
      </c>
      <c r="B1430" t="s">
        <v>311</v>
      </c>
      <c r="C1430">
        <v>181</v>
      </c>
      <c r="D1430">
        <v>192</v>
      </c>
      <c r="E1430" t="s">
        <v>4306</v>
      </c>
      <c r="F1430">
        <v>0</v>
      </c>
    </row>
    <row r="1431" spans="1:6" x14ac:dyDescent="0.25">
      <c r="A1431" t="s">
        <v>310</v>
      </c>
      <c r="B1431" t="s">
        <v>311</v>
      </c>
      <c r="C1431">
        <v>181</v>
      </c>
      <c r="D1431">
        <v>192</v>
      </c>
      <c r="E1431" t="s">
        <v>4307</v>
      </c>
      <c r="F1431">
        <v>0</v>
      </c>
    </row>
    <row r="1432" spans="1:6" x14ac:dyDescent="0.25">
      <c r="A1432" t="s">
        <v>310</v>
      </c>
      <c r="B1432" t="s">
        <v>311</v>
      </c>
      <c r="C1432">
        <v>181</v>
      </c>
      <c r="D1432">
        <v>192</v>
      </c>
      <c r="E1432" t="s">
        <v>4308</v>
      </c>
      <c r="F1432">
        <v>4547.1000000000004</v>
      </c>
    </row>
    <row r="1433" spans="1:6" x14ac:dyDescent="0.25">
      <c r="A1433" t="s">
        <v>310</v>
      </c>
      <c r="B1433" t="s">
        <v>311</v>
      </c>
      <c r="C1433">
        <v>181</v>
      </c>
      <c r="D1433">
        <v>192</v>
      </c>
      <c r="E1433" t="s">
        <v>4309</v>
      </c>
      <c r="F1433">
        <v>100</v>
      </c>
    </row>
    <row r="1434" spans="1:6" x14ac:dyDescent="0.25">
      <c r="A1434" t="s">
        <v>310</v>
      </c>
      <c r="B1434" t="s">
        <v>32</v>
      </c>
      <c r="C1434">
        <v>80</v>
      </c>
      <c r="D1434">
        <v>338</v>
      </c>
      <c r="E1434" t="s">
        <v>4302</v>
      </c>
      <c r="F1434">
        <v>17826.45</v>
      </c>
    </row>
    <row r="1435" spans="1:6" x14ac:dyDescent="0.25">
      <c r="A1435" t="s">
        <v>310</v>
      </c>
      <c r="B1435" t="s">
        <v>32</v>
      </c>
      <c r="C1435">
        <v>80</v>
      </c>
      <c r="D1435">
        <v>338</v>
      </c>
      <c r="E1435" t="s">
        <v>4303</v>
      </c>
      <c r="F1435">
        <v>2817.7</v>
      </c>
    </row>
    <row r="1436" spans="1:6" x14ac:dyDescent="0.25">
      <c r="A1436" t="s">
        <v>310</v>
      </c>
      <c r="B1436" t="s">
        <v>32</v>
      </c>
      <c r="C1436">
        <v>80</v>
      </c>
      <c r="D1436">
        <v>338</v>
      </c>
      <c r="E1436" t="s">
        <v>4304</v>
      </c>
      <c r="F1436">
        <v>0</v>
      </c>
    </row>
    <row r="1437" spans="1:6" x14ac:dyDescent="0.25">
      <c r="A1437" t="s">
        <v>310</v>
      </c>
      <c r="B1437" t="s">
        <v>32</v>
      </c>
      <c r="C1437">
        <v>80</v>
      </c>
      <c r="D1437">
        <v>338</v>
      </c>
      <c r="E1437" t="s">
        <v>4305</v>
      </c>
      <c r="F1437">
        <v>0</v>
      </c>
    </row>
    <row r="1438" spans="1:6" x14ac:dyDescent="0.25">
      <c r="A1438" t="s">
        <v>310</v>
      </c>
      <c r="B1438" t="s">
        <v>32</v>
      </c>
      <c r="C1438">
        <v>80</v>
      </c>
      <c r="D1438">
        <v>338</v>
      </c>
      <c r="E1438" t="s">
        <v>4306</v>
      </c>
      <c r="F1438">
        <v>0</v>
      </c>
    </row>
    <row r="1439" spans="1:6" x14ac:dyDescent="0.25">
      <c r="A1439" t="s">
        <v>310</v>
      </c>
      <c r="B1439" t="s">
        <v>32</v>
      </c>
      <c r="C1439">
        <v>80</v>
      </c>
      <c r="D1439">
        <v>338</v>
      </c>
      <c r="E1439" t="s">
        <v>4307</v>
      </c>
      <c r="F1439">
        <v>0</v>
      </c>
    </row>
    <row r="1440" spans="1:6" x14ac:dyDescent="0.25">
      <c r="A1440" t="s">
        <v>310</v>
      </c>
      <c r="B1440" t="s">
        <v>32</v>
      </c>
      <c r="C1440">
        <v>80</v>
      </c>
      <c r="D1440">
        <v>338</v>
      </c>
      <c r="E1440" t="s">
        <v>4308</v>
      </c>
      <c r="F1440">
        <v>17826.45</v>
      </c>
    </row>
    <row r="1441" spans="1:6" x14ac:dyDescent="0.25">
      <c r="A1441" t="s">
        <v>310</v>
      </c>
      <c r="B1441" t="s">
        <v>32</v>
      </c>
      <c r="C1441">
        <v>80</v>
      </c>
      <c r="D1441">
        <v>338</v>
      </c>
      <c r="E1441" t="s">
        <v>4309</v>
      </c>
      <c r="F1441">
        <v>100</v>
      </c>
    </row>
    <row r="1442" spans="1:6" x14ac:dyDescent="0.25">
      <c r="A1442" t="s">
        <v>310</v>
      </c>
      <c r="B1442" t="s">
        <v>32</v>
      </c>
      <c r="C1442">
        <v>80</v>
      </c>
      <c r="D1442">
        <v>86</v>
      </c>
      <c r="E1442" t="s">
        <v>4302</v>
      </c>
      <c r="F1442">
        <v>11128.88</v>
      </c>
    </row>
    <row r="1443" spans="1:6" x14ac:dyDescent="0.25">
      <c r="A1443" t="s">
        <v>310</v>
      </c>
      <c r="B1443" t="s">
        <v>32</v>
      </c>
      <c r="C1443">
        <v>80</v>
      </c>
      <c r="D1443">
        <v>86</v>
      </c>
      <c r="E1443" t="s">
        <v>4303</v>
      </c>
      <c r="F1443">
        <v>1776.88</v>
      </c>
    </row>
    <row r="1444" spans="1:6" x14ac:dyDescent="0.25">
      <c r="A1444" t="s">
        <v>310</v>
      </c>
      <c r="B1444" t="s">
        <v>32</v>
      </c>
      <c r="C1444">
        <v>80</v>
      </c>
      <c r="D1444">
        <v>86</v>
      </c>
      <c r="E1444" t="s">
        <v>4304</v>
      </c>
      <c r="F1444">
        <v>9352</v>
      </c>
    </row>
    <row r="1445" spans="1:6" x14ac:dyDescent="0.25">
      <c r="A1445" t="s">
        <v>310</v>
      </c>
      <c r="B1445" t="s">
        <v>32</v>
      </c>
      <c r="C1445">
        <v>80</v>
      </c>
      <c r="D1445">
        <v>86</v>
      </c>
      <c r="E1445" t="s">
        <v>4305</v>
      </c>
      <c r="F1445">
        <v>100</v>
      </c>
    </row>
    <row r="1446" spans="1:6" x14ac:dyDescent="0.25">
      <c r="A1446" t="s">
        <v>310</v>
      </c>
      <c r="B1446" t="s">
        <v>32</v>
      </c>
      <c r="C1446">
        <v>80</v>
      </c>
      <c r="D1446">
        <v>86</v>
      </c>
      <c r="E1446" t="s">
        <v>4306</v>
      </c>
      <c r="F1446">
        <v>0</v>
      </c>
    </row>
    <row r="1447" spans="1:6" x14ac:dyDescent="0.25">
      <c r="A1447" t="s">
        <v>310</v>
      </c>
      <c r="B1447" t="s">
        <v>32</v>
      </c>
      <c r="C1447">
        <v>80</v>
      </c>
      <c r="D1447">
        <v>86</v>
      </c>
      <c r="E1447" t="s">
        <v>4307</v>
      </c>
      <c r="F1447">
        <v>0</v>
      </c>
    </row>
    <row r="1448" spans="1:6" x14ac:dyDescent="0.25">
      <c r="A1448" t="s">
        <v>310</v>
      </c>
      <c r="B1448" t="s">
        <v>32</v>
      </c>
      <c r="C1448">
        <v>80</v>
      </c>
      <c r="D1448">
        <v>86</v>
      </c>
      <c r="E1448" t="s">
        <v>4308</v>
      </c>
      <c r="F1448">
        <v>11128.88</v>
      </c>
    </row>
    <row r="1449" spans="1:6" x14ac:dyDescent="0.25">
      <c r="A1449" t="s">
        <v>310</v>
      </c>
      <c r="B1449" t="s">
        <v>32</v>
      </c>
      <c r="C1449">
        <v>80</v>
      </c>
      <c r="D1449">
        <v>86</v>
      </c>
      <c r="E1449" t="s">
        <v>4309</v>
      </c>
      <c r="F1449">
        <v>100</v>
      </c>
    </row>
    <row r="1450" spans="1:6" x14ac:dyDescent="0.25">
      <c r="A1450" t="s">
        <v>310</v>
      </c>
      <c r="B1450" t="s">
        <v>38</v>
      </c>
      <c r="C1450">
        <v>182</v>
      </c>
      <c r="D1450">
        <v>154</v>
      </c>
      <c r="E1450" t="s">
        <v>4302</v>
      </c>
      <c r="F1450">
        <v>61204.38</v>
      </c>
    </row>
    <row r="1451" spans="1:6" x14ac:dyDescent="0.25">
      <c r="A1451" t="s">
        <v>310</v>
      </c>
      <c r="B1451" t="s">
        <v>38</v>
      </c>
      <c r="C1451">
        <v>182</v>
      </c>
      <c r="D1451">
        <v>154</v>
      </c>
      <c r="E1451" t="s">
        <v>4303</v>
      </c>
      <c r="F1451">
        <v>4514.8999999999996</v>
      </c>
    </row>
    <row r="1452" spans="1:6" x14ac:dyDescent="0.25">
      <c r="A1452" t="s">
        <v>310</v>
      </c>
      <c r="B1452" t="s">
        <v>38</v>
      </c>
      <c r="C1452">
        <v>182</v>
      </c>
      <c r="D1452">
        <v>154</v>
      </c>
      <c r="E1452" t="s">
        <v>4304</v>
      </c>
      <c r="F1452">
        <v>56689.48</v>
      </c>
    </row>
    <row r="1453" spans="1:6" x14ac:dyDescent="0.25">
      <c r="A1453" t="s">
        <v>310</v>
      </c>
      <c r="B1453" t="s">
        <v>38</v>
      </c>
      <c r="C1453">
        <v>182</v>
      </c>
      <c r="D1453">
        <v>154</v>
      </c>
      <c r="E1453" t="s">
        <v>4305</v>
      </c>
      <c r="F1453">
        <v>100</v>
      </c>
    </row>
    <row r="1454" spans="1:6" x14ac:dyDescent="0.25">
      <c r="A1454" t="s">
        <v>310</v>
      </c>
      <c r="B1454" t="s">
        <v>38</v>
      </c>
      <c r="C1454">
        <v>182</v>
      </c>
      <c r="D1454">
        <v>154</v>
      </c>
      <c r="E1454" t="s">
        <v>4306</v>
      </c>
      <c r="F1454">
        <v>0</v>
      </c>
    </row>
    <row r="1455" spans="1:6" x14ac:dyDescent="0.25">
      <c r="A1455" t="s">
        <v>310</v>
      </c>
      <c r="B1455" t="s">
        <v>38</v>
      </c>
      <c r="C1455">
        <v>182</v>
      </c>
      <c r="D1455">
        <v>154</v>
      </c>
      <c r="E1455" t="s">
        <v>4307</v>
      </c>
      <c r="F1455">
        <v>1044.75</v>
      </c>
    </row>
    <row r="1456" spans="1:6" x14ac:dyDescent="0.25">
      <c r="A1456" t="s">
        <v>310</v>
      </c>
      <c r="B1456" t="s">
        <v>38</v>
      </c>
      <c r="C1456">
        <v>182</v>
      </c>
      <c r="D1456">
        <v>154</v>
      </c>
      <c r="E1456" t="s">
        <v>4308</v>
      </c>
      <c r="F1456">
        <v>60159.63</v>
      </c>
    </row>
    <row r="1457" spans="1:6" x14ac:dyDescent="0.25">
      <c r="A1457" t="s">
        <v>310</v>
      </c>
      <c r="B1457" t="s">
        <v>38</v>
      </c>
      <c r="C1457">
        <v>182</v>
      </c>
      <c r="D1457">
        <v>154</v>
      </c>
      <c r="E1457" t="s">
        <v>4309</v>
      </c>
      <c r="F1457">
        <v>98.29</v>
      </c>
    </row>
    <row r="1458" spans="1:6" x14ac:dyDescent="0.25">
      <c r="A1458" t="s">
        <v>310</v>
      </c>
      <c r="B1458" t="s">
        <v>38</v>
      </c>
      <c r="C1458">
        <v>182</v>
      </c>
      <c r="D1458">
        <v>44</v>
      </c>
      <c r="E1458" t="s">
        <v>4302</v>
      </c>
      <c r="F1458">
        <v>15204.9</v>
      </c>
    </row>
    <row r="1459" spans="1:6" x14ac:dyDescent="0.25">
      <c r="A1459" t="s">
        <v>310</v>
      </c>
      <c r="B1459" t="s">
        <v>38</v>
      </c>
      <c r="C1459">
        <v>182</v>
      </c>
      <c r="D1459">
        <v>44</v>
      </c>
      <c r="E1459" t="s">
        <v>4303</v>
      </c>
      <c r="F1459">
        <v>2427.66</v>
      </c>
    </row>
    <row r="1460" spans="1:6" x14ac:dyDescent="0.25">
      <c r="A1460" t="s">
        <v>310</v>
      </c>
      <c r="B1460" t="s">
        <v>38</v>
      </c>
      <c r="C1460">
        <v>182</v>
      </c>
      <c r="D1460">
        <v>44</v>
      </c>
      <c r="E1460" t="s">
        <v>4304</v>
      </c>
      <c r="F1460">
        <v>12777.24</v>
      </c>
    </row>
    <row r="1461" spans="1:6" x14ac:dyDescent="0.25">
      <c r="A1461" t="s">
        <v>310</v>
      </c>
      <c r="B1461" t="s">
        <v>38</v>
      </c>
      <c r="C1461">
        <v>182</v>
      </c>
      <c r="D1461">
        <v>44</v>
      </c>
      <c r="E1461" t="s">
        <v>4305</v>
      </c>
      <c r="F1461">
        <v>100</v>
      </c>
    </row>
    <row r="1462" spans="1:6" x14ac:dyDescent="0.25">
      <c r="A1462" t="s">
        <v>310</v>
      </c>
      <c r="B1462" t="s">
        <v>38</v>
      </c>
      <c r="C1462">
        <v>182</v>
      </c>
      <c r="D1462">
        <v>44</v>
      </c>
      <c r="E1462" t="s">
        <v>4306</v>
      </c>
      <c r="F1462">
        <v>0</v>
      </c>
    </row>
    <row r="1463" spans="1:6" x14ac:dyDescent="0.25">
      <c r="A1463" t="s">
        <v>310</v>
      </c>
      <c r="B1463" t="s">
        <v>38</v>
      </c>
      <c r="C1463">
        <v>182</v>
      </c>
      <c r="D1463">
        <v>44</v>
      </c>
      <c r="E1463" t="s">
        <v>4307</v>
      </c>
      <c r="F1463">
        <v>906.48</v>
      </c>
    </row>
    <row r="1464" spans="1:6" x14ac:dyDescent="0.25">
      <c r="A1464" t="s">
        <v>310</v>
      </c>
      <c r="B1464" t="s">
        <v>38</v>
      </c>
      <c r="C1464">
        <v>182</v>
      </c>
      <c r="D1464">
        <v>44</v>
      </c>
      <c r="E1464" t="s">
        <v>4308</v>
      </c>
      <c r="F1464">
        <v>14298.42</v>
      </c>
    </row>
    <row r="1465" spans="1:6" x14ac:dyDescent="0.25">
      <c r="A1465" t="s">
        <v>310</v>
      </c>
      <c r="B1465" t="s">
        <v>38</v>
      </c>
      <c r="C1465">
        <v>182</v>
      </c>
      <c r="D1465">
        <v>44</v>
      </c>
      <c r="E1465" t="s">
        <v>4309</v>
      </c>
      <c r="F1465">
        <v>94.04</v>
      </c>
    </row>
    <row r="1466" spans="1:6" x14ac:dyDescent="0.25">
      <c r="A1466" t="s">
        <v>310</v>
      </c>
      <c r="B1466" t="s">
        <v>46</v>
      </c>
      <c r="C1466">
        <v>86</v>
      </c>
      <c r="D1466">
        <v>213</v>
      </c>
      <c r="E1466" t="s">
        <v>4302</v>
      </c>
      <c r="F1466">
        <v>56112.42</v>
      </c>
    </row>
    <row r="1467" spans="1:6" x14ac:dyDescent="0.25">
      <c r="A1467" t="s">
        <v>310</v>
      </c>
      <c r="B1467" t="s">
        <v>46</v>
      </c>
      <c r="C1467">
        <v>86</v>
      </c>
      <c r="D1467">
        <v>213</v>
      </c>
      <c r="E1467" t="s">
        <v>4303</v>
      </c>
      <c r="F1467">
        <v>5373.4</v>
      </c>
    </row>
    <row r="1468" spans="1:6" x14ac:dyDescent="0.25">
      <c r="A1468" t="s">
        <v>310</v>
      </c>
      <c r="B1468" t="s">
        <v>46</v>
      </c>
      <c r="C1468">
        <v>86</v>
      </c>
      <c r="D1468">
        <v>213</v>
      </c>
      <c r="E1468" t="s">
        <v>4304</v>
      </c>
      <c r="F1468">
        <v>50739.02</v>
      </c>
    </row>
    <row r="1469" spans="1:6" x14ac:dyDescent="0.25">
      <c r="A1469" t="s">
        <v>310</v>
      </c>
      <c r="B1469" t="s">
        <v>46</v>
      </c>
      <c r="C1469">
        <v>86</v>
      </c>
      <c r="D1469">
        <v>213</v>
      </c>
      <c r="E1469" t="s">
        <v>4305</v>
      </c>
      <c r="F1469">
        <v>100</v>
      </c>
    </row>
    <row r="1470" spans="1:6" x14ac:dyDescent="0.25">
      <c r="A1470" t="s">
        <v>310</v>
      </c>
      <c r="B1470" t="s">
        <v>46</v>
      </c>
      <c r="C1470">
        <v>86</v>
      </c>
      <c r="D1470">
        <v>213</v>
      </c>
      <c r="E1470" t="s">
        <v>4306</v>
      </c>
      <c r="F1470">
        <v>0</v>
      </c>
    </row>
    <row r="1471" spans="1:6" x14ac:dyDescent="0.25">
      <c r="A1471" t="s">
        <v>310</v>
      </c>
      <c r="B1471" t="s">
        <v>46</v>
      </c>
      <c r="C1471">
        <v>86</v>
      </c>
      <c r="D1471">
        <v>213</v>
      </c>
      <c r="E1471" t="s">
        <v>4307</v>
      </c>
      <c r="F1471">
        <v>182.17</v>
      </c>
    </row>
    <row r="1472" spans="1:6" x14ac:dyDescent="0.25">
      <c r="A1472" t="s">
        <v>310</v>
      </c>
      <c r="B1472" t="s">
        <v>46</v>
      </c>
      <c r="C1472">
        <v>86</v>
      </c>
      <c r="D1472">
        <v>213</v>
      </c>
      <c r="E1472" t="s">
        <v>4308</v>
      </c>
      <c r="F1472">
        <v>55930.25</v>
      </c>
    </row>
    <row r="1473" spans="1:6" x14ac:dyDescent="0.25">
      <c r="A1473" t="s">
        <v>310</v>
      </c>
      <c r="B1473" t="s">
        <v>46</v>
      </c>
      <c r="C1473">
        <v>86</v>
      </c>
      <c r="D1473">
        <v>213</v>
      </c>
      <c r="E1473" t="s">
        <v>4309</v>
      </c>
      <c r="F1473">
        <v>99.68</v>
      </c>
    </row>
    <row r="1474" spans="1:6" x14ac:dyDescent="0.25">
      <c r="A1474" t="s">
        <v>310</v>
      </c>
      <c r="B1474" t="s">
        <v>46</v>
      </c>
      <c r="C1474">
        <v>86</v>
      </c>
      <c r="D1474">
        <v>33</v>
      </c>
      <c r="E1474" t="s">
        <v>4302</v>
      </c>
      <c r="F1474">
        <v>28626.32</v>
      </c>
    </row>
    <row r="1475" spans="1:6" x14ac:dyDescent="0.25">
      <c r="A1475" t="s">
        <v>310</v>
      </c>
      <c r="B1475" t="s">
        <v>46</v>
      </c>
      <c r="C1475">
        <v>86</v>
      </c>
      <c r="D1475">
        <v>33</v>
      </c>
      <c r="E1475" t="s">
        <v>4303</v>
      </c>
      <c r="F1475">
        <v>4038.1</v>
      </c>
    </row>
    <row r="1476" spans="1:6" x14ac:dyDescent="0.25">
      <c r="A1476" t="s">
        <v>310</v>
      </c>
      <c r="B1476" t="s">
        <v>46</v>
      </c>
      <c r="C1476">
        <v>86</v>
      </c>
      <c r="D1476">
        <v>33</v>
      </c>
      <c r="E1476" t="s">
        <v>4304</v>
      </c>
      <c r="F1476">
        <v>24588.22</v>
      </c>
    </row>
    <row r="1477" spans="1:6" x14ac:dyDescent="0.25">
      <c r="A1477" t="s">
        <v>310</v>
      </c>
      <c r="B1477" t="s">
        <v>46</v>
      </c>
      <c r="C1477">
        <v>86</v>
      </c>
      <c r="D1477">
        <v>33</v>
      </c>
      <c r="E1477" t="s">
        <v>4305</v>
      </c>
      <c r="F1477">
        <v>100</v>
      </c>
    </row>
    <row r="1478" spans="1:6" x14ac:dyDescent="0.25">
      <c r="A1478" t="s">
        <v>310</v>
      </c>
      <c r="B1478" t="s">
        <v>46</v>
      </c>
      <c r="C1478">
        <v>86</v>
      </c>
      <c r="D1478">
        <v>33</v>
      </c>
      <c r="E1478" t="s">
        <v>4306</v>
      </c>
      <c r="F1478">
        <v>7159.42</v>
      </c>
    </row>
    <row r="1479" spans="1:6" x14ac:dyDescent="0.25">
      <c r="A1479" t="s">
        <v>310</v>
      </c>
      <c r="B1479" t="s">
        <v>46</v>
      </c>
      <c r="C1479">
        <v>86</v>
      </c>
      <c r="D1479">
        <v>33</v>
      </c>
      <c r="E1479" t="s">
        <v>4307</v>
      </c>
      <c r="F1479">
        <v>1951.39</v>
      </c>
    </row>
    <row r="1480" spans="1:6" x14ac:dyDescent="0.25">
      <c r="A1480" t="s">
        <v>310</v>
      </c>
      <c r="B1480" t="s">
        <v>46</v>
      </c>
      <c r="C1480">
        <v>86</v>
      </c>
      <c r="D1480">
        <v>33</v>
      </c>
      <c r="E1480" t="s">
        <v>4308</v>
      </c>
      <c r="F1480">
        <v>19515.509999999998</v>
      </c>
    </row>
    <row r="1481" spans="1:6" x14ac:dyDescent="0.25">
      <c r="A1481" t="s">
        <v>310</v>
      </c>
      <c r="B1481" t="s">
        <v>46</v>
      </c>
      <c r="C1481">
        <v>86</v>
      </c>
      <c r="D1481">
        <v>33</v>
      </c>
      <c r="E1481" t="s">
        <v>4309</v>
      </c>
      <c r="F1481">
        <v>68.17</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11"/>
  <dimension ref="A1:S401"/>
  <sheetViews>
    <sheetView topLeftCell="L1" workbookViewId="0">
      <selection activeCell="S5" sqref="S5"/>
    </sheetView>
  </sheetViews>
  <sheetFormatPr defaultRowHeight="15" x14ac:dyDescent="0.25"/>
  <cols>
    <col min="1" max="1" width="18.5703125" bestFit="1" customWidth="1"/>
    <col min="2" max="2" width="18.42578125" bestFit="1" customWidth="1"/>
    <col min="3" max="3" width="11.7109375" bestFit="1" customWidth="1"/>
    <col min="4" max="4" width="12.28515625" bestFit="1" customWidth="1"/>
    <col min="5" max="5" width="10.7109375" bestFit="1" customWidth="1"/>
    <col min="6" max="6" width="16.42578125" bestFit="1" customWidth="1"/>
    <col min="7" max="7" width="22.140625" bestFit="1" customWidth="1"/>
    <col min="8" max="8" width="27.42578125" bestFit="1" customWidth="1"/>
    <col min="9" max="9" width="28.28515625" bestFit="1" customWidth="1"/>
    <col min="10" max="10" width="81.140625" bestFit="1" customWidth="1"/>
    <col min="11" max="11" width="31.140625" bestFit="1" customWidth="1"/>
    <col min="12" max="12" width="20.5703125" bestFit="1" customWidth="1"/>
    <col min="13" max="13" width="29.28515625" bestFit="1" customWidth="1"/>
    <col min="14" max="14" width="23.7109375" bestFit="1" customWidth="1"/>
    <col min="15" max="15" width="21.42578125" bestFit="1" customWidth="1"/>
    <col min="16" max="16" width="36.28515625" bestFit="1" customWidth="1"/>
    <col min="17" max="17" width="30.7109375" bestFit="1" customWidth="1"/>
    <col min="18" max="18" width="81.140625" bestFit="1" customWidth="1"/>
    <col min="19" max="19" width="16.140625" customWidth="1"/>
  </cols>
  <sheetData>
    <row r="1" spans="1:19" x14ac:dyDescent="0.25">
      <c r="A1" t="s">
        <v>72</v>
      </c>
      <c r="B1" t="s">
        <v>73</v>
      </c>
      <c r="C1" t="s">
        <v>4314</v>
      </c>
      <c r="D1" t="s">
        <v>6456</v>
      </c>
      <c r="E1" t="s">
        <v>4746</v>
      </c>
      <c r="F1" t="s">
        <v>6457</v>
      </c>
      <c r="G1" t="s">
        <v>6458</v>
      </c>
      <c r="H1" t="s">
        <v>6459</v>
      </c>
      <c r="I1" t="s">
        <v>6460</v>
      </c>
      <c r="J1" t="s">
        <v>6461</v>
      </c>
      <c r="K1" t="s">
        <v>6462</v>
      </c>
      <c r="L1" t="s">
        <v>6463</v>
      </c>
      <c r="M1" t="s">
        <v>6464</v>
      </c>
      <c r="N1" t="s">
        <v>6465</v>
      </c>
      <c r="O1" t="s">
        <v>6466</v>
      </c>
      <c r="P1" t="s">
        <v>6467</v>
      </c>
      <c r="Q1" t="s">
        <v>6468</v>
      </c>
      <c r="R1" t="s">
        <v>6469</v>
      </c>
      <c r="S1" t="s">
        <v>7491</v>
      </c>
    </row>
    <row r="2" spans="1:19" x14ac:dyDescent="0.25">
      <c r="A2" s="1" t="s">
        <v>58</v>
      </c>
      <c r="B2" s="1" t="s">
        <v>40</v>
      </c>
      <c r="C2">
        <v>14</v>
      </c>
      <c r="D2">
        <v>101</v>
      </c>
      <c r="E2">
        <v>82</v>
      </c>
      <c r="F2">
        <v>101</v>
      </c>
      <c r="G2">
        <v>1</v>
      </c>
      <c r="H2" t="b">
        <v>1</v>
      </c>
      <c r="I2" t="s">
        <v>6470</v>
      </c>
      <c r="J2" t="s">
        <v>6471</v>
      </c>
      <c r="K2" t="s">
        <v>6472</v>
      </c>
      <c r="L2" t="s">
        <v>5349</v>
      </c>
      <c r="M2" t="s">
        <v>6473</v>
      </c>
      <c r="N2">
        <v>1293.2</v>
      </c>
      <c r="O2" t="s">
        <v>4789</v>
      </c>
      <c r="P2" t="s">
        <v>6474</v>
      </c>
      <c r="Q2" t="s">
        <v>6475</v>
      </c>
      <c r="R2" t="s">
        <v>665</v>
      </c>
      <c r="S2">
        <f>COUNTIFS(ListOfExpenditure!H:H,Public_procurment[[#This Row],[Value.id]],ListOfExpenditure!Y:Y,TRUE)</f>
        <v>1</v>
      </c>
    </row>
    <row r="3" spans="1:19" x14ac:dyDescent="0.25">
      <c r="A3" s="1" t="s">
        <v>58</v>
      </c>
      <c r="B3" s="1" t="s">
        <v>40</v>
      </c>
      <c r="C3">
        <v>14</v>
      </c>
      <c r="D3">
        <v>101</v>
      </c>
      <c r="E3">
        <v>83</v>
      </c>
      <c r="F3">
        <v>101</v>
      </c>
      <c r="G3">
        <v>1</v>
      </c>
      <c r="H3" t="b">
        <v>1</v>
      </c>
      <c r="I3" t="s">
        <v>6476</v>
      </c>
      <c r="J3" t="s">
        <v>6477</v>
      </c>
      <c r="K3" t="s">
        <v>6478</v>
      </c>
      <c r="L3" t="s">
        <v>4797</v>
      </c>
      <c r="M3" t="s">
        <v>6473</v>
      </c>
      <c r="N3">
        <v>646.6</v>
      </c>
      <c r="O3" t="s">
        <v>4789</v>
      </c>
      <c r="P3" t="s">
        <v>6479</v>
      </c>
      <c r="Q3" t="s">
        <v>6480</v>
      </c>
      <c r="R3" t="s">
        <v>665</v>
      </c>
      <c r="S3">
        <f>COUNTIFS(ListOfExpenditure!H:H,Public_procurment[[#This Row],[Value.id]],ListOfExpenditure!Y:Y,TRUE)</f>
        <v>1</v>
      </c>
    </row>
    <row r="4" spans="1:19" x14ac:dyDescent="0.25">
      <c r="A4" s="1" t="s">
        <v>58</v>
      </c>
      <c r="B4" s="1" t="s">
        <v>40</v>
      </c>
      <c r="C4">
        <v>14</v>
      </c>
      <c r="D4">
        <v>297</v>
      </c>
      <c r="E4">
        <v>82</v>
      </c>
      <c r="F4">
        <v>101</v>
      </c>
      <c r="G4">
        <v>1</v>
      </c>
      <c r="H4" t="b">
        <v>0</v>
      </c>
      <c r="I4" t="s">
        <v>6470</v>
      </c>
      <c r="J4" t="s">
        <v>6471</v>
      </c>
      <c r="K4" t="s">
        <v>6472</v>
      </c>
      <c r="L4" t="s">
        <v>5349</v>
      </c>
      <c r="M4" t="s">
        <v>6473</v>
      </c>
      <c r="N4">
        <v>1293.2</v>
      </c>
      <c r="O4" t="s">
        <v>4789</v>
      </c>
      <c r="P4" t="s">
        <v>6474</v>
      </c>
      <c r="Q4" t="s">
        <v>6475</v>
      </c>
      <c r="R4" t="s">
        <v>665</v>
      </c>
      <c r="S4">
        <f>COUNTIFS(ListOfExpenditure!H:H,Public_procurment[[#This Row],[Value.id]],ListOfExpenditure!Y:Y,TRUE)</f>
        <v>1</v>
      </c>
    </row>
    <row r="5" spans="1:19" x14ac:dyDescent="0.25">
      <c r="A5" s="1" t="s">
        <v>58</v>
      </c>
      <c r="B5" s="1" t="s">
        <v>40</v>
      </c>
      <c r="C5">
        <v>14</v>
      </c>
      <c r="D5">
        <v>297</v>
      </c>
      <c r="E5">
        <v>83</v>
      </c>
      <c r="F5">
        <v>101</v>
      </c>
      <c r="G5">
        <v>1</v>
      </c>
      <c r="H5" t="b">
        <v>0</v>
      </c>
      <c r="I5" t="s">
        <v>6476</v>
      </c>
      <c r="J5" t="s">
        <v>6477</v>
      </c>
      <c r="K5" t="s">
        <v>6478</v>
      </c>
      <c r="L5" t="s">
        <v>4797</v>
      </c>
      <c r="M5" t="s">
        <v>6473</v>
      </c>
      <c r="N5">
        <v>646.6</v>
      </c>
      <c r="O5" t="s">
        <v>4789</v>
      </c>
      <c r="P5" t="s">
        <v>6479</v>
      </c>
      <c r="Q5" t="s">
        <v>6480</v>
      </c>
      <c r="R5" t="s">
        <v>665</v>
      </c>
      <c r="S5">
        <f>COUNTIFS(ListOfExpenditure!H:H,Public_procurment[[#This Row],[Value.id]],ListOfExpenditure!Y:Y,TRUE)</f>
        <v>1</v>
      </c>
    </row>
    <row r="6" spans="1:19" x14ac:dyDescent="0.25">
      <c r="A6" s="1" t="s">
        <v>58</v>
      </c>
      <c r="B6" s="1" t="s">
        <v>4545</v>
      </c>
      <c r="C6">
        <v>17</v>
      </c>
      <c r="D6">
        <v>239</v>
      </c>
      <c r="S6">
        <f>COUNTIFS(ListOfExpenditure!H:H,Public_procurment[[#This Row],[Value.id]],ListOfExpenditure!Y:Y,TRUE)</f>
        <v>0</v>
      </c>
    </row>
    <row r="7" spans="1:19" x14ac:dyDescent="0.25">
      <c r="A7" s="1" t="s">
        <v>58</v>
      </c>
      <c r="B7" s="1" t="s">
        <v>4545</v>
      </c>
      <c r="C7">
        <v>17</v>
      </c>
      <c r="D7">
        <v>79</v>
      </c>
      <c r="S7">
        <f>COUNTIFS(ListOfExpenditure!H:H,Public_procurment[[#This Row],[Value.id]],ListOfExpenditure!Y:Y,TRUE)</f>
        <v>0</v>
      </c>
    </row>
    <row r="8" spans="1:19" x14ac:dyDescent="0.25">
      <c r="A8" s="1" t="s">
        <v>58</v>
      </c>
      <c r="B8" s="1" t="s">
        <v>36</v>
      </c>
      <c r="C8">
        <v>16</v>
      </c>
      <c r="D8">
        <v>208</v>
      </c>
      <c r="E8">
        <v>76</v>
      </c>
      <c r="F8">
        <v>83</v>
      </c>
      <c r="G8">
        <v>1</v>
      </c>
      <c r="H8" t="b">
        <v>0</v>
      </c>
      <c r="I8" t="s">
        <v>6481</v>
      </c>
      <c r="J8" t="s">
        <v>6482</v>
      </c>
      <c r="K8" t="s">
        <v>4938</v>
      </c>
      <c r="L8" t="s">
        <v>5349</v>
      </c>
      <c r="M8" t="s">
        <v>6483</v>
      </c>
      <c r="N8">
        <v>189.22</v>
      </c>
      <c r="O8" t="s">
        <v>4789</v>
      </c>
      <c r="P8" t="s">
        <v>6484</v>
      </c>
      <c r="Q8" t="s">
        <v>6485</v>
      </c>
      <c r="R8" t="s">
        <v>212</v>
      </c>
      <c r="S8">
        <f>COUNTIFS(ListOfExpenditure!H:H,Public_procurment[[#This Row],[Value.id]],ListOfExpenditure!Y:Y,TRUE)</f>
        <v>0</v>
      </c>
    </row>
    <row r="9" spans="1:19" x14ac:dyDescent="0.25">
      <c r="A9" s="1" t="s">
        <v>58</v>
      </c>
      <c r="B9" s="1" t="s">
        <v>36</v>
      </c>
      <c r="C9">
        <v>16</v>
      </c>
      <c r="D9">
        <v>208</v>
      </c>
      <c r="E9">
        <v>77</v>
      </c>
      <c r="F9">
        <v>83</v>
      </c>
      <c r="G9">
        <v>1</v>
      </c>
      <c r="H9" t="b">
        <v>0</v>
      </c>
      <c r="I9" t="s">
        <v>6486</v>
      </c>
      <c r="J9" t="s">
        <v>6487</v>
      </c>
      <c r="K9" t="s">
        <v>4940</v>
      </c>
      <c r="L9" t="s">
        <v>5357</v>
      </c>
      <c r="M9" t="s">
        <v>6488</v>
      </c>
      <c r="N9">
        <v>469.7</v>
      </c>
      <c r="O9" t="s">
        <v>4789</v>
      </c>
      <c r="P9" t="s">
        <v>6489</v>
      </c>
      <c r="Q9" t="s">
        <v>6490</v>
      </c>
      <c r="R9" t="s">
        <v>212</v>
      </c>
      <c r="S9">
        <f>COUNTIFS(ListOfExpenditure!H:H,Public_procurment[[#This Row],[Value.id]],ListOfExpenditure!Y:Y,TRUE)</f>
        <v>0</v>
      </c>
    </row>
    <row r="10" spans="1:19" x14ac:dyDescent="0.25">
      <c r="A10" s="1" t="s">
        <v>58</v>
      </c>
      <c r="B10" s="1" t="s">
        <v>36</v>
      </c>
      <c r="C10">
        <v>16</v>
      </c>
      <c r="D10">
        <v>208</v>
      </c>
      <c r="E10">
        <v>78</v>
      </c>
      <c r="F10">
        <v>83</v>
      </c>
      <c r="G10">
        <v>1</v>
      </c>
      <c r="H10" t="b">
        <v>0</v>
      </c>
      <c r="I10" t="s">
        <v>6491</v>
      </c>
      <c r="J10" t="s">
        <v>6492</v>
      </c>
      <c r="K10" t="s">
        <v>4941</v>
      </c>
      <c r="L10" t="s">
        <v>4816</v>
      </c>
      <c r="M10" t="s">
        <v>6488</v>
      </c>
      <c r="N10">
        <v>140.30000000000001</v>
      </c>
      <c r="O10" t="s">
        <v>4789</v>
      </c>
      <c r="P10" t="s">
        <v>6493</v>
      </c>
      <c r="Q10" t="s">
        <v>6494</v>
      </c>
      <c r="R10" t="s">
        <v>212</v>
      </c>
      <c r="S10">
        <f>COUNTIFS(ListOfExpenditure!H:H,Public_procurment[[#This Row],[Value.id]],ListOfExpenditure!Y:Y,TRUE)</f>
        <v>0</v>
      </c>
    </row>
    <row r="11" spans="1:19" x14ac:dyDescent="0.25">
      <c r="A11" s="1" t="s">
        <v>58</v>
      </c>
      <c r="B11" s="1" t="s">
        <v>36</v>
      </c>
      <c r="C11">
        <v>16</v>
      </c>
      <c r="D11">
        <v>208</v>
      </c>
      <c r="E11">
        <v>79</v>
      </c>
      <c r="F11">
        <v>83</v>
      </c>
      <c r="G11">
        <v>1</v>
      </c>
      <c r="H11" t="b">
        <v>0</v>
      </c>
      <c r="I11" t="s">
        <v>6495</v>
      </c>
      <c r="J11" t="s">
        <v>6496</v>
      </c>
      <c r="K11" t="s">
        <v>4943</v>
      </c>
      <c r="L11" t="s">
        <v>5694</v>
      </c>
      <c r="M11" t="s">
        <v>6488</v>
      </c>
      <c r="N11">
        <v>560</v>
      </c>
      <c r="O11" t="s">
        <v>4789</v>
      </c>
      <c r="P11" t="s">
        <v>6497</v>
      </c>
      <c r="Q11" t="s">
        <v>6498</v>
      </c>
      <c r="R11" t="s">
        <v>212</v>
      </c>
      <c r="S11">
        <f>COUNTIFS(ListOfExpenditure!H:H,Public_procurment[[#This Row],[Value.id]],ListOfExpenditure!Y:Y,TRUE)</f>
        <v>0</v>
      </c>
    </row>
    <row r="12" spans="1:19" x14ac:dyDescent="0.25">
      <c r="A12" s="1" t="s">
        <v>58</v>
      </c>
      <c r="B12" s="1" t="s">
        <v>36</v>
      </c>
      <c r="C12">
        <v>16</v>
      </c>
      <c r="D12">
        <v>208</v>
      </c>
      <c r="E12">
        <v>80</v>
      </c>
      <c r="F12">
        <v>83</v>
      </c>
      <c r="G12">
        <v>1</v>
      </c>
      <c r="H12" t="b">
        <v>0</v>
      </c>
      <c r="I12" t="s">
        <v>6499</v>
      </c>
      <c r="J12" t="s">
        <v>6500</v>
      </c>
      <c r="K12" t="s">
        <v>4944</v>
      </c>
      <c r="L12" t="s">
        <v>5294</v>
      </c>
      <c r="M12" t="s">
        <v>6488</v>
      </c>
      <c r="N12">
        <v>35909.06</v>
      </c>
      <c r="O12" t="s">
        <v>4789</v>
      </c>
      <c r="P12" t="s">
        <v>6501</v>
      </c>
      <c r="Q12" t="s">
        <v>6502</v>
      </c>
      <c r="R12" t="s">
        <v>212</v>
      </c>
      <c r="S12">
        <f>COUNTIFS(ListOfExpenditure!H:H,Public_procurment[[#This Row],[Value.id]],ListOfExpenditure!Y:Y,TRUE)</f>
        <v>0</v>
      </c>
    </row>
    <row r="13" spans="1:19" x14ac:dyDescent="0.25">
      <c r="A13" s="1" t="s">
        <v>58</v>
      </c>
      <c r="B13" s="1" t="s">
        <v>36</v>
      </c>
      <c r="C13">
        <v>16</v>
      </c>
      <c r="D13">
        <v>208</v>
      </c>
      <c r="E13">
        <v>81</v>
      </c>
      <c r="F13">
        <v>83</v>
      </c>
      <c r="G13">
        <v>1</v>
      </c>
      <c r="H13" t="b">
        <v>0</v>
      </c>
      <c r="I13" t="s">
        <v>6503</v>
      </c>
      <c r="J13" t="s">
        <v>6504</v>
      </c>
      <c r="K13" t="s">
        <v>4945</v>
      </c>
      <c r="L13" t="s">
        <v>6505</v>
      </c>
      <c r="M13" t="s">
        <v>6488</v>
      </c>
      <c r="N13">
        <v>48391.99</v>
      </c>
      <c r="O13" t="s">
        <v>4789</v>
      </c>
      <c r="P13" t="s">
        <v>6501</v>
      </c>
      <c r="Q13" t="s">
        <v>6502</v>
      </c>
      <c r="R13" t="s">
        <v>212</v>
      </c>
      <c r="S13">
        <f>COUNTIFS(ListOfExpenditure!H:H,Public_procurment[[#This Row],[Value.id]],ListOfExpenditure!Y:Y,TRUE)</f>
        <v>0</v>
      </c>
    </row>
    <row r="14" spans="1:19" x14ac:dyDescent="0.25">
      <c r="A14" s="1" t="s">
        <v>58</v>
      </c>
      <c r="B14" s="1" t="s">
        <v>36</v>
      </c>
      <c r="C14">
        <v>16</v>
      </c>
      <c r="D14">
        <v>208</v>
      </c>
      <c r="E14">
        <v>259</v>
      </c>
      <c r="F14">
        <v>208</v>
      </c>
      <c r="G14">
        <v>2</v>
      </c>
      <c r="H14" t="b">
        <v>1</v>
      </c>
      <c r="I14" t="s">
        <v>6506</v>
      </c>
      <c r="J14" t="s">
        <v>6507</v>
      </c>
      <c r="K14" t="s">
        <v>4947</v>
      </c>
      <c r="L14" t="s">
        <v>5440</v>
      </c>
      <c r="M14" t="s">
        <v>6508</v>
      </c>
      <c r="N14">
        <v>132</v>
      </c>
      <c r="O14" t="s">
        <v>4789</v>
      </c>
      <c r="P14" t="s">
        <v>6509</v>
      </c>
      <c r="Q14" t="s">
        <v>6510</v>
      </c>
      <c r="R14" t="s">
        <v>212</v>
      </c>
      <c r="S14">
        <f>COUNTIFS(ListOfExpenditure!H:H,Public_procurment[[#This Row],[Value.id]],ListOfExpenditure!Y:Y,TRUE)</f>
        <v>0</v>
      </c>
    </row>
    <row r="15" spans="1:19" x14ac:dyDescent="0.25">
      <c r="A15" s="1" t="s">
        <v>58</v>
      </c>
      <c r="B15" s="1" t="s">
        <v>36</v>
      </c>
      <c r="C15">
        <v>16</v>
      </c>
      <c r="D15">
        <v>208</v>
      </c>
      <c r="E15">
        <v>260</v>
      </c>
      <c r="F15">
        <v>208</v>
      </c>
      <c r="G15">
        <v>2</v>
      </c>
      <c r="H15" t="b">
        <v>1</v>
      </c>
      <c r="I15" t="s">
        <v>6511</v>
      </c>
      <c r="J15" t="s">
        <v>6512</v>
      </c>
      <c r="K15" t="s">
        <v>4948</v>
      </c>
      <c r="L15" t="s">
        <v>5440</v>
      </c>
      <c r="M15" t="s">
        <v>6508</v>
      </c>
      <c r="N15">
        <v>658.84</v>
      </c>
      <c r="O15" t="s">
        <v>4789</v>
      </c>
      <c r="P15" t="s">
        <v>6513</v>
      </c>
      <c r="Q15" t="s">
        <v>6514</v>
      </c>
      <c r="R15" t="s">
        <v>212</v>
      </c>
      <c r="S15">
        <f>COUNTIFS(ListOfExpenditure!H:H,Public_procurment[[#This Row],[Value.id]],ListOfExpenditure!Y:Y,TRUE)</f>
        <v>0</v>
      </c>
    </row>
    <row r="16" spans="1:19" x14ac:dyDescent="0.25">
      <c r="A16" s="1" t="s">
        <v>58</v>
      </c>
      <c r="B16" s="1" t="s">
        <v>36</v>
      </c>
      <c r="C16">
        <v>16</v>
      </c>
      <c r="D16">
        <v>208</v>
      </c>
      <c r="E16">
        <v>261</v>
      </c>
      <c r="F16">
        <v>208</v>
      </c>
      <c r="G16">
        <v>2</v>
      </c>
      <c r="H16" t="b">
        <v>1</v>
      </c>
      <c r="I16" t="s">
        <v>6515</v>
      </c>
      <c r="J16" t="s">
        <v>6516</v>
      </c>
      <c r="K16" t="s">
        <v>4949</v>
      </c>
      <c r="L16" t="s">
        <v>5440</v>
      </c>
      <c r="M16" t="s">
        <v>6508</v>
      </c>
      <c r="N16">
        <v>601.82000000000005</v>
      </c>
      <c r="O16" t="s">
        <v>4789</v>
      </c>
      <c r="P16" t="s">
        <v>6517</v>
      </c>
      <c r="Q16" t="s">
        <v>6518</v>
      </c>
      <c r="R16" t="s">
        <v>212</v>
      </c>
      <c r="S16">
        <f>COUNTIFS(ListOfExpenditure!H:H,Public_procurment[[#This Row],[Value.id]],ListOfExpenditure!Y:Y,TRUE)</f>
        <v>0</v>
      </c>
    </row>
    <row r="17" spans="1:19" x14ac:dyDescent="0.25">
      <c r="A17" s="1" t="s">
        <v>58</v>
      </c>
      <c r="B17" s="1" t="s">
        <v>36</v>
      </c>
      <c r="C17">
        <v>16</v>
      </c>
      <c r="D17">
        <v>208</v>
      </c>
      <c r="E17">
        <v>262</v>
      </c>
      <c r="F17">
        <v>208</v>
      </c>
      <c r="G17">
        <v>2</v>
      </c>
      <c r="H17" t="b">
        <v>1</v>
      </c>
      <c r="I17" t="s">
        <v>6519</v>
      </c>
      <c r="J17" t="s">
        <v>6520</v>
      </c>
      <c r="K17" t="s">
        <v>4961</v>
      </c>
      <c r="L17" t="s">
        <v>6521</v>
      </c>
      <c r="M17" t="s">
        <v>6522</v>
      </c>
      <c r="N17">
        <v>0</v>
      </c>
      <c r="O17" t="s">
        <v>4789</v>
      </c>
      <c r="P17" t="s">
        <v>6523</v>
      </c>
      <c r="Q17" t="s">
        <v>6524</v>
      </c>
      <c r="R17" t="s">
        <v>212</v>
      </c>
      <c r="S17">
        <f>COUNTIFS(ListOfExpenditure!H:H,Public_procurment[[#This Row],[Value.id]],ListOfExpenditure!Y:Y,TRUE)</f>
        <v>0</v>
      </c>
    </row>
    <row r="18" spans="1:19" x14ac:dyDescent="0.25">
      <c r="A18" s="1" t="s">
        <v>58</v>
      </c>
      <c r="B18" s="1" t="s">
        <v>36</v>
      </c>
      <c r="C18">
        <v>16</v>
      </c>
      <c r="D18">
        <v>83</v>
      </c>
      <c r="E18">
        <v>76</v>
      </c>
      <c r="F18">
        <v>83</v>
      </c>
      <c r="G18">
        <v>1</v>
      </c>
      <c r="H18" t="b">
        <v>1</v>
      </c>
      <c r="I18" t="s">
        <v>6481</v>
      </c>
      <c r="J18" t="s">
        <v>6482</v>
      </c>
      <c r="K18" t="s">
        <v>4938</v>
      </c>
      <c r="L18" t="s">
        <v>5349</v>
      </c>
      <c r="M18" t="s">
        <v>6483</v>
      </c>
      <c r="N18">
        <v>189.22</v>
      </c>
      <c r="O18" t="s">
        <v>4789</v>
      </c>
      <c r="P18" t="s">
        <v>6484</v>
      </c>
      <c r="Q18" t="s">
        <v>6485</v>
      </c>
      <c r="R18" t="s">
        <v>212</v>
      </c>
      <c r="S18">
        <f>COUNTIFS(ListOfExpenditure!H:H,Public_procurment[[#This Row],[Value.id]],ListOfExpenditure!Y:Y,TRUE)</f>
        <v>0</v>
      </c>
    </row>
    <row r="19" spans="1:19" x14ac:dyDescent="0.25">
      <c r="A19" s="1" t="s">
        <v>58</v>
      </c>
      <c r="B19" s="1" t="s">
        <v>36</v>
      </c>
      <c r="C19">
        <v>16</v>
      </c>
      <c r="D19">
        <v>83</v>
      </c>
      <c r="E19">
        <v>77</v>
      </c>
      <c r="F19">
        <v>83</v>
      </c>
      <c r="G19">
        <v>1</v>
      </c>
      <c r="H19" t="b">
        <v>1</v>
      </c>
      <c r="I19" t="s">
        <v>6486</v>
      </c>
      <c r="J19" t="s">
        <v>6487</v>
      </c>
      <c r="K19" t="s">
        <v>4940</v>
      </c>
      <c r="L19" t="s">
        <v>5357</v>
      </c>
      <c r="M19" t="s">
        <v>6488</v>
      </c>
      <c r="N19">
        <v>469.7</v>
      </c>
      <c r="O19" t="s">
        <v>4789</v>
      </c>
      <c r="P19" t="s">
        <v>6489</v>
      </c>
      <c r="Q19" t="s">
        <v>6490</v>
      </c>
      <c r="R19" t="s">
        <v>212</v>
      </c>
      <c r="S19">
        <f>COUNTIFS(ListOfExpenditure!H:H,Public_procurment[[#This Row],[Value.id]],ListOfExpenditure!Y:Y,TRUE)</f>
        <v>0</v>
      </c>
    </row>
    <row r="20" spans="1:19" x14ac:dyDescent="0.25">
      <c r="A20" s="1" t="s">
        <v>58</v>
      </c>
      <c r="B20" s="1" t="s">
        <v>36</v>
      </c>
      <c r="C20">
        <v>16</v>
      </c>
      <c r="D20">
        <v>83</v>
      </c>
      <c r="E20">
        <v>78</v>
      </c>
      <c r="F20">
        <v>83</v>
      </c>
      <c r="G20">
        <v>1</v>
      </c>
      <c r="H20" t="b">
        <v>1</v>
      </c>
      <c r="I20" t="s">
        <v>6491</v>
      </c>
      <c r="J20" t="s">
        <v>6492</v>
      </c>
      <c r="K20" t="s">
        <v>4941</v>
      </c>
      <c r="L20" t="s">
        <v>4816</v>
      </c>
      <c r="M20" t="s">
        <v>6488</v>
      </c>
      <c r="N20">
        <v>140.30000000000001</v>
      </c>
      <c r="O20" t="s">
        <v>4789</v>
      </c>
      <c r="P20" t="s">
        <v>6493</v>
      </c>
      <c r="Q20" t="s">
        <v>6494</v>
      </c>
      <c r="R20" t="s">
        <v>212</v>
      </c>
      <c r="S20">
        <f>COUNTIFS(ListOfExpenditure!H:H,Public_procurment[[#This Row],[Value.id]],ListOfExpenditure!Y:Y,TRUE)</f>
        <v>0</v>
      </c>
    </row>
    <row r="21" spans="1:19" x14ac:dyDescent="0.25">
      <c r="A21" s="1" t="s">
        <v>58</v>
      </c>
      <c r="B21" s="1" t="s">
        <v>36</v>
      </c>
      <c r="C21">
        <v>16</v>
      </c>
      <c r="D21">
        <v>83</v>
      </c>
      <c r="E21">
        <v>79</v>
      </c>
      <c r="F21">
        <v>83</v>
      </c>
      <c r="G21">
        <v>1</v>
      </c>
      <c r="H21" t="b">
        <v>1</v>
      </c>
      <c r="I21" t="s">
        <v>6495</v>
      </c>
      <c r="J21" t="s">
        <v>6496</v>
      </c>
      <c r="K21" t="s">
        <v>4943</v>
      </c>
      <c r="L21" t="s">
        <v>5694</v>
      </c>
      <c r="M21" t="s">
        <v>6488</v>
      </c>
      <c r="N21">
        <v>560</v>
      </c>
      <c r="O21" t="s">
        <v>4789</v>
      </c>
      <c r="P21" t="s">
        <v>6497</v>
      </c>
      <c r="Q21" t="s">
        <v>6498</v>
      </c>
      <c r="R21" t="s">
        <v>212</v>
      </c>
      <c r="S21">
        <f>COUNTIFS(ListOfExpenditure!H:H,Public_procurment[[#This Row],[Value.id]],ListOfExpenditure!Y:Y,TRUE)</f>
        <v>0</v>
      </c>
    </row>
    <row r="22" spans="1:19" x14ac:dyDescent="0.25">
      <c r="A22" s="1" t="s">
        <v>58</v>
      </c>
      <c r="B22" s="1" t="s">
        <v>36</v>
      </c>
      <c r="C22">
        <v>16</v>
      </c>
      <c r="D22">
        <v>83</v>
      </c>
      <c r="E22">
        <v>80</v>
      </c>
      <c r="F22">
        <v>83</v>
      </c>
      <c r="G22">
        <v>1</v>
      </c>
      <c r="H22" t="b">
        <v>1</v>
      </c>
      <c r="I22" t="s">
        <v>6499</v>
      </c>
      <c r="J22" t="s">
        <v>6500</v>
      </c>
      <c r="K22" t="s">
        <v>4944</v>
      </c>
      <c r="L22" t="s">
        <v>5294</v>
      </c>
      <c r="M22" t="s">
        <v>6488</v>
      </c>
      <c r="N22">
        <v>35909.06</v>
      </c>
      <c r="O22" t="s">
        <v>4789</v>
      </c>
      <c r="P22" t="s">
        <v>6501</v>
      </c>
      <c r="Q22" t="s">
        <v>6502</v>
      </c>
      <c r="R22" t="s">
        <v>212</v>
      </c>
      <c r="S22">
        <f>COUNTIFS(ListOfExpenditure!H:H,Public_procurment[[#This Row],[Value.id]],ListOfExpenditure!Y:Y,TRUE)</f>
        <v>0</v>
      </c>
    </row>
    <row r="23" spans="1:19" x14ac:dyDescent="0.25">
      <c r="A23" s="1" t="s">
        <v>58</v>
      </c>
      <c r="B23" s="1" t="s">
        <v>36</v>
      </c>
      <c r="C23">
        <v>16</v>
      </c>
      <c r="D23">
        <v>83</v>
      </c>
      <c r="E23">
        <v>81</v>
      </c>
      <c r="F23">
        <v>83</v>
      </c>
      <c r="G23">
        <v>1</v>
      </c>
      <c r="H23" t="b">
        <v>1</v>
      </c>
      <c r="I23" t="s">
        <v>6503</v>
      </c>
      <c r="J23" t="s">
        <v>6504</v>
      </c>
      <c r="K23" t="s">
        <v>4945</v>
      </c>
      <c r="L23" t="s">
        <v>6505</v>
      </c>
      <c r="M23" t="s">
        <v>6488</v>
      </c>
      <c r="N23">
        <v>48391.99</v>
      </c>
      <c r="O23" t="s">
        <v>4789</v>
      </c>
      <c r="P23" t="s">
        <v>6501</v>
      </c>
      <c r="Q23" t="s">
        <v>6502</v>
      </c>
      <c r="R23" t="s">
        <v>212</v>
      </c>
      <c r="S23">
        <f>COUNTIFS(ListOfExpenditure!H:H,Public_procurment[[#This Row],[Value.id]],ListOfExpenditure!Y:Y,TRUE)</f>
        <v>0</v>
      </c>
    </row>
    <row r="24" spans="1:19" x14ac:dyDescent="0.25">
      <c r="A24" s="1" t="s">
        <v>58</v>
      </c>
      <c r="B24" s="1" t="s">
        <v>21</v>
      </c>
      <c r="C24">
        <v>13</v>
      </c>
      <c r="D24">
        <v>189</v>
      </c>
      <c r="E24">
        <v>2</v>
      </c>
      <c r="F24">
        <v>5</v>
      </c>
      <c r="G24">
        <v>1</v>
      </c>
      <c r="H24" t="b">
        <v>0</v>
      </c>
      <c r="I24" t="s">
        <v>6525</v>
      </c>
      <c r="J24" t="s">
        <v>6526</v>
      </c>
      <c r="K24" t="s">
        <v>5689</v>
      </c>
      <c r="L24" t="s">
        <v>4341</v>
      </c>
      <c r="M24" t="s">
        <v>6527</v>
      </c>
      <c r="N24">
        <v>17392.3</v>
      </c>
      <c r="O24" t="s">
        <v>4789</v>
      </c>
      <c r="P24" t="s">
        <v>6528</v>
      </c>
      <c r="Q24" t="s">
        <v>6529</v>
      </c>
      <c r="R24" t="s">
        <v>212</v>
      </c>
      <c r="S24">
        <f>COUNTIFS(ListOfExpenditure!H:H,Public_procurment[[#This Row],[Value.id]],ListOfExpenditure!Y:Y,TRUE)</f>
        <v>2</v>
      </c>
    </row>
    <row r="25" spans="1:19" x14ac:dyDescent="0.25">
      <c r="A25" s="1" t="s">
        <v>58</v>
      </c>
      <c r="B25" s="1" t="s">
        <v>21</v>
      </c>
      <c r="C25">
        <v>13</v>
      </c>
      <c r="D25">
        <v>189</v>
      </c>
      <c r="E25">
        <v>3</v>
      </c>
      <c r="F25">
        <v>5</v>
      </c>
      <c r="G25">
        <v>1</v>
      </c>
      <c r="H25" t="b">
        <v>0</v>
      </c>
      <c r="I25" t="s">
        <v>6530</v>
      </c>
      <c r="J25" t="s">
        <v>6531</v>
      </c>
      <c r="K25" t="s">
        <v>4829</v>
      </c>
      <c r="L25" t="s">
        <v>5990</v>
      </c>
      <c r="M25" t="s">
        <v>6527</v>
      </c>
      <c r="N25">
        <v>139.22999999999999</v>
      </c>
      <c r="O25" t="s">
        <v>4789</v>
      </c>
      <c r="P25" t="s">
        <v>6532</v>
      </c>
      <c r="Q25" t="s">
        <v>6533</v>
      </c>
      <c r="R25" t="s">
        <v>212</v>
      </c>
      <c r="S25">
        <f>COUNTIFS(ListOfExpenditure!H:H,Public_procurment[[#This Row],[Value.id]],ListOfExpenditure!Y:Y,TRUE)</f>
        <v>0</v>
      </c>
    </row>
    <row r="26" spans="1:19" x14ac:dyDescent="0.25">
      <c r="A26" s="1" t="s">
        <v>58</v>
      </c>
      <c r="B26" s="1" t="s">
        <v>21</v>
      </c>
      <c r="C26">
        <v>13</v>
      </c>
      <c r="D26">
        <v>189</v>
      </c>
      <c r="E26">
        <v>4</v>
      </c>
      <c r="F26">
        <v>5</v>
      </c>
      <c r="G26">
        <v>1</v>
      </c>
      <c r="H26" t="b">
        <v>0</v>
      </c>
      <c r="I26" t="s">
        <v>6534</v>
      </c>
      <c r="J26" t="s">
        <v>6535</v>
      </c>
      <c r="K26" t="s">
        <v>6536</v>
      </c>
      <c r="L26" t="s">
        <v>5088</v>
      </c>
      <c r="M26" t="s">
        <v>6527</v>
      </c>
      <c r="N26">
        <v>395.84</v>
      </c>
      <c r="O26" t="s">
        <v>4789</v>
      </c>
      <c r="P26" t="s">
        <v>6537</v>
      </c>
      <c r="Q26" t="s">
        <v>6533</v>
      </c>
      <c r="R26" t="s">
        <v>212</v>
      </c>
      <c r="S26">
        <f>COUNTIFS(ListOfExpenditure!H:H,Public_procurment[[#This Row],[Value.id]],ListOfExpenditure!Y:Y,TRUE)</f>
        <v>0</v>
      </c>
    </row>
    <row r="27" spans="1:19" x14ac:dyDescent="0.25">
      <c r="A27" s="1" t="s">
        <v>58</v>
      </c>
      <c r="B27" s="1" t="s">
        <v>21</v>
      </c>
      <c r="C27">
        <v>13</v>
      </c>
      <c r="D27">
        <v>189</v>
      </c>
      <c r="E27">
        <v>111</v>
      </c>
      <c r="F27">
        <v>189</v>
      </c>
      <c r="G27">
        <v>2</v>
      </c>
      <c r="H27" t="b">
        <v>1</v>
      </c>
      <c r="I27" t="s">
        <v>6538</v>
      </c>
      <c r="J27" t="s">
        <v>6539</v>
      </c>
      <c r="K27" t="s">
        <v>4833</v>
      </c>
      <c r="L27" t="s">
        <v>4939</v>
      </c>
      <c r="M27" t="s">
        <v>6527</v>
      </c>
      <c r="N27">
        <v>11500</v>
      </c>
      <c r="O27" t="s">
        <v>4789</v>
      </c>
      <c r="P27" t="s">
        <v>6540</v>
      </c>
      <c r="Q27" t="s">
        <v>6541</v>
      </c>
      <c r="R27" t="s">
        <v>212</v>
      </c>
      <c r="S27">
        <f>COUNTIFS(ListOfExpenditure!H:H,Public_procurment[[#This Row],[Value.id]],ListOfExpenditure!Y:Y,TRUE)</f>
        <v>1</v>
      </c>
    </row>
    <row r="28" spans="1:19" x14ac:dyDescent="0.25">
      <c r="A28" s="1" t="s">
        <v>58</v>
      </c>
      <c r="B28" s="1" t="s">
        <v>21</v>
      </c>
      <c r="C28">
        <v>13</v>
      </c>
      <c r="D28">
        <v>189</v>
      </c>
      <c r="E28">
        <v>112</v>
      </c>
      <c r="F28">
        <v>189</v>
      </c>
      <c r="G28">
        <v>2</v>
      </c>
      <c r="H28" t="b">
        <v>1</v>
      </c>
      <c r="I28" t="s">
        <v>6542</v>
      </c>
      <c r="J28" t="s">
        <v>6543</v>
      </c>
      <c r="K28" t="s">
        <v>4836</v>
      </c>
      <c r="L28" t="s">
        <v>5744</v>
      </c>
      <c r="M28" t="s">
        <v>6527</v>
      </c>
      <c r="N28">
        <v>722</v>
      </c>
      <c r="O28" t="s">
        <v>4789</v>
      </c>
      <c r="P28" t="s">
        <v>6544</v>
      </c>
      <c r="Q28" t="s">
        <v>6545</v>
      </c>
      <c r="R28" t="s">
        <v>212</v>
      </c>
      <c r="S28">
        <f>COUNTIFS(ListOfExpenditure!H:H,Public_procurment[[#This Row],[Value.id]],ListOfExpenditure!Y:Y,TRUE)</f>
        <v>1</v>
      </c>
    </row>
    <row r="29" spans="1:19" x14ac:dyDescent="0.25">
      <c r="A29" s="1" t="s">
        <v>58</v>
      </c>
      <c r="B29" s="1" t="s">
        <v>21</v>
      </c>
      <c r="C29">
        <v>13</v>
      </c>
      <c r="D29">
        <v>5</v>
      </c>
      <c r="E29">
        <v>2</v>
      </c>
      <c r="F29">
        <v>5</v>
      </c>
      <c r="G29">
        <v>1</v>
      </c>
      <c r="H29" t="b">
        <v>1</v>
      </c>
      <c r="I29" t="s">
        <v>6525</v>
      </c>
      <c r="J29" t="s">
        <v>6526</v>
      </c>
      <c r="K29" t="s">
        <v>5689</v>
      </c>
      <c r="L29" t="s">
        <v>4341</v>
      </c>
      <c r="M29" t="s">
        <v>6527</v>
      </c>
      <c r="N29">
        <v>17392.3</v>
      </c>
      <c r="O29" t="s">
        <v>4789</v>
      </c>
      <c r="P29" t="s">
        <v>6528</v>
      </c>
      <c r="Q29" t="s">
        <v>6529</v>
      </c>
      <c r="R29" t="s">
        <v>212</v>
      </c>
      <c r="S29">
        <f>COUNTIFS(ListOfExpenditure!H:H,Public_procurment[[#This Row],[Value.id]],ListOfExpenditure!Y:Y,TRUE)</f>
        <v>2</v>
      </c>
    </row>
    <row r="30" spans="1:19" x14ac:dyDescent="0.25">
      <c r="A30" s="1" t="s">
        <v>58</v>
      </c>
      <c r="B30" s="1" t="s">
        <v>21</v>
      </c>
      <c r="C30">
        <v>13</v>
      </c>
      <c r="D30">
        <v>5</v>
      </c>
      <c r="E30">
        <v>3</v>
      </c>
      <c r="F30">
        <v>5</v>
      </c>
      <c r="G30">
        <v>1</v>
      </c>
      <c r="H30" t="b">
        <v>1</v>
      </c>
      <c r="I30" t="s">
        <v>6530</v>
      </c>
      <c r="J30" t="s">
        <v>6531</v>
      </c>
      <c r="K30" t="s">
        <v>4829</v>
      </c>
      <c r="L30" t="s">
        <v>5990</v>
      </c>
      <c r="M30" t="s">
        <v>6527</v>
      </c>
      <c r="N30">
        <v>139.22999999999999</v>
      </c>
      <c r="O30" t="s">
        <v>4789</v>
      </c>
      <c r="P30" t="s">
        <v>6532</v>
      </c>
      <c r="Q30" t="s">
        <v>6533</v>
      </c>
      <c r="R30" t="s">
        <v>212</v>
      </c>
      <c r="S30">
        <f>COUNTIFS(ListOfExpenditure!H:H,Public_procurment[[#This Row],[Value.id]],ListOfExpenditure!Y:Y,TRUE)</f>
        <v>0</v>
      </c>
    </row>
    <row r="31" spans="1:19" x14ac:dyDescent="0.25">
      <c r="A31" s="1" t="s">
        <v>58</v>
      </c>
      <c r="B31" s="1" t="s">
        <v>21</v>
      </c>
      <c r="C31">
        <v>13</v>
      </c>
      <c r="D31">
        <v>5</v>
      </c>
      <c r="E31">
        <v>4</v>
      </c>
      <c r="F31">
        <v>5</v>
      </c>
      <c r="G31">
        <v>1</v>
      </c>
      <c r="H31" t="b">
        <v>1</v>
      </c>
      <c r="I31" t="s">
        <v>6534</v>
      </c>
      <c r="J31" t="s">
        <v>6535</v>
      </c>
      <c r="K31" t="s">
        <v>6536</v>
      </c>
      <c r="L31" t="s">
        <v>5088</v>
      </c>
      <c r="M31" t="s">
        <v>6527</v>
      </c>
      <c r="N31">
        <v>395.84</v>
      </c>
      <c r="O31" t="s">
        <v>4789</v>
      </c>
      <c r="P31" t="s">
        <v>6537</v>
      </c>
      <c r="Q31" t="s">
        <v>6533</v>
      </c>
      <c r="R31" t="s">
        <v>212</v>
      </c>
      <c r="S31">
        <f>COUNTIFS(ListOfExpenditure!H:H,Public_procurment[[#This Row],[Value.id]],ListOfExpenditure!Y:Y,TRUE)</f>
        <v>0</v>
      </c>
    </row>
    <row r="32" spans="1:19" x14ac:dyDescent="0.25">
      <c r="A32" s="1" t="s">
        <v>58</v>
      </c>
      <c r="B32" s="1" t="s">
        <v>25</v>
      </c>
      <c r="C32">
        <v>10</v>
      </c>
      <c r="D32">
        <v>227</v>
      </c>
      <c r="E32">
        <v>151</v>
      </c>
      <c r="F32">
        <v>227</v>
      </c>
      <c r="G32">
        <v>2</v>
      </c>
      <c r="H32" t="b">
        <v>1</v>
      </c>
      <c r="I32" t="s">
        <v>6546</v>
      </c>
      <c r="J32" t="s">
        <v>6547</v>
      </c>
      <c r="K32" t="s">
        <v>6230</v>
      </c>
      <c r="L32" t="s">
        <v>5715</v>
      </c>
      <c r="M32" t="s">
        <v>6548</v>
      </c>
      <c r="N32">
        <v>800</v>
      </c>
      <c r="O32" t="s">
        <v>4789</v>
      </c>
      <c r="P32" t="s">
        <v>6549</v>
      </c>
      <c r="Q32" t="s">
        <v>6550</v>
      </c>
      <c r="R32" t="s">
        <v>6551</v>
      </c>
      <c r="S32">
        <f>COUNTIFS(ListOfExpenditure!H:H,Public_procurment[[#This Row],[Value.id]],ListOfExpenditure!Y:Y,TRUE)</f>
        <v>0</v>
      </c>
    </row>
    <row r="33" spans="1:19" x14ac:dyDescent="0.25">
      <c r="A33" s="1" t="s">
        <v>58</v>
      </c>
      <c r="B33" s="1" t="s">
        <v>25</v>
      </c>
      <c r="C33">
        <v>10</v>
      </c>
      <c r="D33">
        <v>227</v>
      </c>
      <c r="E33">
        <v>187</v>
      </c>
      <c r="F33">
        <v>227</v>
      </c>
      <c r="G33">
        <v>2</v>
      </c>
      <c r="H33" t="b">
        <v>1</v>
      </c>
      <c r="I33" t="s">
        <v>6552</v>
      </c>
      <c r="J33" t="s">
        <v>6553</v>
      </c>
      <c r="K33" t="s">
        <v>6228</v>
      </c>
      <c r="L33" t="s">
        <v>5065</v>
      </c>
      <c r="M33" t="s">
        <v>6554</v>
      </c>
      <c r="N33">
        <v>100000</v>
      </c>
      <c r="O33" t="s">
        <v>4789</v>
      </c>
      <c r="P33" t="s">
        <v>6555</v>
      </c>
      <c r="Q33" t="s">
        <v>6556</v>
      </c>
      <c r="R33" t="s">
        <v>6557</v>
      </c>
      <c r="S33">
        <f>COUNTIFS(ListOfExpenditure!H:H,Public_procurment[[#This Row],[Value.id]],ListOfExpenditure!Y:Y,TRUE)</f>
        <v>0</v>
      </c>
    </row>
    <row r="34" spans="1:19" x14ac:dyDescent="0.25">
      <c r="A34" s="1" t="s">
        <v>58</v>
      </c>
      <c r="B34" s="1" t="s">
        <v>25</v>
      </c>
      <c r="C34">
        <v>10</v>
      </c>
      <c r="D34">
        <v>227</v>
      </c>
      <c r="E34">
        <v>188</v>
      </c>
      <c r="F34">
        <v>227</v>
      </c>
      <c r="G34">
        <v>2</v>
      </c>
      <c r="H34" t="b">
        <v>1</v>
      </c>
      <c r="I34" t="s">
        <v>6558</v>
      </c>
      <c r="J34" t="s">
        <v>6559</v>
      </c>
      <c r="K34" t="s">
        <v>6232</v>
      </c>
      <c r="L34" t="s">
        <v>4901</v>
      </c>
      <c r="M34" t="s">
        <v>6548</v>
      </c>
      <c r="N34">
        <v>70</v>
      </c>
      <c r="O34" t="s">
        <v>4789</v>
      </c>
      <c r="P34" t="s">
        <v>6560</v>
      </c>
      <c r="Q34" t="s">
        <v>6561</v>
      </c>
      <c r="R34" t="s">
        <v>6562</v>
      </c>
      <c r="S34">
        <f>COUNTIFS(ListOfExpenditure!H:H,Public_procurment[[#This Row],[Value.id]],ListOfExpenditure!Y:Y,TRUE)</f>
        <v>0</v>
      </c>
    </row>
    <row r="35" spans="1:19" x14ac:dyDescent="0.25">
      <c r="A35" s="1" t="s">
        <v>58</v>
      </c>
      <c r="B35" s="1" t="s">
        <v>25</v>
      </c>
      <c r="C35">
        <v>10</v>
      </c>
      <c r="D35">
        <v>227</v>
      </c>
      <c r="E35">
        <v>189</v>
      </c>
      <c r="F35">
        <v>227</v>
      </c>
      <c r="G35">
        <v>2</v>
      </c>
      <c r="H35" t="b">
        <v>1</v>
      </c>
      <c r="I35" t="s">
        <v>6563</v>
      </c>
      <c r="J35" t="s">
        <v>6564</v>
      </c>
      <c r="K35" t="s">
        <v>6235</v>
      </c>
      <c r="L35" t="s">
        <v>5761</v>
      </c>
      <c r="M35" t="s">
        <v>6548</v>
      </c>
      <c r="N35">
        <v>850</v>
      </c>
      <c r="O35" t="s">
        <v>4789</v>
      </c>
      <c r="P35" t="s">
        <v>6565</v>
      </c>
      <c r="Q35" t="s">
        <v>6566</v>
      </c>
      <c r="R35" t="s">
        <v>6567</v>
      </c>
      <c r="S35">
        <f>COUNTIFS(ListOfExpenditure!H:H,Public_procurment[[#This Row],[Value.id]],ListOfExpenditure!Y:Y,TRUE)</f>
        <v>0</v>
      </c>
    </row>
    <row r="36" spans="1:19" x14ac:dyDescent="0.25">
      <c r="A36" s="1" t="s">
        <v>58</v>
      </c>
      <c r="B36" s="1" t="s">
        <v>25</v>
      </c>
      <c r="C36">
        <v>10</v>
      </c>
      <c r="D36">
        <v>27</v>
      </c>
      <c r="S36">
        <f>COUNTIFS(ListOfExpenditure!H:H,Public_procurment[[#This Row],[Value.id]],ListOfExpenditure!Y:Y,TRUE)</f>
        <v>0</v>
      </c>
    </row>
    <row r="37" spans="1:19" x14ac:dyDescent="0.25">
      <c r="A37" s="1" t="s">
        <v>58</v>
      </c>
      <c r="B37" s="1" t="s">
        <v>33</v>
      </c>
      <c r="C37">
        <v>15</v>
      </c>
      <c r="D37">
        <v>264</v>
      </c>
      <c r="E37">
        <v>30</v>
      </c>
      <c r="F37">
        <v>55</v>
      </c>
      <c r="G37">
        <v>1</v>
      </c>
      <c r="H37" t="b">
        <v>0</v>
      </c>
      <c r="I37" t="s">
        <v>6568</v>
      </c>
      <c r="J37" t="s">
        <v>6569</v>
      </c>
      <c r="K37" t="s">
        <v>4922</v>
      </c>
      <c r="L37" t="s">
        <v>5419</v>
      </c>
      <c r="M37" t="s">
        <v>6473</v>
      </c>
      <c r="N37">
        <v>868.1</v>
      </c>
      <c r="O37" t="s">
        <v>4789</v>
      </c>
      <c r="P37" t="s">
        <v>6570</v>
      </c>
      <c r="Q37" t="s">
        <v>6571</v>
      </c>
      <c r="R37" t="s">
        <v>212</v>
      </c>
      <c r="S37">
        <f>COUNTIFS(ListOfExpenditure!H:H,Public_procurment[[#This Row],[Value.id]],ListOfExpenditure!Y:Y,TRUE)</f>
        <v>0</v>
      </c>
    </row>
    <row r="38" spans="1:19" x14ac:dyDescent="0.25">
      <c r="A38" s="1" t="s">
        <v>58</v>
      </c>
      <c r="B38" s="1" t="s">
        <v>33</v>
      </c>
      <c r="C38">
        <v>15</v>
      </c>
      <c r="D38">
        <v>264</v>
      </c>
      <c r="E38">
        <v>31</v>
      </c>
      <c r="F38">
        <v>55</v>
      </c>
      <c r="G38">
        <v>1</v>
      </c>
      <c r="H38" t="b">
        <v>0</v>
      </c>
      <c r="I38" t="s">
        <v>6572</v>
      </c>
      <c r="J38" t="s">
        <v>6573</v>
      </c>
      <c r="K38" t="s">
        <v>4926</v>
      </c>
      <c r="L38" t="s">
        <v>4839</v>
      </c>
      <c r="M38" t="s">
        <v>6473</v>
      </c>
      <c r="N38">
        <v>549</v>
      </c>
      <c r="O38" t="s">
        <v>4789</v>
      </c>
      <c r="P38" t="s">
        <v>6574</v>
      </c>
      <c r="Q38" t="s">
        <v>6575</v>
      </c>
      <c r="R38" t="s">
        <v>212</v>
      </c>
      <c r="S38">
        <f>COUNTIFS(ListOfExpenditure!H:H,Public_procurment[[#This Row],[Value.id]],ListOfExpenditure!Y:Y,TRUE)</f>
        <v>0</v>
      </c>
    </row>
    <row r="39" spans="1:19" x14ac:dyDescent="0.25">
      <c r="A39" s="1" t="s">
        <v>58</v>
      </c>
      <c r="B39" s="1" t="s">
        <v>33</v>
      </c>
      <c r="C39">
        <v>15</v>
      </c>
      <c r="D39">
        <v>264</v>
      </c>
      <c r="E39">
        <v>32</v>
      </c>
      <c r="F39">
        <v>55</v>
      </c>
      <c r="G39">
        <v>1</v>
      </c>
      <c r="H39" t="b">
        <v>0</v>
      </c>
      <c r="I39" t="s">
        <v>6576</v>
      </c>
      <c r="J39" t="s">
        <v>6577</v>
      </c>
      <c r="K39" t="s">
        <v>4929</v>
      </c>
      <c r="L39" t="s">
        <v>6578</v>
      </c>
      <c r="M39" t="s">
        <v>6473</v>
      </c>
      <c r="N39">
        <v>610</v>
      </c>
      <c r="O39" t="s">
        <v>4789</v>
      </c>
      <c r="P39" t="s">
        <v>6579</v>
      </c>
      <c r="Q39" t="s">
        <v>6580</v>
      </c>
      <c r="R39" t="s">
        <v>212</v>
      </c>
      <c r="S39">
        <f>COUNTIFS(ListOfExpenditure!H:H,Public_procurment[[#This Row],[Value.id]],ListOfExpenditure!Y:Y,TRUE)</f>
        <v>0</v>
      </c>
    </row>
    <row r="40" spans="1:19" x14ac:dyDescent="0.25">
      <c r="A40" s="1" t="s">
        <v>58</v>
      </c>
      <c r="B40" s="1" t="s">
        <v>33</v>
      </c>
      <c r="C40">
        <v>15</v>
      </c>
      <c r="D40">
        <v>264</v>
      </c>
      <c r="E40">
        <v>33</v>
      </c>
      <c r="F40">
        <v>55</v>
      </c>
      <c r="G40">
        <v>1</v>
      </c>
      <c r="H40" t="b">
        <v>0</v>
      </c>
      <c r="I40" t="s">
        <v>6581</v>
      </c>
      <c r="J40" t="s">
        <v>6582</v>
      </c>
      <c r="K40" t="s">
        <v>4933</v>
      </c>
      <c r="L40" t="s">
        <v>6583</v>
      </c>
      <c r="M40" t="s">
        <v>6473</v>
      </c>
      <c r="N40">
        <v>42.21</v>
      </c>
      <c r="O40" t="s">
        <v>4789</v>
      </c>
      <c r="P40" t="s">
        <v>6584</v>
      </c>
      <c r="Q40" t="s">
        <v>6585</v>
      </c>
      <c r="R40" t="s">
        <v>212</v>
      </c>
      <c r="S40">
        <f>COUNTIFS(ListOfExpenditure!H:H,Public_procurment[[#This Row],[Value.id]],ListOfExpenditure!Y:Y,TRUE)</f>
        <v>0</v>
      </c>
    </row>
    <row r="41" spans="1:19" x14ac:dyDescent="0.25">
      <c r="A41" s="1" t="s">
        <v>58</v>
      </c>
      <c r="B41" s="1" t="s">
        <v>33</v>
      </c>
      <c r="C41">
        <v>15</v>
      </c>
      <c r="D41">
        <v>264</v>
      </c>
      <c r="E41">
        <v>34</v>
      </c>
      <c r="F41">
        <v>55</v>
      </c>
      <c r="G41">
        <v>1</v>
      </c>
      <c r="H41" t="b">
        <v>0</v>
      </c>
      <c r="I41" t="s">
        <v>6586</v>
      </c>
      <c r="J41" t="s">
        <v>6587</v>
      </c>
      <c r="K41" t="s">
        <v>4938</v>
      </c>
      <c r="L41" t="s">
        <v>4863</v>
      </c>
      <c r="M41" t="s">
        <v>6473</v>
      </c>
      <c r="N41">
        <v>870.43</v>
      </c>
      <c r="O41" t="s">
        <v>4789</v>
      </c>
      <c r="P41" t="s">
        <v>6588</v>
      </c>
      <c r="Q41" t="s">
        <v>6589</v>
      </c>
      <c r="R41" t="s">
        <v>212</v>
      </c>
      <c r="S41">
        <f>COUNTIFS(ListOfExpenditure!H:H,Public_procurment[[#This Row],[Value.id]],ListOfExpenditure!Y:Y,TRUE)</f>
        <v>0</v>
      </c>
    </row>
    <row r="42" spans="1:19" x14ac:dyDescent="0.25">
      <c r="A42" s="1" t="s">
        <v>58</v>
      </c>
      <c r="B42" s="1" t="s">
        <v>33</v>
      </c>
      <c r="C42">
        <v>15</v>
      </c>
      <c r="D42">
        <v>264</v>
      </c>
      <c r="E42">
        <v>35</v>
      </c>
      <c r="F42">
        <v>55</v>
      </c>
      <c r="G42">
        <v>1</v>
      </c>
      <c r="H42" t="b">
        <v>0</v>
      </c>
      <c r="I42" t="s">
        <v>6590</v>
      </c>
      <c r="J42" t="s">
        <v>6591</v>
      </c>
      <c r="K42" t="s">
        <v>4940</v>
      </c>
      <c r="L42" t="s">
        <v>5432</v>
      </c>
      <c r="M42" t="s">
        <v>6592</v>
      </c>
      <c r="N42">
        <v>1500</v>
      </c>
      <c r="O42" t="s">
        <v>4789</v>
      </c>
      <c r="P42" t="s">
        <v>6593</v>
      </c>
      <c r="Q42" t="s">
        <v>6594</v>
      </c>
      <c r="R42" t="s">
        <v>212</v>
      </c>
      <c r="S42">
        <f>COUNTIFS(ListOfExpenditure!H:H,Public_procurment[[#This Row],[Value.id]],ListOfExpenditure!Y:Y,TRUE)</f>
        <v>0</v>
      </c>
    </row>
    <row r="43" spans="1:19" x14ac:dyDescent="0.25">
      <c r="A43" s="1" t="s">
        <v>58</v>
      </c>
      <c r="B43" s="1" t="s">
        <v>33</v>
      </c>
      <c r="C43">
        <v>15</v>
      </c>
      <c r="D43">
        <v>264</v>
      </c>
      <c r="E43">
        <v>45</v>
      </c>
      <c r="F43">
        <v>55</v>
      </c>
      <c r="G43">
        <v>1</v>
      </c>
      <c r="H43" t="b">
        <v>0</v>
      </c>
      <c r="I43" t="s">
        <v>6595</v>
      </c>
      <c r="J43" t="s">
        <v>6596</v>
      </c>
      <c r="K43" t="s">
        <v>4941</v>
      </c>
      <c r="L43" t="s">
        <v>6505</v>
      </c>
      <c r="M43" t="s">
        <v>6597</v>
      </c>
      <c r="N43">
        <v>11899</v>
      </c>
      <c r="O43" t="s">
        <v>4789</v>
      </c>
      <c r="P43" t="s">
        <v>6501</v>
      </c>
      <c r="Q43" t="s">
        <v>6502</v>
      </c>
      <c r="R43" t="s">
        <v>212</v>
      </c>
      <c r="S43">
        <f>COUNTIFS(ListOfExpenditure!H:H,Public_procurment[[#This Row],[Value.id]],ListOfExpenditure!Y:Y,TRUE)</f>
        <v>0</v>
      </c>
    </row>
    <row r="44" spans="1:19" x14ac:dyDescent="0.25">
      <c r="A44" s="1" t="s">
        <v>58</v>
      </c>
      <c r="B44" s="1" t="s">
        <v>33</v>
      </c>
      <c r="C44">
        <v>15</v>
      </c>
      <c r="D44">
        <v>264</v>
      </c>
      <c r="E44">
        <v>46</v>
      </c>
      <c r="F44">
        <v>55</v>
      </c>
      <c r="G44">
        <v>1</v>
      </c>
      <c r="H44" t="b">
        <v>0</v>
      </c>
      <c r="I44" t="s">
        <v>6598</v>
      </c>
      <c r="J44" t="s">
        <v>6599</v>
      </c>
      <c r="K44" t="s">
        <v>4943</v>
      </c>
      <c r="L44" t="s">
        <v>6600</v>
      </c>
      <c r="M44" t="s">
        <v>6597</v>
      </c>
      <c r="N44">
        <v>130000</v>
      </c>
      <c r="O44" t="s">
        <v>4789</v>
      </c>
      <c r="P44" t="s">
        <v>6601</v>
      </c>
      <c r="Q44" t="s">
        <v>6602</v>
      </c>
      <c r="R44" t="s">
        <v>212</v>
      </c>
      <c r="S44">
        <f>COUNTIFS(ListOfExpenditure!H:H,Public_procurment[[#This Row],[Value.id]],ListOfExpenditure!Y:Y,TRUE)</f>
        <v>0</v>
      </c>
    </row>
    <row r="45" spans="1:19" x14ac:dyDescent="0.25">
      <c r="A45" s="1" t="s">
        <v>58</v>
      </c>
      <c r="B45" s="1" t="s">
        <v>33</v>
      </c>
      <c r="C45">
        <v>15</v>
      </c>
      <c r="D45">
        <v>264</v>
      </c>
      <c r="E45">
        <v>47</v>
      </c>
      <c r="F45">
        <v>55</v>
      </c>
      <c r="G45">
        <v>1</v>
      </c>
      <c r="H45" t="b">
        <v>0</v>
      </c>
      <c r="I45" t="s">
        <v>6603</v>
      </c>
      <c r="J45" t="s">
        <v>6604</v>
      </c>
      <c r="K45" t="s">
        <v>4944</v>
      </c>
      <c r="L45" t="s">
        <v>5574</v>
      </c>
      <c r="M45" t="s">
        <v>6473</v>
      </c>
      <c r="N45">
        <v>1080</v>
      </c>
      <c r="O45" t="s">
        <v>4789</v>
      </c>
      <c r="P45" t="s">
        <v>6605</v>
      </c>
      <c r="Q45" t="s">
        <v>6606</v>
      </c>
      <c r="R45" t="s">
        <v>6607</v>
      </c>
      <c r="S45">
        <f>COUNTIFS(ListOfExpenditure!H:H,Public_procurment[[#This Row],[Value.id]],ListOfExpenditure!Y:Y,TRUE)</f>
        <v>0</v>
      </c>
    </row>
    <row r="46" spans="1:19" x14ac:dyDescent="0.25">
      <c r="A46" s="1" t="s">
        <v>58</v>
      </c>
      <c r="B46" s="1" t="s">
        <v>33</v>
      </c>
      <c r="C46">
        <v>15</v>
      </c>
      <c r="D46">
        <v>55</v>
      </c>
      <c r="E46">
        <v>30</v>
      </c>
      <c r="F46">
        <v>55</v>
      </c>
      <c r="G46">
        <v>1</v>
      </c>
      <c r="H46" t="b">
        <v>1</v>
      </c>
      <c r="I46" t="s">
        <v>6568</v>
      </c>
      <c r="J46" t="s">
        <v>6569</v>
      </c>
      <c r="K46" t="s">
        <v>4922</v>
      </c>
      <c r="L46" t="s">
        <v>5419</v>
      </c>
      <c r="M46" t="s">
        <v>6473</v>
      </c>
      <c r="N46">
        <v>868.1</v>
      </c>
      <c r="O46" t="s">
        <v>4789</v>
      </c>
      <c r="P46" t="s">
        <v>6570</v>
      </c>
      <c r="Q46" t="s">
        <v>6571</v>
      </c>
      <c r="R46" t="s">
        <v>212</v>
      </c>
      <c r="S46">
        <f>COUNTIFS(ListOfExpenditure!H:H,Public_procurment[[#This Row],[Value.id]],ListOfExpenditure!Y:Y,TRUE)</f>
        <v>0</v>
      </c>
    </row>
    <row r="47" spans="1:19" x14ac:dyDescent="0.25">
      <c r="A47" s="1" t="s">
        <v>58</v>
      </c>
      <c r="B47" s="1" t="s">
        <v>33</v>
      </c>
      <c r="C47">
        <v>15</v>
      </c>
      <c r="D47">
        <v>55</v>
      </c>
      <c r="E47">
        <v>31</v>
      </c>
      <c r="F47">
        <v>55</v>
      </c>
      <c r="G47">
        <v>1</v>
      </c>
      <c r="H47" t="b">
        <v>1</v>
      </c>
      <c r="I47" t="s">
        <v>6572</v>
      </c>
      <c r="J47" t="s">
        <v>6573</v>
      </c>
      <c r="K47" t="s">
        <v>4926</v>
      </c>
      <c r="L47" t="s">
        <v>4839</v>
      </c>
      <c r="M47" t="s">
        <v>6473</v>
      </c>
      <c r="N47">
        <v>549</v>
      </c>
      <c r="O47" t="s">
        <v>4789</v>
      </c>
      <c r="P47" t="s">
        <v>6574</v>
      </c>
      <c r="Q47" t="s">
        <v>6575</v>
      </c>
      <c r="R47" t="s">
        <v>212</v>
      </c>
      <c r="S47">
        <f>COUNTIFS(ListOfExpenditure!H:H,Public_procurment[[#This Row],[Value.id]],ListOfExpenditure!Y:Y,TRUE)</f>
        <v>0</v>
      </c>
    </row>
    <row r="48" spans="1:19" x14ac:dyDescent="0.25">
      <c r="A48" s="1" t="s">
        <v>58</v>
      </c>
      <c r="B48" s="1" t="s">
        <v>33</v>
      </c>
      <c r="C48">
        <v>15</v>
      </c>
      <c r="D48">
        <v>55</v>
      </c>
      <c r="E48">
        <v>32</v>
      </c>
      <c r="F48">
        <v>55</v>
      </c>
      <c r="G48">
        <v>1</v>
      </c>
      <c r="H48" t="b">
        <v>1</v>
      </c>
      <c r="I48" t="s">
        <v>6576</v>
      </c>
      <c r="J48" t="s">
        <v>6577</v>
      </c>
      <c r="K48" t="s">
        <v>4929</v>
      </c>
      <c r="L48" t="s">
        <v>6578</v>
      </c>
      <c r="M48" t="s">
        <v>6473</v>
      </c>
      <c r="N48">
        <v>610</v>
      </c>
      <c r="O48" t="s">
        <v>4789</v>
      </c>
      <c r="P48" t="s">
        <v>6579</v>
      </c>
      <c r="Q48" t="s">
        <v>6580</v>
      </c>
      <c r="R48" t="s">
        <v>212</v>
      </c>
      <c r="S48">
        <f>COUNTIFS(ListOfExpenditure!H:H,Public_procurment[[#This Row],[Value.id]],ListOfExpenditure!Y:Y,TRUE)</f>
        <v>0</v>
      </c>
    </row>
    <row r="49" spans="1:19" x14ac:dyDescent="0.25">
      <c r="A49" s="1" t="s">
        <v>58</v>
      </c>
      <c r="B49" s="1" t="s">
        <v>33</v>
      </c>
      <c r="C49">
        <v>15</v>
      </c>
      <c r="D49">
        <v>55</v>
      </c>
      <c r="E49">
        <v>33</v>
      </c>
      <c r="F49">
        <v>55</v>
      </c>
      <c r="G49">
        <v>1</v>
      </c>
      <c r="H49" t="b">
        <v>1</v>
      </c>
      <c r="I49" t="s">
        <v>6581</v>
      </c>
      <c r="J49" t="s">
        <v>6582</v>
      </c>
      <c r="K49" t="s">
        <v>4933</v>
      </c>
      <c r="L49" t="s">
        <v>6583</v>
      </c>
      <c r="M49" t="s">
        <v>6473</v>
      </c>
      <c r="N49">
        <v>42.21</v>
      </c>
      <c r="O49" t="s">
        <v>4789</v>
      </c>
      <c r="P49" t="s">
        <v>6584</v>
      </c>
      <c r="Q49" t="s">
        <v>6585</v>
      </c>
      <c r="R49" t="s">
        <v>212</v>
      </c>
      <c r="S49">
        <f>COUNTIFS(ListOfExpenditure!H:H,Public_procurment[[#This Row],[Value.id]],ListOfExpenditure!Y:Y,TRUE)</f>
        <v>0</v>
      </c>
    </row>
    <row r="50" spans="1:19" x14ac:dyDescent="0.25">
      <c r="A50" s="1" t="s">
        <v>58</v>
      </c>
      <c r="B50" s="1" t="s">
        <v>33</v>
      </c>
      <c r="C50">
        <v>15</v>
      </c>
      <c r="D50">
        <v>55</v>
      </c>
      <c r="E50">
        <v>34</v>
      </c>
      <c r="F50">
        <v>55</v>
      </c>
      <c r="G50">
        <v>1</v>
      </c>
      <c r="H50" t="b">
        <v>1</v>
      </c>
      <c r="I50" t="s">
        <v>6586</v>
      </c>
      <c r="J50" t="s">
        <v>6587</v>
      </c>
      <c r="K50" t="s">
        <v>4938</v>
      </c>
      <c r="L50" t="s">
        <v>4863</v>
      </c>
      <c r="M50" t="s">
        <v>6473</v>
      </c>
      <c r="N50">
        <v>870.43</v>
      </c>
      <c r="O50" t="s">
        <v>4789</v>
      </c>
      <c r="P50" t="s">
        <v>6588</v>
      </c>
      <c r="Q50" t="s">
        <v>6589</v>
      </c>
      <c r="R50" t="s">
        <v>212</v>
      </c>
      <c r="S50">
        <f>COUNTIFS(ListOfExpenditure!H:H,Public_procurment[[#This Row],[Value.id]],ListOfExpenditure!Y:Y,TRUE)</f>
        <v>0</v>
      </c>
    </row>
    <row r="51" spans="1:19" x14ac:dyDescent="0.25">
      <c r="A51" s="1" t="s">
        <v>58</v>
      </c>
      <c r="B51" s="1" t="s">
        <v>33</v>
      </c>
      <c r="C51">
        <v>15</v>
      </c>
      <c r="D51">
        <v>55</v>
      </c>
      <c r="E51">
        <v>35</v>
      </c>
      <c r="F51">
        <v>55</v>
      </c>
      <c r="G51">
        <v>1</v>
      </c>
      <c r="H51" t="b">
        <v>1</v>
      </c>
      <c r="I51" t="s">
        <v>6590</v>
      </c>
      <c r="J51" t="s">
        <v>6591</v>
      </c>
      <c r="K51" t="s">
        <v>4940</v>
      </c>
      <c r="L51" t="s">
        <v>5432</v>
      </c>
      <c r="M51" t="s">
        <v>6592</v>
      </c>
      <c r="N51">
        <v>1500</v>
      </c>
      <c r="O51" t="s">
        <v>4789</v>
      </c>
      <c r="P51" t="s">
        <v>6593</v>
      </c>
      <c r="Q51" t="s">
        <v>6594</v>
      </c>
      <c r="R51" t="s">
        <v>212</v>
      </c>
      <c r="S51">
        <f>COUNTIFS(ListOfExpenditure!H:H,Public_procurment[[#This Row],[Value.id]],ListOfExpenditure!Y:Y,TRUE)</f>
        <v>0</v>
      </c>
    </row>
    <row r="52" spans="1:19" x14ac:dyDescent="0.25">
      <c r="A52" s="1" t="s">
        <v>58</v>
      </c>
      <c r="B52" s="1" t="s">
        <v>33</v>
      </c>
      <c r="C52">
        <v>15</v>
      </c>
      <c r="D52">
        <v>55</v>
      </c>
      <c r="E52">
        <v>45</v>
      </c>
      <c r="F52">
        <v>55</v>
      </c>
      <c r="G52">
        <v>1</v>
      </c>
      <c r="H52" t="b">
        <v>1</v>
      </c>
      <c r="I52" t="s">
        <v>6595</v>
      </c>
      <c r="J52" t="s">
        <v>6596</v>
      </c>
      <c r="K52" t="s">
        <v>4941</v>
      </c>
      <c r="L52" t="s">
        <v>6505</v>
      </c>
      <c r="M52" t="s">
        <v>6597</v>
      </c>
      <c r="N52">
        <v>11899</v>
      </c>
      <c r="O52" t="s">
        <v>4789</v>
      </c>
      <c r="P52" t="s">
        <v>6501</v>
      </c>
      <c r="Q52" t="s">
        <v>6502</v>
      </c>
      <c r="R52" t="s">
        <v>212</v>
      </c>
      <c r="S52">
        <f>COUNTIFS(ListOfExpenditure!H:H,Public_procurment[[#This Row],[Value.id]],ListOfExpenditure!Y:Y,TRUE)</f>
        <v>0</v>
      </c>
    </row>
    <row r="53" spans="1:19" x14ac:dyDescent="0.25">
      <c r="A53" s="1" t="s">
        <v>58</v>
      </c>
      <c r="B53" s="1" t="s">
        <v>33</v>
      </c>
      <c r="C53">
        <v>15</v>
      </c>
      <c r="D53">
        <v>55</v>
      </c>
      <c r="E53">
        <v>46</v>
      </c>
      <c r="F53">
        <v>55</v>
      </c>
      <c r="G53">
        <v>1</v>
      </c>
      <c r="H53" t="b">
        <v>1</v>
      </c>
      <c r="I53" t="s">
        <v>6598</v>
      </c>
      <c r="J53" t="s">
        <v>6599</v>
      </c>
      <c r="K53" t="s">
        <v>4943</v>
      </c>
      <c r="L53" t="s">
        <v>6600</v>
      </c>
      <c r="M53" t="s">
        <v>6597</v>
      </c>
      <c r="N53">
        <v>130000</v>
      </c>
      <c r="O53" t="s">
        <v>4789</v>
      </c>
      <c r="P53" t="s">
        <v>6601</v>
      </c>
      <c r="Q53" t="s">
        <v>6602</v>
      </c>
      <c r="R53" t="s">
        <v>212</v>
      </c>
      <c r="S53">
        <f>COUNTIFS(ListOfExpenditure!H:H,Public_procurment[[#This Row],[Value.id]],ListOfExpenditure!Y:Y,TRUE)</f>
        <v>0</v>
      </c>
    </row>
    <row r="54" spans="1:19" x14ac:dyDescent="0.25">
      <c r="A54" s="1" t="s">
        <v>58</v>
      </c>
      <c r="B54" s="1" t="s">
        <v>33</v>
      </c>
      <c r="C54">
        <v>15</v>
      </c>
      <c r="D54">
        <v>55</v>
      </c>
      <c r="E54">
        <v>47</v>
      </c>
      <c r="F54">
        <v>55</v>
      </c>
      <c r="G54">
        <v>1</v>
      </c>
      <c r="H54" t="b">
        <v>1</v>
      </c>
      <c r="I54" t="s">
        <v>6603</v>
      </c>
      <c r="J54" t="s">
        <v>6604</v>
      </c>
      <c r="K54" t="s">
        <v>4944</v>
      </c>
      <c r="L54" t="s">
        <v>5574</v>
      </c>
      <c r="M54" t="s">
        <v>6473</v>
      </c>
      <c r="N54">
        <v>1080</v>
      </c>
      <c r="O54" t="s">
        <v>4789</v>
      </c>
      <c r="P54" t="s">
        <v>6605</v>
      </c>
      <c r="Q54" t="s">
        <v>6606</v>
      </c>
      <c r="R54" t="s">
        <v>6607</v>
      </c>
      <c r="S54">
        <f>COUNTIFS(ListOfExpenditure!H:H,Public_procurment[[#This Row],[Value.id]],ListOfExpenditure!Y:Y,TRUE)</f>
        <v>0</v>
      </c>
    </row>
    <row r="55" spans="1:19" x14ac:dyDescent="0.25">
      <c r="A55" s="1" t="s">
        <v>58</v>
      </c>
      <c r="B55" s="1" t="s">
        <v>30</v>
      </c>
      <c r="C55">
        <v>12</v>
      </c>
      <c r="D55">
        <v>222</v>
      </c>
      <c r="E55">
        <v>74</v>
      </c>
      <c r="F55">
        <v>74</v>
      </c>
      <c r="G55">
        <v>1</v>
      </c>
      <c r="H55" t="b">
        <v>0</v>
      </c>
      <c r="I55" t="s">
        <v>6608</v>
      </c>
      <c r="J55" t="s">
        <v>6609</v>
      </c>
      <c r="K55" t="s">
        <v>6610</v>
      </c>
      <c r="L55" t="s">
        <v>4797</v>
      </c>
      <c r="M55" t="s">
        <v>6611</v>
      </c>
      <c r="N55">
        <v>880</v>
      </c>
      <c r="O55" t="s">
        <v>4789</v>
      </c>
      <c r="P55" t="s">
        <v>6612</v>
      </c>
      <c r="Q55" t="s">
        <v>6613</v>
      </c>
      <c r="R55" t="s">
        <v>6614</v>
      </c>
      <c r="S55">
        <f>COUNTIFS(ListOfExpenditure!H:H,Public_procurment[[#This Row],[Value.id]],ListOfExpenditure!Y:Y,TRUE)</f>
        <v>1</v>
      </c>
    </row>
    <row r="56" spans="1:19" x14ac:dyDescent="0.25">
      <c r="A56" s="1" t="s">
        <v>58</v>
      </c>
      <c r="B56" s="1" t="s">
        <v>30</v>
      </c>
      <c r="C56">
        <v>12</v>
      </c>
      <c r="D56">
        <v>222</v>
      </c>
      <c r="E56">
        <v>75</v>
      </c>
      <c r="F56">
        <v>74</v>
      </c>
      <c r="G56">
        <v>1</v>
      </c>
      <c r="H56" t="b">
        <v>0</v>
      </c>
      <c r="I56" t="s">
        <v>6615</v>
      </c>
      <c r="J56" t="s">
        <v>6616</v>
      </c>
      <c r="K56" t="s">
        <v>6617</v>
      </c>
      <c r="L56" t="s">
        <v>5337</v>
      </c>
      <c r="M56" t="s">
        <v>6618</v>
      </c>
      <c r="N56">
        <v>14883</v>
      </c>
      <c r="O56" t="s">
        <v>4789</v>
      </c>
      <c r="P56" t="s">
        <v>6619</v>
      </c>
      <c r="Q56" t="s">
        <v>6620</v>
      </c>
      <c r="R56" t="s">
        <v>6621</v>
      </c>
      <c r="S56">
        <f>COUNTIFS(ListOfExpenditure!H:H,Public_procurment[[#This Row],[Value.id]],ListOfExpenditure!Y:Y,TRUE)</f>
        <v>1</v>
      </c>
    </row>
    <row r="57" spans="1:19" x14ac:dyDescent="0.25">
      <c r="A57" s="1" t="s">
        <v>58</v>
      </c>
      <c r="B57" s="1" t="s">
        <v>30</v>
      </c>
      <c r="C57">
        <v>12</v>
      </c>
      <c r="D57">
        <v>222</v>
      </c>
      <c r="E57">
        <v>215</v>
      </c>
      <c r="F57">
        <v>222</v>
      </c>
      <c r="G57">
        <v>2</v>
      </c>
      <c r="H57" t="b">
        <v>1</v>
      </c>
      <c r="I57" t="s">
        <v>6622</v>
      </c>
      <c r="J57" t="s">
        <v>6623</v>
      </c>
      <c r="K57" t="s">
        <v>6624</v>
      </c>
      <c r="L57" t="s">
        <v>6625</v>
      </c>
      <c r="M57" t="s">
        <v>6618</v>
      </c>
      <c r="N57">
        <v>6100</v>
      </c>
      <c r="O57" t="s">
        <v>4789</v>
      </c>
      <c r="P57" t="s">
        <v>6626</v>
      </c>
      <c r="Q57" t="s">
        <v>6627</v>
      </c>
      <c r="R57" t="s">
        <v>6628</v>
      </c>
      <c r="S57">
        <f>COUNTIFS(ListOfExpenditure!H:H,Public_procurment[[#This Row],[Value.id]],ListOfExpenditure!Y:Y,TRUE)</f>
        <v>1</v>
      </c>
    </row>
    <row r="58" spans="1:19" x14ac:dyDescent="0.25">
      <c r="A58" s="1" t="s">
        <v>58</v>
      </c>
      <c r="B58" s="1" t="s">
        <v>30</v>
      </c>
      <c r="C58">
        <v>12</v>
      </c>
      <c r="D58">
        <v>222</v>
      </c>
      <c r="E58">
        <v>216</v>
      </c>
      <c r="F58">
        <v>222</v>
      </c>
      <c r="G58">
        <v>2</v>
      </c>
      <c r="H58" t="b">
        <v>1</v>
      </c>
      <c r="I58" t="s">
        <v>6629</v>
      </c>
      <c r="J58" t="s">
        <v>6630</v>
      </c>
      <c r="K58" t="s">
        <v>6631</v>
      </c>
      <c r="L58" t="s">
        <v>5337</v>
      </c>
      <c r="M58" t="s">
        <v>6618</v>
      </c>
      <c r="N58">
        <v>8810.9</v>
      </c>
      <c r="O58" t="s">
        <v>4789</v>
      </c>
      <c r="P58" t="s">
        <v>6632</v>
      </c>
      <c r="Q58" t="s">
        <v>3945</v>
      </c>
      <c r="R58" t="s">
        <v>6633</v>
      </c>
      <c r="S58">
        <f>COUNTIFS(ListOfExpenditure!H:H,Public_procurment[[#This Row],[Value.id]],ListOfExpenditure!Y:Y,TRUE)</f>
        <v>1</v>
      </c>
    </row>
    <row r="59" spans="1:19" x14ac:dyDescent="0.25">
      <c r="A59" s="1" t="s">
        <v>58</v>
      </c>
      <c r="B59" s="1" t="s">
        <v>30</v>
      </c>
      <c r="C59">
        <v>12</v>
      </c>
      <c r="D59">
        <v>74</v>
      </c>
      <c r="E59">
        <v>74</v>
      </c>
      <c r="F59">
        <v>74</v>
      </c>
      <c r="G59">
        <v>1</v>
      </c>
      <c r="H59" t="b">
        <v>1</v>
      </c>
      <c r="I59" t="s">
        <v>6608</v>
      </c>
      <c r="J59" t="s">
        <v>6609</v>
      </c>
      <c r="K59" t="s">
        <v>6610</v>
      </c>
      <c r="L59" t="s">
        <v>4797</v>
      </c>
      <c r="M59" t="s">
        <v>6611</v>
      </c>
      <c r="N59">
        <v>880</v>
      </c>
      <c r="O59" t="s">
        <v>4789</v>
      </c>
      <c r="P59" t="s">
        <v>6612</v>
      </c>
      <c r="Q59" t="s">
        <v>6613</v>
      </c>
      <c r="R59" t="s">
        <v>6614</v>
      </c>
      <c r="S59">
        <f>COUNTIFS(ListOfExpenditure!H:H,Public_procurment[[#This Row],[Value.id]],ListOfExpenditure!Y:Y,TRUE)</f>
        <v>1</v>
      </c>
    </row>
    <row r="60" spans="1:19" x14ac:dyDescent="0.25">
      <c r="A60" s="1" t="s">
        <v>58</v>
      </c>
      <c r="B60" s="1" t="s">
        <v>30</v>
      </c>
      <c r="C60">
        <v>12</v>
      </c>
      <c r="D60">
        <v>74</v>
      </c>
      <c r="E60">
        <v>75</v>
      </c>
      <c r="F60">
        <v>74</v>
      </c>
      <c r="G60">
        <v>1</v>
      </c>
      <c r="H60" t="b">
        <v>1</v>
      </c>
      <c r="I60" t="s">
        <v>6615</v>
      </c>
      <c r="J60" t="s">
        <v>6616</v>
      </c>
      <c r="K60" t="s">
        <v>6617</v>
      </c>
      <c r="L60" t="s">
        <v>5337</v>
      </c>
      <c r="M60" t="s">
        <v>6618</v>
      </c>
      <c r="N60">
        <v>14883</v>
      </c>
      <c r="O60" t="s">
        <v>4789</v>
      </c>
      <c r="P60" t="s">
        <v>6619</v>
      </c>
      <c r="Q60" t="s">
        <v>6620</v>
      </c>
      <c r="R60" t="s">
        <v>6621</v>
      </c>
      <c r="S60">
        <f>COUNTIFS(ListOfExpenditure!H:H,Public_procurment[[#This Row],[Value.id]],ListOfExpenditure!Y:Y,TRUE)</f>
        <v>1</v>
      </c>
    </row>
    <row r="61" spans="1:19" x14ac:dyDescent="0.25">
      <c r="A61" s="1" t="s">
        <v>71</v>
      </c>
      <c r="B61" s="1" t="s">
        <v>301</v>
      </c>
      <c r="C61">
        <v>156</v>
      </c>
      <c r="D61">
        <v>169</v>
      </c>
      <c r="S61">
        <f>COUNTIFS(ListOfExpenditure!H:H,Public_procurment[[#This Row],[Value.id]],ListOfExpenditure!Y:Y,TRUE)</f>
        <v>0</v>
      </c>
    </row>
    <row r="62" spans="1:19" x14ac:dyDescent="0.25">
      <c r="A62" s="1" t="s">
        <v>71</v>
      </c>
      <c r="B62" s="1" t="s">
        <v>47</v>
      </c>
      <c r="C62">
        <v>159</v>
      </c>
      <c r="D62">
        <v>291</v>
      </c>
      <c r="S62">
        <f>COUNTIFS(ListOfExpenditure!H:H,Public_procurment[[#This Row],[Value.id]],ListOfExpenditure!Y:Y,TRUE)</f>
        <v>0</v>
      </c>
    </row>
    <row r="63" spans="1:19" x14ac:dyDescent="0.25">
      <c r="A63" s="1" t="s">
        <v>71</v>
      </c>
      <c r="B63" s="1" t="s">
        <v>290</v>
      </c>
      <c r="C63">
        <v>72</v>
      </c>
      <c r="D63">
        <v>134</v>
      </c>
      <c r="S63">
        <f>COUNTIFS(ListOfExpenditure!H:H,Public_procurment[[#This Row],[Value.id]],ListOfExpenditure!Y:Y,TRUE)</f>
        <v>0</v>
      </c>
    </row>
    <row r="64" spans="1:19" x14ac:dyDescent="0.25">
      <c r="A64" s="1" t="s">
        <v>71</v>
      </c>
      <c r="B64" s="1" t="s">
        <v>303</v>
      </c>
      <c r="C64">
        <v>157</v>
      </c>
      <c r="D64">
        <v>206</v>
      </c>
      <c r="E64">
        <v>116</v>
      </c>
      <c r="F64">
        <v>206</v>
      </c>
      <c r="G64">
        <v>1</v>
      </c>
      <c r="H64" t="b">
        <v>1</v>
      </c>
      <c r="I64" t="s">
        <v>6634</v>
      </c>
      <c r="J64" t="s">
        <v>6635</v>
      </c>
      <c r="K64" t="s">
        <v>6636</v>
      </c>
      <c r="L64" t="s">
        <v>5127</v>
      </c>
      <c r="M64" t="s">
        <v>6637</v>
      </c>
      <c r="N64">
        <v>3000</v>
      </c>
      <c r="O64" t="s">
        <v>4789</v>
      </c>
      <c r="P64" t="s">
        <v>6638</v>
      </c>
      <c r="Q64" t="s">
        <v>6639</v>
      </c>
      <c r="R64" t="s">
        <v>212</v>
      </c>
      <c r="S64">
        <f>COUNTIFS(ListOfExpenditure!H:H,Public_procurment[[#This Row],[Value.id]],ListOfExpenditure!Y:Y,TRUE)</f>
        <v>1</v>
      </c>
    </row>
    <row r="65" spans="1:19" x14ac:dyDescent="0.25">
      <c r="A65" s="1" t="s">
        <v>71</v>
      </c>
      <c r="B65" s="1" t="s">
        <v>303</v>
      </c>
      <c r="C65">
        <v>157</v>
      </c>
      <c r="D65">
        <v>206</v>
      </c>
      <c r="E65">
        <v>117</v>
      </c>
      <c r="F65">
        <v>206</v>
      </c>
      <c r="G65">
        <v>1</v>
      </c>
      <c r="H65" t="b">
        <v>1</v>
      </c>
      <c r="I65" t="s">
        <v>6640</v>
      </c>
      <c r="J65" t="s">
        <v>6641</v>
      </c>
      <c r="K65" t="s">
        <v>6642</v>
      </c>
      <c r="L65" t="s">
        <v>5127</v>
      </c>
      <c r="M65" t="s">
        <v>6637</v>
      </c>
      <c r="N65">
        <v>58.9</v>
      </c>
      <c r="O65" t="s">
        <v>4789</v>
      </c>
      <c r="P65" t="s">
        <v>6643</v>
      </c>
      <c r="Q65" t="s">
        <v>6644</v>
      </c>
      <c r="R65" t="s">
        <v>6645</v>
      </c>
      <c r="S65">
        <f>COUNTIFS(ListOfExpenditure!H:H,Public_procurment[[#This Row],[Value.id]],ListOfExpenditure!Y:Y,TRUE)</f>
        <v>1</v>
      </c>
    </row>
    <row r="66" spans="1:19" x14ac:dyDescent="0.25">
      <c r="A66" s="1" t="s">
        <v>71</v>
      </c>
      <c r="B66" s="1" t="s">
        <v>303</v>
      </c>
      <c r="C66">
        <v>157</v>
      </c>
      <c r="D66">
        <v>206</v>
      </c>
      <c r="E66">
        <v>118</v>
      </c>
      <c r="F66">
        <v>206</v>
      </c>
      <c r="G66">
        <v>1</v>
      </c>
      <c r="H66" t="b">
        <v>1</v>
      </c>
      <c r="I66" t="s">
        <v>6646</v>
      </c>
      <c r="J66" t="s">
        <v>6647</v>
      </c>
      <c r="K66" t="s">
        <v>4912</v>
      </c>
      <c r="L66" t="s">
        <v>4913</v>
      </c>
      <c r="M66" t="s">
        <v>6648</v>
      </c>
      <c r="N66">
        <v>199.39</v>
      </c>
      <c r="O66" t="s">
        <v>4789</v>
      </c>
      <c r="P66" t="s">
        <v>6649</v>
      </c>
      <c r="Q66" t="s">
        <v>665</v>
      </c>
      <c r="R66" t="s">
        <v>6650</v>
      </c>
      <c r="S66">
        <f>COUNTIFS(ListOfExpenditure!H:H,Public_procurment[[#This Row],[Value.id]],ListOfExpenditure!Y:Y,TRUE)</f>
        <v>1</v>
      </c>
    </row>
    <row r="67" spans="1:19" x14ac:dyDescent="0.25">
      <c r="A67" s="1" t="s">
        <v>71</v>
      </c>
      <c r="B67" s="1" t="s">
        <v>303</v>
      </c>
      <c r="C67">
        <v>157</v>
      </c>
      <c r="D67">
        <v>206</v>
      </c>
      <c r="E67">
        <v>119</v>
      </c>
      <c r="F67">
        <v>206</v>
      </c>
      <c r="G67">
        <v>1</v>
      </c>
      <c r="H67" t="b">
        <v>1</v>
      </c>
      <c r="I67" t="s">
        <v>6651</v>
      </c>
      <c r="J67" t="s">
        <v>6652</v>
      </c>
      <c r="K67" t="s">
        <v>6653</v>
      </c>
      <c r="L67" t="s">
        <v>4910</v>
      </c>
      <c r="M67" t="s">
        <v>6637</v>
      </c>
      <c r="N67">
        <v>130</v>
      </c>
      <c r="O67" t="s">
        <v>4789</v>
      </c>
      <c r="P67" t="s">
        <v>6654</v>
      </c>
      <c r="Q67" t="s">
        <v>6655</v>
      </c>
      <c r="R67" t="s">
        <v>212</v>
      </c>
      <c r="S67">
        <f>COUNTIFS(ListOfExpenditure!H:H,Public_procurment[[#This Row],[Value.id]],ListOfExpenditure!Y:Y,TRUE)</f>
        <v>1</v>
      </c>
    </row>
    <row r="68" spans="1:19" x14ac:dyDescent="0.25">
      <c r="A68" s="1" t="s">
        <v>71</v>
      </c>
      <c r="B68" s="1" t="s">
        <v>70</v>
      </c>
      <c r="C68">
        <v>155</v>
      </c>
      <c r="D68">
        <v>269</v>
      </c>
      <c r="S68">
        <f>COUNTIFS(ListOfExpenditure!H:H,Public_procurment[[#This Row],[Value.id]],ListOfExpenditure!Y:Y,TRUE)</f>
        <v>0</v>
      </c>
    </row>
    <row r="69" spans="1:19" x14ac:dyDescent="0.25">
      <c r="A69" s="1" t="s">
        <v>71</v>
      </c>
      <c r="B69" s="1" t="s">
        <v>69</v>
      </c>
      <c r="C69">
        <v>154</v>
      </c>
      <c r="D69">
        <v>151</v>
      </c>
      <c r="S69">
        <f>COUNTIFS(ListOfExpenditure!H:H,Public_procurment[[#This Row],[Value.id]],ListOfExpenditure!Y:Y,TRUE)</f>
        <v>0</v>
      </c>
    </row>
    <row r="70" spans="1:19" x14ac:dyDescent="0.25">
      <c r="A70" s="1" t="s">
        <v>312</v>
      </c>
      <c r="B70" s="1" t="s">
        <v>311</v>
      </c>
      <c r="C70">
        <v>183</v>
      </c>
      <c r="D70">
        <v>220</v>
      </c>
      <c r="E70">
        <v>241</v>
      </c>
      <c r="F70">
        <v>220</v>
      </c>
      <c r="G70">
        <v>1</v>
      </c>
      <c r="H70" t="b">
        <v>1</v>
      </c>
      <c r="I70" t="s">
        <v>6656</v>
      </c>
      <c r="J70" t="s">
        <v>6657</v>
      </c>
      <c r="K70" t="s">
        <v>6658</v>
      </c>
      <c r="L70" t="s">
        <v>4924</v>
      </c>
      <c r="M70" t="s">
        <v>6659</v>
      </c>
      <c r="N70">
        <v>51675</v>
      </c>
      <c r="O70" t="s">
        <v>4789</v>
      </c>
      <c r="P70" t="s">
        <v>6660</v>
      </c>
      <c r="Q70" t="s">
        <v>3033</v>
      </c>
      <c r="R70" t="s">
        <v>212</v>
      </c>
      <c r="S70">
        <f>COUNTIFS(ListOfExpenditure!H:H,Public_procurment[[#This Row],[Value.id]],ListOfExpenditure!Y:Y,TRUE)</f>
        <v>0</v>
      </c>
    </row>
    <row r="71" spans="1:19" x14ac:dyDescent="0.25">
      <c r="A71" s="1" t="s">
        <v>312</v>
      </c>
      <c r="B71" s="1" t="s">
        <v>313</v>
      </c>
      <c r="C71">
        <v>184</v>
      </c>
      <c r="D71">
        <v>304</v>
      </c>
      <c r="S71">
        <f>COUNTIFS(ListOfExpenditure!H:H,Public_procurment[[#This Row],[Value.id]],ListOfExpenditure!Y:Y,TRUE)</f>
        <v>0</v>
      </c>
    </row>
    <row r="72" spans="1:19" x14ac:dyDescent="0.25">
      <c r="A72" s="1" t="s">
        <v>312</v>
      </c>
      <c r="B72" s="1" t="s">
        <v>314</v>
      </c>
      <c r="C72">
        <v>185</v>
      </c>
      <c r="D72">
        <v>114</v>
      </c>
      <c r="S72">
        <f>COUNTIFS(ListOfExpenditure!H:H,Public_procurment[[#This Row],[Value.id]],ListOfExpenditure!Y:Y,TRUE)</f>
        <v>0</v>
      </c>
    </row>
    <row r="73" spans="1:19" x14ac:dyDescent="0.25">
      <c r="A73" s="1" t="s">
        <v>312</v>
      </c>
      <c r="B73" s="1" t="s">
        <v>315</v>
      </c>
      <c r="C73">
        <v>187</v>
      </c>
      <c r="D73">
        <v>319</v>
      </c>
      <c r="S73">
        <f>COUNTIFS(ListOfExpenditure!H:H,Public_procurment[[#This Row],[Value.id]],ListOfExpenditure!Y:Y,TRUE)</f>
        <v>0</v>
      </c>
    </row>
    <row r="74" spans="1:19" x14ac:dyDescent="0.25">
      <c r="A74" s="1" t="s">
        <v>312</v>
      </c>
      <c r="B74" s="1" t="s">
        <v>316</v>
      </c>
      <c r="C74">
        <v>186</v>
      </c>
      <c r="D74">
        <v>329</v>
      </c>
      <c r="S74">
        <f>COUNTIFS(ListOfExpenditure!H:H,Public_procurment[[#This Row],[Value.id]],ListOfExpenditure!Y:Y,TRUE)</f>
        <v>0</v>
      </c>
    </row>
    <row r="75" spans="1:19" x14ac:dyDescent="0.25">
      <c r="A75" s="1" t="s">
        <v>337</v>
      </c>
      <c r="B75" s="1" t="s">
        <v>338</v>
      </c>
      <c r="C75">
        <v>124</v>
      </c>
      <c r="D75">
        <v>182</v>
      </c>
      <c r="E75">
        <v>150</v>
      </c>
      <c r="F75">
        <v>182</v>
      </c>
      <c r="G75">
        <v>1</v>
      </c>
      <c r="H75" t="b">
        <v>1</v>
      </c>
      <c r="I75" t="s">
        <v>6661</v>
      </c>
      <c r="J75" t="s">
        <v>6662</v>
      </c>
      <c r="K75" t="s">
        <v>4933</v>
      </c>
      <c r="L75" t="s">
        <v>5036</v>
      </c>
      <c r="M75" t="s">
        <v>6663</v>
      </c>
      <c r="N75">
        <v>37700</v>
      </c>
      <c r="O75" t="s">
        <v>4789</v>
      </c>
      <c r="P75" t="s">
        <v>6664</v>
      </c>
      <c r="Q75" t="s">
        <v>6665</v>
      </c>
      <c r="R75" t="s">
        <v>6666</v>
      </c>
      <c r="S75">
        <f>COUNTIFS(ListOfExpenditure!H:H,Public_procurment[[#This Row],[Value.id]],ListOfExpenditure!Y:Y,TRUE)</f>
        <v>0</v>
      </c>
    </row>
    <row r="76" spans="1:19" x14ac:dyDescent="0.25">
      <c r="A76" s="1" t="s">
        <v>337</v>
      </c>
      <c r="B76" s="1" t="s">
        <v>42</v>
      </c>
      <c r="C76">
        <v>126</v>
      </c>
      <c r="D76">
        <v>140</v>
      </c>
      <c r="S76">
        <f>COUNTIFS(ListOfExpenditure!H:H,Public_procurment[[#This Row],[Value.id]],ListOfExpenditure!Y:Y,TRUE)</f>
        <v>0</v>
      </c>
    </row>
    <row r="77" spans="1:19" x14ac:dyDescent="0.25">
      <c r="A77" s="1" t="s">
        <v>337</v>
      </c>
      <c r="B77" s="1" t="s">
        <v>339</v>
      </c>
      <c r="C77">
        <v>127</v>
      </c>
      <c r="D77">
        <v>168</v>
      </c>
      <c r="E77">
        <v>110</v>
      </c>
      <c r="F77">
        <v>168</v>
      </c>
      <c r="G77">
        <v>1</v>
      </c>
      <c r="H77" t="b">
        <v>1</v>
      </c>
      <c r="I77" t="s">
        <v>6667</v>
      </c>
      <c r="J77" t="s">
        <v>6668</v>
      </c>
      <c r="K77" t="s">
        <v>6669</v>
      </c>
      <c r="L77" t="s">
        <v>5092</v>
      </c>
      <c r="M77" t="s">
        <v>6670</v>
      </c>
      <c r="N77">
        <v>1390</v>
      </c>
      <c r="O77" t="s">
        <v>4789</v>
      </c>
      <c r="P77" t="s">
        <v>6671</v>
      </c>
      <c r="Q77" t="s">
        <v>6672</v>
      </c>
      <c r="R77" t="s">
        <v>6673</v>
      </c>
      <c r="S77">
        <f>COUNTIFS(ListOfExpenditure!H:H,Public_procurment[[#This Row],[Value.id]],ListOfExpenditure!Y:Y,TRUE)</f>
        <v>0</v>
      </c>
    </row>
    <row r="78" spans="1:19" x14ac:dyDescent="0.25">
      <c r="A78" s="1" t="s">
        <v>337</v>
      </c>
      <c r="B78" s="1" t="s">
        <v>339</v>
      </c>
      <c r="C78">
        <v>127</v>
      </c>
      <c r="D78">
        <v>168</v>
      </c>
      <c r="E78">
        <v>145</v>
      </c>
      <c r="F78">
        <v>168</v>
      </c>
      <c r="G78">
        <v>1</v>
      </c>
      <c r="H78" t="b">
        <v>1</v>
      </c>
      <c r="I78" t="s">
        <v>6674</v>
      </c>
      <c r="J78" t="s">
        <v>6675</v>
      </c>
      <c r="K78" t="s">
        <v>6676</v>
      </c>
      <c r="L78" t="s">
        <v>4730</v>
      </c>
      <c r="M78" t="s">
        <v>6670</v>
      </c>
      <c r="N78">
        <v>1606</v>
      </c>
      <c r="O78" t="s">
        <v>4789</v>
      </c>
      <c r="P78" t="s">
        <v>6677</v>
      </c>
      <c r="Q78" t="s">
        <v>6678</v>
      </c>
      <c r="R78" t="s">
        <v>6679</v>
      </c>
      <c r="S78">
        <f>COUNTIFS(ListOfExpenditure!H:H,Public_procurment[[#This Row],[Value.id]],ListOfExpenditure!Y:Y,TRUE)</f>
        <v>0</v>
      </c>
    </row>
    <row r="79" spans="1:19" x14ac:dyDescent="0.25">
      <c r="A79" s="1" t="s">
        <v>337</v>
      </c>
      <c r="B79" s="1" t="s">
        <v>339</v>
      </c>
      <c r="C79">
        <v>127</v>
      </c>
      <c r="D79">
        <v>168</v>
      </c>
      <c r="E79">
        <v>146</v>
      </c>
      <c r="F79">
        <v>168</v>
      </c>
      <c r="G79">
        <v>1</v>
      </c>
      <c r="H79" t="b">
        <v>1</v>
      </c>
      <c r="I79" t="s">
        <v>6680</v>
      </c>
      <c r="J79" t="s">
        <v>6681</v>
      </c>
      <c r="K79" t="s">
        <v>6682</v>
      </c>
      <c r="L79" t="s">
        <v>4942</v>
      </c>
      <c r="M79" t="s">
        <v>6670</v>
      </c>
      <c r="N79">
        <v>350.75</v>
      </c>
      <c r="O79" t="s">
        <v>4789</v>
      </c>
      <c r="P79" t="s">
        <v>6683</v>
      </c>
      <c r="Q79" t="s">
        <v>6684</v>
      </c>
      <c r="R79" t="s">
        <v>6685</v>
      </c>
      <c r="S79">
        <f>COUNTIFS(ListOfExpenditure!H:H,Public_procurment[[#This Row],[Value.id]],ListOfExpenditure!Y:Y,TRUE)</f>
        <v>0</v>
      </c>
    </row>
    <row r="80" spans="1:19" x14ac:dyDescent="0.25">
      <c r="A80" s="1" t="s">
        <v>337</v>
      </c>
      <c r="B80" s="1" t="s">
        <v>339</v>
      </c>
      <c r="C80">
        <v>127</v>
      </c>
      <c r="D80">
        <v>168</v>
      </c>
      <c r="E80">
        <v>147</v>
      </c>
      <c r="F80">
        <v>168</v>
      </c>
      <c r="G80">
        <v>1</v>
      </c>
      <c r="H80" t="b">
        <v>1</v>
      </c>
      <c r="I80" t="s">
        <v>6686</v>
      </c>
      <c r="J80" t="s">
        <v>6687</v>
      </c>
      <c r="K80" t="s">
        <v>6676</v>
      </c>
      <c r="L80" t="s">
        <v>5029</v>
      </c>
      <c r="M80" t="s">
        <v>6688</v>
      </c>
      <c r="N80">
        <v>1220</v>
      </c>
      <c r="O80" t="s">
        <v>4789</v>
      </c>
      <c r="P80" t="s">
        <v>6689</v>
      </c>
      <c r="Q80" t="s">
        <v>6690</v>
      </c>
      <c r="R80" t="s">
        <v>6691</v>
      </c>
      <c r="S80">
        <f>COUNTIFS(ListOfExpenditure!H:H,Public_procurment[[#This Row],[Value.id]],ListOfExpenditure!Y:Y,TRUE)</f>
        <v>0</v>
      </c>
    </row>
    <row r="81" spans="1:19" x14ac:dyDescent="0.25">
      <c r="A81" s="1" t="s">
        <v>337</v>
      </c>
      <c r="B81" s="1" t="s">
        <v>339</v>
      </c>
      <c r="C81">
        <v>127</v>
      </c>
      <c r="D81">
        <v>168</v>
      </c>
      <c r="E81">
        <v>148</v>
      </c>
      <c r="F81">
        <v>168</v>
      </c>
      <c r="G81">
        <v>1</v>
      </c>
      <c r="H81" t="b">
        <v>1</v>
      </c>
      <c r="I81" t="s">
        <v>6692</v>
      </c>
      <c r="J81" t="s">
        <v>6693</v>
      </c>
      <c r="K81" t="s">
        <v>6676</v>
      </c>
      <c r="L81" t="s">
        <v>5029</v>
      </c>
      <c r="M81" t="s">
        <v>6670</v>
      </c>
      <c r="N81">
        <v>1464</v>
      </c>
      <c r="O81" t="s">
        <v>4789</v>
      </c>
      <c r="P81" t="s">
        <v>6689</v>
      </c>
      <c r="Q81" t="s">
        <v>6690</v>
      </c>
      <c r="R81" t="s">
        <v>6694</v>
      </c>
      <c r="S81">
        <f>COUNTIFS(ListOfExpenditure!H:H,Public_procurment[[#This Row],[Value.id]],ListOfExpenditure!Y:Y,TRUE)</f>
        <v>0</v>
      </c>
    </row>
    <row r="82" spans="1:19" x14ac:dyDescent="0.25">
      <c r="A82" s="1" t="s">
        <v>337</v>
      </c>
      <c r="B82" s="1" t="s">
        <v>307</v>
      </c>
      <c r="C82">
        <v>125</v>
      </c>
      <c r="D82">
        <v>232</v>
      </c>
      <c r="S82">
        <f>COUNTIFS(ListOfExpenditure!H:H,Public_procurment[[#This Row],[Value.id]],ListOfExpenditure!Y:Y,TRUE)</f>
        <v>0</v>
      </c>
    </row>
    <row r="83" spans="1:19" x14ac:dyDescent="0.25">
      <c r="A83" s="1" t="s">
        <v>337</v>
      </c>
      <c r="B83" s="1" t="s">
        <v>340</v>
      </c>
      <c r="C83">
        <v>123</v>
      </c>
      <c r="D83">
        <v>141</v>
      </c>
      <c r="S83">
        <f>COUNTIFS(ListOfExpenditure!H:H,Public_procurment[[#This Row],[Value.id]],ListOfExpenditure!Y:Y,TRUE)</f>
        <v>0</v>
      </c>
    </row>
    <row r="84" spans="1:19" x14ac:dyDescent="0.25">
      <c r="A84" s="1" t="s">
        <v>337</v>
      </c>
      <c r="B84" s="1" t="s">
        <v>292</v>
      </c>
      <c r="C84">
        <v>122</v>
      </c>
      <c r="D84">
        <v>22</v>
      </c>
      <c r="E84">
        <v>109</v>
      </c>
      <c r="F84">
        <v>22</v>
      </c>
      <c r="G84">
        <v>1</v>
      </c>
      <c r="H84" t="b">
        <v>1</v>
      </c>
      <c r="I84" t="s">
        <v>6695</v>
      </c>
      <c r="J84" t="s">
        <v>6696</v>
      </c>
      <c r="K84" t="s">
        <v>6697</v>
      </c>
      <c r="L84" t="s">
        <v>5234</v>
      </c>
      <c r="M84" t="s">
        <v>6698</v>
      </c>
      <c r="N84">
        <v>3054</v>
      </c>
      <c r="O84" t="s">
        <v>4789</v>
      </c>
      <c r="P84" t="s">
        <v>6699</v>
      </c>
      <c r="Q84" t="s">
        <v>6700</v>
      </c>
      <c r="R84" t="s">
        <v>6701</v>
      </c>
      <c r="S84">
        <f>COUNTIFS(ListOfExpenditure!H:H,Public_procurment[[#This Row],[Value.id]],ListOfExpenditure!Y:Y,TRUE)</f>
        <v>1</v>
      </c>
    </row>
    <row r="85" spans="1:19" x14ac:dyDescent="0.25">
      <c r="A85" s="1" t="s">
        <v>337</v>
      </c>
      <c r="B85" s="1" t="s">
        <v>292</v>
      </c>
      <c r="C85">
        <v>122</v>
      </c>
      <c r="D85">
        <v>22</v>
      </c>
      <c r="E85">
        <v>219</v>
      </c>
      <c r="F85">
        <v>22</v>
      </c>
      <c r="G85">
        <v>1</v>
      </c>
      <c r="H85" t="b">
        <v>1</v>
      </c>
      <c r="I85" t="s">
        <v>6702</v>
      </c>
      <c r="J85" t="s">
        <v>6703</v>
      </c>
      <c r="K85" t="s">
        <v>6704</v>
      </c>
      <c r="L85" t="s">
        <v>5074</v>
      </c>
      <c r="M85" t="s">
        <v>6698</v>
      </c>
      <c r="N85">
        <v>700</v>
      </c>
      <c r="O85" t="s">
        <v>4789</v>
      </c>
      <c r="P85" t="s">
        <v>6705</v>
      </c>
      <c r="Q85" t="s">
        <v>6706</v>
      </c>
      <c r="R85" t="s">
        <v>6707</v>
      </c>
      <c r="S85">
        <f>COUNTIFS(ListOfExpenditure!H:H,Public_procurment[[#This Row],[Value.id]],ListOfExpenditure!Y:Y,TRUE)</f>
        <v>1</v>
      </c>
    </row>
    <row r="86" spans="1:19" x14ac:dyDescent="0.25">
      <c r="A86" s="1" t="s">
        <v>357</v>
      </c>
      <c r="B86" s="1" t="s">
        <v>358</v>
      </c>
      <c r="C86">
        <v>160</v>
      </c>
      <c r="D86">
        <v>225</v>
      </c>
      <c r="S86">
        <f>COUNTIFS(ListOfExpenditure!H:H,Public_procurment[[#This Row],[Value.id]],ListOfExpenditure!Y:Y,TRUE)</f>
        <v>0</v>
      </c>
    </row>
    <row r="87" spans="1:19" x14ac:dyDescent="0.25">
      <c r="A87" s="1" t="s">
        <v>357</v>
      </c>
      <c r="B87" s="1" t="s">
        <v>290</v>
      </c>
      <c r="C87">
        <v>232</v>
      </c>
      <c r="D87">
        <v>165</v>
      </c>
      <c r="S87">
        <f>COUNTIFS(ListOfExpenditure!H:H,Public_procurment[[#This Row],[Value.id]],ListOfExpenditure!Y:Y,TRUE)</f>
        <v>0</v>
      </c>
    </row>
    <row r="88" spans="1:19" x14ac:dyDescent="0.25">
      <c r="A88" s="1" t="s">
        <v>357</v>
      </c>
      <c r="B88" s="1" t="s">
        <v>56</v>
      </c>
      <c r="C88">
        <v>209</v>
      </c>
      <c r="D88">
        <v>257</v>
      </c>
      <c r="S88">
        <f>COUNTIFS(ListOfExpenditure!H:H,Public_procurment[[#This Row],[Value.id]],ListOfExpenditure!Y:Y,TRUE)</f>
        <v>0</v>
      </c>
    </row>
    <row r="89" spans="1:19" x14ac:dyDescent="0.25">
      <c r="A89" s="1" t="s">
        <v>357</v>
      </c>
      <c r="B89" s="1" t="s">
        <v>359</v>
      </c>
      <c r="C89">
        <v>161</v>
      </c>
      <c r="D89">
        <v>315</v>
      </c>
      <c r="E89">
        <v>255</v>
      </c>
      <c r="F89">
        <v>315</v>
      </c>
      <c r="G89">
        <v>1</v>
      </c>
      <c r="H89" t="b">
        <v>1</v>
      </c>
      <c r="I89" t="s">
        <v>6708</v>
      </c>
      <c r="J89" t="s">
        <v>6709</v>
      </c>
      <c r="K89" t="s">
        <v>4926</v>
      </c>
      <c r="L89" t="s">
        <v>4900</v>
      </c>
      <c r="M89" t="s">
        <v>6710</v>
      </c>
      <c r="N89">
        <v>1900</v>
      </c>
      <c r="O89" t="s">
        <v>4789</v>
      </c>
      <c r="P89" t="s">
        <v>6711</v>
      </c>
      <c r="Q89" t="s">
        <v>6712</v>
      </c>
      <c r="R89" t="s">
        <v>212</v>
      </c>
      <c r="S89">
        <f>COUNTIFS(ListOfExpenditure!H:H,Public_procurment[[#This Row],[Value.id]],ListOfExpenditure!Y:Y,TRUE)</f>
        <v>0</v>
      </c>
    </row>
    <row r="90" spans="1:19" x14ac:dyDescent="0.25">
      <c r="A90" s="1" t="s">
        <v>357</v>
      </c>
      <c r="B90" s="1" t="s">
        <v>359</v>
      </c>
      <c r="C90">
        <v>161</v>
      </c>
      <c r="D90">
        <v>315</v>
      </c>
      <c r="E90">
        <v>256</v>
      </c>
      <c r="F90">
        <v>315</v>
      </c>
      <c r="G90">
        <v>1</v>
      </c>
      <c r="H90" t="b">
        <v>1</v>
      </c>
      <c r="I90" t="s">
        <v>6713</v>
      </c>
      <c r="J90" t="s">
        <v>6714</v>
      </c>
      <c r="K90" t="s">
        <v>4929</v>
      </c>
      <c r="L90" t="s">
        <v>5088</v>
      </c>
      <c r="M90" t="s">
        <v>6715</v>
      </c>
      <c r="N90">
        <v>500</v>
      </c>
      <c r="O90" t="s">
        <v>4789</v>
      </c>
      <c r="P90" t="s">
        <v>6716</v>
      </c>
      <c r="Q90" t="s">
        <v>6717</v>
      </c>
      <c r="R90" t="s">
        <v>212</v>
      </c>
      <c r="S90">
        <f>COUNTIFS(ListOfExpenditure!H:H,Public_procurment[[#This Row],[Value.id]],ListOfExpenditure!Y:Y,TRUE)</f>
        <v>0</v>
      </c>
    </row>
    <row r="91" spans="1:19" x14ac:dyDescent="0.25">
      <c r="A91" s="1" t="s">
        <v>357</v>
      </c>
      <c r="B91" s="1" t="s">
        <v>359</v>
      </c>
      <c r="C91">
        <v>161</v>
      </c>
      <c r="D91">
        <v>315</v>
      </c>
      <c r="E91">
        <v>257</v>
      </c>
      <c r="F91">
        <v>315</v>
      </c>
      <c r="G91">
        <v>1</v>
      </c>
      <c r="H91" t="b">
        <v>1</v>
      </c>
      <c r="I91" t="s">
        <v>6718</v>
      </c>
      <c r="J91" t="s">
        <v>6719</v>
      </c>
      <c r="K91" t="s">
        <v>4933</v>
      </c>
      <c r="L91" t="s">
        <v>5088</v>
      </c>
      <c r="M91" t="s">
        <v>6715</v>
      </c>
      <c r="N91">
        <v>500</v>
      </c>
      <c r="O91" t="s">
        <v>4789</v>
      </c>
      <c r="P91" t="s">
        <v>6720</v>
      </c>
      <c r="Q91" t="s">
        <v>6721</v>
      </c>
      <c r="R91" t="s">
        <v>212</v>
      </c>
      <c r="S91">
        <f>COUNTIFS(ListOfExpenditure!H:H,Public_procurment[[#This Row],[Value.id]],ListOfExpenditure!Y:Y,TRUE)</f>
        <v>0</v>
      </c>
    </row>
    <row r="92" spans="1:19" x14ac:dyDescent="0.25">
      <c r="A92" s="1" t="s">
        <v>357</v>
      </c>
      <c r="B92" s="1" t="s">
        <v>359</v>
      </c>
      <c r="C92">
        <v>161</v>
      </c>
      <c r="D92">
        <v>315</v>
      </c>
      <c r="E92">
        <v>263</v>
      </c>
      <c r="F92">
        <v>315</v>
      </c>
      <c r="G92">
        <v>1</v>
      </c>
      <c r="H92" t="b">
        <v>1</v>
      </c>
      <c r="I92" t="s">
        <v>6722</v>
      </c>
      <c r="J92" t="s">
        <v>6723</v>
      </c>
      <c r="K92" t="s">
        <v>4922</v>
      </c>
      <c r="L92" t="s">
        <v>4900</v>
      </c>
      <c r="M92" t="s">
        <v>6710</v>
      </c>
      <c r="N92">
        <v>335</v>
      </c>
      <c r="O92" t="s">
        <v>4789</v>
      </c>
      <c r="P92" t="s">
        <v>6724</v>
      </c>
      <c r="Q92" t="s">
        <v>6725</v>
      </c>
      <c r="R92" t="s">
        <v>212</v>
      </c>
      <c r="S92">
        <f>COUNTIFS(ListOfExpenditure!H:H,Public_procurment[[#This Row],[Value.id]],ListOfExpenditure!Y:Y,TRUE)</f>
        <v>0</v>
      </c>
    </row>
    <row r="93" spans="1:19" x14ac:dyDescent="0.25">
      <c r="A93" s="1" t="s">
        <v>357</v>
      </c>
      <c r="B93" s="1" t="s">
        <v>320</v>
      </c>
      <c r="C93">
        <v>210</v>
      </c>
      <c r="D93">
        <v>162</v>
      </c>
      <c r="S93">
        <f>COUNTIFS(ListOfExpenditure!H:H,Public_procurment[[#This Row],[Value.id]],ListOfExpenditure!Y:Y,TRUE)</f>
        <v>0</v>
      </c>
    </row>
    <row r="94" spans="1:19" x14ac:dyDescent="0.25">
      <c r="A94" s="1" t="s">
        <v>365</v>
      </c>
      <c r="B94" s="1" t="s">
        <v>293</v>
      </c>
      <c r="C94">
        <v>266</v>
      </c>
      <c r="D94">
        <v>321</v>
      </c>
      <c r="E94">
        <v>254</v>
      </c>
      <c r="F94">
        <v>321</v>
      </c>
      <c r="G94">
        <v>2</v>
      </c>
      <c r="H94" t="b">
        <v>1</v>
      </c>
      <c r="I94" t="s">
        <v>6726</v>
      </c>
      <c r="J94" t="s">
        <v>6727</v>
      </c>
      <c r="K94" t="s">
        <v>6270</v>
      </c>
      <c r="L94" t="s">
        <v>4363</v>
      </c>
      <c r="M94" t="s">
        <v>6728</v>
      </c>
      <c r="N94">
        <v>0</v>
      </c>
      <c r="O94" t="s">
        <v>4789</v>
      </c>
      <c r="P94" t="s">
        <v>6729</v>
      </c>
      <c r="Q94" t="s">
        <v>6730</v>
      </c>
      <c r="R94" t="s">
        <v>212</v>
      </c>
      <c r="S94">
        <f>COUNTIFS(ListOfExpenditure!H:H,Public_procurment[[#This Row],[Value.id]],ListOfExpenditure!Y:Y,TRUE)</f>
        <v>0</v>
      </c>
    </row>
    <row r="95" spans="1:19" x14ac:dyDescent="0.25">
      <c r="A95" s="1" t="s">
        <v>365</v>
      </c>
      <c r="B95" s="1" t="s">
        <v>366</v>
      </c>
      <c r="C95">
        <v>263</v>
      </c>
      <c r="D95">
        <v>265</v>
      </c>
      <c r="S95">
        <f>COUNTIFS(ListOfExpenditure!H:H,Public_procurment[[#This Row],[Value.id]],ListOfExpenditure!Y:Y,TRUE)</f>
        <v>0</v>
      </c>
    </row>
    <row r="96" spans="1:19" x14ac:dyDescent="0.25">
      <c r="A96" s="1" t="s">
        <v>365</v>
      </c>
      <c r="B96" s="1" t="s">
        <v>367</v>
      </c>
      <c r="C96">
        <v>241</v>
      </c>
      <c r="D96">
        <v>224</v>
      </c>
      <c r="S96">
        <f>COUNTIFS(ListOfExpenditure!H:H,Public_procurment[[#This Row],[Value.id]],ListOfExpenditure!Y:Y,TRUE)</f>
        <v>0</v>
      </c>
    </row>
    <row r="97" spans="1:19" x14ac:dyDescent="0.25">
      <c r="A97" s="1" t="s">
        <v>365</v>
      </c>
      <c r="B97" s="1" t="s">
        <v>368</v>
      </c>
      <c r="C97">
        <v>265</v>
      </c>
      <c r="D97">
        <v>256</v>
      </c>
      <c r="S97">
        <f>COUNTIFS(ListOfExpenditure!H:H,Public_procurment[[#This Row],[Value.id]],ListOfExpenditure!Y:Y,TRUE)</f>
        <v>0</v>
      </c>
    </row>
    <row r="98" spans="1:19" x14ac:dyDescent="0.25">
      <c r="A98" s="1" t="s">
        <v>365</v>
      </c>
      <c r="B98" s="1" t="s">
        <v>369</v>
      </c>
      <c r="C98">
        <v>264</v>
      </c>
      <c r="D98">
        <v>270</v>
      </c>
      <c r="S98">
        <f>COUNTIFS(ListOfExpenditure!H:H,Public_procurment[[#This Row],[Value.id]],ListOfExpenditure!Y:Y,TRUE)</f>
        <v>0</v>
      </c>
    </row>
    <row r="99" spans="1:19" x14ac:dyDescent="0.25">
      <c r="A99" s="1" t="s">
        <v>365</v>
      </c>
      <c r="B99" s="1" t="s">
        <v>370</v>
      </c>
      <c r="C99">
        <v>249</v>
      </c>
      <c r="D99">
        <v>299</v>
      </c>
      <c r="S99">
        <f>COUNTIFS(ListOfExpenditure!H:H,Public_procurment[[#This Row],[Value.id]],ListOfExpenditure!Y:Y,TRUE)</f>
        <v>0</v>
      </c>
    </row>
    <row r="100" spans="1:19" x14ac:dyDescent="0.25">
      <c r="A100" s="1" t="s">
        <v>250</v>
      </c>
      <c r="B100" s="1" t="s">
        <v>252</v>
      </c>
      <c r="C100">
        <v>29</v>
      </c>
      <c r="D100">
        <v>323</v>
      </c>
      <c r="S100">
        <f>COUNTIFS(ListOfExpenditure!H:H,Public_procurment[[#This Row],[Value.id]],ListOfExpenditure!Y:Y,TRUE)</f>
        <v>0</v>
      </c>
    </row>
    <row r="101" spans="1:19" x14ac:dyDescent="0.25">
      <c r="A101" s="1" t="s">
        <v>250</v>
      </c>
      <c r="B101" s="1" t="s">
        <v>256</v>
      </c>
      <c r="C101">
        <v>31</v>
      </c>
      <c r="D101">
        <v>250</v>
      </c>
      <c r="S101">
        <f>COUNTIFS(ListOfExpenditure!H:H,Public_procurment[[#This Row],[Value.id]],ListOfExpenditure!Y:Y,TRUE)</f>
        <v>0</v>
      </c>
    </row>
    <row r="102" spans="1:19" x14ac:dyDescent="0.25">
      <c r="A102" s="1" t="s">
        <v>250</v>
      </c>
      <c r="B102" s="1" t="s">
        <v>259</v>
      </c>
      <c r="C102">
        <v>33</v>
      </c>
      <c r="D102">
        <v>320</v>
      </c>
      <c r="S102">
        <f>COUNTIFS(ListOfExpenditure!H:H,Public_procurment[[#This Row],[Value.id]],ListOfExpenditure!Y:Y,TRUE)</f>
        <v>0</v>
      </c>
    </row>
    <row r="103" spans="1:19" x14ac:dyDescent="0.25">
      <c r="A103" s="1" t="s">
        <v>250</v>
      </c>
      <c r="B103" s="1" t="s">
        <v>261</v>
      </c>
      <c r="C103">
        <v>32</v>
      </c>
      <c r="D103">
        <v>252</v>
      </c>
      <c r="S103">
        <f>COUNTIFS(ListOfExpenditure!H:H,Public_procurment[[#This Row],[Value.id]],ListOfExpenditure!Y:Y,TRUE)</f>
        <v>0</v>
      </c>
    </row>
    <row r="104" spans="1:19" x14ac:dyDescent="0.25">
      <c r="A104" s="1" t="s">
        <v>250</v>
      </c>
      <c r="B104" s="1" t="s">
        <v>262</v>
      </c>
      <c r="C104">
        <v>30</v>
      </c>
      <c r="D104">
        <v>271</v>
      </c>
      <c r="E104">
        <v>268</v>
      </c>
      <c r="F104">
        <v>271</v>
      </c>
      <c r="G104">
        <v>1</v>
      </c>
      <c r="H104" t="b">
        <v>1</v>
      </c>
      <c r="I104" t="s">
        <v>6731</v>
      </c>
      <c r="J104" t="s">
        <v>6732</v>
      </c>
      <c r="K104" t="s">
        <v>6733</v>
      </c>
      <c r="L104" t="s">
        <v>4476</v>
      </c>
      <c r="M104" t="s">
        <v>6734</v>
      </c>
      <c r="N104">
        <v>17000</v>
      </c>
      <c r="O104" t="s">
        <v>4789</v>
      </c>
      <c r="P104" t="s">
        <v>6735</v>
      </c>
      <c r="Q104" t="s">
        <v>6736</v>
      </c>
      <c r="R104" t="s">
        <v>212</v>
      </c>
      <c r="S104">
        <f>COUNTIFS(ListOfExpenditure!H:H,Public_procurment[[#This Row],[Value.id]],ListOfExpenditure!Y:Y,TRUE)</f>
        <v>0</v>
      </c>
    </row>
    <row r="105" spans="1:19" x14ac:dyDescent="0.25">
      <c r="A105" s="1" t="s">
        <v>250</v>
      </c>
      <c r="B105" s="1" t="s">
        <v>263</v>
      </c>
      <c r="C105">
        <v>28</v>
      </c>
      <c r="D105">
        <v>280</v>
      </c>
      <c r="E105">
        <v>242</v>
      </c>
      <c r="F105">
        <v>280</v>
      </c>
      <c r="G105">
        <v>1</v>
      </c>
      <c r="H105" t="b">
        <v>1</v>
      </c>
      <c r="I105" t="s">
        <v>6737</v>
      </c>
      <c r="J105" t="s">
        <v>6738</v>
      </c>
      <c r="K105" t="s">
        <v>5493</v>
      </c>
      <c r="L105" t="s">
        <v>4911</v>
      </c>
      <c r="M105" t="s">
        <v>6739</v>
      </c>
      <c r="N105">
        <v>46900</v>
      </c>
      <c r="O105" t="s">
        <v>4789</v>
      </c>
      <c r="P105" t="s">
        <v>6740</v>
      </c>
      <c r="Q105" t="s">
        <v>6741</v>
      </c>
      <c r="R105" t="s">
        <v>212</v>
      </c>
      <c r="S105">
        <f>COUNTIFS(ListOfExpenditure!H:H,Public_procurment[[#This Row],[Value.id]],ListOfExpenditure!Y:Y,TRUE)</f>
        <v>0</v>
      </c>
    </row>
    <row r="106" spans="1:19" x14ac:dyDescent="0.25">
      <c r="A106" s="1" t="s">
        <v>250</v>
      </c>
      <c r="B106" s="1" t="s">
        <v>263</v>
      </c>
      <c r="C106">
        <v>28</v>
      </c>
      <c r="D106">
        <v>280</v>
      </c>
      <c r="E106">
        <v>249</v>
      </c>
      <c r="F106">
        <v>280</v>
      </c>
      <c r="G106">
        <v>1</v>
      </c>
      <c r="H106" t="b">
        <v>1</v>
      </c>
      <c r="I106" t="s">
        <v>6742</v>
      </c>
      <c r="J106" t="s">
        <v>6743</v>
      </c>
      <c r="K106" t="s">
        <v>4949</v>
      </c>
      <c r="L106" t="s">
        <v>5112</v>
      </c>
      <c r="M106" t="s">
        <v>6739</v>
      </c>
      <c r="N106">
        <v>23520</v>
      </c>
      <c r="O106" t="s">
        <v>4789</v>
      </c>
      <c r="P106" t="s">
        <v>6744</v>
      </c>
      <c r="Q106" t="s">
        <v>6745</v>
      </c>
      <c r="R106" t="s">
        <v>212</v>
      </c>
      <c r="S106">
        <f>COUNTIFS(ListOfExpenditure!H:H,Public_procurment[[#This Row],[Value.id]],ListOfExpenditure!Y:Y,TRUE)</f>
        <v>2</v>
      </c>
    </row>
    <row r="107" spans="1:19" x14ac:dyDescent="0.25">
      <c r="A107" s="1" t="s">
        <v>250</v>
      </c>
      <c r="B107" s="1" t="s">
        <v>263</v>
      </c>
      <c r="C107">
        <v>28</v>
      </c>
      <c r="D107">
        <v>280</v>
      </c>
      <c r="E107">
        <v>250</v>
      </c>
      <c r="F107">
        <v>280</v>
      </c>
      <c r="G107">
        <v>1</v>
      </c>
      <c r="H107" t="b">
        <v>1</v>
      </c>
      <c r="I107" t="s">
        <v>6746</v>
      </c>
      <c r="J107" t="s">
        <v>6747</v>
      </c>
      <c r="K107" t="s">
        <v>4961</v>
      </c>
      <c r="L107" t="s">
        <v>4955</v>
      </c>
      <c r="M107" t="s">
        <v>6739</v>
      </c>
      <c r="N107">
        <v>583.44000000000005</v>
      </c>
      <c r="O107" t="s">
        <v>4789</v>
      </c>
      <c r="P107" t="s">
        <v>6748</v>
      </c>
      <c r="Q107" t="s">
        <v>6749</v>
      </c>
      <c r="R107" t="s">
        <v>6750</v>
      </c>
      <c r="S107">
        <f>COUNTIFS(ListOfExpenditure!H:H,Public_procurment[[#This Row],[Value.id]],ListOfExpenditure!Y:Y,TRUE)</f>
        <v>1</v>
      </c>
    </row>
    <row r="108" spans="1:19" x14ac:dyDescent="0.25">
      <c r="A108" s="1" t="s">
        <v>250</v>
      </c>
      <c r="B108" s="1" t="s">
        <v>263</v>
      </c>
      <c r="C108">
        <v>28</v>
      </c>
      <c r="D108">
        <v>280</v>
      </c>
      <c r="E108">
        <v>270</v>
      </c>
      <c r="F108">
        <v>280</v>
      </c>
      <c r="G108">
        <v>1</v>
      </c>
      <c r="H108" t="b">
        <v>1</v>
      </c>
      <c r="I108" t="s">
        <v>6751</v>
      </c>
      <c r="J108" t="s">
        <v>6752</v>
      </c>
      <c r="K108" t="s">
        <v>4945</v>
      </c>
      <c r="L108" t="s">
        <v>4363</v>
      </c>
      <c r="M108" t="s">
        <v>6739</v>
      </c>
      <c r="N108">
        <v>30240</v>
      </c>
      <c r="O108" t="s">
        <v>4789</v>
      </c>
      <c r="P108" t="s">
        <v>6753</v>
      </c>
      <c r="Q108" t="s">
        <v>6754</v>
      </c>
      <c r="R108" t="s">
        <v>212</v>
      </c>
      <c r="S108">
        <f>COUNTIFS(ListOfExpenditure!H:H,Public_procurment[[#This Row],[Value.id]],ListOfExpenditure!Y:Y,TRUE)</f>
        <v>5</v>
      </c>
    </row>
    <row r="109" spans="1:19" x14ac:dyDescent="0.25">
      <c r="A109" s="1" t="s">
        <v>283</v>
      </c>
      <c r="B109" s="1" t="s">
        <v>56</v>
      </c>
      <c r="C109">
        <v>92</v>
      </c>
      <c r="D109">
        <v>125</v>
      </c>
      <c r="S109">
        <f>COUNTIFS(ListOfExpenditure!H:H,Public_procurment[[#This Row],[Value.id]],ListOfExpenditure!Y:Y,TRUE)</f>
        <v>0</v>
      </c>
    </row>
    <row r="110" spans="1:19" x14ac:dyDescent="0.25">
      <c r="A110" s="1" t="s">
        <v>283</v>
      </c>
      <c r="B110" s="1" t="s">
        <v>284</v>
      </c>
      <c r="C110">
        <v>167</v>
      </c>
      <c r="D110">
        <v>327</v>
      </c>
      <c r="S110">
        <f>COUNTIFS(ListOfExpenditure!H:H,Public_procurment[[#This Row],[Value.id]],ListOfExpenditure!Y:Y,TRUE)</f>
        <v>0</v>
      </c>
    </row>
    <row r="111" spans="1:19" x14ac:dyDescent="0.25">
      <c r="A111" s="1" t="s">
        <v>283</v>
      </c>
      <c r="B111" s="1" t="s">
        <v>285</v>
      </c>
      <c r="C111">
        <v>197</v>
      </c>
      <c r="D111">
        <v>219</v>
      </c>
      <c r="E111">
        <v>185</v>
      </c>
      <c r="F111">
        <v>219</v>
      </c>
      <c r="G111">
        <v>1</v>
      </c>
      <c r="H111" t="b">
        <v>1</v>
      </c>
      <c r="I111" t="s">
        <v>6755</v>
      </c>
      <c r="J111" t="s">
        <v>6756</v>
      </c>
      <c r="K111" t="s">
        <v>6757</v>
      </c>
      <c r="L111" t="s">
        <v>5118</v>
      </c>
      <c r="M111" t="s">
        <v>6758</v>
      </c>
      <c r="N111">
        <v>1367.11</v>
      </c>
      <c r="O111" t="s">
        <v>4789</v>
      </c>
      <c r="P111" t="s">
        <v>6759</v>
      </c>
      <c r="Q111" t="s">
        <v>6760</v>
      </c>
      <c r="R111" t="s">
        <v>212</v>
      </c>
      <c r="S111">
        <f>COUNTIFS(ListOfExpenditure!H:H,Public_procurment[[#This Row],[Value.id]],ListOfExpenditure!Y:Y,TRUE)</f>
        <v>1</v>
      </c>
    </row>
    <row r="112" spans="1:19" x14ac:dyDescent="0.25">
      <c r="A112" s="1" t="s">
        <v>283</v>
      </c>
      <c r="B112" s="1" t="s">
        <v>285</v>
      </c>
      <c r="C112">
        <v>197</v>
      </c>
      <c r="D112">
        <v>219</v>
      </c>
      <c r="E112">
        <v>186</v>
      </c>
      <c r="F112">
        <v>219</v>
      </c>
      <c r="G112">
        <v>1</v>
      </c>
      <c r="H112" t="b">
        <v>1</v>
      </c>
      <c r="I112" t="s">
        <v>6761</v>
      </c>
      <c r="J112" t="s">
        <v>6762</v>
      </c>
      <c r="K112" t="s">
        <v>6763</v>
      </c>
      <c r="L112" t="s">
        <v>4946</v>
      </c>
      <c r="M112" t="s">
        <v>6758</v>
      </c>
      <c r="N112">
        <v>120</v>
      </c>
      <c r="O112" t="s">
        <v>4789</v>
      </c>
      <c r="P112" t="s">
        <v>6764</v>
      </c>
      <c r="Q112" t="s">
        <v>6765</v>
      </c>
      <c r="R112" t="s">
        <v>212</v>
      </c>
      <c r="S112">
        <f>COUNTIFS(ListOfExpenditure!H:H,Public_procurment[[#This Row],[Value.id]],ListOfExpenditure!Y:Y,TRUE)</f>
        <v>1</v>
      </c>
    </row>
    <row r="113" spans="1:19" x14ac:dyDescent="0.25">
      <c r="A113" s="1" t="s">
        <v>283</v>
      </c>
      <c r="B113" s="1" t="s">
        <v>286</v>
      </c>
      <c r="C113">
        <v>198</v>
      </c>
      <c r="D113">
        <v>149</v>
      </c>
      <c r="S113">
        <f>COUNTIFS(ListOfExpenditure!H:H,Public_procurment[[#This Row],[Value.id]],ListOfExpenditure!Y:Y,TRUE)</f>
        <v>0</v>
      </c>
    </row>
    <row r="114" spans="1:19" x14ac:dyDescent="0.25">
      <c r="A114" s="1" t="s">
        <v>283</v>
      </c>
      <c r="B114" s="1" t="s">
        <v>287</v>
      </c>
      <c r="C114">
        <v>199</v>
      </c>
      <c r="D114">
        <v>286</v>
      </c>
      <c r="S114">
        <f>COUNTIFS(ListOfExpenditure!H:H,Public_procurment[[#This Row],[Value.id]],ListOfExpenditure!Y:Y,TRUE)</f>
        <v>0</v>
      </c>
    </row>
    <row r="115" spans="1:19" x14ac:dyDescent="0.25">
      <c r="A115" s="1" t="s">
        <v>304</v>
      </c>
      <c r="B115" s="1" t="s">
        <v>0</v>
      </c>
      <c r="C115">
        <v>174</v>
      </c>
      <c r="D115">
        <v>268</v>
      </c>
      <c r="S115">
        <f>COUNTIFS(ListOfExpenditure!H:H,Public_procurment[[#This Row],[Value.id]],ListOfExpenditure!Y:Y,TRUE)</f>
        <v>0</v>
      </c>
    </row>
    <row r="116" spans="1:19" x14ac:dyDescent="0.25">
      <c r="A116" s="1" t="s">
        <v>304</v>
      </c>
      <c r="B116" s="1" t="s">
        <v>305</v>
      </c>
      <c r="C116">
        <v>101</v>
      </c>
      <c r="D116">
        <v>124</v>
      </c>
      <c r="E116">
        <v>162</v>
      </c>
      <c r="F116">
        <v>124</v>
      </c>
      <c r="G116">
        <v>1</v>
      </c>
      <c r="H116" t="b">
        <v>1</v>
      </c>
      <c r="I116" t="s">
        <v>6766</v>
      </c>
      <c r="J116" t="s">
        <v>6767</v>
      </c>
      <c r="K116" t="s">
        <v>5060</v>
      </c>
      <c r="L116" t="s">
        <v>5064</v>
      </c>
      <c r="M116" t="s">
        <v>6473</v>
      </c>
      <c r="N116">
        <v>309.89999999999998</v>
      </c>
      <c r="O116" t="s">
        <v>4789</v>
      </c>
      <c r="P116" t="s">
        <v>6768</v>
      </c>
      <c r="Q116" t="s">
        <v>6769</v>
      </c>
      <c r="R116" t="s">
        <v>212</v>
      </c>
      <c r="S116">
        <f>COUNTIFS(ListOfExpenditure!H:H,Public_procurment[[#This Row],[Value.id]],ListOfExpenditure!Y:Y,TRUE)</f>
        <v>1</v>
      </c>
    </row>
    <row r="117" spans="1:19" x14ac:dyDescent="0.25">
      <c r="A117" s="1" t="s">
        <v>304</v>
      </c>
      <c r="B117" s="1" t="s">
        <v>305</v>
      </c>
      <c r="C117">
        <v>101</v>
      </c>
      <c r="D117">
        <v>124</v>
      </c>
      <c r="E117">
        <v>163</v>
      </c>
      <c r="F117">
        <v>124</v>
      </c>
      <c r="G117">
        <v>1</v>
      </c>
      <c r="H117" t="b">
        <v>1</v>
      </c>
      <c r="I117" t="s">
        <v>6770</v>
      </c>
      <c r="J117" t="s">
        <v>6771</v>
      </c>
      <c r="K117" t="s">
        <v>5063</v>
      </c>
      <c r="L117" t="s">
        <v>5064</v>
      </c>
      <c r="M117" t="s">
        <v>6473</v>
      </c>
      <c r="N117">
        <v>92</v>
      </c>
      <c r="O117" t="s">
        <v>4789</v>
      </c>
      <c r="P117" t="s">
        <v>6772</v>
      </c>
      <c r="Q117" t="s">
        <v>6773</v>
      </c>
      <c r="R117" t="s">
        <v>212</v>
      </c>
      <c r="S117">
        <f>COUNTIFS(ListOfExpenditure!H:H,Public_procurment[[#This Row],[Value.id]],ListOfExpenditure!Y:Y,TRUE)</f>
        <v>1</v>
      </c>
    </row>
    <row r="118" spans="1:19" x14ac:dyDescent="0.25">
      <c r="A118" s="1" t="s">
        <v>304</v>
      </c>
      <c r="B118" s="1" t="s">
        <v>305</v>
      </c>
      <c r="C118">
        <v>101</v>
      </c>
      <c r="D118">
        <v>124</v>
      </c>
      <c r="E118">
        <v>164</v>
      </c>
      <c r="F118">
        <v>124</v>
      </c>
      <c r="G118">
        <v>1</v>
      </c>
      <c r="H118" t="b">
        <v>1</v>
      </c>
      <c r="I118" t="s">
        <v>6774</v>
      </c>
      <c r="J118" t="s">
        <v>6775</v>
      </c>
      <c r="K118" t="s">
        <v>5066</v>
      </c>
      <c r="L118" t="s">
        <v>4911</v>
      </c>
      <c r="M118" t="s">
        <v>6473</v>
      </c>
      <c r="N118">
        <v>120</v>
      </c>
      <c r="O118" t="s">
        <v>4789</v>
      </c>
      <c r="P118" t="s">
        <v>6776</v>
      </c>
      <c r="Q118" t="s">
        <v>6777</v>
      </c>
      <c r="R118" t="s">
        <v>212</v>
      </c>
      <c r="S118">
        <f>COUNTIFS(ListOfExpenditure!H:H,Public_procurment[[#This Row],[Value.id]],ListOfExpenditure!Y:Y,TRUE)</f>
        <v>1</v>
      </c>
    </row>
    <row r="119" spans="1:19" x14ac:dyDescent="0.25">
      <c r="A119" s="1" t="s">
        <v>304</v>
      </c>
      <c r="B119" s="1" t="s">
        <v>305</v>
      </c>
      <c r="C119">
        <v>101</v>
      </c>
      <c r="D119">
        <v>124</v>
      </c>
      <c r="E119">
        <v>165</v>
      </c>
      <c r="F119">
        <v>124</v>
      </c>
      <c r="G119">
        <v>1</v>
      </c>
      <c r="H119" t="b">
        <v>1</v>
      </c>
      <c r="I119" t="s">
        <v>6778</v>
      </c>
      <c r="J119" t="s">
        <v>6779</v>
      </c>
      <c r="K119" t="s">
        <v>5068</v>
      </c>
      <c r="L119" t="s">
        <v>4911</v>
      </c>
      <c r="M119" t="s">
        <v>6473</v>
      </c>
      <c r="N119">
        <v>1300</v>
      </c>
      <c r="O119" t="s">
        <v>4789</v>
      </c>
      <c r="P119" t="s">
        <v>6780</v>
      </c>
      <c r="Q119" t="s">
        <v>6781</v>
      </c>
      <c r="R119" t="s">
        <v>212</v>
      </c>
      <c r="S119">
        <f>COUNTIFS(ListOfExpenditure!H:H,Public_procurment[[#This Row],[Value.id]],ListOfExpenditure!Y:Y,TRUE)</f>
        <v>1</v>
      </c>
    </row>
    <row r="120" spans="1:19" x14ac:dyDescent="0.25">
      <c r="A120" s="1" t="s">
        <v>304</v>
      </c>
      <c r="B120" s="1" t="s">
        <v>305</v>
      </c>
      <c r="C120">
        <v>101</v>
      </c>
      <c r="D120">
        <v>124</v>
      </c>
      <c r="E120">
        <v>166</v>
      </c>
      <c r="F120">
        <v>124</v>
      </c>
      <c r="G120">
        <v>1</v>
      </c>
      <c r="H120" t="b">
        <v>1</v>
      </c>
      <c r="I120" t="s">
        <v>6782</v>
      </c>
      <c r="J120" t="s">
        <v>6783</v>
      </c>
      <c r="K120" t="s">
        <v>5071</v>
      </c>
      <c r="L120" t="s">
        <v>4911</v>
      </c>
      <c r="M120" t="s">
        <v>6473</v>
      </c>
      <c r="N120">
        <v>286</v>
      </c>
      <c r="O120" t="s">
        <v>4789</v>
      </c>
      <c r="P120" t="s">
        <v>6780</v>
      </c>
      <c r="Q120" t="s">
        <v>6781</v>
      </c>
      <c r="R120" t="s">
        <v>212</v>
      </c>
      <c r="S120">
        <f>COUNTIFS(ListOfExpenditure!H:H,Public_procurment[[#This Row],[Value.id]],ListOfExpenditure!Y:Y,TRUE)</f>
        <v>1</v>
      </c>
    </row>
    <row r="121" spans="1:19" x14ac:dyDescent="0.25">
      <c r="A121" s="1" t="s">
        <v>304</v>
      </c>
      <c r="B121" s="1" t="s">
        <v>305</v>
      </c>
      <c r="C121">
        <v>101</v>
      </c>
      <c r="D121">
        <v>124</v>
      </c>
      <c r="E121">
        <v>167</v>
      </c>
      <c r="F121">
        <v>124</v>
      </c>
      <c r="G121">
        <v>1</v>
      </c>
      <c r="H121" t="b">
        <v>1</v>
      </c>
      <c r="I121" t="s">
        <v>6784</v>
      </c>
      <c r="J121" t="s">
        <v>6785</v>
      </c>
      <c r="K121" t="s">
        <v>5072</v>
      </c>
      <c r="L121" t="s">
        <v>4911</v>
      </c>
      <c r="M121" t="s">
        <v>6473</v>
      </c>
      <c r="N121">
        <v>800</v>
      </c>
      <c r="O121" t="s">
        <v>4789</v>
      </c>
      <c r="P121" t="s">
        <v>6786</v>
      </c>
      <c r="Q121" t="s">
        <v>6787</v>
      </c>
      <c r="R121" t="s">
        <v>212</v>
      </c>
      <c r="S121">
        <f>COUNTIFS(ListOfExpenditure!H:H,Public_procurment[[#This Row],[Value.id]],ListOfExpenditure!Y:Y,TRUE)</f>
        <v>1</v>
      </c>
    </row>
    <row r="122" spans="1:19" x14ac:dyDescent="0.25">
      <c r="A122" s="1" t="s">
        <v>304</v>
      </c>
      <c r="B122" s="1" t="s">
        <v>305</v>
      </c>
      <c r="C122">
        <v>101</v>
      </c>
      <c r="D122">
        <v>124</v>
      </c>
      <c r="E122">
        <v>168</v>
      </c>
      <c r="F122">
        <v>124</v>
      </c>
      <c r="G122">
        <v>1</v>
      </c>
      <c r="H122" t="b">
        <v>1</v>
      </c>
      <c r="I122" t="s">
        <v>6788</v>
      </c>
      <c r="J122" t="s">
        <v>6789</v>
      </c>
      <c r="K122" t="s">
        <v>5075</v>
      </c>
      <c r="L122" t="s">
        <v>4957</v>
      </c>
      <c r="M122" t="s">
        <v>6473</v>
      </c>
      <c r="N122">
        <v>392</v>
      </c>
      <c r="O122" t="s">
        <v>4789</v>
      </c>
      <c r="P122" t="s">
        <v>6790</v>
      </c>
      <c r="Q122" t="s">
        <v>6791</v>
      </c>
      <c r="R122" t="s">
        <v>212</v>
      </c>
      <c r="S122">
        <f>COUNTIFS(ListOfExpenditure!H:H,Public_procurment[[#This Row],[Value.id]],ListOfExpenditure!Y:Y,TRUE)</f>
        <v>1</v>
      </c>
    </row>
    <row r="123" spans="1:19" x14ac:dyDescent="0.25">
      <c r="A123" s="1" t="s">
        <v>304</v>
      </c>
      <c r="B123" s="1" t="s">
        <v>305</v>
      </c>
      <c r="C123">
        <v>101</v>
      </c>
      <c r="D123">
        <v>124</v>
      </c>
      <c r="E123">
        <v>169</v>
      </c>
      <c r="F123">
        <v>124</v>
      </c>
      <c r="G123">
        <v>1</v>
      </c>
      <c r="H123" t="b">
        <v>1</v>
      </c>
      <c r="I123" t="s">
        <v>6792</v>
      </c>
      <c r="J123" t="s">
        <v>6793</v>
      </c>
      <c r="K123" t="s">
        <v>5078</v>
      </c>
      <c r="L123" t="s">
        <v>5000</v>
      </c>
      <c r="M123" t="s">
        <v>6473</v>
      </c>
      <c r="N123">
        <v>115.9</v>
      </c>
      <c r="O123" t="s">
        <v>4789</v>
      </c>
      <c r="P123" t="s">
        <v>6794</v>
      </c>
      <c r="Q123" t="s">
        <v>6795</v>
      </c>
      <c r="R123" t="s">
        <v>212</v>
      </c>
      <c r="S123">
        <f>COUNTIFS(ListOfExpenditure!H:H,Public_procurment[[#This Row],[Value.id]],ListOfExpenditure!Y:Y,TRUE)</f>
        <v>1</v>
      </c>
    </row>
    <row r="124" spans="1:19" x14ac:dyDescent="0.25">
      <c r="A124" s="1" t="s">
        <v>304</v>
      </c>
      <c r="B124" s="1" t="s">
        <v>305</v>
      </c>
      <c r="C124">
        <v>101</v>
      </c>
      <c r="D124">
        <v>124</v>
      </c>
      <c r="E124">
        <v>170</v>
      </c>
      <c r="F124">
        <v>124</v>
      </c>
      <c r="G124">
        <v>1</v>
      </c>
      <c r="H124" t="b">
        <v>1</v>
      </c>
      <c r="I124" t="s">
        <v>6796</v>
      </c>
      <c r="J124" t="s">
        <v>6797</v>
      </c>
      <c r="K124" t="s">
        <v>5080</v>
      </c>
      <c r="L124" t="s">
        <v>5000</v>
      </c>
      <c r="M124" t="s">
        <v>6473</v>
      </c>
      <c r="N124">
        <v>375.64</v>
      </c>
      <c r="O124" t="s">
        <v>4789</v>
      </c>
      <c r="P124" t="s">
        <v>6798</v>
      </c>
      <c r="Q124" t="s">
        <v>6799</v>
      </c>
      <c r="R124" t="s">
        <v>212</v>
      </c>
      <c r="S124">
        <f>COUNTIFS(ListOfExpenditure!H:H,Public_procurment[[#This Row],[Value.id]],ListOfExpenditure!Y:Y,TRUE)</f>
        <v>1</v>
      </c>
    </row>
    <row r="125" spans="1:19" x14ac:dyDescent="0.25">
      <c r="A125" s="1" t="s">
        <v>304</v>
      </c>
      <c r="B125" s="1" t="s">
        <v>306</v>
      </c>
      <c r="C125">
        <v>105</v>
      </c>
      <c r="D125">
        <v>330</v>
      </c>
      <c r="S125">
        <f>COUNTIFS(ListOfExpenditure!H:H,Public_procurment[[#This Row],[Value.id]],ListOfExpenditure!Y:Y,TRUE)</f>
        <v>0</v>
      </c>
    </row>
    <row r="126" spans="1:19" x14ac:dyDescent="0.25">
      <c r="A126" s="1" t="s">
        <v>304</v>
      </c>
      <c r="B126" s="1" t="s">
        <v>307</v>
      </c>
      <c r="C126">
        <v>171</v>
      </c>
      <c r="D126">
        <v>273</v>
      </c>
      <c r="S126">
        <f>COUNTIFS(ListOfExpenditure!H:H,Public_procurment[[#This Row],[Value.id]],ListOfExpenditure!Y:Y,TRUE)</f>
        <v>0</v>
      </c>
    </row>
    <row r="127" spans="1:19" x14ac:dyDescent="0.25">
      <c r="A127" s="1" t="s">
        <v>304</v>
      </c>
      <c r="B127" s="1" t="s">
        <v>308</v>
      </c>
      <c r="C127">
        <v>114</v>
      </c>
      <c r="D127">
        <v>194</v>
      </c>
      <c r="E127">
        <v>218</v>
      </c>
      <c r="F127">
        <v>194</v>
      </c>
      <c r="G127">
        <v>1</v>
      </c>
      <c r="H127" t="b">
        <v>1</v>
      </c>
      <c r="I127" t="s">
        <v>6800</v>
      </c>
      <c r="J127" t="s">
        <v>6801</v>
      </c>
      <c r="K127" t="s">
        <v>6802</v>
      </c>
      <c r="L127" t="s">
        <v>5744</v>
      </c>
      <c r="M127" t="s">
        <v>6803</v>
      </c>
      <c r="N127">
        <v>24300.54</v>
      </c>
      <c r="O127" t="s">
        <v>4789</v>
      </c>
      <c r="P127" t="s">
        <v>6804</v>
      </c>
      <c r="Q127" t="s">
        <v>981</v>
      </c>
      <c r="R127" t="s">
        <v>6805</v>
      </c>
      <c r="S127">
        <f>COUNTIFS(ListOfExpenditure!H:H,Public_procurment[[#This Row],[Value.id]],ListOfExpenditure!Y:Y,TRUE)</f>
        <v>0</v>
      </c>
    </row>
    <row r="128" spans="1:19" x14ac:dyDescent="0.25">
      <c r="A128" s="1" t="s">
        <v>304</v>
      </c>
      <c r="B128" s="1" t="s">
        <v>309</v>
      </c>
      <c r="C128">
        <v>103</v>
      </c>
      <c r="D128">
        <v>231</v>
      </c>
      <c r="S128">
        <f>COUNTIFS(ListOfExpenditure!H:H,Public_procurment[[#This Row],[Value.id]],ListOfExpenditure!Y:Y,TRUE)</f>
        <v>0</v>
      </c>
    </row>
    <row r="129" spans="1:19" x14ac:dyDescent="0.25">
      <c r="A129" s="1" t="s">
        <v>346</v>
      </c>
      <c r="B129" s="1" t="s">
        <v>347</v>
      </c>
      <c r="C129">
        <v>293</v>
      </c>
      <c r="D129">
        <v>296</v>
      </c>
      <c r="E129">
        <v>214</v>
      </c>
      <c r="F129">
        <v>296</v>
      </c>
      <c r="G129">
        <v>1</v>
      </c>
      <c r="H129" t="b">
        <v>1</v>
      </c>
      <c r="I129" t="s">
        <v>6806</v>
      </c>
      <c r="J129" t="s">
        <v>6807</v>
      </c>
      <c r="K129" t="s">
        <v>5085</v>
      </c>
      <c r="L129" t="s">
        <v>4932</v>
      </c>
      <c r="M129" t="s">
        <v>6739</v>
      </c>
      <c r="N129">
        <v>975</v>
      </c>
      <c r="O129" t="s">
        <v>4789</v>
      </c>
      <c r="P129" t="s">
        <v>6808</v>
      </c>
      <c r="Q129" t="s">
        <v>6809</v>
      </c>
      <c r="R129" t="s">
        <v>212</v>
      </c>
      <c r="S129">
        <f>COUNTIFS(ListOfExpenditure!H:H,Public_procurment[[#This Row],[Value.id]],ListOfExpenditure!Y:Y,TRUE)</f>
        <v>1</v>
      </c>
    </row>
    <row r="130" spans="1:19" x14ac:dyDescent="0.25">
      <c r="A130" s="1" t="s">
        <v>346</v>
      </c>
      <c r="B130" s="1" t="s">
        <v>348</v>
      </c>
      <c r="C130">
        <v>295</v>
      </c>
      <c r="D130">
        <v>190</v>
      </c>
      <c r="S130">
        <f>COUNTIFS(ListOfExpenditure!H:H,Public_procurment[[#This Row],[Value.id]],ListOfExpenditure!Y:Y,TRUE)</f>
        <v>0</v>
      </c>
    </row>
    <row r="131" spans="1:19" x14ac:dyDescent="0.25">
      <c r="A131" s="1" t="s">
        <v>346</v>
      </c>
      <c r="B131" s="1" t="s">
        <v>285</v>
      </c>
      <c r="C131">
        <v>257</v>
      </c>
      <c r="D131">
        <v>197</v>
      </c>
      <c r="E131">
        <v>155</v>
      </c>
      <c r="F131">
        <v>197</v>
      </c>
      <c r="G131">
        <v>1</v>
      </c>
      <c r="H131" t="b">
        <v>1</v>
      </c>
      <c r="I131" t="s">
        <v>6810</v>
      </c>
      <c r="J131" t="s">
        <v>6811</v>
      </c>
      <c r="K131" t="s">
        <v>6812</v>
      </c>
      <c r="L131" t="s">
        <v>5276</v>
      </c>
      <c r="M131" t="s">
        <v>6813</v>
      </c>
      <c r="N131">
        <v>225.7</v>
      </c>
      <c r="O131" t="s">
        <v>4789</v>
      </c>
      <c r="P131" t="s">
        <v>6814</v>
      </c>
      <c r="Q131" t="s">
        <v>6815</v>
      </c>
      <c r="R131" t="s">
        <v>212</v>
      </c>
      <c r="S131">
        <f>COUNTIFS(ListOfExpenditure!H:H,Public_procurment[[#This Row],[Value.id]],ListOfExpenditure!Y:Y,TRUE)</f>
        <v>1</v>
      </c>
    </row>
    <row r="132" spans="1:19" x14ac:dyDescent="0.25">
      <c r="A132" s="1" t="s">
        <v>346</v>
      </c>
      <c r="B132" s="1" t="s">
        <v>285</v>
      </c>
      <c r="C132">
        <v>257</v>
      </c>
      <c r="D132">
        <v>197</v>
      </c>
      <c r="E132">
        <v>156</v>
      </c>
      <c r="F132">
        <v>197</v>
      </c>
      <c r="G132">
        <v>1</v>
      </c>
      <c r="H132" t="b">
        <v>1</v>
      </c>
      <c r="I132" t="s">
        <v>6816</v>
      </c>
      <c r="J132" t="s">
        <v>6817</v>
      </c>
      <c r="K132" t="s">
        <v>6818</v>
      </c>
      <c r="L132" t="s">
        <v>4807</v>
      </c>
      <c r="M132" t="s">
        <v>6819</v>
      </c>
      <c r="N132">
        <v>70</v>
      </c>
      <c r="O132" t="s">
        <v>4789</v>
      </c>
      <c r="P132" t="s">
        <v>6820</v>
      </c>
      <c r="Q132" t="s">
        <v>6821</v>
      </c>
      <c r="R132" t="s">
        <v>212</v>
      </c>
      <c r="S132">
        <f>COUNTIFS(ListOfExpenditure!H:H,Public_procurment[[#This Row],[Value.id]],ListOfExpenditure!Y:Y,TRUE)</f>
        <v>1</v>
      </c>
    </row>
    <row r="133" spans="1:19" x14ac:dyDescent="0.25">
      <c r="A133" s="1" t="s">
        <v>346</v>
      </c>
      <c r="B133" s="1" t="s">
        <v>285</v>
      </c>
      <c r="C133">
        <v>257</v>
      </c>
      <c r="D133">
        <v>197</v>
      </c>
      <c r="E133">
        <v>157</v>
      </c>
      <c r="F133">
        <v>197</v>
      </c>
      <c r="G133">
        <v>1</v>
      </c>
      <c r="H133" t="b">
        <v>1</v>
      </c>
      <c r="I133" t="s">
        <v>6822</v>
      </c>
      <c r="J133" t="s">
        <v>6823</v>
      </c>
      <c r="K133" t="s">
        <v>6824</v>
      </c>
      <c r="L133" t="s">
        <v>5118</v>
      </c>
      <c r="M133" t="s">
        <v>6813</v>
      </c>
      <c r="N133">
        <v>300</v>
      </c>
      <c r="O133" t="s">
        <v>4789</v>
      </c>
      <c r="P133" t="s">
        <v>6825</v>
      </c>
      <c r="Q133" t="s">
        <v>6826</v>
      </c>
      <c r="R133" t="s">
        <v>212</v>
      </c>
      <c r="S133">
        <f>COUNTIFS(ListOfExpenditure!H:H,Public_procurment[[#This Row],[Value.id]],ListOfExpenditure!Y:Y,TRUE)</f>
        <v>1</v>
      </c>
    </row>
    <row r="134" spans="1:19" x14ac:dyDescent="0.25">
      <c r="A134" s="1" t="s">
        <v>346</v>
      </c>
      <c r="B134" s="1" t="s">
        <v>285</v>
      </c>
      <c r="C134">
        <v>257</v>
      </c>
      <c r="D134">
        <v>197</v>
      </c>
      <c r="E134">
        <v>158</v>
      </c>
      <c r="F134">
        <v>197</v>
      </c>
      <c r="G134">
        <v>1</v>
      </c>
      <c r="H134" t="b">
        <v>1</v>
      </c>
      <c r="I134" t="s">
        <v>6827</v>
      </c>
      <c r="J134" t="s">
        <v>6828</v>
      </c>
      <c r="K134" t="s">
        <v>6829</v>
      </c>
      <c r="L134" t="s">
        <v>5088</v>
      </c>
      <c r="M134" t="s">
        <v>6819</v>
      </c>
      <c r="N134">
        <v>98.1</v>
      </c>
      <c r="O134" t="s">
        <v>4789</v>
      </c>
      <c r="P134" t="s">
        <v>6830</v>
      </c>
      <c r="Q134" t="s">
        <v>6831</v>
      </c>
      <c r="R134" t="s">
        <v>212</v>
      </c>
      <c r="S134">
        <f>COUNTIFS(ListOfExpenditure!H:H,Public_procurment[[#This Row],[Value.id]],ListOfExpenditure!Y:Y,TRUE)</f>
        <v>1</v>
      </c>
    </row>
    <row r="135" spans="1:19" x14ac:dyDescent="0.25">
      <c r="A135" s="1" t="s">
        <v>346</v>
      </c>
      <c r="B135" s="1" t="s">
        <v>285</v>
      </c>
      <c r="C135">
        <v>257</v>
      </c>
      <c r="D135">
        <v>197</v>
      </c>
      <c r="E135">
        <v>159</v>
      </c>
      <c r="F135">
        <v>197</v>
      </c>
      <c r="G135">
        <v>1</v>
      </c>
      <c r="H135" t="b">
        <v>1</v>
      </c>
      <c r="I135" t="s">
        <v>6832</v>
      </c>
      <c r="J135" t="s">
        <v>6833</v>
      </c>
      <c r="K135" t="s">
        <v>6834</v>
      </c>
      <c r="L135" t="s">
        <v>4845</v>
      </c>
      <c r="M135" t="s">
        <v>6819</v>
      </c>
      <c r="N135">
        <v>2674.21</v>
      </c>
      <c r="O135" t="s">
        <v>4789</v>
      </c>
      <c r="P135" t="s">
        <v>6835</v>
      </c>
      <c r="Q135" t="s">
        <v>6760</v>
      </c>
      <c r="R135" t="s">
        <v>212</v>
      </c>
      <c r="S135">
        <f>COUNTIFS(ListOfExpenditure!H:H,Public_procurment[[#This Row],[Value.id]],ListOfExpenditure!Y:Y,TRUE)</f>
        <v>1</v>
      </c>
    </row>
    <row r="136" spans="1:19" x14ac:dyDescent="0.25">
      <c r="A136" s="1" t="s">
        <v>346</v>
      </c>
      <c r="B136" s="1" t="s">
        <v>285</v>
      </c>
      <c r="C136">
        <v>257</v>
      </c>
      <c r="D136">
        <v>197</v>
      </c>
      <c r="E136">
        <v>161</v>
      </c>
      <c r="F136">
        <v>197</v>
      </c>
      <c r="G136">
        <v>1</v>
      </c>
      <c r="H136" t="b">
        <v>1</v>
      </c>
      <c r="I136" t="s">
        <v>6836</v>
      </c>
      <c r="J136" t="s">
        <v>6837</v>
      </c>
      <c r="K136" t="s">
        <v>6838</v>
      </c>
      <c r="L136" t="s">
        <v>5027</v>
      </c>
      <c r="M136" t="s">
        <v>6839</v>
      </c>
      <c r="N136">
        <v>34527.5</v>
      </c>
      <c r="O136" t="s">
        <v>4789</v>
      </c>
      <c r="P136" t="s">
        <v>6840</v>
      </c>
      <c r="Q136" t="s">
        <v>6841</v>
      </c>
      <c r="R136" t="s">
        <v>212</v>
      </c>
      <c r="S136">
        <f>COUNTIFS(ListOfExpenditure!H:H,Public_procurment[[#This Row],[Value.id]],ListOfExpenditure!Y:Y,TRUE)</f>
        <v>1</v>
      </c>
    </row>
    <row r="137" spans="1:19" x14ac:dyDescent="0.25">
      <c r="A137" s="1" t="s">
        <v>346</v>
      </c>
      <c r="B137" s="1" t="s">
        <v>349</v>
      </c>
      <c r="C137">
        <v>294</v>
      </c>
      <c r="D137">
        <v>312</v>
      </c>
      <c r="S137">
        <f>COUNTIFS(ListOfExpenditure!H:H,Public_procurment[[#This Row],[Value.id]],ListOfExpenditure!Y:Y,TRUE)</f>
        <v>0</v>
      </c>
    </row>
    <row r="138" spans="1:19" x14ac:dyDescent="0.25">
      <c r="A138" s="1" t="s">
        <v>296</v>
      </c>
      <c r="B138" s="1" t="s">
        <v>297</v>
      </c>
      <c r="C138">
        <v>193</v>
      </c>
      <c r="D138">
        <v>240</v>
      </c>
      <c r="S138">
        <f>COUNTIFS(ListOfExpenditure!H:H,Public_procurment[[#This Row],[Value.id]],ListOfExpenditure!Y:Y,TRUE)</f>
        <v>0</v>
      </c>
    </row>
    <row r="139" spans="1:19" x14ac:dyDescent="0.25">
      <c r="A139" s="1" t="s">
        <v>296</v>
      </c>
      <c r="B139" s="1" t="s">
        <v>0</v>
      </c>
      <c r="C139">
        <v>195</v>
      </c>
      <c r="D139">
        <v>298</v>
      </c>
      <c r="S139">
        <f>COUNTIFS(ListOfExpenditure!H:H,Public_procurment[[#This Row],[Value.id]],ListOfExpenditure!Y:Y,TRUE)</f>
        <v>0</v>
      </c>
    </row>
    <row r="140" spans="1:19" x14ac:dyDescent="0.25">
      <c r="A140" s="1" t="s">
        <v>296</v>
      </c>
      <c r="B140" s="1" t="s">
        <v>298</v>
      </c>
      <c r="C140">
        <v>196</v>
      </c>
      <c r="D140">
        <v>336</v>
      </c>
      <c r="S140">
        <f>COUNTIFS(ListOfExpenditure!H:H,Public_procurment[[#This Row],[Value.id]],ListOfExpenditure!Y:Y,TRUE)</f>
        <v>0</v>
      </c>
    </row>
    <row r="141" spans="1:19" x14ac:dyDescent="0.25">
      <c r="A141" s="1" t="s">
        <v>296</v>
      </c>
      <c r="B141" s="1" t="s">
        <v>275</v>
      </c>
      <c r="C141">
        <v>52</v>
      </c>
      <c r="D141">
        <v>262</v>
      </c>
      <c r="S141">
        <f>COUNTIFS(ListOfExpenditure!H:H,Public_procurment[[#This Row],[Value.id]],ListOfExpenditure!Y:Y,TRUE)</f>
        <v>0</v>
      </c>
    </row>
    <row r="142" spans="1:19" x14ac:dyDescent="0.25">
      <c r="A142" s="1" t="s">
        <v>296</v>
      </c>
      <c r="B142" s="1" t="s">
        <v>299</v>
      </c>
      <c r="C142">
        <v>192</v>
      </c>
      <c r="D142">
        <v>342</v>
      </c>
      <c r="S142">
        <f>COUNTIFS(ListOfExpenditure!H:H,Public_procurment[[#This Row],[Value.id]],ListOfExpenditure!Y:Y,TRUE)</f>
        <v>0</v>
      </c>
    </row>
    <row r="143" spans="1:19" x14ac:dyDescent="0.25">
      <c r="A143" s="1" t="s">
        <v>296</v>
      </c>
      <c r="B143" s="1" t="s">
        <v>300</v>
      </c>
      <c r="C143">
        <v>191</v>
      </c>
      <c r="D143">
        <v>196</v>
      </c>
      <c r="S143">
        <f>COUNTIFS(ListOfExpenditure!H:H,Public_procurment[[#This Row],[Value.id]],ListOfExpenditure!Y:Y,TRUE)</f>
        <v>0</v>
      </c>
    </row>
    <row r="144" spans="1:19" x14ac:dyDescent="0.25">
      <c r="A144" s="1" t="s">
        <v>61</v>
      </c>
      <c r="B144" s="1" t="s">
        <v>293</v>
      </c>
      <c r="C144">
        <v>112</v>
      </c>
      <c r="D144">
        <v>171</v>
      </c>
      <c r="E144">
        <v>202</v>
      </c>
      <c r="F144">
        <v>171</v>
      </c>
      <c r="G144">
        <v>1</v>
      </c>
      <c r="H144" t="b">
        <v>1</v>
      </c>
      <c r="I144" t="s">
        <v>6842</v>
      </c>
      <c r="J144" t="s">
        <v>6843</v>
      </c>
      <c r="K144" t="s">
        <v>6270</v>
      </c>
      <c r="L144" t="s">
        <v>6844</v>
      </c>
      <c r="M144" t="s">
        <v>6845</v>
      </c>
      <c r="N144">
        <v>0</v>
      </c>
      <c r="O144" t="s">
        <v>4789</v>
      </c>
      <c r="P144" t="s">
        <v>6846</v>
      </c>
      <c r="Q144" t="s">
        <v>6847</v>
      </c>
      <c r="R144" t="s">
        <v>212</v>
      </c>
      <c r="S144">
        <f>COUNTIFS(ListOfExpenditure!H:H,Public_procurment[[#This Row],[Value.id]],ListOfExpenditure!Y:Y,TRUE)</f>
        <v>0</v>
      </c>
    </row>
    <row r="145" spans="1:19" x14ac:dyDescent="0.25">
      <c r="A145" s="1" t="s">
        <v>61</v>
      </c>
      <c r="B145" s="1" t="s">
        <v>294</v>
      </c>
      <c r="C145">
        <v>90</v>
      </c>
      <c r="D145">
        <v>200</v>
      </c>
      <c r="S145">
        <f>COUNTIFS(ListOfExpenditure!H:H,Public_procurment[[#This Row],[Value.id]],ListOfExpenditure!Y:Y,TRUE)</f>
        <v>0</v>
      </c>
    </row>
    <row r="146" spans="1:19" x14ac:dyDescent="0.25">
      <c r="A146" s="1" t="s">
        <v>61</v>
      </c>
      <c r="B146" s="1" t="s">
        <v>295</v>
      </c>
      <c r="C146">
        <v>91</v>
      </c>
      <c r="D146">
        <v>287</v>
      </c>
      <c r="S146">
        <f>COUNTIFS(ListOfExpenditure!H:H,Public_procurment[[#This Row],[Value.id]],ListOfExpenditure!Y:Y,TRUE)</f>
        <v>0</v>
      </c>
    </row>
    <row r="147" spans="1:19" x14ac:dyDescent="0.25">
      <c r="A147" s="1" t="s">
        <v>61</v>
      </c>
      <c r="B147" s="1" t="s">
        <v>286</v>
      </c>
      <c r="C147">
        <v>111</v>
      </c>
      <c r="D147">
        <v>160</v>
      </c>
      <c r="S147">
        <f>COUNTIFS(ListOfExpenditure!H:H,Public_procurment[[#This Row],[Value.id]],ListOfExpenditure!Y:Y,TRUE)</f>
        <v>0</v>
      </c>
    </row>
    <row r="148" spans="1:19" x14ac:dyDescent="0.25">
      <c r="A148" s="1" t="s">
        <v>61</v>
      </c>
      <c r="B148" s="1" t="s">
        <v>31</v>
      </c>
      <c r="C148">
        <v>109</v>
      </c>
      <c r="D148">
        <v>313</v>
      </c>
      <c r="S148">
        <f>COUNTIFS(ListOfExpenditure!H:H,Public_procurment[[#This Row],[Value.id]],ListOfExpenditure!Y:Y,TRUE)</f>
        <v>0</v>
      </c>
    </row>
    <row r="149" spans="1:19" x14ac:dyDescent="0.25">
      <c r="A149" s="1" t="s">
        <v>61</v>
      </c>
      <c r="B149" s="1" t="s">
        <v>31</v>
      </c>
      <c r="C149">
        <v>109</v>
      </c>
      <c r="D149">
        <v>37</v>
      </c>
      <c r="S149">
        <f>COUNTIFS(ListOfExpenditure!H:H,Public_procurment[[#This Row],[Value.id]],ListOfExpenditure!Y:Y,TRUE)</f>
        <v>0</v>
      </c>
    </row>
    <row r="150" spans="1:19" x14ac:dyDescent="0.25">
      <c r="A150" s="1" t="s">
        <v>61</v>
      </c>
      <c r="B150" s="1" t="s">
        <v>53</v>
      </c>
      <c r="C150">
        <v>113</v>
      </c>
      <c r="D150">
        <v>204</v>
      </c>
      <c r="S150">
        <f>COUNTIFS(ListOfExpenditure!H:H,Public_procurment[[#This Row],[Value.id]],ListOfExpenditure!Y:Y,TRUE)</f>
        <v>0</v>
      </c>
    </row>
    <row r="151" spans="1:19" x14ac:dyDescent="0.25">
      <c r="A151" s="1" t="s">
        <v>361</v>
      </c>
      <c r="B151" s="1" t="s">
        <v>362</v>
      </c>
      <c r="C151">
        <v>243</v>
      </c>
      <c r="D151">
        <v>152</v>
      </c>
      <c r="S151">
        <f>COUNTIFS(ListOfExpenditure!H:H,Public_procurment[[#This Row],[Value.id]],ListOfExpenditure!Y:Y,TRUE)</f>
        <v>0</v>
      </c>
    </row>
    <row r="152" spans="1:19" x14ac:dyDescent="0.25">
      <c r="A152" s="1" t="s">
        <v>361</v>
      </c>
      <c r="B152" s="1" t="s">
        <v>342</v>
      </c>
      <c r="C152">
        <v>240</v>
      </c>
      <c r="D152">
        <v>211</v>
      </c>
      <c r="S152">
        <f>COUNTIFS(ListOfExpenditure!H:H,Public_procurment[[#This Row],[Value.id]],ListOfExpenditure!Y:Y,TRUE)</f>
        <v>0</v>
      </c>
    </row>
    <row r="153" spans="1:19" x14ac:dyDescent="0.25">
      <c r="A153" s="1" t="s">
        <v>361</v>
      </c>
      <c r="B153" s="1" t="s">
        <v>363</v>
      </c>
      <c r="C153">
        <v>239</v>
      </c>
      <c r="D153">
        <v>144</v>
      </c>
      <c r="S153">
        <f>COUNTIFS(ListOfExpenditure!H:H,Public_procurment[[#This Row],[Value.id]],ListOfExpenditure!Y:Y,TRUE)</f>
        <v>0</v>
      </c>
    </row>
    <row r="154" spans="1:19" x14ac:dyDescent="0.25">
      <c r="A154" s="1" t="s">
        <v>361</v>
      </c>
      <c r="B154" s="1" t="s">
        <v>364</v>
      </c>
      <c r="C154">
        <v>242</v>
      </c>
      <c r="D154">
        <v>230</v>
      </c>
      <c r="S154">
        <f>COUNTIFS(ListOfExpenditure!H:H,Public_procurment[[#This Row],[Value.id]],ListOfExpenditure!Y:Y,TRUE)</f>
        <v>0</v>
      </c>
    </row>
    <row r="155" spans="1:19" x14ac:dyDescent="0.25">
      <c r="A155" s="1" t="s">
        <v>361</v>
      </c>
      <c r="B155" s="1" t="s">
        <v>300</v>
      </c>
      <c r="C155">
        <v>238</v>
      </c>
      <c r="D155">
        <v>143</v>
      </c>
      <c r="S155">
        <f>COUNTIFS(ListOfExpenditure!H:H,Public_procurment[[#This Row],[Value.id]],ListOfExpenditure!Y:Y,TRUE)</f>
        <v>0</v>
      </c>
    </row>
    <row r="156" spans="1:19" x14ac:dyDescent="0.25">
      <c r="A156" s="1" t="s">
        <v>361</v>
      </c>
      <c r="B156" s="1" t="s">
        <v>69</v>
      </c>
      <c r="C156">
        <v>244</v>
      </c>
      <c r="D156">
        <v>193</v>
      </c>
      <c r="S156">
        <f>COUNTIFS(ListOfExpenditure!H:H,Public_procurment[[#This Row],[Value.id]],ListOfExpenditure!Y:Y,TRUE)</f>
        <v>0</v>
      </c>
    </row>
    <row r="157" spans="1:19" x14ac:dyDescent="0.25">
      <c r="A157" s="1" t="s">
        <v>317</v>
      </c>
      <c r="B157" s="1" t="s">
        <v>318</v>
      </c>
      <c r="C157">
        <v>267</v>
      </c>
      <c r="D157">
        <v>254</v>
      </c>
      <c r="S157">
        <f>COUNTIFS(ListOfExpenditure!H:H,Public_procurment[[#This Row],[Value.id]],ListOfExpenditure!Y:Y,TRUE)</f>
        <v>0</v>
      </c>
    </row>
    <row r="158" spans="1:19" x14ac:dyDescent="0.25">
      <c r="A158" s="1" t="s">
        <v>317</v>
      </c>
      <c r="B158" s="1" t="s">
        <v>319</v>
      </c>
      <c r="C158">
        <v>222</v>
      </c>
      <c r="D158">
        <v>317</v>
      </c>
      <c r="S158">
        <f>COUNTIFS(ListOfExpenditure!H:H,Public_procurment[[#This Row],[Value.id]],ListOfExpenditure!Y:Y,TRUE)</f>
        <v>0</v>
      </c>
    </row>
    <row r="159" spans="1:19" x14ac:dyDescent="0.25">
      <c r="A159" s="1" t="s">
        <v>317</v>
      </c>
      <c r="B159" s="1" t="s">
        <v>320</v>
      </c>
      <c r="C159">
        <v>87</v>
      </c>
      <c r="D159">
        <v>334</v>
      </c>
      <c r="S159">
        <f>COUNTIFS(ListOfExpenditure!H:H,Public_procurment[[#This Row],[Value.id]],ListOfExpenditure!Y:Y,TRUE)</f>
        <v>0</v>
      </c>
    </row>
    <row r="160" spans="1:19" x14ac:dyDescent="0.25">
      <c r="A160" s="1" t="s">
        <v>317</v>
      </c>
      <c r="B160" s="1" t="s">
        <v>321</v>
      </c>
      <c r="C160">
        <v>117</v>
      </c>
      <c r="D160">
        <v>288</v>
      </c>
      <c r="E160">
        <v>203</v>
      </c>
      <c r="F160">
        <v>288</v>
      </c>
      <c r="G160">
        <v>1</v>
      </c>
      <c r="H160" t="b">
        <v>1</v>
      </c>
      <c r="I160" t="s">
        <v>6848</v>
      </c>
      <c r="J160" t="s">
        <v>6849</v>
      </c>
      <c r="K160" t="s">
        <v>4922</v>
      </c>
      <c r="L160" t="s">
        <v>4931</v>
      </c>
      <c r="M160" t="s">
        <v>6473</v>
      </c>
      <c r="N160">
        <v>42.21</v>
      </c>
      <c r="O160" t="s">
        <v>4789</v>
      </c>
      <c r="P160" t="s">
        <v>6584</v>
      </c>
      <c r="Q160" t="s">
        <v>6585</v>
      </c>
      <c r="R160" t="s">
        <v>212</v>
      </c>
      <c r="S160">
        <f>COUNTIFS(ListOfExpenditure!H:H,Public_procurment[[#This Row],[Value.id]],ListOfExpenditure!Y:Y,TRUE)</f>
        <v>1</v>
      </c>
    </row>
    <row r="161" spans="1:19" x14ac:dyDescent="0.25">
      <c r="A161" s="1" t="s">
        <v>317</v>
      </c>
      <c r="B161" s="1" t="s">
        <v>322</v>
      </c>
      <c r="C161">
        <v>285</v>
      </c>
      <c r="D161">
        <v>316</v>
      </c>
      <c r="S161">
        <f>COUNTIFS(ListOfExpenditure!H:H,Public_procurment[[#This Row],[Value.id]],ListOfExpenditure!Y:Y,TRUE)</f>
        <v>0</v>
      </c>
    </row>
    <row r="162" spans="1:19" x14ac:dyDescent="0.25">
      <c r="A162" s="1" t="s">
        <v>317</v>
      </c>
      <c r="B162" s="1" t="s">
        <v>39</v>
      </c>
      <c r="C162">
        <v>220</v>
      </c>
      <c r="D162">
        <v>311</v>
      </c>
      <c r="S162">
        <f>COUNTIFS(ListOfExpenditure!H:H,Public_procurment[[#This Row],[Value.id]],ListOfExpenditure!Y:Y,TRUE)</f>
        <v>0</v>
      </c>
    </row>
    <row r="163" spans="1:19" x14ac:dyDescent="0.25">
      <c r="A163" s="1" t="s">
        <v>288</v>
      </c>
      <c r="B163" s="1" t="s">
        <v>289</v>
      </c>
      <c r="C163">
        <v>64</v>
      </c>
      <c r="D163">
        <v>180</v>
      </c>
      <c r="S163">
        <f>COUNTIFS(ListOfExpenditure!H:H,Public_procurment[[#This Row],[Value.id]],ListOfExpenditure!Y:Y,TRUE)</f>
        <v>0</v>
      </c>
    </row>
    <row r="164" spans="1:19" x14ac:dyDescent="0.25">
      <c r="A164" s="1" t="s">
        <v>288</v>
      </c>
      <c r="B164" s="1" t="s">
        <v>54</v>
      </c>
      <c r="C164">
        <v>63</v>
      </c>
      <c r="D164">
        <v>185</v>
      </c>
      <c r="S164">
        <f>COUNTIFS(ListOfExpenditure!H:H,Public_procurment[[#This Row],[Value.id]],ListOfExpenditure!Y:Y,TRUE)</f>
        <v>0</v>
      </c>
    </row>
    <row r="165" spans="1:19" x14ac:dyDescent="0.25">
      <c r="A165" s="1" t="s">
        <v>288</v>
      </c>
      <c r="B165" s="1" t="s">
        <v>290</v>
      </c>
      <c r="C165">
        <v>62</v>
      </c>
      <c r="D165">
        <v>184</v>
      </c>
      <c r="S165">
        <f>COUNTIFS(ListOfExpenditure!H:H,Public_procurment[[#This Row],[Value.id]],ListOfExpenditure!Y:Y,TRUE)</f>
        <v>0</v>
      </c>
    </row>
    <row r="166" spans="1:19" x14ac:dyDescent="0.25">
      <c r="A166" s="1" t="s">
        <v>288</v>
      </c>
      <c r="B166" s="1" t="s">
        <v>291</v>
      </c>
      <c r="C166">
        <v>65</v>
      </c>
      <c r="D166">
        <v>186</v>
      </c>
      <c r="S166">
        <f>COUNTIFS(ListOfExpenditure!H:H,Public_procurment[[#This Row],[Value.id]],ListOfExpenditure!Y:Y,TRUE)</f>
        <v>0</v>
      </c>
    </row>
    <row r="167" spans="1:19" x14ac:dyDescent="0.25">
      <c r="A167" s="1" t="s">
        <v>288</v>
      </c>
      <c r="B167" s="1" t="s">
        <v>286</v>
      </c>
      <c r="C167">
        <v>59</v>
      </c>
      <c r="D167">
        <v>181</v>
      </c>
      <c r="E167">
        <v>121</v>
      </c>
      <c r="F167">
        <v>181</v>
      </c>
      <c r="G167">
        <v>1</v>
      </c>
      <c r="H167" t="b">
        <v>1</v>
      </c>
      <c r="I167" t="s">
        <v>6850</v>
      </c>
      <c r="J167" t="s">
        <v>6851</v>
      </c>
      <c r="K167" t="s">
        <v>6852</v>
      </c>
      <c r="L167" t="s">
        <v>5247</v>
      </c>
      <c r="M167" t="s">
        <v>6853</v>
      </c>
      <c r="N167">
        <v>8000</v>
      </c>
      <c r="O167" t="s">
        <v>4789</v>
      </c>
      <c r="P167" t="s">
        <v>6854</v>
      </c>
      <c r="Q167" t="s">
        <v>3033</v>
      </c>
      <c r="R167" t="s">
        <v>212</v>
      </c>
      <c r="S167">
        <f>COUNTIFS(ListOfExpenditure!H:H,Public_procurment[[#This Row],[Value.id]],ListOfExpenditure!Y:Y,TRUE)</f>
        <v>0</v>
      </c>
    </row>
    <row r="168" spans="1:19" x14ac:dyDescent="0.25">
      <c r="A168" s="1" t="s">
        <v>288</v>
      </c>
      <c r="B168" s="1" t="s">
        <v>286</v>
      </c>
      <c r="C168">
        <v>59</v>
      </c>
      <c r="D168">
        <v>181</v>
      </c>
      <c r="E168">
        <v>122</v>
      </c>
      <c r="F168">
        <v>181</v>
      </c>
      <c r="G168">
        <v>1</v>
      </c>
      <c r="H168" t="b">
        <v>1</v>
      </c>
      <c r="I168" t="s">
        <v>6855</v>
      </c>
      <c r="J168" t="s">
        <v>6856</v>
      </c>
      <c r="K168" t="s">
        <v>6857</v>
      </c>
      <c r="L168" t="s">
        <v>5040</v>
      </c>
      <c r="M168" t="s">
        <v>6858</v>
      </c>
      <c r="N168">
        <v>20500</v>
      </c>
      <c r="O168" t="s">
        <v>4789</v>
      </c>
      <c r="P168" t="s">
        <v>6859</v>
      </c>
      <c r="Q168" t="s">
        <v>6860</v>
      </c>
      <c r="R168" t="s">
        <v>212</v>
      </c>
      <c r="S168">
        <f>COUNTIFS(ListOfExpenditure!H:H,Public_procurment[[#This Row],[Value.id]],ListOfExpenditure!Y:Y,TRUE)</f>
        <v>0</v>
      </c>
    </row>
    <row r="169" spans="1:19" x14ac:dyDescent="0.25">
      <c r="A169" s="1" t="s">
        <v>288</v>
      </c>
      <c r="B169" s="1" t="s">
        <v>292</v>
      </c>
      <c r="C169">
        <v>60</v>
      </c>
      <c r="D169">
        <v>183</v>
      </c>
      <c r="S169">
        <f>COUNTIFS(ListOfExpenditure!H:H,Public_procurment[[#This Row],[Value.id]],ListOfExpenditure!Y:Y,TRUE)</f>
        <v>0</v>
      </c>
    </row>
    <row r="170" spans="1:19" x14ac:dyDescent="0.25">
      <c r="A170" s="1" t="s">
        <v>341</v>
      </c>
      <c r="B170" s="1" t="s">
        <v>278</v>
      </c>
      <c r="C170">
        <v>283</v>
      </c>
      <c r="D170">
        <v>278</v>
      </c>
      <c r="S170">
        <f>COUNTIFS(ListOfExpenditure!H:H,Public_procurment[[#This Row],[Value.id]],ListOfExpenditure!Y:Y,TRUE)</f>
        <v>0</v>
      </c>
    </row>
    <row r="171" spans="1:19" x14ac:dyDescent="0.25">
      <c r="A171" s="1" t="s">
        <v>341</v>
      </c>
      <c r="B171" s="1" t="s">
        <v>47</v>
      </c>
      <c r="C171">
        <v>135</v>
      </c>
      <c r="D171">
        <v>293</v>
      </c>
      <c r="S171">
        <f>COUNTIFS(ListOfExpenditure!H:H,Public_procurment[[#This Row],[Value.id]],ListOfExpenditure!Y:Y,TRUE)</f>
        <v>0</v>
      </c>
    </row>
    <row r="172" spans="1:19" x14ac:dyDescent="0.25">
      <c r="A172" s="1" t="s">
        <v>341</v>
      </c>
      <c r="B172" s="1" t="s">
        <v>342</v>
      </c>
      <c r="C172">
        <v>284</v>
      </c>
      <c r="D172">
        <v>332</v>
      </c>
      <c r="S172">
        <f>COUNTIFS(ListOfExpenditure!H:H,Public_procurment[[#This Row],[Value.id]],ListOfExpenditure!Y:Y,TRUE)</f>
        <v>0</v>
      </c>
    </row>
    <row r="173" spans="1:19" x14ac:dyDescent="0.25">
      <c r="A173" s="1" t="s">
        <v>341</v>
      </c>
      <c r="B173" s="1" t="s">
        <v>4546</v>
      </c>
      <c r="C173">
        <v>270</v>
      </c>
      <c r="D173">
        <v>340</v>
      </c>
      <c r="S173">
        <f>COUNTIFS(ListOfExpenditure!H:H,Public_procurment[[#This Row],[Value.id]],ListOfExpenditure!Y:Y,TRUE)</f>
        <v>0</v>
      </c>
    </row>
    <row r="174" spans="1:19" x14ac:dyDescent="0.25">
      <c r="A174" s="1" t="s">
        <v>341</v>
      </c>
      <c r="B174" s="1" t="s">
        <v>4547</v>
      </c>
      <c r="C174">
        <v>133</v>
      </c>
      <c r="D174">
        <v>255</v>
      </c>
      <c r="S174">
        <f>COUNTIFS(ListOfExpenditure!H:H,Public_procurment[[#This Row],[Value.id]],ListOfExpenditure!Y:Y,TRUE)</f>
        <v>0</v>
      </c>
    </row>
    <row r="175" spans="1:19" x14ac:dyDescent="0.25">
      <c r="A175" s="1" t="s">
        <v>59</v>
      </c>
      <c r="B175" s="1" t="s">
        <v>47</v>
      </c>
      <c r="C175">
        <v>323</v>
      </c>
      <c r="D175">
        <v>339</v>
      </c>
      <c r="E175">
        <v>23</v>
      </c>
      <c r="F175">
        <v>76</v>
      </c>
      <c r="G175">
        <v>1</v>
      </c>
      <c r="H175" t="b">
        <v>0</v>
      </c>
      <c r="I175" t="s">
        <v>6861</v>
      </c>
      <c r="J175" t="s">
        <v>6862</v>
      </c>
      <c r="K175" t="s">
        <v>6270</v>
      </c>
      <c r="L175" t="s">
        <v>4403</v>
      </c>
      <c r="M175" t="s">
        <v>6863</v>
      </c>
      <c r="N175">
        <v>25000</v>
      </c>
      <c r="O175" t="s">
        <v>4789</v>
      </c>
      <c r="P175" t="s">
        <v>6864</v>
      </c>
      <c r="Q175" t="s">
        <v>6865</v>
      </c>
      <c r="R175" t="s">
        <v>212</v>
      </c>
      <c r="S175">
        <f>COUNTIFS(ListOfExpenditure!H:H,Public_procurment[[#This Row],[Value.id]],ListOfExpenditure!Y:Y,TRUE)</f>
        <v>2</v>
      </c>
    </row>
    <row r="176" spans="1:19" x14ac:dyDescent="0.25">
      <c r="A176" s="1" t="s">
        <v>59</v>
      </c>
      <c r="B176" s="1" t="s">
        <v>47</v>
      </c>
      <c r="C176">
        <v>323</v>
      </c>
      <c r="D176">
        <v>76</v>
      </c>
      <c r="E176">
        <v>23</v>
      </c>
      <c r="F176">
        <v>76</v>
      </c>
      <c r="G176">
        <v>1</v>
      </c>
      <c r="H176" t="b">
        <v>1</v>
      </c>
      <c r="I176" t="s">
        <v>6861</v>
      </c>
      <c r="J176" t="s">
        <v>6862</v>
      </c>
      <c r="K176" t="s">
        <v>6270</v>
      </c>
      <c r="L176" t="s">
        <v>4403</v>
      </c>
      <c r="M176" t="s">
        <v>6863</v>
      </c>
      <c r="N176">
        <v>25000</v>
      </c>
      <c r="O176" t="s">
        <v>4789</v>
      </c>
      <c r="P176" t="s">
        <v>6864</v>
      </c>
      <c r="Q176" t="s">
        <v>6865</v>
      </c>
      <c r="R176" t="s">
        <v>212</v>
      </c>
      <c r="S176">
        <f>COUNTIFS(ListOfExpenditure!H:H,Public_procurment[[#This Row],[Value.id]],ListOfExpenditure!Y:Y,TRUE)</f>
        <v>2</v>
      </c>
    </row>
    <row r="177" spans="1:19" x14ac:dyDescent="0.25">
      <c r="A177" s="1" t="s">
        <v>59</v>
      </c>
      <c r="B177" s="1" t="s">
        <v>44</v>
      </c>
      <c r="C177">
        <v>326</v>
      </c>
      <c r="D177">
        <v>324</v>
      </c>
      <c r="S177">
        <f>COUNTIFS(ListOfExpenditure!H:H,Public_procurment[[#This Row],[Value.id]],ListOfExpenditure!Y:Y,TRUE)</f>
        <v>0</v>
      </c>
    </row>
    <row r="178" spans="1:19" x14ac:dyDescent="0.25">
      <c r="A178" s="1" t="s">
        <v>59</v>
      </c>
      <c r="B178" s="1" t="s">
        <v>44</v>
      </c>
      <c r="C178">
        <v>326</v>
      </c>
      <c r="D178">
        <v>95</v>
      </c>
      <c r="S178">
        <f>COUNTIFS(ListOfExpenditure!H:H,Public_procurment[[#This Row],[Value.id]],ListOfExpenditure!Y:Y,TRUE)</f>
        <v>0</v>
      </c>
    </row>
    <row r="179" spans="1:19" x14ac:dyDescent="0.25">
      <c r="A179" s="1" t="s">
        <v>59</v>
      </c>
      <c r="B179" s="1" t="s">
        <v>49</v>
      </c>
      <c r="C179">
        <v>321</v>
      </c>
      <c r="D179">
        <v>164</v>
      </c>
      <c r="S179">
        <f>COUNTIFS(ListOfExpenditure!H:H,Public_procurment[[#This Row],[Value.id]],ListOfExpenditure!Y:Y,TRUE)</f>
        <v>0</v>
      </c>
    </row>
    <row r="180" spans="1:19" x14ac:dyDescent="0.25">
      <c r="A180" s="1" t="s">
        <v>59</v>
      </c>
      <c r="B180" s="1" t="s">
        <v>49</v>
      </c>
      <c r="C180">
        <v>321</v>
      </c>
      <c r="D180">
        <v>69</v>
      </c>
      <c r="S180">
        <f>COUNTIFS(ListOfExpenditure!H:H,Public_procurment[[#This Row],[Value.id]],ListOfExpenditure!Y:Y,TRUE)</f>
        <v>0</v>
      </c>
    </row>
    <row r="181" spans="1:19" x14ac:dyDescent="0.25">
      <c r="A181" s="1" t="s">
        <v>59</v>
      </c>
      <c r="B181" s="1" t="s">
        <v>4547</v>
      </c>
      <c r="C181">
        <v>315</v>
      </c>
      <c r="D181">
        <v>109</v>
      </c>
      <c r="S181">
        <f>COUNTIFS(ListOfExpenditure!H:H,Public_procurment[[#This Row],[Value.id]],ListOfExpenditure!Y:Y,TRUE)</f>
        <v>0</v>
      </c>
    </row>
    <row r="182" spans="1:19" x14ac:dyDescent="0.25">
      <c r="A182" s="1" t="s">
        <v>59</v>
      </c>
      <c r="B182" s="1" t="s">
        <v>4547</v>
      </c>
      <c r="C182">
        <v>315</v>
      </c>
      <c r="D182">
        <v>328</v>
      </c>
      <c r="S182">
        <f>COUNTIFS(ListOfExpenditure!H:H,Public_procurment[[#This Row],[Value.id]],ListOfExpenditure!Y:Y,TRUE)</f>
        <v>0</v>
      </c>
    </row>
    <row r="183" spans="1:19" x14ac:dyDescent="0.25">
      <c r="A183" s="1" t="s">
        <v>59</v>
      </c>
      <c r="B183" s="1" t="s">
        <v>52</v>
      </c>
      <c r="C183">
        <v>314</v>
      </c>
      <c r="D183">
        <v>166</v>
      </c>
      <c r="E183">
        <v>21</v>
      </c>
      <c r="F183">
        <v>63</v>
      </c>
      <c r="G183">
        <v>1</v>
      </c>
      <c r="H183" t="b">
        <v>0</v>
      </c>
      <c r="I183" t="s">
        <v>6866</v>
      </c>
      <c r="J183" t="s">
        <v>6867</v>
      </c>
      <c r="K183" t="s">
        <v>6868</v>
      </c>
      <c r="L183" t="s">
        <v>6869</v>
      </c>
      <c r="M183" t="s">
        <v>6870</v>
      </c>
      <c r="N183">
        <v>240</v>
      </c>
      <c r="O183" t="s">
        <v>4789</v>
      </c>
      <c r="P183" t="s">
        <v>6871</v>
      </c>
      <c r="Q183" t="s">
        <v>6872</v>
      </c>
      <c r="R183" t="s">
        <v>212</v>
      </c>
      <c r="S183">
        <f>COUNTIFS(ListOfExpenditure!H:H,Public_procurment[[#This Row],[Value.id]],ListOfExpenditure!Y:Y,TRUE)</f>
        <v>1</v>
      </c>
    </row>
    <row r="184" spans="1:19" x14ac:dyDescent="0.25">
      <c r="A184" s="1" t="s">
        <v>59</v>
      </c>
      <c r="B184" s="1" t="s">
        <v>52</v>
      </c>
      <c r="C184">
        <v>314</v>
      </c>
      <c r="D184">
        <v>166</v>
      </c>
      <c r="E184">
        <v>22</v>
      </c>
      <c r="F184">
        <v>63</v>
      </c>
      <c r="G184">
        <v>1</v>
      </c>
      <c r="H184" t="b">
        <v>0</v>
      </c>
      <c r="I184" t="s">
        <v>6873</v>
      </c>
      <c r="J184" t="s">
        <v>6874</v>
      </c>
      <c r="K184" t="s">
        <v>6875</v>
      </c>
      <c r="L184" t="s">
        <v>6876</v>
      </c>
      <c r="M184" t="s">
        <v>6870</v>
      </c>
      <c r="N184">
        <v>90</v>
      </c>
      <c r="O184" t="s">
        <v>4789</v>
      </c>
      <c r="P184" t="s">
        <v>6877</v>
      </c>
      <c r="Q184" t="s">
        <v>6878</v>
      </c>
      <c r="R184" t="s">
        <v>212</v>
      </c>
      <c r="S184">
        <f>COUNTIFS(ListOfExpenditure!H:H,Public_procurment[[#This Row],[Value.id]],ListOfExpenditure!Y:Y,TRUE)</f>
        <v>1</v>
      </c>
    </row>
    <row r="185" spans="1:19" x14ac:dyDescent="0.25">
      <c r="A185" s="1" t="s">
        <v>59</v>
      </c>
      <c r="B185" s="1" t="s">
        <v>52</v>
      </c>
      <c r="C185">
        <v>314</v>
      </c>
      <c r="D185">
        <v>166</v>
      </c>
      <c r="E185">
        <v>37</v>
      </c>
      <c r="F185">
        <v>63</v>
      </c>
      <c r="G185">
        <v>1</v>
      </c>
      <c r="H185" t="b">
        <v>0</v>
      </c>
      <c r="I185" t="s">
        <v>6879</v>
      </c>
      <c r="J185" t="s">
        <v>6880</v>
      </c>
      <c r="K185" t="s">
        <v>6881</v>
      </c>
      <c r="L185" t="s">
        <v>6869</v>
      </c>
      <c r="M185" t="s">
        <v>6882</v>
      </c>
      <c r="N185">
        <v>156</v>
      </c>
      <c r="O185" t="s">
        <v>4789</v>
      </c>
      <c r="P185" t="s">
        <v>6883</v>
      </c>
      <c r="Q185" t="s">
        <v>6884</v>
      </c>
      <c r="R185" t="s">
        <v>212</v>
      </c>
      <c r="S185">
        <f>COUNTIFS(ListOfExpenditure!H:H,Public_procurment[[#This Row],[Value.id]],ListOfExpenditure!Y:Y,TRUE)</f>
        <v>1</v>
      </c>
    </row>
    <row r="186" spans="1:19" x14ac:dyDescent="0.25">
      <c r="A186" s="1" t="s">
        <v>59</v>
      </c>
      <c r="B186" s="1" t="s">
        <v>52</v>
      </c>
      <c r="C186">
        <v>314</v>
      </c>
      <c r="D186">
        <v>166</v>
      </c>
      <c r="E186">
        <v>38</v>
      </c>
      <c r="F186">
        <v>63</v>
      </c>
      <c r="G186">
        <v>1</v>
      </c>
      <c r="H186" t="b">
        <v>0</v>
      </c>
      <c r="I186" t="s">
        <v>6885</v>
      </c>
      <c r="J186" t="s">
        <v>6886</v>
      </c>
      <c r="K186" t="s">
        <v>6887</v>
      </c>
      <c r="L186" t="s">
        <v>5337</v>
      </c>
      <c r="M186" t="s">
        <v>6882</v>
      </c>
      <c r="N186">
        <v>700</v>
      </c>
      <c r="O186" t="s">
        <v>4789</v>
      </c>
      <c r="P186" t="s">
        <v>6877</v>
      </c>
      <c r="Q186" t="s">
        <v>6639</v>
      </c>
      <c r="R186" t="s">
        <v>212</v>
      </c>
      <c r="S186">
        <f>COUNTIFS(ListOfExpenditure!H:H,Public_procurment[[#This Row],[Value.id]],ListOfExpenditure!Y:Y,TRUE)</f>
        <v>1</v>
      </c>
    </row>
    <row r="187" spans="1:19" x14ac:dyDescent="0.25">
      <c r="A187" s="1" t="s">
        <v>59</v>
      </c>
      <c r="B187" s="1" t="s">
        <v>52</v>
      </c>
      <c r="C187">
        <v>314</v>
      </c>
      <c r="D187">
        <v>166</v>
      </c>
      <c r="E187">
        <v>39</v>
      </c>
      <c r="F187">
        <v>63</v>
      </c>
      <c r="G187">
        <v>1</v>
      </c>
      <c r="H187" t="b">
        <v>0</v>
      </c>
      <c r="I187" t="s">
        <v>6888</v>
      </c>
      <c r="J187" t="s">
        <v>6889</v>
      </c>
      <c r="K187" t="s">
        <v>6890</v>
      </c>
      <c r="L187" t="s">
        <v>6869</v>
      </c>
      <c r="M187" t="s">
        <v>6870</v>
      </c>
      <c r="N187">
        <v>134.72</v>
      </c>
      <c r="O187" t="s">
        <v>4789</v>
      </c>
      <c r="P187" t="s">
        <v>6891</v>
      </c>
      <c r="Q187" t="s">
        <v>6892</v>
      </c>
      <c r="R187" t="s">
        <v>212</v>
      </c>
      <c r="S187">
        <f>COUNTIFS(ListOfExpenditure!H:H,Public_procurment[[#This Row],[Value.id]],ListOfExpenditure!Y:Y,TRUE)</f>
        <v>1</v>
      </c>
    </row>
    <row r="188" spans="1:19" x14ac:dyDescent="0.25">
      <c r="A188" s="1" t="s">
        <v>59</v>
      </c>
      <c r="B188" s="1" t="s">
        <v>52</v>
      </c>
      <c r="C188">
        <v>314</v>
      </c>
      <c r="D188">
        <v>166</v>
      </c>
      <c r="E188">
        <v>40</v>
      </c>
      <c r="F188">
        <v>63</v>
      </c>
      <c r="G188">
        <v>1</v>
      </c>
      <c r="H188" t="b">
        <v>0</v>
      </c>
      <c r="I188" t="s">
        <v>6893</v>
      </c>
      <c r="J188" t="s">
        <v>6894</v>
      </c>
      <c r="K188" t="s">
        <v>6895</v>
      </c>
      <c r="L188" t="s">
        <v>5301</v>
      </c>
      <c r="M188" t="s">
        <v>6882</v>
      </c>
      <c r="N188">
        <v>63</v>
      </c>
      <c r="O188" t="s">
        <v>4789</v>
      </c>
      <c r="P188" t="s">
        <v>6896</v>
      </c>
      <c r="Q188" t="s">
        <v>6884</v>
      </c>
      <c r="R188" t="s">
        <v>212</v>
      </c>
      <c r="S188">
        <f>COUNTIFS(ListOfExpenditure!H:H,Public_procurment[[#This Row],[Value.id]],ListOfExpenditure!Y:Y,TRUE)</f>
        <v>1</v>
      </c>
    </row>
    <row r="189" spans="1:19" x14ac:dyDescent="0.25">
      <c r="A189" s="1" t="s">
        <v>59</v>
      </c>
      <c r="B189" s="1" t="s">
        <v>52</v>
      </c>
      <c r="C189">
        <v>314</v>
      </c>
      <c r="D189">
        <v>166</v>
      </c>
      <c r="E189">
        <v>41</v>
      </c>
      <c r="F189">
        <v>63</v>
      </c>
      <c r="G189">
        <v>1</v>
      </c>
      <c r="H189" t="b">
        <v>0</v>
      </c>
      <c r="I189" t="s">
        <v>6897</v>
      </c>
      <c r="J189" t="s">
        <v>6898</v>
      </c>
      <c r="K189" t="s">
        <v>6899</v>
      </c>
      <c r="L189" t="s">
        <v>5581</v>
      </c>
      <c r="M189" t="s">
        <v>6900</v>
      </c>
      <c r="N189">
        <v>2453.08</v>
      </c>
      <c r="O189" t="s">
        <v>4789</v>
      </c>
      <c r="P189" t="s">
        <v>6901</v>
      </c>
      <c r="Q189" t="s">
        <v>6902</v>
      </c>
      <c r="R189" t="s">
        <v>212</v>
      </c>
      <c r="S189">
        <f>COUNTIFS(ListOfExpenditure!H:H,Public_procurment[[#This Row],[Value.id]],ListOfExpenditure!Y:Y,TRUE)</f>
        <v>1</v>
      </c>
    </row>
    <row r="190" spans="1:19" x14ac:dyDescent="0.25">
      <c r="A190" s="1" t="s">
        <v>59</v>
      </c>
      <c r="B190" s="1" t="s">
        <v>52</v>
      </c>
      <c r="C190">
        <v>314</v>
      </c>
      <c r="D190">
        <v>166</v>
      </c>
      <c r="E190">
        <v>42</v>
      </c>
      <c r="F190">
        <v>63</v>
      </c>
      <c r="G190">
        <v>1</v>
      </c>
      <c r="H190" t="b">
        <v>0</v>
      </c>
      <c r="I190" t="s">
        <v>6903</v>
      </c>
      <c r="J190" t="s">
        <v>6904</v>
      </c>
      <c r="K190" t="s">
        <v>6905</v>
      </c>
      <c r="L190" t="s">
        <v>5427</v>
      </c>
      <c r="M190" t="s">
        <v>6870</v>
      </c>
      <c r="N190">
        <v>390</v>
      </c>
      <c r="O190" t="s">
        <v>4789</v>
      </c>
      <c r="P190" t="s">
        <v>6906</v>
      </c>
      <c r="Q190" t="s">
        <v>6907</v>
      </c>
      <c r="R190" t="s">
        <v>212</v>
      </c>
      <c r="S190">
        <f>COUNTIFS(ListOfExpenditure!H:H,Public_procurment[[#This Row],[Value.id]],ListOfExpenditure!Y:Y,TRUE)</f>
        <v>1</v>
      </c>
    </row>
    <row r="191" spans="1:19" x14ac:dyDescent="0.25">
      <c r="A191" s="1" t="s">
        <v>59</v>
      </c>
      <c r="B191" s="1" t="s">
        <v>52</v>
      </c>
      <c r="C191">
        <v>314</v>
      </c>
      <c r="D191">
        <v>166</v>
      </c>
      <c r="E191">
        <v>43</v>
      </c>
      <c r="F191">
        <v>63</v>
      </c>
      <c r="G191">
        <v>1</v>
      </c>
      <c r="H191" t="b">
        <v>0</v>
      </c>
      <c r="I191" t="s">
        <v>6908</v>
      </c>
      <c r="J191" t="s">
        <v>6909</v>
      </c>
      <c r="K191" t="s">
        <v>6910</v>
      </c>
      <c r="L191" t="s">
        <v>5578</v>
      </c>
      <c r="M191" t="s">
        <v>6870</v>
      </c>
      <c r="N191">
        <v>62.17</v>
      </c>
      <c r="O191" t="s">
        <v>4789</v>
      </c>
      <c r="P191" t="s">
        <v>6911</v>
      </c>
      <c r="Q191" t="s">
        <v>6912</v>
      </c>
      <c r="R191" t="s">
        <v>212</v>
      </c>
      <c r="S191">
        <f>COUNTIFS(ListOfExpenditure!H:H,Public_procurment[[#This Row],[Value.id]],ListOfExpenditure!Y:Y,TRUE)</f>
        <v>1</v>
      </c>
    </row>
    <row r="192" spans="1:19" x14ac:dyDescent="0.25">
      <c r="A192" s="1" t="s">
        <v>59</v>
      </c>
      <c r="B192" s="1" t="s">
        <v>52</v>
      </c>
      <c r="C192">
        <v>314</v>
      </c>
      <c r="D192">
        <v>166</v>
      </c>
      <c r="E192">
        <v>44</v>
      </c>
      <c r="F192">
        <v>63</v>
      </c>
      <c r="G192">
        <v>1</v>
      </c>
      <c r="H192" t="b">
        <v>0</v>
      </c>
      <c r="I192" t="s">
        <v>6913</v>
      </c>
      <c r="J192" t="s">
        <v>6914</v>
      </c>
      <c r="K192" t="s">
        <v>6915</v>
      </c>
      <c r="L192" t="s">
        <v>5321</v>
      </c>
      <c r="M192" t="s">
        <v>6870</v>
      </c>
      <c r="N192">
        <v>300</v>
      </c>
      <c r="O192" t="s">
        <v>4789</v>
      </c>
      <c r="P192" t="s">
        <v>6871</v>
      </c>
      <c r="Q192" t="s">
        <v>6872</v>
      </c>
      <c r="R192" t="s">
        <v>212</v>
      </c>
      <c r="S192">
        <f>COUNTIFS(ListOfExpenditure!H:H,Public_procurment[[#This Row],[Value.id]],ListOfExpenditure!Y:Y,TRUE)</f>
        <v>1</v>
      </c>
    </row>
    <row r="193" spans="1:19" x14ac:dyDescent="0.25">
      <c r="A193" s="1" t="s">
        <v>59</v>
      </c>
      <c r="B193" s="1" t="s">
        <v>52</v>
      </c>
      <c r="C193">
        <v>314</v>
      </c>
      <c r="D193">
        <v>166</v>
      </c>
      <c r="E193">
        <v>48</v>
      </c>
      <c r="F193">
        <v>63</v>
      </c>
      <c r="G193">
        <v>1</v>
      </c>
      <c r="H193" t="b">
        <v>0</v>
      </c>
      <c r="I193" t="s">
        <v>6916</v>
      </c>
      <c r="J193" t="s">
        <v>6917</v>
      </c>
      <c r="K193" t="s">
        <v>6918</v>
      </c>
      <c r="L193" t="s">
        <v>4840</v>
      </c>
      <c r="M193" t="s">
        <v>6870</v>
      </c>
      <c r="N193">
        <v>680</v>
      </c>
      <c r="O193" t="s">
        <v>4789</v>
      </c>
      <c r="P193" t="s">
        <v>6919</v>
      </c>
      <c r="Q193" t="s">
        <v>6920</v>
      </c>
      <c r="R193" t="s">
        <v>212</v>
      </c>
      <c r="S193">
        <f>COUNTIFS(ListOfExpenditure!H:H,Public_procurment[[#This Row],[Value.id]],ListOfExpenditure!Y:Y,TRUE)</f>
        <v>1</v>
      </c>
    </row>
    <row r="194" spans="1:19" x14ac:dyDescent="0.25">
      <c r="A194" s="1" t="s">
        <v>59</v>
      </c>
      <c r="B194" s="1" t="s">
        <v>52</v>
      </c>
      <c r="C194">
        <v>314</v>
      </c>
      <c r="D194">
        <v>166</v>
      </c>
      <c r="E194">
        <v>49</v>
      </c>
      <c r="F194">
        <v>63</v>
      </c>
      <c r="G194">
        <v>1</v>
      </c>
      <c r="H194" t="b">
        <v>0</v>
      </c>
      <c r="I194" t="s">
        <v>6921</v>
      </c>
      <c r="J194" t="s">
        <v>6922</v>
      </c>
      <c r="K194" t="s">
        <v>6923</v>
      </c>
      <c r="L194" t="s">
        <v>5294</v>
      </c>
      <c r="M194" t="s">
        <v>6870</v>
      </c>
      <c r="N194">
        <v>228.31</v>
      </c>
      <c r="O194" t="s">
        <v>4789</v>
      </c>
      <c r="P194" t="s">
        <v>6924</v>
      </c>
      <c r="Q194" t="s">
        <v>6925</v>
      </c>
      <c r="R194" t="s">
        <v>212</v>
      </c>
      <c r="S194">
        <f>COUNTIFS(ListOfExpenditure!H:H,Public_procurment[[#This Row],[Value.id]],ListOfExpenditure!Y:Y,TRUE)</f>
        <v>1</v>
      </c>
    </row>
    <row r="195" spans="1:19" x14ac:dyDescent="0.25">
      <c r="A195" s="1" t="s">
        <v>59</v>
      </c>
      <c r="B195" s="1" t="s">
        <v>52</v>
      </c>
      <c r="C195">
        <v>314</v>
      </c>
      <c r="D195">
        <v>166</v>
      </c>
      <c r="E195">
        <v>50</v>
      </c>
      <c r="F195">
        <v>63</v>
      </c>
      <c r="G195">
        <v>1</v>
      </c>
      <c r="H195" t="b">
        <v>0</v>
      </c>
      <c r="I195" t="s">
        <v>6926</v>
      </c>
      <c r="J195" t="s">
        <v>6927</v>
      </c>
      <c r="K195" t="s">
        <v>6928</v>
      </c>
      <c r="L195" t="s">
        <v>5298</v>
      </c>
      <c r="M195" t="s">
        <v>6882</v>
      </c>
      <c r="N195">
        <v>800</v>
      </c>
      <c r="O195" t="s">
        <v>4789</v>
      </c>
      <c r="P195" t="s">
        <v>6929</v>
      </c>
      <c r="Q195" t="s">
        <v>6930</v>
      </c>
      <c r="R195" t="s">
        <v>212</v>
      </c>
      <c r="S195">
        <f>COUNTIFS(ListOfExpenditure!H:H,Public_procurment[[#This Row],[Value.id]],ListOfExpenditure!Y:Y,TRUE)</f>
        <v>1</v>
      </c>
    </row>
    <row r="196" spans="1:19" x14ac:dyDescent="0.25">
      <c r="A196" s="1" t="s">
        <v>59</v>
      </c>
      <c r="B196" s="1" t="s">
        <v>52</v>
      </c>
      <c r="C196">
        <v>314</v>
      </c>
      <c r="D196">
        <v>166</v>
      </c>
      <c r="E196">
        <v>51</v>
      </c>
      <c r="F196">
        <v>63</v>
      </c>
      <c r="G196">
        <v>1</v>
      </c>
      <c r="H196" t="b">
        <v>0</v>
      </c>
      <c r="I196" t="s">
        <v>6931</v>
      </c>
      <c r="J196" t="s">
        <v>6932</v>
      </c>
      <c r="K196" t="s">
        <v>6933</v>
      </c>
      <c r="L196" t="s">
        <v>5298</v>
      </c>
      <c r="M196" t="s">
        <v>6882</v>
      </c>
      <c r="N196">
        <v>250</v>
      </c>
      <c r="O196" t="s">
        <v>4789</v>
      </c>
      <c r="P196" t="s">
        <v>6934</v>
      </c>
      <c r="Q196" t="s">
        <v>6935</v>
      </c>
      <c r="R196" t="s">
        <v>212</v>
      </c>
      <c r="S196">
        <f>COUNTIFS(ListOfExpenditure!H:H,Public_procurment[[#This Row],[Value.id]],ListOfExpenditure!Y:Y,TRUE)</f>
        <v>1</v>
      </c>
    </row>
    <row r="197" spans="1:19" x14ac:dyDescent="0.25">
      <c r="A197" s="1" t="s">
        <v>59</v>
      </c>
      <c r="B197" s="1" t="s">
        <v>52</v>
      </c>
      <c r="C197">
        <v>314</v>
      </c>
      <c r="D197">
        <v>166</v>
      </c>
      <c r="E197">
        <v>52</v>
      </c>
      <c r="F197">
        <v>63</v>
      </c>
      <c r="G197">
        <v>1</v>
      </c>
      <c r="H197" t="b">
        <v>0</v>
      </c>
      <c r="I197" t="s">
        <v>6936</v>
      </c>
      <c r="J197" t="s">
        <v>6937</v>
      </c>
      <c r="K197" t="s">
        <v>6938</v>
      </c>
      <c r="L197" t="s">
        <v>6939</v>
      </c>
      <c r="M197" t="s">
        <v>6882</v>
      </c>
      <c r="N197">
        <v>292.5</v>
      </c>
      <c r="O197" t="s">
        <v>4789</v>
      </c>
      <c r="P197" t="s">
        <v>6940</v>
      </c>
      <c r="Q197" t="s">
        <v>6941</v>
      </c>
      <c r="R197" t="s">
        <v>212</v>
      </c>
      <c r="S197">
        <f>COUNTIFS(ListOfExpenditure!H:H,Public_procurment[[#This Row],[Value.id]],ListOfExpenditure!Y:Y,TRUE)</f>
        <v>1</v>
      </c>
    </row>
    <row r="198" spans="1:19" x14ac:dyDescent="0.25">
      <c r="A198" s="1" t="s">
        <v>59</v>
      </c>
      <c r="B198" s="1" t="s">
        <v>52</v>
      </c>
      <c r="C198">
        <v>314</v>
      </c>
      <c r="D198">
        <v>166</v>
      </c>
      <c r="E198">
        <v>53</v>
      </c>
      <c r="F198">
        <v>63</v>
      </c>
      <c r="G198">
        <v>1</v>
      </c>
      <c r="H198" t="b">
        <v>0</v>
      </c>
      <c r="I198" t="s">
        <v>6942</v>
      </c>
      <c r="J198" t="s">
        <v>6943</v>
      </c>
      <c r="K198" t="s">
        <v>6944</v>
      </c>
      <c r="L198" t="s">
        <v>5321</v>
      </c>
      <c r="M198" t="s">
        <v>6882</v>
      </c>
      <c r="N198">
        <v>703</v>
      </c>
      <c r="O198" t="s">
        <v>4789</v>
      </c>
      <c r="P198" t="s">
        <v>6945</v>
      </c>
      <c r="Q198" t="s">
        <v>6946</v>
      </c>
      <c r="R198" t="s">
        <v>212</v>
      </c>
      <c r="S198">
        <f>COUNTIFS(ListOfExpenditure!H:H,Public_procurment[[#This Row],[Value.id]],ListOfExpenditure!Y:Y,TRUE)</f>
        <v>1</v>
      </c>
    </row>
    <row r="199" spans="1:19" x14ac:dyDescent="0.25">
      <c r="A199" s="1" t="s">
        <v>59</v>
      </c>
      <c r="B199" s="1" t="s">
        <v>52</v>
      </c>
      <c r="C199">
        <v>314</v>
      </c>
      <c r="D199">
        <v>166</v>
      </c>
      <c r="E199">
        <v>54</v>
      </c>
      <c r="F199">
        <v>63</v>
      </c>
      <c r="G199">
        <v>1</v>
      </c>
      <c r="H199" t="b">
        <v>0</v>
      </c>
      <c r="I199" t="s">
        <v>6947</v>
      </c>
      <c r="J199" t="s">
        <v>6948</v>
      </c>
      <c r="K199" t="s">
        <v>6949</v>
      </c>
      <c r="L199" t="s">
        <v>5294</v>
      </c>
      <c r="M199" t="s">
        <v>6882</v>
      </c>
      <c r="N199">
        <v>288</v>
      </c>
      <c r="O199" t="s">
        <v>4789</v>
      </c>
      <c r="P199" t="s">
        <v>6950</v>
      </c>
      <c r="Q199" t="s">
        <v>6951</v>
      </c>
      <c r="R199" t="s">
        <v>212</v>
      </c>
      <c r="S199">
        <f>COUNTIFS(ListOfExpenditure!H:H,Public_procurment[[#This Row],[Value.id]],ListOfExpenditure!Y:Y,TRUE)</f>
        <v>1</v>
      </c>
    </row>
    <row r="200" spans="1:19" x14ac:dyDescent="0.25">
      <c r="A200" s="1" t="s">
        <v>59</v>
      </c>
      <c r="B200" s="1" t="s">
        <v>52</v>
      </c>
      <c r="C200">
        <v>314</v>
      </c>
      <c r="D200">
        <v>166</v>
      </c>
      <c r="E200">
        <v>55</v>
      </c>
      <c r="F200">
        <v>63</v>
      </c>
      <c r="G200">
        <v>1</v>
      </c>
      <c r="H200" t="b">
        <v>0</v>
      </c>
      <c r="I200" t="s">
        <v>6952</v>
      </c>
      <c r="J200" t="s">
        <v>6953</v>
      </c>
      <c r="K200" t="s">
        <v>6954</v>
      </c>
      <c r="L200" t="s">
        <v>5298</v>
      </c>
      <c r="M200" t="s">
        <v>6882</v>
      </c>
      <c r="N200">
        <v>96.1</v>
      </c>
      <c r="O200" t="s">
        <v>4789</v>
      </c>
      <c r="P200" t="s">
        <v>6955</v>
      </c>
      <c r="Q200" t="s">
        <v>6956</v>
      </c>
      <c r="R200" t="s">
        <v>212</v>
      </c>
      <c r="S200">
        <f>COUNTIFS(ListOfExpenditure!H:H,Public_procurment[[#This Row],[Value.id]],ListOfExpenditure!Y:Y,TRUE)</f>
        <v>1</v>
      </c>
    </row>
    <row r="201" spans="1:19" x14ac:dyDescent="0.25">
      <c r="A201" s="1" t="s">
        <v>59</v>
      </c>
      <c r="B201" s="1" t="s">
        <v>52</v>
      </c>
      <c r="C201">
        <v>314</v>
      </c>
      <c r="D201">
        <v>166</v>
      </c>
      <c r="E201">
        <v>56</v>
      </c>
      <c r="F201">
        <v>63</v>
      </c>
      <c r="G201">
        <v>1</v>
      </c>
      <c r="H201" t="b">
        <v>0</v>
      </c>
      <c r="I201" t="s">
        <v>6957</v>
      </c>
      <c r="J201" t="s">
        <v>6958</v>
      </c>
      <c r="K201" t="s">
        <v>6959</v>
      </c>
      <c r="L201" t="s">
        <v>5581</v>
      </c>
      <c r="M201" t="s">
        <v>6870</v>
      </c>
      <c r="N201">
        <v>400</v>
      </c>
      <c r="O201" t="s">
        <v>4789</v>
      </c>
      <c r="P201" t="s">
        <v>6960</v>
      </c>
      <c r="Q201" t="s">
        <v>6961</v>
      </c>
      <c r="R201" t="s">
        <v>212</v>
      </c>
      <c r="S201">
        <f>COUNTIFS(ListOfExpenditure!H:H,Public_procurment[[#This Row],[Value.id]],ListOfExpenditure!Y:Y,TRUE)</f>
        <v>1</v>
      </c>
    </row>
    <row r="202" spans="1:19" x14ac:dyDescent="0.25">
      <c r="A202" s="1" t="s">
        <v>59</v>
      </c>
      <c r="B202" s="1" t="s">
        <v>52</v>
      </c>
      <c r="C202">
        <v>314</v>
      </c>
      <c r="D202">
        <v>166</v>
      </c>
      <c r="E202">
        <v>57</v>
      </c>
      <c r="F202">
        <v>63</v>
      </c>
      <c r="G202">
        <v>1</v>
      </c>
      <c r="H202" t="b">
        <v>0</v>
      </c>
      <c r="I202" t="s">
        <v>6962</v>
      </c>
      <c r="J202" t="s">
        <v>6963</v>
      </c>
      <c r="K202" t="s">
        <v>6964</v>
      </c>
      <c r="L202" t="s">
        <v>5581</v>
      </c>
      <c r="M202" t="s">
        <v>6870</v>
      </c>
      <c r="N202">
        <v>1600</v>
      </c>
      <c r="O202" t="s">
        <v>4789</v>
      </c>
      <c r="P202" t="s">
        <v>6960</v>
      </c>
      <c r="Q202" t="s">
        <v>6961</v>
      </c>
      <c r="R202" t="s">
        <v>212</v>
      </c>
      <c r="S202">
        <f>COUNTIFS(ListOfExpenditure!H:H,Public_procurment[[#This Row],[Value.id]],ListOfExpenditure!Y:Y,TRUE)</f>
        <v>1</v>
      </c>
    </row>
    <row r="203" spans="1:19" x14ac:dyDescent="0.25">
      <c r="A203" s="1" t="s">
        <v>59</v>
      </c>
      <c r="B203" s="1" t="s">
        <v>52</v>
      </c>
      <c r="C203">
        <v>314</v>
      </c>
      <c r="D203">
        <v>63</v>
      </c>
      <c r="E203">
        <v>21</v>
      </c>
      <c r="F203">
        <v>63</v>
      </c>
      <c r="G203">
        <v>1</v>
      </c>
      <c r="H203" t="b">
        <v>1</v>
      </c>
      <c r="I203" t="s">
        <v>6866</v>
      </c>
      <c r="J203" t="s">
        <v>6867</v>
      </c>
      <c r="K203" t="s">
        <v>6868</v>
      </c>
      <c r="L203" t="s">
        <v>6869</v>
      </c>
      <c r="M203" t="s">
        <v>6870</v>
      </c>
      <c r="N203">
        <v>240</v>
      </c>
      <c r="O203" t="s">
        <v>4789</v>
      </c>
      <c r="P203" t="s">
        <v>6871</v>
      </c>
      <c r="Q203" t="s">
        <v>6872</v>
      </c>
      <c r="R203" t="s">
        <v>212</v>
      </c>
      <c r="S203">
        <f>COUNTIFS(ListOfExpenditure!H:H,Public_procurment[[#This Row],[Value.id]],ListOfExpenditure!Y:Y,TRUE)</f>
        <v>1</v>
      </c>
    </row>
    <row r="204" spans="1:19" x14ac:dyDescent="0.25">
      <c r="A204" s="1" t="s">
        <v>59</v>
      </c>
      <c r="B204" s="1" t="s">
        <v>52</v>
      </c>
      <c r="C204">
        <v>314</v>
      </c>
      <c r="D204">
        <v>63</v>
      </c>
      <c r="E204">
        <v>22</v>
      </c>
      <c r="F204">
        <v>63</v>
      </c>
      <c r="G204">
        <v>1</v>
      </c>
      <c r="H204" t="b">
        <v>1</v>
      </c>
      <c r="I204" t="s">
        <v>6873</v>
      </c>
      <c r="J204" t="s">
        <v>6874</v>
      </c>
      <c r="K204" t="s">
        <v>6875</v>
      </c>
      <c r="L204" t="s">
        <v>6876</v>
      </c>
      <c r="M204" t="s">
        <v>6870</v>
      </c>
      <c r="N204">
        <v>90</v>
      </c>
      <c r="O204" t="s">
        <v>4789</v>
      </c>
      <c r="P204" t="s">
        <v>6877</v>
      </c>
      <c r="Q204" t="s">
        <v>6878</v>
      </c>
      <c r="R204" t="s">
        <v>212</v>
      </c>
      <c r="S204">
        <f>COUNTIFS(ListOfExpenditure!H:H,Public_procurment[[#This Row],[Value.id]],ListOfExpenditure!Y:Y,TRUE)</f>
        <v>1</v>
      </c>
    </row>
    <row r="205" spans="1:19" x14ac:dyDescent="0.25">
      <c r="A205" s="1" t="s">
        <v>59</v>
      </c>
      <c r="B205" s="1" t="s">
        <v>52</v>
      </c>
      <c r="C205">
        <v>314</v>
      </c>
      <c r="D205">
        <v>63</v>
      </c>
      <c r="E205">
        <v>37</v>
      </c>
      <c r="F205">
        <v>63</v>
      </c>
      <c r="G205">
        <v>1</v>
      </c>
      <c r="H205" t="b">
        <v>1</v>
      </c>
      <c r="I205" t="s">
        <v>6879</v>
      </c>
      <c r="J205" t="s">
        <v>6880</v>
      </c>
      <c r="K205" t="s">
        <v>6881</v>
      </c>
      <c r="L205" t="s">
        <v>6869</v>
      </c>
      <c r="M205" t="s">
        <v>6882</v>
      </c>
      <c r="N205">
        <v>156</v>
      </c>
      <c r="O205" t="s">
        <v>4789</v>
      </c>
      <c r="P205" t="s">
        <v>6883</v>
      </c>
      <c r="Q205" t="s">
        <v>6884</v>
      </c>
      <c r="R205" t="s">
        <v>212</v>
      </c>
      <c r="S205">
        <f>COUNTIFS(ListOfExpenditure!H:H,Public_procurment[[#This Row],[Value.id]],ListOfExpenditure!Y:Y,TRUE)</f>
        <v>1</v>
      </c>
    </row>
    <row r="206" spans="1:19" x14ac:dyDescent="0.25">
      <c r="A206" s="1" t="s">
        <v>59</v>
      </c>
      <c r="B206" s="1" t="s">
        <v>52</v>
      </c>
      <c r="C206">
        <v>314</v>
      </c>
      <c r="D206">
        <v>63</v>
      </c>
      <c r="E206">
        <v>38</v>
      </c>
      <c r="F206">
        <v>63</v>
      </c>
      <c r="G206">
        <v>1</v>
      </c>
      <c r="H206" t="b">
        <v>1</v>
      </c>
      <c r="I206" t="s">
        <v>6885</v>
      </c>
      <c r="J206" t="s">
        <v>6886</v>
      </c>
      <c r="K206" t="s">
        <v>6887</v>
      </c>
      <c r="L206" t="s">
        <v>5337</v>
      </c>
      <c r="M206" t="s">
        <v>6882</v>
      </c>
      <c r="N206">
        <v>700</v>
      </c>
      <c r="O206" t="s">
        <v>4789</v>
      </c>
      <c r="P206" t="s">
        <v>6877</v>
      </c>
      <c r="Q206" t="s">
        <v>6639</v>
      </c>
      <c r="R206" t="s">
        <v>212</v>
      </c>
      <c r="S206">
        <f>COUNTIFS(ListOfExpenditure!H:H,Public_procurment[[#This Row],[Value.id]],ListOfExpenditure!Y:Y,TRUE)</f>
        <v>1</v>
      </c>
    </row>
    <row r="207" spans="1:19" x14ac:dyDescent="0.25">
      <c r="A207" s="1" t="s">
        <v>59</v>
      </c>
      <c r="B207" s="1" t="s">
        <v>52</v>
      </c>
      <c r="C207">
        <v>314</v>
      </c>
      <c r="D207">
        <v>63</v>
      </c>
      <c r="E207">
        <v>39</v>
      </c>
      <c r="F207">
        <v>63</v>
      </c>
      <c r="G207">
        <v>1</v>
      </c>
      <c r="H207" t="b">
        <v>1</v>
      </c>
      <c r="I207" t="s">
        <v>6888</v>
      </c>
      <c r="J207" t="s">
        <v>6889</v>
      </c>
      <c r="K207" t="s">
        <v>6890</v>
      </c>
      <c r="L207" t="s">
        <v>6869</v>
      </c>
      <c r="M207" t="s">
        <v>6870</v>
      </c>
      <c r="N207">
        <v>134.72</v>
      </c>
      <c r="O207" t="s">
        <v>4789</v>
      </c>
      <c r="P207" t="s">
        <v>6891</v>
      </c>
      <c r="Q207" t="s">
        <v>6892</v>
      </c>
      <c r="R207" t="s">
        <v>212</v>
      </c>
      <c r="S207">
        <f>COUNTIFS(ListOfExpenditure!H:H,Public_procurment[[#This Row],[Value.id]],ListOfExpenditure!Y:Y,TRUE)</f>
        <v>1</v>
      </c>
    </row>
    <row r="208" spans="1:19" x14ac:dyDescent="0.25">
      <c r="A208" s="1" t="s">
        <v>59</v>
      </c>
      <c r="B208" s="1" t="s">
        <v>52</v>
      </c>
      <c r="C208">
        <v>314</v>
      </c>
      <c r="D208">
        <v>63</v>
      </c>
      <c r="E208">
        <v>40</v>
      </c>
      <c r="F208">
        <v>63</v>
      </c>
      <c r="G208">
        <v>1</v>
      </c>
      <c r="H208" t="b">
        <v>1</v>
      </c>
      <c r="I208" t="s">
        <v>6893</v>
      </c>
      <c r="J208" t="s">
        <v>6894</v>
      </c>
      <c r="K208" t="s">
        <v>6895</v>
      </c>
      <c r="L208" t="s">
        <v>5301</v>
      </c>
      <c r="M208" t="s">
        <v>6882</v>
      </c>
      <c r="N208">
        <v>63</v>
      </c>
      <c r="O208" t="s">
        <v>4789</v>
      </c>
      <c r="P208" t="s">
        <v>6896</v>
      </c>
      <c r="Q208" t="s">
        <v>6884</v>
      </c>
      <c r="R208" t="s">
        <v>212</v>
      </c>
      <c r="S208">
        <f>COUNTIFS(ListOfExpenditure!H:H,Public_procurment[[#This Row],[Value.id]],ListOfExpenditure!Y:Y,TRUE)</f>
        <v>1</v>
      </c>
    </row>
    <row r="209" spans="1:19" x14ac:dyDescent="0.25">
      <c r="A209" s="1" t="s">
        <v>59</v>
      </c>
      <c r="B209" s="1" t="s">
        <v>52</v>
      </c>
      <c r="C209">
        <v>314</v>
      </c>
      <c r="D209">
        <v>63</v>
      </c>
      <c r="E209">
        <v>41</v>
      </c>
      <c r="F209">
        <v>63</v>
      </c>
      <c r="G209">
        <v>1</v>
      </c>
      <c r="H209" t="b">
        <v>1</v>
      </c>
      <c r="I209" t="s">
        <v>6897</v>
      </c>
      <c r="J209" t="s">
        <v>6898</v>
      </c>
      <c r="K209" t="s">
        <v>6899</v>
      </c>
      <c r="L209" t="s">
        <v>5581</v>
      </c>
      <c r="M209" t="s">
        <v>6900</v>
      </c>
      <c r="N209">
        <v>2453.08</v>
      </c>
      <c r="O209" t="s">
        <v>4789</v>
      </c>
      <c r="P209" t="s">
        <v>6901</v>
      </c>
      <c r="Q209" t="s">
        <v>6902</v>
      </c>
      <c r="R209" t="s">
        <v>212</v>
      </c>
      <c r="S209">
        <f>COUNTIFS(ListOfExpenditure!H:H,Public_procurment[[#This Row],[Value.id]],ListOfExpenditure!Y:Y,TRUE)</f>
        <v>1</v>
      </c>
    </row>
    <row r="210" spans="1:19" x14ac:dyDescent="0.25">
      <c r="A210" s="1" t="s">
        <v>59</v>
      </c>
      <c r="B210" s="1" t="s">
        <v>52</v>
      </c>
      <c r="C210">
        <v>314</v>
      </c>
      <c r="D210">
        <v>63</v>
      </c>
      <c r="E210">
        <v>42</v>
      </c>
      <c r="F210">
        <v>63</v>
      </c>
      <c r="G210">
        <v>1</v>
      </c>
      <c r="H210" t="b">
        <v>1</v>
      </c>
      <c r="I210" t="s">
        <v>6903</v>
      </c>
      <c r="J210" t="s">
        <v>6904</v>
      </c>
      <c r="K210" t="s">
        <v>6905</v>
      </c>
      <c r="L210" t="s">
        <v>5427</v>
      </c>
      <c r="M210" t="s">
        <v>6870</v>
      </c>
      <c r="N210">
        <v>390</v>
      </c>
      <c r="O210" t="s">
        <v>4789</v>
      </c>
      <c r="P210" t="s">
        <v>6906</v>
      </c>
      <c r="Q210" t="s">
        <v>6907</v>
      </c>
      <c r="R210" t="s">
        <v>212</v>
      </c>
      <c r="S210">
        <f>COUNTIFS(ListOfExpenditure!H:H,Public_procurment[[#This Row],[Value.id]],ListOfExpenditure!Y:Y,TRUE)</f>
        <v>1</v>
      </c>
    </row>
    <row r="211" spans="1:19" x14ac:dyDescent="0.25">
      <c r="A211" s="1" t="s">
        <v>59</v>
      </c>
      <c r="B211" s="1" t="s">
        <v>52</v>
      </c>
      <c r="C211">
        <v>314</v>
      </c>
      <c r="D211">
        <v>63</v>
      </c>
      <c r="E211">
        <v>43</v>
      </c>
      <c r="F211">
        <v>63</v>
      </c>
      <c r="G211">
        <v>1</v>
      </c>
      <c r="H211" t="b">
        <v>1</v>
      </c>
      <c r="I211" t="s">
        <v>6908</v>
      </c>
      <c r="J211" t="s">
        <v>6909</v>
      </c>
      <c r="K211" t="s">
        <v>6910</v>
      </c>
      <c r="L211" t="s">
        <v>5578</v>
      </c>
      <c r="M211" t="s">
        <v>6870</v>
      </c>
      <c r="N211">
        <v>62.17</v>
      </c>
      <c r="O211" t="s">
        <v>4789</v>
      </c>
      <c r="P211" t="s">
        <v>6911</v>
      </c>
      <c r="Q211" t="s">
        <v>6912</v>
      </c>
      <c r="R211" t="s">
        <v>212</v>
      </c>
      <c r="S211">
        <f>COUNTIFS(ListOfExpenditure!H:H,Public_procurment[[#This Row],[Value.id]],ListOfExpenditure!Y:Y,TRUE)</f>
        <v>1</v>
      </c>
    </row>
    <row r="212" spans="1:19" x14ac:dyDescent="0.25">
      <c r="A212" s="1" t="s">
        <v>59</v>
      </c>
      <c r="B212" s="1" t="s">
        <v>52</v>
      </c>
      <c r="C212">
        <v>314</v>
      </c>
      <c r="D212">
        <v>63</v>
      </c>
      <c r="E212">
        <v>44</v>
      </c>
      <c r="F212">
        <v>63</v>
      </c>
      <c r="G212">
        <v>1</v>
      </c>
      <c r="H212" t="b">
        <v>1</v>
      </c>
      <c r="I212" t="s">
        <v>6913</v>
      </c>
      <c r="J212" t="s">
        <v>6914</v>
      </c>
      <c r="K212" t="s">
        <v>6915</v>
      </c>
      <c r="L212" t="s">
        <v>5321</v>
      </c>
      <c r="M212" t="s">
        <v>6870</v>
      </c>
      <c r="N212">
        <v>300</v>
      </c>
      <c r="O212" t="s">
        <v>4789</v>
      </c>
      <c r="P212" t="s">
        <v>6871</v>
      </c>
      <c r="Q212" t="s">
        <v>6872</v>
      </c>
      <c r="R212" t="s">
        <v>212</v>
      </c>
      <c r="S212">
        <f>COUNTIFS(ListOfExpenditure!H:H,Public_procurment[[#This Row],[Value.id]],ListOfExpenditure!Y:Y,TRUE)</f>
        <v>1</v>
      </c>
    </row>
    <row r="213" spans="1:19" x14ac:dyDescent="0.25">
      <c r="A213" s="1" t="s">
        <v>59</v>
      </c>
      <c r="B213" s="1" t="s">
        <v>52</v>
      </c>
      <c r="C213">
        <v>314</v>
      </c>
      <c r="D213">
        <v>63</v>
      </c>
      <c r="E213">
        <v>48</v>
      </c>
      <c r="F213">
        <v>63</v>
      </c>
      <c r="G213">
        <v>1</v>
      </c>
      <c r="H213" t="b">
        <v>1</v>
      </c>
      <c r="I213" t="s">
        <v>6916</v>
      </c>
      <c r="J213" t="s">
        <v>6917</v>
      </c>
      <c r="K213" t="s">
        <v>6918</v>
      </c>
      <c r="L213" t="s">
        <v>4840</v>
      </c>
      <c r="M213" t="s">
        <v>6870</v>
      </c>
      <c r="N213">
        <v>680</v>
      </c>
      <c r="O213" t="s">
        <v>4789</v>
      </c>
      <c r="P213" t="s">
        <v>6919</v>
      </c>
      <c r="Q213" t="s">
        <v>6920</v>
      </c>
      <c r="R213" t="s">
        <v>212</v>
      </c>
      <c r="S213">
        <f>COUNTIFS(ListOfExpenditure!H:H,Public_procurment[[#This Row],[Value.id]],ListOfExpenditure!Y:Y,TRUE)</f>
        <v>1</v>
      </c>
    </row>
    <row r="214" spans="1:19" x14ac:dyDescent="0.25">
      <c r="A214" s="1" t="s">
        <v>59</v>
      </c>
      <c r="B214" s="1" t="s">
        <v>52</v>
      </c>
      <c r="C214">
        <v>314</v>
      </c>
      <c r="D214">
        <v>63</v>
      </c>
      <c r="E214">
        <v>49</v>
      </c>
      <c r="F214">
        <v>63</v>
      </c>
      <c r="G214">
        <v>1</v>
      </c>
      <c r="H214" t="b">
        <v>1</v>
      </c>
      <c r="I214" t="s">
        <v>6921</v>
      </c>
      <c r="J214" t="s">
        <v>6922</v>
      </c>
      <c r="K214" t="s">
        <v>6923</v>
      </c>
      <c r="L214" t="s">
        <v>5294</v>
      </c>
      <c r="M214" t="s">
        <v>6870</v>
      </c>
      <c r="N214">
        <v>228.31</v>
      </c>
      <c r="O214" t="s">
        <v>4789</v>
      </c>
      <c r="P214" t="s">
        <v>6924</v>
      </c>
      <c r="Q214" t="s">
        <v>6925</v>
      </c>
      <c r="R214" t="s">
        <v>212</v>
      </c>
      <c r="S214">
        <f>COUNTIFS(ListOfExpenditure!H:H,Public_procurment[[#This Row],[Value.id]],ListOfExpenditure!Y:Y,TRUE)</f>
        <v>1</v>
      </c>
    </row>
    <row r="215" spans="1:19" x14ac:dyDescent="0.25">
      <c r="A215" s="1" t="s">
        <v>59</v>
      </c>
      <c r="B215" s="1" t="s">
        <v>52</v>
      </c>
      <c r="C215">
        <v>314</v>
      </c>
      <c r="D215">
        <v>63</v>
      </c>
      <c r="E215">
        <v>50</v>
      </c>
      <c r="F215">
        <v>63</v>
      </c>
      <c r="G215">
        <v>1</v>
      </c>
      <c r="H215" t="b">
        <v>1</v>
      </c>
      <c r="I215" t="s">
        <v>6926</v>
      </c>
      <c r="J215" t="s">
        <v>6927</v>
      </c>
      <c r="K215" t="s">
        <v>6928</v>
      </c>
      <c r="L215" t="s">
        <v>5298</v>
      </c>
      <c r="M215" t="s">
        <v>6882</v>
      </c>
      <c r="N215">
        <v>800</v>
      </c>
      <c r="O215" t="s">
        <v>4789</v>
      </c>
      <c r="P215" t="s">
        <v>6929</v>
      </c>
      <c r="Q215" t="s">
        <v>6930</v>
      </c>
      <c r="R215" t="s">
        <v>212</v>
      </c>
      <c r="S215">
        <f>COUNTIFS(ListOfExpenditure!H:H,Public_procurment[[#This Row],[Value.id]],ListOfExpenditure!Y:Y,TRUE)</f>
        <v>1</v>
      </c>
    </row>
    <row r="216" spans="1:19" x14ac:dyDescent="0.25">
      <c r="A216" s="1" t="s">
        <v>59</v>
      </c>
      <c r="B216" s="1" t="s">
        <v>52</v>
      </c>
      <c r="C216">
        <v>314</v>
      </c>
      <c r="D216">
        <v>63</v>
      </c>
      <c r="E216">
        <v>51</v>
      </c>
      <c r="F216">
        <v>63</v>
      </c>
      <c r="G216">
        <v>1</v>
      </c>
      <c r="H216" t="b">
        <v>1</v>
      </c>
      <c r="I216" t="s">
        <v>6931</v>
      </c>
      <c r="J216" t="s">
        <v>6932</v>
      </c>
      <c r="K216" t="s">
        <v>6933</v>
      </c>
      <c r="L216" t="s">
        <v>5298</v>
      </c>
      <c r="M216" t="s">
        <v>6882</v>
      </c>
      <c r="N216">
        <v>250</v>
      </c>
      <c r="O216" t="s">
        <v>4789</v>
      </c>
      <c r="P216" t="s">
        <v>6934</v>
      </c>
      <c r="Q216" t="s">
        <v>6935</v>
      </c>
      <c r="R216" t="s">
        <v>212</v>
      </c>
      <c r="S216">
        <f>COUNTIFS(ListOfExpenditure!H:H,Public_procurment[[#This Row],[Value.id]],ListOfExpenditure!Y:Y,TRUE)</f>
        <v>1</v>
      </c>
    </row>
    <row r="217" spans="1:19" x14ac:dyDescent="0.25">
      <c r="A217" s="1" t="s">
        <v>59</v>
      </c>
      <c r="B217" s="1" t="s">
        <v>52</v>
      </c>
      <c r="C217">
        <v>314</v>
      </c>
      <c r="D217">
        <v>63</v>
      </c>
      <c r="E217">
        <v>52</v>
      </c>
      <c r="F217">
        <v>63</v>
      </c>
      <c r="G217">
        <v>1</v>
      </c>
      <c r="H217" t="b">
        <v>1</v>
      </c>
      <c r="I217" t="s">
        <v>6936</v>
      </c>
      <c r="J217" t="s">
        <v>6937</v>
      </c>
      <c r="K217" t="s">
        <v>6938</v>
      </c>
      <c r="L217" t="s">
        <v>6939</v>
      </c>
      <c r="M217" t="s">
        <v>6882</v>
      </c>
      <c r="N217">
        <v>292.5</v>
      </c>
      <c r="O217" t="s">
        <v>4789</v>
      </c>
      <c r="P217" t="s">
        <v>6940</v>
      </c>
      <c r="Q217" t="s">
        <v>6941</v>
      </c>
      <c r="R217" t="s">
        <v>212</v>
      </c>
      <c r="S217">
        <f>COUNTIFS(ListOfExpenditure!H:H,Public_procurment[[#This Row],[Value.id]],ListOfExpenditure!Y:Y,TRUE)</f>
        <v>1</v>
      </c>
    </row>
    <row r="218" spans="1:19" x14ac:dyDescent="0.25">
      <c r="A218" s="1" t="s">
        <v>59</v>
      </c>
      <c r="B218" s="1" t="s">
        <v>52</v>
      </c>
      <c r="C218">
        <v>314</v>
      </c>
      <c r="D218">
        <v>63</v>
      </c>
      <c r="E218">
        <v>53</v>
      </c>
      <c r="F218">
        <v>63</v>
      </c>
      <c r="G218">
        <v>1</v>
      </c>
      <c r="H218" t="b">
        <v>1</v>
      </c>
      <c r="I218" t="s">
        <v>6942</v>
      </c>
      <c r="J218" t="s">
        <v>6943</v>
      </c>
      <c r="K218" t="s">
        <v>6944</v>
      </c>
      <c r="L218" t="s">
        <v>5321</v>
      </c>
      <c r="M218" t="s">
        <v>6882</v>
      </c>
      <c r="N218">
        <v>703</v>
      </c>
      <c r="O218" t="s">
        <v>4789</v>
      </c>
      <c r="P218" t="s">
        <v>6945</v>
      </c>
      <c r="Q218" t="s">
        <v>6946</v>
      </c>
      <c r="R218" t="s">
        <v>212</v>
      </c>
      <c r="S218">
        <f>COUNTIFS(ListOfExpenditure!H:H,Public_procurment[[#This Row],[Value.id]],ListOfExpenditure!Y:Y,TRUE)</f>
        <v>1</v>
      </c>
    </row>
    <row r="219" spans="1:19" x14ac:dyDescent="0.25">
      <c r="A219" s="1" t="s">
        <v>59</v>
      </c>
      <c r="B219" s="1" t="s">
        <v>52</v>
      </c>
      <c r="C219">
        <v>314</v>
      </c>
      <c r="D219">
        <v>63</v>
      </c>
      <c r="E219">
        <v>54</v>
      </c>
      <c r="F219">
        <v>63</v>
      </c>
      <c r="G219">
        <v>1</v>
      </c>
      <c r="H219" t="b">
        <v>1</v>
      </c>
      <c r="I219" t="s">
        <v>6947</v>
      </c>
      <c r="J219" t="s">
        <v>6948</v>
      </c>
      <c r="K219" t="s">
        <v>6949</v>
      </c>
      <c r="L219" t="s">
        <v>5294</v>
      </c>
      <c r="M219" t="s">
        <v>6882</v>
      </c>
      <c r="N219">
        <v>288</v>
      </c>
      <c r="O219" t="s">
        <v>4789</v>
      </c>
      <c r="P219" t="s">
        <v>6950</v>
      </c>
      <c r="Q219" t="s">
        <v>6951</v>
      </c>
      <c r="R219" t="s">
        <v>212</v>
      </c>
      <c r="S219">
        <f>COUNTIFS(ListOfExpenditure!H:H,Public_procurment[[#This Row],[Value.id]],ListOfExpenditure!Y:Y,TRUE)</f>
        <v>1</v>
      </c>
    </row>
    <row r="220" spans="1:19" x14ac:dyDescent="0.25">
      <c r="A220" s="1" t="s">
        <v>59</v>
      </c>
      <c r="B220" s="1" t="s">
        <v>52</v>
      </c>
      <c r="C220">
        <v>314</v>
      </c>
      <c r="D220">
        <v>63</v>
      </c>
      <c r="E220">
        <v>55</v>
      </c>
      <c r="F220">
        <v>63</v>
      </c>
      <c r="G220">
        <v>1</v>
      </c>
      <c r="H220" t="b">
        <v>1</v>
      </c>
      <c r="I220" t="s">
        <v>6952</v>
      </c>
      <c r="J220" t="s">
        <v>6953</v>
      </c>
      <c r="K220" t="s">
        <v>6954</v>
      </c>
      <c r="L220" t="s">
        <v>5298</v>
      </c>
      <c r="M220" t="s">
        <v>6882</v>
      </c>
      <c r="N220">
        <v>96.1</v>
      </c>
      <c r="O220" t="s">
        <v>4789</v>
      </c>
      <c r="P220" t="s">
        <v>6955</v>
      </c>
      <c r="Q220" t="s">
        <v>6956</v>
      </c>
      <c r="R220" t="s">
        <v>212</v>
      </c>
      <c r="S220">
        <f>COUNTIFS(ListOfExpenditure!H:H,Public_procurment[[#This Row],[Value.id]],ListOfExpenditure!Y:Y,TRUE)</f>
        <v>1</v>
      </c>
    </row>
    <row r="221" spans="1:19" x14ac:dyDescent="0.25">
      <c r="A221" s="1" t="s">
        <v>59</v>
      </c>
      <c r="B221" s="1" t="s">
        <v>52</v>
      </c>
      <c r="C221">
        <v>314</v>
      </c>
      <c r="D221">
        <v>63</v>
      </c>
      <c r="E221">
        <v>56</v>
      </c>
      <c r="F221">
        <v>63</v>
      </c>
      <c r="G221">
        <v>1</v>
      </c>
      <c r="H221" t="b">
        <v>1</v>
      </c>
      <c r="I221" t="s">
        <v>6957</v>
      </c>
      <c r="J221" t="s">
        <v>6958</v>
      </c>
      <c r="K221" t="s">
        <v>6959</v>
      </c>
      <c r="L221" t="s">
        <v>5581</v>
      </c>
      <c r="M221" t="s">
        <v>6870</v>
      </c>
      <c r="N221">
        <v>400</v>
      </c>
      <c r="O221" t="s">
        <v>4789</v>
      </c>
      <c r="P221" t="s">
        <v>6960</v>
      </c>
      <c r="Q221" t="s">
        <v>6961</v>
      </c>
      <c r="R221" t="s">
        <v>212</v>
      </c>
      <c r="S221">
        <f>COUNTIFS(ListOfExpenditure!H:H,Public_procurment[[#This Row],[Value.id]],ListOfExpenditure!Y:Y,TRUE)</f>
        <v>1</v>
      </c>
    </row>
    <row r="222" spans="1:19" x14ac:dyDescent="0.25">
      <c r="A222" s="1" t="s">
        <v>59</v>
      </c>
      <c r="B222" s="1" t="s">
        <v>52</v>
      </c>
      <c r="C222">
        <v>314</v>
      </c>
      <c r="D222">
        <v>63</v>
      </c>
      <c r="E222">
        <v>57</v>
      </c>
      <c r="F222">
        <v>63</v>
      </c>
      <c r="G222">
        <v>1</v>
      </c>
      <c r="H222" t="b">
        <v>1</v>
      </c>
      <c r="I222" t="s">
        <v>6962</v>
      </c>
      <c r="J222" t="s">
        <v>6963</v>
      </c>
      <c r="K222" t="s">
        <v>6964</v>
      </c>
      <c r="L222" t="s">
        <v>5581</v>
      </c>
      <c r="M222" t="s">
        <v>6870</v>
      </c>
      <c r="N222">
        <v>1600</v>
      </c>
      <c r="O222" t="s">
        <v>4789</v>
      </c>
      <c r="P222" t="s">
        <v>6960</v>
      </c>
      <c r="Q222" t="s">
        <v>6961</v>
      </c>
      <c r="R222" t="s">
        <v>212</v>
      </c>
      <c r="S222">
        <f>COUNTIFS(ListOfExpenditure!H:H,Public_procurment[[#This Row],[Value.id]],ListOfExpenditure!Y:Y,TRUE)</f>
        <v>1</v>
      </c>
    </row>
    <row r="223" spans="1:19" x14ac:dyDescent="0.25">
      <c r="A223" s="1" t="s">
        <v>59</v>
      </c>
      <c r="B223" s="1" t="s">
        <v>21</v>
      </c>
      <c r="C223">
        <v>324</v>
      </c>
      <c r="D223">
        <v>102</v>
      </c>
      <c r="E223">
        <v>85</v>
      </c>
      <c r="F223">
        <v>102</v>
      </c>
      <c r="G223">
        <v>1</v>
      </c>
      <c r="H223" t="b">
        <v>1</v>
      </c>
      <c r="I223" t="s">
        <v>6965</v>
      </c>
      <c r="J223" t="s">
        <v>6966</v>
      </c>
      <c r="K223" t="s">
        <v>6967</v>
      </c>
      <c r="L223" t="s">
        <v>5088</v>
      </c>
      <c r="M223" t="s">
        <v>6527</v>
      </c>
      <c r="N223">
        <v>16200</v>
      </c>
      <c r="O223" t="s">
        <v>4789</v>
      </c>
      <c r="P223" t="s">
        <v>6968</v>
      </c>
      <c r="Q223" t="s">
        <v>3033</v>
      </c>
      <c r="R223" t="s">
        <v>212</v>
      </c>
      <c r="S223">
        <f>COUNTIFS(ListOfExpenditure!H:H,Public_procurment[[#This Row],[Value.id]],ListOfExpenditure!Y:Y,TRUE)</f>
        <v>1</v>
      </c>
    </row>
    <row r="224" spans="1:19" x14ac:dyDescent="0.25">
      <c r="A224" s="1" t="s">
        <v>59</v>
      </c>
      <c r="B224" s="1" t="s">
        <v>21</v>
      </c>
      <c r="C224">
        <v>324</v>
      </c>
      <c r="D224">
        <v>102</v>
      </c>
      <c r="E224">
        <v>86</v>
      </c>
      <c r="F224">
        <v>102</v>
      </c>
      <c r="G224">
        <v>1</v>
      </c>
      <c r="H224" t="b">
        <v>1</v>
      </c>
      <c r="I224" t="s">
        <v>6969</v>
      </c>
      <c r="J224" t="s">
        <v>6970</v>
      </c>
      <c r="K224" t="s">
        <v>6971</v>
      </c>
      <c r="L224" t="s">
        <v>5062</v>
      </c>
      <c r="M224" t="s">
        <v>6527</v>
      </c>
      <c r="N224">
        <v>415.69</v>
      </c>
      <c r="O224" t="s">
        <v>4789</v>
      </c>
      <c r="P224" t="s">
        <v>6972</v>
      </c>
      <c r="Q224" t="s">
        <v>6973</v>
      </c>
      <c r="R224" t="s">
        <v>212</v>
      </c>
      <c r="S224">
        <f>COUNTIFS(ListOfExpenditure!H:H,Public_procurment[[#This Row],[Value.id]],ListOfExpenditure!Y:Y,TRUE)</f>
        <v>1</v>
      </c>
    </row>
    <row r="225" spans="1:19" x14ac:dyDescent="0.25">
      <c r="A225" s="1" t="s">
        <v>59</v>
      </c>
      <c r="B225" s="1" t="s">
        <v>21</v>
      </c>
      <c r="C225">
        <v>324</v>
      </c>
      <c r="D225">
        <v>102</v>
      </c>
      <c r="E225">
        <v>87</v>
      </c>
      <c r="F225">
        <v>102</v>
      </c>
      <c r="G225">
        <v>1</v>
      </c>
      <c r="H225" t="b">
        <v>1</v>
      </c>
      <c r="I225" t="s">
        <v>6974</v>
      </c>
      <c r="J225" t="s">
        <v>6975</v>
      </c>
      <c r="K225" t="s">
        <v>6971</v>
      </c>
      <c r="L225" t="s">
        <v>5062</v>
      </c>
      <c r="M225" t="s">
        <v>6527</v>
      </c>
      <c r="N225">
        <v>350</v>
      </c>
      <c r="O225" t="s">
        <v>4789</v>
      </c>
      <c r="P225" t="s">
        <v>6976</v>
      </c>
      <c r="Q225" t="s">
        <v>6977</v>
      </c>
      <c r="R225" t="s">
        <v>212</v>
      </c>
      <c r="S225">
        <f>COUNTIFS(ListOfExpenditure!H:H,Public_procurment[[#This Row],[Value.id]],ListOfExpenditure!Y:Y,TRUE)</f>
        <v>1</v>
      </c>
    </row>
    <row r="226" spans="1:19" x14ac:dyDescent="0.25">
      <c r="A226" s="1" t="s">
        <v>59</v>
      </c>
      <c r="B226" s="1" t="s">
        <v>21</v>
      </c>
      <c r="C226">
        <v>324</v>
      </c>
      <c r="D226">
        <v>102</v>
      </c>
      <c r="E226">
        <v>88</v>
      </c>
      <c r="F226">
        <v>102</v>
      </c>
      <c r="G226">
        <v>1</v>
      </c>
      <c r="H226" t="b">
        <v>1</v>
      </c>
      <c r="I226" t="s">
        <v>6978</v>
      </c>
      <c r="J226" t="s">
        <v>6979</v>
      </c>
      <c r="K226" t="s">
        <v>6971</v>
      </c>
      <c r="L226" t="s">
        <v>5062</v>
      </c>
      <c r="M226" t="s">
        <v>6527</v>
      </c>
      <c r="N226">
        <v>380</v>
      </c>
      <c r="O226" t="s">
        <v>4789</v>
      </c>
      <c r="P226" t="s">
        <v>6980</v>
      </c>
      <c r="Q226" t="s">
        <v>6981</v>
      </c>
      <c r="R226" t="s">
        <v>212</v>
      </c>
      <c r="S226">
        <f>COUNTIFS(ListOfExpenditure!H:H,Public_procurment[[#This Row],[Value.id]],ListOfExpenditure!Y:Y,TRUE)</f>
        <v>0</v>
      </c>
    </row>
    <row r="227" spans="1:19" x14ac:dyDescent="0.25">
      <c r="A227" s="1" t="s">
        <v>59</v>
      </c>
      <c r="B227" s="1" t="s">
        <v>21</v>
      </c>
      <c r="C227">
        <v>324</v>
      </c>
      <c r="D227">
        <v>163</v>
      </c>
      <c r="E227">
        <v>85</v>
      </c>
      <c r="F227">
        <v>102</v>
      </c>
      <c r="G227">
        <v>1</v>
      </c>
      <c r="H227" t="b">
        <v>0</v>
      </c>
      <c r="I227" t="s">
        <v>6965</v>
      </c>
      <c r="J227" t="s">
        <v>6966</v>
      </c>
      <c r="K227" t="s">
        <v>6967</v>
      </c>
      <c r="L227" t="s">
        <v>5088</v>
      </c>
      <c r="M227" t="s">
        <v>6527</v>
      </c>
      <c r="N227">
        <v>16200</v>
      </c>
      <c r="O227" t="s">
        <v>4789</v>
      </c>
      <c r="P227" t="s">
        <v>6968</v>
      </c>
      <c r="Q227" t="s">
        <v>3033</v>
      </c>
      <c r="R227" t="s">
        <v>212</v>
      </c>
      <c r="S227">
        <f>COUNTIFS(ListOfExpenditure!H:H,Public_procurment[[#This Row],[Value.id]],ListOfExpenditure!Y:Y,TRUE)</f>
        <v>1</v>
      </c>
    </row>
    <row r="228" spans="1:19" x14ac:dyDescent="0.25">
      <c r="A228" s="1" t="s">
        <v>59</v>
      </c>
      <c r="B228" s="1" t="s">
        <v>21</v>
      </c>
      <c r="C228">
        <v>324</v>
      </c>
      <c r="D228">
        <v>163</v>
      </c>
      <c r="E228">
        <v>86</v>
      </c>
      <c r="F228">
        <v>102</v>
      </c>
      <c r="G228">
        <v>1</v>
      </c>
      <c r="H228" t="b">
        <v>0</v>
      </c>
      <c r="I228" t="s">
        <v>6969</v>
      </c>
      <c r="J228" t="s">
        <v>6970</v>
      </c>
      <c r="K228" t="s">
        <v>6971</v>
      </c>
      <c r="L228" t="s">
        <v>5062</v>
      </c>
      <c r="M228" t="s">
        <v>6527</v>
      </c>
      <c r="N228">
        <v>415.69</v>
      </c>
      <c r="O228" t="s">
        <v>4789</v>
      </c>
      <c r="P228" t="s">
        <v>6972</v>
      </c>
      <c r="Q228" t="s">
        <v>6973</v>
      </c>
      <c r="R228" t="s">
        <v>212</v>
      </c>
      <c r="S228">
        <f>COUNTIFS(ListOfExpenditure!H:H,Public_procurment[[#This Row],[Value.id]],ListOfExpenditure!Y:Y,TRUE)</f>
        <v>1</v>
      </c>
    </row>
    <row r="229" spans="1:19" x14ac:dyDescent="0.25">
      <c r="A229" s="1" t="s">
        <v>59</v>
      </c>
      <c r="B229" s="1" t="s">
        <v>21</v>
      </c>
      <c r="C229">
        <v>324</v>
      </c>
      <c r="D229">
        <v>163</v>
      </c>
      <c r="E229">
        <v>87</v>
      </c>
      <c r="F229">
        <v>102</v>
      </c>
      <c r="G229">
        <v>1</v>
      </c>
      <c r="H229" t="b">
        <v>0</v>
      </c>
      <c r="I229" t="s">
        <v>6974</v>
      </c>
      <c r="J229" t="s">
        <v>6975</v>
      </c>
      <c r="K229" t="s">
        <v>6971</v>
      </c>
      <c r="L229" t="s">
        <v>5062</v>
      </c>
      <c r="M229" t="s">
        <v>6527</v>
      </c>
      <c r="N229">
        <v>350</v>
      </c>
      <c r="O229" t="s">
        <v>4789</v>
      </c>
      <c r="P229" t="s">
        <v>6976</v>
      </c>
      <c r="Q229" t="s">
        <v>6977</v>
      </c>
      <c r="R229" t="s">
        <v>212</v>
      </c>
      <c r="S229">
        <f>COUNTIFS(ListOfExpenditure!H:H,Public_procurment[[#This Row],[Value.id]],ListOfExpenditure!Y:Y,TRUE)</f>
        <v>1</v>
      </c>
    </row>
    <row r="230" spans="1:19" x14ac:dyDescent="0.25">
      <c r="A230" s="1" t="s">
        <v>59</v>
      </c>
      <c r="B230" s="1" t="s">
        <v>21</v>
      </c>
      <c r="C230">
        <v>324</v>
      </c>
      <c r="D230">
        <v>163</v>
      </c>
      <c r="E230">
        <v>88</v>
      </c>
      <c r="F230">
        <v>102</v>
      </c>
      <c r="G230">
        <v>1</v>
      </c>
      <c r="H230" t="b">
        <v>0</v>
      </c>
      <c r="I230" t="s">
        <v>6978</v>
      </c>
      <c r="J230" t="s">
        <v>6979</v>
      </c>
      <c r="K230" t="s">
        <v>6971</v>
      </c>
      <c r="L230" t="s">
        <v>5062</v>
      </c>
      <c r="M230" t="s">
        <v>6527</v>
      </c>
      <c r="N230">
        <v>380</v>
      </c>
      <c r="O230" t="s">
        <v>4789</v>
      </c>
      <c r="P230" t="s">
        <v>6980</v>
      </c>
      <c r="Q230" t="s">
        <v>6981</v>
      </c>
      <c r="R230" t="s">
        <v>212</v>
      </c>
      <c r="S230">
        <f>COUNTIFS(ListOfExpenditure!H:H,Public_procurment[[#This Row],[Value.id]],ListOfExpenditure!Y:Y,TRUE)</f>
        <v>0</v>
      </c>
    </row>
    <row r="231" spans="1:19" x14ac:dyDescent="0.25">
      <c r="A231" s="1" t="s">
        <v>59</v>
      </c>
      <c r="B231" s="1" t="s">
        <v>21</v>
      </c>
      <c r="C231">
        <v>324</v>
      </c>
      <c r="D231">
        <v>163</v>
      </c>
      <c r="E231">
        <v>106</v>
      </c>
      <c r="F231">
        <v>163</v>
      </c>
      <c r="G231">
        <v>2</v>
      </c>
      <c r="H231" t="b">
        <v>1</v>
      </c>
      <c r="I231" t="s">
        <v>6982</v>
      </c>
      <c r="J231" t="s">
        <v>6983</v>
      </c>
      <c r="K231" t="s">
        <v>212</v>
      </c>
      <c r="L231" t="s">
        <v>5062</v>
      </c>
      <c r="M231" t="s">
        <v>6527</v>
      </c>
      <c r="N231">
        <v>107.95</v>
      </c>
      <c r="O231" t="s">
        <v>4789</v>
      </c>
      <c r="P231" t="s">
        <v>6984</v>
      </c>
      <c r="Q231" t="s">
        <v>6985</v>
      </c>
      <c r="R231" t="s">
        <v>212</v>
      </c>
      <c r="S231">
        <f>COUNTIFS(ListOfExpenditure!H:H,Public_procurment[[#This Row],[Value.id]],ListOfExpenditure!Y:Y,TRUE)</f>
        <v>1</v>
      </c>
    </row>
    <row r="232" spans="1:19" x14ac:dyDescent="0.25">
      <c r="A232" s="1" t="s">
        <v>59</v>
      </c>
      <c r="B232" s="1" t="s">
        <v>382</v>
      </c>
      <c r="C232">
        <v>322</v>
      </c>
      <c r="D232">
        <v>108</v>
      </c>
      <c r="S232">
        <f>COUNTIFS(ListOfExpenditure!H:H,Public_procurment[[#This Row],[Value.id]],ListOfExpenditure!Y:Y,TRUE)</f>
        <v>0</v>
      </c>
    </row>
    <row r="233" spans="1:19" x14ac:dyDescent="0.25">
      <c r="A233" s="1" t="s">
        <v>59</v>
      </c>
      <c r="B233" s="1" t="s">
        <v>382</v>
      </c>
      <c r="C233">
        <v>322</v>
      </c>
      <c r="D233">
        <v>167</v>
      </c>
      <c r="S233">
        <f>COUNTIFS(ListOfExpenditure!H:H,Public_procurment[[#This Row],[Value.id]],ListOfExpenditure!Y:Y,TRUE)</f>
        <v>0</v>
      </c>
    </row>
    <row r="234" spans="1:19" x14ac:dyDescent="0.25">
      <c r="A234" s="1" t="s">
        <v>59</v>
      </c>
      <c r="B234" s="1" t="s">
        <v>41</v>
      </c>
      <c r="C234">
        <v>320</v>
      </c>
      <c r="D234">
        <v>310</v>
      </c>
      <c r="S234">
        <f>COUNTIFS(ListOfExpenditure!H:H,Public_procurment[[#This Row],[Value.id]],ListOfExpenditure!Y:Y,TRUE)</f>
        <v>0</v>
      </c>
    </row>
    <row r="235" spans="1:19" x14ac:dyDescent="0.25">
      <c r="A235" s="1" t="s">
        <v>59</v>
      </c>
      <c r="B235" s="1" t="s">
        <v>41</v>
      </c>
      <c r="C235">
        <v>320</v>
      </c>
      <c r="D235">
        <v>67</v>
      </c>
      <c r="S235">
        <f>COUNTIFS(ListOfExpenditure!H:H,Public_procurment[[#This Row],[Value.id]],ListOfExpenditure!Y:Y,TRUE)</f>
        <v>0</v>
      </c>
    </row>
    <row r="236" spans="1:19" x14ac:dyDescent="0.25">
      <c r="A236" s="1" t="s">
        <v>59</v>
      </c>
      <c r="B236" s="1" t="s">
        <v>69</v>
      </c>
      <c r="C236">
        <v>325</v>
      </c>
      <c r="D236">
        <v>244</v>
      </c>
      <c r="S236">
        <f>COUNTIFS(ListOfExpenditure!H:H,Public_procurment[[#This Row],[Value.id]],ListOfExpenditure!Y:Y,TRUE)</f>
        <v>0</v>
      </c>
    </row>
    <row r="237" spans="1:19" x14ac:dyDescent="0.25">
      <c r="A237" s="1" t="s">
        <v>59</v>
      </c>
      <c r="B237" s="1" t="s">
        <v>69</v>
      </c>
      <c r="C237">
        <v>325</v>
      </c>
      <c r="D237">
        <v>75</v>
      </c>
      <c r="S237">
        <f>COUNTIFS(ListOfExpenditure!H:H,Public_procurment[[#This Row],[Value.id]],ListOfExpenditure!Y:Y,TRUE)</f>
        <v>0</v>
      </c>
    </row>
    <row r="238" spans="1:19" x14ac:dyDescent="0.25">
      <c r="A238" s="1" t="s">
        <v>59</v>
      </c>
      <c r="B238" s="1" t="s">
        <v>22</v>
      </c>
      <c r="C238">
        <v>318</v>
      </c>
      <c r="D238">
        <v>292</v>
      </c>
      <c r="S238">
        <f>COUNTIFS(ListOfExpenditure!H:H,Public_procurment[[#This Row],[Value.id]],ListOfExpenditure!Y:Y,TRUE)</f>
        <v>0</v>
      </c>
    </row>
    <row r="239" spans="1:19" x14ac:dyDescent="0.25">
      <c r="A239" s="1" t="s">
        <v>59</v>
      </c>
      <c r="B239" s="1" t="s">
        <v>22</v>
      </c>
      <c r="C239">
        <v>318</v>
      </c>
      <c r="D239">
        <v>51</v>
      </c>
      <c r="S239">
        <f>COUNTIFS(ListOfExpenditure!H:H,Public_procurment[[#This Row],[Value.id]],ListOfExpenditure!Y:Y,TRUE)</f>
        <v>0</v>
      </c>
    </row>
    <row r="240" spans="1:19" x14ac:dyDescent="0.25">
      <c r="A240" s="1" t="s">
        <v>59</v>
      </c>
      <c r="B240" s="1" t="s">
        <v>48</v>
      </c>
      <c r="C240">
        <v>319</v>
      </c>
      <c r="D240">
        <v>56</v>
      </c>
      <c r="S240">
        <f>COUNTIFS(ListOfExpenditure!H:H,Public_procurment[[#This Row],[Value.id]],ListOfExpenditure!Y:Y,TRUE)</f>
        <v>0</v>
      </c>
    </row>
    <row r="241" spans="1:19" x14ac:dyDescent="0.25">
      <c r="A241" s="1" t="s">
        <v>59</v>
      </c>
      <c r="B241" s="1" t="s">
        <v>48</v>
      </c>
      <c r="C241">
        <v>319</v>
      </c>
      <c r="D241">
        <v>57</v>
      </c>
      <c r="S241">
        <f>COUNTIFS(ListOfExpenditure!H:H,Public_procurment[[#This Row],[Value.id]],ListOfExpenditure!Y:Y,TRUE)</f>
        <v>0</v>
      </c>
    </row>
    <row r="242" spans="1:19" x14ac:dyDescent="0.25">
      <c r="A242" s="1" t="s">
        <v>59</v>
      </c>
      <c r="B242" s="1" t="s">
        <v>28</v>
      </c>
      <c r="C242">
        <v>317</v>
      </c>
      <c r="D242">
        <v>253</v>
      </c>
      <c r="S242">
        <f>COUNTIFS(ListOfExpenditure!H:H,Public_procurment[[#This Row],[Value.id]],ListOfExpenditure!Y:Y,TRUE)</f>
        <v>0</v>
      </c>
    </row>
    <row r="243" spans="1:19" x14ac:dyDescent="0.25">
      <c r="A243" s="1" t="s">
        <v>59</v>
      </c>
      <c r="B243" s="1" t="s">
        <v>28</v>
      </c>
      <c r="C243">
        <v>317</v>
      </c>
      <c r="D243">
        <v>53</v>
      </c>
      <c r="S243">
        <f>COUNTIFS(ListOfExpenditure!H:H,Public_procurment[[#This Row],[Value.id]],ListOfExpenditure!Y:Y,TRUE)</f>
        <v>0</v>
      </c>
    </row>
    <row r="244" spans="1:19" x14ac:dyDescent="0.25">
      <c r="A244" s="1" t="s">
        <v>271</v>
      </c>
      <c r="B244" s="1" t="s">
        <v>272</v>
      </c>
      <c r="C244">
        <v>229</v>
      </c>
      <c r="D244">
        <v>246</v>
      </c>
      <c r="E244">
        <v>196</v>
      </c>
      <c r="F244">
        <v>246</v>
      </c>
      <c r="G244">
        <v>1</v>
      </c>
      <c r="H244" t="b">
        <v>1</v>
      </c>
      <c r="I244" t="s">
        <v>6986</v>
      </c>
      <c r="J244" t="s">
        <v>6987</v>
      </c>
      <c r="K244" t="s">
        <v>4922</v>
      </c>
      <c r="L244" t="s">
        <v>5990</v>
      </c>
      <c r="M244" t="s">
        <v>6988</v>
      </c>
      <c r="N244">
        <v>32300</v>
      </c>
      <c r="O244" t="s">
        <v>4789</v>
      </c>
      <c r="P244" t="s">
        <v>6989</v>
      </c>
      <c r="Q244" t="s">
        <v>6990</v>
      </c>
      <c r="R244" t="s">
        <v>6991</v>
      </c>
      <c r="S244">
        <f>COUNTIFS(ListOfExpenditure!H:H,Public_procurment[[#This Row],[Value.id]],ListOfExpenditure!Y:Y,TRUE)</f>
        <v>2</v>
      </c>
    </row>
    <row r="245" spans="1:19" x14ac:dyDescent="0.25">
      <c r="A245" s="1" t="s">
        <v>271</v>
      </c>
      <c r="B245" s="1" t="s">
        <v>274</v>
      </c>
      <c r="C245">
        <v>218</v>
      </c>
      <c r="D245">
        <v>233</v>
      </c>
      <c r="E245">
        <v>174</v>
      </c>
      <c r="F245">
        <v>233</v>
      </c>
      <c r="G245">
        <v>1</v>
      </c>
      <c r="H245" t="b">
        <v>1</v>
      </c>
      <c r="I245" t="s">
        <v>6992</v>
      </c>
      <c r="J245" t="s">
        <v>6662</v>
      </c>
      <c r="K245" t="s">
        <v>4933</v>
      </c>
      <c r="L245" t="s">
        <v>5118</v>
      </c>
      <c r="M245" t="s">
        <v>6663</v>
      </c>
      <c r="N245">
        <v>39840</v>
      </c>
      <c r="O245" t="s">
        <v>4789</v>
      </c>
      <c r="P245" t="s">
        <v>6664</v>
      </c>
      <c r="Q245" t="s">
        <v>6665</v>
      </c>
      <c r="R245" t="s">
        <v>6993</v>
      </c>
      <c r="S245">
        <f>COUNTIFS(ListOfExpenditure!H:H,Public_procurment[[#This Row],[Value.id]],ListOfExpenditure!Y:Y,TRUE)</f>
        <v>0</v>
      </c>
    </row>
    <row r="246" spans="1:19" x14ac:dyDescent="0.25">
      <c r="A246" s="1" t="s">
        <v>271</v>
      </c>
      <c r="B246" s="1" t="s">
        <v>275</v>
      </c>
      <c r="C246">
        <v>221</v>
      </c>
      <c r="D246">
        <v>325</v>
      </c>
      <c r="S246">
        <f>COUNTIFS(ListOfExpenditure!H:H,Public_procurment[[#This Row],[Value.id]],ListOfExpenditure!Y:Y,TRUE)</f>
        <v>0</v>
      </c>
    </row>
    <row r="247" spans="1:19" x14ac:dyDescent="0.25">
      <c r="A247" s="1" t="s">
        <v>271</v>
      </c>
      <c r="B247" s="1" t="s">
        <v>276</v>
      </c>
      <c r="C247">
        <v>76</v>
      </c>
      <c r="D247">
        <v>198</v>
      </c>
      <c r="S247">
        <f>COUNTIFS(ListOfExpenditure!H:H,Public_procurment[[#This Row],[Value.id]],ListOfExpenditure!Y:Y,TRUE)</f>
        <v>0</v>
      </c>
    </row>
    <row r="248" spans="1:19" x14ac:dyDescent="0.25">
      <c r="A248" s="1" t="s">
        <v>57</v>
      </c>
      <c r="B248" s="1" t="s">
        <v>29</v>
      </c>
      <c r="C248">
        <v>312</v>
      </c>
      <c r="D248">
        <v>218</v>
      </c>
      <c r="E248">
        <v>240</v>
      </c>
      <c r="F248">
        <v>218</v>
      </c>
      <c r="G248">
        <v>2</v>
      </c>
      <c r="H248" t="b">
        <v>1</v>
      </c>
      <c r="I248" t="s">
        <v>6994</v>
      </c>
      <c r="J248" t="s">
        <v>6995</v>
      </c>
      <c r="K248" t="s">
        <v>6336</v>
      </c>
      <c r="L248" t="s">
        <v>4877</v>
      </c>
      <c r="M248" t="s">
        <v>6996</v>
      </c>
      <c r="N248">
        <v>25613.93</v>
      </c>
      <c r="O248" t="s">
        <v>4789</v>
      </c>
      <c r="P248" t="s">
        <v>6997</v>
      </c>
      <c r="Q248" t="s">
        <v>6998</v>
      </c>
      <c r="R248" t="s">
        <v>6999</v>
      </c>
      <c r="S248">
        <f>COUNTIFS(ListOfExpenditure!H:H,Public_procurment[[#This Row],[Value.id]],ListOfExpenditure!Y:Y,TRUE)</f>
        <v>3</v>
      </c>
    </row>
    <row r="249" spans="1:19" x14ac:dyDescent="0.25">
      <c r="A249" s="1" t="s">
        <v>57</v>
      </c>
      <c r="B249" s="1" t="s">
        <v>29</v>
      </c>
      <c r="C249">
        <v>312</v>
      </c>
      <c r="D249">
        <v>61</v>
      </c>
      <c r="S249">
        <f>COUNTIFS(ListOfExpenditure!H:H,Public_procurment[[#This Row],[Value.id]],ListOfExpenditure!Y:Y,TRUE)</f>
        <v>0</v>
      </c>
    </row>
    <row r="250" spans="1:19" x14ac:dyDescent="0.25">
      <c r="A250" s="1" t="s">
        <v>57</v>
      </c>
      <c r="B250" s="1" t="s">
        <v>0</v>
      </c>
      <c r="C250">
        <v>305</v>
      </c>
      <c r="D250">
        <v>274</v>
      </c>
      <c r="E250">
        <v>217</v>
      </c>
      <c r="F250">
        <v>274</v>
      </c>
      <c r="G250">
        <v>2</v>
      </c>
      <c r="H250" t="b">
        <v>1</v>
      </c>
      <c r="I250" t="s">
        <v>7000</v>
      </c>
      <c r="J250" t="s">
        <v>7001</v>
      </c>
      <c r="K250" t="s">
        <v>7002</v>
      </c>
      <c r="L250" t="s">
        <v>6238</v>
      </c>
      <c r="M250" t="s">
        <v>7003</v>
      </c>
      <c r="N250">
        <v>147010</v>
      </c>
      <c r="O250" t="s">
        <v>4789</v>
      </c>
      <c r="P250" t="s">
        <v>7004</v>
      </c>
      <c r="Q250" t="s">
        <v>7005</v>
      </c>
      <c r="R250" t="s">
        <v>212</v>
      </c>
      <c r="S250">
        <f>COUNTIFS(ListOfExpenditure!H:H,Public_procurment[[#This Row],[Value.id]],ListOfExpenditure!Y:Y,TRUE)</f>
        <v>1</v>
      </c>
    </row>
    <row r="251" spans="1:19" x14ac:dyDescent="0.25">
      <c r="A251" s="1" t="s">
        <v>57</v>
      </c>
      <c r="B251" s="1" t="s">
        <v>0</v>
      </c>
      <c r="C251">
        <v>305</v>
      </c>
      <c r="D251">
        <v>94</v>
      </c>
      <c r="S251">
        <f>COUNTIFS(ListOfExpenditure!H:H,Public_procurment[[#This Row],[Value.id]],ListOfExpenditure!Y:Y,TRUE)</f>
        <v>0</v>
      </c>
    </row>
    <row r="252" spans="1:19" x14ac:dyDescent="0.25">
      <c r="A252" s="1" t="s">
        <v>57</v>
      </c>
      <c r="B252" s="1" t="s">
        <v>34</v>
      </c>
      <c r="C252">
        <v>306</v>
      </c>
      <c r="D252">
        <v>261</v>
      </c>
      <c r="E252">
        <v>18</v>
      </c>
      <c r="F252">
        <v>52</v>
      </c>
      <c r="G252">
        <v>1</v>
      </c>
      <c r="H252" t="b">
        <v>0</v>
      </c>
      <c r="I252" t="s">
        <v>7006</v>
      </c>
      <c r="J252" t="s">
        <v>7007</v>
      </c>
      <c r="K252" t="s">
        <v>4922</v>
      </c>
      <c r="L252" t="s">
        <v>5345</v>
      </c>
      <c r="M252" t="s">
        <v>7008</v>
      </c>
      <c r="N252">
        <v>1141.92</v>
      </c>
      <c r="O252" t="s">
        <v>4789</v>
      </c>
      <c r="P252" t="s">
        <v>7009</v>
      </c>
      <c r="Q252" t="s">
        <v>7010</v>
      </c>
      <c r="R252" t="s">
        <v>212</v>
      </c>
      <c r="S252">
        <f>COUNTIFS(ListOfExpenditure!H:H,Public_procurment[[#This Row],[Value.id]],ListOfExpenditure!Y:Y,TRUE)</f>
        <v>1</v>
      </c>
    </row>
    <row r="253" spans="1:19" x14ac:dyDescent="0.25">
      <c r="A253" s="1" t="s">
        <v>57</v>
      </c>
      <c r="B253" s="1" t="s">
        <v>34</v>
      </c>
      <c r="C253">
        <v>306</v>
      </c>
      <c r="D253">
        <v>261</v>
      </c>
      <c r="E253">
        <v>19</v>
      </c>
      <c r="F253">
        <v>52</v>
      </c>
      <c r="G253">
        <v>1</v>
      </c>
      <c r="H253" t="b">
        <v>0</v>
      </c>
      <c r="I253" t="s">
        <v>7011</v>
      </c>
      <c r="J253" t="s">
        <v>7012</v>
      </c>
      <c r="K253" t="s">
        <v>4926</v>
      </c>
      <c r="L253" t="s">
        <v>5345</v>
      </c>
      <c r="M253" t="s">
        <v>7013</v>
      </c>
      <c r="N253">
        <v>1324.99</v>
      </c>
      <c r="O253" t="s">
        <v>4789</v>
      </c>
      <c r="P253" t="s">
        <v>7014</v>
      </c>
      <c r="Q253" t="s">
        <v>7015</v>
      </c>
      <c r="R253" t="s">
        <v>212</v>
      </c>
      <c r="S253">
        <f>COUNTIFS(ListOfExpenditure!H:H,Public_procurment[[#This Row],[Value.id]],ListOfExpenditure!Y:Y,TRUE)</f>
        <v>1</v>
      </c>
    </row>
    <row r="254" spans="1:19" x14ac:dyDescent="0.25">
      <c r="A254" s="1" t="s">
        <v>57</v>
      </c>
      <c r="B254" s="1" t="s">
        <v>34</v>
      </c>
      <c r="C254">
        <v>306</v>
      </c>
      <c r="D254">
        <v>261</v>
      </c>
      <c r="E254">
        <v>171</v>
      </c>
      <c r="F254">
        <v>261</v>
      </c>
      <c r="G254">
        <v>2</v>
      </c>
      <c r="H254" t="b">
        <v>1</v>
      </c>
      <c r="I254" t="s">
        <v>7016</v>
      </c>
      <c r="J254" t="s">
        <v>7017</v>
      </c>
      <c r="K254" t="s">
        <v>7018</v>
      </c>
      <c r="L254" t="s">
        <v>4916</v>
      </c>
      <c r="M254" t="s">
        <v>7019</v>
      </c>
      <c r="N254">
        <v>6900</v>
      </c>
      <c r="O254" t="s">
        <v>4789</v>
      </c>
      <c r="P254" t="s">
        <v>7020</v>
      </c>
      <c r="Q254" t="s">
        <v>7021</v>
      </c>
      <c r="R254" t="s">
        <v>212</v>
      </c>
      <c r="S254">
        <f>COUNTIFS(ListOfExpenditure!H:H,Public_procurment[[#This Row],[Value.id]],ListOfExpenditure!Y:Y,TRUE)</f>
        <v>0</v>
      </c>
    </row>
    <row r="255" spans="1:19" x14ac:dyDescent="0.25">
      <c r="A255" s="1" t="s">
        <v>57</v>
      </c>
      <c r="B255" s="1" t="s">
        <v>34</v>
      </c>
      <c r="C255">
        <v>306</v>
      </c>
      <c r="D255">
        <v>261</v>
      </c>
      <c r="E255">
        <v>172</v>
      </c>
      <c r="F255">
        <v>261</v>
      </c>
      <c r="G255">
        <v>2</v>
      </c>
      <c r="H255" t="b">
        <v>1</v>
      </c>
      <c r="I255" t="s">
        <v>7022</v>
      </c>
      <c r="J255" t="s">
        <v>7023</v>
      </c>
      <c r="K255" t="s">
        <v>7024</v>
      </c>
      <c r="L255" t="s">
        <v>5435</v>
      </c>
      <c r="M255" t="s">
        <v>7025</v>
      </c>
      <c r="N255">
        <v>100000</v>
      </c>
      <c r="O255" t="s">
        <v>4789</v>
      </c>
      <c r="P255" t="s">
        <v>7026</v>
      </c>
      <c r="Q255" t="s">
        <v>7027</v>
      </c>
      <c r="R255" t="s">
        <v>7028</v>
      </c>
      <c r="S255">
        <f>COUNTIFS(ListOfExpenditure!H:H,Public_procurment[[#This Row],[Value.id]],ListOfExpenditure!Y:Y,TRUE)</f>
        <v>0</v>
      </c>
    </row>
    <row r="256" spans="1:19" x14ac:dyDescent="0.25">
      <c r="A256" s="1" t="s">
        <v>57</v>
      </c>
      <c r="B256" s="1" t="s">
        <v>34</v>
      </c>
      <c r="C256">
        <v>306</v>
      </c>
      <c r="D256">
        <v>261</v>
      </c>
      <c r="E256">
        <v>173</v>
      </c>
      <c r="F256">
        <v>261</v>
      </c>
      <c r="G256">
        <v>2</v>
      </c>
      <c r="H256" t="b">
        <v>1</v>
      </c>
      <c r="I256" t="s">
        <v>7029</v>
      </c>
      <c r="J256" t="s">
        <v>7030</v>
      </c>
      <c r="K256" t="s">
        <v>7031</v>
      </c>
      <c r="L256" t="s">
        <v>5306</v>
      </c>
      <c r="M256" t="s">
        <v>7032</v>
      </c>
      <c r="N256">
        <v>100000</v>
      </c>
      <c r="O256" t="s">
        <v>4789</v>
      </c>
      <c r="P256" t="s">
        <v>7033</v>
      </c>
      <c r="Q256" t="s">
        <v>7027</v>
      </c>
      <c r="R256" t="s">
        <v>7028</v>
      </c>
      <c r="S256">
        <f>COUNTIFS(ListOfExpenditure!H:H,Public_procurment[[#This Row],[Value.id]],ListOfExpenditure!Y:Y,TRUE)</f>
        <v>0</v>
      </c>
    </row>
    <row r="257" spans="1:19" x14ac:dyDescent="0.25">
      <c r="A257" s="1" t="s">
        <v>57</v>
      </c>
      <c r="B257" s="1" t="s">
        <v>34</v>
      </c>
      <c r="C257">
        <v>306</v>
      </c>
      <c r="D257">
        <v>52</v>
      </c>
      <c r="E257">
        <v>18</v>
      </c>
      <c r="F257">
        <v>52</v>
      </c>
      <c r="G257">
        <v>1</v>
      </c>
      <c r="H257" t="b">
        <v>1</v>
      </c>
      <c r="I257" t="s">
        <v>7006</v>
      </c>
      <c r="J257" t="s">
        <v>7007</v>
      </c>
      <c r="K257" t="s">
        <v>4922</v>
      </c>
      <c r="L257" t="s">
        <v>5345</v>
      </c>
      <c r="M257" t="s">
        <v>7008</v>
      </c>
      <c r="N257">
        <v>1141.92</v>
      </c>
      <c r="O257" t="s">
        <v>4789</v>
      </c>
      <c r="P257" t="s">
        <v>7009</v>
      </c>
      <c r="Q257" t="s">
        <v>7010</v>
      </c>
      <c r="R257" t="s">
        <v>212</v>
      </c>
      <c r="S257">
        <f>COUNTIFS(ListOfExpenditure!H:H,Public_procurment[[#This Row],[Value.id]],ListOfExpenditure!Y:Y,TRUE)</f>
        <v>1</v>
      </c>
    </row>
    <row r="258" spans="1:19" x14ac:dyDescent="0.25">
      <c r="A258" s="1" t="s">
        <v>57</v>
      </c>
      <c r="B258" s="1" t="s">
        <v>34</v>
      </c>
      <c r="C258">
        <v>306</v>
      </c>
      <c r="D258">
        <v>52</v>
      </c>
      <c r="E258">
        <v>19</v>
      </c>
      <c r="F258">
        <v>52</v>
      </c>
      <c r="G258">
        <v>1</v>
      </c>
      <c r="H258" t="b">
        <v>1</v>
      </c>
      <c r="I258" t="s">
        <v>7011</v>
      </c>
      <c r="J258" t="s">
        <v>7012</v>
      </c>
      <c r="K258" t="s">
        <v>4926</v>
      </c>
      <c r="L258" t="s">
        <v>5345</v>
      </c>
      <c r="M258" t="s">
        <v>7013</v>
      </c>
      <c r="N258">
        <v>1324.99</v>
      </c>
      <c r="O258" t="s">
        <v>4789</v>
      </c>
      <c r="P258" t="s">
        <v>7014</v>
      </c>
      <c r="Q258" t="s">
        <v>7015</v>
      </c>
      <c r="R258" t="s">
        <v>212</v>
      </c>
      <c r="S258">
        <f>COUNTIFS(ListOfExpenditure!H:H,Public_procurment[[#This Row],[Value.id]],ListOfExpenditure!Y:Y,TRUE)</f>
        <v>1</v>
      </c>
    </row>
    <row r="259" spans="1:19" x14ac:dyDescent="0.25">
      <c r="A259" s="1" t="s">
        <v>57</v>
      </c>
      <c r="B259" s="1" t="s">
        <v>45</v>
      </c>
      <c r="C259">
        <v>311</v>
      </c>
      <c r="D259">
        <v>199</v>
      </c>
      <c r="E259">
        <v>89</v>
      </c>
      <c r="F259">
        <v>68</v>
      </c>
      <c r="G259">
        <v>1</v>
      </c>
      <c r="H259" t="b">
        <v>0</v>
      </c>
      <c r="I259" t="s">
        <v>7034</v>
      </c>
      <c r="J259" t="s">
        <v>7035</v>
      </c>
      <c r="K259" t="s">
        <v>7036</v>
      </c>
      <c r="L259" t="s">
        <v>5422</v>
      </c>
      <c r="M259" t="s">
        <v>7037</v>
      </c>
      <c r="N259">
        <v>75466.27</v>
      </c>
      <c r="O259" t="s">
        <v>4789</v>
      </c>
      <c r="P259" t="s">
        <v>7038</v>
      </c>
      <c r="Q259" t="s">
        <v>7039</v>
      </c>
      <c r="R259" t="s">
        <v>212</v>
      </c>
      <c r="S259">
        <f>COUNTIFS(ListOfExpenditure!H:H,Public_procurment[[#This Row],[Value.id]],ListOfExpenditure!Y:Y,TRUE)</f>
        <v>0</v>
      </c>
    </row>
    <row r="260" spans="1:19" x14ac:dyDescent="0.25">
      <c r="A260" s="1" t="s">
        <v>57</v>
      </c>
      <c r="B260" s="1" t="s">
        <v>45</v>
      </c>
      <c r="C260">
        <v>311</v>
      </c>
      <c r="D260">
        <v>199</v>
      </c>
      <c r="E260">
        <v>90</v>
      </c>
      <c r="F260">
        <v>68</v>
      </c>
      <c r="G260">
        <v>1</v>
      </c>
      <c r="H260" t="b">
        <v>0</v>
      </c>
      <c r="I260" t="s">
        <v>7040</v>
      </c>
      <c r="J260" t="s">
        <v>7041</v>
      </c>
      <c r="K260" t="s">
        <v>7042</v>
      </c>
      <c r="L260" t="s">
        <v>5672</v>
      </c>
      <c r="M260" t="s">
        <v>7043</v>
      </c>
      <c r="N260">
        <v>907.68</v>
      </c>
      <c r="O260" t="s">
        <v>4789</v>
      </c>
      <c r="P260" t="s">
        <v>7044</v>
      </c>
      <c r="Q260" t="s">
        <v>7045</v>
      </c>
      <c r="R260" t="s">
        <v>7046</v>
      </c>
      <c r="S260">
        <f>COUNTIFS(ListOfExpenditure!H:H,Public_procurment[[#This Row],[Value.id]],ListOfExpenditure!Y:Y,TRUE)</f>
        <v>0</v>
      </c>
    </row>
    <row r="261" spans="1:19" x14ac:dyDescent="0.25">
      <c r="A261" s="1" t="s">
        <v>57</v>
      </c>
      <c r="B261" s="1" t="s">
        <v>45</v>
      </c>
      <c r="C261">
        <v>311</v>
      </c>
      <c r="D261">
        <v>68</v>
      </c>
      <c r="E261">
        <v>89</v>
      </c>
      <c r="F261">
        <v>68</v>
      </c>
      <c r="G261">
        <v>1</v>
      </c>
      <c r="H261" t="b">
        <v>1</v>
      </c>
      <c r="I261" t="s">
        <v>7034</v>
      </c>
      <c r="J261" t="s">
        <v>7035</v>
      </c>
      <c r="K261" t="s">
        <v>7036</v>
      </c>
      <c r="L261" t="s">
        <v>5422</v>
      </c>
      <c r="M261" t="s">
        <v>7037</v>
      </c>
      <c r="N261">
        <v>75466.27</v>
      </c>
      <c r="O261" t="s">
        <v>4789</v>
      </c>
      <c r="P261" t="s">
        <v>7038</v>
      </c>
      <c r="Q261" t="s">
        <v>7039</v>
      </c>
      <c r="R261" t="s">
        <v>212</v>
      </c>
      <c r="S261">
        <f>COUNTIFS(ListOfExpenditure!H:H,Public_procurment[[#This Row],[Value.id]],ListOfExpenditure!Y:Y,TRUE)</f>
        <v>0</v>
      </c>
    </row>
    <row r="262" spans="1:19" x14ac:dyDescent="0.25">
      <c r="A262" s="1" t="s">
        <v>57</v>
      </c>
      <c r="B262" s="1" t="s">
        <v>45</v>
      </c>
      <c r="C262">
        <v>311</v>
      </c>
      <c r="D262">
        <v>68</v>
      </c>
      <c r="E262">
        <v>90</v>
      </c>
      <c r="F262">
        <v>68</v>
      </c>
      <c r="G262">
        <v>1</v>
      </c>
      <c r="H262" t="b">
        <v>1</v>
      </c>
      <c r="I262" t="s">
        <v>7040</v>
      </c>
      <c r="J262" t="s">
        <v>7041</v>
      </c>
      <c r="K262" t="s">
        <v>7042</v>
      </c>
      <c r="L262" t="s">
        <v>5672</v>
      </c>
      <c r="M262" t="s">
        <v>7043</v>
      </c>
      <c r="N262">
        <v>907.68</v>
      </c>
      <c r="O262" t="s">
        <v>4789</v>
      </c>
      <c r="P262" t="s">
        <v>7044</v>
      </c>
      <c r="Q262" t="s">
        <v>7045</v>
      </c>
      <c r="R262" t="s">
        <v>7046</v>
      </c>
      <c r="S262">
        <f>COUNTIFS(ListOfExpenditure!H:H,Public_procurment[[#This Row],[Value.id]],ListOfExpenditure!Y:Y,TRUE)</f>
        <v>0</v>
      </c>
    </row>
    <row r="263" spans="1:19" x14ac:dyDescent="0.25">
      <c r="A263" s="1" t="s">
        <v>57</v>
      </c>
      <c r="B263" s="1" t="s">
        <v>42</v>
      </c>
      <c r="C263">
        <v>316</v>
      </c>
      <c r="D263">
        <v>28</v>
      </c>
      <c r="E263">
        <v>11</v>
      </c>
      <c r="F263">
        <v>28</v>
      </c>
      <c r="G263">
        <v>1</v>
      </c>
      <c r="H263" t="b">
        <v>1</v>
      </c>
      <c r="I263" t="s">
        <v>7047</v>
      </c>
      <c r="J263" t="s">
        <v>7048</v>
      </c>
      <c r="K263" t="s">
        <v>7049</v>
      </c>
      <c r="L263" t="s">
        <v>7050</v>
      </c>
      <c r="M263" t="s">
        <v>7051</v>
      </c>
      <c r="N263">
        <v>112850</v>
      </c>
      <c r="O263" t="s">
        <v>4789</v>
      </c>
      <c r="P263" t="s">
        <v>7052</v>
      </c>
      <c r="Q263" t="s">
        <v>7053</v>
      </c>
      <c r="R263" t="s">
        <v>212</v>
      </c>
      <c r="S263">
        <f>COUNTIFS(ListOfExpenditure!H:H,Public_procurment[[#This Row],[Value.id]],ListOfExpenditure!Y:Y,TRUE)</f>
        <v>1</v>
      </c>
    </row>
    <row r="264" spans="1:19" x14ac:dyDescent="0.25">
      <c r="A264" s="1" t="s">
        <v>57</v>
      </c>
      <c r="B264" s="1" t="s">
        <v>42</v>
      </c>
      <c r="C264">
        <v>316</v>
      </c>
      <c r="D264">
        <v>283</v>
      </c>
      <c r="E264">
        <v>11</v>
      </c>
      <c r="F264">
        <v>28</v>
      </c>
      <c r="G264">
        <v>1</v>
      </c>
      <c r="H264" t="b">
        <v>0</v>
      </c>
      <c r="I264" t="s">
        <v>7047</v>
      </c>
      <c r="J264" t="s">
        <v>7048</v>
      </c>
      <c r="K264" t="s">
        <v>7049</v>
      </c>
      <c r="L264" t="s">
        <v>7050</v>
      </c>
      <c r="M264" t="s">
        <v>7051</v>
      </c>
      <c r="N264">
        <v>112850</v>
      </c>
      <c r="O264" t="s">
        <v>4789</v>
      </c>
      <c r="P264" t="s">
        <v>7052</v>
      </c>
      <c r="Q264" t="s">
        <v>7053</v>
      </c>
      <c r="R264" t="s">
        <v>212</v>
      </c>
      <c r="S264">
        <f>COUNTIFS(ListOfExpenditure!H:H,Public_procurment[[#This Row],[Value.id]],ListOfExpenditure!Y:Y,TRUE)</f>
        <v>1</v>
      </c>
    </row>
    <row r="265" spans="1:19" x14ac:dyDescent="0.25">
      <c r="A265" s="1" t="s">
        <v>57</v>
      </c>
      <c r="B265" s="1" t="s">
        <v>27</v>
      </c>
      <c r="C265">
        <v>309</v>
      </c>
      <c r="D265">
        <v>216</v>
      </c>
      <c r="S265">
        <f>COUNTIFS(ListOfExpenditure!H:H,Public_procurment[[#This Row],[Value.id]],ListOfExpenditure!Y:Y,TRUE)</f>
        <v>0</v>
      </c>
    </row>
    <row r="266" spans="1:19" x14ac:dyDescent="0.25">
      <c r="A266" s="1" t="s">
        <v>57</v>
      </c>
      <c r="B266" s="1" t="s">
        <v>27</v>
      </c>
      <c r="C266">
        <v>309</v>
      </c>
      <c r="D266">
        <v>64</v>
      </c>
      <c r="S266">
        <f>COUNTIFS(ListOfExpenditure!H:H,Public_procurment[[#This Row],[Value.id]],ListOfExpenditure!Y:Y,TRUE)</f>
        <v>0</v>
      </c>
    </row>
    <row r="267" spans="1:19" x14ac:dyDescent="0.25">
      <c r="A267" s="1" t="s">
        <v>57</v>
      </c>
      <c r="B267" s="1" t="s">
        <v>20</v>
      </c>
      <c r="C267">
        <v>304</v>
      </c>
      <c r="D267">
        <v>243</v>
      </c>
      <c r="E267">
        <v>17</v>
      </c>
      <c r="F267">
        <v>39</v>
      </c>
      <c r="G267">
        <v>1</v>
      </c>
      <c r="H267" t="b">
        <v>0</v>
      </c>
      <c r="I267" t="s">
        <v>7054</v>
      </c>
      <c r="J267" t="s">
        <v>7055</v>
      </c>
      <c r="K267" t="s">
        <v>5697</v>
      </c>
      <c r="L267" t="s">
        <v>5275</v>
      </c>
      <c r="M267" t="s">
        <v>7056</v>
      </c>
      <c r="N267">
        <v>250</v>
      </c>
      <c r="O267" t="s">
        <v>4789</v>
      </c>
      <c r="P267" t="s">
        <v>7057</v>
      </c>
      <c r="Q267" t="s">
        <v>7058</v>
      </c>
      <c r="R267" t="s">
        <v>7059</v>
      </c>
      <c r="S267">
        <f>COUNTIFS(ListOfExpenditure!H:H,Public_procurment[[#This Row],[Value.id]],ListOfExpenditure!Y:Y,TRUE)</f>
        <v>1</v>
      </c>
    </row>
    <row r="268" spans="1:19" x14ac:dyDescent="0.25">
      <c r="A268" s="1" t="s">
        <v>57</v>
      </c>
      <c r="B268" s="1" t="s">
        <v>20</v>
      </c>
      <c r="C268">
        <v>304</v>
      </c>
      <c r="D268">
        <v>39</v>
      </c>
      <c r="E268">
        <v>17</v>
      </c>
      <c r="F268">
        <v>39</v>
      </c>
      <c r="G268">
        <v>1</v>
      </c>
      <c r="H268" t="b">
        <v>1</v>
      </c>
      <c r="I268" t="s">
        <v>7054</v>
      </c>
      <c r="J268" t="s">
        <v>7055</v>
      </c>
      <c r="K268" t="s">
        <v>5697</v>
      </c>
      <c r="L268" t="s">
        <v>5275</v>
      </c>
      <c r="M268" t="s">
        <v>7056</v>
      </c>
      <c r="N268">
        <v>250</v>
      </c>
      <c r="O268" t="s">
        <v>4789</v>
      </c>
      <c r="P268" t="s">
        <v>7057</v>
      </c>
      <c r="Q268" t="s">
        <v>7058</v>
      </c>
      <c r="R268" t="s">
        <v>7059</v>
      </c>
      <c r="S268">
        <f>COUNTIFS(ListOfExpenditure!H:H,Public_procurment[[#This Row],[Value.id]],ListOfExpenditure!Y:Y,TRUE)</f>
        <v>1</v>
      </c>
    </row>
    <row r="269" spans="1:19" x14ac:dyDescent="0.25">
      <c r="A269" s="1" t="s">
        <v>57</v>
      </c>
      <c r="B269" s="1" t="s">
        <v>380</v>
      </c>
      <c r="C269">
        <v>307</v>
      </c>
      <c r="D269">
        <v>245</v>
      </c>
      <c r="S269">
        <f>COUNTIFS(ListOfExpenditure!H:H,Public_procurment[[#This Row],[Value.id]],ListOfExpenditure!Y:Y,TRUE)</f>
        <v>0</v>
      </c>
    </row>
    <row r="270" spans="1:19" x14ac:dyDescent="0.25">
      <c r="A270" s="1" t="s">
        <v>57</v>
      </c>
      <c r="B270" s="1" t="s">
        <v>50</v>
      </c>
      <c r="C270">
        <v>310</v>
      </c>
      <c r="D270">
        <v>210</v>
      </c>
      <c r="E270">
        <v>243</v>
      </c>
      <c r="F270">
        <v>210</v>
      </c>
      <c r="G270">
        <v>2</v>
      </c>
      <c r="H270" t="b">
        <v>1</v>
      </c>
      <c r="I270" t="s">
        <v>7060</v>
      </c>
      <c r="J270" t="s">
        <v>7061</v>
      </c>
      <c r="K270" t="s">
        <v>7062</v>
      </c>
      <c r="L270" t="s">
        <v>7063</v>
      </c>
      <c r="M270" t="s">
        <v>7064</v>
      </c>
      <c r="N270">
        <v>32609.38</v>
      </c>
      <c r="O270" t="s">
        <v>4789</v>
      </c>
      <c r="P270" t="s">
        <v>7065</v>
      </c>
      <c r="Q270" t="s">
        <v>7066</v>
      </c>
      <c r="R270" t="s">
        <v>212</v>
      </c>
      <c r="S270">
        <f>COUNTIFS(ListOfExpenditure!H:H,Public_procurment[[#This Row],[Value.id]],ListOfExpenditure!Y:Y,TRUE)</f>
        <v>1</v>
      </c>
    </row>
    <row r="271" spans="1:19" x14ac:dyDescent="0.25">
      <c r="A271" s="1" t="s">
        <v>57</v>
      </c>
      <c r="B271" s="1" t="s">
        <v>50</v>
      </c>
      <c r="C271">
        <v>310</v>
      </c>
      <c r="D271">
        <v>210</v>
      </c>
      <c r="E271">
        <v>244</v>
      </c>
      <c r="F271">
        <v>210</v>
      </c>
      <c r="G271">
        <v>2</v>
      </c>
      <c r="H271" t="b">
        <v>1</v>
      </c>
      <c r="I271" t="s">
        <v>7067</v>
      </c>
      <c r="J271" t="s">
        <v>7068</v>
      </c>
      <c r="K271" t="s">
        <v>7069</v>
      </c>
      <c r="L271" t="s">
        <v>4845</v>
      </c>
      <c r="M271" t="s">
        <v>6508</v>
      </c>
      <c r="N271">
        <v>660</v>
      </c>
      <c r="O271" t="s">
        <v>4789</v>
      </c>
      <c r="P271" t="s">
        <v>7070</v>
      </c>
      <c r="Q271" t="s">
        <v>7071</v>
      </c>
      <c r="R271" t="s">
        <v>212</v>
      </c>
      <c r="S271">
        <f>COUNTIFS(ListOfExpenditure!H:H,Public_procurment[[#This Row],[Value.id]],ListOfExpenditure!Y:Y,TRUE)</f>
        <v>1</v>
      </c>
    </row>
    <row r="272" spans="1:19" x14ac:dyDescent="0.25">
      <c r="A272" s="1" t="s">
        <v>57</v>
      </c>
      <c r="B272" s="1" t="s">
        <v>50</v>
      </c>
      <c r="C272">
        <v>310</v>
      </c>
      <c r="D272">
        <v>210</v>
      </c>
      <c r="E272">
        <v>245</v>
      </c>
      <c r="F272">
        <v>210</v>
      </c>
      <c r="G272">
        <v>2</v>
      </c>
      <c r="H272" t="b">
        <v>1</v>
      </c>
      <c r="I272" t="s">
        <v>7072</v>
      </c>
      <c r="J272" t="s">
        <v>7073</v>
      </c>
      <c r="K272" t="s">
        <v>7074</v>
      </c>
      <c r="L272" t="s">
        <v>4845</v>
      </c>
      <c r="M272" t="s">
        <v>6508</v>
      </c>
      <c r="N272">
        <v>439.2</v>
      </c>
      <c r="O272" t="s">
        <v>4789</v>
      </c>
      <c r="P272" t="s">
        <v>7075</v>
      </c>
      <c r="Q272" t="s">
        <v>7076</v>
      </c>
      <c r="R272" t="s">
        <v>212</v>
      </c>
      <c r="S272">
        <f>COUNTIFS(ListOfExpenditure!H:H,Public_procurment[[#This Row],[Value.id]],ListOfExpenditure!Y:Y,TRUE)</f>
        <v>1</v>
      </c>
    </row>
    <row r="273" spans="1:19" x14ac:dyDescent="0.25">
      <c r="A273" s="1" t="s">
        <v>57</v>
      </c>
      <c r="B273" s="1" t="s">
        <v>50</v>
      </c>
      <c r="C273">
        <v>310</v>
      </c>
      <c r="D273">
        <v>210</v>
      </c>
      <c r="E273">
        <v>247</v>
      </c>
      <c r="F273">
        <v>210</v>
      </c>
      <c r="G273">
        <v>2</v>
      </c>
      <c r="H273" t="b">
        <v>1</v>
      </c>
      <c r="I273" t="s">
        <v>7077</v>
      </c>
      <c r="J273" t="s">
        <v>7078</v>
      </c>
      <c r="K273" t="s">
        <v>7079</v>
      </c>
      <c r="L273" t="s">
        <v>4900</v>
      </c>
      <c r="M273" t="s">
        <v>6508</v>
      </c>
      <c r="N273">
        <v>4434.4799999999996</v>
      </c>
      <c r="O273" t="s">
        <v>4789</v>
      </c>
      <c r="P273" t="s">
        <v>7080</v>
      </c>
      <c r="Q273" t="s">
        <v>7081</v>
      </c>
      <c r="R273" t="s">
        <v>212</v>
      </c>
      <c r="S273">
        <f>COUNTIFS(ListOfExpenditure!H:H,Public_procurment[[#This Row],[Value.id]],ListOfExpenditure!Y:Y,TRUE)</f>
        <v>1</v>
      </c>
    </row>
    <row r="274" spans="1:19" x14ac:dyDescent="0.25">
      <c r="A274" s="1" t="s">
        <v>57</v>
      </c>
      <c r="B274" s="1" t="s">
        <v>50</v>
      </c>
      <c r="C274">
        <v>310</v>
      </c>
      <c r="D274">
        <v>210</v>
      </c>
      <c r="E274">
        <v>248</v>
      </c>
      <c r="F274">
        <v>210</v>
      </c>
      <c r="G274">
        <v>2</v>
      </c>
      <c r="H274" t="b">
        <v>1</v>
      </c>
      <c r="I274" t="s">
        <v>7082</v>
      </c>
      <c r="J274" t="s">
        <v>7083</v>
      </c>
      <c r="K274" t="s">
        <v>7084</v>
      </c>
      <c r="L274" t="s">
        <v>4900</v>
      </c>
      <c r="M274" t="s">
        <v>6508</v>
      </c>
      <c r="N274">
        <v>1265.1400000000001</v>
      </c>
      <c r="O274" t="s">
        <v>4789</v>
      </c>
      <c r="P274" t="s">
        <v>7065</v>
      </c>
      <c r="Q274" t="s">
        <v>7066</v>
      </c>
      <c r="R274" t="s">
        <v>212</v>
      </c>
      <c r="S274">
        <f>COUNTIFS(ListOfExpenditure!H:H,Public_procurment[[#This Row],[Value.id]],ListOfExpenditure!Y:Y,TRUE)</f>
        <v>1</v>
      </c>
    </row>
    <row r="275" spans="1:19" x14ac:dyDescent="0.25">
      <c r="A275" s="1" t="s">
        <v>57</v>
      </c>
      <c r="B275" s="1" t="s">
        <v>50</v>
      </c>
      <c r="C275">
        <v>310</v>
      </c>
      <c r="D275">
        <v>210</v>
      </c>
      <c r="E275">
        <v>251</v>
      </c>
      <c r="F275">
        <v>210</v>
      </c>
      <c r="G275">
        <v>2</v>
      </c>
      <c r="H275" t="b">
        <v>1</v>
      </c>
      <c r="I275" t="s">
        <v>7085</v>
      </c>
      <c r="J275" t="s">
        <v>7086</v>
      </c>
      <c r="K275" t="s">
        <v>7087</v>
      </c>
      <c r="L275" t="s">
        <v>4904</v>
      </c>
      <c r="M275" t="s">
        <v>6508</v>
      </c>
      <c r="N275">
        <v>7917.8</v>
      </c>
      <c r="O275" t="s">
        <v>4789</v>
      </c>
      <c r="P275" t="s">
        <v>7088</v>
      </c>
      <c r="Q275" t="s">
        <v>7089</v>
      </c>
      <c r="R275" t="s">
        <v>212</v>
      </c>
      <c r="S275">
        <f>COUNTIFS(ListOfExpenditure!H:H,Public_procurment[[#This Row],[Value.id]],ListOfExpenditure!Y:Y,TRUE)</f>
        <v>1</v>
      </c>
    </row>
    <row r="276" spans="1:19" x14ac:dyDescent="0.25">
      <c r="A276" s="1" t="s">
        <v>57</v>
      </c>
      <c r="B276" s="1" t="s">
        <v>50</v>
      </c>
      <c r="C276">
        <v>310</v>
      </c>
      <c r="D276">
        <v>70</v>
      </c>
      <c r="S276">
        <f>COUNTIFS(ListOfExpenditure!H:H,Public_procurment[[#This Row],[Value.id]],ListOfExpenditure!Y:Y,TRUE)</f>
        <v>0</v>
      </c>
    </row>
    <row r="277" spans="1:19" x14ac:dyDescent="0.25">
      <c r="A277" s="1" t="s">
        <v>57</v>
      </c>
      <c r="B277" s="1" t="s">
        <v>39</v>
      </c>
      <c r="C277">
        <v>303</v>
      </c>
      <c r="D277">
        <v>217</v>
      </c>
      <c r="E277">
        <v>29</v>
      </c>
      <c r="F277">
        <v>72</v>
      </c>
      <c r="G277">
        <v>1</v>
      </c>
      <c r="H277" t="b">
        <v>0</v>
      </c>
      <c r="I277" t="s">
        <v>7090</v>
      </c>
      <c r="J277" t="s">
        <v>7091</v>
      </c>
      <c r="K277" t="s">
        <v>4922</v>
      </c>
      <c r="L277" t="s">
        <v>5392</v>
      </c>
      <c r="M277" t="s">
        <v>7092</v>
      </c>
      <c r="N277">
        <v>26950.82</v>
      </c>
      <c r="O277" t="s">
        <v>4789</v>
      </c>
      <c r="P277" t="s">
        <v>7093</v>
      </c>
      <c r="Q277" t="s">
        <v>7094</v>
      </c>
      <c r="R277" t="s">
        <v>7095</v>
      </c>
      <c r="S277">
        <f>COUNTIFS(ListOfExpenditure!H:H,Public_procurment[[#This Row],[Value.id]],ListOfExpenditure!Y:Y,TRUE)</f>
        <v>0</v>
      </c>
    </row>
    <row r="278" spans="1:19" x14ac:dyDescent="0.25">
      <c r="A278" s="1" t="s">
        <v>57</v>
      </c>
      <c r="B278" s="1" t="s">
        <v>39</v>
      </c>
      <c r="C278">
        <v>303</v>
      </c>
      <c r="D278">
        <v>217</v>
      </c>
      <c r="E278">
        <v>153</v>
      </c>
      <c r="F278">
        <v>217</v>
      </c>
      <c r="G278">
        <v>3</v>
      </c>
      <c r="H278" t="b">
        <v>1</v>
      </c>
      <c r="I278" t="s">
        <v>7096</v>
      </c>
      <c r="J278" t="s">
        <v>7097</v>
      </c>
      <c r="K278" t="s">
        <v>7098</v>
      </c>
      <c r="L278" t="s">
        <v>5040</v>
      </c>
      <c r="M278" t="s">
        <v>7092</v>
      </c>
      <c r="N278">
        <v>4756.3999999999996</v>
      </c>
      <c r="O278" t="s">
        <v>4789</v>
      </c>
      <c r="P278" t="s">
        <v>7099</v>
      </c>
      <c r="Q278" t="s">
        <v>7100</v>
      </c>
      <c r="R278" t="s">
        <v>7101</v>
      </c>
      <c r="S278">
        <f>COUNTIFS(ListOfExpenditure!H:H,Public_procurment[[#This Row],[Value.id]],ListOfExpenditure!Y:Y,TRUE)</f>
        <v>0</v>
      </c>
    </row>
    <row r="279" spans="1:19" x14ac:dyDescent="0.25">
      <c r="A279" s="1" t="s">
        <v>57</v>
      </c>
      <c r="B279" s="1" t="s">
        <v>39</v>
      </c>
      <c r="C279">
        <v>303</v>
      </c>
      <c r="D279">
        <v>217</v>
      </c>
      <c r="E279">
        <v>154</v>
      </c>
      <c r="F279">
        <v>217</v>
      </c>
      <c r="G279">
        <v>3</v>
      </c>
      <c r="H279" t="b">
        <v>1</v>
      </c>
      <c r="I279" t="s">
        <v>7102</v>
      </c>
      <c r="J279" t="s">
        <v>7103</v>
      </c>
      <c r="K279" t="s">
        <v>7104</v>
      </c>
      <c r="L279" t="s">
        <v>4957</v>
      </c>
      <c r="M279" t="s">
        <v>7105</v>
      </c>
      <c r="N279">
        <v>100</v>
      </c>
      <c r="O279" t="s">
        <v>4789</v>
      </c>
      <c r="P279" t="s">
        <v>7106</v>
      </c>
      <c r="Q279" t="s">
        <v>7107</v>
      </c>
      <c r="R279" t="s">
        <v>7108</v>
      </c>
      <c r="S279">
        <f>COUNTIFS(ListOfExpenditure!H:H,Public_procurment[[#This Row],[Value.id]],ListOfExpenditure!Y:Y,TRUE)</f>
        <v>0</v>
      </c>
    </row>
    <row r="280" spans="1:19" x14ac:dyDescent="0.25">
      <c r="A280" s="1" t="s">
        <v>57</v>
      </c>
      <c r="B280" s="1" t="s">
        <v>39</v>
      </c>
      <c r="C280">
        <v>303</v>
      </c>
      <c r="D280">
        <v>87</v>
      </c>
      <c r="E280">
        <v>29</v>
      </c>
      <c r="F280">
        <v>72</v>
      </c>
      <c r="G280">
        <v>1</v>
      </c>
      <c r="H280" t="b">
        <v>0</v>
      </c>
      <c r="I280" t="s">
        <v>7090</v>
      </c>
      <c r="J280" t="s">
        <v>7091</v>
      </c>
      <c r="K280" t="s">
        <v>4922</v>
      </c>
      <c r="L280" t="s">
        <v>5392</v>
      </c>
      <c r="M280" t="s">
        <v>7092</v>
      </c>
      <c r="N280">
        <v>26950.82</v>
      </c>
      <c r="O280" t="s">
        <v>4789</v>
      </c>
      <c r="P280" t="s">
        <v>7093</v>
      </c>
      <c r="Q280" t="s">
        <v>7094</v>
      </c>
      <c r="R280" t="s">
        <v>7095</v>
      </c>
      <c r="S280">
        <f>COUNTIFS(ListOfExpenditure!H:H,Public_procurment[[#This Row],[Value.id]],ListOfExpenditure!Y:Y,TRUE)</f>
        <v>0</v>
      </c>
    </row>
    <row r="281" spans="1:19" x14ac:dyDescent="0.25">
      <c r="A281" s="1" t="s">
        <v>57</v>
      </c>
      <c r="B281" s="1" t="s">
        <v>23</v>
      </c>
      <c r="C281">
        <v>308</v>
      </c>
      <c r="D281">
        <v>309</v>
      </c>
      <c r="E281">
        <v>246</v>
      </c>
      <c r="F281">
        <v>309</v>
      </c>
      <c r="G281">
        <v>2</v>
      </c>
      <c r="H281" t="b">
        <v>1</v>
      </c>
      <c r="I281" t="s">
        <v>7109</v>
      </c>
      <c r="J281" t="s">
        <v>7110</v>
      </c>
      <c r="K281" t="s">
        <v>7111</v>
      </c>
      <c r="L281" t="s">
        <v>4403</v>
      </c>
      <c r="M281" t="s">
        <v>7112</v>
      </c>
      <c r="N281">
        <v>33000</v>
      </c>
      <c r="O281" t="s">
        <v>4789</v>
      </c>
      <c r="P281" t="s">
        <v>7113</v>
      </c>
      <c r="Q281" t="s">
        <v>7114</v>
      </c>
      <c r="R281" t="s">
        <v>212</v>
      </c>
      <c r="S281">
        <f>COUNTIFS(ListOfExpenditure!H:H,Public_procurment[[#This Row],[Value.id]],ListOfExpenditure!Y:Y,TRUE)</f>
        <v>0</v>
      </c>
    </row>
    <row r="282" spans="1:19" x14ac:dyDescent="0.25">
      <c r="A282" s="1" t="s">
        <v>57</v>
      </c>
      <c r="B282" s="1" t="s">
        <v>23</v>
      </c>
      <c r="C282">
        <v>308</v>
      </c>
      <c r="D282">
        <v>309</v>
      </c>
      <c r="E282">
        <v>252</v>
      </c>
      <c r="F282">
        <v>309</v>
      </c>
      <c r="G282">
        <v>2</v>
      </c>
      <c r="H282" t="b">
        <v>1</v>
      </c>
      <c r="I282" t="s">
        <v>7115</v>
      </c>
      <c r="J282" t="s">
        <v>7116</v>
      </c>
      <c r="K282" t="s">
        <v>7117</v>
      </c>
      <c r="L282" t="s">
        <v>5687</v>
      </c>
      <c r="M282" t="s">
        <v>7118</v>
      </c>
      <c r="N282">
        <v>38580.660000000003</v>
      </c>
      <c r="O282" t="s">
        <v>4789</v>
      </c>
      <c r="P282" t="s">
        <v>7119</v>
      </c>
      <c r="Q282" t="s">
        <v>1414</v>
      </c>
      <c r="R282" t="s">
        <v>212</v>
      </c>
      <c r="S282">
        <f>COUNTIFS(ListOfExpenditure!H:H,Public_procurment[[#This Row],[Value.id]],ListOfExpenditure!Y:Y,TRUE)</f>
        <v>0</v>
      </c>
    </row>
    <row r="283" spans="1:19" x14ac:dyDescent="0.25">
      <c r="A283" s="1" t="s">
        <v>57</v>
      </c>
      <c r="B283" s="1" t="s">
        <v>23</v>
      </c>
      <c r="C283">
        <v>308</v>
      </c>
      <c r="D283">
        <v>309</v>
      </c>
      <c r="E283">
        <v>253</v>
      </c>
      <c r="F283">
        <v>309</v>
      </c>
      <c r="G283">
        <v>2</v>
      </c>
      <c r="H283" t="b">
        <v>1</v>
      </c>
      <c r="I283" t="s">
        <v>7120</v>
      </c>
      <c r="J283" t="s">
        <v>7121</v>
      </c>
      <c r="K283" t="s">
        <v>7122</v>
      </c>
      <c r="L283" t="s">
        <v>4924</v>
      </c>
      <c r="M283" t="s">
        <v>7118</v>
      </c>
      <c r="N283">
        <v>9830</v>
      </c>
      <c r="O283" t="s">
        <v>4789</v>
      </c>
      <c r="P283" t="s">
        <v>7123</v>
      </c>
      <c r="Q283" t="s">
        <v>7124</v>
      </c>
      <c r="R283" t="s">
        <v>212</v>
      </c>
      <c r="S283">
        <f>COUNTIFS(ListOfExpenditure!H:H,Public_procurment[[#This Row],[Value.id]],ListOfExpenditure!Y:Y,TRUE)</f>
        <v>0</v>
      </c>
    </row>
    <row r="284" spans="1:19" x14ac:dyDescent="0.25">
      <c r="A284" s="1" t="s">
        <v>57</v>
      </c>
      <c r="B284" s="1" t="s">
        <v>23</v>
      </c>
      <c r="C284">
        <v>308</v>
      </c>
      <c r="D284">
        <v>48</v>
      </c>
      <c r="S284">
        <f>COUNTIFS(ListOfExpenditure!H:H,Public_procurment[[#This Row],[Value.id]],ListOfExpenditure!Y:Y,TRUE)</f>
        <v>0</v>
      </c>
    </row>
    <row r="285" spans="1:19" x14ac:dyDescent="0.25">
      <c r="A285" s="1" t="s">
        <v>57</v>
      </c>
      <c r="B285" s="1" t="s">
        <v>24</v>
      </c>
      <c r="C285">
        <v>313</v>
      </c>
      <c r="D285">
        <v>237</v>
      </c>
      <c r="E285">
        <v>190</v>
      </c>
      <c r="F285">
        <v>237</v>
      </c>
      <c r="G285">
        <v>3</v>
      </c>
      <c r="H285" t="b">
        <v>1</v>
      </c>
      <c r="I285" t="s">
        <v>7125</v>
      </c>
      <c r="J285" t="s">
        <v>7126</v>
      </c>
      <c r="K285" t="s">
        <v>5987</v>
      </c>
      <c r="L285" t="s">
        <v>5112</v>
      </c>
      <c r="M285" t="s">
        <v>7127</v>
      </c>
      <c r="N285">
        <v>103.09</v>
      </c>
      <c r="O285" t="s">
        <v>4789</v>
      </c>
      <c r="P285" t="s">
        <v>7128</v>
      </c>
      <c r="Q285" t="s">
        <v>7129</v>
      </c>
      <c r="R285" t="s">
        <v>212</v>
      </c>
      <c r="S285">
        <f>COUNTIFS(ListOfExpenditure!H:H,Public_procurment[[#This Row],[Value.id]],ListOfExpenditure!Y:Y,TRUE)</f>
        <v>0</v>
      </c>
    </row>
    <row r="286" spans="1:19" x14ac:dyDescent="0.25">
      <c r="A286" s="1" t="s">
        <v>57</v>
      </c>
      <c r="B286" s="1" t="s">
        <v>24</v>
      </c>
      <c r="C286">
        <v>313</v>
      </c>
      <c r="D286">
        <v>237</v>
      </c>
      <c r="E286">
        <v>191</v>
      </c>
      <c r="F286">
        <v>237</v>
      </c>
      <c r="G286">
        <v>3</v>
      </c>
      <c r="H286" t="b">
        <v>1</v>
      </c>
      <c r="I286" t="s">
        <v>7130</v>
      </c>
      <c r="J286" t="s">
        <v>7131</v>
      </c>
      <c r="K286" t="s">
        <v>7132</v>
      </c>
      <c r="L286" t="s">
        <v>4901</v>
      </c>
      <c r="M286" t="s">
        <v>7127</v>
      </c>
      <c r="N286">
        <v>23.48</v>
      </c>
      <c r="O286" t="s">
        <v>4789</v>
      </c>
      <c r="P286" t="s">
        <v>7133</v>
      </c>
      <c r="Q286" t="s">
        <v>7134</v>
      </c>
      <c r="R286" t="s">
        <v>212</v>
      </c>
      <c r="S286">
        <f>COUNTIFS(ListOfExpenditure!H:H,Public_procurment[[#This Row],[Value.id]],ListOfExpenditure!Y:Y,TRUE)</f>
        <v>0</v>
      </c>
    </row>
    <row r="287" spans="1:19" x14ac:dyDescent="0.25">
      <c r="A287" s="1" t="s">
        <v>57</v>
      </c>
      <c r="B287" s="1" t="s">
        <v>24</v>
      </c>
      <c r="C287">
        <v>313</v>
      </c>
      <c r="D287">
        <v>237</v>
      </c>
      <c r="E287">
        <v>192</v>
      </c>
      <c r="F287">
        <v>237</v>
      </c>
      <c r="G287">
        <v>3</v>
      </c>
      <c r="H287" t="b">
        <v>1</v>
      </c>
      <c r="I287" t="s">
        <v>7135</v>
      </c>
      <c r="J287" t="s">
        <v>7136</v>
      </c>
      <c r="K287" t="s">
        <v>7137</v>
      </c>
      <c r="L287" t="s">
        <v>4904</v>
      </c>
      <c r="M287" t="s">
        <v>7127</v>
      </c>
      <c r="N287">
        <v>32.549999999999997</v>
      </c>
      <c r="O287" t="s">
        <v>4789</v>
      </c>
      <c r="P287" t="s">
        <v>7138</v>
      </c>
      <c r="Q287" t="s">
        <v>7139</v>
      </c>
      <c r="R287" t="s">
        <v>212</v>
      </c>
      <c r="S287">
        <f>COUNTIFS(ListOfExpenditure!H:H,Public_procurment[[#This Row],[Value.id]],ListOfExpenditure!Y:Y,TRUE)</f>
        <v>0</v>
      </c>
    </row>
    <row r="288" spans="1:19" x14ac:dyDescent="0.25">
      <c r="A288" s="1" t="s">
        <v>57</v>
      </c>
      <c r="B288" s="1" t="s">
        <v>24</v>
      </c>
      <c r="C288">
        <v>313</v>
      </c>
      <c r="D288">
        <v>237</v>
      </c>
      <c r="E288">
        <v>193</v>
      </c>
      <c r="F288">
        <v>237</v>
      </c>
      <c r="G288">
        <v>3</v>
      </c>
      <c r="H288" t="b">
        <v>1</v>
      </c>
      <c r="I288" t="s">
        <v>7140</v>
      </c>
      <c r="J288" t="s">
        <v>7141</v>
      </c>
      <c r="K288" t="s">
        <v>4912</v>
      </c>
      <c r="L288" t="s">
        <v>7142</v>
      </c>
      <c r="M288" t="s">
        <v>7127</v>
      </c>
      <c r="N288">
        <v>14.75</v>
      </c>
      <c r="O288" t="s">
        <v>4789</v>
      </c>
      <c r="P288" t="s">
        <v>7133</v>
      </c>
      <c r="Q288" t="s">
        <v>7134</v>
      </c>
      <c r="R288" t="s">
        <v>212</v>
      </c>
      <c r="S288">
        <f>COUNTIFS(ListOfExpenditure!H:H,Public_procurment[[#This Row],[Value.id]],ListOfExpenditure!Y:Y,TRUE)</f>
        <v>0</v>
      </c>
    </row>
    <row r="289" spans="1:19" x14ac:dyDescent="0.25">
      <c r="A289" s="1" t="s">
        <v>57</v>
      </c>
      <c r="B289" s="1" t="s">
        <v>24</v>
      </c>
      <c r="C289">
        <v>313</v>
      </c>
      <c r="D289">
        <v>82</v>
      </c>
      <c r="S289">
        <f>COUNTIFS(ListOfExpenditure!H:H,Public_procurment[[#This Row],[Value.id]],ListOfExpenditure!Y:Y,TRUE)</f>
        <v>0</v>
      </c>
    </row>
    <row r="290" spans="1:19" x14ac:dyDescent="0.25">
      <c r="A290" s="1" t="s">
        <v>331</v>
      </c>
      <c r="B290" s="1" t="s">
        <v>332</v>
      </c>
      <c r="C290">
        <v>252</v>
      </c>
      <c r="D290">
        <v>305</v>
      </c>
      <c r="E290">
        <v>220</v>
      </c>
      <c r="F290">
        <v>305</v>
      </c>
      <c r="G290">
        <v>1</v>
      </c>
      <c r="H290" t="b">
        <v>1</v>
      </c>
      <c r="I290" t="s">
        <v>7143</v>
      </c>
      <c r="J290" t="s">
        <v>7144</v>
      </c>
      <c r="K290" t="s">
        <v>4922</v>
      </c>
      <c r="L290" t="s">
        <v>5115</v>
      </c>
      <c r="M290" t="s">
        <v>7145</v>
      </c>
      <c r="N290">
        <v>10000</v>
      </c>
      <c r="O290" t="s">
        <v>4789</v>
      </c>
      <c r="P290" t="s">
        <v>7093</v>
      </c>
      <c r="Q290" t="s">
        <v>7094</v>
      </c>
      <c r="R290" t="s">
        <v>7146</v>
      </c>
      <c r="S290">
        <f>COUNTIFS(ListOfExpenditure!H:H,Public_procurment[[#This Row],[Value.id]],ListOfExpenditure!Y:Y,TRUE)</f>
        <v>0</v>
      </c>
    </row>
    <row r="291" spans="1:19" x14ac:dyDescent="0.25">
      <c r="A291" s="1" t="s">
        <v>331</v>
      </c>
      <c r="B291" s="1" t="s">
        <v>333</v>
      </c>
      <c r="C291">
        <v>256</v>
      </c>
      <c r="D291">
        <v>247</v>
      </c>
      <c r="S291">
        <f>COUNTIFS(ListOfExpenditure!H:H,Public_procurment[[#This Row],[Value.id]],ListOfExpenditure!Y:Y,TRUE)</f>
        <v>0</v>
      </c>
    </row>
    <row r="292" spans="1:19" x14ac:dyDescent="0.25">
      <c r="A292" s="1" t="s">
        <v>331</v>
      </c>
      <c r="B292" s="1" t="s">
        <v>334</v>
      </c>
      <c r="C292">
        <v>253</v>
      </c>
      <c r="D292">
        <v>236</v>
      </c>
      <c r="S292">
        <f>COUNTIFS(ListOfExpenditure!H:H,Public_procurment[[#This Row],[Value.id]],ListOfExpenditure!Y:Y,TRUE)</f>
        <v>0</v>
      </c>
    </row>
    <row r="293" spans="1:19" x14ac:dyDescent="0.25">
      <c r="A293" s="1" t="s">
        <v>331</v>
      </c>
      <c r="B293" s="1" t="s">
        <v>335</v>
      </c>
      <c r="C293">
        <v>254</v>
      </c>
      <c r="D293">
        <v>226</v>
      </c>
      <c r="S293">
        <f>COUNTIFS(ListOfExpenditure!H:H,Public_procurment[[#This Row],[Value.id]],ListOfExpenditure!Y:Y,TRUE)</f>
        <v>0</v>
      </c>
    </row>
    <row r="294" spans="1:19" x14ac:dyDescent="0.25">
      <c r="A294" s="1" t="s">
        <v>331</v>
      </c>
      <c r="B294" s="1" t="s">
        <v>336</v>
      </c>
      <c r="C294">
        <v>255</v>
      </c>
      <c r="D294">
        <v>294</v>
      </c>
      <c r="S294">
        <f>COUNTIFS(ListOfExpenditure!H:H,Public_procurment[[#This Row],[Value.id]],ListOfExpenditure!Y:Y,TRUE)</f>
        <v>0</v>
      </c>
    </row>
    <row r="295" spans="1:19" x14ac:dyDescent="0.25">
      <c r="A295" s="1" t="s">
        <v>331</v>
      </c>
      <c r="B295" s="1" t="s">
        <v>330</v>
      </c>
      <c r="C295">
        <v>189</v>
      </c>
      <c r="D295">
        <v>343</v>
      </c>
      <c r="S295">
        <f>COUNTIFS(ListOfExpenditure!H:H,Public_procurment[[#This Row],[Value.id]],ListOfExpenditure!Y:Y,TRUE)</f>
        <v>0</v>
      </c>
    </row>
    <row r="296" spans="1:19" x14ac:dyDescent="0.25">
      <c r="A296" s="1" t="s">
        <v>350</v>
      </c>
      <c r="B296" s="1" t="s">
        <v>351</v>
      </c>
      <c r="C296">
        <v>176</v>
      </c>
      <c r="D296">
        <v>300</v>
      </c>
      <c r="S296">
        <f>COUNTIFS(ListOfExpenditure!H:H,Public_procurment[[#This Row],[Value.id]],ListOfExpenditure!Y:Y,TRUE)</f>
        <v>0</v>
      </c>
    </row>
    <row r="297" spans="1:19" x14ac:dyDescent="0.25">
      <c r="A297" s="1" t="s">
        <v>350</v>
      </c>
      <c r="B297" s="1" t="s">
        <v>352</v>
      </c>
      <c r="C297">
        <v>170</v>
      </c>
      <c r="D297">
        <v>277</v>
      </c>
      <c r="S297">
        <f>COUNTIFS(ListOfExpenditure!H:H,Public_procurment[[#This Row],[Value.id]],ListOfExpenditure!Y:Y,TRUE)</f>
        <v>0</v>
      </c>
    </row>
    <row r="298" spans="1:19" x14ac:dyDescent="0.25">
      <c r="A298" s="1" t="s">
        <v>350</v>
      </c>
      <c r="B298" s="1" t="s">
        <v>353</v>
      </c>
      <c r="C298">
        <v>177</v>
      </c>
      <c r="D298">
        <v>289</v>
      </c>
      <c r="E298">
        <v>274</v>
      </c>
      <c r="F298">
        <v>289</v>
      </c>
      <c r="G298">
        <v>1</v>
      </c>
      <c r="H298" t="b">
        <v>1</v>
      </c>
      <c r="I298" t="s">
        <v>7147</v>
      </c>
      <c r="J298" t="s">
        <v>7148</v>
      </c>
      <c r="K298" t="s">
        <v>7149</v>
      </c>
      <c r="L298" t="s">
        <v>5040</v>
      </c>
      <c r="M298" t="s">
        <v>7150</v>
      </c>
      <c r="N298">
        <v>13499.91</v>
      </c>
      <c r="O298" t="s">
        <v>4789</v>
      </c>
      <c r="P298" t="s">
        <v>7151</v>
      </c>
      <c r="Q298" t="s">
        <v>7152</v>
      </c>
      <c r="R298" t="s">
        <v>212</v>
      </c>
      <c r="S298">
        <f>COUNTIFS(ListOfExpenditure!H:H,Public_procurment[[#This Row],[Value.id]],ListOfExpenditure!Y:Y,TRUE)</f>
        <v>0</v>
      </c>
    </row>
    <row r="299" spans="1:19" x14ac:dyDescent="0.25">
      <c r="A299" s="1" t="s">
        <v>350</v>
      </c>
      <c r="B299" s="1" t="s">
        <v>353</v>
      </c>
      <c r="C299">
        <v>177</v>
      </c>
      <c r="D299">
        <v>289</v>
      </c>
      <c r="E299">
        <v>275</v>
      </c>
      <c r="F299">
        <v>289</v>
      </c>
      <c r="G299">
        <v>1</v>
      </c>
      <c r="H299" t="b">
        <v>1</v>
      </c>
      <c r="I299" t="s">
        <v>7153</v>
      </c>
      <c r="J299" t="s">
        <v>7154</v>
      </c>
      <c r="K299" t="s">
        <v>212</v>
      </c>
      <c r="L299" t="s">
        <v>7155</v>
      </c>
      <c r="M299" t="s">
        <v>212</v>
      </c>
      <c r="N299">
        <v>34200</v>
      </c>
      <c r="O299" t="s">
        <v>4789</v>
      </c>
      <c r="P299" t="s">
        <v>7156</v>
      </c>
      <c r="Q299" t="s">
        <v>7157</v>
      </c>
      <c r="R299" t="s">
        <v>212</v>
      </c>
      <c r="S299">
        <f>COUNTIFS(ListOfExpenditure!H:H,Public_procurment[[#This Row],[Value.id]],ListOfExpenditure!Y:Y,TRUE)</f>
        <v>0</v>
      </c>
    </row>
    <row r="300" spans="1:19" x14ac:dyDescent="0.25">
      <c r="A300" s="1" t="s">
        <v>350</v>
      </c>
      <c r="B300" s="1" t="s">
        <v>354</v>
      </c>
      <c r="C300">
        <v>194</v>
      </c>
      <c r="D300">
        <v>295</v>
      </c>
      <c r="S300">
        <f>COUNTIFS(ListOfExpenditure!H:H,Public_procurment[[#This Row],[Value.id]],ListOfExpenditure!Y:Y,TRUE)</f>
        <v>0</v>
      </c>
    </row>
    <row r="301" spans="1:19" x14ac:dyDescent="0.25">
      <c r="A301" s="1" t="s">
        <v>350</v>
      </c>
      <c r="B301" s="1" t="s">
        <v>355</v>
      </c>
      <c r="C301">
        <v>178</v>
      </c>
      <c r="D301">
        <v>279</v>
      </c>
      <c r="E301">
        <v>206</v>
      </c>
      <c r="F301">
        <v>279</v>
      </c>
      <c r="G301">
        <v>1</v>
      </c>
      <c r="H301" t="b">
        <v>1</v>
      </c>
      <c r="I301" t="s">
        <v>7158</v>
      </c>
      <c r="J301" t="s">
        <v>7159</v>
      </c>
      <c r="K301" t="s">
        <v>7160</v>
      </c>
      <c r="L301" t="s">
        <v>7161</v>
      </c>
      <c r="M301" t="s">
        <v>7162</v>
      </c>
      <c r="N301">
        <v>0</v>
      </c>
      <c r="O301" t="s">
        <v>4789</v>
      </c>
      <c r="P301" t="s">
        <v>665</v>
      </c>
      <c r="Q301" t="s">
        <v>665</v>
      </c>
      <c r="R301" t="s">
        <v>212</v>
      </c>
      <c r="S301">
        <f>COUNTIFS(ListOfExpenditure!H:H,Public_procurment[[#This Row],[Value.id]],ListOfExpenditure!Y:Y,TRUE)</f>
        <v>0</v>
      </c>
    </row>
    <row r="302" spans="1:19" x14ac:dyDescent="0.25">
      <c r="A302" s="1" t="s">
        <v>350</v>
      </c>
      <c r="B302" s="1" t="s">
        <v>355</v>
      </c>
      <c r="C302">
        <v>178</v>
      </c>
      <c r="D302">
        <v>279</v>
      </c>
      <c r="E302">
        <v>207</v>
      </c>
      <c r="F302">
        <v>279</v>
      </c>
      <c r="G302">
        <v>1</v>
      </c>
      <c r="H302" t="b">
        <v>1</v>
      </c>
      <c r="I302" t="s">
        <v>7163</v>
      </c>
      <c r="J302" t="s">
        <v>7164</v>
      </c>
      <c r="K302" t="s">
        <v>7165</v>
      </c>
      <c r="L302" t="s">
        <v>4954</v>
      </c>
      <c r="M302" t="s">
        <v>7166</v>
      </c>
      <c r="N302">
        <v>0</v>
      </c>
      <c r="O302" t="s">
        <v>4789</v>
      </c>
      <c r="P302" t="s">
        <v>212</v>
      </c>
      <c r="Q302" t="s">
        <v>665</v>
      </c>
      <c r="R302" t="s">
        <v>212</v>
      </c>
      <c r="S302">
        <f>COUNTIFS(ListOfExpenditure!H:H,Public_procurment[[#This Row],[Value.id]],ListOfExpenditure!Y:Y,TRUE)</f>
        <v>0</v>
      </c>
    </row>
    <row r="303" spans="1:19" x14ac:dyDescent="0.25">
      <c r="A303" s="1" t="s">
        <v>350</v>
      </c>
      <c r="B303" s="1" t="s">
        <v>355</v>
      </c>
      <c r="C303">
        <v>178</v>
      </c>
      <c r="D303">
        <v>279</v>
      </c>
      <c r="E303">
        <v>208</v>
      </c>
      <c r="F303">
        <v>279</v>
      </c>
      <c r="G303">
        <v>1</v>
      </c>
      <c r="H303" t="b">
        <v>1</v>
      </c>
      <c r="I303" t="s">
        <v>7167</v>
      </c>
      <c r="J303" t="s">
        <v>7168</v>
      </c>
      <c r="K303" t="s">
        <v>7169</v>
      </c>
      <c r="L303" t="s">
        <v>7170</v>
      </c>
      <c r="M303" t="s">
        <v>7166</v>
      </c>
      <c r="N303">
        <v>0</v>
      </c>
      <c r="O303" t="s">
        <v>4789</v>
      </c>
      <c r="P303" t="s">
        <v>212</v>
      </c>
      <c r="Q303" t="s">
        <v>665</v>
      </c>
      <c r="R303" t="s">
        <v>212</v>
      </c>
      <c r="S303">
        <f>COUNTIFS(ListOfExpenditure!H:H,Public_procurment[[#This Row],[Value.id]],ListOfExpenditure!Y:Y,TRUE)</f>
        <v>0</v>
      </c>
    </row>
    <row r="304" spans="1:19" x14ac:dyDescent="0.25">
      <c r="A304" s="1" t="s">
        <v>350</v>
      </c>
      <c r="B304" s="1" t="s">
        <v>355</v>
      </c>
      <c r="C304">
        <v>178</v>
      </c>
      <c r="D304">
        <v>279</v>
      </c>
      <c r="E304">
        <v>209</v>
      </c>
      <c r="F304">
        <v>279</v>
      </c>
      <c r="G304">
        <v>1</v>
      </c>
      <c r="H304" t="b">
        <v>1</v>
      </c>
      <c r="I304" t="s">
        <v>7171</v>
      </c>
      <c r="J304" t="s">
        <v>7172</v>
      </c>
      <c r="K304" t="s">
        <v>7173</v>
      </c>
      <c r="L304" t="s">
        <v>5108</v>
      </c>
      <c r="M304" t="s">
        <v>7174</v>
      </c>
      <c r="N304">
        <v>0</v>
      </c>
      <c r="O304" t="s">
        <v>4789</v>
      </c>
      <c r="P304" t="s">
        <v>212</v>
      </c>
      <c r="Q304" t="s">
        <v>665</v>
      </c>
      <c r="R304" t="s">
        <v>212</v>
      </c>
      <c r="S304">
        <f>COUNTIFS(ListOfExpenditure!H:H,Public_procurment[[#This Row],[Value.id]],ListOfExpenditure!Y:Y,TRUE)</f>
        <v>0</v>
      </c>
    </row>
    <row r="305" spans="1:19" x14ac:dyDescent="0.25">
      <c r="A305" s="1" t="s">
        <v>350</v>
      </c>
      <c r="B305" s="1" t="s">
        <v>355</v>
      </c>
      <c r="C305">
        <v>178</v>
      </c>
      <c r="D305">
        <v>279</v>
      </c>
      <c r="E305">
        <v>210</v>
      </c>
      <c r="F305">
        <v>279</v>
      </c>
      <c r="G305">
        <v>1</v>
      </c>
      <c r="H305" t="b">
        <v>1</v>
      </c>
      <c r="I305" t="s">
        <v>7175</v>
      </c>
      <c r="J305" t="s">
        <v>7176</v>
      </c>
      <c r="K305" t="s">
        <v>7177</v>
      </c>
      <c r="L305" t="s">
        <v>4954</v>
      </c>
      <c r="M305" t="s">
        <v>7174</v>
      </c>
      <c r="N305">
        <v>0</v>
      </c>
      <c r="O305" t="s">
        <v>4789</v>
      </c>
      <c r="P305" t="s">
        <v>212</v>
      </c>
      <c r="Q305" t="s">
        <v>665</v>
      </c>
      <c r="R305" t="s">
        <v>212</v>
      </c>
      <c r="S305">
        <f>COUNTIFS(ListOfExpenditure!H:H,Public_procurment[[#This Row],[Value.id]],ListOfExpenditure!Y:Y,TRUE)</f>
        <v>0</v>
      </c>
    </row>
    <row r="306" spans="1:19" x14ac:dyDescent="0.25">
      <c r="A306" s="1" t="s">
        <v>350</v>
      </c>
      <c r="B306" s="1" t="s">
        <v>355</v>
      </c>
      <c r="C306">
        <v>178</v>
      </c>
      <c r="D306">
        <v>279</v>
      </c>
      <c r="E306">
        <v>211</v>
      </c>
      <c r="F306">
        <v>279</v>
      </c>
      <c r="G306">
        <v>1</v>
      </c>
      <c r="H306" t="b">
        <v>1</v>
      </c>
      <c r="I306" t="s">
        <v>7178</v>
      </c>
      <c r="J306" t="s">
        <v>7179</v>
      </c>
      <c r="K306" t="s">
        <v>7180</v>
      </c>
      <c r="L306" t="s">
        <v>5108</v>
      </c>
      <c r="M306" t="s">
        <v>7174</v>
      </c>
      <c r="N306">
        <v>0</v>
      </c>
      <c r="O306" t="s">
        <v>4789</v>
      </c>
      <c r="P306" t="s">
        <v>212</v>
      </c>
      <c r="Q306" t="s">
        <v>665</v>
      </c>
      <c r="R306" t="s">
        <v>212</v>
      </c>
      <c r="S306">
        <f>COUNTIFS(ListOfExpenditure!H:H,Public_procurment[[#This Row],[Value.id]],ListOfExpenditure!Y:Y,TRUE)</f>
        <v>0</v>
      </c>
    </row>
    <row r="307" spans="1:19" x14ac:dyDescent="0.25">
      <c r="A307" s="1" t="s">
        <v>350</v>
      </c>
      <c r="B307" s="1" t="s">
        <v>356</v>
      </c>
      <c r="C307">
        <v>219</v>
      </c>
      <c r="D307">
        <v>285</v>
      </c>
      <c r="S307">
        <f>COUNTIFS(ListOfExpenditure!H:H,Public_procurment[[#This Row],[Value.id]],ListOfExpenditure!Y:Y,TRUE)</f>
        <v>0</v>
      </c>
    </row>
    <row r="308" spans="1:19" x14ac:dyDescent="0.25">
      <c r="A308" s="1" t="s">
        <v>63</v>
      </c>
      <c r="B308" s="1" t="s">
        <v>37</v>
      </c>
      <c r="C308">
        <v>288</v>
      </c>
      <c r="D308">
        <v>266</v>
      </c>
      <c r="S308">
        <f>COUNTIFS(ListOfExpenditure!H:H,Public_procurment[[#This Row],[Value.id]],ListOfExpenditure!Y:Y,TRUE)</f>
        <v>0</v>
      </c>
    </row>
    <row r="309" spans="1:19" x14ac:dyDescent="0.25">
      <c r="A309" s="1" t="s">
        <v>63</v>
      </c>
      <c r="B309" s="1" t="s">
        <v>37</v>
      </c>
      <c r="C309">
        <v>288</v>
      </c>
      <c r="D309">
        <v>49</v>
      </c>
      <c r="S309">
        <f>COUNTIFS(ListOfExpenditure!H:H,Public_procurment[[#This Row],[Value.id]],ListOfExpenditure!Y:Y,TRUE)</f>
        <v>0</v>
      </c>
    </row>
    <row r="310" spans="1:19" x14ac:dyDescent="0.25">
      <c r="A310" s="1" t="s">
        <v>63</v>
      </c>
      <c r="B310" s="1" t="s">
        <v>4548</v>
      </c>
      <c r="C310">
        <v>286</v>
      </c>
      <c r="D310">
        <v>45</v>
      </c>
      <c r="S310">
        <f>COUNTIFS(ListOfExpenditure!H:H,Public_procurment[[#This Row],[Value.id]],ListOfExpenditure!Y:Y,TRUE)</f>
        <v>0</v>
      </c>
    </row>
    <row r="311" spans="1:19" x14ac:dyDescent="0.25">
      <c r="A311" s="1" t="s">
        <v>63</v>
      </c>
      <c r="B311" s="1" t="s">
        <v>4548</v>
      </c>
      <c r="C311">
        <v>286</v>
      </c>
      <c r="D311">
        <v>99</v>
      </c>
      <c r="S311">
        <f>COUNTIFS(ListOfExpenditure!H:H,Public_procurment[[#This Row],[Value.id]],ListOfExpenditure!Y:Y,TRUE)</f>
        <v>0</v>
      </c>
    </row>
    <row r="312" spans="1:19" x14ac:dyDescent="0.25">
      <c r="A312" s="1" t="s">
        <v>63</v>
      </c>
      <c r="B312" s="1" t="s">
        <v>51</v>
      </c>
      <c r="C312">
        <v>287</v>
      </c>
      <c r="D312">
        <v>326</v>
      </c>
      <c r="S312">
        <f>COUNTIFS(ListOfExpenditure!H:H,Public_procurment[[#This Row],[Value.id]],ListOfExpenditure!Y:Y,TRUE)</f>
        <v>0</v>
      </c>
    </row>
    <row r="313" spans="1:19" x14ac:dyDescent="0.25">
      <c r="A313" s="1" t="s">
        <v>63</v>
      </c>
      <c r="B313" s="1" t="s">
        <v>51</v>
      </c>
      <c r="C313">
        <v>287</v>
      </c>
      <c r="D313">
        <v>62</v>
      </c>
      <c r="S313">
        <f>COUNTIFS(ListOfExpenditure!H:H,Public_procurment[[#This Row],[Value.id]],ListOfExpenditure!Y:Y,TRUE)</f>
        <v>0</v>
      </c>
    </row>
    <row r="314" spans="1:19" x14ac:dyDescent="0.25">
      <c r="A314" s="1" t="s">
        <v>63</v>
      </c>
      <c r="B314" s="1" t="s">
        <v>46</v>
      </c>
      <c r="C314">
        <v>230</v>
      </c>
      <c r="D314">
        <v>20</v>
      </c>
      <c r="S314">
        <f>COUNTIFS(ListOfExpenditure!H:H,Public_procurment[[#This Row],[Value.id]],ListOfExpenditure!Y:Y,TRUE)</f>
        <v>0</v>
      </c>
    </row>
    <row r="315" spans="1:19" x14ac:dyDescent="0.25">
      <c r="A315" s="1" t="s">
        <v>63</v>
      </c>
      <c r="B315" s="1" t="s">
        <v>46</v>
      </c>
      <c r="C315">
        <v>230</v>
      </c>
      <c r="D315">
        <v>234</v>
      </c>
      <c r="S315">
        <f>COUNTIFS(ListOfExpenditure!H:H,Public_procurment[[#This Row],[Value.id]],ListOfExpenditure!Y:Y,TRUE)</f>
        <v>0</v>
      </c>
    </row>
    <row r="316" spans="1:19" x14ac:dyDescent="0.25">
      <c r="A316" s="1" t="s">
        <v>373</v>
      </c>
      <c r="B316" s="1" t="s">
        <v>375</v>
      </c>
      <c r="C316">
        <v>299</v>
      </c>
      <c r="D316">
        <v>221</v>
      </c>
      <c r="S316">
        <f>COUNTIFS(ListOfExpenditure!H:H,Public_procurment[[#This Row],[Value.id]],ListOfExpenditure!Y:Y,TRUE)</f>
        <v>0</v>
      </c>
    </row>
    <row r="317" spans="1:19" x14ac:dyDescent="0.25">
      <c r="A317" s="1" t="s">
        <v>373</v>
      </c>
      <c r="B317" s="1" t="s">
        <v>376</v>
      </c>
      <c r="C317">
        <v>297</v>
      </c>
      <c r="D317">
        <v>214</v>
      </c>
      <c r="E317">
        <v>141</v>
      </c>
      <c r="F317">
        <v>214</v>
      </c>
      <c r="G317">
        <v>1</v>
      </c>
      <c r="H317" t="b">
        <v>1</v>
      </c>
      <c r="I317" t="s">
        <v>7181</v>
      </c>
      <c r="J317" t="s">
        <v>7182</v>
      </c>
      <c r="K317" t="s">
        <v>4922</v>
      </c>
      <c r="L317" t="s">
        <v>4577</v>
      </c>
      <c r="M317" t="s">
        <v>7183</v>
      </c>
      <c r="N317">
        <v>462</v>
      </c>
      <c r="O317" t="s">
        <v>4789</v>
      </c>
      <c r="P317" t="s">
        <v>7184</v>
      </c>
      <c r="Q317" t="s">
        <v>7185</v>
      </c>
      <c r="R317" t="s">
        <v>212</v>
      </c>
      <c r="S317">
        <f>COUNTIFS(ListOfExpenditure!H:H,Public_procurment[[#This Row],[Value.id]],ListOfExpenditure!Y:Y,TRUE)</f>
        <v>0</v>
      </c>
    </row>
    <row r="318" spans="1:19" x14ac:dyDescent="0.25">
      <c r="A318" s="1" t="s">
        <v>373</v>
      </c>
      <c r="B318" s="1" t="s">
        <v>376</v>
      </c>
      <c r="C318">
        <v>297</v>
      </c>
      <c r="D318">
        <v>214</v>
      </c>
      <c r="E318">
        <v>142</v>
      </c>
      <c r="F318">
        <v>214</v>
      </c>
      <c r="G318">
        <v>1</v>
      </c>
      <c r="H318" t="b">
        <v>1</v>
      </c>
      <c r="I318" t="s">
        <v>7186</v>
      </c>
      <c r="J318" t="s">
        <v>7187</v>
      </c>
      <c r="K318" t="s">
        <v>4926</v>
      </c>
      <c r="L318" t="s">
        <v>5077</v>
      </c>
      <c r="M318" t="s">
        <v>7183</v>
      </c>
      <c r="N318">
        <v>172</v>
      </c>
      <c r="O318" t="s">
        <v>4789</v>
      </c>
      <c r="P318" t="s">
        <v>7188</v>
      </c>
      <c r="Q318" t="s">
        <v>7189</v>
      </c>
      <c r="R318" t="s">
        <v>212</v>
      </c>
      <c r="S318">
        <f>COUNTIFS(ListOfExpenditure!H:H,Public_procurment[[#This Row],[Value.id]],ListOfExpenditure!Y:Y,TRUE)</f>
        <v>0</v>
      </c>
    </row>
    <row r="319" spans="1:19" x14ac:dyDescent="0.25">
      <c r="A319" s="1" t="s">
        <v>373</v>
      </c>
      <c r="B319" s="1" t="s">
        <v>376</v>
      </c>
      <c r="C319">
        <v>297</v>
      </c>
      <c r="D319">
        <v>214</v>
      </c>
      <c r="E319">
        <v>143</v>
      </c>
      <c r="F319">
        <v>214</v>
      </c>
      <c r="G319">
        <v>1</v>
      </c>
      <c r="H319" t="b">
        <v>1</v>
      </c>
      <c r="I319" t="s">
        <v>7190</v>
      </c>
      <c r="J319" t="s">
        <v>7191</v>
      </c>
      <c r="K319" t="s">
        <v>4929</v>
      </c>
      <c r="L319" t="s">
        <v>4942</v>
      </c>
      <c r="M319" t="s">
        <v>7183</v>
      </c>
      <c r="N319">
        <v>4950</v>
      </c>
      <c r="O319" t="s">
        <v>4789</v>
      </c>
      <c r="P319" t="s">
        <v>7192</v>
      </c>
      <c r="Q319" t="s">
        <v>7193</v>
      </c>
      <c r="R319" t="s">
        <v>212</v>
      </c>
      <c r="S319">
        <f>COUNTIFS(ListOfExpenditure!H:H,Public_procurment[[#This Row],[Value.id]],ListOfExpenditure!Y:Y,TRUE)</f>
        <v>0</v>
      </c>
    </row>
    <row r="320" spans="1:19" x14ac:dyDescent="0.25">
      <c r="A320" s="1" t="s">
        <v>373</v>
      </c>
      <c r="B320" s="1" t="s">
        <v>376</v>
      </c>
      <c r="C320">
        <v>297</v>
      </c>
      <c r="D320">
        <v>214</v>
      </c>
      <c r="E320">
        <v>144</v>
      </c>
      <c r="F320">
        <v>214</v>
      </c>
      <c r="G320">
        <v>1</v>
      </c>
      <c r="H320" t="b">
        <v>1</v>
      </c>
      <c r="I320" t="s">
        <v>7194</v>
      </c>
      <c r="J320" t="s">
        <v>7195</v>
      </c>
      <c r="K320" t="s">
        <v>4933</v>
      </c>
      <c r="L320" t="s">
        <v>4660</v>
      </c>
      <c r="M320" t="s">
        <v>7183</v>
      </c>
      <c r="N320">
        <v>300</v>
      </c>
      <c r="O320" t="s">
        <v>4789</v>
      </c>
      <c r="P320" t="s">
        <v>7196</v>
      </c>
      <c r="Q320" t="s">
        <v>7197</v>
      </c>
      <c r="R320" t="s">
        <v>212</v>
      </c>
      <c r="S320">
        <f>COUNTIFS(ListOfExpenditure!H:H,Public_procurment[[#This Row],[Value.id]],ListOfExpenditure!Y:Y,TRUE)</f>
        <v>0</v>
      </c>
    </row>
    <row r="321" spans="1:19" x14ac:dyDescent="0.25">
      <c r="A321" s="1" t="s">
        <v>373</v>
      </c>
      <c r="B321" s="1" t="s">
        <v>377</v>
      </c>
      <c r="C321">
        <v>302</v>
      </c>
      <c r="D321">
        <v>228</v>
      </c>
      <c r="S321">
        <f>COUNTIFS(ListOfExpenditure!H:H,Public_procurment[[#This Row],[Value.id]],ListOfExpenditure!Y:Y,TRUE)</f>
        <v>0</v>
      </c>
    </row>
    <row r="322" spans="1:19" x14ac:dyDescent="0.25">
      <c r="A322" s="1" t="s">
        <v>373</v>
      </c>
      <c r="B322" s="1" t="s">
        <v>378</v>
      </c>
      <c r="C322">
        <v>301</v>
      </c>
      <c r="D322">
        <v>282</v>
      </c>
      <c r="E322">
        <v>195</v>
      </c>
      <c r="F322">
        <v>282</v>
      </c>
      <c r="G322">
        <v>1</v>
      </c>
      <c r="H322" t="b">
        <v>1</v>
      </c>
      <c r="I322" t="s">
        <v>7198</v>
      </c>
      <c r="J322" t="s">
        <v>7199</v>
      </c>
      <c r="K322" t="s">
        <v>7200</v>
      </c>
      <c r="L322" t="s">
        <v>4678</v>
      </c>
      <c r="M322" t="s">
        <v>6739</v>
      </c>
      <c r="N322">
        <v>7750.3</v>
      </c>
      <c r="O322" t="s">
        <v>4789</v>
      </c>
      <c r="P322" t="s">
        <v>2146</v>
      </c>
      <c r="Q322" t="s">
        <v>2148</v>
      </c>
      <c r="R322" t="s">
        <v>7201</v>
      </c>
      <c r="S322">
        <f>COUNTIFS(ListOfExpenditure!H:H,Public_procurment[[#This Row],[Value.id]],ListOfExpenditure!Y:Y,TRUE)</f>
        <v>0</v>
      </c>
    </row>
    <row r="323" spans="1:19" x14ac:dyDescent="0.25">
      <c r="A323" s="1" t="s">
        <v>373</v>
      </c>
      <c r="B323" s="1" t="s">
        <v>379</v>
      </c>
      <c r="C323">
        <v>300</v>
      </c>
      <c r="D323">
        <v>260</v>
      </c>
      <c r="S323">
        <f>COUNTIFS(ListOfExpenditure!H:H,Public_procurment[[#This Row],[Value.id]],ListOfExpenditure!Y:Y,TRUE)</f>
        <v>0</v>
      </c>
    </row>
    <row r="324" spans="1:19" x14ac:dyDescent="0.25">
      <c r="A324" s="1" t="s">
        <v>64</v>
      </c>
      <c r="B324" s="1" t="s">
        <v>79</v>
      </c>
      <c r="C324">
        <v>333</v>
      </c>
      <c r="D324">
        <v>263</v>
      </c>
      <c r="E324">
        <v>70</v>
      </c>
      <c r="F324">
        <v>80</v>
      </c>
      <c r="G324">
        <v>1</v>
      </c>
      <c r="H324" t="b">
        <v>0</v>
      </c>
      <c r="I324" t="s">
        <v>7202</v>
      </c>
      <c r="J324" t="s">
        <v>7203</v>
      </c>
      <c r="K324" t="s">
        <v>7204</v>
      </c>
      <c r="L324" t="s">
        <v>5563</v>
      </c>
      <c r="M324" t="s">
        <v>7205</v>
      </c>
      <c r="N324">
        <v>2250</v>
      </c>
      <c r="O324" t="s">
        <v>4789</v>
      </c>
      <c r="P324" t="s">
        <v>7206</v>
      </c>
      <c r="Q324" t="s">
        <v>7207</v>
      </c>
      <c r="R324" t="s">
        <v>212</v>
      </c>
      <c r="S324">
        <f>COUNTIFS(ListOfExpenditure!H:H,Public_procurment[[#This Row],[Value.id]],ListOfExpenditure!Y:Y,TRUE)</f>
        <v>1</v>
      </c>
    </row>
    <row r="325" spans="1:19" x14ac:dyDescent="0.25">
      <c r="A325" s="1" t="s">
        <v>64</v>
      </c>
      <c r="B325" s="1" t="s">
        <v>79</v>
      </c>
      <c r="C325">
        <v>333</v>
      </c>
      <c r="D325">
        <v>263</v>
      </c>
      <c r="E325">
        <v>71</v>
      </c>
      <c r="F325">
        <v>80</v>
      </c>
      <c r="G325">
        <v>1</v>
      </c>
      <c r="H325" t="b">
        <v>0</v>
      </c>
      <c r="I325" t="s">
        <v>7208</v>
      </c>
      <c r="J325" t="s">
        <v>7209</v>
      </c>
      <c r="K325" t="s">
        <v>7210</v>
      </c>
      <c r="L325" t="s">
        <v>4863</v>
      </c>
      <c r="M325" t="s">
        <v>7205</v>
      </c>
      <c r="N325">
        <v>765.9</v>
      </c>
      <c r="O325" t="s">
        <v>4789</v>
      </c>
      <c r="P325" t="s">
        <v>7211</v>
      </c>
      <c r="Q325" t="s">
        <v>2438</v>
      </c>
      <c r="R325" t="s">
        <v>212</v>
      </c>
      <c r="S325">
        <f>COUNTIFS(ListOfExpenditure!H:H,Public_procurment[[#This Row],[Value.id]],ListOfExpenditure!Y:Y,TRUE)</f>
        <v>1</v>
      </c>
    </row>
    <row r="326" spans="1:19" x14ac:dyDescent="0.25">
      <c r="A326" s="1" t="s">
        <v>64</v>
      </c>
      <c r="B326" s="1" t="s">
        <v>79</v>
      </c>
      <c r="C326">
        <v>333</v>
      </c>
      <c r="D326">
        <v>263</v>
      </c>
      <c r="E326">
        <v>72</v>
      </c>
      <c r="F326">
        <v>80</v>
      </c>
      <c r="G326">
        <v>1</v>
      </c>
      <c r="H326" t="b">
        <v>0</v>
      </c>
      <c r="I326" t="s">
        <v>7212</v>
      </c>
      <c r="J326" t="s">
        <v>7213</v>
      </c>
      <c r="K326" t="s">
        <v>7214</v>
      </c>
      <c r="L326" t="s">
        <v>4859</v>
      </c>
      <c r="M326" t="s">
        <v>7215</v>
      </c>
      <c r="N326">
        <v>7400</v>
      </c>
      <c r="O326" t="s">
        <v>4789</v>
      </c>
      <c r="P326" t="s">
        <v>7216</v>
      </c>
      <c r="Q326" t="s">
        <v>7217</v>
      </c>
      <c r="R326" t="s">
        <v>212</v>
      </c>
      <c r="S326">
        <f>COUNTIFS(ListOfExpenditure!H:H,Public_procurment[[#This Row],[Value.id]],ListOfExpenditure!Y:Y,TRUE)</f>
        <v>1</v>
      </c>
    </row>
    <row r="327" spans="1:19" x14ac:dyDescent="0.25">
      <c r="A327" s="1" t="s">
        <v>64</v>
      </c>
      <c r="B327" s="1" t="s">
        <v>79</v>
      </c>
      <c r="C327">
        <v>333</v>
      </c>
      <c r="D327">
        <v>263</v>
      </c>
      <c r="E327">
        <v>73</v>
      </c>
      <c r="F327">
        <v>80</v>
      </c>
      <c r="G327">
        <v>1</v>
      </c>
      <c r="H327" t="b">
        <v>0</v>
      </c>
      <c r="I327" t="s">
        <v>7218</v>
      </c>
      <c r="J327" t="s">
        <v>7219</v>
      </c>
      <c r="K327" t="s">
        <v>7220</v>
      </c>
      <c r="L327" t="s">
        <v>7221</v>
      </c>
      <c r="M327" t="s">
        <v>6508</v>
      </c>
      <c r="N327">
        <v>1933</v>
      </c>
      <c r="O327" t="s">
        <v>4789</v>
      </c>
      <c r="P327" t="s">
        <v>7222</v>
      </c>
      <c r="Q327" t="s">
        <v>7223</v>
      </c>
      <c r="R327" t="s">
        <v>212</v>
      </c>
      <c r="S327">
        <f>COUNTIFS(ListOfExpenditure!H:H,Public_procurment[[#This Row],[Value.id]],ListOfExpenditure!Y:Y,TRUE)</f>
        <v>1</v>
      </c>
    </row>
    <row r="328" spans="1:19" x14ac:dyDescent="0.25">
      <c r="A328" s="1" t="s">
        <v>64</v>
      </c>
      <c r="B328" s="1" t="s">
        <v>79</v>
      </c>
      <c r="C328">
        <v>333</v>
      </c>
      <c r="D328">
        <v>80</v>
      </c>
      <c r="E328">
        <v>70</v>
      </c>
      <c r="F328">
        <v>80</v>
      </c>
      <c r="G328">
        <v>1</v>
      </c>
      <c r="H328" t="b">
        <v>1</v>
      </c>
      <c r="I328" t="s">
        <v>7202</v>
      </c>
      <c r="J328" t="s">
        <v>7203</v>
      </c>
      <c r="K328" t="s">
        <v>7204</v>
      </c>
      <c r="L328" t="s">
        <v>5563</v>
      </c>
      <c r="M328" t="s">
        <v>7205</v>
      </c>
      <c r="N328">
        <v>2250</v>
      </c>
      <c r="O328" t="s">
        <v>4789</v>
      </c>
      <c r="P328" t="s">
        <v>7206</v>
      </c>
      <c r="Q328" t="s">
        <v>7207</v>
      </c>
      <c r="R328" t="s">
        <v>212</v>
      </c>
      <c r="S328">
        <f>COUNTIFS(ListOfExpenditure!H:H,Public_procurment[[#This Row],[Value.id]],ListOfExpenditure!Y:Y,TRUE)</f>
        <v>1</v>
      </c>
    </row>
    <row r="329" spans="1:19" x14ac:dyDescent="0.25">
      <c r="A329" s="1" t="s">
        <v>64</v>
      </c>
      <c r="B329" s="1" t="s">
        <v>79</v>
      </c>
      <c r="C329">
        <v>333</v>
      </c>
      <c r="D329">
        <v>80</v>
      </c>
      <c r="E329">
        <v>71</v>
      </c>
      <c r="F329">
        <v>80</v>
      </c>
      <c r="G329">
        <v>1</v>
      </c>
      <c r="H329" t="b">
        <v>1</v>
      </c>
      <c r="I329" t="s">
        <v>7208</v>
      </c>
      <c r="J329" t="s">
        <v>7209</v>
      </c>
      <c r="K329" t="s">
        <v>7210</v>
      </c>
      <c r="L329" t="s">
        <v>4863</v>
      </c>
      <c r="M329" t="s">
        <v>7205</v>
      </c>
      <c r="N329">
        <v>765.9</v>
      </c>
      <c r="O329" t="s">
        <v>4789</v>
      </c>
      <c r="P329" t="s">
        <v>7211</v>
      </c>
      <c r="Q329" t="s">
        <v>2438</v>
      </c>
      <c r="R329" t="s">
        <v>212</v>
      </c>
      <c r="S329">
        <f>COUNTIFS(ListOfExpenditure!H:H,Public_procurment[[#This Row],[Value.id]],ListOfExpenditure!Y:Y,TRUE)</f>
        <v>1</v>
      </c>
    </row>
    <row r="330" spans="1:19" x14ac:dyDescent="0.25">
      <c r="A330" s="1" t="s">
        <v>64</v>
      </c>
      <c r="B330" s="1" t="s">
        <v>79</v>
      </c>
      <c r="C330">
        <v>333</v>
      </c>
      <c r="D330">
        <v>80</v>
      </c>
      <c r="E330">
        <v>72</v>
      </c>
      <c r="F330">
        <v>80</v>
      </c>
      <c r="G330">
        <v>1</v>
      </c>
      <c r="H330" t="b">
        <v>1</v>
      </c>
      <c r="I330" t="s">
        <v>7212</v>
      </c>
      <c r="J330" t="s">
        <v>7213</v>
      </c>
      <c r="K330" t="s">
        <v>7214</v>
      </c>
      <c r="L330" t="s">
        <v>4859</v>
      </c>
      <c r="M330" t="s">
        <v>7215</v>
      </c>
      <c r="N330">
        <v>7400</v>
      </c>
      <c r="O330" t="s">
        <v>4789</v>
      </c>
      <c r="P330" t="s">
        <v>7216</v>
      </c>
      <c r="Q330" t="s">
        <v>7217</v>
      </c>
      <c r="R330" t="s">
        <v>212</v>
      </c>
      <c r="S330">
        <f>COUNTIFS(ListOfExpenditure!H:H,Public_procurment[[#This Row],[Value.id]],ListOfExpenditure!Y:Y,TRUE)</f>
        <v>1</v>
      </c>
    </row>
    <row r="331" spans="1:19" x14ac:dyDescent="0.25">
      <c r="A331" s="1" t="s">
        <v>64</v>
      </c>
      <c r="B331" s="1" t="s">
        <v>79</v>
      </c>
      <c r="C331">
        <v>333</v>
      </c>
      <c r="D331">
        <v>80</v>
      </c>
      <c r="E331">
        <v>73</v>
      </c>
      <c r="F331">
        <v>80</v>
      </c>
      <c r="G331">
        <v>1</v>
      </c>
      <c r="H331" t="b">
        <v>1</v>
      </c>
      <c r="I331" t="s">
        <v>7218</v>
      </c>
      <c r="J331" t="s">
        <v>7219</v>
      </c>
      <c r="K331" t="s">
        <v>7220</v>
      </c>
      <c r="L331" t="s">
        <v>7221</v>
      </c>
      <c r="M331" t="s">
        <v>6508</v>
      </c>
      <c r="N331">
        <v>1933</v>
      </c>
      <c r="O331" t="s">
        <v>4789</v>
      </c>
      <c r="P331" t="s">
        <v>7222</v>
      </c>
      <c r="Q331" t="s">
        <v>7223</v>
      </c>
      <c r="R331" t="s">
        <v>212</v>
      </c>
      <c r="S331">
        <f>COUNTIFS(ListOfExpenditure!H:H,Public_procurment[[#This Row],[Value.id]],ListOfExpenditure!Y:Y,TRUE)</f>
        <v>1</v>
      </c>
    </row>
    <row r="332" spans="1:19" x14ac:dyDescent="0.25">
      <c r="A332" s="1" t="s">
        <v>60</v>
      </c>
      <c r="B332" s="1" t="s">
        <v>328</v>
      </c>
      <c r="C332">
        <v>138</v>
      </c>
      <c r="D332">
        <v>318</v>
      </c>
      <c r="S332">
        <f>COUNTIFS(ListOfExpenditure!H:H,Public_procurment[[#This Row],[Value.id]],ListOfExpenditure!Y:Y,TRUE)</f>
        <v>0</v>
      </c>
    </row>
    <row r="333" spans="1:19" x14ac:dyDescent="0.25">
      <c r="A333" s="1" t="s">
        <v>60</v>
      </c>
      <c r="B333" s="1" t="s">
        <v>328</v>
      </c>
      <c r="C333">
        <v>138</v>
      </c>
      <c r="D333">
        <v>77</v>
      </c>
      <c r="S333">
        <f>COUNTIFS(ListOfExpenditure!H:H,Public_procurment[[#This Row],[Value.id]],ListOfExpenditure!Y:Y,TRUE)</f>
        <v>0</v>
      </c>
    </row>
    <row r="334" spans="1:19" x14ac:dyDescent="0.25">
      <c r="A334" s="1" t="s">
        <v>60</v>
      </c>
      <c r="B334" s="1" t="s">
        <v>68</v>
      </c>
      <c r="C334">
        <v>94</v>
      </c>
      <c r="D334">
        <v>30</v>
      </c>
      <c r="S334">
        <f>COUNTIFS(ListOfExpenditure!H:H,Public_procurment[[#This Row],[Value.id]],ListOfExpenditure!Y:Y,TRUE)</f>
        <v>0</v>
      </c>
    </row>
    <row r="335" spans="1:19" x14ac:dyDescent="0.25">
      <c r="A335" s="1" t="s">
        <v>60</v>
      </c>
      <c r="B335" s="1" t="s">
        <v>68</v>
      </c>
      <c r="C335">
        <v>94</v>
      </c>
      <c r="D335">
        <v>308</v>
      </c>
      <c r="E335">
        <v>226</v>
      </c>
      <c r="F335">
        <v>308</v>
      </c>
      <c r="G335">
        <v>2</v>
      </c>
      <c r="H335" t="b">
        <v>1</v>
      </c>
      <c r="I335" t="s">
        <v>7224</v>
      </c>
      <c r="J335" t="s">
        <v>7225</v>
      </c>
      <c r="K335" t="s">
        <v>7226</v>
      </c>
      <c r="L335" t="s">
        <v>4955</v>
      </c>
      <c r="M335" t="s">
        <v>7227</v>
      </c>
      <c r="N335">
        <v>636</v>
      </c>
      <c r="O335" t="s">
        <v>4789</v>
      </c>
      <c r="P335" t="s">
        <v>7228</v>
      </c>
      <c r="Q335" t="s">
        <v>7229</v>
      </c>
      <c r="R335" t="s">
        <v>7230</v>
      </c>
      <c r="S335">
        <f>COUNTIFS(ListOfExpenditure!H:H,Public_procurment[[#This Row],[Value.id]],ListOfExpenditure!Y:Y,TRUE)</f>
        <v>0</v>
      </c>
    </row>
    <row r="336" spans="1:19" x14ac:dyDescent="0.25">
      <c r="A336" s="1" t="s">
        <v>60</v>
      </c>
      <c r="B336" s="1" t="s">
        <v>68</v>
      </c>
      <c r="C336">
        <v>94</v>
      </c>
      <c r="D336">
        <v>308</v>
      </c>
      <c r="E336">
        <v>227</v>
      </c>
      <c r="F336">
        <v>308</v>
      </c>
      <c r="G336">
        <v>2</v>
      </c>
      <c r="H336" t="b">
        <v>1</v>
      </c>
      <c r="I336" t="s">
        <v>7231</v>
      </c>
      <c r="J336" t="s">
        <v>7232</v>
      </c>
      <c r="K336" t="s">
        <v>7233</v>
      </c>
      <c r="L336" t="s">
        <v>5180</v>
      </c>
      <c r="M336" t="s">
        <v>7234</v>
      </c>
      <c r="N336">
        <v>12040.98</v>
      </c>
      <c r="O336" t="s">
        <v>4789</v>
      </c>
      <c r="P336" t="s">
        <v>7235</v>
      </c>
      <c r="Q336" t="s">
        <v>7236</v>
      </c>
      <c r="R336" t="s">
        <v>7230</v>
      </c>
      <c r="S336">
        <f>COUNTIFS(ListOfExpenditure!H:H,Public_procurment[[#This Row],[Value.id]],ListOfExpenditure!Y:Y,TRUE)</f>
        <v>0</v>
      </c>
    </row>
    <row r="337" spans="1:19" x14ac:dyDescent="0.25">
      <c r="A337" s="1" t="s">
        <v>60</v>
      </c>
      <c r="B337" s="1" t="s">
        <v>329</v>
      </c>
      <c r="C337">
        <v>173</v>
      </c>
      <c r="D337">
        <v>276</v>
      </c>
      <c r="S337">
        <f>COUNTIFS(ListOfExpenditure!H:H,Public_procurment[[#This Row],[Value.id]],ListOfExpenditure!Y:Y,TRUE)</f>
        <v>0</v>
      </c>
    </row>
    <row r="338" spans="1:19" x14ac:dyDescent="0.25">
      <c r="A338" s="1" t="s">
        <v>60</v>
      </c>
      <c r="B338" s="1" t="s">
        <v>329</v>
      </c>
      <c r="C338">
        <v>173</v>
      </c>
      <c r="D338">
        <v>78</v>
      </c>
      <c r="S338">
        <f>COUNTIFS(ListOfExpenditure!H:H,Public_procurment[[#This Row],[Value.id]],ListOfExpenditure!Y:Y,TRUE)</f>
        <v>0</v>
      </c>
    </row>
    <row r="339" spans="1:19" x14ac:dyDescent="0.25">
      <c r="A339" s="1" t="s">
        <v>60</v>
      </c>
      <c r="B339" s="1" t="s">
        <v>35</v>
      </c>
      <c r="C339">
        <v>95</v>
      </c>
      <c r="D339">
        <v>258</v>
      </c>
      <c r="E339">
        <v>205</v>
      </c>
      <c r="F339">
        <v>258</v>
      </c>
      <c r="G339">
        <v>2</v>
      </c>
      <c r="H339" t="b">
        <v>1</v>
      </c>
      <c r="I339" t="s">
        <v>7237</v>
      </c>
      <c r="J339" t="s">
        <v>7238</v>
      </c>
      <c r="K339" t="s">
        <v>212</v>
      </c>
      <c r="L339" t="s">
        <v>5440</v>
      </c>
      <c r="M339" t="s">
        <v>6508</v>
      </c>
      <c r="N339">
        <v>2055.1999999999998</v>
      </c>
      <c r="O339" t="s">
        <v>4789</v>
      </c>
      <c r="P339" t="s">
        <v>7239</v>
      </c>
      <c r="Q339" t="s">
        <v>7240</v>
      </c>
      <c r="R339" t="s">
        <v>212</v>
      </c>
      <c r="S339">
        <f>COUNTIFS(ListOfExpenditure!H:H,Public_procurment[[#This Row],[Value.id]],ListOfExpenditure!Y:Y,TRUE)</f>
        <v>0</v>
      </c>
    </row>
    <row r="340" spans="1:19" x14ac:dyDescent="0.25">
      <c r="A340" s="1" t="s">
        <v>60</v>
      </c>
      <c r="B340" s="1" t="s">
        <v>35</v>
      </c>
      <c r="C340">
        <v>95</v>
      </c>
      <c r="D340">
        <v>42</v>
      </c>
      <c r="S340">
        <f>COUNTIFS(ListOfExpenditure!H:H,Public_procurment[[#This Row],[Value.id]],ListOfExpenditure!Y:Y,TRUE)</f>
        <v>0</v>
      </c>
    </row>
    <row r="341" spans="1:19" x14ac:dyDescent="0.25">
      <c r="A341" s="1" t="s">
        <v>60</v>
      </c>
      <c r="B341" s="1" t="s">
        <v>26</v>
      </c>
      <c r="C341">
        <v>172</v>
      </c>
      <c r="D341">
        <v>251</v>
      </c>
      <c r="E341">
        <v>36</v>
      </c>
      <c r="F341">
        <v>43</v>
      </c>
      <c r="G341">
        <v>1</v>
      </c>
      <c r="H341" t="b">
        <v>0</v>
      </c>
      <c r="I341" t="s">
        <v>7241</v>
      </c>
      <c r="J341" t="s">
        <v>7242</v>
      </c>
      <c r="K341" t="s">
        <v>5878</v>
      </c>
      <c r="L341" t="s">
        <v>5064</v>
      </c>
      <c r="M341" t="s">
        <v>6473</v>
      </c>
      <c r="N341">
        <v>9.7799999999999994</v>
      </c>
      <c r="O341" t="s">
        <v>4789</v>
      </c>
      <c r="P341" t="s">
        <v>7243</v>
      </c>
      <c r="Q341" t="s">
        <v>7244</v>
      </c>
      <c r="R341" t="s">
        <v>7245</v>
      </c>
      <c r="S341">
        <f>COUNTIFS(ListOfExpenditure!H:H,Public_procurment[[#This Row],[Value.id]],ListOfExpenditure!Y:Y,TRUE)</f>
        <v>1</v>
      </c>
    </row>
    <row r="342" spans="1:19" x14ac:dyDescent="0.25">
      <c r="A342" s="1" t="s">
        <v>60</v>
      </c>
      <c r="B342" s="1" t="s">
        <v>26</v>
      </c>
      <c r="C342">
        <v>172</v>
      </c>
      <c r="D342">
        <v>251</v>
      </c>
      <c r="E342">
        <v>194</v>
      </c>
      <c r="F342">
        <v>251</v>
      </c>
      <c r="G342">
        <v>2</v>
      </c>
      <c r="H342" t="b">
        <v>1</v>
      </c>
      <c r="I342" t="s">
        <v>7246</v>
      </c>
      <c r="J342" t="s">
        <v>7247</v>
      </c>
      <c r="K342" t="s">
        <v>7248</v>
      </c>
      <c r="L342" t="s">
        <v>5064</v>
      </c>
      <c r="M342" t="s">
        <v>212</v>
      </c>
      <c r="N342">
        <v>204</v>
      </c>
      <c r="O342" t="s">
        <v>4789</v>
      </c>
      <c r="P342" t="s">
        <v>7249</v>
      </c>
      <c r="Q342" t="s">
        <v>7250</v>
      </c>
      <c r="R342" t="s">
        <v>7251</v>
      </c>
      <c r="S342">
        <f>COUNTIFS(ListOfExpenditure!H:H,Public_procurment[[#This Row],[Value.id]],ListOfExpenditure!Y:Y,TRUE)</f>
        <v>1</v>
      </c>
    </row>
    <row r="343" spans="1:19" x14ac:dyDescent="0.25">
      <c r="A343" s="1" t="s">
        <v>60</v>
      </c>
      <c r="B343" s="1" t="s">
        <v>26</v>
      </c>
      <c r="C343">
        <v>172</v>
      </c>
      <c r="D343">
        <v>43</v>
      </c>
      <c r="E343">
        <v>36</v>
      </c>
      <c r="F343">
        <v>43</v>
      </c>
      <c r="G343">
        <v>1</v>
      </c>
      <c r="H343" t="b">
        <v>1</v>
      </c>
      <c r="I343" t="s">
        <v>7241</v>
      </c>
      <c r="J343" t="s">
        <v>7242</v>
      </c>
      <c r="K343" t="s">
        <v>5878</v>
      </c>
      <c r="L343" t="s">
        <v>5064</v>
      </c>
      <c r="M343" t="s">
        <v>6473</v>
      </c>
      <c r="N343">
        <v>9.7799999999999994</v>
      </c>
      <c r="O343" t="s">
        <v>4789</v>
      </c>
      <c r="P343" t="s">
        <v>7243</v>
      </c>
      <c r="Q343" t="s">
        <v>7244</v>
      </c>
      <c r="R343" t="s">
        <v>7245</v>
      </c>
      <c r="S343">
        <f>COUNTIFS(ListOfExpenditure!H:H,Public_procurment[[#This Row],[Value.id]],ListOfExpenditure!Y:Y,TRUE)</f>
        <v>1</v>
      </c>
    </row>
    <row r="344" spans="1:19" x14ac:dyDescent="0.25">
      <c r="A344" s="1" t="s">
        <v>60</v>
      </c>
      <c r="B344" s="1" t="s">
        <v>330</v>
      </c>
      <c r="C344">
        <v>137</v>
      </c>
      <c r="D344">
        <v>104</v>
      </c>
      <c r="S344">
        <f>COUNTIFS(ListOfExpenditure!H:H,Public_procurment[[#This Row],[Value.id]],ListOfExpenditure!Y:Y,TRUE)</f>
        <v>0</v>
      </c>
    </row>
    <row r="345" spans="1:19" x14ac:dyDescent="0.25">
      <c r="A345" s="1" t="s">
        <v>60</v>
      </c>
      <c r="B345" s="1" t="s">
        <v>330</v>
      </c>
      <c r="C345">
        <v>137</v>
      </c>
      <c r="D345">
        <v>337</v>
      </c>
      <c r="S345">
        <f>COUNTIFS(ListOfExpenditure!H:H,Public_procurment[[#This Row],[Value.id]],ListOfExpenditure!Y:Y,TRUE)</f>
        <v>0</v>
      </c>
    </row>
    <row r="346" spans="1:19" x14ac:dyDescent="0.25">
      <c r="A346" s="1" t="s">
        <v>67</v>
      </c>
      <c r="B346" s="1" t="s">
        <v>323</v>
      </c>
      <c r="C346">
        <v>169</v>
      </c>
      <c r="D346">
        <v>174</v>
      </c>
      <c r="E346">
        <v>107</v>
      </c>
      <c r="F346">
        <v>174</v>
      </c>
      <c r="G346">
        <v>1</v>
      </c>
      <c r="H346" t="b">
        <v>1</v>
      </c>
      <c r="I346" t="s">
        <v>7252</v>
      </c>
      <c r="J346" t="s">
        <v>7253</v>
      </c>
      <c r="K346" t="s">
        <v>212</v>
      </c>
      <c r="L346" t="s">
        <v>5533</v>
      </c>
      <c r="M346" t="s">
        <v>6739</v>
      </c>
      <c r="N346">
        <v>21960</v>
      </c>
      <c r="O346" t="s">
        <v>4789</v>
      </c>
      <c r="P346" t="s">
        <v>7254</v>
      </c>
      <c r="Q346" t="s">
        <v>7255</v>
      </c>
      <c r="R346" t="s">
        <v>7256</v>
      </c>
      <c r="S346">
        <f>COUNTIFS(ListOfExpenditure!H:H,Public_procurment[[#This Row],[Value.id]],ListOfExpenditure!Y:Y,TRUE)</f>
        <v>0</v>
      </c>
    </row>
    <row r="347" spans="1:19" x14ac:dyDescent="0.25">
      <c r="A347" s="1" t="s">
        <v>67</v>
      </c>
      <c r="B347" s="1" t="s">
        <v>324</v>
      </c>
      <c r="C347">
        <v>166</v>
      </c>
      <c r="D347">
        <v>148</v>
      </c>
      <c r="S347">
        <f>COUNTIFS(ListOfExpenditure!H:H,Public_procurment[[#This Row],[Value.id]],ListOfExpenditure!Y:Y,TRUE)</f>
        <v>0</v>
      </c>
    </row>
    <row r="348" spans="1:19" x14ac:dyDescent="0.25">
      <c r="A348" s="1" t="s">
        <v>67</v>
      </c>
      <c r="B348" s="1" t="s">
        <v>56</v>
      </c>
      <c r="C348">
        <v>165</v>
      </c>
      <c r="D348">
        <v>121</v>
      </c>
      <c r="S348">
        <f>COUNTIFS(ListOfExpenditure!H:H,Public_procurment[[#This Row],[Value.id]],ListOfExpenditure!Y:Y,TRUE)</f>
        <v>0</v>
      </c>
    </row>
    <row r="349" spans="1:19" x14ac:dyDescent="0.25">
      <c r="A349" s="1" t="s">
        <v>67</v>
      </c>
      <c r="B349" s="1" t="s">
        <v>325</v>
      </c>
      <c r="C349">
        <v>162</v>
      </c>
      <c r="D349">
        <v>115</v>
      </c>
      <c r="S349">
        <f>COUNTIFS(ListOfExpenditure!H:H,Public_procurment[[#This Row],[Value.id]],ListOfExpenditure!Y:Y,TRUE)</f>
        <v>0</v>
      </c>
    </row>
    <row r="350" spans="1:19" x14ac:dyDescent="0.25">
      <c r="A350" s="1" t="s">
        <v>67</v>
      </c>
      <c r="B350" s="1" t="s">
        <v>326</v>
      </c>
      <c r="C350">
        <v>164</v>
      </c>
      <c r="D350">
        <v>116</v>
      </c>
      <c r="S350">
        <f>COUNTIFS(ListOfExpenditure!H:H,Public_procurment[[#This Row],[Value.id]],ListOfExpenditure!Y:Y,TRUE)</f>
        <v>0</v>
      </c>
    </row>
    <row r="351" spans="1:19" x14ac:dyDescent="0.25">
      <c r="A351" s="1" t="s">
        <v>67</v>
      </c>
      <c r="B351" s="1" t="s">
        <v>327</v>
      </c>
      <c r="C351">
        <v>168</v>
      </c>
      <c r="D351">
        <v>117</v>
      </c>
      <c r="S351">
        <f>COUNTIFS(ListOfExpenditure!H:H,Public_procurment[[#This Row],[Value.id]],ListOfExpenditure!Y:Y,TRUE)</f>
        <v>0</v>
      </c>
    </row>
    <row r="352" spans="1:19" x14ac:dyDescent="0.25">
      <c r="A352" s="1" t="s">
        <v>66</v>
      </c>
      <c r="B352" s="1" t="s">
        <v>371</v>
      </c>
      <c r="C352">
        <v>262</v>
      </c>
      <c r="D352">
        <v>302</v>
      </c>
      <c r="S352">
        <f>COUNTIFS(ListOfExpenditure!H:H,Public_procurment[[#This Row],[Value.id]],ListOfExpenditure!Y:Y,TRUE)</f>
        <v>0</v>
      </c>
    </row>
    <row r="353" spans="1:19" x14ac:dyDescent="0.25">
      <c r="A353" s="1" t="s">
        <v>66</v>
      </c>
      <c r="B353" s="1" t="s">
        <v>55</v>
      </c>
      <c r="C353">
        <v>259</v>
      </c>
      <c r="D353">
        <v>100</v>
      </c>
      <c r="S353">
        <f>COUNTIFS(ListOfExpenditure!H:H,Public_procurment[[#This Row],[Value.id]],ListOfExpenditure!Y:Y,TRUE)</f>
        <v>0</v>
      </c>
    </row>
    <row r="354" spans="1:19" x14ac:dyDescent="0.25">
      <c r="A354" s="1" t="s">
        <v>66</v>
      </c>
      <c r="B354" s="1" t="s">
        <v>372</v>
      </c>
      <c r="C354">
        <v>261</v>
      </c>
      <c r="D354">
        <v>215</v>
      </c>
      <c r="S354">
        <f>COUNTIFS(ListOfExpenditure!H:H,Public_procurment[[#This Row],[Value.id]],ListOfExpenditure!Y:Y,TRUE)</f>
        <v>0</v>
      </c>
    </row>
    <row r="355" spans="1:19" x14ac:dyDescent="0.25">
      <c r="A355" s="1" t="s">
        <v>66</v>
      </c>
      <c r="B355" s="1" t="s">
        <v>36</v>
      </c>
      <c r="C355">
        <v>260</v>
      </c>
      <c r="D355">
        <v>207</v>
      </c>
      <c r="E355">
        <v>149</v>
      </c>
      <c r="F355">
        <v>207</v>
      </c>
      <c r="G355">
        <v>1</v>
      </c>
      <c r="H355" t="b">
        <v>1</v>
      </c>
      <c r="I355" t="s">
        <v>7257</v>
      </c>
      <c r="J355" t="s">
        <v>7258</v>
      </c>
      <c r="K355" t="s">
        <v>7259</v>
      </c>
      <c r="L355" t="s">
        <v>5672</v>
      </c>
      <c r="M355" t="s">
        <v>7260</v>
      </c>
      <c r="N355">
        <v>300</v>
      </c>
      <c r="O355" t="s">
        <v>4789</v>
      </c>
      <c r="P355" t="s">
        <v>7261</v>
      </c>
      <c r="Q355" t="s">
        <v>7262</v>
      </c>
      <c r="R355" t="s">
        <v>7263</v>
      </c>
      <c r="S355">
        <f>COUNTIFS(ListOfExpenditure!H:H,Public_procurment[[#This Row],[Value.id]],ListOfExpenditure!Y:Y,TRUE)</f>
        <v>0</v>
      </c>
    </row>
    <row r="356" spans="1:19" x14ac:dyDescent="0.25">
      <c r="A356" s="1" t="s">
        <v>66</v>
      </c>
      <c r="B356" s="1" t="s">
        <v>36</v>
      </c>
      <c r="C356">
        <v>260</v>
      </c>
      <c r="D356">
        <v>207</v>
      </c>
      <c r="E356">
        <v>269</v>
      </c>
      <c r="F356">
        <v>207</v>
      </c>
      <c r="G356">
        <v>1</v>
      </c>
      <c r="H356" t="b">
        <v>1</v>
      </c>
      <c r="I356" t="s">
        <v>7264</v>
      </c>
      <c r="J356" t="s">
        <v>7265</v>
      </c>
      <c r="K356" t="s">
        <v>7266</v>
      </c>
      <c r="L356" t="s">
        <v>4908</v>
      </c>
      <c r="M356" t="s">
        <v>6473</v>
      </c>
      <c r="N356">
        <v>2920.22</v>
      </c>
      <c r="O356" t="s">
        <v>4789</v>
      </c>
      <c r="P356" t="s">
        <v>7267</v>
      </c>
      <c r="Q356" t="s">
        <v>7268</v>
      </c>
      <c r="R356" t="s">
        <v>665</v>
      </c>
      <c r="S356">
        <f>COUNTIFS(ListOfExpenditure!H:H,Public_procurment[[#This Row],[Value.id]],ListOfExpenditure!Y:Y,TRUE)</f>
        <v>0</v>
      </c>
    </row>
    <row r="357" spans="1:19" x14ac:dyDescent="0.25">
      <c r="A357" s="1" t="s">
        <v>66</v>
      </c>
      <c r="B357" s="1" t="s">
        <v>36</v>
      </c>
      <c r="C357">
        <v>260</v>
      </c>
      <c r="D357">
        <v>207</v>
      </c>
      <c r="E357">
        <v>271</v>
      </c>
      <c r="F357">
        <v>207</v>
      </c>
      <c r="G357">
        <v>1</v>
      </c>
      <c r="H357" t="b">
        <v>1</v>
      </c>
      <c r="I357" t="s">
        <v>7269</v>
      </c>
      <c r="J357" t="s">
        <v>7270</v>
      </c>
      <c r="K357" t="s">
        <v>7271</v>
      </c>
      <c r="L357" t="s">
        <v>7272</v>
      </c>
      <c r="M357" t="s">
        <v>6473</v>
      </c>
      <c r="N357">
        <v>4060000</v>
      </c>
      <c r="O357" t="s">
        <v>4789</v>
      </c>
      <c r="P357" t="s">
        <v>7273</v>
      </c>
      <c r="Q357" t="s">
        <v>7274</v>
      </c>
      <c r="R357" t="s">
        <v>665</v>
      </c>
      <c r="S357">
        <f>COUNTIFS(ListOfExpenditure!H:H,Public_procurment[[#This Row],[Value.id]],ListOfExpenditure!Y:Y,TRUE)</f>
        <v>0</v>
      </c>
    </row>
    <row r="358" spans="1:19" x14ac:dyDescent="0.25">
      <c r="A358" s="1" t="s">
        <v>66</v>
      </c>
      <c r="B358" s="1" t="s">
        <v>21</v>
      </c>
      <c r="C358">
        <v>258</v>
      </c>
      <c r="D358">
        <v>161</v>
      </c>
      <c r="E358">
        <v>99</v>
      </c>
      <c r="F358">
        <v>161</v>
      </c>
      <c r="G358">
        <v>1</v>
      </c>
      <c r="H358" t="b">
        <v>1</v>
      </c>
      <c r="I358" t="s">
        <v>7275</v>
      </c>
      <c r="J358" t="s">
        <v>7276</v>
      </c>
      <c r="K358" t="s">
        <v>7277</v>
      </c>
      <c r="L358" t="s">
        <v>5990</v>
      </c>
      <c r="M358" t="s">
        <v>6527</v>
      </c>
      <c r="N358">
        <v>31500</v>
      </c>
      <c r="O358" t="s">
        <v>4789</v>
      </c>
      <c r="P358" t="s">
        <v>7278</v>
      </c>
      <c r="Q358" t="s">
        <v>7279</v>
      </c>
      <c r="R358" t="s">
        <v>212</v>
      </c>
      <c r="S358">
        <f>COUNTIFS(ListOfExpenditure!H:H,Public_procurment[[#This Row],[Value.id]],ListOfExpenditure!Y:Y,TRUE)</f>
        <v>1</v>
      </c>
    </row>
    <row r="359" spans="1:19" x14ac:dyDescent="0.25">
      <c r="A359" s="1" t="s">
        <v>66</v>
      </c>
      <c r="B359" s="1" t="s">
        <v>21</v>
      </c>
      <c r="C359">
        <v>258</v>
      </c>
      <c r="D359">
        <v>161</v>
      </c>
      <c r="E359">
        <v>100</v>
      </c>
      <c r="F359">
        <v>161</v>
      </c>
      <c r="G359">
        <v>1</v>
      </c>
      <c r="H359" t="b">
        <v>1</v>
      </c>
      <c r="I359" t="s">
        <v>7280</v>
      </c>
      <c r="J359" t="s">
        <v>7281</v>
      </c>
      <c r="K359" t="s">
        <v>7282</v>
      </c>
      <c r="L359" t="s">
        <v>5926</v>
      </c>
      <c r="M359" t="s">
        <v>6527</v>
      </c>
      <c r="N359">
        <v>1400</v>
      </c>
      <c r="O359" t="s">
        <v>4789</v>
      </c>
      <c r="P359" t="s">
        <v>7283</v>
      </c>
      <c r="Q359" t="s">
        <v>7284</v>
      </c>
      <c r="R359" t="s">
        <v>212</v>
      </c>
      <c r="S359">
        <f>COUNTIFS(ListOfExpenditure!H:H,Public_procurment[[#This Row],[Value.id]],ListOfExpenditure!Y:Y,TRUE)</f>
        <v>1</v>
      </c>
    </row>
    <row r="360" spans="1:19" x14ac:dyDescent="0.25">
      <c r="A360" s="1" t="s">
        <v>66</v>
      </c>
      <c r="B360" s="1" t="s">
        <v>21</v>
      </c>
      <c r="C360">
        <v>258</v>
      </c>
      <c r="D360">
        <v>161</v>
      </c>
      <c r="E360">
        <v>101</v>
      </c>
      <c r="F360">
        <v>161</v>
      </c>
      <c r="G360">
        <v>1</v>
      </c>
      <c r="H360" t="b">
        <v>1</v>
      </c>
      <c r="I360" t="s">
        <v>7285</v>
      </c>
      <c r="J360" t="s">
        <v>7286</v>
      </c>
      <c r="K360" t="s">
        <v>7287</v>
      </c>
      <c r="L360" t="s">
        <v>5062</v>
      </c>
      <c r="M360" t="s">
        <v>6527</v>
      </c>
      <c r="N360">
        <v>10434.59</v>
      </c>
      <c r="O360" t="s">
        <v>4789</v>
      </c>
      <c r="P360" t="s">
        <v>6968</v>
      </c>
      <c r="Q360" t="s">
        <v>3033</v>
      </c>
      <c r="R360" t="s">
        <v>212</v>
      </c>
      <c r="S360">
        <f>COUNTIFS(ListOfExpenditure!H:H,Public_procurment[[#This Row],[Value.id]],ListOfExpenditure!Y:Y,TRUE)</f>
        <v>0</v>
      </c>
    </row>
    <row r="361" spans="1:19" x14ac:dyDescent="0.25">
      <c r="A361" s="1" t="s">
        <v>66</v>
      </c>
      <c r="B361" s="1" t="s">
        <v>21</v>
      </c>
      <c r="C361">
        <v>258</v>
      </c>
      <c r="D361">
        <v>161</v>
      </c>
      <c r="E361">
        <v>102</v>
      </c>
      <c r="F361">
        <v>161</v>
      </c>
      <c r="G361">
        <v>1</v>
      </c>
      <c r="H361" t="b">
        <v>1</v>
      </c>
      <c r="I361" t="s">
        <v>7288</v>
      </c>
      <c r="J361" t="s">
        <v>7289</v>
      </c>
      <c r="K361" t="s">
        <v>7290</v>
      </c>
      <c r="L361" t="s">
        <v>5091</v>
      </c>
      <c r="M361" t="s">
        <v>7291</v>
      </c>
      <c r="N361">
        <v>576</v>
      </c>
      <c r="O361" t="s">
        <v>4789</v>
      </c>
      <c r="P361" t="s">
        <v>7292</v>
      </c>
      <c r="Q361" t="s">
        <v>7293</v>
      </c>
      <c r="R361" t="s">
        <v>212</v>
      </c>
      <c r="S361">
        <f>COUNTIFS(ListOfExpenditure!H:H,Public_procurment[[#This Row],[Value.id]],ListOfExpenditure!Y:Y,TRUE)</f>
        <v>1</v>
      </c>
    </row>
    <row r="362" spans="1:19" x14ac:dyDescent="0.25">
      <c r="A362" s="1" t="s">
        <v>66</v>
      </c>
      <c r="B362" s="1" t="s">
        <v>21</v>
      </c>
      <c r="C362">
        <v>258</v>
      </c>
      <c r="D362">
        <v>161</v>
      </c>
      <c r="E362">
        <v>103</v>
      </c>
      <c r="F362">
        <v>161</v>
      </c>
      <c r="G362">
        <v>1</v>
      </c>
      <c r="H362" t="b">
        <v>1</v>
      </c>
      <c r="I362" t="s">
        <v>7294</v>
      </c>
      <c r="J362" t="s">
        <v>7295</v>
      </c>
      <c r="K362" t="s">
        <v>7296</v>
      </c>
      <c r="L362" t="s">
        <v>4885</v>
      </c>
      <c r="M362" t="s">
        <v>6527</v>
      </c>
      <c r="N362">
        <v>275.56</v>
      </c>
      <c r="O362" t="s">
        <v>4789</v>
      </c>
      <c r="P362" t="s">
        <v>7297</v>
      </c>
      <c r="Q362" t="s">
        <v>7298</v>
      </c>
      <c r="R362" t="s">
        <v>212</v>
      </c>
      <c r="S362">
        <f>COUNTIFS(ListOfExpenditure!H:H,Public_procurment[[#This Row],[Value.id]],ListOfExpenditure!Y:Y,TRUE)</f>
        <v>0</v>
      </c>
    </row>
    <row r="363" spans="1:19" x14ac:dyDescent="0.25">
      <c r="A363" s="1" t="s">
        <v>66</v>
      </c>
      <c r="B363" s="1" t="s">
        <v>21</v>
      </c>
      <c r="C363">
        <v>258</v>
      </c>
      <c r="D363">
        <v>161</v>
      </c>
      <c r="E363">
        <v>104</v>
      </c>
      <c r="F363">
        <v>161</v>
      </c>
      <c r="G363">
        <v>1</v>
      </c>
      <c r="H363" t="b">
        <v>1</v>
      </c>
      <c r="I363" t="s">
        <v>7299</v>
      </c>
      <c r="J363" t="s">
        <v>7300</v>
      </c>
      <c r="K363" t="s">
        <v>7301</v>
      </c>
      <c r="L363" t="s">
        <v>4555</v>
      </c>
      <c r="M363" t="s">
        <v>6527</v>
      </c>
      <c r="N363">
        <v>1020</v>
      </c>
      <c r="O363" t="s">
        <v>4789</v>
      </c>
      <c r="P363" t="s">
        <v>7302</v>
      </c>
      <c r="Q363" t="s">
        <v>7303</v>
      </c>
      <c r="R363" t="s">
        <v>7304</v>
      </c>
      <c r="S363">
        <f>COUNTIFS(ListOfExpenditure!H:H,Public_procurment[[#This Row],[Value.id]],ListOfExpenditure!Y:Y,TRUE)</f>
        <v>0</v>
      </c>
    </row>
    <row r="364" spans="1:19" x14ac:dyDescent="0.25">
      <c r="A364" s="1" t="s">
        <v>66</v>
      </c>
      <c r="B364" s="1" t="s">
        <v>21</v>
      </c>
      <c r="C364">
        <v>258</v>
      </c>
      <c r="D364">
        <v>161</v>
      </c>
      <c r="E364">
        <v>105</v>
      </c>
      <c r="F364">
        <v>161</v>
      </c>
      <c r="G364">
        <v>1</v>
      </c>
      <c r="H364" t="b">
        <v>1</v>
      </c>
      <c r="I364" t="s">
        <v>7305</v>
      </c>
      <c r="J364" t="s">
        <v>7306</v>
      </c>
      <c r="K364" t="s">
        <v>7307</v>
      </c>
      <c r="L364" t="s">
        <v>5480</v>
      </c>
      <c r="M364" t="s">
        <v>6527</v>
      </c>
      <c r="N364">
        <v>813.2</v>
      </c>
      <c r="O364" t="s">
        <v>4789</v>
      </c>
      <c r="P364" t="s">
        <v>7297</v>
      </c>
      <c r="Q364" t="s">
        <v>7298</v>
      </c>
      <c r="R364" t="s">
        <v>212</v>
      </c>
      <c r="S364">
        <f>COUNTIFS(ListOfExpenditure!H:H,Public_procurment[[#This Row],[Value.id]],ListOfExpenditure!Y:Y,TRUE)</f>
        <v>0</v>
      </c>
    </row>
    <row r="365" spans="1:19" x14ac:dyDescent="0.25">
      <c r="A365" s="1" t="s">
        <v>277</v>
      </c>
      <c r="B365" s="1" t="s">
        <v>278</v>
      </c>
      <c r="C365">
        <v>233</v>
      </c>
      <c r="D365">
        <v>179</v>
      </c>
      <c r="S365">
        <f>COUNTIFS(ListOfExpenditure!H:H,Public_procurment[[#This Row],[Value.id]],ListOfExpenditure!Y:Y,TRUE)</f>
        <v>0</v>
      </c>
    </row>
    <row r="366" spans="1:19" x14ac:dyDescent="0.25">
      <c r="A366" s="1" t="s">
        <v>277</v>
      </c>
      <c r="B366" s="1" t="s">
        <v>279</v>
      </c>
      <c r="C366">
        <v>120</v>
      </c>
      <c r="D366">
        <v>177</v>
      </c>
      <c r="S366">
        <f>COUNTIFS(ListOfExpenditure!H:H,Public_procurment[[#This Row],[Value.id]],ListOfExpenditure!Y:Y,TRUE)</f>
        <v>0</v>
      </c>
    </row>
    <row r="367" spans="1:19" x14ac:dyDescent="0.25">
      <c r="A367" s="1" t="s">
        <v>277</v>
      </c>
      <c r="B367" s="1" t="s">
        <v>280</v>
      </c>
      <c r="C367">
        <v>118</v>
      </c>
      <c r="D367">
        <v>155</v>
      </c>
      <c r="S367">
        <f>COUNTIFS(ListOfExpenditure!H:H,Public_procurment[[#This Row],[Value.id]],ListOfExpenditure!Y:Y,TRUE)</f>
        <v>0</v>
      </c>
    </row>
    <row r="368" spans="1:19" x14ac:dyDescent="0.25">
      <c r="A368" s="1" t="s">
        <v>277</v>
      </c>
      <c r="B368" s="1" t="s">
        <v>275</v>
      </c>
      <c r="C368">
        <v>119</v>
      </c>
      <c r="D368">
        <v>272</v>
      </c>
      <c r="E368">
        <v>272</v>
      </c>
      <c r="F368">
        <v>272</v>
      </c>
      <c r="G368">
        <v>1</v>
      </c>
      <c r="H368" t="b">
        <v>1</v>
      </c>
      <c r="I368" t="s">
        <v>7308</v>
      </c>
      <c r="J368" t="s">
        <v>7309</v>
      </c>
      <c r="K368" t="s">
        <v>6370</v>
      </c>
      <c r="L368" t="s">
        <v>5130</v>
      </c>
      <c r="M368" t="s">
        <v>7310</v>
      </c>
      <c r="N368">
        <v>19947</v>
      </c>
      <c r="O368" t="s">
        <v>4789</v>
      </c>
      <c r="P368" t="s">
        <v>7311</v>
      </c>
      <c r="Q368" t="s">
        <v>7312</v>
      </c>
      <c r="R368" t="s">
        <v>212</v>
      </c>
      <c r="S368">
        <f>COUNTIFS(ListOfExpenditure!H:H,Public_procurment[[#This Row],[Value.id]],ListOfExpenditure!Y:Y,TRUE)</f>
        <v>1</v>
      </c>
    </row>
    <row r="369" spans="1:19" x14ac:dyDescent="0.25">
      <c r="A369" s="1" t="s">
        <v>277</v>
      </c>
      <c r="B369" s="1" t="s">
        <v>281</v>
      </c>
      <c r="C369">
        <v>93</v>
      </c>
      <c r="D369">
        <v>145</v>
      </c>
      <c r="E369">
        <v>160</v>
      </c>
      <c r="F369">
        <v>145</v>
      </c>
      <c r="G369">
        <v>1</v>
      </c>
      <c r="H369" t="b">
        <v>1</v>
      </c>
      <c r="I369" t="s">
        <v>7313</v>
      </c>
      <c r="J369" t="s">
        <v>7314</v>
      </c>
      <c r="K369" t="s">
        <v>7315</v>
      </c>
      <c r="L369" t="s">
        <v>5024</v>
      </c>
      <c r="M369" t="s">
        <v>7316</v>
      </c>
      <c r="N369">
        <v>23729</v>
      </c>
      <c r="O369" t="s">
        <v>4789</v>
      </c>
      <c r="P369" t="s">
        <v>7093</v>
      </c>
      <c r="Q369" t="s">
        <v>7317</v>
      </c>
      <c r="R369" t="s">
        <v>212</v>
      </c>
      <c r="S369">
        <f>COUNTIFS(ListOfExpenditure!H:H,Public_procurment[[#This Row],[Value.id]],ListOfExpenditure!Y:Y,TRUE)</f>
        <v>2</v>
      </c>
    </row>
    <row r="370" spans="1:19" x14ac:dyDescent="0.25">
      <c r="A370" s="1" t="s">
        <v>310</v>
      </c>
      <c r="B370" s="1" t="s">
        <v>311</v>
      </c>
      <c r="C370">
        <v>181</v>
      </c>
      <c r="D370">
        <v>192</v>
      </c>
      <c r="S370">
        <f>COUNTIFS(ListOfExpenditure!H:H,Public_procurment[[#This Row],[Value.id]],ListOfExpenditure!Y:Y,TRUE)</f>
        <v>0</v>
      </c>
    </row>
    <row r="371" spans="1:19" x14ac:dyDescent="0.25">
      <c r="A371" s="1" t="s">
        <v>310</v>
      </c>
      <c r="B371" s="1" t="s">
        <v>32</v>
      </c>
      <c r="C371">
        <v>80</v>
      </c>
      <c r="D371">
        <v>338</v>
      </c>
      <c r="E371">
        <v>273</v>
      </c>
      <c r="F371">
        <v>338</v>
      </c>
      <c r="G371">
        <v>2</v>
      </c>
      <c r="H371" t="b">
        <v>1</v>
      </c>
      <c r="I371" t="s">
        <v>7318</v>
      </c>
      <c r="J371" t="s">
        <v>7319</v>
      </c>
      <c r="K371" t="s">
        <v>6386</v>
      </c>
      <c r="L371" t="s">
        <v>4820</v>
      </c>
      <c r="M371" t="s">
        <v>6548</v>
      </c>
      <c r="N371">
        <v>162.5</v>
      </c>
      <c r="O371" t="s">
        <v>4789</v>
      </c>
      <c r="P371" t="s">
        <v>7320</v>
      </c>
      <c r="Q371" t="s">
        <v>7321</v>
      </c>
      <c r="R371" t="s">
        <v>212</v>
      </c>
      <c r="S371">
        <f>COUNTIFS(ListOfExpenditure!H:H,Public_procurment[[#This Row],[Value.id]],ListOfExpenditure!Y:Y,TRUE)</f>
        <v>0</v>
      </c>
    </row>
    <row r="372" spans="1:19" x14ac:dyDescent="0.25">
      <c r="A372" s="1" t="s">
        <v>310</v>
      </c>
      <c r="B372" s="1" t="s">
        <v>32</v>
      </c>
      <c r="C372">
        <v>80</v>
      </c>
      <c r="D372">
        <v>86</v>
      </c>
      <c r="S372">
        <f>COUNTIFS(ListOfExpenditure!H:H,Public_procurment[[#This Row],[Value.id]],ListOfExpenditure!Y:Y,TRUE)</f>
        <v>0</v>
      </c>
    </row>
    <row r="373" spans="1:19" x14ac:dyDescent="0.25">
      <c r="A373" s="1" t="s">
        <v>310</v>
      </c>
      <c r="B373" s="1" t="s">
        <v>38</v>
      </c>
      <c r="C373">
        <v>182</v>
      </c>
      <c r="D373">
        <v>154</v>
      </c>
      <c r="E373">
        <v>96</v>
      </c>
      <c r="F373">
        <v>154</v>
      </c>
      <c r="G373">
        <v>2</v>
      </c>
      <c r="H373" t="b">
        <v>1</v>
      </c>
      <c r="I373" t="s">
        <v>7322</v>
      </c>
      <c r="J373" t="s">
        <v>7323</v>
      </c>
      <c r="K373" t="s">
        <v>7324</v>
      </c>
      <c r="L373" t="s">
        <v>5065</v>
      </c>
      <c r="M373" t="s">
        <v>212</v>
      </c>
      <c r="N373">
        <v>16305.3</v>
      </c>
      <c r="O373" t="s">
        <v>4789</v>
      </c>
      <c r="P373" t="s">
        <v>7325</v>
      </c>
      <c r="Q373" t="s">
        <v>7326</v>
      </c>
      <c r="R373" t="s">
        <v>212</v>
      </c>
      <c r="S373">
        <f>COUNTIFS(ListOfExpenditure!H:H,Public_procurment[[#This Row],[Value.id]],ListOfExpenditure!Y:Y,TRUE)</f>
        <v>2</v>
      </c>
    </row>
    <row r="374" spans="1:19" x14ac:dyDescent="0.25">
      <c r="A374" s="1" t="s">
        <v>310</v>
      </c>
      <c r="B374" s="1" t="s">
        <v>38</v>
      </c>
      <c r="C374">
        <v>182</v>
      </c>
      <c r="D374">
        <v>154</v>
      </c>
      <c r="E374">
        <v>98</v>
      </c>
      <c r="F374">
        <v>154</v>
      </c>
      <c r="G374">
        <v>2</v>
      </c>
      <c r="H374" t="b">
        <v>1</v>
      </c>
      <c r="I374" t="s">
        <v>7327</v>
      </c>
      <c r="J374" t="s">
        <v>7328</v>
      </c>
      <c r="K374" t="s">
        <v>6399</v>
      </c>
      <c r="L374" t="s">
        <v>4931</v>
      </c>
      <c r="M374" t="s">
        <v>212</v>
      </c>
      <c r="N374">
        <v>1866.6</v>
      </c>
      <c r="O374" t="s">
        <v>4789</v>
      </c>
      <c r="P374" t="s">
        <v>7329</v>
      </c>
      <c r="Q374" t="s">
        <v>7330</v>
      </c>
      <c r="R374" t="s">
        <v>212</v>
      </c>
      <c r="S374">
        <f>COUNTIFS(ListOfExpenditure!H:H,Public_procurment[[#This Row],[Value.id]],ListOfExpenditure!Y:Y,TRUE)</f>
        <v>1</v>
      </c>
    </row>
    <row r="375" spans="1:19" x14ac:dyDescent="0.25">
      <c r="A375" s="1" t="s">
        <v>310</v>
      </c>
      <c r="B375" s="1" t="s">
        <v>38</v>
      </c>
      <c r="C375">
        <v>182</v>
      </c>
      <c r="D375">
        <v>154</v>
      </c>
      <c r="E375">
        <v>113</v>
      </c>
      <c r="F375">
        <v>154</v>
      </c>
      <c r="G375">
        <v>2</v>
      </c>
      <c r="H375" t="b">
        <v>1</v>
      </c>
      <c r="I375" t="s">
        <v>7331</v>
      </c>
      <c r="J375" t="s">
        <v>7332</v>
      </c>
      <c r="K375" t="s">
        <v>7333</v>
      </c>
      <c r="L375" t="s">
        <v>5077</v>
      </c>
      <c r="M375" t="s">
        <v>212</v>
      </c>
      <c r="N375">
        <v>14442.3</v>
      </c>
      <c r="O375" t="s">
        <v>4789</v>
      </c>
      <c r="P375" t="s">
        <v>7334</v>
      </c>
      <c r="Q375" t="s">
        <v>7335</v>
      </c>
      <c r="R375" t="s">
        <v>212</v>
      </c>
      <c r="S375">
        <f>COUNTIFS(ListOfExpenditure!H:H,Public_procurment[[#This Row],[Value.id]],ListOfExpenditure!Y:Y,TRUE)</f>
        <v>1</v>
      </c>
    </row>
    <row r="376" spans="1:19" x14ac:dyDescent="0.25">
      <c r="A376" s="1" t="s">
        <v>310</v>
      </c>
      <c r="B376" s="1" t="s">
        <v>38</v>
      </c>
      <c r="C376">
        <v>182</v>
      </c>
      <c r="D376">
        <v>44</v>
      </c>
      <c r="S376">
        <f>COUNTIFS(ListOfExpenditure!H:H,Public_procurment[[#This Row],[Value.id]],ListOfExpenditure!Y:Y,TRUE)</f>
        <v>0</v>
      </c>
    </row>
    <row r="377" spans="1:19" x14ac:dyDescent="0.25">
      <c r="A377" s="1" t="s">
        <v>310</v>
      </c>
      <c r="B377" s="1" t="s">
        <v>46</v>
      </c>
      <c r="C377">
        <v>86</v>
      </c>
      <c r="D377">
        <v>213</v>
      </c>
      <c r="E377">
        <v>12</v>
      </c>
      <c r="F377">
        <v>33</v>
      </c>
      <c r="G377">
        <v>1</v>
      </c>
      <c r="H377" t="b">
        <v>0</v>
      </c>
      <c r="I377" t="s">
        <v>7336</v>
      </c>
      <c r="J377" t="s">
        <v>7337</v>
      </c>
      <c r="K377" t="s">
        <v>5965</v>
      </c>
      <c r="L377" t="s">
        <v>5623</v>
      </c>
      <c r="M377" t="s">
        <v>212</v>
      </c>
      <c r="N377">
        <v>2641</v>
      </c>
      <c r="O377" t="s">
        <v>4789</v>
      </c>
      <c r="P377" t="s">
        <v>7338</v>
      </c>
      <c r="Q377" t="s">
        <v>7339</v>
      </c>
      <c r="R377" t="s">
        <v>212</v>
      </c>
      <c r="S377">
        <f>COUNTIFS(ListOfExpenditure!H:H,Public_procurment[[#This Row],[Value.id]],ListOfExpenditure!Y:Y,TRUE)</f>
        <v>1</v>
      </c>
    </row>
    <row r="378" spans="1:19" x14ac:dyDescent="0.25">
      <c r="A378" s="1" t="s">
        <v>310</v>
      </c>
      <c r="B378" s="1" t="s">
        <v>46</v>
      </c>
      <c r="C378">
        <v>86</v>
      </c>
      <c r="D378">
        <v>213</v>
      </c>
      <c r="E378">
        <v>24</v>
      </c>
      <c r="F378">
        <v>33</v>
      </c>
      <c r="G378">
        <v>1</v>
      </c>
      <c r="H378" t="b">
        <v>0</v>
      </c>
      <c r="I378" t="s">
        <v>7340</v>
      </c>
      <c r="J378" t="s">
        <v>7341</v>
      </c>
      <c r="K378" t="s">
        <v>7342</v>
      </c>
      <c r="L378" t="s">
        <v>4817</v>
      </c>
      <c r="M378" t="s">
        <v>212</v>
      </c>
      <c r="N378">
        <v>200</v>
      </c>
      <c r="O378" t="s">
        <v>4789</v>
      </c>
      <c r="P378" t="s">
        <v>7343</v>
      </c>
      <c r="Q378" t="s">
        <v>1381</v>
      </c>
      <c r="R378" t="s">
        <v>212</v>
      </c>
      <c r="S378">
        <f>COUNTIFS(ListOfExpenditure!H:H,Public_procurment[[#This Row],[Value.id]],ListOfExpenditure!Y:Y,TRUE)</f>
        <v>1</v>
      </c>
    </row>
    <row r="379" spans="1:19" x14ac:dyDescent="0.25">
      <c r="A379" s="1" t="s">
        <v>310</v>
      </c>
      <c r="B379" s="1" t="s">
        <v>46</v>
      </c>
      <c r="C379">
        <v>86</v>
      </c>
      <c r="D379">
        <v>213</v>
      </c>
      <c r="E379">
        <v>25</v>
      </c>
      <c r="F379">
        <v>33</v>
      </c>
      <c r="G379">
        <v>1</v>
      </c>
      <c r="H379" t="b">
        <v>0</v>
      </c>
      <c r="I379" t="s">
        <v>7344</v>
      </c>
      <c r="J379" t="s">
        <v>7345</v>
      </c>
      <c r="K379" t="s">
        <v>5983</v>
      </c>
      <c r="L379" t="s">
        <v>4403</v>
      </c>
      <c r="M379" t="s">
        <v>212</v>
      </c>
      <c r="N379">
        <v>106</v>
      </c>
      <c r="O379" t="s">
        <v>4789</v>
      </c>
      <c r="P379" t="s">
        <v>7346</v>
      </c>
      <c r="Q379" t="s">
        <v>7347</v>
      </c>
      <c r="R379" t="s">
        <v>212</v>
      </c>
      <c r="S379">
        <f>COUNTIFS(ListOfExpenditure!H:H,Public_procurment[[#This Row],[Value.id]],ListOfExpenditure!Y:Y,TRUE)</f>
        <v>1</v>
      </c>
    </row>
    <row r="380" spans="1:19" x14ac:dyDescent="0.25">
      <c r="A380" s="1" t="s">
        <v>310</v>
      </c>
      <c r="B380" s="1" t="s">
        <v>46</v>
      </c>
      <c r="C380">
        <v>86</v>
      </c>
      <c r="D380">
        <v>213</v>
      </c>
      <c r="E380">
        <v>26</v>
      </c>
      <c r="F380">
        <v>33</v>
      </c>
      <c r="G380">
        <v>1</v>
      </c>
      <c r="H380" t="b">
        <v>0</v>
      </c>
      <c r="I380" t="s">
        <v>7348</v>
      </c>
      <c r="J380" t="s">
        <v>7349</v>
      </c>
      <c r="K380" t="s">
        <v>5987</v>
      </c>
      <c r="L380" t="s">
        <v>4889</v>
      </c>
      <c r="M380" t="s">
        <v>212</v>
      </c>
      <c r="N380">
        <v>90</v>
      </c>
      <c r="O380" t="s">
        <v>4789</v>
      </c>
      <c r="P380" t="s">
        <v>7350</v>
      </c>
      <c r="Q380" t="s">
        <v>7351</v>
      </c>
      <c r="R380" t="s">
        <v>212</v>
      </c>
      <c r="S380">
        <f>COUNTIFS(ListOfExpenditure!H:H,Public_procurment[[#This Row],[Value.id]],ListOfExpenditure!Y:Y,TRUE)</f>
        <v>1</v>
      </c>
    </row>
    <row r="381" spans="1:19" x14ac:dyDescent="0.25">
      <c r="A381" s="1" t="s">
        <v>310</v>
      </c>
      <c r="B381" s="1" t="s">
        <v>46</v>
      </c>
      <c r="C381">
        <v>86</v>
      </c>
      <c r="D381">
        <v>213</v>
      </c>
      <c r="E381">
        <v>27</v>
      </c>
      <c r="F381">
        <v>33</v>
      </c>
      <c r="G381">
        <v>1</v>
      </c>
      <c r="H381" t="b">
        <v>0</v>
      </c>
      <c r="I381" t="s">
        <v>7352</v>
      </c>
      <c r="J381" t="s">
        <v>7353</v>
      </c>
      <c r="K381" t="s">
        <v>5989</v>
      </c>
      <c r="L381" t="s">
        <v>4804</v>
      </c>
      <c r="M381" t="s">
        <v>212</v>
      </c>
      <c r="N381">
        <v>298</v>
      </c>
      <c r="O381" t="s">
        <v>4789</v>
      </c>
      <c r="P381" t="s">
        <v>7354</v>
      </c>
      <c r="Q381" t="s">
        <v>7355</v>
      </c>
      <c r="R381" t="s">
        <v>212</v>
      </c>
      <c r="S381">
        <f>COUNTIFS(ListOfExpenditure!H:H,Public_procurment[[#This Row],[Value.id]],ListOfExpenditure!Y:Y,TRUE)</f>
        <v>1</v>
      </c>
    </row>
    <row r="382" spans="1:19" x14ac:dyDescent="0.25">
      <c r="A382" s="1" t="s">
        <v>310</v>
      </c>
      <c r="B382" s="1" t="s">
        <v>46</v>
      </c>
      <c r="C382">
        <v>86</v>
      </c>
      <c r="D382">
        <v>213</v>
      </c>
      <c r="E382">
        <v>124</v>
      </c>
      <c r="F382">
        <v>213</v>
      </c>
      <c r="G382">
        <v>2</v>
      </c>
      <c r="H382" t="b">
        <v>1</v>
      </c>
      <c r="I382" t="s">
        <v>7356</v>
      </c>
      <c r="J382" t="s">
        <v>7357</v>
      </c>
      <c r="K382" t="s">
        <v>5924</v>
      </c>
      <c r="L382" t="s">
        <v>5926</v>
      </c>
      <c r="M382" t="s">
        <v>7358</v>
      </c>
      <c r="N382">
        <v>53</v>
      </c>
      <c r="O382" t="s">
        <v>4789</v>
      </c>
      <c r="P382" t="s">
        <v>7346</v>
      </c>
      <c r="Q382" t="s">
        <v>7347</v>
      </c>
      <c r="R382" t="s">
        <v>7359</v>
      </c>
      <c r="S382">
        <f>COUNTIFS(ListOfExpenditure!H:H,Public_procurment[[#This Row],[Value.id]],ListOfExpenditure!Y:Y,TRUE)</f>
        <v>1</v>
      </c>
    </row>
    <row r="383" spans="1:19" x14ac:dyDescent="0.25">
      <c r="A383" s="1" t="s">
        <v>310</v>
      </c>
      <c r="B383" s="1" t="s">
        <v>46</v>
      </c>
      <c r="C383">
        <v>86</v>
      </c>
      <c r="D383">
        <v>213</v>
      </c>
      <c r="E383">
        <v>125</v>
      </c>
      <c r="F383">
        <v>213</v>
      </c>
      <c r="G383">
        <v>2</v>
      </c>
      <c r="H383" t="b">
        <v>1</v>
      </c>
      <c r="I383" t="s">
        <v>7360</v>
      </c>
      <c r="J383" t="s">
        <v>7361</v>
      </c>
      <c r="K383" t="s">
        <v>5927</v>
      </c>
      <c r="L383" t="s">
        <v>5929</v>
      </c>
      <c r="M383" t="s">
        <v>7358</v>
      </c>
      <c r="N383">
        <v>63</v>
      </c>
      <c r="O383" t="s">
        <v>4789</v>
      </c>
      <c r="P383" t="s">
        <v>7343</v>
      </c>
      <c r="Q383" t="s">
        <v>7362</v>
      </c>
      <c r="R383" t="s">
        <v>7363</v>
      </c>
      <c r="S383">
        <f>COUNTIFS(ListOfExpenditure!H:H,Public_procurment[[#This Row],[Value.id]],ListOfExpenditure!Y:Y,TRUE)</f>
        <v>1</v>
      </c>
    </row>
    <row r="384" spans="1:19" x14ac:dyDescent="0.25">
      <c r="A384" s="1" t="s">
        <v>310</v>
      </c>
      <c r="B384" s="1" t="s">
        <v>46</v>
      </c>
      <c r="C384">
        <v>86</v>
      </c>
      <c r="D384">
        <v>213</v>
      </c>
      <c r="E384">
        <v>126</v>
      </c>
      <c r="F384">
        <v>213</v>
      </c>
      <c r="G384">
        <v>2</v>
      </c>
      <c r="H384" t="b">
        <v>1</v>
      </c>
      <c r="I384" t="s">
        <v>7364</v>
      </c>
      <c r="J384" t="s">
        <v>7365</v>
      </c>
      <c r="K384" t="s">
        <v>5930</v>
      </c>
      <c r="L384" t="s">
        <v>5929</v>
      </c>
      <c r="M384" t="s">
        <v>7358</v>
      </c>
      <c r="N384">
        <v>63</v>
      </c>
      <c r="O384" t="s">
        <v>4789</v>
      </c>
      <c r="P384" t="s">
        <v>7343</v>
      </c>
      <c r="Q384" t="s">
        <v>7362</v>
      </c>
      <c r="R384" t="s">
        <v>7366</v>
      </c>
      <c r="S384">
        <f>COUNTIFS(ListOfExpenditure!H:H,Public_procurment[[#This Row],[Value.id]],ListOfExpenditure!Y:Y,TRUE)</f>
        <v>1</v>
      </c>
    </row>
    <row r="385" spans="1:19" x14ac:dyDescent="0.25">
      <c r="A385" s="1" t="s">
        <v>310</v>
      </c>
      <c r="B385" s="1" t="s">
        <v>46</v>
      </c>
      <c r="C385">
        <v>86</v>
      </c>
      <c r="D385">
        <v>213</v>
      </c>
      <c r="E385">
        <v>127</v>
      </c>
      <c r="F385">
        <v>213</v>
      </c>
      <c r="G385">
        <v>2</v>
      </c>
      <c r="H385" t="b">
        <v>1</v>
      </c>
      <c r="I385" t="s">
        <v>7367</v>
      </c>
      <c r="J385" t="s">
        <v>7368</v>
      </c>
      <c r="K385" t="s">
        <v>5936</v>
      </c>
      <c r="L385" t="s">
        <v>5127</v>
      </c>
      <c r="M385" t="s">
        <v>7358</v>
      </c>
      <c r="N385">
        <v>103.09</v>
      </c>
      <c r="O385" t="s">
        <v>4789</v>
      </c>
      <c r="P385" t="s">
        <v>7369</v>
      </c>
      <c r="Q385" t="s">
        <v>7129</v>
      </c>
      <c r="R385" t="s">
        <v>212</v>
      </c>
      <c r="S385">
        <f>COUNTIFS(ListOfExpenditure!H:H,Public_procurment[[#This Row],[Value.id]],ListOfExpenditure!Y:Y,TRUE)</f>
        <v>1</v>
      </c>
    </row>
    <row r="386" spans="1:19" x14ac:dyDescent="0.25">
      <c r="A386" s="1" t="s">
        <v>310</v>
      </c>
      <c r="B386" s="1" t="s">
        <v>46</v>
      </c>
      <c r="C386">
        <v>86</v>
      </c>
      <c r="D386">
        <v>213</v>
      </c>
      <c r="E386">
        <v>128</v>
      </c>
      <c r="F386">
        <v>213</v>
      </c>
      <c r="G386">
        <v>2</v>
      </c>
      <c r="H386" t="b">
        <v>1</v>
      </c>
      <c r="I386" t="s">
        <v>7370</v>
      </c>
      <c r="J386" t="s">
        <v>7371</v>
      </c>
      <c r="K386" t="s">
        <v>5932</v>
      </c>
      <c r="L386" t="s">
        <v>4935</v>
      </c>
      <c r="M386" t="s">
        <v>7358</v>
      </c>
      <c r="N386">
        <v>76</v>
      </c>
      <c r="O386" t="s">
        <v>4789</v>
      </c>
      <c r="P386" t="s">
        <v>7372</v>
      </c>
      <c r="Q386" t="s">
        <v>7373</v>
      </c>
      <c r="R386" t="s">
        <v>212</v>
      </c>
      <c r="S386">
        <f>COUNTIFS(ListOfExpenditure!H:H,Public_procurment[[#This Row],[Value.id]],ListOfExpenditure!Y:Y,TRUE)</f>
        <v>1</v>
      </c>
    </row>
    <row r="387" spans="1:19" x14ac:dyDescent="0.25">
      <c r="A387" s="1" t="s">
        <v>310</v>
      </c>
      <c r="B387" s="1" t="s">
        <v>46</v>
      </c>
      <c r="C387">
        <v>86</v>
      </c>
      <c r="D387">
        <v>213</v>
      </c>
      <c r="E387">
        <v>129</v>
      </c>
      <c r="F387">
        <v>213</v>
      </c>
      <c r="G387">
        <v>2</v>
      </c>
      <c r="H387" t="b">
        <v>1</v>
      </c>
      <c r="I387" t="s">
        <v>7374</v>
      </c>
      <c r="J387" t="s">
        <v>7375</v>
      </c>
      <c r="K387" t="s">
        <v>5934</v>
      </c>
      <c r="L387" t="s">
        <v>4935</v>
      </c>
      <c r="M387" t="s">
        <v>7358</v>
      </c>
      <c r="N387">
        <v>38</v>
      </c>
      <c r="O387" t="s">
        <v>4789</v>
      </c>
      <c r="P387" t="s">
        <v>7372</v>
      </c>
      <c r="Q387" t="s">
        <v>7373</v>
      </c>
      <c r="R387" t="s">
        <v>212</v>
      </c>
      <c r="S387">
        <f>COUNTIFS(ListOfExpenditure!H:H,Public_procurment[[#This Row],[Value.id]],ListOfExpenditure!Y:Y,TRUE)</f>
        <v>1</v>
      </c>
    </row>
    <row r="388" spans="1:19" x14ac:dyDescent="0.25">
      <c r="A388" s="1" t="s">
        <v>310</v>
      </c>
      <c r="B388" s="1" t="s">
        <v>46</v>
      </c>
      <c r="C388">
        <v>86</v>
      </c>
      <c r="D388">
        <v>213</v>
      </c>
      <c r="E388">
        <v>130</v>
      </c>
      <c r="F388">
        <v>213</v>
      </c>
      <c r="G388">
        <v>2</v>
      </c>
      <c r="H388" t="b">
        <v>1</v>
      </c>
      <c r="I388" t="s">
        <v>7376</v>
      </c>
      <c r="J388" t="s">
        <v>7377</v>
      </c>
      <c r="K388" t="s">
        <v>5938</v>
      </c>
      <c r="L388" t="s">
        <v>4932</v>
      </c>
      <c r="M388" t="s">
        <v>7358</v>
      </c>
      <c r="N388">
        <v>562.5</v>
      </c>
      <c r="O388" t="s">
        <v>4789</v>
      </c>
      <c r="P388" t="s">
        <v>7378</v>
      </c>
      <c r="Q388" t="s">
        <v>6769</v>
      </c>
      <c r="R388" t="s">
        <v>212</v>
      </c>
      <c r="S388">
        <f>COUNTIFS(ListOfExpenditure!H:H,Public_procurment[[#This Row],[Value.id]],ListOfExpenditure!Y:Y,TRUE)</f>
        <v>1</v>
      </c>
    </row>
    <row r="389" spans="1:19" x14ac:dyDescent="0.25">
      <c r="A389" s="1" t="s">
        <v>310</v>
      </c>
      <c r="B389" s="1" t="s">
        <v>46</v>
      </c>
      <c r="C389">
        <v>86</v>
      </c>
      <c r="D389">
        <v>213</v>
      </c>
      <c r="E389">
        <v>131</v>
      </c>
      <c r="F389">
        <v>213</v>
      </c>
      <c r="G389">
        <v>2</v>
      </c>
      <c r="H389" t="b">
        <v>1</v>
      </c>
      <c r="I389" t="s">
        <v>7379</v>
      </c>
      <c r="J389" t="s">
        <v>7380</v>
      </c>
      <c r="K389" t="s">
        <v>5940</v>
      </c>
      <c r="L389" t="s">
        <v>5941</v>
      </c>
      <c r="M389" t="s">
        <v>7381</v>
      </c>
      <c r="N389">
        <v>2000</v>
      </c>
      <c r="O389" t="s">
        <v>4789</v>
      </c>
      <c r="P389" t="s">
        <v>7382</v>
      </c>
      <c r="Q389" t="s">
        <v>7383</v>
      </c>
      <c r="R389" t="s">
        <v>212</v>
      </c>
      <c r="S389">
        <f>COUNTIFS(ListOfExpenditure!H:H,Public_procurment[[#This Row],[Value.id]],ListOfExpenditure!Y:Y,TRUE)</f>
        <v>1</v>
      </c>
    </row>
    <row r="390" spans="1:19" x14ac:dyDescent="0.25">
      <c r="A390" s="1" t="s">
        <v>310</v>
      </c>
      <c r="B390" s="1" t="s">
        <v>46</v>
      </c>
      <c r="C390">
        <v>86</v>
      </c>
      <c r="D390">
        <v>213</v>
      </c>
      <c r="E390">
        <v>132</v>
      </c>
      <c r="F390">
        <v>213</v>
      </c>
      <c r="G390">
        <v>2</v>
      </c>
      <c r="H390" t="b">
        <v>1</v>
      </c>
      <c r="I390" t="s">
        <v>7384</v>
      </c>
      <c r="J390" t="s">
        <v>7385</v>
      </c>
      <c r="K390" t="s">
        <v>5942</v>
      </c>
      <c r="L390" t="s">
        <v>5943</v>
      </c>
      <c r="M390" t="s">
        <v>7381</v>
      </c>
      <c r="N390">
        <v>2000</v>
      </c>
      <c r="O390" t="s">
        <v>4789</v>
      </c>
      <c r="P390" t="s">
        <v>7386</v>
      </c>
      <c r="Q390" t="s">
        <v>7387</v>
      </c>
      <c r="R390" t="s">
        <v>212</v>
      </c>
      <c r="S390">
        <f>COUNTIFS(ListOfExpenditure!H:H,Public_procurment[[#This Row],[Value.id]],ListOfExpenditure!Y:Y,TRUE)</f>
        <v>1</v>
      </c>
    </row>
    <row r="391" spans="1:19" x14ac:dyDescent="0.25">
      <c r="A391" s="1" t="s">
        <v>310</v>
      </c>
      <c r="B391" s="1" t="s">
        <v>46</v>
      </c>
      <c r="C391">
        <v>86</v>
      </c>
      <c r="D391">
        <v>213</v>
      </c>
      <c r="E391">
        <v>133</v>
      </c>
      <c r="F391">
        <v>213</v>
      </c>
      <c r="G391">
        <v>2</v>
      </c>
      <c r="H391" t="b">
        <v>1</v>
      </c>
      <c r="I391" t="s">
        <v>7388</v>
      </c>
      <c r="J391" t="s">
        <v>7389</v>
      </c>
      <c r="K391" t="s">
        <v>5944</v>
      </c>
      <c r="L391" t="s">
        <v>5945</v>
      </c>
      <c r="M391" t="s">
        <v>7381</v>
      </c>
      <c r="N391">
        <v>2000</v>
      </c>
      <c r="O391" t="s">
        <v>4789</v>
      </c>
      <c r="P391" t="s">
        <v>7390</v>
      </c>
      <c r="Q391" t="s">
        <v>7391</v>
      </c>
      <c r="R391" t="s">
        <v>212</v>
      </c>
      <c r="S391">
        <f>COUNTIFS(ListOfExpenditure!H:H,Public_procurment[[#This Row],[Value.id]],ListOfExpenditure!Y:Y,TRUE)</f>
        <v>1</v>
      </c>
    </row>
    <row r="392" spans="1:19" x14ac:dyDescent="0.25">
      <c r="A392" s="1" t="s">
        <v>310</v>
      </c>
      <c r="B392" s="1" t="s">
        <v>46</v>
      </c>
      <c r="C392">
        <v>86</v>
      </c>
      <c r="D392">
        <v>213</v>
      </c>
      <c r="E392">
        <v>134</v>
      </c>
      <c r="F392">
        <v>213</v>
      </c>
      <c r="G392">
        <v>2</v>
      </c>
      <c r="H392" t="b">
        <v>1</v>
      </c>
      <c r="I392" t="s">
        <v>7392</v>
      </c>
      <c r="J392" t="s">
        <v>7393</v>
      </c>
      <c r="K392" t="s">
        <v>5946</v>
      </c>
      <c r="L392" t="s">
        <v>5941</v>
      </c>
      <c r="M392" t="s">
        <v>7381</v>
      </c>
      <c r="N392">
        <v>2000</v>
      </c>
      <c r="O392" t="s">
        <v>4789</v>
      </c>
      <c r="P392" t="s">
        <v>7394</v>
      </c>
      <c r="Q392" t="s">
        <v>7395</v>
      </c>
      <c r="R392" t="s">
        <v>212</v>
      </c>
      <c r="S392">
        <f>COUNTIFS(ListOfExpenditure!H:H,Public_procurment[[#This Row],[Value.id]],ListOfExpenditure!Y:Y,TRUE)</f>
        <v>1</v>
      </c>
    </row>
    <row r="393" spans="1:19" x14ac:dyDescent="0.25">
      <c r="A393" s="1" t="s">
        <v>310</v>
      </c>
      <c r="B393" s="1" t="s">
        <v>46</v>
      </c>
      <c r="C393">
        <v>86</v>
      </c>
      <c r="D393">
        <v>213</v>
      </c>
      <c r="E393">
        <v>135</v>
      </c>
      <c r="F393">
        <v>213</v>
      </c>
      <c r="G393">
        <v>2</v>
      </c>
      <c r="H393" t="b">
        <v>1</v>
      </c>
      <c r="I393" t="s">
        <v>7396</v>
      </c>
      <c r="J393" t="s">
        <v>7397</v>
      </c>
      <c r="K393" t="s">
        <v>5947</v>
      </c>
      <c r="L393" t="s">
        <v>5941</v>
      </c>
      <c r="M393" t="s">
        <v>7381</v>
      </c>
      <c r="N393">
        <v>2000</v>
      </c>
      <c r="O393" t="s">
        <v>4789</v>
      </c>
      <c r="P393" t="s">
        <v>7398</v>
      </c>
      <c r="Q393" t="s">
        <v>7399</v>
      </c>
      <c r="R393" t="s">
        <v>212</v>
      </c>
      <c r="S393">
        <f>COUNTIFS(ListOfExpenditure!H:H,Public_procurment[[#This Row],[Value.id]],ListOfExpenditure!Y:Y,TRUE)</f>
        <v>1</v>
      </c>
    </row>
    <row r="394" spans="1:19" x14ac:dyDescent="0.25">
      <c r="A394" s="1" t="s">
        <v>310</v>
      </c>
      <c r="B394" s="1" t="s">
        <v>46</v>
      </c>
      <c r="C394">
        <v>86</v>
      </c>
      <c r="D394">
        <v>213</v>
      </c>
      <c r="E394">
        <v>136</v>
      </c>
      <c r="F394">
        <v>213</v>
      </c>
      <c r="G394">
        <v>2</v>
      </c>
      <c r="H394" t="b">
        <v>1</v>
      </c>
      <c r="I394" t="s">
        <v>7400</v>
      </c>
      <c r="J394" t="s">
        <v>7401</v>
      </c>
      <c r="K394" t="s">
        <v>5948</v>
      </c>
      <c r="L394" t="s">
        <v>5941</v>
      </c>
      <c r="M394" t="s">
        <v>7381</v>
      </c>
      <c r="N394">
        <v>2000</v>
      </c>
      <c r="O394" t="s">
        <v>4789</v>
      </c>
      <c r="P394" t="s">
        <v>7402</v>
      </c>
      <c r="Q394" t="s">
        <v>7403</v>
      </c>
      <c r="R394" t="s">
        <v>212</v>
      </c>
      <c r="S394">
        <f>COUNTIFS(ListOfExpenditure!H:H,Public_procurment[[#This Row],[Value.id]],ListOfExpenditure!Y:Y,TRUE)</f>
        <v>1</v>
      </c>
    </row>
    <row r="395" spans="1:19" x14ac:dyDescent="0.25">
      <c r="A395" s="1" t="s">
        <v>310</v>
      </c>
      <c r="B395" s="1" t="s">
        <v>46</v>
      </c>
      <c r="C395">
        <v>86</v>
      </c>
      <c r="D395">
        <v>213</v>
      </c>
      <c r="E395">
        <v>137</v>
      </c>
      <c r="F395">
        <v>213</v>
      </c>
      <c r="G395">
        <v>2</v>
      </c>
      <c r="H395" t="b">
        <v>1</v>
      </c>
      <c r="I395" t="s">
        <v>7404</v>
      </c>
      <c r="J395" t="s">
        <v>7405</v>
      </c>
      <c r="K395" t="s">
        <v>5949</v>
      </c>
      <c r="L395" t="s">
        <v>5945</v>
      </c>
      <c r="M395" t="s">
        <v>7381</v>
      </c>
      <c r="N395">
        <v>2000</v>
      </c>
      <c r="O395" t="s">
        <v>4789</v>
      </c>
      <c r="P395" t="s">
        <v>7406</v>
      </c>
      <c r="Q395" t="s">
        <v>7407</v>
      </c>
      <c r="R395" t="s">
        <v>212</v>
      </c>
      <c r="S395">
        <f>COUNTIFS(ListOfExpenditure!H:H,Public_procurment[[#This Row],[Value.id]],ListOfExpenditure!Y:Y,TRUE)</f>
        <v>1</v>
      </c>
    </row>
    <row r="396" spans="1:19" x14ac:dyDescent="0.25">
      <c r="A396" s="1" t="s">
        <v>310</v>
      </c>
      <c r="B396" s="1" t="s">
        <v>46</v>
      </c>
      <c r="C396">
        <v>86</v>
      </c>
      <c r="D396">
        <v>213</v>
      </c>
      <c r="E396">
        <v>138</v>
      </c>
      <c r="F396">
        <v>213</v>
      </c>
      <c r="G396">
        <v>2</v>
      </c>
      <c r="H396" t="b">
        <v>1</v>
      </c>
      <c r="I396" t="s">
        <v>7408</v>
      </c>
      <c r="J396" t="s">
        <v>7409</v>
      </c>
      <c r="K396" t="s">
        <v>5950</v>
      </c>
      <c r="L396" t="s">
        <v>5943</v>
      </c>
      <c r="M396" t="s">
        <v>7381</v>
      </c>
      <c r="N396">
        <v>2000</v>
      </c>
      <c r="O396" t="s">
        <v>4789</v>
      </c>
      <c r="P396" t="s">
        <v>7410</v>
      </c>
      <c r="Q396" t="s">
        <v>7411</v>
      </c>
      <c r="R396" t="s">
        <v>212</v>
      </c>
      <c r="S396">
        <f>COUNTIFS(ListOfExpenditure!H:H,Public_procurment[[#This Row],[Value.id]],ListOfExpenditure!Y:Y,TRUE)</f>
        <v>1</v>
      </c>
    </row>
    <row r="397" spans="1:19" x14ac:dyDescent="0.25">
      <c r="A397" s="1" t="s">
        <v>310</v>
      </c>
      <c r="B397" s="1" t="s">
        <v>46</v>
      </c>
      <c r="C397">
        <v>86</v>
      </c>
      <c r="D397">
        <v>33</v>
      </c>
      <c r="E397">
        <v>12</v>
      </c>
      <c r="F397">
        <v>33</v>
      </c>
      <c r="G397">
        <v>1</v>
      </c>
      <c r="H397" t="b">
        <v>1</v>
      </c>
      <c r="I397" t="s">
        <v>7336</v>
      </c>
      <c r="J397" t="s">
        <v>7337</v>
      </c>
      <c r="K397" t="s">
        <v>5965</v>
      </c>
      <c r="L397" t="s">
        <v>5623</v>
      </c>
      <c r="M397" t="s">
        <v>212</v>
      </c>
      <c r="N397">
        <v>2641</v>
      </c>
      <c r="O397" t="s">
        <v>4789</v>
      </c>
      <c r="P397" t="s">
        <v>7338</v>
      </c>
      <c r="Q397" t="s">
        <v>7339</v>
      </c>
      <c r="R397" t="s">
        <v>212</v>
      </c>
      <c r="S397">
        <f>COUNTIFS(ListOfExpenditure!H:H,Public_procurment[[#This Row],[Value.id]],ListOfExpenditure!Y:Y,TRUE)</f>
        <v>1</v>
      </c>
    </row>
    <row r="398" spans="1:19" x14ac:dyDescent="0.25">
      <c r="A398" s="1" t="s">
        <v>310</v>
      </c>
      <c r="B398" s="1" t="s">
        <v>46</v>
      </c>
      <c r="C398">
        <v>86</v>
      </c>
      <c r="D398">
        <v>33</v>
      </c>
      <c r="E398">
        <v>24</v>
      </c>
      <c r="F398">
        <v>33</v>
      </c>
      <c r="G398">
        <v>1</v>
      </c>
      <c r="H398" t="b">
        <v>1</v>
      </c>
      <c r="I398" t="s">
        <v>7340</v>
      </c>
      <c r="J398" t="s">
        <v>7341</v>
      </c>
      <c r="K398" t="s">
        <v>7342</v>
      </c>
      <c r="L398" t="s">
        <v>4817</v>
      </c>
      <c r="M398" t="s">
        <v>212</v>
      </c>
      <c r="N398">
        <v>200</v>
      </c>
      <c r="O398" t="s">
        <v>4789</v>
      </c>
      <c r="P398" t="s">
        <v>7343</v>
      </c>
      <c r="Q398" t="s">
        <v>1381</v>
      </c>
      <c r="R398" t="s">
        <v>212</v>
      </c>
      <c r="S398">
        <f>COUNTIFS(ListOfExpenditure!H:H,Public_procurment[[#This Row],[Value.id]],ListOfExpenditure!Y:Y,TRUE)</f>
        <v>1</v>
      </c>
    </row>
    <row r="399" spans="1:19" x14ac:dyDescent="0.25">
      <c r="A399" s="1" t="s">
        <v>310</v>
      </c>
      <c r="B399" s="1" t="s">
        <v>46</v>
      </c>
      <c r="C399">
        <v>86</v>
      </c>
      <c r="D399">
        <v>33</v>
      </c>
      <c r="E399">
        <v>25</v>
      </c>
      <c r="F399">
        <v>33</v>
      </c>
      <c r="G399">
        <v>1</v>
      </c>
      <c r="H399" t="b">
        <v>1</v>
      </c>
      <c r="I399" t="s">
        <v>7344</v>
      </c>
      <c r="J399" t="s">
        <v>7345</v>
      </c>
      <c r="K399" t="s">
        <v>5983</v>
      </c>
      <c r="L399" t="s">
        <v>4403</v>
      </c>
      <c r="M399" t="s">
        <v>212</v>
      </c>
      <c r="N399">
        <v>106</v>
      </c>
      <c r="O399" t="s">
        <v>4789</v>
      </c>
      <c r="P399" t="s">
        <v>7346</v>
      </c>
      <c r="Q399" t="s">
        <v>7347</v>
      </c>
      <c r="R399" t="s">
        <v>212</v>
      </c>
      <c r="S399">
        <f>COUNTIFS(ListOfExpenditure!H:H,Public_procurment[[#This Row],[Value.id]],ListOfExpenditure!Y:Y,TRUE)</f>
        <v>1</v>
      </c>
    </row>
    <row r="400" spans="1:19" x14ac:dyDescent="0.25">
      <c r="A400" s="1" t="s">
        <v>310</v>
      </c>
      <c r="B400" s="1" t="s">
        <v>46</v>
      </c>
      <c r="C400">
        <v>86</v>
      </c>
      <c r="D400">
        <v>33</v>
      </c>
      <c r="E400">
        <v>26</v>
      </c>
      <c r="F400">
        <v>33</v>
      </c>
      <c r="G400">
        <v>1</v>
      </c>
      <c r="H400" t="b">
        <v>1</v>
      </c>
      <c r="I400" t="s">
        <v>7348</v>
      </c>
      <c r="J400" t="s">
        <v>7349</v>
      </c>
      <c r="K400" t="s">
        <v>5987</v>
      </c>
      <c r="L400" t="s">
        <v>4889</v>
      </c>
      <c r="M400" t="s">
        <v>212</v>
      </c>
      <c r="N400">
        <v>90</v>
      </c>
      <c r="O400" t="s">
        <v>4789</v>
      </c>
      <c r="P400" t="s">
        <v>7350</v>
      </c>
      <c r="Q400" t="s">
        <v>7351</v>
      </c>
      <c r="R400" t="s">
        <v>212</v>
      </c>
      <c r="S400">
        <f>COUNTIFS(ListOfExpenditure!H:H,Public_procurment[[#This Row],[Value.id]],ListOfExpenditure!Y:Y,TRUE)</f>
        <v>1</v>
      </c>
    </row>
    <row r="401" spans="1:19" x14ac:dyDescent="0.25">
      <c r="A401" s="1" t="s">
        <v>310</v>
      </c>
      <c r="B401" s="1" t="s">
        <v>46</v>
      </c>
      <c r="C401">
        <v>86</v>
      </c>
      <c r="D401">
        <v>33</v>
      </c>
      <c r="E401">
        <v>27</v>
      </c>
      <c r="F401">
        <v>33</v>
      </c>
      <c r="G401">
        <v>1</v>
      </c>
      <c r="H401" t="b">
        <v>1</v>
      </c>
      <c r="I401" t="s">
        <v>7352</v>
      </c>
      <c r="J401" t="s">
        <v>7353</v>
      </c>
      <c r="K401" t="s">
        <v>5989</v>
      </c>
      <c r="L401" t="s">
        <v>4804</v>
      </c>
      <c r="M401" t="s">
        <v>212</v>
      </c>
      <c r="N401">
        <v>298</v>
      </c>
      <c r="O401" t="s">
        <v>4789</v>
      </c>
      <c r="P401" t="s">
        <v>7354</v>
      </c>
      <c r="Q401" t="s">
        <v>7355</v>
      </c>
      <c r="R401" t="s">
        <v>212</v>
      </c>
      <c r="S401">
        <f>COUNTIFS(ListOfExpenditure!H:H,Public_procurment[[#This Row],[Value.id]],ListOfExpenditure!Y:Y,TRUE)</f>
        <v>1</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3"/>
  <dimension ref="A1:AP1632"/>
  <sheetViews>
    <sheetView topLeftCell="AC232" workbookViewId="0">
      <selection activeCell="AP252" sqref="AP252"/>
    </sheetView>
  </sheetViews>
  <sheetFormatPr defaultRowHeight="15" outlineLevelCol="1" x14ac:dyDescent="0.25"/>
  <cols>
    <col min="1" max="1" width="12.7109375" bestFit="1" customWidth="1"/>
    <col min="2" max="2" width="18.140625" customWidth="1" outlineLevel="1"/>
    <col min="3" max="3" width="21.42578125" customWidth="1" outlineLevel="1"/>
    <col min="4" max="4" width="20.42578125" customWidth="1" outlineLevel="1"/>
    <col min="5" max="5" width="14" customWidth="1"/>
    <col min="6" max="6" width="15" customWidth="1" outlineLevel="1"/>
    <col min="7" max="7" width="23.140625" customWidth="1" outlineLevel="1"/>
    <col min="8" max="8" width="20.140625" customWidth="1" outlineLevel="1"/>
    <col min="9" max="9" width="35.140625" customWidth="1" outlineLevel="1"/>
    <col min="10" max="10" width="25.140625" customWidth="1" outlineLevel="1"/>
    <col min="11" max="11" width="21.85546875" customWidth="1" outlineLevel="1"/>
    <col min="12" max="12" width="25.42578125" customWidth="1" outlineLevel="1"/>
    <col min="13" max="13" width="21.28515625" customWidth="1" outlineLevel="1"/>
    <col min="14" max="14" width="19.7109375" customWidth="1" outlineLevel="1"/>
    <col min="15" max="15" width="27.140625" bestFit="1" customWidth="1"/>
    <col min="16" max="16" width="13.7109375" bestFit="1" customWidth="1"/>
    <col min="17" max="17" width="6.7109375" customWidth="1"/>
    <col min="18" max="18" width="10" customWidth="1"/>
    <col min="19" max="19" width="15.5703125" customWidth="1"/>
    <col min="20" max="20" width="23.42578125" customWidth="1" outlineLevel="1"/>
    <col min="21" max="21" width="7.85546875" customWidth="1" outlineLevel="1"/>
    <col min="22" max="22" width="16.28515625" customWidth="1"/>
    <col min="23" max="23" width="21.42578125" customWidth="1" outlineLevel="1"/>
    <col min="24" max="24" width="26.5703125" customWidth="1" outlineLevel="1"/>
    <col min="25" max="25" width="23.7109375" customWidth="1" outlineLevel="1"/>
    <col min="26" max="26" width="30" customWidth="1" outlineLevel="1"/>
    <col min="27" max="27" width="26.140625" customWidth="1" outlineLevel="1" collapsed="1"/>
    <col min="28" max="28" width="27" customWidth="1" outlineLevel="1"/>
    <col min="29" max="29" width="27.28515625" customWidth="1" outlineLevel="1"/>
    <col min="30" max="30" width="17.28515625" customWidth="1" outlineLevel="1"/>
    <col min="31" max="31" width="8.5703125" customWidth="1" outlineLevel="1"/>
    <col min="32" max="32" width="11.7109375" customWidth="1" outlineLevel="1"/>
    <col min="33" max="33" width="18.5703125" customWidth="1"/>
    <col min="34" max="34" width="18" customWidth="1"/>
    <col min="35" max="35" width="12.140625" customWidth="1"/>
    <col min="36" max="36" width="15.7109375" customWidth="1"/>
    <col min="37" max="37" width="16.140625" customWidth="1" outlineLevel="1"/>
    <col min="38" max="38" width="38.42578125" customWidth="1" outlineLevel="1"/>
    <col min="39" max="39" width="22" style="42" bestFit="1" customWidth="1"/>
    <col min="40" max="40" width="30.85546875" style="2" customWidth="1"/>
    <col min="41" max="41" width="10.85546875" customWidth="1"/>
  </cols>
  <sheetData>
    <row r="1" spans="1:42" x14ac:dyDescent="0.25">
      <c r="A1" t="s">
        <v>4753</v>
      </c>
      <c r="B1" t="s">
        <v>4754</v>
      </c>
      <c r="C1" t="s">
        <v>4755</v>
      </c>
      <c r="D1" t="s">
        <v>4756</v>
      </c>
      <c r="E1" t="s">
        <v>4757</v>
      </c>
      <c r="F1" t="s">
        <v>4758</v>
      </c>
      <c r="G1" t="s">
        <v>4759</v>
      </c>
      <c r="H1" t="s">
        <v>4760</v>
      </c>
      <c r="I1" t="s">
        <v>4761</v>
      </c>
      <c r="J1" t="s">
        <v>4762</v>
      </c>
      <c r="K1" t="s">
        <v>4763</v>
      </c>
      <c r="L1" t="s">
        <v>4764</v>
      </c>
      <c r="M1" t="s">
        <v>4566</v>
      </c>
      <c r="N1" t="s">
        <v>4765</v>
      </c>
      <c r="O1" t="s">
        <v>4766</v>
      </c>
      <c r="P1" t="s">
        <v>4767</v>
      </c>
      <c r="Q1" t="s">
        <v>4768</v>
      </c>
      <c r="R1" t="s">
        <v>4769</v>
      </c>
      <c r="S1" t="s">
        <v>4770</v>
      </c>
      <c r="T1" t="s">
        <v>4771</v>
      </c>
      <c r="U1" t="s">
        <v>4772</v>
      </c>
      <c r="V1" t="s">
        <v>4773</v>
      </c>
      <c r="W1" t="s">
        <v>4774</v>
      </c>
      <c r="X1" t="s">
        <v>4775</v>
      </c>
      <c r="Y1" t="s">
        <v>4776</v>
      </c>
      <c r="Z1" t="s">
        <v>4777</v>
      </c>
      <c r="AA1" t="s">
        <v>4778</v>
      </c>
      <c r="AB1" t="s">
        <v>4779</v>
      </c>
      <c r="AC1" t="s">
        <v>4780</v>
      </c>
      <c r="AD1" t="s">
        <v>4781</v>
      </c>
      <c r="AE1" t="s">
        <v>4782</v>
      </c>
      <c r="AF1" t="s">
        <v>4783</v>
      </c>
      <c r="AG1" t="s">
        <v>4747</v>
      </c>
      <c r="AH1" t="s">
        <v>4299</v>
      </c>
      <c r="AI1" t="s">
        <v>5991</v>
      </c>
      <c r="AJ1" t="s">
        <v>5992</v>
      </c>
      <c r="AK1" t="s">
        <v>4784</v>
      </c>
      <c r="AL1" t="s">
        <v>4785</v>
      </c>
      <c r="AM1" s="42" t="s">
        <v>7414</v>
      </c>
      <c r="AN1" s="2" t="s">
        <v>7415</v>
      </c>
      <c r="AO1" t="s">
        <v>7492</v>
      </c>
      <c r="AP1" t="s">
        <v>7493</v>
      </c>
    </row>
    <row r="2" spans="1:42" x14ac:dyDescent="0.25">
      <c r="A2">
        <v>512</v>
      </c>
      <c r="B2">
        <v>1</v>
      </c>
      <c r="E2" t="s">
        <v>4786</v>
      </c>
      <c r="F2" t="b">
        <v>1</v>
      </c>
      <c r="I2" t="s">
        <v>4787</v>
      </c>
      <c r="K2" t="s">
        <v>4352</v>
      </c>
      <c r="L2" t="s">
        <v>4444</v>
      </c>
      <c r="M2" t="s">
        <v>4788</v>
      </c>
      <c r="N2" t="s">
        <v>4788</v>
      </c>
      <c r="O2">
        <v>26792.41</v>
      </c>
      <c r="Q2">
        <v>0</v>
      </c>
      <c r="R2">
        <v>0</v>
      </c>
      <c r="S2">
        <v>10716.96</v>
      </c>
      <c r="T2" t="s">
        <v>4789</v>
      </c>
      <c r="U2">
        <v>1</v>
      </c>
      <c r="V2">
        <v>10716.96</v>
      </c>
      <c r="W2" t="s">
        <v>4343</v>
      </c>
      <c r="Y2" t="b">
        <v>1</v>
      </c>
      <c r="Z2" t="b">
        <v>0</v>
      </c>
      <c r="AA2">
        <v>10716.96</v>
      </c>
      <c r="AB2">
        <v>0</v>
      </c>
      <c r="AD2" t="b">
        <v>0</v>
      </c>
      <c r="AG2" s="1" t="s">
        <v>58</v>
      </c>
      <c r="AH2" s="1" t="s">
        <v>40</v>
      </c>
      <c r="AI2">
        <v>14</v>
      </c>
      <c r="AJ2">
        <v>101</v>
      </c>
      <c r="AK2" s="106">
        <v>45475.635442986109</v>
      </c>
      <c r="AL2" s="1" t="s">
        <v>4790</v>
      </c>
      <c r="AM2" s="42">
        <f>IFERROR(INDEX('Public procurment'!A:R,MATCH(ListOfExpenditure[[#This Row],[Content.contractId]],'Public procurment'!E:E,0),14),0)</f>
        <v>0</v>
      </c>
      <c r="AN2" s="2">
        <f>IF(AND(ListOfExpenditure[[#This Row],[Contract amount]]&gt;10000,ListOfExpenditure[[#This Row],[Content.declaredAmount]]&gt;2000),1,0)</f>
        <v>0</v>
      </c>
      <c r="AO2">
        <f>IFERROR(INDEX('Public procurment'!A:S,MATCH(ListOfExpenditure[[#This Row],[Content.contractId]],'Public procurment'!E:E,0),19),0)</f>
        <v>0</v>
      </c>
      <c r="AP2">
        <f>IF(ListOfExpenditure[[#This Row],[Numero di volte controllato il contract ]]&gt;0,0,ListOfExpenditure[[#This Row],[IF public procurment &gt;10000;1;0]])</f>
        <v>0</v>
      </c>
    </row>
    <row r="3" spans="1:42" x14ac:dyDescent="0.25">
      <c r="A3">
        <v>514</v>
      </c>
      <c r="B3">
        <v>2</v>
      </c>
      <c r="E3" t="s">
        <v>4786</v>
      </c>
      <c r="F3" t="b">
        <v>1</v>
      </c>
      <c r="I3" t="s">
        <v>4791</v>
      </c>
      <c r="K3" t="s">
        <v>4792</v>
      </c>
      <c r="L3" t="s">
        <v>4444</v>
      </c>
      <c r="M3" t="s">
        <v>4788</v>
      </c>
      <c r="N3" t="s">
        <v>4788</v>
      </c>
      <c r="O3">
        <v>49898.91</v>
      </c>
      <c r="Q3">
        <v>0</v>
      </c>
      <c r="R3">
        <v>0</v>
      </c>
      <c r="S3">
        <v>14969.67</v>
      </c>
      <c r="T3" t="s">
        <v>4789</v>
      </c>
      <c r="U3">
        <v>1</v>
      </c>
      <c r="V3">
        <v>14969.67</v>
      </c>
      <c r="W3" t="s">
        <v>4343</v>
      </c>
      <c r="Y3" t="b">
        <v>1</v>
      </c>
      <c r="Z3" t="b">
        <v>0</v>
      </c>
      <c r="AA3">
        <v>14889.68</v>
      </c>
      <c r="AB3">
        <v>79.989999999999995</v>
      </c>
      <c r="AC3">
        <v>8</v>
      </c>
      <c r="AD3" t="b">
        <v>0</v>
      </c>
      <c r="AF3" t="s">
        <v>4793</v>
      </c>
      <c r="AG3" s="1" t="s">
        <v>58</v>
      </c>
      <c r="AH3" s="1" t="s">
        <v>40</v>
      </c>
      <c r="AI3">
        <v>14</v>
      </c>
      <c r="AJ3">
        <v>101</v>
      </c>
      <c r="AK3" s="106">
        <v>45475.635442986109</v>
      </c>
      <c r="AL3" s="1" t="s">
        <v>4790</v>
      </c>
      <c r="AM3" s="42">
        <f>IFERROR(INDEX('Public procurment'!A:R,MATCH(ListOfExpenditure[[#This Row],[Content.contractId]],'Public procurment'!E:E,0),14),0)</f>
        <v>0</v>
      </c>
      <c r="AN3" s="2">
        <f>IF(AND(ListOfExpenditure[[#This Row],[Contract amount]]&gt;10000,ListOfExpenditure[[#This Row],[Content.declaredAmount]]&gt;2000),1,0)</f>
        <v>0</v>
      </c>
      <c r="AO3">
        <f>IFERROR(INDEX('Public procurment'!A:S,MATCH(ListOfExpenditure[[#This Row],[Content.contractId]],'Public procurment'!E:E,0),19),0)</f>
        <v>0</v>
      </c>
      <c r="AP3">
        <f>IF(ListOfExpenditure[[#This Row],[Numero di volte controllato il contract ]]&gt;0,0,ListOfExpenditure[[#This Row],[IF public procurment &gt;10000;1;0]])</f>
        <v>0</v>
      </c>
    </row>
    <row r="4" spans="1:42" x14ac:dyDescent="0.25">
      <c r="A4">
        <v>515</v>
      </c>
      <c r="B4">
        <v>3</v>
      </c>
      <c r="E4" t="s">
        <v>4786</v>
      </c>
      <c r="F4" t="b">
        <v>1</v>
      </c>
      <c r="I4" t="s">
        <v>4794</v>
      </c>
      <c r="K4" t="s">
        <v>4792</v>
      </c>
      <c r="L4" t="s">
        <v>4795</v>
      </c>
      <c r="M4" t="s">
        <v>4788</v>
      </c>
      <c r="N4" t="s">
        <v>4788</v>
      </c>
      <c r="O4">
        <v>12743</v>
      </c>
      <c r="Q4">
        <v>0</v>
      </c>
      <c r="R4">
        <v>0</v>
      </c>
      <c r="S4">
        <v>3262</v>
      </c>
      <c r="T4" t="s">
        <v>4789</v>
      </c>
      <c r="U4">
        <v>1</v>
      </c>
      <c r="V4">
        <v>3262</v>
      </c>
      <c r="W4" t="s">
        <v>4343</v>
      </c>
      <c r="Y4" t="b">
        <v>1</v>
      </c>
      <c r="Z4" t="b">
        <v>0</v>
      </c>
      <c r="AA4">
        <v>3208.66</v>
      </c>
      <c r="AB4">
        <v>53.34</v>
      </c>
      <c r="AC4">
        <v>8</v>
      </c>
      <c r="AD4" t="b">
        <v>0</v>
      </c>
      <c r="AF4" t="s">
        <v>4793</v>
      </c>
      <c r="AG4" s="1" t="s">
        <v>58</v>
      </c>
      <c r="AH4" s="1" t="s">
        <v>40</v>
      </c>
      <c r="AI4">
        <v>14</v>
      </c>
      <c r="AJ4">
        <v>101</v>
      </c>
      <c r="AK4" s="106">
        <v>45475.635442986109</v>
      </c>
      <c r="AL4" s="1" t="s">
        <v>4790</v>
      </c>
      <c r="AM4" s="42">
        <f>IFERROR(INDEX('Public procurment'!A:R,MATCH(ListOfExpenditure[[#This Row],[Content.contractId]],'Public procurment'!E:E,0),14),0)</f>
        <v>0</v>
      </c>
      <c r="AN4" s="2">
        <f>IF(AND(ListOfExpenditure[[#This Row],[Contract amount]]&gt;10000,ListOfExpenditure[[#This Row],[Content.declaredAmount]]&gt;2000),1,0)</f>
        <v>0</v>
      </c>
      <c r="AO4">
        <f>IFERROR(INDEX('Public procurment'!A:S,MATCH(ListOfExpenditure[[#This Row],[Content.contractId]],'Public procurment'!E:E,0),19),0)</f>
        <v>0</v>
      </c>
      <c r="AP4">
        <f>IF(ListOfExpenditure[[#This Row],[Numero di volte controllato il contract ]]&gt;0,0,ListOfExpenditure[[#This Row],[IF public procurment &gt;10000;1;0]])</f>
        <v>0</v>
      </c>
    </row>
    <row r="5" spans="1:42" x14ac:dyDescent="0.25">
      <c r="A5">
        <v>516</v>
      </c>
      <c r="B5">
        <v>4</v>
      </c>
      <c r="E5" t="s">
        <v>4786</v>
      </c>
      <c r="F5" t="b">
        <v>1</v>
      </c>
      <c r="I5" t="s">
        <v>4796</v>
      </c>
      <c r="K5" t="s">
        <v>4352</v>
      </c>
      <c r="L5" t="s">
        <v>4797</v>
      </c>
      <c r="M5" t="s">
        <v>4788</v>
      </c>
      <c r="N5" t="s">
        <v>4788</v>
      </c>
      <c r="O5">
        <v>39668.269999999997</v>
      </c>
      <c r="Q5">
        <v>0</v>
      </c>
      <c r="R5">
        <v>0</v>
      </c>
      <c r="S5">
        <v>5950.25</v>
      </c>
      <c r="T5" t="s">
        <v>4789</v>
      </c>
      <c r="U5">
        <v>1</v>
      </c>
      <c r="V5">
        <v>5950.25</v>
      </c>
      <c r="W5" t="s">
        <v>4343</v>
      </c>
      <c r="Y5" t="b">
        <v>1</v>
      </c>
      <c r="Z5" t="b">
        <v>0</v>
      </c>
      <c r="AA5">
        <v>5950.25</v>
      </c>
      <c r="AB5">
        <v>0</v>
      </c>
      <c r="AD5" t="b">
        <v>0</v>
      </c>
      <c r="AG5" s="1" t="s">
        <v>58</v>
      </c>
      <c r="AH5" s="1" t="s">
        <v>40</v>
      </c>
      <c r="AI5">
        <v>14</v>
      </c>
      <c r="AJ5">
        <v>101</v>
      </c>
      <c r="AK5" s="106">
        <v>45475.635442986109</v>
      </c>
      <c r="AL5" s="1" t="s">
        <v>4790</v>
      </c>
      <c r="AM5" s="42">
        <f>IFERROR(INDEX('Public procurment'!A:R,MATCH(ListOfExpenditure[[#This Row],[Content.contractId]],'Public procurment'!E:E,0),14),0)</f>
        <v>0</v>
      </c>
      <c r="AN5" s="2">
        <f>IF(AND(ListOfExpenditure[[#This Row],[Contract amount]]&gt;10000,ListOfExpenditure[[#This Row],[Content.declaredAmount]]&gt;2000),1,0)</f>
        <v>0</v>
      </c>
      <c r="AO5">
        <f>IFERROR(INDEX('Public procurment'!A:S,MATCH(ListOfExpenditure[[#This Row],[Content.contractId]],'Public procurment'!E:E,0),19),0)</f>
        <v>0</v>
      </c>
      <c r="AP5">
        <f>IF(ListOfExpenditure[[#This Row],[Numero di volte controllato il contract ]]&gt;0,0,ListOfExpenditure[[#This Row],[IF public procurment &gt;10000;1;0]])</f>
        <v>0</v>
      </c>
    </row>
    <row r="6" spans="1:42" x14ac:dyDescent="0.25">
      <c r="A6">
        <v>517</v>
      </c>
      <c r="B6">
        <v>5</v>
      </c>
      <c r="E6" t="s">
        <v>4798</v>
      </c>
      <c r="F6" t="b">
        <v>0</v>
      </c>
      <c r="H6">
        <v>82</v>
      </c>
      <c r="I6" t="s">
        <v>4799</v>
      </c>
      <c r="J6" t="s">
        <v>4800</v>
      </c>
      <c r="K6" t="s">
        <v>4421</v>
      </c>
      <c r="L6" t="s">
        <v>4801</v>
      </c>
      <c r="M6" t="s">
        <v>4788</v>
      </c>
      <c r="N6" t="s">
        <v>4788</v>
      </c>
      <c r="O6">
        <v>1293.2</v>
      </c>
      <c r="P6">
        <v>22</v>
      </c>
      <c r="Q6">
        <v>0</v>
      </c>
      <c r="R6">
        <v>0</v>
      </c>
      <c r="S6">
        <v>1293.2</v>
      </c>
      <c r="T6" t="s">
        <v>4789</v>
      </c>
      <c r="U6">
        <v>1</v>
      </c>
      <c r="V6">
        <v>1293.2</v>
      </c>
      <c r="W6" t="s">
        <v>4343</v>
      </c>
      <c r="Y6" t="b">
        <v>1</v>
      </c>
      <c r="Z6" t="b">
        <v>0</v>
      </c>
      <c r="AA6">
        <v>1293.2</v>
      </c>
      <c r="AB6">
        <v>0</v>
      </c>
      <c r="AD6" t="b">
        <v>0</v>
      </c>
      <c r="AG6" s="1" t="s">
        <v>58</v>
      </c>
      <c r="AH6" s="1" t="s">
        <v>40</v>
      </c>
      <c r="AI6">
        <v>14</v>
      </c>
      <c r="AJ6">
        <v>101</v>
      </c>
      <c r="AK6" s="106">
        <v>45475.635442986109</v>
      </c>
      <c r="AL6" s="1" t="s">
        <v>4790</v>
      </c>
      <c r="AM6" s="42">
        <f>IFERROR(INDEX('Public procurment'!A:R,MATCH(ListOfExpenditure[[#This Row],[Content.contractId]],'Public procurment'!E:E,0),14),0)</f>
        <v>1293.2</v>
      </c>
      <c r="AN6" s="2">
        <f>IF(AND(ListOfExpenditure[[#This Row],[Contract amount]]&gt;10000,ListOfExpenditure[[#This Row],[Content.declaredAmount]]&gt;2000),1,0)</f>
        <v>0</v>
      </c>
      <c r="AO6">
        <f>IFERROR(INDEX('Public procurment'!A:S,MATCH(ListOfExpenditure[[#This Row],[Content.contractId]],'Public procurment'!E:E,0),19),0)</f>
        <v>1</v>
      </c>
      <c r="AP6">
        <f>IF(ListOfExpenditure[[#This Row],[Numero di volte controllato il contract ]]&gt;0,0,ListOfExpenditure[[#This Row],[IF public procurment &gt;10000;1;0]])</f>
        <v>0</v>
      </c>
    </row>
    <row r="7" spans="1:42" x14ac:dyDescent="0.25">
      <c r="A7">
        <v>518</v>
      </c>
      <c r="B7">
        <v>6</v>
      </c>
      <c r="E7" t="s">
        <v>4798</v>
      </c>
      <c r="F7" t="b">
        <v>0</v>
      </c>
      <c r="H7">
        <v>83</v>
      </c>
      <c r="I7" t="s">
        <v>4802</v>
      </c>
      <c r="J7" t="s">
        <v>4803</v>
      </c>
      <c r="K7" t="s">
        <v>4421</v>
      </c>
      <c r="L7" t="s">
        <v>4804</v>
      </c>
      <c r="M7" t="s">
        <v>4788</v>
      </c>
      <c r="N7" t="s">
        <v>4788</v>
      </c>
      <c r="O7">
        <v>646.6</v>
      </c>
      <c r="P7">
        <v>22</v>
      </c>
      <c r="Q7">
        <v>0</v>
      </c>
      <c r="R7">
        <v>0</v>
      </c>
      <c r="S7">
        <v>646.20000000000005</v>
      </c>
      <c r="T7" t="s">
        <v>4789</v>
      </c>
      <c r="U7">
        <v>1</v>
      </c>
      <c r="V7">
        <v>646.20000000000005</v>
      </c>
      <c r="W7" t="s">
        <v>4343</v>
      </c>
      <c r="Y7" t="b">
        <v>1</v>
      </c>
      <c r="Z7" t="b">
        <v>0</v>
      </c>
      <c r="AA7">
        <v>646.20000000000005</v>
      </c>
      <c r="AB7">
        <v>0</v>
      </c>
      <c r="AD7" t="b">
        <v>0</v>
      </c>
      <c r="AG7" s="1" t="s">
        <v>58</v>
      </c>
      <c r="AH7" s="1" t="s">
        <v>40</v>
      </c>
      <c r="AI7">
        <v>14</v>
      </c>
      <c r="AJ7">
        <v>101</v>
      </c>
      <c r="AK7" s="106">
        <v>45475.635442986109</v>
      </c>
      <c r="AL7" s="1" t="s">
        <v>4790</v>
      </c>
      <c r="AM7" s="42">
        <f>IFERROR(INDEX('Public procurment'!A:R,MATCH(ListOfExpenditure[[#This Row],[Content.contractId]],'Public procurment'!E:E,0),14),0)</f>
        <v>646.6</v>
      </c>
      <c r="AN7" s="2">
        <f>IF(AND(ListOfExpenditure[[#This Row],[Contract amount]]&gt;10000,ListOfExpenditure[[#This Row],[Content.declaredAmount]]&gt;2000),1,0)</f>
        <v>0</v>
      </c>
      <c r="AO7">
        <f>IFERROR(INDEX('Public procurment'!A:S,MATCH(ListOfExpenditure[[#This Row],[Content.contractId]],'Public procurment'!E:E,0),19),0)</f>
        <v>1</v>
      </c>
      <c r="AP7">
        <f>IF(ListOfExpenditure[[#This Row],[Numero di volte controllato il contract ]]&gt;0,0,ListOfExpenditure[[#This Row],[IF public procurment &gt;10000;1;0]])</f>
        <v>0</v>
      </c>
    </row>
    <row r="8" spans="1:42" x14ac:dyDescent="0.25">
      <c r="A8">
        <v>2038</v>
      </c>
      <c r="B8">
        <v>1</v>
      </c>
      <c r="E8" t="s">
        <v>4786</v>
      </c>
      <c r="F8" t="b">
        <v>0</v>
      </c>
      <c r="I8" t="s">
        <v>6214</v>
      </c>
      <c r="K8" t="s">
        <v>5108</v>
      </c>
      <c r="L8" t="s">
        <v>4954</v>
      </c>
      <c r="M8" t="s">
        <v>4788</v>
      </c>
      <c r="N8" t="s">
        <v>4788</v>
      </c>
      <c r="O8">
        <v>3409.4</v>
      </c>
      <c r="Q8">
        <v>0</v>
      </c>
      <c r="R8">
        <v>0</v>
      </c>
      <c r="S8">
        <v>1363.76</v>
      </c>
      <c r="T8" t="s">
        <v>4789</v>
      </c>
      <c r="U8">
        <v>1</v>
      </c>
      <c r="V8">
        <v>1363.76</v>
      </c>
      <c r="W8" t="s">
        <v>4343</v>
      </c>
      <c r="Y8" t="b">
        <v>1</v>
      </c>
      <c r="Z8" t="b">
        <v>0</v>
      </c>
      <c r="AA8">
        <v>1363.76</v>
      </c>
      <c r="AB8">
        <v>0</v>
      </c>
      <c r="AD8" t="b">
        <v>0</v>
      </c>
      <c r="AG8" s="1" t="s">
        <v>58</v>
      </c>
      <c r="AH8" s="1" t="s">
        <v>40</v>
      </c>
      <c r="AI8">
        <v>14</v>
      </c>
      <c r="AJ8">
        <v>297</v>
      </c>
      <c r="AK8" s="106">
        <v>45475.635546979167</v>
      </c>
      <c r="AL8" s="1" t="s">
        <v>4790</v>
      </c>
      <c r="AM8" s="42">
        <f>IFERROR(INDEX('Public procurment'!A:R,MATCH(ListOfExpenditure[[#This Row],[Content.contractId]],'Public procurment'!E:E,0),14),0)</f>
        <v>0</v>
      </c>
      <c r="AN8" s="2">
        <f>IF(AND(ListOfExpenditure[[#This Row],[Contract amount]]&gt;10000,ListOfExpenditure[[#This Row],[Content.declaredAmount]]&gt;2000),1,0)</f>
        <v>0</v>
      </c>
      <c r="AO8">
        <f>IFERROR(INDEX('Public procurment'!A:S,MATCH(ListOfExpenditure[[#This Row],[Content.contractId]],'Public procurment'!E:E,0),19),0)</f>
        <v>0</v>
      </c>
      <c r="AP8">
        <f>IF(ListOfExpenditure[[#This Row],[Numero di volte controllato il contract ]]&gt;0,0,ListOfExpenditure[[#This Row],[IF public procurment &gt;10000;1;0]])</f>
        <v>0</v>
      </c>
    </row>
    <row r="9" spans="1:42" x14ac:dyDescent="0.25">
      <c r="A9">
        <v>2039</v>
      </c>
      <c r="B9">
        <v>2</v>
      </c>
      <c r="E9" t="s">
        <v>4786</v>
      </c>
      <c r="F9" t="b">
        <v>0</v>
      </c>
      <c r="I9" t="s">
        <v>6215</v>
      </c>
      <c r="K9" t="s">
        <v>5112</v>
      </c>
      <c r="L9" t="s">
        <v>4939</v>
      </c>
      <c r="M9" t="s">
        <v>4788</v>
      </c>
      <c r="N9" t="s">
        <v>4788</v>
      </c>
      <c r="O9">
        <v>3339.47</v>
      </c>
      <c r="Q9">
        <v>0</v>
      </c>
      <c r="R9">
        <v>0</v>
      </c>
      <c r="S9">
        <v>1335.79</v>
      </c>
      <c r="T9" t="s">
        <v>4789</v>
      </c>
      <c r="U9">
        <v>1</v>
      </c>
      <c r="V9">
        <v>1335.79</v>
      </c>
      <c r="W9" t="s">
        <v>4343</v>
      </c>
      <c r="Y9" t="b">
        <v>1</v>
      </c>
      <c r="Z9" t="b">
        <v>0</v>
      </c>
      <c r="AA9">
        <v>1335.79</v>
      </c>
      <c r="AB9">
        <v>0</v>
      </c>
      <c r="AD9" t="b">
        <v>0</v>
      </c>
      <c r="AG9" s="1" t="s">
        <v>58</v>
      </c>
      <c r="AH9" s="1" t="s">
        <v>40</v>
      </c>
      <c r="AI9">
        <v>14</v>
      </c>
      <c r="AJ9">
        <v>297</v>
      </c>
      <c r="AK9" s="106">
        <v>45475.635546979167</v>
      </c>
      <c r="AL9" s="1" t="s">
        <v>4790</v>
      </c>
      <c r="AM9" s="42">
        <f>IFERROR(INDEX('Public procurment'!A:R,MATCH(ListOfExpenditure[[#This Row],[Content.contractId]],'Public procurment'!E:E,0),14),0)</f>
        <v>0</v>
      </c>
      <c r="AN9" s="2">
        <f>IF(AND(ListOfExpenditure[[#This Row],[Contract amount]]&gt;10000,ListOfExpenditure[[#This Row],[Content.declaredAmount]]&gt;2000),1,0)</f>
        <v>0</v>
      </c>
      <c r="AO9">
        <f>IFERROR(INDEX('Public procurment'!A:S,MATCH(ListOfExpenditure[[#This Row],[Content.contractId]],'Public procurment'!E:E,0),19),0)</f>
        <v>0</v>
      </c>
      <c r="AP9">
        <f>IF(ListOfExpenditure[[#This Row],[Numero di volte controllato il contract ]]&gt;0,0,ListOfExpenditure[[#This Row],[IF public procurment &gt;10000;1;0]])</f>
        <v>0</v>
      </c>
    </row>
    <row r="10" spans="1:42" x14ac:dyDescent="0.25">
      <c r="A10">
        <v>2040</v>
      </c>
      <c r="B10">
        <v>3</v>
      </c>
      <c r="E10" t="s">
        <v>4786</v>
      </c>
      <c r="F10" t="b">
        <v>0</v>
      </c>
      <c r="I10" t="s">
        <v>6216</v>
      </c>
      <c r="K10" t="s">
        <v>4931</v>
      </c>
      <c r="L10" t="s">
        <v>4932</v>
      </c>
      <c r="M10" t="s">
        <v>4788</v>
      </c>
      <c r="N10" t="s">
        <v>4788</v>
      </c>
      <c r="O10">
        <v>3282.72</v>
      </c>
      <c r="Q10">
        <v>0</v>
      </c>
      <c r="R10">
        <v>0</v>
      </c>
      <c r="S10">
        <v>1313.09</v>
      </c>
      <c r="T10" t="s">
        <v>4789</v>
      </c>
      <c r="U10">
        <v>1</v>
      </c>
      <c r="V10">
        <v>1313.09</v>
      </c>
      <c r="W10" t="s">
        <v>4343</v>
      </c>
      <c r="Y10" t="b">
        <v>0</v>
      </c>
      <c r="Z10" t="b">
        <v>0</v>
      </c>
      <c r="AA10">
        <v>1313.09</v>
      </c>
      <c r="AB10">
        <v>0</v>
      </c>
      <c r="AD10" t="b">
        <v>0</v>
      </c>
      <c r="AG10" s="1" t="s">
        <v>58</v>
      </c>
      <c r="AH10" s="1" t="s">
        <v>40</v>
      </c>
      <c r="AI10">
        <v>14</v>
      </c>
      <c r="AJ10">
        <v>297</v>
      </c>
      <c r="AK10" s="106">
        <v>45475.635546979167</v>
      </c>
      <c r="AL10" s="1" t="s">
        <v>4790</v>
      </c>
      <c r="AM10" s="42">
        <f>IFERROR(INDEX('Public procurment'!A:R,MATCH(ListOfExpenditure[[#This Row],[Content.contractId]],'Public procurment'!E:E,0),14),0)</f>
        <v>0</v>
      </c>
      <c r="AN10" s="2">
        <f>IF(AND(ListOfExpenditure[[#This Row],[Contract amount]]&gt;10000,ListOfExpenditure[[#This Row],[Content.declaredAmount]]&gt;2000),1,0)</f>
        <v>0</v>
      </c>
      <c r="AO10">
        <f>IFERROR(INDEX('Public procurment'!A:S,MATCH(ListOfExpenditure[[#This Row],[Content.contractId]],'Public procurment'!E:E,0),19),0)</f>
        <v>0</v>
      </c>
      <c r="AP10">
        <f>IF(ListOfExpenditure[[#This Row],[Numero di volte controllato il contract ]]&gt;0,0,ListOfExpenditure[[#This Row],[IF public procurment &gt;10000;1;0]])</f>
        <v>0</v>
      </c>
    </row>
    <row r="11" spans="1:42" x14ac:dyDescent="0.25">
      <c r="A11">
        <v>2041</v>
      </c>
      <c r="B11">
        <v>4</v>
      </c>
      <c r="E11" t="s">
        <v>4786</v>
      </c>
      <c r="F11" t="b">
        <v>0</v>
      </c>
      <c r="I11" t="s">
        <v>6217</v>
      </c>
      <c r="K11" t="s">
        <v>4905</v>
      </c>
      <c r="L11" t="s">
        <v>4942</v>
      </c>
      <c r="M11" t="s">
        <v>4788</v>
      </c>
      <c r="N11" t="s">
        <v>4788</v>
      </c>
      <c r="O11">
        <v>3007.9</v>
      </c>
      <c r="Q11">
        <v>0</v>
      </c>
      <c r="R11">
        <v>0</v>
      </c>
      <c r="S11">
        <v>1203.1600000000001</v>
      </c>
      <c r="T11" t="s">
        <v>4789</v>
      </c>
      <c r="U11">
        <v>1</v>
      </c>
      <c r="V11">
        <v>1203.1600000000001</v>
      </c>
      <c r="W11" t="s">
        <v>4343</v>
      </c>
      <c r="Y11" t="b">
        <v>0</v>
      </c>
      <c r="Z11" t="b">
        <v>0</v>
      </c>
      <c r="AA11">
        <v>1203.1600000000001</v>
      </c>
      <c r="AB11">
        <v>0</v>
      </c>
      <c r="AD11" t="b">
        <v>0</v>
      </c>
      <c r="AG11" s="1" t="s">
        <v>58</v>
      </c>
      <c r="AH11" s="1" t="s">
        <v>40</v>
      </c>
      <c r="AI11">
        <v>14</v>
      </c>
      <c r="AJ11">
        <v>297</v>
      </c>
      <c r="AK11" s="106">
        <v>45475.635546979167</v>
      </c>
      <c r="AL11" s="1" t="s">
        <v>4790</v>
      </c>
      <c r="AM11" s="42">
        <f>IFERROR(INDEX('Public procurment'!A:R,MATCH(ListOfExpenditure[[#This Row],[Content.contractId]],'Public procurment'!E:E,0),14),0)</f>
        <v>0</v>
      </c>
      <c r="AN11" s="2">
        <f>IF(AND(ListOfExpenditure[[#This Row],[Contract amount]]&gt;10000,ListOfExpenditure[[#This Row],[Content.declaredAmount]]&gt;2000),1,0)</f>
        <v>0</v>
      </c>
      <c r="AO11">
        <f>IFERROR(INDEX('Public procurment'!A:S,MATCH(ListOfExpenditure[[#This Row],[Content.contractId]],'Public procurment'!E:E,0),19),0)</f>
        <v>0</v>
      </c>
      <c r="AP11">
        <f>IF(ListOfExpenditure[[#This Row],[Numero di volte controllato il contract ]]&gt;0,0,ListOfExpenditure[[#This Row],[IF public procurment &gt;10000;1;0]])</f>
        <v>0</v>
      </c>
    </row>
    <row r="12" spans="1:42" x14ac:dyDescent="0.25">
      <c r="A12">
        <v>2042</v>
      </c>
      <c r="B12">
        <v>5</v>
      </c>
      <c r="E12" t="s">
        <v>4786</v>
      </c>
      <c r="F12" t="b">
        <v>0</v>
      </c>
      <c r="I12" t="s">
        <v>6218</v>
      </c>
      <c r="K12" t="s">
        <v>4678</v>
      </c>
      <c r="L12" t="s">
        <v>4587</v>
      </c>
      <c r="M12" t="s">
        <v>4788</v>
      </c>
      <c r="N12" t="s">
        <v>4788</v>
      </c>
      <c r="O12">
        <v>2867.24</v>
      </c>
      <c r="Q12">
        <v>0</v>
      </c>
      <c r="R12">
        <v>0</v>
      </c>
      <c r="S12">
        <v>1146.9000000000001</v>
      </c>
      <c r="T12" t="s">
        <v>4789</v>
      </c>
      <c r="U12">
        <v>1</v>
      </c>
      <c r="V12">
        <v>1146.9000000000001</v>
      </c>
      <c r="W12" t="s">
        <v>4343</v>
      </c>
      <c r="Y12" t="b">
        <v>0</v>
      </c>
      <c r="Z12" t="b">
        <v>0</v>
      </c>
      <c r="AA12">
        <v>1146.9000000000001</v>
      </c>
      <c r="AB12">
        <v>0</v>
      </c>
      <c r="AD12" t="b">
        <v>0</v>
      </c>
      <c r="AG12" s="1" t="s">
        <v>58</v>
      </c>
      <c r="AH12" s="1" t="s">
        <v>40</v>
      </c>
      <c r="AI12">
        <v>14</v>
      </c>
      <c r="AJ12">
        <v>297</v>
      </c>
      <c r="AK12" s="106">
        <v>45475.635546979167</v>
      </c>
      <c r="AL12" s="1" t="s">
        <v>4790</v>
      </c>
      <c r="AM12" s="42">
        <f>IFERROR(INDEX('Public procurment'!A:R,MATCH(ListOfExpenditure[[#This Row],[Content.contractId]],'Public procurment'!E:E,0),14),0)</f>
        <v>0</v>
      </c>
      <c r="AN12" s="2">
        <f>IF(AND(ListOfExpenditure[[#This Row],[Contract amount]]&gt;10000,ListOfExpenditure[[#This Row],[Content.declaredAmount]]&gt;2000),1,0)</f>
        <v>0</v>
      </c>
      <c r="AO12">
        <f>IFERROR(INDEX('Public procurment'!A:S,MATCH(ListOfExpenditure[[#This Row],[Content.contractId]],'Public procurment'!E:E,0),19),0)</f>
        <v>0</v>
      </c>
      <c r="AP12">
        <f>IF(ListOfExpenditure[[#This Row],[Numero di volte controllato il contract ]]&gt;0,0,ListOfExpenditure[[#This Row],[IF public procurment &gt;10000;1;0]])</f>
        <v>0</v>
      </c>
    </row>
    <row r="13" spans="1:42" x14ac:dyDescent="0.25">
      <c r="A13">
        <v>2043</v>
      </c>
      <c r="B13">
        <v>6</v>
      </c>
      <c r="E13" t="s">
        <v>4786</v>
      </c>
      <c r="F13" t="b">
        <v>0</v>
      </c>
      <c r="I13" t="s">
        <v>6219</v>
      </c>
      <c r="K13" t="s">
        <v>5108</v>
      </c>
      <c r="L13" t="s">
        <v>4954</v>
      </c>
      <c r="M13" t="s">
        <v>4788</v>
      </c>
      <c r="N13" t="s">
        <v>4788</v>
      </c>
      <c r="O13">
        <v>5066.5600000000004</v>
      </c>
      <c r="Q13">
        <v>0</v>
      </c>
      <c r="R13">
        <v>0</v>
      </c>
      <c r="S13">
        <v>1519.97</v>
      </c>
      <c r="T13" t="s">
        <v>4789</v>
      </c>
      <c r="U13">
        <v>1</v>
      </c>
      <c r="V13">
        <v>1519.97</v>
      </c>
      <c r="W13" t="s">
        <v>4343</v>
      </c>
      <c r="Y13" t="b">
        <v>1</v>
      </c>
      <c r="Z13" t="b">
        <v>0</v>
      </c>
      <c r="AA13">
        <v>1519.97</v>
      </c>
      <c r="AB13">
        <v>0</v>
      </c>
      <c r="AD13" t="b">
        <v>0</v>
      </c>
      <c r="AG13" s="1" t="s">
        <v>58</v>
      </c>
      <c r="AH13" s="1" t="s">
        <v>40</v>
      </c>
      <c r="AI13">
        <v>14</v>
      </c>
      <c r="AJ13">
        <v>297</v>
      </c>
      <c r="AK13" s="106">
        <v>45475.635546979167</v>
      </c>
      <c r="AL13" s="1" t="s">
        <v>4790</v>
      </c>
      <c r="AM13" s="42">
        <f>IFERROR(INDEX('Public procurment'!A:R,MATCH(ListOfExpenditure[[#This Row],[Content.contractId]],'Public procurment'!E:E,0),14),0)</f>
        <v>0</v>
      </c>
      <c r="AN13" s="2">
        <f>IF(AND(ListOfExpenditure[[#This Row],[Contract amount]]&gt;10000,ListOfExpenditure[[#This Row],[Content.declaredAmount]]&gt;2000),1,0)</f>
        <v>0</v>
      </c>
      <c r="AO13">
        <f>IFERROR(INDEX('Public procurment'!A:S,MATCH(ListOfExpenditure[[#This Row],[Content.contractId]],'Public procurment'!E:E,0),19),0)</f>
        <v>0</v>
      </c>
      <c r="AP13">
        <f>IF(ListOfExpenditure[[#This Row],[Numero di volte controllato il contract ]]&gt;0,0,ListOfExpenditure[[#This Row],[IF public procurment &gt;10000;1;0]])</f>
        <v>0</v>
      </c>
    </row>
    <row r="14" spans="1:42" x14ac:dyDescent="0.25">
      <c r="A14">
        <v>2044</v>
      </c>
      <c r="B14">
        <v>7</v>
      </c>
      <c r="E14" t="s">
        <v>4786</v>
      </c>
      <c r="F14" t="b">
        <v>0</v>
      </c>
      <c r="I14" t="s">
        <v>6220</v>
      </c>
      <c r="K14" t="s">
        <v>5112</v>
      </c>
      <c r="L14" t="s">
        <v>4939</v>
      </c>
      <c r="M14" t="s">
        <v>4788</v>
      </c>
      <c r="N14" t="s">
        <v>4788</v>
      </c>
      <c r="O14">
        <v>4974.2700000000004</v>
      </c>
      <c r="Q14">
        <v>0</v>
      </c>
      <c r="R14">
        <v>0</v>
      </c>
      <c r="S14">
        <v>1492.28</v>
      </c>
      <c r="T14" t="s">
        <v>4789</v>
      </c>
      <c r="U14">
        <v>1</v>
      </c>
      <c r="V14">
        <v>1492.28</v>
      </c>
      <c r="W14" t="s">
        <v>4343</v>
      </c>
      <c r="Y14" t="b">
        <v>0</v>
      </c>
      <c r="Z14" t="b">
        <v>0</v>
      </c>
      <c r="AA14">
        <v>1492.28</v>
      </c>
      <c r="AB14">
        <v>0</v>
      </c>
      <c r="AD14" t="b">
        <v>0</v>
      </c>
      <c r="AG14" s="1" t="s">
        <v>58</v>
      </c>
      <c r="AH14" s="1" t="s">
        <v>40</v>
      </c>
      <c r="AI14">
        <v>14</v>
      </c>
      <c r="AJ14">
        <v>297</v>
      </c>
      <c r="AK14" s="106">
        <v>45475.635546979167</v>
      </c>
      <c r="AL14" s="1" t="s">
        <v>4790</v>
      </c>
      <c r="AM14" s="42">
        <f>IFERROR(INDEX('Public procurment'!A:R,MATCH(ListOfExpenditure[[#This Row],[Content.contractId]],'Public procurment'!E:E,0),14),0)</f>
        <v>0</v>
      </c>
      <c r="AN14" s="2">
        <f>IF(AND(ListOfExpenditure[[#This Row],[Contract amount]]&gt;10000,ListOfExpenditure[[#This Row],[Content.declaredAmount]]&gt;2000),1,0)</f>
        <v>0</v>
      </c>
      <c r="AO14">
        <f>IFERROR(INDEX('Public procurment'!A:S,MATCH(ListOfExpenditure[[#This Row],[Content.contractId]],'Public procurment'!E:E,0),19),0)</f>
        <v>0</v>
      </c>
      <c r="AP14">
        <f>IF(ListOfExpenditure[[#This Row],[Numero di volte controllato il contract ]]&gt;0,0,ListOfExpenditure[[#This Row],[IF public procurment &gt;10000;1;0]])</f>
        <v>0</v>
      </c>
    </row>
    <row r="15" spans="1:42" x14ac:dyDescent="0.25">
      <c r="A15">
        <v>2045</v>
      </c>
      <c r="B15">
        <v>8</v>
      </c>
      <c r="E15" t="s">
        <v>4786</v>
      </c>
      <c r="F15" t="b">
        <v>0</v>
      </c>
      <c r="I15" t="s">
        <v>6221</v>
      </c>
      <c r="K15" t="s">
        <v>4931</v>
      </c>
      <c r="L15" t="s">
        <v>4932</v>
      </c>
      <c r="M15" t="s">
        <v>4788</v>
      </c>
      <c r="N15" t="s">
        <v>4788</v>
      </c>
      <c r="O15">
        <v>5192.25</v>
      </c>
      <c r="Q15">
        <v>0</v>
      </c>
      <c r="R15">
        <v>0</v>
      </c>
      <c r="S15">
        <v>1557.67</v>
      </c>
      <c r="T15" t="s">
        <v>4789</v>
      </c>
      <c r="U15">
        <v>1</v>
      </c>
      <c r="V15">
        <v>1557.67</v>
      </c>
      <c r="W15" t="s">
        <v>4343</v>
      </c>
      <c r="Y15" t="b">
        <v>1</v>
      </c>
      <c r="Z15" t="b">
        <v>0</v>
      </c>
      <c r="AA15">
        <v>1557.67</v>
      </c>
      <c r="AB15">
        <v>0</v>
      </c>
      <c r="AD15" t="b">
        <v>0</v>
      </c>
      <c r="AG15" s="1" t="s">
        <v>58</v>
      </c>
      <c r="AH15" s="1" t="s">
        <v>40</v>
      </c>
      <c r="AI15">
        <v>14</v>
      </c>
      <c r="AJ15">
        <v>297</v>
      </c>
      <c r="AK15" s="106">
        <v>45475.635546979167</v>
      </c>
      <c r="AL15" s="1" t="s">
        <v>4790</v>
      </c>
      <c r="AM15" s="42">
        <f>IFERROR(INDEX('Public procurment'!A:R,MATCH(ListOfExpenditure[[#This Row],[Content.contractId]],'Public procurment'!E:E,0),14),0)</f>
        <v>0</v>
      </c>
      <c r="AN15" s="2">
        <f>IF(AND(ListOfExpenditure[[#This Row],[Contract amount]]&gt;10000,ListOfExpenditure[[#This Row],[Content.declaredAmount]]&gt;2000),1,0)</f>
        <v>0</v>
      </c>
      <c r="AO15">
        <f>IFERROR(INDEX('Public procurment'!A:S,MATCH(ListOfExpenditure[[#This Row],[Content.contractId]],'Public procurment'!E:E,0),19),0)</f>
        <v>0</v>
      </c>
      <c r="AP15">
        <f>IF(ListOfExpenditure[[#This Row],[Numero di volte controllato il contract ]]&gt;0,0,ListOfExpenditure[[#This Row],[IF public procurment &gt;10000;1;0]])</f>
        <v>0</v>
      </c>
    </row>
    <row r="16" spans="1:42" x14ac:dyDescent="0.25">
      <c r="A16">
        <v>2046</v>
      </c>
      <c r="B16">
        <v>9</v>
      </c>
      <c r="E16" t="s">
        <v>4786</v>
      </c>
      <c r="F16" t="b">
        <v>0</v>
      </c>
      <c r="I16" t="s">
        <v>6222</v>
      </c>
      <c r="K16" t="s">
        <v>4905</v>
      </c>
      <c r="L16" t="s">
        <v>4942</v>
      </c>
      <c r="M16" t="s">
        <v>4788</v>
      </c>
      <c r="N16" t="s">
        <v>4788</v>
      </c>
      <c r="O16">
        <v>5057.09</v>
      </c>
      <c r="Q16">
        <v>0</v>
      </c>
      <c r="R16">
        <v>0</v>
      </c>
      <c r="S16">
        <v>1517.13</v>
      </c>
      <c r="T16" t="s">
        <v>4789</v>
      </c>
      <c r="U16">
        <v>1</v>
      </c>
      <c r="V16">
        <v>1517.13</v>
      </c>
      <c r="W16" t="s">
        <v>4343</v>
      </c>
      <c r="Y16" t="b">
        <v>1</v>
      </c>
      <c r="Z16" t="b">
        <v>0</v>
      </c>
      <c r="AA16">
        <v>1517.13</v>
      </c>
      <c r="AB16">
        <v>0</v>
      </c>
      <c r="AD16" t="b">
        <v>0</v>
      </c>
      <c r="AG16" s="1" t="s">
        <v>58</v>
      </c>
      <c r="AH16" s="1" t="s">
        <v>40</v>
      </c>
      <c r="AI16">
        <v>14</v>
      </c>
      <c r="AJ16">
        <v>297</v>
      </c>
      <c r="AK16" s="106">
        <v>45475.635546979167</v>
      </c>
      <c r="AL16" s="1" t="s">
        <v>4790</v>
      </c>
      <c r="AM16" s="42">
        <f>IFERROR(INDEX('Public procurment'!A:R,MATCH(ListOfExpenditure[[#This Row],[Content.contractId]],'Public procurment'!E:E,0),14),0)</f>
        <v>0</v>
      </c>
      <c r="AN16" s="2">
        <f>IF(AND(ListOfExpenditure[[#This Row],[Contract amount]]&gt;10000,ListOfExpenditure[[#This Row],[Content.declaredAmount]]&gt;2000),1,0)</f>
        <v>0</v>
      </c>
      <c r="AO16">
        <f>IFERROR(INDEX('Public procurment'!A:S,MATCH(ListOfExpenditure[[#This Row],[Content.contractId]],'Public procurment'!E:E,0),19),0)</f>
        <v>0</v>
      </c>
      <c r="AP16">
        <f>IF(ListOfExpenditure[[#This Row],[Numero di volte controllato il contract ]]&gt;0,0,ListOfExpenditure[[#This Row],[IF public procurment &gt;10000;1;0]])</f>
        <v>0</v>
      </c>
    </row>
    <row r="17" spans="1:42" x14ac:dyDescent="0.25">
      <c r="A17">
        <v>2047</v>
      </c>
      <c r="B17">
        <v>10</v>
      </c>
      <c r="E17" t="s">
        <v>4786</v>
      </c>
      <c r="F17" t="b">
        <v>0</v>
      </c>
      <c r="I17" t="s">
        <v>6223</v>
      </c>
      <c r="K17" t="s">
        <v>4678</v>
      </c>
      <c r="L17" t="s">
        <v>4587</v>
      </c>
      <c r="M17" t="s">
        <v>4788</v>
      </c>
      <c r="N17" t="s">
        <v>4788</v>
      </c>
      <c r="O17">
        <v>4671.26</v>
      </c>
      <c r="Q17">
        <v>0</v>
      </c>
      <c r="R17">
        <v>0</v>
      </c>
      <c r="S17">
        <v>1401.38</v>
      </c>
      <c r="T17" t="s">
        <v>4789</v>
      </c>
      <c r="U17">
        <v>1</v>
      </c>
      <c r="V17">
        <v>1401.38</v>
      </c>
      <c r="W17" t="s">
        <v>4343</v>
      </c>
      <c r="Y17" t="b">
        <v>0</v>
      </c>
      <c r="Z17" t="b">
        <v>0</v>
      </c>
      <c r="AA17">
        <v>1401.38</v>
      </c>
      <c r="AB17">
        <v>0</v>
      </c>
      <c r="AD17" t="b">
        <v>0</v>
      </c>
      <c r="AG17" s="1" t="s">
        <v>58</v>
      </c>
      <c r="AH17" s="1" t="s">
        <v>40</v>
      </c>
      <c r="AI17">
        <v>14</v>
      </c>
      <c r="AJ17">
        <v>297</v>
      </c>
      <c r="AK17" s="106">
        <v>45475.635546979167</v>
      </c>
      <c r="AL17" s="1" t="s">
        <v>4790</v>
      </c>
      <c r="AM17" s="42">
        <f>IFERROR(INDEX('Public procurment'!A:R,MATCH(ListOfExpenditure[[#This Row],[Content.contractId]],'Public procurment'!E:E,0),14),0)</f>
        <v>0</v>
      </c>
      <c r="AN17" s="2">
        <f>IF(AND(ListOfExpenditure[[#This Row],[Contract amount]]&gt;10000,ListOfExpenditure[[#This Row],[Content.declaredAmount]]&gt;2000),1,0)</f>
        <v>0</v>
      </c>
      <c r="AO17">
        <f>IFERROR(INDEX('Public procurment'!A:S,MATCH(ListOfExpenditure[[#This Row],[Content.contractId]],'Public procurment'!E:E,0),19),0)</f>
        <v>0</v>
      </c>
      <c r="AP17">
        <f>IF(ListOfExpenditure[[#This Row],[Numero di volte controllato il contract ]]&gt;0,0,ListOfExpenditure[[#This Row],[IF public procurment &gt;10000;1;0]])</f>
        <v>0</v>
      </c>
    </row>
    <row r="18" spans="1:42" x14ac:dyDescent="0.25">
      <c r="A18">
        <v>2048</v>
      </c>
      <c r="B18">
        <v>11</v>
      </c>
      <c r="E18" t="s">
        <v>4786</v>
      </c>
      <c r="F18" t="b">
        <v>0</v>
      </c>
      <c r="I18" t="s">
        <v>6224</v>
      </c>
      <c r="K18" t="s">
        <v>4931</v>
      </c>
      <c r="L18" t="s">
        <v>4932</v>
      </c>
      <c r="M18" t="s">
        <v>4788</v>
      </c>
      <c r="N18" t="s">
        <v>4788</v>
      </c>
      <c r="O18">
        <v>4378</v>
      </c>
      <c r="Q18">
        <v>0</v>
      </c>
      <c r="R18">
        <v>0</v>
      </c>
      <c r="S18">
        <v>875.6</v>
      </c>
      <c r="T18" t="s">
        <v>4789</v>
      </c>
      <c r="U18">
        <v>1</v>
      </c>
      <c r="V18">
        <v>875.6</v>
      </c>
      <c r="W18" t="s">
        <v>4343</v>
      </c>
      <c r="Y18" t="b">
        <v>0</v>
      </c>
      <c r="Z18" t="b">
        <v>0</v>
      </c>
      <c r="AA18">
        <v>875.6</v>
      </c>
      <c r="AB18">
        <v>0</v>
      </c>
      <c r="AD18" t="b">
        <v>0</v>
      </c>
      <c r="AG18" s="1" t="s">
        <v>58</v>
      </c>
      <c r="AH18" s="1" t="s">
        <v>40</v>
      </c>
      <c r="AI18">
        <v>14</v>
      </c>
      <c r="AJ18">
        <v>297</v>
      </c>
      <c r="AK18" s="106">
        <v>45475.635546979167</v>
      </c>
      <c r="AL18" s="1" t="s">
        <v>4790</v>
      </c>
      <c r="AM18" s="42">
        <f>IFERROR(INDEX('Public procurment'!A:R,MATCH(ListOfExpenditure[[#This Row],[Content.contractId]],'Public procurment'!E:E,0),14),0)</f>
        <v>0</v>
      </c>
      <c r="AN18" s="2">
        <f>IF(AND(ListOfExpenditure[[#This Row],[Contract amount]]&gt;10000,ListOfExpenditure[[#This Row],[Content.declaredAmount]]&gt;2000),1,0)</f>
        <v>0</v>
      </c>
      <c r="AO18">
        <f>IFERROR(INDEX('Public procurment'!A:S,MATCH(ListOfExpenditure[[#This Row],[Content.contractId]],'Public procurment'!E:E,0),19),0)</f>
        <v>0</v>
      </c>
      <c r="AP18">
        <f>IF(ListOfExpenditure[[#This Row],[Numero di volte controllato il contract ]]&gt;0,0,ListOfExpenditure[[#This Row],[IF public procurment &gt;10000;1;0]])</f>
        <v>0</v>
      </c>
    </row>
    <row r="19" spans="1:42" x14ac:dyDescent="0.25">
      <c r="A19">
        <v>2049</v>
      </c>
      <c r="B19">
        <v>12</v>
      </c>
      <c r="E19" t="s">
        <v>4786</v>
      </c>
      <c r="F19" t="b">
        <v>0</v>
      </c>
      <c r="I19" t="s">
        <v>6225</v>
      </c>
      <c r="K19" t="s">
        <v>6226</v>
      </c>
      <c r="L19" t="s">
        <v>4942</v>
      </c>
      <c r="M19" t="s">
        <v>4788</v>
      </c>
      <c r="N19" t="s">
        <v>4788</v>
      </c>
      <c r="O19">
        <v>4468.4399999999996</v>
      </c>
      <c r="Q19">
        <v>0</v>
      </c>
      <c r="R19">
        <v>0</v>
      </c>
      <c r="S19">
        <v>893.69</v>
      </c>
      <c r="T19" t="s">
        <v>4789</v>
      </c>
      <c r="U19">
        <v>1</v>
      </c>
      <c r="V19">
        <v>893.69</v>
      </c>
      <c r="W19" t="s">
        <v>4343</v>
      </c>
      <c r="Y19" t="b">
        <v>1</v>
      </c>
      <c r="Z19" t="b">
        <v>0</v>
      </c>
      <c r="AA19">
        <v>893.69</v>
      </c>
      <c r="AB19">
        <v>0</v>
      </c>
      <c r="AD19" t="b">
        <v>0</v>
      </c>
      <c r="AG19" s="1" t="s">
        <v>58</v>
      </c>
      <c r="AH19" s="1" t="s">
        <v>40</v>
      </c>
      <c r="AI19">
        <v>14</v>
      </c>
      <c r="AJ19">
        <v>297</v>
      </c>
      <c r="AK19" s="106">
        <v>45475.635546979167</v>
      </c>
      <c r="AL19" s="1" t="s">
        <v>4790</v>
      </c>
      <c r="AM19" s="42">
        <f>IFERROR(INDEX('Public procurment'!A:R,MATCH(ListOfExpenditure[[#This Row],[Content.contractId]],'Public procurment'!E:E,0),14),0)</f>
        <v>0</v>
      </c>
      <c r="AN19" s="2">
        <f>IF(AND(ListOfExpenditure[[#This Row],[Contract amount]]&gt;10000,ListOfExpenditure[[#This Row],[Content.declaredAmount]]&gt;2000),1,0)</f>
        <v>0</v>
      </c>
      <c r="AO19">
        <f>IFERROR(INDEX('Public procurment'!A:S,MATCH(ListOfExpenditure[[#This Row],[Content.contractId]],'Public procurment'!E:E,0),19),0)</f>
        <v>0</v>
      </c>
      <c r="AP19">
        <f>IF(ListOfExpenditure[[#This Row],[Numero di volte controllato il contract ]]&gt;0,0,ListOfExpenditure[[#This Row],[IF public procurment &gt;10000;1;0]])</f>
        <v>0</v>
      </c>
    </row>
    <row r="20" spans="1:42" x14ac:dyDescent="0.25">
      <c r="A20">
        <v>2050</v>
      </c>
      <c r="B20">
        <v>13</v>
      </c>
      <c r="E20" t="s">
        <v>4786</v>
      </c>
      <c r="F20" t="b">
        <v>0</v>
      </c>
      <c r="I20" t="s">
        <v>6227</v>
      </c>
      <c r="K20" t="s">
        <v>4678</v>
      </c>
      <c r="L20" t="s">
        <v>4587</v>
      </c>
      <c r="M20" t="s">
        <v>4788</v>
      </c>
      <c r="N20" t="s">
        <v>4788</v>
      </c>
      <c r="O20">
        <v>2983.54</v>
      </c>
      <c r="Q20">
        <v>0</v>
      </c>
      <c r="R20">
        <v>0</v>
      </c>
      <c r="S20">
        <v>596.71</v>
      </c>
      <c r="T20" t="s">
        <v>4789</v>
      </c>
      <c r="U20">
        <v>1</v>
      </c>
      <c r="V20">
        <v>596.71</v>
      </c>
      <c r="W20" t="s">
        <v>4343</v>
      </c>
      <c r="Y20" t="b">
        <v>0</v>
      </c>
      <c r="Z20" t="b">
        <v>0</v>
      </c>
      <c r="AA20">
        <v>596.71</v>
      </c>
      <c r="AB20">
        <v>0</v>
      </c>
      <c r="AD20" t="b">
        <v>0</v>
      </c>
      <c r="AG20" s="1" t="s">
        <v>58</v>
      </c>
      <c r="AH20" s="1" t="s">
        <v>40</v>
      </c>
      <c r="AI20">
        <v>14</v>
      </c>
      <c r="AJ20">
        <v>297</v>
      </c>
      <c r="AK20" s="106">
        <v>45475.635546979167</v>
      </c>
      <c r="AL20" s="1" t="s">
        <v>4790</v>
      </c>
      <c r="AM20" s="42">
        <f>IFERROR(INDEX('Public procurment'!A:R,MATCH(ListOfExpenditure[[#This Row],[Content.contractId]],'Public procurment'!E:E,0),14),0)</f>
        <v>0</v>
      </c>
      <c r="AN20" s="2">
        <f>IF(AND(ListOfExpenditure[[#This Row],[Contract amount]]&gt;10000,ListOfExpenditure[[#This Row],[Content.declaredAmount]]&gt;2000),1,0)</f>
        <v>0</v>
      </c>
      <c r="AO20">
        <f>IFERROR(INDEX('Public procurment'!A:S,MATCH(ListOfExpenditure[[#This Row],[Content.contractId]],'Public procurment'!E:E,0),19),0)</f>
        <v>0</v>
      </c>
      <c r="AP20">
        <f>IF(ListOfExpenditure[[#This Row],[Numero di volte controllato il contract ]]&gt;0,0,ListOfExpenditure[[#This Row],[IF public procurment &gt;10000;1;0]])</f>
        <v>0</v>
      </c>
    </row>
    <row r="21" spans="1:42" x14ac:dyDescent="0.25">
      <c r="A21">
        <v>2034</v>
      </c>
      <c r="B21">
        <v>1</v>
      </c>
      <c r="E21" t="s">
        <v>4798</v>
      </c>
      <c r="F21" t="b">
        <v>0</v>
      </c>
      <c r="I21" t="s">
        <v>212</v>
      </c>
      <c r="J21" t="s">
        <v>212</v>
      </c>
      <c r="M21" t="s">
        <v>4788</v>
      </c>
      <c r="N21" t="s">
        <v>4788</v>
      </c>
      <c r="O21">
        <v>0</v>
      </c>
      <c r="P21">
        <v>0</v>
      </c>
      <c r="Q21">
        <v>0</v>
      </c>
      <c r="R21">
        <v>0</v>
      </c>
      <c r="S21">
        <v>0</v>
      </c>
      <c r="T21" t="s">
        <v>4789</v>
      </c>
      <c r="U21">
        <v>1</v>
      </c>
      <c r="V21">
        <v>0</v>
      </c>
      <c r="Y21" t="b">
        <v>0</v>
      </c>
      <c r="Z21" t="b">
        <v>0</v>
      </c>
      <c r="AA21">
        <v>0</v>
      </c>
      <c r="AB21">
        <v>0</v>
      </c>
      <c r="AD21" t="b">
        <v>0</v>
      </c>
      <c r="AG21" s="1" t="s">
        <v>58</v>
      </c>
      <c r="AH21" s="1" t="s">
        <v>4545</v>
      </c>
      <c r="AI21">
        <v>17</v>
      </c>
      <c r="AJ21">
        <v>239</v>
      </c>
      <c r="AK21" s="106">
        <v>45475.635524675927</v>
      </c>
      <c r="AL21" s="1" t="s">
        <v>4790</v>
      </c>
      <c r="AM21" s="42">
        <f>IFERROR(INDEX('Public procurment'!A:R,MATCH(ListOfExpenditure[[#This Row],[Content.contractId]],'Public procurment'!E:E,0),14),0)</f>
        <v>0</v>
      </c>
      <c r="AN21" s="2">
        <f>IF(AND(ListOfExpenditure[[#This Row],[Contract amount]]&gt;10000,ListOfExpenditure[[#This Row],[Content.declaredAmount]]&gt;2000),1,0)</f>
        <v>0</v>
      </c>
      <c r="AO21">
        <f>IFERROR(INDEX('Public procurment'!A:S,MATCH(ListOfExpenditure[[#This Row],[Content.contractId]],'Public procurment'!E:E,0),19),0)</f>
        <v>0</v>
      </c>
      <c r="AP21">
        <f>IF(ListOfExpenditure[[#This Row],[Numero di volte controllato il contract ]]&gt;0,0,ListOfExpenditure[[#This Row],[IF public procurment &gt;10000;1;0]])</f>
        <v>0</v>
      </c>
    </row>
    <row r="22" spans="1:42" x14ac:dyDescent="0.25">
      <c r="A22">
        <v>251</v>
      </c>
      <c r="B22">
        <v>1</v>
      </c>
      <c r="E22" t="s">
        <v>5095</v>
      </c>
      <c r="F22" t="b">
        <v>0</v>
      </c>
      <c r="I22" t="s">
        <v>6143</v>
      </c>
      <c r="J22" t="s">
        <v>6143</v>
      </c>
      <c r="M22" t="s">
        <v>4788</v>
      </c>
      <c r="N22" t="s">
        <v>4788</v>
      </c>
      <c r="O22">
        <v>0</v>
      </c>
      <c r="P22">
        <v>0</v>
      </c>
      <c r="Q22">
        <v>0</v>
      </c>
      <c r="R22">
        <v>0</v>
      </c>
      <c r="S22">
        <v>0</v>
      </c>
      <c r="T22" t="s">
        <v>4789</v>
      </c>
      <c r="U22">
        <v>1</v>
      </c>
      <c r="V22">
        <v>0</v>
      </c>
      <c r="Y22" t="b">
        <v>0</v>
      </c>
      <c r="Z22" t="b">
        <v>0</v>
      </c>
      <c r="AA22">
        <v>0</v>
      </c>
      <c r="AB22">
        <v>0</v>
      </c>
      <c r="AD22" t="b">
        <v>0</v>
      </c>
      <c r="AG22" s="1" t="s">
        <v>58</v>
      </c>
      <c r="AH22" s="1" t="s">
        <v>4545</v>
      </c>
      <c r="AI22">
        <v>17</v>
      </c>
      <c r="AJ22">
        <v>79</v>
      </c>
      <c r="AK22" s="106">
        <v>45475.635423865744</v>
      </c>
      <c r="AL22" s="1" t="s">
        <v>4790</v>
      </c>
      <c r="AM22" s="42">
        <f>IFERROR(INDEX('Public procurment'!A:R,MATCH(ListOfExpenditure[[#This Row],[Content.contractId]],'Public procurment'!E:E,0),14),0)</f>
        <v>0</v>
      </c>
      <c r="AN22" s="2">
        <f>IF(AND(ListOfExpenditure[[#This Row],[Contract amount]]&gt;10000,ListOfExpenditure[[#This Row],[Content.declaredAmount]]&gt;2000),1,0)</f>
        <v>0</v>
      </c>
      <c r="AO22">
        <f>IFERROR(INDEX('Public procurment'!A:S,MATCH(ListOfExpenditure[[#This Row],[Content.contractId]],'Public procurment'!E:E,0),19),0)</f>
        <v>0</v>
      </c>
      <c r="AP22">
        <f>IF(ListOfExpenditure[[#This Row],[Numero di volte controllato il contract ]]&gt;0,0,ListOfExpenditure[[#This Row],[IF public procurment &gt;10000;1;0]])</f>
        <v>0</v>
      </c>
    </row>
    <row r="23" spans="1:42" x14ac:dyDescent="0.25">
      <c r="A23">
        <v>250</v>
      </c>
      <c r="B23">
        <v>1</v>
      </c>
      <c r="E23" t="s">
        <v>4786</v>
      </c>
      <c r="F23" t="b">
        <v>1</v>
      </c>
      <c r="I23" t="s">
        <v>4805</v>
      </c>
      <c r="K23" t="s">
        <v>4806</v>
      </c>
      <c r="L23" t="s">
        <v>4807</v>
      </c>
      <c r="M23" t="s">
        <v>4788</v>
      </c>
      <c r="N23" t="s">
        <v>4788</v>
      </c>
      <c r="O23">
        <v>6089.18</v>
      </c>
      <c r="Q23">
        <v>0</v>
      </c>
      <c r="R23">
        <v>0</v>
      </c>
      <c r="S23">
        <v>6089.18</v>
      </c>
      <c r="T23" t="s">
        <v>4789</v>
      </c>
      <c r="U23">
        <v>1</v>
      </c>
      <c r="V23">
        <v>6089.18</v>
      </c>
      <c r="W23" t="s">
        <v>4343</v>
      </c>
      <c r="Y23" t="b">
        <v>0</v>
      </c>
      <c r="Z23" t="b">
        <v>0</v>
      </c>
      <c r="AA23">
        <v>6089.18</v>
      </c>
      <c r="AB23">
        <v>0</v>
      </c>
      <c r="AD23" t="b">
        <v>0</v>
      </c>
      <c r="AG23" s="1" t="s">
        <v>58</v>
      </c>
      <c r="AH23" s="1" t="s">
        <v>36</v>
      </c>
      <c r="AI23">
        <v>16</v>
      </c>
      <c r="AJ23">
        <v>83</v>
      </c>
      <c r="AK23" s="106">
        <v>45475.635439826387</v>
      </c>
      <c r="AL23" s="1" t="s">
        <v>4790</v>
      </c>
      <c r="AM23" s="42">
        <f>IFERROR(INDEX('Public procurment'!A:R,MATCH(ListOfExpenditure[[#This Row],[Content.contractId]],'Public procurment'!E:E,0),14),0)</f>
        <v>0</v>
      </c>
      <c r="AN23" s="2">
        <f>IF(AND(ListOfExpenditure[[#This Row],[Contract amount]]&gt;10000,ListOfExpenditure[[#This Row],[Content.declaredAmount]]&gt;2000),1,0)</f>
        <v>0</v>
      </c>
      <c r="AO23">
        <f>IFERROR(INDEX('Public procurment'!A:S,MATCH(ListOfExpenditure[[#This Row],[Content.contractId]],'Public procurment'!E:E,0),19),0)</f>
        <v>0</v>
      </c>
      <c r="AP23">
        <f>IF(ListOfExpenditure[[#This Row],[Numero di volte controllato il contract ]]&gt;0,0,ListOfExpenditure[[#This Row],[IF public procurment &gt;10000;1;0]])</f>
        <v>0</v>
      </c>
    </row>
    <row r="24" spans="1:42" x14ac:dyDescent="0.25">
      <c r="A24">
        <v>452</v>
      </c>
      <c r="B24">
        <v>2</v>
      </c>
      <c r="E24" t="s">
        <v>4786</v>
      </c>
      <c r="F24" t="b">
        <v>1</v>
      </c>
      <c r="I24" t="s">
        <v>4808</v>
      </c>
      <c r="K24" t="s">
        <v>4806</v>
      </c>
      <c r="L24" t="s">
        <v>4807</v>
      </c>
      <c r="M24" t="s">
        <v>4788</v>
      </c>
      <c r="N24" t="s">
        <v>4788</v>
      </c>
      <c r="O24">
        <v>8462.39</v>
      </c>
      <c r="Q24">
        <v>0</v>
      </c>
      <c r="R24">
        <v>0</v>
      </c>
      <c r="S24">
        <v>8462.39</v>
      </c>
      <c r="T24" t="s">
        <v>4789</v>
      </c>
      <c r="U24">
        <v>1</v>
      </c>
      <c r="V24">
        <v>8462.39</v>
      </c>
      <c r="W24" t="s">
        <v>4343</v>
      </c>
      <c r="Y24" t="b">
        <v>0</v>
      </c>
      <c r="Z24" t="b">
        <v>0</v>
      </c>
      <c r="AA24">
        <v>8462.39</v>
      </c>
      <c r="AB24">
        <v>0</v>
      </c>
      <c r="AD24" t="b">
        <v>0</v>
      </c>
      <c r="AG24" s="1" t="s">
        <v>58</v>
      </c>
      <c r="AH24" s="1" t="s">
        <v>36</v>
      </c>
      <c r="AI24">
        <v>16</v>
      </c>
      <c r="AJ24">
        <v>83</v>
      </c>
      <c r="AK24" s="106">
        <v>45475.635439826387</v>
      </c>
      <c r="AL24" s="1" t="s">
        <v>4790</v>
      </c>
      <c r="AM24" s="42">
        <f>IFERROR(INDEX('Public procurment'!A:R,MATCH(ListOfExpenditure[[#This Row],[Content.contractId]],'Public procurment'!E:E,0),14),0)</f>
        <v>0</v>
      </c>
      <c r="AN24" s="2">
        <f>IF(AND(ListOfExpenditure[[#This Row],[Contract amount]]&gt;10000,ListOfExpenditure[[#This Row],[Content.declaredAmount]]&gt;2000),1,0)</f>
        <v>0</v>
      </c>
      <c r="AO24">
        <f>IFERROR(INDEX('Public procurment'!A:S,MATCH(ListOfExpenditure[[#This Row],[Content.contractId]],'Public procurment'!E:E,0),19),0)</f>
        <v>0</v>
      </c>
      <c r="AP24">
        <f>IF(ListOfExpenditure[[#This Row],[Numero di volte controllato il contract ]]&gt;0,0,ListOfExpenditure[[#This Row],[IF public procurment &gt;10000;1;0]])</f>
        <v>0</v>
      </c>
    </row>
    <row r="25" spans="1:42" x14ac:dyDescent="0.25">
      <c r="A25">
        <v>453</v>
      </c>
      <c r="B25">
        <v>3</v>
      </c>
      <c r="E25" t="s">
        <v>4786</v>
      </c>
      <c r="F25" t="b">
        <v>1</v>
      </c>
      <c r="I25" t="s">
        <v>4809</v>
      </c>
      <c r="K25" t="s">
        <v>4806</v>
      </c>
      <c r="L25" t="s">
        <v>4807</v>
      </c>
      <c r="M25" t="s">
        <v>4788</v>
      </c>
      <c r="N25" t="s">
        <v>4788</v>
      </c>
      <c r="O25">
        <v>3258</v>
      </c>
      <c r="Q25">
        <v>0</v>
      </c>
      <c r="R25">
        <v>0</v>
      </c>
      <c r="S25">
        <v>3258</v>
      </c>
      <c r="T25" t="s">
        <v>4789</v>
      </c>
      <c r="U25">
        <v>1</v>
      </c>
      <c r="V25">
        <v>3258</v>
      </c>
      <c r="W25" t="s">
        <v>4343</v>
      </c>
      <c r="Y25" t="b">
        <v>0</v>
      </c>
      <c r="Z25" t="b">
        <v>0</v>
      </c>
      <c r="AA25">
        <v>3258</v>
      </c>
      <c r="AB25">
        <v>0</v>
      </c>
      <c r="AD25" t="b">
        <v>0</v>
      </c>
      <c r="AG25" s="1" t="s">
        <v>58</v>
      </c>
      <c r="AH25" s="1" t="s">
        <v>36</v>
      </c>
      <c r="AI25">
        <v>16</v>
      </c>
      <c r="AJ25">
        <v>83</v>
      </c>
      <c r="AK25" s="106">
        <v>45475.635439826387</v>
      </c>
      <c r="AL25" s="1" t="s">
        <v>4790</v>
      </c>
      <c r="AM25" s="42">
        <f>IFERROR(INDEX('Public procurment'!A:R,MATCH(ListOfExpenditure[[#This Row],[Content.contractId]],'Public procurment'!E:E,0),14),0)</f>
        <v>0</v>
      </c>
      <c r="AN25" s="2">
        <f>IF(AND(ListOfExpenditure[[#This Row],[Contract amount]]&gt;10000,ListOfExpenditure[[#This Row],[Content.declaredAmount]]&gt;2000),1,0)</f>
        <v>0</v>
      </c>
      <c r="AO25">
        <f>IFERROR(INDEX('Public procurment'!A:S,MATCH(ListOfExpenditure[[#This Row],[Content.contractId]],'Public procurment'!E:E,0),19),0)</f>
        <v>0</v>
      </c>
      <c r="AP25">
        <f>IF(ListOfExpenditure[[#This Row],[Numero di volte controllato il contract ]]&gt;0,0,ListOfExpenditure[[#This Row],[IF public procurment &gt;10000;1;0]])</f>
        <v>0</v>
      </c>
    </row>
    <row r="26" spans="1:42" x14ac:dyDescent="0.25">
      <c r="A26">
        <v>456</v>
      </c>
      <c r="B26">
        <v>4</v>
      </c>
      <c r="E26" t="s">
        <v>4786</v>
      </c>
      <c r="F26" t="b">
        <v>1</v>
      </c>
      <c r="I26" t="s">
        <v>4810</v>
      </c>
      <c r="K26" t="s">
        <v>4806</v>
      </c>
      <c r="L26" t="s">
        <v>4807</v>
      </c>
      <c r="M26" t="s">
        <v>4788</v>
      </c>
      <c r="N26" t="s">
        <v>4788</v>
      </c>
      <c r="O26">
        <v>3881.37</v>
      </c>
      <c r="Q26">
        <v>0</v>
      </c>
      <c r="R26">
        <v>0</v>
      </c>
      <c r="S26">
        <v>3881.37</v>
      </c>
      <c r="T26" t="s">
        <v>4789</v>
      </c>
      <c r="U26">
        <v>1</v>
      </c>
      <c r="V26">
        <v>3881.37</v>
      </c>
      <c r="W26" t="s">
        <v>4343</v>
      </c>
      <c r="Y26" t="b">
        <v>0</v>
      </c>
      <c r="Z26" t="b">
        <v>0</v>
      </c>
      <c r="AA26">
        <v>3881.37</v>
      </c>
      <c r="AB26">
        <v>0</v>
      </c>
      <c r="AD26" t="b">
        <v>0</v>
      </c>
      <c r="AG26" s="1" t="s">
        <v>58</v>
      </c>
      <c r="AH26" s="1" t="s">
        <v>36</v>
      </c>
      <c r="AI26">
        <v>16</v>
      </c>
      <c r="AJ26">
        <v>83</v>
      </c>
      <c r="AK26" s="106">
        <v>45475.635439826387</v>
      </c>
      <c r="AL26" s="1" t="s">
        <v>4790</v>
      </c>
      <c r="AM26" s="42">
        <f>IFERROR(INDEX('Public procurment'!A:R,MATCH(ListOfExpenditure[[#This Row],[Content.contractId]],'Public procurment'!E:E,0),14),0)</f>
        <v>0</v>
      </c>
      <c r="AN26" s="2">
        <f>IF(AND(ListOfExpenditure[[#This Row],[Contract amount]]&gt;10000,ListOfExpenditure[[#This Row],[Content.declaredAmount]]&gt;2000),1,0)</f>
        <v>0</v>
      </c>
      <c r="AO26">
        <f>IFERROR(INDEX('Public procurment'!A:S,MATCH(ListOfExpenditure[[#This Row],[Content.contractId]],'Public procurment'!E:E,0),19),0)</f>
        <v>0</v>
      </c>
      <c r="AP26">
        <f>IF(ListOfExpenditure[[#This Row],[Numero di volte controllato il contract ]]&gt;0,0,ListOfExpenditure[[#This Row],[IF public procurment &gt;10000;1;0]])</f>
        <v>0</v>
      </c>
    </row>
    <row r="27" spans="1:42" x14ac:dyDescent="0.25">
      <c r="A27">
        <v>489</v>
      </c>
      <c r="B27">
        <v>5</v>
      </c>
      <c r="E27" t="s">
        <v>4798</v>
      </c>
      <c r="F27" t="b">
        <v>0</v>
      </c>
      <c r="H27">
        <v>76</v>
      </c>
      <c r="I27" t="s">
        <v>4811</v>
      </c>
      <c r="J27" t="s">
        <v>4812</v>
      </c>
      <c r="K27" t="s">
        <v>4813</v>
      </c>
      <c r="L27" t="s">
        <v>4421</v>
      </c>
      <c r="M27" t="s">
        <v>4788</v>
      </c>
      <c r="N27" t="s">
        <v>4788</v>
      </c>
      <c r="O27">
        <v>189.22</v>
      </c>
      <c r="P27">
        <v>34.119999999999997</v>
      </c>
      <c r="Q27">
        <v>0</v>
      </c>
      <c r="R27">
        <v>0</v>
      </c>
      <c r="S27">
        <v>189.22</v>
      </c>
      <c r="T27" t="s">
        <v>4789</v>
      </c>
      <c r="U27">
        <v>1</v>
      </c>
      <c r="V27">
        <v>189.22</v>
      </c>
      <c r="W27" t="s">
        <v>4343</v>
      </c>
      <c r="Y27" t="b">
        <v>0</v>
      </c>
      <c r="Z27" t="b">
        <v>0</v>
      </c>
      <c r="AA27">
        <v>189.22</v>
      </c>
      <c r="AB27">
        <v>0</v>
      </c>
      <c r="AD27" t="b">
        <v>0</v>
      </c>
      <c r="AG27" s="1" t="s">
        <v>58</v>
      </c>
      <c r="AH27" s="1" t="s">
        <v>36</v>
      </c>
      <c r="AI27">
        <v>16</v>
      </c>
      <c r="AJ27">
        <v>83</v>
      </c>
      <c r="AK27" s="106">
        <v>45475.635439826387</v>
      </c>
      <c r="AL27" s="1" t="s">
        <v>4790</v>
      </c>
      <c r="AM27" s="42">
        <f>IFERROR(INDEX('Public procurment'!A:R,MATCH(ListOfExpenditure[[#This Row],[Content.contractId]],'Public procurment'!E:E,0),14),0)</f>
        <v>189.22</v>
      </c>
      <c r="AN27" s="2">
        <f>IF(AND(ListOfExpenditure[[#This Row],[Contract amount]]&gt;10000,ListOfExpenditure[[#This Row],[Content.declaredAmount]]&gt;2000),1,0)</f>
        <v>0</v>
      </c>
      <c r="AO27">
        <f>IFERROR(INDEX('Public procurment'!A:S,MATCH(ListOfExpenditure[[#This Row],[Content.contractId]],'Public procurment'!E:E,0),19),0)</f>
        <v>0</v>
      </c>
      <c r="AP27">
        <f>IF(ListOfExpenditure[[#This Row],[Numero di volte controllato il contract ]]&gt;0,0,ListOfExpenditure[[#This Row],[IF public procurment &gt;10000;1;0]])</f>
        <v>0</v>
      </c>
    </row>
    <row r="28" spans="1:42" x14ac:dyDescent="0.25">
      <c r="A28">
        <v>490</v>
      </c>
      <c r="B28">
        <v>6</v>
      </c>
      <c r="E28" t="s">
        <v>4798</v>
      </c>
      <c r="F28" t="b">
        <v>0</v>
      </c>
      <c r="H28">
        <v>77</v>
      </c>
      <c r="I28" t="s">
        <v>4814</v>
      </c>
      <c r="J28" t="s">
        <v>4815</v>
      </c>
      <c r="K28" t="s">
        <v>4816</v>
      </c>
      <c r="L28" t="s">
        <v>4817</v>
      </c>
      <c r="M28" t="s">
        <v>4788</v>
      </c>
      <c r="N28" t="s">
        <v>4788</v>
      </c>
      <c r="O28">
        <v>469.7</v>
      </c>
      <c r="P28">
        <v>84.7</v>
      </c>
      <c r="Q28">
        <v>0</v>
      </c>
      <c r="R28">
        <v>0</v>
      </c>
      <c r="S28">
        <v>469.7</v>
      </c>
      <c r="T28" t="s">
        <v>4789</v>
      </c>
      <c r="U28">
        <v>1</v>
      </c>
      <c r="V28">
        <v>469.7</v>
      </c>
      <c r="W28" t="s">
        <v>4343</v>
      </c>
      <c r="Y28" t="b">
        <v>0</v>
      </c>
      <c r="Z28" t="b">
        <v>0</v>
      </c>
      <c r="AA28">
        <v>469.7</v>
      </c>
      <c r="AB28">
        <v>0</v>
      </c>
      <c r="AD28" t="b">
        <v>0</v>
      </c>
      <c r="AG28" s="1" t="s">
        <v>58</v>
      </c>
      <c r="AH28" s="1" t="s">
        <v>36</v>
      </c>
      <c r="AI28">
        <v>16</v>
      </c>
      <c r="AJ28">
        <v>83</v>
      </c>
      <c r="AK28" s="106">
        <v>45475.635439826387</v>
      </c>
      <c r="AL28" s="1" t="s">
        <v>4790</v>
      </c>
      <c r="AM28" s="42">
        <f>IFERROR(INDEX('Public procurment'!A:R,MATCH(ListOfExpenditure[[#This Row],[Content.contractId]],'Public procurment'!E:E,0),14),0)</f>
        <v>469.7</v>
      </c>
      <c r="AN28" s="2">
        <f>IF(AND(ListOfExpenditure[[#This Row],[Contract amount]]&gt;10000,ListOfExpenditure[[#This Row],[Content.declaredAmount]]&gt;2000),1,0)</f>
        <v>0</v>
      </c>
      <c r="AO28">
        <f>IFERROR(INDEX('Public procurment'!A:S,MATCH(ListOfExpenditure[[#This Row],[Content.contractId]],'Public procurment'!E:E,0),19),0)</f>
        <v>0</v>
      </c>
      <c r="AP28">
        <f>IF(ListOfExpenditure[[#This Row],[Numero di volte controllato il contract ]]&gt;0,0,ListOfExpenditure[[#This Row],[IF public procurment &gt;10000;1;0]])</f>
        <v>0</v>
      </c>
    </row>
    <row r="29" spans="1:42" x14ac:dyDescent="0.25">
      <c r="A29">
        <v>491</v>
      </c>
      <c r="B29">
        <v>7</v>
      </c>
      <c r="E29" t="s">
        <v>4798</v>
      </c>
      <c r="F29" t="b">
        <v>0</v>
      </c>
      <c r="H29">
        <v>78</v>
      </c>
      <c r="I29" t="s">
        <v>4818</v>
      </c>
      <c r="J29" t="s">
        <v>4819</v>
      </c>
      <c r="K29" t="s">
        <v>4820</v>
      </c>
      <c r="L29" t="s">
        <v>4821</v>
      </c>
      <c r="M29" t="s">
        <v>4788</v>
      </c>
      <c r="N29" t="s">
        <v>4788</v>
      </c>
      <c r="O29">
        <v>140.30000000000001</v>
      </c>
      <c r="P29">
        <v>25.3</v>
      </c>
      <c r="Q29">
        <v>0</v>
      </c>
      <c r="R29">
        <v>0</v>
      </c>
      <c r="S29">
        <v>140.30000000000001</v>
      </c>
      <c r="T29" t="s">
        <v>4789</v>
      </c>
      <c r="U29">
        <v>1</v>
      </c>
      <c r="V29">
        <v>140.30000000000001</v>
      </c>
      <c r="W29" t="s">
        <v>4343</v>
      </c>
      <c r="Y29" t="b">
        <v>0</v>
      </c>
      <c r="Z29" t="b">
        <v>0</v>
      </c>
      <c r="AA29">
        <v>140.30000000000001</v>
      </c>
      <c r="AB29">
        <v>0</v>
      </c>
      <c r="AD29" t="b">
        <v>0</v>
      </c>
      <c r="AG29" s="1" t="s">
        <v>58</v>
      </c>
      <c r="AH29" s="1" t="s">
        <v>36</v>
      </c>
      <c r="AI29">
        <v>16</v>
      </c>
      <c r="AJ29">
        <v>83</v>
      </c>
      <c r="AK29" s="106">
        <v>45475.635439826387</v>
      </c>
      <c r="AL29" s="1" t="s">
        <v>4790</v>
      </c>
      <c r="AM29" s="42">
        <f>IFERROR(INDEX('Public procurment'!A:R,MATCH(ListOfExpenditure[[#This Row],[Content.contractId]],'Public procurment'!E:E,0),14),0)</f>
        <v>140.30000000000001</v>
      </c>
      <c r="AN29" s="2">
        <f>IF(AND(ListOfExpenditure[[#This Row],[Contract amount]]&gt;10000,ListOfExpenditure[[#This Row],[Content.declaredAmount]]&gt;2000),1,0)</f>
        <v>0</v>
      </c>
      <c r="AO29">
        <f>IFERROR(INDEX('Public procurment'!A:S,MATCH(ListOfExpenditure[[#This Row],[Content.contractId]],'Public procurment'!E:E,0),19),0)</f>
        <v>0</v>
      </c>
      <c r="AP29">
        <f>IF(ListOfExpenditure[[#This Row],[Numero di volte controllato il contract ]]&gt;0,0,ListOfExpenditure[[#This Row],[IF public procurment &gt;10000;1;0]])</f>
        <v>0</v>
      </c>
    </row>
    <row r="30" spans="1:42" x14ac:dyDescent="0.25">
      <c r="A30">
        <v>492</v>
      </c>
      <c r="B30">
        <v>8</v>
      </c>
      <c r="E30" t="s">
        <v>4798</v>
      </c>
      <c r="F30" t="b">
        <v>0</v>
      </c>
      <c r="H30">
        <v>79</v>
      </c>
      <c r="I30" t="s">
        <v>4822</v>
      </c>
      <c r="J30" t="s">
        <v>4823</v>
      </c>
      <c r="K30" t="s">
        <v>4421</v>
      </c>
      <c r="L30" t="s">
        <v>4821</v>
      </c>
      <c r="M30" t="s">
        <v>4788</v>
      </c>
      <c r="N30" t="s">
        <v>4788</v>
      </c>
      <c r="O30">
        <v>560</v>
      </c>
      <c r="P30">
        <v>0</v>
      </c>
      <c r="Q30">
        <v>0</v>
      </c>
      <c r="R30">
        <v>0</v>
      </c>
      <c r="S30">
        <v>560</v>
      </c>
      <c r="T30" t="s">
        <v>4789</v>
      </c>
      <c r="U30">
        <v>1</v>
      </c>
      <c r="V30">
        <v>560</v>
      </c>
      <c r="W30" t="s">
        <v>4343</v>
      </c>
      <c r="Y30" t="b">
        <v>0</v>
      </c>
      <c r="Z30" t="b">
        <v>0</v>
      </c>
      <c r="AA30">
        <v>560</v>
      </c>
      <c r="AB30">
        <v>0</v>
      </c>
      <c r="AD30" t="b">
        <v>0</v>
      </c>
      <c r="AG30" s="1" t="s">
        <v>58</v>
      </c>
      <c r="AH30" s="1" t="s">
        <v>36</v>
      </c>
      <c r="AI30">
        <v>16</v>
      </c>
      <c r="AJ30">
        <v>83</v>
      </c>
      <c r="AK30" s="106">
        <v>45475.635439826387</v>
      </c>
      <c r="AL30" s="1" t="s">
        <v>4790</v>
      </c>
      <c r="AM30" s="42">
        <f>IFERROR(INDEX('Public procurment'!A:R,MATCH(ListOfExpenditure[[#This Row],[Content.contractId]],'Public procurment'!E:E,0),14),0)</f>
        <v>560</v>
      </c>
      <c r="AN30" s="2">
        <f>IF(AND(ListOfExpenditure[[#This Row],[Contract amount]]&gt;10000,ListOfExpenditure[[#This Row],[Content.declaredAmount]]&gt;2000),1,0)</f>
        <v>0</v>
      </c>
      <c r="AO30">
        <f>IFERROR(INDEX('Public procurment'!A:S,MATCH(ListOfExpenditure[[#This Row],[Content.contractId]],'Public procurment'!E:E,0),19),0)</f>
        <v>0</v>
      </c>
      <c r="AP30">
        <f>IF(ListOfExpenditure[[#This Row],[Numero di volte controllato il contract ]]&gt;0,0,ListOfExpenditure[[#This Row],[IF public procurment &gt;10000;1;0]])</f>
        <v>0</v>
      </c>
    </row>
    <row r="31" spans="1:42" x14ac:dyDescent="0.25">
      <c r="A31">
        <v>493</v>
      </c>
      <c r="B31">
        <v>9</v>
      </c>
      <c r="E31" t="s">
        <v>4798</v>
      </c>
      <c r="F31" t="b">
        <v>0</v>
      </c>
      <c r="H31">
        <v>80</v>
      </c>
      <c r="I31" t="s">
        <v>4824</v>
      </c>
      <c r="J31" t="s">
        <v>4825</v>
      </c>
      <c r="K31" t="s">
        <v>4826</v>
      </c>
      <c r="L31" t="s">
        <v>4807</v>
      </c>
      <c r="M31" t="s">
        <v>4788</v>
      </c>
      <c r="N31" t="s">
        <v>4788</v>
      </c>
      <c r="O31">
        <v>17870.43</v>
      </c>
      <c r="P31">
        <v>1550.4</v>
      </c>
      <c r="Q31">
        <v>0</v>
      </c>
      <c r="R31">
        <v>0</v>
      </c>
      <c r="S31">
        <v>17870.43</v>
      </c>
      <c r="T31" t="s">
        <v>4789</v>
      </c>
      <c r="U31">
        <v>1</v>
      </c>
      <c r="V31">
        <v>17870.43</v>
      </c>
      <c r="W31" t="s">
        <v>4343</v>
      </c>
      <c r="Y31" t="b">
        <v>0</v>
      </c>
      <c r="Z31" t="b">
        <v>0</v>
      </c>
      <c r="AA31">
        <v>17870.43</v>
      </c>
      <c r="AB31">
        <v>0</v>
      </c>
      <c r="AD31" t="b">
        <v>0</v>
      </c>
      <c r="AG31" s="1" t="s">
        <v>58</v>
      </c>
      <c r="AH31" s="1" t="s">
        <v>36</v>
      </c>
      <c r="AI31">
        <v>16</v>
      </c>
      <c r="AJ31">
        <v>83</v>
      </c>
      <c r="AK31" s="106">
        <v>45475.635439826387</v>
      </c>
      <c r="AL31" s="1" t="s">
        <v>4790</v>
      </c>
      <c r="AM31" s="42">
        <f>IFERROR(INDEX('Public procurment'!A:R,MATCH(ListOfExpenditure[[#This Row],[Content.contractId]],'Public procurment'!E:E,0),14),0)</f>
        <v>35909.06</v>
      </c>
      <c r="AN31" s="2">
        <f>IF(AND(ListOfExpenditure[[#This Row],[Contract amount]]&gt;10000,ListOfExpenditure[[#This Row],[Content.declaredAmount]]&gt;2000),1,0)</f>
        <v>1</v>
      </c>
      <c r="AO31">
        <f>IFERROR(INDEX('Public procurment'!A:S,MATCH(ListOfExpenditure[[#This Row],[Content.contractId]],'Public procurment'!E:E,0),19),0)</f>
        <v>0</v>
      </c>
      <c r="AP31">
        <f>IF(ListOfExpenditure[[#This Row],[Numero di volte controllato il contract ]]&gt;0,0,ListOfExpenditure[[#This Row],[IF public procurment &gt;10000;1;0]])</f>
        <v>1</v>
      </c>
    </row>
    <row r="32" spans="1:42" x14ac:dyDescent="0.25">
      <c r="A32">
        <v>494</v>
      </c>
      <c r="B32">
        <v>10</v>
      </c>
      <c r="E32" t="s">
        <v>4798</v>
      </c>
      <c r="F32" t="b">
        <v>0</v>
      </c>
      <c r="H32">
        <v>81</v>
      </c>
      <c r="I32" t="s">
        <v>4827</v>
      </c>
      <c r="J32" t="s">
        <v>4828</v>
      </c>
      <c r="K32" t="s">
        <v>4826</v>
      </c>
      <c r="L32" t="s">
        <v>4807</v>
      </c>
      <c r="M32" t="s">
        <v>4788</v>
      </c>
      <c r="N32" t="s">
        <v>4788</v>
      </c>
      <c r="O32">
        <v>22977.9</v>
      </c>
      <c r="P32">
        <v>1993.52</v>
      </c>
      <c r="Q32">
        <v>0</v>
      </c>
      <c r="R32">
        <v>0</v>
      </c>
      <c r="S32">
        <v>22977.9</v>
      </c>
      <c r="T32" t="s">
        <v>4789</v>
      </c>
      <c r="U32">
        <v>1</v>
      </c>
      <c r="V32">
        <v>22977.9</v>
      </c>
      <c r="W32" t="s">
        <v>4343</v>
      </c>
      <c r="Y32" t="b">
        <v>0</v>
      </c>
      <c r="Z32" t="b">
        <v>0</v>
      </c>
      <c r="AA32">
        <v>22977.9</v>
      </c>
      <c r="AB32">
        <v>0</v>
      </c>
      <c r="AD32" t="b">
        <v>0</v>
      </c>
      <c r="AG32" s="1" t="s">
        <v>58</v>
      </c>
      <c r="AH32" s="1" t="s">
        <v>36</v>
      </c>
      <c r="AI32">
        <v>16</v>
      </c>
      <c r="AJ32">
        <v>83</v>
      </c>
      <c r="AK32" s="106">
        <v>45475.635439826387</v>
      </c>
      <c r="AL32" s="1" t="s">
        <v>4790</v>
      </c>
      <c r="AM32" s="42">
        <f>IFERROR(INDEX('Public procurment'!A:R,MATCH(ListOfExpenditure[[#This Row],[Content.contractId]],'Public procurment'!E:E,0),14),0)</f>
        <v>48391.99</v>
      </c>
      <c r="AN32" s="2">
        <f>IF(AND(ListOfExpenditure[[#This Row],[Contract amount]]&gt;10000,ListOfExpenditure[[#This Row],[Content.declaredAmount]]&gt;2000),1,0)</f>
        <v>1</v>
      </c>
      <c r="AO32">
        <f>IFERROR(INDEX('Public procurment'!A:S,MATCH(ListOfExpenditure[[#This Row],[Content.contractId]],'Public procurment'!E:E,0),19),0)</f>
        <v>0</v>
      </c>
      <c r="AP32">
        <f>IF(ListOfExpenditure[[#This Row],[Numero di volte controllato il contract ]]&gt;0,0,ListOfExpenditure[[#This Row],[IF public procurment &gt;10000;1;0]])</f>
        <v>1</v>
      </c>
    </row>
    <row r="33" spans="1:42" x14ac:dyDescent="0.25">
      <c r="A33">
        <v>597</v>
      </c>
      <c r="B33">
        <v>1</v>
      </c>
      <c r="E33" t="s">
        <v>4798</v>
      </c>
      <c r="F33" t="b">
        <v>0</v>
      </c>
      <c r="H33">
        <v>3</v>
      </c>
      <c r="I33" t="s">
        <v>4829</v>
      </c>
      <c r="J33" t="s">
        <v>4830</v>
      </c>
      <c r="K33" t="s">
        <v>4831</v>
      </c>
      <c r="L33" t="s">
        <v>4723</v>
      </c>
      <c r="M33" t="s">
        <v>4788</v>
      </c>
      <c r="N33" t="s">
        <v>4788</v>
      </c>
      <c r="O33">
        <v>169.86</v>
      </c>
      <c r="P33">
        <v>30.63</v>
      </c>
      <c r="Q33">
        <v>0</v>
      </c>
      <c r="R33">
        <v>0</v>
      </c>
      <c r="S33">
        <v>169.86</v>
      </c>
      <c r="T33" t="s">
        <v>4789</v>
      </c>
      <c r="U33">
        <v>1</v>
      </c>
      <c r="V33">
        <v>169.86</v>
      </c>
      <c r="W33" t="s">
        <v>4343</v>
      </c>
      <c r="Y33" t="b">
        <v>0</v>
      </c>
      <c r="Z33" t="b">
        <v>0</v>
      </c>
      <c r="AA33">
        <v>169.86</v>
      </c>
      <c r="AB33">
        <v>0</v>
      </c>
      <c r="AD33" t="b">
        <v>0</v>
      </c>
      <c r="AF33" t="s">
        <v>4832</v>
      </c>
      <c r="AG33" s="1" t="s">
        <v>58</v>
      </c>
      <c r="AH33" s="1" t="s">
        <v>21</v>
      </c>
      <c r="AI33">
        <v>13</v>
      </c>
      <c r="AJ33">
        <v>189</v>
      </c>
      <c r="AK33" s="106">
        <v>45475.635485405095</v>
      </c>
      <c r="AL33" s="1" t="s">
        <v>4790</v>
      </c>
      <c r="AM33" s="42">
        <f>IFERROR(INDEX('Public procurment'!A:R,MATCH(ListOfExpenditure[[#This Row],[Content.contractId]],'Public procurment'!E:E,0),14),0)</f>
        <v>139.22999999999999</v>
      </c>
      <c r="AN33" s="2">
        <f>IF(AND(ListOfExpenditure[[#This Row],[Contract amount]]&gt;10000,ListOfExpenditure[[#This Row],[Content.declaredAmount]]&gt;2000),1,0)</f>
        <v>0</v>
      </c>
      <c r="AO33">
        <f>IFERROR(INDEX('Public procurment'!A:S,MATCH(ListOfExpenditure[[#This Row],[Content.contractId]],'Public procurment'!E:E,0),19),0)</f>
        <v>0</v>
      </c>
      <c r="AP33">
        <f>IF(ListOfExpenditure[[#This Row],[Numero di volte controllato il contract ]]&gt;0,0,ListOfExpenditure[[#This Row],[IF public procurment &gt;10000;1;0]])</f>
        <v>0</v>
      </c>
    </row>
    <row r="34" spans="1:42" x14ac:dyDescent="0.25">
      <c r="A34">
        <v>598</v>
      </c>
      <c r="B34">
        <v>2</v>
      </c>
      <c r="E34" t="s">
        <v>4798</v>
      </c>
      <c r="F34" t="b">
        <v>0</v>
      </c>
      <c r="H34">
        <v>111</v>
      </c>
      <c r="I34" t="s">
        <v>4833</v>
      </c>
      <c r="J34" t="s">
        <v>4834</v>
      </c>
      <c r="K34" t="s">
        <v>4835</v>
      </c>
      <c r="L34" t="s">
        <v>4723</v>
      </c>
      <c r="M34" t="s">
        <v>4788</v>
      </c>
      <c r="N34" t="s">
        <v>4788</v>
      </c>
      <c r="O34">
        <v>11960</v>
      </c>
      <c r="P34">
        <v>460</v>
      </c>
      <c r="Q34">
        <v>0</v>
      </c>
      <c r="R34">
        <v>0</v>
      </c>
      <c r="S34">
        <v>11960</v>
      </c>
      <c r="T34" t="s">
        <v>4789</v>
      </c>
      <c r="U34">
        <v>1</v>
      </c>
      <c r="V34">
        <v>11960</v>
      </c>
      <c r="W34" t="s">
        <v>4343</v>
      </c>
      <c r="Y34" t="b">
        <v>1</v>
      </c>
      <c r="Z34" t="b">
        <v>0</v>
      </c>
      <c r="AA34">
        <v>11960</v>
      </c>
      <c r="AB34">
        <v>0</v>
      </c>
      <c r="AD34" t="b">
        <v>0</v>
      </c>
      <c r="AG34" s="1" t="s">
        <v>58</v>
      </c>
      <c r="AH34" s="1" t="s">
        <v>21</v>
      </c>
      <c r="AI34">
        <v>13</v>
      </c>
      <c r="AJ34">
        <v>189</v>
      </c>
      <c r="AK34" s="106">
        <v>45475.635485405095</v>
      </c>
      <c r="AL34" s="1" t="s">
        <v>4790</v>
      </c>
      <c r="AM34" s="42">
        <f>IFERROR(INDEX('Public procurment'!A:R,MATCH(ListOfExpenditure[[#This Row],[Content.contractId]],'Public procurment'!E:E,0),14),0)</f>
        <v>11500</v>
      </c>
      <c r="AN34" s="2">
        <f>IF(AND(ListOfExpenditure[[#This Row],[Contract amount]]&gt;10000,ListOfExpenditure[[#This Row],[Content.declaredAmount]]&gt;2000),1,0)</f>
        <v>1</v>
      </c>
      <c r="AO34">
        <f>IFERROR(INDEX('Public procurment'!A:S,MATCH(ListOfExpenditure[[#This Row],[Content.contractId]],'Public procurment'!E:E,0),19),0)</f>
        <v>1</v>
      </c>
      <c r="AP34">
        <f>IF(ListOfExpenditure[[#This Row],[Numero di volte controllato il contract ]]&gt;0,0,ListOfExpenditure[[#This Row],[IF public procurment &gt;10000;1;0]])</f>
        <v>0</v>
      </c>
    </row>
    <row r="35" spans="1:42" x14ac:dyDescent="0.25">
      <c r="A35">
        <v>599</v>
      </c>
      <c r="B35">
        <v>3</v>
      </c>
      <c r="E35" t="s">
        <v>4798</v>
      </c>
      <c r="F35" t="b">
        <v>0</v>
      </c>
      <c r="H35">
        <v>112</v>
      </c>
      <c r="I35" t="s">
        <v>4836</v>
      </c>
      <c r="J35" t="s">
        <v>4837</v>
      </c>
      <c r="K35" t="s">
        <v>4730</v>
      </c>
      <c r="L35" t="s">
        <v>4723</v>
      </c>
      <c r="M35" t="s">
        <v>4788</v>
      </c>
      <c r="N35" t="s">
        <v>4788</v>
      </c>
      <c r="O35">
        <v>722</v>
      </c>
      <c r="P35">
        <v>0</v>
      </c>
      <c r="Q35">
        <v>0</v>
      </c>
      <c r="R35">
        <v>0</v>
      </c>
      <c r="S35">
        <v>722</v>
      </c>
      <c r="T35" t="s">
        <v>4789</v>
      </c>
      <c r="U35">
        <v>1</v>
      </c>
      <c r="V35">
        <v>722</v>
      </c>
      <c r="W35" t="s">
        <v>4343</v>
      </c>
      <c r="Y35" t="b">
        <v>1</v>
      </c>
      <c r="Z35" t="b">
        <v>0</v>
      </c>
      <c r="AA35">
        <v>722</v>
      </c>
      <c r="AB35">
        <v>0</v>
      </c>
      <c r="AD35" t="b">
        <v>0</v>
      </c>
      <c r="AG35" s="1" t="s">
        <v>58</v>
      </c>
      <c r="AH35" s="1" t="s">
        <v>21</v>
      </c>
      <c r="AI35">
        <v>13</v>
      </c>
      <c r="AJ35">
        <v>189</v>
      </c>
      <c r="AK35" s="106">
        <v>45475.635485405095</v>
      </c>
      <c r="AL35" s="1" t="s">
        <v>4790</v>
      </c>
      <c r="AM35" s="42">
        <f>IFERROR(INDEX('Public procurment'!A:R,MATCH(ListOfExpenditure[[#This Row],[Content.contractId]],'Public procurment'!E:E,0),14),0)</f>
        <v>722</v>
      </c>
      <c r="AN35" s="2">
        <f>IF(AND(ListOfExpenditure[[#This Row],[Contract amount]]&gt;10000,ListOfExpenditure[[#This Row],[Content.declaredAmount]]&gt;2000),1,0)</f>
        <v>0</v>
      </c>
      <c r="AO35">
        <f>IFERROR(INDEX('Public procurment'!A:S,MATCH(ListOfExpenditure[[#This Row],[Content.contractId]],'Public procurment'!E:E,0),19),0)</f>
        <v>1</v>
      </c>
      <c r="AP35">
        <f>IF(ListOfExpenditure[[#This Row],[Numero di volte controllato il contract ]]&gt;0,0,ListOfExpenditure[[#This Row],[IF public procurment &gt;10000;1;0]])</f>
        <v>0</v>
      </c>
    </row>
    <row r="36" spans="1:42" x14ac:dyDescent="0.25">
      <c r="A36">
        <v>1</v>
      </c>
      <c r="B36">
        <v>1</v>
      </c>
      <c r="E36" t="s">
        <v>4798</v>
      </c>
      <c r="F36" t="b">
        <v>0</v>
      </c>
      <c r="H36">
        <v>2</v>
      </c>
      <c r="I36" t="s">
        <v>212</v>
      </c>
      <c r="J36" t="s">
        <v>4838</v>
      </c>
      <c r="K36" t="s">
        <v>4839</v>
      </c>
      <c r="L36" t="s">
        <v>4840</v>
      </c>
      <c r="M36" t="s">
        <v>4788</v>
      </c>
      <c r="N36" t="s">
        <v>4788</v>
      </c>
      <c r="O36">
        <v>10107.459999999999</v>
      </c>
      <c r="P36">
        <v>1822.66</v>
      </c>
      <c r="Q36">
        <v>0</v>
      </c>
      <c r="R36">
        <v>0</v>
      </c>
      <c r="S36">
        <v>10107.459999999999</v>
      </c>
      <c r="T36" t="s">
        <v>4789</v>
      </c>
      <c r="U36">
        <v>1</v>
      </c>
      <c r="V36">
        <v>10107.459999999999</v>
      </c>
      <c r="W36" t="s">
        <v>4343</v>
      </c>
      <c r="Y36" t="b">
        <v>1</v>
      </c>
      <c r="Z36" t="b">
        <v>0</v>
      </c>
      <c r="AA36">
        <v>10107.459999999999</v>
      </c>
      <c r="AB36">
        <v>0</v>
      </c>
      <c r="AD36" t="b">
        <v>0</v>
      </c>
      <c r="AG36" s="1" t="s">
        <v>58</v>
      </c>
      <c r="AH36" s="1" t="s">
        <v>21</v>
      </c>
      <c r="AI36">
        <v>13</v>
      </c>
      <c r="AJ36">
        <v>5</v>
      </c>
      <c r="AK36" s="106">
        <v>45475.635422824074</v>
      </c>
      <c r="AL36" s="1" t="s">
        <v>4790</v>
      </c>
      <c r="AM36" s="42">
        <f>IFERROR(INDEX('Public procurment'!A:R,MATCH(ListOfExpenditure[[#This Row],[Content.contractId]],'Public procurment'!E:E,0),14),0)</f>
        <v>17392.3</v>
      </c>
      <c r="AN36" s="2">
        <f>IF(AND(ListOfExpenditure[[#This Row],[Contract amount]]&gt;10000,ListOfExpenditure[[#This Row],[Content.declaredAmount]]&gt;2000),1,0)</f>
        <v>1</v>
      </c>
      <c r="AO36">
        <f>IFERROR(INDEX('Public procurment'!A:S,MATCH(ListOfExpenditure[[#This Row],[Content.contractId]],'Public procurment'!E:E,0),19),0)</f>
        <v>2</v>
      </c>
      <c r="AP36">
        <f>IF(ListOfExpenditure[[#This Row],[Numero di volte controllato il contract ]]&gt;0,0,ListOfExpenditure[[#This Row],[IF public procurment &gt;10000;1;0]])</f>
        <v>0</v>
      </c>
    </row>
    <row r="37" spans="1:42" x14ac:dyDescent="0.25">
      <c r="A37">
        <v>2</v>
      </c>
      <c r="B37">
        <v>2</v>
      </c>
      <c r="E37" t="s">
        <v>4798</v>
      </c>
      <c r="F37" t="b">
        <v>0</v>
      </c>
      <c r="H37">
        <v>2</v>
      </c>
      <c r="I37" t="s">
        <v>212</v>
      </c>
      <c r="J37" t="s">
        <v>4841</v>
      </c>
      <c r="K37" t="s">
        <v>4839</v>
      </c>
      <c r="L37" t="s">
        <v>4842</v>
      </c>
      <c r="M37" t="s">
        <v>4788</v>
      </c>
      <c r="N37" t="s">
        <v>4788</v>
      </c>
      <c r="O37">
        <v>10437.1</v>
      </c>
      <c r="P37">
        <v>1882.1</v>
      </c>
      <c r="Q37">
        <v>0</v>
      </c>
      <c r="R37">
        <v>0</v>
      </c>
      <c r="S37">
        <v>10437.1</v>
      </c>
      <c r="T37" t="s">
        <v>4789</v>
      </c>
      <c r="U37">
        <v>1</v>
      </c>
      <c r="V37">
        <v>10437.1</v>
      </c>
      <c r="W37" t="s">
        <v>4343</v>
      </c>
      <c r="Y37" t="b">
        <v>1</v>
      </c>
      <c r="Z37" t="b">
        <v>0</v>
      </c>
      <c r="AA37">
        <v>10437.1</v>
      </c>
      <c r="AB37">
        <v>0</v>
      </c>
      <c r="AD37" t="b">
        <v>0</v>
      </c>
      <c r="AG37" s="1" t="s">
        <v>58</v>
      </c>
      <c r="AH37" s="1" t="s">
        <v>21</v>
      </c>
      <c r="AI37">
        <v>13</v>
      </c>
      <c r="AJ37">
        <v>5</v>
      </c>
      <c r="AK37" s="106">
        <v>45475.635422824074</v>
      </c>
      <c r="AL37" s="1" t="s">
        <v>4790</v>
      </c>
      <c r="AM37" s="42">
        <f>IFERROR(INDEX('Public procurment'!A:R,MATCH(ListOfExpenditure[[#This Row],[Content.contractId]],'Public procurment'!E:E,0),14),0)</f>
        <v>17392.3</v>
      </c>
      <c r="AN37" s="2">
        <f>IF(AND(ListOfExpenditure[[#This Row],[Contract amount]]&gt;10000,ListOfExpenditure[[#This Row],[Content.declaredAmount]]&gt;2000),1,0)</f>
        <v>1</v>
      </c>
      <c r="AO37">
        <f>IFERROR(INDEX('Public procurment'!A:S,MATCH(ListOfExpenditure[[#This Row],[Content.contractId]],'Public procurment'!E:E,0),19),0)</f>
        <v>2</v>
      </c>
      <c r="AP37">
        <f>IF(ListOfExpenditure[[#This Row],[Numero di volte controllato il contract ]]&gt;0,0,ListOfExpenditure[[#This Row],[IF public procurment &gt;10000;1;0]])</f>
        <v>0</v>
      </c>
    </row>
    <row r="38" spans="1:42" x14ac:dyDescent="0.25">
      <c r="A38">
        <v>918</v>
      </c>
      <c r="B38">
        <v>1</v>
      </c>
      <c r="D38">
        <v>87</v>
      </c>
      <c r="E38" t="s">
        <v>4786</v>
      </c>
      <c r="F38" t="b">
        <v>0</v>
      </c>
      <c r="M38" t="s">
        <v>4788</v>
      </c>
      <c r="N38" t="s">
        <v>4788</v>
      </c>
      <c r="Q38">
        <v>200</v>
      </c>
      <c r="R38">
        <v>38</v>
      </c>
      <c r="S38">
        <v>7600</v>
      </c>
      <c r="T38" t="s">
        <v>4789</v>
      </c>
      <c r="U38">
        <v>1</v>
      </c>
      <c r="V38">
        <v>7600</v>
      </c>
      <c r="W38" t="s">
        <v>4343</v>
      </c>
      <c r="Y38" t="b">
        <v>0</v>
      </c>
      <c r="Z38" t="b">
        <v>0</v>
      </c>
      <c r="AA38">
        <v>7600</v>
      </c>
      <c r="AB38">
        <v>0</v>
      </c>
      <c r="AD38" t="b">
        <v>0</v>
      </c>
      <c r="AG38" s="1" t="s">
        <v>58</v>
      </c>
      <c r="AH38" s="1" t="s">
        <v>25</v>
      </c>
      <c r="AI38">
        <v>10</v>
      </c>
      <c r="AJ38">
        <v>227</v>
      </c>
      <c r="AK38" s="106">
        <v>45475.635527314815</v>
      </c>
      <c r="AL38" s="1" t="s">
        <v>4790</v>
      </c>
      <c r="AM38" s="42">
        <f>IFERROR(INDEX('Public procurment'!A:R,MATCH(ListOfExpenditure[[#This Row],[Content.contractId]],'Public procurment'!E:E,0),14),0)</f>
        <v>0</v>
      </c>
      <c r="AN38" s="2">
        <f>IF(AND(ListOfExpenditure[[#This Row],[Contract amount]]&gt;10000,ListOfExpenditure[[#This Row],[Content.declaredAmount]]&gt;2000),1,0)</f>
        <v>0</v>
      </c>
      <c r="AO38">
        <f>IFERROR(INDEX('Public procurment'!A:S,MATCH(ListOfExpenditure[[#This Row],[Content.contractId]],'Public procurment'!E:E,0),19),0)</f>
        <v>0</v>
      </c>
      <c r="AP38">
        <f>IF(ListOfExpenditure[[#This Row],[Numero di volte controllato il contract ]]&gt;0,0,ListOfExpenditure[[#This Row],[IF public procurment &gt;10000;1;0]])</f>
        <v>0</v>
      </c>
    </row>
    <row r="39" spans="1:42" x14ac:dyDescent="0.25">
      <c r="A39">
        <v>919</v>
      </c>
      <c r="B39">
        <v>2</v>
      </c>
      <c r="D39">
        <v>88</v>
      </c>
      <c r="E39" t="s">
        <v>4786</v>
      </c>
      <c r="F39" t="b">
        <v>0</v>
      </c>
      <c r="M39" t="s">
        <v>4788</v>
      </c>
      <c r="N39" t="s">
        <v>4788</v>
      </c>
      <c r="Q39">
        <v>85</v>
      </c>
      <c r="R39">
        <v>27</v>
      </c>
      <c r="S39">
        <v>2295</v>
      </c>
      <c r="T39" t="s">
        <v>4789</v>
      </c>
      <c r="U39">
        <v>1</v>
      </c>
      <c r="V39">
        <v>2295</v>
      </c>
      <c r="W39" t="s">
        <v>4343</v>
      </c>
      <c r="Y39" t="b">
        <v>0</v>
      </c>
      <c r="Z39" t="b">
        <v>0</v>
      </c>
      <c r="AA39">
        <v>2295</v>
      </c>
      <c r="AB39">
        <v>0</v>
      </c>
      <c r="AD39" t="b">
        <v>0</v>
      </c>
      <c r="AG39" s="1" t="s">
        <v>58</v>
      </c>
      <c r="AH39" s="1" t="s">
        <v>25</v>
      </c>
      <c r="AI39">
        <v>10</v>
      </c>
      <c r="AJ39">
        <v>227</v>
      </c>
      <c r="AK39" s="106">
        <v>45475.635527314815</v>
      </c>
      <c r="AL39" s="1" t="s">
        <v>4790</v>
      </c>
      <c r="AM39" s="42">
        <f>IFERROR(INDEX('Public procurment'!A:R,MATCH(ListOfExpenditure[[#This Row],[Content.contractId]],'Public procurment'!E:E,0),14),0)</f>
        <v>0</v>
      </c>
      <c r="AN39" s="2">
        <f>IF(AND(ListOfExpenditure[[#This Row],[Contract amount]]&gt;10000,ListOfExpenditure[[#This Row],[Content.declaredAmount]]&gt;2000),1,0)</f>
        <v>0</v>
      </c>
      <c r="AO39">
        <f>IFERROR(INDEX('Public procurment'!A:S,MATCH(ListOfExpenditure[[#This Row],[Content.contractId]],'Public procurment'!E:E,0),19),0)</f>
        <v>0</v>
      </c>
      <c r="AP39">
        <f>IF(ListOfExpenditure[[#This Row],[Numero di volte controllato il contract ]]&gt;0,0,ListOfExpenditure[[#This Row],[IF public procurment &gt;10000;1;0]])</f>
        <v>0</v>
      </c>
    </row>
    <row r="40" spans="1:42" x14ac:dyDescent="0.25">
      <c r="A40">
        <v>920</v>
      </c>
      <c r="B40">
        <v>3</v>
      </c>
      <c r="D40">
        <v>88</v>
      </c>
      <c r="E40" t="s">
        <v>4786</v>
      </c>
      <c r="F40" t="b">
        <v>0</v>
      </c>
      <c r="M40" t="s">
        <v>4788</v>
      </c>
      <c r="N40" t="s">
        <v>4788</v>
      </c>
      <c r="Q40">
        <v>85</v>
      </c>
      <c r="R40">
        <v>27</v>
      </c>
      <c r="S40">
        <v>2295</v>
      </c>
      <c r="T40" t="s">
        <v>4789</v>
      </c>
      <c r="U40">
        <v>1</v>
      </c>
      <c r="V40">
        <v>2295</v>
      </c>
      <c r="W40" t="s">
        <v>4343</v>
      </c>
      <c r="Y40" t="b">
        <v>0</v>
      </c>
      <c r="Z40" t="b">
        <v>0</v>
      </c>
      <c r="AA40">
        <v>2295</v>
      </c>
      <c r="AB40">
        <v>0</v>
      </c>
      <c r="AD40" t="b">
        <v>0</v>
      </c>
      <c r="AG40" s="1" t="s">
        <v>58</v>
      </c>
      <c r="AH40" s="1" t="s">
        <v>25</v>
      </c>
      <c r="AI40">
        <v>10</v>
      </c>
      <c r="AJ40">
        <v>227</v>
      </c>
      <c r="AK40" s="106">
        <v>45475.635527314815</v>
      </c>
      <c r="AL40" s="1" t="s">
        <v>4790</v>
      </c>
      <c r="AM40" s="42">
        <f>IFERROR(INDEX('Public procurment'!A:R,MATCH(ListOfExpenditure[[#This Row],[Content.contractId]],'Public procurment'!E:E,0),14),0)</f>
        <v>0</v>
      </c>
      <c r="AN40" s="2">
        <f>IF(AND(ListOfExpenditure[[#This Row],[Contract amount]]&gt;10000,ListOfExpenditure[[#This Row],[Content.declaredAmount]]&gt;2000),1,0)</f>
        <v>0</v>
      </c>
      <c r="AO40">
        <f>IFERROR(INDEX('Public procurment'!A:S,MATCH(ListOfExpenditure[[#This Row],[Content.contractId]],'Public procurment'!E:E,0),19),0)</f>
        <v>0</v>
      </c>
      <c r="AP40">
        <f>IF(ListOfExpenditure[[#This Row],[Numero di volte controllato il contract ]]&gt;0,0,ListOfExpenditure[[#This Row],[IF public procurment &gt;10000;1;0]])</f>
        <v>0</v>
      </c>
    </row>
    <row r="41" spans="1:42" x14ac:dyDescent="0.25">
      <c r="A41">
        <v>1200</v>
      </c>
      <c r="B41">
        <v>4</v>
      </c>
      <c r="E41" t="s">
        <v>4798</v>
      </c>
      <c r="F41" t="b">
        <v>0</v>
      </c>
      <c r="I41" t="s">
        <v>6228</v>
      </c>
      <c r="J41" t="s">
        <v>6229</v>
      </c>
      <c r="K41" t="s">
        <v>4957</v>
      </c>
      <c r="L41" t="s">
        <v>5480</v>
      </c>
      <c r="M41" t="s">
        <v>4788</v>
      </c>
      <c r="N41" t="s">
        <v>4788</v>
      </c>
      <c r="O41">
        <v>480.35</v>
      </c>
      <c r="P41">
        <v>12.62</v>
      </c>
      <c r="Q41">
        <v>0</v>
      </c>
      <c r="R41">
        <v>0</v>
      </c>
      <c r="S41">
        <v>480.35</v>
      </c>
      <c r="T41" t="s">
        <v>4789</v>
      </c>
      <c r="U41">
        <v>1</v>
      </c>
      <c r="V41">
        <v>480.35</v>
      </c>
      <c r="W41" t="s">
        <v>4343</v>
      </c>
      <c r="Y41" t="b">
        <v>0</v>
      </c>
      <c r="Z41" t="b">
        <v>0</v>
      </c>
      <c r="AA41">
        <v>480.35</v>
      </c>
      <c r="AB41">
        <v>0</v>
      </c>
      <c r="AD41" t="b">
        <v>0</v>
      </c>
      <c r="AG41" s="1" t="s">
        <v>58</v>
      </c>
      <c r="AH41" s="1" t="s">
        <v>25</v>
      </c>
      <c r="AI41">
        <v>10</v>
      </c>
      <c r="AJ41">
        <v>227</v>
      </c>
      <c r="AK41" s="106">
        <v>45475.635527314815</v>
      </c>
      <c r="AL41" s="1" t="s">
        <v>4790</v>
      </c>
      <c r="AM41" s="42">
        <f>IFERROR(INDEX('Public procurment'!A:R,MATCH(ListOfExpenditure[[#This Row],[Content.contractId]],'Public procurment'!E:E,0),14),0)</f>
        <v>0</v>
      </c>
      <c r="AN41" s="2">
        <f>IF(AND(ListOfExpenditure[[#This Row],[Contract amount]]&gt;10000,ListOfExpenditure[[#This Row],[Content.declaredAmount]]&gt;2000),1,0)</f>
        <v>0</v>
      </c>
      <c r="AO41">
        <f>IFERROR(INDEX('Public procurment'!A:S,MATCH(ListOfExpenditure[[#This Row],[Content.contractId]],'Public procurment'!E:E,0),19),0)</f>
        <v>0</v>
      </c>
      <c r="AP41">
        <f>IF(ListOfExpenditure[[#This Row],[Numero di volte controllato il contract ]]&gt;0,0,ListOfExpenditure[[#This Row],[IF public procurment &gt;10000;1;0]])</f>
        <v>0</v>
      </c>
    </row>
    <row r="42" spans="1:42" x14ac:dyDescent="0.25">
      <c r="A42">
        <v>1230</v>
      </c>
      <c r="B42">
        <v>5</v>
      </c>
      <c r="E42" t="s">
        <v>4798</v>
      </c>
      <c r="F42" t="b">
        <v>0</v>
      </c>
      <c r="I42" t="s">
        <v>6230</v>
      </c>
      <c r="J42" t="s">
        <v>6231</v>
      </c>
      <c r="K42" t="s">
        <v>5488</v>
      </c>
      <c r="L42" t="s">
        <v>4901</v>
      </c>
      <c r="M42" t="s">
        <v>4788</v>
      </c>
      <c r="N42" t="s">
        <v>4788</v>
      </c>
      <c r="O42">
        <v>800</v>
      </c>
      <c r="P42">
        <v>2</v>
      </c>
      <c r="Q42">
        <v>0</v>
      </c>
      <c r="R42">
        <v>0</v>
      </c>
      <c r="S42">
        <v>802</v>
      </c>
      <c r="T42" t="s">
        <v>4789</v>
      </c>
      <c r="U42">
        <v>1</v>
      </c>
      <c r="V42">
        <v>802</v>
      </c>
      <c r="W42" t="s">
        <v>4343</v>
      </c>
      <c r="Y42" t="b">
        <v>0</v>
      </c>
      <c r="Z42" t="b">
        <v>0</v>
      </c>
      <c r="AA42">
        <v>802</v>
      </c>
      <c r="AB42">
        <v>0</v>
      </c>
      <c r="AD42" t="b">
        <v>0</v>
      </c>
      <c r="AG42" s="1" t="s">
        <v>58</v>
      </c>
      <c r="AH42" s="1" t="s">
        <v>25</v>
      </c>
      <c r="AI42">
        <v>10</v>
      </c>
      <c r="AJ42">
        <v>227</v>
      </c>
      <c r="AK42" s="106">
        <v>45475.635527314815</v>
      </c>
      <c r="AL42" s="1" t="s">
        <v>4790</v>
      </c>
      <c r="AM42" s="42">
        <f>IFERROR(INDEX('Public procurment'!A:R,MATCH(ListOfExpenditure[[#This Row],[Content.contractId]],'Public procurment'!E:E,0),14),0)</f>
        <v>0</v>
      </c>
      <c r="AN42" s="2">
        <f>IF(AND(ListOfExpenditure[[#This Row],[Contract amount]]&gt;10000,ListOfExpenditure[[#This Row],[Content.declaredAmount]]&gt;2000),1,0)</f>
        <v>0</v>
      </c>
      <c r="AO42">
        <f>IFERROR(INDEX('Public procurment'!A:S,MATCH(ListOfExpenditure[[#This Row],[Content.contractId]],'Public procurment'!E:E,0),19),0)</f>
        <v>0</v>
      </c>
      <c r="AP42">
        <f>IF(ListOfExpenditure[[#This Row],[Numero di volte controllato il contract ]]&gt;0,0,ListOfExpenditure[[#This Row],[IF public procurment &gt;10000;1;0]])</f>
        <v>0</v>
      </c>
    </row>
    <row r="43" spans="1:42" x14ac:dyDescent="0.25">
      <c r="A43">
        <v>1243</v>
      </c>
      <c r="B43">
        <v>6</v>
      </c>
      <c r="E43" t="s">
        <v>4798</v>
      </c>
      <c r="F43" t="b">
        <v>0</v>
      </c>
      <c r="I43" t="s">
        <v>6232</v>
      </c>
      <c r="J43" t="s">
        <v>6233</v>
      </c>
      <c r="K43" t="s">
        <v>4525</v>
      </c>
      <c r="L43" t="s">
        <v>6234</v>
      </c>
      <c r="M43" t="s">
        <v>4788</v>
      </c>
      <c r="N43" t="s">
        <v>4788</v>
      </c>
      <c r="O43">
        <v>70</v>
      </c>
      <c r="P43">
        <v>15.4</v>
      </c>
      <c r="Q43">
        <v>0</v>
      </c>
      <c r="R43">
        <v>0</v>
      </c>
      <c r="S43">
        <v>85.4</v>
      </c>
      <c r="T43" t="s">
        <v>4789</v>
      </c>
      <c r="U43">
        <v>1</v>
      </c>
      <c r="V43">
        <v>85.4</v>
      </c>
      <c r="W43" t="s">
        <v>4343</v>
      </c>
      <c r="Y43" t="b">
        <v>0</v>
      </c>
      <c r="Z43" t="b">
        <v>0</v>
      </c>
      <c r="AA43">
        <v>85.4</v>
      </c>
      <c r="AB43">
        <v>0</v>
      </c>
      <c r="AD43" t="b">
        <v>0</v>
      </c>
      <c r="AG43" s="1" t="s">
        <v>58</v>
      </c>
      <c r="AH43" s="1" t="s">
        <v>25</v>
      </c>
      <c r="AI43">
        <v>10</v>
      </c>
      <c r="AJ43">
        <v>227</v>
      </c>
      <c r="AK43" s="106">
        <v>45475.635527314815</v>
      </c>
      <c r="AL43" s="1" t="s">
        <v>4790</v>
      </c>
      <c r="AM43" s="42">
        <f>IFERROR(INDEX('Public procurment'!A:R,MATCH(ListOfExpenditure[[#This Row],[Content.contractId]],'Public procurment'!E:E,0),14),0)</f>
        <v>0</v>
      </c>
      <c r="AN43" s="2">
        <f>IF(AND(ListOfExpenditure[[#This Row],[Contract amount]]&gt;10000,ListOfExpenditure[[#This Row],[Content.declaredAmount]]&gt;2000),1,0)</f>
        <v>0</v>
      </c>
      <c r="AO43">
        <f>IFERROR(INDEX('Public procurment'!A:S,MATCH(ListOfExpenditure[[#This Row],[Content.contractId]],'Public procurment'!E:E,0),19),0)</f>
        <v>0</v>
      </c>
      <c r="AP43">
        <f>IF(ListOfExpenditure[[#This Row],[Numero di volte controllato il contract ]]&gt;0,0,ListOfExpenditure[[#This Row],[IF public procurment &gt;10000;1;0]])</f>
        <v>0</v>
      </c>
    </row>
    <row r="44" spans="1:42" x14ac:dyDescent="0.25">
      <c r="A44">
        <v>1254</v>
      </c>
      <c r="B44">
        <v>7</v>
      </c>
      <c r="E44" t="s">
        <v>4798</v>
      </c>
      <c r="F44" t="b">
        <v>0</v>
      </c>
      <c r="I44" t="s">
        <v>6235</v>
      </c>
      <c r="J44" t="s">
        <v>6236</v>
      </c>
      <c r="K44" t="s">
        <v>5127</v>
      </c>
      <c r="L44" t="s">
        <v>5115</v>
      </c>
      <c r="M44" t="s">
        <v>4788</v>
      </c>
      <c r="N44" t="s">
        <v>4788</v>
      </c>
      <c r="O44">
        <v>850</v>
      </c>
      <c r="P44">
        <v>187</v>
      </c>
      <c r="Q44">
        <v>0</v>
      </c>
      <c r="R44">
        <v>0</v>
      </c>
      <c r="S44">
        <v>1037</v>
      </c>
      <c r="T44" t="s">
        <v>4789</v>
      </c>
      <c r="U44">
        <v>1</v>
      </c>
      <c r="V44">
        <v>1037</v>
      </c>
      <c r="W44" t="s">
        <v>4343</v>
      </c>
      <c r="Y44" t="b">
        <v>0</v>
      </c>
      <c r="Z44" t="b">
        <v>0</v>
      </c>
      <c r="AA44">
        <v>1037</v>
      </c>
      <c r="AB44">
        <v>0</v>
      </c>
      <c r="AD44" t="b">
        <v>0</v>
      </c>
      <c r="AG44" s="1" t="s">
        <v>58</v>
      </c>
      <c r="AH44" s="1" t="s">
        <v>25</v>
      </c>
      <c r="AI44">
        <v>10</v>
      </c>
      <c r="AJ44">
        <v>227</v>
      </c>
      <c r="AK44" s="106">
        <v>45475.635527314815</v>
      </c>
      <c r="AL44" s="1" t="s">
        <v>4790</v>
      </c>
      <c r="AM44" s="42">
        <f>IFERROR(INDEX('Public procurment'!A:R,MATCH(ListOfExpenditure[[#This Row],[Content.contractId]],'Public procurment'!E:E,0),14),0)</f>
        <v>0</v>
      </c>
      <c r="AN44" s="2">
        <f>IF(AND(ListOfExpenditure[[#This Row],[Contract amount]]&gt;10000,ListOfExpenditure[[#This Row],[Content.declaredAmount]]&gt;2000),1,0)</f>
        <v>0</v>
      </c>
      <c r="AO44">
        <f>IFERROR(INDEX('Public procurment'!A:S,MATCH(ListOfExpenditure[[#This Row],[Content.contractId]],'Public procurment'!E:E,0),19),0)</f>
        <v>0</v>
      </c>
      <c r="AP44">
        <f>IF(ListOfExpenditure[[#This Row],[Numero di volte controllato il contract ]]&gt;0,0,ListOfExpenditure[[#This Row],[IF public procurment &gt;10000;1;0]])</f>
        <v>0</v>
      </c>
    </row>
    <row r="45" spans="1:42" x14ac:dyDescent="0.25">
      <c r="A45">
        <v>19</v>
      </c>
      <c r="B45">
        <v>1</v>
      </c>
      <c r="D45">
        <v>19</v>
      </c>
      <c r="E45" t="s">
        <v>4786</v>
      </c>
      <c r="F45" t="b">
        <v>0</v>
      </c>
      <c r="M45" t="s">
        <v>4788</v>
      </c>
      <c r="N45" t="s">
        <v>4788</v>
      </c>
      <c r="Q45">
        <v>120</v>
      </c>
      <c r="R45">
        <v>38</v>
      </c>
      <c r="S45">
        <v>4560</v>
      </c>
      <c r="T45" t="s">
        <v>4789</v>
      </c>
      <c r="U45">
        <v>1</v>
      </c>
      <c r="V45">
        <v>4560</v>
      </c>
      <c r="W45" t="s">
        <v>4343</v>
      </c>
      <c r="Y45" t="b">
        <v>1</v>
      </c>
      <c r="Z45" t="b">
        <v>0</v>
      </c>
      <c r="AA45">
        <v>4560</v>
      </c>
      <c r="AB45">
        <v>0</v>
      </c>
      <c r="AD45" t="b">
        <v>0</v>
      </c>
      <c r="AG45" s="1" t="s">
        <v>58</v>
      </c>
      <c r="AH45" s="1" t="s">
        <v>25</v>
      </c>
      <c r="AI45">
        <v>10</v>
      </c>
      <c r="AJ45">
        <v>27</v>
      </c>
      <c r="AK45" s="106">
        <v>45475.635427893518</v>
      </c>
      <c r="AL45" s="1" t="s">
        <v>4790</v>
      </c>
      <c r="AM45" s="42">
        <f>IFERROR(INDEX('Public procurment'!A:R,MATCH(ListOfExpenditure[[#This Row],[Content.contractId]],'Public procurment'!E:E,0),14),0)</f>
        <v>0</v>
      </c>
      <c r="AN45" s="2">
        <f>IF(AND(ListOfExpenditure[[#This Row],[Contract amount]]&gt;10000,ListOfExpenditure[[#This Row],[Content.declaredAmount]]&gt;2000),1,0)</f>
        <v>0</v>
      </c>
      <c r="AO45">
        <f>IFERROR(INDEX('Public procurment'!A:S,MATCH(ListOfExpenditure[[#This Row],[Content.contractId]],'Public procurment'!E:E,0),19),0)</f>
        <v>0</v>
      </c>
      <c r="AP45">
        <f>IF(ListOfExpenditure[[#This Row],[Numero di volte controllato il contract ]]&gt;0,0,ListOfExpenditure[[#This Row],[IF public procurment &gt;10000;1;0]])</f>
        <v>0</v>
      </c>
    </row>
    <row r="46" spans="1:42" x14ac:dyDescent="0.25">
      <c r="A46">
        <v>78</v>
      </c>
      <c r="B46">
        <v>2</v>
      </c>
      <c r="D46">
        <v>18</v>
      </c>
      <c r="E46" t="s">
        <v>4786</v>
      </c>
      <c r="F46" t="b">
        <v>0</v>
      </c>
      <c r="M46" t="s">
        <v>4788</v>
      </c>
      <c r="N46" t="s">
        <v>4788</v>
      </c>
      <c r="Q46">
        <v>153</v>
      </c>
      <c r="R46">
        <v>27</v>
      </c>
      <c r="S46">
        <v>4131</v>
      </c>
      <c r="T46" t="s">
        <v>4789</v>
      </c>
      <c r="U46">
        <v>1</v>
      </c>
      <c r="V46">
        <v>4131</v>
      </c>
      <c r="W46" t="s">
        <v>4343</v>
      </c>
      <c r="Y46" t="b">
        <v>1</v>
      </c>
      <c r="Z46" t="b">
        <v>0</v>
      </c>
      <c r="AA46">
        <v>4131</v>
      </c>
      <c r="AB46">
        <v>0</v>
      </c>
      <c r="AD46" t="b">
        <v>0</v>
      </c>
      <c r="AG46" s="1" t="s">
        <v>58</v>
      </c>
      <c r="AH46" s="1" t="s">
        <v>25</v>
      </c>
      <c r="AI46">
        <v>10</v>
      </c>
      <c r="AJ46">
        <v>27</v>
      </c>
      <c r="AK46" s="106">
        <v>45475.635427893518</v>
      </c>
      <c r="AL46" s="1" t="s">
        <v>4790</v>
      </c>
      <c r="AM46" s="42">
        <f>IFERROR(INDEX('Public procurment'!A:R,MATCH(ListOfExpenditure[[#This Row],[Content.contractId]],'Public procurment'!E:E,0),14),0)</f>
        <v>0</v>
      </c>
      <c r="AN46" s="2">
        <f>IF(AND(ListOfExpenditure[[#This Row],[Contract amount]]&gt;10000,ListOfExpenditure[[#This Row],[Content.declaredAmount]]&gt;2000),1,0)</f>
        <v>0</v>
      </c>
      <c r="AO46">
        <f>IFERROR(INDEX('Public procurment'!A:S,MATCH(ListOfExpenditure[[#This Row],[Content.contractId]],'Public procurment'!E:E,0),19),0)</f>
        <v>0</v>
      </c>
      <c r="AP46">
        <f>IF(ListOfExpenditure[[#This Row],[Numero di volte controllato il contract ]]&gt;0,0,ListOfExpenditure[[#This Row],[IF public procurment &gt;10000;1;0]])</f>
        <v>0</v>
      </c>
    </row>
    <row r="47" spans="1:42" x14ac:dyDescent="0.25">
      <c r="A47">
        <v>79</v>
      </c>
      <c r="B47">
        <v>3</v>
      </c>
      <c r="D47">
        <v>18</v>
      </c>
      <c r="E47" t="s">
        <v>4786</v>
      </c>
      <c r="F47" t="b">
        <v>0</v>
      </c>
      <c r="M47" t="s">
        <v>4788</v>
      </c>
      <c r="N47" t="s">
        <v>4788</v>
      </c>
      <c r="Q47">
        <v>153</v>
      </c>
      <c r="R47">
        <v>27</v>
      </c>
      <c r="S47">
        <v>4131</v>
      </c>
      <c r="T47" t="s">
        <v>4789</v>
      </c>
      <c r="U47">
        <v>1</v>
      </c>
      <c r="V47">
        <v>4131</v>
      </c>
      <c r="W47" t="s">
        <v>4343</v>
      </c>
      <c r="Y47" t="b">
        <v>1</v>
      </c>
      <c r="Z47" t="b">
        <v>0</v>
      </c>
      <c r="AA47">
        <v>4131</v>
      </c>
      <c r="AB47">
        <v>0</v>
      </c>
      <c r="AD47" t="b">
        <v>0</v>
      </c>
      <c r="AG47" s="1" t="s">
        <v>58</v>
      </c>
      <c r="AH47" s="1" t="s">
        <v>25</v>
      </c>
      <c r="AI47">
        <v>10</v>
      </c>
      <c r="AJ47">
        <v>27</v>
      </c>
      <c r="AK47" s="106">
        <v>45475.635427893518</v>
      </c>
      <c r="AL47" s="1" t="s">
        <v>4790</v>
      </c>
      <c r="AM47" s="42">
        <f>IFERROR(INDEX('Public procurment'!A:R,MATCH(ListOfExpenditure[[#This Row],[Content.contractId]],'Public procurment'!E:E,0),14),0)</f>
        <v>0</v>
      </c>
      <c r="AN47" s="2">
        <f>IF(AND(ListOfExpenditure[[#This Row],[Contract amount]]&gt;10000,ListOfExpenditure[[#This Row],[Content.declaredAmount]]&gt;2000),1,0)</f>
        <v>0</v>
      </c>
      <c r="AO47">
        <f>IFERROR(INDEX('Public procurment'!A:S,MATCH(ListOfExpenditure[[#This Row],[Content.contractId]],'Public procurment'!E:E,0),19),0)</f>
        <v>0</v>
      </c>
      <c r="AP47">
        <f>IF(ListOfExpenditure[[#This Row],[Numero di volte controllato il contract ]]&gt;0,0,ListOfExpenditure[[#This Row],[IF public procurment &gt;10000;1;0]])</f>
        <v>0</v>
      </c>
    </row>
    <row r="48" spans="1:42" x14ac:dyDescent="0.25">
      <c r="A48">
        <v>147</v>
      </c>
      <c r="B48">
        <v>1</v>
      </c>
      <c r="E48" t="s">
        <v>4786</v>
      </c>
      <c r="F48" t="b">
        <v>0</v>
      </c>
      <c r="I48" t="s">
        <v>4843</v>
      </c>
      <c r="K48" t="s">
        <v>4844</v>
      </c>
      <c r="L48" t="s">
        <v>4845</v>
      </c>
      <c r="M48" t="s">
        <v>4788</v>
      </c>
      <c r="N48" t="s">
        <v>4788</v>
      </c>
      <c r="O48">
        <v>73971.06</v>
      </c>
      <c r="Q48">
        <v>0</v>
      </c>
      <c r="R48">
        <v>0</v>
      </c>
      <c r="S48">
        <v>3698.55</v>
      </c>
      <c r="T48" t="s">
        <v>4789</v>
      </c>
      <c r="U48">
        <v>1</v>
      </c>
      <c r="V48">
        <v>3698.55</v>
      </c>
      <c r="W48" t="s">
        <v>4343</v>
      </c>
      <c r="Y48" t="b">
        <v>1</v>
      </c>
      <c r="Z48" t="b">
        <v>0</v>
      </c>
      <c r="AA48">
        <v>3698.4</v>
      </c>
      <c r="AB48">
        <v>0.15</v>
      </c>
      <c r="AC48">
        <v>3</v>
      </c>
      <c r="AD48" t="b">
        <v>0</v>
      </c>
      <c r="AF48" t="s">
        <v>4846</v>
      </c>
      <c r="AG48" s="1" t="s">
        <v>58</v>
      </c>
      <c r="AH48" s="1" t="s">
        <v>33</v>
      </c>
      <c r="AI48">
        <v>15</v>
      </c>
      <c r="AJ48">
        <v>55</v>
      </c>
      <c r="AK48" s="106">
        <v>45475.635436817131</v>
      </c>
      <c r="AL48" s="1" t="s">
        <v>4790</v>
      </c>
      <c r="AM48" s="42">
        <f>IFERROR(INDEX('Public procurment'!A:R,MATCH(ListOfExpenditure[[#This Row],[Content.contractId]],'Public procurment'!E:E,0),14),0)</f>
        <v>0</v>
      </c>
      <c r="AN48" s="2">
        <f>IF(AND(ListOfExpenditure[[#This Row],[Contract amount]]&gt;10000,ListOfExpenditure[[#This Row],[Content.declaredAmount]]&gt;2000),1,0)</f>
        <v>0</v>
      </c>
      <c r="AO48">
        <f>IFERROR(INDEX('Public procurment'!A:S,MATCH(ListOfExpenditure[[#This Row],[Content.contractId]],'Public procurment'!E:E,0),19),0)</f>
        <v>0</v>
      </c>
      <c r="AP48">
        <f>IF(ListOfExpenditure[[#This Row],[Numero di volte controllato il contract ]]&gt;0,0,ListOfExpenditure[[#This Row],[IF public procurment &gt;10000;1;0]])</f>
        <v>0</v>
      </c>
    </row>
    <row r="49" spans="1:42" x14ac:dyDescent="0.25">
      <c r="A49">
        <v>148</v>
      </c>
      <c r="B49">
        <v>2</v>
      </c>
      <c r="E49" t="s">
        <v>4786</v>
      </c>
      <c r="F49" t="b">
        <v>0</v>
      </c>
      <c r="I49" t="s">
        <v>4847</v>
      </c>
      <c r="K49" t="s">
        <v>4844</v>
      </c>
      <c r="L49" t="s">
        <v>4845</v>
      </c>
      <c r="M49" t="s">
        <v>4788</v>
      </c>
      <c r="N49" t="s">
        <v>4788</v>
      </c>
      <c r="O49">
        <v>40620.85</v>
      </c>
      <c r="Q49">
        <v>0</v>
      </c>
      <c r="R49">
        <v>0</v>
      </c>
      <c r="S49">
        <v>16248.34</v>
      </c>
      <c r="T49" t="s">
        <v>4789</v>
      </c>
      <c r="U49">
        <v>1</v>
      </c>
      <c r="V49">
        <v>16248.34</v>
      </c>
      <c r="W49" t="s">
        <v>4343</v>
      </c>
      <c r="Y49" t="b">
        <v>1</v>
      </c>
      <c r="Z49" t="b">
        <v>0</v>
      </c>
      <c r="AA49">
        <v>16248.34</v>
      </c>
      <c r="AB49">
        <v>0</v>
      </c>
      <c r="AD49" t="b">
        <v>0</v>
      </c>
      <c r="AG49" s="1" t="s">
        <v>58</v>
      </c>
      <c r="AH49" s="1" t="s">
        <v>33</v>
      </c>
      <c r="AI49">
        <v>15</v>
      </c>
      <c r="AJ49">
        <v>55</v>
      </c>
      <c r="AK49" s="106">
        <v>45475.635436817131</v>
      </c>
      <c r="AL49" s="1" t="s">
        <v>4790</v>
      </c>
      <c r="AM49" s="42">
        <f>IFERROR(INDEX('Public procurment'!A:R,MATCH(ListOfExpenditure[[#This Row],[Content.contractId]],'Public procurment'!E:E,0),14),0)</f>
        <v>0</v>
      </c>
      <c r="AN49" s="2">
        <f>IF(AND(ListOfExpenditure[[#This Row],[Contract amount]]&gt;10000,ListOfExpenditure[[#This Row],[Content.declaredAmount]]&gt;2000),1,0)</f>
        <v>0</v>
      </c>
      <c r="AO49">
        <f>IFERROR(INDEX('Public procurment'!A:S,MATCH(ListOfExpenditure[[#This Row],[Content.contractId]],'Public procurment'!E:E,0),19),0)</f>
        <v>0</v>
      </c>
      <c r="AP49">
        <f>IF(ListOfExpenditure[[#This Row],[Numero di volte controllato il contract ]]&gt;0,0,ListOfExpenditure[[#This Row],[IF public procurment &gt;10000;1;0]])</f>
        <v>0</v>
      </c>
    </row>
    <row r="50" spans="1:42" x14ac:dyDescent="0.25">
      <c r="A50">
        <v>149</v>
      </c>
      <c r="B50">
        <v>3</v>
      </c>
      <c r="E50" t="s">
        <v>4786</v>
      </c>
      <c r="F50" t="b">
        <v>0</v>
      </c>
      <c r="I50" t="s">
        <v>4848</v>
      </c>
      <c r="K50" t="s">
        <v>4844</v>
      </c>
      <c r="L50" t="s">
        <v>4845</v>
      </c>
      <c r="M50" t="s">
        <v>4788</v>
      </c>
      <c r="N50" t="s">
        <v>4788</v>
      </c>
      <c r="O50">
        <v>32972.78</v>
      </c>
      <c r="Q50">
        <v>0</v>
      </c>
      <c r="R50">
        <v>0</v>
      </c>
      <c r="S50">
        <v>13189.11</v>
      </c>
      <c r="T50" t="s">
        <v>4789</v>
      </c>
      <c r="U50">
        <v>1</v>
      </c>
      <c r="V50">
        <v>13189.11</v>
      </c>
      <c r="W50" t="s">
        <v>4343</v>
      </c>
      <c r="Y50" t="b">
        <v>1</v>
      </c>
      <c r="Z50" t="b">
        <v>0</v>
      </c>
      <c r="AA50">
        <v>13189.11</v>
      </c>
      <c r="AB50">
        <v>0</v>
      </c>
      <c r="AD50" t="b">
        <v>0</v>
      </c>
      <c r="AG50" s="1" t="s">
        <v>58</v>
      </c>
      <c r="AH50" s="1" t="s">
        <v>33</v>
      </c>
      <c r="AI50">
        <v>15</v>
      </c>
      <c r="AJ50">
        <v>55</v>
      </c>
      <c r="AK50" s="106">
        <v>45475.635436817131</v>
      </c>
      <c r="AL50" s="1" t="s">
        <v>4790</v>
      </c>
      <c r="AM50" s="42">
        <f>IFERROR(INDEX('Public procurment'!A:R,MATCH(ListOfExpenditure[[#This Row],[Content.contractId]],'Public procurment'!E:E,0),14),0)</f>
        <v>0</v>
      </c>
      <c r="AN50" s="2">
        <f>IF(AND(ListOfExpenditure[[#This Row],[Contract amount]]&gt;10000,ListOfExpenditure[[#This Row],[Content.declaredAmount]]&gt;2000),1,0)</f>
        <v>0</v>
      </c>
      <c r="AO50">
        <f>IFERROR(INDEX('Public procurment'!A:S,MATCH(ListOfExpenditure[[#This Row],[Content.contractId]],'Public procurment'!E:E,0),19),0)</f>
        <v>0</v>
      </c>
      <c r="AP50">
        <f>IF(ListOfExpenditure[[#This Row],[Numero di volte controllato il contract ]]&gt;0,0,ListOfExpenditure[[#This Row],[IF public procurment &gt;10000;1;0]])</f>
        <v>0</v>
      </c>
    </row>
    <row r="51" spans="1:42" x14ac:dyDescent="0.25">
      <c r="A51">
        <v>150</v>
      </c>
      <c r="B51">
        <v>4</v>
      </c>
      <c r="E51" t="s">
        <v>4786</v>
      </c>
      <c r="F51" t="b">
        <v>0</v>
      </c>
      <c r="I51" t="s">
        <v>4849</v>
      </c>
      <c r="K51" t="s">
        <v>4844</v>
      </c>
      <c r="L51" t="s">
        <v>4845</v>
      </c>
      <c r="M51" t="s">
        <v>4788</v>
      </c>
      <c r="N51" t="s">
        <v>4788</v>
      </c>
      <c r="O51">
        <v>39244.53</v>
      </c>
      <c r="Q51">
        <v>0</v>
      </c>
      <c r="R51">
        <v>0</v>
      </c>
      <c r="S51">
        <v>11773.36</v>
      </c>
      <c r="T51" t="s">
        <v>4789</v>
      </c>
      <c r="U51">
        <v>1</v>
      </c>
      <c r="V51">
        <v>11773.36</v>
      </c>
      <c r="W51" t="s">
        <v>4343</v>
      </c>
      <c r="Y51" t="b">
        <v>1</v>
      </c>
      <c r="Z51" t="b">
        <v>0</v>
      </c>
      <c r="AA51">
        <v>11773.36</v>
      </c>
      <c r="AB51">
        <v>0</v>
      </c>
      <c r="AD51" t="b">
        <v>0</v>
      </c>
      <c r="AG51" s="1" t="s">
        <v>58</v>
      </c>
      <c r="AH51" s="1" t="s">
        <v>33</v>
      </c>
      <c r="AI51">
        <v>15</v>
      </c>
      <c r="AJ51">
        <v>55</v>
      </c>
      <c r="AK51" s="106">
        <v>45475.635436817131</v>
      </c>
      <c r="AL51" s="1" t="s">
        <v>4790</v>
      </c>
      <c r="AM51" s="42">
        <f>IFERROR(INDEX('Public procurment'!A:R,MATCH(ListOfExpenditure[[#This Row],[Content.contractId]],'Public procurment'!E:E,0),14),0)</f>
        <v>0</v>
      </c>
      <c r="AN51" s="2">
        <f>IF(AND(ListOfExpenditure[[#This Row],[Contract amount]]&gt;10000,ListOfExpenditure[[#This Row],[Content.declaredAmount]]&gt;2000),1,0)</f>
        <v>0</v>
      </c>
      <c r="AO51">
        <f>IFERROR(INDEX('Public procurment'!A:S,MATCH(ListOfExpenditure[[#This Row],[Content.contractId]],'Public procurment'!E:E,0),19),0)</f>
        <v>0</v>
      </c>
      <c r="AP51">
        <f>IF(ListOfExpenditure[[#This Row],[Numero di volte controllato il contract ]]&gt;0,0,ListOfExpenditure[[#This Row],[IF public procurment &gt;10000;1;0]])</f>
        <v>0</v>
      </c>
    </row>
    <row r="52" spans="1:42" x14ac:dyDescent="0.25">
      <c r="A52">
        <v>151</v>
      </c>
      <c r="B52">
        <v>5</v>
      </c>
      <c r="E52" t="s">
        <v>4850</v>
      </c>
      <c r="F52" t="b">
        <v>0</v>
      </c>
      <c r="I52" t="s">
        <v>4851</v>
      </c>
      <c r="J52" t="s">
        <v>4852</v>
      </c>
      <c r="K52" t="s">
        <v>4839</v>
      </c>
      <c r="L52" t="s">
        <v>4839</v>
      </c>
      <c r="M52" t="s">
        <v>4788</v>
      </c>
      <c r="N52" t="s">
        <v>4788</v>
      </c>
      <c r="O52">
        <v>868.1</v>
      </c>
      <c r="P52">
        <v>156.54</v>
      </c>
      <c r="Q52">
        <v>0</v>
      </c>
      <c r="R52">
        <v>0</v>
      </c>
      <c r="S52">
        <v>289.36</v>
      </c>
      <c r="T52" t="s">
        <v>4789</v>
      </c>
      <c r="U52">
        <v>1</v>
      </c>
      <c r="V52">
        <v>289.36</v>
      </c>
      <c r="W52" t="s">
        <v>4343</v>
      </c>
      <c r="Y52" t="b">
        <v>1</v>
      </c>
      <c r="Z52" t="b">
        <v>0</v>
      </c>
      <c r="AA52">
        <v>289.36</v>
      </c>
      <c r="AB52">
        <v>0</v>
      </c>
      <c r="AD52" t="b">
        <v>0</v>
      </c>
      <c r="AG52" s="1" t="s">
        <v>58</v>
      </c>
      <c r="AH52" s="1" t="s">
        <v>33</v>
      </c>
      <c r="AI52">
        <v>15</v>
      </c>
      <c r="AJ52">
        <v>55</v>
      </c>
      <c r="AK52" s="106">
        <v>45475.635436817131</v>
      </c>
      <c r="AL52" s="1" t="s">
        <v>4790</v>
      </c>
      <c r="AM52" s="42">
        <f>IFERROR(INDEX('Public procurment'!A:R,MATCH(ListOfExpenditure[[#This Row],[Content.contractId]],'Public procurment'!E:E,0),14),0)</f>
        <v>0</v>
      </c>
      <c r="AN52" s="2">
        <f>IF(AND(ListOfExpenditure[[#This Row],[Contract amount]]&gt;10000,ListOfExpenditure[[#This Row],[Content.declaredAmount]]&gt;2000),1,0)</f>
        <v>0</v>
      </c>
      <c r="AO52">
        <f>IFERROR(INDEX('Public procurment'!A:S,MATCH(ListOfExpenditure[[#This Row],[Content.contractId]],'Public procurment'!E:E,0),19),0)</f>
        <v>0</v>
      </c>
      <c r="AP52">
        <f>IF(ListOfExpenditure[[#This Row],[Numero di volte controllato il contract ]]&gt;0,0,ListOfExpenditure[[#This Row],[IF public procurment &gt;10000;1;0]])</f>
        <v>0</v>
      </c>
    </row>
    <row r="53" spans="1:42" x14ac:dyDescent="0.25">
      <c r="A53">
        <v>152</v>
      </c>
      <c r="B53">
        <v>6</v>
      </c>
      <c r="E53" t="s">
        <v>4798</v>
      </c>
      <c r="F53" t="b">
        <v>0</v>
      </c>
      <c r="I53" t="s">
        <v>4853</v>
      </c>
      <c r="J53" t="s">
        <v>4854</v>
      </c>
      <c r="K53" t="s">
        <v>4855</v>
      </c>
      <c r="L53" t="s">
        <v>4856</v>
      </c>
      <c r="M53" t="s">
        <v>4788</v>
      </c>
      <c r="N53" t="s">
        <v>4788</v>
      </c>
      <c r="O53">
        <v>549</v>
      </c>
      <c r="P53">
        <v>99</v>
      </c>
      <c r="Q53">
        <v>0</v>
      </c>
      <c r="R53">
        <v>0</v>
      </c>
      <c r="S53">
        <v>549</v>
      </c>
      <c r="T53" t="s">
        <v>4789</v>
      </c>
      <c r="U53">
        <v>1</v>
      </c>
      <c r="V53">
        <v>549</v>
      </c>
      <c r="W53" t="s">
        <v>4343</v>
      </c>
      <c r="Y53" t="b">
        <v>1</v>
      </c>
      <c r="Z53" t="b">
        <v>0</v>
      </c>
      <c r="AA53">
        <v>549</v>
      </c>
      <c r="AB53">
        <v>0</v>
      </c>
      <c r="AD53" t="b">
        <v>0</v>
      </c>
      <c r="AG53" s="1" t="s">
        <v>58</v>
      </c>
      <c r="AH53" s="1" t="s">
        <v>33</v>
      </c>
      <c r="AI53">
        <v>15</v>
      </c>
      <c r="AJ53">
        <v>55</v>
      </c>
      <c r="AK53" s="106">
        <v>45475.635436817131</v>
      </c>
      <c r="AL53" s="1" t="s">
        <v>4790</v>
      </c>
      <c r="AM53" s="42">
        <f>IFERROR(INDEX('Public procurment'!A:R,MATCH(ListOfExpenditure[[#This Row],[Content.contractId]],'Public procurment'!E:E,0),14),0)</f>
        <v>0</v>
      </c>
      <c r="AN53" s="2">
        <f>IF(AND(ListOfExpenditure[[#This Row],[Contract amount]]&gt;10000,ListOfExpenditure[[#This Row],[Content.declaredAmount]]&gt;2000),1,0)</f>
        <v>0</v>
      </c>
      <c r="AO53">
        <f>IFERROR(INDEX('Public procurment'!A:S,MATCH(ListOfExpenditure[[#This Row],[Content.contractId]],'Public procurment'!E:E,0),19),0)</f>
        <v>0</v>
      </c>
      <c r="AP53">
        <f>IF(ListOfExpenditure[[#This Row],[Numero di volte controllato il contract ]]&gt;0,0,ListOfExpenditure[[#This Row],[IF public procurment &gt;10000;1;0]])</f>
        <v>0</v>
      </c>
    </row>
    <row r="54" spans="1:42" x14ac:dyDescent="0.25">
      <c r="A54">
        <v>153</v>
      </c>
      <c r="B54">
        <v>7</v>
      </c>
      <c r="E54" t="s">
        <v>4798</v>
      </c>
      <c r="F54" t="b">
        <v>0</v>
      </c>
      <c r="I54" t="s">
        <v>4857</v>
      </c>
      <c r="J54" t="s">
        <v>4858</v>
      </c>
      <c r="K54" t="s">
        <v>4859</v>
      </c>
      <c r="L54" t="s">
        <v>4860</v>
      </c>
      <c r="M54" t="s">
        <v>4788</v>
      </c>
      <c r="N54" t="s">
        <v>4788</v>
      </c>
      <c r="O54">
        <v>610</v>
      </c>
      <c r="P54">
        <v>110</v>
      </c>
      <c r="Q54">
        <v>0</v>
      </c>
      <c r="R54">
        <v>0</v>
      </c>
      <c r="S54">
        <v>610</v>
      </c>
      <c r="T54" t="s">
        <v>4789</v>
      </c>
      <c r="U54">
        <v>1</v>
      </c>
      <c r="V54">
        <v>610</v>
      </c>
      <c r="W54" t="s">
        <v>4343</v>
      </c>
      <c r="Y54" t="b">
        <v>1</v>
      </c>
      <c r="Z54" t="b">
        <v>0</v>
      </c>
      <c r="AA54">
        <v>610</v>
      </c>
      <c r="AB54">
        <v>0</v>
      </c>
      <c r="AD54" t="b">
        <v>0</v>
      </c>
      <c r="AG54" s="1" t="s">
        <v>58</v>
      </c>
      <c r="AH54" s="1" t="s">
        <v>33</v>
      </c>
      <c r="AI54">
        <v>15</v>
      </c>
      <c r="AJ54">
        <v>55</v>
      </c>
      <c r="AK54" s="106">
        <v>45475.635436817131</v>
      </c>
      <c r="AL54" s="1" t="s">
        <v>4790</v>
      </c>
      <c r="AM54" s="42">
        <f>IFERROR(INDEX('Public procurment'!A:R,MATCH(ListOfExpenditure[[#This Row],[Content.contractId]],'Public procurment'!E:E,0),14),0)</f>
        <v>0</v>
      </c>
      <c r="AN54" s="2">
        <f>IF(AND(ListOfExpenditure[[#This Row],[Contract amount]]&gt;10000,ListOfExpenditure[[#This Row],[Content.declaredAmount]]&gt;2000),1,0)</f>
        <v>0</v>
      </c>
      <c r="AO54">
        <f>IFERROR(INDEX('Public procurment'!A:S,MATCH(ListOfExpenditure[[#This Row],[Content.contractId]],'Public procurment'!E:E,0),19),0)</f>
        <v>0</v>
      </c>
      <c r="AP54">
        <f>IF(ListOfExpenditure[[#This Row],[Numero di volte controllato il contract ]]&gt;0,0,ListOfExpenditure[[#This Row],[IF public procurment &gt;10000;1;0]])</f>
        <v>0</v>
      </c>
    </row>
    <row r="55" spans="1:42" x14ac:dyDescent="0.25">
      <c r="A55">
        <v>154</v>
      </c>
      <c r="B55">
        <v>8</v>
      </c>
      <c r="E55" t="s">
        <v>4798</v>
      </c>
      <c r="F55" t="b">
        <v>0</v>
      </c>
      <c r="I55" t="s">
        <v>4861</v>
      </c>
      <c r="J55" t="s">
        <v>4862</v>
      </c>
      <c r="K55" t="s">
        <v>4863</v>
      </c>
      <c r="L55" t="s">
        <v>4864</v>
      </c>
      <c r="M55" t="s">
        <v>4788</v>
      </c>
      <c r="N55" t="s">
        <v>4788</v>
      </c>
      <c r="O55">
        <v>42.21</v>
      </c>
      <c r="P55">
        <v>7.61</v>
      </c>
      <c r="Q55">
        <v>0</v>
      </c>
      <c r="R55">
        <v>0</v>
      </c>
      <c r="S55">
        <v>42.21</v>
      </c>
      <c r="T55" t="s">
        <v>4789</v>
      </c>
      <c r="U55">
        <v>1</v>
      </c>
      <c r="V55">
        <v>42.21</v>
      </c>
      <c r="W55" t="s">
        <v>4343</v>
      </c>
      <c r="Y55" t="b">
        <v>1</v>
      </c>
      <c r="Z55" t="b">
        <v>0</v>
      </c>
      <c r="AA55">
        <v>42.21</v>
      </c>
      <c r="AB55">
        <v>0</v>
      </c>
      <c r="AD55" t="b">
        <v>0</v>
      </c>
      <c r="AG55" s="1" t="s">
        <v>58</v>
      </c>
      <c r="AH55" s="1" t="s">
        <v>33</v>
      </c>
      <c r="AI55">
        <v>15</v>
      </c>
      <c r="AJ55">
        <v>55</v>
      </c>
      <c r="AK55" s="106">
        <v>45475.635436817131</v>
      </c>
      <c r="AL55" s="1" t="s">
        <v>4790</v>
      </c>
      <c r="AM55" s="42">
        <f>IFERROR(INDEX('Public procurment'!A:R,MATCH(ListOfExpenditure[[#This Row],[Content.contractId]],'Public procurment'!E:E,0),14),0)</f>
        <v>0</v>
      </c>
      <c r="AN55" s="2">
        <f>IF(AND(ListOfExpenditure[[#This Row],[Contract amount]]&gt;10000,ListOfExpenditure[[#This Row],[Content.declaredAmount]]&gt;2000),1,0)</f>
        <v>0</v>
      </c>
      <c r="AO55">
        <f>IFERROR(INDEX('Public procurment'!A:S,MATCH(ListOfExpenditure[[#This Row],[Content.contractId]],'Public procurment'!E:E,0),19),0)</f>
        <v>0</v>
      </c>
      <c r="AP55">
        <f>IF(ListOfExpenditure[[#This Row],[Numero di volte controllato il contract ]]&gt;0,0,ListOfExpenditure[[#This Row],[IF public procurment &gt;10000;1;0]])</f>
        <v>0</v>
      </c>
    </row>
    <row r="56" spans="1:42" x14ac:dyDescent="0.25">
      <c r="A56">
        <v>155</v>
      </c>
      <c r="B56">
        <v>9</v>
      </c>
      <c r="E56" t="s">
        <v>4798</v>
      </c>
      <c r="F56" t="b">
        <v>0</v>
      </c>
      <c r="I56" t="s">
        <v>4865</v>
      </c>
      <c r="J56" t="s">
        <v>4866</v>
      </c>
      <c r="K56" t="s">
        <v>4860</v>
      </c>
      <c r="L56" t="s">
        <v>4856</v>
      </c>
      <c r="M56" t="s">
        <v>4788</v>
      </c>
      <c r="N56" t="s">
        <v>4788</v>
      </c>
      <c r="O56">
        <v>870.43</v>
      </c>
      <c r="P56">
        <v>92.93</v>
      </c>
      <c r="Q56">
        <v>0</v>
      </c>
      <c r="R56">
        <v>0</v>
      </c>
      <c r="S56">
        <v>870.43</v>
      </c>
      <c r="T56" t="s">
        <v>4789</v>
      </c>
      <c r="U56">
        <v>1</v>
      </c>
      <c r="V56">
        <v>870.43</v>
      </c>
      <c r="W56" t="s">
        <v>4343</v>
      </c>
      <c r="Y56" t="b">
        <v>1</v>
      </c>
      <c r="Z56" t="b">
        <v>0</v>
      </c>
      <c r="AA56">
        <v>870.43</v>
      </c>
      <c r="AB56">
        <v>0</v>
      </c>
      <c r="AD56" t="b">
        <v>0</v>
      </c>
      <c r="AG56" s="1" t="s">
        <v>58</v>
      </c>
      <c r="AH56" s="1" t="s">
        <v>33</v>
      </c>
      <c r="AI56">
        <v>15</v>
      </c>
      <c r="AJ56">
        <v>55</v>
      </c>
      <c r="AK56" s="106">
        <v>45475.635436817131</v>
      </c>
      <c r="AL56" s="1" t="s">
        <v>4790</v>
      </c>
      <c r="AM56" s="42">
        <f>IFERROR(INDEX('Public procurment'!A:R,MATCH(ListOfExpenditure[[#This Row],[Content.contractId]],'Public procurment'!E:E,0),14),0)</f>
        <v>0</v>
      </c>
      <c r="AN56" s="2">
        <f>IF(AND(ListOfExpenditure[[#This Row],[Contract amount]]&gt;10000,ListOfExpenditure[[#This Row],[Content.declaredAmount]]&gt;2000),1,0)</f>
        <v>0</v>
      </c>
      <c r="AO56">
        <f>IFERROR(INDEX('Public procurment'!A:S,MATCH(ListOfExpenditure[[#This Row],[Content.contractId]],'Public procurment'!E:E,0),19),0)</f>
        <v>0</v>
      </c>
      <c r="AP56">
        <f>IF(ListOfExpenditure[[#This Row],[Numero di volte controllato il contract ]]&gt;0,0,ListOfExpenditure[[#This Row],[IF public procurment &gt;10000;1;0]])</f>
        <v>0</v>
      </c>
    </row>
    <row r="57" spans="1:42" x14ac:dyDescent="0.25">
      <c r="A57">
        <v>156</v>
      </c>
      <c r="B57">
        <v>10</v>
      </c>
      <c r="E57" t="s">
        <v>4798</v>
      </c>
      <c r="F57" t="b">
        <v>0</v>
      </c>
      <c r="I57" t="s">
        <v>4867</v>
      </c>
      <c r="J57" t="s">
        <v>4868</v>
      </c>
      <c r="K57" t="s">
        <v>4869</v>
      </c>
      <c r="L57" t="s">
        <v>4870</v>
      </c>
      <c r="M57" t="s">
        <v>4788</v>
      </c>
      <c r="N57" t="s">
        <v>4788</v>
      </c>
      <c r="O57">
        <v>1500</v>
      </c>
      <c r="P57">
        <v>270.49</v>
      </c>
      <c r="Q57">
        <v>0</v>
      </c>
      <c r="R57">
        <v>0</v>
      </c>
      <c r="S57">
        <v>1500</v>
      </c>
      <c r="T57" t="s">
        <v>4789</v>
      </c>
      <c r="U57">
        <v>1</v>
      </c>
      <c r="V57">
        <v>1500</v>
      </c>
      <c r="W57" t="s">
        <v>4343</v>
      </c>
      <c r="Y57" t="b">
        <v>1</v>
      </c>
      <c r="Z57" t="b">
        <v>0</v>
      </c>
      <c r="AA57">
        <v>1500</v>
      </c>
      <c r="AB57">
        <v>0</v>
      </c>
      <c r="AD57" t="b">
        <v>0</v>
      </c>
      <c r="AG57" s="1" t="s">
        <v>58</v>
      </c>
      <c r="AH57" s="1" t="s">
        <v>33</v>
      </c>
      <c r="AI57">
        <v>15</v>
      </c>
      <c r="AJ57">
        <v>55</v>
      </c>
      <c r="AK57" s="106">
        <v>45475.635436817131</v>
      </c>
      <c r="AL57" s="1" t="s">
        <v>4790</v>
      </c>
      <c r="AM57" s="42">
        <f>IFERROR(INDEX('Public procurment'!A:R,MATCH(ListOfExpenditure[[#This Row],[Content.contractId]],'Public procurment'!E:E,0),14),0)</f>
        <v>0</v>
      </c>
      <c r="AN57" s="2">
        <f>IF(AND(ListOfExpenditure[[#This Row],[Contract amount]]&gt;10000,ListOfExpenditure[[#This Row],[Content.declaredAmount]]&gt;2000),1,0)</f>
        <v>0</v>
      </c>
      <c r="AO57">
        <f>IFERROR(INDEX('Public procurment'!A:S,MATCH(ListOfExpenditure[[#This Row],[Content.contractId]],'Public procurment'!E:E,0),19),0)</f>
        <v>0</v>
      </c>
      <c r="AP57">
        <f>IF(ListOfExpenditure[[#This Row],[Numero di volte controllato il contract ]]&gt;0,0,ListOfExpenditure[[#This Row],[IF public procurment &gt;10000;1;0]])</f>
        <v>0</v>
      </c>
    </row>
    <row r="58" spans="1:42" x14ac:dyDescent="0.25">
      <c r="A58">
        <v>157</v>
      </c>
      <c r="B58">
        <v>11</v>
      </c>
      <c r="E58" t="s">
        <v>4798</v>
      </c>
      <c r="F58" t="b">
        <v>0</v>
      </c>
      <c r="I58" t="s">
        <v>4871</v>
      </c>
      <c r="J58" t="s">
        <v>4872</v>
      </c>
      <c r="K58" t="s">
        <v>4826</v>
      </c>
      <c r="L58" t="s">
        <v>4873</v>
      </c>
      <c r="M58" t="s">
        <v>4788</v>
      </c>
      <c r="N58" t="s">
        <v>4788</v>
      </c>
      <c r="O58">
        <v>11899</v>
      </c>
      <c r="P58">
        <v>1032.32</v>
      </c>
      <c r="Q58">
        <v>0</v>
      </c>
      <c r="R58">
        <v>0</v>
      </c>
      <c r="S58">
        <v>11899</v>
      </c>
      <c r="T58" t="s">
        <v>4789</v>
      </c>
      <c r="U58">
        <v>1</v>
      </c>
      <c r="V58">
        <v>11899</v>
      </c>
      <c r="W58" t="s">
        <v>4343</v>
      </c>
      <c r="Y58" t="b">
        <v>1</v>
      </c>
      <c r="Z58" t="b">
        <v>0</v>
      </c>
      <c r="AA58">
        <v>11899</v>
      </c>
      <c r="AB58">
        <v>0</v>
      </c>
      <c r="AD58" t="b">
        <v>0</v>
      </c>
      <c r="AG58" s="1" t="s">
        <v>58</v>
      </c>
      <c r="AH58" s="1" t="s">
        <v>33</v>
      </c>
      <c r="AI58">
        <v>15</v>
      </c>
      <c r="AJ58">
        <v>55</v>
      </c>
      <c r="AK58" s="106">
        <v>45475.635436817131</v>
      </c>
      <c r="AL58" s="1" t="s">
        <v>4790</v>
      </c>
      <c r="AM58" s="42">
        <f>IFERROR(INDEX('Public procurment'!A:R,MATCH(ListOfExpenditure[[#This Row],[Content.contractId]],'Public procurment'!E:E,0),14),0)</f>
        <v>0</v>
      </c>
      <c r="AN58" s="2">
        <f>IF(AND(ListOfExpenditure[[#This Row],[Contract amount]]&gt;10000,ListOfExpenditure[[#This Row],[Content.declaredAmount]]&gt;2000),1,0)</f>
        <v>0</v>
      </c>
      <c r="AO58">
        <f>IFERROR(INDEX('Public procurment'!A:S,MATCH(ListOfExpenditure[[#This Row],[Content.contractId]],'Public procurment'!E:E,0),19),0)</f>
        <v>0</v>
      </c>
      <c r="AP58">
        <f>IF(ListOfExpenditure[[#This Row],[Numero di volte controllato il contract ]]&gt;0,0,ListOfExpenditure[[#This Row],[IF public procurment &gt;10000;1;0]])</f>
        <v>0</v>
      </c>
    </row>
    <row r="59" spans="1:42" x14ac:dyDescent="0.25">
      <c r="A59">
        <v>158</v>
      </c>
      <c r="B59">
        <v>12</v>
      </c>
      <c r="E59" t="s">
        <v>4798</v>
      </c>
      <c r="F59" t="b">
        <v>0</v>
      </c>
      <c r="I59" t="s">
        <v>4874</v>
      </c>
      <c r="J59" t="s">
        <v>4875</v>
      </c>
      <c r="K59" t="s">
        <v>4876</v>
      </c>
      <c r="L59" t="s">
        <v>4877</v>
      </c>
      <c r="M59" t="s">
        <v>4788</v>
      </c>
      <c r="N59" t="s">
        <v>4788</v>
      </c>
      <c r="O59">
        <v>65000</v>
      </c>
      <c r="P59">
        <v>5639.27</v>
      </c>
      <c r="Q59">
        <v>0</v>
      </c>
      <c r="R59">
        <v>0</v>
      </c>
      <c r="S59">
        <v>65000</v>
      </c>
      <c r="T59" t="s">
        <v>4789</v>
      </c>
      <c r="U59">
        <v>1</v>
      </c>
      <c r="V59">
        <v>65000</v>
      </c>
      <c r="W59" t="s">
        <v>4343</v>
      </c>
      <c r="Y59" t="b">
        <v>1</v>
      </c>
      <c r="Z59" t="b">
        <v>0</v>
      </c>
      <c r="AA59">
        <v>65000</v>
      </c>
      <c r="AB59">
        <v>0</v>
      </c>
      <c r="AD59" t="b">
        <v>0</v>
      </c>
      <c r="AG59" s="1" t="s">
        <v>58</v>
      </c>
      <c r="AH59" s="1" t="s">
        <v>33</v>
      </c>
      <c r="AI59">
        <v>15</v>
      </c>
      <c r="AJ59">
        <v>55</v>
      </c>
      <c r="AK59" s="106">
        <v>45475.635436817131</v>
      </c>
      <c r="AL59" s="1" t="s">
        <v>4790</v>
      </c>
      <c r="AM59" s="42">
        <f>IFERROR(INDEX('Public procurment'!A:R,MATCH(ListOfExpenditure[[#This Row],[Content.contractId]],'Public procurment'!E:E,0),14),0)</f>
        <v>0</v>
      </c>
      <c r="AN59" s="2">
        <f>IF(AND(ListOfExpenditure[[#This Row],[Contract amount]]&gt;10000,ListOfExpenditure[[#This Row],[Content.declaredAmount]]&gt;2000),1,0)</f>
        <v>0</v>
      </c>
      <c r="AO59">
        <f>IFERROR(INDEX('Public procurment'!A:S,MATCH(ListOfExpenditure[[#This Row],[Content.contractId]],'Public procurment'!E:E,0),19),0)</f>
        <v>0</v>
      </c>
      <c r="AP59">
        <f>IF(ListOfExpenditure[[#This Row],[Numero di volte controllato il contract ]]&gt;0,0,ListOfExpenditure[[#This Row],[IF public procurment &gt;10000;1;0]])</f>
        <v>0</v>
      </c>
    </row>
    <row r="60" spans="1:42" x14ac:dyDescent="0.25">
      <c r="A60">
        <v>159</v>
      </c>
      <c r="B60">
        <v>13</v>
      </c>
      <c r="E60" t="s">
        <v>4798</v>
      </c>
      <c r="F60" t="b">
        <v>0</v>
      </c>
      <c r="I60" t="s">
        <v>4878</v>
      </c>
      <c r="J60" t="s">
        <v>4879</v>
      </c>
      <c r="K60" t="s">
        <v>4880</v>
      </c>
      <c r="L60" t="s">
        <v>4881</v>
      </c>
      <c r="M60" t="s">
        <v>4788</v>
      </c>
      <c r="N60" t="s">
        <v>4788</v>
      </c>
      <c r="O60">
        <v>1080</v>
      </c>
      <c r="P60">
        <v>216</v>
      </c>
      <c r="Q60">
        <v>0</v>
      </c>
      <c r="R60">
        <v>0</v>
      </c>
      <c r="S60">
        <v>1080</v>
      </c>
      <c r="T60" t="s">
        <v>4789</v>
      </c>
      <c r="U60">
        <v>1</v>
      </c>
      <c r="V60">
        <v>1080</v>
      </c>
      <c r="W60" t="s">
        <v>4343</v>
      </c>
      <c r="Y60" t="b">
        <v>1</v>
      </c>
      <c r="Z60" t="b">
        <v>0</v>
      </c>
      <c r="AA60">
        <v>1080</v>
      </c>
      <c r="AB60">
        <v>0</v>
      </c>
      <c r="AD60" t="b">
        <v>0</v>
      </c>
      <c r="AG60" s="1" t="s">
        <v>58</v>
      </c>
      <c r="AH60" s="1" t="s">
        <v>33</v>
      </c>
      <c r="AI60">
        <v>15</v>
      </c>
      <c r="AJ60">
        <v>55</v>
      </c>
      <c r="AK60" s="106">
        <v>45475.635436817131</v>
      </c>
      <c r="AL60" s="1" t="s">
        <v>4790</v>
      </c>
      <c r="AM60" s="42">
        <f>IFERROR(INDEX('Public procurment'!A:R,MATCH(ListOfExpenditure[[#This Row],[Content.contractId]],'Public procurment'!E:E,0),14),0)</f>
        <v>0</v>
      </c>
      <c r="AN60" s="2">
        <f>IF(AND(ListOfExpenditure[[#This Row],[Contract amount]]&gt;10000,ListOfExpenditure[[#This Row],[Content.declaredAmount]]&gt;2000),1,0)</f>
        <v>0</v>
      </c>
      <c r="AO60">
        <f>IFERROR(INDEX('Public procurment'!A:S,MATCH(ListOfExpenditure[[#This Row],[Content.contractId]],'Public procurment'!E:E,0),19),0)</f>
        <v>0</v>
      </c>
      <c r="AP60">
        <f>IF(ListOfExpenditure[[#This Row],[Numero di volte controllato il contract ]]&gt;0,0,ListOfExpenditure[[#This Row],[IF public procurment &gt;10000;1;0]])</f>
        <v>0</v>
      </c>
    </row>
    <row r="61" spans="1:42" x14ac:dyDescent="0.25">
      <c r="A61">
        <v>1219</v>
      </c>
      <c r="B61">
        <v>1</v>
      </c>
      <c r="D61">
        <v>83</v>
      </c>
      <c r="E61" t="s">
        <v>4786</v>
      </c>
      <c r="F61" t="b">
        <v>0</v>
      </c>
      <c r="M61" t="s">
        <v>4788</v>
      </c>
      <c r="N61" t="s">
        <v>4788</v>
      </c>
      <c r="Q61">
        <v>155</v>
      </c>
      <c r="R61">
        <v>27</v>
      </c>
      <c r="S61">
        <v>4185</v>
      </c>
      <c r="T61" t="s">
        <v>4789</v>
      </c>
      <c r="U61">
        <v>1</v>
      </c>
      <c r="V61">
        <v>4185</v>
      </c>
      <c r="W61" t="s">
        <v>4343</v>
      </c>
      <c r="Y61" t="b">
        <v>0</v>
      </c>
      <c r="Z61" t="b">
        <v>0</v>
      </c>
      <c r="AA61">
        <v>4185</v>
      </c>
      <c r="AB61">
        <v>0</v>
      </c>
      <c r="AD61" t="b">
        <v>0</v>
      </c>
      <c r="AG61" s="1" t="s">
        <v>58</v>
      </c>
      <c r="AH61" s="1" t="s">
        <v>30</v>
      </c>
      <c r="AI61">
        <v>12</v>
      </c>
      <c r="AJ61">
        <v>222</v>
      </c>
      <c r="AK61" s="106">
        <v>45475.635492986112</v>
      </c>
      <c r="AL61" s="1" t="s">
        <v>4790</v>
      </c>
      <c r="AM61" s="42">
        <f>IFERROR(INDEX('Public procurment'!A:R,MATCH(ListOfExpenditure[[#This Row],[Content.contractId]],'Public procurment'!E:E,0),14),0)</f>
        <v>0</v>
      </c>
      <c r="AN61" s="2">
        <f>IF(AND(ListOfExpenditure[[#This Row],[Contract amount]]&gt;10000,ListOfExpenditure[[#This Row],[Content.declaredAmount]]&gt;2000),1,0)</f>
        <v>0</v>
      </c>
      <c r="AO61">
        <f>IFERROR(INDEX('Public procurment'!A:S,MATCH(ListOfExpenditure[[#This Row],[Content.contractId]],'Public procurment'!E:E,0),19),0)</f>
        <v>0</v>
      </c>
      <c r="AP61">
        <f>IF(ListOfExpenditure[[#This Row],[Numero di volte controllato il contract ]]&gt;0,0,ListOfExpenditure[[#This Row],[IF public procurment &gt;10000;1;0]])</f>
        <v>0</v>
      </c>
    </row>
    <row r="62" spans="1:42" x14ac:dyDescent="0.25">
      <c r="A62">
        <v>1220</v>
      </c>
      <c r="B62">
        <v>2</v>
      </c>
      <c r="D62">
        <v>83</v>
      </c>
      <c r="E62" t="s">
        <v>4786</v>
      </c>
      <c r="F62" t="b">
        <v>0</v>
      </c>
      <c r="M62" t="s">
        <v>4788</v>
      </c>
      <c r="N62" t="s">
        <v>4788</v>
      </c>
      <c r="Q62">
        <v>73</v>
      </c>
      <c r="R62">
        <v>27</v>
      </c>
      <c r="S62">
        <v>1971</v>
      </c>
      <c r="T62" t="s">
        <v>4789</v>
      </c>
      <c r="U62">
        <v>1</v>
      </c>
      <c r="V62">
        <v>1971</v>
      </c>
      <c r="W62" t="s">
        <v>4343</v>
      </c>
      <c r="Y62" t="b">
        <v>1</v>
      </c>
      <c r="Z62" t="b">
        <v>0</v>
      </c>
      <c r="AA62">
        <v>1971</v>
      </c>
      <c r="AB62">
        <v>0</v>
      </c>
      <c r="AD62" t="b">
        <v>0</v>
      </c>
      <c r="AG62" s="1" t="s">
        <v>58</v>
      </c>
      <c r="AH62" s="1" t="s">
        <v>30</v>
      </c>
      <c r="AI62">
        <v>12</v>
      </c>
      <c r="AJ62">
        <v>222</v>
      </c>
      <c r="AK62" s="106">
        <v>45475.635492986112</v>
      </c>
      <c r="AL62" s="1" t="s">
        <v>4790</v>
      </c>
      <c r="AM62" s="42">
        <f>IFERROR(INDEX('Public procurment'!A:R,MATCH(ListOfExpenditure[[#This Row],[Content.contractId]],'Public procurment'!E:E,0),14),0)</f>
        <v>0</v>
      </c>
      <c r="AN62" s="2">
        <f>IF(AND(ListOfExpenditure[[#This Row],[Contract amount]]&gt;10000,ListOfExpenditure[[#This Row],[Content.declaredAmount]]&gt;2000),1,0)</f>
        <v>0</v>
      </c>
      <c r="AO62">
        <f>IFERROR(INDEX('Public procurment'!A:S,MATCH(ListOfExpenditure[[#This Row],[Content.contractId]],'Public procurment'!E:E,0),19),0)</f>
        <v>0</v>
      </c>
      <c r="AP62">
        <f>IF(ListOfExpenditure[[#This Row],[Numero di volte controllato il contract ]]&gt;0,0,ListOfExpenditure[[#This Row],[IF public procurment &gt;10000;1;0]])</f>
        <v>0</v>
      </c>
    </row>
    <row r="63" spans="1:42" x14ac:dyDescent="0.25">
      <c r="A63">
        <v>1221</v>
      </c>
      <c r="B63">
        <v>3</v>
      </c>
      <c r="D63">
        <v>83</v>
      </c>
      <c r="E63" t="s">
        <v>4786</v>
      </c>
      <c r="F63" t="b">
        <v>0</v>
      </c>
      <c r="M63" t="s">
        <v>4788</v>
      </c>
      <c r="N63" t="s">
        <v>4788</v>
      </c>
      <c r="Q63">
        <v>105</v>
      </c>
      <c r="R63">
        <v>27</v>
      </c>
      <c r="S63">
        <v>2835</v>
      </c>
      <c r="T63" t="s">
        <v>4789</v>
      </c>
      <c r="U63">
        <v>1</v>
      </c>
      <c r="V63">
        <v>2835</v>
      </c>
      <c r="W63" t="s">
        <v>4343</v>
      </c>
      <c r="Y63" t="b">
        <v>0</v>
      </c>
      <c r="Z63" t="b">
        <v>0</v>
      </c>
      <c r="AA63">
        <v>2835</v>
      </c>
      <c r="AB63">
        <v>0</v>
      </c>
      <c r="AD63" t="b">
        <v>0</v>
      </c>
      <c r="AG63" s="1" t="s">
        <v>58</v>
      </c>
      <c r="AH63" s="1" t="s">
        <v>30</v>
      </c>
      <c r="AI63">
        <v>12</v>
      </c>
      <c r="AJ63">
        <v>222</v>
      </c>
      <c r="AK63" s="106">
        <v>45475.635492986112</v>
      </c>
      <c r="AL63" s="1" t="s">
        <v>4790</v>
      </c>
      <c r="AM63" s="42">
        <f>IFERROR(INDEX('Public procurment'!A:R,MATCH(ListOfExpenditure[[#This Row],[Content.contractId]],'Public procurment'!E:E,0),14),0)</f>
        <v>0</v>
      </c>
      <c r="AN63" s="2">
        <f>IF(AND(ListOfExpenditure[[#This Row],[Contract amount]]&gt;10000,ListOfExpenditure[[#This Row],[Content.declaredAmount]]&gt;2000),1,0)</f>
        <v>0</v>
      </c>
      <c r="AO63">
        <f>IFERROR(INDEX('Public procurment'!A:S,MATCH(ListOfExpenditure[[#This Row],[Content.contractId]],'Public procurment'!E:E,0),19),0)</f>
        <v>0</v>
      </c>
      <c r="AP63">
        <f>IF(ListOfExpenditure[[#This Row],[Numero di volte controllato il contract ]]&gt;0,0,ListOfExpenditure[[#This Row],[IF public procurment &gt;10000;1;0]])</f>
        <v>0</v>
      </c>
    </row>
    <row r="64" spans="1:42" x14ac:dyDescent="0.25">
      <c r="A64">
        <v>1222</v>
      </c>
      <c r="B64">
        <v>4</v>
      </c>
      <c r="D64">
        <v>83</v>
      </c>
      <c r="E64" t="s">
        <v>4786</v>
      </c>
      <c r="F64" t="b">
        <v>0</v>
      </c>
      <c r="M64" t="s">
        <v>4788</v>
      </c>
      <c r="N64" t="s">
        <v>4788</v>
      </c>
      <c r="Q64">
        <v>130</v>
      </c>
      <c r="R64">
        <v>27</v>
      </c>
      <c r="S64">
        <v>3510</v>
      </c>
      <c r="T64" t="s">
        <v>4789</v>
      </c>
      <c r="U64">
        <v>1</v>
      </c>
      <c r="V64">
        <v>3510</v>
      </c>
      <c r="W64" t="s">
        <v>4343</v>
      </c>
      <c r="Y64" t="b">
        <v>0</v>
      </c>
      <c r="Z64" t="b">
        <v>0</v>
      </c>
      <c r="AA64">
        <v>3510</v>
      </c>
      <c r="AB64">
        <v>0</v>
      </c>
      <c r="AD64" t="b">
        <v>0</v>
      </c>
      <c r="AG64" s="1" t="s">
        <v>58</v>
      </c>
      <c r="AH64" s="1" t="s">
        <v>30</v>
      </c>
      <c r="AI64">
        <v>12</v>
      </c>
      <c r="AJ64">
        <v>222</v>
      </c>
      <c r="AK64" s="106">
        <v>45475.635492986112</v>
      </c>
      <c r="AL64" s="1" t="s">
        <v>4790</v>
      </c>
      <c r="AM64" s="42">
        <f>IFERROR(INDEX('Public procurment'!A:R,MATCH(ListOfExpenditure[[#This Row],[Content.contractId]],'Public procurment'!E:E,0),14),0)</f>
        <v>0</v>
      </c>
      <c r="AN64" s="2">
        <f>IF(AND(ListOfExpenditure[[#This Row],[Contract amount]]&gt;10000,ListOfExpenditure[[#This Row],[Content.declaredAmount]]&gt;2000),1,0)</f>
        <v>0</v>
      </c>
      <c r="AO64">
        <f>IFERROR(INDEX('Public procurment'!A:S,MATCH(ListOfExpenditure[[#This Row],[Content.contractId]],'Public procurment'!E:E,0),19),0)</f>
        <v>0</v>
      </c>
      <c r="AP64">
        <f>IF(ListOfExpenditure[[#This Row],[Numero di volte controllato il contract ]]&gt;0,0,ListOfExpenditure[[#This Row],[IF public procurment &gt;10000;1;0]])</f>
        <v>0</v>
      </c>
    </row>
    <row r="65" spans="1:42" x14ac:dyDescent="0.25">
      <c r="A65">
        <v>1223</v>
      </c>
      <c r="B65">
        <v>5</v>
      </c>
      <c r="D65">
        <v>83</v>
      </c>
      <c r="E65" t="s">
        <v>4786</v>
      </c>
      <c r="F65" t="b">
        <v>0</v>
      </c>
      <c r="M65" t="s">
        <v>4788</v>
      </c>
      <c r="N65" t="s">
        <v>4788</v>
      </c>
      <c r="Q65">
        <v>35</v>
      </c>
      <c r="R65">
        <v>27</v>
      </c>
      <c r="S65">
        <v>945</v>
      </c>
      <c r="T65" t="s">
        <v>4789</v>
      </c>
      <c r="U65">
        <v>1</v>
      </c>
      <c r="V65">
        <v>945</v>
      </c>
      <c r="W65" t="s">
        <v>4343</v>
      </c>
      <c r="Y65" t="b">
        <v>1</v>
      </c>
      <c r="Z65" t="b">
        <v>0</v>
      </c>
      <c r="AA65">
        <v>945</v>
      </c>
      <c r="AB65">
        <v>0</v>
      </c>
      <c r="AD65" t="b">
        <v>0</v>
      </c>
      <c r="AG65" s="1" t="s">
        <v>58</v>
      </c>
      <c r="AH65" s="1" t="s">
        <v>30</v>
      </c>
      <c r="AI65">
        <v>12</v>
      </c>
      <c r="AJ65">
        <v>222</v>
      </c>
      <c r="AK65" s="106">
        <v>45475.635492986112</v>
      </c>
      <c r="AL65" s="1" t="s">
        <v>4790</v>
      </c>
      <c r="AM65" s="42">
        <f>IFERROR(INDEX('Public procurment'!A:R,MATCH(ListOfExpenditure[[#This Row],[Content.contractId]],'Public procurment'!E:E,0),14),0)</f>
        <v>0</v>
      </c>
      <c r="AN65" s="2">
        <f>IF(AND(ListOfExpenditure[[#This Row],[Contract amount]]&gt;10000,ListOfExpenditure[[#This Row],[Content.declaredAmount]]&gt;2000),1,0)</f>
        <v>0</v>
      </c>
      <c r="AO65">
        <f>IFERROR(INDEX('Public procurment'!A:S,MATCH(ListOfExpenditure[[#This Row],[Content.contractId]],'Public procurment'!E:E,0),19),0)</f>
        <v>0</v>
      </c>
      <c r="AP65">
        <f>IF(ListOfExpenditure[[#This Row],[Numero di volte controllato il contract ]]&gt;0,0,ListOfExpenditure[[#This Row],[IF public procurment &gt;10000;1;0]])</f>
        <v>0</v>
      </c>
    </row>
    <row r="66" spans="1:42" x14ac:dyDescent="0.25">
      <c r="A66">
        <v>1224</v>
      </c>
      <c r="B66">
        <v>6</v>
      </c>
      <c r="D66">
        <v>83</v>
      </c>
      <c r="E66" t="s">
        <v>4786</v>
      </c>
      <c r="F66" t="b">
        <v>0</v>
      </c>
      <c r="M66" t="s">
        <v>4788</v>
      </c>
      <c r="N66" t="s">
        <v>4788</v>
      </c>
      <c r="Q66">
        <v>5</v>
      </c>
      <c r="R66">
        <v>27</v>
      </c>
      <c r="S66">
        <v>135</v>
      </c>
      <c r="T66" t="s">
        <v>4789</v>
      </c>
      <c r="U66">
        <v>1</v>
      </c>
      <c r="V66">
        <v>135</v>
      </c>
      <c r="W66" t="s">
        <v>4343</v>
      </c>
      <c r="Y66" t="b">
        <v>1</v>
      </c>
      <c r="Z66" t="b">
        <v>0</v>
      </c>
      <c r="AA66">
        <v>135</v>
      </c>
      <c r="AB66">
        <v>0</v>
      </c>
      <c r="AD66" t="b">
        <v>0</v>
      </c>
      <c r="AG66" s="1" t="s">
        <v>58</v>
      </c>
      <c r="AH66" s="1" t="s">
        <v>30</v>
      </c>
      <c r="AI66">
        <v>12</v>
      </c>
      <c r="AJ66">
        <v>222</v>
      </c>
      <c r="AK66" s="106">
        <v>45475.635492986112</v>
      </c>
      <c r="AL66" s="1" t="s">
        <v>4790</v>
      </c>
      <c r="AM66" s="42">
        <f>IFERROR(INDEX('Public procurment'!A:R,MATCH(ListOfExpenditure[[#This Row],[Content.contractId]],'Public procurment'!E:E,0),14),0)</f>
        <v>0</v>
      </c>
      <c r="AN66" s="2">
        <f>IF(AND(ListOfExpenditure[[#This Row],[Contract amount]]&gt;10000,ListOfExpenditure[[#This Row],[Content.declaredAmount]]&gt;2000),1,0)</f>
        <v>0</v>
      </c>
      <c r="AO66">
        <f>IFERROR(INDEX('Public procurment'!A:S,MATCH(ListOfExpenditure[[#This Row],[Content.contractId]],'Public procurment'!E:E,0),19),0)</f>
        <v>0</v>
      </c>
      <c r="AP66">
        <f>IF(ListOfExpenditure[[#This Row],[Numero di volte controllato il contract ]]&gt;0,0,ListOfExpenditure[[#This Row],[IF public procurment &gt;10000;1;0]])</f>
        <v>0</v>
      </c>
    </row>
    <row r="67" spans="1:42" x14ac:dyDescent="0.25">
      <c r="A67">
        <v>1478</v>
      </c>
      <c r="B67">
        <v>7</v>
      </c>
      <c r="E67" t="s">
        <v>4798</v>
      </c>
      <c r="F67" t="b">
        <v>0</v>
      </c>
      <c r="H67">
        <v>215</v>
      </c>
      <c r="I67" t="s">
        <v>212</v>
      </c>
      <c r="J67" t="s">
        <v>4882</v>
      </c>
      <c r="K67" t="s">
        <v>4883</v>
      </c>
      <c r="L67" t="s">
        <v>4675</v>
      </c>
      <c r="M67" t="s">
        <v>4788</v>
      </c>
      <c r="N67" t="s">
        <v>4788</v>
      </c>
      <c r="O67">
        <v>3052</v>
      </c>
      <c r="P67">
        <v>0</v>
      </c>
      <c r="Q67">
        <v>0</v>
      </c>
      <c r="R67">
        <v>0</v>
      </c>
      <c r="S67">
        <v>3050</v>
      </c>
      <c r="T67" t="s">
        <v>4789</v>
      </c>
      <c r="U67">
        <v>1</v>
      </c>
      <c r="V67">
        <v>3050</v>
      </c>
      <c r="W67" t="s">
        <v>4343</v>
      </c>
      <c r="Y67" t="b">
        <v>1</v>
      </c>
      <c r="Z67" t="b">
        <v>0</v>
      </c>
      <c r="AA67">
        <v>3050</v>
      </c>
      <c r="AB67">
        <v>0</v>
      </c>
      <c r="AD67" t="b">
        <v>0</v>
      </c>
      <c r="AG67" s="1" t="s">
        <v>58</v>
      </c>
      <c r="AH67" s="1" t="s">
        <v>30</v>
      </c>
      <c r="AI67">
        <v>12</v>
      </c>
      <c r="AJ67">
        <v>222</v>
      </c>
      <c r="AK67" s="106">
        <v>45475.635492986112</v>
      </c>
      <c r="AL67" s="1" t="s">
        <v>4790</v>
      </c>
      <c r="AM67" s="42">
        <f>IFERROR(INDEX('Public procurment'!A:R,MATCH(ListOfExpenditure[[#This Row],[Content.contractId]],'Public procurment'!E:E,0),14),0)</f>
        <v>6100</v>
      </c>
      <c r="AN67" s="2">
        <f>IF(AND(ListOfExpenditure[[#This Row],[Contract amount]]&gt;10000,ListOfExpenditure[[#This Row],[Content.declaredAmount]]&gt;2000),1,0)</f>
        <v>0</v>
      </c>
      <c r="AO67">
        <f>IFERROR(INDEX('Public procurment'!A:S,MATCH(ListOfExpenditure[[#This Row],[Content.contractId]],'Public procurment'!E:E,0),19),0)</f>
        <v>1</v>
      </c>
      <c r="AP67">
        <f>IF(ListOfExpenditure[[#This Row],[Numero di volte controllato il contract ]]&gt;0,0,ListOfExpenditure[[#This Row],[IF public procurment &gt;10000;1;0]])</f>
        <v>0</v>
      </c>
    </row>
    <row r="68" spans="1:42" x14ac:dyDescent="0.25">
      <c r="A68">
        <v>1483</v>
      </c>
      <c r="B68">
        <v>8</v>
      </c>
      <c r="E68" t="s">
        <v>4798</v>
      </c>
      <c r="F68" t="b">
        <v>0</v>
      </c>
      <c r="H68">
        <v>216</v>
      </c>
      <c r="I68" t="s">
        <v>212</v>
      </c>
      <c r="J68" t="s">
        <v>4884</v>
      </c>
      <c r="K68" t="s">
        <v>4885</v>
      </c>
      <c r="L68" t="s">
        <v>4886</v>
      </c>
      <c r="M68" t="s">
        <v>4788</v>
      </c>
      <c r="N68" t="s">
        <v>4788</v>
      </c>
      <c r="O68">
        <v>8810.9</v>
      </c>
      <c r="P68">
        <v>1588.85</v>
      </c>
      <c r="Q68">
        <v>0</v>
      </c>
      <c r="R68">
        <v>0</v>
      </c>
      <c r="S68">
        <v>8810.9</v>
      </c>
      <c r="T68" t="s">
        <v>4789</v>
      </c>
      <c r="U68">
        <v>1</v>
      </c>
      <c r="V68">
        <v>8810.9</v>
      </c>
      <c r="W68" t="s">
        <v>4343</v>
      </c>
      <c r="Y68" t="b">
        <v>1</v>
      </c>
      <c r="Z68" t="b">
        <v>0</v>
      </c>
      <c r="AA68">
        <v>8810.9</v>
      </c>
      <c r="AB68">
        <v>0</v>
      </c>
      <c r="AD68" t="b">
        <v>0</v>
      </c>
      <c r="AG68" s="1" t="s">
        <v>58</v>
      </c>
      <c r="AH68" s="1" t="s">
        <v>30</v>
      </c>
      <c r="AI68">
        <v>12</v>
      </c>
      <c r="AJ68">
        <v>222</v>
      </c>
      <c r="AK68" s="106">
        <v>45475.635492986112</v>
      </c>
      <c r="AL68" s="1" t="s">
        <v>4790</v>
      </c>
      <c r="AM68" s="42">
        <f>IFERROR(INDEX('Public procurment'!A:R,MATCH(ListOfExpenditure[[#This Row],[Content.contractId]],'Public procurment'!E:E,0),14),0)</f>
        <v>8810.9</v>
      </c>
      <c r="AN68" s="2">
        <f>IF(AND(ListOfExpenditure[[#This Row],[Contract amount]]&gt;10000,ListOfExpenditure[[#This Row],[Content.declaredAmount]]&gt;2000),1,0)</f>
        <v>0</v>
      </c>
      <c r="AO68">
        <f>IFERROR(INDEX('Public procurment'!A:S,MATCH(ListOfExpenditure[[#This Row],[Content.contractId]],'Public procurment'!E:E,0),19),0)</f>
        <v>1</v>
      </c>
      <c r="AP68">
        <f>IF(ListOfExpenditure[[#This Row],[Numero di volte controllato il contract ]]&gt;0,0,ListOfExpenditure[[#This Row],[IF public procurment &gt;10000;1;0]])</f>
        <v>0</v>
      </c>
    </row>
    <row r="69" spans="1:42" x14ac:dyDescent="0.25">
      <c r="A69">
        <v>400</v>
      </c>
      <c r="B69">
        <v>1</v>
      </c>
      <c r="E69" t="s">
        <v>4798</v>
      </c>
      <c r="F69" t="b">
        <v>0</v>
      </c>
      <c r="H69">
        <v>74</v>
      </c>
      <c r="I69" t="s">
        <v>212</v>
      </c>
      <c r="J69" t="s">
        <v>4887</v>
      </c>
      <c r="K69" t="s">
        <v>4820</v>
      </c>
      <c r="L69" t="s">
        <v>4876</v>
      </c>
      <c r="M69" t="s">
        <v>4788</v>
      </c>
      <c r="N69" t="s">
        <v>4788</v>
      </c>
      <c r="O69">
        <v>880</v>
      </c>
      <c r="P69">
        <v>80</v>
      </c>
      <c r="Q69">
        <v>0</v>
      </c>
      <c r="R69">
        <v>0</v>
      </c>
      <c r="S69">
        <v>880</v>
      </c>
      <c r="T69" t="s">
        <v>4789</v>
      </c>
      <c r="U69">
        <v>1</v>
      </c>
      <c r="V69">
        <v>880</v>
      </c>
      <c r="W69" t="s">
        <v>4343</v>
      </c>
      <c r="Y69" t="b">
        <v>1</v>
      </c>
      <c r="Z69" t="b">
        <v>0</v>
      </c>
      <c r="AA69">
        <v>880</v>
      </c>
      <c r="AB69">
        <v>0</v>
      </c>
      <c r="AD69" t="b">
        <v>0</v>
      </c>
      <c r="AG69" s="1" t="s">
        <v>58</v>
      </c>
      <c r="AH69" s="1" t="s">
        <v>30</v>
      </c>
      <c r="AI69">
        <v>12</v>
      </c>
      <c r="AJ69">
        <v>74</v>
      </c>
      <c r="AK69" s="106">
        <v>45475.635434027776</v>
      </c>
      <c r="AL69" s="1" t="s">
        <v>4790</v>
      </c>
      <c r="AM69" s="42">
        <f>IFERROR(INDEX('Public procurment'!A:R,MATCH(ListOfExpenditure[[#This Row],[Content.contractId]],'Public procurment'!E:E,0),14),0)</f>
        <v>880</v>
      </c>
      <c r="AN69" s="2">
        <f>IF(AND(ListOfExpenditure[[#This Row],[Contract amount]]&gt;10000,ListOfExpenditure[[#This Row],[Content.declaredAmount]]&gt;2000),1,0)</f>
        <v>0</v>
      </c>
      <c r="AO69">
        <f>IFERROR(INDEX('Public procurment'!A:S,MATCH(ListOfExpenditure[[#This Row],[Content.contractId]],'Public procurment'!E:E,0),19),0)</f>
        <v>1</v>
      </c>
      <c r="AP69">
        <f>IF(ListOfExpenditure[[#This Row],[Numero di volte controllato il contract ]]&gt;0,0,ListOfExpenditure[[#This Row],[IF public procurment &gt;10000;1;0]])</f>
        <v>0</v>
      </c>
    </row>
    <row r="70" spans="1:42" x14ac:dyDescent="0.25">
      <c r="A70">
        <v>401</v>
      </c>
      <c r="B70">
        <v>2</v>
      </c>
      <c r="E70" t="s">
        <v>4798</v>
      </c>
      <c r="F70" t="b">
        <v>0</v>
      </c>
      <c r="H70">
        <v>75</v>
      </c>
      <c r="I70" t="s">
        <v>212</v>
      </c>
      <c r="J70" t="s">
        <v>4888</v>
      </c>
      <c r="K70" t="s">
        <v>4817</v>
      </c>
      <c r="L70" t="s">
        <v>4889</v>
      </c>
      <c r="M70" t="s">
        <v>4788</v>
      </c>
      <c r="N70" t="s">
        <v>4788</v>
      </c>
      <c r="O70">
        <v>5953.2</v>
      </c>
      <c r="P70">
        <v>1073.53</v>
      </c>
      <c r="Q70">
        <v>0</v>
      </c>
      <c r="R70">
        <v>0</v>
      </c>
      <c r="S70">
        <v>5953.2</v>
      </c>
      <c r="T70" t="s">
        <v>4789</v>
      </c>
      <c r="U70">
        <v>1</v>
      </c>
      <c r="V70">
        <v>5953.2</v>
      </c>
      <c r="W70" t="s">
        <v>4343</v>
      </c>
      <c r="Y70" t="b">
        <v>1</v>
      </c>
      <c r="Z70" t="b">
        <v>0</v>
      </c>
      <c r="AA70">
        <v>5953.2</v>
      </c>
      <c r="AB70">
        <v>0</v>
      </c>
      <c r="AD70" t="b">
        <v>0</v>
      </c>
      <c r="AG70" s="1" t="s">
        <v>58</v>
      </c>
      <c r="AH70" s="1" t="s">
        <v>30</v>
      </c>
      <c r="AI70">
        <v>12</v>
      </c>
      <c r="AJ70">
        <v>74</v>
      </c>
      <c r="AK70" s="106">
        <v>45475.635434027776</v>
      </c>
      <c r="AL70" s="1" t="s">
        <v>4790</v>
      </c>
      <c r="AM70" s="42">
        <f>IFERROR(INDEX('Public procurment'!A:R,MATCH(ListOfExpenditure[[#This Row],[Content.contractId]],'Public procurment'!E:E,0),14),0)</f>
        <v>14883</v>
      </c>
      <c r="AN70" s="2">
        <f>IF(AND(ListOfExpenditure[[#This Row],[Contract amount]]&gt;10000,ListOfExpenditure[[#This Row],[Content.declaredAmount]]&gt;2000),1,0)</f>
        <v>1</v>
      </c>
      <c r="AO70">
        <f>IFERROR(INDEX('Public procurment'!A:S,MATCH(ListOfExpenditure[[#This Row],[Content.contractId]],'Public procurment'!E:E,0),19),0)</f>
        <v>1</v>
      </c>
      <c r="AP70">
        <f>IF(ListOfExpenditure[[#This Row],[Numero di volte controllato il contract ]]&gt;0,0,ListOfExpenditure[[#This Row],[IF public procurment &gt;10000;1;0]])</f>
        <v>0</v>
      </c>
    </row>
    <row r="71" spans="1:42" x14ac:dyDescent="0.25">
      <c r="A71">
        <v>402</v>
      </c>
      <c r="B71">
        <v>3</v>
      </c>
      <c r="D71">
        <v>28</v>
      </c>
      <c r="E71" t="s">
        <v>4786</v>
      </c>
      <c r="F71" t="b">
        <v>0</v>
      </c>
      <c r="M71" t="s">
        <v>4788</v>
      </c>
      <c r="N71" t="s">
        <v>4788</v>
      </c>
      <c r="Q71">
        <v>190.5</v>
      </c>
      <c r="R71">
        <v>27</v>
      </c>
      <c r="S71">
        <v>5143.5</v>
      </c>
      <c r="T71" t="s">
        <v>4789</v>
      </c>
      <c r="U71">
        <v>1</v>
      </c>
      <c r="V71">
        <v>5143.5</v>
      </c>
      <c r="W71" t="s">
        <v>4343</v>
      </c>
      <c r="Y71" t="b">
        <v>1</v>
      </c>
      <c r="Z71" t="b">
        <v>0</v>
      </c>
      <c r="AA71">
        <v>5143.5</v>
      </c>
      <c r="AB71">
        <v>0</v>
      </c>
      <c r="AD71" t="b">
        <v>0</v>
      </c>
      <c r="AG71" s="1" t="s">
        <v>58</v>
      </c>
      <c r="AH71" s="1" t="s">
        <v>30</v>
      </c>
      <c r="AI71">
        <v>12</v>
      </c>
      <c r="AJ71">
        <v>74</v>
      </c>
      <c r="AK71" s="106">
        <v>45475.635434027776</v>
      </c>
      <c r="AL71" s="1" t="s">
        <v>4790</v>
      </c>
      <c r="AM71" s="42">
        <f>IFERROR(INDEX('Public procurment'!A:R,MATCH(ListOfExpenditure[[#This Row],[Content.contractId]],'Public procurment'!E:E,0),14),0)</f>
        <v>0</v>
      </c>
      <c r="AN71" s="2">
        <f>IF(AND(ListOfExpenditure[[#This Row],[Contract amount]]&gt;10000,ListOfExpenditure[[#This Row],[Content.declaredAmount]]&gt;2000),1,0)</f>
        <v>0</v>
      </c>
      <c r="AO71">
        <f>IFERROR(INDEX('Public procurment'!A:S,MATCH(ListOfExpenditure[[#This Row],[Content.contractId]],'Public procurment'!E:E,0),19),0)</f>
        <v>0</v>
      </c>
      <c r="AP71">
        <f>IF(ListOfExpenditure[[#This Row],[Numero di volte controllato il contract ]]&gt;0,0,ListOfExpenditure[[#This Row],[IF public procurment &gt;10000;1;0]])</f>
        <v>0</v>
      </c>
    </row>
    <row r="72" spans="1:42" x14ac:dyDescent="0.25">
      <c r="A72">
        <v>403</v>
      </c>
      <c r="B72">
        <v>4</v>
      </c>
      <c r="D72">
        <v>28</v>
      </c>
      <c r="E72" t="s">
        <v>4786</v>
      </c>
      <c r="F72" t="b">
        <v>0</v>
      </c>
      <c r="M72" t="s">
        <v>4788</v>
      </c>
      <c r="N72" t="s">
        <v>4788</v>
      </c>
      <c r="Q72">
        <v>101</v>
      </c>
      <c r="R72">
        <v>27</v>
      </c>
      <c r="S72">
        <v>2727</v>
      </c>
      <c r="T72" t="s">
        <v>4789</v>
      </c>
      <c r="U72">
        <v>1</v>
      </c>
      <c r="V72">
        <v>2727</v>
      </c>
      <c r="W72" t="s">
        <v>4343</v>
      </c>
      <c r="Y72" t="b">
        <v>1</v>
      </c>
      <c r="Z72" t="b">
        <v>0</v>
      </c>
      <c r="AA72">
        <v>2727</v>
      </c>
      <c r="AB72">
        <v>0</v>
      </c>
      <c r="AD72" t="b">
        <v>0</v>
      </c>
      <c r="AG72" s="1" t="s">
        <v>58</v>
      </c>
      <c r="AH72" s="1" t="s">
        <v>30</v>
      </c>
      <c r="AI72">
        <v>12</v>
      </c>
      <c r="AJ72">
        <v>74</v>
      </c>
      <c r="AK72" s="106">
        <v>45475.635434027776</v>
      </c>
      <c r="AL72" s="1" t="s">
        <v>4790</v>
      </c>
      <c r="AM72" s="42">
        <f>IFERROR(INDEX('Public procurment'!A:R,MATCH(ListOfExpenditure[[#This Row],[Content.contractId]],'Public procurment'!E:E,0),14),0)</f>
        <v>0</v>
      </c>
      <c r="AN72" s="2">
        <f>IF(AND(ListOfExpenditure[[#This Row],[Contract amount]]&gt;10000,ListOfExpenditure[[#This Row],[Content.declaredAmount]]&gt;2000),1,0)</f>
        <v>0</v>
      </c>
      <c r="AO72">
        <f>IFERROR(INDEX('Public procurment'!A:S,MATCH(ListOfExpenditure[[#This Row],[Content.contractId]],'Public procurment'!E:E,0),19),0)</f>
        <v>0</v>
      </c>
      <c r="AP72">
        <f>IF(ListOfExpenditure[[#This Row],[Numero di volte controllato il contract ]]&gt;0,0,ListOfExpenditure[[#This Row],[IF public procurment &gt;10000;1;0]])</f>
        <v>0</v>
      </c>
    </row>
    <row r="73" spans="1:42" x14ac:dyDescent="0.25">
      <c r="A73">
        <v>404</v>
      </c>
      <c r="B73">
        <v>5</v>
      </c>
      <c r="D73">
        <v>28</v>
      </c>
      <c r="E73" t="s">
        <v>4786</v>
      </c>
      <c r="F73" t="b">
        <v>0</v>
      </c>
      <c r="M73" t="s">
        <v>4788</v>
      </c>
      <c r="N73" t="s">
        <v>4788</v>
      </c>
      <c r="Q73">
        <v>219.5</v>
      </c>
      <c r="R73">
        <v>27</v>
      </c>
      <c r="S73">
        <v>5926.5</v>
      </c>
      <c r="T73" t="s">
        <v>4789</v>
      </c>
      <c r="U73">
        <v>1</v>
      </c>
      <c r="V73">
        <v>5926.5</v>
      </c>
      <c r="W73" t="s">
        <v>4343</v>
      </c>
      <c r="Y73" t="b">
        <v>1</v>
      </c>
      <c r="Z73" t="b">
        <v>0</v>
      </c>
      <c r="AA73">
        <v>5926.5</v>
      </c>
      <c r="AB73">
        <v>0</v>
      </c>
      <c r="AD73" t="b">
        <v>0</v>
      </c>
      <c r="AG73" s="1" t="s">
        <v>58</v>
      </c>
      <c r="AH73" s="1" t="s">
        <v>30</v>
      </c>
      <c r="AI73">
        <v>12</v>
      </c>
      <c r="AJ73">
        <v>74</v>
      </c>
      <c r="AK73" s="106">
        <v>45475.635434027776</v>
      </c>
      <c r="AL73" s="1" t="s">
        <v>4790</v>
      </c>
      <c r="AM73" s="42">
        <f>IFERROR(INDEX('Public procurment'!A:R,MATCH(ListOfExpenditure[[#This Row],[Content.contractId]],'Public procurment'!E:E,0),14),0)</f>
        <v>0</v>
      </c>
      <c r="AN73" s="2">
        <f>IF(AND(ListOfExpenditure[[#This Row],[Contract amount]]&gt;10000,ListOfExpenditure[[#This Row],[Content.declaredAmount]]&gt;2000),1,0)</f>
        <v>0</v>
      </c>
      <c r="AO73">
        <f>IFERROR(INDEX('Public procurment'!A:S,MATCH(ListOfExpenditure[[#This Row],[Content.contractId]],'Public procurment'!E:E,0),19),0)</f>
        <v>0</v>
      </c>
      <c r="AP73">
        <f>IF(ListOfExpenditure[[#This Row],[Numero di volte controllato il contract ]]&gt;0,0,ListOfExpenditure[[#This Row],[IF public procurment &gt;10000;1;0]])</f>
        <v>0</v>
      </c>
    </row>
    <row r="74" spans="1:42" x14ac:dyDescent="0.25">
      <c r="A74">
        <v>405</v>
      </c>
      <c r="B74">
        <v>6</v>
      </c>
      <c r="D74">
        <v>28</v>
      </c>
      <c r="E74" t="s">
        <v>4786</v>
      </c>
      <c r="F74" t="b">
        <v>0</v>
      </c>
      <c r="M74" t="s">
        <v>4788</v>
      </c>
      <c r="N74" t="s">
        <v>4788</v>
      </c>
      <c r="Q74">
        <v>467</v>
      </c>
      <c r="R74">
        <v>27</v>
      </c>
      <c r="S74">
        <v>12609</v>
      </c>
      <c r="T74" t="s">
        <v>4789</v>
      </c>
      <c r="U74">
        <v>1</v>
      </c>
      <c r="V74">
        <v>12609</v>
      </c>
      <c r="W74" t="s">
        <v>4343</v>
      </c>
      <c r="Y74" t="b">
        <v>1</v>
      </c>
      <c r="Z74" t="b">
        <v>0</v>
      </c>
      <c r="AA74">
        <v>12609</v>
      </c>
      <c r="AB74">
        <v>0</v>
      </c>
      <c r="AD74" t="b">
        <v>0</v>
      </c>
      <c r="AG74" s="1" t="s">
        <v>58</v>
      </c>
      <c r="AH74" s="1" t="s">
        <v>30</v>
      </c>
      <c r="AI74">
        <v>12</v>
      </c>
      <c r="AJ74">
        <v>74</v>
      </c>
      <c r="AK74" s="106">
        <v>45475.635434027776</v>
      </c>
      <c r="AL74" s="1" t="s">
        <v>4790</v>
      </c>
      <c r="AM74" s="42">
        <f>IFERROR(INDEX('Public procurment'!A:R,MATCH(ListOfExpenditure[[#This Row],[Content.contractId]],'Public procurment'!E:E,0),14),0)</f>
        <v>0</v>
      </c>
      <c r="AN74" s="2">
        <f>IF(AND(ListOfExpenditure[[#This Row],[Contract amount]]&gt;10000,ListOfExpenditure[[#This Row],[Content.declaredAmount]]&gt;2000),1,0)</f>
        <v>0</v>
      </c>
      <c r="AO74">
        <f>IFERROR(INDEX('Public procurment'!A:S,MATCH(ListOfExpenditure[[#This Row],[Content.contractId]],'Public procurment'!E:E,0),19),0)</f>
        <v>0</v>
      </c>
      <c r="AP74">
        <f>IF(ListOfExpenditure[[#This Row],[Numero di volte controllato il contract ]]&gt;0,0,ListOfExpenditure[[#This Row],[IF public procurment &gt;10000;1;0]])</f>
        <v>0</v>
      </c>
    </row>
    <row r="75" spans="1:42" x14ac:dyDescent="0.25">
      <c r="A75">
        <v>596</v>
      </c>
      <c r="B75">
        <v>1</v>
      </c>
      <c r="E75" t="s">
        <v>4798</v>
      </c>
      <c r="F75" t="b">
        <v>0</v>
      </c>
      <c r="I75" t="s">
        <v>212</v>
      </c>
      <c r="J75" t="s">
        <v>4890</v>
      </c>
      <c r="K75" t="s">
        <v>4686</v>
      </c>
      <c r="L75" t="s">
        <v>4364</v>
      </c>
      <c r="M75" t="s">
        <v>4788</v>
      </c>
      <c r="N75" t="s">
        <v>4788</v>
      </c>
      <c r="O75">
        <v>2474.9899999999998</v>
      </c>
      <c r="P75">
        <v>446.31</v>
      </c>
      <c r="Q75">
        <v>0</v>
      </c>
      <c r="R75">
        <v>0</v>
      </c>
      <c r="S75">
        <v>2474.9899999999998</v>
      </c>
      <c r="T75" t="s">
        <v>4789</v>
      </c>
      <c r="U75">
        <v>1</v>
      </c>
      <c r="V75">
        <v>2474.9899999999998</v>
      </c>
      <c r="W75" t="s">
        <v>4343</v>
      </c>
      <c r="Y75" t="b">
        <v>1</v>
      </c>
      <c r="Z75" t="b">
        <v>0</v>
      </c>
      <c r="AA75">
        <v>0</v>
      </c>
      <c r="AB75">
        <v>0</v>
      </c>
      <c r="AD75" t="b">
        <v>1</v>
      </c>
      <c r="AE75" t="s">
        <v>4891</v>
      </c>
      <c r="AF75" t="s">
        <v>4892</v>
      </c>
      <c r="AG75" s="1" t="s">
        <v>71</v>
      </c>
      <c r="AH75" s="1" t="s">
        <v>301</v>
      </c>
      <c r="AI75">
        <v>156</v>
      </c>
      <c r="AJ75">
        <v>169</v>
      </c>
      <c r="AK75" s="106">
        <v>45475.635469652778</v>
      </c>
      <c r="AL75" s="1" t="s">
        <v>4790</v>
      </c>
      <c r="AM75" s="42">
        <f>IFERROR(INDEX('Public procurment'!A:R,MATCH(ListOfExpenditure[[#This Row],[Content.contractId]],'Public procurment'!E:E,0),14),0)</f>
        <v>0</v>
      </c>
      <c r="AN75" s="2">
        <f>IF(AND(ListOfExpenditure[[#This Row],[Contract amount]]&gt;10000,ListOfExpenditure[[#This Row],[Content.declaredAmount]]&gt;2000),1,0)</f>
        <v>0</v>
      </c>
      <c r="AO75">
        <f>IFERROR(INDEX('Public procurment'!A:S,MATCH(ListOfExpenditure[[#This Row],[Content.contractId]],'Public procurment'!E:E,0),19),0)</f>
        <v>0</v>
      </c>
      <c r="AP75">
        <f>IF(ListOfExpenditure[[#This Row],[Numero di volte controllato il contract ]]&gt;0,0,ListOfExpenditure[[#This Row],[IF public procurment &gt;10000;1;0]])</f>
        <v>0</v>
      </c>
    </row>
    <row r="76" spans="1:42" x14ac:dyDescent="0.25">
      <c r="A76">
        <v>1037</v>
      </c>
      <c r="B76">
        <v>2</v>
      </c>
      <c r="D76">
        <v>57</v>
      </c>
      <c r="E76" t="s">
        <v>4786</v>
      </c>
      <c r="F76" t="b">
        <v>0</v>
      </c>
      <c r="M76" t="s">
        <v>4788</v>
      </c>
      <c r="N76" t="s">
        <v>4788</v>
      </c>
      <c r="Q76">
        <v>160</v>
      </c>
      <c r="R76">
        <v>38</v>
      </c>
      <c r="S76">
        <v>6080</v>
      </c>
      <c r="T76" t="s">
        <v>4789</v>
      </c>
      <c r="U76">
        <v>1</v>
      </c>
      <c r="V76">
        <v>6080</v>
      </c>
      <c r="Y76" t="b">
        <v>1</v>
      </c>
      <c r="Z76" t="b">
        <v>0</v>
      </c>
      <c r="AA76">
        <v>0</v>
      </c>
      <c r="AB76">
        <v>0</v>
      </c>
      <c r="AD76" t="b">
        <v>1</v>
      </c>
      <c r="AE76" t="s">
        <v>4891</v>
      </c>
      <c r="AF76" t="s">
        <v>4892</v>
      </c>
      <c r="AG76" s="1" t="s">
        <v>71</v>
      </c>
      <c r="AH76" s="1" t="s">
        <v>301</v>
      </c>
      <c r="AI76">
        <v>156</v>
      </c>
      <c r="AJ76">
        <v>169</v>
      </c>
      <c r="AK76" s="106">
        <v>45475.635469652778</v>
      </c>
      <c r="AL76" s="1" t="s">
        <v>4790</v>
      </c>
      <c r="AM76" s="42">
        <f>IFERROR(INDEX('Public procurment'!A:R,MATCH(ListOfExpenditure[[#This Row],[Content.contractId]],'Public procurment'!E:E,0),14),0)</f>
        <v>0</v>
      </c>
      <c r="AN76" s="2">
        <f>IF(AND(ListOfExpenditure[[#This Row],[Contract amount]]&gt;10000,ListOfExpenditure[[#This Row],[Content.declaredAmount]]&gt;2000),1,0)</f>
        <v>0</v>
      </c>
      <c r="AO76">
        <f>IFERROR(INDEX('Public procurment'!A:S,MATCH(ListOfExpenditure[[#This Row],[Content.contractId]],'Public procurment'!E:E,0),19),0)</f>
        <v>0</v>
      </c>
      <c r="AP76">
        <f>IF(ListOfExpenditure[[#This Row],[Numero di volte controllato il contract ]]&gt;0,0,ListOfExpenditure[[#This Row],[IF public procurment &gt;10000;1;0]])</f>
        <v>0</v>
      </c>
    </row>
    <row r="77" spans="1:42" x14ac:dyDescent="0.25">
      <c r="A77">
        <v>1372</v>
      </c>
      <c r="B77">
        <v>1</v>
      </c>
      <c r="E77" t="s">
        <v>4798</v>
      </c>
      <c r="F77" t="b">
        <v>0</v>
      </c>
      <c r="I77" t="s">
        <v>212</v>
      </c>
      <c r="J77" t="s">
        <v>212</v>
      </c>
      <c r="M77" t="s">
        <v>4788</v>
      </c>
      <c r="N77" t="s">
        <v>4788</v>
      </c>
      <c r="O77">
        <v>0</v>
      </c>
      <c r="P77">
        <v>0</v>
      </c>
      <c r="Q77">
        <v>0</v>
      </c>
      <c r="R77">
        <v>0</v>
      </c>
      <c r="S77">
        <v>0</v>
      </c>
      <c r="T77" t="s">
        <v>4789</v>
      </c>
      <c r="U77">
        <v>1</v>
      </c>
      <c r="V77">
        <v>0</v>
      </c>
      <c r="Y77" t="b">
        <v>0</v>
      </c>
      <c r="Z77" t="b">
        <v>0</v>
      </c>
      <c r="AA77">
        <v>0</v>
      </c>
      <c r="AB77">
        <v>0</v>
      </c>
      <c r="AD77" t="b">
        <v>0</v>
      </c>
      <c r="AG77" s="1" t="s">
        <v>71</v>
      </c>
      <c r="AH77" s="1" t="s">
        <v>47</v>
      </c>
      <c r="AI77">
        <v>159</v>
      </c>
      <c r="AJ77">
        <v>291</v>
      </c>
      <c r="AK77" s="106">
        <v>45475.635475138886</v>
      </c>
      <c r="AL77" s="1" t="s">
        <v>4790</v>
      </c>
      <c r="AM77" s="42">
        <f>IFERROR(INDEX('Public procurment'!A:R,MATCH(ListOfExpenditure[[#This Row],[Content.contractId]],'Public procurment'!E:E,0),14),0)</f>
        <v>0</v>
      </c>
      <c r="AN77" s="2">
        <f>IF(AND(ListOfExpenditure[[#This Row],[Contract amount]]&gt;10000,ListOfExpenditure[[#This Row],[Content.declaredAmount]]&gt;2000),1,0)</f>
        <v>0</v>
      </c>
      <c r="AO77">
        <f>IFERROR(INDEX('Public procurment'!A:S,MATCH(ListOfExpenditure[[#This Row],[Content.contractId]],'Public procurment'!E:E,0),19),0)</f>
        <v>0</v>
      </c>
      <c r="AP77">
        <f>IF(ListOfExpenditure[[#This Row],[Numero di volte controllato il contract ]]&gt;0,0,ListOfExpenditure[[#This Row],[IF public procurment &gt;10000;1;0]])</f>
        <v>0</v>
      </c>
    </row>
    <row r="78" spans="1:42" x14ac:dyDescent="0.25">
      <c r="A78">
        <v>1642</v>
      </c>
      <c r="B78">
        <v>1</v>
      </c>
      <c r="C78">
        <v>100</v>
      </c>
      <c r="E78" t="s">
        <v>4893</v>
      </c>
      <c r="F78" t="b">
        <v>0</v>
      </c>
      <c r="M78" t="s">
        <v>4788</v>
      </c>
      <c r="N78" t="s">
        <v>4788</v>
      </c>
      <c r="Q78">
        <v>1</v>
      </c>
      <c r="R78">
        <v>9000</v>
      </c>
      <c r="S78">
        <v>9000</v>
      </c>
      <c r="T78" t="s">
        <v>4789</v>
      </c>
      <c r="U78">
        <v>1</v>
      </c>
      <c r="V78">
        <v>9000</v>
      </c>
      <c r="Y78" t="b">
        <v>1</v>
      </c>
      <c r="Z78" t="b">
        <v>0</v>
      </c>
      <c r="AA78">
        <v>9000</v>
      </c>
      <c r="AB78">
        <v>0</v>
      </c>
      <c r="AD78" t="b">
        <v>0</v>
      </c>
      <c r="AG78" s="1" t="s">
        <v>71</v>
      </c>
      <c r="AH78" s="1" t="s">
        <v>290</v>
      </c>
      <c r="AI78">
        <v>72</v>
      </c>
      <c r="AJ78">
        <v>134</v>
      </c>
      <c r="AK78" s="106">
        <v>45475.635497627314</v>
      </c>
      <c r="AL78" s="1" t="s">
        <v>4790</v>
      </c>
      <c r="AM78" s="42">
        <f>IFERROR(INDEX('Public procurment'!A:R,MATCH(ListOfExpenditure[[#This Row],[Content.contractId]],'Public procurment'!E:E,0),14),0)</f>
        <v>0</v>
      </c>
      <c r="AN78" s="2">
        <f>IF(AND(ListOfExpenditure[[#This Row],[Contract amount]]&gt;10000,ListOfExpenditure[[#This Row],[Content.declaredAmount]]&gt;2000),1,0)</f>
        <v>0</v>
      </c>
      <c r="AO78">
        <f>IFERROR(INDEX('Public procurment'!A:S,MATCH(ListOfExpenditure[[#This Row],[Content.contractId]],'Public procurment'!E:E,0),19),0)</f>
        <v>0</v>
      </c>
      <c r="AP78">
        <f>IF(ListOfExpenditure[[#This Row],[Numero di volte controllato il contract ]]&gt;0,0,ListOfExpenditure[[#This Row],[IF public procurment &gt;10000;1;0]])</f>
        <v>0</v>
      </c>
    </row>
    <row r="79" spans="1:42" x14ac:dyDescent="0.25">
      <c r="A79">
        <v>1656</v>
      </c>
      <c r="B79">
        <v>2</v>
      </c>
      <c r="E79" t="s">
        <v>4786</v>
      </c>
      <c r="F79" t="b">
        <v>0</v>
      </c>
      <c r="I79" t="s">
        <v>4894</v>
      </c>
      <c r="K79" t="s">
        <v>4678</v>
      </c>
      <c r="L79" t="s">
        <v>4835</v>
      </c>
      <c r="M79" t="s">
        <v>4788</v>
      </c>
      <c r="N79" t="s">
        <v>4788</v>
      </c>
      <c r="O79">
        <v>1157.58</v>
      </c>
      <c r="Q79">
        <v>0</v>
      </c>
      <c r="R79">
        <v>0</v>
      </c>
      <c r="S79">
        <v>1157.58</v>
      </c>
      <c r="T79" t="s">
        <v>4789</v>
      </c>
      <c r="U79">
        <v>1</v>
      </c>
      <c r="V79">
        <v>1157.58</v>
      </c>
      <c r="Y79" t="b">
        <v>1</v>
      </c>
      <c r="Z79" t="b">
        <v>0</v>
      </c>
      <c r="AA79">
        <v>1130.4100000000001</v>
      </c>
      <c r="AB79">
        <v>27.17</v>
      </c>
      <c r="AC79">
        <v>14</v>
      </c>
      <c r="AD79" t="b">
        <v>0</v>
      </c>
      <c r="AF79" t="s">
        <v>4895</v>
      </c>
      <c r="AG79" s="1" t="s">
        <v>71</v>
      </c>
      <c r="AH79" s="1" t="s">
        <v>290</v>
      </c>
      <c r="AI79">
        <v>72</v>
      </c>
      <c r="AJ79">
        <v>134</v>
      </c>
      <c r="AK79" s="106">
        <v>45475.635497627314</v>
      </c>
      <c r="AL79" s="1" t="s">
        <v>4790</v>
      </c>
      <c r="AM79" s="42">
        <f>IFERROR(INDEX('Public procurment'!A:R,MATCH(ListOfExpenditure[[#This Row],[Content.contractId]],'Public procurment'!E:E,0),14),0)</f>
        <v>0</v>
      </c>
      <c r="AN79" s="2">
        <f>IF(AND(ListOfExpenditure[[#This Row],[Contract amount]]&gt;10000,ListOfExpenditure[[#This Row],[Content.declaredAmount]]&gt;2000),1,0)</f>
        <v>0</v>
      </c>
      <c r="AO79">
        <f>IFERROR(INDEX('Public procurment'!A:S,MATCH(ListOfExpenditure[[#This Row],[Content.contractId]],'Public procurment'!E:E,0),19),0)</f>
        <v>0</v>
      </c>
      <c r="AP79">
        <f>IF(ListOfExpenditure[[#This Row],[Numero di volte controllato il contract ]]&gt;0,0,ListOfExpenditure[[#This Row],[IF public procurment &gt;10000;1;0]])</f>
        <v>0</v>
      </c>
    </row>
    <row r="80" spans="1:42" x14ac:dyDescent="0.25">
      <c r="A80">
        <v>1658</v>
      </c>
      <c r="B80">
        <v>3</v>
      </c>
      <c r="E80" t="s">
        <v>4786</v>
      </c>
      <c r="F80" t="b">
        <v>0</v>
      </c>
      <c r="I80" t="s">
        <v>4896</v>
      </c>
      <c r="K80" t="s">
        <v>4678</v>
      </c>
      <c r="L80" t="s">
        <v>4835</v>
      </c>
      <c r="M80" t="s">
        <v>4788</v>
      </c>
      <c r="N80" t="s">
        <v>4788</v>
      </c>
      <c r="O80">
        <v>502.27</v>
      </c>
      <c r="Q80">
        <v>0</v>
      </c>
      <c r="R80">
        <v>0</v>
      </c>
      <c r="S80">
        <v>502.27</v>
      </c>
      <c r="T80" t="s">
        <v>4789</v>
      </c>
      <c r="U80">
        <v>1</v>
      </c>
      <c r="V80">
        <v>502.27</v>
      </c>
      <c r="Y80" t="b">
        <v>1</v>
      </c>
      <c r="Z80" t="b">
        <v>0</v>
      </c>
      <c r="AA80">
        <v>491.82</v>
      </c>
      <c r="AB80">
        <v>10.45</v>
      </c>
      <c r="AC80">
        <v>14</v>
      </c>
      <c r="AD80" t="b">
        <v>0</v>
      </c>
      <c r="AF80" t="s">
        <v>4895</v>
      </c>
      <c r="AG80" s="1" t="s">
        <v>71</v>
      </c>
      <c r="AH80" s="1" t="s">
        <v>290</v>
      </c>
      <c r="AI80">
        <v>72</v>
      </c>
      <c r="AJ80">
        <v>134</v>
      </c>
      <c r="AK80" s="106">
        <v>45475.635497627314</v>
      </c>
      <c r="AL80" s="1" t="s">
        <v>4790</v>
      </c>
      <c r="AM80" s="42">
        <f>IFERROR(INDEX('Public procurment'!A:R,MATCH(ListOfExpenditure[[#This Row],[Content.contractId]],'Public procurment'!E:E,0),14),0)</f>
        <v>0</v>
      </c>
      <c r="AN80" s="2">
        <f>IF(AND(ListOfExpenditure[[#This Row],[Contract amount]]&gt;10000,ListOfExpenditure[[#This Row],[Content.declaredAmount]]&gt;2000),1,0)</f>
        <v>0</v>
      </c>
      <c r="AO80">
        <f>IFERROR(INDEX('Public procurment'!A:S,MATCH(ListOfExpenditure[[#This Row],[Content.contractId]],'Public procurment'!E:E,0),19),0)</f>
        <v>0</v>
      </c>
      <c r="AP80">
        <f>IF(ListOfExpenditure[[#This Row],[Numero di volte controllato il contract ]]&gt;0,0,ListOfExpenditure[[#This Row],[IF public procurment &gt;10000;1;0]])</f>
        <v>0</v>
      </c>
    </row>
    <row r="81" spans="1:42" x14ac:dyDescent="0.25">
      <c r="A81">
        <v>1659</v>
      </c>
      <c r="B81">
        <v>4</v>
      </c>
      <c r="E81" t="s">
        <v>4786</v>
      </c>
      <c r="F81" t="b">
        <v>0</v>
      </c>
      <c r="I81" t="s">
        <v>4897</v>
      </c>
      <c r="K81" t="s">
        <v>4678</v>
      </c>
      <c r="L81" t="s">
        <v>4835</v>
      </c>
      <c r="M81" t="s">
        <v>4788</v>
      </c>
      <c r="N81" t="s">
        <v>4788</v>
      </c>
      <c r="O81">
        <v>1105.77</v>
      </c>
      <c r="Q81">
        <v>0</v>
      </c>
      <c r="R81">
        <v>0</v>
      </c>
      <c r="S81">
        <v>1105.77</v>
      </c>
      <c r="T81" t="s">
        <v>4789</v>
      </c>
      <c r="U81">
        <v>1</v>
      </c>
      <c r="V81">
        <v>1105.77</v>
      </c>
      <c r="Y81" t="b">
        <v>1</v>
      </c>
      <c r="Z81" t="b">
        <v>0</v>
      </c>
      <c r="AA81">
        <v>1083.82</v>
      </c>
      <c r="AB81">
        <v>21.95</v>
      </c>
      <c r="AC81">
        <v>14</v>
      </c>
      <c r="AD81" t="b">
        <v>0</v>
      </c>
      <c r="AF81" t="s">
        <v>4895</v>
      </c>
      <c r="AG81" s="1" t="s">
        <v>71</v>
      </c>
      <c r="AH81" s="1" t="s">
        <v>290</v>
      </c>
      <c r="AI81">
        <v>72</v>
      </c>
      <c r="AJ81">
        <v>134</v>
      </c>
      <c r="AK81" s="106">
        <v>45475.635497627314</v>
      </c>
      <c r="AL81" s="1" t="s">
        <v>4790</v>
      </c>
      <c r="AM81" s="42">
        <f>IFERROR(INDEX('Public procurment'!A:R,MATCH(ListOfExpenditure[[#This Row],[Content.contractId]],'Public procurment'!E:E,0),14),0)</f>
        <v>0</v>
      </c>
      <c r="AN81" s="2">
        <f>IF(AND(ListOfExpenditure[[#This Row],[Contract amount]]&gt;10000,ListOfExpenditure[[#This Row],[Content.declaredAmount]]&gt;2000),1,0)</f>
        <v>0</v>
      </c>
      <c r="AO81">
        <f>IFERROR(INDEX('Public procurment'!A:S,MATCH(ListOfExpenditure[[#This Row],[Content.contractId]],'Public procurment'!E:E,0),19),0)</f>
        <v>0</v>
      </c>
      <c r="AP81">
        <f>IF(ListOfExpenditure[[#This Row],[Numero di volte controllato il contract ]]&gt;0,0,ListOfExpenditure[[#This Row],[IF public procurment &gt;10000;1;0]])</f>
        <v>0</v>
      </c>
    </row>
    <row r="82" spans="1:42" x14ac:dyDescent="0.25">
      <c r="A82">
        <v>1666</v>
      </c>
      <c r="B82">
        <v>5</v>
      </c>
      <c r="E82" t="s">
        <v>4850</v>
      </c>
      <c r="F82" t="b">
        <v>0</v>
      </c>
      <c r="I82" t="s">
        <v>4898</v>
      </c>
      <c r="J82" t="s">
        <v>4899</v>
      </c>
      <c r="K82" t="s">
        <v>4900</v>
      </c>
      <c r="L82" t="s">
        <v>4901</v>
      </c>
      <c r="M82" t="s">
        <v>4788</v>
      </c>
      <c r="N82" t="s">
        <v>4788</v>
      </c>
      <c r="O82">
        <v>1636.18</v>
      </c>
      <c r="P82">
        <v>295.05</v>
      </c>
      <c r="Q82">
        <v>0</v>
      </c>
      <c r="R82">
        <v>0</v>
      </c>
      <c r="S82">
        <v>1636.18</v>
      </c>
      <c r="T82" t="s">
        <v>4789</v>
      </c>
      <c r="U82">
        <v>1</v>
      </c>
      <c r="V82">
        <v>1636.18</v>
      </c>
      <c r="Y82" t="b">
        <v>1</v>
      </c>
      <c r="Z82" t="b">
        <v>0</v>
      </c>
      <c r="AA82">
        <v>1636.18</v>
      </c>
      <c r="AB82">
        <v>0</v>
      </c>
      <c r="AD82" t="b">
        <v>0</v>
      </c>
      <c r="AG82" s="1" t="s">
        <v>71</v>
      </c>
      <c r="AH82" s="1" t="s">
        <v>290</v>
      </c>
      <c r="AI82">
        <v>72</v>
      </c>
      <c r="AJ82">
        <v>134</v>
      </c>
      <c r="AK82" s="106">
        <v>45475.635497627314</v>
      </c>
      <c r="AL82" s="1" t="s">
        <v>4790</v>
      </c>
      <c r="AM82" s="42">
        <f>IFERROR(INDEX('Public procurment'!A:R,MATCH(ListOfExpenditure[[#This Row],[Content.contractId]],'Public procurment'!E:E,0),14),0)</f>
        <v>0</v>
      </c>
      <c r="AN82" s="2">
        <f>IF(AND(ListOfExpenditure[[#This Row],[Contract amount]]&gt;10000,ListOfExpenditure[[#This Row],[Content.declaredAmount]]&gt;2000),1,0)</f>
        <v>0</v>
      </c>
      <c r="AO82">
        <f>IFERROR(INDEX('Public procurment'!A:S,MATCH(ListOfExpenditure[[#This Row],[Content.contractId]],'Public procurment'!E:E,0),19),0)</f>
        <v>0</v>
      </c>
      <c r="AP82">
        <f>IF(ListOfExpenditure[[#This Row],[Numero di volte controllato il contract ]]&gt;0,0,ListOfExpenditure[[#This Row],[IF public procurment &gt;10000;1;0]])</f>
        <v>0</v>
      </c>
    </row>
    <row r="83" spans="1:42" x14ac:dyDescent="0.25">
      <c r="A83">
        <v>1668</v>
      </c>
      <c r="B83">
        <v>6</v>
      </c>
      <c r="E83" t="s">
        <v>4850</v>
      </c>
      <c r="F83" t="b">
        <v>0</v>
      </c>
      <c r="I83" t="s">
        <v>4902</v>
      </c>
      <c r="J83" t="s">
        <v>4903</v>
      </c>
      <c r="K83" t="s">
        <v>4904</v>
      </c>
      <c r="L83" t="s">
        <v>4905</v>
      </c>
      <c r="M83" t="s">
        <v>4788</v>
      </c>
      <c r="N83" t="s">
        <v>4788</v>
      </c>
      <c r="O83">
        <v>1110.2</v>
      </c>
      <c r="P83">
        <v>200.2</v>
      </c>
      <c r="Q83">
        <v>0</v>
      </c>
      <c r="R83">
        <v>0</v>
      </c>
      <c r="S83">
        <v>1110.2</v>
      </c>
      <c r="T83" t="s">
        <v>4789</v>
      </c>
      <c r="U83">
        <v>1</v>
      </c>
      <c r="V83">
        <v>1110.2</v>
      </c>
      <c r="Y83" t="b">
        <v>1</v>
      </c>
      <c r="Z83" t="b">
        <v>0</v>
      </c>
      <c r="AA83">
        <v>1110.2</v>
      </c>
      <c r="AB83">
        <v>0</v>
      </c>
      <c r="AD83" t="b">
        <v>0</v>
      </c>
      <c r="AG83" s="1" t="s">
        <v>71</v>
      </c>
      <c r="AH83" s="1" t="s">
        <v>290</v>
      </c>
      <c r="AI83">
        <v>72</v>
      </c>
      <c r="AJ83">
        <v>134</v>
      </c>
      <c r="AK83" s="106">
        <v>45475.635497627314</v>
      </c>
      <c r="AL83" s="1" t="s">
        <v>4790</v>
      </c>
      <c r="AM83" s="42">
        <f>IFERROR(INDEX('Public procurment'!A:R,MATCH(ListOfExpenditure[[#This Row],[Content.contractId]],'Public procurment'!E:E,0),14),0)</f>
        <v>0</v>
      </c>
      <c r="AN83" s="2">
        <f>IF(AND(ListOfExpenditure[[#This Row],[Contract amount]]&gt;10000,ListOfExpenditure[[#This Row],[Content.declaredAmount]]&gt;2000),1,0)</f>
        <v>0</v>
      </c>
      <c r="AO83">
        <f>IFERROR(INDEX('Public procurment'!A:S,MATCH(ListOfExpenditure[[#This Row],[Content.contractId]],'Public procurment'!E:E,0),19),0)</f>
        <v>0</v>
      </c>
      <c r="AP83">
        <f>IF(ListOfExpenditure[[#This Row],[Numero di volte controllato il contract ]]&gt;0,0,ListOfExpenditure[[#This Row],[IF public procurment &gt;10000;1;0]])</f>
        <v>0</v>
      </c>
    </row>
    <row r="84" spans="1:42" x14ac:dyDescent="0.25">
      <c r="A84">
        <v>1670</v>
      </c>
      <c r="B84">
        <v>7</v>
      </c>
      <c r="E84" t="s">
        <v>4850</v>
      </c>
      <c r="F84" t="b">
        <v>0</v>
      </c>
      <c r="I84" t="s">
        <v>4906</v>
      </c>
      <c r="J84" t="s">
        <v>4907</v>
      </c>
      <c r="K84" t="s">
        <v>4908</v>
      </c>
      <c r="L84" t="s">
        <v>4672</v>
      </c>
      <c r="M84" t="s">
        <v>4788</v>
      </c>
      <c r="N84" t="s">
        <v>4788</v>
      </c>
      <c r="O84">
        <v>24351.200000000001</v>
      </c>
      <c r="P84">
        <v>4391.2</v>
      </c>
      <c r="Q84">
        <v>0</v>
      </c>
      <c r="R84">
        <v>0</v>
      </c>
      <c r="S84">
        <v>24351.200000000001</v>
      </c>
      <c r="T84" t="s">
        <v>4789</v>
      </c>
      <c r="U84">
        <v>1</v>
      </c>
      <c r="V84">
        <v>24351.200000000001</v>
      </c>
      <c r="Y84" t="b">
        <v>1</v>
      </c>
      <c r="Z84" t="b">
        <v>0</v>
      </c>
      <c r="AA84">
        <v>24351.200000000001</v>
      </c>
      <c r="AB84">
        <v>0</v>
      </c>
      <c r="AD84" t="b">
        <v>0</v>
      </c>
      <c r="AG84" s="1" t="s">
        <v>71</v>
      </c>
      <c r="AH84" s="1" t="s">
        <v>290</v>
      </c>
      <c r="AI84">
        <v>72</v>
      </c>
      <c r="AJ84">
        <v>134</v>
      </c>
      <c r="AK84" s="106">
        <v>45475.635497627314</v>
      </c>
      <c r="AL84" s="1" t="s">
        <v>4790</v>
      </c>
      <c r="AM84" s="42">
        <f>IFERROR(INDEX('Public procurment'!A:R,MATCH(ListOfExpenditure[[#This Row],[Content.contractId]],'Public procurment'!E:E,0),14),0)</f>
        <v>0</v>
      </c>
      <c r="AN84" s="2">
        <f>IF(AND(ListOfExpenditure[[#This Row],[Contract amount]]&gt;10000,ListOfExpenditure[[#This Row],[Content.declaredAmount]]&gt;2000),1,0)</f>
        <v>0</v>
      </c>
      <c r="AO84">
        <f>IFERROR(INDEX('Public procurment'!A:S,MATCH(ListOfExpenditure[[#This Row],[Content.contractId]],'Public procurment'!E:E,0),19),0)</f>
        <v>0</v>
      </c>
      <c r="AP84">
        <f>IF(ListOfExpenditure[[#This Row],[Numero di volte controllato il contract ]]&gt;0,0,ListOfExpenditure[[#This Row],[IF public procurment &gt;10000;1;0]])</f>
        <v>0</v>
      </c>
    </row>
    <row r="85" spans="1:42" x14ac:dyDescent="0.25">
      <c r="A85">
        <v>692</v>
      </c>
      <c r="B85">
        <v>1</v>
      </c>
      <c r="E85" t="s">
        <v>4798</v>
      </c>
      <c r="F85" t="b">
        <v>0</v>
      </c>
      <c r="H85">
        <v>119</v>
      </c>
      <c r="I85" t="s">
        <v>212</v>
      </c>
      <c r="J85" t="s">
        <v>4909</v>
      </c>
      <c r="K85" t="s">
        <v>4910</v>
      </c>
      <c r="L85" t="s">
        <v>4911</v>
      </c>
      <c r="M85" t="s">
        <v>4788</v>
      </c>
      <c r="N85" t="s">
        <v>4788</v>
      </c>
      <c r="O85">
        <v>130</v>
      </c>
      <c r="P85">
        <v>0</v>
      </c>
      <c r="Q85">
        <v>0</v>
      </c>
      <c r="R85">
        <v>0</v>
      </c>
      <c r="S85">
        <v>130</v>
      </c>
      <c r="T85" t="s">
        <v>4789</v>
      </c>
      <c r="U85">
        <v>1</v>
      </c>
      <c r="V85">
        <v>130</v>
      </c>
      <c r="W85" t="s">
        <v>4343</v>
      </c>
      <c r="Y85" t="b">
        <v>1</v>
      </c>
      <c r="Z85" t="b">
        <v>0</v>
      </c>
      <c r="AA85">
        <v>130</v>
      </c>
      <c r="AB85">
        <v>0</v>
      </c>
      <c r="AD85" t="b">
        <v>0</v>
      </c>
      <c r="AG85" s="1" t="s">
        <v>71</v>
      </c>
      <c r="AH85" s="1" t="s">
        <v>303</v>
      </c>
      <c r="AI85">
        <v>157</v>
      </c>
      <c r="AJ85">
        <v>206</v>
      </c>
      <c r="AK85" s="106">
        <v>45475.635479108794</v>
      </c>
      <c r="AL85" s="1" t="s">
        <v>4790</v>
      </c>
      <c r="AM85" s="42">
        <f>IFERROR(INDEX('Public procurment'!A:R,MATCH(ListOfExpenditure[[#This Row],[Content.contractId]],'Public procurment'!E:E,0),14),0)</f>
        <v>130</v>
      </c>
      <c r="AN85" s="2">
        <f>IF(AND(ListOfExpenditure[[#This Row],[Contract amount]]&gt;10000,ListOfExpenditure[[#This Row],[Content.declaredAmount]]&gt;2000),1,0)</f>
        <v>0</v>
      </c>
      <c r="AO85">
        <f>IFERROR(INDEX('Public procurment'!A:S,MATCH(ListOfExpenditure[[#This Row],[Content.contractId]],'Public procurment'!E:E,0),19),0)</f>
        <v>1</v>
      </c>
      <c r="AP85">
        <f>IF(ListOfExpenditure[[#This Row],[Numero di volte controllato il contract ]]&gt;0,0,ListOfExpenditure[[#This Row],[IF public procurment &gt;10000;1;0]])</f>
        <v>0</v>
      </c>
    </row>
    <row r="86" spans="1:42" x14ac:dyDescent="0.25">
      <c r="A86">
        <v>693</v>
      </c>
      <c r="B86">
        <v>2</v>
      </c>
      <c r="E86" t="s">
        <v>4798</v>
      </c>
      <c r="F86" t="b">
        <v>0</v>
      </c>
      <c r="H86">
        <v>118</v>
      </c>
      <c r="I86" t="s">
        <v>212</v>
      </c>
      <c r="J86" t="s">
        <v>4912</v>
      </c>
      <c r="K86" t="s">
        <v>4913</v>
      </c>
      <c r="L86" t="s">
        <v>4914</v>
      </c>
      <c r="M86" t="s">
        <v>4788</v>
      </c>
      <c r="N86" t="s">
        <v>4788</v>
      </c>
      <c r="O86">
        <v>299.86</v>
      </c>
      <c r="P86">
        <v>0</v>
      </c>
      <c r="Q86">
        <v>0</v>
      </c>
      <c r="R86">
        <v>0</v>
      </c>
      <c r="S86">
        <v>299.86</v>
      </c>
      <c r="T86" t="s">
        <v>4789</v>
      </c>
      <c r="U86">
        <v>1</v>
      </c>
      <c r="V86">
        <v>299.86</v>
      </c>
      <c r="W86" t="s">
        <v>4343</v>
      </c>
      <c r="Y86" t="b">
        <v>1</v>
      </c>
      <c r="Z86" t="b">
        <v>0</v>
      </c>
      <c r="AA86">
        <v>299.86</v>
      </c>
      <c r="AB86">
        <v>0</v>
      </c>
      <c r="AD86" t="b">
        <v>0</v>
      </c>
      <c r="AG86" s="1" t="s">
        <v>71</v>
      </c>
      <c r="AH86" s="1" t="s">
        <v>303</v>
      </c>
      <c r="AI86">
        <v>157</v>
      </c>
      <c r="AJ86">
        <v>206</v>
      </c>
      <c r="AK86" s="106">
        <v>45475.635479108794</v>
      </c>
      <c r="AL86" s="1" t="s">
        <v>4790</v>
      </c>
      <c r="AM86" s="42">
        <f>IFERROR(INDEX('Public procurment'!A:R,MATCH(ListOfExpenditure[[#This Row],[Content.contractId]],'Public procurment'!E:E,0),14),0)</f>
        <v>199.39</v>
      </c>
      <c r="AN86" s="2">
        <f>IF(AND(ListOfExpenditure[[#This Row],[Contract amount]]&gt;10000,ListOfExpenditure[[#This Row],[Content.declaredAmount]]&gt;2000),1,0)</f>
        <v>0</v>
      </c>
      <c r="AO86">
        <f>IFERROR(INDEX('Public procurment'!A:S,MATCH(ListOfExpenditure[[#This Row],[Content.contractId]],'Public procurment'!E:E,0),19),0)</f>
        <v>1</v>
      </c>
      <c r="AP86">
        <f>IF(ListOfExpenditure[[#This Row],[Numero di volte controllato il contract ]]&gt;0,0,ListOfExpenditure[[#This Row],[IF public procurment &gt;10000;1;0]])</f>
        <v>0</v>
      </c>
    </row>
    <row r="87" spans="1:42" x14ac:dyDescent="0.25">
      <c r="A87">
        <v>696</v>
      </c>
      <c r="B87">
        <v>3</v>
      </c>
      <c r="E87" t="s">
        <v>4798</v>
      </c>
      <c r="F87" t="b">
        <v>0</v>
      </c>
      <c r="H87">
        <v>117</v>
      </c>
      <c r="I87" t="s">
        <v>212</v>
      </c>
      <c r="J87" t="s">
        <v>4915</v>
      </c>
      <c r="K87" t="s">
        <v>4916</v>
      </c>
      <c r="L87" t="s">
        <v>4917</v>
      </c>
      <c r="M87" t="s">
        <v>4788</v>
      </c>
      <c r="N87" t="s">
        <v>4788</v>
      </c>
      <c r="O87">
        <v>3225</v>
      </c>
      <c r="P87">
        <v>279.79000000000002</v>
      </c>
      <c r="Q87">
        <v>0</v>
      </c>
      <c r="R87">
        <v>0</v>
      </c>
      <c r="S87">
        <v>3225</v>
      </c>
      <c r="T87" t="s">
        <v>4789</v>
      </c>
      <c r="U87">
        <v>1</v>
      </c>
      <c r="V87">
        <v>3225</v>
      </c>
      <c r="W87" t="s">
        <v>4343</v>
      </c>
      <c r="Y87" t="b">
        <v>1</v>
      </c>
      <c r="Z87" t="b">
        <v>0</v>
      </c>
      <c r="AA87">
        <v>3205.41</v>
      </c>
      <c r="AB87">
        <v>19.59</v>
      </c>
      <c r="AC87">
        <v>2</v>
      </c>
      <c r="AD87" t="b">
        <v>0</v>
      </c>
      <c r="AF87" t="s">
        <v>4918</v>
      </c>
      <c r="AG87" s="1" t="s">
        <v>71</v>
      </c>
      <c r="AH87" s="1" t="s">
        <v>303</v>
      </c>
      <c r="AI87">
        <v>157</v>
      </c>
      <c r="AJ87">
        <v>206</v>
      </c>
      <c r="AK87" s="106">
        <v>45475.635479108794</v>
      </c>
      <c r="AL87" s="1" t="s">
        <v>4790</v>
      </c>
      <c r="AM87" s="42">
        <f>IFERROR(INDEX('Public procurment'!A:R,MATCH(ListOfExpenditure[[#This Row],[Content.contractId]],'Public procurment'!E:E,0),14),0)</f>
        <v>58.9</v>
      </c>
      <c r="AN87" s="2">
        <f>IF(AND(ListOfExpenditure[[#This Row],[Contract amount]]&gt;10000,ListOfExpenditure[[#This Row],[Content.declaredAmount]]&gt;2000),1,0)</f>
        <v>0</v>
      </c>
      <c r="AO87">
        <f>IFERROR(INDEX('Public procurment'!A:S,MATCH(ListOfExpenditure[[#This Row],[Content.contractId]],'Public procurment'!E:E,0),19),0)</f>
        <v>1</v>
      </c>
      <c r="AP87">
        <f>IF(ListOfExpenditure[[#This Row],[Numero di volte controllato il contract ]]&gt;0,0,ListOfExpenditure[[#This Row],[IF public procurment &gt;10000;1;0]])</f>
        <v>0</v>
      </c>
    </row>
    <row r="88" spans="1:42" x14ac:dyDescent="0.25">
      <c r="A88">
        <v>704</v>
      </c>
      <c r="B88">
        <v>4</v>
      </c>
      <c r="E88" t="s">
        <v>4798</v>
      </c>
      <c r="F88" t="b">
        <v>0</v>
      </c>
      <c r="H88">
        <v>116</v>
      </c>
      <c r="I88" t="s">
        <v>212</v>
      </c>
      <c r="J88" t="s">
        <v>4919</v>
      </c>
      <c r="K88" t="s">
        <v>4920</v>
      </c>
      <c r="L88" t="s">
        <v>4921</v>
      </c>
      <c r="M88" t="s">
        <v>4788</v>
      </c>
      <c r="N88" t="s">
        <v>4788</v>
      </c>
      <c r="O88">
        <v>3660</v>
      </c>
      <c r="P88">
        <v>660</v>
      </c>
      <c r="Q88">
        <v>0</v>
      </c>
      <c r="R88">
        <v>0</v>
      </c>
      <c r="S88">
        <v>3660</v>
      </c>
      <c r="T88" t="s">
        <v>4789</v>
      </c>
      <c r="U88">
        <v>1</v>
      </c>
      <c r="V88">
        <v>3660</v>
      </c>
      <c r="W88" t="s">
        <v>4343</v>
      </c>
      <c r="Y88" t="b">
        <v>1</v>
      </c>
      <c r="Z88" t="b">
        <v>0</v>
      </c>
      <c r="AA88">
        <v>3613.8</v>
      </c>
      <c r="AB88">
        <v>46.2</v>
      </c>
      <c r="AC88">
        <v>2</v>
      </c>
      <c r="AD88" t="b">
        <v>0</v>
      </c>
      <c r="AF88" t="s">
        <v>4918</v>
      </c>
      <c r="AG88" s="1" t="s">
        <v>71</v>
      </c>
      <c r="AH88" s="1" t="s">
        <v>303</v>
      </c>
      <c r="AI88">
        <v>157</v>
      </c>
      <c r="AJ88">
        <v>206</v>
      </c>
      <c r="AK88" s="106">
        <v>45475.635479108794</v>
      </c>
      <c r="AL88" s="1" t="s">
        <v>4790</v>
      </c>
      <c r="AM88" s="42">
        <f>IFERROR(INDEX('Public procurment'!A:R,MATCH(ListOfExpenditure[[#This Row],[Content.contractId]],'Public procurment'!E:E,0),14),0)</f>
        <v>3000</v>
      </c>
      <c r="AN88" s="2">
        <f>IF(AND(ListOfExpenditure[[#This Row],[Contract amount]]&gt;10000,ListOfExpenditure[[#This Row],[Content.declaredAmount]]&gt;2000),1,0)</f>
        <v>0</v>
      </c>
      <c r="AO88">
        <f>IFERROR(INDEX('Public procurment'!A:S,MATCH(ListOfExpenditure[[#This Row],[Content.contractId]],'Public procurment'!E:E,0),19),0)</f>
        <v>1</v>
      </c>
      <c r="AP88">
        <f>IF(ListOfExpenditure[[#This Row],[Numero di volte controllato il contract ]]&gt;0,0,ListOfExpenditure[[#This Row],[IF public procurment &gt;10000;1;0]])</f>
        <v>0</v>
      </c>
    </row>
    <row r="89" spans="1:42" x14ac:dyDescent="0.25">
      <c r="A89">
        <v>1164</v>
      </c>
      <c r="B89">
        <v>1</v>
      </c>
      <c r="E89" t="s">
        <v>4798</v>
      </c>
      <c r="F89" t="b">
        <v>0</v>
      </c>
      <c r="I89" t="s">
        <v>4922</v>
      </c>
      <c r="J89" t="s">
        <v>4923</v>
      </c>
      <c r="K89" t="s">
        <v>4924</v>
      </c>
      <c r="L89" t="s">
        <v>4925</v>
      </c>
      <c r="M89" t="s">
        <v>4788</v>
      </c>
      <c r="N89" t="s">
        <v>4788</v>
      </c>
      <c r="O89">
        <v>48.31</v>
      </c>
      <c r="P89">
        <v>8.7100000000000009</v>
      </c>
      <c r="Q89">
        <v>0</v>
      </c>
      <c r="R89">
        <v>0</v>
      </c>
      <c r="S89">
        <v>48.31</v>
      </c>
      <c r="T89" t="s">
        <v>4789</v>
      </c>
      <c r="U89">
        <v>1</v>
      </c>
      <c r="V89">
        <v>48.31</v>
      </c>
      <c r="W89" t="s">
        <v>4343</v>
      </c>
      <c r="Y89" t="b">
        <v>1</v>
      </c>
      <c r="Z89" t="b">
        <v>0</v>
      </c>
      <c r="AA89">
        <v>48.31</v>
      </c>
      <c r="AB89">
        <v>0</v>
      </c>
      <c r="AD89" t="b">
        <v>0</v>
      </c>
      <c r="AG89" s="1" t="s">
        <v>71</v>
      </c>
      <c r="AH89" s="1" t="s">
        <v>70</v>
      </c>
      <c r="AI89">
        <v>155</v>
      </c>
      <c r="AJ89">
        <v>269</v>
      </c>
      <c r="AK89" s="106">
        <v>45475.635485925923</v>
      </c>
      <c r="AL89" s="1" t="s">
        <v>4790</v>
      </c>
      <c r="AM89" s="42">
        <f>IFERROR(INDEX('Public procurment'!A:R,MATCH(ListOfExpenditure[[#This Row],[Content.contractId]],'Public procurment'!E:E,0),14),0)</f>
        <v>0</v>
      </c>
      <c r="AN89" s="2">
        <f>IF(AND(ListOfExpenditure[[#This Row],[Contract amount]]&gt;10000,ListOfExpenditure[[#This Row],[Content.declaredAmount]]&gt;2000),1,0)</f>
        <v>0</v>
      </c>
      <c r="AO89">
        <f>IFERROR(INDEX('Public procurment'!A:S,MATCH(ListOfExpenditure[[#This Row],[Content.contractId]],'Public procurment'!E:E,0),19),0)</f>
        <v>0</v>
      </c>
      <c r="AP89">
        <f>IF(ListOfExpenditure[[#This Row],[Numero di volte controllato il contract ]]&gt;0,0,ListOfExpenditure[[#This Row],[IF public procurment &gt;10000;1;0]])</f>
        <v>0</v>
      </c>
    </row>
    <row r="90" spans="1:42" x14ac:dyDescent="0.25">
      <c r="A90">
        <v>1167</v>
      </c>
      <c r="B90">
        <v>2</v>
      </c>
      <c r="E90" t="s">
        <v>4798</v>
      </c>
      <c r="F90" t="b">
        <v>0</v>
      </c>
      <c r="I90" t="s">
        <v>4926</v>
      </c>
      <c r="J90" t="s">
        <v>4927</v>
      </c>
      <c r="K90" t="s">
        <v>4924</v>
      </c>
      <c r="L90" t="s">
        <v>4914</v>
      </c>
      <c r="M90" t="s">
        <v>4788</v>
      </c>
      <c r="N90" t="s">
        <v>4788</v>
      </c>
      <c r="O90">
        <v>1573.8</v>
      </c>
      <c r="P90">
        <v>283.8</v>
      </c>
      <c r="Q90">
        <v>0</v>
      </c>
      <c r="R90">
        <v>0</v>
      </c>
      <c r="S90">
        <v>1573.8</v>
      </c>
      <c r="T90" t="s">
        <v>4789</v>
      </c>
      <c r="U90">
        <v>1</v>
      </c>
      <c r="V90">
        <v>1573.8</v>
      </c>
      <c r="W90" t="s">
        <v>4343</v>
      </c>
      <c r="Y90" t="b">
        <v>1</v>
      </c>
      <c r="Z90" t="b">
        <v>0</v>
      </c>
      <c r="AA90">
        <v>988.2</v>
      </c>
      <c r="AB90">
        <v>585.6</v>
      </c>
      <c r="AC90">
        <v>14</v>
      </c>
      <c r="AD90" t="b">
        <v>0</v>
      </c>
      <c r="AF90" t="s">
        <v>4928</v>
      </c>
      <c r="AG90" s="1" t="s">
        <v>71</v>
      </c>
      <c r="AH90" s="1" t="s">
        <v>70</v>
      </c>
      <c r="AI90">
        <v>155</v>
      </c>
      <c r="AJ90">
        <v>269</v>
      </c>
      <c r="AK90" s="106">
        <v>45475.635485925923</v>
      </c>
      <c r="AL90" s="1" t="s">
        <v>4790</v>
      </c>
      <c r="AM90" s="42">
        <f>IFERROR(INDEX('Public procurment'!A:R,MATCH(ListOfExpenditure[[#This Row],[Content.contractId]],'Public procurment'!E:E,0),14),0)</f>
        <v>0</v>
      </c>
      <c r="AN90" s="2">
        <f>IF(AND(ListOfExpenditure[[#This Row],[Contract amount]]&gt;10000,ListOfExpenditure[[#This Row],[Content.declaredAmount]]&gt;2000),1,0)</f>
        <v>0</v>
      </c>
      <c r="AO90">
        <f>IFERROR(INDEX('Public procurment'!A:S,MATCH(ListOfExpenditure[[#This Row],[Content.contractId]],'Public procurment'!E:E,0),19),0)</f>
        <v>0</v>
      </c>
      <c r="AP90">
        <f>IF(ListOfExpenditure[[#This Row],[Numero di volte controllato il contract ]]&gt;0,0,ListOfExpenditure[[#This Row],[IF public procurment &gt;10000;1;0]])</f>
        <v>0</v>
      </c>
    </row>
    <row r="91" spans="1:42" x14ac:dyDescent="0.25">
      <c r="A91">
        <v>1168</v>
      </c>
      <c r="B91">
        <v>3</v>
      </c>
      <c r="E91" t="s">
        <v>4798</v>
      </c>
      <c r="F91" t="b">
        <v>0</v>
      </c>
      <c r="I91" t="s">
        <v>4929</v>
      </c>
      <c r="J91" t="s">
        <v>4930</v>
      </c>
      <c r="K91" t="s">
        <v>4931</v>
      </c>
      <c r="L91" t="s">
        <v>4932</v>
      </c>
      <c r="M91" t="s">
        <v>4788</v>
      </c>
      <c r="N91" t="s">
        <v>4788</v>
      </c>
      <c r="O91">
        <v>104.63</v>
      </c>
      <c r="P91">
        <v>18.940000000000001</v>
      </c>
      <c r="Q91">
        <v>0</v>
      </c>
      <c r="R91">
        <v>0</v>
      </c>
      <c r="S91">
        <v>104.63</v>
      </c>
      <c r="T91" t="s">
        <v>4789</v>
      </c>
      <c r="U91">
        <v>1</v>
      </c>
      <c r="V91">
        <v>104.63</v>
      </c>
      <c r="W91" t="s">
        <v>4343</v>
      </c>
      <c r="Y91" t="b">
        <v>1</v>
      </c>
      <c r="Z91" t="b">
        <v>0</v>
      </c>
      <c r="AA91">
        <v>104.63</v>
      </c>
      <c r="AB91">
        <v>0</v>
      </c>
      <c r="AD91" t="b">
        <v>0</v>
      </c>
      <c r="AG91" s="1" t="s">
        <v>71</v>
      </c>
      <c r="AH91" s="1" t="s">
        <v>70</v>
      </c>
      <c r="AI91">
        <v>155</v>
      </c>
      <c r="AJ91">
        <v>269</v>
      </c>
      <c r="AK91" s="106">
        <v>45475.635485925923</v>
      </c>
      <c r="AL91" s="1" t="s">
        <v>4790</v>
      </c>
      <c r="AM91" s="42">
        <f>IFERROR(INDEX('Public procurment'!A:R,MATCH(ListOfExpenditure[[#This Row],[Content.contractId]],'Public procurment'!E:E,0),14),0)</f>
        <v>0</v>
      </c>
      <c r="AN91" s="2">
        <f>IF(AND(ListOfExpenditure[[#This Row],[Contract amount]]&gt;10000,ListOfExpenditure[[#This Row],[Content.declaredAmount]]&gt;2000),1,0)</f>
        <v>0</v>
      </c>
      <c r="AO91">
        <f>IFERROR(INDEX('Public procurment'!A:S,MATCH(ListOfExpenditure[[#This Row],[Content.contractId]],'Public procurment'!E:E,0),19),0)</f>
        <v>0</v>
      </c>
      <c r="AP91">
        <f>IF(ListOfExpenditure[[#This Row],[Numero di volte controllato il contract ]]&gt;0,0,ListOfExpenditure[[#This Row],[IF public procurment &gt;10000;1;0]])</f>
        <v>0</v>
      </c>
    </row>
    <row r="92" spans="1:42" x14ac:dyDescent="0.25">
      <c r="A92">
        <v>1169</v>
      </c>
      <c r="B92">
        <v>4</v>
      </c>
      <c r="E92" t="s">
        <v>4798</v>
      </c>
      <c r="F92" t="b">
        <v>0</v>
      </c>
      <c r="I92" t="s">
        <v>4933</v>
      </c>
      <c r="J92" t="s">
        <v>4934</v>
      </c>
      <c r="K92" t="s">
        <v>4935</v>
      </c>
      <c r="L92" t="s">
        <v>4936</v>
      </c>
      <c r="M92" t="s">
        <v>4788</v>
      </c>
      <c r="N92" t="s">
        <v>4788</v>
      </c>
      <c r="O92">
        <v>587.04999999999995</v>
      </c>
      <c r="P92">
        <v>50.93</v>
      </c>
      <c r="Q92">
        <v>0</v>
      </c>
      <c r="R92">
        <v>0</v>
      </c>
      <c r="S92">
        <v>587.04999999999995</v>
      </c>
      <c r="T92" t="s">
        <v>4789</v>
      </c>
      <c r="U92">
        <v>1</v>
      </c>
      <c r="V92">
        <v>587.04999999999995</v>
      </c>
      <c r="W92" t="s">
        <v>4343</v>
      </c>
      <c r="Y92" t="b">
        <v>1</v>
      </c>
      <c r="Z92" t="b">
        <v>0</v>
      </c>
      <c r="AA92">
        <v>284.7</v>
      </c>
      <c r="AB92">
        <v>302.35000000000002</v>
      </c>
      <c r="AC92">
        <v>14</v>
      </c>
      <c r="AD92" t="b">
        <v>0</v>
      </c>
      <c r="AF92" t="s">
        <v>4937</v>
      </c>
      <c r="AG92" s="1" t="s">
        <v>71</v>
      </c>
      <c r="AH92" s="1" t="s">
        <v>70</v>
      </c>
      <c r="AI92">
        <v>155</v>
      </c>
      <c r="AJ92">
        <v>269</v>
      </c>
      <c r="AK92" s="106">
        <v>45475.635485925923</v>
      </c>
      <c r="AL92" s="1" t="s">
        <v>4790</v>
      </c>
      <c r="AM92" s="42">
        <f>IFERROR(INDEX('Public procurment'!A:R,MATCH(ListOfExpenditure[[#This Row],[Content.contractId]],'Public procurment'!E:E,0),14),0)</f>
        <v>0</v>
      </c>
      <c r="AN92" s="2">
        <f>IF(AND(ListOfExpenditure[[#This Row],[Contract amount]]&gt;10000,ListOfExpenditure[[#This Row],[Content.declaredAmount]]&gt;2000),1,0)</f>
        <v>0</v>
      </c>
      <c r="AO92">
        <f>IFERROR(INDEX('Public procurment'!A:S,MATCH(ListOfExpenditure[[#This Row],[Content.contractId]],'Public procurment'!E:E,0),19),0)</f>
        <v>0</v>
      </c>
      <c r="AP92">
        <f>IF(ListOfExpenditure[[#This Row],[Numero di volte controllato il contract ]]&gt;0,0,ListOfExpenditure[[#This Row],[IF public procurment &gt;10000;1;0]])</f>
        <v>0</v>
      </c>
    </row>
    <row r="93" spans="1:42" x14ac:dyDescent="0.25">
      <c r="A93">
        <v>1181</v>
      </c>
      <c r="B93">
        <v>5</v>
      </c>
      <c r="E93" t="s">
        <v>4786</v>
      </c>
      <c r="F93" t="b">
        <v>0</v>
      </c>
      <c r="I93" t="s">
        <v>4938</v>
      </c>
      <c r="K93" t="s">
        <v>4359</v>
      </c>
      <c r="L93" t="s">
        <v>4939</v>
      </c>
      <c r="M93" t="s">
        <v>4788</v>
      </c>
      <c r="N93" t="s">
        <v>4788</v>
      </c>
      <c r="O93">
        <v>3880.58</v>
      </c>
      <c r="Q93">
        <v>0</v>
      </c>
      <c r="R93">
        <v>0</v>
      </c>
      <c r="S93">
        <v>194.03</v>
      </c>
      <c r="T93" t="s">
        <v>4789</v>
      </c>
      <c r="U93">
        <v>1</v>
      </c>
      <c r="V93">
        <v>194.03</v>
      </c>
      <c r="W93" t="s">
        <v>4343</v>
      </c>
      <c r="Y93" t="b">
        <v>1</v>
      </c>
      <c r="Z93" t="b">
        <v>0</v>
      </c>
      <c r="AA93">
        <v>194.03</v>
      </c>
      <c r="AB93">
        <v>0</v>
      </c>
      <c r="AD93" t="b">
        <v>0</v>
      </c>
      <c r="AG93" s="1" t="s">
        <v>71</v>
      </c>
      <c r="AH93" s="1" t="s">
        <v>70</v>
      </c>
      <c r="AI93">
        <v>155</v>
      </c>
      <c r="AJ93">
        <v>269</v>
      </c>
      <c r="AK93" s="106">
        <v>45475.635485925923</v>
      </c>
      <c r="AL93" s="1" t="s">
        <v>4790</v>
      </c>
      <c r="AM93" s="42">
        <f>IFERROR(INDEX('Public procurment'!A:R,MATCH(ListOfExpenditure[[#This Row],[Content.contractId]],'Public procurment'!E:E,0),14),0)</f>
        <v>0</v>
      </c>
      <c r="AN93" s="2">
        <f>IF(AND(ListOfExpenditure[[#This Row],[Contract amount]]&gt;10000,ListOfExpenditure[[#This Row],[Content.declaredAmount]]&gt;2000),1,0)</f>
        <v>0</v>
      </c>
      <c r="AO93">
        <f>IFERROR(INDEX('Public procurment'!A:S,MATCH(ListOfExpenditure[[#This Row],[Content.contractId]],'Public procurment'!E:E,0),19),0)</f>
        <v>0</v>
      </c>
      <c r="AP93">
        <f>IF(ListOfExpenditure[[#This Row],[Numero di volte controllato il contract ]]&gt;0,0,ListOfExpenditure[[#This Row],[IF public procurment &gt;10000;1;0]])</f>
        <v>0</v>
      </c>
    </row>
    <row r="94" spans="1:42" x14ac:dyDescent="0.25">
      <c r="A94">
        <v>1182</v>
      </c>
      <c r="B94">
        <v>6</v>
      </c>
      <c r="E94" t="s">
        <v>4786</v>
      </c>
      <c r="F94" t="b">
        <v>0</v>
      </c>
      <c r="I94" t="s">
        <v>4940</v>
      </c>
      <c r="K94" t="s">
        <v>4931</v>
      </c>
      <c r="L94" t="s">
        <v>4932</v>
      </c>
      <c r="M94" t="s">
        <v>4788</v>
      </c>
      <c r="N94" t="s">
        <v>4788</v>
      </c>
      <c r="O94">
        <v>3876.92</v>
      </c>
      <c r="Q94">
        <v>0</v>
      </c>
      <c r="R94">
        <v>0</v>
      </c>
      <c r="S94">
        <v>193.63</v>
      </c>
      <c r="T94" t="s">
        <v>4789</v>
      </c>
      <c r="U94">
        <v>1</v>
      </c>
      <c r="V94">
        <v>193.63</v>
      </c>
      <c r="W94" t="s">
        <v>4343</v>
      </c>
      <c r="Y94" t="b">
        <v>1</v>
      </c>
      <c r="Z94" t="b">
        <v>0</v>
      </c>
      <c r="AA94">
        <v>193.63</v>
      </c>
      <c r="AB94">
        <v>0</v>
      </c>
      <c r="AD94" t="b">
        <v>0</v>
      </c>
      <c r="AG94" s="1" t="s">
        <v>71</v>
      </c>
      <c r="AH94" s="1" t="s">
        <v>70</v>
      </c>
      <c r="AI94">
        <v>155</v>
      </c>
      <c r="AJ94">
        <v>269</v>
      </c>
      <c r="AK94" s="106">
        <v>45475.635485925923</v>
      </c>
      <c r="AL94" s="1" t="s">
        <v>4790</v>
      </c>
      <c r="AM94" s="42">
        <f>IFERROR(INDEX('Public procurment'!A:R,MATCH(ListOfExpenditure[[#This Row],[Content.contractId]],'Public procurment'!E:E,0),14),0)</f>
        <v>0</v>
      </c>
      <c r="AN94" s="2">
        <f>IF(AND(ListOfExpenditure[[#This Row],[Contract amount]]&gt;10000,ListOfExpenditure[[#This Row],[Content.declaredAmount]]&gt;2000),1,0)</f>
        <v>0</v>
      </c>
      <c r="AO94">
        <f>IFERROR(INDEX('Public procurment'!A:S,MATCH(ListOfExpenditure[[#This Row],[Content.contractId]],'Public procurment'!E:E,0),19),0)</f>
        <v>0</v>
      </c>
      <c r="AP94">
        <f>IF(ListOfExpenditure[[#This Row],[Numero di volte controllato il contract ]]&gt;0,0,ListOfExpenditure[[#This Row],[IF public procurment &gt;10000;1;0]])</f>
        <v>0</v>
      </c>
    </row>
    <row r="95" spans="1:42" x14ac:dyDescent="0.25">
      <c r="A95">
        <v>1183</v>
      </c>
      <c r="B95">
        <v>7</v>
      </c>
      <c r="E95" t="s">
        <v>4786</v>
      </c>
      <c r="F95" t="b">
        <v>0</v>
      </c>
      <c r="I95" t="s">
        <v>4941</v>
      </c>
      <c r="K95" t="s">
        <v>4525</v>
      </c>
      <c r="L95" t="s">
        <v>4942</v>
      </c>
      <c r="M95" t="s">
        <v>4788</v>
      </c>
      <c r="N95" t="s">
        <v>4788</v>
      </c>
      <c r="O95">
        <v>3776.8</v>
      </c>
      <c r="Q95">
        <v>0</v>
      </c>
      <c r="R95">
        <v>0</v>
      </c>
      <c r="S95">
        <v>188.84</v>
      </c>
      <c r="T95" t="s">
        <v>4789</v>
      </c>
      <c r="U95">
        <v>1</v>
      </c>
      <c r="V95">
        <v>188.84</v>
      </c>
      <c r="W95" t="s">
        <v>4343</v>
      </c>
      <c r="Y95" t="b">
        <v>1</v>
      </c>
      <c r="Z95" t="b">
        <v>0</v>
      </c>
      <c r="AA95">
        <v>188.84</v>
      </c>
      <c r="AB95">
        <v>0</v>
      </c>
      <c r="AD95" t="b">
        <v>0</v>
      </c>
      <c r="AG95" s="1" t="s">
        <v>71</v>
      </c>
      <c r="AH95" s="1" t="s">
        <v>70</v>
      </c>
      <c r="AI95">
        <v>155</v>
      </c>
      <c r="AJ95">
        <v>269</v>
      </c>
      <c r="AK95" s="106">
        <v>45475.635485925923</v>
      </c>
      <c r="AL95" s="1" t="s">
        <v>4790</v>
      </c>
      <c r="AM95" s="42">
        <f>IFERROR(INDEX('Public procurment'!A:R,MATCH(ListOfExpenditure[[#This Row],[Content.contractId]],'Public procurment'!E:E,0),14),0)</f>
        <v>0</v>
      </c>
      <c r="AN95" s="2">
        <f>IF(AND(ListOfExpenditure[[#This Row],[Contract amount]]&gt;10000,ListOfExpenditure[[#This Row],[Content.declaredAmount]]&gt;2000),1,0)</f>
        <v>0</v>
      </c>
      <c r="AO95">
        <f>IFERROR(INDEX('Public procurment'!A:S,MATCH(ListOfExpenditure[[#This Row],[Content.contractId]],'Public procurment'!E:E,0),19),0)</f>
        <v>0</v>
      </c>
      <c r="AP95">
        <f>IF(ListOfExpenditure[[#This Row],[Numero di volte controllato il contract ]]&gt;0,0,ListOfExpenditure[[#This Row],[IF public procurment &gt;10000;1;0]])</f>
        <v>0</v>
      </c>
    </row>
    <row r="96" spans="1:42" x14ac:dyDescent="0.25">
      <c r="A96">
        <v>1184</v>
      </c>
      <c r="B96">
        <v>8</v>
      </c>
      <c r="E96" t="s">
        <v>4786</v>
      </c>
      <c r="F96" t="b">
        <v>0</v>
      </c>
      <c r="I96" t="s">
        <v>4943</v>
      </c>
      <c r="K96" t="s">
        <v>4678</v>
      </c>
      <c r="L96" t="s">
        <v>4587</v>
      </c>
      <c r="M96" t="s">
        <v>4788</v>
      </c>
      <c r="N96" t="s">
        <v>4788</v>
      </c>
      <c r="O96">
        <v>3893.47</v>
      </c>
      <c r="Q96">
        <v>0</v>
      </c>
      <c r="R96">
        <v>0</v>
      </c>
      <c r="S96">
        <v>194.67</v>
      </c>
      <c r="T96" t="s">
        <v>4789</v>
      </c>
      <c r="U96">
        <v>1</v>
      </c>
      <c r="V96">
        <v>194.67</v>
      </c>
      <c r="W96" t="s">
        <v>4343</v>
      </c>
      <c r="Y96" t="b">
        <v>1</v>
      </c>
      <c r="Z96" t="b">
        <v>0</v>
      </c>
      <c r="AA96">
        <v>194.67</v>
      </c>
      <c r="AB96">
        <v>0</v>
      </c>
      <c r="AD96" t="b">
        <v>0</v>
      </c>
      <c r="AG96" s="1" t="s">
        <v>71</v>
      </c>
      <c r="AH96" s="1" t="s">
        <v>70</v>
      </c>
      <c r="AI96">
        <v>155</v>
      </c>
      <c r="AJ96">
        <v>269</v>
      </c>
      <c r="AK96" s="106">
        <v>45475.635485925923</v>
      </c>
      <c r="AL96" s="1" t="s">
        <v>4790</v>
      </c>
      <c r="AM96" s="42">
        <f>IFERROR(INDEX('Public procurment'!A:R,MATCH(ListOfExpenditure[[#This Row],[Content.contractId]],'Public procurment'!E:E,0),14),0)</f>
        <v>0</v>
      </c>
      <c r="AN96" s="2">
        <f>IF(AND(ListOfExpenditure[[#This Row],[Contract amount]]&gt;10000,ListOfExpenditure[[#This Row],[Content.declaredAmount]]&gt;2000),1,0)</f>
        <v>0</v>
      </c>
      <c r="AO96">
        <f>IFERROR(INDEX('Public procurment'!A:S,MATCH(ListOfExpenditure[[#This Row],[Content.contractId]],'Public procurment'!E:E,0),19),0)</f>
        <v>0</v>
      </c>
      <c r="AP96">
        <f>IF(ListOfExpenditure[[#This Row],[Numero di volte controllato il contract ]]&gt;0,0,ListOfExpenditure[[#This Row],[IF public procurment &gt;10000;1;0]])</f>
        <v>0</v>
      </c>
    </row>
    <row r="97" spans="1:42" x14ac:dyDescent="0.25">
      <c r="A97">
        <v>1185</v>
      </c>
      <c r="B97">
        <v>9</v>
      </c>
      <c r="E97" t="s">
        <v>4786</v>
      </c>
      <c r="F97" t="b">
        <v>0</v>
      </c>
      <c r="I97" t="s">
        <v>4944</v>
      </c>
      <c r="K97" t="s">
        <v>4359</v>
      </c>
      <c r="L97" t="s">
        <v>4939</v>
      </c>
      <c r="M97" t="s">
        <v>4788</v>
      </c>
      <c r="N97" t="s">
        <v>4788</v>
      </c>
      <c r="O97">
        <v>4455.68</v>
      </c>
      <c r="Q97">
        <v>0</v>
      </c>
      <c r="R97">
        <v>0</v>
      </c>
      <c r="S97">
        <v>445.57</v>
      </c>
      <c r="T97" t="s">
        <v>4789</v>
      </c>
      <c r="U97">
        <v>1</v>
      </c>
      <c r="V97">
        <v>445.57</v>
      </c>
      <c r="W97" t="s">
        <v>4343</v>
      </c>
      <c r="Y97" t="b">
        <v>1</v>
      </c>
      <c r="Z97" t="b">
        <v>0</v>
      </c>
      <c r="AA97">
        <v>445.57</v>
      </c>
      <c r="AB97">
        <v>0</v>
      </c>
      <c r="AD97" t="b">
        <v>0</v>
      </c>
      <c r="AG97" s="1" t="s">
        <v>71</v>
      </c>
      <c r="AH97" s="1" t="s">
        <v>70</v>
      </c>
      <c r="AI97">
        <v>155</v>
      </c>
      <c r="AJ97">
        <v>269</v>
      </c>
      <c r="AK97" s="106">
        <v>45475.635485925923</v>
      </c>
      <c r="AL97" s="1" t="s">
        <v>4790</v>
      </c>
      <c r="AM97" s="42">
        <f>IFERROR(INDEX('Public procurment'!A:R,MATCH(ListOfExpenditure[[#This Row],[Content.contractId]],'Public procurment'!E:E,0),14),0)</f>
        <v>0</v>
      </c>
      <c r="AN97" s="2">
        <f>IF(AND(ListOfExpenditure[[#This Row],[Contract amount]]&gt;10000,ListOfExpenditure[[#This Row],[Content.declaredAmount]]&gt;2000),1,0)</f>
        <v>0</v>
      </c>
      <c r="AO97">
        <f>IFERROR(INDEX('Public procurment'!A:S,MATCH(ListOfExpenditure[[#This Row],[Content.contractId]],'Public procurment'!E:E,0),19),0)</f>
        <v>0</v>
      </c>
      <c r="AP97">
        <f>IF(ListOfExpenditure[[#This Row],[Numero di volte controllato il contract ]]&gt;0,0,ListOfExpenditure[[#This Row],[IF public procurment &gt;10000;1;0]])</f>
        <v>0</v>
      </c>
    </row>
    <row r="98" spans="1:42" x14ac:dyDescent="0.25">
      <c r="A98">
        <v>1187</v>
      </c>
      <c r="B98">
        <v>10</v>
      </c>
      <c r="E98" t="s">
        <v>4786</v>
      </c>
      <c r="F98" t="b">
        <v>0</v>
      </c>
      <c r="I98" t="s">
        <v>4945</v>
      </c>
      <c r="K98" t="s">
        <v>4342</v>
      </c>
      <c r="L98" t="s">
        <v>4946</v>
      </c>
      <c r="M98" t="s">
        <v>4788</v>
      </c>
      <c r="N98" t="s">
        <v>4788</v>
      </c>
      <c r="O98">
        <v>4520.25</v>
      </c>
      <c r="Q98">
        <v>0</v>
      </c>
      <c r="R98">
        <v>0</v>
      </c>
      <c r="S98">
        <v>452.03</v>
      </c>
      <c r="T98" t="s">
        <v>4789</v>
      </c>
      <c r="U98">
        <v>1</v>
      </c>
      <c r="V98">
        <v>452.03</v>
      </c>
      <c r="W98" t="s">
        <v>4343</v>
      </c>
      <c r="Y98" t="b">
        <v>1</v>
      </c>
      <c r="Z98" t="b">
        <v>0</v>
      </c>
      <c r="AA98">
        <v>452.03</v>
      </c>
      <c r="AB98">
        <v>0</v>
      </c>
      <c r="AD98" t="b">
        <v>0</v>
      </c>
      <c r="AG98" s="1" t="s">
        <v>71</v>
      </c>
      <c r="AH98" s="1" t="s">
        <v>70</v>
      </c>
      <c r="AI98">
        <v>155</v>
      </c>
      <c r="AJ98">
        <v>269</v>
      </c>
      <c r="AK98" s="106">
        <v>45475.635485925923</v>
      </c>
      <c r="AL98" s="1" t="s">
        <v>4790</v>
      </c>
      <c r="AM98" s="42">
        <f>IFERROR(INDEX('Public procurment'!A:R,MATCH(ListOfExpenditure[[#This Row],[Content.contractId]],'Public procurment'!E:E,0),14),0)</f>
        <v>0</v>
      </c>
      <c r="AN98" s="2">
        <f>IF(AND(ListOfExpenditure[[#This Row],[Contract amount]]&gt;10000,ListOfExpenditure[[#This Row],[Content.declaredAmount]]&gt;2000),1,0)</f>
        <v>0</v>
      </c>
      <c r="AO98">
        <f>IFERROR(INDEX('Public procurment'!A:S,MATCH(ListOfExpenditure[[#This Row],[Content.contractId]],'Public procurment'!E:E,0),19),0)</f>
        <v>0</v>
      </c>
      <c r="AP98">
        <f>IF(ListOfExpenditure[[#This Row],[Numero di volte controllato il contract ]]&gt;0,0,ListOfExpenditure[[#This Row],[IF public procurment &gt;10000;1;0]])</f>
        <v>0</v>
      </c>
    </row>
    <row r="99" spans="1:42" x14ac:dyDescent="0.25">
      <c r="A99">
        <v>1188</v>
      </c>
      <c r="B99">
        <v>11</v>
      </c>
      <c r="E99" t="s">
        <v>4786</v>
      </c>
      <c r="F99" t="b">
        <v>0</v>
      </c>
      <c r="I99" t="s">
        <v>4947</v>
      </c>
      <c r="K99" t="s">
        <v>4931</v>
      </c>
      <c r="L99" t="s">
        <v>4932</v>
      </c>
      <c r="M99" t="s">
        <v>4788</v>
      </c>
      <c r="N99" t="s">
        <v>4788</v>
      </c>
      <c r="O99">
        <v>4535.1000000000004</v>
      </c>
      <c r="Q99">
        <v>0</v>
      </c>
      <c r="R99">
        <v>0</v>
      </c>
      <c r="S99">
        <v>453.08</v>
      </c>
      <c r="T99" t="s">
        <v>4789</v>
      </c>
      <c r="U99">
        <v>1</v>
      </c>
      <c r="V99">
        <v>453.08</v>
      </c>
      <c r="W99" t="s">
        <v>4343</v>
      </c>
      <c r="Y99" t="b">
        <v>1</v>
      </c>
      <c r="Z99" t="b">
        <v>0</v>
      </c>
      <c r="AA99">
        <v>453.08</v>
      </c>
      <c r="AB99">
        <v>0</v>
      </c>
      <c r="AD99" t="b">
        <v>0</v>
      </c>
      <c r="AG99" s="1" t="s">
        <v>71</v>
      </c>
      <c r="AH99" s="1" t="s">
        <v>70</v>
      </c>
      <c r="AI99">
        <v>155</v>
      </c>
      <c r="AJ99">
        <v>269</v>
      </c>
      <c r="AK99" s="106">
        <v>45475.635485925923</v>
      </c>
      <c r="AL99" s="1" t="s">
        <v>4790</v>
      </c>
      <c r="AM99" s="42">
        <f>IFERROR(INDEX('Public procurment'!A:R,MATCH(ListOfExpenditure[[#This Row],[Content.contractId]],'Public procurment'!E:E,0),14),0)</f>
        <v>0</v>
      </c>
      <c r="AN99" s="2">
        <f>IF(AND(ListOfExpenditure[[#This Row],[Contract amount]]&gt;10000,ListOfExpenditure[[#This Row],[Content.declaredAmount]]&gt;2000),1,0)</f>
        <v>0</v>
      </c>
      <c r="AO99">
        <f>IFERROR(INDEX('Public procurment'!A:S,MATCH(ListOfExpenditure[[#This Row],[Content.contractId]],'Public procurment'!E:E,0),19),0)</f>
        <v>0</v>
      </c>
      <c r="AP99">
        <f>IF(ListOfExpenditure[[#This Row],[Numero di volte controllato il contract ]]&gt;0,0,ListOfExpenditure[[#This Row],[IF public procurment &gt;10000;1;0]])</f>
        <v>0</v>
      </c>
    </row>
    <row r="100" spans="1:42" x14ac:dyDescent="0.25">
      <c r="A100">
        <v>1189</v>
      </c>
      <c r="B100">
        <v>12</v>
      </c>
      <c r="E100" t="s">
        <v>4786</v>
      </c>
      <c r="F100" t="b">
        <v>0</v>
      </c>
      <c r="I100" t="s">
        <v>4948</v>
      </c>
      <c r="K100" t="s">
        <v>4525</v>
      </c>
      <c r="L100" t="s">
        <v>4942</v>
      </c>
      <c r="M100" t="s">
        <v>4788</v>
      </c>
      <c r="N100" t="s">
        <v>4788</v>
      </c>
      <c r="O100">
        <v>4407.75</v>
      </c>
      <c r="Q100">
        <v>0</v>
      </c>
      <c r="R100">
        <v>0</v>
      </c>
      <c r="S100">
        <v>440.78</v>
      </c>
      <c r="T100" t="s">
        <v>4789</v>
      </c>
      <c r="U100">
        <v>1</v>
      </c>
      <c r="V100">
        <v>440.78</v>
      </c>
      <c r="W100" t="s">
        <v>4343</v>
      </c>
      <c r="Y100" t="b">
        <v>1</v>
      </c>
      <c r="Z100" t="b">
        <v>0</v>
      </c>
      <c r="AA100">
        <v>440.78</v>
      </c>
      <c r="AB100">
        <v>0</v>
      </c>
      <c r="AD100" t="b">
        <v>0</v>
      </c>
      <c r="AG100" s="1" t="s">
        <v>71</v>
      </c>
      <c r="AH100" s="1" t="s">
        <v>70</v>
      </c>
      <c r="AI100">
        <v>155</v>
      </c>
      <c r="AJ100">
        <v>269</v>
      </c>
      <c r="AK100" s="106">
        <v>45475.635485925923</v>
      </c>
      <c r="AL100" s="1" t="s">
        <v>4790</v>
      </c>
      <c r="AM100" s="42">
        <f>IFERROR(INDEX('Public procurment'!A:R,MATCH(ListOfExpenditure[[#This Row],[Content.contractId]],'Public procurment'!E:E,0),14),0)</f>
        <v>0</v>
      </c>
      <c r="AN100" s="2">
        <f>IF(AND(ListOfExpenditure[[#This Row],[Contract amount]]&gt;10000,ListOfExpenditure[[#This Row],[Content.declaredAmount]]&gt;2000),1,0)</f>
        <v>0</v>
      </c>
      <c r="AO100">
        <f>IFERROR(INDEX('Public procurment'!A:S,MATCH(ListOfExpenditure[[#This Row],[Content.contractId]],'Public procurment'!E:E,0),19),0)</f>
        <v>0</v>
      </c>
      <c r="AP100">
        <f>IF(ListOfExpenditure[[#This Row],[Numero di volte controllato il contract ]]&gt;0,0,ListOfExpenditure[[#This Row],[IF public procurment &gt;10000;1;0]])</f>
        <v>0</v>
      </c>
    </row>
    <row r="101" spans="1:42" x14ac:dyDescent="0.25">
      <c r="A101">
        <v>1190</v>
      </c>
      <c r="B101">
        <v>13</v>
      </c>
      <c r="E101" t="s">
        <v>4786</v>
      </c>
      <c r="F101" t="b">
        <v>0</v>
      </c>
      <c r="I101" t="s">
        <v>4949</v>
      </c>
      <c r="K101" t="s">
        <v>4678</v>
      </c>
      <c r="L101" t="s">
        <v>4587</v>
      </c>
      <c r="M101" t="s">
        <v>4788</v>
      </c>
      <c r="N101" t="s">
        <v>4788</v>
      </c>
      <c r="O101">
        <v>4476.43</v>
      </c>
      <c r="Q101">
        <v>0</v>
      </c>
      <c r="R101">
        <v>0</v>
      </c>
      <c r="S101">
        <v>447.64</v>
      </c>
      <c r="T101" t="s">
        <v>4789</v>
      </c>
      <c r="U101">
        <v>1</v>
      </c>
      <c r="V101">
        <v>447.64</v>
      </c>
      <c r="W101" t="s">
        <v>4343</v>
      </c>
      <c r="Y101" t="b">
        <v>1</v>
      </c>
      <c r="Z101" t="b">
        <v>0</v>
      </c>
      <c r="AA101">
        <v>447.64</v>
      </c>
      <c r="AB101">
        <v>0</v>
      </c>
      <c r="AD101" t="b">
        <v>0</v>
      </c>
      <c r="AG101" s="1" t="s">
        <v>71</v>
      </c>
      <c r="AH101" s="1" t="s">
        <v>70</v>
      </c>
      <c r="AI101">
        <v>155</v>
      </c>
      <c r="AJ101">
        <v>269</v>
      </c>
      <c r="AK101" s="106">
        <v>45475.635485925923</v>
      </c>
      <c r="AL101" s="1" t="s">
        <v>4790</v>
      </c>
      <c r="AM101" s="42">
        <f>IFERROR(INDEX('Public procurment'!A:R,MATCH(ListOfExpenditure[[#This Row],[Content.contractId]],'Public procurment'!E:E,0),14),0)</f>
        <v>0</v>
      </c>
      <c r="AN101" s="2">
        <f>IF(AND(ListOfExpenditure[[#This Row],[Contract amount]]&gt;10000,ListOfExpenditure[[#This Row],[Content.declaredAmount]]&gt;2000),1,0)</f>
        <v>0</v>
      </c>
      <c r="AO101">
        <f>IFERROR(INDEX('Public procurment'!A:S,MATCH(ListOfExpenditure[[#This Row],[Content.contractId]],'Public procurment'!E:E,0),19),0)</f>
        <v>0</v>
      </c>
      <c r="AP101">
        <f>IF(ListOfExpenditure[[#This Row],[Numero di volte controllato il contract ]]&gt;0,0,ListOfExpenditure[[#This Row],[IF public procurment &gt;10000;1;0]])</f>
        <v>0</v>
      </c>
    </row>
    <row r="102" spans="1:42" x14ac:dyDescent="0.25">
      <c r="A102">
        <v>1405</v>
      </c>
      <c r="B102">
        <v>1</v>
      </c>
      <c r="E102" t="s">
        <v>4786</v>
      </c>
      <c r="F102" t="b">
        <v>0</v>
      </c>
      <c r="I102" t="s">
        <v>4922</v>
      </c>
      <c r="K102" t="s">
        <v>4950</v>
      </c>
      <c r="L102" t="s">
        <v>4950</v>
      </c>
      <c r="M102" t="s">
        <v>4788</v>
      </c>
      <c r="N102" t="s">
        <v>4788</v>
      </c>
      <c r="O102">
        <v>51688.38</v>
      </c>
      <c r="Q102">
        <v>0</v>
      </c>
      <c r="R102">
        <v>0</v>
      </c>
      <c r="S102">
        <v>2300.13</v>
      </c>
      <c r="T102" t="s">
        <v>4789</v>
      </c>
      <c r="U102">
        <v>1</v>
      </c>
      <c r="V102">
        <v>2300.13</v>
      </c>
      <c r="W102" t="s">
        <v>4343</v>
      </c>
      <c r="Y102" t="b">
        <v>1</v>
      </c>
      <c r="Z102" t="b">
        <v>0</v>
      </c>
      <c r="AA102">
        <v>2300.13</v>
      </c>
      <c r="AB102">
        <v>0</v>
      </c>
      <c r="AD102" t="b">
        <v>0</v>
      </c>
      <c r="AG102" s="1" t="s">
        <v>71</v>
      </c>
      <c r="AH102" s="1" t="s">
        <v>69</v>
      </c>
      <c r="AI102">
        <v>154</v>
      </c>
      <c r="AJ102">
        <v>151</v>
      </c>
      <c r="AK102" s="106">
        <v>45475.635477083335</v>
      </c>
      <c r="AL102" s="1" t="s">
        <v>4790</v>
      </c>
      <c r="AM102" s="42">
        <f>IFERROR(INDEX('Public procurment'!A:R,MATCH(ListOfExpenditure[[#This Row],[Content.contractId]],'Public procurment'!E:E,0),14),0)</f>
        <v>0</v>
      </c>
      <c r="AN102" s="2">
        <f>IF(AND(ListOfExpenditure[[#This Row],[Contract amount]]&gt;10000,ListOfExpenditure[[#This Row],[Content.declaredAmount]]&gt;2000),1,0)</f>
        <v>0</v>
      </c>
      <c r="AO102">
        <f>IFERROR(INDEX('Public procurment'!A:S,MATCH(ListOfExpenditure[[#This Row],[Content.contractId]],'Public procurment'!E:E,0),19),0)</f>
        <v>0</v>
      </c>
      <c r="AP102">
        <f>IF(ListOfExpenditure[[#This Row],[Numero di volte controllato il contract ]]&gt;0,0,ListOfExpenditure[[#This Row],[IF public procurment &gt;10000;1;0]])</f>
        <v>0</v>
      </c>
    </row>
    <row r="103" spans="1:42" x14ac:dyDescent="0.25">
      <c r="A103">
        <v>1406</v>
      </c>
      <c r="B103">
        <v>2</v>
      </c>
      <c r="E103" t="s">
        <v>4786</v>
      </c>
      <c r="F103" t="b">
        <v>0</v>
      </c>
      <c r="I103" t="s">
        <v>4926</v>
      </c>
      <c r="K103" t="s">
        <v>4950</v>
      </c>
      <c r="L103" t="s">
        <v>4950</v>
      </c>
      <c r="M103" t="s">
        <v>4788</v>
      </c>
      <c r="N103" t="s">
        <v>4788</v>
      </c>
      <c r="O103">
        <v>43389.55</v>
      </c>
      <c r="Q103">
        <v>0</v>
      </c>
      <c r="R103">
        <v>0</v>
      </c>
      <c r="S103">
        <v>15160.31</v>
      </c>
      <c r="T103" t="s">
        <v>4789</v>
      </c>
      <c r="U103">
        <v>1</v>
      </c>
      <c r="V103">
        <v>15160.31</v>
      </c>
      <c r="W103" t="s">
        <v>4343</v>
      </c>
      <c r="Y103" t="b">
        <v>1</v>
      </c>
      <c r="Z103" t="b">
        <v>0</v>
      </c>
      <c r="AA103">
        <v>14603.92</v>
      </c>
      <c r="AB103">
        <v>556.39</v>
      </c>
      <c r="AC103">
        <v>12</v>
      </c>
      <c r="AD103" t="b">
        <v>0</v>
      </c>
      <c r="AF103" t="s">
        <v>4951</v>
      </c>
      <c r="AG103" s="1" t="s">
        <v>71</v>
      </c>
      <c r="AH103" s="1" t="s">
        <v>69</v>
      </c>
      <c r="AI103">
        <v>154</v>
      </c>
      <c r="AJ103">
        <v>151</v>
      </c>
      <c r="AK103" s="106">
        <v>45475.635477083335</v>
      </c>
      <c r="AL103" s="1" t="s">
        <v>4790</v>
      </c>
      <c r="AM103" s="42">
        <f>IFERROR(INDEX('Public procurment'!A:R,MATCH(ListOfExpenditure[[#This Row],[Content.contractId]],'Public procurment'!E:E,0),14),0)</f>
        <v>0</v>
      </c>
      <c r="AN103" s="2">
        <f>IF(AND(ListOfExpenditure[[#This Row],[Contract amount]]&gt;10000,ListOfExpenditure[[#This Row],[Content.declaredAmount]]&gt;2000),1,0)</f>
        <v>0</v>
      </c>
      <c r="AO103">
        <f>IFERROR(INDEX('Public procurment'!A:S,MATCH(ListOfExpenditure[[#This Row],[Content.contractId]],'Public procurment'!E:E,0),19),0)</f>
        <v>0</v>
      </c>
      <c r="AP103">
        <f>IF(ListOfExpenditure[[#This Row],[Numero di volte controllato il contract ]]&gt;0,0,ListOfExpenditure[[#This Row],[IF public procurment &gt;10000;1;0]])</f>
        <v>0</v>
      </c>
    </row>
    <row r="104" spans="1:42" x14ac:dyDescent="0.25">
      <c r="A104">
        <v>1407</v>
      </c>
      <c r="B104">
        <v>3</v>
      </c>
      <c r="E104" t="s">
        <v>4786</v>
      </c>
      <c r="F104" t="b">
        <v>0</v>
      </c>
      <c r="I104" t="s">
        <v>4929</v>
      </c>
      <c r="K104" t="s">
        <v>4950</v>
      </c>
      <c r="L104" t="s">
        <v>4950</v>
      </c>
      <c r="M104" t="s">
        <v>4788</v>
      </c>
      <c r="N104" t="s">
        <v>4788</v>
      </c>
      <c r="O104">
        <v>41038.519999999997</v>
      </c>
      <c r="Q104">
        <v>0</v>
      </c>
      <c r="R104">
        <v>0</v>
      </c>
      <c r="S104">
        <v>4341.88</v>
      </c>
      <c r="T104" t="s">
        <v>4789</v>
      </c>
      <c r="U104">
        <v>1</v>
      </c>
      <c r="V104">
        <v>4341.88</v>
      </c>
      <c r="W104" t="s">
        <v>4343</v>
      </c>
      <c r="Y104" t="b">
        <v>1</v>
      </c>
      <c r="Z104" t="b">
        <v>0</v>
      </c>
      <c r="AA104">
        <v>3958.04</v>
      </c>
      <c r="AB104">
        <v>383.84</v>
      </c>
      <c r="AC104">
        <v>12</v>
      </c>
      <c r="AD104" t="b">
        <v>0</v>
      </c>
      <c r="AF104" t="s">
        <v>4952</v>
      </c>
      <c r="AG104" s="1" t="s">
        <v>71</v>
      </c>
      <c r="AH104" s="1" t="s">
        <v>69</v>
      </c>
      <c r="AI104">
        <v>154</v>
      </c>
      <c r="AJ104">
        <v>151</v>
      </c>
      <c r="AK104" s="106">
        <v>45475.635477083335</v>
      </c>
      <c r="AL104" s="1" t="s">
        <v>4790</v>
      </c>
      <c r="AM104" s="42">
        <f>IFERROR(INDEX('Public procurment'!A:R,MATCH(ListOfExpenditure[[#This Row],[Content.contractId]],'Public procurment'!E:E,0),14),0)</f>
        <v>0</v>
      </c>
      <c r="AN104" s="2">
        <f>IF(AND(ListOfExpenditure[[#This Row],[Contract amount]]&gt;10000,ListOfExpenditure[[#This Row],[Content.declaredAmount]]&gt;2000),1,0)</f>
        <v>0</v>
      </c>
      <c r="AO104">
        <f>IFERROR(INDEX('Public procurment'!A:S,MATCH(ListOfExpenditure[[#This Row],[Content.contractId]],'Public procurment'!E:E,0),19),0)</f>
        <v>0</v>
      </c>
      <c r="AP104">
        <f>IF(ListOfExpenditure[[#This Row],[Numero di volte controllato il contract ]]&gt;0,0,ListOfExpenditure[[#This Row],[IF public procurment &gt;10000;1;0]])</f>
        <v>0</v>
      </c>
    </row>
    <row r="105" spans="1:42" x14ac:dyDescent="0.25">
      <c r="A105">
        <v>1880</v>
      </c>
      <c r="B105">
        <v>1</v>
      </c>
      <c r="E105" t="s">
        <v>4798</v>
      </c>
      <c r="F105" t="b">
        <v>0</v>
      </c>
      <c r="I105" t="s">
        <v>212</v>
      </c>
      <c r="J105" t="s">
        <v>212</v>
      </c>
      <c r="M105" t="s">
        <v>4788</v>
      </c>
      <c r="N105" t="s">
        <v>4788</v>
      </c>
      <c r="O105">
        <v>0</v>
      </c>
      <c r="P105">
        <v>0</v>
      </c>
      <c r="Q105">
        <v>0</v>
      </c>
      <c r="R105">
        <v>0</v>
      </c>
      <c r="S105">
        <v>0</v>
      </c>
      <c r="T105" t="s">
        <v>4789</v>
      </c>
      <c r="U105">
        <v>1</v>
      </c>
      <c r="V105">
        <v>0</v>
      </c>
      <c r="Y105" t="b">
        <v>0</v>
      </c>
      <c r="Z105" t="b">
        <v>0</v>
      </c>
      <c r="AA105">
        <v>0</v>
      </c>
      <c r="AB105">
        <v>0</v>
      </c>
      <c r="AD105" t="b">
        <v>0</v>
      </c>
      <c r="AG105" s="1" t="s">
        <v>312</v>
      </c>
      <c r="AH105" s="1" t="s">
        <v>313</v>
      </c>
      <c r="AI105">
        <v>184</v>
      </c>
      <c r="AJ105">
        <v>304</v>
      </c>
      <c r="AK105" s="106">
        <v>45475.635517025461</v>
      </c>
      <c r="AL105" s="1" t="s">
        <v>4790</v>
      </c>
      <c r="AM105" s="42">
        <f>IFERROR(INDEX('Public procurment'!A:R,MATCH(ListOfExpenditure[[#This Row],[Content.contractId]],'Public procurment'!E:E,0),14),0)</f>
        <v>0</v>
      </c>
      <c r="AN105" s="2">
        <f>IF(AND(ListOfExpenditure[[#This Row],[Contract amount]]&gt;10000,ListOfExpenditure[[#This Row],[Content.declaredAmount]]&gt;2000),1,0)</f>
        <v>0</v>
      </c>
      <c r="AO105">
        <f>IFERROR(INDEX('Public procurment'!A:S,MATCH(ListOfExpenditure[[#This Row],[Content.contractId]],'Public procurment'!E:E,0),19),0)</f>
        <v>0</v>
      </c>
      <c r="AP105">
        <f>IF(ListOfExpenditure[[#This Row],[Numero di volte controllato il contract ]]&gt;0,0,ListOfExpenditure[[#This Row],[IF public procurment &gt;10000;1;0]])</f>
        <v>0</v>
      </c>
    </row>
    <row r="106" spans="1:42" x14ac:dyDescent="0.25">
      <c r="A106">
        <v>583</v>
      </c>
      <c r="B106">
        <v>1</v>
      </c>
      <c r="E106" t="s">
        <v>4798</v>
      </c>
      <c r="F106" t="b">
        <v>0</v>
      </c>
      <c r="I106" t="s">
        <v>4922</v>
      </c>
      <c r="J106" t="s">
        <v>4953</v>
      </c>
      <c r="K106" t="s">
        <v>4954</v>
      </c>
      <c r="L106" t="s">
        <v>4955</v>
      </c>
      <c r="M106" t="s">
        <v>4788</v>
      </c>
      <c r="N106" t="s">
        <v>4788</v>
      </c>
      <c r="O106">
        <v>1683.6</v>
      </c>
      <c r="P106">
        <v>303.60000000000002</v>
      </c>
      <c r="Q106">
        <v>0</v>
      </c>
      <c r="R106">
        <v>0</v>
      </c>
      <c r="S106">
        <v>1683.6</v>
      </c>
      <c r="T106" t="s">
        <v>4789</v>
      </c>
      <c r="U106">
        <v>1</v>
      </c>
      <c r="V106">
        <v>1683.6</v>
      </c>
      <c r="W106" t="s">
        <v>4343</v>
      </c>
      <c r="Y106" t="b">
        <v>1</v>
      </c>
      <c r="Z106" t="b">
        <v>0</v>
      </c>
      <c r="AA106">
        <v>1683.6</v>
      </c>
      <c r="AB106">
        <v>0</v>
      </c>
      <c r="AD106" t="b">
        <v>0</v>
      </c>
      <c r="AG106" s="1" t="s">
        <v>312</v>
      </c>
      <c r="AH106" s="1" t="s">
        <v>314</v>
      </c>
      <c r="AI106">
        <v>185</v>
      </c>
      <c r="AJ106">
        <v>114</v>
      </c>
      <c r="AK106" s="106">
        <v>45475.635562222225</v>
      </c>
      <c r="AL106" s="1" t="s">
        <v>4790</v>
      </c>
      <c r="AM106" s="42">
        <f>IFERROR(INDEX('Public procurment'!A:R,MATCH(ListOfExpenditure[[#This Row],[Content.contractId]],'Public procurment'!E:E,0),14),0)</f>
        <v>0</v>
      </c>
      <c r="AN106" s="2">
        <f>IF(AND(ListOfExpenditure[[#This Row],[Contract amount]]&gt;10000,ListOfExpenditure[[#This Row],[Content.declaredAmount]]&gt;2000),1,0)</f>
        <v>0</v>
      </c>
      <c r="AO106">
        <f>IFERROR(INDEX('Public procurment'!A:S,MATCH(ListOfExpenditure[[#This Row],[Content.contractId]],'Public procurment'!E:E,0),19),0)</f>
        <v>0</v>
      </c>
      <c r="AP106">
        <f>IF(ListOfExpenditure[[#This Row],[Numero di volte controllato il contract ]]&gt;0,0,ListOfExpenditure[[#This Row],[IF public procurment &gt;10000;1;0]])</f>
        <v>0</v>
      </c>
    </row>
    <row r="107" spans="1:42" x14ac:dyDescent="0.25">
      <c r="A107">
        <v>606</v>
      </c>
      <c r="B107">
        <v>2</v>
      </c>
      <c r="E107" t="s">
        <v>4798</v>
      </c>
      <c r="F107" t="b">
        <v>0</v>
      </c>
      <c r="I107" t="s">
        <v>4926</v>
      </c>
      <c r="J107" t="s">
        <v>4956</v>
      </c>
      <c r="K107" t="s">
        <v>4582</v>
      </c>
      <c r="L107" t="s">
        <v>4577</v>
      </c>
      <c r="M107" t="s">
        <v>4788</v>
      </c>
      <c r="N107" t="s">
        <v>4788</v>
      </c>
      <c r="O107">
        <v>1000</v>
      </c>
      <c r="P107">
        <v>180.33</v>
      </c>
      <c r="Q107">
        <v>0</v>
      </c>
      <c r="R107">
        <v>0</v>
      </c>
      <c r="S107">
        <v>1000</v>
      </c>
      <c r="T107" t="s">
        <v>4789</v>
      </c>
      <c r="U107">
        <v>1</v>
      </c>
      <c r="V107">
        <v>1000</v>
      </c>
      <c r="W107" t="s">
        <v>4343</v>
      </c>
      <c r="Y107" t="b">
        <v>1</v>
      </c>
      <c r="Z107" t="b">
        <v>0</v>
      </c>
      <c r="AA107">
        <v>1000</v>
      </c>
      <c r="AB107">
        <v>0</v>
      </c>
      <c r="AD107" t="b">
        <v>0</v>
      </c>
      <c r="AG107" s="1" t="s">
        <v>312</v>
      </c>
      <c r="AH107" s="1" t="s">
        <v>314</v>
      </c>
      <c r="AI107">
        <v>185</v>
      </c>
      <c r="AJ107">
        <v>114</v>
      </c>
      <c r="AK107" s="106">
        <v>45475.635562222225</v>
      </c>
      <c r="AL107" s="1" t="s">
        <v>4790</v>
      </c>
      <c r="AM107" s="42">
        <f>IFERROR(INDEX('Public procurment'!A:R,MATCH(ListOfExpenditure[[#This Row],[Content.contractId]],'Public procurment'!E:E,0),14),0)</f>
        <v>0</v>
      </c>
      <c r="AN107" s="2">
        <f>IF(AND(ListOfExpenditure[[#This Row],[Contract amount]]&gt;10000,ListOfExpenditure[[#This Row],[Content.declaredAmount]]&gt;2000),1,0)</f>
        <v>0</v>
      </c>
      <c r="AO107">
        <f>IFERROR(INDEX('Public procurment'!A:S,MATCH(ListOfExpenditure[[#This Row],[Content.contractId]],'Public procurment'!E:E,0),19),0)</f>
        <v>0</v>
      </c>
      <c r="AP107">
        <f>IF(ListOfExpenditure[[#This Row],[Numero di volte controllato il contract ]]&gt;0,0,ListOfExpenditure[[#This Row],[IF public procurment &gt;10000;1;0]])</f>
        <v>0</v>
      </c>
    </row>
    <row r="108" spans="1:42" x14ac:dyDescent="0.25">
      <c r="A108">
        <v>607</v>
      </c>
      <c r="B108">
        <v>3</v>
      </c>
      <c r="E108" t="s">
        <v>4786</v>
      </c>
      <c r="F108" t="b">
        <v>1</v>
      </c>
      <c r="I108" t="s">
        <v>4929</v>
      </c>
      <c r="K108" t="s">
        <v>4831</v>
      </c>
      <c r="L108" t="s">
        <v>4831</v>
      </c>
      <c r="M108" t="s">
        <v>4788</v>
      </c>
      <c r="N108" t="s">
        <v>4788</v>
      </c>
      <c r="O108">
        <v>1111.96</v>
      </c>
      <c r="Q108">
        <v>0</v>
      </c>
      <c r="R108">
        <v>0</v>
      </c>
      <c r="S108">
        <v>1111.96</v>
      </c>
      <c r="T108" t="s">
        <v>4789</v>
      </c>
      <c r="U108">
        <v>1</v>
      </c>
      <c r="V108">
        <v>1111.96</v>
      </c>
      <c r="W108" t="s">
        <v>4343</v>
      </c>
      <c r="Y108" t="b">
        <v>1</v>
      </c>
      <c r="Z108" t="b">
        <v>0</v>
      </c>
      <c r="AA108">
        <v>1111.96</v>
      </c>
      <c r="AB108">
        <v>0</v>
      </c>
      <c r="AD108" t="b">
        <v>0</v>
      </c>
      <c r="AG108" s="1" t="s">
        <v>312</v>
      </c>
      <c r="AH108" s="1" t="s">
        <v>314</v>
      </c>
      <c r="AI108">
        <v>185</v>
      </c>
      <c r="AJ108">
        <v>114</v>
      </c>
      <c r="AK108" s="106">
        <v>45475.635562222225</v>
      </c>
      <c r="AL108" s="1" t="s">
        <v>4790</v>
      </c>
      <c r="AM108" s="42">
        <f>IFERROR(INDEX('Public procurment'!A:R,MATCH(ListOfExpenditure[[#This Row],[Content.contractId]],'Public procurment'!E:E,0),14),0)</f>
        <v>0</v>
      </c>
      <c r="AN108" s="2">
        <f>IF(AND(ListOfExpenditure[[#This Row],[Contract amount]]&gt;10000,ListOfExpenditure[[#This Row],[Content.declaredAmount]]&gt;2000),1,0)</f>
        <v>0</v>
      </c>
      <c r="AO108">
        <f>IFERROR(INDEX('Public procurment'!A:S,MATCH(ListOfExpenditure[[#This Row],[Content.contractId]],'Public procurment'!E:E,0),19),0)</f>
        <v>0</v>
      </c>
      <c r="AP108">
        <f>IF(ListOfExpenditure[[#This Row],[Numero di volte controllato il contract ]]&gt;0,0,ListOfExpenditure[[#This Row],[IF public procurment &gt;10000;1;0]])</f>
        <v>0</v>
      </c>
    </row>
    <row r="109" spans="1:42" x14ac:dyDescent="0.25">
      <c r="A109">
        <v>608</v>
      </c>
      <c r="B109">
        <v>4</v>
      </c>
      <c r="E109" t="s">
        <v>4786</v>
      </c>
      <c r="F109" t="b">
        <v>1</v>
      </c>
      <c r="I109" t="s">
        <v>4933</v>
      </c>
      <c r="K109" t="s">
        <v>4957</v>
      </c>
      <c r="L109" t="s">
        <v>4957</v>
      </c>
      <c r="M109" t="s">
        <v>4788</v>
      </c>
      <c r="N109" t="s">
        <v>4788</v>
      </c>
      <c r="O109">
        <v>1756.66</v>
      </c>
      <c r="Q109">
        <v>0</v>
      </c>
      <c r="R109">
        <v>0</v>
      </c>
      <c r="S109">
        <v>1756.66</v>
      </c>
      <c r="T109" t="s">
        <v>4789</v>
      </c>
      <c r="U109">
        <v>1</v>
      </c>
      <c r="V109">
        <v>1756.66</v>
      </c>
      <c r="W109" t="s">
        <v>4343</v>
      </c>
      <c r="Y109" t="b">
        <v>1</v>
      </c>
      <c r="Z109" t="b">
        <v>0</v>
      </c>
      <c r="AA109">
        <v>1756.66</v>
      </c>
      <c r="AB109">
        <v>0</v>
      </c>
      <c r="AD109" t="b">
        <v>0</v>
      </c>
      <c r="AG109" s="1" t="s">
        <v>312</v>
      </c>
      <c r="AH109" s="1" t="s">
        <v>314</v>
      </c>
      <c r="AI109">
        <v>185</v>
      </c>
      <c r="AJ109">
        <v>114</v>
      </c>
      <c r="AK109" s="106">
        <v>45475.635562222225</v>
      </c>
      <c r="AL109" s="1" t="s">
        <v>4790</v>
      </c>
      <c r="AM109" s="42">
        <f>IFERROR(INDEX('Public procurment'!A:R,MATCH(ListOfExpenditure[[#This Row],[Content.contractId]],'Public procurment'!E:E,0),14),0)</f>
        <v>0</v>
      </c>
      <c r="AN109" s="2">
        <f>IF(AND(ListOfExpenditure[[#This Row],[Contract amount]]&gt;10000,ListOfExpenditure[[#This Row],[Content.declaredAmount]]&gt;2000),1,0)</f>
        <v>0</v>
      </c>
      <c r="AO109">
        <f>IFERROR(INDEX('Public procurment'!A:S,MATCH(ListOfExpenditure[[#This Row],[Content.contractId]],'Public procurment'!E:E,0),19),0)</f>
        <v>0</v>
      </c>
      <c r="AP109">
        <f>IF(ListOfExpenditure[[#This Row],[Numero di volte controllato il contract ]]&gt;0,0,ListOfExpenditure[[#This Row],[IF public procurment &gt;10000;1;0]])</f>
        <v>0</v>
      </c>
    </row>
    <row r="110" spans="1:42" x14ac:dyDescent="0.25">
      <c r="A110">
        <v>609</v>
      </c>
      <c r="B110">
        <v>5</v>
      </c>
      <c r="E110" t="s">
        <v>4786</v>
      </c>
      <c r="F110" t="b">
        <v>1</v>
      </c>
      <c r="I110" t="s">
        <v>4938</v>
      </c>
      <c r="K110" t="s">
        <v>4958</v>
      </c>
      <c r="L110" t="s">
        <v>4958</v>
      </c>
      <c r="M110" t="s">
        <v>4788</v>
      </c>
      <c r="N110" t="s">
        <v>4788</v>
      </c>
      <c r="O110">
        <v>1587.14</v>
      </c>
      <c r="Q110">
        <v>0</v>
      </c>
      <c r="R110">
        <v>0</v>
      </c>
      <c r="S110">
        <v>1587.14</v>
      </c>
      <c r="T110" t="s">
        <v>4789</v>
      </c>
      <c r="U110">
        <v>1</v>
      </c>
      <c r="V110">
        <v>1587.14</v>
      </c>
      <c r="W110" t="s">
        <v>4343</v>
      </c>
      <c r="Y110" t="b">
        <v>1</v>
      </c>
      <c r="Z110" t="b">
        <v>0</v>
      </c>
      <c r="AA110">
        <v>1587.14</v>
      </c>
      <c r="AB110">
        <v>0</v>
      </c>
      <c r="AD110" t="b">
        <v>0</v>
      </c>
      <c r="AG110" s="1" t="s">
        <v>312</v>
      </c>
      <c r="AH110" s="1" t="s">
        <v>314</v>
      </c>
      <c r="AI110">
        <v>185</v>
      </c>
      <c r="AJ110">
        <v>114</v>
      </c>
      <c r="AK110" s="106">
        <v>45475.635562222225</v>
      </c>
      <c r="AL110" s="1" t="s">
        <v>4790</v>
      </c>
      <c r="AM110" s="42">
        <f>IFERROR(INDEX('Public procurment'!A:R,MATCH(ListOfExpenditure[[#This Row],[Content.contractId]],'Public procurment'!E:E,0),14),0)</f>
        <v>0</v>
      </c>
      <c r="AN110" s="2">
        <f>IF(AND(ListOfExpenditure[[#This Row],[Contract amount]]&gt;10000,ListOfExpenditure[[#This Row],[Content.declaredAmount]]&gt;2000),1,0)</f>
        <v>0</v>
      </c>
      <c r="AO110">
        <f>IFERROR(INDEX('Public procurment'!A:S,MATCH(ListOfExpenditure[[#This Row],[Content.contractId]],'Public procurment'!E:E,0),19),0)</f>
        <v>0</v>
      </c>
      <c r="AP110">
        <f>IF(ListOfExpenditure[[#This Row],[Numero di volte controllato il contract ]]&gt;0,0,ListOfExpenditure[[#This Row],[IF public procurment &gt;10000;1;0]])</f>
        <v>0</v>
      </c>
    </row>
    <row r="111" spans="1:42" x14ac:dyDescent="0.25">
      <c r="A111">
        <v>610</v>
      </c>
      <c r="B111">
        <v>6</v>
      </c>
      <c r="E111" t="s">
        <v>4786</v>
      </c>
      <c r="F111" t="b">
        <v>1</v>
      </c>
      <c r="I111" t="s">
        <v>4940</v>
      </c>
      <c r="K111" t="s">
        <v>4959</v>
      </c>
      <c r="L111" t="s">
        <v>4959</v>
      </c>
      <c r="M111" t="s">
        <v>4788</v>
      </c>
      <c r="N111" t="s">
        <v>4788</v>
      </c>
      <c r="O111">
        <v>1087.3900000000001</v>
      </c>
      <c r="Q111">
        <v>0</v>
      </c>
      <c r="R111">
        <v>0</v>
      </c>
      <c r="S111">
        <v>1087.3900000000001</v>
      </c>
      <c r="T111" t="s">
        <v>4789</v>
      </c>
      <c r="U111">
        <v>1</v>
      </c>
      <c r="V111">
        <v>1087.3900000000001</v>
      </c>
      <c r="W111" t="s">
        <v>4343</v>
      </c>
      <c r="Y111" t="b">
        <v>1</v>
      </c>
      <c r="Z111" t="b">
        <v>0</v>
      </c>
      <c r="AA111">
        <v>1087.3900000000001</v>
      </c>
      <c r="AB111">
        <v>0</v>
      </c>
      <c r="AD111" t="b">
        <v>0</v>
      </c>
      <c r="AG111" s="1" t="s">
        <v>312</v>
      </c>
      <c r="AH111" s="1" t="s">
        <v>314</v>
      </c>
      <c r="AI111">
        <v>185</v>
      </c>
      <c r="AJ111">
        <v>114</v>
      </c>
      <c r="AK111" s="106">
        <v>45475.635562222225</v>
      </c>
      <c r="AL111" s="1" t="s">
        <v>4790</v>
      </c>
      <c r="AM111" s="42">
        <f>IFERROR(INDEX('Public procurment'!A:R,MATCH(ListOfExpenditure[[#This Row],[Content.contractId]],'Public procurment'!E:E,0),14),0)</f>
        <v>0</v>
      </c>
      <c r="AN111" s="2">
        <f>IF(AND(ListOfExpenditure[[#This Row],[Contract amount]]&gt;10000,ListOfExpenditure[[#This Row],[Content.declaredAmount]]&gt;2000),1,0)</f>
        <v>0</v>
      </c>
      <c r="AO111">
        <f>IFERROR(INDEX('Public procurment'!A:S,MATCH(ListOfExpenditure[[#This Row],[Content.contractId]],'Public procurment'!E:E,0),19),0)</f>
        <v>0</v>
      </c>
      <c r="AP111">
        <f>IF(ListOfExpenditure[[#This Row],[Numero di volte controllato il contract ]]&gt;0,0,ListOfExpenditure[[#This Row],[IF public procurment &gt;10000;1;0]])</f>
        <v>0</v>
      </c>
    </row>
    <row r="112" spans="1:42" x14ac:dyDescent="0.25">
      <c r="A112">
        <v>611</v>
      </c>
      <c r="B112">
        <v>7</v>
      </c>
      <c r="E112" t="s">
        <v>4786</v>
      </c>
      <c r="F112" t="b">
        <v>1</v>
      </c>
      <c r="I112" t="s">
        <v>4941</v>
      </c>
      <c r="K112" t="s">
        <v>4835</v>
      </c>
      <c r="L112" t="s">
        <v>4835</v>
      </c>
      <c r="M112" t="s">
        <v>4788</v>
      </c>
      <c r="N112" t="s">
        <v>4788</v>
      </c>
      <c r="O112">
        <v>1160</v>
      </c>
      <c r="Q112">
        <v>0</v>
      </c>
      <c r="R112">
        <v>0</v>
      </c>
      <c r="S112">
        <v>1160</v>
      </c>
      <c r="T112" t="s">
        <v>4789</v>
      </c>
      <c r="U112">
        <v>1</v>
      </c>
      <c r="V112">
        <v>1160</v>
      </c>
      <c r="W112" t="s">
        <v>4343</v>
      </c>
      <c r="Y112" t="b">
        <v>1</v>
      </c>
      <c r="Z112" t="b">
        <v>0</v>
      </c>
      <c r="AA112">
        <v>1139.0999999999999</v>
      </c>
      <c r="AB112">
        <v>20.9</v>
      </c>
      <c r="AC112">
        <v>14</v>
      </c>
      <c r="AD112" t="b">
        <v>0</v>
      </c>
      <c r="AF112" t="s">
        <v>4960</v>
      </c>
      <c r="AG112" s="1" t="s">
        <v>312</v>
      </c>
      <c r="AH112" s="1" t="s">
        <v>314</v>
      </c>
      <c r="AI112">
        <v>185</v>
      </c>
      <c r="AJ112">
        <v>114</v>
      </c>
      <c r="AK112" s="106">
        <v>45475.635562222225</v>
      </c>
      <c r="AL112" s="1" t="s">
        <v>4790</v>
      </c>
      <c r="AM112" s="42">
        <f>IFERROR(INDEX('Public procurment'!A:R,MATCH(ListOfExpenditure[[#This Row],[Content.contractId]],'Public procurment'!E:E,0),14),0)</f>
        <v>0</v>
      </c>
      <c r="AN112" s="2">
        <f>IF(AND(ListOfExpenditure[[#This Row],[Contract amount]]&gt;10000,ListOfExpenditure[[#This Row],[Content.declaredAmount]]&gt;2000),1,0)</f>
        <v>0</v>
      </c>
      <c r="AO112">
        <f>IFERROR(INDEX('Public procurment'!A:S,MATCH(ListOfExpenditure[[#This Row],[Content.contractId]],'Public procurment'!E:E,0),19),0)</f>
        <v>0</v>
      </c>
      <c r="AP112">
        <f>IF(ListOfExpenditure[[#This Row],[Numero di volte controllato il contract ]]&gt;0,0,ListOfExpenditure[[#This Row],[IF public procurment &gt;10000;1;0]])</f>
        <v>0</v>
      </c>
    </row>
    <row r="113" spans="1:42" x14ac:dyDescent="0.25">
      <c r="A113">
        <v>612</v>
      </c>
      <c r="B113">
        <v>8</v>
      </c>
      <c r="E113" t="s">
        <v>4786</v>
      </c>
      <c r="F113" t="b">
        <v>1</v>
      </c>
      <c r="I113" t="s">
        <v>4943</v>
      </c>
      <c r="K113" t="s">
        <v>4831</v>
      </c>
      <c r="L113" t="s">
        <v>4831</v>
      </c>
      <c r="M113" t="s">
        <v>4788</v>
      </c>
      <c r="N113" t="s">
        <v>4788</v>
      </c>
      <c r="O113">
        <v>658.09</v>
      </c>
      <c r="Q113">
        <v>0</v>
      </c>
      <c r="R113">
        <v>0</v>
      </c>
      <c r="S113">
        <v>658.09</v>
      </c>
      <c r="T113" t="s">
        <v>4789</v>
      </c>
      <c r="U113">
        <v>1</v>
      </c>
      <c r="V113">
        <v>658.09</v>
      </c>
      <c r="W113" t="s">
        <v>4343</v>
      </c>
      <c r="Y113" t="b">
        <v>1</v>
      </c>
      <c r="Z113" t="b">
        <v>0</v>
      </c>
      <c r="AA113">
        <v>658.09</v>
      </c>
      <c r="AB113">
        <v>0</v>
      </c>
      <c r="AD113" t="b">
        <v>0</v>
      </c>
      <c r="AG113" s="1" t="s">
        <v>312</v>
      </c>
      <c r="AH113" s="1" t="s">
        <v>314</v>
      </c>
      <c r="AI113">
        <v>185</v>
      </c>
      <c r="AJ113">
        <v>114</v>
      </c>
      <c r="AK113" s="106">
        <v>45475.635562222225</v>
      </c>
      <c r="AL113" s="1" t="s">
        <v>4790</v>
      </c>
      <c r="AM113" s="42">
        <f>IFERROR(INDEX('Public procurment'!A:R,MATCH(ListOfExpenditure[[#This Row],[Content.contractId]],'Public procurment'!E:E,0),14),0)</f>
        <v>0</v>
      </c>
      <c r="AN113" s="2">
        <f>IF(AND(ListOfExpenditure[[#This Row],[Contract amount]]&gt;10000,ListOfExpenditure[[#This Row],[Content.declaredAmount]]&gt;2000),1,0)</f>
        <v>0</v>
      </c>
      <c r="AO113">
        <f>IFERROR(INDEX('Public procurment'!A:S,MATCH(ListOfExpenditure[[#This Row],[Content.contractId]],'Public procurment'!E:E,0),19),0)</f>
        <v>0</v>
      </c>
      <c r="AP113">
        <f>IF(ListOfExpenditure[[#This Row],[Numero di volte controllato il contract ]]&gt;0,0,ListOfExpenditure[[#This Row],[IF public procurment &gt;10000;1;0]])</f>
        <v>0</v>
      </c>
    </row>
    <row r="114" spans="1:42" x14ac:dyDescent="0.25">
      <c r="A114">
        <v>613</v>
      </c>
      <c r="B114">
        <v>9</v>
      </c>
      <c r="E114" t="s">
        <v>4786</v>
      </c>
      <c r="F114" t="b">
        <v>1</v>
      </c>
      <c r="I114" t="s">
        <v>4944</v>
      </c>
      <c r="K114" t="s">
        <v>4957</v>
      </c>
      <c r="L114" t="s">
        <v>4957</v>
      </c>
      <c r="M114" t="s">
        <v>4788</v>
      </c>
      <c r="N114" t="s">
        <v>4788</v>
      </c>
      <c r="O114">
        <v>658.09</v>
      </c>
      <c r="Q114">
        <v>0</v>
      </c>
      <c r="R114">
        <v>0</v>
      </c>
      <c r="S114">
        <v>658.09</v>
      </c>
      <c r="T114" t="s">
        <v>4789</v>
      </c>
      <c r="U114">
        <v>1</v>
      </c>
      <c r="V114">
        <v>658.09</v>
      </c>
      <c r="W114" t="s">
        <v>4343</v>
      </c>
      <c r="Y114" t="b">
        <v>1</v>
      </c>
      <c r="Z114" t="b">
        <v>0</v>
      </c>
      <c r="AA114">
        <v>658.09</v>
      </c>
      <c r="AB114">
        <v>0</v>
      </c>
      <c r="AD114" t="b">
        <v>0</v>
      </c>
      <c r="AG114" s="1" t="s">
        <v>312</v>
      </c>
      <c r="AH114" s="1" t="s">
        <v>314</v>
      </c>
      <c r="AI114">
        <v>185</v>
      </c>
      <c r="AJ114">
        <v>114</v>
      </c>
      <c r="AK114" s="106">
        <v>45475.635562222225</v>
      </c>
      <c r="AL114" s="1" t="s">
        <v>4790</v>
      </c>
      <c r="AM114" s="42">
        <f>IFERROR(INDEX('Public procurment'!A:R,MATCH(ListOfExpenditure[[#This Row],[Content.contractId]],'Public procurment'!E:E,0),14),0)</f>
        <v>0</v>
      </c>
      <c r="AN114" s="2">
        <f>IF(AND(ListOfExpenditure[[#This Row],[Contract amount]]&gt;10000,ListOfExpenditure[[#This Row],[Content.declaredAmount]]&gt;2000),1,0)</f>
        <v>0</v>
      </c>
      <c r="AO114">
        <f>IFERROR(INDEX('Public procurment'!A:S,MATCH(ListOfExpenditure[[#This Row],[Content.contractId]],'Public procurment'!E:E,0),19),0)</f>
        <v>0</v>
      </c>
      <c r="AP114">
        <f>IF(ListOfExpenditure[[#This Row],[Numero di volte controllato il contract ]]&gt;0,0,ListOfExpenditure[[#This Row],[IF public procurment &gt;10000;1;0]])</f>
        <v>0</v>
      </c>
    </row>
    <row r="115" spans="1:42" x14ac:dyDescent="0.25">
      <c r="A115">
        <v>614</v>
      </c>
      <c r="B115">
        <v>10</v>
      </c>
      <c r="E115" t="s">
        <v>4786</v>
      </c>
      <c r="F115" t="b">
        <v>1</v>
      </c>
      <c r="I115" t="s">
        <v>4945</v>
      </c>
      <c r="K115" t="s">
        <v>4958</v>
      </c>
      <c r="L115" t="s">
        <v>4958</v>
      </c>
      <c r="M115" t="s">
        <v>4788</v>
      </c>
      <c r="N115" t="s">
        <v>4788</v>
      </c>
      <c r="O115">
        <v>1187.1300000000001</v>
      </c>
      <c r="Q115">
        <v>0</v>
      </c>
      <c r="R115">
        <v>0</v>
      </c>
      <c r="S115">
        <v>1187.1300000000001</v>
      </c>
      <c r="T115" t="s">
        <v>4789</v>
      </c>
      <c r="U115">
        <v>1</v>
      </c>
      <c r="V115">
        <v>1187.1300000000001</v>
      </c>
      <c r="W115" t="s">
        <v>4343</v>
      </c>
      <c r="Y115" t="b">
        <v>1</v>
      </c>
      <c r="Z115" t="b">
        <v>0</v>
      </c>
      <c r="AA115">
        <v>1187.1300000000001</v>
      </c>
      <c r="AB115">
        <v>0</v>
      </c>
      <c r="AD115" t="b">
        <v>0</v>
      </c>
      <c r="AG115" s="1" t="s">
        <v>312</v>
      </c>
      <c r="AH115" s="1" t="s">
        <v>314</v>
      </c>
      <c r="AI115">
        <v>185</v>
      </c>
      <c r="AJ115">
        <v>114</v>
      </c>
      <c r="AK115" s="106">
        <v>45475.635562222225</v>
      </c>
      <c r="AL115" s="1" t="s">
        <v>4790</v>
      </c>
      <c r="AM115" s="42">
        <f>IFERROR(INDEX('Public procurment'!A:R,MATCH(ListOfExpenditure[[#This Row],[Content.contractId]],'Public procurment'!E:E,0),14),0)</f>
        <v>0</v>
      </c>
      <c r="AN115" s="2">
        <f>IF(AND(ListOfExpenditure[[#This Row],[Contract amount]]&gt;10000,ListOfExpenditure[[#This Row],[Content.declaredAmount]]&gt;2000),1,0)</f>
        <v>0</v>
      </c>
      <c r="AO115">
        <f>IFERROR(INDEX('Public procurment'!A:S,MATCH(ListOfExpenditure[[#This Row],[Content.contractId]],'Public procurment'!E:E,0),19),0)</f>
        <v>0</v>
      </c>
      <c r="AP115">
        <f>IF(ListOfExpenditure[[#This Row],[Numero di volte controllato il contract ]]&gt;0,0,ListOfExpenditure[[#This Row],[IF public procurment &gt;10000;1;0]])</f>
        <v>0</v>
      </c>
    </row>
    <row r="116" spans="1:42" x14ac:dyDescent="0.25">
      <c r="A116">
        <v>615</v>
      </c>
      <c r="B116">
        <v>11</v>
      </c>
      <c r="E116" t="s">
        <v>4786</v>
      </c>
      <c r="F116" t="b">
        <v>1</v>
      </c>
      <c r="I116" t="s">
        <v>4947</v>
      </c>
      <c r="K116" t="s">
        <v>4959</v>
      </c>
      <c r="L116" t="s">
        <v>4959</v>
      </c>
      <c r="M116" t="s">
        <v>4788</v>
      </c>
      <c r="N116" t="s">
        <v>4788</v>
      </c>
      <c r="O116">
        <v>715.54</v>
      </c>
      <c r="Q116">
        <v>0</v>
      </c>
      <c r="R116">
        <v>0</v>
      </c>
      <c r="S116">
        <v>715.54</v>
      </c>
      <c r="T116" t="s">
        <v>4789</v>
      </c>
      <c r="U116">
        <v>1</v>
      </c>
      <c r="V116">
        <v>715.54</v>
      </c>
      <c r="W116" t="s">
        <v>4343</v>
      </c>
      <c r="Y116" t="b">
        <v>1</v>
      </c>
      <c r="Z116" t="b">
        <v>0</v>
      </c>
      <c r="AA116">
        <v>715.54</v>
      </c>
      <c r="AB116">
        <v>0</v>
      </c>
      <c r="AD116" t="b">
        <v>0</v>
      </c>
      <c r="AG116" s="1" t="s">
        <v>312</v>
      </c>
      <c r="AH116" s="1" t="s">
        <v>314</v>
      </c>
      <c r="AI116">
        <v>185</v>
      </c>
      <c r="AJ116">
        <v>114</v>
      </c>
      <c r="AK116" s="106">
        <v>45475.635562222225</v>
      </c>
      <c r="AL116" s="1" t="s">
        <v>4790</v>
      </c>
      <c r="AM116" s="42">
        <f>IFERROR(INDEX('Public procurment'!A:R,MATCH(ListOfExpenditure[[#This Row],[Content.contractId]],'Public procurment'!E:E,0),14),0)</f>
        <v>0</v>
      </c>
      <c r="AN116" s="2">
        <f>IF(AND(ListOfExpenditure[[#This Row],[Contract amount]]&gt;10000,ListOfExpenditure[[#This Row],[Content.declaredAmount]]&gt;2000),1,0)</f>
        <v>0</v>
      </c>
      <c r="AO116">
        <f>IFERROR(INDEX('Public procurment'!A:S,MATCH(ListOfExpenditure[[#This Row],[Content.contractId]],'Public procurment'!E:E,0),19),0)</f>
        <v>0</v>
      </c>
      <c r="AP116">
        <f>IF(ListOfExpenditure[[#This Row],[Numero di volte controllato il contract ]]&gt;0,0,ListOfExpenditure[[#This Row],[IF public procurment &gt;10000;1;0]])</f>
        <v>0</v>
      </c>
    </row>
    <row r="117" spans="1:42" x14ac:dyDescent="0.25">
      <c r="A117">
        <v>616</v>
      </c>
      <c r="B117">
        <v>12</v>
      </c>
      <c r="E117" t="s">
        <v>4786</v>
      </c>
      <c r="F117" t="b">
        <v>1</v>
      </c>
      <c r="I117" t="s">
        <v>4948</v>
      </c>
      <c r="K117" t="s">
        <v>4835</v>
      </c>
      <c r="L117" t="s">
        <v>4835</v>
      </c>
      <c r="M117" t="s">
        <v>4788</v>
      </c>
      <c r="N117" t="s">
        <v>4788</v>
      </c>
      <c r="O117">
        <v>773.67</v>
      </c>
      <c r="Q117">
        <v>0</v>
      </c>
      <c r="R117">
        <v>0</v>
      </c>
      <c r="S117">
        <v>773.67</v>
      </c>
      <c r="T117" t="s">
        <v>4789</v>
      </c>
      <c r="U117">
        <v>1</v>
      </c>
      <c r="V117">
        <v>773.67</v>
      </c>
      <c r="W117" t="s">
        <v>4343</v>
      </c>
      <c r="Y117" t="b">
        <v>1</v>
      </c>
      <c r="Z117" t="b">
        <v>0</v>
      </c>
      <c r="AA117">
        <v>763.74</v>
      </c>
      <c r="AB117">
        <v>9.93</v>
      </c>
      <c r="AC117">
        <v>14</v>
      </c>
      <c r="AD117" t="b">
        <v>0</v>
      </c>
      <c r="AF117" t="s">
        <v>4960</v>
      </c>
      <c r="AG117" s="1" t="s">
        <v>312</v>
      </c>
      <c r="AH117" s="1" t="s">
        <v>314</v>
      </c>
      <c r="AI117">
        <v>185</v>
      </c>
      <c r="AJ117">
        <v>114</v>
      </c>
      <c r="AK117" s="106">
        <v>45475.635562222225</v>
      </c>
      <c r="AL117" s="1" t="s">
        <v>4790</v>
      </c>
      <c r="AM117" s="42">
        <f>IFERROR(INDEX('Public procurment'!A:R,MATCH(ListOfExpenditure[[#This Row],[Content.contractId]],'Public procurment'!E:E,0),14),0)</f>
        <v>0</v>
      </c>
      <c r="AN117" s="2">
        <f>IF(AND(ListOfExpenditure[[#This Row],[Contract amount]]&gt;10000,ListOfExpenditure[[#This Row],[Content.declaredAmount]]&gt;2000),1,0)</f>
        <v>0</v>
      </c>
      <c r="AO117">
        <f>IFERROR(INDEX('Public procurment'!A:S,MATCH(ListOfExpenditure[[#This Row],[Content.contractId]],'Public procurment'!E:E,0),19),0)</f>
        <v>0</v>
      </c>
      <c r="AP117">
        <f>IF(ListOfExpenditure[[#This Row],[Numero di volte controllato il contract ]]&gt;0,0,ListOfExpenditure[[#This Row],[IF public procurment &gt;10000;1;0]])</f>
        <v>0</v>
      </c>
    </row>
    <row r="118" spans="1:42" x14ac:dyDescent="0.25">
      <c r="A118">
        <v>617</v>
      </c>
      <c r="B118">
        <v>13</v>
      </c>
      <c r="E118" t="s">
        <v>4786</v>
      </c>
      <c r="F118" t="b">
        <v>1</v>
      </c>
      <c r="I118" t="s">
        <v>4949</v>
      </c>
      <c r="K118" t="s">
        <v>4831</v>
      </c>
      <c r="L118" t="s">
        <v>4831</v>
      </c>
      <c r="M118" t="s">
        <v>4788</v>
      </c>
      <c r="N118" t="s">
        <v>4788</v>
      </c>
      <c r="O118">
        <v>1117.6199999999999</v>
      </c>
      <c r="Q118">
        <v>0</v>
      </c>
      <c r="R118">
        <v>0</v>
      </c>
      <c r="S118">
        <v>1117.6199999999999</v>
      </c>
      <c r="T118" t="s">
        <v>4789</v>
      </c>
      <c r="U118">
        <v>1</v>
      </c>
      <c r="V118">
        <v>1117.6199999999999</v>
      </c>
      <c r="W118" t="s">
        <v>4343</v>
      </c>
      <c r="Y118" t="b">
        <v>1</v>
      </c>
      <c r="Z118" t="b">
        <v>0</v>
      </c>
      <c r="AA118">
        <v>1117.6199999999999</v>
      </c>
      <c r="AB118">
        <v>0</v>
      </c>
      <c r="AD118" t="b">
        <v>0</v>
      </c>
      <c r="AG118" s="1" t="s">
        <v>312</v>
      </c>
      <c r="AH118" s="1" t="s">
        <v>314</v>
      </c>
      <c r="AI118">
        <v>185</v>
      </c>
      <c r="AJ118">
        <v>114</v>
      </c>
      <c r="AK118" s="106">
        <v>45475.635562222225</v>
      </c>
      <c r="AL118" s="1" t="s">
        <v>4790</v>
      </c>
      <c r="AM118" s="42">
        <f>IFERROR(INDEX('Public procurment'!A:R,MATCH(ListOfExpenditure[[#This Row],[Content.contractId]],'Public procurment'!E:E,0),14),0)</f>
        <v>0</v>
      </c>
      <c r="AN118" s="2">
        <f>IF(AND(ListOfExpenditure[[#This Row],[Contract amount]]&gt;10000,ListOfExpenditure[[#This Row],[Content.declaredAmount]]&gt;2000),1,0)</f>
        <v>0</v>
      </c>
      <c r="AO118">
        <f>IFERROR(INDEX('Public procurment'!A:S,MATCH(ListOfExpenditure[[#This Row],[Content.contractId]],'Public procurment'!E:E,0),19),0)</f>
        <v>0</v>
      </c>
      <c r="AP118">
        <f>IF(ListOfExpenditure[[#This Row],[Numero di volte controllato il contract ]]&gt;0,0,ListOfExpenditure[[#This Row],[IF public procurment &gt;10000;1;0]])</f>
        <v>0</v>
      </c>
    </row>
    <row r="119" spans="1:42" x14ac:dyDescent="0.25">
      <c r="A119">
        <v>618</v>
      </c>
      <c r="B119">
        <v>14</v>
      </c>
      <c r="E119" t="s">
        <v>4786</v>
      </c>
      <c r="F119" t="b">
        <v>1</v>
      </c>
      <c r="I119" t="s">
        <v>4961</v>
      </c>
      <c r="K119" t="s">
        <v>4957</v>
      </c>
      <c r="L119" t="s">
        <v>4957</v>
      </c>
      <c r="M119" t="s">
        <v>4788</v>
      </c>
      <c r="N119" t="s">
        <v>4788</v>
      </c>
      <c r="O119">
        <v>1117.6199999999999</v>
      </c>
      <c r="Q119">
        <v>0</v>
      </c>
      <c r="R119">
        <v>0</v>
      </c>
      <c r="S119">
        <v>1117.6199999999999</v>
      </c>
      <c r="T119" t="s">
        <v>4789</v>
      </c>
      <c r="U119">
        <v>1</v>
      </c>
      <c r="V119">
        <v>1117.6199999999999</v>
      </c>
      <c r="W119" t="s">
        <v>4343</v>
      </c>
      <c r="Y119" t="b">
        <v>1</v>
      </c>
      <c r="Z119" t="b">
        <v>0</v>
      </c>
      <c r="AA119">
        <v>1117.6199999999999</v>
      </c>
      <c r="AB119">
        <v>0</v>
      </c>
      <c r="AD119" t="b">
        <v>0</v>
      </c>
      <c r="AG119" s="1" t="s">
        <v>312</v>
      </c>
      <c r="AH119" s="1" t="s">
        <v>314</v>
      </c>
      <c r="AI119">
        <v>185</v>
      </c>
      <c r="AJ119">
        <v>114</v>
      </c>
      <c r="AK119" s="106">
        <v>45475.635562222225</v>
      </c>
      <c r="AL119" s="1" t="s">
        <v>4790</v>
      </c>
      <c r="AM119" s="42">
        <f>IFERROR(INDEX('Public procurment'!A:R,MATCH(ListOfExpenditure[[#This Row],[Content.contractId]],'Public procurment'!E:E,0),14),0)</f>
        <v>0</v>
      </c>
      <c r="AN119" s="2">
        <f>IF(AND(ListOfExpenditure[[#This Row],[Contract amount]]&gt;10000,ListOfExpenditure[[#This Row],[Content.declaredAmount]]&gt;2000),1,0)</f>
        <v>0</v>
      </c>
      <c r="AO119">
        <f>IFERROR(INDEX('Public procurment'!A:S,MATCH(ListOfExpenditure[[#This Row],[Content.contractId]],'Public procurment'!E:E,0),19),0)</f>
        <v>0</v>
      </c>
      <c r="AP119">
        <f>IF(ListOfExpenditure[[#This Row],[Numero di volte controllato il contract ]]&gt;0,0,ListOfExpenditure[[#This Row],[IF public procurment &gt;10000;1;0]])</f>
        <v>0</v>
      </c>
    </row>
    <row r="120" spans="1:42" x14ac:dyDescent="0.25">
      <c r="A120">
        <v>619</v>
      </c>
      <c r="B120">
        <v>15</v>
      </c>
      <c r="E120" t="s">
        <v>4786</v>
      </c>
      <c r="F120" t="b">
        <v>1</v>
      </c>
      <c r="I120" t="s">
        <v>4962</v>
      </c>
      <c r="K120" t="s">
        <v>4958</v>
      </c>
      <c r="L120" t="s">
        <v>4958</v>
      </c>
      <c r="M120" t="s">
        <v>4788</v>
      </c>
      <c r="N120" t="s">
        <v>4788</v>
      </c>
      <c r="O120">
        <v>1117.6300000000001</v>
      </c>
      <c r="Q120">
        <v>0</v>
      </c>
      <c r="R120">
        <v>0</v>
      </c>
      <c r="S120">
        <v>1117.6300000000001</v>
      </c>
      <c r="T120" t="s">
        <v>4789</v>
      </c>
      <c r="U120">
        <v>1</v>
      </c>
      <c r="V120">
        <v>1117.6300000000001</v>
      </c>
      <c r="W120" t="s">
        <v>4343</v>
      </c>
      <c r="Y120" t="b">
        <v>1</v>
      </c>
      <c r="Z120" t="b">
        <v>0</v>
      </c>
      <c r="AA120">
        <v>1117.6300000000001</v>
      </c>
      <c r="AB120">
        <v>0</v>
      </c>
      <c r="AD120" t="b">
        <v>0</v>
      </c>
      <c r="AG120" s="1" t="s">
        <v>312</v>
      </c>
      <c r="AH120" s="1" t="s">
        <v>314</v>
      </c>
      <c r="AI120">
        <v>185</v>
      </c>
      <c r="AJ120">
        <v>114</v>
      </c>
      <c r="AK120" s="106">
        <v>45475.635562222225</v>
      </c>
      <c r="AL120" s="1" t="s">
        <v>4790</v>
      </c>
      <c r="AM120" s="42">
        <f>IFERROR(INDEX('Public procurment'!A:R,MATCH(ListOfExpenditure[[#This Row],[Content.contractId]],'Public procurment'!E:E,0),14),0)</f>
        <v>0</v>
      </c>
      <c r="AN120" s="2">
        <f>IF(AND(ListOfExpenditure[[#This Row],[Contract amount]]&gt;10000,ListOfExpenditure[[#This Row],[Content.declaredAmount]]&gt;2000),1,0)</f>
        <v>0</v>
      </c>
      <c r="AO120">
        <f>IFERROR(INDEX('Public procurment'!A:S,MATCH(ListOfExpenditure[[#This Row],[Content.contractId]],'Public procurment'!E:E,0),19),0)</f>
        <v>0</v>
      </c>
      <c r="AP120">
        <f>IF(ListOfExpenditure[[#This Row],[Numero di volte controllato il contract ]]&gt;0,0,ListOfExpenditure[[#This Row],[IF public procurment &gt;10000;1;0]])</f>
        <v>0</v>
      </c>
    </row>
    <row r="121" spans="1:42" x14ac:dyDescent="0.25">
      <c r="A121">
        <v>620</v>
      </c>
      <c r="B121">
        <v>16</v>
      </c>
      <c r="E121" t="s">
        <v>4786</v>
      </c>
      <c r="F121" t="b">
        <v>1</v>
      </c>
      <c r="I121" t="s">
        <v>4963</v>
      </c>
      <c r="K121" t="s">
        <v>4959</v>
      </c>
      <c r="L121" t="s">
        <v>4959</v>
      </c>
      <c r="M121" t="s">
        <v>4788</v>
      </c>
      <c r="N121" t="s">
        <v>4788</v>
      </c>
      <c r="O121">
        <v>1050.8800000000001</v>
      </c>
      <c r="Q121">
        <v>0</v>
      </c>
      <c r="R121">
        <v>0</v>
      </c>
      <c r="S121">
        <v>1050.8800000000001</v>
      </c>
      <c r="T121" t="s">
        <v>4789</v>
      </c>
      <c r="U121">
        <v>1</v>
      </c>
      <c r="V121">
        <v>1050.8800000000001</v>
      </c>
      <c r="W121" t="s">
        <v>4343</v>
      </c>
      <c r="Y121" t="b">
        <v>1</v>
      </c>
      <c r="Z121" t="b">
        <v>0</v>
      </c>
      <c r="AA121">
        <v>1050.8800000000001</v>
      </c>
      <c r="AB121">
        <v>0</v>
      </c>
      <c r="AD121" t="b">
        <v>0</v>
      </c>
      <c r="AG121" s="1" t="s">
        <v>312</v>
      </c>
      <c r="AH121" s="1" t="s">
        <v>314</v>
      </c>
      <c r="AI121">
        <v>185</v>
      </c>
      <c r="AJ121">
        <v>114</v>
      </c>
      <c r="AK121" s="106">
        <v>45475.635562222225</v>
      </c>
      <c r="AL121" s="1" t="s">
        <v>4790</v>
      </c>
      <c r="AM121" s="42">
        <f>IFERROR(INDEX('Public procurment'!A:R,MATCH(ListOfExpenditure[[#This Row],[Content.contractId]],'Public procurment'!E:E,0),14),0)</f>
        <v>0</v>
      </c>
      <c r="AN121" s="2">
        <f>IF(AND(ListOfExpenditure[[#This Row],[Contract amount]]&gt;10000,ListOfExpenditure[[#This Row],[Content.declaredAmount]]&gt;2000),1,0)</f>
        <v>0</v>
      </c>
      <c r="AO121">
        <f>IFERROR(INDEX('Public procurment'!A:S,MATCH(ListOfExpenditure[[#This Row],[Content.contractId]],'Public procurment'!E:E,0),19),0)</f>
        <v>0</v>
      </c>
      <c r="AP121">
        <f>IF(ListOfExpenditure[[#This Row],[Numero di volte controllato il contract ]]&gt;0,0,ListOfExpenditure[[#This Row],[IF public procurment &gt;10000;1;0]])</f>
        <v>0</v>
      </c>
    </row>
    <row r="122" spans="1:42" x14ac:dyDescent="0.25">
      <c r="A122">
        <v>621</v>
      </c>
      <c r="B122">
        <v>17</v>
      </c>
      <c r="E122" t="s">
        <v>4786</v>
      </c>
      <c r="F122" t="b">
        <v>1</v>
      </c>
      <c r="I122" t="s">
        <v>4964</v>
      </c>
      <c r="K122" t="s">
        <v>4835</v>
      </c>
      <c r="L122" t="s">
        <v>4835</v>
      </c>
      <c r="M122" t="s">
        <v>4788</v>
      </c>
      <c r="N122" t="s">
        <v>4788</v>
      </c>
      <c r="O122">
        <v>1200.96</v>
      </c>
      <c r="Q122">
        <v>0</v>
      </c>
      <c r="R122">
        <v>0</v>
      </c>
      <c r="S122">
        <v>1200.96</v>
      </c>
      <c r="T122" t="s">
        <v>4789</v>
      </c>
      <c r="U122">
        <v>1</v>
      </c>
      <c r="V122">
        <v>1200.96</v>
      </c>
      <c r="W122" t="s">
        <v>4343</v>
      </c>
      <c r="Y122" t="b">
        <v>1</v>
      </c>
      <c r="Z122" t="b">
        <v>0</v>
      </c>
      <c r="AA122">
        <v>1148.72</v>
      </c>
      <c r="AB122">
        <v>52.24</v>
      </c>
      <c r="AC122">
        <v>14</v>
      </c>
      <c r="AD122" t="b">
        <v>0</v>
      </c>
      <c r="AF122" t="s">
        <v>4960</v>
      </c>
      <c r="AG122" s="1" t="s">
        <v>312</v>
      </c>
      <c r="AH122" s="1" t="s">
        <v>314</v>
      </c>
      <c r="AI122">
        <v>185</v>
      </c>
      <c r="AJ122">
        <v>114</v>
      </c>
      <c r="AK122" s="106">
        <v>45475.635562222225</v>
      </c>
      <c r="AL122" s="1" t="s">
        <v>4790</v>
      </c>
      <c r="AM122" s="42">
        <f>IFERROR(INDEX('Public procurment'!A:R,MATCH(ListOfExpenditure[[#This Row],[Content.contractId]],'Public procurment'!E:E,0),14),0)</f>
        <v>0</v>
      </c>
      <c r="AN122" s="2">
        <f>IF(AND(ListOfExpenditure[[#This Row],[Contract amount]]&gt;10000,ListOfExpenditure[[#This Row],[Content.declaredAmount]]&gt;2000),1,0)</f>
        <v>0</v>
      </c>
      <c r="AO122">
        <f>IFERROR(INDEX('Public procurment'!A:S,MATCH(ListOfExpenditure[[#This Row],[Content.contractId]],'Public procurment'!E:E,0),19),0)</f>
        <v>0</v>
      </c>
      <c r="AP122">
        <f>IF(ListOfExpenditure[[#This Row],[Numero di volte controllato il contract ]]&gt;0,0,ListOfExpenditure[[#This Row],[IF public procurment &gt;10000;1;0]])</f>
        <v>0</v>
      </c>
    </row>
    <row r="123" spans="1:42" x14ac:dyDescent="0.25">
      <c r="A123">
        <v>1024</v>
      </c>
      <c r="B123">
        <v>18</v>
      </c>
      <c r="E123" t="s">
        <v>4798</v>
      </c>
      <c r="F123" t="b">
        <v>0</v>
      </c>
      <c r="I123" t="s">
        <v>4965</v>
      </c>
      <c r="J123" t="s">
        <v>212</v>
      </c>
      <c r="K123" t="s">
        <v>4730</v>
      </c>
      <c r="L123" t="s">
        <v>4364</v>
      </c>
      <c r="M123" t="s">
        <v>4788</v>
      </c>
      <c r="N123" t="s">
        <v>4788</v>
      </c>
      <c r="O123">
        <v>102.62</v>
      </c>
      <c r="P123">
        <v>8.9</v>
      </c>
      <c r="Q123">
        <v>0</v>
      </c>
      <c r="R123">
        <v>0</v>
      </c>
      <c r="S123">
        <v>22.74</v>
      </c>
      <c r="T123" t="s">
        <v>4789</v>
      </c>
      <c r="U123">
        <v>1</v>
      </c>
      <c r="V123">
        <v>22.74</v>
      </c>
      <c r="W123" t="s">
        <v>4343</v>
      </c>
      <c r="Y123" t="b">
        <v>1</v>
      </c>
      <c r="Z123" t="b">
        <v>0</v>
      </c>
      <c r="AA123">
        <v>22.74</v>
      </c>
      <c r="AB123">
        <v>0</v>
      </c>
      <c r="AD123" t="b">
        <v>0</v>
      </c>
      <c r="AG123" s="1" t="s">
        <v>312</v>
      </c>
      <c r="AH123" s="1" t="s">
        <v>314</v>
      </c>
      <c r="AI123">
        <v>185</v>
      </c>
      <c r="AJ123">
        <v>114</v>
      </c>
      <c r="AK123" s="106">
        <v>45475.635562222225</v>
      </c>
      <c r="AL123" s="1" t="s">
        <v>4790</v>
      </c>
      <c r="AM123" s="42">
        <f>IFERROR(INDEX('Public procurment'!A:R,MATCH(ListOfExpenditure[[#This Row],[Content.contractId]],'Public procurment'!E:E,0),14),0)</f>
        <v>0</v>
      </c>
      <c r="AN123" s="2">
        <f>IF(AND(ListOfExpenditure[[#This Row],[Contract amount]]&gt;10000,ListOfExpenditure[[#This Row],[Content.declaredAmount]]&gt;2000),1,0)</f>
        <v>0</v>
      </c>
      <c r="AO123">
        <f>IFERROR(INDEX('Public procurment'!A:S,MATCH(ListOfExpenditure[[#This Row],[Content.contractId]],'Public procurment'!E:E,0),19),0)</f>
        <v>0</v>
      </c>
      <c r="AP123">
        <f>IF(ListOfExpenditure[[#This Row],[Numero di volte controllato il contract ]]&gt;0,0,ListOfExpenditure[[#This Row],[IF public procurment &gt;10000;1;0]])</f>
        <v>0</v>
      </c>
    </row>
    <row r="124" spans="1:42" x14ac:dyDescent="0.25">
      <c r="A124">
        <v>1025</v>
      </c>
      <c r="B124">
        <v>19</v>
      </c>
      <c r="E124" t="s">
        <v>4798</v>
      </c>
      <c r="F124" t="b">
        <v>0</v>
      </c>
      <c r="I124" t="s">
        <v>4966</v>
      </c>
      <c r="J124" t="s">
        <v>212</v>
      </c>
      <c r="K124" t="s">
        <v>4967</v>
      </c>
      <c r="L124" t="s">
        <v>4577</v>
      </c>
      <c r="M124" t="s">
        <v>4788</v>
      </c>
      <c r="N124" t="s">
        <v>4788</v>
      </c>
      <c r="O124">
        <v>312.82</v>
      </c>
      <c r="P124">
        <v>27.14</v>
      </c>
      <c r="Q124">
        <v>0</v>
      </c>
      <c r="R124">
        <v>0</v>
      </c>
      <c r="S124">
        <v>101.4</v>
      </c>
      <c r="T124" t="s">
        <v>4789</v>
      </c>
      <c r="U124">
        <v>1</v>
      </c>
      <c r="V124">
        <v>101.4</v>
      </c>
      <c r="W124" t="s">
        <v>4343</v>
      </c>
      <c r="Y124" t="b">
        <v>1</v>
      </c>
      <c r="Z124" t="b">
        <v>0</v>
      </c>
      <c r="AA124">
        <v>101.4</v>
      </c>
      <c r="AB124">
        <v>0</v>
      </c>
      <c r="AD124" t="b">
        <v>0</v>
      </c>
      <c r="AG124" s="1" t="s">
        <v>312</v>
      </c>
      <c r="AH124" s="1" t="s">
        <v>314</v>
      </c>
      <c r="AI124">
        <v>185</v>
      </c>
      <c r="AJ124">
        <v>114</v>
      </c>
      <c r="AK124" s="106">
        <v>45475.635562222225</v>
      </c>
      <c r="AL124" s="1" t="s">
        <v>4790</v>
      </c>
      <c r="AM124" s="42">
        <f>IFERROR(INDEX('Public procurment'!A:R,MATCH(ListOfExpenditure[[#This Row],[Content.contractId]],'Public procurment'!E:E,0),14),0)</f>
        <v>0</v>
      </c>
      <c r="AN124" s="2">
        <f>IF(AND(ListOfExpenditure[[#This Row],[Contract amount]]&gt;10000,ListOfExpenditure[[#This Row],[Content.declaredAmount]]&gt;2000),1,0)</f>
        <v>0</v>
      </c>
      <c r="AO124">
        <f>IFERROR(INDEX('Public procurment'!A:S,MATCH(ListOfExpenditure[[#This Row],[Content.contractId]],'Public procurment'!E:E,0),19),0)</f>
        <v>0</v>
      </c>
      <c r="AP124">
        <f>IF(ListOfExpenditure[[#This Row],[Numero di volte controllato il contract ]]&gt;0,0,ListOfExpenditure[[#This Row],[IF public procurment &gt;10000;1;0]])</f>
        <v>0</v>
      </c>
    </row>
    <row r="125" spans="1:42" x14ac:dyDescent="0.25">
      <c r="A125">
        <v>1027</v>
      </c>
      <c r="B125">
        <v>20</v>
      </c>
      <c r="E125" t="s">
        <v>4798</v>
      </c>
      <c r="F125" t="b">
        <v>0</v>
      </c>
      <c r="I125" t="s">
        <v>4968</v>
      </c>
      <c r="J125" t="s">
        <v>212</v>
      </c>
      <c r="K125" t="s">
        <v>4969</v>
      </c>
      <c r="L125" t="s">
        <v>4348</v>
      </c>
      <c r="M125" t="s">
        <v>4788</v>
      </c>
      <c r="N125" t="s">
        <v>4788</v>
      </c>
      <c r="O125">
        <v>906.37</v>
      </c>
      <c r="P125">
        <v>79.95</v>
      </c>
      <c r="Q125">
        <v>0</v>
      </c>
      <c r="R125">
        <v>0</v>
      </c>
      <c r="S125">
        <v>152.11000000000001</v>
      </c>
      <c r="T125" t="s">
        <v>4789</v>
      </c>
      <c r="U125">
        <v>1</v>
      </c>
      <c r="V125">
        <v>152.11000000000001</v>
      </c>
      <c r="W125" t="s">
        <v>4343</v>
      </c>
      <c r="Y125" t="b">
        <v>1</v>
      </c>
      <c r="Z125" t="b">
        <v>0</v>
      </c>
      <c r="AA125">
        <v>152.11000000000001</v>
      </c>
      <c r="AB125">
        <v>0</v>
      </c>
      <c r="AD125" t="b">
        <v>0</v>
      </c>
      <c r="AG125" s="1" t="s">
        <v>312</v>
      </c>
      <c r="AH125" s="1" t="s">
        <v>314</v>
      </c>
      <c r="AI125">
        <v>185</v>
      </c>
      <c r="AJ125">
        <v>114</v>
      </c>
      <c r="AK125" s="106">
        <v>45475.635562222225</v>
      </c>
      <c r="AL125" s="1" t="s">
        <v>4790</v>
      </c>
      <c r="AM125" s="42">
        <f>IFERROR(INDEX('Public procurment'!A:R,MATCH(ListOfExpenditure[[#This Row],[Content.contractId]],'Public procurment'!E:E,0),14),0)</f>
        <v>0</v>
      </c>
      <c r="AN125" s="2">
        <f>IF(AND(ListOfExpenditure[[#This Row],[Contract amount]]&gt;10000,ListOfExpenditure[[#This Row],[Content.declaredAmount]]&gt;2000),1,0)</f>
        <v>0</v>
      </c>
      <c r="AO125">
        <f>IFERROR(INDEX('Public procurment'!A:S,MATCH(ListOfExpenditure[[#This Row],[Content.contractId]],'Public procurment'!E:E,0),19),0)</f>
        <v>0</v>
      </c>
      <c r="AP125">
        <f>IF(ListOfExpenditure[[#This Row],[Numero di volte controllato il contract ]]&gt;0,0,ListOfExpenditure[[#This Row],[IF public procurment &gt;10000;1;0]])</f>
        <v>0</v>
      </c>
    </row>
    <row r="126" spans="1:42" x14ac:dyDescent="0.25">
      <c r="A126">
        <v>1033</v>
      </c>
      <c r="B126">
        <v>21</v>
      </c>
      <c r="E126" t="s">
        <v>4798</v>
      </c>
      <c r="F126" t="b">
        <v>0</v>
      </c>
      <c r="I126" t="s">
        <v>4970</v>
      </c>
      <c r="J126" t="s">
        <v>212</v>
      </c>
      <c r="K126" t="s">
        <v>4971</v>
      </c>
      <c r="L126" t="s">
        <v>4972</v>
      </c>
      <c r="M126" t="s">
        <v>4788</v>
      </c>
      <c r="N126" t="s">
        <v>4788</v>
      </c>
      <c r="O126">
        <v>190.32</v>
      </c>
      <c r="P126">
        <v>34.32</v>
      </c>
      <c r="Q126">
        <v>0</v>
      </c>
      <c r="R126">
        <v>0</v>
      </c>
      <c r="S126">
        <v>190.32</v>
      </c>
      <c r="T126" t="s">
        <v>4789</v>
      </c>
      <c r="U126">
        <v>1</v>
      </c>
      <c r="V126">
        <v>190.32</v>
      </c>
      <c r="W126" t="s">
        <v>4343</v>
      </c>
      <c r="Y126" t="b">
        <v>1</v>
      </c>
      <c r="Z126" t="b">
        <v>0</v>
      </c>
      <c r="AA126">
        <v>190.32</v>
      </c>
      <c r="AB126">
        <v>0</v>
      </c>
      <c r="AD126" t="b">
        <v>0</v>
      </c>
      <c r="AG126" s="1" t="s">
        <v>312</v>
      </c>
      <c r="AH126" s="1" t="s">
        <v>314</v>
      </c>
      <c r="AI126">
        <v>185</v>
      </c>
      <c r="AJ126">
        <v>114</v>
      </c>
      <c r="AK126" s="106">
        <v>45475.635562222225</v>
      </c>
      <c r="AL126" s="1" t="s">
        <v>4790</v>
      </c>
      <c r="AM126" s="42">
        <f>IFERROR(INDEX('Public procurment'!A:R,MATCH(ListOfExpenditure[[#This Row],[Content.contractId]],'Public procurment'!E:E,0),14),0)</f>
        <v>0</v>
      </c>
      <c r="AN126" s="2">
        <f>IF(AND(ListOfExpenditure[[#This Row],[Contract amount]]&gt;10000,ListOfExpenditure[[#This Row],[Content.declaredAmount]]&gt;2000),1,0)</f>
        <v>0</v>
      </c>
      <c r="AO126">
        <f>IFERROR(INDEX('Public procurment'!A:S,MATCH(ListOfExpenditure[[#This Row],[Content.contractId]],'Public procurment'!E:E,0),19),0)</f>
        <v>0</v>
      </c>
      <c r="AP126">
        <f>IF(ListOfExpenditure[[#This Row],[Numero di volte controllato il contract ]]&gt;0,0,ListOfExpenditure[[#This Row],[IF public procurment &gt;10000;1;0]])</f>
        <v>0</v>
      </c>
    </row>
    <row r="127" spans="1:42" x14ac:dyDescent="0.25">
      <c r="A127">
        <v>1948</v>
      </c>
      <c r="B127">
        <v>1</v>
      </c>
      <c r="E127" t="s">
        <v>4798</v>
      </c>
      <c r="F127" t="b">
        <v>0</v>
      </c>
      <c r="I127" t="s">
        <v>212</v>
      </c>
      <c r="J127" t="s">
        <v>212</v>
      </c>
      <c r="M127" t="s">
        <v>4788</v>
      </c>
      <c r="N127" t="s">
        <v>4788</v>
      </c>
      <c r="O127">
        <v>0</v>
      </c>
      <c r="P127">
        <v>0</v>
      </c>
      <c r="Q127">
        <v>0</v>
      </c>
      <c r="R127">
        <v>0</v>
      </c>
      <c r="S127">
        <v>0</v>
      </c>
      <c r="T127" t="s">
        <v>4789</v>
      </c>
      <c r="U127">
        <v>1</v>
      </c>
      <c r="V127">
        <v>0</v>
      </c>
      <c r="Y127" t="b">
        <v>0</v>
      </c>
      <c r="Z127" t="b">
        <v>0</v>
      </c>
      <c r="AA127">
        <v>0</v>
      </c>
      <c r="AB127">
        <v>0</v>
      </c>
      <c r="AD127" t="b">
        <v>0</v>
      </c>
      <c r="AG127" s="1" t="s">
        <v>312</v>
      </c>
      <c r="AH127" s="1" t="s">
        <v>316</v>
      </c>
      <c r="AI127">
        <v>186</v>
      </c>
      <c r="AJ127">
        <v>329</v>
      </c>
      <c r="AK127" s="106">
        <v>45475.635539722221</v>
      </c>
      <c r="AL127" s="1" t="s">
        <v>4790</v>
      </c>
      <c r="AM127" s="42">
        <f>IFERROR(INDEX('Public procurment'!A:R,MATCH(ListOfExpenditure[[#This Row],[Content.contractId]],'Public procurment'!E:E,0),14),0)</f>
        <v>0</v>
      </c>
      <c r="AN127" s="2">
        <f>IF(AND(ListOfExpenditure[[#This Row],[Contract amount]]&gt;10000,ListOfExpenditure[[#This Row],[Content.declaredAmount]]&gt;2000),1,0)</f>
        <v>0</v>
      </c>
      <c r="AO127">
        <f>IFERROR(INDEX('Public procurment'!A:S,MATCH(ListOfExpenditure[[#This Row],[Content.contractId]],'Public procurment'!E:E,0),19),0)</f>
        <v>0</v>
      </c>
      <c r="AP127">
        <f>IF(ListOfExpenditure[[#This Row],[Numero di volte controllato il contract ]]&gt;0,0,ListOfExpenditure[[#This Row],[IF public procurment &gt;10000;1;0]])</f>
        <v>0</v>
      </c>
    </row>
    <row r="128" spans="1:42" x14ac:dyDescent="0.25">
      <c r="A128">
        <v>909</v>
      </c>
      <c r="B128">
        <v>1</v>
      </c>
      <c r="E128" t="s">
        <v>4798</v>
      </c>
      <c r="F128" t="b">
        <v>0</v>
      </c>
      <c r="H128">
        <v>150</v>
      </c>
      <c r="I128" t="s">
        <v>4933</v>
      </c>
      <c r="J128" t="s">
        <v>4973</v>
      </c>
      <c r="K128" t="s">
        <v>4662</v>
      </c>
      <c r="L128" t="s">
        <v>4430</v>
      </c>
      <c r="M128" t="s">
        <v>4788</v>
      </c>
      <c r="N128" t="s">
        <v>4788</v>
      </c>
      <c r="O128">
        <v>15799</v>
      </c>
      <c r="P128">
        <v>2849</v>
      </c>
      <c r="Q128">
        <v>0</v>
      </c>
      <c r="R128">
        <v>0</v>
      </c>
      <c r="S128">
        <v>12950</v>
      </c>
      <c r="T128" t="s">
        <v>4789</v>
      </c>
      <c r="U128">
        <v>1</v>
      </c>
      <c r="V128">
        <v>12950</v>
      </c>
      <c r="W128" t="s">
        <v>4343</v>
      </c>
      <c r="Y128" t="b">
        <v>0</v>
      </c>
      <c r="Z128" t="b">
        <v>0</v>
      </c>
      <c r="AA128">
        <v>12950</v>
      </c>
      <c r="AB128">
        <v>0</v>
      </c>
      <c r="AD128" t="b">
        <v>0</v>
      </c>
      <c r="AG128" s="1" t="s">
        <v>337</v>
      </c>
      <c r="AH128" s="1" t="s">
        <v>338</v>
      </c>
      <c r="AI128">
        <v>124</v>
      </c>
      <c r="AJ128">
        <v>182</v>
      </c>
      <c r="AK128" s="106">
        <v>45475.635510706015</v>
      </c>
      <c r="AL128" s="1" t="s">
        <v>4790</v>
      </c>
      <c r="AM128" s="42">
        <f>IFERROR(INDEX('Public procurment'!A:R,MATCH(ListOfExpenditure[[#This Row],[Content.contractId]],'Public procurment'!E:E,0),14),0)</f>
        <v>37700</v>
      </c>
      <c r="AN128" s="2">
        <f>IF(AND(ListOfExpenditure[[#This Row],[Contract amount]]&gt;10000,ListOfExpenditure[[#This Row],[Content.declaredAmount]]&gt;2000),1,0)</f>
        <v>1</v>
      </c>
      <c r="AO128">
        <f>IFERROR(INDEX('Public procurment'!A:S,MATCH(ListOfExpenditure[[#This Row],[Content.contractId]],'Public procurment'!E:E,0),19),0)</f>
        <v>0</v>
      </c>
      <c r="AP128">
        <f>IF(ListOfExpenditure[[#This Row],[Numero di volte controllato il contract ]]&gt;0,0,ListOfExpenditure[[#This Row],[IF public procurment &gt;10000;1;0]])</f>
        <v>1</v>
      </c>
    </row>
    <row r="129" spans="1:42" x14ac:dyDescent="0.25">
      <c r="A129">
        <v>1294</v>
      </c>
      <c r="B129">
        <v>2</v>
      </c>
      <c r="E129" t="s">
        <v>4786</v>
      </c>
      <c r="F129" t="b">
        <v>0</v>
      </c>
      <c r="I129" t="s">
        <v>4922</v>
      </c>
      <c r="K129" t="s">
        <v>4347</v>
      </c>
      <c r="L129" t="s">
        <v>4974</v>
      </c>
      <c r="M129" t="s">
        <v>4788</v>
      </c>
      <c r="N129" t="s">
        <v>4788</v>
      </c>
      <c r="O129">
        <v>14872.99</v>
      </c>
      <c r="Q129">
        <v>0</v>
      </c>
      <c r="R129">
        <v>0</v>
      </c>
      <c r="S129">
        <v>4565.43</v>
      </c>
      <c r="T129" t="s">
        <v>4789</v>
      </c>
      <c r="U129">
        <v>1</v>
      </c>
      <c r="V129">
        <v>4565.43</v>
      </c>
      <c r="W129" t="s">
        <v>4343</v>
      </c>
      <c r="Y129" t="b">
        <v>1</v>
      </c>
      <c r="Z129" t="b">
        <v>0</v>
      </c>
      <c r="AA129">
        <v>3913.18</v>
      </c>
      <c r="AB129">
        <v>652.25</v>
      </c>
      <c r="AC129">
        <v>14</v>
      </c>
      <c r="AD129" t="b">
        <v>0</v>
      </c>
      <c r="AF129" t="s">
        <v>4975</v>
      </c>
      <c r="AG129" s="1" t="s">
        <v>337</v>
      </c>
      <c r="AH129" s="1" t="s">
        <v>338</v>
      </c>
      <c r="AI129">
        <v>124</v>
      </c>
      <c r="AJ129">
        <v>182</v>
      </c>
      <c r="AK129" s="106">
        <v>45475.635510706015</v>
      </c>
      <c r="AL129" s="1" t="s">
        <v>4790</v>
      </c>
      <c r="AM129" s="42">
        <f>IFERROR(INDEX('Public procurment'!A:R,MATCH(ListOfExpenditure[[#This Row],[Content.contractId]],'Public procurment'!E:E,0),14),0)</f>
        <v>0</v>
      </c>
      <c r="AN129" s="2">
        <f>IF(AND(ListOfExpenditure[[#This Row],[Contract amount]]&gt;10000,ListOfExpenditure[[#This Row],[Content.declaredAmount]]&gt;2000),1,0)</f>
        <v>0</v>
      </c>
      <c r="AO129">
        <f>IFERROR(INDEX('Public procurment'!A:S,MATCH(ListOfExpenditure[[#This Row],[Content.contractId]],'Public procurment'!E:E,0),19),0)</f>
        <v>0</v>
      </c>
      <c r="AP129">
        <f>IF(ListOfExpenditure[[#This Row],[Numero di volte controllato il contract ]]&gt;0,0,ListOfExpenditure[[#This Row],[IF public procurment &gt;10000;1;0]])</f>
        <v>0</v>
      </c>
    </row>
    <row r="130" spans="1:42" x14ac:dyDescent="0.25">
      <c r="A130">
        <v>1506</v>
      </c>
      <c r="B130">
        <v>3</v>
      </c>
      <c r="E130" t="s">
        <v>4786</v>
      </c>
      <c r="F130" t="b">
        <v>0</v>
      </c>
      <c r="I130" t="s">
        <v>4926</v>
      </c>
      <c r="K130" t="s">
        <v>4347</v>
      </c>
      <c r="L130" t="s">
        <v>4587</v>
      </c>
      <c r="M130" t="s">
        <v>4788</v>
      </c>
      <c r="N130" t="s">
        <v>4788</v>
      </c>
      <c r="O130">
        <v>24093.31</v>
      </c>
      <c r="Q130">
        <v>0</v>
      </c>
      <c r="R130">
        <v>0</v>
      </c>
      <c r="S130">
        <v>4907.1400000000003</v>
      </c>
      <c r="T130" t="s">
        <v>4789</v>
      </c>
      <c r="U130">
        <v>1</v>
      </c>
      <c r="V130">
        <v>4907.1400000000003</v>
      </c>
      <c r="W130" t="s">
        <v>4343</v>
      </c>
      <c r="Y130" t="b">
        <v>1</v>
      </c>
      <c r="Z130" t="b">
        <v>0</v>
      </c>
      <c r="AA130">
        <v>4367.84</v>
      </c>
      <c r="AB130">
        <v>539.29999999999995</v>
      </c>
      <c r="AC130">
        <v>14</v>
      </c>
      <c r="AD130" t="b">
        <v>0</v>
      </c>
      <c r="AF130" t="s">
        <v>4975</v>
      </c>
      <c r="AG130" s="1" t="s">
        <v>337</v>
      </c>
      <c r="AH130" s="1" t="s">
        <v>338</v>
      </c>
      <c r="AI130">
        <v>124</v>
      </c>
      <c r="AJ130">
        <v>182</v>
      </c>
      <c r="AK130" s="106">
        <v>45475.635510706015</v>
      </c>
      <c r="AL130" s="1" t="s">
        <v>4790</v>
      </c>
      <c r="AM130" s="42">
        <f>IFERROR(INDEX('Public procurment'!A:R,MATCH(ListOfExpenditure[[#This Row],[Content.contractId]],'Public procurment'!E:E,0),14),0)</f>
        <v>0</v>
      </c>
      <c r="AN130" s="2">
        <f>IF(AND(ListOfExpenditure[[#This Row],[Contract amount]]&gt;10000,ListOfExpenditure[[#This Row],[Content.declaredAmount]]&gt;2000),1,0)</f>
        <v>0</v>
      </c>
      <c r="AO130">
        <f>IFERROR(INDEX('Public procurment'!A:S,MATCH(ListOfExpenditure[[#This Row],[Content.contractId]],'Public procurment'!E:E,0),19),0)</f>
        <v>0</v>
      </c>
      <c r="AP130">
        <f>IF(ListOfExpenditure[[#This Row],[Numero di volte controllato il contract ]]&gt;0,0,ListOfExpenditure[[#This Row],[IF public procurment &gt;10000;1;0]])</f>
        <v>0</v>
      </c>
    </row>
    <row r="131" spans="1:42" x14ac:dyDescent="0.25">
      <c r="A131">
        <v>1507</v>
      </c>
      <c r="B131">
        <v>4</v>
      </c>
      <c r="E131" t="s">
        <v>4786</v>
      </c>
      <c r="F131" t="b">
        <v>0</v>
      </c>
      <c r="I131" t="s">
        <v>4929</v>
      </c>
      <c r="K131" t="s">
        <v>4347</v>
      </c>
      <c r="L131" t="s">
        <v>4587</v>
      </c>
      <c r="M131" t="s">
        <v>4788</v>
      </c>
      <c r="N131" t="s">
        <v>4788</v>
      </c>
      <c r="O131">
        <v>9036.07</v>
      </c>
      <c r="Q131">
        <v>0</v>
      </c>
      <c r="R131">
        <v>0</v>
      </c>
      <c r="S131">
        <v>1807.21</v>
      </c>
      <c r="T131" t="s">
        <v>4789</v>
      </c>
      <c r="U131">
        <v>1</v>
      </c>
      <c r="V131">
        <v>1807.21</v>
      </c>
      <c r="W131" t="s">
        <v>4343</v>
      </c>
      <c r="Y131" t="b">
        <v>1</v>
      </c>
      <c r="Z131" t="b">
        <v>0</v>
      </c>
      <c r="AA131">
        <v>1680.98</v>
      </c>
      <c r="AB131">
        <v>126.23</v>
      </c>
      <c r="AC131">
        <v>14</v>
      </c>
      <c r="AD131" t="b">
        <v>0</v>
      </c>
      <c r="AF131" t="s">
        <v>4975</v>
      </c>
      <c r="AG131" s="1" t="s">
        <v>337</v>
      </c>
      <c r="AH131" s="1" t="s">
        <v>338</v>
      </c>
      <c r="AI131">
        <v>124</v>
      </c>
      <c r="AJ131">
        <v>182</v>
      </c>
      <c r="AK131" s="106">
        <v>45475.635510706015</v>
      </c>
      <c r="AL131" s="1" t="s">
        <v>4790</v>
      </c>
      <c r="AM131" s="42">
        <f>IFERROR(INDEX('Public procurment'!A:R,MATCH(ListOfExpenditure[[#This Row],[Content.contractId]],'Public procurment'!E:E,0),14),0)</f>
        <v>0</v>
      </c>
      <c r="AN131" s="2">
        <f>IF(AND(ListOfExpenditure[[#This Row],[Contract amount]]&gt;10000,ListOfExpenditure[[#This Row],[Content.declaredAmount]]&gt;2000),1,0)</f>
        <v>0</v>
      </c>
      <c r="AO131">
        <f>IFERROR(INDEX('Public procurment'!A:S,MATCH(ListOfExpenditure[[#This Row],[Content.contractId]],'Public procurment'!E:E,0),19),0)</f>
        <v>0</v>
      </c>
      <c r="AP131">
        <f>IF(ListOfExpenditure[[#This Row],[Numero di volte controllato il contract ]]&gt;0,0,ListOfExpenditure[[#This Row],[IF public procurment &gt;10000;1;0]])</f>
        <v>0</v>
      </c>
    </row>
    <row r="132" spans="1:42" x14ac:dyDescent="0.25">
      <c r="A132">
        <v>929</v>
      </c>
      <c r="B132">
        <v>1</v>
      </c>
      <c r="E132" t="s">
        <v>4786</v>
      </c>
      <c r="F132" t="b">
        <v>1</v>
      </c>
      <c r="I132" t="s">
        <v>4976</v>
      </c>
      <c r="K132" t="s">
        <v>4342</v>
      </c>
      <c r="L132" t="s">
        <v>4977</v>
      </c>
      <c r="M132" t="s">
        <v>4788</v>
      </c>
      <c r="N132" t="s">
        <v>4788</v>
      </c>
      <c r="O132">
        <v>18974.830000000002</v>
      </c>
      <c r="Q132">
        <v>0</v>
      </c>
      <c r="R132">
        <v>0</v>
      </c>
      <c r="S132">
        <v>1892.48</v>
      </c>
      <c r="T132" t="s">
        <v>4789</v>
      </c>
      <c r="U132">
        <v>1</v>
      </c>
      <c r="V132">
        <v>1892.48</v>
      </c>
      <c r="W132" t="s">
        <v>4343</v>
      </c>
      <c r="Y132" t="b">
        <v>1</v>
      </c>
      <c r="Z132" t="b">
        <v>0</v>
      </c>
      <c r="AA132">
        <v>1535.66</v>
      </c>
      <c r="AB132">
        <v>356.82</v>
      </c>
      <c r="AC132">
        <v>14</v>
      </c>
      <c r="AD132" t="b">
        <v>0</v>
      </c>
      <c r="AF132" t="s">
        <v>4978</v>
      </c>
      <c r="AG132" s="1" t="s">
        <v>337</v>
      </c>
      <c r="AH132" s="1" t="s">
        <v>42</v>
      </c>
      <c r="AI132">
        <v>126</v>
      </c>
      <c r="AJ132">
        <v>140</v>
      </c>
      <c r="AK132" s="106">
        <v>45475.635499861113</v>
      </c>
      <c r="AL132" s="1" t="s">
        <v>4790</v>
      </c>
      <c r="AM132" s="42">
        <f>IFERROR(INDEX('Public procurment'!A:R,MATCH(ListOfExpenditure[[#This Row],[Content.contractId]],'Public procurment'!E:E,0),14),0)</f>
        <v>0</v>
      </c>
      <c r="AN132" s="2">
        <f>IF(AND(ListOfExpenditure[[#This Row],[Contract amount]]&gt;10000,ListOfExpenditure[[#This Row],[Content.declaredAmount]]&gt;2000),1,0)</f>
        <v>0</v>
      </c>
      <c r="AO132">
        <f>IFERROR(INDEX('Public procurment'!A:S,MATCH(ListOfExpenditure[[#This Row],[Content.contractId]],'Public procurment'!E:E,0),19),0)</f>
        <v>0</v>
      </c>
      <c r="AP132">
        <f>IF(ListOfExpenditure[[#This Row],[Numero di volte controllato il contract ]]&gt;0,0,ListOfExpenditure[[#This Row],[IF public procurment &gt;10000;1;0]])</f>
        <v>0</v>
      </c>
    </row>
    <row r="133" spans="1:42" x14ac:dyDescent="0.25">
      <c r="A133">
        <v>933</v>
      </c>
      <c r="B133">
        <v>2</v>
      </c>
      <c r="E133" t="s">
        <v>4786</v>
      </c>
      <c r="F133" t="b">
        <v>1</v>
      </c>
      <c r="I133" t="s">
        <v>4979</v>
      </c>
      <c r="K133" t="s">
        <v>4342</v>
      </c>
      <c r="L133" t="s">
        <v>4977</v>
      </c>
      <c r="M133" t="s">
        <v>4788</v>
      </c>
      <c r="N133" t="s">
        <v>4788</v>
      </c>
      <c r="O133">
        <v>19176.919999999998</v>
      </c>
      <c r="Q133">
        <v>0</v>
      </c>
      <c r="R133">
        <v>0</v>
      </c>
      <c r="S133">
        <v>1342.38</v>
      </c>
      <c r="T133" t="s">
        <v>4789</v>
      </c>
      <c r="U133">
        <v>1</v>
      </c>
      <c r="V133">
        <v>1342.38</v>
      </c>
      <c r="W133" t="s">
        <v>4343</v>
      </c>
      <c r="Y133" t="b">
        <v>1</v>
      </c>
      <c r="Z133" t="b">
        <v>0</v>
      </c>
      <c r="AA133">
        <v>1084.55</v>
      </c>
      <c r="AB133">
        <v>257.83</v>
      </c>
      <c r="AC133">
        <v>14</v>
      </c>
      <c r="AD133" t="b">
        <v>0</v>
      </c>
      <c r="AF133" t="s">
        <v>4978</v>
      </c>
      <c r="AG133" s="1" t="s">
        <v>337</v>
      </c>
      <c r="AH133" s="1" t="s">
        <v>42</v>
      </c>
      <c r="AI133">
        <v>126</v>
      </c>
      <c r="AJ133">
        <v>140</v>
      </c>
      <c r="AK133" s="106">
        <v>45475.635499861113</v>
      </c>
      <c r="AL133" s="1" t="s">
        <v>4790</v>
      </c>
      <c r="AM133" s="42">
        <f>IFERROR(INDEX('Public procurment'!A:R,MATCH(ListOfExpenditure[[#This Row],[Content.contractId]],'Public procurment'!E:E,0),14),0)</f>
        <v>0</v>
      </c>
      <c r="AN133" s="2">
        <f>IF(AND(ListOfExpenditure[[#This Row],[Contract amount]]&gt;10000,ListOfExpenditure[[#This Row],[Content.declaredAmount]]&gt;2000),1,0)</f>
        <v>0</v>
      </c>
      <c r="AO133">
        <f>IFERROR(INDEX('Public procurment'!A:S,MATCH(ListOfExpenditure[[#This Row],[Content.contractId]],'Public procurment'!E:E,0),19),0)</f>
        <v>0</v>
      </c>
      <c r="AP133">
        <f>IF(ListOfExpenditure[[#This Row],[Numero di volte controllato il contract ]]&gt;0,0,ListOfExpenditure[[#This Row],[IF public procurment &gt;10000;1;0]])</f>
        <v>0</v>
      </c>
    </row>
    <row r="134" spans="1:42" x14ac:dyDescent="0.25">
      <c r="A134">
        <v>936</v>
      </c>
      <c r="B134">
        <v>3</v>
      </c>
      <c r="E134" t="s">
        <v>4786</v>
      </c>
      <c r="F134" t="b">
        <v>1</v>
      </c>
      <c r="I134" t="s">
        <v>4980</v>
      </c>
      <c r="K134" t="s">
        <v>4342</v>
      </c>
      <c r="L134" t="s">
        <v>4977</v>
      </c>
      <c r="M134" t="s">
        <v>4788</v>
      </c>
      <c r="N134" t="s">
        <v>4788</v>
      </c>
      <c r="O134">
        <v>28978.12</v>
      </c>
      <c r="Q134">
        <v>0</v>
      </c>
      <c r="R134">
        <v>0</v>
      </c>
      <c r="S134">
        <v>4926.28</v>
      </c>
      <c r="T134" t="s">
        <v>4789</v>
      </c>
      <c r="U134">
        <v>1</v>
      </c>
      <c r="V134">
        <v>4926.28</v>
      </c>
      <c r="W134" t="s">
        <v>4343</v>
      </c>
      <c r="Y134" t="b">
        <v>1</v>
      </c>
      <c r="Z134" t="b">
        <v>0</v>
      </c>
      <c r="AA134">
        <v>0</v>
      </c>
      <c r="AB134">
        <v>4926.28</v>
      </c>
      <c r="AC134">
        <v>14</v>
      </c>
      <c r="AD134" t="b">
        <v>0</v>
      </c>
      <c r="AF134" t="s">
        <v>4981</v>
      </c>
      <c r="AG134" s="1" t="s">
        <v>337</v>
      </c>
      <c r="AH134" s="1" t="s">
        <v>42</v>
      </c>
      <c r="AI134">
        <v>126</v>
      </c>
      <c r="AJ134">
        <v>140</v>
      </c>
      <c r="AK134" s="106">
        <v>45475.635499861113</v>
      </c>
      <c r="AL134" s="1" t="s">
        <v>4790</v>
      </c>
      <c r="AM134" s="42">
        <f>IFERROR(INDEX('Public procurment'!A:R,MATCH(ListOfExpenditure[[#This Row],[Content.contractId]],'Public procurment'!E:E,0),14),0)</f>
        <v>0</v>
      </c>
      <c r="AN134" s="2">
        <f>IF(AND(ListOfExpenditure[[#This Row],[Contract amount]]&gt;10000,ListOfExpenditure[[#This Row],[Content.declaredAmount]]&gt;2000),1,0)</f>
        <v>0</v>
      </c>
      <c r="AO134">
        <f>IFERROR(INDEX('Public procurment'!A:S,MATCH(ListOfExpenditure[[#This Row],[Content.contractId]],'Public procurment'!E:E,0),19),0)</f>
        <v>0</v>
      </c>
      <c r="AP134">
        <f>IF(ListOfExpenditure[[#This Row],[Numero di volte controllato il contract ]]&gt;0,0,ListOfExpenditure[[#This Row],[IF public procurment &gt;10000;1;0]])</f>
        <v>0</v>
      </c>
    </row>
    <row r="135" spans="1:42" x14ac:dyDescent="0.25">
      <c r="A135">
        <v>906</v>
      </c>
      <c r="B135">
        <v>1</v>
      </c>
      <c r="D135">
        <v>93</v>
      </c>
      <c r="E135" t="s">
        <v>4786</v>
      </c>
      <c r="F135" t="b">
        <v>0</v>
      </c>
      <c r="M135" t="s">
        <v>4788</v>
      </c>
      <c r="N135" t="s">
        <v>4788</v>
      </c>
      <c r="Q135">
        <v>34</v>
      </c>
      <c r="R135">
        <v>38</v>
      </c>
      <c r="S135">
        <v>1292</v>
      </c>
      <c r="T135" t="s">
        <v>4789</v>
      </c>
      <c r="U135">
        <v>1</v>
      </c>
      <c r="V135">
        <v>1292</v>
      </c>
      <c r="W135" t="s">
        <v>4343</v>
      </c>
      <c r="Y135" t="b">
        <v>1</v>
      </c>
      <c r="Z135" t="b">
        <v>0</v>
      </c>
      <c r="AA135">
        <v>1292</v>
      </c>
      <c r="AB135">
        <v>0</v>
      </c>
      <c r="AD135" t="b">
        <v>0</v>
      </c>
      <c r="AG135" s="1" t="s">
        <v>337</v>
      </c>
      <c r="AH135" s="1" t="s">
        <v>307</v>
      </c>
      <c r="AI135">
        <v>125</v>
      </c>
      <c r="AJ135">
        <v>232</v>
      </c>
      <c r="AK135" s="106">
        <v>45475.635501400466</v>
      </c>
      <c r="AL135" s="1" t="s">
        <v>4790</v>
      </c>
      <c r="AM135" s="42">
        <f>IFERROR(INDEX('Public procurment'!A:R,MATCH(ListOfExpenditure[[#This Row],[Content.contractId]],'Public procurment'!E:E,0),14),0)</f>
        <v>0</v>
      </c>
      <c r="AN135" s="2">
        <f>IF(AND(ListOfExpenditure[[#This Row],[Contract amount]]&gt;10000,ListOfExpenditure[[#This Row],[Content.declaredAmount]]&gt;2000),1,0)</f>
        <v>0</v>
      </c>
      <c r="AO135">
        <f>IFERROR(INDEX('Public procurment'!A:S,MATCH(ListOfExpenditure[[#This Row],[Content.contractId]],'Public procurment'!E:E,0),19),0)</f>
        <v>0</v>
      </c>
      <c r="AP135">
        <f>IF(ListOfExpenditure[[#This Row],[Numero di volte controllato il contract ]]&gt;0,0,ListOfExpenditure[[#This Row],[IF public procurment &gt;10000;1;0]])</f>
        <v>0</v>
      </c>
    </row>
    <row r="136" spans="1:42" x14ac:dyDescent="0.25">
      <c r="A136">
        <v>1521</v>
      </c>
      <c r="B136">
        <v>2</v>
      </c>
      <c r="D136">
        <v>93</v>
      </c>
      <c r="E136" t="s">
        <v>4786</v>
      </c>
      <c r="F136" t="b">
        <v>0</v>
      </c>
      <c r="M136" t="s">
        <v>4788</v>
      </c>
      <c r="N136" t="s">
        <v>4788</v>
      </c>
      <c r="Q136">
        <v>43</v>
      </c>
      <c r="R136">
        <v>38</v>
      </c>
      <c r="S136">
        <v>1634</v>
      </c>
      <c r="T136" t="s">
        <v>4789</v>
      </c>
      <c r="U136">
        <v>1</v>
      </c>
      <c r="V136">
        <v>1634</v>
      </c>
      <c r="W136" t="s">
        <v>4343</v>
      </c>
      <c r="Y136" t="b">
        <v>1</v>
      </c>
      <c r="Z136" t="b">
        <v>0</v>
      </c>
      <c r="AA136">
        <v>1634</v>
      </c>
      <c r="AB136">
        <v>0</v>
      </c>
      <c r="AD136" t="b">
        <v>0</v>
      </c>
      <c r="AG136" s="1" t="s">
        <v>337</v>
      </c>
      <c r="AH136" s="1" t="s">
        <v>307</v>
      </c>
      <c r="AI136">
        <v>125</v>
      </c>
      <c r="AJ136">
        <v>232</v>
      </c>
      <c r="AK136" s="106">
        <v>45475.635501400466</v>
      </c>
      <c r="AL136" s="1" t="s">
        <v>4790</v>
      </c>
      <c r="AM136" s="42">
        <f>IFERROR(INDEX('Public procurment'!A:R,MATCH(ListOfExpenditure[[#This Row],[Content.contractId]],'Public procurment'!E:E,0),14),0)</f>
        <v>0</v>
      </c>
      <c r="AN136" s="2">
        <f>IF(AND(ListOfExpenditure[[#This Row],[Contract amount]]&gt;10000,ListOfExpenditure[[#This Row],[Content.declaredAmount]]&gt;2000),1,0)</f>
        <v>0</v>
      </c>
      <c r="AO136">
        <f>IFERROR(INDEX('Public procurment'!A:S,MATCH(ListOfExpenditure[[#This Row],[Content.contractId]],'Public procurment'!E:E,0),19),0)</f>
        <v>0</v>
      </c>
      <c r="AP136">
        <f>IF(ListOfExpenditure[[#This Row],[Numero di volte controllato il contract ]]&gt;0,0,ListOfExpenditure[[#This Row],[IF public procurment &gt;10000;1;0]])</f>
        <v>0</v>
      </c>
    </row>
    <row r="137" spans="1:42" x14ac:dyDescent="0.25">
      <c r="A137">
        <v>1522</v>
      </c>
      <c r="B137">
        <v>3</v>
      </c>
      <c r="D137">
        <v>93</v>
      </c>
      <c r="E137" t="s">
        <v>4786</v>
      </c>
      <c r="F137" t="b">
        <v>0</v>
      </c>
      <c r="M137" t="s">
        <v>4788</v>
      </c>
      <c r="N137" t="s">
        <v>4788</v>
      </c>
      <c r="Q137">
        <v>47</v>
      </c>
      <c r="R137">
        <v>38</v>
      </c>
      <c r="S137">
        <v>1786</v>
      </c>
      <c r="T137" t="s">
        <v>4789</v>
      </c>
      <c r="U137">
        <v>1</v>
      </c>
      <c r="V137">
        <v>1786</v>
      </c>
      <c r="W137" t="s">
        <v>4343</v>
      </c>
      <c r="Y137" t="b">
        <v>1</v>
      </c>
      <c r="Z137" t="b">
        <v>0</v>
      </c>
      <c r="AA137">
        <v>1786</v>
      </c>
      <c r="AB137">
        <v>0</v>
      </c>
      <c r="AD137" t="b">
        <v>0</v>
      </c>
      <c r="AG137" s="1" t="s">
        <v>337</v>
      </c>
      <c r="AH137" s="1" t="s">
        <v>307</v>
      </c>
      <c r="AI137">
        <v>125</v>
      </c>
      <c r="AJ137">
        <v>232</v>
      </c>
      <c r="AK137" s="106">
        <v>45475.635501400466</v>
      </c>
      <c r="AL137" s="1" t="s">
        <v>4790</v>
      </c>
      <c r="AM137" s="42">
        <f>IFERROR(INDEX('Public procurment'!A:R,MATCH(ListOfExpenditure[[#This Row],[Content.contractId]],'Public procurment'!E:E,0),14),0)</f>
        <v>0</v>
      </c>
      <c r="AN137" s="2">
        <f>IF(AND(ListOfExpenditure[[#This Row],[Contract amount]]&gt;10000,ListOfExpenditure[[#This Row],[Content.declaredAmount]]&gt;2000),1,0)</f>
        <v>0</v>
      </c>
      <c r="AO137">
        <f>IFERROR(INDEX('Public procurment'!A:S,MATCH(ListOfExpenditure[[#This Row],[Content.contractId]],'Public procurment'!E:E,0),19),0)</f>
        <v>0</v>
      </c>
      <c r="AP137">
        <f>IF(ListOfExpenditure[[#This Row],[Numero di volte controllato il contract ]]&gt;0,0,ListOfExpenditure[[#This Row],[IF public procurment &gt;10000;1;0]])</f>
        <v>0</v>
      </c>
    </row>
    <row r="138" spans="1:42" x14ac:dyDescent="0.25">
      <c r="A138">
        <v>1523</v>
      </c>
      <c r="B138">
        <v>4</v>
      </c>
      <c r="D138">
        <v>93</v>
      </c>
      <c r="E138" t="s">
        <v>4786</v>
      </c>
      <c r="F138" t="b">
        <v>0</v>
      </c>
      <c r="M138" t="s">
        <v>4788</v>
      </c>
      <c r="N138" t="s">
        <v>4788</v>
      </c>
      <c r="Q138">
        <v>32</v>
      </c>
      <c r="R138">
        <v>38</v>
      </c>
      <c r="S138">
        <v>1216</v>
      </c>
      <c r="T138" t="s">
        <v>4789</v>
      </c>
      <c r="U138">
        <v>1</v>
      </c>
      <c r="V138">
        <v>1216</v>
      </c>
      <c r="W138" t="s">
        <v>4343</v>
      </c>
      <c r="Y138" t="b">
        <v>1</v>
      </c>
      <c r="Z138" t="b">
        <v>0</v>
      </c>
      <c r="AA138">
        <v>1216</v>
      </c>
      <c r="AB138">
        <v>0</v>
      </c>
      <c r="AD138" t="b">
        <v>0</v>
      </c>
      <c r="AG138" s="1" t="s">
        <v>337</v>
      </c>
      <c r="AH138" s="1" t="s">
        <v>307</v>
      </c>
      <c r="AI138">
        <v>125</v>
      </c>
      <c r="AJ138">
        <v>232</v>
      </c>
      <c r="AK138" s="106">
        <v>45475.635501400466</v>
      </c>
      <c r="AL138" s="1" t="s">
        <v>4790</v>
      </c>
      <c r="AM138" s="42">
        <f>IFERROR(INDEX('Public procurment'!A:R,MATCH(ListOfExpenditure[[#This Row],[Content.contractId]],'Public procurment'!E:E,0),14),0)</f>
        <v>0</v>
      </c>
      <c r="AN138" s="2">
        <f>IF(AND(ListOfExpenditure[[#This Row],[Contract amount]]&gt;10000,ListOfExpenditure[[#This Row],[Content.declaredAmount]]&gt;2000),1,0)</f>
        <v>0</v>
      </c>
      <c r="AO138">
        <f>IFERROR(INDEX('Public procurment'!A:S,MATCH(ListOfExpenditure[[#This Row],[Content.contractId]],'Public procurment'!E:E,0),19),0)</f>
        <v>0</v>
      </c>
      <c r="AP138">
        <f>IF(ListOfExpenditure[[#This Row],[Numero di volte controllato il contract ]]&gt;0,0,ListOfExpenditure[[#This Row],[IF public procurment &gt;10000;1;0]])</f>
        <v>0</v>
      </c>
    </row>
    <row r="139" spans="1:42" x14ac:dyDescent="0.25">
      <c r="A139">
        <v>1527</v>
      </c>
      <c r="B139">
        <v>5</v>
      </c>
      <c r="D139">
        <v>93</v>
      </c>
      <c r="E139" t="s">
        <v>4786</v>
      </c>
      <c r="F139" t="b">
        <v>0</v>
      </c>
      <c r="M139" t="s">
        <v>4788</v>
      </c>
      <c r="N139" t="s">
        <v>4788</v>
      </c>
      <c r="Q139">
        <v>48</v>
      </c>
      <c r="R139">
        <v>38</v>
      </c>
      <c r="S139">
        <v>1824</v>
      </c>
      <c r="T139" t="s">
        <v>4789</v>
      </c>
      <c r="U139">
        <v>1</v>
      </c>
      <c r="V139">
        <v>1824</v>
      </c>
      <c r="W139" t="s">
        <v>4343</v>
      </c>
      <c r="Y139" t="b">
        <v>1</v>
      </c>
      <c r="Z139" t="b">
        <v>0</v>
      </c>
      <c r="AA139">
        <v>1824</v>
      </c>
      <c r="AB139">
        <v>0</v>
      </c>
      <c r="AD139" t="b">
        <v>0</v>
      </c>
      <c r="AG139" s="1" t="s">
        <v>337</v>
      </c>
      <c r="AH139" s="1" t="s">
        <v>307</v>
      </c>
      <c r="AI139">
        <v>125</v>
      </c>
      <c r="AJ139">
        <v>232</v>
      </c>
      <c r="AK139" s="106">
        <v>45475.635501400466</v>
      </c>
      <c r="AL139" s="1" t="s">
        <v>4790</v>
      </c>
      <c r="AM139" s="42">
        <f>IFERROR(INDEX('Public procurment'!A:R,MATCH(ListOfExpenditure[[#This Row],[Content.contractId]],'Public procurment'!E:E,0),14),0)</f>
        <v>0</v>
      </c>
      <c r="AN139" s="2">
        <f>IF(AND(ListOfExpenditure[[#This Row],[Contract amount]]&gt;10000,ListOfExpenditure[[#This Row],[Content.declaredAmount]]&gt;2000),1,0)</f>
        <v>0</v>
      </c>
      <c r="AO139">
        <f>IFERROR(INDEX('Public procurment'!A:S,MATCH(ListOfExpenditure[[#This Row],[Content.contractId]],'Public procurment'!E:E,0),19),0)</f>
        <v>0</v>
      </c>
      <c r="AP139">
        <f>IF(ListOfExpenditure[[#This Row],[Numero di volte controllato il contract ]]&gt;0,0,ListOfExpenditure[[#This Row],[IF public procurment &gt;10000;1;0]])</f>
        <v>0</v>
      </c>
    </row>
    <row r="140" spans="1:42" x14ac:dyDescent="0.25">
      <c r="A140">
        <v>1528</v>
      </c>
      <c r="B140">
        <v>6</v>
      </c>
      <c r="D140">
        <v>93</v>
      </c>
      <c r="E140" t="s">
        <v>4786</v>
      </c>
      <c r="F140" t="b">
        <v>0</v>
      </c>
      <c r="M140" t="s">
        <v>4788</v>
      </c>
      <c r="N140" t="s">
        <v>4788</v>
      </c>
      <c r="Q140">
        <v>51</v>
      </c>
      <c r="R140">
        <v>38</v>
      </c>
      <c r="S140">
        <v>1938</v>
      </c>
      <c r="T140" t="s">
        <v>4789</v>
      </c>
      <c r="U140">
        <v>1</v>
      </c>
      <c r="V140">
        <v>1938</v>
      </c>
      <c r="W140" t="s">
        <v>4343</v>
      </c>
      <c r="Y140" t="b">
        <v>1</v>
      </c>
      <c r="Z140" t="b">
        <v>0</v>
      </c>
      <c r="AA140">
        <v>1938</v>
      </c>
      <c r="AB140">
        <v>0</v>
      </c>
      <c r="AD140" t="b">
        <v>0</v>
      </c>
      <c r="AG140" s="1" t="s">
        <v>337</v>
      </c>
      <c r="AH140" s="1" t="s">
        <v>307</v>
      </c>
      <c r="AI140">
        <v>125</v>
      </c>
      <c r="AJ140">
        <v>232</v>
      </c>
      <c r="AK140" s="106">
        <v>45475.635501400466</v>
      </c>
      <c r="AL140" s="1" t="s">
        <v>4790</v>
      </c>
      <c r="AM140" s="42">
        <f>IFERROR(INDEX('Public procurment'!A:R,MATCH(ListOfExpenditure[[#This Row],[Content.contractId]],'Public procurment'!E:E,0),14),0)</f>
        <v>0</v>
      </c>
      <c r="AN140" s="2">
        <f>IF(AND(ListOfExpenditure[[#This Row],[Contract amount]]&gt;10000,ListOfExpenditure[[#This Row],[Content.declaredAmount]]&gt;2000),1,0)</f>
        <v>0</v>
      </c>
      <c r="AO140">
        <f>IFERROR(INDEX('Public procurment'!A:S,MATCH(ListOfExpenditure[[#This Row],[Content.contractId]],'Public procurment'!E:E,0),19),0)</f>
        <v>0</v>
      </c>
      <c r="AP140">
        <f>IF(ListOfExpenditure[[#This Row],[Numero di volte controllato il contract ]]&gt;0,0,ListOfExpenditure[[#This Row],[IF public procurment &gt;10000;1;0]])</f>
        <v>0</v>
      </c>
    </row>
    <row r="141" spans="1:42" x14ac:dyDescent="0.25">
      <c r="A141">
        <v>1532</v>
      </c>
      <c r="B141">
        <v>7</v>
      </c>
      <c r="D141">
        <v>94</v>
      </c>
      <c r="E141" t="s">
        <v>4786</v>
      </c>
      <c r="F141" t="b">
        <v>0</v>
      </c>
      <c r="M141" t="s">
        <v>4788</v>
      </c>
      <c r="N141" t="s">
        <v>4788</v>
      </c>
      <c r="Q141">
        <v>25</v>
      </c>
      <c r="R141">
        <v>18</v>
      </c>
      <c r="S141">
        <v>450</v>
      </c>
      <c r="T141" t="s">
        <v>4789</v>
      </c>
      <c r="U141">
        <v>1</v>
      </c>
      <c r="V141">
        <v>450</v>
      </c>
      <c r="W141" t="s">
        <v>4343</v>
      </c>
      <c r="Y141" t="b">
        <v>1</v>
      </c>
      <c r="Z141" t="b">
        <v>0</v>
      </c>
      <c r="AA141">
        <v>450</v>
      </c>
      <c r="AB141">
        <v>0</v>
      </c>
      <c r="AD141" t="b">
        <v>0</v>
      </c>
      <c r="AG141" s="1" t="s">
        <v>337</v>
      </c>
      <c r="AH141" s="1" t="s">
        <v>307</v>
      </c>
      <c r="AI141">
        <v>125</v>
      </c>
      <c r="AJ141">
        <v>232</v>
      </c>
      <c r="AK141" s="106">
        <v>45475.635501400466</v>
      </c>
      <c r="AL141" s="1" t="s">
        <v>4790</v>
      </c>
      <c r="AM141" s="42">
        <f>IFERROR(INDEX('Public procurment'!A:R,MATCH(ListOfExpenditure[[#This Row],[Content.contractId]],'Public procurment'!E:E,0),14),0)</f>
        <v>0</v>
      </c>
      <c r="AN141" s="2">
        <f>IF(AND(ListOfExpenditure[[#This Row],[Contract amount]]&gt;10000,ListOfExpenditure[[#This Row],[Content.declaredAmount]]&gt;2000),1,0)</f>
        <v>0</v>
      </c>
      <c r="AO141">
        <f>IFERROR(INDEX('Public procurment'!A:S,MATCH(ListOfExpenditure[[#This Row],[Content.contractId]],'Public procurment'!E:E,0),19),0)</f>
        <v>0</v>
      </c>
      <c r="AP141">
        <f>IF(ListOfExpenditure[[#This Row],[Numero di volte controllato il contract ]]&gt;0,0,ListOfExpenditure[[#This Row],[IF public procurment &gt;10000;1;0]])</f>
        <v>0</v>
      </c>
    </row>
    <row r="142" spans="1:42" x14ac:dyDescent="0.25">
      <c r="A142">
        <v>1535</v>
      </c>
      <c r="B142">
        <v>8</v>
      </c>
      <c r="D142">
        <v>94</v>
      </c>
      <c r="E142" t="s">
        <v>4786</v>
      </c>
      <c r="F142" t="b">
        <v>0</v>
      </c>
      <c r="M142" t="s">
        <v>4788</v>
      </c>
      <c r="N142" t="s">
        <v>4788</v>
      </c>
      <c r="Q142">
        <v>72</v>
      </c>
      <c r="R142">
        <v>18</v>
      </c>
      <c r="S142">
        <v>1296</v>
      </c>
      <c r="T142" t="s">
        <v>4789</v>
      </c>
      <c r="U142">
        <v>1</v>
      </c>
      <c r="V142">
        <v>1296</v>
      </c>
      <c r="W142" t="s">
        <v>4343</v>
      </c>
      <c r="Y142" t="b">
        <v>1</v>
      </c>
      <c r="Z142" t="b">
        <v>0</v>
      </c>
      <c r="AA142">
        <v>1278</v>
      </c>
      <c r="AB142">
        <v>18</v>
      </c>
      <c r="AC142">
        <v>13</v>
      </c>
      <c r="AD142" t="b">
        <v>0</v>
      </c>
      <c r="AF142" t="s">
        <v>4982</v>
      </c>
      <c r="AG142" s="1" t="s">
        <v>337</v>
      </c>
      <c r="AH142" s="1" t="s">
        <v>307</v>
      </c>
      <c r="AI142">
        <v>125</v>
      </c>
      <c r="AJ142">
        <v>232</v>
      </c>
      <c r="AK142" s="106">
        <v>45475.635501400466</v>
      </c>
      <c r="AL142" s="1" t="s">
        <v>4790</v>
      </c>
      <c r="AM142" s="42">
        <f>IFERROR(INDEX('Public procurment'!A:R,MATCH(ListOfExpenditure[[#This Row],[Content.contractId]],'Public procurment'!E:E,0),14),0)</f>
        <v>0</v>
      </c>
      <c r="AN142" s="2">
        <f>IF(AND(ListOfExpenditure[[#This Row],[Contract amount]]&gt;10000,ListOfExpenditure[[#This Row],[Content.declaredAmount]]&gt;2000),1,0)</f>
        <v>0</v>
      </c>
      <c r="AO142">
        <f>IFERROR(INDEX('Public procurment'!A:S,MATCH(ListOfExpenditure[[#This Row],[Content.contractId]],'Public procurment'!E:E,0),19),0)</f>
        <v>0</v>
      </c>
      <c r="AP142">
        <f>IF(ListOfExpenditure[[#This Row],[Numero di volte controllato il contract ]]&gt;0,0,ListOfExpenditure[[#This Row],[IF public procurment &gt;10000;1;0]])</f>
        <v>0</v>
      </c>
    </row>
    <row r="143" spans="1:42" x14ac:dyDescent="0.25">
      <c r="A143">
        <v>1538</v>
      </c>
      <c r="B143">
        <v>9</v>
      </c>
      <c r="D143">
        <v>94</v>
      </c>
      <c r="E143" t="s">
        <v>4786</v>
      </c>
      <c r="F143" t="b">
        <v>0</v>
      </c>
      <c r="M143" t="s">
        <v>4788</v>
      </c>
      <c r="N143" t="s">
        <v>4788</v>
      </c>
      <c r="Q143">
        <v>72.5</v>
      </c>
      <c r="R143">
        <v>18</v>
      </c>
      <c r="S143">
        <v>1305</v>
      </c>
      <c r="T143" t="s">
        <v>4789</v>
      </c>
      <c r="U143">
        <v>1</v>
      </c>
      <c r="V143">
        <v>1305</v>
      </c>
      <c r="W143" t="s">
        <v>4343</v>
      </c>
      <c r="Y143" t="b">
        <v>1</v>
      </c>
      <c r="Z143" t="b">
        <v>0</v>
      </c>
      <c r="AA143">
        <v>1296</v>
      </c>
      <c r="AB143">
        <v>9</v>
      </c>
      <c r="AC143">
        <v>13</v>
      </c>
      <c r="AD143" t="b">
        <v>0</v>
      </c>
      <c r="AF143" t="s">
        <v>4983</v>
      </c>
      <c r="AG143" s="1" t="s">
        <v>337</v>
      </c>
      <c r="AH143" s="1" t="s">
        <v>307</v>
      </c>
      <c r="AI143">
        <v>125</v>
      </c>
      <c r="AJ143">
        <v>232</v>
      </c>
      <c r="AK143" s="106">
        <v>45475.635501400466</v>
      </c>
      <c r="AL143" s="1" t="s">
        <v>4790</v>
      </c>
      <c r="AM143" s="42">
        <f>IFERROR(INDEX('Public procurment'!A:R,MATCH(ListOfExpenditure[[#This Row],[Content.contractId]],'Public procurment'!E:E,0),14),0)</f>
        <v>0</v>
      </c>
      <c r="AN143" s="2">
        <f>IF(AND(ListOfExpenditure[[#This Row],[Contract amount]]&gt;10000,ListOfExpenditure[[#This Row],[Content.declaredAmount]]&gt;2000),1,0)</f>
        <v>0</v>
      </c>
      <c r="AO143">
        <f>IFERROR(INDEX('Public procurment'!A:S,MATCH(ListOfExpenditure[[#This Row],[Content.contractId]],'Public procurment'!E:E,0),19),0)</f>
        <v>0</v>
      </c>
      <c r="AP143">
        <f>IF(ListOfExpenditure[[#This Row],[Numero di volte controllato il contract ]]&gt;0,0,ListOfExpenditure[[#This Row],[IF public procurment &gt;10000;1;0]])</f>
        <v>0</v>
      </c>
    </row>
    <row r="144" spans="1:42" x14ac:dyDescent="0.25">
      <c r="A144">
        <v>1540</v>
      </c>
      <c r="B144">
        <v>10</v>
      </c>
      <c r="D144">
        <v>94</v>
      </c>
      <c r="E144" t="s">
        <v>4786</v>
      </c>
      <c r="F144" t="b">
        <v>0</v>
      </c>
      <c r="M144" t="s">
        <v>4788</v>
      </c>
      <c r="N144" t="s">
        <v>4788</v>
      </c>
      <c r="Q144">
        <v>70</v>
      </c>
      <c r="R144">
        <v>18</v>
      </c>
      <c r="S144">
        <v>1260</v>
      </c>
      <c r="T144" t="s">
        <v>4789</v>
      </c>
      <c r="U144">
        <v>1</v>
      </c>
      <c r="V144">
        <v>1260</v>
      </c>
      <c r="W144" t="s">
        <v>4343</v>
      </c>
      <c r="Y144" t="b">
        <v>1</v>
      </c>
      <c r="Z144" t="b">
        <v>0</v>
      </c>
      <c r="AA144">
        <v>1260</v>
      </c>
      <c r="AB144">
        <v>0</v>
      </c>
      <c r="AD144" t="b">
        <v>0</v>
      </c>
      <c r="AG144" s="1" t="s">
        <v>337</v>
      </c>
      <c r="AH144" s="1" t="s">
        <v>307</v>
      </c>
      <c r="AI144">
        <v>125</v>
      </c>
      <c r="AJ144">
        <v>232</v>
      </c>
      <c r="AK144" s="106">
        <v>45475.635501400466</v>
      </c>
      <c r="AL144" s="1" t="s">
        <v>4790</v>
      </c>
      <c r="AM144" s="42">
        <f>IFERROR(INDEX('Public procurment'!A:R,MATCH(ListOfExpenditure[[#This Row],[Content.contractId]],'Public procurment'!E:E,0),14),0)</f>
        <v>0</v>
      </c>
      <c r="AN144" s="2">
        <f>IF(AND(ListOfExpenditure[[#This Row],[Contract amount]]&gt;10000,ListOfExpenditure[[#This Row],[Content.declaredAmount]]&gt;2000),1,0)</f>
        <v>0</v>
      </c>
      <c r="AO144">
        <f>IFERROR(INDEX('Public procurment'!A:S,MATCH(ListOfExpenditure[[#This Row],[Content.contractId]],'Public procurment'!E:E,0),19),0)</f>
        <v>0</v>
      </c>
      <c r="AP144">
        <f>IF(ListOfExpenditure[[#This Row],[Numero di volte controllato il contract ]]&gt;0,0,ListOfExpenditure[[#This Row],[IF public procurment &gt;10000;1;0]])</f>
        <v>0</v>
      </c>
    </row>
    <row r="145" spans="1:42" x14ac:dyDescent="0.25">
      <c r="A145">
        <v>1546</v>
      </c>
      <c r="B145">
        <v>11</v>
      </c>
      <c r="D145">
        <v>94</v>
      </c>
      <c r="E145" t="s">
        <v>4786</v>
      </c>
      <c r="F145" t="b">
        <v>0</v>
      </c>
      <c r="M145" t="s">
        <v>4788</v>
      </c>
      <c r="N145" t="s">
        <v>4788</v>
      </c>
      <c r="Q145">
        <v>59</v>
      </c>
      <c r="R145">
        <v>18</v>
      </c>
      <c r="S145">
        <v>1062</v>
      </c>
      <c r="T145" t="s">
        <v>4789</v>
      </c>
      <c r="U145">
        <v>1</v>
      </c>
      <c r="V145">
        <v>1062</v>
      </c>
      <c r="W145" t="s">
        <v>4343</v>
      </c>
      <c r="Y145" t="b">
        <v>1</v>
      </c>
      <c r="Z145" t="b">
        <v>0</v>
      </c>
      <c r="AA145">
        <v>1062</v>
      </c>
      <c r="AB145">
        <v>0</v>
      </c>
      <c r="AD145" t="b">
        <v>0</v>
      </c>
      <c r="AG145" s="1" t="s">
        <v>337</v>
      </c>
      <c r="AH145" s="1" t="s">
        <v>307</v>
      </c>
      <c r="AI145">
        <v>125</v>
      </c>
      <c r="AJ145">
        <v>232</v>
      </c>
      <c r="AK145" s="106">
        <v>45475.635501400466</v>
      </c>
      <c r="AL145" s="1" t="s">
        <v>4790</v>
      </c>
      <c r="AM145" s="42">
        <f>IFERROR(INDEX('Public procurment'!A:R,MATCH(ListOfExpenditure[[#This Row],[Content.contractId]],'Public procurment'!E:E,0),14),0)</f>
        <v>0</v>
      </c>
      <c r="AN145" s="2">
        <f>IF(AND(ListOfExpenditure[[#This Row],[Contract amount]]&gt;10000,ListOfExpenditure[[#This Row],[Content.declaredAmount]]&gt;2000),1,0)</f>
        <v>0</v>
      </c>
      <c r="AO145">
        <f>IFERROR(INDEX('Public procurment'!A:S,MATCH(ListOfExpenditure[[#This Row],[Content.contractId]],'Public procurment'!E:E,0),19),0)</f>
        <v>0</v>
      </c>
      <c r="AP145">
        <f>IF(ListOfExpenditure[[#This Row],[Numero di volte controllato il contract ]]&gt;0,0,ListOfExpenditure[[#This Row],[IF public procurment &gt;10000;1;0]])</f>
        <v>0</v>
      </c>
    </row>
    <row r="146" spans="1:42" x14ac:dyDescent="0.25">
      <c r="A146">
        <v>1547</v>
      </c>
      <c r="B146">
        <v>12</v>
      </c>
      <c r="D146">
        <v>94</v>
      </c>
      <c r="E146" t="s">
        <v>4786</v>
      </c>
      <c r="F146" t="b">
        <v>0</v>
      </c>
      <c r="M146" t="s">
        <v>4788</v>
      </c>
      <c r="N146" t="s">
        <v>4788</v>
      </c>
      <c r="Q146">
        <v>80</v>
      </c>
      <c r="R146">
        <v>18</v>
      </c>
      <c r="S146">
        <v>1440</v>
      </c>
      <c r="T146" t="s">
        <v>4789</v>
      </c>
      <c r="U146">
        <v>1</v>
      </c>
      <c r="V146">
        <v>1440</v>
      </c>
      <c r="W146" t="s">
        <v>4343</v>
      </c>
      <c r="Y146" t="b">
        <v>1</v>
      </c>
      <c r="Z146" t="b">
        <v>0</v>
      </c>
      <c r="AA146">
        <v>1440</v>
      </c>
      <c r="AB146">
        <v>0</v>
      </c>
      <c r="AD146" t="b">
        <v>0</v>
      </c>
      <c r="AG146" s="1" t="s">
        <v>337</v>
      </c>
      <c r="AH146" s="1" t="s">
        <v>307</v>
      </c>
      <c r="AI146">
        <v>125</v>
      </c>
      <c r="AJ146">
        <v>232</v>
      </c>
      <c r="AK146" s="106">
        <v>45475.635501400466</v>
      </c>
      <c r="AL146" s="1" t="s">
        <v>4790</v>
      </c>
      <c r="AM146" s="42">
        <f>IFERROR(INDEX('Public procurment'!A:R,MATCH(ListOfExpenditure[[#This Row],[Content.contractId]],'Public procurment'!E:E,0),14),0)</f>
        <v>0</v>
      </c>
      <c r="AN146" s="2">
        <f>IF(AND(ListOfExpenditure[[#This Row],[Contract amount]]&gt;10000,ListOfExpenditure[[#This Row],[Content.declaredAmount]]&gt;2000),1,0)</f>
        <v>0</v>
      </c>
      <c r="AO146">
        <f>IFERROR(INDEX('Public procurment'!A:S,MATCH(ListOfExpenditure[[#This Row],[Content.contractId]],'Public procurment'!E:E,0),19),0)</f>
        <v>0</v>
      </c>
      <c r="AP146">
        <f>IF(ListOfExpenditure[[#This Row],[Numero di volte controllato il contract ]]&gt;0,0,ListOfExpenditure[[#This Row],[IF public procurment &gt;10000;1;0]])</f>
        <v>0</v>
      </c>
    </row>
    <row r="147" spans="1:42" x14ac:dyDescent="0.25">
      <c r="A147">
        <v>910</v>
      </c>
      <c r="B147">
        <v>1</v>
      </c>
      <c r="E147" t="s">
        <v>4786</v>
      </c>
      <c r="F147" t="b">
        <v>0</v>
      </c>
      <c r="I147" t="s">
        <v>4984</v>
      </c>
      <c r="K147" t="s">
        <v>4678</v>
      </c>
      <c r="L147" t="s">
        <v>4835</v>
      </c>
      <c r="M147" t="s">
        <v>4788</v>
      </c>
      <c r="N147" t="s">
        <v>4788</v>
      </c>
      <c r="O147">
        <v>1819.9</v>
      </c>
      <c r="Q147">
        <v>0</v>
      </c>
      <c r="R147">
        <v>0</v>
      </c>
      <c r="S147">
        <v>1520.16</v>
      </c>
      <c r="T147" t="s">
        <v>4789</v>
      </c>
      <c r="U147">
        <v>1</v>
      </c>
      <c r="V147">
        <v>1520.16</v>
      </c>
      <c r="W147" t="s">
        <v>4343</v>
      </c>
      <c r="Y147" t="b">
        <v>1</v>
      </c>
      <c r="Z147" t="b">
        <v>0</v>
      </c>
      <c r="AA147">
        <v>0</v>
      </c>
      <c r="AB147">
        <v>1520.16</v>
      </c>
      <c r="AC147">
        <v>13</v>
      </c>
      <c r="AD147" t="b">
        <v>0</v>
      </c>
      <c r="AF147" t="s">
        <v>4985</v>
      </c>
      <c r="AG147" s="1" t="s">
        <v>337</v>
      </c>
      <c r="AH147" s="1" t="s">
        <v>340</v>
      </c>
      <c r="AI147">
        <v>123</v>
      </c>
      <c r="AJ147">
        <v>141</v>
      </c>
      <c r="AK147" s="106">
        <v>45475.635494502312</v>
      </c>
      <c r="AL147" s="1" t="s">
        <v>4790</v>
      </c>
      <c r="AM147" s="42">
        <f>IFERROR(INDEX('Public procurment'!A:R,MATCH(ListOfExpenditure[[#This Row],[Content.contractId]],'Public procurment'!E:E,0),14),0)</f>
        <v>0</v>
      </c>
      <c r="AN147" s="2">
        <f>IF(AND(ListOfExpenditure[[#This Row],[Contract amount]]&gt;10000,ListOfExpenditure[[#This Row],[Content.declaredAmount]]&gt;2000),1,0)</f>
        <v>0</v>
      </c>
      <c r="AO147">
        <f>IFERROR(INDEX('Public procurment'!A:S,MATCH(ListOfExpenditure[[#This Row],[Content.contractId]],'Public procurment'!E:E,0),19),0)</f>
        <v>0</v>
      </c>
      <c r="AP147">
        <f>IF(ListOfExpenditure[[#This Row],[Numero di volte controllato il contract ]]&gt;0,0,ListOfExpenditure[[#This Row],[IF public procurment &gt;10000;1;0]])</f>
        <v>0</v>
      </c>
    </row>
    <row r="148" spans="1:42" x14ac:dyDescent="0.25">
      <c r="A148">
        <v>911</v>
      </c>
      <c r="B148">
        <v>2</v>
      </c>
      <c r="E148" t="s">
        <v>4786</v>
      </c>
      <c r="F148" t="b">
        <v>0</v>
      </c>
      <c r="I148" t="s">
        <v>4986</v>
      </c>
      <c r="K148" t="s">
        <v>4678</v>
      </c>
      <c r="L148" t="s">
        <v>4835</v>
      </c>
      <c r="M148" t="s">
        <v>4788</v>
      </c>
      <c r="N148" t="s">
        <v>4788</v>
      </c>
      <c r="O148">
        <v>736.86</v>
      </c>
      <c r="Q148">
        <v>0</v>
      </c>
      <c r="R148">
        <v>0</v>
      </c>
      <c r="S148">
        <v>433.42</v>
      </c>
      <c r="T148" t="s">
        <v>4789</v>
      </c>
      <c r="U148">
        <v>1</v>
      </c>
      <c r="V148">
        <v>433.42</v>
      </c>
      <c r="W148" t="s">
        <v>4343</v>
      </c>
      <c r="Y148" t="b">
        <v>1</v>
      </c>
      <c r="Z148" t="b">
        <v>0</v>
      </c>
      <c r="AA148">
        <v>0</v>
      </c>
      <c r="AB148">
        <v>433.42</v>
      </c>
      <c r="AC148">
        <v>13</v>
      </c>
      <c r="AD148" t="b">
        <v>0</v>
      </c>
      <c r="AF148" t="s">
        <v>4987</v>
      </c>
      <c r="AG148" s="1" t="s">
        <v>337</v>
      </c>
      <c r="AH148" s="1" t="s">
        <v>340</v>
      </c>
      <c r="AI148">
        <v>123</v>
      </c>
      <c r="AJ148">
        <v>141</v>
      </c>
      <c r="AK148" s="106">
        <v>45475.635494502312</v>
      </c>
      <c r="AL148" s="1" t="s">
        <v>4790</v>
      </c>
      <c r="AM148" s="42">
        <f>IFERROR(INDEX('Public procurment'!A:R,MATCH(ListOfExpenditure[[#This Row],[Content.contractId]],'Public procurment'!E:E,0),14),0)</f>
        <v>0</v>
      </c>
      <c r="AN148" s="2">
        <f>IF(AND(ListOfExpenditure[[#This Row],[Contract amount]]&gt;10000,ListOfExpenditure[[#This Row],[Content.declaredAmount]]&gt;2000),1,0)</f>
        <v>0</v>
      </c>
      <c r="AO148">
        <f>IFERROR(INDEX('Public procurment'!A:S,MATCH(ListOfExpenditure[[#This Row],[Content.contractId]],'Public procurment'!E:E,0),19),0)</f>
        <v>0</v>
      </c>
      <c r="AP148">
        <f>IF(ListOfExpenditure[[#This Row],[Numero di volte controllato il contract ]]&gt;0,0,ListOfExpenditure[[#This Row],[IF public procurment &gt;10000;1;0]])</f>
        <v>0</v>
      </c>
    </row>
    <row r="149" spans="1:42" x14ac:dyDescent="0.25">
      <c r="A149">
        <v>593</v>
      </c>
      <c r="B149">
        <v>1</v>
      </c>
      <c r="C149">
        <v>13</v>
      </c>
      <c r="E149" t="s">
        <v>4893</v>
      </c>
      <c r="F149" t="b">
        <v>0</v>
      </c>
      <c r="M149" t="s">
        <v>4788</v>
      </c>
      <c r="N149" t="s">
        <v>4788</v>
      </c>
      <c r="Q149">
        <v>1</v>
      </c>
      <c r="R149">
        <v>9000</v>
      </c>
      <c r="S149">
        <v>9000</v>
      </c>
      <c r="T149" t="s">
        <v>4789</v>
      </c>
      <c r="U149">
        <v>1</v>
      </c>
      <c r="V149">
        <v>9000</v>
      </c>
      <c r="W149" t="s">
        <v>4343</v>
      </c>
      <c r="Y149" t="b">
        <v>1</v>
      </c>
      <c r="Z149" t="b">
        <v>0</v>
      </c>
      <c r="AA149">
        <v>9000</v>
      </c>
      <c r="AB149">
        <v>0</v>
      </c>
      <c r="AD149" t="b">
        <v>0</v>
      </c>
      <c r="AG149" s="1" t="s">
        <v>337</v>
      </c>
      <c r="AH149" s="1" t="s">
        <v>292</v>
      </c>
      <c r="AI149">
        <v>122</v>
      </c>
      <c r="AJ149">
        <v>22</v>
      </c>
      <c r="AK149" s="106">
        <v>45475.635510138891</v>
      </c>
      <c r="AL149" s="1" t="s">
        <v>4790</v>
      </c>
      <c r="AM149" s="42">
        <f>IFERROR(INDEX('Public procurment'!A:R,MATCH(ListOfExpenditure[[#This Row],[Content.contractId]],'Public procurment'!E:E,0),14),0)</f>
        <v>0</v>
      </c>
      <c r="AN149" s="2">
        <f>IF(AND(ListOfExpenditure[[#This Row],[Contract amount]]&gt;10000,ListOfExpenditure[[#This Row],[Content.declaredAmount]]&gt;2000),1,0)</f>
        <v>0</v>
      </c>
      <c r="AO149">
        <f>IFERROR(INDEX('Public procurment'!A:S,MATCH(ListOfExpenditure[[#This Row],[Content.contractId]],'Public procurment'!E:E,0),19),0)</f>
        <v>0</v>
      </c>
      <c r="AP149">
        <f>IF(ListOfExpenditure[[#This Row],[Numero di volte controllato il contract ]]&gt;0,0,ListOfExpenditure[[#This Row],[IF public procurment &gt;10000;1;0]])</f>
        <v>0</v>
      </c>
    </row>
    <row r="150" spans="1:42" x14ac:dyDescent="0.25">
      <c r="A150">
        <v>594</v>
      </c>
      <c r="B150">
        <v>2</v>
      </c>
      <c r="E150" t="s">
        <v>4786</v>
      </c>
      <c r="F150" t="b">
        <v>1</v>
      </c>
      <c r="I150" t="s">
        <v>212</v>
      </c>
      <c r="M150" t="s">
        <v>4788</v>
      </c>
      <c r="N150" t="s">
        <v>4788</v>
      </c>
      <c r="O150">
        <v>39492.910000000003</v>
      </c>
      <c r="Q150">
        <v>0</v>
      </c>
      <c r="R150">
        <v>0</v>
      </c>
      <c r="S150">
        <v>4146.76</v>
      </c>
      <c r="T150" t="s">
        <v>4789</v>
      </c>
      <c r="U150">
        <v>1</v>
      </c>
      <c r="V150">
        <v>4146.76</v>
      </c>
      <c r="W150" t="s">
        <v>4343</v>
      </c>
      <c r="Y150" t="b">
        <v>1</v>
      </c>
      <c r="Z150" t="b">
        <v>0</v>
      </c>
      <c r="AA150">
        <v>4146.76</v>
      </c>
      <c r="AB150">
        <v>0</v>
      </c>
      <c r="AD150" t="b">
        <v>0</v>
      </c>
      <c r="AG150" s="1" t="s">
        <v>337</v>
      </c>
      <c r="AH150" s="1" t="s">
        <v>292</v>
      </c>
      <c r="AI150">
        <v>122</v>
      </c>
      <c r="AJ150">
        <v>22</v>
      </c>
      <c r="AK150" s="106">
        <v>45475.635510138891</v>
      </c>
      <c r="AL150" s="1" t="s">
        <v>4790</v>
      </c>
      <c r="AM150" s="42">
        <f>IFERROR(INDEX('Public procurment'!A:R,MATCH(ListOfExpenditure[[#This Row],[Content.contractId]],'Public procurment'!E:E,0),14),0)</f>
        <v>0</v>
      </c>
      <c r="AN150" s="2">
        <f>IF(AND(ListOfExpenditure[[#This Row],[Contract amount]]&gt;10000,ListOfExpenditure[[#This Row],[Content.declaredAmount]]&gt;2000),1,0)</f>
        <v>0</v>
      </c>
      <c r="AO150">
        <f>IFERROR(INDEX('Public procurment'!A:S,MATCH(ListOfExpenditure[[#This Row],[Content.contractId]],'Public procurment'!E:E,0),19),0)</f>
        <v>0</v>
      </c>
      <c r="AP150">
        <f>IF(ListOfExpenditure[[#This Row],[Numero di volte controllato il contract ]]&gt;0,0,ListOfExpenditure[[#This Row],[IF public procurment &gt;10000;1;0]])</f>
        <v>0</v>
      </c>
    </row>
    <row r="151" spans="1:42" x14ac:dyDescent="0.25">
      <c r="A151">
        <v>595</v>
      </c>
      <c r="B151">
        <v>3</v>
      </c>
      <c r="E151" t="s">
        <v>4850</v>
      </c>
      <c r="F151" t="b">
        <v>0</v>
      </c>
      <c r="H151">
        <v>109</v>
      </c>
      <c r="I151" t="s">
        <v>5956</v>
      </c>
      <c r="J151" t="s">
        <v>6237</v>
      </c>
      <c r="K151" t="s">
        <v>5247</v>
      </c>
      <c r="L151" t="s">
        <v>6238</v>
      </c>
      <c r="M151" t="s">
        <v>4788</v>
      </c>
      <c r="N151" t="s">
        <v>4788</v>
      </c>
      <c r="O151">
        <v>3725.88</v>
      </c>
      <c r="P151">
        <v>671.88</v>
      </c>
      <c r="Q151">
        <v>0</v>
      </c>
      <c r="R151">
        <v>0</v>
      </c>
      <c r="S151">
        <v>3725.88</v>
      </c>
      <c r="T151" t="s">
        <v>4789</v>
      </c>
      <c r="U151">
        <v>1</v>
      </c>
      <c r="V151">
        <v>3725.88</v>
      </c>
      <c r="W151" t="s">
        <v>4343</v>
      </c>
      <c r="Y151" t="b">
        <v>1</v>
      </c>
      <c r="Z151" t="b">
        <v>0</v>
      </c>
      <c r="AA151">
        <v>3725.88</v>
      </c>
      <c r="AB151">
        <v>0</v>
      </c>
      <c r="AD151" t="b">
        <v>0</v>
      </c>
      <c r="AG151" s="1" t="s">
        <v>337</v>
      </c>
      <c r="AH151" s="1" t="s">
        <v>292</v>
      </c>
      <c r="AI151">
        <v>122</v>
      </c>
      <c r="AJ151">
        <v>22</v>
      </c>
      <c r="AK151" s="106">
        <v>45475.635510138891</v>
      </c>
      <c r="AL151" s="1" t="s">
        <v>4790</v>
      </c>
      <c r="AM151" s="42">
        <f>IFERROR(INDEX('Public procurment'!A:R,MATCH(ListOfExpenditure[[#This Row],[Content.contractId]],'Public procurment'!E:E,0),14),0)</f>
        <v>3054</v>
      </c>
      <c r="AN151" s="2">
        <f>IF(AND(ListOfExpenditure[[#This Row],[Contract amount]]&gt;10000,ListOfExpenditure[[#This Row],[Content.declaredAmount]]&gt;2000),1,0)</f>
        <v>0</v>
      </c>
      <c r="AO151">
        <f>IFERROR(INDEX('Public procurment'!A:S,MATCH(ListOfExpenditure[[#This Row],[Content.contractId]],'Public procurment'!E:E,0),19),0)</f>
        <v>1</v>
      </c>
      <c r="AP151">
        <f>IF(ListOfExpenditure[[#This Row],[Numero di volte controllato il contract ]]&gt;0,0,ListOfExpenditure[[#This Row],[IF public procurment &gt;10000;1;0]])</f>
        <v>0</v>
      </c>
    </row>
    <row r="152" spans="1:42" x14ac:dyDescent="0.25">
      <c r="A152">
        <v>1524</v>
      </c>
      <c r="B152">
        <v>4</v>
      </c>
      <c r="E152" t="s">
        <v>4786</v>
      </c>
      <c r="F152" t="b">
        <v>1</v>
      </c>
      <c r="I152" t="s">
        <v>212</v>
      </c>
      <c r="M152" t="s">
        <v>4788</v>
      </c>
      <c r="N152" t="s">
        <v>4788</v>
      </c>
      <c r="O152">
        <v>108999.67999999999</v>
      </c>
      <c r="Q152">
        <v>0</v>
      </c>
      <c r="R152">
        <v>0</v>
      </c>
      <c r="S152">
        <v>9264.9699999999993</v>
      </c>
      <c r="T152" t="s">
        <v>4789</v>
      </c>
      <c r="U152">
        <v>1</v>
      </c>
      <c r="V152">
        <v>9264.9699999999993</v>
      </c>
      <c r="W152" t="s">
        <v>4343</v>
      </c>
      <c r="Y152" t="b">
        <v>1</v>
      </c>
      <c r="Z152" t="b">
        <v>0</v>
      </c>
      <c r="AA152">
        <v>9264.9699999999993</v>
      </c>
      <c r="AB152">
        <v>0</v>
      </c>
      <c r="AD152" t="b">
        <v>0</v>
      </c>
      <c r="AG152" s="1" t="s">
        <v>337</v>
      </c>
      <c r="AH152" s="1" t="s">
        <v>292</v>
      </c>
      <c r="AI152">
        <v>122</v>
      </c>
      <c r="AJ152">
        <v>22</v>
      </c>
      <c r="AK152" s="106">
        <v>45475.635510138891</v>
      </c>
      <c r="AL152" s="1" t="s">
        <v>4790</v>
      </c>
      <c r="AM152" s="42">
        <f>IFERROR(INDEX('Public procurment'!A:R,MATCH(ListOfExpenditure[[#This Row],[Content.contractId]],'Public procurment'!E:E,0),14),0)</f>
        <v>0</v>
      </c>
      <c r="AN152" s="2">
        <f>IF(AND(ListOfExpenditure[[#This Row],[Contract amount]]&gt;10000,ListOfExpenditure[[#This Row],[Content.declaredAmount]]&gt;2000),1,0)</f>
        <v>0</v>
      </c>
      <c r="AO152">
        <f>IFERROR(INDEX('Public procurment'!A:S,MATCH(ListOfExpenditure[[#This Row],[Content.contractId]],'Public procurment'!E:E,0),19),0)</f>
        <v>0</v>
      </c>
      <c r="AP152">
        <f>IF(ListOfExpenditure[[#This Row],[Numero di volte controllato il contract ]]&gt;0,0,ListOfExpenditure[[#This Row],[IF public procurment &gt;10000;1;0]])</f>
        <v>0</v>
      </c>
    </row>
    <row r="153" spans="1:42" x14ac:dyDescent="0.25">
      <c r="A153">
        <v>1525</v>
      </c>
      <c r="B153">
        <v>5</v>
      </c>
      <c r="E153" t="s">
        <v>4786</v>
      </c>
      <c r="F153" t="b">
        <v>1</v>
      </c>
      <c r="I153" t="s">
        <v>212</v>
      </c>
      <c r="M153" t="s">
        <v>4788</v>
      </c>
      <c r="N153" t="s">
        <v>4788</v>
      </c>
      <c r="O153">
        <v>34237.64</v>
      </c>
      <c r="Q153">
        <v>0</v>
      </c>
      <c r="R153">
        <v>0</v>
      </c>
      <c r="S153">
        <v>1711.88</v>
      </c>
      <c r="T153" t="s">
        <v>4789</v>
      </c>
      <c r="U153">
        <v>1</v>
      </c>
      <c r="V153">
        <v>1711.88</v>
      </c>
      <c r="W153" t="s">
        <v>4343</v>
      </c>
      <c r="Y153" t="b">
        <v>1</v>
      </c>
      <c r="Z153" t="b">
        <v>0</v>
      </c>
      <c r="AA153">
        <v>1711.88</v>
      </c>
      <c r="AB153">
        <v>0</v>
      </c>
      <c r="AD153" t="b">
        <v>0</v>
      </c>
      <c r="AG153" s="1" t="s">
        <v>337</v>
      </c>
      <c r="AH153" s="1" t="s">
        <v>292</v>
      </c>
      <c r="AI153">
        <v>122</v>
      </c>
      <c r="AJ153">
        <v>22</v>
      </c>
      <c r="AK153" s="106">
        <v>45475.635510138891</v>
      </c>
      <c r="AL153" s="1" t="s">
        <v>4790</v>
      </c>
      <c r="AM153" s="42">
        <f>IFERROR(INDEX('Public procurment'!A:R,MATCH(ListOfExpenditure[[#This Row],[Content.contractId]],'Public procurment'!E:E,0),14),0)</f>
        <v>0</v>
      </c>
      <c r="AN153" s="2">
        <f>IF(AND(ListOfExpenditure[[#This Row],[Contract amount]]&gt;10000,ListOfExpenditure[[#This Row],[Content.declaredAmount]]&gt;2000),1,0)</f>
        <v>0</v>
      </c>
      <c r="AO153">
        <f>IFERROR(INDEX('Public procurment'!A:S,MATCH(ListOfExpenditure[[#This Row],[Content.contractId]],'Public procurment'!E:E,0),19),0)</f>
        <v>0</v>
      </c>
      <c r="AP153">
        <f>IF(ListOfExpenditure[[#This Row],[Numero di volte controllato il contract ]]&gt;0,0,ListOfExpenditure[[#This Row],[IF public procurment &gt;10000;1;0]])</f>
        <v>0</v>
      </c>
    </row>
    <row r="154" spans="1:42" x14ac:dyDescent="0.25">
      <c r="A154">
        <v>1526</v>
      </c>
      <c r="B154">
        <v>6</v>
      </c>
      <c r="E154" t="s">
        <v>4850</v>
      </c>
      <c r="F154" t="b">
        <v>0</v>
      </c>
      <c r="H154">
        <v>219</v>
      </c>
      <c r="I154" t="s">
        <v>6239</v>
      </c>
      <c r="J154" t="s">
        <v>6240</v>
      </c>
      <c r="K154" t="s">
        <v>5480</v>
      </c>
      <c r="L154" t="s">
        <v>4348</v>
      </c>
      <c r="M154" t="s">
        <v>4788</v>
      </c>
      <c r="N154" t="s">
        <v>4788</v>
      </c>
      <c r="O154">
        <v>854</v>
      </c>
      <c r="P154">
        <v>154</v>
      </c>
      <c r="Q154">
        <v>0</v>
      </c>
      <c r="R154">
        <v>0</v>
      </c>
      <c r="S154">
        <v>854</v>
      </c>
      <c r="T154" t="s">
        <v>4789</v>
      </c>
      <c r="U154">
        <v>1</v>
      </c>
      <c r="V154">
        <v>854</v>
      </c>
      <c r="W154" t="s">
        <v>4343</v>
      </c>
      <c r="Y154" t="b">
        <v>1</v>
      </c>
      <c r="Z154" t="b">
        <v>0</v>
      </c>
      <c r="AA154">
        <v>854</v>
      </c>
      <c r="AB154">
        <v>0</v>
      </c>
      <c r="AD154" t="b">
        <v>0</v>
      </c>
      <c r="AG154" s="1" t="s">
        <v>337</v>
      </c>
      <c r="AH154" s="1" t="s">
        <v>292</v>
      </c>
      <c r="AI154">
        <v>122</v>
      </c>
      <c r="AJ154">
        <v>22</v>
      </c>
      <c r="AK154" s="106">
        <v>45475.635510138891</v>
      </c>
      <c r="AL154" s="1" t="s">
        <v>4790</v>
      </c>
      <c r="AM154" s="42">
        <f>IFERROR(INDEX('Public procurment'!A:R,MATCH(ListOfExpenditure[[#This Row],[Content.contractId]],'Public procurment'!E:E,0),14),0)</f>
        <v>700</v>
      </c>
      <c r="AN154" s="2">
        <f>IF(AND(ListOfExpenditure[[#This Row],[Contract amount]]&gt;10000,ListOfExpenditure[[#This Row],[Content.declaredAmount]]&gt;2000),1,0)</f>
        <v>0</v>
      </c>
      <c r="AO154">
        <f>IFERROR(INDEX('Public procurment'!A:S,MATCH(ListOfExpenditure[[#This Row],[Content.contractId]],'Public procurment'!E:E,0),19),0)</f>
        <v>1</v>
      </c>
      <c r="AP154">
        <f>IF(ListOfExpenditure[[#This Row],[Numero di volte controllato il contract ]]&gt;0,0,ListOfExpenditure[[#This Row],[IF public procurment &gt;10000;1;0]])</f>
        <v>0</v>
      </c>
    </row>
    <row r="155" spans="1:42" x14ac:dyDescent="0.25">
      <c r="A155">
        <v>1029</v>
      </c>
      <c r="B155">
        <v>1</v>
      </c>
      <c r="C155">
        <v>175</v>
      </c>
      <c r="E155" t="s">
        <v>4893</v>
      </c>
      <c r="F155" t="b">
        <v>0</v>
      </c>
      <c r="M155" t="s">
        <v>4788</v>
      </c>
      <c r="N155" t="s">
        <v>4788</v>
      </c>
      <c r="Q155">
        <v>1</v>
      </c>
      <c r="R155">
        <v>9000</v>
      </c>
      <c r="S155">
        <v>9000</v>
      </c>
      <c r="T155" t="s">
        <v>4789</v>
      </c>
      <c r="U155">
        <v>1</v>
      </c>
      <c r="V155">
        <v>9000</v>
      </c>
      <c r="W155" t="s">
        <v>4343</v>
      </c>
      <c r="Y155" t="b">
        <v>1</v>
      </c>
      <c r="Z155" t="b">
        <v>0</v>
      </c>
      <c r="AA155">
        <v>9000</v>
      </c>
      <c r="AB155">
        <v>0</v>
      </c>
      <c r="AD155" t="b">
        <v>0</v>
      </c>
      <c r="AG155" s="1" t="s">
        <v>357</v>
      </c>
      <c r="AH155" s="1" t="s">
        <v>358</v>
      </c>
      <c r="AI155">
        <v>160</v>
      </c>
      <c r="AJ155">
        <v>225</v>
      </c>
      <c r="AK155" s="106">
        <v>45475.63549876157</v>
      </c>
      <c r="AL155" s="1" t="s">
        <v>4790</v>
      </c>
      <c r="AM155" s="42">
        <f>IFERROR(INDEX('Public procurment'!A:R,MATCH(ListOfExpenditure[[#This Row],[Content.contractId]],'Public procurment'!E:E,0),14),0)</f>
        <v>0</v>
      </c>
      <c r="AN155" s="2">
        <f>IF(AND(ListOfExpenditure[[#This Row],[Contract amount]]&gt;10000,ListOfExpenditure[[#This Row],[Content.declaredAmount]]&gt;2000),1,0)</f>
        <v>0</v>
      </c>
      <c r="AO155">
        <f>IFERROR(INDEX('Public procurment'!A:S,MATCH(ListOfExpenditure[[#This Row],[Content.contractId]],'Public procurment'!E:E,0),19),0)</f>
        <v>0</v>
      </c>
      <c r="AP155">
        <f>IF(ListOfExpenditure[[#This Row],[Numero di volte controllato il contract ]]&gt;0,0,ListOfExpenditure[[#This Row],[IF public procurment &gt;10000;1;0]])</f>
        <v>0</v>
      </c>
    </row>
    <row r="156" spans="1:42" x14ac:dyDescent="0.25">
      <c r="A156">
        <v>1030</v>
      </c>
      <c r="B156">
        <v>2</v>
      </c>
      <c r="D156">
        <v>84</v>
      </c>
      <c r="E156" t="s">
        <v>4786</v>
      </c>
      <c r="F156" t="b">
        <v>0</v>
      </c>
      <c r="M156" t="s">
        <v>4788</v>
      </c>
      <c r="N156" t="s">
        <v>4788</v>
      </c>
      <c r="Q156">
        <v>69</v>
      </c>
      <c r="R156">
        <v>27</v>
      </c>
      <c r="S156">
        <v>1863</v>
      </c>
      <c r="T156" t="s">
        <v>4789</v>
      </c>
      <c r="U156">
        <v>1</v>
      </c>
      <c r="V156">
        <v>1863</v>
      </c>
      <c r="W156" t="s">
        <v>4343</v>
      </c>
      <c r="Y156" t="b">
        <v>1</v>
      </c>
      <c r="Z156" t="b">
        <v>0</v>
      </c>
      <c r="AA156">
        <v>1863</v>
      </c>
      <c r="AB156">
        <v>0</v>
      </c>
      <c r="AD156" t="b">
        <v>0</v>
      </c>
      <c r="AF156" t="s">
        <v>4988</v>
      </c>
      <c r="AG156" s="1" t="s">
        <v>357</v>
      </c>
      <c r="AH156" s="1" t="s">
        <v>358</v>
      </c>
      <c r="AI156">
        <v>160</v>
      </c>
      <c r="AJ156">
        <v>225</v>
      </c>
      <c r="AK156" s="106">
        <v>45475.63549876157</v>
      </c>
      <c r="AL156" s="1" t="s">
        <v>4790</v>
      </c>
      <c r="AM156" s="42">
        <f>IFERROR(INDEX('Public procurment'!A:R,MATCH(ListOfExpenditure[[#This Row],[Content.contractId]],'Public procurment'!E:E,0),14),0)</f>
        <v>0</v>
      </c>
      <c r="AN156" s="2">
        <f>IF(AND(ListOfExpenditure[[#This Row],[Contract amount]]&gt;10000,ListOfExpenditure[[#This Row],[Content.declaredAmount]]&gt;2000),1,0)</f>
        <v>0</v>
      </c>
      <c r="AO156">
        <f>IFERROR(INDEX('Public procurment'!A:S,MATCH(ListOfExpenditure[[#This Row],[Content.contractId]],'Public procurment'!E:E,0),19),0)</f>
        <v>0</v>
      </c>
      <c r="AP156">
        <f>IF(ListOfExpenditure[[#This Row],[Numero di volte controllato il contract ]]&gt;0,0,ListOfExpenditure[[#This Row],[IF public procurment &gt;10000;1;0]])</f>
        <v>0</v>
      </c>
    </row>
    <row r="157" spans="1:42" x14ac:dyDescent="0.25">
      <c r="A157">
        <v>1031</v>
      </c>
      <c r="B157">
        <v>3</v>
      </c>
      <c r="D157">
        <v>85</v>
      </c>
      <c r="E157" t="s">
        <v>4786</v>
      </c>
      <c r="F157" t="b">
        <v>0</v>
      </c>
      <c r="M157" t="s">
        <v>4788</v>
      </c>
      <c r="N157" t="s">
        <v>4788</v>
      </c>
      <c r="Q157">
        <v>111</v>
      </c>
      <c r="R157">
        <v>38</v>
      </c>
      <c r="S157">
        <v>4218</v>
      </c>
      <c r="T157" t="s">
        <v>4789</v>
      </c>
      <c r="U157">
        <v>1</v>
      </c>
      <c r="V157">
        <v>4218</v>
      </c>
      <c r="W157" t="s">
        <v>4343</v>
      </c>
      <c r="Y157" t="b">
        <v>1</v>
      </c>
      <c r="Z157" t="b">
        <v>0</v>
      </c>
      <c r="AA157">
        <v>4218</v>
      </c>
      <c r="AB157">
        <v>0</v>
      </c>
      <c r="AD157" t="b">
        <v>0</v>
      </c>
      <c r="AF157" t="s">
        <v>4989</v>
      </c>
      <c r="AG157" s="1" t="s">
        <v>357</v>
      </c>
      <c r="AH157" s="1" t="s">
        <v>358</v>
      </c>
      <c r="AI157">
        <v>160</v>
      </c>
      <c r="AJ157">
        <v>225</v>
      </c>
      <c r="AK157" s="106">
        <v>45475.63549876157</v>
      </c>
      <c r="AL157" s="1" t="s">
        <v>4790</v>
      </c>
      <c r="AM157" s="42">
        <f>IFERROR(INDEX('Public procurment'!A:R,MATCH(ListOfExpenditure[[#This Row],[Content.contractId]],'Public procurment'!E:E,0),14),0)</f>
        <v>0</v>
      </c>
      <c r="AN157" s="2">
        <f>IF(AND(ListOfExpenditure[[#This Row],[Contract amount]]&gt;10000,ListOfExpenditure[[#This Row],[Content.declaredAmount]]&gt;2000),1,0)</f>
        <v>0</v>
      </c>
      <c r="AO157">
        <f>IFERROR(INDEX('Public procurment'!A:S,MATCH(ListOfExpenditure[[#This Row],[Content.contractId]],'Public procurment'!E:E,0),19),0)</f>
        <v>0</v>
      </c>
      <c r="AP157">
        <f>IF(ListOfExpenditure[[#This Row],[Numero di volte controllato il contract ]]&gt;0,0,ListOfExpenditure[[#This Row],[IF public procurment &gt;10000;1;0]])</f>
        <v>0</v>
      </c>
    </row>
    <row r="158" spans="1:42" x14ac:dyDescent="0.25">
      <c r="A158">
        <v>1032</v>
      </c>
      <c r="B158">
        <v>4</v>
      </c>
      <c r="D158">
        <v>86</v>
      </c>
      <c r="E158" t="s">
        <v>4786</v>
      </c>
      <c r="F158" t="b">
        <v>0</v>
      </c>
      <c r="M158" t="s">
        <v>4788</v>
      </c>
      <c r="N158" t="s">
        <v>4788</v>
      </c>
      <c r="Q158">
        <v>39</v>
      </c>
      <c r="R158">
        <v>58</v>
      </c>
      <c r="S158">
        <v>2262</v>
      </c>
      <c r="T158" t="s">
        <v>4789</v>
      </c>
      <c r="U158">
        <v>1</v>
      </c>
      <c r="V158">
        <v>2262</v>
      </c>
      <c r="W158" t="s">
        <v>4343</v>
      </c>
      <c r="Y158" t="b">
        <v>1</v>
      </c>
      <c r="Z158" t="b">
        <v>0</v>
      </c>
      <c r="AA158">
        <v>2262</v>
      </c>
      <c r="AB158">
        <v>0</v>
      </c>
      <c r="AD158" t="b">
        <v>0</v>
      </c>
      <c r="AF158" t="s">
        <v>4990</v>
      </c>
      <c r="AG158" s="1" t="s">
        <v>357</v>
      </c>
      <c r="AH158" s="1" t="s">
        <v>358</v>
      </c>
      <c r="AI158">
        <v>160</v>
      </c>
      <c r="AJ158">
        <v>225</v>
      </c>
      <c r="AK158" s="106">
        <v>45475.63549876157</v>
      </c>
      <c r="AL158" s="1" t="s">
        <v>4790</v>
      </c>
      <c r="AM158" s="42">
        <f>IFERROR(INDEX('Public procurment'!A:R,MATCH(ListOfExpenditure[[#This Row],[Content.contractId]],'Public procurment'!E:E,0),14),0)</f>
        <v>0</v>
      </c>
      <c r="AN158" s="2">
        <f>IF(AND(ListOfExpenditure[[#This Row],[Contract amount]]&gt;10000,ListOfExpenditure[[#This Row],[Content.declaredAmount]]&gt;2000),1,0)</f>
        <v>0</v>
      </c>
      <c r="AO158">
        <f>IFERROR(INDEX('Public procurment'!A:S,MATCH(ListOfExpenditure[[#This Row],[Content.contractId]],'Public procurment'!E:E,0),19),0)</f>
        <v>0</v>
      </c>
      <c r="AP158">
        <f>IF(ListOfExpenditure[[#This Row],[Numero di volte controllato il contract ]]&gt;0,0,ListOfExpenditure[[#This Row],[IF public procurment &gt;10000;1;0]])</f>
        <v>0</v>
      </c>
    </row>
    <row r="159" spans="1:42" x14ac:dyDescent="0.25">
      <c r="A159">
        <v>1695</v>
      </c>
      <c r="B159">
        <v>5</v>
      </c>
      <c r="D159">
        <v>84</v>
      </c>
      <c r="E159" t="s">
        <v>4786</v>
      </c>
      <c r="F159" t="b">
        <v>0</v>
      </c>
      <c r="M159" t="s">
        <v>4788</v>
      </c>
      <c r="N159" t="s">
        <v>4788</v>
      </c>
      <c r="Q159">
        <v>6</v>
      </c>
      <c r="R159">
        <v>27</v>
      </c>
      <c r="S159">
        <v>162</v>
      </c>
      <c r="T159" t="s">
        <v>4789</v>
      </c>
      <c r="U159">
        <v>1</v>
      </c>
      <c r="V159">
        <v>162</v>
      </c>
      <c r="W159" t="s">
        <v>4343</v>
      </c>
      <c r="Y159" t="b">
        <v>1</v>
      </c>
      <c r="Z159" t="b">
        <v>0</v>
      </c>
      <c r="AA159">
        <v>162</v>
      </c>
      <c r="AB159">
        <v>0</v>
      </c>
      <c r="AD159" t="b">
        <v>0</v>
      </c>
      <c r="AF159" t="s">
        <v>4991</v>
      </c>
      <c r="AG159" s="1" t="s">
        <v>357</v>
      </c>
      <c r="AH159" s="1" t="s">
        <v>358</v>
      </c>
      <c r="AI159">
        <v>160</v>
      </c>
      <c r="AJ159">
        <v>225</v>
      </c>
      <c r="AK159" s="106">
        <v>45475.63549876157</v>
      </c>
      <c r="AL159" s="1" t="s">
        <v>4790</v>
      </c>
      <c r="AM159" s="42">
        <f>IFERROR(INDEX('Public procurment'!A:R,MATCH(ListOfExpenditure[[#This Row],[Content.contractId]],'Public procurment'!E:E,0),14),0)</f>
        <v>0</v>
      </c>
      <c r="AN159" s="2">
        <f>IF(AND(ListOfExpenditure[[#This Row],[Contract amount]]&gt;10000,ListOfExpenditure[[#This Row],[Content.declaredAmount]]&gt;2000),1,0)</f>
        <v>0</v>
      </c>
      <c r="AO159">
        <f>IFERROR(INDEX('Public procurment'!A:S,MATCH(ListOfExpenditure[[#This Row],[Content.contractId]],'Public procurment'!E:E,0),19),0)</f>
        <v>0</v>
      </c>
      <c r="AP159">
        <f>IF(ListOfExpenditure[[#This Row],[Numero di volte controllato il contract ]]&gt;0,0,ListOfExpenditure[[#This Row],[IF public procurment &gt;10000;1;0]])</f>
        <v>0</v>
      </c>
    </row>
    <row r="160" spans="1:42" x14ac:dyDescent="0.25">
      <c r="A160">
        <v>1696</v>
      </c>
      <c r="B160">
        <v>6</v>
      </c>
      <c r="D160">
        <v>84</v>
      </c>
      <c r="E160" t="s">
        <v>4786</v>
      </c>
      <c r="F160" t="b">
        <v>0</v>
      </c>
      <c r="M160" t="s">
        <v>4788</v>
      </c>
      <c r="N160" t="s">
        <v>4788</v>
      </c>
      <c r="Q160">
        <v>68</v>
      </c>
      <c r="R160">
        <v>27</v>
      </c>
      <c r="S160">
        <v>1836</v>
      </c>
      <c r="T160" t="s">
        <v>4789</v>
      </c>
      <c r="U160">
        <v>1</v>
      </c>
      <c r="V160">
        <v>1836</v>
      </c>
      <c r="W160" t="s">
        <v>4343</v>
      </c>
      <c r="Y160" t="b">
        <v>1</v>
      </c>
      <c r="Z160" t="b">
        <v>0</v>
      </c>
      <c r="AA160">
        <v>1836</v>
      </c>
      <c r="AB160">
        <v>0</v>
      </c>
      <c r="AD160" t="b">
        <v>0</v>
      </c>
      <c r="AF160" t="s">
        <v>4992</v>
      </c>
      <c r="AG160" s="1" t="s">
        <v>357</v>
      </c>
      <c r="AH160" s="1" t="s">
        <v>358</v>
      </c>
      <c r="AI160">
        <v>160</v>
      </c>
      <c r="AJ160">
        <v>225</v>
      </c>
      <c r="AK160" s="106">
        <v>45475.63549876157</v>
      </c>
      <c r="AL160" s="1" t="s">
        <v>4790</v>
      </c>
      <c r="AM160" s="42">
        <f>IFERROR(INDEX('Public procurment'!A:R,MATCH(ListOfExpenditure[[#This Row],[Content.contractId]],'Public procurment'!E:E,0),14),0)</f>
        <v>0</v>
      </c>
      <c r="AN160" s="2">
        <f>IF(AND(ListOfExpenditure[[#This Row],[Contract amount]]&gt;10000,ListOfExpenditure[[#This Row],[Content.declaredAmount]]&gt;2000),1,0)</f>
        <v>0</v>
      </c>
      <c r="AO160">
        <f>IFERROR(INDEX('Public procurment'!A:S,MATCH(ListOfExpenditure[[#This Row],[Content.contractId]],'Public procurment'!E:E,0),19),0)</f>
        <v>0</v>
      </c>
      <c r="AP160">
        <f>IF(ListOfExpenditure[[#This Row],[Numero di volte controllato il contract ]]&gt;0,0,ListOfExpenditure[[#This Row],[IF public procurment &gt;10000;1;0]])</f>
        <v>0</v>
      </c>
    </row>
    <row r="161" spans="1:42" x14ac:dyDescent="0.25">
      <c r="A161">
        <v>751</v>
      </c>
      <c r="B161">
        <v>1</v>
      </c>
      <c r="E161" t="s">
        <v>4786</v>
      </c>
      <c r="F161" t="b">
        <v>0</v>
      </c>
      <c r="I161" t="s">
        <v>4993</v>
      </c>
      <c r="K161" t="s">
        <v>4678</v>
      </c>
      <c r="L161" t="s">
        <v>4835</v>
      </c>
      <c r="M161" t="s">
        <v>4788</v>
      </c>
      <c r="N161" t="s">
        <v>4788</v>
      </c>
      <c r="O161">
        <v>1650.68</v>
      </c>
      <c r="Q161">
        <v>0</v>
      </c>
      <c r="R161">
        <v>0</v>
      </c>
      <c r="S161">
        <v>1650.68</v>
      </c>
      <c r="T161" t="s">
        <v>4789</v>
      </c>
      <c r="U161">
        <v>1</v>
      </c>
      <c r="V161">
        <v>1650.68</v>
      </c>
      <c r="Y161" t="b">
        <v>1</v>
      </c>
      <c r="Z161" t="b">
        <v>0</v>
      </c>
      <c r="AA161">
        <v>1567.09</v>
      </c>
      <c r="AB161">
        <v>83.59</v>
      </c>
      <c r="AC161">
        <v>14</v>
      </c>
      <c r="AD161" t="b">
        <v>0</v>
      </c>
      <c r="AF161" t="s">
        <v>4994</v>
      </c>
      <c r="AG161" s="1" t="s">
        <v>357</v>
      </c>
      <c r="AH161" s="1" t="s">
        <v>290</v>
      </c>
      <c r="AI161">
        <v>232</v>
      </c>
      <c r="AJ161">
        <v>165</v>
      </c>
      <c r="AK161" s="106">
        <v>45475.635495925926</v>
      </c>
      <c r="AL161" s="1" t="s">
        <v>4790</v>
      </c>
      <c r="AM161" s="42">
        <f>IFERROR(INDEX('Public procurment'!A:R,MATCH(ListOfExpenditure[[#This Row],[Content.contractId]],'Public procurment'!E:E,0),14),0)</f>
        <v>0</v>
      </c>
      <c r="AN161" s="2">
        <f>IF(AND(ListOfExpenditure[[#This Row],[Contract amount]]&gt;10000,ListOfExpenditure[[#This Row],[Content.declaredAmount]]&gt;2000),1,0)</f>
        <v>0</v>
      </c>
      <c r="AO161">
        <f>IFERROR(INDEX('Public procurment'!A:S,MATCH(ListOfExpenditure[[#This Row],[Content.contractId]],'Public procurment'!E:E,0),19),0)</f>
        <v>0</v>
      </c>
      <c r="AP161">
        <f>IF(ListOfExpenditure[[#This Row],[Numero di volte controllato il contract ]]&gt;0,0,ListOfExpenditure[[#This Row],[IF public procurment &gt;10000;1;0]])</f>
        <v>0</v>
      </c>
    </row>
    <row r="162" spans="1:42" x14ac:dyDescent="0.25">
      <c r="A162">
        <v>752</v>
      </c>
      <c r="B162">
        <v>2</v>
      </c>
      <c r="E162" t="s">
        <v>4850</v>
      </c>
      <c r="F162" t="b">
        <v>0</v>
      </c>
      <c r="I162" t="s">
        <v>4995</v>
      </c>
      <c r="J162" t="s">
        <v>4996</v>
      </c>
      <c r="K162" t="s">
        <v>4900</v>
      </c>
      <c r="L162" t="s">
        <v>4901</v>
      </c>
      <c r="M162" t="s">
        <v>4788</v>
      </c>
      <c r="N162" t="s">
        <v>4788</v>
      </c>
      <c r="O162">
        <v>1572.49</v>
      </c>
      <c r="P162">
        <v>283.56</v>
      </c>
      <c r="Q162">
        <v>0</v>
      </c>
      <c r="R162">
        <v>0</v>
      </c>
      <c r="S162">
        <v>1572.49</v>
      </c>
      <c r="T162" t="s">
        <v>4789</v>
      </c>
      <c r="U162">
        <v>1</v>
      </c>
      <c r="V162">
        <v>1572.49</v>
      </c>
      <c r="Y162" t="b">
        <v>1</v>
      </c>
      <c r="Z162" t="b">
        <v>0</v>
      </c>
      <c r="AA162">
        <v>1572.49</v>
      </c>
      <c r="AB162">
        <v>0</v>
      </c>
      <c r="AD162" t="b">
        <v>0</v>
      </c>
      <c r="AG162" s="1" t="s">
        <v>357</v>
      </c>
      <c r="AH162" s="1" t="s">
        <v>290</v>
      </c>
      <c r="AI162">
        <v>232</v>
      </c>
      <c r="AJ162">
        <v>165</v>
      </c>
      <c r="AK162" s="106">
        <v>45475.635495925926</v>
      </c>
      <c r="AL162" s="1" t="s">
        <v>4790</v>
      </c>
      <c r="AM162" s="42">
        <f>IFERROR(INDEX('Public procurment'!A:R,MATCH(ListOfExpenditure[[#This Row],[Content.contractId]],'Public procurment'!E:E,0),14),0)</f>
        <v>0</v>
      </c>
      <c r="AN162" s="2">
        <f>IF(AND(ListOfExpenditure[[#This Row],[Contract amount]]&gt;10000,ListOfExpenditure[[#This Row],[Content.declaredAmount]]&gt;2000),1,0)</f>
        <v>0</v>
      </c>
      <c r="AO162">
        <f>IFERROR(INDEX('Public procurment'!A:S,MATCH(ListOfExpenditure[[#This Row],[Content.contractId]],'Public procurment'!E:E,0),19),0)</f>
        <v>0</v>
      </c>
      <c r="AP162">
        <f>IF(ListOfExpenditure[[#This Row],[Numero di volte controllato il contract ]]&gt;0,0,ListOfExpenditure[[#This Row],[IF public procurment &gt;10000;1;0]])</f>
        <v>0</v>
      </c>
    </row>
    <row r="163" spans="1:42" x14ac:dyDescent="0.25">
      <c r="A163">
        <v>763</v>
      </c>
      <c r="B163">
        <v>3</v>
      </c>
      <c r="E163" t="s">
        <v>4850</v>
      </c>
      <c r="F163" t="b">
        <v>0</v>
      </c>
      <c r="I163" t="s">
        <v>4997</v>
      </c>
      <c r="J163" t="s">
        <v>4998</v>
      </c>
      <c r="K163" t="s">
        <v>4999</v>
      </c>
      <c r="L163" t="s">
        <v>5000</v>
      </c>
      <c r="M163" t="s">
        <v>4788</v>
      </c>
      <c r="N163" t="s">
        <v>4788</v>
      </c>
      <c r="O163">
        <v>2494.29</v>
      </c>
      <c r="P163">
        <v>449.79</v>
      </c>
      <c r="Q163">
        <v>0</v>
      </c>
      <c r="R163">
        <v>0</v>
      </c>
      <c r="S163">
        <v>2494.29</v>
      </c>
      <c r="T163" t="s">
        <v>4789</v>
      </c>
      <c r="U163">
        <v>1</v>
      </c>
      <c r="V163">
        <v>2494.29</v>
      </c>
      <c r="Y163" t="b">
        <v>1</v>
      </c>
      <c r="Z163" t="b">
        <v>0</v>
      </c>
      <c r="AA163">
        <v>2494.29</v>
      </c>
      <c r="AB163">
        <v>0</v>
      </c>
      <c r="AD163" t="b">
        <v>0</v>
      </c>
      <c r="AG163" s="1" t="s">
        <v>357</v>
      </c>
      <c r="AH163" s="1" t="s">
        <v>290</v>
      </c>
      <c r="AI163">
        <v>232</v>
      </c>
      <c r="AJ163">
        <v>165</v>
      </c>
      <c r="AK163" s="106">
        <v>45475.635495925926</v>
      </c>
      <c r="AL163" s="1" t="s">
        <v>4790</v>
      </c>
      <c r="AM163" s="42">
        <f>IFERROR(INDEX('Public procurment'!A:R,MATCH(ListOfExpenditure[[#This Row],[Content.contractId]],'Public procurment'!E:E,0),14),0)</f>
        <v>0</v>
      </c>
      <c r="AN163" s="2">
        <f>IF(AND(ListOfExpenditure[[#This Row],[Contract amount]]&gt;10000,ListOfExpenditure[[#This Row],[Content.declaredAmount]]&gt;2000),1,0)</f>
        <v>0</v>
      </c>
      <c r="AO163">
        <f>IFERROR(INDEX('Public procurment'!A:S,MATCH(ListOfExpenditure[[#This Row],[Content.contractId]],'Public procurment'!E:E,0),19),0)</f>
        <v>0</v>
      </c>
      <c r="AP163">
        <f>IF(ListOfExpenditure[[#This Row],[Numero di volte controllato il contract ]]&gt;0,0,ListOfExpenditure[[#This Row],[IF public procurment &gt;10000;1;0]])</f>
        <v>0</v>
      </c>
    </row>
    <row r="164" spans="1:42" x14ac:dyDescent="0.25">
      <c r="A164">
        <v>1118</v>
      </c>
      <c r="B164">
        <v>1</v>
      </c>
      <c r="E164" t="s">
        <v>4786</v>
      </c>
      <c r="F164" t="b">
        <v>1</v>
      </c>
      <c r="I164" t="s">
        <v>5001</v>
      </c>
      <c r="K164" t="s">
        <v>4342</v>
      </c>
      <c r="L164" t="s">
        <v>4831</v>
      </c>
      <c r="M164" t="s">
        <v>4788</v>
      </c>
      <c r="N164" t="s">
        <v>4788</v>
      </c>
      <c r="O164">
        <v>4231.26</v>
      </c>
      <c r="Q164">
        <v>0</v>
      </c>
      <c r="R164">
        <v>0</v>
      </c>
      <c r="S164">
        <v>1396.32</v>
      </c>
      <c r="T164" t="s">
        <v>4789</v>
      </c>
      <c r="U164">
        <v>1</v>
      </c>
      <c r="V164">
        <v>1396.32</v>
      </c>
      <c r="W164" t="s">
        <v>4343</v>
      </c>
      <c r="Y164" t="b">
        <v>1</v>
      </c>
      <c r="Z164" t="b">
        <v>0</v>
      </c>
      <c r="AA164">
        <v>1396.32</v>
      </c>
      <c r="AB164">
        <v>0</v>
      </c>
      <c r="AD164" t="b">
        <v>0</v>
      </c>
      <c r="AG164" s="1" t="s">
        <v>357</v>
      </c>
      <c r="AH164" s="1" t="s">
        <v>56</v>
      </c>
      <c r="AI164">
        <v>209</v>
      </c>
      <c r="AJ164">
        <v>257</v>
      </c>
      <c r="AK164" s="106">
        <v>45475.635516134258</v>
      </c>
      <c r="AL164" s="1" t="s">
        <v>4790</v>
      </c>
      <c r="AM164" s="42">
        <f>IFERROR(INDEX('Public procurment'!A:R,MATCH(ListOfExpenditure[[#This Row],[Content.contractId]],'Public procurment'!E:E,0),14),0)</f>
        <v>0</v>
      </c>
      <c r="AN164" s="2">
        <f>IF(AND(ListOfExpenditure[[#This Row],[Contract amount]]&gt;10000,ListOfExpenditure[[#This Row],[Content.declaredAmount]]&gt;2000),1,0)</f>
        <v>0</v>
      </c>
      <c r="AO164">
        <f>IFERROR(INDEX('Public procurment'!A:S,MATCH(ListOfExpenditure[[#This Row],[Content.contractId]],'Public procurment'!E:E,0),19),0)</f>
        <v>0</v>
      </c>
      <c r="AP164">
        <f>IF(ListOfExpenditure[[#This Row],[Numero di volte controllato il contract ]]&gt;0,0,ListOfExpenditure[[#This Row],[IF public procurment &gt;10000;1;0]])</f>
        <v>0</v>
      </c>
    </row>
    <row r="165" spans="1:42" x14ac:dyDescent="0.25">
      <c r="A165">
        <v>1119</v>
      </c>
      <c r="B165">
        <v>2</v>
      </c>
      <c r="E165" t="s">
        <v>4786</v>
      </c>
      <c r="F165" t="b">
        <v>1</v>
      </c>
      <c r="I165" t="s">
        <v>5002</v>
      </c>
      <c r="K165" t="s">
        <v>4359</v>
      </c>
      <c r="L165" t="s">
        <v>4957</v>
      </c>
      <c r="M165" t="s">
        <v>4788</v>
      </c>
      <c r="N165" t="s">
        <v>4788</v>
      </c>
      <c r="O165">
        <v>4336.22</v>
      </c>
      <c r="Q165">
        <v>0</v>
      </c>
      <c r="R165">
        <v>0</v>
      </c>
      <c r="S165">
        <v>1430.95</v>
      </c>
      <c r="T165" t="s">
        <v>4789</v>
      </c>
      <c r="U165">
        <v>1</v>
      </c>
      <c r="V165">
        <v>1430.95</v>
      </c>
      <c r="W165" t="s">
        <v>4343</v>
      </c>
      <c r="Y165" t="b">
        <v>1</v>
      </c>
      <c r="Z165" t="b">
        <v>0</v>
      </c>
      <c r="AA165">
        <v>1387.18</v>
      </c>
      <c r="AB165">
        <v>43.77</v>
      </c>
      <c r="AC165">
        <v>14</v>
      </c>
      <c r="AD165" t="b">
        <v>0</v>
      </c>
      <c r="AF165" t="s">
        <v>5003</v>
      </c>
      <c r="AG165" s="1" t="s">
        <v>357</v>
      </c>
      <c r="AH165" s="1" t="s">
        <v>56</v>
      </c>
      <c r="AI165">
        <v>209</v>
      </c>
      <c r="AJ165">
        <v>257</v>
      </c>
      <c r="AK165" s="106">
        <v>45475.635516134258</v>
      </c>
      <c r="AL165" s="1" t="s">
        <v>4790</v>
      </c>
      <c r="AM165" s="42">
        <f>IFERROR(INDEX('Public procurment'!A:R,MATCH(ListOfExpenditure[[#This Row],[Content.contractId]],'Public procurment'!E:E,0),14),0)</f>
        <v>0</v>
      </c>
      <c r="AN165" s="2">
        <f>IF(AND(ListOfExpenditure[[#This Row],[Contract amount]]&gt;10000,ListOfExpenditure[[#This Row],[Content.declaredAmount]]&gt;2000),1,0)</f>
        <v>0</v>
      </c>
      <c r="AO165">
        <f>IFERROR(INDEX('Public procurment'!A:S,MATCH(ListOfExpenditure[[#This Row],[Content.contractId]],'Public procurment'!E:E,0),19),0)</f>
        <v>0</v>
      </c>
      <c r="AP165">
        <f>IF(ListOfExpenditure[[#This Row],[Numero di volte controllato il contract ]]&gt;0,0,ListOfExpenditure[[#This Row],[IF public procurment &gt;10000;1;0]])</f>
        <v>0</v>
      </c>
    </row>
    <row r="166" spans="1:42" x14ac:dyDescent="0.25">
      <c r="A166">
        <v>1120</v>
      </c>
      <c r="B166">
        <v>3</v>
      </c>
      <c r="E166" t="s">
        <v>4786</v>
      </c>
      <c r="F166" t="b">
        <v>1</v>
      </c>
      <c r="I166" t="s">
        <v>5004</v>
      </c>
      <c r="K166" t="s">
        <v>4931</v>
      </c>
      <c r="L166" t="s">
        <v>4958</v>
      </c>
      <c r="M166" t="s">
        <v>4788</v>
      </c>
      <c r="N166" t="s">
        <v>4788</v>
      </c>
      <c r="O166">
        <v>4272.3999999999996</v>
      </c>
      <c r="Q166">
        <v>0</v>
      </c>
      <c r="R166">
        <v>0</v>
      </c>
      <c r="S166">
        <v>1409.89</v>
      </c>
      <c r="T166" t="s">
        <v>4789</v>
      </c>
      <c r="U166">
        <v>1</v>
      </c>
      <c r="V166">
        <v>1409.89</v>
      </c>
      <c r="W166" t="s">
        <v>4343</v>
      </c>
      <c r="Y166" t="b">
        <v>1</v>
      </c>
      <c r="Z166" t="b">
        <v>0</v>
      </c>
      <c r="AA166">
        <v>1409.89</v>
      </c>
      <c r="AB166">
        <v>0</v>
      </c>
      <c r="AD166" t="b">
        <v>0</v>
      </c>
      <c r="AG166" s="1" t="s">
        <v>357</v>
      </c>
      <c r="AH166" s="1" t="s">
        <v>56</v>
      </c>
      <c r="AI166">
        <v>209</v>
      </c>
      <c r="AJ166">
        <v>257</v>
      </c>
      <c r="AK166" s="106">
        <v>45475.635516134258</v>
      </c>
      <c r="AL166" s="1" t="s">
        <v>4790</v>
      </c>
      <c r="AM166" s="42">
        <f>IFERROR(INDEX('Public procurment'!A:R,MATCH(ListOfExpenditure[[#This Row],[Content.contractId]],'Public procurment'!E:E,0),14),0)</f>
        <v>0</v>
      </c>
      <c r="AN166" s="2">
        <f>IF(AND(ListOfExpenditure[[#This Row],[Contract amount]]&gt;10000,ListOfExpenditure[[#This Row],[Content.declaredAmount]]&gt;2000),1,0)</f>
        <v>0</v>
      </c>
      <c r="AO166">
        <f>IFERROR(INDEX('Public procurment'!A:S,MATCH(ListOfExpenditure[[#This Row],[Content.contractId]],'Public procurment'!E:E,0),19),0)</f>
        <v>0</v>
      </c>
      <c r="AP166">
        <f>IF(ListOfExpenditure[[#This Row],[Numero di volte controllato il contract ]]&gt;0,0,ListOfExpenditure[[#This Row],[IF public procurment &gt;10000;1;0]])</f>
        <v>0</v>
      </c>
    </row>
    <row r="167" spans="1:42" x14ac:dyDescent="0.25">
      <c r="A167">
        <v>1121</v>
      </c>
      <c r="B167">
        <v>4</v>
      </c>
      <c r="E167" t="s">
        <v>4786</v>
      </c>
      <c r="F167" t="b">
        <v>1</v>
      </c>
      <c r="I167" t="s">
        <v>5005</v>
      </c>
      <c r="K167" t="s">
        <v>4525</v>
      </c>
      <c r="L167" t="s">
        <v>4959</v>
      </c>
      <c r="M167" t="s">
        <v>4788</v>
      </c>
      <c r="N167" t="s">
        <v>4788</v>
      </c>
      <c r="O167">
        <v>4749.7299999999996</v>
      </c>
      <c r="Q167">
        <v>0</v>
      </c>
      <c r="R167">
        <v>0</v>
      </c>
      <c r="S167">
        <v>1567.41</v>
      </c>
      <c r="T167" t="s">
        <v>4789</v>
      </c>
      <c r="U167">
        <v>1</v>
      </c>
      <c r="V167">
        <v>1567.41</v>
      </c>
      <c r="W167" t="s">
        <v>4343</v>
      </c>
      <c r="Y167" t="b">
        <v>1</v>
      </c>
      <c r="Z167" t="b">
        <v>0</v>
      </c>
      <c r="AA167">
        <v>1566.47</v>
      </c>
      <c r="AB167">
        <v>0.94</v>
      </c>
      <c r="AC167">
        <v>14</v>
      </c>
      <c r="AD167" t="b">
        <v>0</v>
      </c>
      <c r="AF167" t="s">
        <v>5003</v>
      </c>
      <c r="AG167" s="1" t="s">
        <v>357</v>
      </c>
      <c r="AH167" s="1" t="s">
        <v>56</v>
      </c>
      <c r="AI167">
        <v>209</v>
      </c>
      <c r="AJ167">
        <v>257</v>
      </c>
      <c r="AK167" s="106">
        <v>45475.635516134258</v>
      </c>
      <c r="AL167" s="1" t="s">
        <v>4790</v>
      </c>
      <c r="AM167" s="42">
        <f>IFERROR(INDEX('Public procurment'!A:R,MATCH(ListOfExpenditure[[#This Row],[Content.contractId]],'Public procurment'!E:E,0),14),0)</f>
        <v>0</v>
      </c>
      <c r="AN167" s="2">
        <f>IF(AND(ListOfExpenditure[[#This Row],[Contract amount]]&gt;10000,ListOfExpenditure[[#This Row],[Content.declaredAmount]]&gt;2000),1,0)</f>
        <v>0</v>
      </c>
      <c r="AO167">
        <f>IFERROR(INDEX('Public procurment'!A:S,MATCH(ListOfExpenditure[[#This Row],[Content.contractId]],'Public procurment'!E:E,0),19),0)</f>
        <v>0</v>
      </c>
      <c r="AP167">
        <f>IF(ListOfExpenditure[[#This Row],[Numero di volte controllato il contract ]]&gt;0,0,ListOfExpenditure[[#This Row],[IF public procurment &gt;10000;1;0]])</f>
        <v>0</v>
      </c>
    </row>
    <row r="168" spans="1:42" x14ac:dyDescent="0.25">
      <c r="A168">
        <v>1122</v>
      </c>
      <c r="B168">
        <v>5</v>
      </c>
      <c r="E168" t="s">
        <v>4786</v>
      </c>
      <c r="F168" t="b">
        <v>1</v>
      </c>
      <c r="I168" t="s">
        <v>5006</v>
      </c>
      <c r="K168" t="s">
        <v>4678</v>
      </c>
      <c r="L168" t="s">
        <v>4835</v>
      </c>
      <c r="M168" t="s">
        <v>4788</v>
      </c>
      <c r="N168" t="s">
        <v>4788</v>
      </c>
      <c r="O168">
        <v>4618.08</v>
      </c>
      <c r="Q168">
        <v>0</v>
      </c>
      <c r="R168">
        <v>0</v>
      </c>
      <c r="S168">
        <v>1523.97</v>
      </c>
      <c r="T168" t="s">
        <v>4789</v>
      </c>
      <c r="U168">
        <v>1</v>
      </c>
      <c r="V168">
        <v>1523.97</v>
      </c>
      <c r="W168" t="s">
        <v>4343</v>
      </c>
      <c r="Y168" t="b">
        <v>1</v>
      </c>
      <c r="Z168" t="b">
        <v>0</v>
      </c>
      <c r="AA168">
        <v>1523.97</v>
      </c>
      <c r="AB168">
        <v>0</v>
      </c>
      <c r="AD168" t="b">
        <v>0</v>
      </c>
      <c r="AG168" s="1" t="s">
        <v>357</v>
      </c>
      <c r="AH168" s="1" t="s">
        <v>56</v>
      </c>
      <c r="AI168">
        <v>209</v>
      </c>
      <c r="AJ168">
        <v>257</v>
      </c>
      <c r="AK168" s="106">
        <v>45475.635516134258</v>
      </c>
      <c r="AL168" s="1" t="s">
        <v>4790</v>
      </c>
      <c r="AM168" s="42">
        <f>IFERROR(INDEX('Public procurment'!A:R,MATCH(ListOfExpenditure[[#This Row],[Content.contractId]],'Public procurment'!E:E,0),14),0)</f>
        <v>0</v>
      </c>
      <c r="AN168" s="2">
        <f>IF(AND(ListOfExpenditure[[#This Row],[Contract amount]]&gt;10000,ListOfExpenditure[[#This Row],[Content.declaredAmount]]&gt;2000),1,0)</f>
        <v>0</v>
      </c>
      <c r="AO168">
        <f>IFERROR(INDEX('Public procurment'!A:S,MATCH(ListOfExpenditure[[#This Row],[Content.contractId]],'Public procurment'!E:E,0),19),0)</f>
        <v>0</v>
      </c>
      <c r="AP168">
        <f>IF(ListOfExpenditure[[#This Row],[Numero di volte controllato il contract ]]&gt;0,0,ListOfExpenditure[[#This Row],[IF public procurment &gt;10000;1;0]])</f>
        <v>0</v>
      </c>
    </row>
    <row r="169" spans="1:42" x14ac:dyDescent="0.25">
      <c r="A169">
        <v>1123</v>
      </c>
      <c r="B169">
        <v>6</v>
      </c>
      <c r="E169" t="s">
        <v>4786</v>
      </c>
      <c r="F169" t="b">
        <v>1</v>
      </c>
      <c r="I169" t="s">
        <v>5007</v>
      </c>
      <c r="K169" t="s">
        <v>4342</v>
      </c>
      <c r="L169" t="s">
        <v>4957</v>
      </c>
      <c r="M169" t="s">
        <v>4788</v>
      </c>
      <c r="N169" t="s">
        <v>4788</v>
      </c>
      <c r="O169">
        <v>2165.8200000000002</v>
      </c>
      <c r="Q169">
        <v>0</v>
      </c>
      <c r="R169">
        <v>0</v>
      </c>
      <c r="S169">
        <v>389.85</v>
      </c>
      <c r="T169" t="s">
        <v>4789</v>
      </c>
      <c r="U169">
        <v>1</v>
      </c>
      <c r="V169">
        <v>389.85</v>
      </c>
      <c r="W169" t="s">
        <v>4343</v>
      </c>
      <c r="Y169" t="b">
        <v>1</v>
      </c>
      <c r="Z169" t="b">
        <v>0</v>
      </c>
      <c r="AA169">
        <v>389.85</v>
      </c>
      <c r="AB169">
        <v>0</v>
      </c>
      <c r="AD169" t="b">
        <v>0</v>
      </c>
      <c r="AG169" s="1" t="s">
        <v>357</v>
      </c>
      <c r="AH169" s="1" t="s">
        <v>56</v>
      </c>
      <c r="AI169">
        <v>209</v>
      </c>
      <c r="AJ169">
        <v>257</v>
      </c>
      <c r="AK169" s="106">
        <v>45475.635516134258</v>
      </c>
      <c r="AL169" s="1" t="s">
        <v>4790</v>
      </c>
      <c r="AM169" s="42">
        <f>IFERROR(INDEX('Public procurment'!A:R,MATCH(ListOfExpenditure[[#This Row],[Content.contractId]],'Public procurment'!E:E,0),14),0)</f>
        <v>0</v>
      </c>
      <c r="AN169" s="2">
        <f>IF(AND(ListOfExpenditure[[#This Row],[Contract amount]]&gt;10000,ListOfExpenditure[[#This Row],[Content.declaredAmount]]&gt;2000),1,0)</f>
        <v>0</v>
      </c>
      <c r="AO169">
        <f>IFERROR(INDEX('Public procurment'!A:S,MATCH(ListOfExpenditure[[#This Row],[Content.contractId]],'Public procurment'!E:E,0),19),0)</f>
        <v>0</v>
      </c>
      <c r="AP169">
        <f>IF(ListOfExpenditure[[#This Row],[Numero di volte controllato il contract ]]&gt;0,0,ListOfExpenditure[[#This Row],[IF public procurment &gt;10000;1;0]])</f>
        <v>0</v>
      </c>
    </row>
    <row r="170" spans="1:42" x14ac:dyDescent="0.25">
      <c r="A170">
        <v>1124</v>
      </c>
      <c r="B170">
        <v>7</v>
      </c>
      <c r="E170" t="s">
        <v>4786</v>
      </c>
      <c r="F170" t="b">
        <v>1</v>
      </c>
      <c r="I170" t="s">
        <v>5008</v>
      </c>
      <c r="K170" t="s">
        <v>4359</v>
      </c>
      <c r="L170" t="s">
        <v>4957</v>
      </c>
      <c r="M170" t="s">
        <v>4788</v>
      </c>
      <c r="N170" t="s">
        <v>4788</v>
      </c>
      <c r="O170">
        <v>2334.7600000000002</v>
      </c>
      <c r="Q170">
        <v>0</v>
      </c>
      <c r="R170">
        <v>0</v>
      </c>
      <c r="S170">
        <v>420.26</v>
      </c>
      <c r="T170" t="s">
        <v>4789</v>
      </c>
      <c r="U170">
        <v>1</v>
      </c>
      <c r="V170">
        <v>420.26</v>
      </c>
      <c r="W170" t="s">
        <v>4343</v>
      </c>
      <c r="Y170" t="b">
        <v>1</v>
      </c>
      <c r="Z170" t="b">
        <v>0</v>
      </c>
      <c r="AA170">
        <v>404.68</v>
      </c>
      <c r="AB170">
        <v>15.58</v>
      </c>
      <c r="AC170">
        <v>14</v>
      </c>
      <c r="AD170" t="b">
        <v>0</v>
      </c>
      <c r="AF170" t="s">
        <v>5003</v>
      </c>
      <c r="AG170" s="1" t="s">
        <v>357</v>
      </c>
      <c r="AH170" s="1" t="s">
        <v>56</v>
      </c>
      <c r="AI170">
        <v>209</v>
      </c>
      <c r="AJ170">
        <v>257</v>
      </c>
      <c r="AK170" s="106">
        <v>45475.635516134258</v>
      </c>
      <c r="AL170" s="1" t="s">
        <v>4790</v>
      </c>
      <c r="AM170" s="42">
        <f>IFERROR(INDEX('Public procurment'!A:R,MATCH(ListOfExpenditure[[#This Row],[Content.contractId]],'Public procurment'!E:E,0),14),0)</f>
        <v>0</v>
      </c>
      <c r="AN170" s="2">
        <f>IF(AND(ListOfExpenditure[[#This Row],[Contract amount]]&gt;10000,ListOfExpenditure[[#This Row],[Content.declaredAmount]]&gt;2000),1,0)</f>
        <v>0</v>
      </c>
      <c r="AO170">
        <f>IFERROR(INDEX('Public procurment'!A:S,MATCH(ListOfExpenditure[[#This Row],[Content.contractId]],'Public procurment'!E:E,0),19),0)</f>
        <v>0</v>
      </c>
      <c r="AP170">
        <f>IF(ListOfExpenditure[[#This Row],[Numero di volte controllato il contract ]]&gt;0,0,ListOfExpenditure[[#This Row],[IF public procurment &gt;10000;1;0]])</f>
        <v>0</v>
      </c>
    </row>
    <row r="171" spans="1:42" x14ac:dyDescent="0.25">
      <c r="A171">
        <v>1125</v>
      </c>
      <c r="B171">
        <v>8</v>
      </c>
      <c r="E171" t="s">
        <v>4786</v>
      </c>
      <c r="F171" t="b">
        <v>1</v>
      </c>
      <c r="I171" t="s">
        <v>5009</v>
      </c>
      <c r="K171" t="s">
        <v>4931</v>
      </c>
      <c r="L171" t="s">
        <v>4958</v>
      </c>
      <c r="M171" t="s">
        <v>4788</v>
      </c>
      <c r="N171" t="s">
        <v>4788</v>
      </c>
      <c r="O171">
        <v>2264.7600000000002</v>
      </c>
      <c r="Q171">
        <v>0</v>
      </c>
      <c r="R171">
        <v>0</v>
      </c>
      <c r="S171">
        <v>407.66</v>
      </c>
      <c r="T171" t="s">
        <v>4789</v>
      </c>
      <c r="U171">
        <v>1</v>
      </c>
      <c r="V171">
        <v>407.66</v>
      </c>
      <c r="W171" t="s">
        <v>4343</v>
      </c>
      <c r="Y171" t="b">
        <v>1</v>
      </c>
      <c r="Z171" t="b">
        <v>0</v>
      </c>
      <c r="AA171">
        <v>401.34</v>
      </c>
      <c r="AB171">
        <v>6.32</v>
      </c>
      <c r="AC171">
        <v>14</v>
      </c>
      <c r="AD171" t="b">
        <v>0</v>
      </c>
      <c r="AF171" t="s">
        <v>5003</v>
      </c>
      <c r="AG171" s="1" t="s">
        <v>357</v>
      </c>
      <c r="AH171" s="1" t="s">
        <v>56</v>
      </c>
      <c r="AI171">
        <v>209</v>
      </c>
      <c r="AJ171">
        <v>257</v>
      </c>
      <c r="AK171" s="106">
        <v>45475.635516134258</v>
      </c>
      <c r="AL171" s="1" t="s">
        <v>4790</v>
      </c>
      <c r="AM171" s="42">
        <f>IFERROR(INDEX('Public procurment'!A:R,MATCH(ListOfExpenditure[[#This Row],[Content.contractId]],'Public procurment'!E:E,0),14),0)</f>
        <v>0</v>
      </c>
      <c r="AN171" s="2">
        <f>IF(AND(ListOfExpenditure[[#This Row],[Contract amount]]&gt;10000,ListOfExpenditure[[#This Row],[Content.declaredAmount]]&gt;2000),1,0)</f>
        <v>0</v>
      </c>
      <c r="AO171">
        <f>IFERROR(INDEX('Public procurment'!A:S,MATCH(ListOfExpenditure[[#This Row],[Content.contractId]],'Public procurment'!E:E,0),19),0)</f>
        <v>0</v>
      </c>
      <c r="AP171">
        <f>IF(ListOfExpenditure[[#This Row],[Numero di volte controllato il contract ]]&gt;0,0,ListOfExpenditure[[#This Row],[IF public procurment &gt;10000;1;0]])</f>
        <v>0</v>
      </c>
    </row>
    <row r="172" spans="1:42" x14ac:dyDescent="0.25">
      <c r="A172">
        <v>1126</v>
      </c>
      <c r="B172">
        <v>9</v>
      </c>
      <c r="E172" t="s">
        <v>4786</v>
      </c>
      <c r="F172" t="b">
        <v>1</v>
      </c>
      <c r="I172" t="s">
        <v>5010</v>
      </c>
      <c r="K172" t="s">
        <v>4525</v>
      </c>
      <c r="L172" t="s">
        <v>4959</v>
      </c>
      <c r="M172" t="s">
        <v>4788</v>
      </c>
      <c r="N172" t="s">
        <v>4788</v>
      </c>
      <c r="O172">
        <v>2309.58</v>
      </c>
      <c r="Q172">
        <v>0</v>
      </c>
      <c r="R172">
        <v>0</v>
      </c>
      <c r="S172">
        <v>415.72</v>
      </c>
      <c r="T172" t="s">
        <v>4789</v>
      </c>
      <c r="U172">
        <v>1</v>
      </c>
      <c r="V172">
        <v>415.72</v>
      </c>
      <c r="W172" t="s">
        <v>4343</v>
      </c>
      <c r="Y172" t="b">
        <v>1</v>
      </c>
      <c r="Z172" t="b">
        <v>0</v>
      </c>
      <c r="AA172">
        <v>415.72</v>
      </c>
      <c r="AB172">
        <v>0</v>
      </c>
      <c r="AD172" t="b">
        <v>0</v>
      </c>
      <c r="AG172" s="1" t="s">
        <v>357</v>
      </c>
      <c r="AH172" s="1" t="s">
        <v>56</v>
      </c>
      <c r="AI172">
        <v>209</v>
      </c>
      <c r="AJ172">
        <v>257</v>
      </c>
      <c r="AK172" s="106">
        <v>45475.635516134258</v>
      </c>
      <c r="AL172" s="1" t="s">
        <v>4790</v>
      </c>
      <c r="AM172" s="42">
        <f>IFERROR(INDEX('Public procurment'!A:R,MATCH(ListOfExpenditure[[#This Row],[Content.contractId]],'Public procurment'!E:E,0),14),0)</f>
        <v>0</v>
      </c>
      <c r="AN172" s="2">
        <f>IF(AND(ListOfExpenditure[[#This Row],[Contract amount]]&gt;10000,ListOfExpenditure[[#This Row],[Content.declaredAmount]]&gt;2000),1,0)</f>
        <v>0</v>
      </c>
      <c r="AO172">
        <f>IFERROR(INDEX('Public procurment'!A:S,MATCH(ListOfExpenditure[[#This Row],[Content.contractId]],'Public procurment'!E:E,0),19),0)</f>
        <v>0</v>
      </c>
      <c r="AP172">
        <f>IF(ListOfExpenditure[[#This Row],[Numero di volte controllato il contract ]]&gt;0,0,ListOfExpenditure[[#This Row],[IF public procurment &gt;10000;1;0]])</f>
        <v>0</v>
      </c>
    </row>
    <row r="173" spans="1:42" x14ac:dyDescent="0.25">
      <c r="A173">
        <v>1127</v>
      </c>
      <c r="B173">
        <v>10</v>
      </c>
      <c r="E173" t="s">
        <v>4786</v>
      </c>
      <c r="F173" t="b">
        <v>1</v>
      </c>
      <c r="I173" t="s">
        <v>5011</v>
      </c>
      <c r="K173" t="s">
        <v>4678</v>
      </c>
      <c r="L173" t="s">
        <v>4835</v>
      </c>
      <c r="M173" t="s">
        <v>4788</v>
      </c>
      <c r="N173" t="s">
        <v>4788</v>
      </c>
      <c r="O173">
        <v>2228.12</v>
      </c>
      <c r="Q173">
        <v>0</v>
      </c>
      <c r="R173">
        <v>0</v>
      </c>
      <c r="S173">
        <v>401.06</v>
      </c>
      <c r="T173" t="s">
        <v>4789</v>
      </c>
      <c r="U173">
        <v>1</v>
      </c>
      <c r="V173">
        <v>401.06</v>
      </c>
      <c r="W173" t="s">
        <v>4343</v>
      </c>
      <c r="Y173" t="b">
        <v>1</v>
      </c>
      <c r="Z173" t="b">
        <v>0</v>
      </c>
      <c r="AA173">
        <v>401.06</v>
      </c>
      <c r="AB173">
        <v>0</v>
      </c>
      <c r="AD173" t="b">
        <v>0</v>
      </c>
      <c r="AG173" s="1" t="s">
        <v>357</v>
      </c>
      <c r="AH173" s="1" t="s">
        <v>56</v>
      </c>
      <c r="AI173">
        <v>209</v>
      </c>
      <c r="AJ173">
        <v>257</v>
      </c>
      <c r="AK173" s="106">
        <v>45475.635516134258</v>
      </c>
      <c r="AL173" s="1" t="s">
        <v>4790</v>
      </c>
      <c r="AM173" s="42">
        <f>IFERROR(INDEX('Public procurment'!A:R,MATCH(ListOfExpenditure[[#This Row],[Content.contractId]],'Public procurment'!E:E,0),14),0)</f>
        <v>0</v>
      </c>
      <c r="AN173" s="2">
        <f>IF(AND(ListOfExpenditure[[#This Row],[Contract amount]]&gt;10000,ListOfExpenditure[[#This Row],[Content.declaredAmount]]&gt;2000),1,0)</f>
        <v>0</v>
      </c>
      <c r="AO173">
        <f>IFERROR(INDEX('Public procurment'!A:S,MATCH(ListOfExpenditure[[#This Row],[Content.contractId]],'Public procurment'!E:E,0),19),0)</f>
        <v>0</v>
      </c>
      <c r="AP173">
        <f>IF(ListOfExpenditure[[#This Row],[Numero di volte controllato il contract ]]&gt;0,0,ListOfExpenditure[[#This Row],[IF public procurment &gt;10000;1;0]])</f>
        <v>0</v>
      </c>
    </row>
    <row r="174" spans="1:42" x14ac:dyDescent="0.25">
      <c r="A174">
        <v>1129</v>
      </c>
      <c r="B174">
        <v>11</v>
      </c>
      <c r="E174" t="s">
        <v>4786</v>
      </c>
      <c r="F174" t="b">
        <v>1</v>
      </c>
      <c r="I174" t="s">
        <v>5012</v>
      </c>
      <c r="K174" t="s">
        <v>4342</v>
      </c>
      <c r="L174" t="s">
        <v>4831</v>
      </c>
      <c r="M174" t="s">
        <v>4788</v>
      </c>
      <c r="N174" t="s">
        <v>4788</v>
      </c>
      <c r="O174">
        <v>2125.71</v>
      </c>
      <c r="Q174">
        <v>0</v>
      </c>
      <c r="R174">
        <v>0</v>
      </c>
      <c r="S174">
        <v>488.91</v>
      </c>
      <c r="T174" t="s">
        <v>4789</v>
      </c>
      <c r="U174">
        <v>1</v>
      </c>
      <c r="V174">
        <v>488.91</v>
      </c>
      <c r="W174" t="s">
        <v>4343</v>
      </c>
      <c r="Y174" t="b">
        <v>1</v>
      </c>
      <c r="Z174" t="b">
        <v>0</v>
      </c>
      <c r="AA174">
        <v>488.91</v>
      </c>
      <c r="AB174">
        <v>0</v>
      </c>
      <c r="AD174" t="b">
        <v>0</v>
      </c>
      <c r="AG174" s="1" t="s">
        <v>357</v>
      </c>
      <c r="AH174" s="1" t="s">
        <v>56</v>
      </c>
      <c r="AI174">
        <v>209</v>
      </c>
      <c r="AJ174">
        <v>257</v>
      </c>
      <c r="AK174" s="106">
        <v>45475.635516134258</v>
      </c>
      <c r="AL174" s="1" t="s">
        <v>4790</v>
      </c>
      <c r="AM174" s="42">
        <f>IFERROR(INDEX('Public procurment'!A:R,MATCH(ListOfExpenditure[[#This Row],[Content.contractId]],'Public procurment'!E:E,0),14),0)</f>
        <v>0</v>
      </c>
      <c r="AN174" s="2">
        <f>IF(AND(ListOfExpenditure[[#This Row],[Contract amount]]&gt;10000,ListOfExpenditure[[#This Row],[Content.declaredAmount]]&gt;2000),1,0)</f>
        <v>0</v>
      </c>
      <c r="AO174">
        <f>IFERROR(INDEX('Public procurment'!A:S,MATCH(ListOfExpenditure[[#This Row],[Content.contractId]],'Public procurment'!E:E,0),19),0)</f>
        <v>0</v>
      </c>
      <c r="AP174">
        <f>IF(ListOfExpenditure[[#This Row],[Numero di volte controllato il contract ]]&gt;0,0,ListOfExpenditure[[#This Row],[IF public procurment &gt;10000;1;0]])</f>
        <v>0</v>
      </c>
    </row>
    <row r="175" spans="1:42" x14ac:dyDescent="0.25">
      <c r="A175">
        <v>1131</v>
      </c>
      <c r="B175">
        <v>12</v>
      </c>
      <c r="E175" t="s">
        <v>4786</v>
      </c>
      <c r="F175" t="b">
        <v>1</v>
      </c>
      <c r="I175" t="s">
        <v>5013</v>
      </c>
      <c r="K175" t="s">
        <v>4359</v>
      </c>
      <c r="L175" t="s">
        <v>4957</v>
      </c>
      <c r="M175" t="s">
        <v>4788</v>
      </c>
      <c r="N175" t="s">
        <v>4788</v>
      </c>
      <c r="O175">
        <v>2308.73</v>
      </c>
      <c r="Q175">
        <v>0</v>
      </c>
      <c r="R175">
        <v>0</v>
      </c>
      <c r="S175">
        <v>531.01</v>
      </c>
      <c r="T175" t="s">
        <v>4789</v>
      </c>
      <c r="U175">
        <v>1</v>
      </c>
      <c r="V175">
        <v>531.01</v>
      </c>
      <c r="W175" t="s">
        <v>4343</v>
      </c>
      <c r="Y175" t="b">
        <v>1</v>
      </c>
      <c r="Z175" t="b">
        <v>0</v>
      </c>
      <c r="AA175">
        <v>507.8</v>
      </c>
      <c r="AB175">
        <v>23.21</v>
      </c>
      <c r="AC175">
        <v>14</v>
      </c>
      <c r="AD175" t="b">
        <v>0</v>
      </c>
      <c r="AF175" t="s">
        <v>5003</v>
      </c>
      <c r="AG175" s="1" t="s">
        <v>357</v>
      </c>
      <c r="AH175" s="1" t="s">
        <v>56</v>
      </c>
      <c r="AI175">
        <v>209</v>
      </c>
      <c r="AJ175">
        <v>257</v>
      </c>
      <c r="AK175" s="106">
        <v>45475.635516134258</v>
      </c>
      <c r="AL175" s="1" t="s">
        <v>4790</v>
      </c>
      <c r="AM175" s="42">
        <f>IFERROR(INDEX('Public procurment'!A:R,MATCH(ListOfExpenditure[[#This Row],[Content.contractId]],'Public procurment'!E:E,0),14),0)</f>
        <v>0</v>
      </c>
      <c r="AN175" s="2">
        <f>IF(AND(ListOfExpenditure[[#This Row],[Contract amount]]&gt;10000,ListOfExpenditure[[#This Row],[Content.declaredAmount]]&gt;2000),1,0)</f>
        <v>0</v>
      </c>
      <c r="AO175">
        <f>IFERROR(INDEX('Public procurment'!A:S,MATCH(ListOfExpenditure[[#This Row],[Content.contractId]],'Public procurment'!E:E,0),19),0)</f>
        <v>0</v>
      </c>
      <c r="AP175">
        <f>IF(ListOfExpenditure[[#This Row],[Numero di volte controllato il contract ]]&gt;0,0,ListOfExpenditure[[#This Row],[IF public procurment &gt;10000;1;0]])</f>
        <v>0</v>
      </c>
    </row>
    <row r="176" spans="1:42" x14ac:dyDescent="0.25">
      <c r="A176">
        <v>1133</v>
      </c>
      <c r="B176">
        <v>13</v>
      </c>
      <c r="E176" t="s">
        <v>4786</v>
      </c>
      <c r="F176" t="b">
        <v>1</v>
      </c>
      <c r="I176" t="s">
        <v>5014</v>
      </c>
      <c r="K176" t="s">
        <v>4931</v>
      </c>
      <c r="L176" t="s">
        <v>4958</v>
      </c>
      <c r="M176" t="s">
        <v>4788</v>
      </c>
      <c r="N176" t="s">
        <v>4788</v>
      </c>
      <c r="O176">
        <v>2058.08</v>
      </c>
      <c r="Q176">
        <v>0</v>
      </c>
      <c r="R176">
        <v>0</v>
      </c>
      <c r="S176">
        <v>473.36</v>
      </c>
      <c r="T176" t="s">
        <v>4789</v>
      </c>
      <c r="U176">
        <v>1</v>
      </c>
      <c r="V176">
        <v>473.36</v>
      </c>
      <c r="W176" t="s">
        <v>4343</v>
      </c>
      <c r="Y176" t="b">
        <v>1</v>
      </c>
      <c r="Z176" t="b">
        <v>0</v>
      </c>
      <c r="AA176">
        <v>468.35</v>
      </c>
      <c r="AB176">
        <v>5.01</v>
      </c>
      <c r="AC176">
        <v>14</v>
      </c>
      <c r="AD176" t="b">
        <v>0</v>
      </c>
      <c r="AF176" t="s">
        <v>5003</v>
      </c>
      <c r="AG176" s="1" t="s">
        <v>357</v>
      </c>
      <c r="AH176" s="1" t="s">
        <v>56</v>
      </c>
      <c r="AI176">
        <v>209</v>
      </c>
      <c r="AJ176">
        <v>257</v>
      </c>
      <c r="AK176" s="106">
        <v>45475.635516134258</v>
      </c>
      <c r="AL176" s="1" t="s">
        <v>4790</v>
      </c>
      <c r="AM176" s="42">
        <f>IFERROR(INDEX('Public procurment'!A:R,MATCH(ListOfExpenditure[[#This Row],[Content.contractId]],'Public procurment'!E:E,0),14),0)</f>
        <v>0</v>
      </c>
      <c r="AN176" s="2">
        <f>IF(AND(ListOfExpenditure[[#This Row],[Contract amount]]&gt;10000,ListOfExpenditure[[#This Row],[Content.declaredAmount]]&gt;2000),1,0)</f>
        <v>0</v>
      </c>
      <c r="AO176">
        <f>IFERROR(INDEX('Public procurment'!A:S,MATCH(ListOfExpenditure[[#This Row],[Content.contractId]],'Public procurment'!E:E,0),19),0)</f>
        <v>0</v>
      </c>
      <c r="AP176">
        <f>IF(ListOfExpenditure[[#This Row],[Numero di volte controllato il contract ]]&gt;0,0,ListOfExpenditure[[#This Row],[IF public procurment &gt;10000;1;0]])</f>
        <v>0</v>
      </c>
    </row>
    <row r="177" spans="1:42" x14ac:dyDescent="0.25">
      <c r="A177">
        <v>1134</v>
      </c>
      <c r="B177">
        <v>14</v>
      </c>
      <c r="E177" t="s">
        <v>4786</v>
      </c>
      <c r="F177" t="b">
        <v>1</v>
      </c>
      <c r="I177" t="s">
        <v>5015</v>
      </c>
      <c r="K177" t="s">
        <v>4525</v>
      </c>
      <c r="L177" t="s">
        <v>4959</v>
      </c>
      <c r="M177" t="s">
        <v>4788</v>
      </c>
      <c r="N177" t="s">
        <v>4788</v>
      </c>
      <c r="O177">
        <v>2266.02</v>
      </c>
      <c r="Q177">
        <v>0</v>
      </c>
      <c r="R177">
        <v>0</v>
      </c>
      <c r="S177">
        <v>521.17999999999995</v>
      </c>
      <c r="T177" t="s">
        <v>4789</v>
      </c>
      <c r="U177">
        <v>1</v>
      </c>
      <c r="V177">
        <v>521.17999999999995</v>
      </c>
      <c r="W177" t="s">
        <v>4343</v>
      </c>
      <c r="Y177" t="b">
        <v>1</v>
      </c>
      <c r="Z177" t="b">
        <v>0</v>
      </c>
      <c r="AA177">
        <v>521.17999999999995</v>
      </c>
      <c r="AB177">
        <v>0</v>
      </c>
      <c r="AD177" t="b">
        <v>0</v>
      </c>
      <c r="AG177" s="1" t="s">
        <v>357</v>
      </c>
      <c r="AH177" s="1" t="s">
        <v>56</v>
      </c>
      <c r="AI177">
        <v>209</v>
      </c>
      <c r="AJ177">
        <v>257</v>
      </c>
      <c r="AK177" s="106">
        <v>45475.635516134258</v>
      </c>
      <c r="AL177" s="1" t="s">
        <v>4790</v>
      </c>
      <c r="AM177" s="42">
        <f>IFERROR(INDEX('Public procurment'!A:R,MATCH(ListOfExpenditure[[#This Row],[Content.contractId]],'Public procurment'!E:E,0),14),0)</f>
        <v>0</v>
      </c>
      <c r="AN177" s="2">
        <f>IF(AND(ListOfExpenditure[[#This Row],[Contract amount]]&gt;10000,ListOfExpenditure[[#This Row],[Content.declaredAmount]]&gt;2000),1,0)</f>
        <v>0</v>
      </c>
      <c r="AO177">
        <f>IFERROR(INDEX('Public procurment'!A:S,MATCH(ListOfExpenditure[[#This Row],[Content.contractId]],'Public procurment'!E:E,0),19),0)</f>
        <v>0</v>
      </c>
      <c r="AP177">
        <f>IF(ListOfExpenditure[[#This Row],[Numero di volte controllato il contract ]]&gt;0,0,ListOfExpenditure[[#This Row],[IF public procurment &gt;10000;1;0]])</f>
        <v>0</v>
      </c>
    </row>
    <row r="178" spans="1:42" x14ac:dyDescent="0.25">
      <c r="A178">
        <v>1136</v>
      </c>
      <c r="B178">
        <v>15</v>
      </c>
      <c r="E178" t="s">
        <v>4786</v>
      </c>
      <c r="F178" t="b">
        <v>1</v>
      </c>
      <c r="I178" t="s">
        <v>5016</v>
      </c>
      <c r="K178" t="s">
        <v>4678</v>
      </c>
      <c r="L178" t="s">
        <v>4835</v>
      </c>
      <c r="M178" t="s">
        <v>4788</v>
      </c>
      <c r="N178" t="s">
        <v>4788</v>
      </c>
      <c r="O178">
        <v>2166.73</v>
      </c>
      <c r="Q178">
        <v>0</v>
      </c>
      <c r="R178">
        <v>0</v>
      </c>
      <c r="S178">
        <v>498.35</v>
      </c>
      <c r="T178" t="s">
        <v>4789</v>
      </c>
      <c r="U178">
        <v>1</v>
      </c>
      <c r="V178">
        <v>498.35</v>
      </c>
      <c r="W178" t="s">
        <v>4343</v>
      </c>
      <c r="Y178" t="b">
        <v>1</v>
      </c>
      <c r="Z178" t="b">
        <v>0</v>
      </c>
      <c r="AA178">
        <v>0</v>
      </c>
      <c r="AB178">
        <v>498.35</v>
      </c>
      <c r="AC178">
        <v>14</v>
      </c>
      <c r="AD178" t="b">
        <v>0</v>
      </c>
      <c r="AF178" t="s">
        <v>5017</v>
      </c>
      <c r="AG178" s="1" t="s">
        <v>357</v>
      </c>
      <c r="AH178" s="1" t="s">
        <v>56</v>
      </c>
      <c r="AI178">
        <v>209</v>
      </c>
      <c r="AJ178">
        <v>257</v>
      </c>
      <c r="AK178" s="106">
        <v>45475.635516134258</v>
      </c>
      <c r="AL178" s="1" t="s">
        <v>4790</v>
      </c>
      <c r="AM178" s="42">
        <f>IFERROR(INDEX('Public procurment'!A:R,MATCH(ListOfExpenditure[[#This Row],[Content.contractId]],'Public procurment'!E:E,0),14),0)</f>
        <v>0</v>
      </c>
      <c r="AN178" s="2">
        <f>IF(AND(ListOfExpenditure[[#This Row],[Contract amount]]&gt;10000,ListOfExpenditure[[#This Row],[Content.declaredAmount]]&gt;2000),1,0)</f>
        <v>0</v>
      </c>
      <c r="AO178">
        <f>IFERROR(INDEX('Public procurment'!A:S,MATCH(ListOfExpenditure[[#This Row],[Content.contractId]],'Public procurment'!E:E,0),19),0)</f>
        <v>0</v>
      </c>
      <c r="AP178">
        <f>IF(ListOfExpenditure[[#This Row],[Numero di volte controllato il contract ]]&gt;0,0,ListOfExpenditure[[#This Row],[IF public procurment &gt;10000;1;0]])</f>
        <v>0</v>
      </c>
    </row>
    <row r="179" spans="1:42" x14ac:dyDescent="0.25">
      <c r="A179">
        <v>1137</v>
      </c>
      <c r="B179">
        <v>16</v>
      </c>
      <c r="E179" t="s">
        <v>4786</v>
      </c>
      <c r="F179" t="b">
        <v>1</v>
      </c>
      <c r="I179" t="s">
        <v>5018</v>
      </c>
      <c r="K179" t="s">
        <v>4342</v>
      </c>
      <c r="L179" t="s">
        <v>4831</v>
      </c>
      <c r="M179" t="s">
        <v>4788</v>
      </c>
      <c r="N179" t="s">
        <v>4788</v>
      </c>
      <c r="O179">
        <v>3391.99</v>
      </c>
      <c r="Q179">
        <v>0</v>
      </c>
      <c r="R179">
        <v>0</v>
      </c>
      <c r="S179">
        <v>339.2</v>
      </c>
      <c r="T179" t="s">
        <v>4789</v>
      </c>
      <c r="U179">
        <v>1</v>
      </c>
      <c r="V179">
        <v>339.2</v>
      </c>
      <c r="W179" t="s">
        <v>4343</v>
      </c>
      <c r="Y179" t="b">
        <v>1</v>
      </c>
      <c r="Z179" t="b">
        <v>0</v>
      </c>
      <c r="AA179">
        <v>339.2</v>
      </c>
      <c r="AB179">
        <v>0</v>
      </c>
      <c r="AD179" t="b">
        <v>0</v>
      </c>
      <c r="AG179" s="1" t="s">
        <v>357</v>
      </c>
      <c r="AH179" s="1" t="s">
        <v>56</v>
      </c>
      <c r="AI179">
        <v>209</v>
      </c>
      <c r="AJ179">
        <v>257</v>
      </c>
      <c r="AK179" s="106">
        <v>45475.635516134258</v>
      </c>
      <c r="AL179" s="1" t="s">
        <v>4790</v>
      </c>
      <c r="AM179" s="42">
        <f>IFERROR(INDEX('Public procurment'!A:R,MATCH(ListOfExpenditure[[#This Row],[Content.contractId]],'Public procurment'!E:E,0),14),0)</f>
        <v>0</v>
      </c>
      <c r="AN179" s="2">
        <f>IF(AND(ListOfExpenditure[[#This Row],[Contract amount]]&gt;10000,ListOfExpenditure[[#This Row],[Content.declaredAmount]]&gt;2000),1,0)</f>
        <v>0</v>
      </c>
      <c r="AO179">
        <f>IFERROR(INDEX('Public procurment'!A:S,MATCH(ListOfExpenditure[[#This Row],[Content.contractId]],'Public procurment'!E:E,0),19),0)</f>
        <v>0</v>
      </c>
      <c r="AP179">
        <f>IF(ListOfExpenditure[[#This Row],[Numero di volte controllato il contract ]]&gt;0,0,ListOfExpenditure[[#This Row],[IF public procurment &gt;10000;1;0]])</f>
        <v>0</v>
      </c>
    </row>
    <row r="180" spans="1:42" x14ac:dyDescent="0.25">
      <c r="A180">
        <v>1139</v>
      </c>
      <c r="B180">
        <v>17</v>
      </c>
      <c r="E180" t="s">
        <v>4786</v>
      </c>
      <c r="F180" t="b">
        <v>1</v>
      </c>
      <c r="I180" t="s">
        <v>5019</v>
      </c>
      <c r="K180" t="s">
        <v>4359</v>
      </c>
      <c r="L180" t="s">
        <v>4957</v>
      </c>
      <c r="M180" t="s">
        <v>4788</v>
      </c>
      <c r="N180" t="s">
        <v>4788</v>
      </c>
      <c r="O180">
        <v>3495.31</v>
      </c>
      <c r="Q180">
        <v>0</v>
      </c>
      <c r="R180">
        <v>0</v>
      </c>
      <c r="S180">
        <v>349.53</v>
      </c>
      <c r="T180" t="s">
        <v>4789</v>
      </c>
      <c r="U180">
        <v>1</v>
      </c>
      <c r="V180">
        <v>349.53</v>
      </c>
      <c r="W180" t="s">
        <v>4343</v>
      </c>
      <c r="Y180" t="b">
        <v>1</v>
      </c>
      <c r="Z180" t="b">
        <v>0</v>
      </c>
      <c r="AA180">
        <v>338.43</v>
      </c>
      <c r="AB180">
        <v>11.1</v>
      </c>
      <c r="AC180">
        <v>14</v>
      </c>
      <c r="AD180" t="b">
        <v>0</v>
      </c>
      <c r="AF180" t="s">
        <v>5003</v>
      </c>
      <c r="AG180" s="1" t="s">
        <v>357</v>
      </c>
      <c r="AH180" s="1" t="s">
        <v>56</v>
      </c>
      <c r="AI180">
        <v>209</v>
      </c>
      <c r="AJ180">
        <v>257</v>
      </c>
      <c r="AK180" s="106">
        <v>45475.635516134258</v>
      </c>
      <c r="AL180" s="1" t="s">
        <v>4790</v>
      </c>
      <c r="AM180" s="42">
        <f>IFERROR(INDEX('Public procurment'!A:R,MATCH(ListOfExpenditure[[#This Row],[Content.contractId]],'Public procurment'!E:E,0),14),0)</f>
        <v>0</v>
      </c>
      <c r="AN180" s="2">
        <f>IF(AND(ListOfExpenditure[[#This Row],[Contract amount]]&gt;10000,ListOfExpenditure[[#This Row],[Content.declaredAmount]]&gt;2000),1,0)</f>
        <v>0</v>
      </c>
      <c r="AO180">
        <f>IFERROR(INDEX('Public procurment'!A:S,MATCH(ListOfExpenditure[[#This Row],[Content.contractId]],'Public procurment'!E:E,0),19),0)</f>
        <v>0</v>
      </c>
      <c r="AP180">
        <f>IF(ListOfExpenditure[[#This Row],[Numero di volte controllato il contract ]]&gt;0,0,ListOfExpenditure[[#This Row],[IF public procurment &gt;10000;1;0]])</f>
        <v>0</v>
      </c>
    </row>
    <row r="181" spans="1:42" x14ac:dyDescent="0.25">
      <c r="A181">
        <v>1140</v>
      </c>
      <c r="B181">
        <v>18</v>
      </c>
      <c r="E181" t="s">
        <v>4786</v>
      </c>
      <c r="F181" t="b">
        <v>1</v>
      </c>
      <c r="I181" t="s">
        <v>5020</v>
      </c>
      <c r="K181" t="s">
        <v>4931</v>
      </c>
      <c r="L181" t="s">
        <v>4958</v>
      </c>
      <c r="M181" t="s">
        <v>4788</v>
      </c>
      <c r="N181" t="s">
        <v>4788</v>
      </c>
      <c r="O181">
        <v>3455.91</v>
      </c>
      <c r="Q181">
        <v>0</v>
      </c>
      <c r="R181">
        <v>0</v>
      </c>
      <c r="S181">
        <v>345.59</v>
      </c>
      <c r="T181" t="s">
        <v>4789</v>
      </c>
      <c r="U181">
        <v>1</v>
      </c>
      <c r="V181">
        <v>345.59</v>
      </c>
      <c r="W181" t="s">
        <v>4343</v>
      </c>
      <c r="Y181" t="b">
        <v>1</v>
      </c>
      <c r="Z181" t="b">
        <v>0</v>
      </c>
      <c r="AA181">
        <v>339.72</v>
      </c>
      <c r="AB181">
        <v>5.87</v>
      </c>
      <c r="AC181">
        <v>14</v>
      </c>
      <c r="AD181" t="b">
        <v>0</v>
      </c>
      <c r="AF181" t="s">
        <v>5003</v>
      </c>
      <c r="AG181" s="1" t="s">
        <v>357</v>
      </c>
      <c r="AH181" s="1" t="s">
        <v>56</v>
      </c>
      <c r="AI181">
        <v>209</v>
      </c>
      <c r="AJ181">
        <v>257</v>
      </c>
      <c r="AK181" s="106">
        <v>45475.635516134258</v>
      </c>
      <c r="AL181" s="1" t="s">
        <v>4790</v>
      </c>
      <c r="AM181" s="42">
        <f>IFERROR(INDEX('Public procurment'!A:R,MATCH(ListOfExpenditure[[#This Row],[Content.contractId]],'Public procurment'!E:E,0),14),0)</f>
        <v>0</v>
      </c>
      <c r="AN181" s="2">
        <f>IF(AND(ListOfExpenditure[[#This Row],[Contract amount]]&gt;10000,ListOfExpenditure[[#This Row],[Content.declaredAmount]]&gt;2000),1,0)</f>
        <v>0</v>
      </c>
      <c r="AO181">
        <f>IFERROR(INDEX('Public procurment'!A:S,MATCH(ListOfExpenditure[[#This Row],[Content.contractId]],'Public procurment'!E:E,0),19),0)</f>
        <v>0</v>
      </c>
      <c r="AP181">
        <f>IF(ListOfExpenditure[[#This Row],[Numero di volte controllato il contract ]]&gt;0,0,ListOfExpenditure[[#This Row],[IF public procurment &gt;10000;1;0]])</f>
        <v>0</v>
      </c>
    </row>
    <row r="182" spans="1:42" x14ac:dyDescent="0.25">
      <c r="A182">
        <v>1142</v>
      </c>
      <c r="B182">
        <v>19</v>
      </c>
      <c r="E182" t="s">
        <v>4786</v>
      </c>
      <c r="F182" t="b">
        <v>1</v>
      </c>
      <c r="I182" t="s">
        <v>5021</v>
      </c>
      <c r="K182" t="s">
        <v>4525</v>
      </c>
      <c r="L182" t="s">
        <v>4959</v>
      </c>
      <c r="M182" t="s">
        <v>4788</v>
      </c>
      <c r="N182" t="s">
        <v>4788</v>
      </c>
      <c r="O182">
        <v>3553.56</v>
      </c>
      <c r="Q182">
        <v>0</v>
      </c>
      <c r="R182">
        <v>0</v>
      </c>
      <c r="S182">
        <v>355.36</v>
      </c>
      <c r="T182" t="s">
        <v>4789</v>
      </c>
      <c r="U182">
        <v>1</v>
      </c>
      <c r="V182">
        <v>355.36</v>
      </c>
      <c r="W182" t="s">
        <v>4343</v>
      </c>
      <c r="Y182" t="b">
        <v>1</v>
      </c>
      <c r="Z182" t="b">
        <v>0</v>
      </c>
      <c r="AA182">
        <v>354.63</v>
      </c>
      <c r="AB182">
        <v>0.73</v>
      </c>
      <c r="AC182">
        <v>14</v>
      </c>
      <c r="AD182" t="b">
        <v>0</v>
      </c>
      <c r="AF182" t="s">
        <v>5003</v>
      </c>
      <c r="AG182" s="1" t="s">
        <v>357</v>
      </c>
      <c r="AH182" s="1" t="s">
        <v>56</v>
      </c>
      <c r="AI182">
        <v>209</v>
      </c>
      <c r="AJ182">
        <v>257</v>
      </c>
      <c r="AK182" s="106">
        <v>45475.635516134258</v>
      </c>
      <c r="AL182" s="1" t="s">
        <v>4790</v>
      </c>
      <c r="AM182" s="42">
        <f>IFERROR(INDEX('Public procurment'!A:R,MATCH(ListOfExpenditure[[#This Row],[Content.contractId]],'Public procurment'!E:E,0),14),0)</f>
        <v>0</v>
      </c>
      <c r="AN182" s="2">
        <f>IF(AND(ListOfExpenditure[[#This Row],[Contract amount]]&gt;10000,ListOfExpenditure[[#This Row],[Content.declaredAmount]]&gt;2000),1,0)</f>
        <v>0</v>
      </c>
      <c r="AO182">
        <f>IFERROR(INDEX('Public procurment'!A:S,MATCH(ListOfExpenditure[[#This Row],[Content.contractId]],'Public procurment'!E:E,0),19),0)</f>
        <v>0</v>
      </c>
      <c r="AP182">
        <f>IF(ListOfExpenditure[[#This Row],[Numero di volte controllato il contract ]]&gt;0,0,ListOfExpenditure[[#This Row],[IF public procurment &gt;10000;1;0]])</f>
        <v>0</v>
      </c>
    </row>
    <row r="183" spans="1:42" x14ac:dyDescent="0.25">
      <c r="A183">
        <v>1143</v>
      </c>
      <c r="B183">
        <v>20</v>
      </c>
      <c r="E183" t="s">
        <v>4786</v>
      </c>
      <c r="F183" t="b">
        <v>1</v>
      </c>
      <c r="I183" t="s">
        <v>5022</v>
      </c>
      <c r="K183" t="s">
        <v>4678</v>
      </c>
      <c r="L183" t="s">
        <v>4835</v>
      </c>
      <c r="M183" t="s">
        <v>4788</v>
      </c>
      <c r="N183" t="s">
        <v>4788</v>
      </c>
      <c r="O183">
        <v>3379.42</v>
      </c>
      <c r="Q183">
        <v>0</v>
      </c>
      <c r="R183">
        <v>0</v>
      </c>
      <c r="S183">
        <v>337.94</v>
      </c>
      <c r="T183" t="s">
        <v>4789</v>
      </c>
      <c r="U183">
        <v>1</v>
      </c>
      <c r="V183">
        <v>337.94</v>
      </c>
      <c r="W183" t="s">
        <v>4343</v>
      </c>
      <c r="Y183" t="b">
        <v>1</v>
      </c>
      <c r="Z183" t="b">
        <v>0</v>
      </c>
      <c r="AA183">
        <v>337.94</v>
      </c>
      <c r="AB183">
        <v>0</v>
      </c>
      <c r="AD183" t="b">
        <v>0</v>
      </c>
      <c r="AG183" s="1" t="s">
        <v>357</v>
      </c>
      <c r="AH183" s="1" t="s">
        <v>56</v>
      </c>
      <c r="AI183">
        <v>209</v>
      </c>
      <c r="AJ183">
        <v>257</v>
      </c>
      <c r="AK183" s="106">
        <v>45475.635516134258</v>
      </c>
      <c r="AL183" s="1" t="s">
        <v>4790</v>
      </c>
      <c r="AM183" s="42">
        <f>IFERROR(INDEX('Public procurment'!A:R,MATCH(ListOfExpenditure[[#This Row],[Content.contractId]],'Public procurment'!E:E,0),14),0)</f>
        <v>0</v>
      </c>
      <c r="AN183" s="2">
        <f>IF(AND(ListOfExpenditure[[#This Row],[Contract amount]]&gt;10000,ListOfExpenditure[[#This Row],[Content.declaredAmount]]&gt;2000),1,0)</f>
        <v>0</v>
      </c>
      <c r="AO183">
        <f>IFERROR(INDEX('Public procurment'!A:S,MATCH(ListOfExpenditure[[#This Row],[Content.contractId]],'Public procurment'!E:E,0),19),0)</f>
        <v>0</v>
      </c>
      <c r="AP183">
        <f>IF(ListOfExpenditure[[#This Row],[Numero di volte controllato il contract ]]&gt;0,0,ListOfExpenditure[[#This Row],[IF public procurment &gt;10000;1;0]])</f>
        <v>0</v>
      </c>
    </row>
    <row r="184" spans="1:42" x14ac:dyDescent="0.25">
      <c r="A184">
        <v>1943</v>
      </c>
      <c r="B184">
        <v>1</v>
      </c>
      <c r="E184" t="s">
        <v>4786</v>
      </c>
      <c r="F184" t="b">
        <v>0</v>
      </c>
      <c r="I184" t="s">
        <v>6241</v>
      </c>
      <c r="K184" t="s">
        <v>4342</v>
      </c>
      <c r="L184" t="s">
        <v>5062</v>
      </c>
      <c r="M184" t="s">
        <v>4788</v>
      </c>
      <c r="N184" t="s">
        <v>4788</v>
      </c>
      <c r="O184">
        <v>2757.99</v>
      </c>
      <c r="Q184">
        <v>0</v>
      </c>
      <c r="R184">
        <v>0</v>
      </c>
      <c r="S184">
        <v>2482.19</v>
      </c>
      <c r="T184" t="s">
        <v>4789</v>
      </c>
      <c r="U184">
        <v>1</v>
      </c>
      <c r="V184">
        <v>2482.19</v>
      </c>
      <c r="W184" t="s">
        <v>4343</v>
      </c>
      <c r="Y184" t="b">
        <v>1</v>
      </c>
      <c r="Z184" t="b">
        <v>0</v>
      </c>
      <c r="AA184">
        <v>2391.94</v>
      </c>
      <c r="AB184">
        <v>90.25</v>
      </c>
      <c r="AC184">
        <v>14</v>
      </c>
      <c r="AD184" t="b">
        <v>0</v>
      </c>
      <c r="AF184" t="s">
        <v>6242</v>
      </c>
      <c r="AG184" s="1" t="s">
        <v>357</v>
      </c>
      <c r="AH184" s="1" t="s">
        <v>320</v>
      </c>
      <c r="AI184">
        <v>210</v>
      </c>
      <c r="AJ184">
        <v>162</v>
      </c>
      <c r="AK184" s="106">
        <v>45475.635538240742</v>
      </c>
      <c r="AL184" s="1" t="s">
        <v>4790</v>
      </c>
      <c r="AM184" s="42">
        <f>IFERROR(INDEX('Public procurment'!A:R,MATCH(ListOfExpenditure[[#This Row],[Content.contractId]],'Public procurment'!E:E,0),14),0)</f>
        <v>0</v>
      </c>
      <c r="AN184" s="2">
        <f>IF(AND(ListOfExpenditure[[#This Row],[Contract amount]]&gt;10000,ListOfExpenditure[[#This Row],[Content.declaredAmount]]&gt;2000),1,0)</f>
        <v>0</v>
      </c>
      <c r="AO184">
        <f>IFERROR(INDEX('Public procurment'!A:S,MATCH(ListOfExpenditure[[#This Row],[Content.contractId]],'Public procurment'!E:E,0),19),0)</f>
        <v>0</v>
      </c>
      <c r="AP184">
        <f>IF(ListOfExpenditure[[#This Row],[Numero di volte controllato il contract ]]&gt;0,0,ListOfExpenditure[[#This Row],[IF public procurment &gt;10000;1;0]])</f>
        <v>0</v>
      </c>
    </row>
    <row r="185" spans="1:42" x14ac:dyDescent="0.25">
      <c r="A185">
        <v>1945</v>
      </c>
      <c r="B185">
        <v>2</v>
      </c>
      <c r="E185" t="s">
        <v>4786</v>
      </c>
      <c r="F185" t="b">
        <v>0</v>
      </c>
      <c r="I185" t="s">
        <v>6243</v>
      </c>
      <c r="K185" t="s">
        <v>4342</v>
      </c>
      <c r="L185" t="s">
        <v>5062</v>
      </c>
      <c r="M185" t="s">
        <v>4788</v>
      </c>
      <c r="N185" t="s">
        <v>4788</v>
      </c>
      <c r="O185">
        <v>3696.72</v>
      </c>
      <c r="Q185">
        <v>0</v>
      </c>
      <c r="R185">
        <v>0</v>
      </c>
      <c r="S185">
        <v>332.7</v>
      </c>
      <c r="T185" t="s">
        <v>4789</v>
      </c>
      <c r="U185">
        <v>1</v>
      </c>
      <c r="V185">
        <v>332.7</v>
      </c>
      <c r="W185" t="s">
        <v>4343</v>
      </c>
      <c r="Y185" t="b">
        <v>1</v>
      </c>
      <c r="Z185" t="b">
        <v>0</v>
      </c>
      <c r="AA185">
        <v>303.11</v>
      </c>
      <c r="AB185">
        <v>29.59</v>
      </c>
      <c r="AC185">
        <v>14</v>
      </c>
      <c r="AD185" t="b">
        <v>0</v>
      </c>
      <c r="AF185" t="s">
        <v>6242</v>
      </c>
      <c r="AG185" s="1" t="s">
        <v>357</v>
      </c>
      <c r="AH185" s="1" t="s">
        <v>320</v>
      </c>
      <c r="AI185">
        <v>210</v>
      </c>
      <c r="AJ185">
        <v>162</v>
      </c>
      <c r="AK185" s="106">
        <v>45475.635538240742</v>
      </c>
      <c r="AL185" s="1" t="s">
        <v>4790</v>
      </c>
      <c r="AM185" s="42">
        <f>IFERROR(INDEX('Public procurment'!A:R,MATCH(ListOfExpenditure[[#This Row],[Content.contractId]],'Public procurment'!E:E,0),14),0)</f>
        <v>0</v>
      </c>
      <c r="AN185" s="2">
        <f>IF(AND(ListOfExpenditure[[#This Row],[Contract amount]]&gt;10000,ListOfExpenditure[[#This Row],[Content.declaredAmount]]&gt;2000),1,0)</f>
        <v>0</v>
      </c>
      <c r="AO185">
        <f>IFERROR(INDEX('Public procurment'!A:S,MATCH(ListOfExpenditure[[#This Row],[Content.contractId]],'Public procurment'!E:E,0),19),0)</f>
        <v>0</v>
      </c>
      <c r="AP185">
        <f>IF(ListOfExpenditure[[#This Row],[Numero di volte controllato il contract ]]&gt;0,0,ListOfExpenditure[[#This Row],[IF public procurment &gt;10000;1;0]])</f>
        <v>0</v>
      </c>
    </row>
    <row r="186" spans="1:42" x14ac:dyDescent="0.25">
      <c r="A186">
        <v>1946</v>
      </c>
      <c r="B186">
        <v>3</v>
      </c>
      <c r="E186" t="s">
        <v>4786</v>
      </c>
      <c r="F186" t="b">
        <v>0</v>
      </c>
      <c r="I186" t="s">
        <v>6244</v>
      </c>
      <c r="K186" t="s">
        <v>4342</v>
      </c>
      <c r="L186" t="s">
        <v>5062</v>
      </c>
      <c r="M186" t="s">
        <v>4788</v>
      </c>
      <c r="N186" t="s">
        <v>4788</v>
      </c>
      <c r="O186">
        <v>2666.29</v>
      </c>
      <c r="Q186">
        <v>0</v>
      </c>
      <c r="R186">
        <v>0</v>
      </c>
      <c r="S186">
        <v>213.3</v>
      </c>
      <c r="T186" t="s">
        <v>4789</v>
      </c>
      <c r="U186">
        <v>1</v>
      </c>
      <c r="V186">
        <v>213.3</v>
      </c>
      <c r="W186" t="s">
        <v>4343</v>
      </c>
      <c r="Y186" t="b">
        <v>1</v>
      </c>
      <c r="Z186" t="b">
        <v>0</v>
      </c>
      <c r="AA186">
        <v>188.43</v>
      </c>
      <c r="AB186">
        <v>24.87</v>
      </c>
      <c r="AC186">
        <v>14</v>
      </c>
      <c r="AD186" t="b">
        <v>0</v>
      </c>
      <c r="AF186" t="s">
        <v>6242</v>
      </c>
      <c r="AG186" s="1" t="s">
        <v>357</v>
      </c>
      <c r="AH186" s="1" t="s">
        <v>320</v>
      </c>
      <c r="AI186">
        <v>210</v>
      </c>
      <c r="AJ186">
        <v>162</v>
      </c>
      <c r="AK186" s="106">
        <v>45475.635538240742</v>
      </c>
      <c r="AL186" s="1" t="s">
        <v>4790</v>
      </c>
      <c r="AM186" s="42">
        <f>IFERROR(INDEX('Public procurment'!A:R,MATCH(ListOfExpenditure[[#This Row],[Content.contractId]],'Public procurment'!E:E,0),14),0)</f>
        <v>0</v>
      </c>
      <c r="AN186" s="2">
        <f>IF(AND(ListOfExpenditure[[#This Row],[Contract amount]]&gt;10000,ListOfExpenditure[[#This Row],[Content.declaredAmount]]&gt;2000),1,0)</f>
        <v>0</v>
      </c>
      <c r="AO186">
        <f>IFERROR(INDEX('Public procurment'!A:S,MATCH(ListOfExpenditure[[#This Row],[Content.contractId]],'Public procurment'!E:E,0),19),0)</f>
        <v>0</v>
      </c>
      <c r="AP186">
        <f>IF(ListOfExpenditure[[#This Row],[Numero di volte controllato il contract ]]&gt;0,0,ListOfExpenditure[[#This Row],[IF public procurment &gt;10000;1;0]])</f>
        <v>0</v>
      </c>
    </row>
    <row r="187" spans="1:42" x14ac:dyDescent="0.25">
      <c r="A187">
        <v>1949</v>
      </c>
      <c r="B187">
        <v>4</v>
      </c>
      <c r="E187" t="s">
        <v>4786</v>
      </c>
      <c r="F187" t="b">
        <v>0</v>
      </c>
      <c r="I187" t="s">
        <v>6245</v>
      </c>
      <c r="K187" t="s">
        <v>4359</v>
      </c>
      <c r="L187" t="s">
        <v>5706</v>
      </c>
      <c r="M187" t="s">
        <v>4788</v>
      </c>
      <c r="N187" t="s">
        <v>4788</v>
      </c>
      <c r="O187">
        <v>2771.15</v>
      </c>
      <c r="Q187">
        <v>0</v>
      </c>
      <c r="R187">
        <v>0</v>
      </c>
      <c r="S187">
        <v>2494.0300000000002</v>
      </c>
      <c r="T187" t="s">
        <v>4789</v>
      </c>
      <c r="U187">
        <v>1</v>
      </c>
      <c r="V187">
        <v>2494.0300000000002</v>
      </c>
      <c r="W187" t="s">
        <v>4343</v>
      </c>
      <c r="Y187" t="b">
        <v>1</v>
      </c>
      <c r="Z187" t="b">
        <v>0</v>
      </c>
      <c r="AA187">
        <v>2403.7800000000002</v>
      </c>
      <c r="AB187">
        <v>90.25</v>
      </c>
      <c r="AC187">
        <v>14</v>
      </c>
      <c r="AD187" t="b">
        <v>0</v>
      </c>
      <c r="AF187" t="s">
        <v>6242</v>
      </c>
      <c r="AG187" s="1" t="s">
        <v>357</v>
      </c>
      <c r="AH187" s="1" t="s">
        <v>320</v>
      </c>
      <c r="AI187">
        <v>210</v>
      </c>
      <c r="AJ187">
        <v>162</v>
      </c>
      <c r="AK187" s="106">
        <v>45475.635538240742</v>
      </c>
      <c r="AL187" s="1" t="s">
        <v>4790</v>
      </c>
      <c r="AM187" s="42">
        <f>IFERROR(INDEX('Public procurment'!A:R,MATCH(ListOfExpenditure[[#This Row],[Content.contractId]],'Public procurment'!E:E,0),14),0)</f>
        <v>0</v>
      </c>
      <c r="AN187" s="2">
        <f>IF(AND(ListOfExpenditure[[#This Row],[Contract amount]]&gt;10000,ListOfExpenditure[[#This Row],[Content.declaredAmount]]&gt;2000),1,0)</f>
        <v>0</v>
      </c>
      <c r="AO187">
        <f>IFERROR(INDEX('Public procurment'!A:S,MATCH(ListOfExpenditure[[#This Row],[Content.contractId]],'Public procurment'!E:E,0),19),0)</f>
        <v>0</v>
      </c>
      <c r="AP187">
        <f>IF(ListOfExpenditure[[#This Row],[Numero di volte controllato il contract ]]&gt;0,0,ListOfExpenditure[[#This Row],[IF public procurment &gt;10000;1;0]])</f>
        <v>0</v>
      </c>
    </row>
    <row r="188" spans="1:42" x14ac:dyDescent="0.25">
      <c r="A188">
        <v>1950</v>
      </c>
      <c r="B188">
        <v>5</v>
      </c>
      <c r="E188" t="s">
        <v>4786</v>
      </c>
      <c r="F188" t="b">
        <v>0</v>
      </c>
      <c r="I188" t="s">
        <v>6246</v>
      </c>
      <c r="K188" t="s">
        <v>4359</v>
      </c>
      <c r="L188" t="s">
        <v>5706</v>
      </c>
      <c r="M188" t="s">
        <v>4788</v>
      </c>
      <c r="N188" t="s">
        <v>4788</v>
      </c>
      <c r="O188">
        <v>3409.81</v>
      </c>
      <c r="Q188">
        <v>0</v>
      </c>
      <c r="R188">
        <v>0</v>
      </c>
      <c r="S188">
        <v>306.88</v>
      </c>
      <c r="T188" t="s">
        <v>4789</v>
      </c>
      <c r="U188">
        <v>1</v>
      </c>
      <c r="V188">
        <v>306.88</v>
      </c>
      <c r="W188" t="s">
        <v>4343</v>
      </c>
      <c r="Y188" t="b">
        <v>1</v>
      </c>
      <c r="Z188" t="b">
        <v>0</v>
      </c>
      <c r="AA188">
        <v>297.57</v>
      </c>
      <c r="AB188">
        <v>9.31</v>
      </c>
      <c r="AC188">
        <v>14</v>
      </c>
      <c r="AD188" t="b">
        <v>0</v>
      </c>
      <c r="AF188" t="s">
        <v>6242</v>
      </c>
      <c r="AG188" s="1" t="s">
        <v>357</v>
      </c>
      <c r="AH188" s="1" t="s">
        <v>320</v>
      </c>
      <c r="AI188">
        <v>210</v>
      </c>
      <c r="AJ188">
        <v>162</v>
      </c>
      <c r="AK188" s="106">
        <v>45475.635538240742</v>
      </c>
      <c r="AL188" s="1" t="s">
        <v>4790</v>
      </c>
      <c r="AM188" s="42">
        <f>IFERROR(INDEX('Public procurment'!A:R,MATCH(ListOfExpenditure[[#This Row],[Content.contractId]],'Public procurment'!E:E,0),14),0)</f>
        <v>0</v>
      </c>
      <c r="AN188" s="2">
        <f>IF(AND(ListOfExpenditure[[#This Row],[Contract amount]]&gt;10000,ListOfExpenditure[[#This Row],[Content.declaredAmount]]&gt;2000),1,0)</f>
        <v>0</v>
      </c>
      <c r="AO188">
        <f>IFERROR(INDEX('Public procurment'!A:S,MATCH(ListOfExpenditure[[#This Row],[Content.contractId]],'Public procurment'!E:E,0),19),0)</f>
        <v>0</v>
      </c>
      <c r="AP188">
        <f>IF(ListOfExpenditure[[#This Row],[Numero di volte controllato il contract ]]&gt;0,0,ListOfExpenditure[[#This Row],[IF public procurment &gt;10000;1;0]])</f>
        <v>0</v>
      </c>
    </row>
    <row r="189" spans="1:42" x14ac:dyDescent="0.25">
      <c r="A189">
        <v>1951</v>
      </c>
      <c r="B189">
        <v>6</v>
      </c>
      <c r="E189" t="s">
        <v>4786</v>
      </c>
      <c r="F189" t="b">
        <v>0</v>
      </c>
      <c r="I189" t="s">
        <v>6247</v>
      </c>
      <c r="K189" t="s">
        <v>4359</v>
      </c>
      <c r="L189" t="s">
        <v>5706</v>
      </c>
      <c r="M189" t="s">
        <v>4788</v>
      </c>
      <c r="N189" t="s">
        <v>4788</v>
      </c>
      <c r="O189">
        <v>2882.82</v>
      </c>
      <c r="Q189">
        <v>0</v>
      </c>
      <c r="R189">
        <v>0</v>
      </c>
      <c r="S189">
        <v>230.63</v>
      </c>
      <c r="T189" t="s">
        <v>4789</v>
      </c>
      <c r="U189">
        <v>1</v>
      </c>
      <c r="V189">
        <v>230.63</v>
      </c>
      <c r="W189" t="s">
        <v>4343</v>
      </c>
      <c r="Y189" t="b">
        <v>1</v>
      </c>
      <c r="Z189" t="b">
        <v>0</v>
      </c>
      <c r="AA189">
        <v>189.73</v>
      </c>
      <c r="AB189">
        <v>40.9</v>
      </c>
      <c r="AC189">
        <v>14</v>
      </c>
      <c r="AD189" t="b">
        <v>0</v>
      </c>
      <c r="AF189" t="s">
        <v>6242</v>
      </c>
      <c r="AG189" s="1" t="s">
        <v>357</v>
      </c>
      <c r="AH189" s="1" t="s">
        <v>320</v>
      </c>
      <c r="AI189">
        <v>210</v>
      </c>
      <c r="AJ189">
        <v>162</v>
      </c>
      <c r="AK189" s="106">
        <v>45475.635538240742</v>
      </c>
      <c r="AL189" s="1" t="s">
        <v>4790</v>
      </c>
      <c r="AM189" s="42">
        <f>IFERROR(INDEX('Public procurment'!A:R,MATCH(ListOfExpenditure[[#This Row],[Content.contractId]],'Public procurment'!E:E,0),14),0)</f>
        <v>0</v>
      </c>
      <c r="AN189" s="2">
        <f>IF(AND(ListOfExpenditure[[#This Row],[Contract amount]]&gt;10000,ListOfExpenditure[[#This Row],[Content.declaredAmount]]&gt;2000),1,0)</f>
        <v>0</v>
      </c>
      <c r="AO189">
        <f>IFERROR(INDEX('Public procurment'!A:S,MATCH(ListOfExpenditure[[#This Row],[Content.contractId]],'Public procurment'!E:E,0),19),0)</f>
        <v>0</v>
      </c>
      <c r="AP189">
        <f>IF(ListOfExpenditure[[#This Row],[Numero di volte controllato il contract ]]&gt;0,0,ListOfExpenditure[[#This Row],[IF public procurment &gt;10000;1;0]])</f>
        <v>0</v>
      </c>
    </row>
    <row r="190" spans="1:42" x14ac:dyDescent="0.25">
      <c r="A190">
        <v>1952</v>
      </c>
      <c r="B190">
        <v>7</v>
      </c>
      <c r="E190" t="s">
        <v>4786</v>
      </c>
      <c r="F190" t="b">
        <v>0</v>
      </c>
      <c r="I190" t="s">
        <v>6248</v>
      </c>
      <c r="K190" t="s">
        <v>4931</v>
      </c>
      <c r="L190" t="s">
        <v>4914</v>
      </c>
      <c r="M190" t="s">
        <v>4788</v>
      </c>
      <c r="N190" t="s">
        <v>4788</v>
      </c>
      <c r="O190">
        <v>2779.26</v>
      </c>
      <c r="Q190">
        <v>0</v>
      </c>
      <c r="R190">
        <v>0</v>
      </c>
      <c r="S190">
        <v>2501.34</v>
      </c>
      <c r="T190" t="s">
        <v>4789</v>
      </c>
      <c r="U190">
        <v>1</v>
      </c>
      <c r="V190">
        <v>2501.34</v>
      </c>
      <c r="W190" t="s">
        <v>4343</v>
      </c>
      <c r="Y190" t="b">
        <v>1</v>
      </c>
      <c r="Z190" t="b">
        <v>0</v>
      </c>
      <c r="AA190">
        <v>2411.09</v>
      </c>
      <c r="AB190">
        <v>90.25</v>
      </c>
      <c r="AC190">
        <v>14</v>
      </c>
      <c r="AD190" t="b">
        <v>0</v>
      </c>
      <c r="AF190" t="s">
        <v>6242</v>
      </c>
      <c r="AG190" s="1" t="s">
        <v>357</v>
      </c>
      <c r="AH190" s="1" t="s">
        <v>320</v>
      </c>
      <c r="AI190">
        <v>210</v>
      </c>
      <c r="AJ190">
        <v>162</v>
      </c>
      <c r="AK190" s="106">
        <v>45475.635538240742</v>
      </c>
      <c r="AL190" s="1" t="s">
        <v>4790</v>
      </c>
      <c r="AM190" s="42">
        <f>IFERROR(INDEX('Public procurment'!A:R,MATCH(ListOfExpenditure[[#This Row],[Content.contractId]],'Public procurment'!E:E,0),14),0)</f>
        <v>0</v>
      </c>
      <c r="AN190" s="2">
        <f>IF(AND(ListOfExpenditure[[#This Row],[Contract amount]]&gt;10000,ListOfExpenditure[[#This Row],[Content.declaredAmount]]&gt;2000),1,0)</f>
        <v>0</v>
      </c>
      <c r="AO190">
        <f>IFERROR(INDEX('Public procurment'!A:S,MATCH(ListOfExpenditure[[#This Row],[Content.contractId]],'Public procurment'!E:E,0),19),0)</f>
        <v>0</v>
      </c>
      <c r="AP190">
        <f>IF(ListOfExpenditure[[#This Row],[Numero di volte controllato il contract ]]&gt;0,0,ListOfExpenditure[[#This Row],[IF public procurment &gt;10000;1;0]])</f>
        <v>0</v>
      </c>
    </row>
    <row r="191" spans="1:42" x14ac:dyDescent="0.25">
      <c r="A191">
        <v>1953</v>
      </c>
      <c r="B191">
        <v>8</v>
      </c>
      <c r="E191" t="s">
        <v>4786</v>
      </c>
      <c r="F191" t="b">
        <v>0</v>
      </c>
      <c r="I191" t="s">
        <v>6249</v>
      </c>
      <c r="K191" t="s">
        <v>4931</v>
      </c>
      <c r="L191" t="s">
        <v>4914</v>
      </c>
      <c r="M191" t="s">
        <v>4788</v>
      </c>
      <c r="N191" t="s">
        <v>4788</v>
      </c>
      <c r="O191">
        <v>3410.74</v>
      </c>
      <c r="Q191">
        <v>0</v>
      </c>
      <c r="R191">
        <v>0</v>
      </c>
      <c r="S191">
        <v>306.97000000000003</v>
      </c>
      <c r="T191" t="s">
        <v>4789</v>
      </c>
      <c r="U191">
        <v>1</v>
      </c>
      <c r="V191">
        <v>306.97000000000003</v>
      </c>
      <c r="W191" t="s">
        <v>4343</v>
      </c>
      <c r="Y191" t="b">
        <v>1</v>
      </c>
      <c r="Z191" t="b">
        <v>0</v>
      </c>
      <c r="AA191">
        <v>297.94</v>
      </c>
      <c r="AB191">
        <v>9.0299999999999994</v>
      </c>
      <c r="AC191">
        <v>14</v>
      </c>
      <c r="AD191" t="b">
        <v>0</v>
      </c>
      <c r="AF191" t="s">
        <v>6242</v>
      </c>
      <c r="AG191" s="1" t="s">
        <v>357</v>
      </c>
      <c r="AH191" s="1" t="s">
        <v>320</v>
      </c>
      <c r="AI191">
        <v>210</v>
      </c>
      <c r="AJ191">
        <v>162</v>
      </c>
      <c r="AK191" s="106">
        <v>45475.635538240742</v>
      </c>
      <c r="AL191" s="1" t="s">
        <v>4790</v>
      </c>
      <c r="AM191" s="42">
        <f>IFERROR(INDEX('Public procurment'!A:R,MATCH(ListOfExpenditure[[#This Row],[Content.contractId]],'Public procurment'!E:E,0),14),0)</f>
        <v>0</v>
      </c>
      <c r="AN191" s="2">
        <f>IF(AND(ListOfExpenditure[[#This Row],[Contract amount]]&gt;10000,ListOfExpenditure[[#This Row],[Content.declaredAmount]]&gt;2000),1,0)</f>
        <v>0</v>
      </c>
      <c r="AO191">
        <f>IFERROR(INDEX('Public procurment'!A:S,MATCH(ListOfExpenditure[[#This Row],[Content.contractId]],'Public procurment'!E:E,0),19),0)</f>
        <v>0</v>
      </c>
      <c r="AP191">
        <f>IF(ListOfExpenditure[[#This Row],[Numero di volte controllato il contract ]]&gt;0,0,ListOfExpenditure[[#This Row],[IF public procurment &gt;10000;1;0]])</f>
        <v>0</v>
      </c>
    </row>
    <row r="192" spans="1:42" x14ac:dyDescent="0.25">
      <c r="A192">
        <v>1954</v>
      </c>
      <c r="B192">
        <v>9</v>
      </c>
      <c r="E192" t="s">
        <v>4786</v>
      </c>
      <c r="F192" t="b">
        <v>0</v>
      </c>
      <c r="I192" t="s">
        <v>6250</v>
      </c>
      <c r="K192" t="s">
        <v>4931</v>
      </c>
      <c r="L192" t="s">
        <v>4914</v>
      </c>
      <c r="M192" t="s">
        <v>4788</v>
      </c>
      <c r="N192" t="s">
        <v>4788</v>
      </c>
      <c r="O192">
        <v>2707.08</v>
      </c>
      <c r="Q192">
        <v>0</v>
      </c>
      <c r="R192">
        <v>0</v>
      </c>
      <c r="S192">
        <v>216.57</v>
      </c>
      <c r="T192" t="s">
        <v>4789</v>
      </c>
      <c r="U192">
        <v>1</v>
      </c>
      <c r="V192">
        <v>216.57</v>
      </c>
      <c r="W192" t="s">
        <v>4343</v>
      </c>
      <c r="Y192" t="b">
        <v>1</v>
      </c>
      <c r="Z192" t="b">
        <v>0</v>
      </c>
      <c r="AA192">
        <v>183.33</v>
      </c>
      <c r="AB192">
        <v>33.24</v>
      </c>
      <c r="AC192">
        <v>14</v>
      </c>
      <c r="AD192" t="b">
        <v>0</v>
      </c>
      <c r="AF192" t="s">
        <v>6242</v>
      </c>
      <c r="AG192" s="1" t="s">
        <v>357</v>
      </c>
      <c r="AH192" s="1" t="s">
        <v>320</v>
      </c>
      <c r="AI192">
        <v>210</v>
      </c>
      <c r="AJ192">
        <v>162</v>
      </c>
      <c r="AK192" s="106">
        <v>45475.635538240742</v>
      </c>
      <c r="AL192" s="1" t="s">
        <v>4790</v>
      </c>
      <c r="AM192" s="42">
        <f>IFERROR(INDEX('Public procurment'!A:R,MATCH(ListOfExpenditure[[#This Row],[Content.contractId]],'Public procurment'!E:E,0),14),0)</f>
        <v>0</v>
      </c>
      <c r="AN192" s="2">
        <f>IF(AND(ListOfExpenditure[[#This Row],[Contract amount]]&gt;10000,ListOfExpenditure[[#This Row],[Content.declaredAmount]]&gt;2000),1,0)</f>
        <v>0</v>
      </c>
      <c r="AO192">
        <f>IFERROR(INDEX('Public procurment'!A:S,MATCH(ListOfExpenditure[[#This Row],[Content.contractId]],'Public procurment'!E:E,0),19),0)</f>
        <v>0</v>
      </c>
      <c r="AP192">
        <f>IF(ListOfExpenditure[[#This Row],[Numero di volte controllato il contract ]]&gt;0,0,ListOfExpenditure[[#This Row],[IF public procurment &gt;10000;1;0]])</f>
        <v>0</v>
      </c>
    </row>
    <row r="193" spans="1:42" x14ac:dyDescent="0.25">
      <c r="A193">
        <v>1955</v>
      </c>
      <c r="B193">
        <v>10</v>
      </c>
      <c r="E193" t="s">
        <v>4786</v>
      </c>
      <c r="F193" t="b">
        <v>0</v>
      </c>
      <c r="I193" t="s">
        <v>6251</v>
      </c>
      <c r="K193" t="s">
        <v>4931</v>
      </c>
      <c r="L193" t="s">
        <v>4914</v>
      </c>
      <c r="M193" t="s">
        <v>4788</v>
      </c>
      <c r="N193" t="s">
        <v>4788</v>
      </c>
      <c r="O193">
        <v>601.79</v>
      </c>
      <c r="Q193">
        <v>0</v>
      </c>
      <c r="R193">
        <v>0</v>
      </c>
      <c r="S193">
        <v>391.16</v>
      </c>
      <c r="T193" t="s">
        <v>4789</v>
      </c>
      <c r="U193">
        <v>1</v>
      </c>
      <c r="V193">
        <v>391.16</v>
      </c>
      <c r="W193" t="s">
        <v>4343</v>
      </c>
      <c r="Y193" t="b">
        <v>1</v>
      </c>
      <c r="Z193" t="b">
        <v>0</v>
      </c>
      <c r="AA193">
        <v>374.05</v>
      </c>
      <c r="AB193">
        <v>17.11</v>
      </c>
      <c r="AC193">
        <v>14</v>
      </c>
      <c r="AD193" t="b">
        <v>0</v>
      </c>
      <c r="AF193" t="s">
        <v>6242</v>
      </c>
      <c r="AG193" s="1" t="s">
        <v>357</v>
      </c>
      <c r="AH193" s="1" t="s">
        <v>320</v>
      </c>
      <c r="AI193">
        <v>210</v>
      </c>
      <c r="AJ193">
        <v>162</v>
      </c>
      <c r="AK193" s="106">
        <v>45475.635538240742</v>
      </c>
      <c r="AL193" s="1" t="s">
        <v>4790</v>
      </c>
      <c r="AM193" s="42">
        <f>IFERROR(INDEX('Public procurment'!A:R,MATCH(ListOfExpenditure[[#This Row],[Content.contractId]],'Public procurment'!E:E,0),14),0)</f>
        <v>0</v>
      </c>
      <c r="AN193" s="2">
        <f>IF(AND(ListOfExpenditure[[#This Row],[Contract amount]]&gt;10000,ListOfExpenditure[[#This Row],[Content.declaredAmount]]&gt;2000),1,0)</f>
        <v>0</v>
      </c>
      <c r="AO193">
        <f>IFERROR(INDEX('Public procurment'!A:S,MATCH(ListOfExpenditure[[#This Row],[Content.contractId]],'Public procurment'!E:E,0),19),0)</f>
        <v>0</v>
      </c>
      <c r="AP193">
        <f>IF(ListOfExpenditure[[#This Row],[Numero di volte controllato il contract ]]&gt;0,0,ListOfExpenditure[[#This Row],[IF public procurment &gt;10000;1;0]])</f>
        <v>0</v>
      </c>
    </row>
    <row r="194" spans="1:42" x14ac:dyDescent="0.25">
      <c r="A194">
        <v>1957</v>
      </c>
      <c r="B194">
        <v>11</v>
      </c>
      <c r="E194" t="s">
        <v>4786</v>
      </c>
      <c r="F194" t="b">
        <v>0</v>
      </c>
      <c r="I194" t="s">
        <v>6252</v>
      </c>
      <c r="K194" t="s">
        <v>4525</v>
      </c>
      <c r="L194" t="s">
        <v>5130</v>
      </c>
      <c r="M194" t="s">
        <v>4788</v>
      </c>
      <c r="N194" t="s">
        <v>4788</v>
      </c>
      <c r="O194">
        <v>2961.67</v>
      </c>
      <c r="Q194">
        <v>0</v>
      </c>
      <c r="R194">
        <v>0</v>
      </c>
      <c r="S194">
        <v>2665.5</v>
      </c>
      <c r="T194" t="s">
        <v>4789</v>
      </c>
      <c r="U194">
        <v>1</v>
      </c>
      <c r="V194">
        <v>2665.5</v>
      </c>
      <c r="W194" t="s">
        <v>4343</v>
      </c>
      <c r="Y194" t="b">
        <v>1</v>
      </c>
      <c r="Z194" t="b">
        <v>0</v>
      </c>
      <c r="AA194">
        <v>2260.4899999999998</v>
      </c>
      <c r="AB194">
        <v>405.01</v>
      </c>
      <c r="AC194">
        <v>14</v>
      </c>
      <c r="AD194" t="b">
        <v>0</v>
      </c>
      <c r="AF194" t="s">
        <v>6242</v>
      </c>
      <c r="AG194" s="1" t="s">
        <v>357</v>
      </c>
      <c r="AH194" s="1" t="s">
        <v>320</v>
      </c>
      <c r="AI194">
        <v>210</v>
      </c>
      <c r="AJ194">
        <v>162</v>
      </c>
      <c r="AK194" s="106">
        <v>45475.635538240742</v>
      </c>
      <c r="AL194" s="1" t="s">
        <v>4790</v>
      </c>
      <c r="AM194" s="42">
        <f>IFERROR(INDEX('Public procurment'!A:R,MATCH(ListOfExpenditure[[#This Row],[Content.contractId]],'Public procurment'!E:E,0),14),0)</f>
        <v>0</v>
      </c>
      <c r="AN194" s="2">
        <f>IF(AND(ListOfExpenditure[[#This Row],[Contract amount]]&gt;10000,ListOfExpenditure[[#This Row],[Content.declaredAmount]]&gt;2000),1,0)</f>
        <v>0</v>
      </c>
      <c r="AO194">
        <f>IFERROR(INDEX('Public procurment'!A:S,MATCH(ListOfExpenditure[[#This Row],[Content.contractId]],'Public procurment'!E:E,0),19),0)</f>
        <v>0</v>
      </c>
      <c r="AP194">
        <f>IF(ListOfExpenditure[[#This Row],[Numero di volte controllato il contract ]]&gt;0,0,ListOfExpenditure[[#This Row],[IF public procurment &gt;10000;1;0]])</f>
        <v>0</v>
      </c>
    </row>
    <row r="195" spans="1:42" x14ac:dyDescent="0.25">
      <c r="A195">
        <v>1958</v>
      </c>
      <c r="B195">
        <v>12</v>
      </c>
      <c r="E195" t="s">
        <v>4786</v>
      </c>
      <c r="F195" t="b">
        <v>0</v>
      </c>
      <c r="I195" t="s">
        <v>6253</v>
      </c>
      <c r="K195" t="s">
        <v>4525</v>
      </c>
      <c r="L195" t="s">
        <v>5130</v>
      </c>
      <c r="M195" t="s">
        <v>4788</v>
      </c>
      <c r="N195" t="s">
        <v>4788</v>
      </c>
      <c r="O195">
        <v>3571.7</v>
      </c>
      <c r="Q195">
        <v>0</v>
      </c>
      <c r="R195">
        <v>0</v>
      </c>
      <c r="S195">
        <v>321.45</v>
      </c>
      <c r="T195" t="s">
        <v>4789</v>
      </c>
      <c r="U195">
        <v>1</v>
      </c>
      <c r="V195">
        <v>321.45</v>
      </c>
      <c r="W195" t="s">
        <v>4343</v>
      </c>
      <c r="Y195" t="b">
        <v>1</v>
      </c>
      <c r="Z195" t="b">
        <v>0</v>
      </c>
      <c r="AA195">
        <v>282.13</v>
      </c>
      <c r="AB195">
        <v>39.32</v>
      </c>
      <c r="AC195">
        <v>14</v>
      </c>
      <c r="AD195" t="b">
        <v>0</v>
      </c>
      <c r="AF195" t="s">
        <v>6242</v>
      </c>
      <c r="AG195" s="1" t="s">
        <v>357</v>
      </c>
      <c r="AH195" s="1" t="s">
        <v>320</v>
      </c>
      <c r="AI195">
        <v>210</v>
      </c>
      <c r="AJ195">
        <v>162</v>
      </c>
      <c r="AK195" s="106">
        <v>45475.635538240742</v>
      </c>
      <c r="AL195" s="1" t="s">
        <v>4790</v>
      </c>
      <c r="AM195" s="42">
        <f>IFERROR(INDEX('Public procurment'!A:R,MATCH(ListOfExpenditure[[#This Row],[Content.contractId]],'Public procurment'!E:E,0),14),0)</f>
        <v>0</v>
      </c>
      <c r="AN195" s="2">
        <f>IF(AND(ListOfExpenditure[[#This Row],[Contract amount]]&gt;10000,ListOfExpenditure[[#This Row],[Content.declaredAmount]]&gt;2000),1,0)</f>
        <v>0</v>
      </c>
      <c r="AO195">
        <f>IFERROR(INDEX('Public procurment'!A:S,MATCH(ListOfExpenditure[[#This Row],[Content.contractId]],'Public procurment'!E:E,0),19),0)</f>
        <v>0</v>
      </c>
      <c r="AP195">
        <f>IF(ListOfExpenditure[[#This Row],[Numero di volte controllato il contract ]]&gt;0,0,ListOfExpenditure[[#This Row],[IF public procurment &gt;10000;1;0]])</f>
        <v>0</v>
      </c>
    </row>
    <row r="196" spans="1:42" x14ac:dyDescent="0.25">
      <c r="A196">
        <v>1959</v>
      </c>
      <c r="B196">
        <v>13</v>
      </c>
      <c r="E196" t="s">
        <v>4786</v>
      </c>
      <c r="F196" t="b">
        <v>0</v>
      </c>
      <c r="I196" t="s">
        <v>6254</v>
      </c>
      <c r="K196" t="s">
        <v>4525</v>
      </c>
      <c r="L196" t="s">
        <v>5130</v>
      </c>
      <c r="M196" t="s">
        <v>4788</v>
      </c>
      <c r="N196" t="s">
        <v>4788</v>
      </c>
      <c r="O196">
        <v>2486.4299999999998</v>
      </c>
      <c r="Q196">
        <v>0</v>
      </c>
      <c r="R196">
        <v>0</v>
      </c>
      <c r="S196">
        <v>198.91</v>
      </c>
      <c r="T196" t="s">
        <v>4789</v>
      </c>
      <c r="U196">
        <v>1</v>
      </c>
      <c r="V196">
        <v>198.91</v>
      </c>
      <c r="W196" t="s">
        <v>4343</v>
      </c>
      <c r="Y196" t="b">
        <v>1</v>
      </c>
      <c r="Z196" t="b">
        <v>0</v>
      </c>
      <c r="AA196">
        <v>172.26</v>
      </c>
      <c r="AB196">
        <v>26.65</v>
      </c>
      <c r="AC196">
        <v>14</v>
      </c>
      <c r="AD196" t="b">
        <v>0</v>
      </c>
      <c r="AF196" t="s">
        <v>6242</v>
      </c>
      <c r="AG196" s="1" t="s">
        <v>357</v>
      </c>
      <c r="AH196" s="1" t="s">
        <v>320</v>
      </c>
      <c r="AI196">
        <v>210</v>
      </c>
      <c r="AJ196">
        <v>162</v>
      </c>
      <c r="AK196" s="106">
        <v>45475.635538240742</v>
      </c>
      <c r="AL196" s="1" t="s">
        <v>4790</v>
      </c>
      <c r="AM196" s="42">
        <f>IFERROR(INDEX('Public procurment'!A:R,MATCH(ListOfExpenditure[[#This Row],[Content.contractId]],'Public procurment'!E:E,0),14),0)</f>
        <v>0</v>
      </c>
      <c r="AN196" s="2">
        <f>IF(AND(ListOfExpenditure[[#This Row],[Contract amount]]&gt;10000,ListOfExpenditure[[#This Row],[Content.declaredAmount]]&gt;2000),1,0)</f>
        <v>0</v>
      </c>
      <c r="AO196">
        <f>IFERROR(INDEX('Public procurment'!A:S,MATCH(ListOfExpenditure[[#This Row],[Content.contractId]],'Public procurment'!E:E,0),19),0)</f>
        <v>0</v>
      </c>
      <c r="AP196">
        <f>IF(ListOfExpenditure[[#This Row],[Numero di volte controllato il contract ]]&gt;0,0,ListOfExpenditure[[#This Row],[IF public procurment &gt;10000;1;0]])</f>
        <v>0</v>
      </c>
    </row>
    <row r="197" spans="1:42" x14ac:dyDescent="0.25">
      <c r="A197">
        <v>1960</v>
      </c>
      <c r="B197">
        <v>14</v>
      </c>
      <c r="E197" t="s">
        <v>4786</v>
      </c>
      <c r="F197" t="b">
        <v>0</v>
      </c>
      <c r="I197" t="s">
        <v>6255</v>
      </c>
      <c r="K197" t="s">
        <v>4525</v>
      </c>
      <c r="L197" t="s">
        <v>5130</v>
      </c>
      <c r="M197" t="s">
        <v>4788</v>
      </c>
      <c r="N197" t="s">
        <v>4788</v>
      </c>
      <c r="O197">
        <v>2216.56</v>
      </c>
      <c r="Q197">
        <v>0</v>
      </c>
      <c r="R197">
        <v>0</v>
      </c>
      <c r="S197">
        <v>1440.76</v>
      </c>
      <c r="T197" t="s">
        <v>4789</v>
      </c>
      <c r="U197">
        <v>1</v>
      </c>
      <c r="V197">
        <v>1440.76</v>
      </c>
      <c r="W197" t="s">
        <v>4343</v>
      </c>
      <c r="Y197" t="b">
        <v>1</v>
      </c>
      <c r="Z197" t="b">
        <v>0</v>
      </c>
      <c r="AA197">
        <v>1409.4</v>
      </c>
      <c r="AB197">
        <v>31.36</v>
      </c>
      <c r="AC197">
        <v>14</v>
      </c>
      <c r="AD197" t="b">
        <v>0</v>
      </c>
      <c r="AF197" t="s">
        <v>6242</v>
      </c>
      <c r="AG197" s="1" t="s">
        <v>357</v>
      </c>
      <c r="AH197" s="1" t="s">
        <v>320</v>
      </c>
      <c r="AI197">
        <v>210</v>
      </c>
      <c r="AJ197">
        <v>162</v>
      </c>
      <c r="AK197" s="106">
        <v>45475.635538240742</v>
      </c>
      <c r="AL197" s="1" t="s">
        <v>4790</v>
      </c>
      <c r="AM197" s="42">
        <f>IFERROR(INDEX('Public procurment'!A:R,MATCH(ListOfExpenditure[[#This Row],[Content.contractId]],'Public procurment'!E:E,0),14),0)</f>
        <v>0</v>
      </c>
      <c r="AN197" s="2">
        <f>IF(AND(ListOfExpenditure[[#This Row],[Contract amount]]&gt;10000,ListOfExpenditure[[#This Row],[Content.declaredAmount]]&gt;2000),1,0)</f>
        <v>0</v>
      </c>
      <c r="AO197">
        <f>IFERROR(INDEX('Public procurment'!A:S,MATCH(ListOfExpenditure[[#This Row],[Content.contractId]],'Public procurment'!E:E,0),19),0)</f>
        <v>0</v>
      </c>
      <c r="AP197">
        <f>IF(ListOfExpenditure[[#This Row],[Numero di volte controllato il contract ]]&gt;0,0,ListOfExpenditure[[#This Row],[IF public procurment &gt;10000;1;0]])</f>
        <v>0</v>
      </c>
    </row>
    <row r="198" spans="1:42" x14ac:dyDescent="0.25">
      <c r="A198">
        <v>1962</v>
      </c>
      <c r="B198">
        <v>15</v>
      </c>
      <c r="E198" t="s">
        <v>4786</v>
      </c>
      <c r="F198" t="b">
        <v>0</v>
      </c>
      <c r="I198" t="s">
        <v>6256</v>
      </c>
      <c r="K198" t="s">
        <v>4678</v>
      </c>
      <c r="L198" t="s">
        <v>5480</v>
      </c>
      <c r="M198" t="s">
        <v>4788</v>
      </c>
      <c r="N198" t="s">
        <v>4788</v>
      </c>
      <c r="O198">
        <v>3563.81</v>
      </c>
      <c r="Q198">
        <v>0</v>
      </c>
      <c r="R198">
        <v>0</v>
      </c>
      <c r="S198">
        <v>3220.15</v>
      </c>
      <c r="T198" t="s">
        <v>4789</v>
      </c>
      <c r="U198">
        <v>1</v>
      </c>
      <c r="V198">
        <v>3220.15</v>
      </c>
      <c r="W198" t="s">
        <v>4343</v>
      </c>
      <c r="Y198" t="b">
        <v>1</v>
      </c>
      <c r="Z198" t="b">
        <v>0</v>
      </c>
      <c r="AA198">
        <v>2428.65</v>
      </c>
      <c r="AB198">
        <v>791.5</v>
      </c>
      <c r="AC198">
        <v>14</v>
      </c>
      <c r="AD198" t="b">
        <v>0</v>
      </c>
      <c r="AF198" t="s">
        <v>6242</v>
      </c>
      <c r="AG198" s="1" t="s">
        <v>357</v>
      </c>
      <c r="AH198" s="1" t="s">
        <v>320</v>
      </c>
      <c r="AI198">
        <v>210</v>
      </c>
      <c r="AJ198">
        <v>162</v>
      </c>
      <c r="AK198" s="106">
        <v>45475.635538240742</v>
      </c>
      <c r="AL198" s="1" t="s">
        <v>4790</v>
      </c>
      <c r="AM198" s="42">
        <f>IFERROR(INDEX('Public procurment'!A:R,MATCH(ListOfExpenditure[[#This Row],[Content.contractId]],'Public procurment'!E:E,0),14),0)</f>
        <v>0</v>
      </c>
      <c r="AN198" s="2">
        <f>IF(AND(ListOfExpenditure[[#This Row],[Contract amount]]&gt;10000,ListOfExpenditure[[#This Row],[Content.declaredAmount]]&gt;2000),1,0)</f>
        <v>0</v>
      </c>
      <c r="AO198">
        <f>IFERROR(INDEX('Public procurment'!A:S,MATCH(ListOfExpenditure[[#This Row],[Content.contractId]],'Public procurment'!E:E,0),19),0)</f>
        <v>0</v>
      </c>
      <c r="AP198">
        <f>IF(ListOfExpenditure[[#This Row],[Numero di volte controllato il contract ]]&gt;0,0,ListOfExpenditure[[#This Row],[IF public procurment &gt;10000;1;0]])</f>
        <v>0</v>
      </c>
    </row>
    <row r="199" spans="1:42" x14ac:dyDescent="0.25">
      <c r="A199">
        <v>1963</v>
      </c>
      <c r="B199">
        <v>16</v>
      </c>
      <c r="E199" t="s">
        <v>4786</v>
      </c>
      <c r="F199" t="b">
        <v>0</v>
      </c>
      <c r="I199" t="s">
        <v>6257</v>
      </c>
      <c r="K199" t="s">
        <v>4678</v>
      </c>
      <c r="L199" t="s">
        <v>5480</v>
      </c>
      <c r="M199" t="s">
        <v>4788</v>
      </c>
      <c r="N199" t="s">
        <v>4788</v>
      </c>
      <c r="O199">
        <v>3464.64</v>
      </c>
      <c r="Q199">
        <v>0</v>
      </c>
      <c r="R199">
        <v>0</v>
      </c>
      <c r="S199">
        <v>311.82</v>
      </c>
      <c r="T199" t="s">
        <v>4789</v>
      </c>
      <c r="U199">
        <v>1</v>
      </c>
      <c r="V199">
        <v>311.82</v>
      </c>
      <c r="W199" t="s">
        <v>4343</v>
      </c>
      <c r="Y199" t="b">
        <v>1</v>
      </c>
      <c r="Z199" t="b">
        <v>0</v>
      </c>
      <c r="AA199">
        <v>302.17</v>
      </c>
      <c r="AB199">
        <v>9.65</v>
      </c>
      <c r="AC199">
        <v>14</v>
      </c>
      <c r="AD199" t="b">
        <v>0</v>
      </c>
      <c r="AF199" t="s">
        <v>6242</v>
      </c>
      <c r="AG199" s="1" t="s">
        <v>357</v>
      </c>
      <c r="AH199" s="1" t="s">
        <v>320</v>
      </c>
      <c r="AI199">
        <v>210</v>
      </c>
      <c r="AJ199">
        <v>162</v>
      </c>
      <c r="AK199" s="106">
        <v>45475.635538240742</v>
      </c>
      <c r="AL199" s="1" t="s">
        <v>4790</v>
      </c>
      <c r="AM199" s="42">
        <f>IFERROR(INDEX('Public procurment'!A:R,MATCH(ListOfExpenditure[[#This Row],[Content.contractId]],'Public procurment'!E:E,0),14),0)</f>
        <v>0</v>
      </c>
      <c r="AN199" s="2">
        <f>IF(AND(ListOfExpenditure[[#This Row],[Contract amount]]&gt;10000,ListOfExpenditure[[#This Row],[Content.declaredAmount]]&gt;2000),1,0)</f>
        <v>0</v>
      </c>
      <c r="AO199">
        <f>IFERROR(INDEX('Public procurment'!A:S,MATCH(ListOfExpenditure[[#This Row],[Content.contractId]],'Public procurment'!E:E,0),19),0)</f>
        <v>0</v>
      </c>
      <c r="AP199">
        <f>IF(ListOfExpenditure[[#This Row],[Numero di volte controllato il contract ]]&gt;0,0,ListOfExpenditure[[#This Row],[IF public procurment &gt;10000;1;0]])</f>
        <v>0</v>
      </c>
    </row>
    <row r="200" spans="1:42" x14ac:dyDescent="0.25">
      <c r="A200">
        <v>1964</v>
      </c>
      <c r="B200">
        <v>17</v>
      </c>
      <c r="E200" t="s">
        <v>4786</v>
      </c>
      <c r="F200" t="b">
        <v>0</v>
      </c>
      <c r="I200" t="s">
        <v>6258</v>
      </c>
      <c r="K200" t="s">
        <v>4678</v>
      </c>
      <c r="L200" t="s">
        <v>5480</v>
      </c>
      <c r="M200" t="s">
        <v>4788</v>
      </c>
      <c r="N200" t="s">
        <v>4788</v>
      </c>
      <c r="O200">
        <v>2433.87</v>
      </c>
      <c r="Q200">
        <v>0</v>
      </c>
      <c r="R200">
        <v>0</v>
      </c>
      <c r="S200">
        <v>194.71</v>
      </c>
      <c r="T200" t="s">
        <v>4789</v>
      </c>
      <c r="U200">
        <v>1</v>
      </c>
      <c r="V200">
        <v>194.71</v>
      </c>
      <c r="W200" t="s">
        <v>4343</v>
      </c>
      <c r="Y200" t="b">
        <v>1</v>
      </c>
      <c r="Z200" t="b">
        <v>0</v>
      </c>
      <c r="AA200">
        <v>185.84</v>
      </c>
      <c r="AB200">
        <v>8.8699999999999992</v>
      </c>
      <c r="AC200">
        <v>14</v>
      </c>
      <c r="AD200" t="b">
        <v>0</v>
      </c>
      <c r="AF200" t="s">
        <v>6242</v>
      </c>
      <c r="AG200" s="1" t="s">
        <v>357</v>
      </c>
      <c r="AH200" s="1" t="s">
        <v>320</v>
      </c>
      <c r="AI200">
        <v>210</v>
      </c>
      <c r="AJ200">
        <v>162</v>
      </c>
      <c r="AK200" s="106">
        <v>45475.635538240742</v>
      </c>
      <c r="AL200" s="1" t="s">
        <v>4790</v>
      </c>
      <c r="AM200" s="42">
        <f>IFERROR(INDEX('Public procurment'!A:R,MATCH(ListOfExpenditure[[#This Row],[Content.contractId]],'Public procurment'!E:E,0),14),0)</f>
        <v>0</v>
      </c>
      <c r="AN200" s="2">
        <f>IF(AND(ListOfExpenditure[[#This Row],[Contract amount]]&gt;10000,ListOfExpenditure[[#This Row],[Content.declaredAmount]]&gt;2000),1,0)</f>
        <v>0</v>
      </c>
      <c r="AO200">
        <f>IFERROR(INDEX('Public procurment'!A:S,MATCH(ListOfExpenditure[[#This Row],[Content.contractId]],'Public procurment'!E:E,0),19),0)</f>
        <v>0</v>
      </c>
      <c r="AP200">
        <f>IF(ListOfExpenditure[[#This Row],[Numero di volte controllato il contract ]]&gt;0,0,ListOfExpenditure[[#This Row],[IF public procurment &gt;10000;1;0]])</f>
        <v>0</v>
      </c>
    </row>
    <row r="201" spans="1:42" x14ac:dyDescent="0.25">
      <c r="A201">
        <v>1965</v>
      </c>
      <c r="B201">
        <v>18</v>
      </c>
      <c r="E201" t="s">
        <v>4786</v>
      </c>
      <c r="F201" t="b">
        <v>0</v>
      </c>
      <c r="I201" t="s">
        <v>6259</v>
      </c>
      <c r="K201" t="s">
        <v>4678</v>
      </c>
      <c r="L201" t="s">
        <v>5480</v>
      </c>
      <c r="M201" t="s">
        <v>4788</v>
      </c>
      <c r="N201" t="s">
        <v>4788</v>
      </c>
      <c r="O201">
        <v>2199.64</v>
      </c>
      <c r="Q201">
        <v>0</v>
      </c>
      <c r="R201">
        <v>0</v>
      </c>
      <c r="S201">
        <v>1429.77</v>
      </c>
      <c r="T201" t="s">
        <v>4789</v>
      </c>
      <c r="U201">
        <v>1</v>
      </c>
      <c r="V201">
        <v>1429.77</v>
      </c>
      <c r="W201" t="s">
        <v>4343</v>
      </c>
      <c r="Y201" t="b">
        <v>1</v>
      </c>
      <c r="Z201" t="b">
        <v>0</v>
      </c>
      <c r="AA201">
        <v>1363.84</v>
      </c>
      <c r="AB201">
        <v>65.930000000000007</v>
      </c>
      <c r="AC201">
        <v>14</v>
      </c>
      <c r="AD201" t="b">
        <v>0</v>
      </c>
      <c r="AF201" t="s">
        <v>6242</v>
      </c>
      <c r="AG201" s="1" t="s">
        <v>357</v>
      </c>
      <c r="AH201" s="1" t="s">
        <v>320</v>
      </c>
      <c r="AI201">
        <v>210</v>
      </c>
      <c r="AJ201">
        <v>162</v>
      </c>
      <c r="AK201" s="106">
        <v>45475.635538240742</v>
      </c>
      <c r="AL201" s="1" t="s">
        <v>4790</v>
      </c>
      <c r="AM201" s="42">
        <f>IFERROR(INDEX('Public procurment'!A:R,MATCH(ListOfExpenditure[[#This Row],[Content.contractId]],'Public procurment'!E:E,0),14),0)</f>
        <v>0</v>
      </c>
      <c r="AN201" s="2">
        <f>IF(AND(ListOfExpenditure[[#This Row],[Contract amount]]&gt;10000,ListOfExpenditure[[#This Row],[Content.declaredAmount]]&gt;2000),1,0)</f>
        <v>0</v>
      </c>
      <c r="AO201">
        <f>IFERROR(INDEX('Public procurment'!A:S,MATCH(ListOfExpenditure[[#This Row],[Content.contractId]],'Public procurment'!E:E,0),19),0)</f>
        <v>0</v>
      </c>
      <c r="AP201">
        <f>IF(ListOfExpenditure[[#This Row],[Numero di volte controllato il contract ]]&gt;0,0,ListOfExpenditure[[#This Row],[IF public procurment &gt;10000;1;0]])</f>
        <v>0</v>
      </c>
    </row>
    <row r="202" spans="1:42" x14ac:dyDescent="0.25">
      <c r="A202">
        <v>1966</v>
      </c>
      <c r="B202">
        <v>19</v>
      </c>
      <c r="E202" t="s">
        <v>4786</v>
      </c>
      <c r="F202" t="b">
        <v>0</v>
      </c>
      <c r="I202" t="s">
        <v>6260</v>
      </c>
      <c r="K202" t="s">
        <v>4348</v>
      </c>
      <c r="L202" t="s">
        <v>4977</v>
      </c>
      <c r="M202" t="s">
        <v>4788</v>
      </c>
      <c r="N202" t="s">
        <v>4788</v>
      </c>
      <c r="O202">
        <v>3128.4</v>
      </c>
      <c r="Q202">
        <v>0</v>
      </c>
      <c r="R202">
        <v>0</v>
      </c>
      <c r="S202">
        <v>2815.56</v>
      </c>
      <c r="T202" t="s">
        <v>4789</v>
      </c>
      <c r="U202">
        <v>1</v>
      </c>
      <c r="V202">
        <v>2815.56</v>
      </c>
      <c r="W202" t="s">
        <v>4343</v>
      </c>
      <c r="Y202" t="b">
        <v>1</v>
      </c>
      <c r="Z202" t="b">
        <v>0</v>
      </c>
      <c r="AA202">
        <v>0</v>
      </c>
      <c r="AB202">
        <v>2815.56</v>
      </c>
      <c r="AC202">
        <v>14</v>
      </c>
      <c r="AD202" t="b">
        <v>0</v>
      </c>
      <c r="AF202" t="s">
        <v>6261</v>
      </c>
      <c r="AG202" s="1" t="s">
        <v>357</v>
      </c>
      <c r="AH202" s="1" t="s">
        <v>320</v>
      </c>
      <c r="AI202">
        <v>210</v>
      </c>
      <c r="AJ202">
        <v>162</v>
      </c>
      <c r="AK202" s="106">
        <v>45475.635538240742</v>
      </c>
      <c r="AL202" s="1" t="s">
        <v>4790</v>
      </c>
      <c r="AM202" s="42">
        <f>IFERROR(INDEX('Public procurment'!A:R,MATCH(ListOfExpenditure[[#This Row],[Content.contractId]],'Public procurment'!E:E,0),14),0)</f>
        <v>0</v>
      </c>
      <c r="AN202" s="2">
        <f>IF(AND(ListOfExpenditure[[#This Row],[Contract amount]]&gt;10000,ListOfExpenditure[[#This Row],[Content.declaredAmount]]&gt;2000),1,0)</f>
        <v>0</v>
      </c>
      <c r="AO202">
        <f>IFERROR(INDEX('Public procurment'!A:S,MATCH(ListOfExpenditure[[#This Row],[Content.contractId]],'Public procurment'!E:E,0),19),0)</f>
        <v>0</v>
      </c>
      <c r="AP202">
        <f>IF(ListOfExpenditure[[#This Row],[Numero di volte controllato il contract ]]&gt;0,0,ListOfExpenditure[[#This Row],[IF public procurment &gt;10000;1;0]])</f>
        <v>0</v>
      </c>
    </row>
    <row r="203" spans="1:42" x14ac:dyDescent="0.25">
      <c r="A203">
        <v>1967</v>
      </c>
      <c r="B203">
        <v>20</v>
      </c>
      <c r="E203" t="s">
        <v>4786</v>
      </c>
      <c r="F203" t="b">
        <v>0</v>
      </c>
      <c r="I203" t="s">
        <v>6262</v>
      </c>
      <c r="K203" t="s">
        <v>4348</v>
      </c>
      <c r="L203" t="s">
        <v>4977</v>
      </c>
      <c r="M203" t="s">
        <v>4788</v>
      </c>
      <c r="N203" t="s">
        <v>4788</v>
      </c>
      <c r="O203">
        <v>3391.07</v>
      </c>
      <c r="Q203">
        <v>0</v>
      </c>
      <c r="R203">
        <v>0</v>
      </c>
      <c r="S203">
        <v>305.2</v>
      </c>
      <c r="T203" t="s">
        <v>4789</v>
      </c>
      <c r="U203">
        <v>1</v>
      </c>
      <c r="V203">
        <v>305.2</v>
      </c>
      <c r="W203" t="s">
        <v>4343</v>
      </c>
      <c r="Y203" t="b">
        <v>1</v>
      </c>
      <c r="Z203" t="b">
        <v>0</v>
      </c>
      <c r="AA203">
        <v>0</v>
      </c>
      <c r="AB203">
        <v>305.2</v>
      </c>
      <c r="AC203">
        <v>14</v>
      </c>
      <c r="AD203" t="b">
        <v>0</v>
      </c>
      <c r="AF203" t="s">
        <v>6261</v>
      </c>
      <c r="AG203" s="1" t="s">
        <v>357</v>
      </c>
      <c r="AH203" s="1" t="s">
        <v>320</v>
      </c>
      <c r="AI203">
        <v>210</v>
      </c>
      <c r="AJ203">
        <v>162</v>
      </c>
      <c r="AK203" s="106">
        <v>45475.635538240742</v>
      </c>
      <c r="AL203" s="1" t="s">
        <v>4790</v>
      </c>
      <c r="AM203" s="42">
        <f>IFERROR(INDEX('Public procurment'!A:R,MATCH(ListOfExpenditure[[#This Row],[Content.contractId]],'Public procurment'!E:E,0),14),0)</f>
        <v>0</v>
      </c>
      <c r="AN203" s="2">
        <f>IF(AND(ListOfExpenditure[[#This Row],[Contract amount]]&gt;10000,ListOfExpenditure[[#This Row],[Content.declaredAmount]]&gt;2000),1,0)</f>
        <v>0</v>
      </c>
      <c r="AO203">
        <f>IFERROR(INDEX('Public procurment'!A:S,MATCH(ListOfExpenditure[[#This Row],[Content.contractId]],'Public procurment'!E:E,0),19),0)</f>
        <v>0</v>
      </c>
      <c r="AP203">
        <f>IF(ListOfExpenditure[[#This Row],[Numero di volte controllato il contract ]]&gt;0,0,ListOfExpenditure[[#This Row],[IF public procurment &gt;10000;1;0]])</f>
        <v>0</v>
      </c>
    </row>
    <row r="204" spans="1:42" x14ac:dyDescent="0.25">
      <c r="A204">
        <v>1968</v>
      </c>
      <c r="B204">
        <v>21</v>
      </c>
      <c r="E204" t="s">
        <v>4786</v>
      </c>
      <c r="F204" t="b">
        <v>0</v>
      </c>
      <c r="I204" t="s">
        <v>6263</v>
      </c>
      <c r="K204" t="s">
        <v>4348</v>
      </c>
      <c r="L204" t="s">
        <v>4977</v>
      </c>
      <c r="M204" t="s">
        <v>4788</v>
      </c>
      <c r="N204" t="s">
        <v>4788</v>
      </c>
      <c r="O204">
        <v>2423.5300000000002</v>
      </c>
      <c r="Q204">
        <v>0</v>
      </c>
      <c r="R204">
        <v>0</v>
      </c>
      <c r="S204">
        <v>193.88</v>
      </c>
      <c r="T204" t="s">
        <v>4789</v>
      </c>
      <c r="U204">
        <v>1</v>
      </c>
      <c r="V204">
        <v>193.88</v>
      </c>
      <c r="W204" t="s">
        <v>4343</v>
      </c>
      <c r="Y204" t="b">
        <v>1</v>
      </c>
      <c r="Z204" t="b">
        <v>0</v>
      </c>
      <c r="AA204">
        <v>0</v>
      </c>
      <c r="AB204">
        <v>193.88</v>
      </c>
      <c r="AC204">
        <v>14</v>
      </c>
      <c r="AD204" t="b">
        <v>0</v>
      </c>
      <c r="AF204" t="s">
        <v>6261</v>
      </c>
      <c r="AG204" s="1" t="s">
        <v>357</v>
      </c>
      <c r="AH204" s="1" t="s">
        <v>320</v>
      </c>
      <c r="AI204">
        <v>210</v>
      </c>
      <c r="AJ204">
        <v>162</v>
      </c>
      <c r="AK204" s="106">
        <v>45475.635538240742</v>
      </c>
      <c r="AL204" s="1" t="s">
        <v>4790</v>
      </c>
      <c r="AM204" s="42">
        <f>IFERROR(INDEX('Public procurment'!A:R,MATCH(ListOfExpenditure[[#This Row],[Content.contractId]],'Public procurment'!E:E,0),14),0)</f>
        <v>0</v>
      </c>
      <c r="AN204" s="2">
        <f>IF(AND(ListOfExpenditure[[#This Row],[Contract amount]]&gt;10000,ListOfExpenditure[[#This Row],[Content.declaredAmount]]&gt;2000),1,0)</f>
        <v>0</v>
      </c>
      <c r="AO204">
        <f>IFERROR(INDEX('Public procurment'!A:S,MATCH(ListOfExpenditure[[#This Row],[Content.contractId]],'Public procurment'!E:E,0),19),0)</f>
        <v>0</v>
      </c>
      <c r="AP204">
        <f>IF(ListOfExpenditure[[#This Row],[Numero di volte controllato il contract ]]&gt;0,0,ListOfExpenditure[[#This Row],[IF public procurment &gt;10000;1;0]])</f>
        <v>0</v>
      </c>
    </row>
    <row r="205" spans="1:42" x14ac:dyDescent="0.25">
      <c r="A205">
        <v>1969</v>
      </c>
      <c r="B205">
        <v>22</v>
      </c>
      <c r="E205" t="s">
        <v>4786</v>
      </c>
      <c r="F205" t="b">
        <v>0</v>
      </c>
      <c r="I205" t="s">
        <v>6264</v>
      </c>
      <c r="K205" t="s">
        <v>4348</v>
      </c>
      <c r="L205" t="s">
        <v>4977</v>
      </c>
      <c r="M205" t="s">
        <v>4788</v>
      </c>
      <c r="N205" t="s">
        <v>4788</v>
      </c>
      <c r="O205">
        <v>2050.6799999999998</v>
      </c>
      <c r="Q205">
        <v>0</v>
      </c>
      <c r="R205">
        <v>0</v>
      </c>
      <c r="S205">
        <v>1332.94</v>
      </c>
      <c r="T205" t="s">
        <v>4789</v>
      </c>
      <c r="U205">
        <v>1</v>
      </c>
      <c r="V205">
        <v>1332.94</v>
      </c>
      <c r="W205" t="s">
        <v>4343</v>
      </c>
      <c r="Y205" t="b">
        <v>1</v>
      </c>
      <c r="Z205" t="b">
        <v>0</v>
      </c>
      <c r="AA205">
        <v>0</v>
      </c>
      <c r="AB205">
        <v>1332.94</v>
      </c>
      <c r="AC205">
        <v>14</v>
      </c>
      <c r="AD205" t="b">
        <v>0</v>
      </c>
      <c r="AF205" t="s">
        <v>6261</v>
      </c>
      <c r="AG205" s="1" t="s">
        <v>357</v>
      </c>
      <c r="AH205" s="1" t="s">
        <v>320</v>
      </c>
      <c r="AI205">
        <v>210</v>
      </c>
      <c r="AJ205">
        <v>162</v>
      </c>
      <c r="AK205" s="106">
        <v>45475.635538240742</v>
      </c>
      <c r="AL205" s="1" t="s">
        <v>4790</v>
      </c>
      <c r="AM205" s="42">
        <f>IFERROR(INDEX('Public procurment'!A:R,MATCH(ListOfExpenditure[[#This Row],[Content.contractId]],'Public procurment'!E:E,0),14),0)</f>
        <v>0</v>
      </c>
      <c r="AN205" s="2">
        <f>IF(AND(ListOfExpenditure[[#This Row],[Contract amount]]&gt;10000,ListOfExpenditure[[#This Row],[Content.declaredAmount]]&gt;2000),1,0)</f>
        <v>0</v>
      </c>
      <c r="AO205">
        <f>IFERROR(INDEX('Public procurment'!A:S,MATCH(ListOfExpenditure[[#This Row],[Content.contractId]],'Public procurment'!E:E,0),19),0)</f>
        <v>0</v>
      </c>
      <c r="AP205">
        <f>IF(ListOfExpenditure[[#This Row],[Numero di volte controllato il contract ]]&gt;0,0,ListOfExpenditure[[#This Row],[IF public procurment &gt;10000;1;0]])</f>
        <v>0</v>
      </c>
    </row>
    <row r="206" spans="1:42" x14ac:dyDescent="0.25">
      <c r="A206">
        <v>1793</v>
      </c>
      <c r="B206">
        <v>1</v>
      </c>
      <c r="D206">
        <v>139</v>
      </c>
      <c r="E206" t="s">
        <v>4786</v>
      </c>
      <c r="F206" t="b">
        <v>0</v>
      </c>
      <c r="M206" t="s">
        <v>4788</v>
      </c>
      <c r="N206" t="s">
        <v>4788</v>
      </c>
      <c r="Q206">
        <v>25</v>
      </c>
      <c r="R206">
        <v>27</v>
      </c>
      <c r="S206">
        <v>675</v>
      </c>
      <c r="T206" t="s">
        <v>4789</v>
      </c>
      <c r="U206">
        <v>1</v>
      </c>
      <c r="V206">
        <v>675</v>
      </c>
      <c r="Y206" t="b">
        <v>1</v>
      </c>
      <c r="Z206" t="b">
        <v>0</v>
      </c>
      <c r="AA206">
        <v>675</v>
      </c>
      <c r="AB206">
        <v>0</v>
      </c>
      <c r="AD206" t="b">
        <v>0</v>
      </c>
      <c r="AG206" s="1" t="s">
        <v>365</v>
      </c>
      <c r="AH206" s="1" t="s">
        <v>293</v>
      </c>
      <c r="AI206">
        <v>266</v>
      </c>
      <c r="AJ206">
        <v>321</v>
      </c>
      <c r="AK206" s="106">
        <v>45475.635501793979</v>
      </c>
      <c r="AL206" s="1" t="s">
        <v>4790</v>
      </c>
      <c r="AM206" s="42">
        <f>IFERROR(INDEX('Public procurment'!A:R,MATCH(ListOfExpenditure[[#This Row],[Content.contractId]],'Public procurment'!E:E,0),14),0)</f>
        <v>0</v>
      </c>
      <c r="AN206" s="2">
        <f>IF(AND(ListOfExpenditure[[#This Row],[Contract amount]]&gt;10000,ListOfExpenditure[[#This Row],[Content.declaredAmount]]&gt;2000),1,0)</f>
        <v>0</v>
      </c>
      <c r="AO206">
        <f>IFERROR(INDEX('Public procurment'!A:S,MATCH(ListOfExpenditure[[#This Row],[Content.contractId]],'Public procurment'!E:E,0),19),0)</f>
        <v>0</v>
      </c>
      <c r="AP206">
        <f>IF(ListOfExpenditure[[#This Row],[Numero di volte controllato il contract ]]&gt;0,0,ListOfExpenditure[[#This Row],[IF public procurment &gt;10000;1;0]])</f>
        <v>0</v>
      </c>
    </row>
    <row r="207" spans="1:42" x14ac:dyDescent="0.25">
      <c r="A207">
        <v>1898</v>
      </c>
      <c r="B207">
        <v>1</v>
      </c>
      <c r="E207" t="s">
        <v>4786</v>
      </c>
      <c r="F207" t="b">
        <v>1</v>
      </c>
      <c r="I207" t="s">
        <v>6144</v>
      </c>
      <c r="K207" t="s">
        <v>4348</v>
      </c>
      <c r="L207" t="s">
        <v>6145</v>
      </c>
      <c r="M207" t="s">
        <v>4788</v>
      </c>
      <c r="N207" t="s">
        <v>4788</v>
      </c>
      <c r="O207">
        <v>42731.51</v>
      </c>
      <c r="Q207">
        <v>0</v>
      </c>
      <c r="R207">
        <v>0</v>
      </c>
      <c r="S207">
        <v>6061.07</v>
      </c>
      <c r="T207" t="s">
        <v>4789</v>
      </c>
      <c r="U207">
        <v>1</v>
      </c>
      <c r="V207">
        <v>6061.07</v>
      </c>
      <c r="W207" t="s">
        <v>4343</v>
      </c>
      <c r="Y207" t="b">
        <v>1</v>
      </c>
      <c r="Z207" t="b">
        <v>0</v>
      </c>
      <c r="AA207">
        <v>5525.9</v>
      </c>
      <c r="AB207">
        <v>535.16999999999996</v>
      </c>
      <c r="AC207">
        <v>14</v>
      </c>
      <c r="AD207" t="b">
        <v>0</v>
      </c>
      <c r="AF207" t="s">
        <v>6146</v>
      </c>
      <c r="AG207" s="1" t="s">
        <v>365</v>
      </c>
      <c r="AH207" s="1" t="s">
        <v>366</v>
      </c>
      <c r="AI207">
        <v>263</v>
      </c>
      <c r="AJ207">
        <v>265</v>
      </c>
      <c r="AK207" s="106">
        <v>45475.635523344907</v>
      </c>
      <c r="AL207" s="1" t="s">
        <v>4790</v>
      </c>
      <c r="AM207" s="42">
        <f>IFERROR(INDEX('Public procurment'!A:R,MATCH(ListOfExpenditure[[#This Row],[Content.contractId]],'Public procurment'!E:E,0),14),0)</f>
        <v>0</v>
      </c>
      <c r="AN207" s="2">
        <f>IF(AND(ListOfExpenditure[[#This Row],[Contract amount]]&gt;10000,ListOfExpenditure[[#This Row],[Content.declaredAmount]]&gt;2000),1,0)</f>
        <v>0</v>
      </c>
      <c r="AO207">
        <f>IFERROR(INDEX('Public procurment'!A:S,MATCH(ListOfExpenditure[[#This Row],[Content.contractId]],'Public procurment'!E:E,0),19),0)</f>
        <v>0</v>
      </c>
      <c r="AP207">
        <f>IF(ListOfExpenditure[[#This Row],[Numero di volte controllato il contract ]]&gt;0,0,ListOfExpenditure[[#This Row],[IF public procurment &gt;10000;1;0]])</f>
        <v>0</v>
      </c>
    </row>
    <row r="208" spans="1:42" x14ac:dyDescent="0.25">
      <c r="A208">
        <v>1899</v>
      </c>
      <c r="B208">
        <v>2</v>
      </c>
      <c r="E208" t="s">
        <v>4786</v>
      </c>
      <c r="F208" t="b">
        <v>1</v>
      </c>
      <c r="I208" t="s">
        <v>6147</v>
      </c>
      <c r="K208" t="s">
        <v>4348</v>
      </c>
      <c r="L208" t="s">
        <v>6145</v>
      </c>
      <c r="M208" t="s">
        <v>4788</v>
      </c>
      <c r="N208" t="s">
        <v>4788</v>
      </c>
      <c r="O208">
        <v>31620.82</v>
      </c>
      <c r="Q208">
        <v>0</v>
      </c>
      <c r="R208">
        <v>0</v>
      </c>
      <c r="S208">
        <v>4627.46</v>
      </c>
      <c r="T208" t="s">
        <v>4789</v>
      </c>
      <c r="U208">
        <v>1</v>
      </c>
      <c r="V208">
        <v>4627.46</v>
      </c>
      <c r="W208" t="s">
        <v>4343</v>
      </c>
      <c r="Y208" t="b">
        <v>1</v>
      </c>
      <c r="Z208" t="b">
        <v>0</v>
      </c>
      <c r="AA208">
        <v>4216.8100000000004</v>
      </c>
      <c r="AB208">
        <v>410.65</v>
      </c>
      <c r="AC208">
        <v>14</v>
      </c>
      <c r="AD208" t="b">
        <v>0</v>
      </c>
      <c r="AF208" t="s">
        <v>6146</v>
      </c>
      <c r="AG208" s="1" t="s">
        <v>365</v>
      </c>
      <c r="AH208" s="1" t="s">
        <v>366</v>
      </c>
      <c r="AI208">
        <v>263</v>
      </c>
      <c r="AJ208">
        <v>265</v>
      </c>
      <c r="AK208" s="106">
        <v>45475.635523344907</v>
      </c>
      <c r="AL208" s="1" t="s">
        <v>4790</v>
      </c>
      <c r="AM208" s="42">
        <f>IFERROR(INDEX('Public procurment'!A:R,MATCH(ListOfExpenditure[[#This Row],[Content.contractId]],'Public procurment'!E:E,0),14),0)</f>
        <v>0</v>
      </c>
      <c r="AN208" s="2">
        <f>IF(AND(ListOfExpenditure[[#This Row],[Contract amount]]&gt;10000,ListOfExpenditure[[#This Row],[Content.declaredAmount]]&gt;2000),1,0)</f>
        <v>0</v>
      </c>
      <c r="AO208">
        <f>IFERROR(INDEX('Public procurment'!A:S,MATCH(ListOfExpenditure[[#This Row],[Content.contractId]],'Public procurment'!E:E,0),19),0)</f>
        <v>0</v>
      </c>
      <c r="AP208">
        <f>IF(ListOfExpenditure[[#This Row],[Numero di volte controllato il contract ]]&gt;0,0,ListOfExpenditure[[#This Row],[IF public procurment &gt;10000;1;0]])</f>
        <v>0</v>
      </c>
    </row>
    <row r="209" spans="1:42" x14ac:dyDescent="0.25">
      <c r="A209">
        <v>1900</v>
      </c>
      <c r="B209">
        <v>3</v>
      </c>
      <c r="E209" t="s">
        <v>4786</v>
      </c>
      <c r="F209" t="b">
        <v>1</v>
      </c>
      <c r="I209" t="s">
        <v>6148</v>
      </c>
      <c r="K209" t="s">
        <v>4348</v>
      </c>
      <c r="L209" t="s">
        <v>6145</v>
      </c>
      <c r="M209" t="s">
        <v>4788</v>
      </c>
      <c r="N209" t="s">
        <v>4788</v>
      </c>
      <c r="O209">
        <v>14169.25</v>
      </c>
      <c r="Q209">
        <v>0</v>
      </c>
      <c r="R209">
        <v>0</v>
      </c>
      <c r="S209">
        <v>1268.98</v>
      </c>
      <c r="T209" t="s">
        <v>4789</v>
      </c>
      <c r="U209">
        <v>1</v>
      </c>
      <c r="V209">
        <v>1268.98</v>
      </c>
      <c r="W209" t="s">
        <v>4343</v>
      </c>
      <c r="Y209" t="b">
        <v>1</v>
      </c>
      <c r="Z209" t="b">
        <v>0</v>
      </c>
      <c r="AA209">
        <v>978.16</v>
      </c>
      <c r="AB209">
        <v>290.82</v>
      </c>
      <c r="AC209">
        <v>14</v>
      </c>
      <c r="AD209" t="b">
        <v>0</v>
      </c>
      <c r="AF209" t="s">
        <v>6146</v>
      </c>
      <c r="AG209" s="1" t="s">
        <v>365</v>
      </c>
      <c r="AH209" s="1" t="s">
        <v>366</v>
      </c>
      <c r="AI209">
        <v>263</v>
      </c>
      <c r="AJ209">
        <v>265</v>
      </c>
      <c r="AK209" s="106">
        <v>45475.635523344907</v>
      </c>
      <c r="AL209" s="1" t="s">
        <v>4790</v>
      </c>
      <c r="AM209" s="42">
        <f>IFERROR(INDEX('Public procurment'!A:R,MATCH(ListOfExpenditure[[#This Row],[Content.contractId]],'Public procurment'!E:E,0),14),0)</f>
        <v>0</v>
      </c>
      <c r="AN209" s="2">
        <f>IF(AND(ListOfExpenditure[[#This Row],[Contract amount]]&gt;10000,ListOfExpenditure[[#This Row],[Content.declaredAmount]]&gt;2000),1,0)</f>
        <v>0</v>
      </c>
      <c r="AO209">
        <f>IFERROR(INDEX('Public procurment'!A:S,MATCH(ListOfExpenditure[[#This Row],[Content.contractId]],'Public procurment'!E:E,0),19),0)</f>
        <v>0</v>
      </c>
      <c r="AP209">
        <f>IF(ListOfExpenditure[[#This Row],[Numero di volte controllato il contract ]]&gt;0,0,ListOfExpenditure[[#This Row],[IF public procurment &gt;10000;1;0]])</f>
        <v>0</v>
      </c>
    </row>
    <row r="210" spans="1:42" x14ac:dyDescent="0.25">
      <c r="A210">
        <v>1901</v>
      </c>
      <c r="B210">
        <v>4</v>
      </c>
      <c r="E210" t="s">
        <v>4786</v>
      </c>
      <c r="F210" t="b">
        <v>1</v>
      </c>
      <c r="I210" t="s">
        <v>6149</v>
      </c>
      <c r="K210" t="s">
        <v>4348</v>
      </c>
      <c r="L210" t="s">
        <v>6145</v>
      </c>
      <c r="M210" t="s">
        <v>4788</v>
      </c>
      <c r="N210" t="s">
        <v>4788</v>
      </c>
      <c r="O210">
        <v>17134.84</v>
      </c>
      <c r="Q210">
        <v>0</v>
      </c>
      <c r="R210">
        <v>0</v>
      </c>
      <c r="S210">
        <v>1668.13</v>
      </c>
      <c r="T210" t="s">
        <v>4789</v>
      </c>
      <c r="U210">
        <v>1</v>
      </c>
      <c r="V210">
        <v>1668.13</v>
      </c>
      <c r="W210" t="s">
        <v>4343</v>
      </c>
      <c r="Y210" t="b">
        <v>1</v>
      </c>
      <c r="Z210" t="b">
        <v>0</v>
      </c>
      <c r="AA210">
        <v>1185.1400000000001</v>
      </c>
      <c r="AB210">
        <v>482.99</v>
      </c>
      <c r="AC210">
        <v>14</v>
      </c>
      <c r="AD210" t="b">
        <v>0</v>
      </c>
      <c r="AF210" t="s">
        <v>6146</v>
      </c>
      <c r="AG210" s="1" t="s">
        <v>365</v>
      </c>
      <c r="AH210" s="1" t="s">
        <v>366</v>
      </c>
      <c r="AI210">
        <v>263</v>
      </c>
      <c r="AJ210">
        <v>265</v>
      </c>
      <c r="AK210" s="106">
        <v>45475.635523344907</v>
      </c>
      <c r="AL210" s="1" t="s">
        <v>4790</v>
      </c>
      <c r="AM210" s="42">
        <f>IFERROR(INDEX('Public procurment'!A:R,MATCH(ListOfExpenditure[[#This Row],[Content.contractId]],'Public procurment'!E:E,0),14),0)</f>
        <v>0</v>
      </c>
      <c r="AN210" s="2">
        <f>IF(AND(ListOfExpenditure[[#This Row],[Contract amount]]&gt;10000,ListOfExpenditure[[#This Row],[Content.declaredAmount]]&gt;2000),1,0)</f>
        <v>0</v>
      </c>
      <c r="AO210">
        <f>IFERROR(INDEX('Public procurment'!A:S,MATCH(ListOfExpenditure[[#This Row],[Content.contractId]],'Public procurment'!E:E,0),19),0)</f>
        <v>0</v>
      </c>
      <c r="AP210">
        <f>IF(ListOfExpenditure[[#This Row],[Numero di volte controllato il contract ]]&gt;0,0,ListOfExpenditure[[#This Row],[IF public procurment &gt;10000;1;0]])</f>
        <v>0</v>
      </c>
    </row>
    <row r="211" spans="1:42" x14ac:dyDescent="0.25">
      <c r="A211">
        <v>1018</v>
      </c>
      <c r="B211">
        <v>1</v>
      </c>
      <c r="C211">
        <v>174</v>
      </c>
      <c r="E211" t="s">
        <v>4893</v>
      </c>
      <c r="F211" t="b">
        <v>0</v>
      </c>
      <c r="M211" t="s">
        <v>4788</v>
      </c>
      <c r="N211" t="s">
        <v>4788</v>
      </c>
      <c r="Q211">
        <v>1</v>
      </c>
      <c r="R211">
        <v>9000</v>
      </c>
      <c r="S211">
        <v>9000</v>
      </c>
      <c r="T211" t="s">
        <v>4789</v>
      </c>
      <c r="U211">
        <v>1</v>
      </c>
      <c r="V211">
        <v>9000</v>
      </c>
      <c r="Y211" t="b">
        <v>1</v>
      </c>
      <c r="Z211" t="b">
        <v>0</v>
      </c>
      <c r="AA211">
        <v>9000</v>
      </c>
      <c r="AB211">
        <v>0</v>
      </c>
      <c r="AD211" t="b">
        <v>0</v>
      </c>
      <c r="AG211" s="1" t="s">
        <v>365</v>
      </c>
      <c r="AH211" s="1" t="s">
        <v>367</v>
      </c>
      <c r="AI211">
        <v>241</v>
      </c>
      <c r="AJ211">
        <v>224</v>
      </c>
      <c r="AK211" s="106">
        <v>45475.63551659722</v>
      </c>
      <c r="AL211" s="1" t="s">
        <v>4790</v>
      </c>
      <c r="AM211" s="42">
        <f>IFERROR(INDEX('Public procurment'!A:R,MATCH(ListOfExpenditure[[#This Row],[Content.contractId]],'Public procurment'!E:E,0),14),0)</f>
        <v>0</v>
      </c>
      <c r="AN211" s="2">
        <f>IF(AND(ListOfExpenditure[[#This Row],[Contract amount]]&gt;10000,ListOfExpenditure[[#This Row],[Content.declaredAmount]]&gt;2000),1,0)</f>
        <v>0</v>
      </c>
      <c r="AO211">
        <f>IFERROR(INDEX('Public procurment'!A:S,MATCH(ListOfExpenditure[[#This Row],[Content.contractId]],'Public procurment'!E:E,0),19),0)</f>
        <v>0</v>
      </c>
      <c r="AP211">
        <f>IF(ListOfExpenditure[[#This Row],[Numero di volte controllato il contract ]]&gt;0,0,ListOfExpenditure[[#This Row],[IF public procurment &gt;10000;1;0]])</f>
        <v>0</v>
      </c>
    </row>
    <row r="212" spans="1:42" x14ac:dyDescent="0.25">
      <c r="A212">
        <v>1019</v>
      </c>
      <c r="B212">
        <v>2</v>
      </c>
      <c r="E212" t="s">
        <v>4786</v>
      </c>
      <c r="F212" t="b">
        <v>0</v>
      </c>
      <c r="I212" t="s">
        <v>6150</v>
      </c>
      <c r="K212" t="s">
        <v>4348</v>
      </c>
      <c r="L212" t="s">
        <v>4348</v>
      </c>
      <c r="M212" t="s">
        <v>4788</v>
      </c>
      <c r="N212" t="s">
        <v>4788</v>
      </c>
      <c r="O212">
        <v>6126.49</v>
      </c>
      <c r="Q212">
        <v>0</v>
      </c>
      <c r="R212">
        <v>0</v>
      </c>
      <c r="S212">
        <v>4288.54</v>
      </c>
      <c r="T212" t="s">
        <v>4789</v>
      </c>
      <c r="U212">
        <v>1</v>
      </c>
      <c r="V212">
        <v>4288.54</v>
      </c>
      <c r="W212" t="s">
        <v>4343</v>
      </c>
      <c r="Y212" t="b">
        <v>1</v>
      </c>
      <c r="Z212" t="b">
        <v>0</v>
      </c>
      <c r="AA212">
        <v>4284.42</v>
      </c>
      <c r="AB212">
        <v>4.12</v>
      </c>
      <c r="AC212">
        <v>24</v>
      </c>
      <c r="AD212" t="b">
        <v>0</v>
      </c>
      <c r="AF212" t="s">
        <v>6151</v>
      </c>
      <c r="AG212" s="1" t="s">
        <v>365</v>
      </c>
      <c r="AH212" s="1" t="s">
        <v>367</v>
      </c>
      <c r="AI212">
        <v>241</v>
      </c>
      <c r="AJ212">
        <v>224</v>
      </c>
      <c r="AK212" s="106">
        <v>45475.63551659722</v>
      </c>
      <c r="AL212" s="1" t="s">
        <v>4790</v>
      </c>
      <c r="AM212" s="42">
        <f>IFERROR(INDEX('Public procurment'!A:R,MATCH(ListOfExpenditure[[#This Row],[Content.contractId]],'Public procurment'!E:E,0),14),0)</f>
        <v>0</v>
      </c>
      <c r="AN212" s="2">
        <f>IF(AND(ListOfExpenditure[[#This Row],[Contract amount]]&gt;10000,ListOfExpenditure[[#This Row],[Content.declaredAmount]]&gt;2000),1,0)</f>
        <v>0</v>
      </c>
      <c r="AO212">
        <f>IFERROR(INDEX('Public procurment'!A:S,MATCH(ListOfExpenditure[[#This Row],[Content.contractId]],'Public procurment'!E:E,0),19),0)</f>
        <v>0</v>
      </c>
      <c r="AP212">
        <f>IF(ListOfExpenditure[[#This Row],[Numero di volte controllato il contract ]]&gt;0,0,ListOfExpenditure[[#This Row],[IF public procurment &gt;10000;1;0]])</f>
        <v>0</v>
      </c>
    </row>
    <row r="213" spans="1:42" x14ac:dyDescent="0.25">
      <c r="A213">
        <v>1772</v>
      </c>
      <c r="B213">
        <v>1</v>
      </c>
      <c r="E213" t="s">
        <v>4786</v>
      </c>
      <c r="F213" t="b">
        <v>0</v>
      </c>
      <c r="I213" t="s">
        <v>212</v>
      </c>
      <c r="M213" t="s">
        <v>4788</v>
      </c>
      <c r="N213" t="s">
        <v>4788</v>
      </c>
      <c r="O213">
        <v>0</v>
      </c>
      <c r="Q213">
        <v>0</v>
      </c>
      <c r="R213">
        <v>0</v>
      </c>
      <c r="S213">
        <v>1000.8</v>
      </c>
      <c r="T213" t="s">
        <v>4789</v>
      </c>
      <c r="U213">
        <v>1</v>
      </c>
      <c r="V213">
        <v>1000.8</v>
      </c>
      <c r="W213" t="s">
        <v>4343</v>
      </c>
      <c r="Y213" t="b">
        <v>0</v>
      </c>
      <c r="Z213" t="b">
        <v>0</v>
      </c>
      <c r="AA213">
        <v>1000.8</v>
      </c>
      <c r="AB213">
        <v>0</v>
      </c>
      <c r="AD213" t="b">
        <v>0</v>
      </c>
      <c r="AG213" s="1" t="s">
        <v>365</v>
      </c>
      <c r="AH213" s="1" t="s">
        <v>368</v>
      </c>
      <c r="AI213">
        <v>265</v>
      </c>
      <c r="AJ213">
        <v>256</v>
      </c>
      <c r="AK213" s="106">
        <v>45475.635500682867</v>
      </c>
      <c r="AL213" s="1" t="s">
        <v>4790</v>
      </c>
      <c r="AM213" s="42">
        <f>IFERROR(INDEX('Public procurment'!A:R,MATCH(ListOfExpenditure[[#This Row],[Content.contractId]],'Public procurment'!E:E,0),14),0)</f>
        <v>0</v>
      </c>
      <c r="AN213" s="2">
        <f>IF(AND(ListOfExpenditure[[#This Row],[Contract amount]]&gt;10000,ListOfExpenditure[[#This Row],[Content.declaredAmount]]&gt;2000),1,0)</f>
        <v>0</v>
      </c>
      <c r="AO213">
        <f>IFERROR(INDEX('Public procurment'!A:S,MATCH(ListOfExpenditure[[#This Row],[Content.contractId]],'Public procurment'!E:E,0),19),0)</f>
        <v>0</v>
      </c>
      <c r="AP213">
        <f>IF(ListOfExpenditure[[#This Row],[Numero di volte controllato il contract ]]&gt;0,0,ListOfExpenditure[[#This Row],[IF public procurment &gt;10000;1;0]])</f>
        <v>0</v>
      </c>
    </row>
    <row r="214" spans="1:42" x14ac:dyDescent="0.25">
      <c r="A214">
        <v>1186</v>
      </c>
      <c r="B214">
        <v>1</v>
      </c>
      <c r="D214">
        <v>105</v>
      </c>
      <c r="E214" t="s">
        <v>4786</v>
      </c>
      <c r="F214" t="b">
        <v>0</v>
      </c>
      <c r="M214" t="s">
        <v>4788</v>
      </c>
      <c r="N214" t="s">
        <v>4788</v>
      </c>
      <c r="Q214">
        <v>52</v>
      </c>
      <c r="R214">
        <v>18</v>
      </c>
      <c r="S214">
        <v>936</v>
      </c>
      <c r="T214" t="s">
        <v>4789</v>
      </c>
      <c r="U214">
        <v>1</v>
      </c>
      <c r="V214">
        <v>936</v>
      </c>
      <c r="W214" t="s">
        <v>4343</v>
      </c>
      <c r="Y214" t="b">
        <v>0</v>
      </c>
      <c r="Z214" t="b">
        <v>0</v>
      </c>
      <c r="AA214">
        <v>936</v>
      </c>
      <c r="AB214">
        <v>0</v>
      </c>
      <c r="AD214" t="b">
        <v>0</v>
      </c>
      <c r="AG214" s="1" t="s">
        <v>365</v>
      </c>
      <c r="AH214" s="1" t="s">
        <v>369</v>
      </c>
      <c r="AI214">
        <v>264</v>
      </c>
      <c r="AJ214">
        <v>270</v>
      </c>
      <c r="AK214" s="106">
        <v>45475.635520937503</v>
      </c>
      <c r="AL214" s="1" t="s">
        <v>4790</v>
      </c>
      <c r="AM214" s="42">
        <f>IFERROR(INDEX('Public procurment'!A:R,MATCH(ListOfExpenditure[[#This Row],[Content.contractId]],'Public procurment'!E:E,0),14),0)</f>
        <v>0</v>
      </c>
      <c r="AN214" s="2">
        <f>IF(AND(ListOfExpenditure[[#This Row],[Contract amount]]&gt;10000,ListOfExpenditure[[#This Row],[Content.declaredAmount]]&gt;2000),1,0)</f>
        <v>0</v>
      </c>
      <c r="AO214">
        <f>IFERROR(INDEX('Public procurment'!A:S,MATCH(ListOfExpenditure[[#This Row],[Content.contractId]],'Public procurment'!E:E,0),19),0)</f>
        <v>0</v>
      </c>
      <c r="AP214">
        <f>IF(ListOfExpenditure[[#This Row],[Numero di volte controllato il contract ]]&gt;0,0,ListOfExpenditure[[#This Row],[IF public procurment &gt;10000;1;0]])</f>
        <v>0</v>
      </c>
    </row>
    <row r="215" spans="1:42" x14ac:dyDescent="0.25">
      <c r="A215">
        <v>1193</v>
      </c>
      <c r="B215">
        <v>2</v>
      </c>
      <c r="D215">
        <v>103</v>
      </c>
      <c r="E215" t="s">
        <v>4786</v>
      </c>
      <c r="F215" t="b">
        <v>0</v>
      </c>
      <c r="M215" t="s">
        <v>4788</v>
      </c>
      <c r="N215" t="s">
        <v>4788</v>
      </c>
      <c r="Q215">
        <v>36</v>
      </c>
      <c r="R215">
        <v>38</v>
      </c>
      <c r="S215">
        <v>1368</v>
      </c>
      <c r="T215" t="s">
        <v>4789</v>
      </c>
      <c r="U215">
        <v>1</v>
      </c>
      <c r="V215">
        <v>1368</v>
      </c>
      <c r="W215" t="s">
        <v>4343</v>
      </c>
      <c r="Y215" t="b">
        <v>0</v>
      </c>
      <c r="Z215" t="b">
        <v>0</v>
      </c>
      <c r="AA215">
        <v>1368</v>
      </c>
      <c r="AB215">
        <v>0</v>
      </c>
      <c r="AD215" t="b">
        <v>0</v>
      </c>
      <c r="AG215" s="1" t="s">
        <v>365</v>
      </c>
      <c r="AH215" s="1" t="s">
        <v>369</v>
      </c>
      <c r="AI215">
        <v>264</v>
      </c>
      <c r="AJ215">
        <v>270</v>
      </c>
      <c r="AK215" s="106">
        <v>45475.635520937503</v>
      </c>
      <c r="AL215" s="1" t="s">
        <v>4790</v>
      </c>
      <c r="AM215" s="42">
        <f>IFERROR(INDEX('Public procurment'!A:R,MATCH(ListOfExpenditure[[#This Row],[Content.contractId]],'Public procurment'!E:E,0),14),0)</f>
        <v>0</v>
      </c>
      <c r="AN215" s="2">
        <f>IF(AND(ListOfExpenditure[[#This Row],[Contract amount]]&gt;10000,ListOfExpenditure[[#This Row],[Content.declaredAmount]]&gt;2000),1,0)</f>
        <v>0</v>
      </c>
      <c r="AO215">
        <f>IFERROR(INDEX('Public procurment'!A:S,MATCH(ListOfExpenditure[[#This Row],[Content.contractId]],'Public procurment'!E:E,0),19),0)</f>
        <v>0</v>
      </c>
      <c r="AP215">
        <f>IF(ListOfExpenditure[[#This Row],[Numero di volte controllato il contract ]]&gt;0,0,ListOfExpenditure[[#This Row],[IF public procurment &gt;10000;1;0]])</f>
        <v>0</v>
      </c>
    </row>
    <row r="216" spans="1:42" x14ac:dyDescent="0.25">
      <c r="A216">
        <v>1607</v>
      </c>
      <c r="B216">
        <v>3</v>
      </c>
      <c r="D216">
        <v>103</v>
      </c>
      <c r="E216" t="s">
        <v>4786</v>
      </c>
      <c r="F216" t="b">
        <v>0</v>
      </c>
      <c r="M216" t="s">
        <v>4788</v>
      </c>
      <c r="N216" t="s">
        <v>4788</v>
      </c>
      <c r="Q216">
        <v>40</v>
      </c>
      <c r="R216">
        <v>38</v>
      </c>
      <c r="S216">
        <v>1520</v>
      </c>
      <c r="T216" t="s">
        <v>4789</v>
      </c>
      <c r="U216">
        <v>1</v>
      </c>
      <c r="V216">
        <v>1520</v>
      </c>
      <c r="W216" t="s">
        <v>4343</v>
      </c>
      <c r="Y216" t="b">
        <v>0</v>
      </c>
      <c r="Z216" t="b">
        <v>0</v>
      </c>
      <c r="AA216">
        <v>1520</v>
      </c>
      <c r="AB216">
        <v>0</v>
      </c>
      <c r="AD216" t="b">
        <v>0</v>
      </c>
      <c r="AG216" s="1" t="s">
        <v>365</v>
      </c>
      <c r="AH216" s="1" t="s">
        <v>369</v>
      </c>
      <c r="AI216">
        <v>264</v>
      </c>
      <c r="AJ216">
        <v>270</v>
      </c>
      <c r="AK216" s="106">
        <v>45475.635520937503</v>
      </c>
      <c r="AL216" s="1" t="s">
        <v>4790</v>
      </c>
      <c r="AM216" s="42">
        <f>IFERROR(INDEX('Public procurment'!A:R,MATCH(ListOfExpenditure[[#This Row],[Content.contractId]],'Public procurment'!E:E,0),14),0)</f>
        <v>0</v>
      </c>
      <c r="AN216" s="2">
        <f>IF(AND(ListOfExpenditure[[#This Row],[Contract amount]]&gt;10000,ListOfExpenditure[[#This Row],[Content.declaredAmount]]&gt;2000),1,0)</f>
        <v>0</v>
      </c>
      <c r="AO216">
        <f>IFERROR(INDEX('Public procurment'!A:S,MATCH(ListOfExpenditure[[#This Row],[Content.contractId]],'Public procurment'!E:E,0),19),0)</f>
        <v>0</v>
      </c>
      <c r="AP216">
        <f>IF(ListOfExpenditure[[#This Row],[Numero di volte controllato il contract ]]&gt;0,0,ListOfExpenditure[[#This Row],[IF public procurment &gt;10000;1;0]])</f>
        <v>0</v>
      </c>
    </row>
    <row r="217" spans="1:42" x14ac:dyDescent="0.25">
      <c r="A217">
        <v>1608</v>
      </c>
      <c r="B217">
        <v>4</v>
      </c>
      <c r="D217">
        <v>103</v>
      </c>
      <c r="E217" t="s">
        <v>4786</v>
      </c>
      <c r="F217" t="b">
        <v>0</v>
      </c>
      <c r="M217" t="s">
        <v>4788</v>
      </c>
      <c r="N217" t="s">
        <v>4788</v>
      </c>
      <c r="Q217">
        <v>36</v>
      </c>
      <c r="R217">
        <v>38</v>
      </c>
      <c r="S217">
        <v>1368</v>
      </c>
      <c r="T217" t="s">
        <v>4789</v>
      </c>
      <c r="U217">
        <v>1</v>
      </c>
      <c r="V217">
        <v>1368</v>
      </c>
      <c r="W217" t="s">
        <v>4343</v>
      </c>
      <c r="Y217" t="b">
        <v>0</v>
      </c>
      <c r="Z217" t="b">
        <v>0</v>
      </c>
      <c r="AA217">
        <v>1368</v>
      </c>
      <c r="AB217">
        <v>0</v>
      </c>
      <c r="AD217" t="b">
        <v>0</v>
      </c>
      <c r="AG217" s="1" t="s">
        <v>365</v>
      </c>
      <c r="AH217" s="1" t="s">
        <v>369</v>
      </c>
      <c r="AI217">
        <v>264</v>
      </c>
      <c r="AJ217">
        <v>270</v>
      </c>
      <c r="AK217" s="106">
        <v>45475.635520937503</v>
      </c>
      <c r="AL217" s="1" t="s">
        <v>4790</v>
      </c>
      <c r="AM217" s="42">
        <f>IFERROR(INDEX('Public procurment'!A:R,MATCH(ListOfExpenditure[[#This Row],[Content.contractId]],'Public procurment'!E:E,0),14),0)</f>
        <v>0</v>
      </c>
      <c r="AN217" s="2">
        <f>IF(AND(ListOfExpenditure[[#This Row],[Contract amount]]&gt;10000,ListOfExpenditure[[#This Row],[Content.declaredAmount]]&gt;2000),1,0)</f>
        <v>0</v>
      </c>
      <c r="AO217">
        <f>IFERROR(INDEX('Public procurment'!A:S,MATCH(ListOfExpenditure[[#This Row],[Content.contractId]],'Public procurment'!E:E,0),19),0)</f>
        <v>0</v>
      </c>
      <c r="AP217">
        <f>IF(ListOfExpenditure[[#This Row],[Numero di volte controllato il contract ]]&gt;0,0,ListOfExpenditure[[#This Row],[IF public procurment &gt;10000;1;0]])</f>
        <v>0</v>
      </c>
    </row>
    <row r="218" spans="1:42" x14ac:dyDescent="0.25">
      <c r="A218">
        <v>1615</v>
      </c>
      <c r="B218">
        <v>5</v>
      </c>
      <c r="D218">
        <v>105</v>
      </c>
      <c r="E218" t="s">
        <v>4786</v>
      </c>
      <c r="F218" t="b">
        <v>0</v>
      </c>
      <c r="M218" t="s">
        <v>4788</v>
      </c>
      <c r="N218" t="s">
        <v>4788</v>
      </c>
      <c r="Q218">
        <v>52</v>
      </c>
      <c r="R218">
        <v>18</v>
      </c>
      <c r="S218">
        <v>936</v>
      </c>
      <c r="T218" t="s">
        <v>4789</v>
      </c>
      <c r="U218">
        <v>1</v>
      </c>
      <c r="V218">
        <v>936</v>
      </c>
      <c r="W218" t="s">
        <v>4343</v>
      </c>
      <c r="Y218" t="b">
        <v>0</v>
      </c>
      <c r="Z218" t="b">
        <v>0</v>
      </c>
      <c r="AA218">
        <v>936</v>
      </c>
      <c r="AB218">
        <v>0</v>
      </c>
      <c r="AD218" t="b">
        <v>0</v>
      </c>
      <c r="AG218" s="1" t="s">
        <v>365</v>
      </c>
      <c r="AH218" s="1" t="s">
        <v>369</v>
      </c>
      <c r="AI218">
        <v>264</v>
      </c>
      <c r="AJ218">
        <v>270</v>
      </c>
      <c r="AK218" s="106">
        <v>45475.635520937503</v>
      </c>
      <c r="AL218" s="1" t="s">
        <v>4790</v>
      </c>
      <c r="AM218" s="42">
        <f>IFERROR(INDEX('Public procurment'!A:R,MATCH(ListOfExpenditure[[#This Row],[Content.contractId]],'Public procurment'!E:E,0),14),0)</f>
        <v>0</v>
      </c>
      <c r="AN218" s="2">
        <f>IF(AND(ListOfExpenditure[[#This Row],[Contract amount]]&gt;10000,ListOfExpenditure[[#This Row],[Content.declaredAmount]]&gt;2000),1,0)</f>
        <v>0</v>
      </c>
      <c r="AO218">
        <f>IFERROR(INDEX('Public procurment'!A:S,MATCH(ListOfExpenditure[[#This Row],[Content.contractId]],'Public procurment'!E:E,0),19),0)</f>
        <v>0</v>
      </c>
      <c r="AP218">
        <f>IF(ListOfExpenditure[[#This Row],[Numero di volte controllato il contract ]]&gt;0,0,ListOfExpenditure[[#This Row],[IF public procurment &gt;10000;1;0]])</f>
        <v>0</v>
      </c>
    </row>
    <row r="219" spans="1:42" x14ac:dyDescent="0.25">
      <c r="A219">
        <v>1618</v>
      </c>
      <c r="B219">
        <v>6</v>
      </c>
      <c r="D219">
        <v>105</v>
      </c>
      <c r="E219" t="s">
        <v>4786</v>
      </c>
      <c r="F219" t="b">
        <v>0</v>
      </c>
      <c r="M219" t="s">
        <v>4788</v>
      </c>
      <c r="N219" t="s">
        <v>4788</v>
      </c>
      <c r="Q219">
        <v>52</v>
      </c>
      <c r="R219">
        <v>18</v>
      </c>
      <c r="S219">
        <v>936</v>
      </c>
      <c r="T219" t="s">
        <v>4789</v>
      </c>
      <c r="U219">
        <v>1</v>
      </c>
      <c r="V219">
        <v>936</v>
      </c>
      <c r="W219" t="s">
        <v>4343</v>
      </c>
      <c r="Y219" t="b">
        <v>0</v>
      </c>
      <c r="Z219" t="b">
        <v>0</v>
      </c>
      <c r="AA219">
        <v>936</v>
      </c>
      <c r="AB219">
        <v>0</v>
      </c>
      <c r="AD219" t="b">
        <v>0</v>
      </c>
      <c r="AG219" s="1" t="s">
        <v>365</v>
      </c>
      <c r="AH219" s="1" t="s">
        <v>369</v>
      </c>
      <c r="AI219">
        <v>264</v>
      </c>
      <c r="AJ219">
        <v>270</v>
      </c>
      <c r="AK219" s="106">
        <v>45475.635520937503</v>
      </c>
      <c r="AL219" s="1" t="s">
        <v>4790</v>
      </c>
      <c r="AM219" s="42">
        <f>IFERROR(INDEX('Public procurment'!A:R,MATCH(ListOfExpenditure[[#This Row],[Content.contractId]],'Public procurment'!E:E,0),14),0)</f>
        <v>0</v>
      </c>
      <c r="AN219" s="2">
        <f>IF(AND(ListOfExpenditure[[#This Row],[Contract amount]]&gt;10000,ListOfExpenditure[[#This Row],[Content.declaredAmount]]&gt;2000),1,0)</f>
        <v>0</v>
      </c>
      <c r="AO219">
        <f>IFERROR(INDEX('Public procurment'!A:S,MATCH(ListOfExpenditure[[#This Row],[Content.contractId]],'Public procurment'!E:E,0),19),0)</f>
        <v>0</v>
      </c>
      <c r="AP219">
        <f>IF(ListOfExpenditure[[#This Row],[Numero di volte controllato il contract ]]&gt;0,0,ListOfExpenditure[[#This Row],[IF public procurment &gt;10000;1;0]])</f>
        <v>0</v>
      </c>
    </row>
    <row r="220" spans="1:42" x14ac:dyDescent="0.25">
      <c r="A220">
        <v>1894</v>
      </c>
      <c r="B220">
        <v>1</v>
      </c>
      <c r="E220" t="s">
        <v>4786</v>
      </c>
      <c r="F220" t="b">
        <v>0</v>
      </c>
      <c r="I220" t="s">
        <v>212</v>
      </c>
      <c r="M220" t="s">
        <v>4788</v>
      </c>
      <c r="N220" t="s">
        <v>4788</v>
      </c>
      <c r="O220">
        <v>0</v>
      </c>
      <c r="Q220">
        <v>0</v>
      </c>
      <c r="R220">
        <v>0</v>
      </c>
      <c r="S220">
        <v>0</v>
      </c>
      <c r="T220" t="s">
        <v>4789</v>
      </c>
      <c r="U220">
        <v>1</v>
      </c>
      <c r="V220">
        <v>0</v>
      </c>
      <c r="Y220" t="b">
        <v>0</v>
      </c>
      <c r="Z220" t="b">
        <v>0</v>
      </c>
      <c r="AA220">
        <v>0</v>
      </c>
      <c r="AB220">
        <v>0</v>
      </c>
      <c r="AD220" t="b">
        <v>0</v>
      </c>
      <c r="AG220" s="1" t="s">
        <v>365</v>
      </c>
      <c r="AH220" s="1" t="s">
        <v>370</v>
      </c>
      <c r="AI220">
        <v>249</v>
      </c>
      <c r="AJ220">
        <v>299</v>
      </c>
      <c r="AK220" s="106">
        <v>45475.635521412034</v>
      </c>
      <c r="AL220" s="1" t="s">
        <v>4790</v>
      </c>
      <c r="AM220" s="42">
        <f>IFERROR(INDEX('Public procurment'!A:R,MATCH(ListOfExpenditure[[#This Row],[Content.contractId]],'Public procurment'!E:E,0),14),0)</f>
        <v>0</v>
      </c>
      <c r="AN220" s="2">
        <f>IF(AND(ListOfExpenditure[[#This Row],[Contract amount]]&gt;10000,ListOfExpenditure[[#This Row],[Content.declaredAmount]]&gt;2000),1,0)</f>
        <v>0</v>
      </c>
      <c r="AO220">
        <f>IFERROR(INDEX('Public procurment'!A:S,MATCH(ListOfExpenditure[[#This Row],[Content.contractId]],'Public procurment'!E:E,0),19),0)</f>
        <v>0</v>
      </c>
      <c r="AP220">
        <f>IF(ListOfExpenditure[[#This Row],[Numero di volte controllato il contract ]]&gt;0,0,ListOfExpenditure[[#This Row],[IF public procurment &gt;10000;1;0]])</f>
        <v>0</v>
      </c>
    </row>
    <row r="221" spans="1:42" x14ac:dyDescent="0.25">
      <c r="A221">
        <v>2091</v>
      </c>
      <c r="B221">
        <v>1</v>
      </c>
      <c r="D221">
        <v>141</v>
      </c>
      <c r="E221" t="s">
        <v>4786</v>
      </c>
      <c r="F221" t="b">
        <v>0</v>
      </c>
      <c r="M221" t="s">
        <v>4788</v>
      </c>
      <c r="N221" t="s">
        <v>4788</v>
      </c>
      <c r="Q221">
        <v>41</v>
      </c>
      <c r="R221">
        <v>38</v>
      </c>
      <c r="S221">
        <v>1558</v>
      </c>
      <c r="T221" t="s">
        <v>4789</v>
      </c>
      <c r="U221">
        <v>1</v>
      </c>
      <c r="V221">
        <v>1558</v>
      </c>
      <c r="W221" t="s">
        <v>4343</v>
      </c>
      <c r="Y221" t="b">
        <v>0</v>
      </c>
      <c r="Z221" t="b">
        <v>0</v>
      </c>
      <c r="AA221">
        <v>1558</v>
      </c>
      <c r="AB221">
        <v>0</v>
      </c>
      <c r="AD221" t="b">
        <v>0</v>
      </c>
      <c r="AG221" s="1" t="s">
        <v>250</v>
      </c>
      <c r="AH221" s="1" t="s">
        <v>252</v>
      </c>
      <c r="AI221">
        <v>29</v>
      </c>
      <c r="AJ221">
        <v>323</v>
      </c>
      <c r="AK221" s="106">
        <v>45475.635559305556</v>
      </c>
      <c r="AL221" s="1" t="s">
        <v>4790</v>
      </c>
      <c r="AM221" s="42">
        <f>IFERROR(INDEX('Public procurment'!A:R,MATCH(ListOfExpenditure[[#This Row],[Content.contractId]],'Public procurment'!E:E,0),14),0)</f>
        <v>0</v>
      </c>
      <c r="AN221" s="2">
        <f>IF(AND(ListOfExpenditure[[#This Row],[Contract amount]]&gt;10000,ListOfExpenditure[[#This Row],[Content.declaredAmount]]&gt;2000),1,0)</f>
        <v>0</v>
      </c>
      <c r="AO221">
        <f>IFERROR(INDEX('Public procurment'!A:S,MATCH(ListOfExpenditure[[#This Row],[Content.contractId]],'Public procurment'!E:E,0),19),0)</f>
        <v>0</v>
      </c>
      <c r="AP221">
        <f>IF(ListOfExpenditure[[#This Row],[Numero di volte controllato il contract ]]&gt;0,0,ListOfExpenditure[[#This Row],[IF public procurment &gt;10000;1;0]])</f>
        <v>0</v>
      </c>
    </row>
    <row r="222" spans="1:42" x14ac:dyDescent="0.25">
      <c r="A222">
        <v>2092</v>
      </c>
      <c r="B222">
        <v>2</v>
      </c>
      <c r="D222">
        <v>140</v>
      </c>
      <c r="E222" t="s">
        <v>4786</v>
      </c>
      <c r="F222" t="b">
        <v>0</v>
      </c>
      <c r="M222" t="s">
        <v>4788</v>
      </c>
      <c r="N222" t="s">
        <v>4788</v>
      </c>
      <c r="Q222">
        <v>151</v>
      </c>
      <c r="R222">
        <v>27</v>
      </c>
      <c r="S222">
        <v>4077</v>
      </c>
      <c r="T222" t="s">
        <v>4789</v>
      </c>
      <c r="U222">
        <v>1</v>
      </c>
      <c r="V222">
        <v>4077</v>
      </c>
      <c r="W222" t="s">
        <v>4343</v>
      </c>
      <c r="Y222" t="b">
        <v>0</v>
      </c>
      <c r="Z222" t="b">
        <v>0</v>
      </c>
      <c r="AA222">
        <v>4077</v>
      </c>
      <c r="AB222">
        <v>0</v>
      </c>
      <c r="AD222" t="b">
        <v>0</v>
      </c>
      <c r="AG222" s="1" t="s">
        <v>250</v>
      </c>
      <c r="AH222" s="1" t="s">
        <v>252</v>
      </c>
      <c r="AI222">
        <v>29</v>
      </c>
      <c r="AJ222">
        <v>323</v>
      </c>
      <c r="AK222" s="106">
        <v>45475.635559305556</v>
      </c>
      <c r="AL222" s="1" t="s">
        <v>4790</v>
      </c>
      <c r="AM222" s="42">
        <f>IFERROR(INDEX('Public procurment'!A:R,MATCH(ListOfExpenditure[[#This Row],[Content.contractId]],'Public procurment'!E:E,0),14),0)</f>
        <v>0</v>
      </c>
      <c r="AN222" s="2">
        <f>IF(AND(ListOfExpenditure[[#This Row],[Contract amount]]&gt;10000,ListOfExpenditure[[#This Row],[Content.declaredAmount]]&gt;2000),1,0)</f>
        <v>0</v>
      </c>
      <c r="AO222">
        <f>IFERROR(INDEX('Public procurment'!A:S,MATCH(ListOfExpenditure[[#This Row],[Content.contractId]],'Public procurment'!E:E,0),19),0)</f>
        <v>0</v>
      </c>
      <c r="AP222">
        <f>IF(ListOfExpenditure[[#This Row],[Numero di volte controllato il contract ]]&gt;0,0,ListOfExpenditure[[#This Row],[IF public procurment &gt;10000;1;0]])</f>
        <v>0</v>
      </c>
    </row>
    <row r="223" spans="1:42" x14ac:dyDescent="0.25">
      <c r="A223">
        <v>2093</v>
      </c>
      <c r="B223">
        <v>3</v>
      </c>
      <c r="D223">
        <v>140</v>
      </c>
      <c r="E223" t="s">
        <v>4786</v>
      </c>
      <c r="F223" t="b">
        <v>0</v>
      </c>
      <c r="M223" t="s">
        <v>4788</v>
      </c>
      <c r="N223" t="s">
        <v>4788</v>
      </c>
      <c r="Q223">
        <v>156</v>
      </c>
      <c r="R223">
        <v>27</v>
      </c>
      <c r="S223">
        <v>4212</v>
      </c>
      <c r="T223" t="s">
        <v>4789</v>
      </c>
      <c r="U223">
        <v>1</v>
      </c>
      <c r="V223">
        <v>4212</v>
      </c>
      <c r="W223" t="s">
        <v>4343</v>
      </c>
      <c r="Y223" t="b">
        <v>0</v>
      </c>
      <c r="Z223" t="b">
        <v>0</v>
      </c>
      <c r="AA223">
        <v>4212</v>
      </c>
      <c r="AB223">
        <v>0</v>
      </c>
      <c r="AD223" t="b">
        <v>0</v>
      </c>
      <c r="AG223" s="1" t="s">
        <v>250</v>
      </c>
      <c r="AH223" s="1" t="s">
        <v>252</v>
      </c>
      <c r="AI223">
        <v>29</v>
      </c>
      <c r="AJ223">
        <v>323</v>
      </c>
      <c r="AK223" s="106">
        <v>45475.635559305556</v>
      </c>
      <c r="AL223" s="1" t="s">
        <v>4790</v>
      </c>
      <c r="AM223" s="42">
        <f>IFERROR(INDEX('Public procurment'!A:R,MATCH(ListOfExpenditure[[#This Row],[Content.contractId]],'Public procurment'!E:E,0),14),0)</f>
        <v>0</v>
      </c>
      <c r="AN223" s="2">
        <f>IF(AND(ListOfExpenditure[[#This Row],[Contract amount]]&gt;10000,ListOfExpenditure[[#This Row],[Content.declaredAmount]]&gt;2000),1,0)</f>
        <v>0</v>
      </c>
      <c r="AO223">
        <f>IFERROR(INDEX('Public procurment'!A:S,MATCH(ListOfExpenditure[[#This Row],[Content.contractId]],'Public procurment'!E:E,0),19),0)</f>
        <v>0</v>
      </c>
      <c r="AP223">
        <f>IF(ListOfExpenditure[[#This Row],[Numero di volte controllato il contract ]]&gt;0,0,ListOfExpenditure[[#This Row],[IF public procurment &gt;10000;1;0]])</f>
        <v>0</v>
      </c>
    </row>
    <row r="224" spans="1:42" x14ac:dyDescent="0.25">
      <c r="A224">
        <v>2081</v>
      </c>
      <c r="B224">
        <v>1</v>
      </c>
      <c r="E224" t="s">
        <v>4786</v>
      </c>
      <c r="F224" t="b">
        <v>0</v>
      </c>
      <c r="I224" t="s">
        <v>6265</v>
      </c>
      <c r="K224" t="s">
        <v>4939</v>
      </c>
      <c r="L224" t="s">
        <v>6145</v>
      </c>
      <c r="M224" t="s">
        <v>4788</v>
      </c>
      <c r="N224" t="s">
        <v>4788</v>
      </c>
      <c r="O224">
        <v>13843.68</v>
      </c>
      <c r="Q224">
        <v>0</v>
      </c>
      <c r="R224">
        <v>0</v>
      </c>
      <c r="S224">
        <v>13843.68</v>
      </c>
      <c r="T224" t="s">
        <v>4789</v>
      </c>
      <c r="U224">
        <v>1</v>
      </c>
      <c r="V224">
        <v>13843.68</v>
      </c>
      <c r="W224" t="s">
        <v>4343</v>
      </c>
      <c r="Y224" t="b">
        <v>1</v>
      </c>
      <c r="Z224" t="b">
        <v>0</v>
      </c>
      <c r="AA224">
        <v>11035.41</v>
      </c>
      <c r="AB224">
        <v>2808.27</v>
      </c>
      <c r="AC224">
        <v>14</v>
      </c>
      <c r="AD224" t="b">
        <v>0</v>
      </c>
      <c r="AF224" t="s">
        <v>6266</v>
      </c>
      <c r="AG224" s="1" t="s">
        <v>250</v>
      </c>
      <c r="AH224" s="1" t="s">
        <v>256</v>
      </c>
      <c r="AI224">
        <v>31</v>
      </c>
      <c r="AJ224">
        <v>250</v>
      </c>
      <c r="AK224" s="106">
        <v>45475.635541134259</v>
      </c>
      <c r="AL224" s="1" t="s">
        <v>4790</v>
      </c>
      <c r="AM224" s="42">
        <f>IFERROR(INDEX('Public procurment'!A:R,MATCH(ListOfExpenditure[[#This Row],[Content.contractId]],'Public procurment'!E:E,0),14),0)</f>
        <v>0</v>
      </c>
      <c r="AN224" s="2">
        <f>IF(AND(ListOfExpenditure[[#This Row],[Contract amount]]&gt;10000,ListOfExpenditure[[#This Row],[Content.declaredAmount]]&gt;2000),1,0)</f>
        <v>0</v>
      </c>
      <c r="AO224">
        <f>IFERROR(INDEX('Public procurment'!A:S,MATCH(ListOfExpenditure[[#This Row],[Content.contractId]],'Public procurment'!E:E,0),19),0)</f>
        <v>0</v>
      </c>
      <c r="AP224">
        <f>IF(ListOfExpenditure[[#This Row],[Numero di volte controllato il contract ]]&gt;0,0,ListOfExpenditure[[#This Row],[IF public procurment &gt;10000;1;0]])</f>
        <v>0</v>
      </c>
    </row>
    <row r="225" spans="1:42" x14ac:dyDescent="0.25">
      <c r="A225">
        <v>2082</v>
      </c>
      <c r="B225">
        <v>2</v>
      </c>
      <c r="E225" t="s">
        <v>4786</v>
      </c>
      <c r="F225" t="b">
        <v>0</v>
      </c>
      <c r="I225" t="s">
        <v>6267</v>
      </c>
      <c r="K225" t="s">
        <v>4939</v>
      </c>
      <c r="L225" t="s">
        <v>6145</v>
      </c>
      <c r="M225" t="s">
        <v>4788</v>
      </c>
      <c r="N225" t="s">
        <v>4788</v>
      </c>
      <c r="O225">
        <v>8316.2199999999993</v>
      </c>
      <c r="Q225">
        <v>0</v>
      </c>
      <c r="R225">
        <v>0</v>
      </c>
      <c r="S225">
        <v>8316.2199999999993</v>
      </c>
      <c r="T225" t="s">
        <v>4789</v>
      </c>
      <c r="U225">
        <v>1</v>
      </c>
      <c r="V225">
        <v>8316.2199999999993</v>
      </c>
      <c r="W225" t="s">
        <v>4343</v>
      </c>
      <c r="Y225" t="b">
        <v>1</v>
      </c>
      <c r="Z225" t="b">
        <v>0</v>
      </c>
      <c r="AA225">
        <v>6601.26</v>
      </c>
      <c r="AB225">
        <v>1714.96</v>
      </c>
      <c r="AC225">
        <v>14</v>
      </c>
      <c r="AD225" t="b">
        <v>0</v>
      </c>
      <c r="AF225" t="s">
        <v>6266</v>
      </c>
      <c r="AG225" s="1" t="s">
        <v>250</v>
      </c>
      <c r="AH225" s="1" t="s">
        <v>256</v>
      </c>
      <c r="AI225">
        <v>31</v>
      </c>
      <c r="AJ225">
        <v>250</v>
      </c>
      <c r="AK225" s="106">
        <v>45475.635541134259</v>
      </c>
      <c r="AL225" s="1" t="s">
        <v>4790</v>
      </c>
      <c r="AM225" s="42">
        <f>IFERROR(INDEX('Public procurment'!A:R,MATCH(ListOfExpenditure[[#This Row],[Content.contractId]],'Public procurment'!E:E,0),14),0)</f>
        <v>0</v>
      </c>
      <c r="AN225" s="2">
        <f>IF(AND(ListOfExpenditure[[#This Row],[Contract amount]]&gt;10000,ListOfExpenditure[[#This Row],[Content.declaredAmount]]&gt;2000),1,0)</f>
        <v>0</v>
      </c>
      <c r="AO225">
        <f>IFERROR(INDEX('Public procurment'!A:S,MATCH(ListOfExpenditure[[#This Row],[Content.contractId]],'Public procurment'!E:E,0),19),0)</f>
        <v>0</v>
      </c>
      <c r="AP225">
        <f>IF(ListOfExpenditure[[#This Row],[Numero di volte controllato il contract ]]&gt;0,0,ListOfExpenditure[[#This Row],[IF public procurment &gt;10000;1;0]])</f>
        <v>0</v>
      </c>
    </row>
    <row r="226" spans="1:42" x14ac:dyDescent="0.25">
      <c r="A226">
        <v>2083</v>
      </c>
      <c r="B226">
        <v>3</v>
      </c>
      <c r="E226" t="s">
        <v>4786</v>
      </c>
      <c r="F226" t="b">
        <v>0</v>
      </c>
      <c r="I226" t="s">
        <v>6268</v>
      </c>
      <c r="K226" t="s">
        <v>4939</v>
      </c>
      <c r="L226" t="s">
        <v>6145</v>
      </c>
      <c r="M226" t="s">
        <v>4788</v>
      </c>
      <c r="N226" t="s">
        <v>4788</v>
      </c>
      <c r="O226">
        <v>8160.4</v>
      </c>
      <c r="Q226">
        <v>0</v>
      </c>
      <c r="R226">
        <v>0</v>
      </c>
      <c r="S226">
        <v>8160.4</v>
      </c>
      <c r="T226" t="s">
        <v>4789</v>
      </c>
      <c r="U226">
        <v>1</v>
      </c>
      <c r="V226">
        <v>8160.4</v>
      </c>
      <c r="W226" t="s">
        <v>4343</v>
      </c>
      <c r="Y226" t="b">
        <v>1</v>
      </c>
      <c r="Z226" t="b">
        <v>0</v>
      </c>
      <c r="AA226">
        <v>6472.08</v>
      </c>
      <c r="AB226">
        <v>1688.32</v>
      </c>
      <c r="AC226">
        <v>14</v>
      </c>
      <c r="AD226" t="b">
        <v>0</v>
      </c>
      <c r="AF226" t="s">
        <v>6266</v>
      </c>
      <c r="AG226" s="1" t="s">
        <v>250</v>
      </c>
      <c r="AH226" s="1" t="s">
        <v>256</v>
      </c>
      <c r="AI226">
        <v>31</v>
      </c>
      <c r="AJ226">
        <v>250</v>
      </c>
      <c r="AK226" s="106">
        <v>45475.635541134259</v>
      </c>
      <c r="AL226" s="1" t="s">
        <v>4790</v>
      </c>
      <c r="AM226" s="42">
        <f>IFERROR(INDEX('Public procurment'!A:R,MATCH(ListOfExpenditure[[#This Row],[Content.contractId]],'Public procurment'!E:E,0),14),0)</f>
        <v>0</v>
      </c>
      <c r="AN226" s="2">
        <f>IF(AND(ListOfExpenditure[[#This Row],[Contract amount]]&gt;10000,ListOfExpenditure[[#This Row],[Content.declaredAmount]]&gt;2000),1,0)</f>
        <v>0</v>
      </c>
      <c r="AO226">
        <f>IFERROR(INDEX('Public procurment'!A:S,MATCH(ListOfExpenditure[[#This Row],[Content.contractId]],'Public procurment'!E:E,0),19),0)</f>
        <v>0</v>
      </c>
      <c r="AP226">
        <f>IF(ListOfExpenditure[[#This Row],[Numero di volte controllato il contract ]]&gt;0,0,ListOfExpenditure[[#This Row],[IF public procurment &gt;10000;1;0]])</f>
        <v>0</v>
      </c>
    </row>
    <row r="227" spans="1:42" x14ac:dyDescent="0.25">
      <c r="A227">
        <v>2084</v>
      </c>
      <c r="B227">
        <v>4</v>
      </c>
      <c r="E227" t="s">
        <v>4786</v>
      </c>
      <c r="F227" t="b">
        <v>0</v>
      </c>
      <c r="I227" t="s">
        <v>6269</v>
      </c>
      <c r="K227" t="s">
        <v>4939</v>
      </c>
      <c r="L227" t="s">
        <v>6145</v>
      </c>
      <c r="M227" t="s">
        <v>4788</v>
      </c>
      <c r="N227" t="s">
        <v>4788</v>
      </c>
      <c r="O227">
        <v>3562.48</v>
      </c>
      <c r="Q227">
        <v>0</v>
      </c>
      <c r="R227">
        <v>0</v>
      </c>
      <c r="S227">
        <v>3562.48</v>
      </c>
      <c r="T227" t="s">
        <v>4789</v>
      </c>
      <c r="U227">
        <v>1</v>
      </c>
      <c r="V227">
        <v>3562.48</v>
      </c>
      <c r="W227" t="s">
        <v>4343</v>
      </c>
      <c r="Y227" t="b">
        <v>1</v>
      </c>
      <c r="Z227" t="b">
        <v>0</v>
      </c>
      <c r="AA227">
        <v>2800.87</v>
      </c>
      <c r="AB227">
        <v>761.61</v>
      </c>
      <c r="AC227">
        <v>14</v>
      </c>
      <c r="AD227" t="b">
        <v>0</v>
      </c>
      <c r="AF227" t="s">
        <v>6266</v>
      </c>
      <c r="AG227" s="1" t="s">
        <v>250</v>
      </c>
      <c r="AH227" s="1" t="s">
        <v>256</v>
      </c>
      <c r="AI227">
        <v>31</v>
      </c>
      <c r="AJ227">
        <v>250</v>
      </c>
      <c r="AK227" s="106">
        <v>45475.635541134259</v>
      </c>
      <c r="AL227" s="1" t="s">
        <v>4790</v>
      </c>
      <c r="AM227" s="42">
        <f>IFERROR(INDEX('Public procurment'!A:R,MATCH(ListOfExpenditure[[#This Row],[Content.contractId]],'Public procurment'!E:E,0),14),0)</f>
        <v>0</v>
      </c>
      <c r="AN227" s="2">
        <f>IF(AND(ListOfExpenditure[[#This Row],[Contract amount]]&gt;10000,ListOfExpenditure[[#This Row],[Content.declaredAmount]]&gt;2000),1,0)</f>
        <v>0</v>
      </c>
      <c r="AO227">
        <f>IFERROR(INDEX('Public procurment'!A:S,MATCH(ListOfExpenditure[[#This Row],[Content.contractId]],'Public procurment'!E:E,0),19),0)</f>
        <v>0</v>
      </c>
      <c r="AP227">
        <f>IF(ListOfExpenditure[[#This Row],[Numero di volte controllato il contract ]]&gt;0,0,ListOfExpenditure[[#This Row],[IF public procurment &gt;10000;1;0]])</f>
        <v>0</v>
      </c>
    </row>
    <row r="228" spans="1:42" x14ac:dyDescent="0.25">
      <c r="A228">
        <v>2078</v>
      </c>
      <c r="B228">
        <v>1</v>
      </c>
      <c r="E228" t="s">
        <v>4786</v>
      </c>
      <c r="F228" t="b">
        <v>0</v>
      </c>
      <c r="I228" t="s">
        <v>212</v>
      </c>
      <c r="M228" t="s">
        <v>4788</v>
      </c>
      <c r="N228" t="s">
        <v>4788</v>
      </c>
      <c r="O228">
        <v>0</v>
      </c>
      <c r="Q228">
        <v>0</v>
      </c>
      <c r="R228">
        <v>0</v>
      </c>
      <c r="S228">
        <v>0</v>
      </c>
      <c r="T228" t="s">
        <v>4789</v>
      </c>
      <c r="U228">
        <v>1</v>
      </c>
      <c r="V228">
        <v>0</v>
      </c>
      <c r="Y228" t="b">
        <v>0</v>
      </c>
      <c r="Z228" t="b">
        <v>0</v>
      </c>
      <c r="AA228">
        <v>0</v>
      </c>
      <c r="AB228">
        <v>0</v>
      </c>
      <c r="AD228" t="b">
        <v>0</v>
      </c>
      <c r="AG228" s="1" t="s">
        <v>250</v>
      </c>
      <c r="AH228" s="1" t="s">
        <v>259</v>
      </c>
      <c r="AI228">
        <v>33</v>
      </c>
      <c r="AJ228">
        <v>320</v>
      </c>
      <c r="AK228" s="106">
        <v>45475.635557268521</v>
      </c>
      <c r="AL228" s="1" t="s">
        <v>4790</v>
      </c>
      <c r="AM228" s="42">
        <f>IFERROR(INDEX('Public procurment'!A:R,MATCH(ListOfExpenditure[[#This Row],[Content.contractId]],'Public procurment'!E:E,0),14),0)</f>
        <v>0</v>
      </c>
      <c r="AN228" s="2">
        <f>IF(AND(ListOfExpenditure[[#This Row],[Contract amount]]&gt;10000,ListOfExpenditure[[#This Row],[Content.declaredAmount]]&gt;2000),1,0)</f>
        <v>0</v>
      </c>
      <c r="AO228">
        <f>IFERROR(INDEX('Public procurment'!A:S,MATCH(ListOfExpenditure[[#This Row],[Content.contractId]],'Public procurment'!E:E,0),19),0)</f>
        <v>0</v>
      </c>
      <c r="AP228">
        <f>IF(ListOfExpenditure[[#This Row],[Numero di volte controllato il contract ]]&gt;0,0,ListOfExpenditure[[#This Row],[IF public procurment &gt;10000;1;0]])</f>
        <v>0</v>
      </c>
    </row>
    <row r="229" spans="1:42" x14ac:dyDescent="0.25">
      <c r="A229">
        <v>1308</v>
      </c>
      <c r="B229">
        <v>1</v>
      </c>
      <c r="C229">
        <v>222</v>
      </c>
      <c r="E229" t="s">
        <v>4893</v>
      </c>
      <c r="F229" t="b">
        <v>0</v>
      </c>
      <c r="M229" t="s">
        <v>4788</v>
      </c>
      <c r="N229" t="s">
        <v>4788</v>
      </c>
      <c r="Q229">
        <v>1</v>
      </c>
      <c r="R229">
        <v>9000</v>
      </c>
      <c r="S229">
        <v>9000</v>
      </c>
      <c r="T229" t="s">
        <v>4789</v>
      </c>
      <c r="U229">
        <v>1</v>
      </c>
      <c r="V229">
        <v>9000</v>
      </c>
      <c r="W229" t="s">
        <v>4343</v>
      </c>
      <c r="Y229" t="b">
        <v>1</v>
      </c>
      <c r="Z229" t="b">
        <v>0</v>
      </c>
      <c r="AA229">
        <v>9000</v>
      </c>
      <c r="AB229">
        <v>0</v>
      </c>
      <c r="AD229" t="b">
        <v>0</v>
      </c>
      <c r="AG229" s="1" t="s">
        <v>250</v>
      </c>
      <c r="AH229" s="1" t="s">
        <v>263</v>
      </c>
      <c r="AI229">
        <v>28</v>
      </c>
      <c r="AJ229">
        <v>280</v>
      </c>
      <c r="AK229" s="106">
        <v>45475.63555875</v>
      </c>
      <c r="AL229" s="1" t="s">
        <v>4790</v>
      </c>
      <c r="AM229" s="42">
        <f>IFERROR(INDEX('Public procurment'!A:R,MATCH(ListOfExpenditure[[#This Row],[Content.contractId]],'Public procurment'!E:E,0),14),0)</f>
        <v>0</v>
      </c>
      <c r="AN229" s="2">
        <f>IF(AND(ListOfExpenditure[[#This Row],[Contract amount]]&gt;10000,ListOfExpenditure[[#This Row],[Content.declaredAmount]]&gt;2000),1,0)</f>
        <v>0</v>
      </c>
      <c r="AO229">
        <f>IFERROR(INDEX('Public procurment'!A:S,MATCH(ListOfExpenditure[[#This Row],[Content.contractId]],'Public procurment'!E:E,0),19),0)</f>
        <v>0</v>
      </c>
      <c r="AP229">
        <f>IF(ListOfExpenditure[[#This Row],[Numero di volte controllato il contract ]]&gt;0,0,ListOfExpenditure[[#This Row],[IF public procurment &gt;10000;1;0]])</f>
        <v>0</v>
      </c>
    </row>
    <row r="230" spans="1:42" x14ac:dyDescent="0.25">
      <c r="A230">
        <v>1317</v>
      </c>
      <c r="B230">
        <v>2</v>
      </c>
      <c r="E230" t="s">
        <v>4786</v>
      </c>
      <c r="F230" t="b">
        <v>0</v>
      </c>
      <c r="I230" t="s">
        <v>6270</v>
      </c>
      <c r="K230" t="s">
        <v>4359</v>
      </c>
      <c r="L230" t="s">
        <v>4916</v>
      </c>
      <c r="M230" t="s">
        <v>4788</v>
      </c>
      <c r="N230" t="s">
        <v>4788</v>
      </c>
      <c r="O230">
        <v>1346.67</v>
      </c>
      <c r="Q230">
        <v>0</v>
      </c>
      <c r="R230">
        <v>0</v>
      </c>
      <c r="S230">
        <v>312.8</v>
      </c>
      <c r="T230" t="s">
        <v>4789</v>
      </c>
      <c r="U230">
        <v>1</v>
      </c>
      <c r="V230">
        <v>312.8</v>
      </c>
      <c r="W230" t="s">
        <v>4343</v>
      </c>
      <c r="Y230" t="b">
        <v>1</v>
      </c>
      <c r="Z230" t="b">
        <v>0</v>
      </c>
      <c r="AA230">
        <v>312.8</v>
      </c>
      <c r="AB230">
        <v>0</v>
      </c>
      <c r="AD230" t="b">
        <v>0</v>
      </c>
      <c r="AG230" s="1" t="s">
        <v>250</v>
      </c>
      <c r="AH230" s="1" t="s">
        <v>263</v>
      </c>
      <c r="AI230">
        <v>28</v>
      </c>
      <c r="AJ230">
        <v>280</v>
      </c>
      <c r="AK230" s="106">
        <v>45475.63555875</v>
      </c>
      <c r="AL230" s="1" t="s">
        <v>4790</v>
      </c>
      <c r="AM230" s="42">
        <f>IFERROR(INDEX('Public procurment'!A:R,MATCH(ListOfExpenditure[[#This Row],[Content.contractId]],'Public procurment'!E:E,0),14),0)</f>
        <v>0</v>
      </c>
      <c r="AN230" s="2">
        <f>IF(AND(ListOfExpenditure[[#This Row],[Contract amount]]&gt;10000,ListOfExpenditure[[#This Row],[Content.declaredAmount]]&gt;2000),1,0)</f>
        <v>0</v>
      </c>
      <c r="AO230">
        <f>IFERROR(INDEX('Public procurment'!A:S,MATCH(ListOfExpenditure[[#This Row],[Content.contractId]],'Public procurment'!E:E,0),19),0)</f>
        <v>0</v>
      </c>
      <c r="AP230">
        <f>IF(ListOfExpenditure[[#This Row],[Numero di volte controllato il contract ]]&gt;0,0,ListOfExpenditure[[#This Row],[IF public procurment &gt;10000;1;0]])</f>
        <v>0</v>
      </c>
    </row>
    <row r="231" spans="1:42" x14ac:dyDescent="0.25">
      <c r="A231">
        <v>1318</v>
      </c>
      <c r="B231">
        <v>3</v>
      </c>
      <c r="E231" t="s">
        <v>4786</v>
      </c>
      <c r="F231" t="b">
        <v>0</v>
      </c>
      <c r="I231" t="s">
        <v>6271</v>
      </c>
      <c r="K231" t="s">
        <v>4359</v>
      </c>
      <c r="L231" t="s">
        <v>4916</v>
      </c>
      <c r="M231" t="s">
        <v>4788</v>
      </c>
      <c r="N231" t="s">
        <v>4788</v>
      </c>
      <c r="O231">
        <v>1374.76</v>
      </c>
      <c r="Q231">
        <v>0</v>
      </c>
      <c r="R231">
        <v>0</v>
      </c>
      <c r="S231">
        <v>954.75</v>
      </c>
      <c r="T231" t="s">
        <v>4789</v>
      </c>
      <c r="U231">
        <v>1</v>
      </c>
      <c r="V231">
        <v>954.75</v>
      </c>
      <c r="W231" t="s">
        <v>4343</v>
      </c>
      <c r="Y231" t="b">
        <v>1</v>
      </c>
      <c r="Z231" t="b">
        <v>0</v>
      </c>
      <c r="AA231">
        <v>954.75</v>
      </c>
      <c r="AB231">
        <v>0</v>
      </c>
      <c r="AD231" t="b">
        <v>0</v>
      </c>
      <c r="AG231" s="1" t="s">
        <v>250</v>
      </c>
      <c r="AH231" s="1" t="s">
        <v>263</v>
      </c>
      <c r="AI231">
        <v>28</v>
      </c>
      <c r="AJ231">
        <v>280</v>
      </c>
      <c r="AK231" s="106">
        <v>45475.63555875</v>
      </c>
      <c r="AL231" s="1" t="s">
        <v>4790</v>
      </c>
      <c r="AM231" s="42">
        <f>IFERROR(INDEX('Public procurment'!A:R,MATCH(ListOfExpenditure[[#This Row],[Content.contractId]],'Public procurment'!E:E,0),14),0)</f>
        <v>0</v>
      </c>
      <c r="AN231" s="2">
        <f>IF(AND(ListOfExpenditure[[#This Row],[Contract amount]]&gt;10000,ListOfExpenditure[[#This Row],[Content.declaredAmount]]&gt;2000),1,0)</f>
        <v>0</v>
      </c>
      <c r="AO231">
        <f>IFERROR(INDEX('Public procurment'!A:S,MATCH(ListOfExpenditure[[#This Row],[Content.contractId]],'Public procurment'!E:E,0),19),0)</f>
        <v>0</v>
      </c>
      <c r="AP231">
        <f>IF(ListOfExpenditure[[#This Row],[Numero di volte controllato il contract ]]&gt;0,0,ListOfExpenditure[[#This Row],[IF public procurment &gt;10000;1;0]])</f>
        <v>0</v>
      </c>
    </row>
    <row r="232" spans="1:42" x14ac:dyDescent="0.25">
      <c r="A232">
        <v>1319</v>
      </c>
      <c r="B232">
        <v>4</v>
      </c>
      <c r="E232" t="s">
        <v>4786</v>
      </c>
      <c r="F232" t="b">
        <v>0</v>
      </c>
      <c r="I232" t="s">
        <v>6272</v>
      </c>
      <c r="K232" t="s">
        <v>4359</v>
      </c>
      <c r="L232" t="s">
        <v>4916</v>
      </c>
      <c r="M232" t="s">
        <v>4788</v>
      </c>
      <c r="N232" t="s">
        <v>4788</v>
      </c>
      <c r="O232">
        <v>1425.58</v>
      </c>
      <c r="Q232">
        <v>0</v>
      </c>
      <c r="R232">
        <v>0</v>
      </c>
      <c r="S232">
        <v>843.77</v>
      </c>
      <c r="T232" t="s">
        <v>4789</v>
      </c>
      <c r="U232">
        <v>1</v>
      </c>
      <c r="V232">
        <v>843.77</v>
      </c>
      <c r="W232" t="s">
        <v>4343</v>
      </c>
      <c r="Y232" t="b">
        <v>1</v>
      </c>
      <c r="Z232" t="b">
        <v>0</v>
      </c>
      <c r="AA232">
        <v>843.77</v>
      </c>
      <c r="AB232">
        <v>0</v>
      </c>
      <c r="AD232" t="b">
        <v>0</v>
      </c>
      <c r="AG232" s="1" t="s">
        <v>250</v>
      </c>
      <c r="AH232" s="1" t="s">
        <v>263</v>
      </c>
      <c r="AI232">
        <v>28</v>
      </c>
      <c r="AJ232">
        <v>280</v>
      </c>
      <c r="AK232" s="106">
        <v>45475.63555875</v>
      </c>
      <c r="AL232" s="1" t="s">
        <v>4790</v>
      </c>
      <c r="AM232" s="42">
        <f>IFERROR(INDEX('Public procurment'!A:R,MATCH(ListOfExpenditure[[#This Row],[Content.contractId]],'Public procurment'!E:E,0),14),0)</f>
        <v>0</v>
      </c>
      <c r="AN232" s="2">
        <f>IF(AND(ListOfExpenditure[[#This Row],[Contract amount]]&gt;10000,ListOfExpenditure[[#This Row],[Content.declaredAmount]]&gt;2000),1,0)</f>
        <v>0</v>
      </c>
      <c r="AO232">
        <f>IFERROR(INDEX('Public procurment'!A:S,MATCH(ListOfExpenditure[[#This Row],[Content.contractId]],'Public procurment'!E:E,0),19),0)</f>
        <v>0</v>
      </c>
      <c r="AP232">
        <f>IF(ListOfExpenditure[[#This Row],[Numero di volte controllato il contract ]]&gt;0,0,ListOfExpenditure[[#This Row],[IF public procurment &gt;10000;1;0]])</f>
        <v>0</v>
      </c>
    </row>
    <row r="233" spans="1:42" x14ac:dyDescent="0.25">
      <c r="A233">
        <v>1320</v>
      </c>
      <c r="B233">
        <v>5</v>
      </c>
      <c r="E233" t="s">
        <v>4786</v>
      </c>
      <c r="F233" t="b">
        <v>0</v>
      </c>
      <c r="I233" t="s">
        <v>6273</v>
      </c>
      <c r="K233" t="s">
        <v>4931</v>
      </c>
      <c r="L233" t="s">
        <v>5250</v>
      </c>
      <c r="M233" t="s">
        <v>4788</v>
      </c>
      <c r="N233" t="s">
        <v>4788</v>
      </c>
      <c r="O233">
        <v>1387.34</v>
      </c>
      <c r="Q233">
        <v>0</v>
      </c>
      <c r="R233">
        <v>0</v>
      </c>
      <c r="S233">
        <v>312.8</v>
      </c>
      <c r="T233" t="s">
        <v>4789</v>
      </c>
      <c r="U233">
        <v>1</v>
      </c>
      <c r="V233">
        <v>312.8</v>
      </c>
      <c r="W233" t="s">
        <v>4343</v>
      </c>
      <c r="Y233" t="b">
        <v>0</v>
      </c>
      <c r="Z233" t="b">
        <v>0</v>
      </c>
      <c r="AA233">
        <v>312.8</v>
      </c>
      <c r="AB233">
        <v>0</v>
      </c>
      <c r="AD233" t="b">
        <v>0</v>
      </c>
      <c r="AG233" s="1" t="s">
        <v>250</v>
      </c>
      <c r="AH233" s="1" t="s">
        <v>263</v>
      </c>
      <c r="AI233">
        <v>28</v>
      </c>
      <c r="AJ233">
        <v>280</v>
      </c>
      <c r="AK233" s="106">
        <v>45475.63555875</v>
      </c>
      <c r="AL233" s="1" t="s">
        <v>4790</v>
      </c>
      <c r="AM233" s="42">
        <f>IFERROR(INDEX('Public procurment'!A:R,MATCH(ListOfExpenditure[[#This Row],[Content.contractId]],'Public procurment'!E:E,0),14),0)</f>
        <v>0</v>
      </c>
      <c r="AN233" s="2">
        <f>IF(AND(ListOfExpenditure[[#This Row],[Contract amount]]&gt;10000,ListOfExpenditure[[#This Row],[Content.declaredAmount]]&gt;2000),1,0)</f>
        <v>0</v>
      </c>
      <c r="AO233">
        <f>IFERROR(INDEX('Public procurment'!A:S,MATCH(ListOfExpenditure[[#This Row],[Content.contractId]],'Public procurment'!E:E,0),19),0)</f>
        <v>0</v>
      </c>
      <c r="AP233">
        <f>IF(ListOfExpenditure[[#This Row],[Numero di volte controllato il contract ]]&gt;0,0,ListOfExpenditure[[#This Row],[IF public procurment &gt;10000;1;0]])</f>
        <v>0</v>
      </c>
    </row>
    <row r="234" spans="1:42" x14ac:dyDescent="0.25">
      <c r="A234">
        <v>1321</v>
      </c>
      <c r="B234">
        <v>6</v>
      </c>
      <c r="E234" t="s">
        <v>4786</v>
      </c>
      <c r="F234" t="b">
        <v>0</v>
      </c>
      <c r="I234" t="s">
        <v>6274</v>
      </c>
      <c r="K234" t="s">
        <v>4931</v>
      </c>
      <c r="L234" t="s">
        <v>5250</v>
      </c>
      <c r="M234" t="s">
        <v>4788</v>
      </c>
      <c r="N234" t="s">
        <v>4788</v>
      </c>
      <c r="O234">
        <v>1490.96</v>
      </c>
      <c r="Q234">
        <v>0</v>
      </c>
      <c r="R234">
        <v>0</v>
      </c>
      <c r="S234">
        <v>954.75</v>
      </c>
      <c r="T234" t="s">
        <v>4789</v>
      </c>
      <c r="U234">
        <v>1</v>
      </c>
      <c r="V234">
        <v>954.75</v>
      </c>
      <c r="W234" t="s">
        <v>4343</v>
      </c>
      <c r="Y234" t="b">
        <v>0</v>
      </c>
      <c r="Z234" t="b">
        <v>0</v>
      </c>
      <c r="AA234">
        <v>954.75</v>
      </c>
      <c r="AB234">
        <v>0</v>
      </c>
      <c r="AD234" t="b">
        <v>0</v>
      </c>
      <c r="AG234" s="1" t="s">
        <v>250</v>
      </c>
      <c r="AH234" s="1" t="s">
        <v>263</v>
      </c>
      <c r="AI234">
        <v>28</v>
      </c>
      <c r="AJ234">
        <v>280</v>
      </c>
      <c r="AK234" s="106">
        <v>45475.63555875</v>
      </c>
      <c r="AL234" s="1" t="s">
        <v>4790</v>
      </c>
      <c r="AM234" s="42">
        <f>IFERROR(INDEX('Public procurment'!A:R,MATCH(ListOfExpenditure[[#This Row],[Content.contractId]],'Public procurment'!E:E,0),14),0)</f>
        <v>0</v>
      </c>
      <c r="AN234" s="2">
        <f>IF(AND(ListOfExpenditure[[#This Row],[Contract amount]]&gt;10000,ListOfExpenditure[[#This Row],[Content.declaredAmount]]&gt;2000),1,0)</f>
        <v>0</v>
      </c>
      <c r="AO234">
        <f>IFERROR(INDEX('Public procurment'!A:S,MATCH(ListOfExpenditure[[#This Row],[Content.contractId]],'Public procurment'!E:E,0),19),0)</f>
        <v>0</v>
      </c>
      <c r="AP234">
        <f>IF(ListOfExpenditure[[#This Row],[Numero di volte controllato il contract ]]&gt;0,0,ListOfExpenditure[[#This Row],[IF public procurment &gt;10000;1;0]])</f>
        <v>0</v>
      </c>
    </row>
    <row r="235" spans="1:42" x14ac:dyDescent="0.25">
      <c r="A235">
        <v>1322</v>
      </c>
      <c r="B235">
        <v>7</v>
      </c>
      <c r="E235" t="s">
        <v>4786</v>
      </c>
      <c r="F235" t="b">
        <v>0</v>
      </c>
      <c r="I235" t="s">
        <v>6275</v>
      </c>
      <c r="K235" t="s">
        <v>4931</v>
      </c>
      <c r="L235" t="s">
        <v>5250</v>
      </c>
      <c r="M235" t="s">
        <v>4788</v>
      </c>
      <c r="N235" t="s">
        <v>4788</v>
      </c>
      <c r="O235">
        <v>1804.77</v>
      </c>
      <c r="Q235">
        <v>0</v>
      </c>
      <c r="R235">
        <v>0</v>
      </c>
      <c r="S235">
        <v>843.77</v>
      </c>
      <c r="T235" t="s">
        <v>4789</v>
      </c>
      <c r="U235">
        <v>1</v>
      </c>
      <c r="V235">
        <v>843.77</v>
      </c>
      <c r="W235" t="s">
        <v>4343</v>
      </c>
      <c r="Y235" t="b">
        <v>0</v>
      </c>
      <c r="Z235" t="b">
        <v>0</v>
      </c>
      <c r="AA235">
        <v>843.77</v>
      </c>
      <c r="AB235">
        <v>0</v>
      </c>
      <c r="AD235" t="b">
        <v>0</v>
      </c>
      <c r="AG235" s="1" t="s">
        <v>250</v>
      </c>
      <c r="AH235" s="1" t="s">
        <v>263</v>
      </c>
      <c r="AI235">
        <v>28</v>
      </c>
      <c r="AJ235">
        <v>280</v>
      </c>
      <c r="AK235" s="106">
        <v>45475.63555875</v>
      </c>
      <c r="AL235" s="1" t="s">
        <v>4790</v>
      </c>
      <c r="AM235" s="42">
        <f>IFERROR(INDEX('Public procurment'!A:R,MATCH(ListOfExpenditure[[#This Row],[Content.contractId]],'Public procurment'!E:E,0),14),0)</f>
        <v>0</v>
      </c>
      <c r="AN235" s="2">
        <f>IF(AND(ListOfExpenditure[[#This Row],[Contract amount]]&gt;10000,ListOfExpenditure[[#This Row],[Content.declaredAmount]]&gt;2000),1,0)</f>
        <v>0</v>
      </c>
      <c r="AO235">
        <f>IFERROR(INDEX('Public procurment'!A:S,MATCH(ListOfExpenditure[[#This Row],[Content.contractId]],'Public procurment'!E:E,0),19),0)</f>
        <v>0</v>
      </c>
      <c r="AP235">
        <f>IF(ListOfExpenditure[[#This Row],[Numero di volte controllato il contract ]]&gt;0,0,ListOfExpenditure[[#This Row],[IF public procurment &gt;10000;1;0]])</f>
        <v>0</v>
      </c>
    </row>
    <row r="236" spans="1:42" x14ac:dyDescent="0.25">
      <c r="A236">
        <v>1323</v>
      </c>
      <c r="B236">
        <v>8</v>
      </c>
      <c r="E236" t="s">
        <v>4786</v>
      </c>
      <c r="F236" t="b">
        <v>0</v>
      </c>
      <c r="I236" t="s">
        <v>6276</v>
      </c>
      <c r="K236" t="s">
        <v>4525</v>
      </c>
      <c r="L236" t="s">
        <v>5533</v>
      </c>
      <c r="M236" t="s">
        <v>4788</v>
      </c>
      <c r="N236" t="s">
        <v>4788</v>
      </c>
      <c r="O236">
        <v>2094.4699999999998</v>
      </c>
      <c r="Q236">
        <v>0</v>
      </c>
      <c r="R236">
        <v>0</v>
      </c>
      <c r="S236">
        <v>312.8</v>
      </c>
      <c r="T236" t="s">
        <v>4789</v>
      </c>
      <c r="U236">
        <v>1</v>
      </c>
      <c r="V236">
        <v>312.8</v>
      </c>
      <c r="W236" t="s">
        <v>4343</v>
      </c>
      <c r="Y236" t="b">
        <v>0</v>
      </c>
      <c r="Z236" t="b">
        <v>0</v>
      </c>
      <c r="AA236">
        <v>312.8</v>
      </c>
      <c r="AB236">
        <v>0</v>
      </c>
      <c r="AD236" t="b">
        <v>0</v>
      </c>
      <c r="AG236" s="1" t="s">
        <v>250</v>
      </c>
      <c r="AH236" s="1" t="s">
        <v>263</v>
      </c>
      <c r="AI236">
        <v>28</v>
      </c>
      <c r="AJ236">
        <v>280</v>
      </c>
      <c r="AK236" s="106">
        <v>45475.63555875</v>
      </c>
      <c r="AL236" s="1" t="s">
        <v>4790</v>
      </c>
      <c r="AM236" s="42">
        <f>IFERROR(INDEX('Public procurment'!A:R,MATCH(ListOfExpenditure[[#This Row],[Content.contractId]],'Public procurment'!E:E,0),14),0)</f>
        <v>0</v>
      </c>
      <c r="AN236" s="2">
        <f>IF(AND(ListOfExpenditure[[#This Row],[Contract amount]]&gt;10000,ListOfExpenditure[[#This Row],[Content.declaredAmount]]&gt;2000),1,0)</f>
        <v>0</v>
      </c>
      <c r="AO236">
        <f>IFERROR(INDEX('Public procurment'!A:S,MATCH(ListOfExpenditure[[#This Row],[Content.contractId]],'Public procurment'!E:E,0),19),0)</f>
        <v>0</v>
      </c>
      <c r="AP236">
        <f>IF(ListOfExpenditure[[#This Row],[Numero di volte controllato il contract ]]&gt;0,0,ListOfExpenditure[[#This Row],[IF public procurment &gt;10000;1;0]])</f>
        <v>0</v>
      </c>
    </row>
    <row r="237" spans="1:42" x14ac:dyDescent="0.25">
      <c r="A237">
        <v>1324</v>
      </c>
      <c r="B237">
        <v>9</v>
      </c>
      <c r="E237" t="s">
        <v>4786</v>
      </c>
      <c r="F237" t="b">
        <v>0</v>
      </c>
      <c r="I237" t="s">
        <v>6277</v>
      </c>
      <c r="K237" t="s">
        <v>4525</v>
      </c>
      <c r="L237" t="s">
        <v>5533</v>
      </c>
      <c r="M237" t="s">
        <v>4788</v>
      </c>
      <c r="N237" t="s">
        <v>4788</v>
      </c>
      <c r="O237">
        <v>1426.63</v>
      </c>
      <c r="Q237">
        <v>0</v>
      </c>
      <c r="R237">
        <v>0</v>
      </c>
      <c r="S237">
        <v>954.75</v>
      </c>
      <c r="T237" t="s">
        <v>4789</v>
      </c>
      <c r="U237">
        <v>1</v>
      </c>
      <c r="V237">
        <v>954.75</v>
      </c>
      <c r="W237" t="s">
        <v>4343</v>
      </c>
      <c r="Y237" t="b">
        <v>0</v>
      </c>
      <c r="Z237" t="b">
        <v>0</v>
      </c>
      <c r="AA237">
        <v>954.75</v>
      </c>
      <c r="AB237">
        <v>0</v>
      </c>
      <c r="AD237" t="b">
        <v>0</v>
      </c>
      <c r="AG237" s="1" t="s">
        <v>250</v>
      </c>
      <c r="AH237" s="1" t="s">
        <v>263</v>
      </c>
      <c r="AI237">
        <v>28</v>
      </c>
      <c r="AJ237">
        <v>280</v>
      </c>
      <c r="AK237" s="106">
        <v>45475.63555875</v>
      </c>
      <c r="AL237" s="1" t="s">
        <v>4790</v>
      </c>
      <c r="AM237" s="42">
        <f>IFERROR(INDEX('Public procurment'!A:R,MATCH(ListOfExpenditure[[#This Row],[Content.contractId]],'Public procurment'!E:E,0),14),0)</f>
        <v>0</v>
      </c>
      <c r="AN237" s="2">
        <f>IF(AND(ListOfExpenditure[[#This Row],[Contract amount]]&gt;10000,ListOfExpenditure[[#This Row],[Content.declaredAmount]]&gt;2000),1,0)</f>
        <v>0</v>
      </c>
      <c r="AO237">
        <f>IFERROR(INDEX('Public procurment'!A:S,MATCH(ListOfExpenditure[[#This Row],[Content.contractId]],'Public procurment'!E:E,0),19),0)</f>
        <v>0</v>
      </c>
      <c r="AP237">
        <f>IF(ListOfExpenditure[[#This Row],[Numero di volte controllato il contract ]]&gt;0,0,ListOfExpenditure[[#This Row],[IF public procurment &gt;10000;1;0]])</f>
        <v>0</v>
      </c>
    </row>
    <row r="238" spans="1:42" x14ac:dyDescent="0.25">
      <c r="A238">
        <v>1325</v>
      </c>
      <c r="B238">
        <v>10</v>
      </c>
      <c r="E238" t="s">
        <v>4786</v>
      </c>
      <c r="F238" t="b">
        <v>0</v>
      </c>
      <c r="I238" t="s">
        <v>6278</v>
      </c>
      <c r="K238" t="s">
        <v>4525</v>
      </c>
      <c r="L238" t="s">
        <v>5533</v>
      </c>
      <c r="M238" t="s">
        <v>4788</v>
      </c>
      <c r="N238" t="s">
        <v>4788</v>
      </c>
      <c r="O238">
        <v>1526.86</v>
      </c>
      <c r="Q238">
        <v>0</v>
      </c>
      <c r="R238">
        <v>0</v>
      </c>
      <c r="S238">
        <v>843.77</v>
      </c>
      <c r="T238" t="s">
        <v>4789</v>
      </c>
      <c r="U238">
        <v>1</v>
      </c>
      <c r="V238">
        <v>843.77</v>
      </c>
      <c r="W238" t="s">
        <v>4343</v>
      </c>
      <c r="Y238" t="b">
        <v>0</v>
      </c>
      <c r="Z238" t="b">
        <v>0</v>
      </c>
      <c r="AA238">
        <v>843.77</v>
      </c>
      <c r="AB238">
        <v>0</v>
      </c>
      <c r="AD238" t="b">
        <v>0</v>
      </c>
      <c r="AG238" s="1" t="s">
        <v>250</v>
      </c>
      <c r="AH238" s="1" t="s">
        <v>263</v>
      </c>
      <c r="AI238">
        <v>28</v>
      </c>
      <c r="AJ238">
        <v>280</v>
      </c>
      <c r="AK238" s="106">
        <v>45475.63555875</v>
      </c>
      <c r="AL238" s="1" t="s">
        <v>4790</v>
      </c>
      <c r="AM238" s="42">
        <f>IFERROR(INDEX('Public procurment'!A:R,MATCH(ListOfExpenditure[[#This Row],[Content.contractId]],'Public procurment'!E:E,0),14),0)</f>
        <v>0</v>
      </c>
      <c r="AN238" s="2">
        <f>IF(AND(ListOfExpenditure[[#This Row],[Contract amount]]&gt;10000,ListOfExpenditure[[#This Row],[Content.declaredAmount]]&gt;2000),1,0)</f>
        <v>0</v>
      </c>
      <c r="AO238">
        <f>IFERROR(INDEX('Public procurment'!A:S,MATCH(ListOfExpenditure[[#This Row],[Content.contractId]],'Public procurment'!E:E,0),19),0)</f>
        <v>0</v>
      </c>
      <c r="AP238">
        <f>IF(ListOfExpenditure[[#This Row],[Numero di volte controllato il contract ]]&gt;0,0,ListOfExpenditure[[#This Row],[IF public procurment &gt;10000;1;0]])</f>
        <v>0</v>
      </c>
    </row>
    <row r="239" spans="1:42" x14ac:dyDescent="0.25">
      <c r="A239">
        <v>1326</v>
      </c>
      <c r="B239">
        <v>11</v>
      </c>
      <c r="E239" t="s">
        <v>4798</v>
      </c>
      <c r="F239" t="b">
        <v>0</v>
      </c>
      <c r="H239">
        <v>270</v>
      </c>
      <c r="I239" t="s">
        <v>4945</v>
      </c>
      <c r="J239" t="s">
        <v>4947</v>
      </c>
      <c r="K239" t="s">
        <v>4359</v>
      </c>
      <c r="L239" t="s">
        <v>4999</v>
      </c>
      <c r="M239" t="s">
        <v>4788</v>
      </c>
      <c r="N239" t="s">
        <v>4788</v>
      </c>
      <c r="O239">
        <v>1649.69</v>
      </c>
      <c r="P239">
        <v>0</v>
      </c>
      <c r="Q239">
        <v>0</v>
      </c>
      <c r="R239">
        <v>0</v>
      </c>
      <c r="S239">
        <v>706.62</v>
      </c>
      <c r="T239" t="s">
        <v>4789</v>
      </c>
      <c r="U239">
        <v>1</v>
      </c>
      <c r="V239">
        <v>706.62</v>
      </c>
      <c r="W239" t="s">
        <v>4343</v>
      </c>
      <c r="Y239" t="b">
        <v>1</v>
      </c>
      <c r="Z239" t="b">
        <v>0</v>
      </c>
      <c r="AA239">
        <v>706.62</v>
      </c>
      <c r="AB239">
        <v>0</v>
      </c>
      <c r="AD239" t="b">
        <v>0</v>
      </c>
      <c r="AG239" s="1" t="s">
        <v>250</v>
      </c>
      <c r="AH239" s="1" t="s">
        <v>263</v>
      </c>
      <c r="AI239">
        <v>28</v>
      </c>
      <c r="AJ239">
        <v>280</v>
      </c>
      <c r="AK239" s="106">
        <v>45475.63555875</v>
      </c>
      <c r="AL239" s="1" t="s">
        <v>4790</v>
      </c>
      <c r="AM239" s="42">
        <f>IFERROR(INDEX('Public procurment'!A:R,MATCH(ListOfExpenditure[[#This Row],[Content.contractId]],'Public procurment'!E:E,0),14),0)</f>
        <v>30240</v>
      </c>
      <c r="AN239" s="2">
        <f>IF(AND(ListOfExpenditure[[#This Row],[Contract amount]]&gt;10000,ListOfExpenditure[[#This Row],[Content.declaredAmount]]&gt;2000),1,0)</f>
        <v>0</v>
      </c>
      <c r="AO239">
        <f>IFERROR(INDEX('Public procurment'!A:S,MATCH(ListOfExpenditure[[#This Row],[Content.contractId]],'Public procurment'!E:E,0),19),0)</f>
        <v>5</v>
      </c>
      <c r="AP239">
        <f>IF(ListOfExpenditure[[#This Row],[Numero di volte controllato il contract ]]&gt;0,0,ListOfExpenditure[[#This Row],[IF public procurment &gt;10000;1;0]])</f>
        <v>0</v>
      </c>
    </row>
    <row r="240" spans="1:42" x14ac:dyDescent="0.25">
      <c r="A240">
        <v>1328</v>
      </c>
      <c r="B240">
        <v>12</v>
      </c>
      <c r="E240" t="s">
        <v>4798</v>
      </c>
      <c r="F240" t="b">
        <v>0</v>
      </c>
      <c r="H240">
        <v>270</v>
      </c>
      <c r="I240" t="s">
        <v>4947</v>
      </c>
      <c r="J240" t="s">
        <v>4948</v>
      </c>
      <c r="K240" t="s">
        <v>4931</v>
      </c>
      <c r="L240" t="s">
        <v>4908</v>
      </c>
      <c r="M240" t="s">
        <v>4788</v>
      </c>
      <c r="N240" t="s">
        <v>4788</v>
      </c>
      <c r="O240">
        <v>1696.79</v>
      </c>
      <c r="P240">
        <v>0</v>
      </c>
      <c r="Q240">
        <v>0</v>
      </c>
      <c r="R240">
        <v>0</v>
      </c>
      <c r="S240">
        <v>1306.76</v>
      </c>
      <c r="T240" t="s">
        <v>4789</v>
      </c>
      <c r="U240">
        <v>1</v>
      </c>
      <c r="V240">
        <v>1306.76</v>
      </c>
      <c r="W240" t="s">
        <v>4343</v>
      </c>
      <c r="Y240" t="b">
        <v>1</v>
      </c>
      <c r="Z240" t="b">
        <v>0</v>
      </c>
      <c r="AA240">
        <v>1306.76</v>
      </c>
      <c r="AB240">
        <v>0</v>
      </c>
      <c r="AD240" t="b">
        <v>0</v>
      </c>
      <c r="AG240" s="1" t="s">
        <v>250</v>
      </c>
      <c r="AH240" s="1" t="s">
        <v>263</v>
      </c>
      <c r="AI240">
        <v>28</v>
      </c>
      <c r="AJ240">
        <v>280</v>
      </c>
      <c r="AK240" s="106">
        <v>45475.63555875</v>
      </c>
      <c r="AL240" s="1" t="s">
        <v>4790</v>
      </c>
      <c r="AM240" s="42">
        <f>IFERROR(INDEX('Public procurment'!A:R,MATCH(ListOfExpenditure[[#This Row],[Content.contractId]],'Public procurment'!E:E,0),14),0)</f>
        <v>30240</v>
      </c>
      <c r="AN240" s="2">
        <f>IF(AND(ListOfExpenditure[[#This Row],[Contract amount]]&gt;10000,ListOfExpenditure[[#This Row],[Content.declaredAmount]]&gt;2000),1,0)</f>
        <v>0</v>
      </c>
      <c r="AO240">
        <f>IFERROR(INDEX('Public procurment'!A:S,MATCH(ListOfExpenditure[[#This Row],[Content.contractId]],'Public procurment'!E:E,0),19),0)</f>
        <v>5</v>
      </c>
      <c r="AP240">
        <f>IF(ListOfExpenditure[[#This Row],[Numero di volte controllato il contract ]]&gt;0,0,ListOfExpenditure[[#This Row],[IF public procurment &gt;10000;1;0]])</f>
        <v>0</v>
      </c>
    </row>
    <row r="241" spans="1:42" x14ac:dyDescent="0.25">
      <c r="A241">
        <v>1329</v>
      </c>
      <c r="B241">
        <v>13</v>
      </c>
      <c r="E241" t="s">
        <v>4798</v>
      </c>
      <c r="F241" t="b">
        <v>0</v>
      </c>
      <c r="H241">
        <v>270</v>
      </c>
      <c r="I241" t="s">
        <v>4948</v>
      </c>
      <c r="J241" t="s">
        <v>4949</v>
      </c>
      <c r="K241" t="s">
        <v>4525</v>
      </c>
      <c r="L241" t="s">
        <v>4672</v>
      </c>
      <c r="M241" t="s">
        <v>4788</v>
      </c>
      <c r="N241" t="s">
        <v>4788</v>
      </c>
      <c r="O241">
        <v>1214.08</v>
      </c>
      <c r="P241">
        <v>0</v>
      </c>
      <c r="Q241">
        <v>0</v>
      </c>
      <c r="R241">
        <v>0</v>
      </c>
      <c r="S241">
        <v>946.02</v>
      </c>
      <c r="T241" t="s">
        <v>4789</v>
      </c>
      <c r="U241">
        <v>1</v>
      </c>
      <c r="V241">
        <v>946.02</v>
      </c>
      <c r="W241" t="s">
        <v>4343</v>
      </c>
      <c r="Y241" t="b">
        <v>1</v>
      </c>
      <c r="Z241" t="b">
        <v>0</v>
      </c>
      <c r="AA241">
        <v>946.02</v>
      </c>
      <c r="AB241">
        <v>0</v>
      </c>
      <c r="AD241" t="b">
        <v>0</v>
      </c>
      <c r="AG241" s="1" t="s">
        <v>250</v>
      </c>
      <c r="AH241" s="1" t="s">
        <v>263</v>
      </c>
      <c r="AI241">
        <v>28</v>
      </c>
      <c r="AJ241">
        <v>280</v>
      </c>
      <c r="AK241" s="106">
        <v>45475.63555875</v>
      </c>
      <c r="AL241" s="1" t="s">
        <v>4790</v>
      </c>
      <c r="AM241" s="42">
        <f>IFERROR(INDEX('Public procurment'!A:R,MATCH(ListOfExpenditure[[#This Row],[Content.contractId]],'Public procurment'!E:E,0),14),0)</f>
        <v>30240</v>
      </c>
      <c r="AN241" s="2">
        <f>IF(AND(ListOfExpenditure[[#This Row],[Contract amount]]&gt;10000,ListOfExpenditure[[#This Row],[Content.declaredAmount]]&gt;2000),1,0)</f>
        <v>0</v>
      </c>
      <c r="AO241">
        <f>IFERROR(INDEX('Public procurment'!A:S,MATCH(ListOfExpenditure[[#This Row],[Content.contractId]],'Public procurment'!E:E,0),19),0)</f>
        <v>5</v>
      </c>
      <c r="AP241">
        <f>IF(ListOfExpenditure[[#This Row],[Numero di volte controllato il contract ]]&gt;0,0,ListOfExpenditure[[#This Row],[IF public procurment &gt;10000;1;0]])</f>
        <v>0</v>
      </c>
    </row>
    <row r="242" spans="1:42" x14ac:dyDescent="0.25">
      <c r="A242">
        <v>1341</v>
      </c>
      <c r="B242">
        <v>14</v>
      </c>
      <c r="E242" t="s">
        <v>4798</v>
      </c>
      <c r="F242" t="b">
        <v>0</v>
      </c>
      <c r="H242">
        <v>249</v>
      </c>
      <c r="I242" t="s">
        <v>4949</v>
      </c>
      <c r="J242" t="s">
        <v>5797</v>
      </c>
      <c r="K242" t="s">
        <v>4905</v>
      </c>
      <c r="L242" t="s">
        <v>4672</v>
      </c>
      <c r="M242" t="s">
        <v>4788</v>
      </c>
      <c r="N242" t="s">
        <v>4788</v>
      </c>
      <c r="O242">
        <v>1251.76</v>
      </c>
      <c r="Q242">
        <v>0</v>
      </c>
      <c r="R242">
        <v>0</v>
      </c>
      <c r="S242">
        <v>1251.76</v>
      </c>
      <c r="T242" t="s">
        <v>4789</v>
      </c>
      <c r="U242">
        <v>1</v>
      </c>
      <c r="V242">
        <v>1251.76</v>
      </c>
      <c r="W242" t="s">
        <v>4343</v>
      </c>
      <c r="Y242" t="b">
        <v>1</v>
      </c>
      <c r="Z242" t="b">
        <v>0</v>
      </c>
      <c r="AA242">
        <v>1251.76</v>
      </c>
      <c r="AB242">
        <v>0</v>
      </c>
      <c r="AD242" t="b">
        <v>0</v>
      </c>
      <c r="AG242" s="1" t="s">
        <v>250</v>
      </c>
      <c r="AH242" s="1" t="s">
        <v>263</v>
      </c>
      <c r="AI242">
        <v>28</v>
      </c>
      <c r="AJ242">
        <v>280</v>
      </c>
      <c r="AK242" s="106">
        <v>45475.63555875</v>
      </c>
      <c r="AL242" s="1" t="s">
        <v>4790</v>
      </c>
      <c r="AM242" s="42">
        <f>IFERROR(INDEX('Public procurment'!A:R,MATCH(ListOfExpenditure[[#This Row],[Content.contractId]],'Public procurment'!E:E,0),14),0)</f>
        <v>23520</v>
      </c>
      <c r="AN242" s="2">
        <f>IF(AND(ListOfExpenditure[[#This Row],[Contract amount]]&gt;10000,ListOfExpenditure[[#This Row],[Content.declaredAmount]]&gt;2000),1,0)</f>
        <v>0</v>
      </c>
      <c r="AO242">
        <f>IFERROR(INDEX('Public procurment'!A:S,MATCH(ListOfExpenditure[[#This Row],[Content.contractId]],'Public procurment'!E:E,0),19),0)</f>
        <v>2</v>
      </c>
      <c r="AP242">
        <f>IF(ListOfExpenditure[[#This Row],[Numero di volte controllato il contract ]]&gt;0,0,ListOfExpenditure[[#This Row],[IF public procurment &gt;10000;1;0]])</f>
        <v>0</v>
      </c>
    </row>
    <row r="243" spans="1:42" x14ac:dyDescent="0.25">
      <c r="A243">
        <v>1342</v>
      </c>
      <c r="B243">
        <v>15</v>
      </c>
      <c r="E243" t="s">
        <v>4798</v>
      </c>
      <c r="F243" t="b">
        <v>0</v>
      </c>
      <c r="H243">
        <v>250</v>
      </c>
      <c r="I243" t="s">
        <v>4961</v>
      </c>
      <c r="J243" t="s">
        <v>6279</v>
      </c>
      <c r="K243" t="s">
        <v>5234</v>
      </c>
      <c r="L243" t="s">
        <v>4908</v>
      </c>
      <c r="M243" t="s">
        <v>4788</v>
      </c>
      <c r="N243" t="s">
        <v>4788</v>
      </c>
      <c r="O243">
        <v>583.44000000000005</v>
      </c>
      <c r="P243">
        <v>125.84</v>
      </c>
      <c r="Q243">
        <v>0</v>
      </c>
      <c r="R243">
        <v>0</v>
      </c>
      <c r="S243">
        <v>686.4</v>
      </c>
      <c r="T243" t="s">
        <v>4789</v>
      </c>
      <c r="U243">
        <v>1</v>
      </c>
      <c r="V243">
        <v>686.4</v>
      </c>
      <c r="W243" t="s">
        <v>4343</v>
      </c>
      <c r="Y243" t="b">
        <v>1</v>
      </c>
      <c r="Z243" t="b">
        <v>0</v>
      </c>
      <c r="AA243">
        <v>686.4</v>
      </c>
      <c r="AB243">
        <v>0</v>
      </c>
      <c r="AD243" t="b">
        <v>0</v>
      </c>
      <c r="AG243" s="1" t="s">
        <v>250</v>
      </c>
      <c r="AH243" s="1" t="s">
        <v>263</v>
      </c>
      <c r="AI243">
        <v>28</v>
      </c>
      <c r="AJ243">
        <v>280</v>
      </c>
      <c r="AK243" s="106">
        <v>45475.63555875</v>
      </c>
      <c r="AL243" s="1" t="s">
        <v>4790</v>
      </c>
      <c r="AM243" s="42">
        <f>IFERROR(INDEX('Public procurment'!A:R,MATCH(ListOfExpenditure[[#This Row],[Content.contractId]],'Public procurment'!E:E,0),14),0)</f>
        <v>583.44000000000005</v>
      </c>
      <c r="AN243" s="2">
        <f>IF(AND(ListOfExpenditure[[#This Row],[Contract amount]]&gt;10000,ListOfExpenditure[[#This Row],[Content.declaredAmount]]&gt;2000),1,0)</f>
        <v>0</v>
      </c>
      <c r="AO243">
        <f>IFERROR(INDEX('Public procurment'!A:S,MATCH(ListOfExpenditure[[#This Row],[Content.contractId]],'Public procurment'!E:E,0),19),0)</f>
        <v>1</v>
      </c>
      <c r="AP243">
        <f>IF(ListOfExpenditure[[#This Row],[Numero di volte controllato il contract ]]&gt;0,0,ListOfExpenditure[[#This Row],[IF public procurment &gt;10000;1;0]])</f>
        <v>0</v>
      </c>
    </row>
    <row r="244" spans="1:42" x14ac:dyDescent="0.25">
      <c r="A244">
        <v>1343</v>
      </c>
      <c r="B244">
        <v>16</v>
      </c>
      <c r="E244" t="s">
        <v>4786</v>
      </c>
      <c r="F244" t="b">
        <v>0</v>
      </c>
      <c r="I244" t="s">
        <v>4962</v>
      </c>
      <c r="K244" t="s">
        <v>4678</v>
      </c>
      <c r="L244" t="s">
        <v>4974</v>
      </c>
      <c r="M244" t="s">
        <v>4788</v>
      </c>
      <c r="N244" t="s">
        <v>4788</v>
      </c>
      <c r="O244">
        <v>1356.02</v>
      </c>
      <c r="Q244">
        <v>0</v>
      </c>
      <c r="R244">
        <v>0</v>
      </c>
      <c r="S244">
        <v>312.8</v>
      </c>
      <c r="T244" t="s">
        <v>4789</v>
      </c>
      <c r="U244">
        <v>1</v>
      </c>
      <c r="V244">
        <v>312.8</v>
      </c>
      <c r="W244" t="s">
        <v>4343</v>
      </c>
      <c r="Y244" t="b">
        <v>0</v>
      </c>
      <c r="Z244" t="b">
        <v>0</v>
      </c>
      <c r="AA244">
        <v>312.8</v>
      </c>
      <c r="AB244">
        <v>0</v>
      </c>
      <c r="AD244" t="b">
        <v>0</v>
      </c>
      <c r="AG244" s="1" t="s">
        <v>250</v>
      </c>
      <c r="AH244" s="1" t="s">
        <v>263</v>
      </c>
      <c r="AI244">
        <v>28</v>
      </c>
      <c r="AJ244">
        <v>280</v>
      </c>
      <c r="AK244" s="106">
        <v>45475.63555875</v>
      </c>
      <c r="AL244" s="1" t="s">
        <v>4790</v>
      </c>
      <c r="AM244" s="42">
        <f>IFERROR(INDEX('Public procurment'!A:R,MATCH(ListOfExpenditure[[#This Row],[Content.contractId]],'Public procurment'!E:E,0),14),0)</f>
        <v>0</v>
      </c>
      <c r="AN244" s="2">
        <f>IF(AND(ListOfExpenditure[[#This Row],[Contract amount]]&gt;10000,ListOfExpenditure[[#This Row],[Content.declaredAmount]]&gt;2000),1,0)</f>
        <v>0</v>
      </c>
      <c r="AO244">
        <f>IFERROR(INDEX('Public procurment'!A:S,MATCH(ListOfExpenditure[[#This Row],[Content.contractId]],'Public procurment'!E:E,0),19),0)</f>
        <v>0</v>
      </c>
      <c r="AP244">
        <f>IF(ListOfExpenditure[[#This Row],[Numero di volte controllato il contract ]]&gt;0,0,ListOfExpenditure[[#This Row],[IF public procurment &gt;10000;1;0]])</f>
        <v>0</v>
      </c>
    </row>
    <row r="245" spans="1:42" x14ac:dyDescent="0.25">
      <c r="A245">
        <v>1344</v>
      </c>
      <c r="B245">
        <v>17</v>
      </c>
      <c r="E245" t="s">
        <v>4786</v>
      </c>
      <c r="F245" t="b">
        <v>0</v>
      </c>
      <c r="I245" t="s">
        <v>4963</v>
      </c>
      <c r="K245" t="s">
        <v>4678</v>
      </c>
      <c r="L245" t="s">
        <v>4974</v>
      </c>
      <c r="M245" t="s">
        <v>4788</v>
      </c>
      <c r="N245" t="s">
        <v>4788</v>
      </c>
      <c r="O245">
        <v>1414.2</v>
      </c>
      <c r="Q245">
        <v>0</v>
      </c>
      <c r="R245">
        <v>0</v>
      </c>
      <c r="S245">
        <v>954.75</v>
      </c>
      <c r="T245" t="s">
        <v>4789</v>
      </c>
      <c r="U245">
        <v>1</v>
      </c>
      <c r="V245">
        <v>954.75</v>
      </c>
      <c r="W245" t="s">
        <v>4343</v>
      </c>
      <c r="Y245" t="b">
        <v>0</v>
      </c>
      <c r="Z245" t="b">
        <v>0</v>
      </c>
      <c r="AA245">
        <v>954.75</v>
      </c>
      <c r="AB245">
        <v>0</v>
      </c>
      <c r="AD245" t="b">
        <v>0</v>
      </c>
      <c r="AG245" s="1" t="s">
        <v>250</v>
      </c>
      <c r="AH245" s="1" t="s">
        <v>263</v>
      </c>
      <c r="AI245">
        <v>28</v>
      </c>
      <c r="AJ245">
        <v>280</v>
      </c>
      <c r="AK245" s="106">
        <v>45475.63555875</v>
      </c>
      <c r="AL245" s="1" t="s">
        <v>4790</v>
      </c>
      <c r="AM245" s="42">
        <f>IFERROR(INDEX('Public procurment'!A:R,MATCH(ListOfExpenditure[[#This Row],[Content.contractId]],'Public procurment'!E:E,0),14),0)</f>
        <v>0</v>
      </c>
      <c r="AN245" s="2">
        <f>IF(AND(ListOfExpenditure[[#This Row],[Contract amount]]&gt;10000,ListOfExpenditure[[#This Row],[Content.declaredAmount]]&gt;2000),1,0)</f>
        <v>0</v>
      </c>
      <c r="AO245">
        <f>IFERROR(INDEX('Public procurment'!A:S,MATCH(ListOfExpenditure[[#This Row],[Content.contractId]],'Public procurment'!E:E,0),19),0)</f>
        <v>0</v>
      </c>
      <c r="AP245">
        <f>IF(ListOfExpenditure[[#This Row],[Numero di volte controllato il contract ]]&gt;0,0,ListOfExpenditure[[#This Row],[IF public procurment &gt;10000;1;0]])</f>
        <v>0</v>
      </c>
    </row>
    <row r="246" spans="1:42" x14ac:dyDescent="0.25">
      <c r="A246">
        <v>1345</v>
      </c>
      <c r="B246">
        <v>18</v>
      </c>
      <c r="E246" t="s">
        <v>4786</v>
      </c>
      <c r="F246" t="b">
        <v>0</v>
      </c>
      <c r="I246" t="s">
        <v>4964</v>
      </c>
      <c r="K246" t="s">
        <v>4678</v>
      </c>
      <c r="L246" t="s">
        <v>4974</v>
      </c>
      <c r="M246" t="s">
        <v>4788</v>
      </c>
      <c r="N246" t="s">
        <v>4788</v>
      </c>
      <c r="O246">
        <v>1507.5</v>
      </c>
      <c r="Q246">
        <v>0</v>
      </c>
      <c r="R246">
        <v>0</v>
      </c>
      <c r="S246">
        <v>843.77</v>
      </c>
      <c r="T246" t="s">
        <v>4789</v>
      </c>
      <c r="U246">
        <v>1</v>
      </c>
      <c r="V246">
        <v>843.77</v>
      </c>
      <c r="W246" t="s">
        <v>4343</v>
      </c>
      <c r="Y246" t="b">
        <v>0</v>
      </c>
      <c r="Z246" t="b">
        <v>0</v>
      </c>
      <c r="AA246">
        <v>843.77</v>
      </c>
      <c r="AB246">
        <v>0</v>
      </c>
      <c r="AD246" t="b">
        <v>0</v>
      </c>
      <c r="AG246" s="1" t="s">
        <v>250</v>
      </c>
      <c r="AH246" s="1" t="s">
        <v>263</v>
      </c>
      <c r="AI246">
        <v>28</v>
      </c>
      <c r="AJ246">
        <v>280</v>
      </c>
      <c r="AK246" s="106">
        <v>45475.63555875</v>
      </c>
      <c r="AL246" s="1" t="s">
        <v>4790</v>
      </c>
      <c r="AM246" s="42">
        <f>IFERROR(INDEX('Public procurment'!A:R,MATCH(ListOfExpenditure[[#This Row],[Content.contractId]],'Public procurment'!E:E,0),14),0)</f>
        <v>0</v>
      </c>
      <c r="AN246" s="2">
        <f>IF(AND(ListOfExpenditure[[#This Row],[Contract amount]]&gt;10000,ListOfExpenditure[[#This Row],[Content.declaredAmount]]&gt;2000),1,0)</f>
        <v>0</v>
      </c>
      <c r="AO246">
        <f>IFERROR(INDEX('Public procurment'!A:S,MATCH(ListOfExpenditure[[#This Row],[Content.contractId]],'Public procurment'!E:E,0),19),0)</f>
        <v>0</v>
      </c>
      <c r="AP246">
        <f>IF(ListOfExpenditure[[#This Row],[Numero di volte controllato il contract ]]&gt;0,0,ListOfExpenditure[[#This Row],[IF public procurment &gt;10000;1;0]])</f>
        <v>0</v>
      </c>
    </row>
    <row r="247" spans="1:42" x14ac:dyDescent="0.25">
      <c r="A247">
        <v>1348</v>
      </c>
      <c r="B247">
        <v>19</v>
      </c>
      <c r="E247" t="s">
        <v>4798</v>
      </c>
      <c r="F247" t="b">
        <v>0</v>
      </c>
      <c r="H247">
        <v>270</v>
      </c>
      <c r="I247" t="s">
        <v>4965</v>
      </c>
      <c r="J247" t="s">
        <v>4922</v>
      </c>
      <c r="K247" t="s">
        <v>4730</v>
      </c>
      <c r="L247" t="s">
        <v>4742</v>
      </c>
      <c r="M247" t="s">
        <v>4788</v>
      </c>
      <c r="N247" t="s">
        <v>4788</v>
      </c>
      <c r="O247">
        <v>2125.13</v>
      </c>
      <c r="P247">
        <v>0</v>
      </c>
      <c r="Q247">
        <v>0</v>
      </c>
      <c r="R247">
        <v>0</v>
      </c>
      <c r="S247">
        <v>1463.28</v>
      </c>
      <c r="T247" t="s">
        <v>4789</v>
      </c>
      <c r="U247">
        <v>1</v>
      </c>
      <c r="V247">
        <v>1463.28</v>
      </c>
      <c r="W247" t="s">
        <v>4343</v>
      </c>
      <c r="Y247" t="b">
        <v>1</v>
      </c>
      <c r="Z247" t="b">
        <v>0</v>
      </c>
      <c r="AA247">
        <v>1463.28</v>
      </c>
      <c r="AB247">
        <v>0</v>
      </c>
      <c r="AD247" t="b">
        <v>0</v>
      </c>
      <c r="AG247" s="1" t="s">
        <v>250</v>
      </c>
      <c r="AH247" s="1" t="s">
        <v>263</v>
      </c>
      <c r="AI247">
        <v>28</v>
      </c>
      <c r="AJ247">
        <v>280</v>
      </c>
      <c r="AK247" s="106">
        <v>45475.63555875</v>
      </c>
      <c r="AL247" s="1" t="s">
        <v>4790</v>
      </c>
      <c r="AM247" s="42">
        <f>IFERROR(INDEX('Public procurment'!A:R,MATCH(ListOfExpenditure[[#This Row],[Content.contractId]],'Public procurment'!E:E,0),14),0)</f>
        <v>30240</v>
      </c>
      <c r="AN247" s="2">
        <f>IF(AND(ListOfExpenditure[[#This Row],[Contract amount]]&gt;10000,ListOfExpenditure[[#This Row],[Content.declaredAmount]]&gt;2000),1,0)</f>
        <v>0</v>
      </c>
      <c r="AO247">
        <f>IFERROR(INDEX('Public procurment'!A:S,MATCH(ListOfExpenditure[[#This Row],[Content.contractId]],'Public procurment'!E:E,0),19),0)</f>
        <v>5</v>
      </c>
      <c r="AP247">
        <f>IF(ListOfExpenditure[[#This Row],[Numero di volte controllato il contract ]]&gt;0,0,ListOfExpenditure[[#This Row],[IF public procurment &gt;10000;1;0]])</f>
        <v>0</v>
      </c>
    </row>
    <row r="248" spans="1:42" x14ac:dyDescent="0.25">
      <c r="A248">
        <v>1349</v>
      </c>
      <c r="B248">
        <v>20</v>
      </c>
      <c r="E248" t="s">
        <v>4786</v>
      </c>
      <c r="F248" t="b">
        <v>0</v>
      </c>
      <c r="I248" t="s">
        <v>4966</v>
      </c>
      <c r="K248" t="s">
        <v>6280</v>
      </c>
      <c r="L248" t="s">
        <v>4536</v>
      </c>
      <c r="M248" t="s">
        <v>4788</v>
      </c>
      <c r="N248" t="s">
        <v>4788</v>
      </c>
      <c r="O248">
        <v>1350.73</v>
      </c>
      <c r="Q248">
        <v>0</v>
      </c>
      <c r="R248">
        <v>0</v>
      </c>
      <c r="S248">
        <v>312.8</v>
      </c>
      <c r="T248" t="s">
        <v>4789</v>
      </c>
      <c r="U248">
        <v>1</v>
      </c>
      <c r="V248">
        <v>312.8</v>
      </c>
      <c r="W248" t="s">
        <v>4343</v>
      </c>
      <c r="Y248" t="b">
        <v>0</v>
      </c>
      <c r="Z248" t="b">
        <v>0</v>
      </c>
      <c r="AA248">
        <v>312.8</v>
      </c>
      <c r="AB248">
        <v>0</v>
      </c>
      <c r="AD248" t="b">
        <v>0</v>
      </c>
      <c r="AG248" s="1" t="s">
        <v>250</v>
      </c>
      <c r="AH248" s="1" t="s">
        <v>263</v>
      </c>
      <c r="AI248">
        <v>28</v>
      </c>
      <c r="AJ248">
        <v>280</v>
      </c>
      <c r="AK248" s="106">
        <v>45475.63555875</v>
      </c>
      <c r="AL248" s="1" t="s">
        <v>4790</v>
      </c>
      <c r="AM248" s="42">
        <f>IFERROR(INDEX('Public procurment'!A:R,MATCH(ListOfExpenditure[[#This Row],[Content.contractId]],'Public procurment'!E:E,0),14),0)</f>
        <v>0</v>
      </c>
      <c r="AN248" s="2">
        <f>IF(AND(ListOfExpenditure[[#This Row],[Contract amount]]&gt;10000,ListOfExpenditure[[#This Row],[Content.declaredAmount]]&gt;2000),1,0)</f>
        <v>0</v>
      </c>
      <c r="AO248">
        <f>IFERROR(INDEX('Public procurment'!A:S,MATCH(ListOfExpenditure[[#This Row],[Content.contractId]],'Public procurment'!E:E,0),19),0)</f>
        <v>0</v>
      </c>
      <c r="AP248">
        <f>IF(ListOfExpenditure[[#This Row],[Numero di volte controllato il contract ]]&gt;0,0,ListOfExpenditure[[#This Row],[IF public procurment &gt;10000;1;0]])</f>
        <v>0</v>
      </c>
    </row>
    <row r="249" spans="1:42" x14ac:dyDescent="0.25">
      <c r="A249">
        <v>1350</v>
      </c>
      <c r="B249">
        <v>21</v>
      </c>
      <c r="E249" t="s">
        <v>4786</v>
      </c>
      <c r="F249" t="b">
        <v>0</v>
      </c>
      <c r="I249" t="s">
        <v>4968</v>
      </c>
      <c r="K249" t="s">
        <v>4348</v>
      </c>
      <c r="L249" t="s">
        <v>4536</v>
      </c>
      <c r="M249" t="s">
        <v>4788</v>
      </c>
      <c r="N249" t="s">
        <v>4788</v>
      </c>
      <c r="O249">
        <v>1440.83</v>
      </c>
      <c r="Q249">
        <v>0</v>
      </c>
      <c r="R249">
        <v>0</v>
      </c>
      <c r="S249">
        <v>954.75</v>
      </c>
      <c r="T249" t="s">
        <v>4789</v>
      </c>
      <c r="U249">
        <v>1</v>
      </c>
      <c r="V249">
        <v>954.75</v>
      </c>
      <c r="W249" t="s">
        <v>4343</v>
      </c>
      <c r="Y249" t="b">
        <v>1</v>
      </c>
      <c r="Z249" t="b">
        <v>0</v>
      </c>
      <c r="AA249">
        <v>954.75</v>
      </c>
      <c r="AB249">
        <v>0</v>
      </c>
      <c r="AD249" t="b">
        <v>0</v>
      </c>
      <c r="AG249" s="1" t="s">
        <v>250</v>
      </c>
      <c r="AH249" s="1" t="s">
        <v>263</v>
      </c>
      <c r="AI249">
        <v>28</v>
      </c>
      <c r="AJ249">
        <v>280</v>
      </c>
      <c r="AK249" s="106">
        <v>45475.63555875</v>
      </c>
      <c r="AL249" s="1" t="s">
        <v>4790</v>
      </c>
      <c r="AM249" s="42">
        <f>IFERROR(INDEX('Public procurment'!A:R,MATCH(ListOfExpenditure[[#This Row],[Content.contractId]],'Public procurment'!E:E,0),14),0)</f>
        <v>0</v>
      </c>
      <c r="AN249" s="2">
        <f>IF(AND(ListOfExpenditure[[#This Row],[Contract amount]]&gt;10000,ListOfExpenditure[[#This Row],[Content.declaredAmount]]&gt;2000),1,0)</f>
        <v>0</v>
      </c>
      <c r="AO249">
        <f>IFERROR(INDEX('Public procurment'!A:S,MATCH(ListOfExpenditure[[#This Row],[Content.contractId]],'Public procurment'!E:E,0),19),0)</f>
        <v>0</v>
      </c>
      <c r="AP249">
        <f>IF(ListOfExpenditure[[#This Row],[Numero di volte controllato il contract ]]&gt;0,0,ListOfExpenditure[[#This Row],[IF public procurment &gt;10000;1;0]])</f>
        <v>0</v>
      </c>
    </row>
    <row r="250" spans="1:42" x14ac:dyDescent="0.25">
      <c r="A250">
        <v>1351</v>
      </c>
      <c r="B250">
        <v>22</v>
      </c>
      <c r="E250" t="s">
        <v>4786</v>
      </c>
      <c r="F250" t="b">
        <v>0</v>
      </c>
      <c r="I250" t="s">
        <v>4970</v>
      </c>
      <c r="K250" t="s">
        <v>4348</v>
      </c>
      <c r="L250" t="s">
        <v>4536</v>
      </c>
      <c r="M250" t="s">
        <v>4788</v>
      </c>
      <c r="N250" t="s">
        <v>4788</v>
      </c>
      <c r="O250">
        <v>1612.76</v>
      </c>
      <c r="Q250">
        <v>0</v>
      </c>
      <c r="R250">
        <v>0</v>
      </c>
      <c r="S250">
        <v>843.77</v>
      </c>
      <c r="T250" t="s">
        <v>4789</v>
      </c>
      <c r="U250">
        <v>1</v>
      </c>
      <c r="V250">
        <v>843.77</v>
      </c>
      <c r="W250" t="s">
        <v>4343</v>
      </c>
      <c r="Y250" t="b">
        <v>1</v>
      </c>
      <c r="Z250" t="b">
        <v>0</v>
      </c>
      <c r="AA250">
        <v>843.77</v>
      </c>
      <c r="AB250">
        <v>0</v>
      </c>
      <c r="AD250" t="b">
        <v>0</v>
      </c>
      <c r="AG250" s="1" t="s">
        <v>250</v>
      </c>
      <c r="AH250" s="1" t="s">
        <v>263</v>
      </c>
      <c r="AI250">
        <v>28</v>
      </c>
      <c r="AJ250">
        <v>280</v>
      </c>
      <c r="AK250" s="106">
        <v>45475.63555875</v>
      </c>
      <c r="AL250" s="1" t="s">
        <v>4790</v>
      </c>
      <c r="AM250" s="42">
        <f>IFERROR(INDEX('Public procurment'!A:R,MATCH(ListOfExpenditure[[#This Row],[Content.contractId]],'Public procurment'!E:E,0),14),0)</f>
        <v>0</v>
      </c>
      <c r="AN250" s="2">
        <f>IF(AND(ListOfExpenditure[[#This Row],[Contract amount]]&gt;10000,ListOfExpenditure[[#This Row],[Content.declaredAmount]]&gt;2000),1,0)</f>
        <v>0</v>
      </c>
      <c r="AO250">
        <f>IFERROR(INDEX('Public procurment'!A:S,MATCH(ListOfExpenditure[[#This Row],[Content.contractId]],'Public procurment'!E:E,0),19),0)</f>
        <v>0</v>
      </c>
      <c r="AP250">
        <f>IF(ListOfExpenditure[[#This Row],[Numero di volte controllato il contract ]]&gt;0,0,ListOfExpenditure[[#This Row],[IF public procurment &gt;10000;1;0]])</f>
        <v>0</v>
      </c>
    </row>
    <row r="251" spans="1:42" x14ac:dyDescent="0.25">
      <c r="A251">
        <v>1352</v>
      </c>
      <c r="B251">
        <v>23</v>
      </c>
      <c r="E251" t="s">
        <v>4798</v>
      </c>
      <c r="F251" t="b">
        <v>0</v>
      </c>
      <c r="H251">
        <v>242</v>
      </c>
      <c r="I251" t="s">
        <v>5493</v>
      </c>
      <c r="J251" t="s">
        <v>6281</v>
      </c>
      <c r="K251" t="s">
        <v>4678</v>
      </c>
      <c r="L251" t="s">
        <v>4364</v>
      </c>
      <c r="M251" t="s">
        <v>4788</v>
      </c>
      <c r="N251" t="s">
        <v>4788</v>
      </c>
      <c r="O251">
        <v>9536.35</v>
      </c>
      <c r="P251">
        <v>1719.67</v>
      </c>
      <c r="Q251">
        <v>0</v>
      </c>
      <c r="R251">
        <v>0</v>
      </c>
      <c r="S251">
        <v>7816.68</v>
      </c>
      <c r="T251" t="s">
        <v>4789</v>
      </c>
      <c r="U251">
        <v>1</v>
      </c>
      <c r="V251">
        <v>7816.68</v>
      </c>
      <c r="W251" t="s">
        <v>4343</v>
      </c>
      <c r="Y251" t="b">
        <v>0</v>
      </c>
      <c r="Z251" t="b">
        <v>0</v>
      </c>
      <c r="AA251">
        <v>7816.68</v>
      </c>
      <c r="AB251">
        <v>0</v>
      </c>
      <c r="AD251" t="b">
        <v>0</v>
      </c>
      <c r="AG251" s="1" t="s">
        <v>250</v>
      </c>
      <c r="AH251" s="1" t="s">
        <v>263</v>
      </c>
      <c r="AI251">
        <v>28</v>
      </c>
      <c r="AJ251">
        <v>280</v>
      </c>
      <c r="AK251" s="106">
        <v>45475.63555875</v>
      </c>
      <c r="AL251" s="1" t="s">
        <v>4790</v>
      </c>
      <c r="AM251" s="42">
        <f>IFERROR(INDEX('Public procurment'!A:R,MATCH(ListOfExpenditure[[#This Row],[Content.contractId]],'Public procurment'!E:E,0),14),0)</f>
        <v>46900</v>
      </c>
      <c r="AN251" s="2">
        <f>IF(AND(ListOfExpenditure[[#This Row],[Contract amount]]&gt;10000,ListOfExpenditure[[#This Row],[Content.declaredAmount]]&gt;2000),1,0)</f>
        <v>1</v>
      </c>
      <c r="AO251">
        <f>IFERROR(INDEX('Public procurment'!A:S,MATCH(ListOfExpenditure[[#This Row],[Content.contractId]],'Public procurment'!E:E,0),19),0)</f>
        <v>0</v>
      </c>
      <c r="AP251">
        <f>IF(ListOfExpenditure[[#This Row],[Numero di volte controllato il contract ]]&gt;0,0,ListOfExpenditure[[#This Row],[IF public procurment &gt;10000;1;0]])</f>
        <v>1</v>
      </c>
    </row>
    <row r="252" spans="1:42" x14ac:dyDescent="0.25">
      <c r="A252">
        <v>1353</v>
      </c>
      <c r="B252">
        <v>24</v>
      </c>
      <c r="E252" t="s">
        <v>4798</v>
      </c>
      <c r="F252" t="b">
        <v>0</v>
      </c>
      <c r="H252">
        <v>270</v>
      </c>
      <c r="I252" t="s">
        <v>5494</v>
      </c>
      <c r="J252" t="s">
        <v>4929</v>
      </c>
      <c r="K252" t="s">
        <v>4348</v>
      </c>
      <c r="L252" t="s">
        <v>6282</v>
      </c>
      <c r="M252" t="s">
        <v>4788</v>
      </c>
      <c r="N252" t="s">
        <v>4788</v>
      </c>
      <c r="O252">
        <v>1793.36</v>
      </c>
      <c r="P252">
        <v>0</v>
      </c>
      <c r="Q252">
        <v>0</v>
      </c>
      <c r="R252">
        <v>0</v>
      </c>
      <c r="S252">
        <v>1793.36</v>
      </c>
      <c r="T252" t="s">
        <v>4789</v>
      </c>
      <c r="U252">
        <v>1</v>
      </c>
      <c r="V252">
        <v>1793.36</v>
      </c>
      <c r="W252" t="s">
        <v>4343</v>
      </c>
      <c r="Y252" t="b">
        <v>1</v>
      </c>
      <c r="Z252" t="b">
        <v>0</v>
      </c>
      <c r="AA252">
        <v>1793.36</v>
      </c>
      <c r="AB252">
        <v>0</v>
      </c>
      <c r="AD252" t="b">
        <v>0</v>
      </c>
      <c r="AG252" s="1" t="s">
        <v>250</v>
      </c>
      <c r="AH252" s="1" t="s">
        <v>263</v>
      </c>
      <c r="AI252">
        <v>28</v>
      </c>
      <c r="AJ252">
        <v>280</v>
      </c>
      <c r="AK252" s="106">
        <v>45475.63555875</v>
      </c>
      <c r="AL252" s="1" t="s">
        <v>4790</v>
      </c>
      <c r="AM252" s="42">
        <f>IFERROR(INDEX('Public procurment'!A:R,MATCH(ListOfExpenditure[[#This Row],[Content.contractId]],'Public procurment'!E:E,0),14),0)</f>
        <v>30240</v>
      </c>
      <c r="AN252" s="2">
        <f>IF(AND(ListOfExpenditure[[#This Row],[Contract amount]]&gt;10000,ListOfExpenditure[[#This Row],[Content.declaredAmount]]&gt;2000),1,0)</f>
        <v>0</v>
      </c>
      <c r="AO252">
        <f>IFERROR(INDEX('Public procurment'!A:S,MATCH(ListOfExpenditure[[#This Row],[Content.contractId]],'Public procurment'!E:E,0),19),0)</f>
        <v>5</v>
      </c>
      <c r="AP252">
        <f>IF(ListOfExpenditure[[#This Row],[Numero di volte controllato il contract ]]&gt;0,0,ListOfExpenditure[[#This Row],[IF public procurment &gt;10000;1;0]])</f>
        <v>0</v>
      </c>
    </row>
    <row r="253" spans="1:42" x14ac:dyDescent="0.25">
      <c r="A253">
        <v>1354</v>
      </c>
      <c r="B253">
        <v>25</v>
      </c>
      <c r="E253" t="s">
        <v>4798</v>
      </c>
      <c r="F253" t="b">
        <v>0</v>
      </c>
      <c r="H253">
        <v>249</v>
      </c>
      <c r="I253" t="s">
        <v>5495</v>
      </c>
      <c r="J253" t="s">
        <v>6158</v>
      </c>
      <c r="K253" t="s">
        <v>4348</v>
      </c>
      <c r="L253" t="s">
        <v>6282</v>
      </c>
      <c r="M253" t="s">
        <v>4788</v>
      </c>
      <c r="N253" t="s">
        <v>4788</v>
      </c>
      <c r="O253">
        <v>2095.89</v>
      </c>
      <c r="P253">
        <v>0</v>
      </c>
      <c r="Q253">
        <v>0</v>
      </c>
      <c r="R253">
        <v>0</v>
      </c>
      <c r="S253">
        <v>2095.89</v>
      </c>
      <c r="T253" t="s">
        <v>4789</v>
      </c>
      <c r="U253">
        <v>1</v>
      </c>
      <c r="V253">
        <v>2095.89</v>
      </c>
      <c r="W253" t="s">
        <v>4343</v>
      </c>
      <c r="Y253" t="b">
        <v>1</v>
      </c>
      <c r="Z253" t="b">
        <v>0</v>
      </c>
      <c r="AA253">
        <v>2095.89</v>
      </c>
      <c r="AB253">
        <v>0</v>
      </c>
      <c r="AD253" t="b">
        <v>0</v>
      </c>
      <c r="AG253" s="1" t="s">
        <v>250</v>
      </c>
      <c r="AH253" s="1" t="s">
        <v>263</v>
      </c>
      <c r="AI253">
        <v>28</v>
      </c>
      <c r="AJ253">
        <v>280</v>
      </c>
      <c r="AK253" s="106">
        <v>45475.63555875</v>
      </c>
      <c r="AL253" s="1" t="s">
        <v>4790</v>
      </c>
      <c r="AM253" s="42">
        <f>IFERROR(INDEX('Public procurment'!A:R,MATCH(ListOfExpenditure[[#This Row],[Content.contractId]],'Public procurment'!E:E,0),14),0)</f>
        <v>23520</v>
      </c>
      <c r="AN253" s="2">
        <f>IF(AND(ListOfExpenditure[[#This Row],[Contract amount]]&gt;10000,ListOfExpenditure[[#This Row],[Content.declaredAmount]]&gt;2000),1,0)</f>
        <v>1</v>
      </c>
      <c r="AO253">
        <f>IFERROR(INDEX('Public procurment'!A:S,MATCH(ListOfExpenditure[[#This Row],[Content.contractId]],'Public procurment'!E:E,0),19),0)</f>
        <v>2</v>
      </c>
      <c r="AP253">
        <f>IF(ListOfExpenditure[[#This Row],[Numero di volte controllato il contract ]]&gt;0,0,ListOfExpenditure[[#This Row],[IF public procurment &gt;10000;1;0]])</f>
        <v>0</v>
      </c>
    </row>
    <row r="254" spans="1:42" x14ac:dyDescent="0.25">
      <c r="A254">
        <v>2035</v>
      </c>
      <c r="B254">
        <v>1</v>
      </c>
      <c r="E254" t="s">
        <v>4798</v>
      </c>
      <c r="F254" t="b">
        <v>0</v>
      </c>
      <c r="I254" t="s">
        <v>212</v>
      </c>
      <c r="J254" t="s">
        <v>212</v>
      </c>
      <c r="M254" t="s">
        <v>4788</v>
      </c>
      <c r="N254" t="s">
        <v>4788</v>
      </c>
      <c r="O254">
        <v>0</v>
      </c>
      <c r="P254">
        <v>0</v>
      </c>
      <c r="Q254">
        <v>0</v>
      </c>
      <c r="R254">
        <v>0</v>
      </c>
      <c r="S254">
        <v>0</v>
      </c>
      <c r="T254" t="s">
        <v>4789</v>
      </c>
      <c r="U254">
        <v>1</v>
      </c>
      <c r="V254">
        <v>0</v>
      </c>
      <c r="Y254" t="b">
        <v>0</v>
      </c>
      <c r="Z254" t="b">
        <v>0</v>
      </c>
      <c r="AA254">
        <v>0</v>
      </c>
      <c r="AB254">
        <v>0</v>
      </c>
      <c r="AD254" t="b">
        <v>0</v>
      </c>
      <c r="AG254" s="1" t="s">
        <v>283</v>
      </c>
      <c r="AH254" s="1" t="s">
        <v>284</v>
      </c>
      <c r="AI254">
        <v>167</v>
      </c>
      <c r="AJ254">
        <v>327</v>
      </c>
      <c r="AK254" s="106">
        <v>45475.635534363428</v>
      </c>
      <c r="AL254" s="1" t="s">
        <v>4790</v>
      </c>
      <c r="AM254" s="42">
        <f>IFERROR(INDEX('Public procurment'!A:R,MATCH(ListOfExpenditure[[#This Row],[Content.contractId]],'Public procurment'!E:E,0),14),0)</f>
        <v>0</v>
      </c>
      <c r="AN254" s="2">
        <f>IF(AND(ListOfExpenditure[[#This Row],[Contract amount]]&gt;10000,ListOfExpenditure[[#This Row],[Content.declaredAmount]]&gt;2000),1,0)</f>
        <v>0</v>
      </c>
      <c r="AO254">
        <f>IFERROR(INDEX('Public procurment'!A:S,MATCH(ListOfExpenditure[[#This Row],[Content.contractId]],'Public procurment'!E:E,0),19),0)</f>
        <v>0</v>
      </c>
      <c r="AP254">
        <f>IF(ListOfExpenditure[[#This Row],[Numero di volte controllato il contract ]]&gt;0,0,ListOfExpenditure[[#This Row],[IF public procurment &gt;10000;1;0]])</f>
        <v>0</v>
      </c>
    </row>
    <row r="255" spans="1:42" x14ac:dyDescent="0.25">
      <c r="A255">
        <v>1195</v>
      </c>
      <c r="B255">
        <v>1</v>
      </c>
      <c r="E255" t="s">
        <v>4786</v>
      </c>
      <c r="F255" t="b">
        <v>1</v>
      </c>
      <c r="I255" t="s">
        <v>5023</v>
      </c>
      <c r="K255" t="s">
        <v>4342</v>
      </c>
      <c r="L255" t="s">
        <v>5024</v>
      </c>
      <c r="M255" t="s">
        <v>4788</v>
      </c>
      <c r="N255" t="s">
        <v>4788</v>
      </c>
      <c r="O255">
        <v>2844.38</v>
      </c>
      <c r="Q255">
        <v>0</v>
      </c>
      <c r="R255">
        <v>0</v>
      </c>
      <c r="S255">
        <v>2844.38</v>
      </c>
      <c r="T255" t="s">
        <v>4789</v>
      </c>
      <c r="U255">
        <v>1</v>
      </c>
      <c r="V255">
        <v>2844.38</v>
      </c>
      <c r="W255" t="s">
        <v>4343</v>
      </c>
      <c r="Y255" t="b">
        <v>1</v>
      </c>
      <c r="Z255" t="b">
        <v>0</v>
      </c>
      <c r="AA255">
        <v>2844.38</v>
      </c>
      <c r="AB255">
        <v>0</v>
      </c>
      <c r="AD255" t="b">
        <v>0</v>
      </c>
      <c r="AG255" s="1" t="s">
        <v>283</v>
      </c>
      <c r="AH255" s="1" t="s">
        <v>285</v>
      </c>
      <c r="AI255">
        <v>197</v>
      </c>
      <c r="AJ255">
        <v>219</v>
      </c>
      <c r="AK255" s="106">
        <v>45475.635489722219</v>
      </c>
      <c r="AL255" s="1" t="s">
        <v>4790</v>
      </c>
      <c r="AM255" s="42">
        <f>IFERROR(INDEX('Public procurment'!A:R,MATCH(ListOfExpenditure[[#This Row],[Content.contractId]],'Public procurment'!E:E,0),14),0)</f>
        <v>0</v>
      </c>
      <c r="AN255" s="2">
        <f>IF(AND(ListOfExpenditure[[#This Row],[Contract amount]]&gt;10000,ListOfExpenditure[[#This Row],[Content.declaredAmount]]&gt;2000),1,0)</f>
        <v>0</v>
      </c>
      <c r="AO255">
        <f>IFERROR(INDEX('Public procurment'!A:S,MATCH(ListOfExpenditure[[#This Row],[Content.contractId]],'Public procurment'!E:E,0),19),0)</f>
        <v>0</v>
      </c>
      <c r="AP255">
        <f>IF(ListOfExpenditure[[#This Row],[Numero di volte controllato il contract ]]&gt;0,0,ListOfExpenditure[[#This Row],[IF public procurment &gt;10000;1;0]])</f>
        <v>0</v>
      </c>
    </row>
    <row r="256" spans="1:42" x14ac:dyDescent="0.25">
      <c r="A256">
        <v>1210</v>
      </c>
      <c r="B256">
        <v>2</v>
      </c>
      <c r="E256" t="s">
        <v>4786</v>
      </c>
      <c r="F256" t="b">
        <v>1</v>
      </c>
      <c r="I256" t="s">
        <v>5025</v>
      </c>
      <c r="K256" t="s">
        <v>4359</v>
      </c>
      <c r="L256" t="s">
        <v>4957</v>
      </c>
      <c r="M256" t="s">
        <v>4788</v>
      </c>
      <c r="N256" t="s">
        <v>4788</v>
      </c>
      <c r="O256">
        <v>3025.78</v>
      </c>
      <c r="Q256">
        <v>0</v>
      </c>
      <c r="R256">
        <v>0</v>
      </c>
      <c r="S256">
        <v>3025.78</v>
      </c>
      <c r="T256" t="s">
        <v>4789</v>
      </c>
      <c r="U256">
        <v>1</v>
      </c>
      <c r="V256">
        <v>3025.78</v>
      </c>
      <c r="W256" t="s">
        <v>4343</v>
      </c>
      <c r="Y256" t="b">
        <v>1</v>
      </c>
      <c r="Z256" t="b">
        <v>0</v>
      </c>
      <c r="AA256">
        <v>3025.78</v>
      </c>
      <c r="AB256">
        <v>0</v>
      </c>
      <c r="AD256" t="b">
        <v>0</v>
      </c>
      <c r="AG256" s="1" t="s">
        <v>283</v>
      </c>
      <c r="AH256" s="1" t="s">
        <v>285</v>
      </c>
      <c r="AI256">
        <v>197</v>
      </c>
      <c r="AJ256">
        <v>219</v>
      </c>
      <c r="AK256" s="106">
        <v>45475.635489722219</v>
      </c>
      <c r="AL256" s="1" t="s">
        <v>4790</v>
      </c>
      <c r="AM256" s="42">
        <f>IFERROR(INDEX('Public procurment'!A:R,MATCH(ListOfExpenditure[[#This Row],[Content.contractId]],'Public procurment'!E:E,0),14),0)</f>
        <v>0</v>
      </c>
      <c r="AN256" s="2">
        <f>IF(AND(ListOfExpenditure[[#This Row],[Contract amount]]&gt;10000,ListOfExpenditure[[#This Row],[Content.declaredAmount]]&gt;2000),1,0)</f>
        <v>0</v>
      </c>
      <c r="AO256">
        <f>IFERROR(INDEX('Public procurment'!A:S,MATCH(ListOfExpenditure[[#This Row],[Content.contractId]],'Public procurment'!E:E,0),19),0)</f>
        <v>0</v>
      </c>
      <c r="AP256">
        <f>IF(ListOfExpenditure[[#This Row],[Numero di volte controllato il contract ]]&gt;0,0,ListOfExpenditure[[#This Row],[IF public procurment &gt;10000;1;0]])</f>
        <v>0</v>
      </c>
    </row>
    <row r="257" spans="1:42" x14ac:dyDescent="0.25">
      <c r="A257">
        <v>1211</v>
      </c>
      <c r="B257">
        <v>3</v>
      </c>
      <c r="E257" t="s">
        <v>4786</v>
      </c>
      <c r="F257" t="b">
        <v>1</v>
      </c>
      <c r="I257" t="s">
        <v>5026</v>
      </c>
      <c r="K257" t="s">
        <v>4931</v>
      </c>
      <c r="L257" t="s">
        <v>5027</v>
      </c>
      <c r="M257" t="s">
        <v>4788</v>
      </c>
      <c r="N257" t="s">
        <v>4788</v>
      </c>
      <c r="O257">
        <v>3125.41</v>
      </c>
      <c r="Q257">
        <v>0</v>
      </c>
      <c r="R257">
        <v>0</v>
      </c>
      <c r="S257">
        <v>3125.41</v>
      </c>
      <c r="T257" t="s">
        <v>4789</v>
      </c>
      <c r="U257">
        <v>1</v>
      </c>
      <c r="V257">
        <v>3125.41</v>
      </c>
      <c r="W257" t="s">
        <v>4343</v>
      </c>
      <c r="Y257" t="b">
        <v>1</v>
      </c>
      <c r="Z257" t="b">
        <v>0</v>
      </c>
      <c r="AA257">
        <v>3125.41</v>
      </c>
      <c r="AB257">
        <v>0</v>
      </c>
      <c r="AD257" t="b">
        <v>0</v>
      </c>
      <c r="AG257" s="1" t="s">
        <v>283</v>
      </c>
      <c r="AH257" s="1" t="s">
        <v>285</v>
      </c>
      <c r="AI257">
        <v>197</v>
      </c>
      <c r="AJ257">
        <v>219</v>
      </c>
      <c r="AK257" s="106">
        <v>45475.635489722219</v>
      </c>
      <c r="AL257" s="1" t="s">
        <v>4790</v>
      </c>
      <c r="AM257" s="42">
        <f>IFERROR(INDEX('Public procurment'!A:R,MATCH(ListOfExpenditure[[#This Row],[Content.contractId]],'Public procurment'!E:E,0),14),0)</f>
        <v>0</v>
      </c>
      <c r="AN257" s="2">
        <f>IF(AND(ListOfExpenditure[[#This Row],[Contract amount]]&gt;10000,ListOfExpenditure[[#This Row],[Content.declaredAmount]]&gt;2000),1,0)</f>
        <v>0</v>
      </c>
      <c r="AO257">
        <f>IFERROR(INDEX('Public procurment'!A:S,MATCH(ListOfExpenditure[[#This Row],[Content.contractId]],'Public procurment'!E:E,0),19),0)</f>
        <v>0</v>
      </c>
      <c r="AP257">
        <f>IF(ListOfExpenditure[[#This Row],[Numero di volte controllato il contract ]]&gt;0,0,ListOfExpenditure[[#This Row],[IF public procurment &gt;10000;1;0]])</f>
        <v>0</v>
      </c>
    </row>
    <row r="258" spans="1:42" x14ac:dyDescent="0.25">
      <c r="A258">
        <v>1212</v>
      </c>
      <c r="B258">
        <v>4</v>
      </c>
      <c r="E258" t="s">
        <v>4786</v>
      </c>
      <c r="F258" t="b">
        <v>1</v>
      </c>
      <c r="I258" t="s">
        <v>5028</v>
      </c>
      <c r="K258" t="s">
        <v>4525</v>
      </c>
      <c r="L258" t="s">
        <v>5029</v>
      </c>
      <c r="M258" t="s">
        <v>4788</v>
      </c>
      <c r="N258" t="s">
        <v>4788</v>
      </c>
      <c r="O258">
        <v>2996.59</v>
      </c>
      <c r="Q258">
        <v>0</v>
      </c>
      <c r="R258">
        <v>0</v>
      </c>
      <c r="S258">
        <v>2996.59</v>
      </c>
      <c r="T258" t="s">
        <v>4789</v>
      </c>
      <c r="U258">
        <v>1</v>
      </c>
      <c r="V258">
        <v>2996.59</v>
      </c>
      <c r="W258" t="s">
        <v>4343</v>
      </c>
      <c r="Y258" t="b">
        <v>1</v>
      </c>
      <c r="Z258" t="b">
        <v>0</v>
      </c>
      <c r="AA258">
        <v>2996.59</v>
      </c>
      <c r="AB258">
        <v>0</v>
      </c>
      <c r="AD258" t="b">
        <v>0</v>
      </c>
      <c r="AG258" s="1" t="s">
        <v>283</v>
      </c>
      <c r="AH258" s="1" t="s">
        <v>285</v>
      </c>
      <c r="AI258">
        <v>197</v>
      </c>
      <c r="AJ258">
        <v>219</v>
      </c>
      <c r="AK258" s="106">
        <v>45475.635489722219</v>
      </c>
      <c r="AL258" s="1" t="s">
        <v>4790</v>
      </c>
      <c r="AM258" s="42">
        <f>IFERROR(INDEX('Public procurment'!A:R,MATCH(ListOfExpenditure[[#This Row],[Content.contractId]],'Public procurment'!E:E,0),14),0)</f>
        <v>0</v>
      </c>
      <c r="AN258" s="2">
        <f>IF(AND(ListOfExpenditure[[#This Row],[Contract amount]]&gt;10000,ListOfExpenditure[[#This Row],[Content.declaredAmount]]&gt;2000),1,0)</f>
        <v>0</v>
      </c>
      <c r="AO258">
        <f>IFERROR(INDEX('Public procurment'!A:S,MATCH(ListOfExpenditure[[#This Row],[Content.contractId]],'Public procurment'!E:E,0),19),0)</f>
        <v>0</v>
      </c>
      <c r="AP258">
        <f>IF(ListOfExpenditure[[#This Row],[Numero di volte controllato il contract ]]&gt;0,0,ListOfExpenditure[[#This Row],[IF public procurment &gt;10000;1;0]])</f>
        <v>0</v>
      </c>
    </row>
    <row r="259" spans="1:42" x14ac:dyDescent="0.25">
      <c r="A259">
        <v>1213</v>
      </c>
      <c r="B259">
        <v>5</v>
      </c>
      <c r="E259" t="s">
        <v>4786</v>
      </c>
      <c r="F259" t="b">
        <v>1</v>
      </c>
      <c r="I259" t="s">
        <v>5030</v>
      </c>
      <c r="K259" t="s">
        <v>4678</v>
      </c>
      <c r="L259" t="s">
        <v>4835</v>
      </c>
      <c r="M259" t="s">
        <v>4788</v>
      </c>
      <c r="N259" t="s">
        <v>4788</v>
      </c>
      <c r="O259">
        <v>2718.06</v>
      </c>
      <c r="Q259">
        <v>0</v>
      </c>
      <c r="R259">
        <v>0</v>
      </c>
      <c r="S259">
        <v>2718.06</v>
      </c>
      <c r="T259" t="s">
        <v>4789</v>
      </c>
      <c r="U259">
        <v>1</v>
      </c>
      <c r="V259">
        <v>2718.06</v>
      </c>
      <c r="W259" t="s">
        <v>4343</v>
      </c>
      <c r="Y259" t="b">
        <v>1</v>
      </c>
      <c r="Z259" t="b">
        <v>0</v>
      </c>
      <c r="AA259">
        <v>2718.06</v>
      </c>
      <c r="AB259">
        <v>0</v>
      </c>
      <c r="AD259" t="b">
        <v>0</v>
      </c>
      <c r="AG259" s="1" t="s">
        <v>283</v>
      </c>
      <c r="AH259" s="1" t="s">
        <v>285</v>
      </c>
      <c r="AI259">
        <v>197</v>
      </c>
      <c r="AJ259">
        <v>219</v>
      </c>
      <c r="AK259" s="106">
        <v>45475.635489722219</v>
      </c>
      <c r="AL259" s="1" t="s">
        <v>4790</v>
      </c>
      <c r="AM259" s="42">
        <f>IFERROR(INDEX('Public procurment'!A:R,MATCH(ListOfExpenditure[[#This Row],[Content.contractId]],'Public procurment'!E:E,0),14),0)</f>
        <v>0</v>
      </c>
      <c r="AN259" s="2">
        <f>IF(AND(ListOfExpenditure[[#This Row],[Contract amount]]&gt;10000,ListOfExpenditure[[#This Row],[Content.declaredAmount]]&gt;2000),1,0)</f>
        <v>0</v>
      </c>
      <c r="AO259">
        <f>IFERROR(INDEX('Public procurment'!A:S,MATCH(ListOfExpenditure[[#This Row],[Content.contractId]],'Public procurment'!E:E,0),19),0)</f>
        <v>0</v>
      </c>
      <c r="AP259">
        <f>IF(ListOfExpenditure[[#This Row],[Numero di volte controllato il contract ]]&gt;0,0,ListOfExpenditure[[#This Row],[IF public procurment &gt;10000;1;0]])</f>
        <v>0</v>
      </c>
    </row>
    <row r="260" spans="1:42" x14ac:dyDescent="0.25">
      <c r="A260">
        <v>1215</v>
      </c>
      <c r="B260">
        <v>6</v>
      </c>
      <c r="E260" t="s">
        <v>4798</v>
      </c>
      <c r="F260" t="b">
        <v>0</v>
      </c>
      <c r="H260">
        <v>186</v>
      </c>
      <c r="I260" t="s">
        <v>5031</v>
      </c>
      <c r="J260" t="s">
        <v>5032</v>
      </c>
      <c r="K260" t="s">
        <v>4900</v>
      </c>
      <c r="L260" t="s">
        <v>5033</v>
      </c>
      <c r="M260" t="s">
        <v>4788</v>
      </c>
      <c r="N260" t="s">
        <v>4788</v>
      </c>
      <c r="O260">
        <v>131.4</v>
      </c>
      <c r="P260">
        <v>11.4</v>
      </c>
      <c r="Q260">
        <v>0</v>
      </c>
      <c r="R260">
        <v>0</v>
      </c>
      <c r="S260">
        <v>131.4</v>
      </c>
      <c r="T260" t="s">
        <v>4789</v>
      </c>
      <c r="U260">
        <v>1</v>
      </c>
      <c r="V260">
        <v>131.4</v>
      </c>
      <c r="W260" t="s">
        <v>4343</v>
      </c>
      <c r="Y260" t="b">
        <v>1</v>
      </c>
      <c r="Z260" t="b">
        <v>0</v>
      </c>
      <c r="AA260">
        <v>131.4</v>
      </c>
      <c r="AB260">
        <v>0</v>
      </c>
      <c r="AD260" t="b">
        <v>0</v>
      </c>
      <c r="AG260" s="1" t="s">
        <v>283</v>
      </c>
      <c r="AH260" s="1" t="s">
        <v>285</v>
      </c>
      <c r="AI260">
        <v>197</v>
      </c>
      <c r="AJ260">
        <v>219</v>
      </c>
      <c r="AK260" s="106">
        <v>45475.635489722219</v>
      </c>
      <c r="AL260" s="1" t="s">
        <v>4790</v>
      </c>
      <c r="AM260" s="42">
        <f>IFERROR(INDEX('Public procurment'!A:R,MATCH(ListOfExpenditure[[#This Row],[Content.contractId]],'Public procurment'!E:E,0),14),0)</f>
        <v>120</v>
      </c>
      <c r="AN260" s="2">
        <f>IF(AND(ListOfExpenditure[[#This Row],[Contract amount]]&gt;10000,ListOfExpenditure[[#This Row],[Content.declaredAmount]]&gt;2000),1,0)</f>
        <v>0</v>
      </c>
      <c r="AO260">
        <f>IFERROR(INDEX('Public procurment'!A:S,MATCH(ListOfExpenditure[[#This Row],[Content.contractId]],'Public procurment'!E:E,0),19),0)</f>
        <v>1</v>
      </c>
      <c r="AP260">
        <f>IF(ListOfExpenditure[[#This Row],[Numero di volte controllato il contract ]]&gt;0,0,ListOfExpenditure[[#This Row],[IF public procurment &gt;10000;1;0]])</f>
        <v>0</v>
      </c>
    </row>
    <row r="261" spans="1:42" x14ac:dyDescent="0.25">
      <c r="A261">
        <v>1216</v>
      </c>
      <c r="B261">
        <v>7</v>
      </c>
      <c r="E261" t="s">
        <v>4850</v>
      </c>
      <c r="F261" t="b">
        <v>0</v>
      </c>
      <c r="H261">
        <v>185</v>
      </c>
      <c r="I261" t="s">
        <v>5034</v>
      </c>
      <c r="J261" t="s">
        <v>5035</v>
      </c>
      <c r="K261" t="s">
        <v>5036</v>
      </c>
      <c r="L261" t="s">
        <v>5037</v>
      </c>
      <c r="M261" t="s">
        <v>4788</v>
      </c>
      <c r="N261" t="s">
        <v>4788</v>
      </c>
      <c r="O261">
        <v>1667.87</v>
      </c>
      <c r="P261">
        <v>300.76</v>
      </c>
      <c r="Q261">
        <v>0</v>
      </c>
      <c r="R261">
        <v>0</v>
      </c>
      <c r="S261">
        <v>195.45</v>
      </c>
      <c r="T261" t="s">
        <v>4789</v>
      </c>
      <c r="U261">
        <v>1</v>
      </c>
      <c r="V261">
        <v>195.45</v>
      </c>
      <c r="W261" t="s">
        <v>4343</v>
      </c>
      <c r="Y261" t="b">
        <v>1</v>
      </c>
      <c r="Z261" t="b">
        <v>0</v>
      </c>
      <c r="AA261">
        <v>195.45</v>
      </c>
      <c r="AB261">
        <v>0</v>
      </c>
      <c r="AD261" t="b">
        <v>0</v>
      </c>
      <c r="AG261" s="1" t="s">
        <v>283</v>
      </c>
      <c r="AH261" s="1" t="s">
        <v>285</v>
      </c>
      <c r="AI261">
        <v>197</v>
      </c>
      <c r="AJ261">
        <v>219</v>
      </c>
      <c r="AK261" s="106">
        <v>45475.635489722219</v>
      </c>
      <c r="AL261" s="1" t="s">
        <v>4790</v>
      </c>
      <c r="AM261" s="42">
        <f>IFERROR(INDEX('Public procurment'!A:R,MATCH(ListOfExpenditure[[#This Row],[Content.contractId]],'Public procurment'!E:E,0),14),0)</f>
        <v>1367.11</v>
      </c>
      <c r="AN261" s="2">
        <f>IF(AND(ListOfExpenditure[[#This Row],[Contract amount]]&gt;10000,ListOfExpenditure[[#This Row],[Content.declaredAmount]]&gt;2000),1,0)</f>
        <v>0</v>
      </c>
      <c r="AO261">
        <f>IFERROR(INDEX('Public procurment'!A:S,MATCH(ListOfExpenditure[[#This Row],[Content.contractId]],'Public procurment'!E:E,0),19),0)</f>
        <v>1</v>
      </c>
      <c r="AP261">
        <f>IF(ListOfExpenditure[[#This Row],[Numero di volte controllato il contract ]]&gt;0,0,ListOfExpenditure[[#This Row],[IF public procurment &gt;10000;1;0]])</f>
        <v>0</v>
      </c>
    </row>
    <row r="262" spans="1:42" x14ac:dyDescent="0.25">
      <c r="A262">
        <v>603</v>
      </c>
      <c r="B262">
        <v>1</v>
      </c>
      <c r="E262" t="s">
        <v>4786</v>
      </c>
      <c r="F262" t="b">
        <v>0</v>
      </c>
      <c r="I262" t="s">
        <v>5038</v>
      </c>
      <c r="K262" t="s">
        <v>4347</v>
      </c>
      <c r="L262" t="s">
        <v>4455</v>
      </c>
      <c r="M262" t="s">
        <v>4788</v>
      </c>
      <c r="N262" t="s">
        <v>4788</v>
      </c>
      <c r="O262">
        <v>33599.550000000003</v>
      </c>
      <c r="Q262">
        <v>0</v>
      </c>
      <c r="R262">
        <v>0</v>
      </c>
      <c r="S262">
        <v>8568.0499999999993</v>
      </c>
      <c r="T262" t="s">
        <v>4789</v>
      </c>
      <c r="U262">
        <v>1</v>
      </c>
      <c r="V262">
        <v>8568.0499999999993</v>
      </c>
      <c r="W262" t="s">
        <v>4343</v>
      </c>
      <c r="Y262" t="b">
        <v>1</v>
      </c>
      <c r="Z262" t="b">
        <v>0</v>
      </c>
      <c r="AA262">
        <v>8568.0499999999993</v>
      </c>
      <c r="AB262">
        <v>0</v>
      </c>
      <c r="AD262" t="b">
        <v>0</v>
      </c>
      <c r="AG262" s="1" t="s">
        <v>283</v>
      </c>
      <c r="AH262" s="1" t="s">
        <v>286</v>
      </c>
      <c r="AI262">
        <v>198</v>
      </c>
      <c r="AJ262">
        <v>149</v>
      </c>
      <c r="AK262" s="106">
        <v>45475.635493738424</v>
      </c>
      <c r="AL262" s="1" t="s">
        <v>4790</v>
      </c>
      <c r="AM262" s="42">
        <f>IFERROR(INDEX('Public procurment'!A:R,MATCH(ListOfExpenditure[[#This Row],[Content.contractId]],'Public procurment'!E:E,0),14),0)</f>
        <v>0</v>
      </c>
      <c r="AN262" s="2">
        <f>IF(AND(ListOfExpenditure[[#This Row],[Contract amount]]&gt;10000,ListOfExpenditure[[#This Row],[Content.declaredAmount]]&gt;2000),1,0)</f>
        <v>0</v>
      </c>
      <c r="AO262">
        <f>IFERROR(INDEX('Public procurment'!A:S,MATCH(ListOfExpenditure[[#This Row],[Content.contractId]],'Public procurment'!E:E,0),19),0)</f>
        <v>0</v>
      </c>
      <c r="AP262">
        <f>IF(ListOfExpenditure[[#This Row],[Numero di volte controllato il contract ]]&gt;0,0,ListOfExpenditure[[#This Row],[IF public procurment &gt;10000;1;0]])</f>
        <v>0</v>
      </c>
    </row>
    <row r="263" spans="1:42" x14ac:dyDescent="0.25">
      <c r="A263">
        <v>604</v>
      </c>
      <c r="B263">
        <v>2</v>
      </c>
      <c r="E263" t="s">
        <v>4786</v>
      </c>
      <c r="F263" t="b">
        <v>0</v>
      </c>
      <c r="I263" t="s">
        <v>5038</v>
      </c>
      <c r="K263" t="s">
        <v>4347</v>
      </c>
      <c r="L263" t="s">
        <v>4455</v>
      </c>
      <c r="M263" t="s">
        <v>4788</v>
      </c>
      <c r="N263" t="s">
        <v>4788</v>
      </c>
      <c r="O263">
        <v>29684.45</v>
      </c>
      <c r="Q263">
        <v>0</v>
      </c>
      <c r="R263">
        <v>0</v>
      </c>
      <c r="S263">
        <v>2840.25</v>
      </c>
      <c r="T263" t="s">
        <v>4789</v>
      </c>
      <c r="U263">
        <v>1</v>
      </c>
      <c r="V263">
        <v>2840.25</v>
      </c>
      <c r="W263" t="s">
        <v>4343</v>
      </c>
      <c r="Y263" t="b">
        <v>1</v>
      </c>
      <c r="Z263" t="b">
        <v>0</v>
      </c>
      <c r="AA263">
        <v>2840.25</v>
      </c>
      <c r="AB263">
        <v>0</v>
      </c>
      <c r="AD263" t="b">
        <v>0</v>
      </c>
      <c r="AG263" s="1" t="s">
        <v>283</v>
      </c>
      <c r="AH263" s="1" t="s">
        <v>286</v>
      </c>
      <c r="AI263">
        <v>198</v>
      </c>
      <c r="AJ263">
        <v>149</v>
      </c>
      <c r="AK263" s="106">
        <v>45475.635493738424</v>
      </c>
      <c r="AL263" s="1" t="s">
        <v>4790</v>
      </c>
      <c r="AM263" s="42">
        <f>IFERROR(INDEX('Public procurment'!A:R,MATCH(ListOfExpenditure[[#This Row],[Content.contractId]],'Public procurment'!E:E,0),14),0)</f>
        <v>0</v>
      </c>
      <c r="AN263" s="2">
        <f>IF(AND(ListOfExpenditure[[#This Row],[Contract amount]]&gt;10000,ListOfExpenditure[[#This Row],[Content.declaredAmount]]&gt;2000),1,0)</f>
        <v>0</v>
      </c>
      <c r="AO263">
        <f>IFERROR(INDEX('Public procurment'!A:S,MATCH(ListOfExpenditure[[#This Row],[Content.contractId]],'Public procurment'!E:E,0),19),0)</f>
        <v>0</v>
      </c>
      <c r="AP263">
        <f>IF(ListOfExpenditure[[#This Row],[Numero di volte controllato il contract ]]&gt;0,0,ListOfExpenditure[[#This Row],[IF public procurment &gt;10000;1;0]])</f>
        <v>0</v>
      </c>
    </row>
    <row r="264" spans="1:42" x14ac:dyDescent="0.25">
      <c r="A264">
        <v>605</v>
      </c>
      <c r="B264">
        <v>3</v>
      </c>
      <c r="E264" t="s">
        <v>4786</v>
      </c>
      <c r="F264" t="b">
        <v>0</v>
      </c>
      <c r="I264" t="s">
        <v>5038</v>
      </c>
      <c r="K264" t="s">
        <v>4347</v>
      </c>
      <c r="L264" t="s">
        <v>4455</v>
      </c>
      <c r="M264" t="s">
        <v>4788</v>
      </c>
      <c r="N264" t="s">
        <v>4788</v>
      </c>
      <c r="O264">
        <v>16801.759999999998</v>
      </c>
      <c r="Q264">
        <v>0</v>
      </c>
      <c r="R264">
        <v>0</v>
      </c>
      <c r="S264">
        <v>2248.4499999999998</v>
      </c>
      <c r="T264" t="s">
        <v>4789</v>
      </c>
      <c r="U264">
        <v>1</v>
      </c>
      <c r="V264">
        <v>2248.4499999999998</v>
      </c>
      <c r="W264" t="s">
        <v>4343</v>
      </c>
      <c r="Y264" t="b">
        <v>1</v>
      </c>
      <c r="Z264" t="b">
        <v>0</v>
      </c>
      <c r="AA264">
        <v>2248.4499999999998</v>
      </c>
      <c r="AB264">
        <v>0</v>
      </c>
      <c r="AD264" t="b">
        <v>0</v>
      </c>
      <c r="AG264" s="1" t="s">
        <v>283</v>
      </c>
      <c r="AH264" s="1" t="s">
        <v>286</v>
      </c>
      <c r="AI264">
        <v>198</v>
      </c>
      <c r="AJ264">
        <v>149</v>
      </c>
      <c r="AK264" s="106">
        <v>45475.635493738424</v>
      </c>
      <c r="AL264" s="1" t="s">
        <v>4790</v>
      </c>
      <c r="AM264" s="42">
        <f>IFERROR(INDEX('Public procurment'!A:R,MATCH(ListOfExpenditure[[#This Row],[Content.contractId]],'Public procurment'!E:E,0),14),0)</f>
        <v>0</v>
      </c>
      <c r="AN264" s="2">
        <f>IF(AND(ListOfExpenditure[[#This Row],[Contract amount]]&gt;10000,ListOfExpenditure[[#This Row],[Content.declaredAmount]]&gt;2000),1,0)</f>
        <v>0</v>
      </c>
      <c r="AO264">
        <f>IFERROR(INDEX('Public procurment'!A:S,MATCH(ListOfExpenditure[[#This Row],[Content.contractId]],'Public procurment'!E:E,0),19),0)</f>
        <v>0</v>
      </c>
      <c r="AP264">
        <f>IF(ListOfExpenditure[[#This Row],[Numero di volte controllato il contract ]]&gt;0,0,ListOfExpenditure[[#This Row],[IF public procurment &gt;10000;1;0]])</f>
        <v>0</v>
      </c>
    </row>
    <row r="265" spans="1:42" x14ac:dyDescent="0.25">
      <c r="A265">
        <v>1458</v>
      </c>
      <c r="B265">
        <v>1</v>
      </c>
      <c r="E265" t="s">
        <v>4786</v>
      </c>
      <c r="F265" t="b">
        <v>1</v>
      </c>
      <c r="I265" t="s">
        <v>5039</v>
      </c>
      <c r="K265" t="s">
        <v>5040</v>
      </c>
      <c r="L265" t="s">
        <v>5040</v>
      </c>
      <c r="M265" t="s">
        <v>4788</v>
      </c>
      <c r="N265" t="s">
        <v>4788</v>
      </c>
      <c r="O265">
        <v>3953.11</v>
      </c>
      <c r="Q265">
        <v>0</v>
      </c>
      <c r="R265">
        <v>0</v>
      </c>
      <c r="S265">
        <v>1699.84</v>
      </c>
      <c r="T265" t="s">
        <v>4789</v>
      </c>
      <c r="U265">
        <v>1</v>
      </c>
      <c r="V265">
        <v>1699.84</v>
      </c>
      <c r="W265" t="s">
        <v>4343</v>
      </c>
      <c r="Y265" t="b">
        <v>1</v>
      </c>
      <c r="Z265" t="b">
        <v>0</v>
      </c>
      <c r="AA265">
        <v>1656.72</v>
      </c>
      <c r="AB265">
        <v>43.12</v>
      </c>
      <c r="AC265">
        <v>14</v>
      </c>
      <c r="AD265" t="b">
        <v>0</v>
      </c>
      <c r="AF265" t="s">
        <v>5041</v>
      </c>
      <c r="AG265" s="1" t="s">
        <v>283</v>
      </c>
      <c r="AH265" s="1" t="s">
        <v>287</v>
      </c>
      <c r="AI265">
        <v>199</v>
      </c>
      <c r="AJ265">
        <v>286</v>
      </c>
      <c r="AK265" s="106">
        <v>45475.635528993058</v>
      </c>
      <c r="AL265" s="1" t="s">
        <v>4790</v>
      </c>
      <c r="AM265" s="42">
        <f>IFERROR(INDEX('Public procurment'!A:R,MATCH(ListOfExpenditure[[#This Row],[Content.contractId]],'Public procurment'!E:E,0),14),0)</f>
        <v>0</v>
      </c>
      <c r="AN265" s="2">
        <f>IF(AND(ListOfExpenditure[[#This Row],[Contract amount]]&gt;10000,ListOfExpenditure[[#This Row],[Content.declaredAmount]]&gt;2000),1,0)</f>
        <v>0</v>
      </c>
      <c r="AO265">
        <f>IFERROR(INDEX('Public procurment'!A:S,MATCH(ListOfExpenditure[[#This Row],[Content.contractId]],'Public procurment'!E:E,0),19),0)</f>
        <v>0</v>
      </c>
      <c r="AP265">
        <f>IF(ListOfExpenditure[[#This Row],[Numero di volte controllato il contract ]]&gt;0,0,ListOfExpenditure[[#This Row],[IF public procurment &gt;10000;1;0]])</f>
        <v>0</v>
      </c>
    </row>
    <row r="266" spans="1:42" x14ac:dyDescent="0.25">
      <c r="A266">
        <v>1461</v>
      </c>
      <c r="B266">
        <v>2</v>
      </c>
      <c r="E266" t="s">
        <v>4786</v>
      </c>
      <c r="F266" t="b">
        <v>1</v>
      </c>
      <c r="I266" t="s">
        <v>5042</v>
      </c>
      <c r="K266" t="s">
        <v>4869</v>
      </c>
      <c r="L266" t="s">
        <v>4869</v>
      </c>
      <c r="M266" t="s">
        <v>4788</v>
      </c>
      <c r="N266" t="s">
        <v>4788</v>
      </c>
      <c r="O266">
        <v>3814.87</v>
      </c>
      <c r="Q266">
        <v>0</v>
      </c>
      <c r="R266">
        <v>0</v>
      </c>
      <c r="S266">
        <v>1640.39</v>
      </c>
      <c r="T266" t="s">
        <v>4789</v>
      </c>
      <c r="U266">
        <v>1</v>
      </c>
      <c r="V266">
        <v>1640.39</v>
      </c>
      <c r="W266" t="s">
        <v>4343</v>
      </c>
      <c r="Y266" t="b">
        <v>1</v>
      </c>
      <c r="Z266" t="b">
        <v>0</v>
      </c>
      <c r="AA266">
        <v>1597.27</v>
      </c>
      <c r="AB266">
        <v>43.12</v>
      </c>
      <c r="AC266">
        <v>14</v>
      </c>
      <c r="AD266" t="b">
        <v>0</v>
      </c>
      <c r="AF266" t="s">
        <v>5041</v>
      </c>
      <c r="AG266" s="1" t="s">
        <v>283</v>
      </c>
      <c r="AH266" s="1" t="s">
        <v>287</v>
      </c>
      <c r="AI266">
        <v>199</v>
      </c>
      <c r="AJ266">
        <v>286</v>
      </c>
      <c r="AK266" s="106">
        <v>45475.635528993058</v>
      </c>
      <c r="AL266" s="1" t="s">
        <v>4790</v>
      </c>
      <c r="AM266" s="42">
        <f>IFERROR(INDEX('Public procurment'!A:R,MATCH(ListOfExpenditure[[#This Row],[Content.contractId]],'Public procurment'!E:E,0),14),0)</f>
        <v>0</v>
      </c>
      <c r="AN266" s="2">
        <f>IF(AND(ListOfExpenditure[[#This Row],[Contract amount]]&gt;10000,ListOfExpenditure[[#This Row],[Content.declaredAmount]]&gt;2000),1,0)</f>
        <v>0</v>
      </c>
      <c r="AO266">
        <f>IFERROR(INDEX('Public procurment'!A:S,MATCH(ListOfExpenditure[[#This Row],[Content.contractId]],'Public procurment'!E:E,0),19),0)</f>
        <v>0</v>
      </c>
      <c r="AP266">
        <f>IF(ListOfExpenditure[[#This Row],[Numero di volte controllato il contract ]]&gt;0,0,ListOfExpenditure[[#This Row],[IF public procurment &gt;10000;1;0]])</f>
        <v>0</v>
      </c>
    </row>
    <row r="267" spans="1:42" x14ac:dyDescent="0.25">
      <c r="A267">
        <v>1462</v>
      </c>
      <c r="B267">
        <v>3</v>
      </c>
      <c r="E267" t="s">
        <v>4786</v>
      </c>
      <c r="F267" t="b">
        <v>1</v>
      </c>
      <c r="I267" t="s">
        <v>5043</v>
      </c>
      <c r="K267" t="s">
        <v>5044</v>
      </c>
      <c r="L267" t="s">
        <v>5044</v>
      </c>
      <c r="M267" t="s">
        <v>4788</v>
      </c>
      <c r="N267" t="s">
        <v>4788</v>
      </c>
      <c r="O267">
        <v>4045.59</v>
      </c>
      <c r="Q267">
        <v>0</v>
      </c>
      <c r="R267">
        <v>0</v>
      </c>
      <c r="S267">
        <v>1739.6</v>
      </c>
      <c r="T267" t="s">
        <v>4789</v>
      </c>
      <c r="U267">
        <v>1</v>
      </c>
      <c r="V267">
        <v>1739.6</v>
      </c>
      <c r="W267" t="s">
        <v>4343</v>
      </c>
      <c r="Y267" t="b">
        <v>1</v>
      </c>
      <c r="Z267" t="b">
        <v>0</v>
      </c>
      <c r="AA267">
        <v>1696.48</v>
      </c>
      <c r="AB267">
        <v>43.12</v>
      </c>
      <c r="AC267">
        <v>14</v>
      </c>
      <c r="AD267" t="b">
        <v>0</v>
      </c>
      <c r="AF267" t="s">
        <v>5041</v>
      </c>
      <c r="AG267" s="1" t="s">
        <v>283</v>
      </c>
      <c r="AH267" s="1" t="s">
        <v>287</v>
      </c>
      <c r="AI267">
        <v>199</v>
      </c>
      <c r="AJ267">
        <v>286</v>
      </c>
      <c r="AK267" s="106">
        <v>45475.635528993058</v>
      </c>
      <c r="AL267" s="1" t="s">
        <v>4790</v>
      </c>
      <c r="AM267" s="42">
        <f>IFERROR(INDEX('Public procurment'!A:R,MATCH(ListOfExpenditure[[#This Row],[Content.contractId]],'Public procurment'!E:E,0),14),0)</f>
        <v>0</v>
      </c>
      <c r="AN267" s="2">
        <f>IF(AND(ListOfExpenditure[[#This Row],[Contract amount]]&gt;10000,ListOfExpenditure[[#This Row],[Content.declaredAmount]]&gt;2000),1,0)</f>
        <v>0</v>
      </c>
      <c r="AO267">
        <f>IFERROR(INDEX('Public procurment'!A:S,MATCH(ListOfExpenditure[[#This Row],[Content.contractId]],'Public procurment'!E:E,0),19),0)</f>
        <v>0</v>
      </c>
      <c r="AP267">
        <f>IF(ListOfExpenditure[[#This Row],[Numero di volte controllato il contract ]]&gt;0,0,ListOfExpenditure[[#This Row],[IF public procurment &gt;10000;1;0]])</f>
        <v>0</v>
      </c>
    </row>
    <row r="268" spans="1:42" x14ac:dyDescent="0.25">
      <c r="A268">
        <v>1463</v>
      </c>
      <c r="B268">
        <v>4</v>
      </c>
      <c r="E268" t="s">
        <v>4786</v>
      </c>
      <c r="F268" t="b">
        <v>1</v>
      </c>
      <c r="I268" t="s">
        <v>5045</v>
      </c>
      <c r="K268" t="s">
        <v>5046</v>
      </c>
      <c r="L268" t="s">
        <v>5046</v>
      </c>
      <c r="M268" t="s">
        <v>4788</v>
      </c>
      <c r="N268" t="s">
        <v>4788</v>
      </c>
      <c r="O268">
        <v>3774.5</v>
      </c>
      <c r="Q268">
        <v>0</v>
      </c>
      <c r="R268">
        <v>0</v>
      </c>
      <c r="S268">
        <v>1623.04</v>
      </c>
      <c r="T268" t="s">
        <v>4789</v>
      </c>
      <c r="U268">
        <v>1</v>
      </c>
      <c r="V268">
        <v>1623.04</v>
      </c>
      <c r="W268" t="s">
        <v>4343</v>
      </c>
      <c r="Y268" t="b">
        <v>1</v>
      </c>
      <c r="Z268" t="b">
        <v>0</v>
      </c>
      <c r="AA268">
        <v>1623.04</v>
      </c>
      <c r="AB268">
        <v>0</v>
      </c>
      <c r="AD268" t="b">
        <v>0</v>
      </c>
      <c r="AG268" s="1" t="s">
        <v>283</v>
      </c>
      <c r="AH268" s="1" t="s">
        <v>287</v>
      </c>
      <c r="AI268">
        <v>199</v>
      </c>
      <c r="AJ268">
        <v>286</v>
      </c>
      <c r="AK268" s="106">
        <v>45475.635528993058</v>
      </c>
      <c r="AL268" s="1" t="s">
        <v>4790</v>
      </c>
      <c r="AM268" s="42">
        <f>IFERROR(INDEX('Public procurment'!A:R,MATCH(ListOfExpenditure[[#This Row],[Content.contractId]],'Public procurment'!E:E,0),14),0)</f>
        <v>0</v>
      </c>
      <c r="AN268" s="2">
        <f>IF(AND(ListOfExpenditure[[#This Row],[Contract amount]]&gt;10000,ListOfExpenditure[[#This Row],[Content.declaredAmount]]&gt;2000),1,0)</f>
        <v>0</v>
      </c>
      <c r="AO268">
        <f>IFERROR(INDEX('Public procurment'!A:S,MATCH(ListOfExpenditure[[#This Row],[Content.contractId]],'Public procurment'!E:E,0),19),0)</f>
        <v>0</v>
      </c>
      <c r="AP268">
        <f>IF(ListOfExpenditure[[#This Row],[Numero di volte controllato il contract ]]&gt;0,0,ListOfExpenditure[[#This Row],[IF public procurment &gt;10000;1;0]])</f>
        <v>0</v>
      </c>
    </row>
    <row r="269" spans="1:42" x14ac:dyDescent="0.25">
      <c r="A269">
        <v>1472</v>
      </c>
      <c r="B269">
        <v>5</v>
      </c>
      <c r="E269" t="s">
        <v>4786</v>
      </c>
      <c r="F269" t="b">
        <v>1</v>
      </c>
      <c r="I269" t="s">
        <v>5047</v>
      </c>
      <c r="K269" t="s">
        <v>5040</v>
      </c>
      <c r="L269" t="s">
        <v>5040</v>
      </c>
      <c r="M269" t="s">
        <v>4788</v>
      </c>
      <c r="N269" t="s">
        <v>4788</v>
      </c>
      <c r="O269">
        <v>2850.98</v>
      </c>
      <c r="Q269">
        <v>0</v>
      </c>
      <c r="R269">
        <v>0</v>
      </c>
      <c r="S269">
        <v>285.10000000000002</v>
      </c>
      <c r="T269" t="s">
        <v>4789</v>
      </c>
      <c r="U269">
        <v>1</v>
      </c>
      <c r="V269">
        <v>285.10000000000002</v>
      </c>
      <c r="W269" t="s">
        <v>4343</v>
      </c>
      <c r="Y269" t="b">
        <v>1</v>
      </c>
      <c r="Z269" t="b">
        <v>0</v>
      </c>
      <c r="AA269">
        <v>275.07</v>
      </c>
      <c r="AB269">
        <v>10.029999999999999</v>
      </c>
      <c r="AC269">
        <v>14</v>
      </c>
      <c r="AD269" t="b">
        <v>0</v>
      </c>
      <c r="AF269" t="s">
        <v>5041</v>
      </c>
      <c r="AG269" s="1" t="s">
        <v>283</v>
      </c>
      <c r="AH269" s="1" t="s">
        <v>287</v>
      </c>
      <c r="AI269">
        <v>199</v>
      </c>
      <c r="AJ269">
        <v>286</v>
      </c>
      <c r="AK269" s="106">
        <v>45475.635528993058</v>
      </c>
      <c r="AL269" s="1" t="s">
        <v>4790</v>
      </c>
      <c r="AM269" s="42">
        <f>IFERROR(INDEX('Public procurment'!A:R,MATCH(ListOfExpenditure[[#This Row],[Content.contractId]],'Public procurment'!E:E,0),14),0)</f>
        <v>0</v>
      </c>
      <c r="AN269" s="2">
        <f>IF(AND(ListOfExpenditure[[#This Row],[Contract amount]]&gt;10000,ListOfExpenditure[[#This Row],[Content.declaredAmount]]&gt;2000),1,0)</f>
        <v>0</v>
      </c>
      <c r="AO269">
        <f>IFERROR(INDEX('Public procurment'!A:S,MATCH(ListOfExpenditure[[#This Row],[Content.contractId]],'Public procurment'!E:E,0),19),0)</f>
        <v>0</v>
      </c>
      <c r="AP269">
        <f>IF(ListOfExpenditure[[#This Row],[Numero di volte controllato il contract ]]&gt;0,0,ListOfExpenditure[[#This Row],[IF public procurment &gt;10000;1;0]])</f>
        <v>0</v>
      </c>
    </row>
    <row r="270" spans="1:42" x14ac:dyDescent="0.25">
      <c r="A270">
        <v>1473</v>
      </c>
      <c r="B270">
        <v>6</v>
      </c>
      <c r="E270" t="s">
        <v>4786</v>
      </c>
      <c r="F270" t="b">
        <v>1</v>
      </c>
      <c r="I270" t="s">
        <v>5048</v>
      </c>
      <c r="K270" t="s">
        <v>4869</v>
      </c>
      <c r="L270" t="s">
        <v>4869</v>
      </c>
      <c r="M270" t="s">
        <v>4788</v>
      </c>
      <c r="N270" t="s">
        <v>4788</v>
      </c>
      <c r="O270">
        <v>2988.5</v>
      </c>
      <c r="Q270">
        <v>0</v>
      </c>
      <c r="R270">
        <v>0</v>
      </c>
      <c r="S270">
        <v>298.85000000000002</v>
      </c>
      <c r="T270" t="s">
        <v>4789</v>
      </c>
      <c r="U270">
        <v>1</v>
      </c>
      <c r="V270">
        <v>298.85000000000002</v>
      </c>
      <c r="W270" t="s">
        <v>4343</v>
      </c>
      <c r="Y270" t="b">
        <v>1</v>
      </c>
      <c r="Z270" t="b">
        <v>0</v>
      </c>
      <c r="AA270">
        <v>288.82</v>
      </c>
      <c r="AB270">
        <v>10.029999999999999</v>
      </c>
      <c r="AC270">
        <v>14</v>
      </c>
      <c r="AD270" t="b">
        <v>0</v>
      </c>
      <c r="AF270" t="s">
        <v>5041</v>
      </c>
      <c r="AG270" s="1" t="s">
        <v>283</v>
      </c>
      <c r="AH270" s="1" t="s">
        <v>287</v>
      </c>
      <c r="AI270">
        <v>199</v>
      </c>
      <c r="AJ270">
        <v>286</v>
      </c>
      <c r="AK270" s="106">
        <v>45475.635528993058</v>
      </c>
      <c r="AL270" s="1" t="s">
        <v>4790</v>
      </c>
      <c r="AM270" s="42">
        <f>IFERROR(INDEX('Public procurment'!A:R,MATCH(ListOfExpenditure[[#This Row],[Content.contractId]],'Public procurment'!E:E,0),14),0)</f>
        <v>0</v>
      </c>
      <c r="AN270" s="2">
        <f>IF(AND(ListOfExpenditure[[#This Row],[Contract amount]]&gt;10000,ListOfExpenditure[[#This Row],[Content.declaredAmount]]&gt;2000),1,0)</f>
        <v>0</v>
      </c>
      <c r="AO270">
        <f>IFERROR(INDEX('Public procurment'!A:S,MATCH(ListOfExpenditure[[#This Row],[Content.contractId]],'Public procurment'!E:E,0),19),0)</f>
        <v>0</v>
      </c>
      <c r="AP270">
        <f>IF(ListOfExpenditure[[#This Row],[Numero di volte controllato il contract ]]&gt;0,0,ListOfExpenditure[[#This Row],[IF public procurment &gt;10000;1;0]])</f>
        <v>0</v>
      </c>
    </row>
    <row r="271" spans="1:42" x14ac:dyDescent="0.25">
      <c r="A271">
        <v>1474</v>
      </c>
      <c r="B271">
        <v>7</v>
      </c>
      <c r="E271" t="s">
        <v>4786</v>
      </c>
      <c r="F271" t="b">
        <v>1</v>
      </c>
      <c r="I271" t="s">
        <v>5049</v>
      </c>
      <c r="K271" t="s">
        <v>5044</v>
      </c>
      <c r="L271" t="s">
        <v>5044</v>
      </c>
      <c r="M271" t="s">
        <v>4788</v>
      </c>
      <c r="N271" t="s">
        <v>4788</v>
      </c>
      <c r="O271">
        <v>3251.57</v>
      </c>
      <c r="Q271">
        <v>0</v>
      </c>
      <c r="R271">
        <v>0</v>
      </c>
      <c r="S271">
        <v>325.16000000000003</v>
      </c>
      <c r="T271" t="s">
        <v>4789</v>
      </c>
      <c r="U271">
        <v>1</v>
      </c>
      <c r="V271">
        <v>325.16000000000003</v>
      </c>
      <c r="W271" t="s">
        <v>4343</v>
      </c>
      <c r="Y271" t="b">
        <v>1</v>
      </c>
      <c r="Z271" t="b">
        <v>0</v>
      </c>
      <c r="AA271">
        <v>315.13</v>
      </c>
      <c r="AB271">
        <v>10.029999999999999</v>
      </c>
      <c r="AC271">
        <v>14</v>
      </c>
      <c r="AD271" t="b">
        <v>0</v>
      </c>
      <c r="AF271" t="s">
        <v>5041</v>
      </c>
      <c r="AG271" s="1" t="s">
        <v>283</v>
      </c>
      <c r="AH271" s="1" t="s">
        <v>287</v>
      </c>
      <c r="AI271">
        <v>199</v>
      </c>
      <c r="AJ271">
        <v>286</v>
      </c>
      <c r="AK271" s="106">
        <v>45475.635528993058</v>
      </c>
      <c r="AL271" s="1" t="s">
        <v>4790</v>
      </c>
      <c r="AM271" s="42">
        <f>IFERROR(INDEX('Public procurment'!A:R,MATCH(ListOfExpenditure[[#This Row],[Content.contractId]],'Public procurment'!E:E,0),14),0)</f>
        <v>0</v>
      </c>
      <c r="AN271" s="2">
        <f>IF(AND(ListOfExpenditure[[#This Row],[Contract amount]]&gt;10000,ListOfExpenditure[[#This Row],[Content.declaredAmount]]&gt;2000),1,0)</f>
        <v>0</v>
      </c>
      <c r="AO271">
        <f>IFERROR(INDEX('Public procurment'!A:S,MATCH(ListOfExpenditure[[#This Row],[Content.contractId]],'Public procurment'!E:E,0),19),0)</f>
        <v>0</v>
      </c>
      <c r="AP271">
        <f>IF(ListOfExpenditure[[#This Row],[Numero di volte controllato il contract ]]&gt;0,0,ListOfExpenditure[[#This Row],[IF public procurment &gt;10000;1;0]])</f>
        <v>0</v>
      </c>
    </row>
    <row r="272" spans="1:42" x14ac:dyDescent="0.25">
      <c r="A272">
        <v>1476</v>
      </c>
      <c r="B272">
        <v>8</v>
      </c>
      <c r="E272" t="s">
        <v>4786</v>
      </c>
      <c r="F272" t="b">
        <v>1</v>
      </c>
      <c r="I272" t="s">
        <v>5050</v>
      </c>
      <c r="K272" t="s">
        <v>5046</v>
      </c>
      <c r="L272" t="s">
        <v>5046</v>
      </c>
      <c r="M272" t="s">
        <v>4788</v>
      </c>
      <c r="N272" t="s">
        <v>4788</v>
      </c>
      <c r="O272">
        <v>2841.4</v>
      </c>
      <c r="Q272">
        <v>0</v>
      </c>
      <c r="R272">
        <v>0</v>
      </c>
      <c r="S272">
        <v>284.14</v>
      </c>
      <c r="T272" t="s">
        <v>4789</v>
      </c>
      <c r="U272">
        <v>1</v>
      </c>
      <c r="V272">
        <v>284.14</v>
      </c>
      <c r="W272" t="s">
        <v>4343</v>
      </c>
      <c r="Y272" t="b">
        <v>1</v>
      </c>
      <c r="Z272" t="b">
        <v>0</v>
      </c>
      <c r="AA272">
        <v>284.14</v>
      </c>
      <c r="AB272">
        <v>0</v>
      </c>
      <c r="AD272" t="b">
        <v>0</v>
      </c>
      <c r="AG272" s="1" t="s">
        <v>283</v>
      </c>
      <c r="AH272" s="1" t="s">
        <v>287</v>
      </c>
      <c r="AI272">
        <v>199</v>
      </c>
      <c r="AJ272">
        <v>286</v>
      </c>
      <c r="AK272" s="106">
        <v>45475.635528993058</v>
      </c>
      <c r="AL272" s="1" t="s">
        <v>4790</v>
      </c>
      <c r="AM272" s="42">
        <f>IFERROR(INDEX('Public procurment'!A:R,MATCH(ListOfExpenditure[[#This Row],[Content.contractId]],'Public procurment'!E:E,0),14),0)</f>
        <v>0</v>
      </c>
      <c r="AN272" s="2">
        <f>IF(AND(ListOfExpenditure[[#This Row],[Contract amount]]&gt;10000,ListOfExpenditure[[#This Row],[Content.declaredAmount]]&gt;2000),1,0)</f>
        <v>0</v>
      </c>
      <c r="AO272">
        <f>IFERROR(INDEX('Public procurment'!A:S,MATCH(ListOfExpenditure[[#This Row],[Content.contractId]],'Public procurment'!E:E,0),19),0)</f>
        <v>0</v>
      </c>
      <c r="AP272">
        <f>IF(ListOfExpenditure[[#This Row],[Numero di volte controllato il contract ]]&gt;0,0,ListOfExpenditure[[#This Row],[IF public procurment &gt;10000;1;0]])</f>
        <v>0</v>
      </c>
    </row>
    <row r="273" spans="1:42" x14ac:dyDescent="0.25">
      <c r="A273">
        <v>1479</v>
      </c>
      <c r="B273">
        <v>9</v>
      </c>
      <c r="E273" t="s">
        <v>4786</v>
      </c>
      <c r="F273" t="b">
        <v>1</v>
      </c>
      <c r="I273" t="s">
        <v>5051</v>
      </c>
      <c r="K273" t="s">
        <v>5040</v>
      </c>
      <c r="L273" t="s">
        <v>5040</v>
      </c>
      <c r="M273" t="s">
        <v>4788</v>
      </c>
      <c r="N273" t="s">
        <v>4788</v>
      </c>
      <c r="O273">
        <v>2381.84</v>
      </c>
      <c r="Q273">
        <v>0</v>
      </c>
      <c r="R273">
        <v>0</v>
      </c>
      <c r="S273">
        <v>952.74</v>
      </c>
      <c r="T273" t="s">
        <v>4789</v>
      </c>
      <c r="U273">
        <v>1</v>
      </c>
      <c r="V273">
        <v>952.74</v>
      </c>
      <c r="W273" t="s">
        <v>4343</v>
      </c>
      <c r="Y273" t="b">
        <v>1</v>
      </c>
      <c r="Z273" t="b">
        <v>0</v>
      </c>
      <c r="AA273">
        <v>952.74</v>
      </c>
      <c r="AB273">
        <v>0</v>
      </c>
      <c r="AD273" t="b">
        <v>0</v>
      </c>
      <c r="AG273" s="1" t="s">
        <v>283</v>
      </c>
      <c r="AH273" s="1" t="s">
        <v>287</v>
      </c>
      <c r="AI273">
        <v>199</v>
      </c>
      <c r="AJ273">
        <v>286</v>
      </c>
      <c r="AK273" s="106">
        <v>45475.635528993058</v>
      </c>
      <c r="AL273" s="1" t="s">
        <v>4790</v>
      </c>
      <c r="AM273" s="42">
        <f>IFERROR(INDEX('Public procurment'!A:R,MATCH(ListOfExpenditure[[#This Row],[Content.contractId]],'Public procurment'!E:E,0),14),0)</f>
        <v>0</v>
      </c>
      <c r="AN273" s="2">
        <f>IF(AND(ListOfExpenditure[[#This Row],[Contract amount]]&gt;10000,ListOfExpenditure[[#This Row],[Content.declaredAmount]]&gt;2000),1,0)</f>
        <v>0</v>
      </c>
      <c r="AO273">
        <f>IFERROR(INDEX('Public procurment'!A:S,MATCH(ListOfExpenditure[[#This Row],[Content.contractId]],'Public procurment'!E:E,0),19),0)</f>
        <v>0</v>
      </c>
      <c r="AP273">
        <f>IF(ListOfExpenditure[[#This Row],[Numero di volte controllato il contract ]]&gt;0,0,ListOfExpenditure[[#This Row],[IF public procurment &gt;10000;1;0]])</f>
        <v>0</v>
      </c>
    </row>
    <row r="274" spans="1:42" x14ac:dyDescent="0.25">
      <c r="A274">
        <v>1480</v>
      </c>
      <c r="B274">
        <v>10</v>
      </c>
      <c r="E274" t="s">
        <v>4786</v>
      </c>
      <c r="F274" t="b">
        <v>1</v>
      </c>
      <c r="I274" t="s">
        <v>5052</v>
      </c>
      <c r="K274" t="s">
        <v>4869</v>
      </c>
      <c r="L274" t="s">
        <v>4869</v>
      </c>
      <c r="M274" t="s">
        <v>4788</v>
      </c>
      <c r="N274" t="s">
        <v>4788</v>
      </c>
      <c r="O274">
        <v>2392.02</v>
      </c>
      <c r="Q274">
        <v>0</v>
      </c>
      <c r="R274">
        <v>0</v>
      </c>
      <c r="S274">
        <v>956.81</v>
      </c>
      <c r="T274" t="s">
        <v>4789</v>
      </c>
      <c r="U274">
        <v>1</v>
      </c>
      <c r="V274">
        <v>956.81</v>
      </c>
      <c r="W274" t="s">
        <v>4343</v>
      </c>
      <c r="Y274" t="b">
        <v>1</v>
      </c>
      <c r="Z274" t="b">
        <v>0</v>
      </c>
      <c r="AA274">
        <v>956.81</v>
      </c>
      <c r="AB274">
        <v>0</v>
      </c>
      <c r="AD274" t="b">
        <v>0</v>
      </c>
      <c r="AG274" s="1" t="s">
        <v>283</v>
      </c>
      <c r="AH274" s="1" t="s">
        <v>287</v>
      </c>
      <c r="AI274">
        <v>199</v>
      </c>
      <c r="AJ274">
        <v>286</v>
      </c>
      <c r="AK274" s="106">
        <v>45475.635528993058</v>
      </c>
      <c r="AL274" s="1" t="s">
        <v>4790</v>
      </c>
      <c r="AM274" s="42">
        <f>IFERROR(INDEX('Public procurment'!A:R,MATCH(ListOfExpenditure[[#This Row],[Content.contractId]],'Public procurment'!E:E,0),14),0)</f>
        <v>0</v>
      </c>
      <c r="AN274" s="2">
        <f>IF(AND(ListOfExpenditure[[#This Row],[Contract amount]]&gt;10000,ListOfExpenditure[[#This Row],[Content.declaredAmount]]&gt;2000),1,0)</f>
        <v>0</v>
      </c>
      <c r="AO274">
        <f>IFERROR(INDEX('Public procurment'!A:S,MATCH(ListOfExpenditure[[#This Row],[Content.contractId]],'Public procurment'!E:E,0),19),0)</f>
        <v>0</v>
      </c>
      <c r="AP274">
        <f>IF(ListOfExpenditure[[#This Row],[Numero di volte controllato il contract ]]&gt;0,0,ListOfExpenditure[[#This Row],[IF public procurment &gt;10000;1;0]])</f>
        <v>0</v>
      </c>
    </row>
    <row r="275" spans="1:42" x14ac:dyDescent="0.25">
      <c r="A275">
        <v>1481</v>
      </c>
      <c r="B275">
        <v>11</v>
      </c>
      <c r="E275" t="s">
        <v>4786</v>
      </c>
      <c r="F275" t="b">
        <v>1</v>
      </c>
      <c r="I275" t="s">
        <v>5053</v>
      </c>
      <c r="K275" t="s">
        <v>5044</v>
      </c>
      <c r="L275" t="s">
        <v>5044</v>
      </c>
      <c r="M275" t="s">
        <v>4788</v>
      </c>
      <c r="N275" t="s">
        <v>4788</v>
      </c>
      <c r="O275">
        <v>2464.08</v>
      </c>
      <c r="Q275">
        <v>0</v>
      </c>
      <c r="R275">
        <v>0</v>
      </c>
      <c r="S275">
        <v>985.63</v>
      </c>
      <c r="T275" t="s">
        <v>4789</v>
      </c>
      <c r="U275">
        <v>1</v>
      </c>
      <c r="V275">
        <v>985.63</v>
      </c>
      <c r="W275" t="s">
        <v>4343</v>
      </c>
      <c r="Y275" t="b">
        <v>1</v>
      </c>
      <c r="Z275" t="b">
        <v>0</v>
      </c>
      <c r="AA275">
        <v>985.63</v>
      </c>
      <c r="AB275">
        <v>0</v>
      </c>
      <c r="AD275" t="b">
        <v>0</v>
      </c>
      <c r="AG275" s="1" t="s">
        <v>283</v>
      </c>
      <c r="AH275" s="1" t="s">
        <v>287</v>
      </c>
      <c r="AI275">
        <v>199</v>
      </c>
      <c r="AJ275">
        <v>286</v>
      </c>
      <c r="AK275" s="106">
        <v>45475.635528993058</v>
      </c>
      <c r="AL275" s="1" t="s">
        <v>4790</v>
      </c>
      <c r="AM275" s="42">
        <f>IFERROR(INDEX('Public procurment'!A:R,MATCH(ListOfExpenditure[[#This Row],[Content.contractId]],'Public procurment'!E:E,0),14),0)</f>
        <v>0</v>
      </c>
      <c r="AN275" s="2">
        <f>IF(AND(ListOfExpenditure[[#This Row],[Contract amount]]&gt;10000,ListOfExpenditure[[#This Row],[Content.declaredAmount]]&gt;2000),1,0)</f>
        <v>0</v>
      </c>
      <c r="AO275">
        <f>IFERROR(INDEX('Public procurment'!A:S,MATCH(ListOfExpenditure[[#This Row],[Content.contractId]],'Public procurment'!E:E,0),19),0)</f>
        <v>0</v>
      </c>
      <c r="AP275">
        <f>IF(ListOfExpenditure[[#This Row],[Numero di volte controllato il contract ]]&gt;0,0,ListOfExpenditure[[#This Row],[IF public procurment &gt;10000;1;0]])</f>
        <v>0</v>
      </c>
    </row>
    <row r="276" spans="1:42" x14ac:dyDescent="0.25">
      <c r="A276">
        <v>1482</v>
      </c>
      <c r="B276">
        <v>12</v>
      </c>
      <c r="E276" t="s">
        <v>4786</v>
      </c>
      <c r="F276" t="b">
        <v>1</v>
      </c>
      <c r="I276" t="s">
        <v>5054</v>
      </c>
      <c r="K276" t="s">
        <v>5046</v>
      </c>
      <c r="L276" t="s">
        <v>5046</v>
      </c>
      <c r="M276" t="s">
        <v>4788</v>
      </c>
      <c r="N276" t="s">
        <v>4788</v>
      </c>
      <c r="O276">
        <v>2214.23</v>
      </c>
      <c r="Q276">
        <v>0</v>
      </c>
      <c r="R276">
        <v>0</v>
      </c>
      <c r="S276">
        <v>885.69</v>
      </c>
      <c r="T276" t="s">
        <v>4789</v>
      </c>
      <c r="U276">
        <v>1</v>
      </c>
      <c r="V276">
        <v>885.69</v>
      </c>
      <c r="W276" t="s">
        <v>4343</v>
      </c>
      <c r="Y276" t="b">
        <v>1</v>
      </c>
      <c r="Z276" t="b">
        <v>0</v>
      </c>
      <c r="AA276">
        <v>885.69</v>
      </c>
      <c r="AB276">
        <v>0</v>
      </c>
      <c r="AD276" t="b">
        <v>0</v>
      </c>
      <c r="AG276" s="1" t="s">
        <v>283</v>
      </c>
      <c r="AH276" s="1" t="s">
        <v>287</v>
      </c>
      <c r="AI276">
        <v>199</v>
      </c>
      <c r="AJ276">
        <v>286</v>
      </c>
      <c r="AK276" s="106">
        <v>45475.635528993058</v>
      </c>
      <c r="AL276" s="1" t="s">
        <v>4790</v>
      </c>
      <c r="AM276" s="42">
        <f>IFERROR(INDEX('Public procurment'!A:R,MATCH(ListOfExpenditure[[#This Row],[Content.contractId]],'Public procurment'!E:E,0),14),0)</f>
        <v>0</v>
      </c>
      <c r="AN276" s="2">
        <f>IF(AND(ListOfExpenditure[[#This Row],[Contract amount]]&gt;10000,ListOfExpenditure[[#This Row],[Content.declaredAmount]]&gt;2000),1,0)</f>
        <v>0</v>
      </c>
      <c r="AO276">
        <f>IFERROR(INDEX('Public procurment'!A:S,MATCH(ListOfExpenditure[[#This Row],[Content.contractId]],'Public procurment'!E:E,0),19),0)</f>
        <v>0</v>
      </c>
      <c r="AP276">
        <f>IF(ListOfExpenditure[[#This Row],[Numero di volte controllato il contract ]]&gt;0,0,ListOfExpenditure[[#This Row],[IF public procurment &gt;10000;1;0]])</f>
        <v>0</v>
      </c>
    </row>
    <row r="277" spans="1:42" x14ac:dyDescent="0.25">
      <c r="A277">
        <v>1484</v>
      </c>
      <c r="B277">
        <v>13</v>
      </c>
      <c r="E277" t="s">
        <v>4786</v>
      </c>
      <c r="F277" t="b">
        <v>1</v>
      </c>
      <c r="I277" t="s">
        <v>5055</v>
      </c>
      <c r="K277" t="s">
        <v>5040</v>
      </c>
      <c r="L277" t="s">
        <v>5040</v>
      </c>
      <c r="M277" t="s">
        <v>4788</v>
      </c>
      <c r="N277" t="s">
        <v>4788</v>
      </c>
      <c r="O277">
        <v>2008.94</v>
      </c>
      <c r="Q277">
        <v>0</v>
      </c>
      <c r="R277">
        <v>0</v>
      </c>
      <c r="S277">
        <v>100.45</v>
      </c>
      <c r="T277" t="s">
        <v>4789</v>
      </c>
      <c r="U277">
        <v>1</v>
      </c>
      <c r="V277">
        <v>100.45</v>
      </c>
      <c r="W277" t="s">
        <v>4343</v>
      </c>
      <c r="Y277" t="b">
        <v>1</v>
      </c>
      <c r="Z277" t="b">
        <v>0</v>
      </c>
      <c r="AA277">
        <v>100.45</v>
      </c>
      <c r="AB277">
        <v>0</v>
      </c>
      <c r="AD277" t="b">
        <v>0</v>
      </c>
      <c r="AG277" s="1" t="s">
        <v>283</v>
      </c>
      <c r="AH277" s="1" t="s">
        <v>287</v>
      </c>
      <c r="AI277">
        <v>199</v>
      </c>
      <c r="AJ277">
        <v>286</v>
      </c>
      <c r="AK277" s="106">
        <v>45475.635528993058</v>
      </c>
      <c r="AL277" s="1" t="s">
        <v>4790</v>
      </c>
      <c r="AM277" s="42">
        <f>IFERROR(INDEX('Public procurment'!A:R,MATCH(ListOfExpenditure[[#This Row],[Content.contractId]],'Public procurment'!E:E,0),14),0)</f>
        <v>0</v>
      </c>
      <c r="AN277" s="2">
        <f>IF(AND(ListOfExpenditure[[#This Row],[Contract amount]]&gt;10000,ListOfExpenditure[[#This Row],[Content.declaredAmount]]&gt;2000),1,0)</f>
        <v>0</v>
      </c>
      <c r="AO277">
        <f>IFERROR(INDEX('Public procurment'!A:S,MATCH(ListOfExpenditure[[#This Row],[Content.contractId]],'Public procurment'!E:E,0),19),0)</f>
        <v>0</v>
      </c>
      <c r="AP277">
        <f>IF(ListOfExpenditure[[#This Row],[Numero di volte controllato il contract ]]&gt;0,0,ListOfExpenditure[[#This Row],[IF public procurment &gt;10000;1;0]])</f>
        <v>0</v>
      </c>
    </row>
    <row r="278" spans="1:42" x14ac:dyDescent="0.25">
      <c r="A278">
        <v>1485</v>
      </c>
      <c r="B278">
        <v>14</v>
      </c>
      <c r="E278" t="s">
        <v>4786</v>
      </c>
      <c r="F278" t="b">
        <v>1</v>
      </c>
      <c r="I278" t="s">
        <v>5056</v>
      </c>
      <c r="K278" t="s">
        <v>4869</v>
      </c>
      <c r="L278" t="s">
        <v>4869</v>
      </c>
      <c r="M278" t="s">
        <v>4788</v>
      </c>
      <c r="N278" t="s">
        <v>4788</v>
      </c>
      <c r="O278">
        <v>2025.47</v>
      </c>
      <c r="Q278">
        <v>0</v>
      </c>
      <c r="R278">
        <v>0</v>
      </c>
      <c r="S278">
        <v>101.27</v>
      </c>
      <c r="T278" t="s">
        <v>4789</v>
      </c>
      <c r="U278">
        <v>1</v>
      </c>
      <c r="V278">
        <v>101.27</v>
      </c>
      <c r="W278" t="s">
        <v>4343</v>
      </c>
      <c r="Y278" t="b">
        <v>1</v>
      </c>
      <c r="Z278" t="b">
        <v>0</v>
      </c>
      <c r="AA278">
        <v>101.27</v>
      </c>
      <c r="AB278">
        <v>0</v>
      </c>
      <c r="AD278" t="b">
        <v>0</v>
      </c>
      <c r="AG278" s="1" t="s">
        <v>283</v>
      </c>
      <c r="AH278" s="1" t="s">
        <v>287</v>
      </c>
      <c r="AI278">
        <v>199</v>
      </c>
      <c r="AJ278">
        <v>286</v>
      </c>
      <c r="AK278" s="106">
        <v>45475.635528993058</v>
      </c>
      <c r="AL278" s="1" t="s">
        <v>4790</v>
      </c>
      <c r="AM278" s="42">
        <f>IFERROR(INDEX('Public procurment'!A:R,MATCH(ListOfExpenditure[[#This Row],[Content.contractId]],'Public procurment'!E:E,0),14),0)</f>
        <v>0</v>
      </c>
      <c r="AN278" s="2">
        <f>IF(AND(ListOfExpenditure[[#This Row],[Contract amount]]&gt;10000,ListOfExpenditure[[#This Row],[Content.declaredAmount]]&gt;2000),1,0)</f>
        <v>0</v>
      </c>
      <c r="AO278">
        <f>IFERROR(INDEX('Public procurment'!A:S,MATCH(ListOfExpenditure[[#This Row],[Content.contractId]],'Public procurment'!E:E,0),19),0)</f>
        <v>0</v>
      </c>
      <c r="AP278">
        <f>IF(ListOfExpenditure[[#This Row],[Numero di volte controllato il contract ]]&gt;0,0,ListOfExpenditure[[#This Row],[IF public procurment &gt;10000;1;0]])</f>
        <v>0</v>
      </c>
    </row>
    <row r="279" spans="1:42" x14ac:dyDescent="0.25">
      <c r="A279">
        <v>1486</v>
      </c>
      <c r="B279">
        <v>15</v>
      </c>
      <c r="E279" t="s">
        <v>4786</v>
      </c>
      <c r="F279" t="b">
        <v>1</v>
      </c>
      <c r="I279" t="s">
        <v>5057</v>
      </c>
      <c r="K279" t="s">
        <v>5044</v>
      </c>
      <c r="L279" t="s">
        <v>5044</v>
      </c>
      <c r="M279" t="s">
        <v>4788</v>
      </c>
      <c r="N279" t="s">
        <v>4788</v>
      </c>
      <c r="O279">
        <v>1990.61</v>
      </c>
      <c r="Q279">
        <v>0</v>
      </c>
      <c r="R279">
        <v>0</v>
      </c>
      <c r="S279">
        <v>99.53</v>
      </c>
      <c r="T279" t="s">
        <v>4789</v>
      </c>
      <c r="U279">
        <v>1</v>
      </c>
      <c r="V279">
        <v>99.53</v>
      </c>
      <c r="W279" t="s">
        <v>4343</v>
      </c>
      <c r="Y279" t="b">
        <v>1</v>
      </c>
      <c r="Z279" t="b">
        <v>0</v>
      </c>
      <c r="AA279">
        <v>99.53</v>
      </c>
      <c r="AB279">
        <v>0</v>
      </c>
      <c r="AD279" t="b">
        <v>0</v>
      </c>
      <c r="AG279" s="1" t="s">
        <v>283</v>
      </c>
      <c r="AH279" s="1" t="s">
        <v>287</v>
      </c>
      <c r="AI279">
        <v>199</v>
      </c>
      <c r="AJ279">
        <v>286</v>
      </c>
      <c r="AK279" s="106">
        <v>45475.635528993058</v>
      </c>
      <c r="AL279" s="1" t="s">
        <v>4790</v>
      </c>
      <c r="AM279" s="42">
        <f>IFERROR(INDEX('Public procurment'!A:R,MATCH(ListOfExpenditure[[#This Row],[Content.contractId]],'Public procurment'!E:E,0),14),0)</f>
        <v>0</v>
      </c>
      <c r="AN279" s="2">
        <f>IF(AND(ListOfExpenditure[[#This Row],[Contract amount]]&gt;10000,ListOfExpenditure[[#This Row],[Content.declaredAmount]]&gt;2000),1,0)</f>
        <v>0</v>
      </c>
      <c r="AO279">
        <f>IFERROR(INDEX('Public procurment'!A:S,MATCH(ListOfExpenditure[[#This Row],[Content.contractId]],'Public procurment'!E:E,0),19),0)</f>
        <v>0</v>
      </c>
      <c r="AP279">
        <f>IF(ListOfExpenditure[[#This Row],[Numero di volte controllato il contract ]]&gt;0,0,ListOfExpenditure[[#This Row],[IF public procurment &gt;10000;1;0]])</f>
        <v>0</v>
      </c>
    </row>
    <row r="280" spans="1:42" x14ac:dyDescent="0.25">
      <c r="A280">
        <v>1487</v>
      </c>
      <c r="B280">
        <v>16</v>
      </c>
      <c r="E280" t="s">
        <v>4786</v>
      </c>
      <c r="F280" t="b">
        <v>1</v>
      </c>
      <c r="I280" t="s">
        <v>5058</v>
      </c>
      <c r="K280" t="s">
        <v>5046</v>
      </c>
      <c r="L280" t="s">
        <v>5046</v>
      </c>
      <c r="M280" t="s">
        <v>4788</v>
      </c>
      <c r="N280" t="s">
        <v>4788</v>
      </c>
      <c r="O280">
        <v>1843.12</v>
      </c>
      <c r="Q280">
        <v>0</v>
      </c>
      <c r="R280">
        <v>0</v>
      </c>
      <c r="S280">
        <v>92.16</v>
      </c>
      <c r="T280" t="s">
        <v>4789</v>
      </c>
      <c r="U280">
        <v>1</v>
      </c>
      <c r="V280">
        <v>92.16</v>
      </c>
      <c r="W280" t="s">
        <v>4343</v>
      </c>
      <c r="Y280" t="b">
        <v>1</v>
      </c>
      <c r="Z280" t="b">
        <v>0</v>
      </c>
      <c r="AA280">
        <v>92.16</v>
      </c>
      <c r="AB280">
        <v>0</v>
      </c>
      <c r="AD280" t="b">
        <v>0</v>
      </c>
      <c r="AG280" s="1" t="s">
        <v>283</v>
      </c>
      <c r="AH280" s="1" t="s">
        <v>287</v>
      </c>
      <c r="AI280">
        <v>199</v>
      </c>
      <c r="AJ280">
        <v>286</v>
      </c>
      <c r="AK280" s="106">
        <v>45475.635528993058</v>
      </c>
      <c r="AL280" s="1" t="s">
        <v>4790</v>
      </c>
      <c r="AM280" s="42">
        <f>IFERROR(INDEX('Public procurment'!A:R,MATCH(ListOfExpenditure[[#This Row],[Content.contractId]],'Public procurment'!E:E,0),14),0)</f>
        <v>0</v>
      </c>
      <c r="AN280" s="2">
        <f>IF(AND(ListOfExpenditure[[#This Row],[Contract amount]]&gt;10000,ListOfExpenditure[[#This Row],[Content.declaredAmount]]&gt;2000),1,0)</f>
        <v>0</v>
      </c>
      <c r="AO280">
        <f>IFERROR(INDEX('Public procurment'!A:S,MATCH(ListOfExpenditure[[#This Row],[Content.contractId]],'Public procurment'!E:E,0),19),0)</f>
        <v>0</v>
      </c>
      <c r="AP280">
        <f>IF(ListOfExpenditure[[#This Row],[Numero di volte controllato il contract ]]&gt;0,0,ListOfExpenditure[[#This Row],[IF public procurment &gt;10000;1;0]])</f>
        <v>0</v>
      </c>
    </row>
    <row r="281" spans="1:42" x14ac:dyDescent="0.25">
      <c r="A281">
        <v>1492</v>
      </c>
      <c r="B281">
        <v>1</v>
      </c>
      <c r="D281">
        <v>99</v>
      </c>
      <c r="E281" t="s">
        <v>4786</v>
      </c>
      <c r="F281" t="b">
        <v>0</v>
      </c>
      <c r="M281" t="s">
        <v>4788</v>
      </c>
      <c r="N281" t="s">
        <v>4788</v>
      </c>
      <c r="Q281">
        <v>11</v>
      </c>
      <c r="R281">
        <v>58</v>
      </c>
      <c r="S281">
        <v>638</v>
      </c>
      <c r="T281" t="s">
        <v>4789</v>
      </c>
      <c r="U281">
        <v>1</v>
      </c>
      <c r="V281">
        <v>638</v>
      </c>
      <c r="W281" t="s">
        <v>4343</v>
      </c>
      <c r="Y281" t="b">
        <v>1</v>
      </c>
      <c r="Z281" t="b">
        <v>0</v>
      </c>
      <c r="AA281">
        <v>638</v>
      </c>
      <c r="AB281">
        <v>0</v>
      </c>
      <c r="AD281" t="b">
        <v>0</v>
      </c>
      <c r="AG281" s="1" t="s">
        <v>304</v>
      </c>
      <c r="AH281" s="1" t="s">
        <v>0</v>
      </c>
      <c r="AI281">
        <v>174</v>
      </c>
      <c r="AJ281">
        <v>268</v>
      </c>
      <c r="AK281" s="106">
        <v>45475.635491388886</v>
      </c>
      <c r="AL281" s="1" t="s">
        <v>4790</v>
      </c>
      <c r="AM281" s="42">
        <f>IFERROR(INDEX('Public procurment'!A:R,MATCH(ListOfExpenditure[[#This Row],[Content.contractId]],'Public procurment'!E:E,0),14),0)</f>
        <v>0</v>
      </c>
      <c r="AN281" s="2">
        <f>IF(AND(ListOfExpenditure[[#This Row],[Contract amount]]&gt;10000,ListOfExpenditure[[#This Row],[Content.declaredAmount]]&gt;2000),1,0)</f>
        <v>0</v>
      </c>
      <c r="AO281">
        <f>IFERROR(INDEX('Public procurment'!A:S,MATCH(ListOfExpenditure[[#This Row],[Content.contractId]],'Public procurment'!E:E,0),19),0)</f>
        <v>0</v>
      </c>
      <c r="AP281">
        <f>IF(ListOfExpenditure[[#This Row],[Numero di volte controllato il contract ]]&gt;0,0,ListOfExpenditure[[#This Row],[IF public procurment &gt;10000;1;0]])</f>
        <v>0</v>
      </c>
    </row>
    <row r="282" spans="1:42" x14ac:dyDescent="0.25">
      <c r="A282">
        <v>1493</v>
      </c>
      <c r="B282">
        <v>2</v>
      </c>
      <c r="D282">
        <v>100</v>
      </c>
      <c r="E282" t="s">
        <v>4786</v>
      </c>
      <c r="F282" t="b">
        <v>0</v>
      </c>
      <c r="M282" t="s">
        <v>4788</v>
      </c>
      <c r="N282" t="s">
        <v>4788</v>
      </c>
      <c r="Q282">
        <v>256</v>
      </c>
      <c r="R282">
        <v>27</v>
      </c>
      <c r="S282">
        <v>6912</v>
      </c>
      <c r="T282" t="s">
        <v>4789</v>
      </c>
      <c r="U282">
        <v>1</v>
      </c>
      <c r="V282">
        <v>6912</v>
      </c>
      <c r="W282" t="s">
        <v>4343</v>
      </c>
      <c r="Y282" t="b">
        <v>1</v>
      </c>
      <c r="Z282" t="b">
        <v>0</v>
      </c>
      <c r="AA282">
        <v>6912</v>
      </c>
      <c r="AB282">
        <v>0</v>
      </c>
      <c r="AD282" t="b">
        <v>0</v>
      </c>
      <c r="AG282" s="1" t="s">
        <v>304</v>
      </c>
      <c r="AH282" s="1" t="s">
        <v>0</v>
      </c>
      <c r="AI282">
        <v>174</v>
      </c>
      <c r="AJ282">
        <v>268</v>
      </c>
      <c r="AK282" s="106">
        <v>45475.635491388886</v>
      </c>
      <c r="AL282" s="1" t="s">
        <v>4790</v>
      </c>
      <c r="AM282" s="42">
        <f>IFERROR(INDEX('Public procurment'!A:R,MATCH(ListOfExpenditure[[#This Row],[Content.contractId]],'Public procurment'!E:E,0),14),0)</f>
        <v>0</v>
      </c>
      <c r="AN282" s="2">
        <f>IF(AND(ListOfExpenditure[[#This Row],[Contract amount]]&gt;10000,ListOfExpenditure[[#This Row],[Content.declaredAmount]]&gt;2000),1,0)</f>
        <v>0</v>
      </c>
      <c r="AO282">
        <f>IFERROR(INDEX('Public procurment'!A:S,MATCH(ListOfExpenditure[[#This Row],[Content.contractId]],'Public procurment'!E:E,0),19),0)</f>
        <v>0</v>
      </c>
      <c r="AP282">
        <f>IF(ListOfExpenditure[[#This Row],[Numero di volte controllato il contract ]]&gt;0,0,ListOfExpenditure[[#This Row],[IF public procurment &gt;10000;1;0]])</f>
        <v>0</v>
      </c>
    </row>
    <row r="283" spans="1:42" x14ac:dyDescent="0.25">
      <c r="A283">
        <v>1494</v>
      </c>
      <c r="B283">
        <v>3</v>
      </c>
      <c r="D283">
        <v>101</v>
      </c>
      <c r="E283" t="s">
        <v>4786</v>
      </c>
      <c r="F283" t="b">
        <v>0</v>
      </c>
      <c r="M283" t="s">
        <v>4788</v>
      </c>
      <c r="N283" t="s">
        <v>4788</v>
      </c>
      <c r="Q283">
        <v>104</v>
      </c>
      <c r="R283">
        <v>38</v>
      </c>
      <c r="S283">
        <v>3952</v>
      </c>
      <c r="T283" t="s">
        <v>4789</v>
      </c>
      <c r="U283">
        <v>1</v>
      </c>
      <c r="V283">
        <v>3952</v>
      </c>
      <c r="W283" t="s">
        <v>4343</v>
      </c>
      <c r="Y283" t="b">
        <v>1</v>
      </c>
      <c r="Z283" t="b">
        <v>0</v>
      </c>
      <c r="AA283">
        <v>3762</v>
      </c>
      <c r="AB283">
        <v>190</v>
      </c>
      <c r="AC283">
        <v>13</v>
      </c>
      <c r="AD283" t="b">
        <v>0</v>
      </c>
      <c r="AF283" t="s">
        <v>5059</v>
      </c>
      <c r="AG283" s="1" t="s">
        <v>304</v>
      </c>
      <c r="AH283" s="1" t="s">
        <v>0</v>
      </c>
      <c r="AI283">
        <v>174</v>
      </c>
      <c r="AJ283">
        <v>268</v>
      </c>
      <c r="AK283" s="106">
        <v>45475.635491388886</v>
      </c>
      <c r="AL283" s="1" t="s">
        <v>4790</v>
      </c>
      <c r="AM283" s="42">
        <f>IFERROR(INDEX('Public procurment'!A:R,MATCH(ListOfExpenditure[[#This Row],[Content.contractId]],'Public procurment'!E:E,0),14),0)</f>
        <v>0</v>
      </c>
      <c r="AN283" s="2">
        <f>IF(AND(ListOfExpenditure[[#This Row],[Contract amount]]&gt;10000,ListOfExpenditure[[#This Row],[Content.declaredAmount]]&gt;2000),1,0)</f>
        <v>0</v>
      </c>
      <c r="AO283">
        <f>IFERROR(INDEX('Public procurment'!A:S,MATCH(ListOfExpenditure[[#This Row],[Content.contractId]],'Public procurment'!E:E,0),19),0)</f>
        <v>0</v>
      </c>
      <c r="AP283">
        <f>IF(ListOfExpenditure[[#This Row],[Numero di volte controllato il contract ]]&gt;0,0,ListOfExpenditure[[#This Row],[IF public procurment &gt;10000;1;0]])</f>
        <v>0</v>
      </c>
    </row>
    <row r="284" spans="1:42" x14ac:dyDescent="0.25">
      <c r="A284">
        <v>1495</v>
      </c>
      <c r="B284">
        <v>4</v>
      </c>
      <c r="D284">
        <v>102</v>
      </c>
      <c r="E284" t="s">
        <v>4786</v>
      </c>
      <c r="F284" t="b">
        <v>0</v>
      </c>
      <c r="M284" t="s">
        <v>4788</v>
      </c>
      <c r="N284" t="s">
        <v>4788</v>
      </c>
      <c r="Q284">
        <v>320</v>
      </c>
      <c r="R284">
        <v>18</v>
      </c>
      <c r="S284">
        <v>5760</v>
      </c>
      <c r="T284" t="s">
        <v>4789</v>
      </c>
      <c r="U284">
        <v>1</v>
      </c>
      <c r="V284">
        <v>5760</v>
      </c>
      <c r="W284" t="s">
        <v>4343</v>
      </c>
      <c r="Y284" t="b">
        <v>1</v>
      </c>
      <c r="Z284" t="b">
        <v>0</v>
      </c>
      <c r="AA284">
        <v>5760</v>
      </c>
      <c r="AB284">
        <v>0</v>
      </c>
      <c r="AD284" t="b">
        <v>0</v>
      </c>
      <c r="AG284" s="1" t="s">
        <v>304</v>
      </c>
      <c r="AH284" s="1" t="s">
        <v>0</v>
      </c>
      <c r="AI284">
        <v>174</v>
      </c>
      <c r="AJ284">
        <v>268</v>
      </c>
      <c r="AK284" s="106">
        <v>45475.635491388886</v>
      </c>
      <c r="AL284" s="1" t="s">
        <v>4790</v>
      </c>
      <c r="AM284" s="42">
        <f>IFERROR(INDEX('Public procurment'!A:R,MATCH(ListOfExpenditure[[#This Row],[Content.contractId]],'Public procurment'!E:E,0),14),0)</f>
        <v>0</v>
      </c>
      <c r="AN284" s="2">
        <f>IF(AND(ListOfExpenditure[[#This Row],[Contract amount]]&gt;10000,ListOfExpenditure[[#This Row],[Content.declaredAmount]]&gt;2000),1,0)</f>
        <v>0</v>
      </c>
      <c r="AO284">
        <f>IFERROR(INDEX('Public procurment'!A:S,MATCH(ListOfExpenditure[[#This Row],[Content.contractId]],'Public procurment'!E:E,0),19),0)</f>
        <v>0</v>
      </c>
      <c r="AP284">
        <f>IF(ListOfExpenditure[[#This Row],[Numero di volte controllato il contract ]]&gt;0,0,ListOfExpenditure[[#This Row],[IF public procurment &gt;10000;1;0]])</f>
        <v>0</v>
      </c>
    </row>
    <row r="285" spans="1:42" x14ac:dyDescent="0.25">
      <c r="A285">
        <v>1040</v>
      </c>
      <c r="B285">
        <v>1</v>
      </c>
      <c r="C285">
        <v>90</v>
      </c>
      <c r="E285" t="s">
        <v>4893</v>
      </c>
      <c r="F285" t="b">
        <v>0</v>
      </c>
      <c r="M285" t="s">
        <v>4788</v>
      </c>
      <c r="N285" t="s">
        <v>4788</v>
      </c>
      <c r="Q285">
        <v>1</v>
      </c>
      <c r="R285">
        <v>9000</v>
      </c>
      <c r="S285">
        <v>9000</v>
      </c>
      <c r="T285" t="s">
        <v>4789</v>
      </c>
      <c r="U285">
        <v>1</v>
      </c>
      <c r="V285">
        <v>9000</v>
      </c>
      <c r="Y285" t="b">
        <v>1</v>
      </c>
      <c r="Z285" t="b">
        <v>0</v>
      </c>
      <c r="AA285">
        <v>9000</v>
      </c>
      <c r="AB285">
        <v>0</v>
      </c>
      <c r="AD285" t="b">
        <v>0</v>
      </c>
      <c r="AG285" s="1" t="s">
        <v>304</v>
      </c>
      <c r="AH285" s="1" t="s">
        <v>305</v>
      </c>
      <c r="AI285">
        <v>101</v>
      </c>
      <c r="AJ285">
        <v>124</v>
      </c>
      <c r="AK285" s="106">
        <v>45475.635497222225</v>
      </c>
      <c r="AL285" s="1" t="s">
        <v>4790</v>
      </c>
      <c r="AM285" s="42">
        <f>IFERROR(INDEX('Public procurment'!A:R,MATCH(ListOfExpenditure[[#This Row],[Content.contractId]],'Public procurment'!E:E,0),14),0)</f>
        <v>0</v>
      </c>
      <c r="AN285" s="2">
        <f>IF(AND(ListOfExpenditure[[#This Row],[Contract amount]]&gt;10000,ListOfExpenditure[[#This Row],[Content.declaredAmount]]&gt;2000),1,0)</f>
        <v>0</v>
      </c>
      <c r="AO285">
        <f>IFERROR(INDEX('Public procurment'!A:S,MATCH(ListOfExpenditure[[#This Row],[Content.contractId]],'Public procurment'!E:E,0),19),0)</f>
        <v>0</v>
      </c>
      <c r="AP285">
        <f>IF(ListOfExpenditure[[#This Row],[Numero di volte controllato il contract ]]&gt;0,0,ListOfExpenditure[[#This Row],[IF public procurment &gt;10000;1;0]])</f>
        <v>0</v>
      </c>
    </row>
    <row r="286" spans="1:42" x14ac:dyDescent="0.25">
      <c r="A286">
        <v>1041</v>
      </c>
      <c r="B286">
        <v>2</v>
      </c>
      <c r="E286" t="s">
        <v>4798</v>
      </c>
      <c r="F286" t="b">
        <v>0</v>
      </c>
      <c r="H286">
        <v>162</v>
      </c>
      <c r="I286" t="s">
        <v>5060</v>
      </c>
      <c r="J286" t="s">
        <v>5061</v>
      </c>
      <c r="K286" t="s">
        <v>5062</v>
      </c>
      <c r="L286" t="s">
        <v>4913</v>
      </c>
      <c r="M286" t="s">
        <v>4788</v>
      </c>
      <c r="N286" t="s">
        <v>4788</v>
      </c>
      <c r="O286">
        <v>309.89999999999998</v>
      </c>
      <c r="P286">
        <v>28.1</v>
      </c>
      <c r="Q286">
        <v>0</v>
      </c>
      <c r="R286">
        <v>0</v>
      </c>
      <c r="S286">
        <v>309.89999999999998</v>
      </c>
      <c r="T286" t="s">
        <v>4789</v>
      </c>
      <c r="U286">
        <v>1</v>
      </c>
      <c r="V286">
        <v>309.89999999999998</v>
      </c>
      <c r="W286" t="s">
        <v>4343</v>
      </c>
      <c r="Y286" t="b">
        <v>1</v>
      </c>
      <c r="Z286" t="b">
        <v>0</v>
      </c>
      <c r="AA286">
        <v>309.89999999999998</v>
      </c>
      <c r="AB286">
        <v>0</v>
      </c>
      <c r="AD286" t="b">
        <v>0</v>
      </c>
      <c r="AG286" s="1" t="s">
        <v>304</v>
      </c>
      <c r="AH286" s="1" t="s">
        <v>305</v>
      </c>
      <c r="AI286">
        <v>101</v>
      </c>
      <c r="AJ286">
        <v>124</v>
      </c>
      <c r="AK286" s="106">
        <v>45475.635497222225</v>
      </c>
      <c r="AL286" s="1" t="s">
        <v>4790</v>
      </c>
      <c r="AM286" s="42">
        <f>IFERROR(INDEX('Public procurment'!A:R,MATCH(ListOfExpenditure[[#This Row],[Content.contractId]],'Public procurment'!E:E,0),14),0)</f>
        <v>309.89999999999998</v>
      </c>
      <c r="AN286" s="2">
        <f>IF(AND(ListOfExpenditure[[#This Row],[Contract amount]]&gt;10000,ListOfExpenditure[[#This Row],[Content.declaredAmount]]&gt;2000),1,0)</f>
        <v>0</v>
      </c>
      <c r="AO286">
        <f>IFERROR(INDEX('Public procurment'!A:S,MATCH(ListOfExpenditure[[#This Row],[Content.contractId]],'Public procurment'!E:E,0),19),0)</f>
        <v>1</v>
      </c>
      <c r="AP286">
        <f>IF(ListOfExpenditure[[#This Row],[Numero di volte controllato il contract ]]&gt;0,0,ListOfExpenditure[[#This Row],[IF public procurment &gt;10000;1;0]])</f>
        <v>0</v>
      </c>
    </row>
    <row r="287" spans="1:42" x14ac:dyDescent="0.25">
      <c r="A287">
        <v>1089</v>
      </c>
      <c r="B287">
        <v>3</v>
      </c>
      <c r="E287" t="s">
        <v>4798</v>
      </c>
      <c r="F287" t="b">
        <v>0</v>
      </c>
      <c r="H287">
        <v>163</v>
      </c>
      <c r="I287" t="s">
        <v>5063</v>
      </c>
      <c r="J287" t="s">
        <v>4866</v>
      </c>
      <c r="K287" t="s">
        <v>5064</v>
      </c>
      <c r="L287" t="s">
        <v>5065</v>
      </c>
      <c r="M287" t="s">
        <v>4788</v>
      </c>
      <c r="N287" t="s">
        <v>4788</v>
      </c>
      <c r="O287">
        <v>92</v>
      </c>
      <c r="P287">
        <v>16.59</v>
      </c>
      <c r="Q287">
        <v>0</v>
      </c>
      <c r="R287">
        <v>0</v>
      </c>
      <c r="S287">
        <v>92</v>
      </c>
      <c r="T287" t="s">
        <v>4789</v>
      </c>
      <c r="U287">
        <v>1</v>
      </c>
      <c r="V287">
        <v>92</v>
      </c>
      <c r="W287" t="s">
        <v>4343</v>
      </c>
      <c r="Y287" t="b">
        <v>1</v>
      </c>
      <c r="Z287" t="b">
        <v>0</v>
      </c>
      <c r="AA287">
        <v>92</v>
      </c>
      <c r="AB287">
        <v>0</v>
      </c>
      <c r="AD287" t="b">
        <v>0</v>
      </c>
      <c r="AG287" s="1" t="s">
        <v>304</v>
      </c>
      <c r="AH287" s="1" t="s">
        <v>305</v>
      </c>
      <c r="AI287">
        <v>101</v>
      </c>
      <c r="AJ287">
        <v>124</v>
      </c>
      <c r="AK287" s="106">
        <v>45475.635497222225</v>
      </c>
      <c r="AL287" s="1" t="s">
        <v>4790</v>
      </c>
      <c r="AM287" s="42">
        <f>IFERROR(INDEX('Public procurment'!A:R,MATCH(ListOfExpenditure[[#This Row],[Content.contractId]],'Public procurment'!E:E,0),14),0)</f>
        <v>92</v>
      </c>
      <c r="AN287" s="2">
        <f>IF(AND(ListOfExpenditure[[#This Row],[Contract amount]]&gt;10000,ListOfExpenditure[[#This Row],[Content.declaredAmount]]&gt;2000),1,0)</f>
        <v>0</v>
      </c>
      <c r="AO287">
        <f>IFERROR(INDEX('Public procurment'!A:S,MATCH(ListOfExpenditure[[#This Row],[Content.contractId]],'Public procurment'!E:E,0),19),0)</f>
        <v>1</v>
      </c>
      <c r="AP287">
        <f>IF(ListOfExpenditure[[#This Row],[Numero di volte controllato il contract ]]&gt;0,0,ListOfExpenditure[[#This Row],[IF public procurment &gt;10000;1;0]])</f>
        <v>0</v>
      </c>
    </row>
    <row r="288" spans="1:42" x14ac:dyDescent="0.25">
      <c r="A288">
        <v>1090</v>
      </c>
      <c r="B288">
        <v>4</v>
      </c>
      <c r="E288" t="s">
        <v>4798</v>
      </c>
      <c r="F288" t="b">
        <v>0</v>
      </c>
      <c r="H288">
        <v>164</v>
      </c>
      <c r="I288" t="s">
        <v>5066</v>
      </c>
      <c r="J288" t="s">
        <v>5067</v>
      </c>
      <c r="K288" t="s">
        <v>4939</v>
      </c>
      <c r="L288" t="s">
        <v>4932</v>
      </c>
      <c r="M288" t="s">
        <v>4788</v>
      </c>
      <c r="N288" t="s">
        <v>4788</v>
      </c>
      <c r="O288">
        <v>120</v>
      </c>
      <c r="P288">
        <v>0</v>
      </c>
      <c r="Q288">
        <v>0</v>
      </c>
      <c r="R288">
        <v>0</v>
      </c>
      <c r="S288">
        <v>120</v>
      </c>
      <c r="T288" t="s">
        <v>4789</v>
      </c>
      <c r="U288">
        <v>1</v>
      </c>
      <c r="V288">
        <v>120</v>
      </c>
      <c r="W288" t="s">
        <v>4343</v>
      </c>
      <c r="Y288" t="b">
        <v>1</v>
      </c>
      <c r="Z288" t="b">
        <v>0</v>
      </c>
      <c r="AA288">
        <v>120</v>
      </c>
      <c r="AB288">
        <v>0</v>
      </c>
      <c r="AD288" t="b">
        <v>0</v>
      </c>
      <c r="AG288" s="1" t="s">
        <v>304</v>
      </c>
      <c r="AH288" s="1" t="s">
        <v>305</v>
      </c>
      <c r="AI288">
        <v>101</v>
      </c>
      <c r="AJ288">
        <v>124</v>
      </c>
      <c r="AK288" s="106">
        <v>45475.635497222225</v>
      </c>
      <c r="AL288" s="1" t="s">
        <v>4790</v>
      </c>
      <c r="AM288" s="42">
        <f>IFERROR(INDEX('Public procurment'!A:R,MATCH(ListOfExpenditure[[#This Row],[Content.contractId]],'Public procurment'!E:E,0),14),0)</f>
        <v>120</v>
      </c>
      <c r="AN288" s="2">
        <f>IF(AND(ListOfExpenditure[[#This Row],[Contract amount]]&gt;10000,ListOfExpenditure[[#This Row],[Content.declaredAmount]]&gt;2000),1,0)</f>
        <v>0</v>
      </c>
      <c r="AO288">
        <f>IFERROR(INDEX('Public procurment'!A:S,MATCH(ListOfExpenditure[[#This Row],[Content.contractId]],'Public procurment'!E:E,0),19),0)</f>
        <v>1</v>
      </c>
      <c r="AP288">
        <f>IF(ListOfExpenditure[[#This Row],[Numero di volte controllato il contract ]]&gt;0,0,ListOfExpenditure[[#This Row],[IF public procurment &gt;10000;1;0]])</f>
        <v>0</v>
      </c>
    </row>
    <row r="289" spans="1:42" x14ac:dyDescent="0.25">
      <c r="A289">
        <v>1092</v>
      </c>
      <c r="B289">
        <v>5</v>
      </c>
      <c r="E289" t="s">
        <v>4798</v>
      </c>
      <c r="F289" t="b">
        <v>0</v>
      </c>
      <c r="H289">
        <v>165</v>
      </c>
      <c r="I289" t="s">
        <v>5068</v>
      </c>
      <c r="J289" t="s">
        <v>5069</v>
      </c>
      <c r="K289" t="s">
        <v>5070</v>
      </c>
      <c r="L289" t="s">
        <v>4917</v>
      </c>
      <c r="M289" t="s">
        <v>4788</v>
      </c>
      <c r="N289" t="s">
        <v>4788</v>
      </c>
      <c r="O289">
        <v>1300</v>
      </c>
      <c r="P289">
        <v>0</v>
      </c>
      <c r="Q289">
        <v>0</v>
      </c>
      <c r="R289">
        <v>0</v>
      </c>
      <c r="S289">
        <v>1300</v>
      </c>
      <c r="T289" t="s">
        <v>4789</v>
      </c>
      <c r="U289">
        <v>1</v>
      </c>
      <c r="V289">
        <v>1300</v>
      </c>
      <c r="W289" t="s">
        <v>4343</v>
      </c>
      <c r="Y289" t="b">
        <v>1</v>
      </c>
      <c r="Z289" t="b">
        <v>0</v>
      </c>
      <c r="AA289">
        <v>1300</v>
      </c>
      <c r="AB289">
        <v>0</v>
      </c>
      <c r="AD289" t="b">
        <v>0</v>
      </c>
      <c r="AG289" s="1" t="s">
        <v>304</v>
      </c>
      <c r="AH289" s="1" t="s">
        <v>305</v>
      </c>
      <c r="AI289">
        <v>101</v>
      </c>
      <c r="AJ289">
        <v>124</v>
      </c>
      <c r="AK289" s="106">
        <v>45475.635497222225</v>
      </c>
      <c r="AL289" s="1" t="s">
        <v>4790</v>
      </c>
      <c r="AM289" s="42">
        <f>IFERROR(INDEX('Public procurment'!A:R,MATCH(ListOfExpenditure[[#This Row],[Content.contractId]],'Public procurment'!E:E,0),14),0)</f>
        <v>1300</v>
      </c>
      <c r="AN289" s="2">
        <f>IF(AND(ListOfExpenditure[[#This Row],[Contract amount]]&gt;10000,ListOfExpenditure[[#This Row],[Content.declaredAmount]]&gt;2000),1,0)</f>
        <v>0</v>
      </c>
      <c r="AO289">
        <f>IFERROR(INDEX('Public procurment'!A:S,MATCH(ListOfExpenditure[[#This Row],[Content.contractId]],'Public procurment'!E:E,0),19),0)</f>
        <v>1</v>
      </c>
      <c r="AP289">
        <f>IF(ListOfExpenditure[[#This Row],[Numero di volte controllato il contract ]]&gt;0,0,ListOfExpenditure[[#This Row],[IF public procurment &gt;10000;1;0]])</f>
        <v>0</v>
      </c>
    </row>
    <row r="290" spans="1:42" x14ac:dyDescent="0.25">
      <c r="A290">
        <v>1093</v>
      </c>
      <c r="B290">
        <v>6</v>
      </c>
      <c r="E290" t="s">
        <v>4798</v>
      </c>
      <c r="F290" t="b">
        <v>0</v>
      </c>
      <c r="H290">
        <v>166</v>
      </c>
      <c r="I290" t="s">
        <v>5071</v>
      </c>
      <c r="J290" t="s">
        <v>212</v>
      </c>
      <c r="M290" t="s">
        <v>4788</v>
      </c>
      <c r="N290" t="s">
        <v>4788</v>
      </c>
      <c r="O290">
        <v>286</v>
      </c>
      <c r="P290">
        <v>51.57</v>
      </c>
      <c r="Q290">
        <v>0</v>
      </c>
      <c r="R290">
        <v>0</v>
      </c>
      <c r="S290">
        <v>286</v>
      </c>
      <c r="T290" t="s">
        <v>4789</v>
      </c>
      <c r="U290">
        <v>1</v>
      </c>
      <c r="V290">
        <v>286</v>
      </c>
      <c r="W290" t="s">
        <v>4343</v>
      </c>
      <c r="Y290" t="b">
        <v>1</v>
      </c>
      <c r="Z290" t="b">
        <v>0</v>
      </c>
      <c r="AA290">
        <v>286</v>
      </c>
      <c r="AB290">
        <v>0</v>
      </c>
      <c r="AD290" t="b">
        <v>0</v>
      </c>
      <c r="AG290" s="1" t="s">
        <v>304</v>
      </c>
      <c r="AH290" s="1" t="s">
        <v>305</v>
      </c>
      <c r="AI290">
        <v>101</v>
      </c>
      <c r="AJ290">
        <v>124</v>
      </c>
      <c r="AK290" s="106">
        <v>45475.635497222225</v>
      </c>
      <c r="AL290" s="1" t="s">
        <v>4790</v>
      </c>
      <c r="AM290" s="42">
        <f>IFERROR(INDEX('Public procurment'!A:R,MATCH(ListOfExpenditure[[#This Row],[Content.contractId]],'Public procurment'!E:E,0),14),0)</f>
        <v>286</v>
      </c>
      <c r="AN290" s="2">
        <f>IF(AND(ListOfExpenditure[[#This Row],[Contract amount]]&gt;10000,ListOfExpenditure[[#This Row],[Content.declaredAmount]]&gt;2000),1,0)</f>
        <v>0</v>
      </c>
      <c r="AO290">
        <f>IFERROR(INDEX('Public procurment'!A:S,MATCH(ListOfExpenditure[[#This Row],[Content.contractId]],'Public procurment'!E:E,0),19),0)</f>
        <v>1</v>
      </c>
      <c r="AP290">
        <f>IF(ListOfExpenditure[[#This Row],[Numero di volte controllato il contract ]]&gt;0,0,ListOfExpenditure[[#This Row],[IF public procurment &gt;10000;1;0]])</f>
        <v>0</v>
      </c>
    </row>
    <row r="291" spans="1:42" x14ac:dyDescent="0.25">
      <c r="A291">
        <v>1095</v>
      </c>
      <c r="B291">
        <v>7</v>
      </c>
      <c r="E291" t="s">
        <v>4798</v>
      </c>
      <c r="F291" t="b">
        <v>0</v>
      </c>
      <c r="H291">
        <v>167</v>
      </c>
      <c r="I291" t="s">
        <v>5072</v>
      </c>
      <c r="J291" t="s">
        <v>5073</v>
      </c>
      <c r="K291" t="s">
        <v>5074</v>
      </c>
      <c r="L291" t="s">
        <v>4885</v>
      </c>
      <c r="M291" t="s">
        <v>4788</v>
      </c>
      <c r="N291" t="s">
        <v>4788</v>
      </c>
      <c r="O291">
        <v>800</v>
      </c>
      <c r="P291">
        <v>0</v>
      </c>
      <c r="Q291">
        <v>0</v>
      </c>
      <c r="R291">
        <v>0</v>
      </c>
      <c r="S291">
        <v>800</v>
      </c>
      <c r="T291" t="s">
        <v>4789</v>
      </c>
      <c r="U291">
        <v>1</v>
      </c>
      <c r="V291">
        <v>800</v>
      </c>
      <c r="W291" t="s">
        <v>4343</v>
      </c>
      <c r="Y291" t="b">
        <v>1</v>
      </c>
      <c r="Z291" t="b">
        <v>0</v>
      </c>
      <c r="AA291">
        <v>800</v>
      </c>
      <c r="AB291">
        <v>0</v>
      </c>
      <c r="AD291" t="b">
        <v>0</v>
      </c>
      <c r="AG291" s="1" t="s">
        <v>304</v>
      </c>
      <c r="AH291" s="1" t="s">
        <v>305</v>
      </c>
      <c r="AI291">
        <v>101</v>
      </c>
      <c r="AJ291">
        <v>124</v>
      </c>
      <c r="AK291" s="106">
        <v>45475.635497222225</v>
      </c>
      <c r="AL291" s="1" t="s">
        <v>4790</v>
      </c>
      <c r="AM291" s="42">
        <f>IFERROR(INDEX('Public procurment'!A:R,MATCH(ListOfExpenditure[[#This Row],[Content.contractId]],'Public procurment'!E:E,0),14),0)</f>
        <v>800</v>
      </c>
      <c r="AN291" s="2">
        <f>IF(AND(ListOfExpenditure[[#This Row],[Contract amount]]&gt;10000,ListOfExpenditure[[#This Row],[Content.declaredAmount]]&gt;2000),1,0)</f>
        <v>0</v>
      </c>
      <c r="AO291">
        <f>IFERROR(INDEX('Public procurment'!A:S,MATCH(ListOfExpenditure[[#This Row],[Content.contractId]],'Public procurment'!E:E,0),19),0)</f>
        <v>1</v>
      </c>
      <c r="AP291">
        <f>IF(ListOfExpenditure[[#This Row],[Numero di volte controllato il contract ]]&gt;0,0,ListOfExpenditure[[#This Row],[IF public procurment &gt;10000;1;0]])</f>
        <v>0</v>
      </c>
    </row>
    <row r="292" spans="1:42" x14ac:dyDescent="0.25">
      <c r="A292">
        <v>1096</v>
      </c>
      <c r="B292">
        <v>8</v>
      </c>
      <c r="E292" t="s">
        <v>4798</v>
      </c>
      <c r="F292" t="b">
        <v>0</v>
      </c>
      <c r="H292">
        <v>168</v>
      </c>
      <c r="I292" t="s">
        <v>5075</v>
      </c>
      <c r="J292" t="s">
        <v>5076</v>
      </c>
      <c r="K292" t="s">
        <v>5077</v>
      </c>
      <c r="L292" t="s">
        <v>4932</v>
      </c>
      <c r="M292" t="s">
        <v>4788</v>
      </c>
      <c r="N292" t="s">
        <v>4788</v>
      </c>
      <c r="O292">
        <v>392</v>
      </c>
      <c r="P292">
        <v>44.49</v>
      </c>
      <c r="Q292">
        <v>0</v>
      </c>
      <c r="R292">
        <v>0</v>
      </c>
      <c r="S292">
        <v>392</v>
      </c>
      <c r="T292" t="s">
        <v>4789</v>
      </c>
      <c r="U292">
        <v>1</v>
      </c>
      <c r="V292">
        <v>392</v>
      </c>
      <c r="W292" t="s">
        <v>4343</v>
      </c>
      <c r="Y292" t="b">
        <v>1</v>
      </c>
      <c r="Z292" t="b">
        <v>0</v>
      </c>
      <c r="AA292">
        <v>392</v>
      </c>
      <c r="AB292">
        <v>0</v>
      </c>
      <c r="AD292" t="b">
        <v>0</v>
      </c>
      <c r="AG292" s="1" t="s">
        <v>304</v>
      </c>
      <c r="AH292" s="1" t="s">
        <v>305</v>
      </c>
      <c r="AI292">
        <v>101</v>
      </c>
      <c r="AJ292">
        <v>124</v>
      </c>
      <c r="AK292" s="106">
        <v>45475.635497222225</v>
      </c>
      <c r="AL292" s="1" t="s">
        <v>4790</v>
      </c>
      <c r="AM292" s="42">
        <f>IFERROR(INDEX('Public procurment'!A:R,MATCH(ListOfExpenditure[[#This Row],[Content.contractId]],'Public procurment'!E:E,0),14),0)</f>
        <v>392</v>
      </c>
      <c r="AN292" s="2">
        <f>IF(AND(ListOfExpenditure[[#This Row],[Contract amount]]&gt;10000,ListOfExpenditure[[#This Row],[Content.declaredAmount]]&gt;2000),1,0)</f>
        <v>0</v>
      </c>
      <c r="AO292">
        <f>IFERROR(INDEX('Public procurment'!A:S,MATCH(ListOfExpenditure[[#This Row],[Content.contractId]],'Public procurment'!E:E,0),19),0)</f>
        <v>1</v>
      </c>
      <c r="AP292">
        <f>IF(ListOfExpenditure[[#This Row],[Numero di volte controllato il contract ]]&gt;0,0,ListOfExpenditure[[#This Row],[IF public procurment &gt;10000;1;0]])</f>
        <v>0</v>
      </c>
    </row>
    <row r="293" spans="1:42" x14ac:dyDescent="0.25">
      <c r="A293">
        <v>1098</v>
      </c>
      <c r="B293">
        <v>9</v>
      </c>
      <c r="E293" t="s">
        <v>4798</v>
      </c>
      <c r="F293" t="b">
        <v>0</v>
      </c>
      <c r="H293">
        <v>169</v>
      </c>
      <c r="I293" t="s">
        <v>5078</v>
      </c>
      <c r="J293" t="s">
        <v>5079</v>
      </c>
      <c r="K293" t="s">
        <v>4925</v>
      </c>
      <c r="L293" t="s">
        <v>4886</v>
      </c>
      <c r="M293" t="s">
        <v>4788</v>
      </c>
      <c r="N293" t="s">
        <v>4788</v>
      </c>
      <c r="O293">
        <v>115.9</v>
      </c>
      <c r="P293">
        <v>20.9</v>
      </c>
      <c r="Q293">
        <v>0</v>
      </c>
      <c r="R293">
        <v>0</v>
      </c>
      <c r="S293">
        <v>115.9</v>
      </c>
      <c r="T293" t="s">
        <v>4789</v>
      </c>
      <c r="U293">
        <v>1</v>
      </c>
      <c r="V293">
        <v>115.9</v>
      </c>
      <c r="W293" t="s">
        <v>4343</v>
      </c>
      <c r="Y293" t="b">
        <v>1</v>
      </c>
      <c r="Z293" t="b">
        <v>0</v>
      </c>
      <c r="AA293">
        <v>115.9</v>
      </c>
      <c r="AB293">
        <v>0</v>
      </c>
      <c r="AD293" t="b">
        <v>0</v>
      </c>
      <c r="AG293" s="1" t="s">
        <v>304</v>
      </c>
      <c r="AH293" s="1" t="s">
        <v>305</v>
      </c>
      <c r="AI293">
        <v>101</v>
      </c>
      <c r="AJ293">
        <v>124</v>
      </c>
      <c r="AK293" s="106">
        <v>45475.635497222225</v>
      </c>
      <c r="AL293" s="1" t="s">
        <v>4790</v>
      </c>
      <c r="AM293" s="42">
        <f>IFERROR(INDEX('Public procurment'!A:R,MATCH(ListOfExpenditure[[#This Row],[Content.contractId]],'Public procurment'!E:E,0),14),0)</f>
        <v>115.9</v>
      </c>
      <c r="AN293" s="2">
        <f>IF(AND(ListOfExpenditure[[#This Row],[Contract amount]]&gt;10000,ListOfExpenditure[[#This Row],[Content.declaredAmount]]&gt;2000),1,0)</f>
        <v>0</v>
      </c>
      <c r="AO293">
        <f>IFERROR(INDEX('Public procurment'!A:S,MATCH(ListOfExpenditure[[#This Row],[Content.contractId]],'Public procurment'!E:E,0),19),0)</f>
        <v>1</v>
      </c>
      <c r="AP293">
        <f>IF(ListOfExpenditure[[#This Row],[Numero di volte controllato il contract ]]&gt;0,0,ListOfExpenditure[[#This Row],[IF public procurment &gt;10000;1;0]])</f>
        <v>0</v>
      </c>
    </row>
    <row r="294" spans="1:42" x14ac:dyDescent="0.25">
      <c r="A294">
        <v>1099</v>
      </c>
      <c r="B294">
        <v>10</v>
      </c>
      <c r="E294" t="s">
        <v>4798</v>
      </c>
      <c r="F294" t="b">
        <v>0</v>
      </c>
      <c r="H294">
        <v>170</v>
      </c>
      <c r="I294" t="s">
        <v>5080</v>
      </c>
      <c r="J294" t="s">
        <v>5081</v>
      </c>
      <c r="K294" t="s">
        <v>5082</v>
      </c>
      <c r="L294" t="s">
        <v>4569</v>
      </c>
      <c r="M294" t="s">
        <v>4788</v>
      </c>
      <c r="N294" t="s">
        <v>4788</v>
      </c>
      <c r="O294">
        <v>375.64</v>
      </c>
      <c r="P294">
        <v>67.739999999999995</v>
      </c>
      <c r="Q294">
        <v>0</v>
      </c>
      <c r="R294">
        <v>0</v>
      </c>
      <c r="S294">
        <v>375.64</v>
      </c>
      <c r="T294" t="s">
        <v>4789</v>
      </c>
      <c r="U294">
        <v>1</v>
      </c>
      <c r="V294">
        <v>375.64</v>
      </c>
      <c r="W294" t="s">
        <v>4343</v>
      </c>
      <c r="Y294" t="b">
        <v>1</v>
      </c>
      <c r="Z294" t="b">
        <v>0</v>
      </c>
      <c r="AA294">
        <v>375.64</v>
      </c>
      <c r="AB294">
        <v>0</v>
      </c>
      <c r="AD294" t="b">
        <v>0</v>
      </c>
      <c r="AG294" s="1" t="s">
        <v>304</v>
      </c>
      <c r="AH294" s="1" t="s">
        <v>305</v>
      </c>
      <c r="AI294">
        <v>101</v>
      </c>
      <c r="AJ294">
        <v>124</v>
      </c>
      <c r="AK294" s="106">
        <v>45475.635497222225</v>
      </c>
      <c r="AL294" s="1" t="s">
        <v>4790</v>
      </c>
      <c r="AM294" s="42">
        <f>IFERROR(INDEX('Public procurment'!A:R,MATCH(ListOfExpenditure[[#This Row],[Content.contractId]],'Public procurment'!E:E,0),14),0)</f>
        <v>375.64</v>
      </c>
      <c r="AN294" s="2">
        <f>IF(AND(ListOfExpenditure[[#This Row],[Contract amount]]&gt;10000,ListOfExpenditure[[#This Row],[Content.declaredAmount]]&gt;2000),1,0)</f>
        <v>0</v>
      </c>
      <c r="AO294">
        <f>IFERROR(INDEX('Public procurment'!A:S,MATCH(ListOfExpenditure[[#This Row],[Content.contractId]],'Public procurment'!E:E,0),19),0)</f>
        <v>1</v>
      </c>
      <c r="AP294">
        <f>IF(ListOfExpenditure[[#This Row],[Numero di volte controllato il contract ]]&gt;0,0,ListOfExpenditure[[#This Row],[IF public procurment &gt;10000;1;0]])</f>
        <v>0</v>
      </c>
    </row>
    <row r="295" spans="1:42" x14ac:dyDescent="0.25">
      <c r="A295">
        <v>2033</v>
      </c>
      <c r="B295">
        <v>1</v>
      </c>
      <c r="E295" t="s">
        <v>4786</v>
      </c>
      <c r="F295" t="b">
        <v>0</v>
      </c>
      <c r="I295" t="s">
        <v>212</v>
      </c>
      <c r="M295" t="s">
        <v>4788</v>
      </c>
      <c r="N295" t="s">
        <v>4788</v>
      </c>
      <c r="O295">
        <v>0</v>
      </c>
      <c r="Q295">
        <v>0</v>
      </c>
      <c r="R295">
        <v>0</v>
      </c>
      <c r="S295">
        <v>0</v>
      </c>
      <c r="T295" t="s">
        <v>4789</v>
      </c>
      <c r="U295">
        <v>1</v>
      </c>
      <c r="V295">
        <v>0</v>
      </c>
      <c r="Y295" t="b">
        <v>0</v>
      </c>
      <c r="Z295" t="b">
        <v>0</v>
      </c>
      <c r="AA295">
        <v>0</v>
      </c>
      <c r="AB295">
        <v>0</v>
      </c>
      <c r="AD295" t="b">
        <v>0</v>
      </c>
      <c r="AG295" s="1" t="s">
        <v>304</v>
      </c>
      <c r="AH295" s="1" t="s">
        <v>306</v>
      </c>
      <c r="AI295">
        <v>105</v>
      </c>
      <c r="AJ295">
        <v>330</v>
      </c>
      <c r="AK295" s="106">
        <v>45475.635534976849</v>
      </c>
      <c r="AL295" s="1" t="s">
        <v>4790</v>
      </c>
      <c r="AM295" s="42">
        <f>IFERROR(INDEX('Public procurment'!A:R,MATCH(ListOfExpenditure[[#This Row],[Content.contractId]],'Public procurment'!E:E,0),14),0)</f>
        <v>0</v>
      </c>
      <c r="AN295" s="2">
        <f>IF(AND(ListOfExpenditure[[#This Row],[Contract amount]]&gt;10000,ListOfExpenditure[[#This Row],[Content.declaredAmount]]&gt;2000),1,0)</f>
        <v>0</v>
      </c>
      <c r="AO295">
        <f>IFERROR(INDEX('Public procurment'!A:S,MATCH(ListOfExpenditure[[#This Row],[Content.contractId]],'Public procurment'!E:E,0),19),0)</f>
        <v>0</v>
      </c>
      <c r="AP295">
        <f>IF(ListOfExpenditure[[#This Row],[Numero di volte controllato il contract ]]&gt;0,0,ListOfExpenditure[[#This Row],[IF public procurment &gt;10000;1;0]])</f>
        <v>0</v>
      </c>
    </row>
    <row r="296" spans="1:42" x14ac:dyDescent="0.25">
      <c r="A296">
        <v>1585</v>
      </c>
      <c r="B296">
        <v>1</v>
      </c>
      <c r="E296" t="s">
        <v>4786</v>
      </c>
      <c r="F296" t="b">
        <v>0</v>
      </c>
      <c r="I296" t="s">
        <v>5083</v>
      </c>
      <c r="M296" t="s">
        <v>4788</v>
      </c>
      <c r="N296" t="s">
        <v>4788</v>
      </c>
      <c r="O296">
        <v>3925.98</v>
      </c>
      <c r="Q296">
        <v>0</v>
      </c>
      <c r="R296">
        <v>0</v>
      </c>
      <c r="S296">
        <v>3925.98</v>
      </c>
      <c r="T296" t="s">
        <v>4789</v>
      </c>
      <c r="U296">
        <v>1</v>
      </c>
      <c r="V296">
        <v>3925.98</v>
      </c>
      <c r="W296" t="s">
        <v>4343</v>
      </c>
      <c r="Y296" t="b">
        <v>1</v>
      </c>
      <c r="Z296" t="b">
        <v>0</v>
      </c>
      <c r="AA296">
        <v>3925.98</v>
      </c>
      <c r="AB296">
        <v>0</v>
      </c>
      <c r="AD296" t="b">
        <v>0</v>
      </c>
      <c r="AG296" s="1" t="s">
        <v>304</v>
      </c>
      <c r="AH296" s="1" t="s">
        <v>307</v>
      </c>
      <c r="AI296">
        <v>171</v>
      </c>
      <c r="AJ296">
        <v>273</v>
      </c>
      <c r="AK296" s="106">
        <v>45475.635487881947</v>
      </c>
      <c r="AL296" s="1" t="s">
        <v>4790</v>
      </c>
      <c r="AM296" s="42">
        <f>IFERROR(INDEX('Public procurment'!A:R,MATCH(ListOfExpenditure[[#This Row],[Content.contractId]],'Public procurment'!E:E,0),14),0)</f>
        <v>0</v>
      </c>
      <c r="AN296" s="2">
        <f>IF(AND(ListOfExpenditure[[#This Row],[Contract amount]]&gt;10000,ListOfExpenditure[[#This Row],[Content.declaredAmount]]&gt;2000),1,0)</f>
        <v>0</v>
      </c>
      <c r="AO296">
        <f>IFERROR(INDEX('Public procurment'!A:S,MATCH(ListOfExpenditure[[#This Row],[Content.contractId]],'Public procurment'!E:E,0),19),0)</f>
        <v>0</v>
      </c>
      <c r="AP296">
        <f>IF(ListOfExpenditure[[#This Row],[Numero di volte controllato il contract ]]&gt;0,0,ListOfExpenditure[[#This Row],[IF public procurment &gt;10000;1;0]])</f>
        <v>0</v>
      </c>
    </row>
    <row r="297" spans="1:42" x14ac:dyDescent="0.25">
      <c r="A297">
        <v>1586</v>
      </c>
      <c r="B297">
        <v>2</v>
      </c>
      <c r="E297" t="s">
        <v>4786</v>
      </c>
      <c r="F297" t="b">
        <v>0</v>
      </c>
      <c r="I297" t="s">
        <v>5084</v>
      </c>
      <c r="M297" t="s">
        <v>4788</v>
      </c>
      <c r="N297" t="s">
        <v>4788</v>
      </c>
      <c r="O297">
        <v>1482.21</v>
      </c>
      <c r="Q297">
        <v>0</v>
      </c>
      <c r="R297">
        <v>0</v>
      </c>
      <c r="S297">
        <v>1482.21</v>
      </c>
      <c r="T297" t="s">
        <v>4789</v>
      </c>
      <c r="U297">
        <v>1</v>
      </c>
      <c r="V297">
        <v>1482.21</v>
      </c>
      <c r="W297" t="s">
        <v>4343</v>
      </c>
      <c r="Y297" t="b">
        <v>1</v>
      </c>
      <c r="Z297" t="b">
        <v>0</v>
      </c>
      <c r="AA297">
        <v>1482.21</v>
      </c>
      <c r="AB297">
        <v>0</v>
      </c>
      <c r="AD297" t="b">
        <v>0</v>
      </c>
      <c r="AG297" s="1" t="s">
        <v>304</v>
      </c>
      <c r="AH297" s="1" t="s">
        <v>307</v>
      </c>
      <c r="AI297">
        <v>171</v>
      </c>
      <c r="AJ297">
        <v>273</v>
      </c>
      <c r="AK297" s="106">
        <v>45475.635487881947</v>
      </c>
      <c r="AL297" s="1" t="s">
        <v>4790</v>
      </c>
      <c r="AM297" s="42">
        <f>IFERROR(INDEX('Public procurment'!A:R,MATCH(ListOfExpenditure[[#This Row],[Content.contractId]],'Public procurment'!E:E,0),14),0)</f>
        <v>0</v>
      </c>
      <c r="AN297" s="2">
        <f>IF(AND(ListOfExpenditure[[#This Row],[Contract amount]]&gt;10000,ListOfExpenditure[[#This Row],[Content.declaredAmount]]&gt;2000),1,0)</f>
        <v>0</v>
      </c>
      <c r="AO297">
        <f>IFERROR(INDEX('Public procurment'!A:S,MATCH(ListOfExpenditure[[#This Row],[Content.contractId]],'Public procurment'!E:E,0),19),0)</f>
        <v>0</v>
      </c>
      <c r="AP297">
        <f>IF(ListOfExpenditure[[#This Row],[Numero di volte controllato il contract ]]&gt;0,0,ListOfExpenditure[[#This Row],[IF public procurment &gt;10000;1;0]])</f>
        <v>0</v>
      </c>
    </row>
    <row r="298" spans="1:42" x14ac:dyDescent="0.25">
      <c r="A298">
        <v>1518</v>
      </c>
      <c r="B298">
        <v>1</v>
      </c>
      <c r="E298" t="s">
        <v>4798</v>
      </c>
      <c r="F298" t="b">
        <v>0</v>
      </c>
      <c r="H298">
        <v>218</v>
      </c>
      <c r="I298" t="s">
        <v>212</v>
      </c>
      <c r="J298" t="s">
        <v>212</v>
      </c>
      <c r="M298" t="s">
        <v>4788</v>
      </c>
      <c r="N298" t="s">
        <v>4788</v>
      </c>
      <c r="O298">
        <v>0</v>
      </c>
      <c r="P298">
        <v>0</v>
      </c>
      <c r="Q298">
        <v>0</v>
      </c>
      <c r="R298">
        <v>0</v>
      </c>
      <c r="S298">
        <v>0</v>
      </c>
      <c r="T298" t="s">
        <v>4789</v>
      </c>
      <c r="U298">
        <v>1</v>
      </c>
      <c r="V298">
        <v>0</v>
      </c>
      <c r="Y298" t="b">
        <v>0</v>
      </c>
      <c r="Z298" t="b">
        <v>0</v>
      </c>
      <c r="AA298">
        <v>0</v>
      </c>
      <c r="AB298">
        <v>0</v>
      </c>
      <c r="AD298" t="b">
        <v>0</v>
      </c>
      <c r="AG298" s="1" t="s">
        <v>304</v>
      </c>
      <c r="AH298" s="1" t="s">
        <v>308</v>
      </c>
      <c r="AI298">
        <v>114</v>
      </c>
      <c r="AJ298">
        <v>194</v>
      </c>
      <c r="AK298" s="106">
        <v>45475.635495613424</v>
      </c>
      <c r="AL298" s="1" t="s">
        <v>4790</v>
      </c>
      <c r="AM298" s="42">
        <f>IFERROR(INDEX('Public procurment'!A:R,MATCH(ListOfExpenditure[[#This Row],[Content.contractId]],'Public procurment'!E:E,0),14),0)</f>
        <v>24300.54</v>
      </c>
      <c r="AN298" s="2">
        <f>IF(AND(ListOfExpenditure[[#This Row],[Contract amount]]&gt;10000,ListOfExpenditure[[#This Row],[Content.declaredAmount]]&gt;2000),1,0)</f>
        <v>0</v>
      </c>
      <c r="AO298">
        <f>IFERROR(INDEX('Public procurment'!A:S,MATCH(ListOfExpenditure[[#This Row],[Content.contractId]],'Public procurment'!E:E,0),19),0)</f>
        <v>0</v>
      </c>
      <c r="AP298">
        <f>IF(ListOfExpenditure[[#This Row],[Numero di volte controllato il contract ]]&gt;0,0,ListOfExpenditure[[#This Row],[IF public procurment &gt;10000;1;0]])</f>
        <v>0</v>
      </c>
    </row>
    <row r="299" spans="1:42" x14ac:dyDescent="0.25">
      <c r="A299">
        <v>1747</v>
      </c>
      <c r="B299">
        <v>1</v>
      </c>
      <c r="E299" t="s">
        <v>4786</v>
      </c>
      <c r="F299" t="b">
        <v>0</v>
      </c>
      <c r="I299" t="s">
        <v>5717</v>
      </c>
      <c r="K299" t="s">
        <v>4957</v>
      </c>
      <c r="L299" t="s">
        <v>4957</v>
      </c>
      <c r="M299" t="s">
        <v>4788</v>
      </c>
      <c r="N299" t="s">
        <v>4788</v>
      </c>
      <c r="O299">
        <v>3787.28</v>
      </c>
      <c r="Q299">
        <v>0</v>
      </c>
      <c r="R299">
        <v>0</v>
      </c>
      <c r="S299">
        <v>1893.64</v>
      </c>
      <c r="T299" t="s">
        <v>4789</v>
      </c>
      <c r="U299">
        <v>1</v>
      </c>
      <c r="V299">
        <v>1893.64</v>
      </c>
      <c r="W299" t="s">
        <v>4343</v>
      </c>
      <c r="Y299" t="b">
        <v>1</v>
      </c>
      <c r="Z299" t="b">
        <v>0</v>
      </c>
      <c r="AA299">
        <v>1843.5</v>
      </c>
      <c r="AB299">
        <v>50.14</v>
      </c>
      <c r="AC299">
        <v>8</v>
      </c>
      <c r="AD299" t="b">
        <v>0</v>
      </c>
      <c r="AF299" t="s">
        <v>6152</v>
      </c>
      <c r="AG299" s="1" t="s">
        <v>304</v>
      </c>
      <c r="AH299" s="1" t="s">
        <v>309</v>
      </c>
      <c r="AI299">
        <v>103</v>
      </c>
      <c r="AJ299">
        <v>231</v>
      </c>
      <c r="AK299" s="106">
        <v>45475.635529988424</v>
      </c>
      <c r="AL299" s="1" t="s">
        <v>4790</v>
      </c>
      <c r="AM299" s="42">
        <f>IFERROR(INDEX('Public procurment'!A:R,MATCH(ListOfExpenditure[[#This Row],[Content.contractId]],'Public procurment'!E:E,0),14),0)</f>
        <v>0</v>
      </c>
      <c r="AN299" s="2">
        <f>IF(AND(ListOfExpenditure[[#This Row],[Contract amount]]&gt;10000,ListOfExpenditure[[#This Row],[Content.declaredAmount]]&gt;2000),1,0)</f>
        <v>0</v>
      </c>
      <c r="AO299">
        <f>IFERROR(INDEX('Public procurment'!A:S,MATCH(ListOfExpenditure[[#This Row],[Content.contractId]],'Public procurment'!E:E,0),19),0)</f>
        <v>0</v>
      </c>
      <c r="AP299">
        <f>IF(ListOfExpenditure[[#This Row],[Numero di volte controllato il contract ]]&gt;0,0,ListOfExpenditure[[#This Row],[IF public procurment &gt;10000;1;0]])</f>
        <v>0</v>
      </c>
    </row>
    <row r="300" spans="1:42" x14ac:dyDescent="0.25">
      <c r="A300">
        <v>1748</v>
      </c>
      <c r="B300">
        <v>2</v>
      </c>
      <c r="E300" t="s">
        <v>4786</v>
      </c>
      <c r="F300" t="b">
        <v>0</v>
      </c>
      <c r="I300" t="s">
        <v>5717</v>
      </c>
      <c r="K300" t="s">
        <v>4914</v>
      </c>
      <c r="L300" t="s">
        <v>4914</v>
      </c>
      <c r="M300" t="s">
        <v>4788</v>
      </c>
      <c r="N300" t="s">
        <v>4788</v>
      </c>
      <c r="O300">
        <v>3781.42</v>
      </c>
      <c r="Q300">
        <v>0</v>
      </c>
      <c r="R300">
        <v>0</v>
      </c>
      <c r="S300">
        <v>1890.71</v>
      </c>
      <c r="T300" t="s">
        <v>4789</v>
      </c>
      <c r="U300">
        <v>1</v>
      </c>
      <c r="V300">
        <v>1890.71</v>
      </c>
      <c r="W300" t="s">
        <v>4343</v>
      </c>
      <c r="Y300" t="b">
        <v>1</v>
      </c>
      <c r="Z300" t="b">
        <v>0</v>
      </c>
      <c r="AA300">
        <v>1840.57</v>
      </c>
      <c r="AB300">
        <v>50.14</v>
      </c>
      <c r="AC300">
        <v>8</v>
      </c>
      <c r="AD300" t="b">
        <v>0</v>
      </c>
      <c r="AF300" t="s">
        <v>6152</v>
      </c>
      <c r="AG300" s="1" t="s">
        <v>304</v>
      </c>
      <c r="AH300" s="1" t="s">
        <v>309</v>
      </c>
      <c r="AI300">
        <v>103</v>
      </c>
      <c r="AJ300">
        <v>231</v>
      </c>
      <c r="AK300" s="106">
        <v>45475.635529988424</v>
      </c>
      <c r="AL300" s="1" t="s">
        <v>4790</v>
      </c>
      <c r="AM300" s="42">
        <f>IFERROR(INDEX('Public procurment'!A:R,MATCH(ListOfExpenditure[[#This Row],[Content.contractId]],'Public procurment'!E:E,0),14),0)</f>
        <v>0</v>
      </c>
      <c r="AN300" s="2">
        <f>IF(AND(ListOfExpenditure[[#This Row],[Contract amount]]&gt;10000,ListOfExpenditure[[#This Row],[Content.declaredAmount]]&gt;2000),1,0)</f>
        <v>0</v>
      </c>
      <c r="AO300">
        <f>IFERROR(INDEX('Public procurment'!A:S,MATCH(ListOfExpenditure[[#This Row],[Content.contractId]],'Public procurment'!E:E,0),19),0)</f>
        <v>0</v>
      </c>
      <c r="AP300">
        <f>IF(ListOfExpenditure[[#This Row],[Numero di volte controllato il contract ]]&gt;0,0,ListOfExpenditure[[#This Row],[IF public procurment &gt;10000;1;0]])</f>
        <v>0</v>
      </c>
    </row>
    <row r="301" spans="1:42" x14ac:dyDescent="0.25">
      <c r="A301">
        <v>1749</v>
      </c>
      <c r="B301">
        <v>3</v>
      </c>
      <c r="E301" t="s">
        <v>4786</v>
      </c>
      <c r="F301" t="b">
        <v>0</v>
      </c>
      <c r="I301" t="s">
        <v>5717</v>
      </c>
      <c r="K301" t="s">
        <v>4959</v>
      </c>
      <c r="L301" t="s">
        <v>4959</v>
      </c>
      <c r="M301" t="s">
        <v>4788</v>
      </c>
      <c r="N301" t="s">
        <v>4788</v>
      </c>
      <c r="O301">
        <v>3737.93</v>
      </c>
      <c r="Q301">
        <v>0</v>
      </c>
      <c r="R301">
        <v>0</v>
      </c>
      <c r="S301">
        <v>1868.97</v>
      </c>
      <c r="T301" t="s">
        <v>4789</v>
      </c>
      <c r="U301">
        <v>1</v>
      </c>
      <c r="V301">
        <v>1868.97</v>
      </c>
      <c r="W301" t="s">
        <v>4343</v>
      </c>
      <c r="Y301" t="b">
        <v>1</v>
      </c>
      <c r="Z301" t="b">
        <v>0</v>
      </c>
      <c r="AA301">
        <v>1818.83</v>
      </c>
      <c r="AB301">
        <v>50.14</v>
      </c>
      <c r="AC301">
        <v>8</v>
      </c>
      <c r="AD301" t="b">
        <v>0</v>
      </c>
      <c r="AF301" t="s">
        <v>6152</v>
      </c>
      <c r="AG301" s="1" t="s">
        <v>304</v>
      </c>
      <c r="AH301" s="1" t="s">
        <v>309</v>
      </c>
      <c r="AI301">
        <v>103</v>
      </c>
      <c r="AJ301">
        <v>231</v>
      </c>
      <c r="AK301" s="106">
        <v>45475.635529988424</v>
      </c>
      <c r="AL301" s="1" t="s">
        <v>4790</v>
      </c>
      <c r="AM301" s="42">
        <f>IFERROR(INDEX('Public procurment'!A:R,MATCH(ListOfExpenditure[[#This Row],[Content.contractId]],'Public procurment'!E:E,0),14),0)</f>
        <v>0</v>
      </c>
      <c r="AN301" s="2">
        <f>IF(AND(ListOfExpenditure[[#This Row],[Contract amount]]&gt;10000,ListOfExpenditure[[#This Row],[Content.declaredAmount]]&gt;2000),1,0)</f>
        <v>0</v>
      </c>
      <c r="AO301">
        <f>IFERROR(INDEX('Public procurment'!A:S,MATCH(ListOfExpenditure[[#This Row],[Content.contractId]],'Public procurment'!E:E,0),19),0)</f>
        <v>0</v>
      </c>
      <c r="AP301">
        <f>IF(ListOfExpenditure[[#This Row],[Numero di volte controllato il contract ]]&gt;0,0,ListOfExpenditure[[#This Row],[IF public procurment &gt;10000;1;0]])</f>
        <v>0</v>
      </c>
    </row>
    <row r="302" spans="1:42" x14ac:dyDescent="0.25">
      <c r="A302">
        <v>1750</v>
      </c>
      <c r="B302">
        <v>4</v>
      </c>
      <c r="E302" t="s">
        <v>4786</v>
      </c>
      <c r="F302" t="b">
        <v>0</v>
      </c>
      <c r="I302" t="s">
        <v>5717</v>
      </c>
      <c r="K302" t="s">
        <v>4921</v>
      </c>
      <c r="L302" t="s">
        <v>4921</v>
      </c>
      <c r="M302" t="s">
        <v>4788</v>
      </c>
      <c r="N302" t="s">
        <v>4788</v>
      </c>
      <c r="O302">
        <v>4180.1899999999996</v>
      </c>
      <c r="Q302">
        <v>0</v>
      </c>
      <c r="R302">
        <v>0</v>
      </c>
      <c r="S302">
        <v>2090.09</v>
      </c>
      <c r="T302" t="s">
        <v>4789</v>
      </c>
      <c r="U302">
        <v>1</v>
      </c>
      <c r="V302">
        <v>2090.09</v>
      </c>
      <c r="W302" t="s">
        <v>4343</v>
      </c>
      <c r="Y302" t="b">
        <v>1</v>
      </c>
      <c r="Z302" t="b">
        <v>0</v>
      </c>
      <c r="AA302">
        <v>2039.6</v>
      </c>
      <c r="AB302">
        <v>50.49</v>
      </c>
      <c r="AC302">
        <v>8</v>
      </c>
      <c r="AD302" t="b">
        <v>0</v>
      </c>
      <c r="AF302" t="s">
        <v>6153</v>
      </c>
      <c r="AG302" s="1" t="s">
        <v>304</v>
      </c>
      <c r="AH302" s="1" t="s">
        <v>309</v>
      </c>
      <c r="AI302">
        <v>103</v>
      </c>
      <c r="AJ302">
        <v>231</v>
      </c>
      <c r="AK302" s="106">
        <v>45475.635529988424</v>
      </c>
      <c r="AL302" s="1" t="s">
        <v>4790</v>
      </c>
      <c r="AM302" s="42">
        <f>IFERROR(INDEX('Public procurment'!A:R,MATCH(ListOfExpenditure[[#This Row],[Content.contractId]],'Public procurment'!E:E,0),14),0)</f>
        <v>0</v>
      </c>
      <c r="AN302" s="2">
        <f>IF(AND(ListOfExpenditure[[#This Row],[Contract amount]]&gt;10000,ListOfExpenditure[[#This Row],[Content.declaredAmount]]&gt;2000),1,0)</f>
        <v>0</v>
      </c>
      <c r="AO302">
        <f>IFERROR(INDEX('Public procurment'!A:S,MATCH(ListOfExpenditure[[#This Row],[Content.contractId]],'Public procurment'!E:E,0),19),0)</f>
        <v>0</v>
      </c>
      <c r="AP302">
        <f>IF(ListOfExpenditure[[#This Row],[Numero di volte controllato il contract ]]&gt;0,0,ListOfExpenditure[[#This Row],[IF public procurment &gt;10000;1;0]])</f>
        <v>0</v>
      </c>
    </row>
    <row r="303" spans="1:42" x14ac:dyDescent="0.25">
      <c r="A303">
        <v>1751</v>
      </c>
      <c r="B303">
        <v>5</v>
      </c>
      <c r="E303" t="s">
        <v>4786</v>
      </c>
      <c r="F303" t="b">
        <v>0</v>
      </c>
      <c r="I303" t="s">
        <v>5722</v>
      </c>
      <c r="K303" t="s">
        <v>4831</v>
      </c>
      <c r="L303" t="s">
        <v>4831</v>
      </c>
      <c r="M303" t="s">
        <v>4788</v>
      </c>
      <c r="N303" t="s">
        <v>4788</v>
      </c>
      <c r="O303">
        <v>4341.18</v>
      </c>
      <c r="Q303">
        <v>0</v>
      </c>
      <c r="R303">
        <v>0</v>
      </c>
      <c r="S303">
        <v>1345.77</v>
      </c>
      <c r="T303" t="s">
        <v>4789</v>
      </c>
      <c r="U303">
        <v>1</v>
      </c>
      <c r="V303">
        <v>1345.77</v>
      </c>
      <c r="W303" t="s">
        <v>4343</v>
      </c>
      <c r="Y303" t="b">
        <v>1</v>
      </c>
      <c r="Z303" t="b">
        <v>0</v>
      </c>
      <c r="AA303">
        <v>1314.68</v>
      </c>
      <c r="AB303">
        <v>31.09</v>
      </c>
      <c r="AC303">
        <v>8</v>
      </c>
      <c r="AD303" t="b">
        <v>0</v>
      </c>
      <c r="AF303" t="s">
        <v>6152</v>
      </c>
      <c r="AG303" s="1" t="s">
        <v>304</v>
      </c>
      <c r="AH303" s="1" t="s">
        <v>309</v>
      </c>
      <c r="AI303">
        <v>103</v>
      </c>
      <c r="AJ303">
        <v>231</v>
      </c>
      <c r="AK303" s="106">
        <v>45475.635529988424</v>
      </c>
      <c r="AL303" s="1" t="s">
        <v>4790</v>
      </c>
      <c r="AM303" s="42">
        <f>IFERROR(INDEX('Public procurment'!A:R,MATCH(ListOfExpenditure[[#This Row],[Content.contractId]],'Public procurment'!E:E,0),14),0)</f>
        <v>0</v>
      </c>
      <c r="AN303" s="2">
        <f>IF(AND(ListOfExpenditure[[#This Row],[Contract amount]]&gt;10000,ListOfExpenditure[[#This Row],[Content.declaredAmount]]&gt;2000),1,0)</f>
        <v>0</v>
      </c>
      <c r="AO303">
        <f>IFERROR(INDEX('Public procurment'!A:S,MATCH(ListOfExpenditure[[#This Row],[Content.contractId]],'Public procurment'!E:E,0),19),0)</f>
        <v>0</v>
      </c>
      <c r="AP303">
        <f>IF(ListOfExpenditure[[#This Row],[Numero di volte controllato il contract ]]&gt;0,0,ListOfExpenditure[[#This Row],[IF public procurment &gt;10000;1;0]])</f>
        <v>0</v>
      </c>
    </row>
    <row r="304" spans="1:42" x14ac:dyDescent="0.25">
      <c r="A304">
        <v>1752</v>
      </c>
      <c r="B304">
        <v>6</v>
      </c>
      <c r="E304" t="s">
        <v>4786</v>
      </c>
      <c r="F304" t="b">
        <v>0</v>
      </c>
      <c r="I304" t="s">
        <v>5722</v>
      </c>
      <c r="K304" t="s">
        <v>4957</v>
      </c>
      <c r="L304" t="s">
        <v>4957</v>
      </c>
      <c r="M304" t="s">
        <v>4788</v>
      </c>
      <c r="N304" t="s">
        <v>4788</v>
      </c>
      <c r="O304">
        <v>4749.33</v>
      </c>
      <c r="Q304">
        <v>0</v>
      </c>
      <c r="R304">
        <v>0</v>
      </c>
      <c r="S304">
        <v>1472.29</v>
      </c>
      <c r="T304" t="s">
        <v>4789</v>
      </c>
      <c r="U304">
        <v>1</v>
      </c>
      <c r="V304">
        <v>1472.29</v>
      </c>
      <c r="W304" t="s">
        <v>4343</v>
      </c>
      <c r="Y304" t="b">
        <v>1</v>
      </c>
      <c r="Z304" t="b">
        <v>0</v>
      </c>
      <c r="AA304">
        <v>1322.53</v>
      </c>
      <c r="AB304">
        <v>149.76</v>
      </c>
      <c r="AC304">
        <v>8</v>
      </c>
      <c r="AD304" t="b">
        <v>0</v>
      </c>
      <c r="AF304" t="s">
        <v>6154</v>
      </c>
      <c r="AG304" s="1" t="s">
        <v>304</v>
      </c>
      <c r="AH304" s="1" t="s">
        <v>309</v>
      </c>
      <c r="AI304">
        <v>103</v>
      </c>
      <c r="AJ304">
        <v>231</v>
      </c>
      <c r="AK304" s="106">
        <v>45475.635529988424</v>
      </c>
      <c r="AL304" s="1" t="s">
        <v>4790</v>
      </c>
      <c r="AM304" s="42">
        <f>IFERROR(INDEX('Public procurment'!A:R,MATCH(ListOfExpenditure[[#This Row],[Content.contractId]],'Public procurment'!E:E,0),14),0)</f>
        <v>0</v>
      </c>
      <c r="AN304" s="2">
        <f>IF(AND(ListOfExpenditure[[#This Row],[Contract amount]]&gt;10000,ListOfExpenditure[[#This Row],[Content.declaredAmount]]&gt;2000),1,0)</f>
        <v>0</v>
      </c>
      <c r="AO304">
        <f>IFERROR(INDEX('Public procurment'!A:S,MATCH(ListOfExpenditure[[#This Row],[Content.contractId]],'Public procurment'!E:E,0),19),0)</f>
        <v>0</v>
      </c>
      <c r="AP304">
        <f>IF(ListOfExpenditure[[#This Row],[Numero di volte controllato il contract ]]&gt;0,0,ListOfExpenditure[[#This Row],[IF public procurment &gt;10000;1;0]])</f>
        <v>0</v>
      </c>
    </row>
    <row r="305" spans="1:42" x14ac:dyDescent="0.25">
      <c r="A305">
        <v>1753</v>
      </c>
      <c r="B305">
        <v>7</v>
      </c>
      <c r="E305" t="s">
        <v>4786</v>
      </c>
      <c r="F305" t="b">
        <v>0</v>
      </c>
      <c r="I305" t="s">
        <v>5722</v>
      </c>
      <c r="K305" t="s">
        <v>4914</v>
      </c>
      <c r="L305" t="s">
        <v>4914</v>
      </c>
      <c r="M305" t="s">
        <v>4788</v>
      </c>
      <c r="N305" t="s">
        <v>4788</v>
      </c>
      <c r="O305">
        <v>4604.13</v>
      </c>
      <c r="Q305">
        <v>0</v>
      </c>
      <c r="R305">
        <v>0</v>
      </c>
      <c r="S305">
        <v>1427.28</v>
      </c>
      <c r="T305" t="s">
        <v>4789</v>
      </c>
      <c r="U305">
        <v>1</v>
      </c>
      <c r="V305">
        <v>1427.28</v>
      </c>
      <c r="W305" t="s">
        <v>4343</v>
      </c>
      <c r="Y305" t="b">
        <v>1</v>
      </c>
      <c r="Z305" t="b">
        <v>0</v>
      </c>
      <c r="AA305">
        <v>1323.47</v>
      </c>
      <c r="AB305">
        <v>103.81</v>
      </c>
      <c r="AC305">
        <v>8</v>
      </c>
      <c r="AD305" t="b">
        <v>0</v>
      </c>
      <c r="AF305" t="s">
        <v>6154</v>
      </c>
      <c r="AG305" s="1" t="s">
        <v>304</v>
      </c>
      <c r="AH305" s="1" t="s">
        <v>309</v>
      </c>
      <c r="AI305">
        <v>103</v>
      </c>
      <c r="AJ305">
        <v>231</v>
      </c>
      <c r="AK305" s="106">
        <v>45475.635529988424</v>
      </c>
      <c r="AL305" s="1" t="s">
        <v>4790</v>
      </c>
      <c r="AM305" s="42">
        <f>IFERROR(INDEX('Public procurment'!A:R,MATCH(ListOfExpenditure[[#This Row],[Content.contractId]],'Public procurment'!E:E,0),14),0)</f>
        <v>0</v>
      </c>
      <c r="AN305" s="2">
        <f>IF(AND(ListOfExpenditure[[#This Row],[Contract amount]]&gt;10000,ListOfExpenditure[[#This Row],[Content.declaredAmount]]&gt;2000),1,0)</f>
        <v>0</v>
      </c>
      <c r="AO305">
        <f>IFERROR(INDEX('Public procurment'!A:S,MATCH(ListOfExpenditure[[#This Row],[Content.contractId]],'Public procurment'!E:E,0),19),0)</f>
        <v>0</v>
      </c>
      <c r="AP305">
        <f>IF(ListOfExpenditure[[#This Row],[Numero di volte controllato il contract ]]&gt;0,0,ListOfExpenditure[[#This Row],[IF public procurment &gt;10000;1;0]])</f>
        <v>0</v>
      </c>
    </row>
    <row r="306" spans="1:42" x14ac:dyDescent="0.25">
      <c r="A306">
        <v>1754</v>
      </c>
      <c r="B306">
        <v>8</v>
      </c>
      <c r="E306" t="s">
        <v>4786</v>
      </c>
      <c r="F306" t="b">
        <v>0</v>
      </c>
      <c r="I306" t="s">
        <v>5722</v>
      </c>
      <c r="K306" t="s">
        <v>4959</v>
      </c>
      <c r="L306" t="s">
        <v>4959</v>
      </c>
      <c r="M306" t="s">
        <v>4788</v>
      </c>
      <c r="N306" t="s">
        <v>4788</v>
      </c>
      <c r="O306">
        <v>4540.24</v>
      </c>
      <c r="Q306">
        <v>0</v>
      </c>
      <c r="R306">
        <v>0</v>
      </c>
      <c r="S306">
        <v>1407.48</v>
      </c>
      <c r="T306" t="s">
        <v>4789</v>
      </c>
      <c r="U306">
        <v>1</v>
      </c>
      <c r="V306">
        <v>1407.48</v>
      </c>
      <c r="W306" t="s">
        <v>4343</v>
      </c>
      <c r="Y306" t="b">
        <v>1</v>
      </c>
      <c r="Z306" t="b">
        <v>0</v>
      </c>
      <c r="AA306">
        <v>1304.3800000000001</v>
      </c>
      <c r="AB306">
        <v>103.1</v>
      </c>
      <c r="AC306">
        <v>8</v>
      </c>
      <c r="AD306" t="b">
        <v>0</v>
      </c>
      <c r="AF306" t="s">
        <v>6154</v>
      </c>
      <c r="AG306" s="1" t="s">
        <v>304</v>
      </c>
      <c r="AH306" s="1" t="s">
        <v>309</v>
      </c>
      <c r="AI306">
        <v>103</v>
      </c>
      <c r="AJ306">
        <v>231</v>
      </c>
      <c r="AK306" s="106">
        <v>45475.635529988424</v>
      </c>
      <c r="AL306" s="1" t="s">
        <v>4790</v>
      </c>
      <c r="AM306" s="42">
        <f>IFERROR(INDEX('Public procurment'!A:R,MATCH(ListOfExpenditure[[#This Row],[Content.contractId]],'Public procurment'!E:E,0),14),0)</f>
        <v>0</v>
      </c>
      <c r="AN306" s="2">
        <f>IF(AND(ListOfExpenditure[[#This Row],[Contract amount]]&gt;10000,ListOfExpenditure[[#This Row],[Content.declaredAmount]]&gt;2000),1,0)</f>
        <v>0</v>
      </c>
      <c r="AO306">
        <f>IFERROR(INDEX('Public procurment'!A:S,MATCH(ListOfExpenditure[[#This Row],[Content.contractId]],'Public procurment'!E:E,0),19),0)</f>
        <v>0</v>
      </c>
      <c r="AP306">
        <f>IF(ListOfExpenditure[[#This Row],[Numero di volte controllato il contract ]]&gt;0,0,ListOfExpenditure[[#This Row],[IF public procurment &gt;10000;1;0]])</f>
        <v>0</v>
      </c>
    </row>
    <row r="307" spans="1:42" x14ac:dyDescent="0.25">
      <c r="A307">
        <v>1755</v>
      </c>
      <c r="B307">
        <v>9</v>
      </c>
      <c r="E307" t="s">
        <v>4786</v>
      </c>
      <c r="F307" t="b">
        <v>0</v>
      </c>
      <c r="I307" t="s">
        <v>5722</v>
      </c>
      <c r="K307" t="s">
        <v>4921</v>
      </c>
      <c r="L307" t="s">
        <v>4921</v>
      </c>
      <c r="M307" t="s">
        <v>4788</v>
      </c>
      <c r="N307" t="s">
        <v>4788</v>
      </c>
      <c r="O307">
        <v>4599.4399999999996</v>
      </c>
      <c r="Q307">
        <v>0</v>
      </c>
      <c r="R307">
        <v>0</v>
      </c>
      <c r="S307">
        <v>1425.83</v>
      </c>
      <c r="T307" t="s">
        <v>4789</v>
      </c>
      <c r="U307">
        <v>1</v>
      </c>
      <c r="V307">
        <v>1425.83</v>
      </c>
      <c r="W307" t="s">
        <v>4343</v>
      </c>
      <c r="Y307" t="b">
        <v>1</v>
      </c>
      <c r="Z307" t="b">
        <v>0</v>
      </c>
      <c r="AA307">
        <v>1321.43</v>
      </c>
      <c r="AB307">
        <v>104.4</v>
      </c>
      <c r="AC307">
        <v>8</v>
      </c>
      <c r="AD307" t="b">
        <v>0</v>
      </c>
      <c r="AF307" t="s">
        <v>6153</v>
      </c>
      <c r="AG307" s="1" t="s">
        <v>304</v>
      </c>
      <c r="AH307" s="1" t="s">
        <v>309</v>
      </c>
      <c r="AI307">
        <v>103</v>
      </c>
      <c r="AJ307">
        <v>231</v>
      </c>
      <c r="AK307" s="106">
        <v>45475.635529988424</v>
      </c>
      <c r="AL307" s="1" t="s">
        <v>4790</v>
      </c>
      <c r="AM307" s="42">
        <f>IFERROR(INDEX('Public procurment'!A:R,MATCH(ListOfExpenditure[[#This Row],[Content.contractId]],'Public procurment'!E:E,0),14),0)</f>
        <v>0</v>
      </c>
      <c r="AN307" s="2">
        <f>IF(AND(ListOfExpenditure[[#This Row],[Contract amount]]&gt;10000,ListOfExpenditure[[#This Row],[Content.declaredAmount]]&gt;2000),1,0)</f>
        <v>0</v>
      </c>
      <c r="AO307">
        <f>IFERROR(INDEX('Public procurment'!A:S,MATCH(ListOfExpenditure[[#This Row],[Content.contractId]],'Public procurment'!E:E,0),19),0)</f>
        <v>0</v>
      </c>
      <c r="AP307">
        <f>IF(ListOfExpenditure[[#This Row],[Numero di volte controllato il contract ]]&gt;0,0,ListOfExpenditure[[#This Row],[IF public procurment &gt;10000;1;0]])</f>
        <v>0</v>
      </c>
    </row>
    <row r="308" spans="1:42" x14ac:dyDescent="0.25">
      <c r="A308">
        <v>1756</v>
      </c>
      <c r="B308">
        <v>10</v>
      </c>
      <c r="E308" t="s">
        <v>4786</v>
      </c>
      <c r="F308" t="b">
        <v>0</v>
      </c>
      <c r="I308" t="s">
        <v>5727</v>
      </c>
      <c r="K308" t="s">
        <v>4831</v>
      </c>
      <c r="L308" t="s">
        <v>4831</v>
      </c>
      <c r="M308" t="s">
        <v>4788</v>
      </c>
      <c r="N308" t="s">
        <v>4788</v>
      </c>
      <c r="O308">
        <v>2951.75</v>
      </c>
      <c r="Q308">
        <v>0</v>
      </c>
      <c r="R308">
        <v>0</v>
      </c>
      <c r="S308">
        <v>664.14</v>
      </c>
      <c r="T308" t="s">
        <v>4789</v>
      </c>
      <c r="U308">
        <v>1</v>
      </c>
      <c r="V308">
        <v>664.14</v>
      </c>
      <c r="W308" t="s">
        <v>4343</v>
      </c>
      <c r="Y308" t="b">
        <v>1</v>
      </c>
      <c r="Z308" t="b">
        <v>0</v>
      </c>
      <c r="AA308">
        <v>641.58000000000004</v>
      </c>
      <c r="AB308">
        <v>22.56</v>
      </c>
      <c r="AC308">
        <v>8</v>
      </c>
      <c r="AD308" t="b">
        <v>0</v>
      </c>
      <c r="AF308" t="s">
        <v>6154</v>
      </c>
      <c r="AG308" s="1" t="s">
        <v>304</v>
      </c>
      <c r="AH308" s="1" t="s">
        <v>309</v>
      </c>
      <c r="AI308">
        <v>103</v>
      </c>
      <c r="AJ308">
        <v>231</v>
      </c>
      <c r="AK308" s="106">
        <v>45475.635529988424</v>
      </c>
      <c r="AL308" s="1" t="s">
        <v>4790</v>
      </c>
      <c r="AM308" s="42">
        <f>IFERROR(INDEX('Public procurment'!A:R,MATCH(ListOfExpenditure[[#This Row],[Content.contractId]],'Public procurment'!E:E,0),14),0)</f>
        <v>0</v>
      </c>
      <c r="AN308" s="2">
        <f>IF(AND(ListOfExpenditure[[#This Row],[Contract amount]]&gt;10000,ListOfExpenditure[[#This Row],[Content.declaredAmount]]&gt;2000),1,0)</f>
        <v>0</v>
      </c>
      <c r="AO308">
        <f>IFERROR(INDEX('Public procurment'!A:S,MATCH(ListOfExpenditure[[#This Row],[Content.contractId]],'Public procurment'!E:E,0),19),0)</f>
        <v>0</v>
      </c>
      <c r="AP308">
        <f>IF(ListOfExpenditure[[#This Row],[Numero di volte controllato il contract ]]&gt;0,0,ListOfExpenditure[[#This Row],[IF public procurment &gt;10000;1;0]])</f>
        <v>0</v>
      </c>
    </row>
    <row r="309" spans="1:42" x14ac:dyDescent="0.25">
      <c r="A309">
        <v>1757</v>
      </c>
      <c r="B309">
        <v>11</v>
      </c>
      <c r="E309" t="s">
        <v>4786</v>
      </c>
      <c r="F309" t="b">
        <v>0</v>
      </c>
      <c r="I309" t="s">
        <v>5727</v>
      </c>
      <c r="K309" t="s">
        <v>4957</v>
      </c>
      <c r="L309" t="s">
        <v>4957</v>
      </c>
      <c r="M309" t="s">
        <v>4788</v>
      </c>
      <c r="N309" t="s">
        <v>4788</v>
      </c>
      <c r="O309">
        <v>2931.47</v>
      </c>
      <c r="Q309">
        <v>0</v>
      </c>
      <c r="R309">
        <v>0</v>
      </c>
      <c r="S309">
        <v>659.58</v>
      </c>
      <c r="T309" t="s">
        <v>4789</v>
      </c>
      <c r="U309">
        <v>1</v>
      </c>
      <c r="V309">
        <v>659.58</v>
      </c>
      <c r="W309" t="s">
        <v>4343</v>
      </c>
      <c r="Y309" t="b">
        <v>1</v>
      </c>
      <c r="Z309" t="b">
        <v>0</v>
      </c>
      <c r="AA309">
        <v>637.02</v>
      </c>
      <c r="AB309">
        <v>22.56</v>
      </c>
      <c r="AC309">
        <v>8</v>
      </c>
      <c r="AD309" t="b">
        <v>0</v>
      </c>
      <c r="AF309" t="s">
        <v>6152</v>
      </c>
      <c r="AG309" s="1" t="s">
        <v>304</v>
      </c>
      <c r="AH309" s="1" t="s">
        <v>309</v>
      </c>
      <c r="AI309">
        <v>103</v>
      </c>
      <c r="AJ309">
        <v>231</v>
      </c>
      <c r="AK309" s="106">
        <v>45475.635529988424</v>
      </c>
      <c r="AL309" s="1" t="s">
        <v>4790</v>
      </c>
      <c r="AM309" s="42">
        <f>IFERROR(INDEX('Public procurment'!A:R,MATCH(ListOfExpenditure[[#This Row],[Content.contractId]],'Public procurment'!E:E,0),14),0)</f>
        <v>0</v>
      </c>
      <c r="AN309" s="2">
        <f>IF(AND(ListOfExpenditure[[#This Row],[Contract amount]]&gt;10000,ListOfExpenditure[[#This Row],[Content.declaredAmount]]&gt;2000),1,0)</f>
        <v>0</v>
      </c>
      <c r="AO309">
        <f>IFERROR(INDEX('Public procurment'!A:S,MATCH(ListOfExpenditure[[#This Row],[Content.contractId]],'Public procurment'!E:E,0),19),0)</f>
        <v>0</v>
      </c>
      <c r="AP309">
        <f>IF(ListOfExpenditure[[#This Row],[Numero di volte controllato il contract ]]&gt;0,0,ListOfExpenditure[[#This Row],[IF public procurment &gt;10000;1;0]])</f>
        <v>0</v>
      </c>
    </row>
    <row r="310" spans="1:42" x14ac:dyDescent="0.25">
      <c r="A310">
        <v>1758</v>
      </c>
      <c r="B310">
        <v>12</v>
      </c>
      <c r="E310" t="s">
        <v>4786</v>
      </c>
      <c r="F310" t="b">
        <v>0</v>
      </c>
      <c r="I310" t="s">
        <v>5727</v>
      </c>
      <c r="K310" t="s">
        <v>4914</v>
      </c>
      <c r="L310" t="s">
        <v>4914</v>
      </c>
      <c r="M310" t="s">
        <v>4788</v>
      </c>
      <c r="N310" t="s">
        <v>4788</v>
      </c>
      <c r="O310">
        <v>2914.57</v>
      </c>
      <c r="Q310">
        <v>0</v>
      </c>
      <c r="R310">
        <v>0</v>
      </c>
      <c r="S310">
        <v>655.78</v>
      </c>
      <c r="T310" t="s">
        <v>4789</v>
      </c>
      <c r="U310">
        <v>1</v>
      </c>
      <c r="V310">
        <v>655.78</v>
      </c>
      <c r="W310" t="s">
        <v>4343</v>
      </c>
      <c r="Y310" t="b">
        <v>1</v>
      </c>
      <c r="Z310" t="b">
        <v>0</v>
      </c>
      <c r="AA310">
        <v>633.22</v>
      </c>
      <c r="AB310">
        <v>22.56</v>
      </c>
      <c r="AC310">
        <v>8</v>
      </c>
      <c r="AD310" t="b">
        <v>0</v>
      </c>
      <c r="AF310" t="s">
        <v>6152</v>
      </c>
      <c r="AG310" s="1" t="s">
        <v>304</v>
      </c>
      <c r="AH310" s="1" t="s">
        <v>309</v>
      </c>
      <c r="AI310">
        <v>103</v>
      </c>
      <c r="AJ310">
        <v>231</v>
      </c>
      <c r="AK310" s="106">
        <v>45475.635529988424</v>
      </c>
      <c r="AL310" s="1" t="s">
        <v>4790</v>
      </c>
      <c r="AM310" s="42">
        <f>IFERROR(INDEX('Public procurment'!A:R,MATCH(ListOfExpenditure[[#This Row],[Content.contractId]],'Public procurment'!E:E,0),14),0)</f>
        <v>0</v>
      </c>
      <c r="AN310" s="2">
        <f>IF(AND(ListOfExpenditure[[#This Row],[Contract amount]]&gt;10000,ListOfExpenditure[[#This Row],[Content.declaredAmount]]&gt;2000),1,0)</f>
        <v>0</v>
      </c>
      <c r="AO310">
        <f>IFERROR(INDEX('Public procurment'!A:S,MATCH(ListOfExpenditure[[#This Row],[Content.contractId]],'Public procurment'!E:E,0),19),0)</f>
        <v>0</v>
      </c>
      <c r="AP310">
        <f>IF(ListOfExpenditure[[#This Row],[Numero di volte controllato il contract ]]&gt;0,0,ListOfExpenditure[[#This Row],[IF public procurment &gt;10000;1;0]])</f>
        <v>0</v>
      </c>
    </row>
    <row r="311" spans="1:42" x14ac:dyDescent="0.25">
      <c r="A311">
        <v>1759</v>
      </c>
      <c r="B311">
        <v>13</v>
      </c>
      <c r="E311" t="s">
        <v>4786</v>
      </c>
      <c r="F311" t="b">
        <v>0</v>
      </c>
      <c r="I311" t="s">
        <v>5727</v>
      </c>
      <c r="K311" t="s">
        <v>4959</v>
      </c>
      <c r="L311" t="s">
        <v>4959</v>
      </c>
      <c r="M311" t="s">
        <v>4788</v>
      </c>
      <c r="N311" t="s">
        <v>4788</v>
      </c>
      <c r="O311">
        <v>2749.21</v>
      </c>
      <c r="Q311">
        <v>0</v>
      </c>
      <c r="R311">
        <v>0</v>
      </c>
      <c r="S311">
        <v>618.57000000000005</v>
      </c>
      <c r="T311" t="s">
        <v>4789</v>
      </c>
      <c r="U311">
        <v>1</v>
      </c>
      <c r="V311">
        <v>618.57000000000005</v>
      </c>
      <c r="W311" t="s">
        <v>4343</v>
      </c>
      <c r="Y311" t="b">
        <v>1</v>
      </c>
      <c r="Z311" t="b">
        <v>0</v>
      </c>
      <c r="AA311">
        <v>596.01</v>
      </c>
      <c r="AB311">
        <v>22.56</v>
      </c>
      <c r="AC311">
        <v>8</v>
      </c>
      <c r="AD311" t="b">
        <v>0</v>
      </c>
      <c r="AF311" t="s">
        <v>6152</v>
      </c>
      <c r="AG311" s="1" t="s">
        <v>304</v>
      </c>
      <c r="AH311" s="1" t="s">
        <v>309</v>
      </c>
      <c r="AI311">
        <v>103</v>
      </c>
      <c r="AJ311">
        <v>231</v>
      </c>
      <c r="AK311" s="106">
        <v>45475.635529988424</v>
      </c>
      <c r="AL311" s="1" t="s">
        <v>4790</v>
      </c>
      <c r="AM311" s="42">
        <f>IFERROR(INDEX('Public procurment'!A:R,MATCH(ListOfExpenditure[[#This Row],[Content.contractId]],'Public procurment'!E:E,0),14),0)</f>
        <v>0</v>
      </c>
      <c r="AN311" s="2">
        <f>IF(AND(ListOfExpenditure[[#This Row],[Contract amount]]&gt;10000,ListOfExpenditure[[#This Row],[Content.declaredAmount]]&gt;2000),1,0)</f>
        <v>0</v>
      </c>
      <c r="AO311">
        <f>IFERROR(INDEX('Public procurment'!A:S,MATCH(ListOfExpenditure[[#This Row],[Content.contractId]],'Public procurment'!E:E,0),19),0)</f>
        <v>0</v>
      </c>
      <c r="AP311">
        <f>IF(ListOfExpenditure[[#This Row],[Numero di volte controllato il contract ]]&gt;0,0,ListOfExpenditure[[#This Row],[IF public procurment &gt;10000;1;0]])</f>
        <v>0</v>
      </c>
    </row>
    <row r="312" spans="1:42" x14ac:dyDescent="0.25">
      <c r="A312">
        <v>1760</v>
      </c>
      <c r="B312">
        <v>14</v>
      </c>
      <c r="E312" t="s">
        <v>4786</v>
      </c>
      <c r="F312" t="b">
        <v>0</v>
      </c>
      <c r="I312" t="s">
        <v>5727</v>
      </c>
      <c r="K312" t="s">
        <v>4921</v>
      </c>
      <c r="L312" t="s">
        <v>4921</v>
      </c>
      <c r="M312" t="s">
        <v>4788</v>
      </c>
      <c r="N312" t="s">
        <v>4788</v>
      </c>
      <c r="O312">
        <v>2727.85</v>
      </c>
      <c r="Q312">
        <v>0</v>
      </c>
      <c r="R312">
        <v>0</v>
      </c>
      <c r="S312">
        <v>613.77</v>
      </c>
      <c r="T312" t="s">
        <v>4789</v>
      </c>
      <c r="U312">
        <v>1</v>
      </c>
      <c r="V312">
        <v>613.77</v>
      </c>
      <c r="W312" t="s">
        <v>4343</v>
      </c>
      <c r="Y312" t="b">
        <v>1</v>
      </c>
      <c r="Z312" t="b">
        <v>0</v>
      </c>
      <c r="AA312">
        <v>591.04999999999995</v>
      </c>
      <c r="AB312">
        <v>22.72</v>
      </c>
      <c r="AC312">
        <v>8</v>
      </c>
      <c r="AD312" t="b">
        <v>0</v>
      </c>
      <c r="AF312" t="s">
        <v>6153</v>
      </c>
      <c r="AG312" s="1" t="s">
        <v>304</v>
      </c>
      <c r="AH312" s="1" t="s">
        <v>309</v>
      </c>
      <c r="AI312">
        <v>103</v>
      </c>
      <c r="AJ312">
        <v>231</v>
      </c>
      <c r="AK312" s="106">
        <v>45475.635529988424</v>
      </c>
      <c r="AL312" s="1" t="s">
        <v>4790</v>
      </c>
      <c r="AM312" s="42">
        <f>IFERROR(INDEX('Public procurment'!A:R,MATCH(ListOfExpenditure[[#This Row],[Content.contractId]],'Public procurment'!E:E,0),14),0)</f>
        <v>0</v>
      </c>
      <c r="AN312" s="2">
        <f>IF(AND(ListOfExpenditure[[#This Row],[Contract amount]]&gt;10000,ListOfExpenditure[[#This Row],[Content.declaredAmount]]&gt;2000),1,0)</f>
        <v>0</v>
      </c>
      <c r="AO312">
        <f>IFERROR(INDEX('Public procurment'!A:S,MATCH(ListOfExpenditure[[#This Row],[Content.contractId]],'Public procurment'!E:E,0),19),0)</f>
        <v>0</v>
      </c>
      <c r="AP312">
        <f>IF(ListOfExpenditure[[#This Row],[Numero di volte controllato il contract ]]&gt;0,0,ListOfExpenditure[[#This Row],[IF public procurment &gt;10000;1;0]])</f>
        <v>0</v>
      </c>
    </row>
    <row r="313" spans="1:42" x14ac:dyDescent="0.25">
      <c r="A313">
        <v>1469</v>
      </c>
      <c r="B313">
        <v>1</v>
      </c>
      <c r="E313" t="s">
        <v>4798</v>
      </c>
      <c r="F313" t="b">
        <v>0</v>
      </c>
      <c r="H313">
        <v>214</v>
      </c>
      <c r="I313" t="s">
        <v>5085</v>
      </c>
      <c r="J313" t="s">
        <v>5086</v>
      </c>
      <c r="K313" t="s">
        <v>4936</v>
      </c>
      <c r="L313" t="s">
        <v>4730</v>
      </c>
      <c r="M313" t="s">
        <v>4788</v>
      </c>
      <c r="N313" t="s">
        <v>4788</v>
      </c>
      <c r="O313">
        <v>975</v>
      </c>
      <c r="P313">
        <v>0</v>
      </c>
      <c r="Q313">
        <v>0</v>
      </c>
      <c r="R313">
        <v>0</v>
      </c>
      <c r="S313">
        <v>975</v>
      </c>
      <c r="T313" t="s">
        <v>4789</v>
      </c>
      <c r="U313">
        <v>1</v>
      </c>
      <c r="V313">
        <v>975</v>
      </c>
      <c r="Y313" t="b">
        <v>1</v>
      </c>
      <c r="Z313" t="b">
        <v>0</v>
      </c>
      <c r="AA313">
        <v>975</v>
      </c>
      <c r="AB313">
        <v>0</v>
      </c>
      <c r="AD313" t="b">
        <v>0</v>
      </c>
      <c r="AG313" s="1" t="s">
        <v>346</v>
      </c>
      <c r="AH313" s="1" t="s">
        <v>347</v>
      </c>
      <c r="AI313">
        <v>293</v>
      </c>
      <c r="AJ313">
        <v>296</v>
      </c>
      <c r="AK313" s="106">
        <v>45475.635500266202</v>
      </c>
      <c r="AL313" s="1" t="s">
        <v>4790</v>
      </c>
      <c r="AM313" s="42">
        <f>IFERROR(INDEX('Public procurment'!A:R,MATCH(ListOfExpenditure[[#This Row],[Content.contractId]],'Public procurment'!E:E,0),14),0)</f>
        <v>975</v>
      </c>
      <c r="AN313" s="2">
        <f>IF(AND(ListOfExpenditure[[#This Row],[Contract amount]]&gt;10000,ListOfExpenditure[[#This Row],[Content.declaredAmount]]&gt;2000),1,0)</f>
        <v>0</v>
      </c>
      <c r="AO313">
        <f>IFERROR(INDEX('Public procurment'!A:S,MATCH(ListOfExpenditure[[#This Row],[Content.contractId]],'Public procurment'!E:E,0),19),0)</f>
        <v>1</v>
      </c>
      <c r="AP313">
        <f>IF(ListOfExpenditure[[#This Row],[Numero di volte controllato il contract ]]&gt;0,0,ListOfExpenditure[[#This Row],[IF public procurment &gt;10000;1;0]])</f>
        <v>0</v>
      </c>
    </row>
    <row r="314" spans="1:42" x14ac:dyDescent="0.25">
      <c r="A314">
        <v>992</v>
      </c>
      <c r="B314">
        <v>1</v>
      </c>
      <c r="E314" t="s">
        <v>4786</v>
      </c>
      <c r="F314" t="b">
        <v>1</v>
      </c>
      <c r="I314" t="s">
        <v>5087</v>
      </c>
      <c r="K314" t="s">
        <v>5088</v>
      </c>
      <c r="L314" t="s">
        <v>5089</v>
      </c>
      <c r="M314" t="s">
        <v>4788</v>
      </c>
      <c r="N314" t="s">
        <v>4788</v>
      </c>
      <c r="O314">
        <v>2497.06</v>
      </c>
      <c r="Q314">
        <v>0</v>
      </c>
      <c r="R314">
        <v>0</v>
      </c>
      <c r="S314">
        <v>2497.06</v>
      </c>
      <c r="T314" t="s">
        <v>4789</v>
      </c>
      <c r="U314">
        <v>1</v>
      </c>
      <c r="V314">
        <v>2497.06</v>
      </c>
      <c r="W314" t="s">
        <v>4343</v>
      </c>
      <c r="Y314" t="b">
        <v>1</v>
      </c>
      <c r="Z314" t="b">
        <v>0</v>
      </c>
      <c r="AA314">
        <v>2497.06</v>
      </c>
      <c r="AB314">
        <v>0</v>
      </c>
      <c r="AD314" t="b">
        <v>0</v>
      </c>
      <c r="AG314" s="1" t="s">
        <v>346</v>
      </c>
      <c r="AH314" s="1" t="s">
        <v>348</v>
      </c>
      <c r="AI314">
        <v>295</v>
      </c>
      <c r="AJ314">
        <v>190</v>
      </c>
      <c r="AK314" s="106">
        <v>45475.635506423612</v>
      </c>
      <c r="AL314" s="1" t="s">
        <v>4790</v>
      </c>
      <c r="AM314" s="42">
        <f>IFERROR(INDEX('Public procurment'!A:R,MATCH(ListOfExpenditure[[#This Row],[Content.contractId]],'Public procurment'!E:E,0),14),0)</f>
        <v>0</v>
      </c>
      <c r="AN314" s="2">
        <f>IF(AND(ListOfExpenditure[[#This Row],[Contract amount]]&gt;10000,ListOfExpenditure[[#This Row],[Content.declaredAmount]]&gt;2000),1,0)</f>
        <v>0</v>
      </c>
      <c r="AO314">
        <f>IFERROR(INDEX('Public procurment'!A:S,MATCH(ListOfExpenditure[[#This Row],[Content.contractId]],'Public procurment'!E:E,0),19),0)</f>
        <v>0</v>
      </c>
      <c r="AP314">
        <f>IF(ListOfExpenditure[[#This Row],[Numero di volte controllato il contract ]]&gt;0,0,ListOfExpenditure[[#This Row],[IF public procurment &gt;10000;1;0]])</f>
        <v>0</v>
      </c>
    </row>
    <row r="315" spans="1:42" x14ac:dyDescent="0.25">
      <c r="A315">
        <v>1007</v>
      </c>
      <c r="B315">
        <v>2</v>
      </c>
      <c r="E315" t="s">
        <v>4786</v>
      </c>
      <c r="F315" t="b">
        <v>1</v>
      </c>
      <c r="I315" t="s">
        <v>5087</v>
      </c>
      <c r="K315" t="s">
        <v>4955</v>
      </c>
      <c r="L315" t="s">
        <v>4955</v>
      </c>
      <c r="M315" t="s">
        <v>4788</v>
      </c>
      <c r="N315" t="s">
        <v>4788</v>
      </c>
      <c r="O315">
        <v>2448.8000000000002</v>
      </c>
      <c r="Q315">
        <v>0</v>
      </c>
      <c r="R315">
        <v>0</v>
      </c>
      <c r="S315">
        <v>2448.8000000000002</v>
      </c>
      <c r="T315" t="s">
        <v>4789</v>
      </c>
      <c r="U315">
        <v>1</v>
      </c>
      <c r="V315">
        <v>2448.8000000000002</v>
      </c>
      <c r="W315" t="s">
        <v>4343</v>
      </c>
      <c r="Y315" t="b">
        <v>1</v>
      </c>
      <c r="Z315" t="b">
        <v>0</v>
      </c>
      <c r="AA315">
        <v>2218.86</v>
      </c>
      <c r="AB315">
        <v>229.94</v>
      </c>
      <c r="AC315">
        <v>14</v>
      </c>
      <c r="AD315" t="b">
        <v>0</v>
      </c>
      <c r="AF315" t="s">
        <v>5090</v>
      </c>
      <c r="AG315" s="1" t="s">
        <v>346</v>
      </c>
      <c r="AH315" s="1" t="s">
        <v>348</v>
      </c>
      <c r="AI315">
        <v>295</v>
      </c>
      <c r="AJ315">
        <v>190</v>
      </c>
      <c r="AK315" s="106">
        <v>45475.635506423612</v>
      </c>
      <c r="AL315" s="1" t="s">
        <v>4790</v>
      </c>
      <c r="AM315" s="42">
        <f>IFERROR(INDEX('Public procurment'!A:R,MATCH(ListOfExpenditure[[#This Row],[Content.contractId]],'Public procurment'!E:E,0),14),0)</f>
        <v>0</v>
      </c>
      <c r="AN315" s="2">
        <f>IF(AND(ListOfExpenditure[[#This Row],[Contract amount]]&gt;10000,ListOfExpenditure[[#This Row],[Content.declaredAmount]]&gt;2000),1,0)</f>
        <v>0</v>
      </c>
      <c r="AO315">
        <f>IFERROR(INDEX('Public procurment'!A:S,MATCH(ListOfExpenditure[[#This Row],[Content.contractId]],'Public procurment'!E:E,0),19),0)</f>
        <v>0</v>
      </c>
      <c r="AP315">
        <f>IF(ListOfExpenditure[[#This Row],[Numero di volte controllato il contract ]]&gt;0,0,ListOfExpenditure[[#This Row],[IF public procurment &gt;10000;1;0]])</f>
        <v>0</v>
      </c>
    </row>
    <row r="316" spans="1:42" x14ac:dyDescent="0.25">
      <c r="A316">
        <v>1008</v>
      </c>
      <c r="B316">
        <v>3</v>
      </c>
      <c r="E316" t="s">
        <v>4786</v>
      </c>
      <c r="F316" t="b">
        <v>1</v>
      </c>
      <c r="I316" t="s">
        <v>5087</v>
      </c>
      <c r="K316" t="s">
        <v>5091</v>
      </c>
      <c r="L316" t="s">
        <v>5091</v>
      </c>
      <c r="M316" t="s">
        <v>4788</v>
      </c>
      <c r="N316" t="s">
        <v>4788</v>
      </c>
      <c r="O316">
        <v>2494.31</v>
      </c>
      <c r="Q316">
        <v>0</v>
      </c>
      <c r="R316">
        <v>0</v>
      </c>
      <c r="S316">
        <v>2494.31</v>
      </c>
      <c r="T316" t="s">
        <v>4789</v>
      </c>
      <c r="U316">
        <v>1</v>
      </c>
      <c r="V316">
        <v>2494.31</v>
      </c>
      <c r="W316" t="s">
        <v>4343</v>
      </c>
      <c r="Y316" t="b">
        <v>1</v>
      </c>
      <c r="Z316" t="b">
        <v>0</v>
      </c>
      <c r="AA316">
        <v>2494.31</v>
      </c>
      <c r="AB316">
        <v>0</v>
      </c>
      <c r="AD316" t="b">
        <v>0</v>
      </c>
      <c r="AG316" s="1" t="s">
        <v>346</v>
      </c>
      <c r="AH316" s="1" t="s">
        <v>348</v>
      </c>
      <c r="AI316">
        <v>295</v>
      </c>
      <c r="AJ316">
        <v>190</v>
      </c>
      <c r="AK316" s="106">
        <v>45475.635506423612</v>
      </c>
      <c r="AL316" s="1" t="s">
        <v>4790</v>
      </c>
      <c r="AM316" s="42">
        <f>IFERROR(INDEX('Public procurment'!A:R,MATCH(ListOfExpenditure[[#This Row],[Content.contractId]],'Public procurment'!E:E,0),14),0)</f>
        <v>0</v>
      </c>
      <c r="AN316" s="2">
        <f>IF(AND(ListOfExpenditure[[#This Row],[Contract amount]]&gt;10000,ListOfExpenditure[[#This Row],[Content.declaredAmount]]&gt;2000),1,0)</f>
        <v>0</v>
      </c>
      <c r="AO316">
        <f>IFERROR(INDEX('Public procurment'!A:S,MATCH(ListOfExpenditure[[#This Row],[Content.contractId]],'Public procurment'!E:E,0),19),0)</f>
        <v>0</v>
      </c>
      <c r="AP316">
        <f>IF(ListOfExpenditure[[#This Row],[Numero di volte controllato il contract ]]&gt;0,0,ListOfExpenditure[[#This Row],[IF public procurment &gt;10000;1;0]])</f>
        <v>0</v>
      </c>
    </row>
    <row r="317" spans="1:42" x14ac:dyDescent="0.25">
      <c r="A317">
        <v>1009</v>
      </c>
      <c r="B317">
        <v>4</v>
      </c>
      <c r="E317" t="s">
        <v>4786</v>
      </c>
      <c r="F317" t="b">
        <v>1</v>
      </c>
      <c r="I317" t="s">
        <v>5087</v>
      </c>
      <c r="K317" t="s">
        <v>5092</v>
      </c>
      <c r="L317" t="s">
        <v>5092</v>
      </c>
      <c r="M317" t="s">
        <v>4788</v>
      </c>
      <c r="N317" t="s">
        <v>4788</v>
      </c>
      <c r="O317">
        <v>2711.73</v>
      </c>
      <c r="Q317">
        <v>0</v>
      </c>
      <c r="R317">
        <v>0</v>
      </c>
      <c r="S317">
        <v>2711.73</v>
      </c>
      <c r="T317" t="s">
        <v>4789</v>
      </c>
      <c r="U317">
        <v>1</v>
      </c>
      <c r="V317">
        <v>2711.73</v>
      </c>
      <c r="W317" t="s">
        <v>4343</v>
      </c>
      <c r="Y317" t="b">
        <v>1</v>
      </c>
      <c r="Z317" t="b">
        <v>0</v>
      </c>
      <c r="AA317">
        <v>2711.73</v>
      </c>
      <c r="AB317">
        <v>0</v>
      </c>
      <c r="AD317" t="b">
        <v>0</v>
      </c>
      <c r="AG317" s="1" t="s">
        <v>346</v>
      </c>
      <c r="AH317" s="1" t="s">
        <v>348</v>
      </c>
      <c r="AI317">
        <v>295</v>
      </c>
      <c r="AJ317">
        <v>190</v>
      </c>
      <c r="AK317" s="106">
        <v>45475.635506423612</v>
      </c>
      <c r="AL317" s="1" t="s">
        <v>4790</v>
      </c>
      <c r="AM317" s="42">
        <f>IFERROR(INDEX('Public procurment'!A:R,MATCH(ListOfExpenditure[[#This Row],[Content.contractId]],'Public procurment'!E:E,0),14),0)</f>
        <v>0</v>
      </c>
      <c r="AN317" s="2">
        <f>IF(AND(ListOfExpenditure[[#This Row],[Contract amount]]&gt;10000,ListOfExpenditure[[#This Row],[Content.declaredAmount]]&gt;2000),1,0)</f>
        <v>0</v>
      </c>
      <c r="AO317">
        <f>IFERROR(INDEX('Public procurment'!A:S,MATCH(ListOfExpenditure[[#This Row],[Content.contractId]],'Public procurment'!E:E,0),19),0)</f>
        <v>0</v>
      </c>
      <c r="AP317">
        <f>IF(ListOfExpenditure[[#This Row],[Numero di volte controllato il contract ]]&gt;0,0,ListOfExpenditure[[#This Row],[IF public procurment &gt;10000;1;0]])</f>
        <v>0</v>
      </c>
    </row>
    <row r="318" spans="1:42" x14ac:dyDescent="0.25">
      <c r="A318">
        <v>1010</v>
      </c>
      <c r="B318">
        <v>5</v>
      </c>
      <c r="E318" t="s">
        <v>4786</v>
      </c>
      <c r="F318" t="b">
        <v>1</v>
      </c>
      <c r="I318" t="s">
        <v>5087</v>
      </c>
      <c r="K318" t="s">
        <v>4682</v>
      </c>
      <c r="L318" t="s">
        <v>4682</v>
      </c>
      <c r="M318" t="s">
        <v>4788</v>
      </c>
      <c r="N318" t="s">
        <v>4788</v>
      </c>
      <c r="O318">
        <v>2669.58</v>
      </c>
      <c r="Q318">
        <v>0</v>
      </c>
      <c r="R318">
        <v>0</v>
      </c>
      <c r="S318">
        <v>2669.58</v>
      </c>
      <c r="T318" t="s">
        <v>4789</v>
      </c>
      <c r="U318">
        <v>1</v>
      </c>
      <c r="V318">
        <v>2669.58</v>
      </c>
      <c r="W318" t="s">
        <v>4343</v>
      </c>
      <c r="Y318" t="b">
        <v>1</v>
      </c>
      <c r="Z318" t="b">
        <v>0</v>
      </c>
      <c r="AA318">
        <v>2579.17</v>
      </c>
      <c r="AB318">
        <v>90.41</v>
      </c>
      <c r="AC318">
        <v>8</v>
      </c>
      <c r="AD318" t="b">
        <v>0</v>
      </c>
      <c r="AF318" t="s">
        <v>5090</v>
      </c>
      <c r="AG318" s="1" t="s">
        <v>346</v>
      </c>
      <c r="AH318" s="1" t="s">
        <v>348</v>
      </c>
      <c r="AI318">
        <v>295</v>
      </c>
      <c r="AJ318">
        <v>190</v>
      </c>
      <c r="AK318" s="106">
        <v>45475.635506423612</v>
      </c>
      <c r="AL318" s="1" t="s">
        <v>4790</v>
      </c>
      <c r="AM318" s="42">
        <f>IFERROR(INDEX('Public procurment'!A:R,MATCH(ListOfExpenditure[[#This Row],[Content.contractId]],'Public procurment'!E:E,0),14),0)</f>
        <v>0</v>
      </c>
      <c r="AN318" s="2">
        <f>IF(AND(ListOfExpenditure[[#This Row],[Contract amount]]&gt;10000,ListOfExpenditure[[#This Row],[Content.declaredAmount]]&gt;2000),1,0)</f>
        <v>0</v>
      </c>
      <c r="AO318">
        <f>IFERROR(INDEX('Public procurment'!A:S,MATCH(ListOfExpenditure[[#This Row],[Content.contractId]],'Public procurment'!E:E,0),19),0)</f>
        <v>0</v>
      </c>
      <c r="AP318">
        <f>IF(ListOfExpenditure[[#This Row],[Numero di volte controllato il contract ]]&gt;0,0,ListOfExpenditure[[#This Row],[IF public procurment &gt;10000;1;0]])</f>
        <v>0</v>
      </c>
    </row>
    <row r="319" spans="1:42" x14ac:dyDescent="0.25">
      <c r="A319">
        <v>1011</v>
      </c>
      <c r="B319">
        <v>6</v>
      </c>
      <c r="E319" t="s">
        <v>4798</v>
      </c>
      <c r="F319" t="b">
        <v>0</v>
      </c>
      <c r="G319">
        <v>389</v>
      </c>
      <c r="I319" t="s">
        <v>5093</v>
      </c>
      <c r="J319" t="s">
        <v>5094</v>
      </c>
      <c r="K319" t="s">
        <v>5027</v>
      </c>
      <c r="L319" t="s">
        <v>5029</v>
      </c>
      <c r="M319" t="s">
        <v>4788</v>
      </c>
      <c r="N319" t="s">
        <v>4788</v>
      </c>
      <c r="O319">
        <v>915</v>
      </c>
      <c r="P319">
        <v>165</v>
      </c>
      <c r="Q319">
        <v>0</v>
      </c>
      <c r="R319">
        <v>0</v>
      </c>
      <c r="S319">
        <v>915</v>
      </c>
      <c r="T319" t="s">
        <v>4789</v>
      </c>
      <c r="U319">
        <v>1</v>
      </c>
      <c r="V319">
        <v>915</v>
      </c>
      <c r="W319" t="s">
        <v>4343</v>
      </c>
      <c r="Y319" t="b">
        <v>1</v>
      </c>
      <c r="Z319" t="b">
        <v>0</v>
      </c>
      <c r="AA319">
        <v>915</v>
      </c>
      <c r="AB319">
        <v>0</v>
      </c>
      <c r="AD319" t="b">
        <v>0</v>
      </c>
      <c r="AG319" s="1" t="s">
        <v>346</v>
      </c>
      <c r="AH319" s="1" t="s">
        <v>348</v>
      </c>
      <c r="AI319">
        <v>295</v>
      </c>
      <c r="AJ319">
        <v>190</v>
      </c>
      <c r="AK319" s="106">
        <v>45475.635506423612</v>
      </c>
      <c r="AL319" s="1" t="s">
        <v>4790</v>
      </c>
      <c r="AM319" s="42">
        <f>IFERROR(INDEX('Public procurment'!A:R,MATCH(ListOfExpenditure[[#This Row],[Content.contractId]],'Public procurment'!E:E,0),14),0)</f>
        <v>0</v>
      </c>
      <c r="AN319" s="2">
        <f>IF(AND(ListOfExpenditure[[#This Row],[Contract amount]]&gt;10000,ListOfExpenditure[[#This Row],[Content.declaredAmount]]&gt;2000),1,0)</f>
        <v>0</v>
      </c>
      <c r="AO319">
        <f>IFERROR(INDEX('Public procurment'!A:S,MATCH(ListOfExpenditure[[#This Row],[Content.contractId]],'Public procurment'!E:E,0),19),0)</f>
        <v>0</v>
      </c>
      <c r="AP319">
        <f>IF(ListOfExpenditure[[#This Row],[Numero di volte controllato il contract ]]&gt;0,0,ListOfExpenditure[[#This Row],[IF public procurment &gt;10000;1;0]])</f>
        <v>0</v>
      </c>
    </row>
    <row r="320" spans="1:42" x14ac:dyDescent="0.25">
      <c r="A320">
        <v>1114</v>
      </c>
      <c r="B320">
        <v>7</v>
      </c>
      <c r="E320" t="s">
        <v>5095</v>
      </c>
      <c r="F320" t="b">
        <v>0</v>
      </c>
      <c r="I320" t="s">
        <v>5096</v>
      </c>
      <c r="J320" t="s">
        <v>5097</v>
      </c>
      <c r="K320" t="s">
        <v>4999</v>
      </c>
      <c r="L320" t="s">
        <v>4925</v>
      </c>
      <c r="M320" t="s">
        <v>4788</v>
      </c>
      <c r="N320" t="s">
        <v>4788</v>
      </c>
      <c r="O320">
        <v>873.02</v>
      </c>
      <c r="P320">
        <v>114.15</v>
      </c>
      <c r="Q320">
        <v>0</v>
      </c>
      <c r="R320">
        <v>0</v>
      </c>
      <c r="S320">
        <v>873.02</v>
      </c>
      <c r="T320" t="s">
        <v>4789</v>
      </c>
      <c r="U320">
        <v>1</v>
      </c>
      <c r="V320">
        <v>873.02</v>
      </c>
      <c r="W320" t="s">
        <v>4343</v>
      </c>
      <c r="Y320" t="b">
        <v>1</v>
      </c>
      <c r="Z320" t="b">
        <v>0</v>
      </c>
      <c r="AA320">
        <v>873.02</v>
      </c>
      <c r="AB320">
        <v>0</v>
      </c>
      <c r="AD320" t="b">
        <v>0</v>
      </c>
      <c r="AG320" s="1" t="s">
        <v>346</v>
      </c>
      <c r="AH320" s="1" t="s">
        <v>348</v>
      </c>
      <c r="AI320">
        <v>295</v>
      </c>
      <c r="AJ320">
        <v>190</v>
      </c>
      <c r="AK320" s="106">
        <v>45475.635506423612</v>
      </c>
      <c r="AL320" s="1" t="s">
        <v>4790</v>
      </c>
      <c r="AM320" s="42">
        <f>IFERROR(INDEX('Public procurment'!A:R,MATCH(ListOfExpenditure[[#This Row],[Content.contractId]],'Public procurment'!E:E,0),14),0)</f>
        <v>0</v>
      </c>
      <c r="AN320" s="2">
        <f>IF(AND(ListOfExpenditure[[#This Row],[Contract amount]]&gt;10000,ListOfExpenditure[[#This Row],[Content.declaredAmount]]&gt;2000),1,0)</f>
        <v>0</v>
      </c>
      <c r="AO320">
        <f>IFERROR(INDEX('Public procurment'!A:S,MATCH(ListOfExpenditure[[#This Row],[Content.contractId]],'Public procurment'!E:E,0),19),0)</f>
        <v>0</v>
      </c>
      <c r="AP320">
        <f>IF(ListOfExpenditure[[#This Row],[Numero di volte controllato il contract ]]&gt;0,0,ListOfExpenditure[[#This Row],[IF public procurment &gt;10000;1;0]])</f>
        <v>0</v>
      </c>
    </row>
    <row r="321" spans="1:42" x14ac:dyDescent="0.25">
      <c r="A321">
        <v>1827</v>
      </c>
      <c r="B321">
        <v>8</v>
      </c>
      <c r="E321" t="s">
        <v>4786</v>
      </c>
      <c r="F321" t="b">
        <v>1</v>
      </c>
      <c r="I321" t="s">
        <v>5087</v>
      </c>
      <c r="M321" t="s">
        <v>4788</v>
      </c>
      <c r="N321" t="s">
        <v>4788</v>
      </c>
      <c r="O321">
        <v>1203.3599999999999</v>
      </c>
      <c r="Q321">
        <v>0</v>
      </c>
      <c r="R321">
        <v>0</v>
      </c>
      <c r="S321">
        <v>401.12</v>
      </c>
      <c r="T321" t="s">
        <v>4789</v>
      </c>
      <c r="U321">
        <v>1</v>
      </c>
      <c r="V321">
        <v>401.12</v>
      </c>
      <c r="W321" t="s">
        <v>4343</v>
      </c>
      <c r="Y321" t="b">
        <v>1</v>
      </c>
      <c r="Z321" t="b">
        <v>0</v>
      </c>
      <c r="AA321">
        <v>0</v>
      </c>
      <c r="AB321">
        <v>401.12</v>
      </c>
      <c r="AC321">
        <v>7</v>
      </c>
      <c r="AD321" t="b">
        <v>0</v>
      </c>
      <c r="AF321" t="s">
        <v>5098</v>
      </c>
      <c r="AG321" s="1" t="s">
        <v>346</v>
      </c>
      <c r="AH321" s="1" t="s">
        <v>348</v>
      </c>
      <c r="AI321">
        <v>295</v>
      </c>
      <c r="AJ321">
        <v>190</v>
      </c>
      <c r="AK321" s="106">
        <v>45475.635506423612</v>
      </c>
      <c r="AL321" s="1" t="s">
        <v>4790</v>
      </c>
      <c r="AM321" s="42">
        <f>IFERROR(INDEX('Public procurment'!A:R,MATCH(ListOfExpenditure[[#This Row],[Content.contractId]],'Public procurment'!E:E,0),14),0)</f>
        <v>0</v>
      </c>
      <c r="AN321" s="2">
        <f>IF(AND(ListOfExpenditure[[#This Row],[Contract amount]]&gt;10000,ListOfExpenditure[[#This Row],[Content.declaredAmount]]&gt;2000),1,0)</f>
        <v>0</v>
      </c>
      <c r="AO321">
        <f>IFERROR(INDEX('Public procurment'!A:S,MATCH(ListOfExpenditure[[#This Row],[Content.contractId]],'Public procurment'!E:E,0),19),0)</f>
        <v>0</v>
      </c>
      <c r="AP321">
        <f>IF(ListOfExpenditure[[#This Row],[Numero di volte controllato il contract ]]&gt;0,0,ListOfExpenditure[[#This Row],[IF public procurment &gt;10000;1;0]])</f>
        <v>0</v>
      </c>
    </row>
    <row r="322" spans="1:42" x14ac:dyDescent="0.25">
      <c r="A322">
        <v>961</v>
      </c>
      <c r="B322">
        <v>1</v>
      </c>
      <c r="C322">
        <v>154</v>
      </c>
      <c r="E322" t="s">
        <v>4893</v>
      </c>
      <c r="F322" t="b">
        <v>0</v>
      </c>
      <c r="M322" t="s">
        <v>4788</v>
      </c>
      <c r="N322" t="s">
        <v>4788</v>
      </c>
      <c r="Q322">
        <v>1</v>
      </c>
      <c r="R322">
        <v>9000</v>
      </c>
      <c r="S322">
        <v>9000</v>
      </c>
      <c r="T322" t="s">
        <v>4789</v>
      </c>
      <c r="U322">
        <v>1</v>
      </c>
      <c r="V322">
        <v>9000</v>
      </c>
      <c r="Y322" t="b">
        <v>1</v>
      </c>
      <c r="Z322" t="b">
        <v>0</v>
      </c>
      <c r="AA322">
        <v>9000</v>
      </c>
      <c r="AB322">
        <v>0</v>
      </c>
      <c r="AD322" t="b">
        <v>0</v>
      </c>
      <c r="AG322" s="1" t="s">
        <v>346</v>
      </c>
      <c r="AH322" s="1" t="s">
        <v>285</v>
      </c>
      <c r="AI322">
        <v>257</v>
      </c>
      <c r="AJ322">
        <v>197</v>
      </c>
      <c r="AK322" s="106">
        <v>45475.635489293978</v>
      </c>
      <c r="AL322" s="1" t="s">
        <v>4790</v>
      </c>
      <c r="AM322" s="42">
        <f>IFERROR(INDEX('Public procurment'!A:R,MATCH(ListOfExpenditure[[#This Row],[Content.contractId]],'Public procurment'!E:E,0),14),0)</f>
        <v>0</v>
      </c>
      <c r="AN322" s="2">
        <f>IF(AND(ListOfExpenditure[[#This Row],[Contract amount]]&gt;10000,ListOfExpenditure[[#This Row],[Content.declaredAmount]]&gt;2000),1,0)</f>
        <v>0</v>
      </c>
      <c r="AO322">
        <f>IFERROR(INDEX('Public procurment'!A:S,MATCH(ListOfExpenditure[[#This Row],[Content.contractId]],'Public procurment'!E:E,0),19),0)</f>
        <v>0</v>
      </c>
      <c r="AP322">
        <f>IF(ListOfExpenditure[[#This Row],[Numero di volte controllato il contract ]]&gt;0,0,ListOfExpenditure[[#This Row],[IF public procurment &gt;10000;1;0]])</f>
        <v>0</v>
      </c>
    </row>
    <row r="323" spans="1:42" x14ac:dyDescent="0.25">
      <c r="A323">
        <v>962</v>
      </c>
      <c r="B323">
        <v>2</v>
      </c>
      <c r="E323" t="s">
        <v>4786</v>
      </c>
      <c r="F323" t="b">
        <v>1</v>
      </c>
      <c r="I323" t="s">
        <v>5023</v>
      </c>
      <c r="K323" t="s">
        <v>4342</v>
      </c>
      <c r="L323" t="s">
        <v>5024</v>
      </c>
      <c r="M323" t="s">
        <v>4788</v>
      </c>
      <c r="N323" t="s">
        <v>4788</v>
      </c>
      <c r="O323">
        <v>2985.24</v>
      </c>
      <c r="Q323">
        <v>0</v>
      </c>
      <c r="R323">
        <v>0</v>
      </c>
      <c r="S323">
        <v>2985.24</v>
      </c>
      <c r="T323" t="s">
        <v>4789</v>
      </c>
      <c r="U323">
        <v>1</v>
      </c>
      <c r="V323">
        <v>2985.24</v>
      </c>
      <c r="W323" t="s">
        <v>4343</v>
      </c>
      <c r="Y323" t="b">
        <v>1</v>
      </c>
      <c r="Z323" t="b">
        <v>0</v>
      </c>
      <c r="AA323">
        <v>2985.24</v>
      </c>
      <c r="AB323">
        <v>0</v>
      </c>
      <c r="AD323" t="b">
        <v>0</v>
      </c>
      <c r="AG323" s="1" t="s">
        <v>346</v>
      </c>
      <c r="AH323" s="1" t="s">
        <v>285</v>
      </c>
      <c r="AI323">
        <v>257</v>
      </c>
      <c r="AJ323">
        <v>197</v>
      </c>
      <c r="AK323" s="106">
        <v>45475.635489293978</v>
      </c>
      <c r="AL323" s="1" t="s">
        <v>4790</v>
      </c>
      <c r="AM323" s="42">
        <f>IFERROR(INDEX('Public procurment'!A:R,MATCH(ListOfExpenditure[[#This Row],[Content.contractId]],'Public procurment'!E:E,0),14),0)</f>
        <v>0</v>
      </c>
      <c r="AN323" s="2">
        <f>IF(AND(ListOfExpenditure[[#This Row],[Contract amount]]&gt;10000,ListOfExpenditure[[#This Row],[Content.declaredAmount]]&gt;2000),1,0)</f>
        <v>0</v>
      </c>
      <c r="AO323">
        <f>IFERROR(INDEX('Public procurment'!A:S,MATCH(ListOfExpenditure[[#This Row],[Content.contractId]],'Public procurment'!E:E,0),19),0)</f>
        <v>0</v>
      </c>
      <c r="AP323">
        <f>IF(ListOfExpenditure[[#This Row],[Numero di volte controllato il contract ]]&gt;0,0,ListOfExpenditure[[#This Row],[IF public procurment &gt;10000;1;0]])</f>
        <v>0</v>
      </c>
    </row>
    <row r="324" spans="1:42" x14ac:dyDescent="0.25">
      <c r="A324">
        <v>963</v>
      </c>
      <c r="B324">
        <v>3</v>
      </c>
      <c r="E324" t="s">
        <v>4786</v>
      </c>
      <c r="F324" t="b">
        <v>1</v>
      </c>
      <c r="I324" t="s">
        <v>5099</v>
      </c>
      <c r="K324" t="s">
        <v>4359</v>
      </c>
      <c r="L324" t="s">
        <v>4957</v>
      </c>
      <c r="M324" t="s">
        <v>4788</v>
      </c>
      <c r="N324" t="s">
        <v>4788</v>
      </c>
      <c r="O324">
        <v>3179.96</v>
      </c>
      <c r="Q324">
        <v>0</v>
      </c>
      <c r="R324">
        <v>0</v>
      </c>
      <c r="S324">
        <v>3179.96</v>
      </c>
      <c r="T324" t="s">
        <v>4789</v>
      </c>
      <c r="U324">
        <v>1</v>
      </c>
      <c r="V324">
        <v>3179.96</v>
      </c>
      <c r="W324" t="s">
        <v>4343</v>
      </c>
      <c r="Y324" t="b">
        <v>1</v>
      </c>
      <c r="Z324" t="b">
        <v>0</v>
      </c>
      <c r="AA324">
        <v>3179.96</v>
      </c>
      <c r="AB324">
        <v>0</v>
      </c>
      <c r="AD324" t="b">
        <v>0</v>
      </c>
      <c r="AG324" s="1" t="s">
        <v>346</v>
      </c>
      <c r="AH324" s="1" t="s">
        <v>285</v>
      </c>
      <c r="AI324">
        <v>257</v>
      </c>
      <c r="AJ324">
        <v>197</v>
      </c>
      <c r="AK324" s="106">
        <v>45475.635489293978</v>
      </c>
      <c r="AL324" s="1" t="s">
        <v>4790</v>
      </c>
      <c r="AM324" s="42">
        <f>IFERROR(INDEX('Public procurment'!A:R,MATCH(ListOfExpenditure[[#This Row],[Content.contractId]],'Public procurment'!E:E,0),14),0)</f>
        <v>0</v>
      </c>
      <c r="AN324" s="2">
        <f>IF(AND(ListOfExpenditure[[#This Row],[Contract amount]]&gt;10000,ListOfExpenditure[[#This Row],[Content.declaredAmount]]&gt;2000),1,0)</f>
        <v>0</v>
      </c>
      <c r="AO324">
        <f>IFERROR(INDEX('Public procurment'!A:S,MATCH(ListOfExpenditure[[#This Row],[Content.contractId]],'Public procurment'!E:E,0),19),0)</f>
        <v>0</v>
      </c>
      <c r="AP324">
        <f>IF(ListOfExpenditure[[#This Row],[Numero di volte controllato il contract ]]&gt;0,0,ListOfExpenditure[[#This Row],[IF public procurment &gt;10000;1;0]])</f>
        <v>0</v>
      </c>
    </row>
    <row r="325" spans="1:42" x14ac:dyDescent="0.25">
      <c r="A325">
        <v>964</v>
      </c>
      <c r="B325">
        <v>4</v>
      </c>
      <c r="E325" t="s">
        <v>4786</v>
      </c>
      <c r="F325" t="b">
        <v>1</v>
      </c>
      <c r="I325" t="s">
        <v>5100</v>
      </c>
      <c r="K325" t="s">
        <v>4931</v>
      </c>
      <c r="L325" t="s">
        <v>5027</v>
      </c>
      <c r="M325" t="s">
        <v>4788</v>
      </c>
      <c r="N325" t="s">
        <v>4788</v>
      </c>
      <c r="O325">
        <v>2935.18</v>
      </c>
      <c r="Q325">
        <v>0</v>
      </c>
      <c r="R325">
        <v>0</v>
      </c>
      <c r="S325">
        <v>2935.18</v>
      </c>
      <c r="T325" t="s">
        <v>4789</v>
      </c>
      <c r="U325">
        <v>1</v>
      </c>
      <c r="V325">
        <v>2935.18</v>
      </c>
      <c r="W325" t="s">
        <v>4343</v>
      </c>
      <c r="Y325" t="b">
        <v>1</v>
      </c>
      <c r="Z325" t="b">
        <v>0</v>
      </c>
      <c r="AA325">
        <v>2935.18</v>
      </c>
      <c r="AB325">
        <v>0</v>
      </c>
      <c r="AD325" t="b">
        <v>0</v>
      </c>
      <c r="AG325" s="1" t="s">
        <v>346</v>
      </c>
      <c r="AH325" s="1" t="s">
        <v>285</v>
      </c>
      <c r="AI325">
        <v>257</v>
      </c>
      <c r="AJ325">
        <v>197</v>
      </c>
      <c r="AK325" s="106">
        <v>45475.635489293978</v>
      </c>
      <c r="AL325" s="1" t="s">
        <v>4790</v>
      </c>
      <c r="AM325" s="42">
        <f>IFERROR(INDEX('Public procurment'!A:R,MATCH(ListOfExpenditure[[#This Row],[Content.contractId]],'Public procurment'!E:E,0),14),0)</f>
        <v>0</v>
      </c>
      <c r="AN325" s="2">
        <f>IF(AND(ListOfExpenditure[[#This Row],[Contract amount]]&gt;10000,ListOfExpenditure[[#This Row],[Content.declaredAmount]]&gt;2000),1,0)</f>
        <v>0</v>
      </c>
      <c r="AO325">
        <f>IFERROR(INDEX('Public procurment'!A:S,MATCH(ListOfExpenditure[[#This Row],[Content.contractId]],'Public procurment'!E:E,0),19),0)</f>
        <v>0</v>
      </c>
      <c r="AP325">
        <f>IF(ListOfExpenditure[[#This Row],[Numero di volte controllato il contract ]]&gt;0,0,ListOfExpenditure[[#This Row],[IF public procurment &gt;10000;1;0]])</f>
        <v>0</v>
      </c>
    </row>
    <row r="326" spans="1:42" x14ac:dyDescent="0.25">
      <c r="A326">
        <v>965</v>
      </c>
      <c r="B326">
        <v>5</v>
      </c>
      <c r="E326" t="s">
        <v>4786</v>
      </c>
      <c r="F326" t="b">
        <v>1</v>
      </c>
      <c r="I326" t="s">
        <v>5101</v>
      </c>
      <c r="K326" t="s">
        <v>4525</v>
      </c>
      <c r="L326" t="s">
        <v>5029</v>
      </c>
      <c r="M326" t="s">
        <v>4788</v>
      </c>
      <c r="N326" t="s">
        <v>4788</v>
      </c>
      <c r="O326">
        <v>3160.4</v>
      </c>
      <c r="Q326">
        <v>0</v>
      </c>
      <c r="R326">
        <v>0</v>
      </c>
      <c r="S326">
        <v>3160.4</v>
      </c>
      <c r="T326" t="s">
        <v>4789</v>
      </c>
      <c r="U326">
        <v>1</v>
      </c>
      <c r="V326">
        <v>3160.4</v>
      </c>
      <c r="W326" t="s">
        <v>4343</v>
      </c>
      <c r="Y326" t="b">
        <v>1</v>
      </c>
      <c r="Z326" t="b">
        <v>0</v>
      </c>
      <c r="AA326">
        <v>3160.4</v>
      </c>
      <c r="AB326">
        <v>0</v>
      </c>
      <c r="AD326" t="b">
        <v>0</v>
      </c>
      <c r="AG326" s="1" t="s">
        <v>346</v>
      </c>
      <c r="AH326" s="1" t="s">
        <v>285</v>
      </c>
      <c r="AI326">
        <v>257</v>
      </c>
      <c r="AJ326">
        <v>197</v>
      </c>
      <c r="AK326" s="106">
        <v>45475.635489293978</v>
      </c>
      <c r="AL326" s="1" t="s">
        <v>4790</v>
      </c>
      <c r="AM326" s="42">
        <f>IFERROR(INDEX('Public procurment'!A:R,MATCH(ListOfExpenditure[[#This Row],[Content.contractId]],'Public procurment'!E:E,0),14),0)</f>
        <v>0</v>
      </c>
      <c r="AN326" s="2">
        <f>IF(AND(ListOfExpenditure[[#This Row],[Contract amount]]&gt;10000,ListOfExpenditure[[#This Row],[Content.declaredAmount]]&gt;2000),1,0)</f>
        <v>0</v>
      </c>
      <c r="AO326">
        <f>IFERROR(INDEX('Public procurment'!A:S,MATCH(ListOfExpenditure[[#This Row],[Content.contractId]],'Public procurment'!E:E,0),19),0)</f>
        <v>0</v>
      </c>
      <c r="AP326">
        <f>IF(ListOfExpenditure[[#This Row],[Numero di volte controllato il contract ]]&gt;0,0,ListOfExpenditure[[#This Row],[IF public procurment &gt;10000;1;0]])</f>
        <v>0</v>
      </c>
    </row>
    <row r="327" spans="1:42" x14ac:dyDescent="0.25">
      <c r="A327">
        <v>966</v>
      </c>
      <c r="B327">
        <v>6</v>
      </c>
      <c r="E327" t="s">
        <v>4786</v>
      </c>
      <c r="F327" t="b">
        <v>1</v>
      </c>
      <c r="I327" t="s">
        <v>5102</v>
      </c>
      <c r="K327" t="s">
        <v>4678</v>
      </c>
      <c r="L327" t="s">
        <v>4835</v>
      </c>
      <c r="M327" t="s">
        <v>4788</v>
      </c>
      <c r="N327" t="s">
        <v>4788</v>
      </c>
      <c r="O327">
        <v>2768.89</v>
      </c>
      <c r="Q327">
        <v>0</v>
      </c>
      <c r="R327">
        <v>0</v>
      </c>
      <c r="S327">
        <v>2768.89</v>
      </c>
      <c r="T327" t="s">
        <v>4789</v>
      </c>
      <c r="U327">
        <v>1</v>
      </c>
      <c r="V327">
        <v>2768.89</v>
      </c>
      <c r="W327" t="s">
        <v>4343</v>
      </c>
      <c r="Y327" t="b">
        <v>1</v>
      </c>
      <c r="Z327" t="b">
        <v>0</v>
      </c>
      <c r="AA327">
        <v>2768.89</v>
      </c>
      <c r="AB327">
        <v>0</v>
      </c>
      <c r="AD327" t="b">
        <v>0</v>
      </c>
      <c r="AG327" s="1" t="s">
        <v>346</v>
      </c>
      <c r="AH327" s="1" t="s">
        <v>285</v>
      </c>
      <c r="AI327">
        <v>257</v>
      </c>
      <c r="AJ327">
        <v>197</v>
      </c>
      <c r="AK327" s="106">
        <v>45475.635489293978</v>
      </c>
      <c r="AL327" s="1" t="s">
        <v>4790</v>
      </c>
      <c r="AM327" s="42">
        <f>IFERROR(INDEX('Public procurment'!A:R,MATCH(ListOfExpenditure[[#This Row],[Content.contractId]],'Public procurment'!E:E,0),14),0)</f>
        <v>0</v>
      </c>
      <c r="AN327" s="2">
        <f>IF(AND(ListOfExpenditure[[#This Row],[Contract amount]]&gt;10000,ListOfExpenditure[[#This Row],[Content.declaredAmount]]&gt;2000),1,0)</f>
        <v>0</v>
      </c>
      <c r="AO327">
        <f>IFERROR(INDEX('Public procurment'!A:S,MATCH(ListOfExpenditure[[#This Row],[Content.contractId]],'Public procurment'!E:E,0),19),0)</f>
        <v>0</v>
      </c>
      <c r="AP327">
        <f>IF(ListOfExpenditure[[#This Row],[Numero di volte controllato il contract ]]&gt;0,0,ListOfExpenditure[[#This Row],[IF public procurment &gt;10000;1;0]])</f>
        <v>0</v>
      </c>
    </row>
    <row r="328" spans="1:42" x14ac:dyDescent="0.25">
      <c r="A328">
        <v>968</v>
      </c>
      <c r="B328">
        <v>7</v>
      </c>
      <c r="E328" t="s">
        <v>4786</v>
      </c>
      <c r="F328" t="b">
        <v>1</v>
      </c>
      <c r="I328" t="s">
        <v>5023</v>
      </c>
      <c r="K328" t="s">
        <v>4342</v>
      </c>
      <c r="L328" t="s">
        <v>5024</v>
      </c>
      <c r="M328" t="s">
        <v>4788</v>
      </c>
      <c r="N328" t="s">
        <v>4788</v>
      </c>
      <c r="O328">
        <v>2632.98</v>
      </c>
      <c r="Q328">
        <v>0</v>
      </c>
      <c r="R328">
        <v>0</v>
      </c>
      <c r="S328">
        <v>2632.98</v>
      </c>
      <c r="T328" t="s">
        <v>4789</v>
      </c>
      <c r="U328">
        <v>1</v>
      </c>
      <c r="V328">
        <v>2632.98</v>
      </c>
      <c r="W328" t="s">
        <v>4343</v>
      </c>
      <c r="Y328" t="b">
        <v>1</v>
      </c>
      <c r="Z328" t="b">
        <v>0</v>
      </c>
      <c r="AA328">
        <v>2632.98</v>
      </c>
      <c r="AB328">
        <v>0</v>
      </c>
      <c r="AD328" t="b">
        <v>0</v>
      </c>
      <c r="AG328" s="1" t="s">
        <v>346</v>
      </c>
      <c r="AH328" s="1" t="s">
        <v>285</v>
      </c>
      <c r="AI328">
        <v>257</v>
      </c>
      <c r="AJ328">
        <v>197</v>
      </c>
      <c r="AK328" s="106">
        <v>45475.635489293978</v>
      </c>
      <c r="AL328" s="1" t="s">
        <v>4790</v>
      </c>
      <c r="AM328" s="42">
        <f>IFERROR(INDEX('Public procurment'!A:R,MATCH(ListOfExpenditure[[#This Row],[Content.contractId]],'Public procurment'!E:E,0),14),0)</f>
        <v>0</v>
      </c>
      <c r="AN328" s="2">
        <f>IF(AND(ListOfExpenditure[[#This Row],[Contract amount]]&gt;10000,ListOfExpenditure[[#This Row],[Content.declaredAmount]]&gt;2000),1,0)</f>
        <v>0</v>
      </c>
      <c r="AO328">
        <f>IFERROR(INDEX('Public procurment'!A:S,MATCH(ListOfExpenditure[[#This Row],[Content.contractId]],'Public procurment'!E:E,0),19),0)</f>
        <v>0</v>
      </c>
      <c r="AP328">
        <f>IF(ListOfExpenditure[[#This Row],[Numero di volte controllato il contract ]]&gt;0,0,ListOfExpenditure[[#This Row],[IF public procurment &gt;10000;1;0]])</f>
        <v>0</v>
      </c>
    </row>
    <row r="329" spans="1:42" x14ac:dyDescent="0.25">
      <c r="A329">
        <v>969</v>
      </c>
      <c r="B329">
        <v>8</v>
      </c>
      <c r="E329" t="s">
        <v>4786</v>
      </c>
      <c r="F329" t="b">
        <v>1</v>
      </c>
      <c r="I329" t="s">
        <v>5099</v>
      </c>
      <c r="K329" t="s">
        <v>4359</v>
      </c>
      <c r="L329" t="s">
        <v>4957</v>
      </c>
      <c r="M329" t="s">
        <v>4788</v>
      </c>
      <c r="N329" t="s">
        <v>4788</v>
      </c>
      <c r="O329">
        <v>2859.01</v>
      </c>
      <c r="Q329">
        <v>0</v>
      </c>
      <c r="R329">
        <v>0</v>
      </c>
      <c r="S329">
        <v>2859.01</v>
      </c>
      <c r="T329" t="s">
        <v>4789</v>
      </c>
      <c r="U329">
        <v>1</v>
      </c>
      <c r="V329">
        <v>2859.01</v>
      </c>
      <c r="W329" t="s">
        <v>4343</v>
      </c>
      <c r="Y329" t="b">
        <v>1</v>
      </c>
      <c r="Z329" t="b">
        <v>0</v>
      </c>
      <c r="AA329">
        <v>2859.01</v>
      </c>
      <c r="AB329">
        <v>0</v>
      </c>
      <c r="AD329" t="b">
        <v>0</v>
      </c>
      <c r="AG329" s="1" t="s">
        <v>346</v>
      </c>
      <c r="AH329" s="1" t="s">
        <v>285</v>
      </c>
      <c r="AI329">
        <v>257</v>
      </c>
      <c r="AJ329">
        <v>197</v>
      </c>
      <c r="AK329" s="106">
        <v>45475.635489293978</v>
      </c>
      <c r="AL329" s="1" t="s">
        <v>4790</v>
      </c>
      <c r="AM329" s="42">
        <f>IFERROR(INDEX('Public procurment'!A:R,MATCH(ListOfExpenditure[[#This Row],[Content.contractId]],'Public procurment'!E:E,0),14),0)</f>
        <v>0</v>
      </c>
      <c r="AN329" s="2">
        <f>IF(AND(ListOfExpenditure[[#This Row],[Contract amount]]&gt;10000,ListOfExpenditure[[#This Row],[Content.declaredAmount]]&gt;2000),1,0)</f>
        <v>0</v>
      </c>
      <c r="AO329">
        <f>IFERROR(INDEX('Public procurment'!A:S,MATCH(ListOfExpenditure[[#This Row],[Content.contractId]],'Public procurment'!E:E,0),19),0)</f>
        <v>0</v>
      </c>
      <c r="AP329">
        <f>IF(ListOfExpenditure[[#This Row],[Numero di volte controllato il contract ]]&gt;0,0,ListOfExpenditure[[#This Row],[IF public procurment &gt;10000;1;0]])</f>
        <v>0</v>
      </c>
    </row>
    <row r="330" spans="1:42" x14ac:dyDescent="0.25">
      <c r="A330">
        <v>970</v>
      </c>
      <c r="B330">
        <v>9</v>
      </c>
      <c r="E330" t="s">
        <v>4786</v>
      </c>
      <c r="F330" t="b">
        <v>1</v>
      </c>
      <c r="I330" t="s">
        <v>5100</v>
      </c>
      <c r="K330" t="s">
        <v>4931</v>
      </c>
      <c r="L330" t="s">
        <v>5027</v>
      </c>
      <c r="M330" t="s">
        <v>4788</v>
      </c>
      <c r="N330" t="s">
        <v>4788</v>
      </c>
      <c r="O330">
        <v>2890.98</v>
      </c>
      <c r="Q330">
        <v>0</v>
      </c>
      <c r="R330">
        <v>0</v>
      </c>
      <c r="S330">
        <v>2890.98</v>
      </c>
      <c r="T330" t="s">
        <v>4789</v>
      </c>
      <c r="U330">
        <v>1</v>
      </c>
      <c r="V330">
        <v>2890.98</v>
      </c>
      <c r="W330" t="s">
        <v>4343</v>
      </c>
      <c r="Y330" t="b">
        <v>1</v>
      </c>
      <c r="Z330" t="b">
        <v>0</v>
      </c>
      <c r="AA330">
        <v>2890.98</v>
      </c>
      <c r="AB330">
        <v>0</v>
      </c>
      <c r="AD330" t="b">
        <v>0</v>
      </c>
      <c r="AG330" s="1" t="s">
        <v>346</v>
      </c>
      <c r="AH330" s="1" t="s">
        <v>285</v>
      </c>
      <c r="AI330">
        <v>257</v>
      </c>
      <c r="AJ330">
        <v>197</v>
      </c>
      <c r="AK330" s="106">
        <v>45475.635489293978</v>
      </c>
      <c r="AL330" s="1" t="s">
        <v>4790</v>
      </c>
      <c r="AM330" s="42">
        <f>IFERROR(INDEX('Public procurment'!A:R,MATCH(ListOfExpenditure[[#This Row],[Content.contractId]],'Public procurment'!E:E,0),14),0)</f>
        <v>0</v>
      </c>
      <c r="AN330" s="2">
        <f>IF(AND(ListOfExpenditure[[#This Row],[Contract amount]]&gt;10000,ListOfExpenditure[[#This Row],[Content.declaredAmount]]&gt;2000),1,0)</f>
        <v>0</v>
      </c>
      <c r="AO330">
        <f>IFERROR(INDEX('Public procurment'!A:S,MATCH(ListOfExpenditure[[#This Row],[Content.contractId]],'Public procurment'!E:E,0),19),0)</f>
        <v>0</v>
      </c>
      <c r="AP330">
        <f>IF(ListOfExpenditure[[#This Row],[Numero di volte controllato il contract ]]&gt;0,0,ListOfExpenditure[[#This Row],[IF public procurment &gt;10000;1;0]])</f>
        <v>0</v>
      </c>
    </row>
    <row r="331" spans="1:42" x14ac:dyDescent="0.25">
      <c r="A331">
        <v>989</v>
      </c>
      <c r="B331">
        <v>10</v>
      </c>
      <c r="E331" t="s">
        <v>4786</v>
      </c>
      <c r="F331" t="b">
        <v>1</v>
      </c>
      <c r="I331" t="s">
        <v>5101</v>
      </c>
      <c r="K331" t="s">
        <v>4525</v>
      </c>
      <c r="L331" t="s">
        <v>5029</v>
      </c>
      <c r="M331" t="s">
        <v>4788</v>
      </c>
      <c r="N331" t="s">
        <v>4788</v>
      </c>
      <c r="O331">
        <v>2801.83</v>
      </c>
      <c r="Q331">
        <v>0</v>
      </c>
      <c r="R331">
        <v>0</v>
      </c>
      <c r="S331">
        <v>2801.83</v>
      </c>
      <c r="T331" t="s">
        <v>4789</v>
      </c>
      <c r="U331">
        <v>1</v>
      </c>
      <c r="V331">
        <v>2801.83</v>
      </c>
      <c r="W331" t="s">
        <v>4343</v>
      </c>
      <c r="Y331" t="b">
        <v>1</v>
      </c>
      <c r="Z331" t="b">
        <v>0</v>
      </c>
      <c r="AA331">
        <v>2801.83</v>
      </c>
      <c r="AB331">
        <v>0</v>
      </c>
      <c r="AD331" t="b">
        <v>0</v>
      </c>
      <c r="AG331" s="1" t="s">
        <v>346</v>
      </c>
      <c r="AH331" s="1" t="s">
        <v>285</v>
      </c>
      <c r="AI331">
        <v>257</v>
      </c>
      <c r="AJ331">
        <v>197</v>
      </c>
      <c r="AK331" s="106">
        <v>45475.635489293978</v>
      </c>
      <c r="AL331" s="1" t="s">
        <v>4790</v>
      </c>
      <c r="AM331" s="42">
        <f>IFERROR(INDEX('Public procurment'!A:R,MATCH(ListOfExpenditure[[#This Row],[Content.contractId]],'Public procurment'!E:E,0),14),0)</f>
        <v>0</v>
      </c>
      <c r="AN331" s="2">
        <f>IF(AND(ListOfExpenditure[[#This Row],[Contract amount]]&gt;10000,ListOfExpenditure[[#This Row],[Content.declaredAmount]]&gt;2000),1,0)</f>
        <v>0</v>
      </c>
      <c r="AO331">
        <f>IFERROR(INDEX('Public procurment'!A:S,MATCH(ListOfExpenditure[[#This Row],[Content.contractId]],'Public procurment'!E:E,0),19),0)</f>
        <v>0</v>
      </c>
      <c r="AP331">
        <f>IF(ListOfExpenditure[[#This Row],[Numero di volte controllato il contract ]]&gt;0,0,ListOfExpenditure[[#This Row],[IF public procurment &gt;10000;1;0]])</f>
        <v>0</v>
      </c>
    </row>
    <row r="332" spans="1:42" x14ac:dyDescent="0.25">
      <c r="A332">
        <v>990</v>
      </c>
      <c r="B332">
        <v>11</v>
      </c>
      <c r="E332" t="s">
        <v>4786</v>
      </c>
      <c r="F332" t="b">
        <v>1</v>
      </c>
      <c r="I332" t="s">
        <v>5102</v>
      </c>
      <c r="K332" t="s">
        <v>4678</v>
      </c>
      <c r="L332" t="s">
        <v>4835</v>
      </c>
      <c r="M332" t="s">
        <v>4788</v>
      </c>
      <c r="N332" t="s">
        <v>4788</v>
      </c>
      <c r="O332">
        <v>2557.5300000000002</v>
      </c>
      <c r="Q332">
        <v>0</v>
      </c>
      <c r="R332">
        <v>0</v>
      </c>
      <c r="S332">
        <v>2557.5300000000002</v>
      </c>
      <c r="T332" t="s">
        <v>4789</v>
      </c>
      <c r="U332">
        <v>1</v>
      </c>
      <c r="V332">
        <v>2557.5300000000002</v>
      </c>
      <c r="W332" t="s">
        <v>4343</v>
      </c>
      <c r="Y332" t="b">
        <v>1</v>
      </c>
      <c r="Z332" t="b">
        <v>0</v>
      </c>
      <c r="AA332">
        <v>2557.5300000000002</v>
      </c>
      <c r="AB332">
        <v>0</v>
      </c>
      <c r="AD332" t="b">
        <v>0</v>
      </c>
      <c r="AG332" s="1" t="s">
        <v>346</v>
      </c>
      <c r="AH332" s="1" t="s">
        <v>285</v>
      </c>
      <c r="AI332">
        <v>257</v>
      </c>
      <c r="AJ332">
        <v>197</v>
      </c>
      <c r="AK332" s="106">
        <v>45475.635489293978</v>
      </c>
      <c r="AL332" s="1" t="s">
        <v>4790</v>
      </c>
      <c r="AM332" s="42">
        <f>IFERROR(INDEX('Public procurment'!A:R,MATCH(ListOfExpenditure[[#This Row],[Content.contractId]],'Public procurment'!E:E,0),14),0)</f>
        <v>0</v>
      </c>
      <c r="AN332" s="2">
        <f>IF(AND(ListOfExpenditure[[#This Row],[Contract amount]]&gt;10000,ListOfExpenditure[[#This Row],[Content.declaredAmount]]&gt;2000),1,0)</f>
        <v>0</v>
      </c>
      <c r="AO332">
        <f>IFERROR(INDEX('Public procurment'!A:S,MATCH(ListOfExpenditure[[#This Row],[Content.contractId]],'Public procurment'!E:E,0),19),0)</f>
        <v>0</v>
      </c>
      <c r="AP332">
        <f>IF(ListOfExpenditure[[#This Row],[Numero di volte controllato il contract ]]&gt;0,0,ListOfExpenditure[[#This Row],[IF public procurment &gt;10000;1;0]])</f>
        <v>0</v>
      </c>
    </row>
    <row r="333" spans="1:42" x14ac:dyDescent="0.25">
      <c r="A333">
        <v>1014</v>
      </c>
      <c r="B333">
        <v>12</v>
      </c>
      <c r="E333" t="s">
        <v>4798</v>
      </c>
      <c r="F333" t="b">
        <v>0</v>
      </c>
      <c r="H333">
        <v>155</v>
      </c>
      <c r="I333" t="s">
        <v>5103</v>
      </c>
      <c r="J333" t="s">
        <v>5104</v>
      </c>
      <c r="K333" t="s">
        <v>5105</v>
      </c>
      <c r="L333" t="s">
        <v>4946</v>
      </c>
      <c r="M333" t="s">
        <v>4788</v>
      </c>
      <c r="N333" t="s">
        <v>4788</v>
      </c>
      <c r="O333">
        <v>135</v>
      </c>
      <c r="P333">
        <v>13.82</v>
      </c>
      <c r="Q333">
        <v>0</v>
      </c>
      <c r="R333">
        <v>0</v>
      </c>
      <c r="S333">
        <v>135</v>
      </c>
      <c r="T333" t="s">
        <v>4789</v>
      </c>
      <c r="U333">
        <v>1</v>
      </c>
      <c r="V333">
        <v>135</v>
      </c>
      <c r="W333" t="s">
        <v>4343</v>
      </c>
      <c r="Y333" t="b">
        <v>1</v>
      </c>
      <c r="Z333" t="b">
        <v>0</v>
      </c>
      <c r="AA333">
        <v>135</v>
      </c>
      <c r="AB333">
        <v>0</v>
      </c>
      <c r="AD333" t="b">
        <v>0</v>
      </c>
      <c r="AG333" s="1" t="s">
        <v>346</v>
      </c>
      <c r="AH333" s="1" t="s">
        <v>285</v>
      </c>
      <c r="AI333">
        <v>257</v>
      </c>
      <c r="AJ333">
        <v>197</v>
      </c>
      <c r="AK333" s="106">
        <v>45475.635489293978</v>
      </c>
      <c r="AL333" s="1" t="s">
        <v>4790</v>
      </c>
      <c r="AM333" s="42">
        <f>IFERROR(INDEX('Public procurment'!A:R,MATCH(ListOfExpenditure[[#This Row],[Content.contractId]],'Public procurment'!E:E,0),14),0)</f>
        <v>225.7</v>
      </c>
      <c r="AN333" s="2">
        <f>IF(AND(ListOfExpenditure[[#This Row],[Contract amount]]&gt;10000,ListOfExpenditure[[#This Row],[Content.declaredAmount]]&gt;2000),1,0)</f>
        <v>0</v>
      </c>
      <c r="AO333">
        <f>IFERROR(INDEX('Public procurment'!A:S,MATCH(ListOfExpenditure[[#This Row],[Content.contractId]],'Public procurment'!E:E,0),19),0)</f>
        <v>1</v>
      </c>
      <c r="AP333">
        <f>IF(ListOfExpenditure[[#This Row],[Numero di volte controllato il contract ]]&gt;0,0,ListOfExpenditure[[#This Row],[IF public procurment &gt;10000;1;0]])</f>
        <v>0</v>
      </c>
    </row>
    <row r="334" spans="1:42" x14ac:dyDescent="0.25">
      <c r="A334">
        <v>1015</v>
      </c>
      <c r="B334">
        <v>13</v>
      </c>
      <c r="E334" t="s">
        <v>4798</v>
      </c>
      <c r="F334" t="b">
        <v>0</v>
      </c>
      <c r="H334">
        <v>156</v>
      </c>
      <c r="I334" t="s">
        <v>5106</v>
      </c>
      <c r="J334" t="s">
        <v>5107</v>
      </c>
      <c r="K334" t="s">
        <v>5108</v>
      </c>
      <c r="L334" t="s">
        <v>4911</v>
      </c>
      <c r="M334" t="s">
        <v>4788</v>
      </c>
      <c r="N334" t="s">
        <v>4788</v>
      </c>
      <c r="O334">
        <v>63.65</v>
      </c>
      <c r="P334">
        <v>5.52</v>
      </c>
      <c r="Q334">
        <v>0</v>
      </c>
      <c r="R334">
        <v>0</v>
      </c>
      <c r="S334">
        <v>63.65</v>
      </c>
      <c r="T334" t="s">
        <v>4789</v>
      </c>
      <c r="U334">
        <v>1</v>
      </c>
      <c r="V334">
        <v>63.65</v>
      </c>
      <c r="W334" t="s">
        <v>4343</v>
      </c>
      <c r="Y334" t="b">
        <v>1</v>
      </c>
      <c r="Z334" t="b">
        <v>0</v>
      </c>
      <c r="AA334">
        <v>63.65</v>
      </c>
      <c r="AB334">
        <v>0</v>
      </c>
      <c r="AD334" t="b">
        <v>0</v>
      </c>
      <c r="AG334" s="1" t="s">
        <v>346</v>
      </c>
      <c r="AH334" s="1" t="s">
        <v>285</v>
      </c>
      <c r="AI334">
        <v>257</v>
      </c>
      <c r="AJ334">
        <v>197</v>
      </c>
      <c r="AK334" s="106">
        <v>45475.635489293978</v>
      </c>
      <c r="AL334" s="1" t="s">
        <v>4790</v>
      </c>
      <c r="AM334" s="42">
        <f>IFERROR(INDEX('Public procurment'!A:R,MATCH(ListOfExpenditure[[#This Row],[Content.contractId]],'Public procurment'!E:E,0),14),0)</f>
        <v>70</v>
      </c>
      <c r="AN334" s="2">
        <f>IF(AND(ListOfExpenditure[[#This Row],[Contract amount]]&gt;10000,ListOfExpenditure[[#This Row],[Content.declaredAmount]]&gt;2000),1,0)</f>
        <v>0</v>
      </c>
      <c r="AO334">
        <f>IFERROR(INDEX('Public procurment'!A:S,MATCH(ListOfExpenditure[[#This Row],[Content.contractId]],'Public procurment'!E:E,0),19),0)</f>
        <v>1</v>
      </c>
      <c r="AP334">
        <f>IF(ListOfExpenditure[[#This Row],[Numero di volte controllato il contract ]]&gt;0,0,ListOfExpenditure[[#This Row],[IF public procurment &gt;10000;1;0]])</f>
        <v>0</v>
      </c>
    </row>
    <row r="335" spans="1:42" x14ac:dyDescent="0.25">
      <c r="A335">
        <v>1016</v>
      </c>
      <c r="B335">
        <v>14</v>
      </c>
      <c r="E335" t="s">
        <v>4798</v>
      </c>
      <c r="F335" t="b">
        <v>0</v>
      </c>
      <c r="H335">
        <v>157</v>
      </c>
      <c r="I335" t="s">
        <v>5109</v>
      </c>
      <c r="J335" t="s">
        <v>5110</v>
      </c>
      <c r="K335" t="s">
        <v>5111</v>
      </c>
      <c r="L335" t="s">
        <v>5112</v>
      </c>
      <c r="M335" t="s">
        <v>4788</v>
      </c>
      <c r="N335" t="s">
        <v>4788</v>
      </c>
      <c r="O335">
        <v>366</v>
      </c>
      <c r="P335">
        <v>66</v>
      </c>
      <c r="Q335">
        <v>0</v>
      </c>
      <c r="R335">
        <v>0</v>
      </c>
      <c r="S335">
        <v>366</v>
      </c>
      <c r="T335" t="s">
        <v>4789</v>
      </c>
      <c r="U335">
        <v>1</v>
      </c>
      <c r="V335">
        <v>366</v>
      </c>
      <c r="W335" t="s">
        <v>4343</v>
      </c>
      <c r="Y335" t="b">
        <v>1</v>
      </c>
      <c r="Z335" t="b">
        <v>0</v>
      </c>
      <c r="AA335">
        <v>366</v>
      </c>
      <c r="AB335">
        <v>0</v>
      </c>
      <c r="AD335" t="b">
        <v>0</v>
      </c>
      <c r="AG335" s="1" t="s">
        <v>346</v>
      </c>
      <c r="AH335" s="1" t="s">
        <v>285</v>
      </c>
      <c r="AI335">
        <v>257</v>
      </c>
      <c r="AJ335">
        <v>197</v>
      </c>
      <c r="AK335" s="106">
        <v>45475.635489293978</v>
      </c>
      <c r="AL335" s="1" t="s">
        <v>4790</v>
      </c>
      <c r="AM335" s="42">
        <f>IFERROR(INDEX('Public procurment'!A:R,MATCH(ListOfExpenditure[[#This Row],[Content.contractId]],'Public procurment'!E:E,0),14),0)</f>
        <v>300</v>
      </c>
      <c r="AN335" s="2">
        <f>IF(AND(ListOfExpenditure[[#This Row],[Contract amount]]&gt;10000,ListOfExpenditure[[#This Row],[Content.declaredAmount]]&gt;2000),1,0)</f>
        <v>0</v>
      </c>
      <c r="AO335">
        <f>IFERROR(INDEX('Public procurment'!A:S,MATCH(ListOfExpenditure[[#This Row],[Content.contractId]],'Public procurment'!E:E,0),19),0)</f>
        <v>1</v>
      </c>
      <c r="AP335">
        <f>IF(ListOfExpenditure[[#This Row],[Numero di volte controllato il contract ]]&gt;0,0,ListOfExpenditure[[#This Row],[IF public procurment &gt;10000;1;0]])</f>
        <v>0</v>
      </c>
    </row>
    <row r="336" spans="1:42" x14ac:dyDescent="0.25">
      <c r="A336">
        <v>1017</v>
      </c>
      <c r="B336">
        <v>15</v>
      </c>
      <c r="E336" t="s">
        <v>4798</v>
      </c>
      <c r="F336" t="b">
        <v>0</v>
      </c>
      <c r="H336">
        <v>158</v>
      </c>
      <c r="I336" t="s">
        <v>5113</v>
      </c>
      <c r="J336" t="s">
        <v>5114</v>
      </c>
      <c r="K336" t="s">
        <v>4911</v>
      </c>
      <c r="L336" t="s">
        <v>5115</v>
      </c>
      <c r="M336" t="s">
        <v>4788</v>
      </c>
      <c r="N336" t="s">
        <v>4788</v>
      </c>
      <c r="O336">
        <v>119.68</v>
      </c>
      <c r="P336">
        <v>21.58</v>
      </c>
      <c r="Q336">
        <v>0</v>
      </c>
      <c r="R336">
        <v>0</v>
      </c>
      <c r="S336">
        <v>119.68</v>
      </c>
      <c r="T336" t="s">
        <v>4789</v>
      </c>
      <c r="U336">
        <v>1</v>
      </c>
      <c r="V336">
        <v>119.68</v>
      </c>
      <c r="W336" t="s">
        <v>4343</v>
      </c>
      <c r="Y336" t="b">
        <v>1</v>
      </c>
      <c r="Z336" t="b">
        <v>0</v>
      </c>
      <c r="AA336">
        <v>119.68</v>
      </c>
      <c r="AB336">
        <v>0</v>
      </c>
      <c r="AD336" t="b">
        <v>0</v>
      </c>
      <c r="AG336" s="1" t="s">
        <v>346</v>
      </c>
      <c r="AH336" s="1" t="s">
        <v>285</v>
      </c>
      <c r="AI336">
        <v>257</v>
      </c>
      <c r="AJ336">
        <v>197</v>
      </c>
      <c r="AK336" s="106">
        <v>45475.635489293978</v>
      </c>
      <c r="AL336" s="1" t="s">
        <v>4790</v>
      </c>
      <c r="AM336" s="42">
        <f>IFERROR(INDEX('Public procurment'!A:R,MATCH(ListOfExpenditure[[#This Row],[Content.contractId]],'Public procurment'!E:E,0),14),0)</f>
        <v>98.1</v>
      </c>
      <c r="AN336" s="2">
        <f>IF(AND(ListOfExpenditure[[#This Row],[Contract amount]]&gt;10000,ListOfExpenditure[[#This Row],[Content.declaredAmount]]&gt;2000),1,0)</f>
        <v>0</v>
      </c>
      <c r="AO336">
        <f>IFERROR(INDEX('Public procurment'!A:S,MATCH(ListOfExpenditure[[#This Row],[Content.contractId]],'Public procurment'!E:E,0),19),0)</f>
        <v>1</v>
      </c>
      <c r="AP336">
        <f>IF(ListOfExpenditure[[#This Row],[Numero di volte controllato il contract ]]&gt;0,0,ListOfExpenditure[[#This Row],[IF public procurment &gt;10000;1;0]])</f>
        <v>0</v>
      </c>
    </row>
    <row r="337" spans="1:42" x14ac:dyDescent="0.25">
      <c r="A337">
        <v>1026</v>
      </c>
      <c r="B337">
        <v>16</v>
      </c>
      <c r="E337" t="s">
        <v>4850</v>
      </c>
      <c r="F337" t="b">
        <v>0</v>
      </c>
      <c r="H337">
        <v>159</v>
      </c>
      <c r="I337" t="s">
        <v>5116</v>
      </c>
      <c r="J337" t="s">
        <v>5117</v>
      </c>
      <c r="K337" t="s">
        <v>5118</v>
      </c>
      <c r="L337" t="s">
        <v>4900</v>
      </c>
      <c r="M337" t="s">
        <v>4788</v>
      </c>
      <c r="N337" t="s">
        <v>4788</v>
      </c>
      <c r="O337">
        <v>3262.54</v>
      </c>
      <c r="P337">
        <v>588.33000000000004</v>
      </c>
      <c r="Q337">
        <v>0</v>
      </c>
      <c r="R337">
        <v>0</v>
      </c>
      <c r="S337">
        <v>381.72</v>
      </c>
      <c r="T337" t="s">
        <v>4789</v>
      </c>
      <c r="U337">
        <v>1</v>
      </c>
      <c r="V337">
        <v>381.72</v>
      </c>
      <c r="W337" t="s">
        <v>4343</v>
      </c>
      <c r="Y337" t="b">
        <v>1</v>
      </c>
      <c r="Z337" t="b">
        <v>0</v>
      </c>
      <c r="AA337">
        <v>381.72</v>
      </c>
      <c r="AB337">
        <v>0</v>
      </c>
      <c r="AD337" t="b">
        <v>0</v>
      </c>
      <c r="AG337" s="1" t="s">
        <v>346</v>
      </c>
      <c r="AH337" s="1" t="s">
        <v>285</v>
      </c>
      <c r="AI337">
        <v>257</v>
      </c>
      <c r="AJ337">
        <v>197</v>
      </c>
      <c r="AK337" s="106">
        <v>45475.635489293978</v>
      </c>
      <c r="AL337" s="1" t="s">
        <v>4790</v>
      </c>
      <c r="AM337" s="42">
        <f>IFERROR(INDEX('Public procurment'!A:R,MATCH(ListOfExpenditure[[#This Row],[Content.contractId]],'Public procurment'!E:E,0),14),0)</f>
        <v>2674.21</v>
      </c>
      <c r="AN337" s="2">
        <f>IF(AND(ListOfExpenditure[[#This Row],[Contract amount]]&gt;10000,ListOfExpenditure[[#This Row],[Content.declaredAmount]]&gt;2000),1,0)</f>
        <v>0</v>
      </c>
      <c r="AO337">
        <f>IFERROR(INDEX('Public procurment'!A:S,MATCH(ListOfExpenditure[[#This Row],[Content.contractId]],'Public procurment'!E:E,0),19),0)</f>
        <v>1</v>
      </c>
      <c r="AP337">
        <f>IF(ListOfExpenditure[[#This Row],[Numero di volte controllato il contract ]]&gt;0,0,ListOfExpenditure[[#This Row],[IF public procurment &gt;10000;1;0]])</f>
        <v>0</v>
      </c>
    </row>
    <row r="338" spans="1:42" x14ac:dyDescent="0.25">
      <c r="A338">
        <v>1038</v>
      </c>
      <c r="B338">
        <v>17</v>
      </c>
      <c r="E338" t="s">
        <v>5095</v>
      </c>
      <c r="F338" t="b">
        <v>0</v>
      </c>
      <c r="G338">
        <v>403</v>
      </c>
      <c r="H338">
        <v>161</v>
      </c>
      <c r="I338" t="s">
        <v>5119</v>
      </c>
      <c r="J338" t="s">
        <v>5120</v>
      </c>
      <c r="K338" t="s">
        <v>4742</v>
      </c>
      <c r="L338" t="s">
        <v>4972</v>
      </c>
      <c r="M338" t="s">
        <v>4788</v>
      </c>
      <c r="N338" t="s">
        <v>4788</v>
      </c>
      <c r="O338">
        <v>31698.15</v>
      </c>
      <c r="P338">
        <v>5716.06</v>
      </c>
      <c r="Q338">
        <v>0</v>
      </c>
      <c r="R338">
        <v>0</v>
      </c>
      <c r="S338">
        <v>31698.15</v>
      </c>
      <c r="T338" t="s">
        <v>4789</v>
      </c>
      <c r="U338">
        <v>1</v>
      </c>
      <c r="V338">
        <v>31698.15</v>
      </c>
      <c r="W338" t="s">
        <v>4343</v>
      </c>
      <c r="Y338" t="b">
        <v>1</v>
      </c>
      <c r="Z338" t="b">
        <v>0</v>
      </c>
      <c r="AA338">
        <v>31698.15</v>
      </c>
      <c r="AB338">
        <v>0</v>
      </c>
      <c r="AD338" t="b">
        <v>0</v>
      </c>
      <c r="AG338" s="1" t="s">
        <v>346</v>
      </c>
      <c r="AH338" s="1" t="s">
        <v>285</v>
      </c>
      <c r="AI338">
        <v>257</v>
      </c>
      <c r="AJ338">
        <v>197</v>
      </c>
      <c r="AK338" s="106">
        <v>45475.635489293978</v>
      </c>
      <c r="AL338" s="1" t="s">
        <v>4790</v>
      </c>
      <c r="AM338" s="42">
        <f>IFERROR(INDEX('Public procurment'!A:R,MATCH(ListOfExpenditure[[#This Row],[Content.contractId]],'Public procurment'!E:E,0),14),0)</f>
        <v>34527.5</v>
      </c>
      <c r="AN338" s="2">
        <f>IF(AND(ListOfExpenditure[[#This Row],[Contract amount]]&gt;10000,ListOfExpenditure[[#This Row],[Content.declaredAmount]]&gt;2000),1,0)</f>
        <v>1</v>
      </c>
      <c r="AO338">
        <f>IFERROR(INDEX('Public procurment'!A:S,MATCH(ListOfExpenditure[[#This Row],[Content.contractId]],'Public procurment'!E:E,0),19),0)</f>
        <v>1</v>
      </c>
      <c r="AP338">
        <f>IF(ListOfExpenditure[[#This Row],[Numero di volte controllato il contract ]]&gt;0,0,ListOfExpenditure[[#This Row],[IF public procurment &gt;10000;1;0]])</f>
        <v>0</v>
      </c>
    </row>
    <row r="339" spans="1:42" x14ac:dyDescent="0.25">
      <c r="A339">
        <v>1686</v>
      </c>
      <c r="B339">
        <v>1</v>
      </c>
      <c r="D339">
        <v>132</v>
      </c>
      <c r="E339" t="s">
        <v>4786</v>
      </c>
      <c r="F339" t="b">
        <v>0</v>
      </c>
      <c r="M339" t="s">
        <v>4788</v>
      </c>
      <c r="N339" t="s">
        <v>4788</v>
      </c>
      <c r="Q339">
        <v>41</v>
      </c>
      <c r="R339">
        <v>27</v>
      </c>
      <c r="S339">
        <v>1107</v>
      </c>
      <c r="T339" t="s">
        <v>4789</v>
      </c>
      <c r="U339">
        <v>1</v>
      </c>
      <c r="V339">
        <v>1107</v>
      </c>
      <c r="W339" t="s">
        <v>4343</v>
      </c>
      <c r="Y339" t="b">
        <v>0</v>
      </c>
      <c r="Z339" t="b">
        <v>0</v>
      </c>
      <c r="AA339">
        <v>1107</v>
      </c>
      <c r="AB339">
        <v>0</v>
      </c>
      <c r="AD339" t="b">
        <v>0</v>
      </c>
      <c r="AG339" s="1" t="s">
        <v>346</v>
      </c>
      <c r="AH339" s="1" t="s">
        <v>349</v>
      </c>
      <c r="AI339">
        <v>294</v>
      </c>
      <c r="AJ339">
        <v>312</v>
      </c>
      <c r="AK339" s="106">
        <v>45475.635512384259</v>
      </c>
      <c r="AL339" s="1" t="s">
        <v>4790</v>
      </c>
      <c r="AM339" s="42">
        <f>IFERROR(INDEX('Public procurment'!A:R,MATCH(ListOfExpenditure[[#This Row],[Content.contractId]],'Public procurment'!E:E,0),14),0)</f>
        <v>0</v>
      </c>
      <c r="AN339" s="2">
        <f>IF(AND(ListOfExpenditure[[#This Row],[Contract amount]]&gt;10000,ListOfExpenditure[[#This Row],[Content.declaredAmount]]&gt;2000),1,0)</f>
        <v>0</v>
      </c>
      <c r="AO339">
        <f>IFERROR(INDEX('Public procurment'!A:S,MATCH(ListOfExpenditure[[#This Row],[Content.contractId]],'Public procurment'!E:E,0),19),0)</f>
        <v>0</v>
      </c>
      <c r="AP339">
        <f>IF(ListOfExpenditure[[#This Row],[Numero di volte controllato il contract ]]&gt;0,0,ListOfExpenditure[[#This Row],[IF public procurment &gt;10000;1;0]])</f>
        <v>0</v>
      </c>
    </row>
    <row r="340" spans="1:42" x14ac:dyDescent="0.25">
      <c r="A340">
        <v>1689</v>
      </c>
      <c r="B340">
        <v>2</v>
      </c>
      <c r="D340">
        <v>132</v>
      </c>
      <c r="E340" t="s">
        <v>4786</v>
      </c>
      <c r="F340" t="b">
        <v>0</v>
      </c>
      <c r="M340" t="s">
        <v>4788</v>
      </c>
      <c r="N340" t="s">
        <v>4788</v>
      </c>
      <c r="Q340">
        <v>18</v>
      </c>
      <c r="R340">
        <v>27</v>
      </c>
      <c r="S340">
        <v>486</v>
      </c>
      <c r="T340" t="s">
        <v>4789</v>
      </c>
      <c r="U340">
        <v>1</v>
      </c>
      <c r="V340">
        <v>486</v>
      </c>
      <c r="W340" t="s">
        <v>4343</v>
      </c>
      <c r="Y340" t="b">
        <v>0</v>
      </c>
      <c r="Z340" t="b">
        <v>0</v>
      </c>
      <c r="AA340">
        <v>486</v>
      </c>
      <c r="AB340">
        <v>0</v>
      </c>
      <c r="AD340" t="b">
        <v>0</v>
      </c>
      <c r="AG340" s="1" t="s">
        <v>346</v>
      </c>
      <c r="AH340" s="1" t="s">
        <v>349</v>
      </c>
      <c r="AI340">
        <v>294</v>
      </c>
      <c r="AJ340">
        <v>312</v>
      </c>
      <c r="AK340" s="106">
        <v>45475.635512384259</v>
      </c>
      <c r="AL340" s="1" t="s">
        <v>4790</v>
      </c>
      <c r="AM340" s="42">
        <f>IFERROR(INDEX('Public procurment'!A:R,MATCH(ListOfExpenditure[[#This Row],[Content.contractId]],'Public procurment'!E:E,0),14),0)</f>
        <v>0</v>
      </c>
      <c r="AN340" s="2">
        <f>IF(AND(ListOfExpenditure[[#This Row],[Contract amount]]&gt;10000,ListOfExpenditure[[#This Row],[Content.declaredAmount]]&gt;2000),1,0)</f>
        <v>0</v>
      </c>
      <c r="AO340">
        <f>IFERROR(INDEX('Public procurment'!A:S,MATCH(ListOfExpenditure[[#This Row],[Content.contractId]],'Public procurment'!E:E,0),19),0)</f>
        <v>0</v>
      </c>
      <c r="AP340">
        <f>IF(ListOfExpenditure[[#This Row],[Numero di volte controllato il contract ]]&gt;0,0,ListOfExpenditure[[#This Row],[IF public procurment &gt;10000;1;0]])</f>
        <v>0</v>
      </c>
    </row>
    <row r="341" spans="1:42" x14ac:dyDescent="0.25">
      <c r="A341">
        <v>1690</v>
      </c>
      <c r="B341">
        <v>3</v>
      </c>
      <c r="D341">
        <v>132</v>
      </c>
      <c r="E341" t="s">
        <v>4786</v>
      </c>
      <c r="F341" t="b">
        <v>0</v>
      </c>
      <c r="M341" t="s">
        <v>4788</v>
      </c>
      <c r="N341" t="s">
        <v>4788</v>
      </c>
      <c r="Q341">
        <v>49</v>
      </c>
      <c r="R341">
        <v>27</v>
      </c>
      <c r="S341">
        <v>1323</v>
      </c>
      <c r="T341" t="s">
        <v>4789</v>
      </c>
      <c r="U341">
        <v>1</v>
      </c>
      <c r="V341">
        <v>1323</v>
      </c>
      <c r="W341" t="s">
        <v>4343</v>
      </c>
      <c r="Y341" t="b">
        <v>0</v>
      </c>
      <c r="Z341" t="b">
        <v>0</v>
      </c>
      <c r="AA341">
        <v>1323</v>
      </c>
      <c r="AB341">
        <v>0</v>
      </c>
      <c r="AD341" t="b">
        <v>0</v>
      </c>
      <c r="AG341" s="1" t="s">
        <v>346</v>
      </c>
      <c r="AH341" s="1" t="s">
        <v>349</v>
      </c>
      <c r="AI341">
        <v>294</v>
      </c>
      <c r="AJ341">
        <v>312</v>
      </c>
      <c r="AK341" s="106">
        <v>45475.635512384259</v>
      </c>
      <c r="AL341" s="1" t="s">
        <v>4790</v>
      </c>
      <c r="AM341" s="42">
        <f>IFERROR(INDEX('Public procurment'!A:R,MATCH(ListOfExpenditure[[#This Row],[Content.contractId]],'Public procurment'!E:E,0),14),0)</f>
        <v>0</v>
      </c>
      <c r="AN341" s="2">
        <f>IF(AND(ListOfExpenditure[[#This Row],[Contract amount]]&gt;10000,ListOfExpenditure[[#This Row],[Content.declaredAmount]]&gt;2000),1,0)</f>
        <v>0</v>
      </c>
      <c r="AO341">
        <f>IFERROR(INDEX('Public procurment'!A:S,MATCH(ListOfExpenditure[[#This Row],[Content.contractId]],'Public procurment'!E:E,0),19),0)</f>
        <v>0</v>
      </c>
      <c r="AP341">
        <f>IF(ListOfExpenditure[[#This Row],[Numero di volte controllato il contract ]]&gt;0,0,ListOfExpenditure[[#This Row],[IF public procurment &gt;10000;1;0]])</f>
        <v>0</v>
      </c>
    </row>
    <row r="342" spans="1:42" x14ac:dyDescent="0.25">
      <c r="A342">
        <v>1691</v>
      </c>
      <c r="B342">
        <v>4</v>
      </c>
      <c r="D342">
        <v>132</v>
      </c>
      <c r="E342" t="s">
        <v>4786</v>
      </c>
      <c r="F342" t="b">
        <v>0</v>
      </c>
      <c r="M342" t="s">
        <v>4788</v>
      </c>
      <c r="N342" t="s">
        <v>4788</v>
      </c>
      <c r="Q342">
        <v>170</v>
      </c>
      <c r="R342">
        <v>27</v>
      </c>
      <c r="S342">
        <v>4590</v>
      </c>
      <c r="T342" t="s">
        <v>4789</v>
      </c>
      <c r="U342">
        <v>1</v>
      </c>
      <c r="V342">
        <v>4590</v>
      </c>
      <c r="W342" t="s">
        <v>4343</v>
      </c>
      <c r="Y342" t="b">
        <v>0</v>
      </c>
      <c r="Z342" t="b">
        <v>0</v>
      </c>
      <c r="AA342">
        <v>4590</v>
      </c>
      <c r="AB342">
        <v>0</v>
      </c>
      <c r="AD342" t="b">
        <v>0</v>
      </c>
      <c r="AG342" s="1" t="s">
        <v>346</v>
      </c>
      <c r="AH342" s="1" t="s">
        <v>349</v>
      </c>
      <c r="AI342">
        <v>294</v>
      </c>
      <c r="AJ342">
        <v>312</v>
      </c>
      <c r="AK342" s="106">
        <v>45475.635512384259</v>
      </c>
      <c r="AL342" s="1" t="s">
        <v>4790</v>
      </c>
      <c r="AM342" s="42">
        <f>IFERROR(INDEX('Public procurment'!A:R,MATCH(ListOfExpenditure[[#This Row],[Content.contractId]],'Public procurment'!E:E,0),14),0)</f>
        <v>0</v>
      </c>
      <c r="AN342" s="2">
        <f>IF(AND(ListOfExpenditure[[#This Row],[Contract amount]]&gt;10000,ListOfExpenditure[[#This Row],[Content.declaredAmount]]&gt;2000),1,0)</f>
        <v>0</v>
      </c>
      <c r="AO342">
        <f>IFERROR(INDEX('Public procurment'!A:S,MATCH(ListOfExpenditure[[#This Row],[Content.contractId]],'Public procurment'!E:E,0),19),0)</f>
        <v>0</v>
      </c>
      <c r="AP342">
        <f>IF(ListOfExpenditure[[#This Row],[Numero di volte controllato il contract ]]&gt;0,0,ListOfExpenditure[[#This Row],[IF public procurment &gt;10000;1;0]])</f>
        <v>0</v>
      </c>
    </row>
    <row r="343" spans="1:42" x14ac:dyDescent="0.25">
      <c r="A343">
        <v>1692</v>
      </c>
      <c r="B343">
        <v>5</v>
      </c>
      <c r="D343">
        <v>132</v>
      </c>
      <c r="E343" t="s">
        <v>4786</v>
      </c>
      <c r="F343" t="b">
        <v>0</v>
      </c>
      <c r="M343" t="s">
        <v>4788</v>
      </c>
      <c r="N343" t="s">
        <v>4788</v>
      </c>
      <c r="Q343">
        <v>20</v>
      </c>
      <c r="R343">
        <v>27</v>
      </c>
      <c r="S343">
        <v>540</v>
      </c>
      <c r="T343" t="s">
        <v>4789</v>
      </c>
      <c r="U343">
        <v>1</v>
      </c>
      <c r="V343">
        <v>540</v>
      </c>
      <c r="W343" t="s">
        <v>4343</v>
      </c>
      <c r="Y343" t="b">
        <v>0</v>
      </c>
      <c r="Z343" t="b">
        <v>0</v>
      </c>
      <c r="AA343">
        <v>540</v>
      </c>
      <c r="AB343">
        <v>0</v>
      </c>
      <c r="AD343" t="b">
        <v>0</v>
      </c>
      <c r="AG343" s="1" t="s">
        <v>346</v>
      </c>
      <c r="AH343" s="1" t="s">
        <v>349</v>
      </c>
      <c r="AI343">
        <v>294</v>
      </c>
      <c r="AJ343">
        <v>312</v>
      </c>
      <c r="AK343" s="106">
        <v>45475.635512384259</v>
      </c>
      <c r="AL343" s="1" t="s">
        <v>4790</v>
      </c>
      <c r="AM343" s="42">
        <f>IFERROR(INDEX('Public procurment'!A:R,MATCH(ListOfExpenditure[[#This Row],[Content.contractId]],'Public procurment'!E:E,0),14),0)</f>
        <v>0</v>
      </c>
      <c r="AN343" s="2">
        <f>IF(AND(ListOfExpenditure[[#This Row],[Contract amount]]&gt;10000,ListOfExpenditure[[#This Row],[Content.declaredAmount]]&gt;2000),1,0)</f>
        <v>0</v>
      </c>
      <c r="AO343">
        <f>IFERROR(INDEX('Public procurment'!A:S,MATCH(ListOfExpenditure[[#This Row],[Content.contractId]],'Public procurment'!E:E,0),19),0)</f>
        <v>0</v>
      </c>
      <c r="AP343">
        <f>IF(ListOfExpenditure[[#This Row],[Numero di volte controllato il contract ]]&gt;0,0,ListOfExpenditure[[#This Row],[IF public procurment &gt;10000;1;0]])</f>
        <v>0</v>
      </c>
    </row>
    <row r="344" spans="1:42" x14ac:dyDescent="0.25">
      <c r="A344">
        <v>1693</v>
      </c>
      <c r="B344">
        <v>6</v>
      </c>
      <c r="D344">
        <v>132</v>
      </c>
      <c r="E344" t="s">
        <v>4786</v>
      </c>
      <c r="F344" t="b">
        <v>0</v>
      </c>
      <c r="M344" t="s">
        <v>4788</v>
      </c>
      <c r="N344" t="s">
        <v>4788</v>
      </c>
      <c r="Q344">
        <v>24</v>
      </c>
      <c r="R344">
        <v>27</v>
      </c>
      <c r="S344">
        <v>648</v>
      </c>
      <c r="T344" t="s">
        <v>4789</v>
      </c>
      <c r="U344">
        <v>1</v>
      </c>
      <c r="V344">
        <v>648</v>
      </c>
      <c r="W344" t="s">
        <v>4343</v>
      </c>
      <c r="Y344" t="b">
        <v>0</v>
      </c>
      <c r="Z344" t="b">
        <v>0</v>
      </c>
      <c r="AA344">
        <v>648</v>
      </c>
      <c r="AB344">
        <v>0</v>
      </c>
      <c r="AD344" t="b">
        <v>0</v>
      </c>
      <c r="AG344" s="1" t="s">
        <v>346</v>
      </c>
      <c r="AH344" s="1" t="s">
        <v>349</v>
      </c>
      <c r="AI344">
        <v>294</v>
      </c>
      <c r="AJ344">
        <v>312</v>
      </c>
      <c r="AK344" s="106">
        <v>45475.635512384259</v>
      </c>
      <c r="AL344" s="1" t="s">
        <v>4790</v>
      </c>
      <c r="AM344" s="42">
        <f>IFERROR(INDEX('Public procurment'!A:R,MATCH(ListOfExpenditure[[#This Row],[Content.contractId]],'Public procurment'!E:E,0),14),0)</f>
        <v>0</v>
      </c>
      <c r="AN344" s="2">
        <f>IF(AND(ListOfExpenditure[[#This Row],[Contract amount]]&gt;10000,ListOfExpenditure[[#This Row],[Content.declaredAmount]]&gt;2000),1,0)</f>
        <v>0</v>
      </c>
      <c r="AO344">
        <f>IFERROR(INDEX('Public procurment'!A:S,MATCH(ListOfExpenditure[[#This Row],[Content.contractId]],'Public procurment'!E:E,0),19),0)</f>
        <v>0</v>
      </c>
      <c r="AP344">
        <f>IF(ListOfExpenditure[[#This Row],[Numero di volte controllato il contract ]]&gt;0,0,ListOfExpenditure[[#This Row],[IF public procurment &gt;10000;1;0]])</f>
        <v>0</v>
      </c>
    </row>
    <row r="345" spans="1:42" x14ac:dyDescent="0.25">
      <c r="A345">
        <v>1291</v>
      </c>
      <c r="B345">
        <v>1</v>
      </c>
      <c r="E345" t="s">
        <v>4798</v>
      </c>
      <c r="F345" t="b">
        <v>0</v>
      </c>
      <c r="I345" t="s">
        <v>212</v>
      </c>
      <c r="J345" t="s">
        <v>212</v>
      </c>
      <c r="M345" t="s">
        <v>4788</v>
      </c>
      <c r="N345" t="s">
        <v>4788</v>
      </c>
      <c r="O345">
        <v>0</v>
      </c>
      <c r="P345">
        <v>0</v>
      </c>
      <c r="Q345">
        <v>0</v>
      </c>
      <c r="R345">
        <v>0</v>
      </c>
      <c r="S345">
        <v>0</v>
      </c>
      <c r="T345" t="s">
        <v>4789</v>
      </c>
      <c r="U345">
        <v>1</v>
      </c>
      <c r="V345">
        <v>0</v>
      </c>
      <c r="Y345" t="b">
        <v>0</v>
      </c>
      <c r="Z345" t="b">
        <v>0</v>
      </c>
      <c r="AA345">
        <v>0</v>
      </c>
      <c r="AB345">
        <v>0</v>
      </c>
      <c r="AD345" t="b">
        <v>0</v>
      </c>
      <c r="AG345" s="1" t="s">
        <v>296</v>
      </c>
      <c r="AH345" s="1" t="s">
        <v>297</v>
      </c>
      <c r="AI345">
        <v>193</v>
      </c>
      <c r="AJ345">
        <v>240</v>
      </c>
      <c r="AK345" s="106">
        <v>45475.635483078702</v>
      </c>
      <c r="AL345" s="1" t="s">
        <v>4790</v>
      </c>
      <c r="AM345" s="42">
        <f>IFERROR(INDEX('Public procurment'!A:R,MATCH(ListOfExpenditure[[#This Row],[Content.contractId]],'Public procurment'!E:E,0),14),0)</f>
        <v>0</v>
      </c>
      <c r="AN345" s="2">
        <f>IF(AND(ListOfExpenditure[[#This Row],[Contract amount]]&gt;10000,ListOfExpenditure[[#This Row],[Content.declaredAmount]]&gt;2000),1,0)</f>
        <v>0</v>
      </c>
      <c r="AO345">
        <f>IFERROR(INDEX('Public procurment'!A:S,MATCH(ListOfExpenditure[[#This Row],[Content.contractId]],'Public procurment'!E:E,0),19),0)</f>
        <v>0</v>
      </c>
      <c r="AP345">
        <f>IF(ListOfExpenditure[[#This Row],[Numero di volte controllato il contract ]]&gt;0,0,ListOfExpenditure[[#This Row],[IF public procurment &gt;10000;1;0]])</f>
        <v>0</v>
      </c>
    </row>
    <row r="346" spans="1:42" x14ac:dyDescent="0.25">
      <c r="A346">
        <v>1292</v>
      </c>
      <c r="B346">
        <v>2</v>
      </c>
      <c r="E346" t="s">
        <v>4850</v>
      </c>
      <c r="F346" t="b">
        <v>0</v>
      </c>
      <c r="I346" t="s">
        <v>212</v>
      </c>
      <c r="J346" t="s">
        <v>212</v>
      </c>
      <c r="M346" t="s">
        <v>4788</v>
      </c>
      <c r="N346" t="s">
        <v>4788</v>
      </c>
      <c r="O346">
        <v>0</v>
      </c>
      <c r="P346">
        <v>0</v>
      </c>
      <c r="Q346">
        <v>0</v>
      </c>
      <c r="R346">
        <v>0</v>
      </c>
      <c r="S346">
        <v>0</v>
      </c>
      <c r="T346" t="s">
        <v>4789</v>
      </c>
      <c r="U346">
        <v>1</v>
      </c>
      <c r="V346">
        <v>0</v>
      </c>
      <c r="Y346" t="b">
        <v>0</v>
      </c>
      <c r="Z346" t="b">
        <v>0</v>
      </c>
      <c r="AA346">
        <v>0</v>
      </c>
      <c r="AB346">
        <v>0</v>
      </c>
      <c r="AD346" t="b">
        <v>0</v>
      </c>
      <c r="AG346" s="1" t="s">
        <v>296</v>
      </c>
      <c r="AH346" s="1" t="s">
        <v>297</v>
      </c>
      <c r="AI346">
        <v>193</v>
      </c>
      <c r="AJ346">
        <v>240</v>
      </c>
      <c r="AK346" s="106">
        <v>45475.635483078702</v>
      </c>
      <c r="AL346" s="1" t="s">
        <v>4790</v>
      </c>
      <c r="AM346" s="42">
        <f>IFERROR(INDEX('Public procurment'!A:R,MATCH(ListOfExpenditure[[#This Row],[Content.contractId]],'Public procurment'!E:E,0),14),0)</f>
        <v>0</v>
      </c>
      <c r="AN346" s="2">
        <f>IF(AND(ListOfExpenditure[[#This Row],[Contract amount]]&gt;10000,ListOfExpenditure[[#This Row],[Content.declaredAmount]]&gt;2000),1,0)</f>
        <v>0</v>
      </c>
      <c r="AO346">
        <f>IFERROR(INDEX('Public procurment'!A:S,MATCH(ListOfExpenditure[[#This Row],[Content.contractId]],'Public procurment'!E:E,0),19),0)</f>
        <v>0</v>
      </c>
      <c r="AP346">
        <f>IF(ListOfExpenditure[[#This Row],[Numero di volte controllato il contract ]]&gt;0,0,ListOfExpenditure[[#This Row],[IF public procurment &gt;10000;1;0]])</f>
        <v>0</v>
      </c>
    </row>
    <row r="347" spans="1:42" x14ac:dyDescent="0.25">
      <c r="A347">
        <v>1293</v>
      </c>
      <c r="B347">
        <v>3</v>
      </c>
      <c r="E347" t="s">
        <v>5095</v>
      </c>
      <c r="F347" t="b">
        <v>0</v>
      </c>
      <c r="I347" t="s">
        <v>212</v>
      </c>
      <c r="J347" t="s">
        <v>212</v>
      </c>
      <c r="M347" t="s">
        <v>4788</v>
      </c>
      <c r="N347" t="s">
        <v>4788</v>
      </c>
      <c r="O347">
        <v>0</v>
      </c>
      <c r="P347">
        <v>0</v>
      </c>
      <c r="Q347">
        <v>0</v>
      </c>
      <c r="R347">
        <v>0</v>
      </c>
      <c r="S347">
        <v>0</v>
      </c>
      <c r="T347" t="s">
        <v>4789</v>
      </c>
      <c r="U347">
        <v>1</v>
      </c>
      <c r="V347">
        <v>0</v>
      </c>
      <c r="Y347" t="b">
        <v>0</v>
      </c>
      <c r="Z347" t="b">
        <v>0</v>
      </c>
      <c r="AA347">
        <v>0</v>
      </c>
      <c r="AB347">
        <v>0</v>
      </c>
      <c r="AD347" t="b">
        <v>0</v>
      </c>
      <c r="AG347" s="1" t="s">
        <v>296</v>
      </c>
      <c r="AH347" s="1" t="s">
        <v>297</v>
      </c>
      <c r="AI347">
        <v>193</v>
      </c>
      <c r="AJ347">
        <v>240</v>
      </c>
      <c r="AK347" s="106">
        <v>45475.635483078702</v>
      </c>
      <c r="AL347" s="1" t="s">
        <v>4790</v>
      </c>
      <c r="AM347" s="42">
        <f>IFERROR(INDEX('Public procurment'!A:R,MATCH(ListOfExpenditure[[#This Row],[Content.contractId]],'Public procurment'!E:E,0),14),0)</f>
        <v>0</v>
      </c>
      <c r="AN347" s="2">
        <f>IF(AND(ListOfExpenditure[[#This Row],[Contract amount]]&gt;10000,ListOfExpenditure[[#This Row],[Content.declaredAmount]]&gt;2000),1,0)</f>
        <v>0</v>
      </c>
      <c r="AO347">
        <f>IFERROR(INDEX('Public procurment'!A:S,MATCH(ListOfExpenditure[[#This Row],[Content.contractId]],'Public procurment'!E:E,0),19),0)</f>
        <v>0</v>
      </c>
      <c r="AP347">
        <f>IF(ListOfExpenditure[[#This Row],[Numero di volte controllato il contract ]]&gt;0,0,ListOfExpenditure[[#This Row],[IF public procurment &gt;10000;1;0]])</f>
        <v>0</v>
      </c>
    </row>
    <row r="348" spans="1:42" x14ac:dyDescent="0.25">
      <c r="A348">
        <v>1502</v>
      </c>
      <c r="B348">
        <v>1</v>
      </c>
      <c r="D348">
        <v>120</v>
      </c>
      <c r="E348" t="s">
        <v>4786</v>
      </c>
      <c r="F348" t="b">
        <v>0</v>
      </c>
      <c r="M348" t="s">
        <v>4788</v>
      </c>
      <c r="N348" t="s">
        <v>4788</v>
      </c>
      <c r="Q348">
        <v>3</v>
      </c>
      <c r="R348">
        <v>58</v>
      </c>
      <c r="S348">
        <v>174</v>
      </c>
      <c r="T348" t="s">
        <v>4789</v>
      </c>
      <c r="U348">
        <v>1</v>
      </c>
      <c r="V348">
        <v>174</v>
      </c>
      <c r="W348" t="s">
        <v>4343</v>
      </c>
      <c r="Y348" t="b">
        <v>1</v>
      </c>
      <c r="Z348" t="b">
        <v>0</v>
      </c>
      <c r="AA348">
        <v>174</v>
      </c>
      <c r="AB348">
        <v>0</v>
      </c>
      <c r="AD348" t="b">
        <v>0</v>
      </c>
      <c r="AG348" s="1" t="s">
        <v>296</v>
      </c>
      <c r="AH348" s="1" t="s">
        <v>0</v>
      </c>
      <c r="AI348">
        <v>195</v>
      </c>
      <c r="AJ348">
        <v>298</v>
      </c>
      <c r="AK348" s="106">
        <v>45475.635490983797</v>
      </c>
      <c r="AL348" s="1" t="s">
        <v>4790</v>
      </c>
      <c r="AM348" s="42">
        <f>IFERROR(INDEX('Public procurment'!A:R,MATCH(ListOfExpenditure[[#This Row],[Content.contractId]],'Public procurment'!E:E,0),14),0)</f>
        <v>0</v>
      </c>
      <c r="AN348" s="2">
        <f>IF(AND(ListOfExpenditure[[#This Row],[Contract amount]]&gt;10000,ListOfExpenditure[[#This Row],[Content.declaredAmount]]&gt;2000),1,0)</f>
        <v>0</v>
      </c>
      <c r="AO348">
        <f>IFERROR(INDEX('Public procurment'!A:S,MATCH(ListOfExpenditure[[#This Row],[Content.contractId]],'Public procurment'!E:E,0),19),0)</f>
        <v>0</v>
      </c>
      <c r="AP348">
        <f>IF(ListOfExpenditure[[#This Row],[Numero di volte controllato il contract ]]&gt;0,0,ListOfExpenditure[[#This Row],[IF public procurment &gt;10000;1;0]])</f>
        <v>0</v>
      </c>
    </row>
    <row r="349" spans="1:42" x14ac:dyDescent="0.25">
      <c r="A349">
        <v>1503</v>
      </c>
      <c r="B349">
        <v>2</v>
      </c>
      <c r="D349">
        <v>121</v>
      </c>
      <c r="E349" t="s">
        <v>4786</v>
      </c>
      <c r="F349" t="b">
        <v>0</v>
      </c>
      <c r="M349" t="s">
        <v>4788</v>
      </c>
      <c r="N349" t="s">
        <v>4788</v>
      </c>
      <c r="Q349">
        <v>14</v>
      </c>
      <c r="R349">
        <v>38</v>
      </c>
      <c r="S349">
        <v>532</v>
      </c>
      <c r="T349" t="s">
        <v>4789</v>
      </c>
      <c r="U349">
        <v>1</v>
      </c>
      <c r="V349">
        <v>532</v>
      </c>
      <c r="W349" t="s">
        <v>4343</v>
      </c>
      <c r="Y349" t="b">
        <v>1</v>
      </c>
      <c r="Z349" t="b">
        <v>0</v>
      </c>
      <c r="AA349">
        <v>532</v>
      </c>
      <c r="AB349">
        <v>0</v>
      </c>
      <c r="AD349" t="b">
        <v>0</v>
      </c>
      <c r="AG349" s="1" t="s">
        <v>296</v>
      </c>
      <c r="AH349" s="1" t="s">
        <v>0</v>
      </c>
      <c r="AI349">
        <v>195</v>
      </c>
      <c r="AJ349">
        <v>298</v>
      </c>
      <c r="AK349" s="106">
        <v>45475.635490983797</v>
      </c>
      <c r="AL349" s="1" t="s">
        <v>4790</v>
      </c>
      <c r="AM349" s="42">
        <f>IFERROR(INDEX('Public procurment'!A:R,MATCH(ListOfExpenditure[[#This Row],[Content.contractId]],'Public procurment'!E:E,0),14),0)</f>
        <v>0</v>
      </c>
      <c r="AN349" s="2">
        <f>IF(AND(ListOfExpenditure[[#This Row],[Contract amount]]&gt;10000,ListOfExpenditure[[#This Row],[Content.declaredAmount]]&gt;2000),1,0)</f>
        <v>0</v>
      </c>
      <c r="AO349">
        <f>IFERROR(INDEX('Public procurment'!A:S,MATCH(ListOfExpenditure[[#This Row],[Content.contractId]],'Public procurment'!E:E,0),19),0)</f>
        <v>0</v>
      </c>
      <c r="AP349">
        <f>IF(ListOfExpenditure[[#This Row],[Numero di volte controllato il contract ]]&gt;0,0,ListOfExpenditure[[#This Row],[IF public procurment &gt;10000;1;0]])</f>
        <v>0</v>
      </c>
    </row>
    <row r="350" spans="1:42" x14ac:dyDescent="0.25">
      <c r="A350">
        <v>1504</v>
      </c>
      <c r="B350">
        <v>3</v>
      </c>
      <c r="D350">
        <v>122</v>
      </c>
      <c r="E350" t="s">
        <v>4786</v>
      </c>
      <c r="F350" t="b">
        <v>0</v>
      </c>
      <c r="M350" t="s">
        <v>4788</v>
      </c>
      <c r="N350" t="s">
        <v>4788</v>
      </c>
      <c r="Q350">
        <v>100</v>
      </c>
      <c r="R350">
        <v>27</v>
      </c>
      <c r="S350">
        <v>2700</v>
      </c>
      <c r="T350" t="s">
        <v>4789</v>
      </c>
      <c r="U350">
        <v>1</v>
      </c>
      <c r="V350">
        <v>2700</v>
      </c>
      <c r="W350" t="s">
        <v>4343</v>
      </c>
      <c r="Y350" t="b">
        <v>1</v>
      </c>
      <c r="Z350" t="b">
        <v>0</v>
      </c>
      <c r="AA350">
        <v>2700</v>
      </c>
      <c r="AB350">
        <v>0</v>
      </c>
      <c r="AD350" t="b">
        <v>0</v>
      </c>
      <c r="AF350" t="s">
        <v>5121</v>
      </c>
      <c r="AG350" s="1" t="s">
        <v>296</v>
      </c>
      <c r="AH350" s="1" t="s">
        <v>0</v>
      </c>
      <c r="AI350">
        <v>195</v>
      </c>
      <c r="AJ350">
        <v>298</v>
      </c>
      <c r="AK350" s="106">
        <v>45475.635490983797</v>
      </c>
      <c r="AL350" s="1" t="s">
        <v>4790</v>
      </c>
      <c r="AM350" s="42">
        <f>IFERROR(INDEX('Public procurment'!A:R,MATCH(ListOfExpenditure[[#This Row],[Content.contractId]],'Public procurment'!E:E,0),14),0)</f>
        <v>0</v>
      </c>
      <c r="AN350" s="2">
        <f>IF(AND(ListOfExpenditure[[#This Row],[Contract amount]]&gt;10000,ListOfExpenditure[[#This Row],[Content.declaredAmount]]&gt;2000),1,0)</f>
        <v>0</v>
      </c>
      <c r="AO350">
        <f>IFERROR(INDEX('Public procurment'!A:S,MATCH(ListOfExpenditure[[#This Row],[Content.contractId]],'Public procurment'!E:E,0),19),0)</f>
        <v>0</v>
      </c>
      <c r="AP350">
        <f>IF(ListOfExpenditure[[#This Row],[Numero di volte controllato il contract ]]&gt;0,0,ListOfExpenditure[[#This Row],[IF public procurment &gt;10000;1;0]])</f>
        <v>0</v>
      </c>
    </row>
    <row r="351" spans="1:42" x14ac:dyDescent="0.25">
      <c r="A351">
        <v>1505</v>
      </c>
      <c r="B351">
        <v>4</v>
      </c>
      <c r="D351">
        <v>122</v>
      </c>
      <c r="E351" t="s">
        <v>4786</v>
      </c>
      <c r="F351" t="b">
        <v>0</v>
      </c>
      <c r="M351" t="s">
        <v>4788</v>
      </c>
      <c r="N351" t="s">
        <v>4788</v>
      </c>
      <c r="Q351">
        <v>84</v>
      </c>
      <c r="R351">
        <v>27</v>
      </c>
      <c r="S351">
        <v>2268</v>
      </c>
      <c r="T351" t="s">
        <v>4789</v>
      </c>
      <c r="U351">
        <v>1</v>
      </c>
      <c r="V351">
        <v>2268</v>
      </c>
      <c r="W351" t="s">
        <v>4343</v>
      </c>
      <c r="Y351" t="b">
        <v>1</v>
      </c>
      <c r="Z351" t="b">
        <v>0</v>
      </c>
      <c r="AA351">
        <v>2268</v>
      </c>
      <c r="AB351">
        <v>0</v>
      </c>
      <c r="AD351" t="b">
        <v>0</v>
      </c>
      <c r="AF351" t="s">
        <v>5122</v>
      </c>
      <c r="AG351" s="1" t="s">
        <v>296</v>
      </c>
      <c r="AH351" s="1" t="s">
        <v>0</v>
      </c>
      <c r="AI351">
        <v>195</v>
      </c>
      <c r="AJ351">
        <v>298</v>
      </c>
      <c r="AK351" s="106">
        <v>45475.635490983797</v>
      </c>
      <c r="AL351" s="1" t="s">
        <v>4790</v>
      </c>
      <c r="AM351" s="42">
        <f>IFERROR(INDEX('Public procurment'!A:R,MATCH(ListOfExpenditure[[#This Row],[Content.contractId]],'Public procurment'!E:E,0),14),0)</f>
        <v>0</v>
      </c>
      <c r="AN351" s="2">
        <f>IF(AND(ListOfExpenditure[[#This Row],[Contract amount]]&gt;10000,ListOfExpenditure[[#This Row],[Content.declaredAmount]]&gt;2000),1,0)</f>
        <v>0</v>
      </c>
      <c r="AO351">
        <f>IFERROR(INDEX('Public procurment'!A:S,MATCH(ListOfExpenditure[[#This Row],[Content.contractId]],'Public procurment'!E:E,0),19),0)</f>
        <v>0</v>
      </c>
      <c r="AP351">
        <f>IF(ListOfExpenditure[[#This Row],[Numero di volte controllato il contract ]]&gt;0,0,ListOfExpenditure[[#This Row],[IF public procurment &gt;10000;1;0]])</f>
        <v>0</v>
      </c>
    </row>
    <row r="352" spans="1:42" x14ac:dyDescent="0.25">
      <c r="A352">
        <v>2077</v>
      </c>
      <c r="B352">
        <v>1</v>
      </c>
      <c r="E352" t="s">
        <v>4786</v>
      </c>
      <c r="F352" t="b">
        <v>0</v>
      </c>
      <c r="I352" t="s">
        <v>212</v>
      </c>
      <c r="M352" t="s">
        <v>4788</v>
      </c>
      <c r="N352" t="s">
        <v>4788</v>
      </c>
      <c r="O352">
        <v>0</v>
      </c>
      <c r="Q352">
        <v>0</v>
      </c>
      <c r="R352">
        <v>0</v>
      </c>
      <c r="S352">
        <v>0</v>
      </c>
      <c r="T352" t="s">
        <v>4789</v>
      </c>
      <c r="U352">
        <v>1</v>
      </c>
      <c r="V352">
        <v>0</v>
      </c>
      <c r="Y352" t="b">
        <v>0</v>
      </c>
      <c r="Z352" t="b">
        <v>0</v>
      </c>
      <c r="AA352">
        <v>0</v>
      </c>
      <c r="AB352">
        <v>0</v>
      </c>
      <c r="AD352" t="b">
        <v>0</v>
      </c>
      <c r="AG352" s="1" t="s">
        <v>296</v>
      </c>
      <c r="AH352" s="1" t="s">
        <v>298</v>
      </c>
      <c r="AI352">
        <v>196</v>
      </c>
      <c r="AJ352">
        <v>336</v>
      </c>
      <c r="AK352" s="106">
        <v>45475.635539212963</v>
      </c>
      <c r="AL352" s="1" t="s">
        <v>4790</v>
      </c>
      <c r="AM352" s="42">
        <f>IFERROR(INDEX('Public procurment'!A:R,MATCH(ListOfExpenditure[[#This Row],[Content.contractId]],'Public procurment'!E:E,0),14),0)</f>
        <v>0</v>
      </c>
      <c r="AN352" s="2">
        <f>IF(AND(ListOfExpenditure[[#This Row],[Contract amount]]&gt;10000,ListOfExpenditure[[#This Row],[Content.declaredAmount]]&gt;2000),1,0)</f>
        <v>0</v>
      </c>
      <c r="AO352">
        <f>IFERROR(INDEX('Public procurment'!A:S,MATCH(ListOfExpenditure[[#This Row],[Content.contractId]],'Public procurment'!E:E,0),19),0)</f>
        <v>0</v>
      </c>
      <c r="AP352">
        <f>IF(ListOfExpenditure[[#This Row],[Numero di volte controllato il contract ]]&gt;0,0,ListOfExpenditure[[#This Row],[IF public procurment &gt;10000;1;0]])</f>
        <v>0</v>
      </c>
    </row>
    <row r="353" spans="1:42" x14ac:dyDescent="0.25">
      <c r="A353">
        <v>1296</v>
      </c>
      <c r="B353">
        <v>1</v>
      </c>
      <c r="C353">
        <v>206</v>
      </c>
      <c r="E353" t="s">
        <v>4893</v>
      </c>
      <c r="F353" t="b">
        <v>0</v>
      </c>
      <c r="M353" t="s">
        <v>4788</v>
      </c>
      <c r="N353" t="s">
        <v>4788</v>
      </c>
      <c r="Q353">
        <v>1</v>
      </c>
      <c r="R353">
        <v>9000</v>
      </c>
      <c r="S353">
        <v>9000</v>
      </c>
      <c r="T353" t="s">
        <v>4789</v>
      </c>
      <c r="U353">
        <v>1</v>
      </c>
      <c r="V353">
        <v>9000</v>
      </c>
      <c r="Y353" t="b">
        <v>1</v>
      </c>
      <c r="Z353" t="b">
        <v>0</v>
      </c>
      <c r="AA353">
        <v>0</v>
      </c>
      <c r="AB353">
        <v>0</v>
      </c>
      <c r="AD353" t="b">
        <v>1</v>
      </c>
      <c r="AE353" t="s">
        <v>5123</v>
      </c>
      <c r="AF353" t="s">
        <v>5124</v>
      </c>
      <c r="AG353" s="1" t="s">
        <v>296</v>
      </c>
      <c r="AH353" s="1" t="s">
        <v>275</v>
      </c>
      <c r="AI353">
        <v>52</v>
      </c>
      <c r="AJ353">
        <v>262</v>
      </c>
      <c r="AK353" s="106">
        <v>45475.63552520833</v>
      </c>
      <c r="AL353" s="1" t="s">
        <v>4790</v>
      </c>
      <c r="AM353" s="42">
        <f>IFERROR(INDEX('Public procurment'!A:R,MATCH(ListOfExpenditure[[#This Row],[Content.contractId]],'Public procurment'!E:E,0),14),0)</f>
        <v>0</v>
      </c>
      <c r="AN353" s="2">
        <f>IF(AND(ListOfExpenditure[[#This Row],[Contract amount]]&gt;10000,ListOfExpenditure[[#This Row],[Content.declaredAmount]]&gt;2000),1,0)</f>
        <v>0</v>
      </c>
      <c r="AO353">
        <f>IFERROR(INDEX('Public procurment'!A:S,MATCH(ListOfExpenditure[[#This Row],[Content.contractId]],'Public procurment'!E:E,0),19),0)</f>
        <v>0</v>
      </c>
      <c r="AP353">
        <f>IF(ListOfExpenditure[[#This Row],[Numero di volte controllato il contract ]]&gt;0,0,ListOfExpenditure[[#This Row],[IF public procurment &gt;10000;1;0]])</f>
        <v>0</v>
      </c>
    </row>
    <row r="354" spans="1:42" x14ac:dyDescent="0.25">
      <c r="A354">
        <v>2108</v>
      </c>
      <c r="B354">
        <v>1</v>
      </c>
      <c r="E354" t="s">
        <v>5095</v>
      </c>
      <c r="F354" t="b">
        <v>0</v>
      </c>
      <c r="I354" t="s">
        <v>665</v>
      </c>
      <c r="J354" t="s">
        <v>665</v>
      </c>
      <c r="M354" t="s">
        <v>4788</v>
      </c>
      <c r="N354" t="s">
        <v>4788</v>
      </c>
      <c r="O354">
        <v>0</v>
      </c>
      <c r="P354">
        <v>0</v>
      </c>
      <c r="Q354">
        <v>0</v>
      </c>
      <c r="R354">
        <v>0</v>
      </c>
      <c r="S354">
        <v>0</v>
      </c>
      <c r="T354" t="s">
        <v>4789</v>
      </c>
      <c r="U354">
        <v>1</v>
      </c>
      <c r="V354">
        <v>0</v>
      </c>
      <c r="Y354" t="b">
        <v>0</v>
      </c>
      <c r="Z354" t="b">
        <v>0</v>
      </c>
      <c r="AA354">
        <v>0</v>
      </c>
      <c r="AB354">
        <v>0</v>
      </c>
      <c r="AD354" t="b">
        <v>0</v>
      </c>
      <c r="AG354" s="1" t="s">
        <v>296</v>
      </c>
      <c r="AH354" s="1" t="s">
        <v>299</v>
      </c>
      <c r="AI354">
        <v>192</v>
      </c>
      <c r="AJ354">
        <v>342</v>
      </c>
      <c r="AK354" s="106">
        <v>45475.63554447917</v>
      </c>
      <c r="AL354" s="1" t="s">
        <v>4790</v>
      </c>
      <c r="AM354" s="42">
        <f>IFERROR(INDEX('Public procurment'!A:R,MATCH(ListOfExpenditure[[#This Row],[Content.contractId]],'Public procurment'!E:E,0),14),0)</f>
        <v>0</v>
      </c>
      <c r="AN354" s="2">
        <f>IF(AND(ListOfExpenditure[[#This Row],[Contract amount]]&gt;10000,ListOfExpenditure[[#This Row],[Content.declaredAmount]]&gt;2000),1,0)</f>
        <v>0</v>
      </c>
      <c r="AO354">
        <f>IFERROR(INDEX('Public procurment'!A:S,MATCH(ListOfExpenditure[[#This Row],[Content.contractId]],'Public procurment'!E:E,0),19),0)</f>
        <v>0</v>
      </c>
      <c r="AP354">
        <f>IF(ListOfExpenditure[[#This Row],[Numero di volte controllato il contract ]]&gt;0,0,ListOfExpenditure[[#This Row],[IF public procurment &gt;10000;1;0]])</f>
        <v>0</v>
      </c>
    </row>
    <row r="355" spans="1:42" x14ac:dyDescent="0.25">
      <c r="A355">
        <v>1881</v>
      </c>
      <c r="B355">
        <v>1</v>
      </c>
      <c r="E355" t="s">
        <v>4786</v>
      </c>
      <c r="F355" t="b">
        <v>0</v>
      </c>
      <c r="I355" t="s">
        <v>212</v>
      </c>
      <c r="M355" t="s">
        <v>4788</v>
      </c>
      <c r="N355" t="s">
        <v>4788</v>
      </c>
      <c r="O355">
        <v>0</v>
      </c>
      <c r="Q355">
        <v>0</v>
      </c>
      <c r="R355">
        <v>0</v>
      </c>
      <c r="S355">
        <v>0</v>
      </c>
      <c r="T355" t="s">
        <v>4789</v>
      </c>
      <c r="U355">
        <v>1</v>
      </c>
      <c r="V355">
        <v>0</v>
      </c>
      <c r="Y355" t="b">
        <v>0</v>
      </c>
      <c r="Z355" t="b">
        <v>0</v>
      </c>
      <c r="AA355">
        <v>0</v>
      </c>
      <c r="AB355">
        <v>0</v>
      </c>
      <c r="AD355" t="b">
        <v>0</v>
      </c>
      <c r="AG355" s="1" t="s">
        <v>296</v>
      </c>
      <c r="AH355" s="1" t="s">
        <v>300</v>
      </c>
      <c r="AI355">
        <v>191</v>
      </c>
      <c r="AJ355">
        <v>196</v>
      </c>
      <c r="AK355" s="106">
        <v>45475.635517962961</v>
      </c>
      <c r="AL355" s="1" t="s">
        <v>4790</v>
      </c>
      <c r="AM355" s="42">
        <f>IFERROR(INDEX('Public procurment'!A:R,MATCH(ListOfExpenditure[[#This Row],[Content.contractId]],'Public procurment'!E:E,0),14),0)</f>
        <v>0</v>
      </c>
      <c r="AN355" s="2">
        <f>IF(AND(ListOfExpenditure[[#This Row],[Contract amount]]&gt;10000,ListOfExpenditure[[#This Row],[Content.declaredAmount]]&gt;2000),1,0)</f>
        <v>0</v>
      </c>
      <c r="AO355">
        <f>IFERROR(INDEX('Public procurment'!A:S,MATCH(ListOfExpenditure[[#This Row],[Content.contractId]],'Public procurment'!E:E,0),19),0)</f>
        <v>0</v>
      </c>
      <c r="AP355">
        <f>IF(ListOfExpenditure[[#This Row],[Numero di volte controllato il contract ]]&gt;0,0,ListOfExpenditure[[#This Row],[IF public procurment &gt;10000;1;0]])</f>
        <v>0</v>
      </c>
    </row>
    <row r="356" spans="1:42" x14ac:dyDescent="0.25">
      <c r="A356">
        <v>1300</v>
      </c>
      <c r="B356">
        <v>1</v>
      </c>
      <c r="D356">
        <v>62</v>
      </c>
      <c r="E356" t="s">
        <v>4786</v>
      </c>
      <c r="F356" t="b">
        <v>0</v>
      </c>
      <c r="M356" t="s">
        <v>4788</v>
      </c>
      <c r="N356" t="s">
        <v>4788</v>
      </c>
      <c r="Q356">
        <v>22</v>
      </c>
      <c r="R356">
        <v>58</v>
      </c>
      <c r="S356">
        <v>1276</v>
      </c>
      <c r="T356" t="s">
        <v>4789</v>
      </c>
      <c r="U356">
        <v>1</v>
      </c>
      <c r="V356">
        <v>1276</v>
      </c>
      <c r="Y356" t="b">
        <v>0</v>
      </c>
      <c r="Z356" t="b">
        <v>0</v>
      </c>
      <c r="AA356">
        <v>1276</v>
      </c>
      <c r="AB356">
        <v>0</v>
      </c>
      <c r="AD356" t="b">
        <v>0</v>
      </c>
      <c r="AG356" s="1" t="s">
        <v>61</v>
      </c>
      <c r="AH356" s="1" t="s">
        <v>293</v>
      </c>
      <c r="AI356">
        <v>112</v>
      </c>
      <c r="AJ356">
        <v>171</v>
      </c>
      <c r="AK356" s="106">
        <v>45475.63546853009</v>
      </c>
      <c r="AL356" s="1" t="s">
        <v>4790</v>
      </c>
      <c r="AM356" s="42">
        <f>IFERROR(INDEX('Public procurment'!A:R,MATCH(ListOfExpenditure[[#This Row],[Content.contractId]],'Public procurment'!E:E,0),14),0)</f>
        <v>0</v>
      </c>
      <c r="AN356" s="2">
        <f>IF(AND(ListOfExpenditure[[#This Row],[Contract amount]]&gt;10000,ListOfExpenditure[[#This Row],[Content.declaredAmount]]&gt;2000),1,0)</f>
        <v>0</v>
      </c>
      <c r="AO356">
        <f>IFERROR(INDEX('Public procurment'!A:S,MATCH(ListOfExpenditure[[#This Row],[Content.contractId]],'Public procurment'!E:E,0),19),0)</f>
        <v>0</v>
      </c>
      <c r="AP356">
        <f>IF(ListOfExpenditure[[#This Row],[Numero di volte controllato il contract ]]&gt;0,0,ListOfExpenditure[[#This Row],[IF public procurment &gt;10000;1;0]])</f>
        <v>0</v>
      </c>
    </row>
    <row r="357" spans="1:42" x14ac:dyDescent="0.25">
      <c r="A357">
        <v>653</v>
      </c>
      <c r="B357">
        <v>1</v>
      </c>
      <c r="E357" t="s">
        <v>4786</v>
      </c>
      <c r="F357" t="b">
        <v>0</v>
      </c>
      <c r="I357" t="s">
        <v>5125</v>
      </c>
      <c r="K357" t="s">
        <v>4342</v>
      </c>
      <c r="L357" t="s">
        <v>5024</v>
      </c>
      <c r="M357" t="s">
        <v>4788</v>
      </c>
      <c r="N357" t="s">
        <v>4788</v>
      </c>
      <c r="O357">
        <v>2778.57</v>
      </c>
      <c r="Q357">
        <v>0</v>
      </c>
      <c r="R357">
        <v>0</v>
      </c>
      <c r="S357">
        <v>2542.39</v>
      </c>
      <c r="T357" t="s">
        <v>4789</v>
      </c>
      <c r="U357">
        <v>1</v>
      </c>
      <c r="V357">
        <v>2542.39</v>
      </c>
      <c r="W357" t="s">
        <v>4343</v>
      </c>
      <c r="Y357" t="b">
        <v>1</v>
      </c>
      <c r="Z357" t="b">
        <v>0</v>
      </c>
      <c r="AA357">
        <v>2542.39</v>
      </c>
      <c r="AB357">
        <v>0</v>
      </c>
      <c r="AD357" t="b">
        <v>0</v>
      </c>
      <c r="AG357" s="1" t="s">
        <v>61</v>
      </c>
      <c r="AH357" s="1" t="s">
        <v>294</v>
      </c>
      <c r="AI357">
        <v>90</v>
      </c>
      <c r="AJ357">
        <v>200</v>
      </c>
      <c r="AK357" s="106">
        <v>45475.63548503472</v>
      </c>
      <c r="AL357" s="1" t="s">
        <v>4790</v>
      </c>
      <c r="AM357" s="42">
        <f>IFERROR(INDEX('Public procurment'!A:R,MATCH(ListOfExpenditure[[#This Row],[Content.contractId]],'Public procurment'!E:E,0),14),0)</f>
        <v>0</v>
      </c>
      <c r="AN357" s="2">
        <f>IF(AND(ListOfExpenditure[[#This Row],[Contract amount]]&gt;10000,ListOfExpenditure[[#This Row],[Content.declaredAmount]]&gt;2000),1,0)</f>
        <v>0</v>
      </c>
      <c r="AO357">
        <f>IFERROR(INDEX('Public procurment'!A:S,MATCH(ListOfExpenditure[[#This Row],[Content.contractId]],'Public procurment'!E:E,0),19),0)</f>
        <v>0</v>
      </c>
      <c r="AP357">
        <f>IF(ListOfExpenditure[[#This Row],[Numero di volte controllato il contract ]]&gt;0,0,ListOfExpenditure[[#This Row],[IF public procurment &gt;10000;1;0]])</f>
        <v>0</v>
      </c>
    </row>
    <row r="358" spans="1:42" x14ac:dyDescent="0.25">
      <c r="A358">
        <v>654</v>
      </c>
      <c r="B358">
        <v>2</v>
      </c>
      <c r="E358" t="s">
        <v>4786</v>
      </c>
      <c r="F358" t="b">
        <v>0</v>
      </c>
      <c r="I358" t="s">
        <v>5126</v>
      </c>
      <c r="K358" t="s">
        <v>4359</v>
      </c>
      <c r="L358" t="s">
        <v>5127</v>
      </c>
      <c r="M358" t="s">
        <v>4788</v>
      </c>
      <c r="N358" t="s">
        <v>4788</v>
      </c>
      <c r="O358">
        <v>2820</v>
      </c>
      <c r="Q358">
        <v>0</v>
      </c>
      <c r="R358">
        <v>0</v>
      </c>
      <c r="S358">
        <v>2580.3000000000002</v>
      </c>
      <c r="T358" t="s">
        <v>4789</v>
      </c>
      <c r="U358">
        <v>1</v>
      </c>
      <c r="V358">
        <v>2580.3000000000002</v>
      </c>
      <c r="W358" t="s">
        <v>4343</v>
      </c>
      <c r="Y358" t="b">
        <v>1</v>
      </c>
      <c r="Z358" t="b">
        <v>0</v>
      </c>
      <c r="AA358">
        <v>2580.3000000000002</v>
      </c>
      <c r="AB358">
        <v>0</v>
      </c>
      <c r="AD358" t="b">
        <v>0</v>
      </c>
      <c r="AG358" s="1" t="s">
        <v>61</v>
      </c>
      <c r="AH358" s="1" t="s">
        <v>294</v>
      </c>
      <c r="AI358">
        <v>90</v>
      </c>
      <c r="AJ358">
        <v>200</v>
      </c>
      <c r="AK358" s="106">
        <v>45475.63548503472</v>
      </c>
      <c r="AL358" s="1" t="s">
        <v>4790</v>
      </c>
      <c r="AM358" s="42">
        <f>IFERROR(INDEX('Public procurment'!A:R,MATCH(ListOfExpenditure[[#This Row],[Content.contractId]],'Public procurment'!E:E,0),14),0)</f>
        <v>0</v>
      </c>
      <c r="AN358" s="2">
        <f>IF(AND(ListOfExpenditure[[#This Row],[Contract amount]]&gt;10000,ListOfExpenditure[[#This Row],[Content.declaredAmount]]&gt;2000),1,0)</f>
        <v>0</v>
      </c>
      <c r="AO358">
        <f>IFERROR(INDEX('Public procurment'!A:S,MATCH(ListOfExpenditure[[#This Row],[Content.contractId]],'Public procurment'!E:E,0),19),0)</f>
        <v>0</v>
      </c>
      <c r="AP358">
        <f>IF(ListOfExpenditure[[#This Row],[Numero di volte controllato il contract ]]&gt;0,0,ListOfExpenditure[[#This Row],[IF public procurment &gt;10000;1;0]])</f>
        <v>0</v>
      </c>
    </row>
    <row r="359" spans="1:42" x14ac:dyDescent="0.25">
      <c r="A359">
        <v>657</v>
      </c>
      <c r="B359">
        <v>3</v>
      </c>
      <c r="E359" t="s">
        <v>4786</v>
      </c>
      <c r="F359" t="b">
        <v>0</v>
      </c>
      <c r="I359" t="s">
        <v>5128</v>
      </c>
      <c r="K359" t="s">
        <v>4931</v>
      </c>
      <c r="L359" t="s">
        <v>4914</v>
      </c>
      <c r="M359" t="s">
        <v>4788</v>
      </c>
      <c r="N359" t="s">
        <v>4788</v>
      </c>
      <c r="O359">
        <v>2820</v>
      </c>
      <c r="Q359">
        <v>0</v>
      </c>
      <c r="R359">
        <v>0</v>
      </c>
      <c r="S359">
        <v>2580.3000000000002</v>
      </c>
      <c r="T359" t="s">
        <v>4789</v>
      </c>
      <c r="U359">
        <v>1</v>
      </c>
      <c r="V359">
        <v>2580.3000000000002</v>
      </c>
      <c r="W359" t="s">
        <v>4343</v>
      </c>
      <c r="Y359" t="b">
        <v>1</v>
      </c>
      <c r="Z359" t="b">
        <v>0</v>
      </c>
      <c r="AA359">
        <v>2580.3000000000002</v>
      </c>
      <c r="AB359">
        <v>0</v>
      </c>
      <c r="AD359" t="b">
        <v>0</v>
      </c>
      <c r="AG359" s="1" t="s">
        <v>61</v>
      </c>
      <c r="AH359" s="1" t="s">
        <v>294</v>
      </c>
      <c r="AI359">
        <v>90</v>
      </c>
      <c r="AJ359">
        <v>200</v>
      </c>
      <c r="AK359" s="106">
        <v>45475.63548503472</v>
      </c>
      <c r="AL359" s="1" t="s">
        <v>4790</v>
      </c>
      <c r="AM359" s="42">
        <f>IFERROR(INDEX('Public procurment'!A:R,MATCH(ListOfExpenditure[[#This Row],[Content.contractId]],'Public procurment'!E:E,0),14),0)</f>
        <v>0</v>
      </c>
      <c r="AN359" s="2">
        <f>IF(AND(ListOfExpenditure[[#This Row],[Contract amount]]&gt;10000,ListOfExpenditure[[#This Row],[Content.declaredAmount]]&gt;2000),1,0)</f>
        <v>0</v>
      </c>
      <c r="AO359">
        <f>IFERROR(INDEX('Public procurment'!A:S,MATCH(ListOfExpenditure[[#This Row],[Content.contractId]],'Public procurment'!E:E,0),19),0)</f>
        <v>0</v>
      </c>
      <c r="AP359">
        <f>IF(ListOfExpenditure[[#This Row],[Numero di volte controllato il contract ]]&gt;0,0,ListOfExpenditure[[#This Row],[IF public procurment &gt;10000;1;0]])</f>
        <v>0</v>
      </c>
    </row>
    <row r="360" spans="1:42" x14ac:dyDescent="0.25">
      <c r="A360">
        <v>658</v>
      </c>
      <c r="B360">
        <v>4</v>
      </c>
      <c r="E360" t="s">
        <v>4786</v>
      </c>
      <c r="F360" t="b">
        <v>0</v>
      </c>
      <c r="I360" t="s">
        <v>5129</v>
      </c>
      <c r="K360" t="s">
        <v>4525</v>
      </c>
      <c r="L360" t="s">
        <v>5130</v>
      </c>
      <c r="M360" t="s">
        <v>4788</v>
      </c>
      <c r="N360" t="s">
        <v>4788</v>
      </c>
      <c r="O360">
        <v>2809.64</v>
      </c>
      <c r="Q360">
        <v>0</v>
      </c>
      <c r="R360">
        <v>0</v>
      </c>
      <c r="S360">
        <v>2570.8200000000002</v>
      </c>
      <c r="T360" t="s">
        <v>4789</v>
      </c>
      <c r="U360">
        <v>1</v>
      </c>
      <c r="V360">
        <v>2570.8200000000002</v>
      </c>
      <c r="W360" t="s">
        <v>4343</v>
      </c>
      <c r="Y360" t="b">
        <v>1</v>
      </c>
      <c r="Z360" t="b">
        <v>0</v>
      </c>
      <c r="AA360">
        <v>2570.8200000000002</v>
      </c>
      <c r="AB360">
        <v>0</v>
      </c>
      <c r="AD360" t="b">
        <v>0</v>
      </c>
      <c r="AG360" s="1" t="s">
        <v>61</v>
      </c>
      <c r="AH360" s="1" t="s">
        <v>294</v>
      </c>
      <c r="AI360">
        <v>90</v>
      </c>
      <c r="AJ360">
        <v>200</v>
      </c>
      <c r="AK360" s="106">
        <v>45475.63548503472</v>
      </c>
      <c r="AL360" s="1" t="s">
        <v>4790</v>
      </c>
      <c r="AM360" s="42">
        <f>IFERROR(INDEX('Public procurment'!A:R,MATCH(ListOfExpenditure[[#This Row],[Content.contractId]],'Public procurment'!E:E,0),14),0)</f>
        <v>0</v>
      </c>
      <c r="AN360" s="2">
        <f>IF(AND(ListOfExpenditure[[#This Row],[Contract amount]]&gt;10000,ListOfExpenditure[[#This Row],[Content.declaredAmount]]&gt;2000),1,0)</f>
        <v>0</v>
      </c>
      <c r="AO360">
        <f>IFERROR(INDEX('Public procurment'!A:S,MATCH(ListOfExpenditure[[#This Row],[Content.contractId]],'Public procurment'!E:E,0),19),0)</f>
        <v>0</v>
      </c>
      <c r="AP360">
        <f>IF(ListOfExpenditure[[#This Row],[Numero di volte controllato il contract ]]&gt;0,0,ListOfExpenditure[[#This Row],[IF public procurment &gt;10000;1;0]])</f>
        <v>0</v>
      </c>
    </row>
    <row r="361" spans="1:42" x14ac:dyDescent="0.25">
      <c r="A361">
        <v>659</v>
      </c>
      <c r="B361">
        <v>5</v>
      </c>
      <c r="E361" t="s">
        <v>4786</v>
      </c>
      <c r="F361" t="b">
        <v>0</v>
      </c>
      <c r="I361" t="s">
        <v>5131</v>
      </c>
      <c r="K361" t="s">
        <v>4678</v>
      </c>
      <c r="L361" t="s">
        <v>4921</v>
      </c>
      <c r="M361" t="s">
        <v>4788</v>
      </c>
      <c r="N361" t="s">
        <v>4788</v>
      </c>
      <c r="O361">
        <v>2820</v>
      </c>
      <c r="Q361">
        <v>0</v>
      </c>
      <c r="R361">
        <v>0</v>
      </c>
      <c r="S361">
        <v>2580.3000000000002</v>
      </c>
      <c r="T361" t="s">
        <v>4789</v>
      </c>
      <c r="U361">
        <v>1</v>
      </c>
      <c r="V361">
        <v>2580.3000000000002</v>
      </c>
      <c r="W361" t="s">
        <v>4343</v>
      </c>
      <c r="Y361" t="b">
        <v>1</v>
      </c>
      <c r="Z361" t="b">
        <v>0</v>
      </c>
      <c r="AA361">
        <v>2580.3000000000002</v>
      </c>
      <c r="AB361">
        <v>0</v>
      </c>
      <c r="AD361" t="b">
        <v>0</v>
      </c>
      <c r="AG361" s="1" t="s">
        <v>61</v>
      </c>
      <c r="AH361" s="1" t="s">
        <v>294</v>
      </c>
      <c r="AI361">
        <v>90</v>
      </c>
      <c r="AJ361">
        <v>200</v>
      </c>
      <c r="AK361" s="106">
        <v>45475.63548503472</v>
      </c>
      <c r="AL361" s="1" t="s">
        <v>4790</v>
      </c>
      <c r="AM361" s="42">
        <f>IFERROR(INDEX('Public procurment'!A:R,MATCH(ListOfExpenditure[[#This Row],[Content.contractId]],'Public procurment'!E:E,0),14),0)</f>
        <v>0</v>
      </c>
      <c r="AN361" s="2">
        <f>IF(AND(ListOfExpenditure[[#This Row],[Contract amount]]&gt;10000,ListOfExpenditure[[#This Row],[Content.declaredAmount]]&gt;2000),1,0)</f>
        <v>0</v>
      </c>
      <c r="AO361">
        <f>IFERROR(INDEX('Public procurment'!A:S,MATCH(ListOfExpenditure[[#This Row],[Content.contractId]],'Public procurment'!E:E,0),19),0)</f>
        <v>0</v>
      </c>
      <c r="AP361">
        <f>IF(ListOfExpenditure[[#This Row],[Numero di volte controllato il contract ]]&gt;0,0,ListOfExpenditure[[#This Row],[IF public procurment &gt;10000;1;0]])</f>
        <v>0</v>
      </c>
    </row>
    <row r="362" spans="1:42" x14ac:dyDescent="0.25">
      <c r="A362">
        <v>741</v>
      </c>
      <c r="B362">
        <v>6</v>
      </c>
      <c r="E362" t="s">
        <v>4786</v>
      </c>
      <c r="F362" t="b">
        <v>0</v>
      </c>
      <c r="I362" t="s">
        <v>5132</v>
      </c>
      <c r="K362" t="s">
        <v>4342</v>
      </c>
      <c r="L362" t="s">
        <v>5024</v>
      </c>
      <c r="M362" t="s">
        <v>4788</v>
      </c>
      <c r="N362" t="s">
        <v>4788</v>
      </c>
      <c r="O362">
        <v>1221.23</v>
      </c>
      <c r="Q362">
        <v>0</v>
      </c>
      <c r="R362">
        <v>0</v>
      </c>
      <c r="S362">
        <v>498.26</v>
      </c>
      <c r="T362" t="s">
        <v>4789</v>
      </c>
      <c r="U362">
        <v>1</v>
      </c>
      <c r="V362">
        <v>498.26</v>
      </c>
      <c r="W362" t="s">
        <v>4343</v>
      </c>
      <c r="Y362" t="b">
        <v>1</v>
      </c>
      <c r="Z362" t="b">
        <v>0</v>
      </c>
      <c r="AA362">
        <v>0</v>
      </c>
      <c r="AB362">
        <v>498.26</v>
      </c>
      <c r="AC362">
        <v>14</v>
      </c>
      <c r="AD362" t="b">
        <v>0</v>
      </c>
      <c r="AF362" t="s">
        <v>5133</v>
      </c>
      <c r="AG362" s="1" t="s">
        <v>61</v>
      </c>
      <c r="AH362" s="1" t="s">
        <v>294</v>
      </c>
      <c r="AI362">
        <v>90</v>
      </c>
      <c r="AJ362">
        <v>200</v>
      </c>
      <c r="AK362" s="106">
        <v>45475.63548503472</v>
      </c>
      <c r="AL362" s="1" t="s">
        <v>4790</v>
      </c>
      <c r="AM362" s="42">
        <f>IFERROR(INDEX('Public procurment'!A:R,MATCH(ListOfExpenditure[[#This Row],[Content.contractId]],'Public procurment'!E:E,0),14),0)</f>
        <v>0</v>
      </c>
      <c r="AN362" s="2">
        <f>IF(AND(ListOfExpenditure[[#This Row],[Contract amount]]&gt;10000,ListOfExpenditure[[#This Row],[Content.declaredAmount]]&gt;2000),1,0)</f>
        <v>0</v>
      </c>
      <c r="AO362">
        <f>IFERROR(INDEX('Public procurment'!A:S,MATCH(ListOfExpenditure[[#This Row],[Content.contractId]],'Public procurment'!E:E,0),19),0)</f>
        <v>0</v>
      </c>
      <c r="AP362">
        <f>IF(ListOfExpenditure[[#This Row],[Numero di volte controllato il contract ]]&gt;0,0,ListOfExpenditure[[#This Row],[IF public procurment &gt;10000;1;0]])</f>
        <v>0</v>
      </c>
    </row>
    <row r="363" spans="1:42" x14ac:dyDescent="0.25">
      <c r="A363">
        <v>742</v>
      </c>
      <c r="B363">
        <v>7</v>
      </c>
      <c r="E363" t="s">
        <v>4786</v>
      </c>
      <c r="F363" t="b">
        <v>0</v>
      </c>
      <c r="I363" t="s">
        <v>5134</v>
      </c>
      <c r="K363" t="s">
        <v>4359</v>
      </c>
      <c r="L363" t="s">
        <v>5127</v>
      </c>
      <c r="M363" t="s">
        <v>4788</v>
      </c>
      <c r="N363" t="s">
        <v>4788</v>
      </c>
      <c r="O363">
        <v>1221.23</v>
      </c>
      <c r="Q363">
        <v>0</v>
      </c>
      <c r="R363">
        <v>0</v>
      </c>
      <c r="S363">
        <v>498.26</v>
      </c>
      <c r="T363" t="s">
        <v>4789</v>
      </c>
      <c r="U363">
        <v>1</v>
      </c>
      <c r="V363">
        <v>498.26</v>
      </c>
      <c r="W363" t="s">
        <v>4343</v>
      </c>
      <c r="Y363" t="b">
        <v>1</v>
      </c>
      <c r="Z363" t="b">
        <v>0</v>
      </c>
      <c r="AA363">
        <v>0</v>
      </c>
      <c r="AB363">
        <v>498.26</v>
      </c>
      <c r="AC363">
        <v>14</v>
      </c>
      <c r="AD363" t="b">
        <v>0</v>
      </c>
      <c r="AF363" t="s">
        <v>5133</v>
      </c>
      <c r="AG363" s="1" t="s">
        <v>61</v>
      </c>
      <c r="AH363" s="1" t="s">
        <v>294</v>
      </c>
      <c r="AI363">
        <v>90</v>
      </c>
      <c r="AJ363">
        <v>200</v>
      </c>
      <c r="AK363" s="106">
        <v>45475.63548503472</v>
      </c>
      <c r="AL363" s="1" t="s">
        <v>4790</v>
      </c>
      <c r="AM363" s="42">
        <f>IFERROR(INDEX('Public procurment'!A:R,MATCH(ListOfExpenditure[[#This Row],[Content.contractId]],'Public procurment'!E:E,0),14),0)</f>
        <v>0</v>
      </c>
      <c r="AN363" s="2">
        <f>IF(AND(ListOfExpenditure[[#This Row],[Contract amount]]&gt;10000,ListOfExpenditure[[#This Row],[Content.declaredAmount]]&gt;2000),1,0)</f>
        <v>0</v>
      </c>
      <c r="AO363">
        <f>IFERROR(INDEX('Public procurment'!A:S,MATCH(ListOfExpenditure[[#This Row],[Content.contractId]],'Public procurment'!E:E,0),19),0)</f>
        <v>0</v>
      </c>
      <c r="AP363">
        <f>IF(ListOfExpenditure[[#This Row],[Numero di volte controllato il contract ]]&gt;0,0,ListOfExpenditure[[#This Row],[IF public procurment &gt;10000;1;0]])</f>
        <v>0</v>
      </c>
    </row>
    <row r="364" spans="1:42" x14ac:dyDescent="0.25">
      <c r="A364">
        <v>743</v>
      </c>
      <c r="B364">
        <v>8</v>
      </c>
      <c r="E364" t="s">
        <v>4786</v>
      </c>
      <c r="F364" t="b">
        <v>0</v>
      </c>
      <c r="I364" t="s">
        <v>5135</v>
      </c>
      <c r="K364" t="s">
        <v>4931</v>
      </c>
      <c r="L364" t="s">
        <v>4914</v>
      </c>
      <c r="M364" t="s">
        <v>4788</v>
      </c>
      <c r="N364" t="s">
        <v>4788</v>
      </c>
      <c r="O364">
        <v>1221.23</v>
      </c>
      <c r="Q364">
        <v>0</v>
      </c>
      <c r="R364">
        <v>0</v>
      </c>
      <c r="S364">
        <v>498.26</v>
      </c>
      <c r="T364" t="s">
        <v>4789</v>
      </c>
      <c r="U364">
        <v>1</v>
      </c>
      <c r="V364">
        <v>498.26</v>
      </c>
      <c r="W364" t="s">
        <v>4343</v>
      </c>
      <c r="Y364" t="b">
        <v>1</v>
      </c>
      <c r="Z364" t="b">
        <v>0</v>
      </c>
      <c r="AA364">
        <v>0</v>
      </c>
      <c r="AB364">
        <v>498.26</v>
      </c>
      <c r="AC364">
        <v>14</v>
      </c>
      <c r="AD364" t="b">
        <v>0</v>
      </c>
      <c r="AF364" t="s">
        <v>5133</v>
      </c>
      <c r="AG364" s="1" t="s">
        <v>61</v>
      </c>
      <c r="AH364" s="1" t="s">
        <v>294</v>
      </c>
      <c r="AI364">
        <v>90</v>
      </c>
      <c r="AJ364">
        <v>200</v>
      </c>
      <c r="AK364" s="106">
        <v>45475.63548503472</v>
      </c>
      <c r="AL364" s="1" t="s">
        <v>4790</v>
      </c>
      <c r="AM364" s="42">
        <f>IFERROR(INDEX('Public procurment'!A:R,MATCH(ListOfExpenditure[[#This Row],[Content.contractId]],'Public procurment'!E:E,0),14),0)</f>
        <v>0</v>
      </c>
      <c r="AN364" s="2">
        <f>IF(AND(ListOfExpenditure[[#This Row],[Contract amount]]&gt;10000,ListOfExpenditure[[#This Row],[Content.declaredAmount]]&gt;2000),1,0)</f>
        <v>0</v>
      </c>
      <c r="AO364">
        <f>IFERROR(INDEX('Public procurment'!A:S,MATCH(ListOfExpenditure[[#This Row],[Content.contractId]],'Public procurment'!E:E,0),19),0)</f>
        <v>0</v>
      </c>
      <c r="AP364">
        <f>IF(ListOfExpenditure[[#This Row],[Numero di volte controllato il contract ]]&gt;0,0,ListOfExpenditure[[#This Row],[IF public procurment &gt;10000;1;0]])</f>
        <v>0</v>
      </c>
    </row>
    <row r="365" spans="1:42" x14ac:dyDescent="0.25">
      <c r="A365">
        <v>744</v>
      </c>
      <c r="B365">
        <v>9</v>
      </c>
      <c r="E365" t="s">
        <v>4786</v>
      </c>
      <c r="F365" t="b">
        <v>0</v>
      </c>
      <c r="I365" t="s">
        <v>5136</v>
      </c>
      <c r="K365" t="s">
        <v>4525</v>
      </c>
      <c r="L365" t="s">
        <v>5130</v>
      </c>
      <c r="M365" t="s">
        <v>4788</v>
      </c>
      <c r="N365" t="s">
        <v>4788</v>
      </c>
      <c r="O365">
        <v>1221.23</v>
      </c>
      <c r="Q365">
        <v>0</v>
      </c>
      <c r="R365">
        <v>0</v>
      </c>
      <c r="S365">
        <v>498.26</v>
      </c>
      <c r="T365" t="s">
        <v>4789</v>
      </c>
      <c r="U365">
        <v>1</v>
      </c>
      <c r="V365">
        <v>498.26</v>
      </c>
      <c r="W365" t="s">
        <v>4343</v>
      </c>
      <c r="Y365" t="b">
        <v>1</v>
      </c>
      <c r="Z365" t="b">
        <v>0</v>
      </c>
      <c r="AA365">
        <v>0</v>
      </c>
      <c r="AB365">
        <v>498.26</v>
      </c>
      <c r="AC365">
        <v>14</v>
      </c>
      <c r="AD365" t="b">
        <v>0</v>
      </c>
      <c r="AF365" t="s">
        <v>5133</v>
      </c>
      <c r="AG365" s="1" t="s">
        <v>61</v>
      </c>
      <c r="AH365" s="1" t="s">
        <v>294</v>
      </c>
      <c r="AI365">
        <v>90</v>
      </c>
      <c r="AJ365">
        <v>200</v>
      </c>
      <c r="AK365" s="106">
        <v>45475.63548503472</v>
      </c>
      <c r="AL365" s="1" t="s">
        <v>4790</v>
      </c>
      <c r="AM365" s="42">
        <f>IFERROR(INDEX('Public procurment'!A:R,MATCH(ListOfExpenditure[[#This Row],[Content.contractId]],'Public procurment'!E:E,0),14),0)</f>
        <v>0</v>
      </c>
      <c r="AN365" s="2">
        <f>IF(AND(ListOfExpenditure[[#This Row],[Contract amount]]&gt;10000,ListOfExpenditure[[#This Row],[Content.declaredAmount]]&gt;2000),1,0)</f>
        <v>0</v>
      </c>
      <c r="AO365">
        <f>IFERROR(INDEX('Public procurment'!A:S,MATCH(ListOfExpenditure[[#This Row],[Content.contractId]],'Public procurment'!E:E,0),19),0)</f>
        <v>0</v>
      </c>
      <c r="AP365">
        <f>IF(ListOfExpenditure[[#This Row],[Numero di volte controllato il contract ]]&gt;0,0,ListOfExpenditure[[#This Row],[IF public procurment &gt;10000;1;0]])</f>
        <v>0</v>
      </c>
    </row>
    <row r="366" spans="1:42" x14ac:dyDescent="0.25">
      <c r="A366">
        <v>745</v>
      </c>
      <c r="B366">
        <v>10</v>
      </c>
      <c r="E366" t="s">
        <v>4786</v>
      </c>
      <c r="F366" t="b">
        <v>0</v>
      </c>
      <c r="I366" t="s">
        <v>5137</v>
      </c>
      <c r="K366" t="s">
        <v>4678</v>
      </c>
      <c r="L366" t="s">
        <v>4921</v>
      </c>
      <c r="M366" t="s">
        <v>4788</v>
      </c>
      <c r="N366" t="s">
        <v>4788</v>
      </c>
      <c r="O366">
        <v>1221.23</v>
      </c>
      <c r="Q366">
        <v>0</v>
      </c>
      <c r="R366">
        <v>0</v>
      </c>
      <c r="S366">
        <v>498.26</v>
      </c>
      <c r="T366" t="s">
        <v>4789</v>
      </c>
      <c r="U366">
        <v>1</v>
      </c>
      <c r="V366">
        <v>498.26</v>
      </c>
      <c r="W366" t="s">
        <v>4343</v>
      </c>
      <c r="Y366" t="b">
        <v>1</v>
      </c>
      <c r="Z366" t="b">
        <v>0</v>
      </c>
      <c r="AA366">
        <v>0</v>
      </c>
      <c r="AB366">
        <v>498.26</v>
      </c>
      <c r="AC366">
        <v>14</v>
      </c>
      <c r="AD366" t="b">
        <v>0</v>
      </c>
      <c r="AF366" t="s">
        <v>5133</v>
      </c>
      <c r="AG366" s="1" t="s">
        <v>61</v>
      </c>
      <c r="AH366" s="1" t="s">
        <v>294</v>
      </c>
      <c r="AI366">
        <v>90</v>
      </c>
      <c r="AJ366">
        <v>200</v>
      </c>
      <c r="AK366" s="106">
        <v>45475.63548503472</v>
      </c>
      <c r="AL366" s="1" t="s">
        <v>4790</v>
      </c>
      <c r="AM366" s="42">
        <f>IFERROR(INDEX('Public procurment'!A:R,MATCH(ListOfExpenditure[[#This Row],[Content.contractId]],'Public procurment'!E:E,0),14),0)</f>
        <v>0</v>
      </c>
      <c r="AN366" s="2">
        <f>IF(AND(ListOfExpenditure[[#This Row],[Contract amount]]&gt;10000,ListOfExpenditure[[#This Row],[Content.declaredAmount]]&gt;2000),1,0)</f>
        <v>0</v>
      </c>
      <c r="AO366">
        <f>IFERROR(INDEX('Public procurment'!A:S,MATCH(ListOfExpenditure[[#This Row],[Content.contractId]],'Public procurment'!E:E,0),19),0)</f>
        <v>0</v>
      </c>
      <c r="AP366">
        <f>IF(ListOfExpenditure[[#This Row],[Numero di volte controllato il contract ]]&gt;0,0,ListOfExpenditure[[#This Row],[IF public procurment &gt;10000;1;0]])</f>
        <v>0</v>
      </c>
    </row>
    <row r="367" spans="1:42" x14ac:dyDescent="0.25">
      <c r="A367">
        <v>746</v>
      </c>
      <c r="B367">
        <v>11</v>
      </c>
      <c r="E367" t="s">
        <v>4786</v>
      </c>
      <c r="F367" t="b">
        <v>0</v>
      </c>
      <c r="I367" t="s">
        <v>5138</v>
      </c>
      <c r="K367" t="s">
        <v>4342</v>
      </c>
      <c r="L367" t="s">
        <v>5024</v>
      </c>
      <c r="M367" t="s">
        <v>4788</v>
      </c>
      <c r="N367" t="s">
        <v>4788</v>
      </c>
      <c r="O367">
        <v>2015.19</v>
      </c>
      <c r="Q367">
        <v>0</v>
      </c>
      <c r="R367">
        <v>0</v>
      </c>
      <c r="S367">
        <v>1354.2</v>
      </c>
      <c r="T367" t="s">
        <v>4789</v>
      </c>
      <c r="U367">
        <v>1</v>
      </c>
      <c r="V367">
        <v>1354.2</v>
      </c>
      <c r="W367" t="s">
        <v>4343</v>
      </c>
      <c r="Y367" t="b">
        <v>1</v>
      </c>
      <c r="Z367" t="b">
        <v>0</v>
      </c>
      <c r="AA367">
        <v>1354.2</v>
      </c>
      <c r="AB367">
        <v>0</v>
      </c>
      <c r="AD367" t="b">
        <v>0</v>
      </c>
      <c r="AG367" s="1" t="s">
        <v>61</v>
      </c>
      <c r="AH367" s="1" t="s">
        <v>294</v>
      </c>
      <c r="AI367">
        <v>90</v>
      </c>
      <c r="AJ367">
        <v>200</v>
      </c>
      <c r="AK367" s="106">
        <v>45475.63548503472</v>
      </c>
      <c r="AL367" s="1" t="s">
        <v>4790</v>
      </c>
      <c r="AM367" s="42">
        <f>IFERROR(INDEX('Public procurment'!A:R,MATCH(ListOfExpenditure[[#This Row],[Content.contractId]],'Public procurment'!E:E,0),14),0)</f>
        <v>0</v>
      </c>
      <c r="AN367" s="2">
        <f>IF(AND(ListOfExpenditure[[#This Row],[Contract amount]]&gt;10000,ListOfExpenditure[[#This Row],[Content.declaredAmount]]&gt;2000),1,0)</f>
        <v>0</v>
      </c>
      <c r="AO367">
        <f>IFERROR(INDEX('Public procurment'!A:S,MATCH(ListOfExpenditure[[#This Row],[Content.contractId]],'Public procurment'!E:E,0),19),0)</f>
        <v>0</v>
      </c>
      <c r="AP367">
        <f>IF(ListOfExpenditure[[#This Row],[Numero di volte controllato il contract ]]&gt;0,0,ListOfExpenditure[[#This Row],[IF public procurment &gt;10000;1;0]])</f>
        <v>0</v>
      </c>
    </row>
    <row r="368" spans="1:42" x14ac:dyDescent="0.25">
      <c r="A368">
        <v>747</v>
      </c>
      <c r="B368">
        <v>12</v>
      </c>
      <c r="E368" t="s">
        <v>4786</v>
      </c>
      <c r="F368" t="b">
        <v>0</v>
      </c>
      <c r="I368" t="s">
        <v>5139</v>
      </c>
      <c r="K368" t="s">
        <v>4359</v>
      </c>
      <c r="L368" t="s">
        <v>5127</v>
      </c>
      <c r="M368" t="s">
        <v>4788</v>
      </c>
      <c r="N368" t="s">
        <v>4788</v>
      </c>
      <c r="O368">
        <v>2020.86</v>
      </c>
      <c r="Q368">
        <v>0</v>
      </c>
      <c r="R368">
        <v>0</v>
      </c>
      <c r="S368">
        <v>1358.02</v>
      </c>
      <c r="T368" t="s">
        <v>4789</v>
      </c>
      <c r="U368">
        <v>1</v>
      </c>
      <c r="V368">
        <v>1358.02</v>
      </c>
      <c r="W368" t="s">
        <v>4343</v>
      </c>
      <c r="Y368" t="b">
        <v>1</v>
      </c>
      <c r="Z368" t="b">
        <v>0</v>
      </c>
      <c r="AA368">
        <v>1358.02</v>
      </c>
      <c r="AB368">
        <v>0</v>
      </c>
      <c r="AD368" t="b">
        <v>0</v>
      </c>
      <c r="AG368" s="1" t="s">
        <v>61</v>
      </c>
      <c r="AH368" s="1" t="s">
        <v>294</v>
      </c>
      <c r="AI368">
        <v>90</v>
      </c>
      <c r="AJ368">
        <v>200</v>
      </c>
      <c r="AK368" s="106">
        <v>45475.63548503472</v>
      </c>
      <c r="AL368" s="1" t="s">
        <v>4790</v>
      </c>
      <c r="AM368" s="42">
        <f>IFERROR(INDEX('Public procurment'!A:R,MATCH(ListOfExpenditure[[#This Row],[Content.contractId]],'Public procurment'!E:E,0),14),0)</f>
        <v>0</v>
      </c>
      <c r="AN368" s="2">
        <f>IF(AND(ListOfExpenditure[[#This Row],[Contract amount]]&gt;10000,ListOfExpenditure[[#This Row],[Content.declaredAmount]]&gt;2000),1,0)</f>
        <v>0</v>
      </c>
      <c r="AO368">
        <f>IFERROR(INDEX('Public procurment'!A:S,MATCH(ListOfExpenditure[[#This Row],[Content.contractId]],'Public procurment'!E:E,0),19),0)</f>
        <v>0</v>
      </c>
      <c r="AP368">
        <f>IF(ListOfExpenditure[[#This Row],[Numero di volte controllato il contract ]]&gt;0,0,ListOfExpenditure[[#This Row],[IF public procurment &gt;10000;1;0]])</f>
        <v>0</v>
      </c>
    </row>
    <row r="369" spans="1:42" x14ac:dyDescent="0.25">
      <c r="A369">
        <v>748</v>
      </c>
      <c r="B369">
        <v>13</v>
      </c>
      <c r="E369" t="s">
        <v>4786</v>
      </c>
      <c r="F369" t="b">
        <v>0</v>
      </c>
      <c r="I369" t="s">
        <v>5140</v>
      </c>
      <c r="K369" t="s">
        <v>4931</v>
      </c>
      <c r="L369" t="s">
        <v>4914</v>
      </c>
      <c r="M369" t="s">
        <v>4788</v>
      </c>
      <c r="N369" t="s">
        <v>4788</v>
      </c>
      <c r="O369">
        <v>2020.86</v>
      </c>
      <c r="Q369">
        <v>0</v>
      </c>
      <c r="R369">
        <v>0</v>
      </c>
      <c r="S369">
        <v>1358.02</v>
      </c>
      <c r="T369" t="s">
        <v>4789</v>
      </c>
      <c r="U369">
        <v>1</v>
      </c>
      <c r="V369">
        <v>1358.02</v>
      </c>
      <c r="W369" t="s">
        <v>4343</v>
      </c>
      <c r="Y369" t="b">
        <v>1</v>
      </c>
      <c r="Z369" t="b">
        <v>0</v>
      </c>
      <c r="AA369">
        <v>1358.02</v>
      </c>
      <c r="AB369">
        <v>0</v>
      </c>
      <c r="AD369" t="b">
        <v>0</v>
      </c>
      <c r="AG369" s="1" t="s">
        <v>61</v>
      </c>
      <c r="AH369" s="1" t="s">
        <v>294</v>
      </c>
      <c r="AI369">
        <v>90</v>
      </c>
      <c r="AJ369">
        <v>200</v>
      </c>
      <c r="AK369" s="106">
        <v>45475.63548503472</v>
      </c>
      <c r="AL369" s="1" t="s">
        <v>4790</v>
      </c>
      <c r="AM369" s="42">
        <f>IFERROR(INDEX('Public procurment'!A:R,MATCH(ListOfExpenditure[[#This Row],[Content.contractId]],'Public procurment'!E:E,0),14),0)</f>
        <v>0</v>
      </c>
      <c r="AN369" s="2">
        <f>IF(AND(ListOfExpenditure[[#This Row],[Contract amount]]&gt;10000,ListOfExpenditure[[#This Row],[Content.declaredAmount]]&gt;2000),1,0)</f>
        <v>0</v>
      </c>
      <c r="AO369">
        <f>IFERROR(INDEX('Public procurment'!A:S,MATCH(ListOfExpenditure[[#This Row],[Content.contractId]],'Public procurment'!E:E,0),19),0)</f>
        <v>0</v>
      </c>
      <c r="AP369">
        <f>IF(ListOfExpenditure[[#This Row],[Numero di volte controllato il contract ]]&gt;0,0,ListOfExpenditure[[#This Row],[IF public procurment &gt;10000;1;0]])</f>
        <v>0</v>
      </c>
    </row>
    <row r="370" spans="1:42" x14ac:dyDescent="0.25">
      <c r="A370">
        <v>749</v>
      </c>
      <c r="B370">
        <v>14</v>
      </c>
      <c r="E370" t="s">
        <v>4786</v>
      </c>
      <c r="F370" t="b">
        <v>0</v>
      </c>
      <c r="I370" t="s">
        <v>5141</v>
      </c>
      <c r="K370" t="s">
        <v>4525</v>
      </c>
      <c r="L370" t="s">
        <v>5130</v>
      </c>
      <c r="M370" t="s">
        <v>4788</v>
      </c>
      <c r="N370" t="s">
        <v>4788</v>
      </c>
      <c r="O370">
        <v>2008.87</v>
      </c>
      <c r="Q370">
        <v>0</v>
      </c>
      <c r="R370">
        <v>0</v>
      </c>
      <c r="S370">
        <v>1349.96</v>
      </c>
      <c r="T370" t="s">
        <v>4789</v>
      </c>
      <c r="U370">
        <v>1</v>
      </c>
      <c r="V370">
        <v>1349.96</v>
      </c>
      <c r="W370" t="s">
        <v>4343</v>
      </c>
      <c r="Y370" t="b">
        <v>1</v>
      </c>
      <c r="Z370" t="b">
        <v>0</v>
      </c>
      <c r="AA370">
        <v>1349.96</v>
      </c>
      <c r="AB370">
        <v>0</v>
      </c>
      <c r="AD370" t="b">
        <v>0</v>
      </c>
      <c r="AG370" s="1" t="s">
        <v>61</v>
      </c>
      <c r="AH370" s="1" t="s">
        <v>294</v>
      </c>
      <c r="AI370">
        <v>90</v>
      </c>
      <c r="AJ370">
        <v>200</v>
      </c>
      <c r="AK370" s="106">
        <v>45475.63548503472</v>
      </c>
      <c r="AL370" s="1" t="s">
        <v>4790</v>
      </c>
      <c r="AM370" s="42">
        <f>IFERROR(INDEX('Public procurment'!A:R,MATCH(ListOfExpenditure[[#This Row],[Content.contractId]],'Public procurment'!E:E,0),14),0)</f>
        <v>0</v>
      </c>
      <c r="AN370" s="2">
        <f>IF(AND(ListOfExpenditure[[#This Row],[Contract amount]]&gt;10000,ListOfExpenditure[[#This Row],[Content.declaredAmount]]&gt;2000),1,0)</f>
        <v>0</v>
      </c>
      <c r="AO370">
        <f>IFERROR(INDEX('Public procurment'!A:S,MATCH(ListOfExpenditure[[#This Row],[Content.contractId]],'Public procurment'!E:E,0),19),0)</f>
        <v>0</v>
      </c>
      <c r="AP370">
        <f>IF(ListOfExpenditure[[#This Row],[Numero di volte controllato il contract ]]&gt;0,0,ListOfExpenditure[[#This Row],[IF public procurment &gt;10000;1;0]])</f>
        <v>0</v>
      </c>
    </row>
    <row r="371" spans="1:42" x14ac:dyDescent="0.25">
      <c r="A371">
        <v>750</v>
      </c>
      <c r="B371">
        <v>15</v>
      </c>
      <c r="E371" t="s">
        <v>4786</v>
      </c>
      <c r="F371" t="b">
        <v>0</v>
      </c>
      <c r="I371" t="s">
        <v>5142</v>
      </c>
      <c r="K371" t="s">
        <v>4678</v>
      </c>
      <c r="L371" t="s">
        <v>4921</v>
      </c>
      <c r="M371" t="s">
        <v>4788</v>
      </c>
      <c r="N371" t="s">
        <v>4788</v>
      </c>
      <c r="O371">
        <v>2023.85</v>
      </c>
      <c r="Q371">
        <v>0</v>
      </c>
      <c r="R371">
        <v>0</v>
      </c>
      <c r="S371">
        <v>1360.03</v>
      </c>
      <c r="T371" t="s">
        <v>4789</v>
      </c>
      <c r="U371">
        <v>1</v>
      </c>
      <c r="V371">
        <v>1360.03</v>
      </c>
      <c r="W371" t="s">
        <v>4343</v>
      </c>
      <c r="Y371" t="b">
        <v>1</v>
      </c>
      <c r="Z371" t="b">
        <v>0</v>
      </c>
      <c r="AA371">
        <v>1360.03</v>
      </c>
      <c r="AB371">
        <v>0</v>
      </c>
      <c r="AD371" t="b">
        <v>0</v>
      </c>
      <c r="AG371" s="1" t="s">
        <v>61</v>
      </c>
      <c r="AH371" s="1" t="s">
        <v>294</v>
      </c>
      <c r="AI371">
        <v>90</v>
      </c>
      <c r="AJ371">
        <v>200</v>
      </c>
      <c r="AK371" s="106">
        <v>45475.63548503472</v>
      </c>
      <c r="AL371" s="1" t="s">
        <v>4790</v>
      </c>
      <c r="AM371" s="42">
        <f>IFERROR(INDEX('Public procurment'!A:R,MATCH(ListOfExpenditure[[#This Row],[Content.contractId]],'Public procurment'!E:E,0),14),0)</f>
        <v>0</v>
      </c>
      <c r="AN371" s="2">
        <f>IF(AND(ListOfExpenditure[[#This Row],[Contract amount]]&gt;10000,ListOfExpenditure[[#This Row],[Content.declaredAmount]]&gt;2000),1,0)</f>
        <v>0</v>
      </c>
      <c r="AO371">
        <f>IFERROR(INDEX('Public procurment'!A:S,MATCH(ListOfExpenditure[[#This Row],[Content.contractId]],'Public procurment'!E:E,0),19),0)</f>
        <v>0</v>
      </c>
      <c r="AP371">
        <f>IF(ListOfExpenditure[[#This Row],[Numero di volte controllato il contract ]]&gt;0,0,ListOfExpenditure[[#This Row],[IF public procurment &gt;10000;1;0]])</f>
        <v>0</v>
      </c>
    </row>
    <row r="372" spans="1:42" x14ac:dyDescent="0.25">
      <c r="A372">
        <v>753</v>
      </c>
      <c r="B372">
        <v>16</v>
      </c>
      <c r="E372" t="s">
        <v>4786</v>
      </c>
      <c r="F372" t="b">
        <v>0</v>
      </c>
      <c r="I372" t="s">
        <v>5143</v>
      </c>
      <c r="K372" t="s">
        <v>4342</v>
      </c>
      <c r="L372" t="s">
        <v>5024</v>
      </c>
      <c r="M372" t="s">
        <v>4788</v>
      </c>
      <c r="N372" t="s">
        <v>4788</v>
      </c>
      <c r="O372">
        <v>568.29</v>
      </c>
      <c r="Q372">
        <v>0</v>
      </c>
      <c r="R372">
        <v>0</v>
      </c>
      <c r="S372">
        <v>213.11</v>
      </c>
      <c r="T372" t="s">
        <v>4789</v>
      </c>
      <c r="U372">
        <v>1</v>
      </c>
      <c r="V372">
        <v>213.11</v>
      </c>
      <c r="W372" t="s">
        <v>4343</v>
      </c>
      <c r="Y372" t="b">
        <v>1</v>
      </c>
      <c r="Z372" t="b">
        <v>0</v>
      </c>
      <c r="AA372">
        <v>213.11</v>
      </c>
      <c r="AB372">
        <v>0</v>
      </c>
      <c r="AD372" t="b">
        <v>0</v>
      </c>
      <c r="AG372" s="1" t="s">
        <v>61</v>
      </c>
      <c r="AH372" s="1" t="s">
        <v>294</v>
      </c>
      <c r="AI372">
        <v>90</v>
      </c>
      <c r="AJ372">
        <v>200</v>
      </c>
      <c r="AK372" s="106">
        <v>45475.63548503472</v>
      </c>
      <c r="AL372" s="1" t="s">
        <v>4790</v>
      </c>
      <c r="AM372" s="42">
        <f>IFERROR(INDEX('Public procurment'!A:R,MATCH(ListOfExpenditure[[#This Row],[Content.contractId]],'Public procurment'!E:E,0),14),0)</f>
        <v>0</v>
      </c>
      <c r="AN372" s="2">
        <f>IF(AND(ListOfExpenditure[[#This Row],[Contract amount]]&gt;10000,ListOfExpenditure[[#This Row],[Content.declaredAmount]]&gt;2000),1,0)</f>
        <v>0</v>
      </c>
      <c r="AO372">
        <f>IFERROR(INDEX('Public procurment'!A:S,MATCH(ListOfExpenditure[[#This Row],[Content.contractId]],'Public procurment'!E:E,0),19),0)</f>
        <v>0</v>
      </c>
      <c r="AP372">
        <f>IF(ListOfExpenditure[[#This Row],[Numero di volte controllato il contract ]]&gt;0,0,ListOfExpenditure[[#This Row],[IF public procurment &gt;10000;1;0]])</f>
        <v>0</v>
      </c>
    </row>
    <row r="373" spans="1:42" x14ac:dyDescent="0.25">
      <c r="A373">
        <v>754</v>
      </c>
      <c r="B373">
        <v>17</v>
      </c>
      <c r="E373" t="s">
        <v>4786</v>
      </c>
      <c r="F373" t="b">
        <v>0</v>
      </c>
      <c r="I373" t="s">
        <v>5144</v>
      </c>
      <c r="K373" t="s">
        <v>4359</v>
      </c>
      <c r="L373" t="s">
        <v>5127</v>
      </c>
      <c r="M373" t="s">
        <v>4788</v>
      </c>
      <c r="N373" t="s">
        <v>4788</v>
      </c>
      <c r="O373">
        <v>568.29</v>
      </c>
      <c r="Q373">
        <v>0</v>
      </c>
      <c r="R373">
        <v>0</v>
      </c>
      <c r="S373">
        <v>213.11</v>
      </c>
      <c r="T373" t="s">
        <v>4789</v>
      </c>
      <c r="U373">
        <v>1</v>
      </c>
      <c r="V373">
        <v>213.11</v>
      </c>
      <c r="W373" t="s">
        <v>4343</v>
      </c>
      <c r="Y373" t="b">
        <v>1</v>
      </c>
      <c r="Z373" t="b">
        <v>0</v>
      </c>
      <c r="AA373">
        <v>213.11</v>
      </c>
      <c r="AB373">
        <v>0</v>
      </c>
      <c r="AD373" t="b">
        <v>0</v>
      </c>
      <c r="AG373" s="1" t="s">
        <v>61</v>
      </c>
      <c r="AH373" s="1" t="s">
        <v>294</v>
      </c>
      <c r="AI373">
        <v>90</v>
      </c>
      <c r="AJ373">
        <v>200</v>
      </c>
      <c r="AK373" s="106">
        <v>45475.63548503472</v>
      </c>
      <c r="AL373" s="1" t="s">
        <v>4790</v>
      </c>
      <c r="AM373" s="42">
        <f>IFERROR(INDEX('Public procurment'!A:R,MATCH(ListOfExpenditure[[#This Row],[Content.contractId]],'Public procurment'!E:E,0),14),0)</f>
        <v>0</v>
      </c>
      <c r="AN373" s="2">
        <f>IF(AND(ListOfExpenditure[[#This Row],[Contract amount]]&gt;10000,ListOfExpenditure[[#This Row],[Content.declaredAmount]]&gt;2000),1,0)</f>
        <v>0</v>
      </c>
      <c r="AO373">
        <f>IFERROR(INDEX('Public procurment'!A:S,MATCH(ListOfExpenditure[[#This Row],[Content.contractId]],'Public procurment'!E:E,0),19),0)</f>
        <v>0</v>
      </c>
      <c r="AP373">
        <f>IF(ListOfExpenditure[[#This Row],[Numero di volte controllato il contract ]]&gt;0,0,ListOfExpenditure[[#This Row],[IF public procurment &gt;10000;1;0]])</f>
        <v>0</v>
      </c>
    </row>
    <row r="374" spans="1:42" x14ac:dyDescent="0.25">
      <c r="A374">
        <v>755</v>
      </c>
      <c r="B374">
        <v>18</v>
      </c>
      <c r="E374" t="s">
        <v>4786</v>
      </c>
      <c r="F374" t="b">
        <v>0</v>
      </c>
      <c r="I374" t="s">
        <v>5145</v>
      </c>
      <c r="K374" t="s">
        <v>4931</v>
      </c>
      <c r="L374" t="s">
        <v>4914</v>
      </c>
      <c r="M374" t="s">
        <v>4788</v>
      </c>
      <c r="N374" t="s">
        <v>4788</v>
      </c>
      <c r="O374">
        <v>568.29</v>
      </c>
      <c r="Q374">
        <v>0</v>
      </c>
      <c r="R374">
        <v>0</v>
      </c>
      <c r="S374">
        <v>213.11</v>
      </c>
      <c r="T374" t="s">
        <v>4789</v>
      </c>
      <c r="U374">
        <v>1</v>
      </c>
      <c r="V374">
        <v>213.11</v>
      </c>
      <c r="W374" t="s">
        <v>4343</v>
      </c>
      <c r="Y374" t="b">
        <v>1</v>
      </c>
      <c r="Z374" t="b">
        <v>0</v>
      </c>
      <c r="AA374">
        <v>213.11</v>
      </c>
      <c r="AB374">
        <v>0</v>
      </c>
      <c r="AD374" t="b">
        <v>0</v>
      </c>
      <c r="AG374" s="1" t="s">
        <v>61</v>
      </c>
      <c r="AH374" s="1" t="s">
        <v>294</v>
      </c>
      <c r="AI374">
        <v>90</v>
      </c>
      <c r="AJ374">
        <v>200</v>
      </c>
      <c r="AK374" s="106">
        <v>45475.63548503472</v>
      </c>
      <c r="AL374" s="1" t="s">
        <v>4790</v>
      </c>
      <c r="AM374" s="42">
        <f>IFERROR(INDEX('Public procurment'!A:R,MATCH(ListOfExpenditure[[#This Row],[Content.contractId]],'Public procurment'!E:E,0),14),0)</f>
        <v>0</v>
      </c>
      <c r="AN374" s="2">
        <f>IF(AND(ListOfExpenditure[[#This Row],[Contract amount]]&gt;10000,ListOfExpenditure[[#This Row],[Content.declaredAmount]]&gt;2000),1,0)</f>
        <v>0</v>
      </c>
      <c r="AO374">
        <f>IFERROR(INDEX('Public procurment'!A:S,MATCH(ListOfExpenditure[[#This Row],[Content.contractId]],'Public procurment'!E:E,0),19),0)</f>
        <v>0</v>
      </c>
      <c r="AP374">
        <f>IF(ListOfExpenditure[[#This Row],[Numero di volte controllato il contract ]]&gt;0,0,ListOfExpenditure[[#This Row],[IF public procurment &gt;10000;1;0]])</f>
        <v>0</v>
      </c>
    </row>
    <row r="375" spans="1:42" x14ac:dyDescent="0.25">
      <c r="A375">
        <v>756</v>
      </c>
      <c r="B375">
        <v>19</v>
      </c>
      <c r="E375" t="s">
        <v>4786</v>
      </c>
      <c r="F375" t="b">
        <v>0</v>
      </c>
      <c r="I375" t="s">
        <v>5146</v>
      </c>
      <c r="K375" t="s">
        <v>4525</v>
      </c>
      <c r="L375" t="s">
        <v>5130</v>
      </c>
      <c r="M375" t="s">
        <v>4788</v>
      </c>
      <c r="N375" t="s">
        <v>4788</v>
      </c>
      <c r="O375">
        <v>570.79</v>
      </c>
      <c r="Q375">
        <v>0</v>
      </c>
      <c r="R375">
        <v>0</v>
      </c>
      <c r="S375">
        <v>214.05</v>
      </c>
      <c r="T375" t="s">
        <v>4789</v>
      </c>
      <c r="U375">
        <v>1</v>
      </c>
      <c r="V375">
        <v>214.05</v>
      </c>
      <c r="W375" t="s">
        <v>4343</v>
      </c>
      <c r="Y375" t="b">
        <v>1</v>
      </c>
      <c r="Z375" t="b">
        <v>0</v>
      </c>
      <c r="AA375">
        <v>214.05</v>
      </c>
      <c r="AB375">
        <v>0</v>
      </c>
      <c r="AD375" t="b">
        <v>0</v>
      </c>
      <c r="AG375" s="1" t="s">
        <v>61</v>
      </c>
      <c r="AH375" s="1" t="s">
        <v>294</v>
      </c>
      <c r="AI375">
        <v>90</v>
      </c>
      <c r="AJ375">
        <v>200</v>
      </c>
      <c r="AK375" s="106">
        <v>45475.63548503472</v>
      </c>
      <c r="AL375" s="1" t="s">
        <v>4790</v>
      </c>
      <c r="AM375" s="42">
        <f>IFERROR(INDEX('Public procurment'!A:R,MATCH(ListOfExpenditure[[#This Row],[Content.contractId]],'Public procurment'!E:E,0),14),0)</f>
        <v>0</v>
      </c>
      <c r="AN375" s="2">
        <f>IF(AND(ListOfExpenditure[[#This Row],[Contract amount]]&gt;10000,ListOfExpenditure[[#This Row],[Content.declaredAmount]]&gt;2000),1,0)</f>
        <v>0</v>
      </c>
      <c r="AO375">
        <f>IFERROR(INDEX('Public procurment'!A:S,MATCH(ListOfExpenditure[[#This Row],[Content.contractId]],'Public procurment'!E:E,0),19),0)</f>
        <v>0</v>
      </c>
      <c r="AP375">
        <f>IF(ListOfExpenditure[[#This Row],[Numero di volte controllato il contract ]]&gt;0,0,ListOfExpenditure[[#This Row],[IF public procurment &gt;10000;1;0]])</f>
        <v>0</v>
      </c>
    </row>
    <row r="376" spans="1:42" x14ac:dyDescent="0.25">
      <c r="A376">
        <v>757</v>
      </c>
      <c r="B376">
        <v>20</v>
      </c>
      <c r="E376" t="s">
        <v>4786</v>
      </c>
      <c r="F376" t="b">
        <v>0</v>
      </c>
      <c r="I376" t="s">
        <v>5147</v>
      </c>
      <c r="K376" t="s">
        <v>4678</v>
      </c>
      <c r="L376" t="s">
        <v>4921</v>
      </c>
      <c r="M376" t="s">
        <v>4788</v>
      </c>
      <c r="N376" t="s">
        <v>4788</v>
      </c>
      <c r="O376">
        <v>570.79</v>
      </c>
      <c r="Q376">
        <v>0</v>
      </c>
      <c r="R376">
        <v>0</v>
      </c>
      <c r="S376">
        <v>214.05</v>
      </c>
      <c r="T376" t="s">
        <v>4789</v>
      </c>
      <c r="U376">
        <v>1</v>
      </c>
      <c r="V376">
        <v>214.05</v>
      </c>
      <c r="W376" t="s">
        <v>4343</v>
      </c>
      <c r="Y376" t="b">
        <v>1</v>
      </c>
      <c r="Z376" t="b">
        <v>0</v>
      </c>
      <c r="AA376">
        <v>214.05</v>
      </c>
      <c r="AB376">
        <v>0</v>
      </c>
      <c r="AD376" t="b">
        <v>0</v>
      </c>
      <c r="AG376" s="1" t="s">
        <v>61</v>
      </c>
      <c r="AH376" s="1" t="s">
        <v>294</v>
      </c>
      <c r="AI376">
        <v>90</v>
      </c>
      <c r="AJ376">
        <v>200</v>
      </c>
      <c r="AK376" s="106">
        <v>45475.63548503472</v>
      </c>
      <c r="AL376" s="1" t="s">
        <v>4790</v>
      </c>
      <c r="AM376" s="42">
        <f>IFERROR(INDEX('Public procurment'!A:R,MATCH(ListOfExpenditure[[#This Row],[Content.contractId]],'Public procurment'!E:E,0),14),0)</f>
        <v>0</v>
      </c>
      <c r="AN376" s="2">
        <f>IF(AND(ListOfExpenditure[[#This Row],[Contract amount]]&gt;10000,ListOfExpenditure[[#This Row],[Content.declaredAmount]]&gt;2000),1,0)</f>
        <v>0</v>
      </c>
      <c r="AO376">
        <f>IFERROR(INDEX('Public procurment'!A:S,MATCH(ListOfExpenditure[[#This Row],[Content.contractId]],'Public procurment'!E:E,0),19),0)</f>
        <v>0</v>
      </c>
      <c r="AP376">
        <f>IF(ListOfExpenditure[[#This Row],[Numero di volte controllato il contract ]]&gt;0,0,ListOfExpenditure[[#This Row],[IF public procurment &gt;10000;1;0]])</f>
        <v>0</v>
      </c>
    </row>
    <row r="377" spans="1:42" x14ac:dyDescent="0.25">
      <c r="A377">
        <v>758</v>
      </c>
      <c r="B377">
        <v>21</v>
      </c>
      <c r="E377" t="s">
        <v>4786</v>
      </c>
      <c r="F377" t="b">
        <v>0</v>
      </c>
      <c r="I377" t="s">
        <v>5148</v>
      </c>
      <c r="K377" t="s">
        <v>4342</v>
      </c>
      <c r="L377" t="s">
        <v>5024</v>
      </c>
      <c r="M377" t="s">
        <v>4788</v>
      </c>
      <c r="N377" t="s">
        <v>4788</v>
      </c>
      <c r="O377">
        <v>1514.88</v>
      </c>
      <c r="Q377">
        <v>0</v>
      </c>
      <c r="R377">
        <v>0</v>
      </c>
      <c r="S377">
        <v>1055.8699999999999</v>
      </c>
      <c r="T377" t="s">
        <v>4789</v>
      </c>
      <c r="U377">
        <v>1</v>
      </c>
      <c r="V377">
        <v>1055.8699999999999</v>
      </c>
      <c r="W377" t="s">
        <v>4343</v>
      </c>
      <c r="Y377" t="b">
        <v>1</v>
      </c>
      <c r="Z377" t="b">
        <v>0</v>
      </c>
      <c r="AA377">
        <v>1055.8699999999999</v>
      </c>
      <c r="AB377">
        <v>0</v>
      </c>
      <c r="AD377" t="b">
        <v>0</v>
      </c>
      <c r="AG377" s="1" t="s">
        <v>61</v>
      </c>
      <c r="AH377" s="1" t="s">
        <v>294</v>
      </c>
      <c r="AI377">
        <v>90</v>
      </c>
      <c r="AJ377">
        <v>200</v>
      </c>
      <c r="AK377" s="106">
        <v>45475.63548503472</v>
      </c>
      <c r="AL377" s="1" t="s">
        <v>4790</v>
      </c>
      <c r="AM377" s="42">
        <f>IFERROR(INDEX('Public procurment'!A:R,MATCH(ListOfExpenditure[[#This Row],[Content.contractId]],'Public procurment'!E:E,0),14),0)</f>
        <v>0</v>
      </c>
      <c r="AN377" s="2">
        <f>IF(AND(ListOfExpenditure[[#This Row],[Contract amount]]&gt;10000,ListOfExpenditure[[#This Row],[Content.declaredAmount]]&gt;2000),1,0)</f>
        <v>0</v>
      </c>
      <c r="AO377">
        <f>IFERROR(INDEX('Public procurment'!A:S,MATCH(ListOfExpenditure[[#This Row],[Content.contractId]],'Public procurment'!E:E,0),19),0)</f>
        <v>0</v>
      </c>
      <c r="AP377">
        <f>IF(ListOfExpenditure[[#This Row],[Numero di volte controllato il contract ]]&gt;0,0,ListOfExpenditure[[#This Row],[IF public procurment &gt;10000;1;0]])</f>
        <v>0</v>
      </c>
    </row>
    <row r="378" spans="1:42" x14ac:dyDescent="0.25">
      <c r="A378">
        <v>759</v>
      </c>
      <c r="B378">
        <v>22</v>
      </c>
      <c r="E378" t="s">
        <v>4786</v>
      </c>
      <c r="F378" t="b">
        <v>0</v>
      </c>
      <c r="I378" t="s">
        <v>5149</v>
      </c>
      <c r="K378" t="s">
        <v>4359</v>
      </c>
      <c r="L378" t="s">
        <v>5127</v>
      </c>
      <c r="M378" t="s">
        <v>4788</v>
      </c>
      <c r="N378" t="s">
        <v>4788</v>
      </c>
      <c r="O378">
        <v>1539.76</v>
      </c>
      <c r="Q378">
        <v>0</v>
      </c>
      <c r="R378">
        <v>0</v>
      </c>
      <c r="S378">
        <v>1073.21</v>
      </c>
      <c r="T378" t="s">
        <v>4789</v>
      </c>
      <c r="U378">
        <v>1</v>
      </c>
      <c r="V378">
        <v>1073.21</v>
      </c>
      <c r="W378" t="s">
        <v>4343</v>
      </c>
      <c r="Y378" t="b">
        <v>1</v>
      </c>
      <c r="Z378" t="b">
        <v>0</v>
      </c>
      <c r="AA378">
        <v>1073.21</v>
      </c>
      <c r="AB378">
        <v>0</v>
      </c>
      <c r="AD378" t="b">
        <v>0</v>
      </c>
      <c r="AG378" s="1" t="s">
        <v>61</v>
      </c>
      <c r="AH378" s="1" t="s">
        <v>294</v>
      </c>
      <c r="AI378">
        <v>90</v>
      </c>
      <c r="AJ378">
        <v>200</v>
      </c>
      <c r="AK378" s="106">
        <v>45475.63548503472</v>
      </c>
      <c r="AL378" s="1" t="s">
        <v>4790</v>
      </c>
      <c r="AM378" s="42">
        <f>IFERROR(INDEX('Public procurment'!A:R,MATCH(ListOfExpenditure[[#This Row],[Content.contractId]],'Public procurment'!E:E,0),14),0)</f>
        <v>0</v>
      </c>
      <c r="AN378" s="2">
        <f>IF(AND(ListOfExpenditure[[#This Row],[Contract amount]]&gt;10000,ListOfExpenditure[[#This Row],[Content.declaredAmount]]&gt;2000),1,0)</f>
        <v>0</v>
      </c>
      <c r="AO378">
        <f>IFERROR(INDEX('Public procurment'!A:S,MATCH(ListOfExpenditure[[#This Row],[Content.contractId]],'Public procurment'!E:E,0),19),0)</f>
        <v>0</v>
      </c>
      <c r="AP378">
        <f>IF(ListOfExpenditure[[#This Row],[Numero di volte controllato il contract ]]&gt;0,0,ListOfExpenditure[[#This Row],[IF public procurment &gt;10000;1;0]])</f>
        <v>0</v>
      </c>
    </row>
    <row r="379" spans="1:42" x14ac:dyDescent="0.25">
      <c r="A379">
        <v>760</v>
      </c>
      <c r="B379">
        <v>23</v>
      </c>
      <c r="E379" t="s">
        <v>4786</v>
      </c>
      <c r="F379" t="b">
        <v>0</v>
      </c>
      <c r="I379" t="s">
        <v>5150</v>
      </c>
      <c r="K379" t="s">
        <v>4931</v>
      </c>
      <c r="L379" t="s">
        <v>4914</v>
      </c>
      <c r="M379" t="s">
        <v>4788</v>
      </c>
      <c r="N379" t="s">
        <v>4788</v>
      </c>
      <c r="O379">
        <v>1541.65</v>
      </c>
      <c r="Q379">
        <v>0</v>
      </c>
      <c r="R379">
        <v>0</v>
      </c>
      <c r="S379">
        <v>1074.53</v>
      </c>
      <c r="T379" t="s">
        <v>4789</v>
      </c>
      <c r="U379">
        <v>1</v>
      </c>
      <c r="V379">
        <v>1074.53</v>
      </c>
      <c r="W379" t="s">
        <v>4343</v>
      </c>
      <c r="Y379" t="b">
        <v>1</v>
      </c>
      <c r="Z379" t="b">
        <v>0</v>
      </c>
      <c r="AA379">
        <v>1074.53</v>
      </c>
      <c r="AB379">
        <v>0</v>
      </c>
      <c r="AD379" t="b">
        <v>0</v>
      </c>
      <c r="AG379" s="1" t="s">
        <v>61</v>
      </c>
      <c r="AH379" s="1" t="s">
        <v>294</v>
      </c>
      <c r="AI379">
        <v>90</v>
      </c>
      <c r="AJ379">
        <v>200</v>
      </c>
      <c r="AK379" s="106">
        <v>45475.63548503472</v>
      </c>
      <c r="AL379" s="1" t="s">
        <v>4790</v>
      </c>
      <c r="AM379" s="42">
        <f>IFERROR(INDEX('Public procurment'!A:R,MATCH(ListOfExpenditure[[#This Row],[Content.contractId]],'Public procurment'!E:E,0),14),0)</f>
        <v>0</v>
      </c>
      <c r="AN379" s="2">
        <f>IF(AND(ListOfExpenditure[[#This Row],[Contract amount]]&gt;10000,ListOfExpenditure[[#This Row],[Content.declaredAmount]]&gt;2000),1,0)</f>
        <v>0</v>
      </c>
      <c r="AO379">
        <f>IFERROR(INDEX('Public procurment'!A:S,MATCH(ListOfExpenditure[[#This Row],[Content.contractId]],'Public procurment'!E:E,0),19),0)</f>
        <v>0</v>
      </c>
      <c r="AP379">
        <f>IF(ListOfExpenditure[[#This Row],[Numero di volte controllato il contract ]]&gt;0,0,ListOfExpenditure[[#This Row],[IF public procurment &gt;10000;1;0]])</f>
        <v>0</v>
      </c>
    </row>
    <row r="380" spans="1:42" x14ac:dyDescent="0.25">
      <c r="A380">
        <v>761</v>
      </c>
      <c r="B380">
        <v>24</v>
      </c>
      <c r="E380" t="s">
        <v>4786</v>
      </c>
      <c r="F380" t="b">
        <v>0</v>
      </c>
      <c r="I380" t="s">
        <v>5151</v>
      </c>
      <c r="K380" t="s">
        <v>4525</v>
      </c>
      <c r="L380" t="s">
        <v>5130</v>
      </c>
      <c r="M380" t="s">
        <v>4788</v>
      </c>
      <c r="N380" t="s">
        <v>4788</v>
      </c>
      <c r="O380">
        <v>1536.67</v>
      </c>
      <c r="Q380">
        <v>0</v>
      </c>
      <c r="R380">
        <v>0</v>
      </c>
      <c r="S380">
        <v>1071.06</v>
      </c>
      <c r="T380" t="s">
        <v>4789</v>
      </c>
      <c r="U380">
        <v>1</v>
      </c>
      <c r="V380">
        <v>1071.06</v>
      </c>
      <c r="W380" t="s">
        <v>4343</v>
      </c>
      <c r="Y380" t="b">
        <v>1</v>
      </c>
      <c r="Z380" t="b">
        <v>0</v>
      </c>
      <c r="AA380">
        <v>1071.06</v>
      </c>
      <c r="AB380">
        <v>0</v>
      </c>
      <c r="AD380" t="b">
        <v>0</v>
      </c>
      <c r="AG380" s="1" t="s">
        <v>61</v>
      </c>
      <c r="AH380" s="1" t="s">
        <v>294</v>
      </c>
      <c r="AI380">
        <v>90</v>
      </c>
      <c r="AJ380">
        <v>200</v>
      </c>
      <c r="AK380" s="106">
        <v>45475.63548503472</v>
      </c>
      <c r="AL380" s="1" t="s">
        <v>4790</v>
      </c>
      <c r="AM380" s="42">
        <f>IFERROR(INDEX('Public procurment'!A:R,MATCH(ListOfExpenditure[[#This Row],[Content.contractId]],'Public procurment'!E:E,0),14),0)</f>
        <v>0</v>
      </c>
      <c r="AN380" s="2">
        <f>IF(AND(ListOfExpenditure[[#This Row],[Contract amount]]&gt;10000,ListOfExpenditure[[#This Row],[Content.declaredAmount]]&gt;2000),1,0)</f>
        <v>0</v>
      </c>
      <c r="AO380">
        <f>IFERROR(INDEX('Public procurment'!A:S,MATCH(ListOfExpenditure[[#This Row],[Content.contractId]],'Public procurment'!E:E,0),19),0)</f>
        <v>0</v>
      </c>
      <c r="AP380">
        <f>IF(ListOfExpenditure[[#This Row],[Numero di volte controllato il contract ]]&gt;0,0,ListOfExpenditure[[#This Row],[IF public procurment &gt;10000;1;0]])</f>
        <v>0</v>
      </c>
    </row>
    <row r="381" spans="1:42" x14ac:dyDescent="0.25">
      <c r="A381">
        <v>762</v>
      </c>
      <c r="B381">
        <v>25</v>
      </c>
      <c r="E381" t="s">
        <v>4786</v>
      </c>
      <c r="F381" t="b">
        <v>0</v>
      </c>
      <c r="I381" t="s">
        <v>5152</v>
      </c>
      <c r="K381" t="s">
        <v>4678</v>
      </c>
      <c r="L381" t="s">
        <v>4921</v>
      </c>
      <c r="M381" t="s">
        <v>4788</v>
      </c>
      <c r="N381" t="s">
        <v>4788</v>
      </c>
      <c r="O381">
        <v>1506.8</v>
      </c>
      <c r="Q381">
        <v>0</v>
      </c>
      <c r="R381">
        <v>0</v>
      </c>
      <c r="S381">
        <v>1050.24</v>
      </c>
      <c r="T381" t="s">
        <v>4789</v>
      </c>
      <c r="U381">
        <v>1</v>
      </c>
      <c r="V381">
        <v>1050.24</v>
      </c>
      <c r="W381" t="s">
        <v>4343</v>
      </c>
      <c r="Y381" t="b">
        <v>1</v>
      </c>
      <c r="Z381" t="b">
        <v>0</v>
      </c>
      <c r="AA381">
        <v>1050.24</v>
      </c>
      <c r="AB381">
        <v>0</v>
      </c>
      <c r="AD381" t="b">
        <v>0</v>
      </c>
      <c r="AG381" s="1" t="s">
        <v>61</v>
      </c>
      <c r="AH381" s="1" t="s">
        <v>294</v>
      </c>
      <c r="AI381">
        <v>90</v>
      </c>
      <c r="AJ381">
        <v>200</v>
      </c>
      <c r="AK381" s="106">
        <v>45475.63548503472</v>
      </c>
      <c r="AL381" s="1" t="s">
        <v>4790</v>
      </c>
      <c r="AM381" s="42">
        <f>IFERROR(INDEX('Public procurment'!A:R,MATCH(ListOfExpenditure[[#This Row],[Content.contractId]],'Public procurment'!E:E,0),14),0)</f>
        <v>0</v>
      </c>
      <c r="AN381" s="2">
        <f>IF(AND(ListOfExpenditure[[#This Row],[Contract amount]]&gt;10000,ListOfExpenditure[[#This Row],[Content.declaredAmount]]&gt;2000),1,0)</f>
        <v>0</v>
      </c>
      <c r="AO381">
        <f>IFERROR(INDEX('Public procurment'!A:S,MATCH(ListOfExpenditure[[#This Row],[Content.contractId]],'Public procurment'!E:E,0),19),0)</f>
        <v>0</v>
      </c>
      <c r="AP381">
        <f>IF(ListOfExpenditure[[#This Row],[Numero di volte controllato il contract ]]&gt;0,0,ListOfExpenditure[[#This Row],[IF public procurment &gt;10000;1;0]])</f>
        <v>0</v>
      </c>
    </row>
    <row r="382" spans="1:42" x14ac:dyDescent="0.25">
      <c r="A382">
        <v>764</v>
      </c>
      <c r="B382">
        <v>26</v>
      </c>
      <c r="E382" t="s">
        <v>4786</v>
      </c>
      <c r="F382" t="b">
        <v>0</v>
      </c>
      <c r="I382" t="s">
        <v>5153</v>
      </c>
      <c r="K382" t="s">
        <v>4342</v>
      </c>
      <c r="L382" t="s">
        <v>5024</v>
      </c>
      <c r="M382" t="s">
        <v>4788</v>
      </c>
      <c r="N382" t="s">
        <v>4788</v>
      </c>
      <c r="O382">
        <v>1505.91</v>
      </c>
      <c r="Q382">
        <v>0</v>
      </c>
      <c r="R382">
        <v>0</v>
      </c>
      <c r="S382">
        <v>1287.55</v>
      </c>
      <c r="T382" t="s">
        <v>4789</v>
      </c>
      <c r="U382">
        <v>1</v>
      </c>
      <c r="V382">
        <v>1287.55</v>
      </c>
      <c r="W382" t="s">
        <v>4343</v>
      </c>
      <c r="Y382" t="b">
        <v>1</v>
      </c>
      <c r="Z382" t="b">
        <v>0</v>
      </c>
      <c r="AA382">
        <v>1287.55</v>
      </c>
      <c r="AB382">
        <v>0</v>
      </c>
      <c r="AD382" t="b">
        <v>0</v>
      </c>
      <c r="AG382" s="1" t="s">
        <v>61</v>
      </c>
      <c r="AH382" s="1" t="s">
        <v>294</v>
      </c>
      <c r="AI382">
        <v>90</v>
      </c>
      <c r="AJ382">
        <v>200</v>
      </c>
      <c r="AK382" s="106">
        <v>45475.63548503472</v>
      </c>
      <c r="AL382" s="1" t="s">
        <v>4790</v>
      </c>
      <c r="AM382" s="42">
        <f>IFERROR(INDEX('Public procurment'!A:R,MATCH(ListOfExpenditure[[#This Row],[Content.contractId]],'Public procurment'!E:E,0),14),0)</f>
        <v>0</v>
      </c>
      <c r="AN382" s="2">
        <f>IF(AND(ListOfExpenditure[[#This Row],[Contract amount]]&gt;10000,ListOfExpenditure[[#This Row],[Content.declaredAmount]]&gt;2000),1,0)</f>
        <v>0</v>
      </c>
      <c r="AO382">
        <f>IFERROR(INDEX('Public procurment'!A:S,MATCH(ListOfExpenditure[[#This Row],[Content.contractId]],'Public procurment'!E:E,0),19),0)</f>
        <v>0</v>
      </c>
      <c r="AP382">
        <f>IF(ListOfExpenditure[[#This Row],[Numero di volte controllato il contract ]]&gt;0,0,ListOfExpenditure[[#This Row],[IF public procurment &gt;10000;1;0]])</f>
        <v>0</v>
      </c>
    </row>
    <row r="383" spans="1:42" x14ac:dyDescent="0.25">
      <c r="A383">
        <v>765</v>
      </c>
      <c r="B383">
        <v>27</v>
      </c>
      <c r="E383" t="s">
        <v>4786</v>
      </c>
      <c r="F383" t="b">
        <v>0</v>
      </c>
      <c r="I383" t="s">
        <v>5154</v>
      </c>
      <c r="K383" t="s">
        <v>4359</v>
      </c>
      <c r="L383" t="s">
        <v>5127</v>
      </c>
      <c r="M383" t="s">
        <v>4788</v>
      </c>
      <c r="N383" t="s">
        <v>4788</v>
      </c>
      <c r="O383">
        <v>1552.51</v>
      </c>
      <c r="Q383">
        <v>0</v>
      </c>
      <c r="R383">
        <v>0</v>
      </c>
      <c r="S383">
        <v>1327.39</v>
      </c>
      <c r="T383" t="s">
        <v>4789</v>
      </c>
      <c r="U383">
        <v>1</v>
      </c>
      <c r="V383">
        <v>1327.39</v>
      </c>
      <c r="W383" t="s">
        <v>4343</v>
      </c>
      <c r="Y383" t="b">
        <v>1</v>
      </c>
      <c r="Z383" t="b">
        <v>0</v>
      </c>
      <c r="AA383">
        <v>1327.39</v>
      </c>
      <c r="AB383">
        <v>0</v>
      </c>
      <c r="AD383" t="b">
        <v>0</v>
      </c>
      <c r="AG383" s="1" t="s">
        <v>61</v>
      </c>
      <c r="AH383" s="1" t="s">
        <v>294</v>
      </c>
      <c r="AI383">
        <v>90</v>
      </c>
      <c r="AJ383">
        <v>200</v>
      </c>
      <c r="AK383" s="106">
        <v>45475.63548503472</v>
      </c>
      <c r="AL383" s="1" t="s">
        <v>4790</v>
      </c>
      <c r="AM383" s="42">
        <f>IFERROR(INDEX('Public procurment'!A:R,MATCH(ListOfExpenditure[[#This Row],[Content.contractId]],'Public procurment'!E:E,0),14),0)</f>
        <v>0</v>
      </c>
      <c r="AN383" s="2">
        <f>IF(AND(ListOfExpenditure[[#This Row],[Contract amount]]&gt;10000,ListOfExpenditure[[#This Row],[Content.declaredAmount]]&gt;2000),1,0)</f>
        <v>0</v>
      </c>
      <c r="AO383">
        <f>IFERROR(INDEX('Public procurment'!A:S,MATCH(ListOfExpenditure[[#This Row],[Content.contractId]],'Public procurment'!E:E,0),19),0)</f>
        <v>0</v>
      </c>
      <c r="AP383">
        <f>IF(ListOfExpenditure[[#This Row],[Numero di volte controllato il contract ]]&gt;0,0,ListOfExpenditure[[#This Row],[IF public procurment &gt;10000;1;0]])</f>
        <v>0</v>
      </c>
    </row>
    <row r="384" spans="1:42" x14ac:dyDescent="0.25">
      <c r="A384">
        <v>766</v>
      </c>
      <c r="B384">
        <v>28</v>
      </c>
      <c r="E384" t="s">
        <v>4786</v>
      </c>
      <c r="F384" t="b">
        <v>0</v>
      </c>
      <c r="I384" t="s">
        <v>5155</v>
      </c>
      <c r="K384" t="s">
        <v>4931</v>
      </c>
      <c r="L384" t="s">
        <v>4914</v>
      </c>
      <c r="M384" t="s">
        <v>4788</v>
      </c>
      <c r="N384" t="s">
        <v>4788</v>
      </c>
      <c r="O384">
        <v>1557.69</v>
      </c>
      <c r="Q384">
        <v>0</v>
      </c>
      <c r="R384">
        <v>0</v>
      </c>
      <c r="S384">
        <v>1331.82</v>
      </c>
      <c r="T384" t="s">
        <v>4789</v>
      </c>
      <c r="U384">
        <v>1</v>
      </c>
      <c r="V384">
        <v>1331.82</v>
      </c>
      <c r="W384" t="s">
        <v>4343</v>
      </c>
      <c r="Y384" t="b">
        <v>1</v>
      </c>
      <c r="Z384" t="b">
        <v>0</v>
      </c>
      <c r="AA384">
        <v>1331.82</v>
      </c>
      <c r="AB384">
        <v>0</v>
      </c>
      <c r="AD384" t="b">
        <v>0</v>
      </c>
      <c r="AG384" s="1" t="s">
        <v>61</v>
      </c>
      <c r="AH384" s="1" t="s">
        <v>294</v>
      </c>
      <c r="AI384">
        <v>90</v>
      </c>
      <c r="AJ384">
        <v>200</v>
      </c>
      <c r="AK384" s="106">
        <v>45475.63548503472</v>
      </c>
      <c r="AL384" s="1" t="s">
        <v>4790</v>
      </c>
      <c r="AM384" s="42">
        <f>IFERROR(INDEX('Public procurment'!A:R,MATCH(ListOfExpenditure[[#This Row],[Content.contractId]],'Public procurment'!E:E,0),14),0)</f>
        <v>0</v>
      </c>
      <c r="AN384" s="2">
        <f>IF(AND(ListOfExpenditure[[#This Row],[Contract amount]]&gt;10000,ListOfExpenditure[[#This Row],[Content.declaredAmount]]&gt;2000),1,0)</f>
        <v>0</v>
      </c>
      <c r="AO384">
        <f>IFERROR(INDEX('Public procurment'!A:S,MATCH(ListOfExpenditure[[#This Row],[Content.contractId]],'Public procurment'!E:E,0),19),0)</f>
        <v>0</v>
      </c>
      <c r="AP384">
        <f>IF(ListOfExpenditure[[#This Row],[Numero di volte controllato il contract ]]&gt;0,0,ListOfExpenditure[[#This Row],[IF public procurment &gt;10000;1;0]])</f>
        <v>0</v>
      </c>
    </row>
    <row r="385" spans="1:42" x14ac:dyDescent="0.25">
      <c r="A385">
        <v>767</v>
      </c>
      <c r="B385">
        <v>29</v>
      </c>
      <c r="E385" t="s">
        <v>4786</v>
      </c>
      <c r="F385" t="b">
        <v>0</v>
      </c>
      <c r="I385" t="s">
        <v>5156</v>
      </c>
      <c r="K385" t="s">
        <v>4525</v>
      </c>
      <c r="L385" t="s">
        <v>5130</v>
      </c>
      <c r="M385" t="s">
        <v>4788</v>
      </c>
      <c r="N385" t="s">
        <v>4788</v>
      </c>
      <c r="O385">
        <v>1521.44</v>
      </c>
      <c r="Q385">
        <v>0</v>
      </c>
      <c r="R385">
        <v>0</v>
      </c>
      <c r="S385">
        <v>1300.83</v>
      </c>
      <c r="T385" t="s">
        <v>4789</v>
      </c>
      <c r="U385">
        <v>1</v>
      </c>
      <c r="V385">
        <v>1300.83</v>
      </c>
      <c r="W385" t="s">
        <v>4343</v>
      </c>
      <c r="Y385" t="b">
        <v>1</v>
      </c>
      <c r="Z385" t="b">
        <v>0</v>
      </c>
      <c r="AA385">
        <v>1300.83</v>
      </c>
      <c r="AB385">
        <v>0</v>
      </c>
      <c r="AD385" t="b">
        <v>0</v>
      </c>
      <c r="AG385" s="1" t="s">
        <v>61</v>
      </c>
      <c r="AH385" s="1" t="s">
        <v>294</v>
      </c>
      <c r="AI385">
        <v>90</v>
      </c>
      <c r="AJ385">
        <v>200</v>
      </c>
      <c r="AK385" s="106">
        <v>45475.63548503472</v>
      </c>
      <c r="AL385" s="1" t="s">
        <v>4790</v>
      </c>
      <c r="AM385" s="42">
        <f>IFERROR(INDEX('Public procurment'!A:R,MATCH(ListOfExpenditure[[#This Row],[Content.contractId]],'Public procurment'!E:E,0),14),0)</f>
        <v>0</v>
      </c>
      <c r="AN385" s="2">
        <f>IF(AND(ListOfExpenditure[[#This Row],[Contract amount]]&gt;10000,ListOfExpenditure[[#This Row],[Content.declaredAmount]]&gt;2000),1,0)</f>
        <v>0</v>
      </c>
      <c r="AO385">
        <f>IFERROR(INDEX('Public procurment'!A:S,MATCH(ListOfExpenditure[[#This Row],[Content.contractId]],'Public procurment'!E:E,0),19),0)</f>
        <v>0</v>
      </c>
      <c r="AP385">
        <f>IF(ListOfExpenditure[[#This Row],[Numero di volte controllato il contract ]]&gt;0,0,ListOfExpenditure[[#This Row],[IF public procurment &gt;10000;1;0]])</f>
        <v>0</v>
      </c>
    </row>
    <row r="386" spans="1:42" x14ac:dyDescent="0.25">
      <c r="A386">
        <v>768</v>
      </c>
      <c r="B386">
        <v>30</v>
      </c>
      <c r="E386" t="s">
        <v>4786</v>
      </c>
      <c r="F386" t="b">
        <v>0</v>
      </c>
      <c r="I386" t="s">
        <v>5157</v>
      </c>
      <c r="K386" t="s">
        <v>4678</v>
      </c>
      <c r="L386" t="s">
        <v>4921</v>
      </c>
      <c r="M386" t="s">
        <v>4788</v>
      </c>
      <c r="N386" t="s">
        <v>4788</v>
      </c>
      <c r="O386">
        <v>1559.37</v>
      </c>
      <c r="Q386">
        <v>0</v>
      </c>
      <c r="R386">
        <v>0</v>
      </c>
      <c r="S386">
        <v>1333.26</v>
      </c>
      <c r="T386" t="s">
        <v>4789</v>
      </c>
      <c r="U386">
        <v>1</v>
      </c>
      <c r="V386">
        <v>1333.26</v>
      </c>
      <c r="W386" t="s">
        <v>4343</v>
      </c>
      <c r="Y386" t="b">
        <v>1</v>
      </c>
      <c r="Z386" t="b">
        <v>0</v>
      </c>
      <c r="AA386">
        <v>1333.26</v>
      </c>
      <c r="AB386">
        <v>0</v>
      </c>
      <c r="AD386" t="b">
        <v>0</v>
      </c>
      <c r="AG386" s="1" t="s">
        <v>61</v>
      </c>
      <c r="AH386" s="1" t="s">
        <v>294</v>
      </c>
      <c r="AI386">
        <v>90</v>
      </c>
      <c r="AJ386">
        <v>200</v>
      </c>
      <c r="AK386" s="106">
        <v>45475.63548503472</v>
      </c>
      <c r="AL386" s="1" t="s">
        <v>4790</v>
      </c>
      <c r="AM386" s="42">
        <f>IFERROR(INDEX('Public procurment'!A:R,MATCH(ListOfExpenditure[[#This Row],[Content.contractId]],'Public procurment'!E:E,0),14),0)</f>
        <v>0</v>
      </c>
      <c r="AN386" s="2">
        <f>IF(AND(ListOfExpenditure[[#This Row],[Contract amount]]&gt;10000,ListOfExpenditure[[#This Row],[Content.declaredAmount]]&gt;2000),1,0)</f>
        <v>0</v>
      </c>
      <c r="AO386">
        <f>IFERROR(INDEX('Public procurment'!A:S,MATCH(ListOfExpenditure[[#This Row],[Content.contractId]],'Public procurment'!E:E,0),19),0)</f>
        <v>0</v>
      </c>
      <c r="AP386">
        <f>IF(ListOfExpenditure[[#This Row],[Numero di volte controllato il contract ]]&gt;0,0,ListOfExpenditure[[#This Row],[IF public procurment &gt;10000;1;0]])</f>
        <v>0</v>
      </c>
    </row>
    <row r="387" spans="1:42" x14ac:dyDescent="0.25">
      <c r="A387">
        <v>769</v>
      </c>
      <c r="B387">
        <v>31</v>
      </c>
      <c r="E387" t="s">
        <v>4786</v>
      </c>
      <c r="F387" t="b">
        <v>0</v>
      </c>
      <c r="I387" t="s">
        <v>5158</v>
      </c>
      <c r="K387" t="s">
        <v>4342</v>
      </c>
      <c r="L387" t="s">
        <v>5024</v>
      </c>
      <c r="M387" t="s">
        <v>4788</v>
      </c>
      <c r="N387" t="s">
        <v>4788</v>
      </c>
      <c r="O387">
        <v>313.2</v>
      </c>
      <c r="Q387">
        <v>0</v>
      </c>
      <c r="R387">
        <v>0</v>
      </c>
      <c r="S387">
        <v>266.22000000000003</v>
      </c>
      <c r="T387" t="s">
        <v>4789</v>
      </c>
      <c r="U387">
        <v>1</v>
      </c>
      <c r="V387">
        <v>266.22000000000003</v>
      </c>
      <c r="W387" t="s">
        <v>4343</v>
      </c>
      <c r="Y387" t="b">
        <v>1</v>
      </c>
      <c r="Z387" t="b">
        <v>0</v>
      </c>
      <c r="AA387">
        <v>266.22000000000003</v>
      </c>
      <c r="AB387">
        <v>0</v>
      </c>
      <c r="AD387" t="b">
        <v>0</v>
      </c>
      <c r="AG387" s="1" t="s">
        <v>61</v>
      </c>
      <c r="AH387" s="1" t="s">
        <v>294</v>
      </c>
      <c r="AI387">
        <v>90</v>
      </c>
      <c r="AJ387">
        <v>200</v>
      </c>
      <c r="AK387" s="106">
        <v>45475.63548503472</v>
      </c>
      <c r="AL387" s="1" t="s">
        <v>4790</v>
      </c>
      <c r="AM387" s="42">
        <f>IFERROR(INDEX('Public procurment'!A:R,MATCH(ListOfExpenditure[[#This Row],[Content.contractId]],'Public procurment'!E:E,0),14),0)</f>
        <v>0</v>
      </c>
      <c r="AN387" s="2">
        <f>IF(AND(ListOfExpenditure[[#This Row],[Contract amount]]&gt;10000,ListOfExpenditure[[#This Row],[Content.declaredAmount]]&gt;2000),1,0)</f>
        <v>0</v>
      </c>
      <c r="AO387">
        <f>IFERROR(INDEX('Public procurment'!A:S,MATCH(ListOfExpenditure[[#This Row],[Content.contractId]],'Public procurment'!E:E,0),19),0)</f>
        <v>0</v>
      </c>
      <c r="AP387">
        <f>IF(ListOfExpenditure[[#This Row],[Numero di volte controllato il contract ]]&gt;0,0,ListOfExpenditure[[#This Row],[IF public procurment &gt;10000;1;0]])</f>
        <v>0</v>
      </c>
    </row>
    <row r="388" spans="1:42" x14ac:dyDescent="0.25">
      <c r="A388">
        <v>770</v>
      </c>
      <c r="B388">
        <v>32</v>
      </c>
      <c r="E388" t="s">
        <v>4786</v>
      </c>
      <c r="F388" t="b">
        <v>0</v>
      </c>
      <c r="I388" t="s">
        <v>5159</v>
      </c>
      <c r="K388" t="s">
        <v>4359</v>
      </c>
      <c r="L388" t="s">
        <v>5127</v>
      </c>
      <c r="M388" t="s">
        <v>4788</v>
      </c>
      <c r="N388" t="s">
        <v>4788</v>
      </c>
      <c r="O388">
        <v>313.2</v>
      </c>
      <c r="Q388">
        <v>0</v>
      </c>
      <c r="R388">
        <v>0</v>
      </c>
      <c r="S388">
        <v>266.22000000000003</v>
      </c>
      <c r="T388" t="s">
        <v>4789</v>
      </c>
      <c r="U388">
        <v>1</v>
      </c>
      <c r="V388">
        <v>266.22000000000003</v>
      </c>
      <c r="W388" t="s">
        <v>4343</v>
      </c>
      <c r="Y388" t="b">
        <v>1</v>
      </c>
      <c r="Z388" t="b">
        <v>0</v>
      </c>
      <c r="AA388">
        <v>266.22000000000003</v>
      </c>
      <c r="AB388">
        <v>0</v>
      </c>
      <c r="AD388" t="b">
        <v>0</v>
      </c>
      <c r="AG388" s="1" t="s">
        <v>61</v>
      </c>
      <c r="AH388" s="1" t="s">
        <v>294</v>
      </c>
      <c r="AI388">
        <v>90</v>
      </c>
      <c r="AJ388">
        <v>200</v>
      </c>
      <c r="AK388" s="106">
        <v>45475.63548503472</v>
      </c>
      <c r="AL388" s="1" t="s">
        <v>4790</v>
      </c>
      <c r="AM388" s="42">
        <f>IFERROR(INDEX('Public procurment'!A:R,MATCH(ListOfExpenditure[[#This Row],[Content.contractId]],'Public procurment'!E:E,0),14),0)</f>
        <v>0</v>
      </c>
      <c r="AN388" s="2">
        <f>IF(AND(ListOfExpenditure[[#This Row],[Contract amount]]&gt;10000,ListOfExpenditure[[#This Row],[Content.declaredAmount]]&gt;2000),1,0)</f>
        <v>0</v>
      </c>
      <c r="AO388">
        <f>IFERROR(INDEX('Public procurment'!A:S,MATCH(ListOfExpenditure[[#This Row],[Content.contractId]],'Public procurment'!E:E,0),19),0)</f>
        <v>0</v>
      </c>
      <c r="AP388">
        <f>IF(ListOfExpenditure[[#This Row],[Numero di volte controllato il contract ]]&gt;0,0,ListOfExpenditure[[#This Row],[IF public procurment &gt;10000;1;0]])</f>
        <v>0</v>
      </c>
    </row>
    <row r="389" spans="1:42" x14ac:dyDescent="0.25">
      <c r="A389">
        <v>771</v>
      </c>
      <c r="B389">
        <v>33</v>
      </c>
      <c r="E389" t="s">
        <v>4786</v>
      </c>
      <c r="F389" t="b">
        <v>0</v>
      </c>
      <c r="I389" t="s">
        <v>5160</v>
      </c>
      <c r="K389" t="s">
        <v>4931</v>
      </c>
      <c r="L389" t="s">
        <v>4914</v>
      </c>
      <c r="M389" t="s">
        <v>4788</v>
      </c>
      <c r="N389" t="s">
        <v>4788</v>
      </c>
      <c r="O389">
        <v>313.2</v>
      </c>
      <c r="Q389">
        <v>0</v>
      </c>
      <c r="R389">
        <v>0</v>
      </c>
      <c r="S389">
        <v>266.22000000000003</v>
      </c>
      <c r="T389" t="s">
        <v>4789</v>
      </c>
      <c r="U389">
        <v>1</v>
      </c>
      <c r="V389">
        <v>266.22000000000003</v>
      </c>
      <c r="W389" t="s">
        <v>4343</v>
      </c>
      <c r="Y389" t="b">
        <v>1</v>
      </c>
      <c r="Z389" t="b">
        <v>0</v>
      </c>
      <c r="AA389">
        <v>266.22000000000003</v>
      </c>
      <c r="AB389">
        <v>0</v>
      </c>
      <c r="AD389" t="b">
        <v>0</v>
      </c>
      <c r="AG389" s="1" t="s">
        <v>61</v>
      </c>
      <c r="AH389" s="1" t="s">
        <v>294</v>
      </c>
      <c r="AI389">
        <v>90</v>
      </c>
      <c r="AJ389">
        <v>200</v>
      </c>
      <c r="AK389" s="106">
        <v>45475.63548503472</v>
      </c>
      <c r="AL389" s="1" t="s">
        <v>4790</v>
      </c>
      <c r="AM389" s="42">
        <f>IFERROR(INDEX('Public procurment'!A:R,MATCH(ListOfExpenditure[[#This Row],[Content.contractId]],'Public procurment'!E:E,0),14),0)</f>
        <v>0</v>
      </c>
      <c r="AN389" s="2">
        <f>IF(AND(ListOfExpenditure[[#This Row],[Contract amount]]&gt;10000,ListOfExpenditure[[#This Row],[Content.declaredAmount]]&gt;2000),1,0)</f>
        <v>0</v>
      </c>
      <c r="AO389">
        <f>IFERROR(INDEX('Public procurment'!A:S,MATCH(ListOfExpenditure[[#This Row],[Content.contractId]],'Public procurment'!E:E,0),19),0)</f>
        <v>0</v>
      </c>
      <c r="AP389">
        <f>IF(ListOfExpenditure[[#This Row],[Numero di volte controllato il contract ]]&gt;0,0,ListOfExpenditure[[#This Row],[IF public procurment &gt;10000;1;0]])</f>
        <v>0</v>
      </c>
    </row>
    <row r="390" spans="1:42" x14ac:dyDescent="0.25">
      <c r="A390">
        <v>772</v>
      </c>
      <c r="B390">
        <v>34</v>
      </c>
      <c r="E390" t="s">
        <v>4786</v>
      </c>
      <c r="F390" t="b">
        <v>0</v>
      </c>
      <c r="I390" t="s">
        <v>5161</v>
      </c>
      <c r="K390" t="s">
        <v>4525</v>
      </c>
      <c r="L390" t="s">
        <v>5130</v>
      </c>
      <c r="M390" t="s">
        <v>4788</v>
      </c>
      <c r="N390" t="s">
        <v>4788</v>
      </c>
      <c r="O390">
        <v>313.2</v>
      </c>
      <c r="Q390">
        <v>0</v>
      </c>
      <c r="R390">
        <v>0</v>
      </c>
      <c r="S390">
        <v>266.22000000000003</v>
      </c>
      <c r="T390" t="s">
        <v>4789</v>
      </c>
      <c r="U390">
        <v>1</v>
      </c>
      <c r="V390">
        <v>266.22000000000003</v>
      </c>
      <c r="W390" t="s">
        <v>4343</v>
      </c>
      <c r="Y390" t="b">
        <v>1</v>
      </c>
      <c r="Z390" t="b">
        <v>0</v>
      </c>
      <c r="AA390">
        <v>266.22000000000003</v>
      </c>
      <c r="AB390">
        <v>0</v>
      </c>
      <c r="AD390" t="b">
        <v>0</v>
      </c>
      <c r="AG390" s="1" t="s">
        <v>61</v>
      </c>
      <c r="AH390" s="1" t="s">
        <v>294</v>
      </c>
      <c r="AI390">
        <v>90</v>
      </c>
      <c r="AJ390">
        <v>200</v>
      </c>
      <c r="AK390" s="106">
        <v>45475.63548503472</v>
      </c>
      <c r="AL390" s="1" t="s">
        <v>4790</v>
      </c>
      <c r="AM390" s="42">
        <f>IFERROR(INDEX('Public procurment'!A:R,MATCH(ListOfExpenditure[[#This Row],[Content.contractId]],'Public procurment'!E:E,0),14),0)</f>
        <v>0</v>
      </c>
      <c r="AN390" s="2">
        <f>IF(AND(ListOfExpenditure[[#This Row],[Contract amount]]&gt;10000,ListOfExpenditure[[#This Row],[Content.declaredAmount]]&gt;2000),1,0)</f>
        <v>0</v>
      </c>
      <c r="AO390">
        <f>IFERROR(INDEX('Public procurment'!A:S,MATCH(ListOfExpenditure[[#This Row],[Content.contractId]],'Public procurment'!E:E,0),19),0)</f>
        <v>0</v>
      </c>
      <c r="AP390">
        <f>IF(ListOfExpenditure[[#This Row],[Numero di volte controllato il contract ]]&gt;0,0,ListOfExpenditure[[#This Row],[IF public procurment &gt;10000;1;0]])</f>
        <v>0</v>
      </c>
    </row>
    <row r="391" spans="1:42" x14ac:dyDescent="0.25">
      <c r="A391">
        <v>773</v>
      </c>
      <c r="B391">
        <v>35</v>
      </c>
      <c r="E391" t="s">
        <v>4786</v>
      </c>
      <c r="F391" t="b">
        <v>0</v>
      </c>
      <c r="I391" t="s">
        <v>5162</v>
      </c>
      <c r="K391" t="s">
        <v>4678</v>
      </c>
      <c r="L391" t="s">
        <v>4921</v>
      </c>
      <c r="M391" t="s">
        <v>4788</v>
      </c>
      <c r="N391" t="s">
        <v>4788</v>
      </c>
      <c r="O391">
        <v>313.2</v>
      </c>
      <c r="Q391">
        <v>0</v>
      </c>
      <c r="R391">
        <v>0</v>
      </c>
      <c r="S391">
        <v>266.22000000000003</v>
      </c>
      <c r="T391" t="s">
        <v>4789</v>
      </c>
      <c r="U391">
        <v>1</v>
      </c>
      <c r="V391">
        <v>266.22000000000003</v>
      </c>
      <c r="W391" t="s">
        <v>4343</v>
      </c>
      <c r="Y391" t="b">
        <v>1</v>
      </c>
      <c r="Z391" t="b">
        <v>0</v>
      </c>
      <c r="AA391">
        <v>266.22000000000003</v>
      </c>
      <c r="AB391">
        <v>0</v>
      </c>
      <c r="AD391" t="b">
        <v>0</v>
      </c>
      <c r="AG391" s="1" t="s">
        <v>61</v>
      </c>
      <c r="AH391" s="1" t="s">
        <v>294</v>
      </c>
      <c r="AI391">
        <v>90</v>
      </c>
      <c r="AJ391">
        <v>200</v>
      </c>
      <c r="AK391" s="106">
        <v>45475.63548503472</v>
      </c>
      <c r="AL391" s="1" t="s">
        <v>4790</v>
      </c>
      <c r="AM391" s="42">
        <f>IFERROR(INDEX('Public procurment'!A:R,MATCH(ListOfExpenditure[[#This Row],[Content.contractId]],'Public procurment'!E:E,0),14),0)</f>
        <v>0</v>
      </c>
      <c r="AN391" s="2">
        <f>IF(AND(ListOfExpenditure[[#This Row],[Contract amount]]&gt;10000,ListOfExpenditure[[#This Row],[Content.declaredAmount]]&gt;2000),1,0)</f>
        <v>0</v>
      </c>
      <c r="AO391">
        <f>IFERROR(INDEX('Public procurment'!A:S,MATCH(ListOfExpenditure[[#This Row],[Content.contractId]],'Public procurment'!E:E,0),19),0)</f>
        <v>0</v>
      </c>
      <c r="AP391">
        <f>IF(ListOfExpenditure[[#This Row],[Numero di volte controllato il contract ]]&gt;0,0,ListOfExpenditure[[#This Row],[IF public procurment &gt;10000;1;0]])</f>
        <v>0</v>
      </c>
    </row>
    <row r="392" spans="1:42" x14ac:dyDescent="0.25">
      <c r="A392">
        <v>774</v>
      </c>
      <c r="B392">
        <v>36</v>
      </c>
      <c r="E392" t="s">
        <v>4786</v>
      </c>
      <c r="F392" t="b">
        <v>0</v>
      </c>
      <c r="I392" t="s">
        <v>5163</v>
      </c>
      <c r="K392" t="s">
        <v>4342</v>
      </c>
      <c r="L392" t="s">
        <v>5024</v>
      </c>
      <c r="M392" t="s">
        <v>4788</v>
      </c>
      <c r="N392" t="s">
        <v>4788</v>
      </c>
      <c r="O392">
        <v>364.68</v>
      </c>
      <c r="Q392">
        <v>0</v>
      </c>
      <c r="R392">
        <v>0</v>
      </c>
      <c r="S392">
        <v>144.05000000000001</v>
      </c>
      <c r="T392" t="s">
        <v>4789</v>
      </c>
      <c r="U392">
        <v>1</v>
      </c>
      <c r="V392">
        <v>144.05000000000001</v>
      </c>
      <c r="W392" t="s">
        <v>4343</v>
      </c>
      <c r="Y392" t="b">
        <v>1</v>
      </c>
      <c r="Z392" t="b">
        <v>0</v>
      </c>
      <c r="AA392">
        <v>144.05000000000001</v>
      </c>
      <c r="AB392">
        <v>0</v>
      </c>
      <c r="AD392" t="b">
        <v>0</v>
      </c>
      <c r="AG392" s="1" t="s">
        <v>61</v>
      </c>
      <c r="AH392" s="1" t="s">
        <v>294</v>
      </c>
      <c r="AI392">
        <v>90</v>
      </c>
      <c r="AJ392">
        <v>200</v>
      </c>
      <c r="AK392" s="106">
        <v>45475.63548503472</v>
      </c>
      <c r="AL392" s="1" t="s">
        <v>4790</v>
      </c>
      <c r="AM392" s="42">
        <f>IFERROR(INDEX('Public procurment'!A:R,MATCH(ListOfExpenditure[[#This Row],[Content.contractId]],'Public procurment'!E:E,0),14),0)</f>
        <v>0</v>
      </c>
      <c r="AN392" s="2">
        <f>IF(AND(ListOfExpenditure[[#This Row],[Contract amount]]&gt;10000,ListOfExpenditure[[#This Row],[Content.declaredAmount]]&gt;2000),1,0)</f>
        <v>0</v>
      </c>
      <c r="AO392">
        <f>IFERROR(INDEX('Public procurment'!A:S,MATCH(ListOfExpenditure[[#This Row],[Content.contractId]],'Public procurment'!E:E,0),19),0)</f>
        <v>0</v>
      </c>
      <c r="AP392">
        <f>IF(ListOfExpenditure[[#This Row],[Numero di volte controllato il contract ]]&gt;0,0,ListOfExpenditure[[#This Row],[IF public procurment &gt;10000;1;0]])</f>
        <v>0</v>
      </c>
    </row>
    <row r="393" spans="1:42" x14ac:dyDescent="0.25">
      <c r="A393">
        <v>775</v>
      </c>
      <c r="B393">
        <v>37</v>
      </c>
      <c r="E393" t="s">
        <v>4786</v>
      </c>
      <c r="F393" t="b">
        <v>0</v>
      </c>
      <c r="I393" t="s">
        <v>5164</v>
      </c>
      <c r="K393" t="s">
        <v>4359</v>
      </c>
      <c r="L393" t="s">
        <v>5127</v>
      </c>
      <c r="M393" t="s">
        <v>4788</v>
      </c>
      <c r="N393" t="s">
        <v>4788</v>
      </c>
      <c r="O393">
        <v>364.68</v>
      </c>
      <c r="Q393">
        <v>0</v>
      </c>
      <c r="R393">
        <v>0</v>
      </c>
      <c r="S393">
        <v>144.05000000000001</v>
      </c>
      <c r="T393" t="s">
        <v>4789</v>
      </c>
      <c r="U393">
        <v>1</v>
      </c>
      <c r="V393">
        <v>144.05000000000001</v>
      </c>
      <c r="W393" t="s">
        <v>4343</v>
      </c>
      <c r="Y393" t="b">
        <v>1</v>
      </c>
      <c r="Z393" t="b">
        <v>0</v>
      </c>
      <c r="AA393">
        <v>144.05000000000001</v>
      </c>
      <c r="AB393">
        <v>0</v>
      </c>
      <c r="AD393" t="b">
        <v>0</v>
      </c>
      <c r="AG393" s="1" t="s">
        <v>61</v>
      </c>
      <c r="AH393" s="1" t="s">
        <v>294</v>
      </c>
      <c r="AI393">
        <v>90</v>
      </c>
      <c r="AJ393">
        <v>200</v>
      </c>
      <c r="AK393" s="106">
        <v>45475.63548503472</v>
      </c>
      <c r="AL393" s="1" t="s">
        <v>4790</v>
      </c>
      <c r="AM393" s="42">
        <f>IFERROR(INDEX('Public procurment'!A:R,MATCH(ListOfExpenditure[[#This Row],[Content.contractId]],'Public procurment'!E:E,0),14),0)</f>
        <v>0</v>
      </c>
      <c r="AN393" s="2">
        <f>IF(AND(ListOfExpenditure[[#This Row],[Contract amount]]&gt;10000,ListOfExpenditure[[#This Row],[Content.declaredAmount]]&gt;2000),1,0)</f>
        <v>0</v>
      </c>
      <c r="AO393">
        <f>IFERROR(INDEX('Public procurment'!A:S,MATCH(ListOfExpenditure[[#This Row],[Content.contractId]],'Public procurment'!E:E,0),19),0)</f>
        <v>0</v>
      </c>
      <c r="AP393">
        <f>IF(ListOfExpenditure[[#This Row],[Numero di volte controllato il contract ]]&gt;0,0,ListOfExpenditure[[#This Row],[IF public procurment &gt;10000;1;0]])</f>
        <v>0</v>
      </c>
    </row>
    <row r="394" spans="1:42" x14ac:dyDescent="0.25">
      <c r="A394">
        <v>776</v>
      </c>
      <c r="B394">
        <v>38</v>
      </c>
      <c r="E394" t="s">
        <v>4786</v>
      </c>
      <c r="F394" t="b">
        <v>0</v>
      </c>
      <c r="I394" t="s">
        <v>5165</v>
      </c>
      <c r="K394" t="s">
        <v>4931</v>
      </c>
      <c r="L394" t="s">
        <v>4914</v>
      </c>
      <c r="M394" t="s">
        <v>4788</v>
      </c>
      <c r="N394" t="s">
        <v>4788</v>
      </c>
      <c r="O394">
        <v>364.68</v>
      </c>
      <c r="Q394">
        <v>0</v>
      </c>
      <c r="R394">
        <v>0</v>
      </c>
      <c r="S394">
        <v>144.05000000000001</v>
      </c>
      <c r="T394" t="s">
        <v>4789</v>
      </c>
      <c r="U394">
        <v>1</v>
      </c>
      <c r="V394">
        <v>144.05000000000001</v>
      </c>
      <c r="W394" t="s">
        <v>4343</v>
      </c>
      <c r="Y394" t="b">
        <v>1</v>
      </c>
      <c r="Z394" t="b">
        <v>0</v>
      </c>
      <c r="AA394">
        <v>144.05000000000001</v>
      </c>
      <c r="AB394">
        <v>0</v>
      </c>
      <c r="AD394" t="b">
        <v>0</v>
      </c>
      <c r="AG394" s="1" t="s">
        <v>61</v>
      </c>
      <c r="AH394" s="1" t="s">
        <v>294</v>
      </c>
      <c r="AI394">
        <v>90</v>
      </c>
      <c r="AJ394">
        <v>200</v>
      </c>
      <c r="AK394" s="106">
        <v>45475.63548503472</v>
      </c>
      <c r="AL394" s="1" t="s">
        <v>4790</v>
      </c>
      <c r="AM394" s="42">
        <f>IFERROR(INDEX('Public procurment'!A:R,MATCH(ListOfExpenditure[[#This Row],[Content.contractId]],'Public procurment'!E:E,0),14),0)</f>
        <v>0</v>
      </c>
      <c r="AN394" s="2">
        <f>IF(AND(ListOfExpenditure[[#This Row],[Contract amount]]&gt;10000,ListOfExpenditure[[#This Row],[Content.declaredAmount]]&gt;2000),1,0)</f>
        <v>0</v>
      </c>
      <c r="AO394">
        <f>IFERROR(INDEX('Public procurment'!A:S,MATCH(ListOfExpenditure[[#This Row],[Content.contractId]],'Public procurment'!E:E,0),19),0)</f>
        <v>0</v>
      </c>
      <c r="AP394">
        <f>IF(ListOfExpenditure[[#This Row],[Numero di volte controllato il contract ]]&gt;0,0,ListOfExpenditure[[#This Row],[IF public procurment &gt;10000;1;0]])</f>
        <v>0</v>
      </c>
    </row>
    <row r="395" spans="1:42" x14ac:dyDescent="0.25">
      <c r="A395">
        <v>777</v>
      </c>
      <c r="B395">
        <v>39</v>
      </c>
      <c r="E395" t="s">
        <v>4786</v>
      </c>
      <c r="F395" t="b">
        <v>0</v>
      </c>
      <c r="I395" t="s">
        <v>5166</v>
      </c>
      <c r="K395" t="s">
        <v>4525</v>
      </c>
      <c r="L395" t="s">
        <v>5130</v>
      </c>
      <c r="M395" t="s">
        <v>4788</v>
      </c>
      <c r="N395" t="s">
        <v>4788</v>
      </c>
      <c r="O395">
        <v>364.68</v>
      </c>
      <c r="Q395">
        <v>0</v>
      </c>
      <c r="R395">
        <v>0</v>
      </c>
      <c r="S395">
        <v>144.05000000000001</v>
      </c>
      <c r="T395" t="s">
        <v>4789</v>
      </c>
      <c r="U395">
        <v>1</v>
      </c>
      <c r="V395">
        <v>144.05000000000001</v>
      </c>
      <c r="W395" t="s">
        <v>4343</v>
      </c>
      <c r="Y395" t="b">
        <v>1</v>
      </c>
      <c r="Z395" t="b">
        <v>0</v>
      </c>
      <c r="AA395">
        <v>144.05000000000001</v>
      </c>
      <c r="AB395">
        <v>0</v>
      </c>
      <c r="AD395" t="b">
        <v>0</v>
      </c>
      <c r="AG395" s="1" t="s">
        <v>61</v>
      </c>
      <c r="AH395" s="1" t="s">
        <v>294</v>
      </c>
      <c r="AI395">
        <v>90</v>
      </c>
      <c r="AJ395">
        <v>200</v>
      </c>
      <c r="AK395" s="106">
        <v>45475.63548503472</v>
      </c>
      <c r="AL395" s="1" t="s">
        <v>4790</v>
      </c>
      <c r="AM395" s="42">
        <f>IFERROR(INDEX('Public procurment'!A:R,MATCH(ListOfExpenditure[[#This Row],[Content.contractId]],'Public procurment'!E:E,0),14),0)</f>
        <v>0</v>
      </c>
      <c r="AN395" s="2">
        <f>IF(AND(ListOfExpenditure[[#This Row],[Contract amount]]&gt;10000,ListOfExpenditure[[#This Row],[Content.declaredAmount]]&gt;2000),1,0)</f>
        <v>0</v>
      </c>
      <c r="AO395">
        <f>IFERROR(INDEX('Public procurment'!A:S,MATCH(ListOfExpenditure[[#This Row],[Content.contractId]],'Public procurment'!E:E,0),19),0)</f>
        <v>0</v>
      </c>
      <c r="AP395">
        <f>IF(ListOfExpenditure[[#This Row],[Numero di volte controllato il contract ]]&gt;0,0,ListOfExpenditure[[#This Row],[IF public procurment &gt;10000;1;0]])</f>
        <v>0</v>
      </c>
    </row>
    <row r="396" spans="1:42" x14ac:dyDescent="0.25">
      <c r="A396">
        <v>778</v>
      </c>
      <c r="B396">
        <v>40</v>
      </c>
      <c r="E396" t="s">
        <v>4786</v>
      </c>
      <c r="F396" t="b">
        <v>0</v>
      </c>
      <c r="I396" t="s">
        <v>5167</v>
      </c>
      <c r="K396" t="s">
        <v>4678</v>
      </c>
      <c r="L396" t="s">
        <v>4921</v>
      </c>
      <c r="M396" t="s">
        <v>4788</v>
      </c>
      <c r="N396" t="s">
        <v>4788</v>
      </c>
      <c r="O396">
        <v>364.68</v>
      </c>
      <c r="Q396">
        <v>0</v>
      </c>
      <c r="R396">
        <v>0</v>
      </c>
      <c r="S396">
        <v>144.05000000000001</v>
      </c>
      <c r="T396" t="s">
        <v>4789</v>
      </c>
      <c r="U396">
        <v>1</v>
      </c>
      <c r="V396">
        <v>144.05000000000001</v>
      </c>
      <c r="W396" t="s">
        <v>4343</v>
      </c>
      <c r="Y396" t="b">
        <v>1</v>
      </c>
      <c r="Z396" t="b">
        <v>0</v>
      </c>
      <c r="AA396">
        <v>144.05000000000001</v>
      </c>
      <c r="AB396">
        <v>0</v>
      </c>
      <c r="AD396" t="b">
        <v>0</v>
      </c>
      <c r="AG396" s="1" t="s">
        <v>61</v>
      </c>
      <c r="AH396" s="1" t="s">
        <v>294</v>
      </c>
      <c r="AI396">
        <v>90</v>
      </c>
      <c r="AJ396">
        <v>200</v>
      </c>
      <c r="AK396" s="106">
        <v>45475.63548503472</v>
      </c>
      <c r="AL396" s="1" t="s">
        <v>4790</v>
      </c>
      <c r="AM396" s="42">
        <f>IFERROR(INDEX('Public procurment'!A:R,MATCH(ListOfExpenditure[[#This Row],[Content.contractId]],'Public procurment'!E:E,0),14),0)</f>
        <v>0</v>
      </c>
      <c r="AN396" s="2">
        <f>IF(AND(ListOfExpenditure[[#This Row],[Contract amount]]&gt;10000,ListOfExpenditure[[#This Row],[Content.declaredAmount]]&gt;2000),1,0)</f>
        <v>0</v>
      </c>
      <c r="AO396">
        <f>IFERROR(INDEX('Public procurment'!A:S,MATCH(ListOfExpenditure[[#This Row],[Content.contractId]],'Public procurment'!E:E,0),19),0)</f>
        <v>0</v>
      </c>
      <c r="AP396">
        <f>IF(ListOfExpenditure[[#This Row],[Numero di volte controllato il contract ]]&gt;0,0,ListOfExpenditure[[#This Row],[IF public procurment &gt;10000;1;0]])</f>
        <v>0</v>
      </c>
    </row>
    <row r="397" spans="1:42" x14ac:dyDescent="0.25">
      <c r="A397">
        <v>779</v>
      </c>
      <c r="B397">
        <v>41</v>
      </c>
      <c r="E397" t="s">
        <v>4786</v>
      </c>
      <c r="F397" t="b">
        <v>0</v>
      </c>
      <c r="I397" t="s">
        <v>5168</v>
      </c>
      <c r="K397" t="s">
        <v>4342</v>
      </c>
      <c r="L397" t="s">
        <v>5024</v>
      </c>
      <c r="M397" t="s">
        <v>4788</v>
      </c>
      <c r="N397" t="s">
        <v>4788</v>
      </c>
      <c r="O397">
        <v>335.55</v>
      </c>
      <c r="Q397">
        <v>0</v>
      </c>
      <c r="R397">
        <v>0</v>
      </c>
      <c r="S397">
        <v>335.55</v>
      </c>
      <c r="T397" t="s">
        <v>4789</v>
      </c>
      <c r="U397">
        <v>1</v>
      </c>
      <c r="V397">
        <v>335.55</v>
      </c>
      <c r="W397" t="s">
        <v>4343</v>
      </c>
      <c r="Y397" t="b">
        <v>1</v>
      </c>
      <c r="Z397" t="b">
        <v>0</v>
      </c>
      <c r="AA397">
        <v>335.55</v>
      </c>
      <c r="AB397">
        <v>0</v>
      </c>
      <c r="AD397" t="b">
        <v>0</v>
      </c>
      <c r="AG397" s="1" t="s">
        <v>61</v>
      </c>
      <c r="AH397" s="1" t="s">
        <v>294</v>
      </c>
      <c r="AI397">
        <v>90</v>
      </c>
      <c r="AJ397">
        <v>200</v>
      </c>
      <c r="AK397" s="106">
        <v>45475.63548503472</v>
      </c>
      <c r="AL397" s="1" t="s">
        <v>4790</v>
      </c>
      <c r="AM397" s="42">
        <f>IFERROR(INDEX('Public procurment'!A:R,MATCH(ListOfExpenditure[[#This Row],[Content.contractId]],'Public procurment'!E:E,0),14),0)</f>
        <v>0</v>
      </c>
      <c r="AN397" s="2">
        <f>IF(AND(ListOfExpenditure[[#This Row],[Contract amount]]&gt;10000,ListOfExpenditure[[#This Row],[Content.declaredAmount]]&gt;2000),1,0)</f>
        <v>0</v>
      </c>
      <c r="AO397">
        <f>IFERROR(INDEX('Public procurment'!A:S,MATCH(ListOfExpenditure[[#This Row],[Content.contractId]],'Public procurment'!E:E,0),19),0)</f>
        <v>0</v>
      </c>
      <c r="AP397">
        <f>IF(ListOfExpenditure[[#This Row],[Numero di volte controllato il contract ]]&gt;0,0,ListOfExpenditure[[#This Row],[IF public procurment &gt;10000;1;0]])</f>
        <v>0</v>
      </c>
    </row>
    <row r="398" spans="1:42" x14ac:dyDescent="0.25">
      <c r="A398">
        <v>780</v>
      </c>
      <c r="B398">
        <v>42</v>
      </c>
      <c r="E398" t="s">
        <v>4786</v>
      </c>
      <c r="F398" t="b">
        <v>0</v>
      </c>
      <c r="I398" t="s">
        <v>5169</v>
      </c>
      <c r="K398" t="s">
        <v>4359</v>
      </c>
      <c r="L398" t="s">
        <v>5127</v>
      </c>
      <c r="M398" t="s">
        <v>4788</v>
      </c>
      <c r="N398" t="s">
        <v>4788</v>
      </c>
      <c r="O398">
        <v>335.55</v>
      </c>
      <c r="Q398">
        <v>0</v>
      </c>
      <c r="R398">
        <v>0</v>
      </c>
      <c r="S398">
        <v>335.55</v>
      </c>
      <c r="T398" t="s">
        <v>4789</v>
      </c>
      <c r="U398">
        <v>1</v>
      </c>
      <c r="V398">
        <v>335.55</v>
      </c>
      <c r="W398" t="s">
        <v>4343</v>
      </c>
      <c r="Y398" t="b">
        <v>1</v>
      </c>
      <c r="Z398" t="b">
        <v>0</v>
      </c>
      <c r="AA398">
        <v>335.55</v>
      </c>
      <c r="AB398">
        <v>0</v>
      </c>
      <c r="AD398" t="b">
        <v>0</v>
      </c>
      <c r="AG398" s="1" t="s">
        <v>61</v>
      </c>
      <c r="AH398" s="1" t="s">
        <v>294</v>
      </c>
      <c r="AI398">
        <v>90</v>
      </c>
      <c r="AJ398">
        <v>200</v>
      </c>
      <c r="AK398" s="106">
        <v>45475.63548503472</v>
      </c>
      <c r="AL398" s="1" t="s">
        <v>4790</v>
      </c>
      <c r="AM398" s="42">
        <f>IFERROR(INDEX('Public procurment'!A:R,MATCH(ListOfExpenditure[[#This Row],[Content.contractId]],'Public procurment'!E:E,0),14),0)</f>
        <v>0</v>
      </c>
      <c r="AN398" s="2">
        <f>IF(AND(ListOfExpenditure[[#This Row],[Contract amount]]&gt;10000,ListOfExpenditure[[#This Row],[Content.declaredAmount]]&gt;2000),1,0)</f>
        <v>0</v>
      </c>
      <c r="AO398">
        <f>IFERROR(INDEX('Public procurment'!A:S,MATCH(ListOfExpenditure[[#This Row],[Content.contractId]],'Public procurment'!E:E,0),19),0)</f>
        <v>0</v>
      </c>
      <c r="AP398">
        <f>IF(ListOfExpenditure[[#This Row],[Numero di volte controllato il contract ]]&gt;0,0,ListOfExpenditure[[#This Row],[IF public procurment &gt;10000;1;0]])</f>
        <v>0</v>
      </c>
    </row>
    <row r="399" spans="1:42" x14ac:dyDescent="0.25">
      <c r="A399">
        <v>781</v>
      </c>
      <c r="B399">
        <v>43</v>
      </c>
      <c r="E399" t="s">
        <v>4786</v>
      </c>
      <c r="F399" t="b">
        <v>0</v>
      </c>
      <c r="I399" t="s">
        <v>5170</v>
      </c>
      <c r="K399" t="s">
        <v>4931</v>
      </c>
      <c r="L399" t="s">
        <v>4914</v>
      </c>
      <c r="M399" t="s">
        <v>4788</v>
      </c>
      <c r="N399" t="s">
        <v>4788</v>
      </c>
      <c r="O399">
        <v>335.55</v>
      </c>
      <c r="Q399">
        <v>0</v>
      </c>
      <c r="R399">
        <v>0</v>
      </c>
      <c r="S399">
        <v>335.55</v>
      </c>
      <c r="T399" t="s">
        <v>4789</v>
      </c>
      <c r="U399">
        <v>1</v>
      </c>
      <c r="V399">
        <v>335.55</v>
      </c>
      <c r="W399" t="s">
        <v>4343</v>
      </c>
      <c r="Y399" t="b">
        <v>1</v>
      </c>
      <c r="Z399" t="b">
        <v>0</v>
      </c>
      <c r="AA399">
        <v>335.55</v>
      </c>
      <c r="AB399">
        <v>0</v>
      </c>
      <c r="AD399" t="b">
        <v>0</v>
      </c>
      <c r="AG399" s="1" t="s">
        <v>61</v>
      </c>
      <c r="AH399" s="1" t="s">
        <v>294</v>
      </c>
      <c r="AI399">
        <v>90</v>
      </c>
      <c r="AJ399">
        <v>200</v>
      </c>
      <c r="AK399" s="106">
        <v>45475.63548503472</v>
      </c>
      <c r="AL399" s="1" t="s">
        <v>4790</v>
      </c>
      <c r="AM399" s="42">
        <f>IFERROR(INDEX('Public procurment'!A:R,MATCH(ListOfExpenditure[[#This Row],[Content.contractId]],'Public procurment'!E:E,0),14),0)</f>
        <v>0</v>
      </c>
      <c r="AN399" s="2">
        <f>IF(AND(ListOfExpenditure[[#This Row],[Contract amount]]&gt;10000,ListOfExpenditure[[#This Row],[Content.declaredAmount]]&gt;2000),1,0)</f>
        <v>0</v>
      </c>
      <c r="AO399">
        <f>IFERROR(INDEX('Public procurment'!A:S,MATCH(ListOfExpenditure[[#This Row],[Content.contractId]],'Public procurment'!E:E,0),19),0)</f>
        <v>0</v>
      </c>
      <c r="AP399">
        <f>IF(ListOfExpenditure[[#This Row],[Numero di volte controllato il contract ]]&gt;0,0,ListOfExpenditure[[#This Row],[IF public procurment &gt;10000;1;0]])</f>
        <v>0</v>
      </c>
    </row>
    <row r="400" spans="1:42" x14ac:dyDescent="0.25">
      <c r="A400">
        <v>782</v>
      </c>
      <c r="B400">
        <v>44</v>
      </c>
      <c r="E400" t="s">
        <v>4786</v>
      </c>
      <c r="F400" t="b">
        <v>0</v>
      </c>
      <c r="I400" t="s">
        <v>5171</v>
      </c>
      <c r="K400" t="s">
        <v>4525</v>
      </c>
      <c r="L400" t="s">
        <v>5130</v>
      </c>
      <c r="M400" t="s">
        <v>4788</v>
      </c>
      <c r="N400" t="s">
        <v>4788</v>
      </c>
      <c r="O400">
        <v>335.55</v>
      </c>
      <c r="Q400">
        <v>0</v>
      </c>
      <c r="R400">
        <v>0</v>
      </c>
      <c r="S400">
        <v>335.55</v>
      </c>
      <c r="T400" t="s">
        <v>4789</v>
      </c>
      <c r="U400">
        <v>1</v>
      </c>
      <c r="V400">
        <v>335.55</v>
      </c>
      <c r="W400" t="s">
        <v>4343</v>
      </c>
      <c r="Y400" t="b">
        <v>1</v>
      </c>
      <c r="Z400" t="b">
        <v>0</v>
      </c>
      <c r="AA400">
        <v>335.55</v>
      </c>
      <c r="AB400">
        <v>0</v>
      </c>
      <c r="AD400" t="b">
        <v>0</v>
      </c>
      <c r="AG400" s="1" t="s">
        <v>61</v>
      </c>
      <c r="AH400" s="1" t="s">
        <v>294</v>
      </c>
      <c r="AI400">
        <v>90</v>
      </c>
      <c r="AJ400">
        <v>200</v>
      </c>
      <c r="AK400" s="106">
        <v>45475.63548503472</v>
      </c>
      <c r="AL400" s="1" t="s">
        <v>4790</v>
      </c>
      <c r="AM400" s="42">
        <f>IFERROR(INDEX('Public procurment'!A:R,MATCH(ListOfExpenditure[[#This Row],[Content.contractId]],'Public procurment'!E:E,0),14),0)</f>
        <v>0</v>
      </c>
      <c r="AN400" s="2">
        <f>IF(AND(ListOfExpenditure[[#This Row],[Contract amount]]&gt;10000,ListOfExpenditure[[#This Row],[Content.declaredAmount]]&gt;2000),1,0)</f>
        <v>0</v>
      </c>
      <c r="AO400">
        <f>IFERROR(INDEX('Public procurment'!A:S,MATCH(ListOfExpenditure[[#This Row],[Content.contractId]],'Public procurment'!E:E,0),19),0)</f>
        <v>0</v>
      </c>
      <c r="AP400">
        <f>IF(ListOfExpenditure[[#This Row],[Numero di volte controllato il contract ]]&gt;0,0,ListOfExpenditure[[#This Row],[IF public procurment &gt;10000;1;0]])</f>
        <v>0</v>
      </c>
    </row>
    <row r="401" spans="1:42" x14ac:dyDescent="0.25">
      <c r="A401">
        <v>783</v>
      </c>
      <c r="B401">
        <v>45</v>
      </c>
      <c r="E401" t="s">
        <v>4786</v>
      </c>
      <c r="F401" t="b">
        <v>0</v>
      </c>
      <c r="I401" t="s">
        <v>5172</v>
      </c>
      <c r="K401" t="s">
        <v>4678</v>
      </c>
      <c r="L401" t="s">
        <v>4921</v>
      </c>
      <c r="M401" t="s">
        <v>4788</v>
      </c>
      <c r="N401" t="s">
        <v>4788</v>
      </c>
      <c r="O401">
        <v>335.55</v>
      </c>
      <c r="Q401">
        <v>0</v>
      </c>
      <c r="R401">
        <v>0</v>
      </c>
      <c r="S401">
        <v>335.55</v>
      </c>
      <c r="T401" t="s">
        <v>4789</v>
      </c>
      <c r="U401">
        <v>1</v>
      </c>
      <c r="V401">
        <v>335.55</v>
      </c>
      <c r="W401" t="s">
        <v>4343</v>
      </c>
      <c r="Y401" t="b">
        <v>1</v>
      </c>
      <c r="Z401" t="b">
        <v>0</v>
      </c>
      <c r="AA401">
        <v>335.55</v>
      </c>
      <c r="AB401">
        <v>0</v>
      </c>
      <c r="AD401" t="b">
        <v>0</v>
      </c>
      <c r="AG401" s="1" t="s">
        <v>61</v>
      </c>
      <c r="AH401" s="1" t="s">
        <v>294</v>
      </c>
      <c r="AI401">
        <v>90</v>
      </c>
      <c r="AJ401">
        <v>200</v>
      </c>
      <c r="AK401" s="106">
        <v>45475.63548503472</v>
      </c>
      <c r="AL401" s="1" t="s">
        <v>4790</v>
      </c>
      <c r="AM401" s="42">
        <f>IFERROR(INDEX('Public procurment'!A:R,MATCH(ListOfExpenditure[[#This Row],[Content.contractId]],'Public procurment'!E:E,0),14),0)</f>
        <v>0</v>
      </c>
      <c r="AN401" s="2">
        <f>IF(AND(ListOfExpenditure[[#This Row],[Contract amount]]&gt;10000,ListOfExpenditure[[#This Row],[Content.declaredAmount]]&gt;2000),1,0)</f>
        <v>0</v>
      </c>
      <c r="AO401">
        <f>IFERROR(INDEX('Public procurment'!A:S,MATCH(ListOfExpenditure[[#This Row],[Content.contractId]],'Public procurment'!E:E,0),19),0)</f>
        <v>0</v>
      </c>
      <c r="AP401">
        <f>IF(ListOfExpenditure[[#This Row],[Numero di volte controllato il contract ]]&gt;0,0,ListOfExpenditure[[#This Row],[IF public procurment &gt;10000;1;0]])</f>
        <v>0</v>
      </c>
    </row>
    <row r="402" spans="1:42" x14ac:dyDescent="0.25">
      <c r="A402">
        <v>784</v>
      </c>
      <c r="B402">
        <v>46</v>
      </c>
      <c r="E402" t="s">
        <v>4786</v>
      </c>
      <c r="F402" t="b">
        <v>0</v>
      </c>
      <c r="I402" t="s">
        <v>5173</v>
      </c>
      <c r="K402" t="s">
        <v>4342</v>
      </c>
      <c r="L402" t="s">
        <v>5024</v>
      </c>
      <c r="M402" t="s">
        <v>4788</v>
      </c>
      <c r="N402" t="s">
        <v>4788</v>
      </c>
      <c r="O402">
        <v>335.55</v>
      </c>
      <c r="Q402">
        <v>0</v>
      </c>
      <c r="R402">
        <v>0</v>
      </c>
      <c r="S402">
        <v>335.55</v>
      </c>
      <c r="T402" t="s">
        <v>4789</v>
      </c>
      <c r="U402">
        <v>1</v>
      </c>
      <c r="V402">
        <v>335.55</v>
      </c>
      <c r="W402" t="s">
        <v>4343</v>
      </c>
      <c r="Y402" t="b">
        <v>1</v>
      </c>
      <c r="Z402" t="b">
        <v>0</v>
      </c>
      <c r="AA402">
        <v>335.55</v>
      </c>
      <c r="AB402">
        <v>0</v>
      </c>
      <c r="AD402" t="b">
        <v>0</v>
      </c>
      <c r="AG402" s="1" t="s">
        <v>61</v>
      </c>
      <c r="AH402" s="1" t="s">
        <v>294</v>
      </c>
      <c r="AI402">
        <v>90</v>
      </c>
      <c r="AJ402">
        <v>200</v>
      </c>
      <c r="AK402" s="106">
        <v>45475.63548503472</v>
      </c>
      <c r="AL402" s="1" t="s">
        <v>4790</v>
      </c>
      <c r="AM402" s="42">
        <f>IFERROR(INDEX('Public procurment'!A:R,MATCH(ListOfExpenditure[[#This Row],[Content.contractId]],'Public procurment'!E:E,0),14),0)</f>
        <v>0</v>
      </c>
      <c r="AN402" s="2">
        <f>IF(AND(ListOfExpenditure[[#This Row],[Contract amount]]&gt;10000,ListOfExpenditure[[#This Row],[Content.declaredAmount]]&gt;2000),1,0)</f>
        <v>0</v>
      </c>
      <c r="AO402">
        <f>IFERROR(INDEX('Public procurment'!A:S,MATCH(ListOfExpenditure[[#This Row],[Content.contractId]],'Public procurment'!E:E,0),19),0)</f>
        <v>0</v>
      </c>
      <c r="AP402">
        <f>IF(ListOfExpenditure[[#This Row],[Numero di volte controllato il contract ]]&gt;0,0,ListOfExpenditure[[#This Row],[IF public procurment &gt;10000;1;0]])</f>
        <v>0</v>
      </c>
    </row>
    <row r="403" spans="1:42" x14ac:dyDescent="0.25">
      <c r="A403">
        <v>785</v>
      </c>
      <c r="B403">
        <v>47</v>
      </c>
      <c r="E403" t="s">
        <v>4786</v>
      </c>
      <c r="F403" t="b">
        <v>0</v>
      </c>
      <c r="I403" t="s">
        <v>5174</v>
      </c>
      <c r="K403" t="s">
        <v>4359</v>
      </c>
      <c r="L403" t="s">
        <v>5127</v>
      </c>
      <c r="M403" t="s">
        <v>4788</v>
      </c>
      <c r="N403" t="s">
        <v>4788</v>
      </c>
      <c r="O403">
        <v>335.55</v>
      </c>
      <c r="Q403">
        <v>0</v>
      </c>
      <c r="R403">
        <v>0</v>
      </c>
      <c r="S403">
        <v>335.55</v>
      </c>
      <c r="T403" t="s">
        <v>4789</v>
      </c>
      <c r="U403">
        <v>1</v>
      </c>
      <c r="V403">
        <v>335.55</v>
      </c>
      <c r="W403" t="s">
        <v>4343</v>
      </c>
      <c r="Y403" t="b">
        <v>1</v>
      </c>
      <c r="Z403" t="b">
        <v>0</v>
      </c>
      <c r="AA403">
        <v>335.55</v>
      </c>
      <c r="AB403">
        <v>0</v>
      </c>
      <c r="AD403" t="b">
        <v>0</v>
      </c>
      <c r="AG403" s="1" t="s">
        <v>61</v>
      </c>
      <c r="AH403" s="1" t="s">
        <v>294</v>
      </c>
      <c r="AI403">
        <v>90</v>
      </c>
      <c r="AJ403">
        <v>200</v>
      </c>
      <c r="AK403" s="106">
        <v>45475.63548503472</v>
      </c>
      <c r="AL403" s="1" t="s">
        <v>4790</v>
      </c>
      <c r="AM403" s="42">
        <f>IFERROR(INDEX('Public procurment'!A:R,MATCH(ListOfExpenditure[[#This Row],[Content.contractId]],'Public procurment'!E:E,0),14),0)</f>
        <v>0</v>
      </c>
      <c r="AN403" s="2">
        <f>IF(AND(ListOfExpenditure[[#This Row],[Contract amount]]&gt;10000,ListOfExpenditure[[#This Row],[Content.declaredAmount]]&gt;2000),1,0)</f>
        <v>0</v>
      </c>
      <c r="AO403">
        <f>IFERROR(INDEX('Public procurment'!A:S,MATCH(ListOfExpenditure[[#This Row],[Content.contractId]],'Public procurment'!E:E,0),19),0)</f>
        <v>0</v>
      </c>
      <c r="AP403">
        <f>IF(ListOfExpenditure[[#This Row],[Numero di volte controllato il contract ]]&gt;0,0,ListOfExpenditure[[#This Row],[IF public procurment &gt;10000;1;0]])</f>
        <v>0</v>
      </c>
    </row>
    <row r="404" spans="1:42" x14ac:dyDescent="0.25">
      <c r="A404">
        <v>786</v>
      </c>
      <c r="B404">
        <v>48</v>
      </c>
      <c r="E404" t="s">
        <v>4786</v>
      </c>
      <c r="F404" t="b">
        <v>0</v>
      </c>
      <c r="I404" t="s">
        <v>5175</v>
      </c>
      <c r="K404" t="s">
        <v>4931</v>
      </c>
      <c r="L404" t="s">
        <v>4914</v>
      </c>
      <c r="M404" t="s">
        <v>4788</v>
      </c>
      <c r="N404" t="s">
        <v>4788</v>
      </c>
      <c r="O404">
        <v>335.55</v>
      </c>
      <c r="Q404">
        <v>0</v>
      </c>
      <c r="R404">
        <v>0</v>
      </c>
      <c r="S404">
        <v>335.55</v>
      </c>
      <c r="T404" t="s">
        <v>4789</v>
      </c>
      <c r="U404">
        <v>1</v>
      </c>
      <c r="V404">
        <v>335.55</v>
      </c>
      <c r="W404" t="s">
        <v>4343</v>
      </c>
      <c r="Y404" t="b">
        <v>1</v>
      </c>
      <c r="Z404" t="b">
        <v>0</v>
      </c>
      <c r="AA404">
        <v>335.55</v>
      </c>
      <c r="AB404">
        <v>0</v>
      </c>
      <c r="AD404" t="b">
        <v>0</v>
      </c>
      <c r="AG404" s="1" t="s">
        <v>61</v>
      </c>
      <c r="AH404" s="1" t="s">
        <v>294</v>
      </c>
      <c r="AI404">
        <v>90</v>
      </c>
      <c r="AJ404">
        <v>200</v>
      </c>
      <c r="AK404" s="106">
        <v>45475.63548503472</v>
      </c>
      <c r="AL404" s="1" t="s">
        <v>4790</v>
      </c>
      <c r="AM404" s="42">
        <f>IFERROR(INDEX('Public procurment'!A:R,MATCH(ListOfExpenditure[[#This Row],[Content.contractId]],'Public procurment'!E:E,0),14),0)</f>
        <v>0</v>
      </c>
      <c r="AN404" s="2">
        <f>IF(AND(ListOfExpenditure[[#This Row],[Contract amount]]&gt;10000,ListOfExpenditure[[#This Row],[Content.declaredAmount]]&gt;2000),1,0)</f>
        <v>0</v>
      </c>
      <c r="AO404">
        <f>IFERROR(INDEX('Public procurment'!A:S,MATCH(ListOfExpenditure[[#This Row],[Content.contractId]],'Public procurment'!E:E,0),19),0)</f>
        <v>0</v>
      </c>
      <c r="AP404">
        <f>IF(ListOfExpenditure[[#This Row],[Numero di volte controllato il contract ]]&gt;0,0,ListOfExpenditure[[#This Row],[IF public procurment &gt;10000;1;0]])</f>
        <v>0</v>
      </c>
    </row>
    <row r="405" spans="1:42" x14ac:dyDescent="0.25">
      <c r="A405">
        <v>787</v>
      </c>
      <c r="B405">
        <v>49</v>
      </c>
      <c r="E405" t="s">
        <v>4786</v>
      </c>
      <c r="F405" t="b">
        <v>0</v>
      </c>
      <c r="I405" t="s">
        <v>5176</v>
      </c>
      <c r="K405" t="s">
        <v>4525</v>
      </c>
      <c r="L405" t="s">
        <v>5130</v>
      </c>
      <c r="M405" t="s">
        <v>4788</v>
      </c>
      <c r="N405" t="s">
        <v>4788</v>
      </c>
      <c r="O405">
        <v>335.55</v>
      </c>
      <c r="Q405">
        <v>0</v>
      </c>
      <c r="R405">
        <v>0</v>
      </c>
      <c r="S405">
        <v>335.55</v>
      </c>
      <c r="T405" t="s">
        <v>4789</v>
      </c>
      <c r="U405">
        <v>1</v>
      </c>
      <c r="V405">
        <v>335.55</v>
      </c>
      <c r="W405" t="s">
        <v>4343</v>
      </c>
      <c r="Y405" t="b">
        <v>1</v>
      </c>
      <c r="Z405" t="b">
        <v>0</v>
      </c>
      <c r="AA405">
        <v>335.55</v>
      </c>
      <c r="AB405">
        <v>0</v>
      </c>
      <c r="AD405" t="b">
        <v>0</v>
      </c>
      <c r="AG405" s="1" t="s">
        <v>61</v>
      </c>
      <c r="AH405" s="1" t="s">
        <v>294</v>
      </c>
      <c r="AI405">
        <v>90</v>
      </c>
      <c r="AJ405">
        <v>200</v>
      </c>
      <c r="AK405" s="106">
        <v>45475.63548503472</v>
      </c>
      <c r="AL405" s="1" t="s">
        <v>4790</v>
      </c>
      <c r="AM405" s="42">
        <f>IFERROR(INDEX('Public procurment'!A:R,MATCH(ListOfExpenditure[[#This Row],[Content.contractId]],'Public procurment'!E:E,0),14),0)</f>
        <v>0</v>
      </c>
      <c r="AN405" s="2">
        <f>IF(AND(ListOfExpenditure[[#This Row],[Contract amount]]&gt;10000,ListOfExpenditure[[#This Row],[Content.declaredAmount]]&gt;2000),1,0)</f>
        <v>0</v>
      </c>
      <c r="AO405">
        <f>IFERROR(INDEX('Public procurment'!A:S,MATCH(ListOfExpenditure[[#This Row],[Content.contractId]],'Public procurment'!E:E,0),19),0)</f>
        <v>0</v>
      </c>
      <c r="AP405">
        <f>IF(ListOfExpenditure[[#This Row],[Numero di volte controllato il contract ]]&gt;0,0,ListOfExpenditure[[#This Row],[IF public procurment &gt;10000;1;0]])</f>
        <v>0</v>
      </c>
    </row>
    <row r="406" spans="1:42" x14ac:dyDescent="0.25">
      <c r="A406">
        <v>788</v>
      </c>
      <c r="B406">
        <v>50</v>
      </c>
      <c r="E406" t="s">
        <v>4786</v>
      </c>
      <c r="F406" t="b">
        <v>0</v>
      </c>
      <c r="I406" t="s">
        <v>5177</v>
      </c>
      <c r="K406" t="s">
        <v>4678</v>
      </c>
      <c r="L406" t="s">
        <v>4921</v>
      </c>
      <c r="M406" t="s">
        <v>4788</v>
      </c>
      <c r="N406" t="s">
        <v>4788</v>
      </c>
      <c r="O406">
        <v>2486.65</v>
      </c>
      <c r="Q406">
        <v>0</v>
      </c>
      <c r="R406">
        <v>0</v>
      </c>
      <c r="S406">
        <v>1243.32</v>
      </c>
      <c r="T406" t="s">
        <v>4789</v>
      </c>
      <c r="U406">
        <v>1</v>
      </c>
      <c r="V406">
        <v>1243.32</v>
      </c>
      <c r="W406" t="s">
        <v>4343</v>
      </c>
      <c r="Y406" t="b">
        <v>1</v>
      </c>
      <c r="Z406" t="b">
        <v>0</v>
      </c>
      <c r="AA406">
        <v>1243.32</v>
      </c>
      <c r="AB406">
        <v>0</v>
      </c>
      <c r="AD406" t="b">
        <v>0</v>
      </c>
      <c r="AG406" s="1" t="s">
        <v>61</v>
      </c>
      <c r="AH406" s="1" t="s">
        <v>294</v>
      </c>
      <c r="AI406">
        <v>90</v>
      </c>
      <c r="AJ406">
        <v>200</v>
      </c>
      <c r="AK406" s="106">
        <v>45475.63548503472</v>
      </c>
      <c r="AL406" s="1" t="s">
        <v>4790</v>
      </c>
      <c r="AM406" s="42">
        <f>IFERROR(INDEX('Public procurment'!A:R,MATCH(ListOfExpenditure[[#This Row],[Content.contractId]],'Public procurment'!E:E,0),14),0)</f>
        <v>0</v>
      </c>
      <c r="AN406" s="2">
        <f>IF(AND(ListOfExpenditure[[#This Row],[Contract amount]]&gt;10000,ListOfExpenditure[[#This Row],[Content.declaredAmount]]&gt;2000),1,0)</f>
        <v>0</v>
      </c>
      <c r="AO406">
        <f>IFERROR(INDEX('Public procurment'!A:S,MATCH(ListOfExpenditure[[#This Row],[Content.contractId]],'Public procurment'!E:E,0),19),0)</f>
        <v>0</v>
      </c>
      <c r="AP406">
        <f>IF(ListOfExpenditure[[#This Row],[Numero di volte controllato il contract ]]&gt;0,0,ListOfExpenditure[[#This Row],[IF public procurment &gt;10000;1;0]])</f>
        <v>0</v>
      </c>
    </row>
    <row r="407" spans="1:42" x14ac:dyDescent="0.25">
      <c r="A407">
        <v>789</v>
      </c>
      <c r="B407">
        <v>51</v>
      </c>
      <c r="E407" t="s">
        <v>4786</v>
      </c>
      <c r="F407" t="b">
        <v>0</v>
      </c>
      <c r="I407" t="s">
        <v>5178</v>
      </c>
      <c r="K407" t="s">
        <v>4678</v>
      </c>
      <c r="L407" t="s">
        <v>4921</v>
      </c>
      <c r="M407" t="s">
        <v>4788</v>
      </c>
      <c r="N407" t="s">
        <v>4788</v>
      </c>
      <c r="O407">
        <v>3072.95</v>
      </c>
      <c r="Q407">
        <v>0</v>
      </c>
      <c r="R407">
        <v>0</v>
      </c>
      <c r="S407">
        <v>1536.47</v>
      </c>
      <c r="T407" t="s">
        <v>4789</v>
      </c>
      <c r="U407">
        <v>1</v>
      </c>
      <c r="V407">
        <v>1536.47</v>
      </c>
      <c r="W407" t="s">
        <v>4343</v>
      </c>
      <c r="Y407" t="b">
        <v>1</v>
      </c>
      <c r="Z407" t="b">
        <v>0</v>
      </c>
      <c r="AA407">
        <v>1536.47</v>
      </c>
      <c r="AB407">
        <v>0</v>
      </c>
      <c r="AD407" t="b">
        <v>0</v>
      </c>
      <c r="AG407" s="1" t="s">
        <v>61</v>
      </c>
      <c r="AH407" s="1" t="s">
        <v>294</v>
      </c>
      <c r="AI407">
        <v>90</v>
      </c>
      <c r="AJ407">
        <v>200</v>
      </c>
      <c r="AK407" s="106">
        <v>45475.63548503472</v>
      </c>
      <c r="AL407" s="1" t="s">
        <v>4790</v>
      </c>
      <c r="AM407" s="42">
        <f>IFERROR(INDEX('Public procurment'!A:R,MATCH(ListOfExpenditure[[#This Row],[Content.contractId]],'Public procurment'!E:E,0),14),0)</f>
        <v>0</v>
      </c>
      <c r="AN407" s="2">
        <f>IF(AND(ListOfExpenditure[[#This Row],[Contract amount]]&gt;10000,ListOfExpenditure[[#This Row],[Content.declaredAmount]]&gt;2000),1,0)</f>
        <v>0</v>
      </c>
      <c r="AO407">
        <f>IFERROR(INDEX('Public procurment'!A:S,MATCH(ListOfExpenditure[[#This Row],[Content.contractId]],'Public procurment'!E:E,0),19),0)</f>
        <v>0</v>
      </c>
      <c r="AP407">
        <f>IF(ListOfExpenditure[[#This Row],[Numero di volte controllato il contract ]]&gt;0,0,ListOfExpenditure[[#This Row],[IF public procurment &gt;10000;1;0]])</f>
        <v>0</v>
      </c>
    </row>
    <row r="408" spans="1:42" x14ac:dyDescent="0.25">
      <c r="A408">
        <v>790</v>
      </c>
      <c r="B408">
        <v>52</v>
      </c>
      <c r="E408" t="s">
        <v>4786</v>
      </c>
      <c r="F408" t="b">
        <v>0</v>
      </c>
      <c r="I408" t="s">
        <v>5179</v>
      </c>
      <c r="K408" t="s">
        <v>4678</v>
      </c>
      <c r="L408" t="s">
        <v>4921</v>
      </c>
      <c r="M408" t="s">
        <v>4788</v>
      </c>
      <c r="N408" t="s">
        <v>4788</v>
      </c>
      <c r="O408">
        <v>1838.76</v>
      </c>
      <c r="Q408">
        <v>0</v>
      </c>
      <c r="R408">
        <v>0</v>
      </c>
      <c r="S408">
        <v>735.51</v>
      </c>
      <c r="T408" t="s">
        <v>4789</v>
      </c>
      <c r="U408">
        <v>1</v>
      </c>
      <c r="V408">
        <v>735.51</v>
      </c>
      <c r="W408" t="s">
        <v>4343</v>
      </c>
      <c r="Y408" t="b">
        <v>1</v>
      </c>
      <c r="Z408" t="b">
        <v>0</v>
      </c>
      <c r="AA408">
        <v>735.51</v>
      </c>
      <c r="AB408">
        <v>0</v>
      </c>
      <c r="AD408" t="b">
        <v>0</v>
      </c>
      <c r="AG408" s="1" t="s">
        <v>61</v>
      </c>
      <c r="AH408" s="1" t="s">
        <v>294</v>
      </c>
      <c r="AI408">
        <v>90</v>
      </c>
      <c r="AJ408">
        <v>200</v>
      </c>
      <c r="AK408" s="106">
        <v>45475.63548503472</v>
      </c>
      <c r="AL408" s="1" t="s">
        <v>4790</v>
      </c>
      <c r="AM408" s="42">
        <f>IFERROR(INDEX('Public procurment'!A:R,MATCH(ListOfExpenditure[[#This Row],[Content.contractId]],'Public procurment'!E:E,0),14),0)</f>
        <v>0</v>
      </c>
      <c r="AN408" s="2">
        <f>IF(AND(ListOfExpenditure[[#This Row],[Contract amount]]&gt;10000,ListOfExpenditure[[#This Row],[Content.declaredAmount]]&gt;2000),1,0)</f>
        <v>0</v>
      </c>
      <c r="AO408">
        <f>IFERROR(INDEX('Public procurment'!A:S,MATCH(ListOfExpenditure[[#This Row],[Content.contractId]],'Public procurment'!E:E,0),19),0)</f>
        <v>0</v>
      </c>
      <c r="AP408">
        <f>IF(ListOfExpenditure[[#This Row],[Numero di volte controllato il contract ]]&gt;0,0,ListOfExpenditure[[#This Row],[IF public procurment &gt;10000;1;0]])</f>
        <v>0</v>
      </c>
    </row>
    <row r="409" spans="1:42" x14ac:dyDescent="0.25">
      <c r="A409">
        <v>1035</v>
      </c>
      <c r="B409">
        <v>1</v>
      </c>
      <c r="D409">
        <v>52</v>
      </c>
      <c r="E409" t="s">
        <v>4786</v>
      </c>
      <c r="F409" t="b">
        <v>0</v>
      </c>
      <c r="M409" t="s">
        <v>4788</v>
      </c>
      <c r="N409" t="s">
        <v>4788</v>
      </c>
      <c r="Q409">
        <v>42</v>
      </c>
      <c r="R409">
        <v>58</v>
      </c>
      <c r="S409">
        <v>2436</v>
      </c>
      <c r="T409" t="s">
        <v>4789</v>
      </c>
      <c r="U409">
        <v>1</v>
      </c>
      <c r="V409">
        <v>2436</v>
      </c>
      <c r="W409" t="s">
        <v>4343</v>
      </c>
      <c r="Y409" t="b">
        <v>1</v>
      </c>
      <c r="Z409" t="b">
        <v>0</v>
      </c>
      <c r="AA409">
        <v>2436</v>
      </c>
      <c r="AB409">
        <v>0</v>
      </c>
      <c r="AD409" t="b">
        <v>0</v>
      </c>
      <c r="AG409" s="1" t="s">
        <v>61</v>
      </c>
      <c r="AH409" s="1" t="s">
        <v>286</v>
      </c>
      <c r="AI409">
        <v>111</v>
      </c>
      <c r="AJ409">
        <v>160</v>
      </c>
      <c r="AK409" s="106">
        <v>45475.635483831022</v>
      </c>
      <c r="AL409" s="1" t="s">
        <v>4790</v>
      </c>
      <c r="AM409" s="42">
        <f>IFERROR(INDEX('Public procurment'!A:R,MATCH(ListOfExpenditure[[#This Row],[Content.contractId]],'Public procurment'!E:E,0),14),0)</f>
        <v>0</v>
      </c>
      <c r="AN409" s="2">
        <f>IF(AND(ListOfExpenditure[[#This Row],[Contract amount]]&gt;10000,ListOfExpenditure[[#This Row],[Content.declaredAmount]]&gt;2000),1,0)</f>
        <v>0</v>
      </c>
      <c r="AO409">
        <f>IFERROR(INDEX('Public procurment'!A:S,MATCH(ListOfExpenditure[[#This Row],[Content.contractId]],'Public procurment'!E:E,0),19),0)</f>
        <v>0</v>
      </c>
      <c r="AP409">
        <f>IF(ListOfExpenditure[[#This Row],[Numero di volte controllato il contract ]]&gt;0,0,ListOfExpenditure[[#This Row],[IF public procurment &gt;10000;1;0]])</f>
        <v>0</v>
      </c>
    </row>
    <row r="410" spans="1:42" x14ac:dyDescent="0.25">
      <c r="A410">
        <v>1036</v>
      </c>
      <c r="B410">
        <v>2</v>
      </c>
      <c r="D410">
        <v>53</v>
      </c>
      <c r="E410" t="s">
        <v>4786</v>
      </c>
      <c r="F410" t="b">
        <v>0</v>
      </c>
      <c r="M410" t="s">
        <v>4788</v>
      </c>
      <c r="N410" t="s">
        <v>4788</v>
      </c>
      <c r="Q410">
        <v>85</v>
      </c>
      <c r="R410">
        <v>27</v>
      </c>
      <c r="S410">
        <v>2295</v>
      </c>
      <c r="T410" t="s">
        <v>4789</v>
      </c>
      <c r="U410">
        <v>1</v>
      </c>
      <c r="V410">
        <v>2295</v>
      </c>
      <c r="W410" t="s">
        <v>4343</v>
      </c>
      <c r="Y410" t="b">
        <v>1</v>
      </c>
      <c r="Z410" t="b">
        <v>0</v>
      </c>
      <c r="AA410">
        <v>2295</v>
      </c>
      <c r="AB410">
        <v>0</v>
      </c>
      <c r="AD410" t="b">
        <v>0</v>
      </c>
      <c r="AG410" s="1" t="s">
        <v>61</v>
      </c>
      <c r="AH410" s="1" t="s">
        <v>286</v>
      </c>
      <c r="AI410">
        <v>111</v>
      </c>
      <c r="AJ410">
        <v>160</v>
      </c>
      <c r="AK410" s="106">
        <v>45475.635483831022</v>
      </c>
      <c r="AL410" s="1" t="s">
        <v>4790</v>
      </c>
      <c r="AM410" s="42">
        <f>IFERROR(INDEX('Public procurment'!A:R,MATCH(ListOfExpenditure[[#This Row],[Content.contractId]],'Public procurment'!E:E,0),14),0)</f>
        <v>0</v>
      </c>
      <c r="AN410" s="2">
        <f>IF(AND(ListOfExpenditure[[#This Row],[Contract amount]]&gt;10000,ListOfExpenditure[[#This Row],[Content.declaredAmount]]&gt;2000),1,0)</f>
        <v>0</v>
      </c>
      <c r="AO410">
        <f>IFERROR(INDEX('Public procurment'!A:S,MATCH(ListOfExpenditure[[#This Row],[Content.contractId]],'Public procurment'!E:E,0),19),0)</f>
        <v>0</v>
      </c>
      <c r="AP410">
        <f>IF(ListOfExpenditure[[#This Row],[Numero di volte controllato il contract ]]&gt;0,0,ListOfExpenditure[[#This Row],[IF public procurment &gt;10000;1;0]])</f>
        <v>0</v>
      </c>
    </row>
    <row r="411" spans="1:42" x14ac:dyDescent="0.25">
      <c r="A411">
        <v>1767</v>
      </c>
      <c r="B411">
        <v>1</v>
      </c>
      <c r="E411" t="s">
        <v>4786</v>
      </c>
      <c r="F411" t="b">
        <v>0</v>
      </c>
      <c r="I411" t="s">
        <v>4922</v>
      </c>
      <c r="K411" t="s">
        <v>4924</v>
      </c>
      <c r="L411" t="s">
        <v>5234</v>
      </c>
      <c r="M411" t="s">
        <v>4788</v>
      </c>
      <c r="N411" t="s">
        <v>4788</v>
      </c>
      <c r="O411">
        <v>2155</v>
      </c>
      <c r="Q411">
        <v>0</v>
      </c>
      <c r="R411">
        <v>0</v>
      </c>
      <c r="S411">
        <v>782.93</v>
      </c>
      <c r="T411" t="s">
        <v>4789</v>
      </c>
      <c r="U411">
        <v>1</v>
      </c>
      <c r="V411">
        <v>782.93</v>
      </c>
      <c r="W411" t="s">
        <v>4343</v>
      </c>
      <c r="Y411" t="b">
        <v>0</v>
      </c>
      <c r="Z411" t="b">
        <v>0</v>
      </c>
      <c r="AA411">
        <v>782.93</v>
      </c>
      <c r="AB411">
        <v>0</v>
      </c>
      <c r="AD411" t="b">
        <v>0</v>
      </c>
      <c r="AG411" s="1" t="s">
        <v>61</v>
      </c>
      <c r="AH411" s="1" t="s">
        <v>31</v>
      </c>
      <c r="AI411">
        <v>109</v>
      </c>
      <c r="AJ411">
        <v>313</v>
      </c>
      <c r="AK411" s="106">
        <v>45475.635543900462</v>
      </c>
      <c r="AL411" s="1" t="s">
        <v>4790</v>
      </c>
      <c r="AM411" s="42">
        <f>IFERROR(INDEX('Public procurment'!A:R,MATCH(ListOfExpenditure[[#This Row],[Content.contractId]],'Public procurment'!E:E,0),14),0)</f>
        <v>0</v>
      </c>
      <c r="AN411" s="2">
        <f>IF(AND(ListOfExpenditure[[#This Row],[Contract amount]]&gt;10000,ListOfExpenditure[[#This Row],[Content.declaredAmount]]&gt;2000),1,0)</f>
        <v>0</v>
      </c>
      <c r="AO411">
        <f>IFERROR(INDEX('Public procurment'!A:S,MATCH(ListOfExpenditure[[#This Row],[Content.contractId]],'Public procurment'!E:E,0),19),0)</f>
        <v>0</v>
      </c>
      <c r="AP411">
        <f>IF(ListOfExpenditure[[#This Row],[Numero di volte controllato il contract ]]&gt;0,0,ListOfExpenditure[[#This Row],[IF public procurment &gt;10000;1;0]])</f>
        <v>0</v>
      </c>
    </row>
    <row r="412" spans="1:42" x14ac:dyDescent="0.25">
      <c r="A412">
        <v>1768</v>
      </c>
      <c r="B412">
        <v>2</v>
      </c>
      <c r="E412" t="s">
        <v>4786</v>
      </c>
      <c r="F412" t="b">
        <v>0</v>
      </c>
      <c r="I412" t="s">
        <v>4926</v>
      </c>
      <c r="K412" t="s">
        <v>4924</v>
      </c>
      <c r="L412" t="s">
        <v>5234</v>
      </c>
      <c r="M412" t="s">
        <v>4788</v>
      </c>
      <c r="N412" t="s">
        <v>4788</v>
      </c>
      <c r="O412">
        <v>3190.73</v>
      </c>
      <c r="Q412">
        <v>0</v>
      </c>
      <c r="R412">
        <v>0</v>
      </c>
      <c r="S412">
        <v>738.91</v>
      </c>
      <c r="T412" t="s">
        <v>4789</v>
      </c>
      <c r="U412">
        <v>1</v>
      </c>
      <c r="V412">
        <v>738.91</v>
      </c>
      <c r="W412" t="s">
        <v>4343</v>
      </c>
      <c r="Y412" t="b">
        <v>0</v>
      </c>
      <c r="Z412" t="b">
        <v>0</v>
      </c>
      <c r="AA412">
        <v>738.91</v>
      </c>
      <c r="AB412">
        <v>0</v>
      </c>
      <c r="AD412" t="b">
        <v>0</v>
      </c>
      <c r="AG412" s="1" t="s">
        <v>61</v>
      </c>
      <c r="AH412" s="1" t="s">
        <v>31</v>
      </c>
      <c r="AI412">
        <v>109</v>
      </c>
      <c r="AJ412">
        <v>313</v>
      </c>
      <c r="AK412" s="106">
        <v>45475.635543900462</v>
      </c>
      <c r="AL412" s="1" t="s">
        <v>4790</v>
      </c>
      <c r="AM412" s="42">
        <f>IFERROR(INDEX('Public procurment'!A:R,MATCH(ListOfExpenditure[[#This Row],[Content.contractId]],'Public procurment'!E:E,0),14),0)</f>
        <v>0</v>
      </c>
      <c r="AN412" s="2">
        <f>IF(AND(ListOfExpenditure[[#This Row],[Contract amount]]&gt;10000,ListOfExpenditure[[#This Row],[Content.declaredAmount]]&gt;2000),1,0)</f>
        <v>0</v>
      </c>
      <c r="AO412">
        <f>IFERROR(INDEX('Public procurment'!A:S,MATCH(ListOfExpenditure[[#This Row],[Content.contractId]],'Public procurment'!E:E,0),19),0)</f>
        <v>0</v>
      </c>
      <c r="AP412">
        <f>IF(ListOfExpenditure[[#This Row],[Numero di volte controllato il contract ]]&gt;0,0,ListOfExpenditure[[#This Row],[IF public procurment &gt;10000;1;0]])</f>
        <v>0</v>
      </c>
    </row>
    <row r="413" spans="1:42" x14ac:dyDescent="0.25">
      <c r="A413">
        <v>1769</v>
      </c>
      <c r="B413">
        <v>3</v>
      </c>
      <c r="E413" t="s">
        <v>4786</v>
      </c>
      <c r="F413" t="b">
        <v>0</v>
      </c>
      <c r="I413" t="s">
        <v>4929</v>
      </c>
      <c r="K413" t="s">
        <v>4924</v>
      </c>
      <c r="L413" t="s">
        <v>5234</v>
      </c>
      <c r="M413" t="s">
        <v>4788</v>
      </c>
      <c r="N413" t="s">
        <v>4788</v>
      </c>
      <c r="O413">
        <v>2227</v>
      </c>
      <c r="Q413">
        <v>0</v>
      </c>
      <c r="R413">
        <v>0</v>
      </c>
      <c r="S413">
        <v>876.23</v>
      </c>
      <c r="T413" t="s">
        <v>4789</v>
      </c>
      <c r="U413">
        <v>1</v>
      </c>
      <c r="V413">
        <v>876.23</v>
      </c>
      <c r="W413" t="s">
        <v>4343</v>
      </c>
      <c r="Y413" t="b">
        <v>0</v>
      </c>
      <c r="Z413" t="b">
        <v>0</v>
      </c>
      <c r="AA413">
        <v>876.23</v>
      </c>
      <c r="AB413">
        <v>0</v>
      </c>
      <c r="AD413" t="b">
        <v>0</v>
      </c>
      <c r="AG413" s="1" t="s">
        <v>61</v>
      </c>
      <c r="AH413" s="1" t="s">
        <v>31</v>
      </c>
      <c r="AI413">
        <v>109</v>
      </c>
      <c r="AJ413">
        <v>313</v>
      </c>
      <c r="AK413" s="106">
        <v>45475.635543900462</v>
      </c>
      <c r="AL413" s="1" t="s">
        <v>4790</v>
      </c>
      <c r="AM413" s="42">
        <f>IFERROR(INDEX('Public procurment'!A:R,MATCH(ListOfExpenditure[[#This Row],[Content.contractId]],'Public procurment'!E:E,0),14),0)</f>
        <v>0</v>
      </c>
      <c r="AN413" s="2">
        <f>IF(AND(ListOfExpenditure[[#This Row],[Contract amount]]&gt;10000,ListOfExpenditure[[#This Row],[Content.declaredAmount]]&gt;2000),1,0)</f>
        <v>0</v>
      </c>
      <c r="AO413">
        <f>IFERROR(INDEX('Public procurment'!A:S,MATCH(ListOfExpenditure[[#This Row],[Content.contractId]],'Public procurment'!E:E,0),19),0)</f>
        <v>0</v>
      </c>
      <c r="AP413">
        <f>IF(ListOfExpenditure[[#This Row],[Numero di volte controllato il contract ]]&gt;0,0,ListOfExpenditure[[#This Row],[IF public procurment &gt;10000;1;0]])</f>
        <v>0</v>
      </c>
    </row>
    <row r="414" spans="1:42" x14ac:dyDescent="0.25">
      <c r="A414">
        <v>1770</v>
      </c>
      <c r="B414">
        <v>4</v>
      </c>
      <c r="E414" t="s">
        <v>4786</v>
      </c>
      <c r="F414" t="b">
        <v>0</v>
      </c>
      <c r="I414" t="s">
        <v>4933</v>
      </c>
      <c r="K414" t="s">
        <v>4924</v>
      </c>
      <c r="L414" t="s">
        <v>5234</v>
      </c>
      <c r="M414" t="s">
        <v>4788</v>
      </c>
      <c r="N414" t="s">
        <v>4788</v>
      </c>
      <c r="O414">
        <v>2413</v>
      </c>
      <c r="Q414">
        <v>0</v>
      </c>
      <c r="R414">
        <v>0</v>
      </c>
      <c r="S414">
        <v>834.19</v>
      </c>
      <c r="T414" t="s">
        <v>4789</v>
      </c>
      <c r="U414">
        <v>1</v>
      </c>
      <c r="V414">
        <v>834.19</v>
      </c>
      <c r="W414" t="s">
        <v>4343</v>
      </c>
      <c r="Y414" t="b">
        <v>0</v>
      </c>
      <c r="Z414" t="b">
        <v>0</v>
      </c>
      <c r="AA414">
        <v>834.19</v>
      </c>
      <c r="AB414">
        <v>0</v>
      </c>
      <c r="AD414" t="b">
        <v>0</v>
      </c>
      <c r="AG414" s="1" t="s">
        <v>61</v>
      </c>
      <c r="AH414" s="1" t="s">
        <v>31</v>
      </c>
      <c r="AI414">
        <v>109</v>
      </c>
      <c r="AJ414">
        <v>313</v>
      </c>
      <c r="AK414" s="106">
        <v>45475.635543900462</v>
      </c>
      <c r="AL414" s="1" t="s">
        <v>4790</v>
      </c>
      <c r="AM414" s="42">
        <f>IFERROR(INDEX('Public procurment'!A:R,MATCH(ListOfExpenditure[[#This Row],[Content.contractId]],'Public procurment'!E:E,0),14),0)</f>
        <v>0</v>
      </c>
      <c r="AN414" s="2">
        <f>IF(AND(ListOfExpenditure[[#This Row],[Contract amount]]&gt;10000,ListOfExpenditure[[#This Row],[Content.declaredAmount]]&gt;2000),1,0)</f>
        <v>0</v>
      </c>
      <c r="AO414">
        <f>IFERROR(INDEX('Public procurment'!A:S,MATCH(ListOfExpenditure[[#This Row],[Content.contractId]],'Public procurment'!E:E,0),19),0)</f>
        <v>0</v>
      </c>
      <c r="AP414">
        <f>IF(ListOfExpenditure[[#This Row],[Numero di volte controllato il contract ]]&gt;0,0,ListOfExpenditure[[#This Row],[IF public procurment &gt;10000;1;0]])</f>
        <v>0</v>
      </c>
    </row>
    <row r="415" spans="1:42" x14ac:dyDescent="0.25">
      <c r="A415">
        <v>1771</v>
      </c>
      <c r="B415">
        <v>5</v>
      </c>
      <c r="E415" t="s">
        <v>4786</v>
      </c>
      <c r="F415" t="b">
        <v>0</v>
      </c>
      <c r="I415" t="s">
        <v>4938</v>
      </c>
      <c r="K415" t="s">
        <v>5687</v>
      </c>
      <c r="L415" t="s">
        <v>4925</v>
      </c>
      <c r="M415" t="s">
        <v>4788</v>
      </c>
      <c r="N415" t="s">
        <v>4788</v>
      </c>
      <c r="O415">
        <v>2374</v>
      </c>
      <c r="Q415">
        <v>0</v>
      </c>
      <c r="R415">
        <v>0</v>
      </c>
      <c r="S415">
        <v>782.93</v>
      </c>
      <c r="T415" t="s">
        <v>4789</v>
      </c>
      <c r="U415">
        <v>1</v>
      </c>
      <c r="V415">
        <v>782.93</v>
      </c>
      <c r="W415" t="s">
        <v>4343</v>
      </c>
      <c r="Y415" t="b">
        <v>0</v>
      </c>
      <c r="Z415" t="b">
        <v>0</v>
      </c>
      <c r="AA415">
        <v>782.93</v>
      </c>
      <c r="AB415">
        <v>0</v>
      </c>
      <c r="AD415" t="b">
        <v>0</v>
      </c>
      <c r="AG415" s="1" t="s">
        <v>61</v>
      </c>
      <c r="AH415" s="1" t="s">
        <v>31</v>
      </c>
      <c r="AI415">
        <v>109</v>
      </c>
      <c r="AJ415">
        <v>313</v>
      </c>
      <c r="AK415" s="106">
        <v>45475.635543900462</v>
      </c>
      <c r="AL415" s="1" t="s">
        <v>4790</v>
      </c>
      <c r="AM415" s="42">
        <f>IFERROR(INDEX('Public procurment'!A:R,MATCH(ListOfExpenditure[[#This Row],[Content.contractId]],'Public procurment'!E:E,0),14),0)</f>
        <v>0</v>
      </c>
      <c r="AN415" s="2">
        <f>IF(AND(ListOfExpenditure[[#This Row],[Contract amount]]&gt;10000,ListOfExpenditure[[#This Row],[Content.declaredAmount]]&gt;2000),1,0)</f>
        <v>0</v>
      </c>
      <c r="AO415">
        <f>IFERROR(INDEX('Public procurment'!A:S,MATCH(ListOfExpenditure[[#This Row],[Content.contractId]],'Public procurment'!E:E,0),19),0)</f>
        <v>0</v>
      </c>
      <c r="AP415">
        <f>IF(ListOfExpenditure[[#This Row],[Numero di volte controllato il contract ]]&gt;0,0,ListOfExpenditure[[#This Row],[IF public procurment &gt;10000;1;0]])</f>
        <v>0</v>
      </c>
    </row>
    <row r="416" spans="1:42" x14ac:dyDescent="0.25">
      <c r="A416">
        <v>1794</v>
      </c>
      <c r="B416">
        <v>6</v>
      </c>
      <c r="E416" t="s">
        <v>4786</v>
      </c>
      <c r="F416" t="b">
        <v>0</v>
      </c>
      <c r="I416" t="s">
        <v>4940</v>
      </c>
      <c r="K416" t="s">
        <v>5687</v>
      </c>
      <c r="L416" t="s">
        <v>4925</v>
      </c>
      <c r="M416" t="s">
        <v>4788</v>
      </c>
      <c r="N416" t="s">
        <v>4788</v>
      </c>
      <c r="O416">
        <v>2483</v>
      </c>
      <c r="Q416">
        <v>0</v>
      </c>
      <c r="R416">
        <v>0</v>
      </c>
      <c r="S416">
        <v>738.91</v>
      </c>
      <c r="T416" t="s">
        <v>4789</v>
      </c>
      <c r="U416">
        <v>1</v>
      </c>
      <c r="V416">
        <v>738.91</v>
      </c>
      <c r="W416" t="s">
        <v>4343</v>
      </c>
      <c r="Y416" t="b">
        <v>0</v>
      </c>
      <c r="Z416" t="b">
        <v>0</v>
      </c>
      <c r="AA416">
        <v>738.91</v>
      </c>
      <c r="AB416">
        <v>0</v>
      </c>
      <c r="AD416" t="b">
        <v>0</v>
      </c>
      <c r="AG416" s="1" t="s">
        <v>61</v>
      </c>
      <c r="AH416" s="1" t="s">
        <v>31</v>
      </c>
      <c r="AI416">
        <v>109</v>
      </c>
      <c r="AJ416">
        <v>313</v>
      </c>
      <c r="AK416" s="106">
        <v>45475.635543900462</v>
      </c>
      <c r="AL416" s="1" t="s">
        <v>4790</v>
      </c>
      <c r="AM416" s="42">
        <f>IFERROR(INDEX('Public procurment'!A:R,MATCH(ListOfExpenditure[[#This Row],[Content.contractId]],'Public procurment'!E:E,0),14),0)</f>
        <v>0</v>
      </c>
      <c r="AN416" s="2">
        <f>IF(AND(ListOfExpenditure[[#This Row],[Contract amount]]&gt;10000,ListOfExpenditure[[#This Row],[Content.declaredAmount]]&gt;2000),1,0)</f>
        <v>0</v>
      </c>
      <c r="AO416">
        <f>IFERROR(INDEX('Public procurment'!A:S,MATCH(ListOfExpenditure[[#This Row],[Content.contractId]],'Public procurment'!E:E,0),19),0)</f>
        <v>0</v>
      </c>
      <c r="AP416">
        <f>IF(ListOfExpenditure[[#This Row],[Numero di volte controllato il contract ]]&gt;0,0,ListOfExpenditure[[#This Row],[IF public procurment &gt;10000;1;0]])</f>
        <v>0</v>
      </c>
    </row>
    <row r="417" spans="1:42" x14ac:dyDescent="0.25">
      <c r="A417">
        <v>1795</v>
      </c>
      <c r="B417">
        <v>7</v>
      </c>
      <c r="E417" t="s">
        <v>4786</v>
      </c>
      <c r="F417" t="b">
        <v>0</v>
      </c>
      <c r="I417" t="s">
        <v>4941</v>
      </c>
      <c r="K417" t="s">
        <v>5687</v>
      </c>
      <c r="L417" t="s">
        <v>4925</v>
      </c>
      <c r="M417" t="s">
        <v>4788</v>
      </c>
      <c r="N417" t="s">
        <v>4788</v>
      </c>
      <c r="O417">
        <v>3879</v>
      </c>
      <c r="Q417">
        <v>0</v>
      </c>
      <c r="R417">
        <v>0</v>
      </c>
      <c r="S417">
        <v>876.23</v>
      </c>
      <c r="T417" t="s">
        <v>4789</v>
      </c>
      <c r="U417">
        <v>1</v>
      </c>
      <c r="V417">
        <v>876.23</v>
      </c>
      <c r="W417" t="s">
        <v>4343</v>
      </c>
      <c r="Y417" t="b">
        <v>0</v>
      </c>
      <c r="Z417" t="b">
        <v>0</v>
      </c>
      <c r="AA417">
        <v>876.23</v>
      </c>
      <c r="AB417">
        <v>0</v>
      </c>
      <c r="AD417" t="b">
        <v>0</v>
      </c>
      <c r="AG417" s="1" t="s">
        <v>61</v>
      </c>
      <c r="AH417" s="1" t="s">
        <v>31</v>
      </c>
      <c r="AI417">
        <v>109</v>
      </c>
      <c r="AJ417">
        <v>313</v>
      </c>
      <c r="AK417" s="106">
        <v>45475.635543900462</v>
      </c>
      <c r="AL417" s="1" t="s">
        <v>4790</v>
      </c>
      <c r="AM417" s="42">
        <f>IFERROR(INDEX('Public procurment'!A:R,MATCH(ListOfExpenditure[[#This Row],[Content.contractId]],'Public procurment'!E:E,0),14),0)</f>
        <v>0</v>
      </c>
      <c r="AN417" s="2">
        <f>IF(AND(ListOfExpenditure[[#This Row],[Contract amount]]&gt;10000,ListOfExpenditure[[#This Row],[Content.declaredAmount]]&gt;2000),1,0)</f>
        <v>0</v>
      </c>
      <c r="AO417">
        <f>IFERROR(INDEX('Public procurment'!A:S,MATCH(ListOfExpenditure[[#This Row],[Content.contractId]],'Public procurment'!E:E,0),19),0)</f>
        <v>0</v>
      </c>
      <c r="AP417">
        <f>IF(ListOfExpenditure[[#This Row],[Numero di volte controllato il contract ]]&gt;0,0,ListOfExpenditure[[#This Row],[IF public procurment &gt;10000;1;0]])</f>
        <v>0</v>
      </c>
    </row>
    <row r="418" spans="1:42" x14ac:dyDescent="0.25">
      <c r="A418">
        <v>1796</v>
      </c>
      <c r="B418">
        <v>8</v>
      </c>
      <c r="E418" t="s">
        <v>4786</v>
      </c>
      <c r="F418" t="b">
        <v>0</v>
      </c>
      <c r="I418" t="s">
        <v>4943</v>
      </c>
      <c r="K418" t="s">
        <v>5687</v>
      </c>
      <c r="L418" t="s">
        <v>4925</v>
      </c>
      <c r="M418" t="s">
        <v>4788</v>
      </c>
      <c r="N418" t="s">
        <v>4788</v>
      </c>
      <c r="O418">
        <v>2777</v>
      </c>
      <c r="Q418">
        <v>0</v>
      </c>
      <c r="R418">
        <v>0</v>
      </c>
      <c r="S418">
        <v>834.19</v>
      </c>
      <c r="T418" t="s">
        <v>4789</v>
      </c>
      <c r="U418">
        <v>1</v>
      </c>
      <c r="V418">
        <v>834.19</v>
      </c>
      <c r="W418" t="s">
        <v>4343</v>
      </c>
      <c r="Y418" t="b">
        <v>0</v>
      </c>
      <c r="Z418" t="b">
        <v>0</v>
      </c>
      <c r="AA418">
        <v>834.19</v>
      </c>
      <c r="AB418">
        <v>0</v>
      </c>
      <c r="AD418" t="b">
        <v>0</v>
      </c>
      <c r="AG418" s="1" t="s">
        <v>61</v>
      </c>
      <c r="AH418" s="1" t="s">
        <v>31</v>
      </c>
      <c r="AI418">
        <v>109</v>
      </c>
      <c r="AJ418">
        <v>313</v>
      </c>
      <c r="AK418" s="106">
        <v>45475.635543900462</v>
      </c>
      <c r="AL418" s="1" t="s">
        <v>4790</v>
      </c>
      <c r="AM418" s="42">
        <f>IFERROR(INDEX('Public procurment'!A:R,MATCH(ListOfExpenditure[[#This Row],[Content.contractId]],'Public procurment'!E:E,0),14),0)</f>
        <v>0</v>
      </c>
      <c r="AN418" s="2">
        <f>IF(AND(ListOfExpenditure[[#This Row],[Contract amount]]&gt;10000,ListOfExpenditure[[#This Row],[Content.declaredAmount]]&gt;2000),1,0)</f>
        <v>0</v>
      </c>
      <c r="AO418">
        <f>IFERROR(INDEX('Public procurment'!A:S,MATCH(ListOfExpenditure[[#This Row],[Content.contractId]],'Public procurment'!E:E,0),19),0)</f>
        <v>0</v>
      </c>
      <c r="AP418">
        <f>IF(ListOfExpenditure[[#This Row],[Numero di volte controllato il contract ]]&gt;0,0,ListOfExpenditure[[#This Row],[IF public procurment &gt;10000;1;0]])</f>
        <v>0</v>
      </c>
    </row>
    <row r="419" spans="1:42" x14ac:dyDescent="0.25">
      <c r="A419">
        <v>1798</v>
      </c>
      <c r="B419">
        <v>9</v>
      </c>
      <c r="E419" t="s">
        <v>4786</v>
      </c>
      <c r="F419" t="b">
        <v>0</v>
      </c>
      <c r="I419" t="s">
        <v>4944</v>
      </c>
      <c r="K419" t="s">
        <v>5082</v>
      </c>
      <c r="L419" t="s">
        <v>4886</v>
      </c>
      <c r="M419" t="s">
        <v>4788</v>
      </c>
      <c r="N419" t="s">
        <v>4788</v>
      </c>
      <c r="O419">
        <v>2298</v>
      </c>
      <c r="Q419">
        <v>0</v>
      </c>
      <c r="R419">
        <v>0</v>
      </c>
      <c r="S419">
        <v>782.93</v>
      </c>
      <c r="T419" t="s">
        <v>4789</v>
      </c>
      <c r="U419">
        <v>1</v>
      </c>
      <c r="V419">
        <v>782.93</v>
      </c>
      <c r="W419" t="s">
        <v>4343</v>
      </c>
      <c r="Y419" t="b">
        <v>0</v>
      </c>
      <c r="Z419" t="b">
        <v>0</v>
      </c>
      <c r="AA419">
        <v>782.93</v>
      </c>
      <c r="AB419">
        <v>0</v>
      </c>
      <c r="AD419" t="b">
        <v>0</v>
      </c>
      <c r="AG419" s="1" t="s">
        <v>61</v>
      </c>
      <c r="AH419" s="1" t="s">
        <v>31</v>
      </c>
      <c r="AI419">
        <v>109</v>
      </c>
      <c r="AJ419">
        <v>313</v>
      </c>
      <c r="AK419" s="106">
        <v>45475.635543900462</v>
      </c>
      <c r="AL419" s="1" t="s">
        <v>4790</v>
      </c>
      <c r="AM419" s="42">
        <f>IFERROR(INDEX('Public procurment'!A:R,MATCH(ListOfExpenditure[[#This Row],[Content.contractId]],'Public procurment'!E:E,0),14),0)</f>
        <v>0</v>
      </c>
      <c r="AN419" s="2">
        <f>IF(AND(ListOfExpenditure[[#This Row],[Contract amount]]&gt;10000,ListOfExpenditure[[#This Row],[Content.declaredAmount]]&gt;2000),1,0)</f>
        <v>0</v>
      </c>
      <c r="AO419">
        <f>IFERROR(INDEX('Public procurment'!A:S,MATCH(ListOfExpenditure[[#This Row],[Content.contractId]],'Public procurment'!E:E,0),19),0)</f>
        <v>0</v>
      </c>
      <c r="AP419">
        <f>IF(ListOfExpenditure[[#This Row],[Numero di volte controllato il contract ]]&gt;0,0,ListOfExpenditure[[#This Row],[IF public procurment &gt;10000;1;0]])</f>
        <v>0</v>
      </c>
    </row>
    <row r="420" spans="1:42" x14ac:dyDescent="0.25">
      <c r="A420">
        <v>1799</v>
      </c>
      <c r="B420">
        <v>10</v>
      </c>
      <c r="E420" t="s">
        <v>4786</v>
      </c>
      <c r="F420" t="b">
        <v>0</v>
      </c>
      <c r="I420" t="s">
        <v>4945</v>
      </c>
      <c r="K420" t="s">
        <v>5082</v>
      </c>
      <c r="L420" t="s">
        <v>4886</v>
      </c>
      <c r="M420" t="s">
        <v>4788</v>
      </c>
      <c r="N420" t="s">
        <v>4788</v>
      </c>
      <c r="O420">
        <v>2530</v>
      </c>
      <c r="Q420">
        <v>0</v>
      </c>
      <c r="R420">
        <v>0</v>
      </c>
      <c r="S420">
        <v>738.91</v>
      </c>
      <c r="T420" t="s">
        <v>4789</v>
      </c>
      <c r="U420">
        <v>1</v>
      </c>
      <c r="V420">
        <v>738.91</v>
      </c>
      <c r="W420" t="s">
        <v>4343</v>
      </c>
      <c r="Y420" t="b">
        <v>0</v>
      </c>
      <c r="Z420" t="b">
        <v>0</v>
      </c>
      <c r="AA420">
        <v>738.91</v>
      </c>
      <c r="AB420">
        <v>0</v>
      </c>
      <c r="AD420" t="b">
        <v>0</v>
      </c>
      <c r="AG420" s="1" t="s">
        <v>61</v>
      </c>
      <c r="AH420" s="1" t="s">
        <v>31</v>
      </c>
      <c r="AI420">
        <v>109</v>
      </c>
      <c r="AJ420">
        <v>313</v>
      </c>
      <c r="AK420" s="106">
        <v>45475.635543900462</v>
      </c>
      <c r="AL420" s="1" t="s">
        <v>4790</v>
      </c>
      <c r="AM420" s="42">
        <f>IFERROR(INDEX('Public procurment'!A:R,MATCH(ListOfExpenditure[[#This Row],[Content.contractId]],'Public procurment'!E:E,0),14),0)</f>
        <v>0</v>
      </c>
      <c r="AN420" s="2">
        <f>IF(AND(ListOfExpenditure[[#This Row],[Contract amount]]&gt;10000,ListOfExpenditure[[#This Row],[Content.declaredAmount]]&gt;2000),1,0)</f>
        <v>0</v>
      </c>
      <c r="AO420">
        <f>IFERROR(INDEX('Public procurment'!A:S,MATCH(ListOfExpenditure[[#This Row],[Content.contractId]],'Public procurment'!E:E,0),19),0)</f>
        <v>0</v>
      </c>
      <c r="AP420">
        <f>IF(ListOfExpenditure[[#This Row],[Numero di volte controllato il contract ]]&gt;0,0,ListOfExpenditure[[#This Row],[IF public procurment &gt;10000;1;0]])</f>
        <v>0</v>
      </c>
    </row>
    <row r="421" spans="1:42" x14ac:dyDescent="0.25">
      <c r="A421">
        <v>1800</v>
      </c>
      <c r="B421">
        <v>11</v>
      </c>
      <c r="E421" t="s">
        <v>4786</v>
      </c>
      <c r="F421" t="b">
        <v>0</v>
      </c>
      <c r="I421" t="s">
        <v>4947</v>
      </c>
      <c r="K421" t="s">
        <v>5082</v>
      </c>
      <c r="L421" t="s">
        <v>4886</v>
      </c>
      <c r="M421" t="s">
        <v>4788</v>
      </c>
      <c r="N421" t="s">
        <v>4788</v>
      </c>
      <c r="O421">
        <v>2409</v>
      </c>
      <c r="Q421">
        <v>0</v>
      </c>
      <c r="R421">
        <v>0</v>
      </c>
      <c r="S421">
        <v>876.23</v>
      </c>
      <c r="T421" t="s">
        <v>4789</v>
      </c>
      <c r="U421">
        <v>1</v>
      </c>
      <c r="V421">
        <v>876.23</v>
      </c>
      <c r="W421" t="s">
        <v>4343</v>
      </c>
      <c r="Y421" t="b">
        <v>0</v>
      </c>
      <c r="Z421" t="b">
        <v>0</v>
      </c>
      <c r="AA421">
        <v>876.23</v>
      </c>
      <c r="AB421">
        <v>0</v>
      </c>
      <c r="AD421" t="b">
        <v>0</v>
      </c>
      <c r="AG421" s="1" t="s">
        <v>61</v>
      </c>
      <c r="AH421" s="1" t="s">
        <v>31</v>
      </c>
      <c r="AI421">
        <v>109</v>
      </c>
      <c r="AJ421">
        <v>313</v>
      </c>
      <c r="AK421" s="106">
        <v>45475.635543900462</v>
      </c>
      <c r="AL421" s="1" t="s">
        <v>4790</v>
      </c>
      <c r="AM421" s="42">
        <f>IFERROR(INDEX('Public procurment'!A:R,MATCH(ListOfExpenditure[[#This Row],[Content.contractId]],'Public procurment'!E:E,0),14),0)</f>
        <v>0</v>
      </c>
      <c r="AN421" s="2">
        <f>IF(AND(ListOfExpenditure[[#This Row],[Contract amount]]&gt;10000,ListOfExpenditure[[#This Row],[Content.declaredAmount]]&gt;2000),1,0)</f>
        <v>0</v>
      </c>
      <c r="AO421">
        <f>IFERROR(INDEX('Public procurment'!A:S,MATCH(ListOfExpenditure[[#This Row],[Content.contractId]],'Public procurment'!E:E,0),19),0)</f>
        <v>0</v>
      </c>
      <c r="AP421">
        <f>IF(ListOfExpenditure[[#This Row],[Numero di volte controllato il contract ]]&gt;0,0,ListOfExpenditure[[#This Row],[IF public procurment &gt;10000;1;0]])</f>
        <v>0</v>
      </c>
    </row>
    <row r="422" spans="1:42" x14ac:dyDescent="0.25">
      <c r="A422">
        <v>1801</v>
      </c>
      <c r="B422">
        <v>12</v>
      </c>
      <c r="E422" t="s">
        <v>4786</v>
      </c>
      <c r="F422" t="b">
        <v>0</v>
      </c>
      <c r="I422" t="s">
        <v>4948</v>
      </c>
      <c r="K422" t="s">
        <v>5082</v>
      </c>
      <c r="L422" t="s">
        <v>4886</v>
      </c>
      <c r="M422" t="s">
        <v>4788</v>
      </c>
      <c r="N422" t="s">
        <v>4788</v>
      </c>
      <c r="O422">
        <v>2547</v>
      </c>
      <c r="Q422">
        <v>0</v>
      </c>
      <c r="R422">
        <v>0</v>
      </c>
      <c r="S422">
        <v>834.19</v>
      </c>
      <c r="T422" t="s">
        <v>4789</v>
      </c>
      <c r="U422">
        <v>1</v>
      </c>
      <c r="V422">
        <v>834.19</v>
      </c>
      <c r="W422" t="s">
        <v>4343</v>
      </c>
      <c r="Y422" t="b">
        <v>0</v>
      </c>
      <c r="Z422" t="b">
        <v>0</v>
      </c>
      <c r="AA422">
        <v>834.19</v>
      </c>
      <c r="AB422">
        <v>0</v>
      </c>
      <c r="AD422" t="b">
        <v>0</v>
      </c>
      <c r="AG422" s="1" t="s">
        <v>61</v>
      </c>
      <c r="AH422" s="1" t="s">
        <v>31</v>
      </c>
      <c r="AI422">
        <v>109</v>
      </c>
      <c r="AJ422">
        <v>313</v>
      </c>
      <c r="AK422" s="106">
        <v>45475.635543900462</v>
      </c>
      <c r="AL422" s="1" t="s">
        <v>4790</v>
      </c>
      <c r="AM422" s="42">
        <f>IFERROR(INDEX('Public procurment'!A:R,MATCH(ListOfExpenditure[[#This Row],[Content.contractId]],'Public procurment'!E:E,0),14),0)</f>
        <v>0</v>
      </c>
      <c r="AN422" s="2">
        <f>IF(AND(ListOfExpenditure[[#This Row],[Contract amount]]&gt;10000,ListOfExpenditure[[#This Row],[Content.declaredAmount]]&gt;2000),1,0)</f>
        <v>0</v>
      </c>
      <c r="AO422">
        <f>IFERROR(INDEX('Public procurment'!A:S,MATCH(ListOfExpenditure[[#This Row],[Content.contractId]],'Public procurment'!E:E,0),19),0)</f>
        <v>0</v>
      </c>
      <c r="AP422">
        <f>IF(ListOfExpenditure[[#This Row],[Numero di volte controllato il contract ]]&gt;0,0,ListOfExpenditure[[#This Row],[IF public procurment &gt;10000;1;0]])</f>
        <v>0</v>
      </c>
    </row>
    <row r="423" spans="1:42" x14ac:dyDescent="0.25">
      <c r="A423">
        <v>1802</v>
      </c>
      <c r="B423">
        <v>13</v>
      </c>
      <c r="E423" t="s">
        <v>4786</v>
      </c>
      <c r="F423" t="b">
        <v>0</v>
      </c>
      <c r="I423" t="s">
        <v>4949</v>
      </c>
      <c r="K423" t="s">
        <v>4662</v>
      </c>
      <c r="L423" t="s">
        <v>4723</v>
      </c>
      <c r="M423" t="s">
        <v>4788</v>
      </c>
      <c r="N423" t="s">
        <v>4788</v>
      </c>
      <c r="O423">
        <v>2657</v>
      </c>
      <c r="Q423">
        <v>0</v>
      </c>
      <c r="R423">
        <v>0</v>
      </c>
      <c r="S423">
        <v>782.93</v>
      </c>
      <c r="T423" t="s">
        <v>4789</v>
      </c>
      <c r="U423">
        <v>1</v>
      </c>
      <c r="V423">
        <v>782.93</v>
      </c>
      <c r="W423" t="s">
        <v>4343</v>
      </c>
      <c r="Y423" t="b">
        <v>0</v>
      </c>
      <c r="Z423" t="b">
        <v>0</v>
      </c>
      <c r="AA423">
        <v>782.93</v>
      </c>
      <c r="AB423">
        <v>0</v>
      </c>
      <c r="AD423" t="b">
        <v>0</v>
      </c>
      <c r="AG423" s="1" t="s">
        <v>61</v>
      </c>
      <c r="AH423" s="1" t="s">
        <v>31</v>
      </c>
      <c r="AI423">
        <v>109</v>
      </c>
      <c r="AJ423">
        <v>313</v>
      </c>
      <c r="AK423" s="106">
        <v>45475.635543900462</v>
      </c>
      <c r="AL423" s="1" t="s">
        <v>4790</v>
      </c>
      <c r="AM423" s="42">
        <f>IFERROR(INDEX('Public procurment'!A:R,MATCH(ListOfExpenditure[[#This Row],[Content.contractId]],'Public procurment'!E:E,0),14),0)</f>
        <v>0</v>
      </c>
      <c r="AN423" s="2">
        <f>IF(AND(ListOfExpenditure[[#This Row],[Contract amount]]&gt;10000,ListOfExpenditure[[#This Row],[Content.declaredAmount]]&gt;2000),1,0)</f>
        <v>0</v>
      </c>
      <c r="AO423">
        <f>IFERROR(INDEX('Public procurment'!A:S,MATCH(ListOfExpenditure[[#This Row],[Content.contractId]],'Public procurment'!E:E,0),19),0)</f>
        <v>0</v>
      </c>
      <c r="AP423">
        <f>IF(ListOfExpenditure[[#This Row],[Numero di volte controllato il contract ]]&gt;0,0,ListOfExpenditure[[#This Row],[IF public procurment &gt;10000;1;0]])</f>
        <v>0</v>
      </c>
    </row>
    <row r="424" spans="1:42" x14ac:dyDescent="0.25">
      <c r="A424">
        <v>1888</v>
      </c>
      <c r="B424">
        <v>14</v>
      </c>
      <c r="E424" t="s">
        <v>4786</v>
      </c>
      <c r="F424" t="b">
        <v>0</v>
      </c>
      <c r="I424" t="s">
        <v>4961</v>
      </c>
      <c r="K424" t="s">
        <v>4662</v>
      </c>
      <c r="L424" t="s">
        <v>4723</v>
      </c>
      <c r="M424" t="s">
        <v>4788</v>
      </c>
      <c r="N424" t="s">
        <v>4788</v>
      </c>
      <c r="O424">
        <v>2343</v>
      </c>
      <c r="Q424">
        <v>0</v>
      </c>
      <c r="R424">
        <v>0</v>
      </c>
      <c r="S424">
        <v>738.91</v>
      </c>
      <c r="T424" t="s">
        <v>4789</v>
      </c>
      <c r="U424">
        <v>1</v>
      </c>
      <c r="V424">
        <v>738.91</v>
      </c>
      <c r="W424" t="s">
        <v>4343</v>
      </c>
      <c r="Y424" t="b">
        <v>0</v>
      </c>
      <c r="Z424" t="b">
        <v>0</v>
      </c>
      <c r="AA424">
        <v>738.91</v>
      </c>
      <c r="AB424">
        <v>0</v>
      </c>
      <c r="AD424" t="b">
        <v>0</v>
      </c>
      <c r="AG424" s="1" t="s">
        <v>61</v>
      </c>
      <c r="AH424" s="1" t="s">
        <v>31</v>
      </c>
      <c r="AI424">
        <v>109</v>
      </c>
      <c r="AJ424">
        <v>313</v>
      </c>
      <c r="AK424" s="106">
        <v>45475.635543900462</v>
      </c>
      <c r="AL424" s="1" t="s">
        <v>4790</v>
      </c>
      <c r="AM424" s="42">
        <f>IFERROR(INDEX('Public procurment'!A:R,MATCH(ListOfExpenditure[[#This Row],[Content.contractId]],'Public procurment'!E:E,0),14),0)</f>
        <v>0</v>
      </c>
      <c r="AN424" s="2">
        <f>IF(AND(ListOfExpenditure[[#This Row],[Contract amount]]&gt;10000,ListOfExpenditure[[#This Row],[Content.declaredAmount]]&gt;2000),1,0)</f>
        <v>0</v>
      </c>
      <c r="AO424">
        <f>IFERROR(INDEX('Public procurment'!A:S,MATCH(ListOfExpenditure[[#This Row],[Content.contractId]],'Public procurment'!E:E,0),19),0)</f>
        <v>0</v>
      </c>
      <c r="AP424">
        <f>IF(ListOfExpenditure[[#This Row],[Numero di volte controllato il contract ]]&gt;0,0,ListOfExpenditure[[#This Row],[IF public procurment &gt;10000;1;0]])</f>
        <v>0</v>
      </c>
    </row>
    <row r="425" spans="1:42" x14ac:dyDescent="0.25">
      <c r="A425">
        <v>1889</v>
      </c>
      <c r="B425">
        <v>15</v>
      </c>
      <c r="E425" t="s">
        <v>4786</v>
      </c>
      <c r="F425" t="b">
        <v>0</v>
      </c>
      <c r="I425" t="s">
        <v>4962</v>
      </c>
      <c r="K425" t="s">
        <v>4662</v>
      </c>
      <c r="L425" t="s">
        <v>4723</v>
      </c>
      <c r="M425" t="s">
        <v>4788</v>
      </c>
      <c r="N425" t="s">
        <v>4788</v>
      </c>
      <c r="O425">
        <v>2405</v>
      </c>
      <c r="Q425">
        <v>0</v>
      </c>
      <c r="R425">
        <v>0</v>
      </c>
      <c r="S425">
        <v>876.23</v>
      </c>
      <c r="T425" t="s">
        <v>4789</v>
      </c>
      <c r="U425">
        <v>1</v>
      </c>
      <c r="V425">
        <v>876.23</v>
      </c>
      <c r="W425" t="s">
        <v>4343</v>
      </c>
      <c r="Y425" t="b">
        <v>0</v>
      </c>
      <c r="Z425" t="b">
        <v>0</v>
      </c>
      <c r="AA425">
        <v>876.23</v>
      </c>
      <c r="AB425">
        <v>0</v>
      </c>
      <c r="AD425" t="b">
        <v>0</v>
      </c>
      <c r="AG425" s="1" t="s">
        <v>61</v>
      </c>
      <c r="AH425" s="1" t="s">
        <v>31</v>
      </c>
      <c r="AI425">
        <v>109</v>
      </c>
      <c r="AJ425">
        <v>313</v>
      </c>
      <c r="AK425" s="106">
        <v>45475.635543900462</v>
      </c>
      <c r="AL425" s="1" t="s">
        <v>4790</v>
      </c>
      <c r="AM425" s="42">
        <f>IFERROR(INDEX('Public procurment'!A:R,MATCH(ListOfExpenditure[[#This Row],[Content.contractId]],'Public procurment'!E:E,0),14),0)</f>
        <v>0</v>
      </c>
      <c r="AN425" s="2">
        <f>IF(AND(ListOfExpenditure[[#This Row],[Contract amount]]&gt;10000,ListOfExpenditure[[#This Row],[Content.declaredAmount]]&gt;2000),1,0)</f>
        <v>0</v>
      </c>
      <c r="AO425">
        <f>IFERROR(INDEX('Public procurment'!A:S,MATCH(ListOfExpenditure[[#This Row],[Content.contractId]],'Public procurment'!E:E,0),19),0)</f>
        <v>0</v>
      </c>
      <c r="AP425">
        <f>IF(ListOfExpenditure[[#This Row],[Numero di volte controllato il contract ]]&gt;0,0,ListOfExpenditure[[#This Row],[IF public procurment &gt;10000;1;0]])</f>
        <v>0</v>
      </c>
    </row>
    <row r="426" spans="1:42" x14ac:dyDescent="0.25">
      <c r="A426">
        <v>1891</v>
      </c>
      <c r="B426">
        <v>16</v>
      </c>
      <c r="E426" t="s">
        <v>4786</v>
      </c>
      <c r="F426" t="b">
        <v>0</v>
      </c>
      <c r="I426" t="s">
        <v>4963</v>
      </c>
      <c r="K426" t="s">
        <v>4662</v>
      </c>
      <c r="L426" t="s">
        <v>4723</v>
      </c>
      <c r="M426" t="s">
        <v>4788</v>
      </c>
      <c r="N426" t="s">
        <v>4788</v>
      </c>
      <c r="O426">
        <v>2565</v>
      </c>
      <c r="Q426">
        <v>0</v>
      </c>
      <c r="R426">
        <v>0</v>
      </c>
      <c r="S426">
        <v>834.19</v>
      </c>
      <c r="T426" t="s">
        <v>4789</v>
      </c>
      <c r="U426">
        <v>1</v>
      </c>
      <c r="V426">
        <v>834.19</v>
      </c>
      <c r="W426" t="s">
        <v>4343</v>
      </c>
      <c r="Y426" t="b">
        <v>0</v>
      </c>
      <c r="Z426" t="b">
        <v>0</v>
      </c>
      <c r="AA426">
        <v>834.19</v>
      </c>
      <c r="AB426">
        <v>0</v>
      </c>
      <c r="AD426" t="b">
        <v>0</v>
      </c>
      <c r="AG426" s="1" t="s">
        <v>61</v>
      </c>
      <c r="AH426" s="1" t="s">
        <v>31</v>
      </c>
      <c r="AI426">
        <v>109</v>
      </c>
      <c r="AJ426">
        <v>313</v>
      </c>
      <c r="AK426" s="106">
        <v>45475.635543900462</v>
      </c>
      <c r="AL426" s="1" t="s">
        <v>4790</v>
      </c>
      <c r="AM426" s="42">
        <f>IFERROR(INDEX('Public procurment'!A:R,MATCH(ListOfExpenditure[[#This Row],[Content.contractId]],'Public procurment'!E:E,0),14),0)</f>
        <v>0</v>
      </c>
      <c r="AN426" s="2">
        <f>IF(AND(ListOfExpenditure[[#This Row],[Contract amount]]&gt;10000,ListOfExpenditure[[#This Row],[Content.declaredAmount]]&gt;2000),1,0)</f>
        <v>0</v>
      </c>
      <c r="AO426">
        <f>IFERROR(INDEX('Public procurment'!A:S,MATCH(ListOfExpenditure[[#This Row],[Content.contractId]],'Public procurment'!E:E,0),19),0)</f>
        <v>0</v>
      </c>
      <c r="AP426">
        <f>IF(ListOfExpenditure[[#This Row],[Numero di volte controllato il contract ]]&gt;0,0,ListOfExpenditure[[#This Row],[IF public procurment &gt;10000;1;0]])</f>
        <v>0</v>
      </c>
    </row>
    <row r="427" spans="1:42" x14ac:dyDescent="0.25">
      <c r="A427">
        <v>1893</v>
      </c>
      <c r="B427">
        <v>17</v>
      </c>
      <c r="E427" t="s">
        <v>4786</v>
      </c>
      <c r="F427" t="b">
        <v>0</v>
      </c>
      <c r="I427" t="s">
        <v>4964</v>
      </c>
      <c r="K427" t="s">
        <v>6283</v>
      </c>
      <c r="L427" t="s">
        <v>6284</v>
      </c>
      <c r="M427" t="s">
        <v>4788</v>
      </c>
      <c r="N427" t="s">
        <v>4788</v>
      </c>
      <c r="O427">
        <v>2384</v>
      </c>
      <c r="Q427">
        <v>0</v>
      </c>
      <c r="R427">
        <v>0</v>
      </c>
      <c r="S427">
        <v>782.93</v>
      </c>
      <c r="T427" t="s">
        <v>4789</v>
      </c>
      <c r="U427">
        <v>1</v>
      </c>
      <c r="V427">
        <v>782.93</v>
      </c>
      <c r="W427" t="s">
        <v>4343</v>
      </c>
      <c r="Y427" t="b">
        <v>0</v>
      </c>
      <c r="Z427" t="b">
        <v>0</v>
      </c>
      <c r="AA427">
        <v>782.93</v>
      </c>
      <c r="AB427">
        <v>0</v>
      </c>
      <c r="AD427" t="b">
        <v>0</v>
      </c>
      <c r="AG427" s="1" t="s">
        <v>61</v>
      </c>
      <c r="AH427" s="1" t="s">
        <v>31</v>
      </c>
      <c r="AI427">
        <v>109</v>
      </c>
      <c r="AJ427">
        <v>313</v>
      </c>
      <c r="AK427" s="106">
        <v>45475.635543900462</v>
      </c>
      <c r="AL427" s="1" t="s">
        <v>4790</v>
      </c>
      <c r="AM427" s="42">
        <f>IFERROR(INDEX('Public procurment'!A:R,MATCH(ListOfExpenditure[[#This Row],[Content.contractId]],'Public procurment'!E:E,0),14),0)</f>
        <v>0</v>
      </c>
      <c r="AN427" s="2">
        <f>IF(AND(ListOfExpenditure[[#This Row],[Contract amount]]&gt;10000,ListOfExpenditure[[#This Row],[Content.declaredAmount]]&gt;2000),1,0)</f>
        <v>0</v>
      </c>
      <c r="AO427">
        <f>IFERROR(INDEX('Public procurment'!A:S,MATCH(ListOfExpenditure[[#This Row],[Content.contractId]],'Public procurment'!E:E,0),19),0)</f>
        <v>0</v>
      </c>
      <c r="AP427">
        <f>IF(ListOfExpenditure[[#This Row],[Numero di volte controllato il contract ]]&gt;0,0,ListOfExpenditure[[#This Row],[IF public procurment &gt;10000;1;0]])</f>
        <v>0</v>
      </c>
    </row>
    <row r="428" spans="1:42" x14ac:dyDescent="0.25">
      <c r="A428">
        <v>1895</v>
      </c>
      <c r="B428">
        <v>18</v>
      </c>
      <c r="E428" t="s">
        <v>4786</v>
      </c>
      <c r="F428" t="b">
        <v>0</v>
      </c>
      <c r="I428" t="s">
        <v>4965</v>
      </c>
      <c r="K428" t="s">
        <v>6283</v>
      </c>
      <c r="L428" t="s">
        <v>6284</v>
      </c>
      <c r="M428" t="s">
        <v>4788</v>
      </c>
      <c r="N428" t="s">
        <v>4788</v>
      </c>
      <c r="O428">
        <v>2733</v>
      </c>
      <c r="Q428">
        <v>0</v>
      </c>
      <c r="R428">
        <v>0</v>
      </c>
      <c r="S428">
        <v>738.91</v>
      </c>
      <c r="T428" t="s">
        <v>4789</v>
      </c>
      <c r="U428">
        <v>1</v>
      </c>
      <c r="V428">
        <v>738.91</v>
      </c>
      <c r="W428" t="s">
        <v>4343</v>
      </c>
      <c r="Y428" t="b">
        <v>0</v>
      </c>
      <c r="Z428" t="b">
        <v>0</v>
      </c>
      <c r="AA428">
        <v>738.91</v>
      </c>
      <c r="AB428">
        <v>0</v>
      </c>
      <c r="AD428" t="b">
        <v>0</v>
      </c>
      <c r="AG428" s="1" t="s">
        <v>61</v>
      </c>
      <c r="AH428" s="1" t="s">
        <v>31</v>
      </c>
      <c r="AI428">
        <v>109</v>
      </c>
      <c r="AJ428">
        <v>313</v>
      </c>
      <c r="AK428" s="106">
        <v>45475.635543900462</v>
      </c>
      <c r="AL428" s="1" t="s">
        <v>4790</v>
      </c>
      <c r="AM428" s="42">
        <f>IFERROR(INDEX('Public procurment'!A:R,MATCH(ListOfExpenditure[[#This Row],[Content.contractId]],'Public procurment'!E:E,0),14),0)</f>
        <v>0</v>
      </c>
      <c r="AN428" s="2">
        <f>IF(AND(ListOfExpenditure[[#This Row],[Contract amount]]&gt;10000,ListOfExpenditure[[#This Row],[Content.declaredAmount]]&gt;2000),1,0)</f>
        <v>0</v>
      </c>
      <c r="AO428">
        <f>IFERROR(INDEX('Public procurment'!A:S,MATCH(ListOfExpenditure[[#This Row],[Content.contractId]],'Public procurment'!E:E,0),19),0)</f>
        <v>0</v>
      </c>
      <c r="AP428">
        <f>IF(ListOfExpenditure[[#This Row],[Numero di volte controllato il contract ]]&gt;0,0,ListOfExpenditure[[#This Row],[IF public procurment &gt;10000;1;0]])</f>
        <v>0</v>
      </c>
    </row>
    <row r="429" spans="1:42" x14ac:dyDescent="0.25">
      <c r="A429">
        <v>1896</v>
      </c>
      <c r="B429">
        <v>19</v>
      </c>
      <c r="E429" t="s">
        <v>4786</v>
      </c>
      <c r="F429" t="b">
        <v>0</v>
      </c>
      <c r="I429" t="s">
        <v>4966</v>
      </c>
      <c r="K429" t="s">
        <v>6283</v>
      </c>
      <c r="L429" t="s">
        <v>6284</v>
      </c>
      <c r="M429" t="s">
        <v>4788</v>
      </c>
      <c r="N429" t="s">
        <v>4788</v>
      </c>
      <c r="O429">
        <v>2398</v>
      </c>
      <c r="Q429">
        <v>0</v>
      </c>
      <c r="R429">
        <v>0</v>
      </c>
      <c r="S429">
        <v>876.23</v>
      </c>
      <c r="T429" t="s">
        <v>4789</v>
      </c>
      <c r="U429">
        <v>1</v>
      </c>
      <c r="V429">
        <v>876.23</v>
      </c>
      <c r="W429" t="s">
        <v>4343</v>
      </c>
      <c r="Y429" t="b">
        <v>0</v>
      </c>
      <c r="Z429" t="b">
        <v>0</v>
      </c>
      <c r="AA429">
        <v>876.23</v>
      </c>
      <c r="AB429">
        <v>0</v>
      </c>
      <c r="AD429" t="b">
        <v>0</v>
      </c>
      <c r="AG429" s="1" t="s">
        <v>61</v>
      </c>
      <c r="AH429" s="1" t="s">
        <v>31</v>
      </c>
      <c r="AI429">
        <v>109</v>
      </c>
      <c r="AJ429">
        <v>313</v>
      </c>
      <c r="AK429" s="106">
        <v>45475.635543900462</v>
      </c>
      <c r="AL429" s="1" t="s">
        <v>4790</v>
      </c>
      <c r="AM429" s="42">
        <f>IFERROR(INDEX('Public procurment'!A:R,MATCH(ListOfExpenditure[[#This Row],[Content.contractId]],'Public procurment'!E:E,0),14),0)</f>
        <v>0</v>
      </c>
      <c r="AN429" s="2">
        <f>IF(AND(ListOfExpenditure[[#This Row],[Contract amount]]&gt;10000,ListOfExpenditure[[#This Row],[Content.declaredAmount]]&gt;2000),1,0)</f>
        <v>0</v>
      </c>
      <c r="AO429">
        <f>IFERROR(INDEX('Public procurment'!A:S,MATCH(ListOfExpenditure[[#This Row],[Content.contractId]],'Public procurment'!E:E,0),19),0)</f>
        <v>0</v>
      </c>
      <c r="AP429">
        <f>IF(ListOfExpenditure[[#This Row],[Numero di volte controllato il contract ]]&gt;0,0,ListOfExpenditure[[#This Row],[IF public procurment &gt;10000;1;0]])</f>
        <v>0</v>
      </c>
    </row>
    <row r="430" spans="1:42" x14ac:dyDescent="0.25">
      <c r="A430">
        <v>1897</v>
      </c>
      <c r="B430">
        <v>20</v>
      </c>
      <c r="E430" t="s">
        <v>4786</v>
      </c>
      <c r="F430" t="b">
        <v>0</v>
      </c>
      <c r="I430" t="s">
        <v>4968</v>
      </c>
      <c r="K430" t="s">
        <v>6283</v>
      </c>
      <c r="L430" t="s">
        <v>6284</v>
      </c>
      <c r="M430" t="s">
        <v>4788</v>
      </c>
      <c r="N430" t="s">
        <v>4788</v>
      </c>
      <c r="O430">
        <v>2582</v>
      </c>
      <c r="Q430">
        <v>0</v>
      </c>
      <c r="R430">
        <v>0</v>
      </c>
      <c r="S430">
        <v>834.19</v>
      </c>
      <c r="T430" t="s">
        <v>4789</v>
      </c>
      <c r="U430">
        <v>1</v>
      </c>
      <c r="V430">
        <v>834.19</v>
      </c>
      <c r="W430" t="s">
        <v>4343</v>
      </c>
      <c r="Y430" t="b">
        <v>0</v>
      </c>
      <c r="Z430" t="b">
        <v>0</v>
      </c>
      <c r="AA430">
        <v>834.19</v>
      </c>
      <c r="AB430">
        <v>0</v>
      </c>
      <c r="AD430" t="b">
        <v>0</v>
      </c>
      <c r="AG430" s="1" t="s">
        <v>61</v>
      </c>
      <c r="AH430" s="1" t="s">
        <v>31</v>
      </c>
      <c r="AI430">
        <v>109</v>
      </c>
      <c r="AJ430">
        <v>313</v>
      </c>
      <c r="AK430" s="106">
        <v>45475.635543900462</v>
      </c>
      <c r="AL430" s="1" t="s">
        <v>4790</v>
      </c>
      <c r="AM430" s="42">
        <f>IFERROR(INDEX('Public procurment'!A:R,MATCH(ListOfExpenditure[[#This Row],[Content.contractId]],'Public procurment'!E:E,0),14),0)</f>
        <v>0</v>
      </c>
      <c r="AN430" s="2">
        <f>IF(AND(ListOfExpenditure[[#This Row],[Contract amount]]&gt;10000,ListOfExpenditure[[#This Row],[Content.declaredAmount]]&gt;2000),1,0)</f>
        <v>0</v>
      </c>
      <c r="AO430">
        <f>IFERROR(INDEX('Public procurment'!A:S,MATCH(ListOfExpenditure[[#This Row],[Content.contractId]],'Public procurment'!E:E,0),19),0)</f>
        <v>0</v>
      </c>
      <c r="AP430">
        <f>IF(ListOfExpenditure[[#This Row],[Numero di volte controllato il contract ]]&gt;0,0,ListOfExpenditure[[#This Row],[IF public procurment &gt;10000;1;0]])</f>
        <v>0</v>
      </c>
    </row>
    <row r="431" spans="1:42" x14ac:dyDescent="0.25">
      <c r="A431">
        <v>22</v>
      </c>
      <c r="B431">
        <v>1</v>
      </c>
      <c r="E431" t="s">
        <v>4786</v>
      </c>
      <c r="F431" t="b">
        <v>0</v>
      </c>
      <c r="I431" t="s">
        <v>4922</v>
      </c>
      <c r="K431" t="s">
        <v>5180</v>
      </c>
      <c r="L431" t="s">
        <v>5065</v>
      </c>
      <c r="M431" t="s">
        <v>4788</v>
      </c>
      <c r="N431" t="s">
        <v>4788</v>
      </c>
      <c r="O431">
        <v>2577.15</v>
      </c>
      <c r="Q431">
        <v>0</v>
      </c>
      <c r="R431">
        <v>0</v>
      </c>
      <c r="S431">
        <v>2577.15</v>
      </c>
      <c r="T431" t="s">
        <v>4789</v>
      </c>
      <c r="U431">
        <v>1</v>
      </c>
      <c r="V431">
        <v>2577.15</v>
      </c>
      <c r="W431" t="s">
        <v>4343</v>
      </c>
      <c r="Y431" t="b">
        <v>1</v>
      </c>
      <c r="Z431" t="b">
        <v>0</v>
      </c>
      <c r="AA431">
        <v>2577.15</v>
      </c>
      <c r="AB431">
        <v>0</v>
      </c>
      <c r="AD431" t="b">
        <v>0</v>
      </c>
      <c r="AF431" t="s">
        <v>5181</v>
      </c>
      <c r="AG431" s="1" t="s">
        <v>61</v>
      </c>
      <c r="AH431" s="1" t="s">
        <v>31</v>
      </c>
      <c r="AI431">
        <v>109</v>
      </c>
      <c r="AJ431">
        <v>37</v>
      </c>
      <c r="AK431" s="106">
        <v>45475.635434884258</v>
      </c>
      <c r="AL431" s="1" t="s">
        <v>4790</v>
      </c>
      <c r="AM431" s="42">
        <f>IFERROR(INDEX('Public procurment'!A:R,MATCH(ListOfExpenditure[[#This Row],[Content.contractId]],'Public procurment'!E:E,0),14),0)</f>
        <v>0</v>
      </c>
      <c r="AN431" s="2">
        <f>IF(AND(ListOfExpenditure[[#This Row],[Contract amount]]&gt;10000,ListOfExpenditure[[#This Row],[Content.declaredAmount]]&gt;2000),1,0)</f>
        <v>0</v>
      </c>
      <c r="AO431">
        <f>IFERROR(INDEX('Public procurment'!A:S,MATCH(ListOfExpenditure[[#This Row],[Content.contractId]],'Public procurment'!E:E,0),19),0)</f>
        <v>0</v>
      </c>
      <c r="AP431">
        <f>IF(ListOfExpenditure[[#This Row],[Numero di volte controllato il contract ]]&gt;0,0,ListOfExpenditure[[#This Row],[IF public procurment &gt;10000;1;0]])</f>
        <v>0</v>
      </c>
    </row>
    <row r="432" spans="1:42" x14ac:dyDescent="0.25">
      <c r="A432">
        <v>390</v>
      </c>
      <c r="B432">
        <v>2</v>
      </c>
      <c r="E432" t="s">
        <v>4786</v>
      </c>
      <c r="F432" t="b">
        <v>0</v>
      </c>
      <c r="I432" t="s">
        <v>4926</v>
      </c>
      <c r="K432" t="s">
        <v>5180</v>
      </c>
      <c r="L432" t="s">
        <v>5065</v>
      </c>
      <c r="M432" t="s">
        <v>4788</v>
      </c>
      <c r="N432" t="s">
        <v>4788</v>
      </c>
      <c r="O432">
        <v>2763.26</v>
      </c>
      <c r="Q432">
        <v>0</v>
      </c>
      <c r="R432">
        <v>0</v>
      </c>
      <c r="S432">
        <v>2763.26</v>
      </c>
      <c r="T432" t="s">
        <v>4789</v>
      </c>
      <c r="U432">
        <v>1</v>
      </c>
      <c r="V432">
        <v>2763.26</v>
      </c>
      <c r="W432" t="s">
        <v>4343</v>
      </c>
      <c r="Y432" t="b">
        <v>1</v>
      </c>
      <c r="Z432" t="b">
        <v>0</v>
      </c>
      <c r="AA432">
        <v>2763.26</v>
      </c>
      <c r="AB432">
        <v>0</v>
      </c>
      <c r="AD432" t="b">
        <v>0</v>
      </c>
      <c r="AF432" t="s">
        <v>5181</v>
      </c>
      <c r="AG432" s="1" t="s">
        <v>61</v>
      </c>
      <c r="AH432" s="1" t="s">
        <v>31</v>
      </c>
      <c r="AI432">
        <v>109</v>
      </c>
      <c r="AJ432">
        <v>37</v>
      </c>
      <c r="AK432" s="106">
        <v>45475.635434884258</v>
      </c>
      <c r="AL432" s="1" t="s">
        <v>4790</v>
      </c>
      <c r="AM432" s="42">
        <f>IFERROR(INDEX('Public procurment'!A:R,MATCH(ListOfExpenditure[[#This Row],[Content.contractId]],'Public procurment'!E:E,0),14),0)</f>
        <v>0</v>
      </c>
      <c r="AN432" s="2">
        <f>IF(AND(ListOfExpenditure[[#This Row],[Contract amount]]&gt;10000,ListOfExpenditure[[#This Row],[Content.declaredAmount]]&gt;2000),1,0)</f>
        <v>0</v>
      </c>
      <c r="AO432">
        <f>IFERROR(INDEX('Public procurment'!A:S,MATCH(ListOfExpenditure[[#This Row],[Content.contractId]],'Public procurment'!E:E,0),19),0)</f>
        <v>0</v>
      </c>
      <c r="AP432">
        <f>IF(ListOfExpenditure[[#This Row],[Numero di volte controllato il contract ]]&gt;0,0,ListOfExpenditure[[#This Row],[IF public procurment &gt;10000;1;0]])</f>
        <v>0</v>
      </c>
    </row>
    <row r="433" spans="1:42" x14ac:dyDescent="0.25">
      <c r="A433">
        <v>391</v>
      </c>
      <c r="B433">
        <v>3</v>
      </c>
      <c r="E433" t="s">
        <v>4786</v>
      </c>
      <c r="F433" t="b">
        <v>0</v>
      </c>
      <c r="I433" t="s">
        <v>4929</v>
      </c>
      <c r="K433" t="s">
        <v>5180</v>
      </c>
      <c r="L433" t="s">
        <v>5065</v>
      </c>
      <c r="M433" t="s">
        <v>4788</v>
      </c>
      <c r="N433" t="s">
        <v>4788</v>
      </c>
      <c r="O433">
        <v>2770</v>
      </c>
      <c r="Q433">
        <v>0</v>
      </c>
      <c r="R433">
        <v>0</v>
      </c>
      <c r="S433">
        <v>2770</v>
      </c>
      <c r="T433" t="s">
        <v>4789</v>
      </c>
      <c r="U433">
        <v>1</v>
      </c>
      <c r="V433">
        <v>2770</v>
      </c>
      <c r="W433" t="s">
        <v>4343</v>
      </c>
      <c r="Y433" t="b">
        <v>1</v>
      </c>
      <c r="Z433" t="b">
        <v>0</v>
      </c>
      <c r="AA433">
        <v>2770</v>
      </c>
      <c r="AB433">
        <v>0</v>
      </c>
      <c r="AD433" t="b">
        <v>0</v>
      </c>
      <c r="AF433" t="s">
        <v>5181</v>
      </c>
      <c r="AG433" s="1" t="s">
        <v>61</v>
      </c>
      <c r="AH433" s="1" t="s">
        <v>31</v>
      </c>
      <c r="AI433">
        <v>109</v>
      </c>
      <c r="AJ433">
        <v>37</v>
      </c>
      <c r="AK433" s="106">
        <v>45475.635434884258</v>
      </c>
      <c r="AL433" s="1" t="s">
        <v>4790</v>
      </c>
      <c r="AM433" s="42">
        <f>IFERROR(INDEX('Public procurment'!A:R,MATCH(ListOfExpenditure[[#This Row],[Content.contractId]],'Public procurment'!E:E,0),14),0)</f>
        <v>0</v>
      </c>
      <c r="AN433" s="2">
        <f>IF(AND(ListOfExpenditure[[#This Row],[Contract amount]]&gt;10000,ListOfExpenditure[[#This Row],[Content.declaredAmount]]&gt;2000),1,0)</f>
        <v>0</v>
      </c>
      <c r="AO433">
        <f>IFERROR(INDEX('Public procurment'!A:S,MATCH(ListOfExpenditure[[#This Row],[Content.contractId]],'Public procurment'!E:E,0),19),0)</f>
        <v>0</v>
      </c>
      <c r="AP433">
        <f>IF(ListOfExpenditure[[#This Row],[Numero di volte controllato il contract ]]&gt;0,0,ListOfExpenditure[[#This Row],[IF public procurment &gt;10000;1;0]])</f>
        <v>0</v>
      </c>
    </row>
    <row r="434" spans="1:42" x14ac:dyDescent="0.25">
      <c r="A434">
        <v>392</v>
      </c>
      <c r="B434">
        <v>4</v>
      </c>
      <c r="E434" t="s">
        <v>4786</v>
      </c>
      <c r="F434" t="b">
        <v>0</v>
      </c>
      <c r="I434" t="s">
        <v>4933</v>
      </c>
      <c r="K434" t="s">
        <v>5180</v>
      </c>
      <c r="L434" t="s">
        <v>5065</v>
      </c>
      <c r="M434" t="s">
        <v>4788</v>
      </c>
      <c r="N434" t="s">
        <v>4788</v>
      </c>
      <c r="O434">
        <v>3892.9</v>
      </c>
      <c r="Q434">
        <v>0</v>
      </c>
      <c r="R434">
        <v>0</v>
      </c>
      <c r="S434">
        <v>3892.9</v>
      </c>
      <c r="T434" t="s">
        <v>4789</v>
      </c>
      <c r="U434">
        <v>1</v>
      </c>
      <c r="V434">
        <v>3892.9</v>
      </c>
      <c r="W434" t="s">
        <v>4343</v>
      </c>
      <c r="Y434" t="b">
        <v>1</v>
      </c>
      <c r="Z434" t="b">
        <v>0</v>
      </c>
      <c r="AA434">
        <v>3892.9</v>
      </c>
      <c r="AB434">
        <v>0</v>
      </c>
      <c r="AD434" t="b">
        <v>0</v>
      </c>
      <c r="AF434" t="s">
        <v>5181</v>
      </c>
      <c r="AG434" s="1" t="s">
        <v>61</v>
      </c>
      <c r="AH434" s="1" t="s">
        <v>31</v>
      </c>
      <c r="AI434">
        <v>109</v>
      </c>
      <c r="AJ434">
        <v>37</v>
      </c>
      <c r="AK434" s="106">
        <v>45475.635434884258</v>
      </c>
      <c r="AL434" s="1" t="s">
        <v>4790</v>
      </c>
      <c r="AM434" s="42">
        <f>IFERROR(INDEX('Public procurment'!A:R,MATCH(ListOfExpenditure[[#This Row],[Content.contractId]],'Public procurment'!E:E,0),14),0)</f>
        <v>0</v>
      </c>
      <c r="AN434" s="2">
        <f>IF(AND(ListOfExpenditure[[#This Row],[Contract amount]]&gt;10000,ListOfExpenditure[[#This Row],[Content.declaredAmount]]&gt;2000),1,0)</f>
        <v>0</v>
      </c>
      <c r="AO434">
        <f>IFERROR(INDEX('Public procurment'!A:S,MATCH(ListOfExpenditure[[#This Row],[Content.contractId]],'Public procurment'!E:E,0),19),0)</f>
        <v>0</v>
      </c>
      <c r="AP434">
        <f>IF(ListOfExpenditure[[#This Row],[Numero di volte controllato il contract ]]&gt;0,0,ListOfExpenditure[[#This Row],[IF public procurment &gt;10000;1;0]])</f>
        <v>0</v>
      </c>
    </row>
    <row r="435" spans="1:42" x14ac:dyDescent="0.25">
      <c r="A435">
        <v>670</v>
      </c>
      <c r="B435">
        <v>1</v>
      </c>
      <c r="E435" t="s">
        <v>4786</v>
      </c>
      <c r="F435" t="b">
        <v>0</v>
      </c>
      <c r="I435" t="s">
        <v>5182</v>
      </c>
      <c r="K435" t="s">
        <v>5183</v>
      </c>
      <c r="L435" t="s">
        <v>5183</v>
      </c>
      <c r="M435" t="s">
        <v>4788</v>
      </c>
      <c r="N435" t="s">
        <v>4788</v>
      </c>
      <c r="O435">
        <v>6368.78</v>
      </c>
      <c r="Q435">
        <v>0</v>
      </c>
      <c r="R435">
        <v>0</v>
      </c>
      <c r="S435">
        <v>573.20000000000005</v>
      </c>
      <c r="T435" t="s">
        <v>4789</v>
      </c>
      <c r="U435">
        <v>1</v>
      </c>
      <c r="V435">
        <v>573.20000000000005</v>
      </c>
      <c r="W435" t="s">
        <v>4343</v>
      </c>
      <c r="Y435" t="b">
        <v>1</v>
      </c>
      <c r="Z435" t="b">
        <v>0</v>
      </c>
      <c r="AA435">
        <v>570.44000000000005</v>
      </c>
      <c r="AB435">
        <v>2.76</v>
      </c>
      <c r="AC435">
        <v>14</v>
      </c>
      <c r="AD435" t="b">
        <v>0</v>
      </c>
      <c r="AF435" t="s">
        <v>5184</v>
      </c>
      <c r="AG435" s="1" t="s">
        <v>61</v>
      </c>
      <c r="AH435" s="1" t="s">
        <v>53</v>
      </c>
      <c r="AI435">
        <v>113</v>
      </c>
      <c r="AJ435">
        <v>204</v>
      </c>
      <c r="AK435" s="106">
        <v>45475.635465451393</v>
      </c>
      <c r="AL435" s="1" t="s">
        <v>4790</v>
      </c>
      <c r="AM435" s="42">
        <f>IFERROR(INDEX('Public procurment'!A:R,MATCH(ListOfExpenditure[[#This Row],[Content.contractId]],'Public procurment'!E:E,0),14),0)</f>
        <v>0</v>
      </c>
      <c r="AN435" s="2">
        <f>IF(AND(ListOfExpenditure[[#This Row],[Contract amount]]&gt;10000,ListOfExpenditure[[#This Row],[Content.declaredAmount]]&gt;2000),1,0)</f>
        <v>0</v>
      </c>
      <c r="AO435">
        <f>IFERROR(INDEX('Public procurment'!A:S,MATCH(ListOfExpenditure[[#This Row],[Content.contractId]],'Public procurment'!E:E,0),19),0)</f>
        <v>0</v>
      </c>
      <c r="AP435">
        <f>IF(ListOfExpenditure[[#This Row],[Numero di volte controllato il contract ]]&gt;0,0,ListOfExpenditure[[#This Row],[IF public procurment &gt;10000;1;0]])</f>
        <v>0</v>
      </c>
    </row>
    <row r="436" spans="1:42" x14ac:dyDescent="0.25">
      <c r="A436">
        <v>691</v>
      </c>
      <c r="B436">
        <v>2</v>
      </c>
      <c r="E436" t="s">
        <v>4786</v>
      </c>
      <c r="F436" t="b">
        <v>0</v>
      </c>
      <c r="I436" t="s">
        <v>5185</v>
      </c>
      <c r="K436" t="s">
        <v>5183</v>
      </c>
      <c r="L436" t="s">
        <v>5183</v>
      </c>
      <c r="M436" t="s">
        <v>4788</v>
      </c>
      <c r="N436" t="s">
        <v>4788</v>
      </c>
      <c r="O436">
        <v>5369.31</v>
      </c>
      <c r="Q436">
        <v>0</v>
      </c>
      <c r="R436">
        <v>0</v>
      </c>
      <c r="S436">
        <v>698.01</v>
      </c>
      <c r="T436" t="s">
        <v>4789</v>
      </c>
      <c r="U436">
        <v>1</v>
      </c>
      <c r="V436">
        <v>698.01</v>
      </c>
      <c r="W436" t="s">
        <v>4343</v>
      </c>
      <c r="Y436" t="b">
        <v>1</v>
      </c>
      <c r="Z436" t="b">
        <v>0</v>
      </c>
      <c r="AA436">
        <v>693.87</v>
      </c>
      <c r="AB436">
        <v>4.1399999999999997</v>
      </c>
      <c r="AC436">
        <v>14</v>
      </c>
      <c r="AD436" t="b">
        <v>0</v>
      </c>
      <c r="AF436" t="s">
        <v>5184</v>
      </c>
      <c r="AG436" s="1" t="s">
        <v>61</v>
      </c>
      <c r="AH436" s="1" t="s">
        <v>53</v>
      </c>
      <c r="AI436">
        <v>113</v>
      </c>
      <c r="AJ436">
        <v>204</v>
      </c>
      <c r="AK436" s="106">
        <v>45475.635465451393</v>
      </c>
      <c r="AL436" s="1" t="s">
        <v>4790</v>
      </c>
      <c r="AM436" s="42">
        <f>IFERROR(INDEX('Public procurment'!A:R,MATCH(ListOfExpenditure[[#This Row],[Content.contractId]],'Public procurment'!E:E,0),14),0)</f>
        <v>0</v>
      </c>
      <c r="AN436" s="2">
        <f>IF(AND(ListOfExpenditure[[#This Row],[Contract amount]]&gt;10000,ListOfExpenditure[[#This Row],[Content.declaredAmount]]&gt;2000),1,0)</f>
        <v>0</v>
      </c>
      <c r="AO436">
        <f>IFERROR(INDEX('Public procurment'!A:S,MATCH(ListOfExpenditure[[#This Row],[Content.contractId]],'Public procurment'!E:E,0),19),0)</f>
        <v>0</v>
      </c>
      <c r="AP436">
        <f>IF(ListOfExpenditure[[#This Row],[Numero di volte controllato il contract ]]&gt;0,0,ListOfExpenditure[[#This Row],[IF public procurment &gt;10000;1;0]])</f>
        <v>0</v>
      </c>
    </row>
    <row r="437" spans="1:42" x14ac:dyDescent="0.25">
      <c r="A437">
        <v>694</v>
      </c>
      <c r="B437">
        <v>3</v>
      </c>
      <c r="E437" t="s">
        <v>4786</v>
      </c>
      <c r="F437" t="b">
        <v>0</v>
      </c>
      <c r="I437" t="s">
        <v>5186</v>
      </c>
      <c r="K437" t="s">
        <v>5183</v>
      </c>
      <c r="L437" t="s">
        <v>5183</v>
      </c>
      <c r="M437" t="s">
        <v>4788</v>
      </c>
      <c r="N437" t="s">
        <v>4788</v>
      </c>
      <c r="O437">
        <v>4809.7299999999996</v>
      </c>
      <c r="Q437">
        <v>0</v>
      </c>
      <c r="R437">
        <v>0</v>
      </c>
      <c r="S437">
        <v>529.07000000000005</v>
      </c>
      <c r="T437" t="s">
        <v>4789</v>
      </c>
      <c r="U437">
        <v>1</v>
      </c>
      <c r="V437">
        <v>529.07000000000005</v>
      </c>
      <c r="W437" t="s">
        <v>4343</v>
      </c>
      <c r="Y437" t="b">
        <v>1</v>
      </c>
      <c r="Z437" t="b">
        <v>0</v>
      </c>
      <c r="AA437">
        <v>527.79</v>
      </c>
      <c r="AB437">
        <v>1.28</v>
      </c>
      <c r="AC437">
        <v>14</v>
      </c>
      <c r="AD437" t="b">
        <v>0</v>
      </c>
      <c r="AF437" t="s">
        <v>5184</v>
      </c>
      <c r="AG437" s="1" t="s">
        <v>61</v>
      </c>
      <c r="AH437" s="1" t="s">
        <v>53</v>
      </c>
      <c r="AI437">
        <v>113</v>
      </c>
      <c r="AJ437">
        <v>204</v>
      </c>
      <c r="AK437" s="106">
        <v>45475.635465451393</v>
      </c>
      <c r="AL437" s="1" t="s">
        <v>4790</v>
      </c>
      <c r="AM437" s="42">
        <f>IFERROR(INDEX('Public procurment'!A:R,MATCH(ListOfExpenditure[[#This Row],[Content.contractId]],'Public procurment'!E:E,0),14),0)</f>
        <v>0</v>
      </c>
      <c r="AN437" s="2">
        <f>IF(AND(ListOfExpenditure[[#This Row],[Contract amount]]&gt;10000,ListOfExpenditure[[#This Row],[Content.declaredAmount]]&gt;2000),1,0)</f>
        <v>0</v>
      </c>
      <c r="AO437">
        <f>IFERROR(INDEX('Public procurment'!A:S,MATCH(ListOfExpenditure[[#This Row],[Content.contractId]],'Public procurment'!E:E,0),19),0)</f>
        <v>0</v>
      </c>
      <c r="AP437">
        <f>IF(ListOfExpenditure[[#This Row],[Numero di volte controllato il contract ]]&gt;0,0,ListOfExpenditure[[#This Row],[IF public procurment &gt;10000;1;0]])</f>
        <v>0</v>
      </c>
    </row>
    <row r="438" spans="1:42" x14ac:dyDescent="0.25">
      <c r="A438">
        <v>695</v>
      </c>
      <c r="B438">
        <v>4</v>
      </c>
      <c r="E438" t="s">
        <v>4786</v>
      </c>
      <c r="F438" t="b">
        <v>0</v>
      </c>
      <c r="I438" t="s">
        <v>5187</v>
      </c>
      <c r="K438" t="s">
        <v>5183</v>
      </c>
      <c r="L438" t="s">
        <v>5183</v>
      </c>
      <c r="M438" t="s">
        <v>4788</v>
      </c>
      <c r="N438" t="s">
        <v>4788</v>
      </c>
      <c r="O438">
        <v>3573.18</v>
      </c>
      <c r="Q438">
        <v>0</v>
      </c>
      <c r="R438">
        <v>0</v>
      </c>
      <c r="S438">
        <v>393.04</v>
      </c>
      <c r="T438" t="s">
        <v>4789</v>
      </c>
      <c r="U438">
        <v>1</v>
      </c>
      <c r="V438">
        <v>393.04</v>
      </c>
      <c r="W438" t="s">
        <v>4343</v>
      </c>
      <c r="Y438" t="b">
        <v>1</v>
      </c>
      <c r="Z438" t="b">
        <v>0</v>
      </c>
      <c r="AA438">
        <v>393.04</v>
      </c>
      <c r="AB438">
        <v>0</v>
      </c>
      <c r="AD438" t="b">
        <v>0</v>
      </c>
      <c r="AG438" s="1" t="s">
        <v>61</v>
      </c>
      <c r="AH438" s="1" t="s">
        <v>53</v>
      </c>
      <c r="AI438">
        <v>113</v>
      </c>
      <c r="AJ438">
        <v>204</v>
      </c>
      <c r="AK438" s="106">
        <v>45475.635465451393</v>
      </c>
      <c r="AL438" s="1" t="s">
        <v>4790</v>
      </c>
      <c r="AM438" s="42">
        <f>IFERROR(INDEX('Public procurment'!A:R,MATCH(ListOfExpenditure[[#This Row],[Content.contractId]],'Public procurment'!E:E,0),14),0)</f>
        <v>0</v>
      </c>
      <c r="AN438" s="2">
        <f>IF(AND(ListOfExpenditure[[#This Row],[Contract amount]]&gt;10000,ListOfExpenditure[[#This Row],[Content.declaredAmount]]&gt;2000),1,0)</f>
        <v>0</v>
      </c>
      <c r="AO438">
        <f>IFERROR(INDEX('Public procurment'!A:S,MATCH(ListOfExpenditure[[#This Row],[Content.contractId]],'Public procurment'!E:E,0),19),0)</f>
        <v>0</v>
      </c>
      <c r="AP438">
        <f>IF(ListOfExpenditure[[#This Row],[Numero di volte controllato il contract ]]&gt;0,0,ListOfExpenditure[[#This Row],[IF public procurment &gt;10000;1;0]])</f>
        <v>0</v>
      </c>
    </row>
    <row r="439" spans="1:42" x14ac:dyDescent="0.25">
      <c r="A439">
        <v>710</v>
      </c>
      <c r="B439">
        <v>5</v>
      </c>
      <c r="E439" t="s">
        <v>4786</v>
      </c>
      <c r="F439" t="b">
        <v>0</v>
      </c>
      <c r="I439" t="s">
        <v>5188</v>
      </c>
      <c r="K439" t="s">
        <v>5183</v>
      </c>
      <c r="L439" t="s">
        <v>5183</v>
      </c>
      <c r="M439" t="s">
        <v>4788</v>
      </c>
      <c r="N439" t="s">
        <v>4788</v>
      </c>
      <c r="O439">
        <v>4828</v>
      </c>
      <c r="Q439">
        <v>0</v>
      </c>
      <c r="R439">
        <v>0</v>
      </c>
      <c r="S439">
        <v>337.96</v>
      </c>
      <c r="T439" t="s">
        <v>4789</v>
      </c>
      <c r="U439">
        <v>1</v>
      </c>
      <c r="V439">
        <v>337.96</v>
      </c>
      <c r="W439" t="s">
        <v>4343</v>
      </c>
      <c r="Y439" t="b">
        <v>1</v>
      </c>
      <c r="Z439" t="b">
        <v>0</v>
      </c>
      <c r="AA439">
        <v>337.96</v>
      </c>
      <c r="AB439">
        <v>0</v>
      </c>
      <c r="AD439" t="b">
        <v>0</v>
      </c>
      <c r="AG439" s="1" t="s">
        <v>61</v>
      </c>
      <c r="AH439" s="1" t="s">
        <v>53</v>
      </c>
      <c r="AI439">
        <v>113</v>
      </c>
      <c r="AJ439">
        <v>204</v>
      </c>
      <c r="AK439" s="106">
        <v>45475.635465451393</v>
      </c>
      <c r="AL439" s="1" t="s">
        <v>4790</v>
      </c>
      <c r="AM439" s="42">
        <f>IFERROR(INDEX('Public procurment'!A:R,MATCH(ListOfExpenditure[[#This Row],[Content.contractId]],'Public procurment'!E:E,0),14),0)</f>
        <v>0</v>
      </c>
      <c r="AN439" s="2">
        <f>IF(AND(ListOfExpenditure[[#This Row],[Contract amount]]&gt;10000,ListOfExpenditure[[#This Row],[Content.declaredAmount]]&gt;2000),1,0)</f>
        <v>0</v>
      </c>
      <c r="AO439">
        <f>IFERROR(INDEX('Public procurment'!A:S,MATCH(ListOfExpenditure[[#This Row],[Content.contractId]],'Public procurment'!E:E,0),19),0)</f>
        <v>0</v>
      </c>
      <c r="AP439">
        <f>IF(ListOfExpenditure[[#This Row],[Numero di volte controllato il contract ]]&gt;0,0,ListOfExpenditure[[#This Row],[IF public procurment &gt;10000;1;0]])</f>
        <v>0</v>
      </c>
    </row>
    <row r="440" spans="1:42" x14ac:dyDescent="0.25">
      <c r="A440">
        <v>711</v>
      </c>
      <c r="B440">
        <v>6</v>
      </c>
      <c r="E440" t="s">
        <v>4786</v>
      </c>
      <c r="F440" t="b">
        <v>0</v>
      </c>
      <c r="I440" t="s">
        <v>5189</v>
      </c>
      <c r="K440" t="s">
        <v>5183</v>
      </c>
      <c r="L440" t="s">
        <v>5183</v>
      </c>
      <c r="M440" t="s">
        <v>4788</v>
      </c>
      <c r="N440" t="s">
        <v>4788</v>
      </c>
      <c r="O440">
        <v>2219.1799999999998</v>
      </c>
      <c r="Q440">
        <v>0</v>
      </c>
      <c r="R440">
        <v>0</v>
      </c>
      <c r="S440">
        <v>244.11</v>
      </c>
      <c r="T440" t="s">
        <v>4789</v>
      </c>
      <c r="U440">
        <v>1</v>
      </c>
      <c r="V440">
        <v>244.11</v>
      </c>
      <c r="W440" t="s">
        <v>4343</v>
      </c>
      <c r="Y440" t="b">
        <v>1</v>
      </c>
      <c r="Z440" t="b">
        <v>0</v>
      </c>
      <c r="AA440">
        <v>231.33</v>
      </c>
      <c r="AB440">
        <v>12.78</v>
      </c>
      <c r="AC440">
        <v>14</v>
      </c>
      <c r="AD440" t="b">
        <v>0</v>
      </c>
      <c r="AF440" t="s">
        <v>5184</v>
      </c>
      <c r="AG440" s="1" t="s">
        <v>61</v>
      </c>
      <c r="AH440" s="1" t="s">
        <v>53</v>
      </c>
      <c r="AI440">
        <v>113</v>
      </c>
      <c r="AJ440">
        <v>204</v>
      </c>
      <c r="AK440" s="106">
        <v>45475.635465451393</v>
      </c>
      <c r="AL440" s="1" t="s">
        <v>4790</v>
      </c>
      <c r="AM440" s="42">
        <f>IFERROR(INDEX('Public procurment'!A:R,MATCH(ListOfExpenditure[[#This Row],[Content.contractId]],'Public procurment'!E:E,0),14),0)</f>
        <v>0</v>
      </c>
      <c r="AN440" s="2">
        <f>IF(AND(ListOfExpenditure[[#This Row],[Contract amount]]&gt;10000,ListOfExpenditure[[#This Row],[Content.declaredAmount]]&gt;2000),1,0)</f>
        <v>0</v>
      </c>
      <c r="AO440">
        <f>IFERROR(INDEX('Public procurment'!A:S,MATCH(ListOfExpenditure[[#This Row],[Content.contractId]],'Public procurment'!E:E,0),19),0)</f>
        <v>0</v>
      </c>
      <c r="AP440">
        <f>IF(ListOfExpenditure[[#This Row],[Numero di volte controllato il contract ]]&gt;0,0,ListOfExpenditure[[#This Row],[IF public procurment &gt;10000;1;0]])</f>
        <v>0</v>
      </c>
    </row>
    <row r="441" spans="1:42" x14ac:dyDescent="0.25">
      <c r="A441">
        <v>712</v>
      </c>
      <c r="B441">
        <v>7</v>
      </c>
      <c r="E441" t="s">
        <v>4786</v>
      </c>
      <c r="F441" t="b">
        <v>0</v>
      </c>
      <c r="I441" t="s">
        <v>5190</v>
      </c>
      <c r="K441" t="s">
        <v>4939</v>
      </c>
      <c r="L441" t="s">
        <v>4939</v>
      </c>
      <c r="M441" t="s">
        <v>4788</v>
      </c>
      <c r="N441" t="s">
        <v>4788</v>
      </c>
      <c r="O441">
        <v>6377</v>
      </c>
      <c r="Q441">
        <v>0</v>
      </c>
      <c r="R441">
        <v>0</v>
      </c>
      <c r="S441">
        <v>573.91999999999996</v>
      </c>
      <c r="T441" t="s">
        <v>4789</v>
      </c>
      <c r="U441">
        <v>1</v>
      </c>
      <c r="V441">
        <v>573.91999999999996</v>
      </c>
      <c r="W441" t="s">
        <v>4343</v>
      </c>
      <c r="Y441" t="b">
        <v>1</v>
      </c>
      <c r="Z441" t="b">
        <v>0</v>
      </c>
      <c r="AA441">
        <v>573.26</v>
      </c>
      <c r="AB441">
        <v>0.66</v>
      </c>
      <c r="AC441">
        <v>14</v>
      </c>
      <c r="AD441" t="b">
        <v>0</v>
      </c>
      <c r="AF441" t="s">
        <v>5184</v>
      </c>
      <c r="AG441" s="1" t="s">
        <v>61</v>
      </c>
      <c r="AH441" s="1" t="s">
        <v>53</v>
      </c>
      <c r="AI441">
        <v>113</v>
      </c>
      <c r="AJ441">
        <v>204</v>
      </c>
      <c r="AK441" s="106">
        <v>45475.635465451393</v>
      </c>
      <c r="AL441" s="1" t="s">
        <v>4790</v>
      </c>
      <c r="AM441" s="42">
        <f>IFERROR(INDEX('Public procurment'!A:R,MATCH(ListOfExpenditure[[#This Row],[Content.contractId]],'Public procurment'!E:E,0),14),0)</f>
        <v>0</v>
      </c>
      <c r="AN441" s="2">
        <f>IF(AND(ListOfExpenditure[[#This Row],[Contract amount]]&gt;10000,ListOfExpenditure[[#This Row],[Content.declaredAmount]]&gt;2000),1,0)</f>
        <v>0</v>
      </c>
      <c r="AO441">
        <f>IFERROR(INDEX('Public procurment'!A:S,MATCH(ListOfExpenditure[[#This Row],[Content.contractId]],'Public procurment'!E:E,0),19),0)</f>
        <v>0</v>
      </c>
      <c r="AP441">
        <f>IF(ListOfExpenditure[[#This Row],[Numero di volte controllato il contract ]]&gt;0,0,ListOfExpenditure[[#This Row],[IF public procurment &gt;10000;1;0]])</f>
        <v>0</v>
      </c>
    </row>
    <row r="442" spans="1:42" x14ac:dyDescent="0.25">
      <c r="A442">
        <v>713</v>
      </c>
      <c r="B442">
        <v>8</v>
      </c>
      <c r="E442" t="s">
        <v>4786</v>
      </c>
      <c r="F442" t="b">
        <v>0</v>
      </c>
      <c r="I442" t="s">
        <v>5191</v>
      </c>
      <c r="K442" t="s">
        <v>4939</v>
      </c>
      <c r="L442" t="s">
        <v>4939</v>
      </c>
      <c r="M442" t="s">
        <v>4788</v>
      </c>
      <c r="N442" t="s">
        <v>4788</v>
      </c>
      <c r="O442">
        <v>5099.2299999999996</v>
      </c>
      <c r="Q442">
        <v>0</v>
      </c>
      <c r="R442">
        <v>0</v>
      </c>
      <c r="S442">
        <v>662.9</v>
      </c>
      <c r="T442" t="s">
        <v>4789</v>
      </c>
      <c r="U442">
        <v>1</v>
      </c>
      <c r="V442">
        <v>662.9</v>
      </c>
      <c r="W442" t="s">
        <v>4343</v>
      </c>
      <c r="Y442" t="b">
        <v>1</v>
      </c>
      <c r="Z442" t="b">
        <v>0</v>
      </c>
      <c r="AA442">
        <v>662.9</v>
      </c>
      <c r="AB442">
        <v>0</v>
      </c>
      <c r="AD442" t="b">
        <v>0</v>
      </c>
      <c r="AG442" s="1" t="s">
        <v>61</v>
      </c>
      <c r="AH442" s="1" t="s">
        <v>53</v>
      </c>
      <c r="AI442">
        <v>113</v>
      </c>
      <c r="AJ442">
        <v>204</v>
      </c>
      <c r="AK442" s="106">
        <v>45475.635465451393</v>
      </c>
      <c r="AL442" s="1" t="s">
        <v>4790</v>
      </c>
      <c r="AM442" s="42">
        <f>IFERROR(INDEX('Public procurment'!A:R,MATCH(ListOfExpenditure[[#This Row],[Content.contractId]],'Public procurment'!E:E,0),14),0)</f>
        <v>0</v>
      </c>
      <c r="AN442" s="2">
        <f>IF(AND(ListOfExpenditure[[#This Row],[Contract amount]]&gt;10000,ListOfExpenditure[[#This Row],[Content.declaredAmount]]&gt;2000),1,0)</f>
        <v>0</v>
      </c>
      <c r="AO442">
        <f>IFERROR(INDEX('Public procurment'!A:S,MATCH(ListOfExpenditure[[#This Row],[Content.contractId]],'Public procurment'!E:E,0),19),0)</f>
        <v>0</v>
      </c>
      <c r="AP442">
        <f>IF(ListOfExpenditure[[#This Row],[Numero di volte controllato il contract ]]&gt;0,0,ListOfExpenditure[[#This Row],[IF public procurment &gt;10000;1;0]])</f>
        <v>0</v>
      </c>
    </row>
    <row r="443" spans="1:42" x14ac:dyDescent="0.25">
      <c r="A443">
        <v>714</v>
      </c>
      <c r="B443">
        <v>9</v>
      </c>
      <c r="E443" t="s">
        <v>4786</v>
      </c>
      <c r="F443" t="b">
        <v>0</v>
      </c>
      <c r="I443" t="s">
        <v>5192</v>
      </c>
      <c r="K443" t="s">
        <v>4939</v>
      </c>
      <c r="L443" t="s">
        <v>4939</v>
      </c>
      <c r="M443" t="s">
        <v>4788</v>
      </c>
      <c r="N443" t="s">
        <v>4788</v>
      </c>
      <c r="O443">
        <v>4394.82</v>
      </c>
      <c r="Q443">
        <v>0</v>
      </c>
      <c r="R443">
        <v>0</v>
      </c>
      <c r="S443">
        <v>483.44</v>
      </c>
      <c r="T443" t="s">
        <v>4789</v>
      </c>
      <c r="U443">
        <v>1</v>
      </c>
      <c r="V443">
        <v>483.44</v>
      </c>
      <c r="W443" t="s">
        <v>4343</v>
      </c>
      <c r="Y443" t="b">
        <v>1</v>
      </c>
      <c r="Z443" t="b">
        <v>0</v>
      </c>
      <c r="AA443">
        <v>479.21</v>
      </c>
      <c r="AB443">
        <v>4.2300000000000004</v>
      </c>
      <c r="AC443">
        <v>14</v>
      </c>
      <c r="AD443" t="b">
        <v>0</v>
      </c>
      <c r="AF443" t="s">
        <v>5184</v>
      </c>
      <c r="AG443" s="1" t="s">
        <v>61</v>
      </c>
      <c r="AH443" s="1" t="s">
        <v>53</v>
      </c>
      <c r="AI443">
        <v>113</v>
      </c>
      <c r="AJ443">
        <v>204</v>
      </c>
      <c r="AK443" s="106">
        <v>45475.635465451393</v>
      </c>
      <c r="AL443" s="1" t="s">
        <v>4790</v>
      </c>
      <c r="AM443" s="42">
        <f>IFERROR(INDEX('Public procurment'!A:R,MATCH(ListOfExpenditure[[#This Row],[Content.contractId]],'Public procurment'!E:E,0),14),0)</f>
        <v>0</v>
      </c>
      <c r="AN443" s="2">
        <f>IF(AND(ListOfExpenditure[[#This Row],[Contract amount]]&gt;10000,ListOfExpenditure[[#This Row],[Content.declaredAmount]]&gt;2000),1,0)</f>
        <v>0</v>
      </c>
      <c r="AO443">
        <f>IFERROR(INDEX('Public procurment'!A:S,MATCH(ListOfExpenditure[[#This Row],[Content.contractId]],'Public procurment'!E:E,0),19),0)</f>
        <v>0</v>
      </c>
      <c r="AP443">
        <f>IF(ListOfExpenditure[[#This Row],[Numero di volte controllato il contract ]]&gt;0,0,ListOfExpenditure[[#This Row],[IF public procurment &gt;10000;1;0]])</f>
        <v>0</v>
      </c>
    </row>
    <row r="444" spans="1:42" x14ac:dyDescent="0.25">
      <c r="A444">
        <v>715</v>
      </c>
      <c r="B444">
        <v>10</v>
      </c>
      <c r="E444" t="s">
        <v>4786</v>
      </c>
      <c r="F444" t="b">
        <v>0</v>
      </c>
      <c r="I444" t="s">
        <v>5193</v>
      </c>
      <c r="K444" t="s">
        <v>4939</v>
      </c>
      <c r="L444" t="s">
        <v>4939</v>
      </c>
      <c r="M444" t="s">
        <v>4788</v>
      </c>
      <c r="N444" t="s">
        <v>4788</v>
      </c>
      <c r="O444">
        <v>3587.18</v>
      </c>
      <c r="Q444">
        <v>0</v>
      </c>
      <c r="R444">
        <v>0</v>
      </c>
      <c r="S444">
        <v>394.59</v>
      </c>
      <c r="T444" t="s">
        <v>4789</v>
      </c>
      <c r="U444">
        <v>1</v>
      </c>
      <c r="V444">
        <v>394.59</v>
      </c>
      <c r="W444" t="s">
        <v>4343</v>
      </c>
      <c r="Y444" t="b">
        <v>1</v>
      </c>
      <c r="Z444" t="b">
        <v>0</v>
      </c>
      <c r="AA444">
        <v>394.59</v>
      </c>
      <c r="AB444">
        <v>0</v>
      </c>
      <c r="AD444" t="b">
        <v>0</v>
      </c>
      <c r="AG444" s="1" t="s">
        <v>61</v>
      </c>
      <c r="AH444" s="1" t="s">
        <v>53</v>
      </c>
      <c r="AI444">
        <v>113</v>
      </c>
      <c r="AJ444">
        <v>204</v>
      </c>
      <c r="AK444" s="106">
        <v>45475.635465451393</v>
      </c>
      <c r="AL444" s="1" t="s">
        <v>4790</v>
      </c>
      <c r="AM444" s="42">
        <f>IFERROR(INDEX('Public procurment'!A:R,MATCH(ListOfExpenditure[[#This Row],[Content.contractId]],'Public procurment'!E:E,0),14),0)</f>
        <v>0</v>
      </c>
      <c r="AN444" s="2">
        <f>IF(AND(ListOfExpenditure[[#This Row],[Contract amount]]&gt;10000,ListOfExpenditure[[#This Row],[Content.declaredAmount]]&gt;2000),1,0)</f>
        <v>0</v>
      </c>
      <c r="AO444">
        <f>IFERROR(INDEX('Public procurment'!A:S,MATCH(ListOfExpenditure[[#This Row],[Content.contractId]],'Public procurment'!E:E,0),19),0)</f>
        <v>0</v>
      </c>
      <c r="AP444">
        <f>IF(ListOfExpenditure[[#This Row],[Numero di volte controllato il contract ]]&gt;0,0,ListOfExpenditure[[#This Row],[IF public procurment &gt;10000;1;0]])</f>
        <v>0</v>
      </c>
    </row>
    <row r="445" spans="1:42" x14ac:dyDescent="0.25">
      <c r="A445">
        <v>716</v>
      </c>
      <c r="B445">
        <v>11</v>
      </c>
      <c r="E445" t="s">
        <v>4786</v>
      </c>
      <c r="F445" t="b">
        <v>0</v>
      </c>
      <c r="I445" t="s">
        <v>5194</v>
      </c>
      <c r="K445" t="s">
        <v>4939</v>
      </c>
      <c r="L445" t="s">
        <v>4939</v>
      </c>
      <c r="M445" t="s">
        <v>4788</v>
      </c>
      <c r="N445" t="s">
        <v>4788</v>
      </c>
      <c r="O445">
        <v>4849.8599999999997</v>
      </c>
      <c r="Q445">
        <v>0</v>
      </c>
      <c r="R445">
        <v>0</v>
      </c>
      <c r="S445">
        <v>339.49</v>
      </c>
      <c r="T445" t="s">
        <v>4789</v>
      </c>
      <c r="U445">
        <v>1</v>
      </c>
      <c r="V445">
        <v>339.49</v>
      </c>
      <c r="W445" t="s">
        <v>4343</v>
      </c>
      <c r="Y445" t="b">
        <v>1</v>
      </c>
      <c r="Z445" t="b">
        <v>0</v>
      </c>
      <c r="AA445">
        <v>338.93</v>
      </c>
      <c r="AB445">
        <v>0.56000000000000005</v>
      </c>
      <c r="AC445">
        <v>14</v>
      </c>
      <c r="AD445" t="b">
        <v>0</v>
      </c>
      <c r="AF445" t="s">
        <v>5184</v>
      </c>
      <c r="AG445" s="1" t="s">
        <v>61</v>
      </c>
      <c r="AH445" s="1" t="s">
        <v>53</v>
      </c>
      <c r="AI445">
        <v>113</v>
      </c>
      <c r="AJ445">
        <v>204</v>
      </c>
      <c r="AK445" s="106">
        <v>45475.635465451393</v>
      </c>
      <c r="AL445" s="1" t="s">
        <v>4790</v>
      </c>
      <c r="AM445" s="42">
        <f>IFERROR(INDEX('Public procurment'!A:R,MATCH(ListOfExpenditure[[#This Row],[Content.contractId]],'Public procurment'!E:E,0),14),0)</f>
        <v>0</v>
      </c>
      <c r="AN445" s="2">
        <f>IF(AND(ListOfExpenditure[[#This Row],[Contract amount]]&gt;10000,ListOfExpenditure[[#This Row],[Content.declaredAmount]]&gt;2000),1,0)</f>
        <v>0</v>
      </c>
      <c r="AO445">
        <f>IFERROR(INDEX('Public procurment'!A:S,MATCH(ListOfExpenditure[[#This Row],[Content.contractId]],'Public procurment'!E:E,0),19),0)</f>
        <v>0</v>
      </c>
      <c r="AP445">
        <f>IF(ListOfExpenditure[[#This Row],[Numero di volte controllato il contract ]]&gt;0,0,ListOfExpenditure[[#This Row],[IF public procurment &gt;10000;1;0]])</f>
        <v>0</v>
      </c>
    </row>
    <row r="446" spans="1:42" x14ac:dyDescent="0.25">
      <c r="A446">
        <v>717</v>
      </c>
      <c r="B446">
        <v>12</v>
      </c>
      <c r="E446" t="s">
        <v>4786</v>
      </c>
      <c r="F446" t="b">
        <v>0</v>
      </c>
      <c r="I446" t="s">
        <v>5195</v>
      </c>
      <c r="K446" t="s">
        <v>4939</v>
      </c>
      <c r="L446" t="s">
        <v>4939</v>
      </c>
      <c r="M446" t="s">
        <v>4788</v>
      </c>
      <c r="N446" t="s">
        <v>4788</v>
      </c>
      <c r="O446">
        <v>2043.36</v>
      </c>
      <c r="Q446">
        <v>0</v>
      </c>
      <c r="R446">
        <v>0</v>
      </c>
      <c r="S446">
        <v>224.77</v>
      </c>
      <c r="T446" t="s">
        <v>4789</v>
      </c>
      <c r="U446">
        <v>1</v>
      </c>
      <c r="V446">
        <v>224.77</v>
      </c>
      <c r="W446" t="s">
        <v>4343</v>
      </c>
      <c r="Y446" t="b">
        <v>1</v>
      </c>
      <c r="Z446" t="b">
        <v>0</v>
      </c>
      <c r="AA446">
        <v>224.77</v>
      </c>
      <c r="AB446">
        <v>0</v>
      </c>
      <c r="AD446" t="b">
        <v>0</v>
      </c>
      <c r="AG446" s="1" t="s">
        <v>61</v>
      </c>
      <c r="AH446" s="1" t="s">
        <v>53</v>
      </c>
      <c r="AI446">
        <v>113</v>
      </c>
      <c r="AJ446">
        <v>204</v>
      </c>
      <c r="AK446" s="106">
        <v>45475.635465451393</v>
      </c>
      <c r="AL446" s="1" t="s">
        <v>4790</v>
      </c>
      <c r="AM446" s="42">
        <f>IFERROR(INDEX('Public procurment'!A:R,MATCH(ListOfExpenditure[[#This Row],[Content.contractId]],'Public procurment'!E:E,0),14),0)</f>
        <v>0</v>
      </c>
      <c r="AN446" s="2">
        <f>IF(AND(ListOfExpenditure[[#This Row],[Contract amount]]&gt;10000,ListOfExpenditure[[#This Row],[Content.declaredAmount]]&gt;2000),1,0)</f>
        <v>0</v>
      </c>
      <c r="AO446">
        <f>IFERROR(INDEX('Public procurment'!A:S,MATCH(ListOfExpenditure[[#This Row],[Content.contractId]],'Public procurment'!E:E,0),19),0)</f>
        <v>0</v>
      </c>
      <c r="AP446">
        <f>IF(ListOfExpenditure[[#This Row],[Numero di volte controllato il contract ]]&gt;0,0,ListOfExpenditure[[#This Row],[IF public procurment &gt;10000;1;0]])</f>
        <v>0</v>
      </c>
    </row>
    <row r="447" spans="1:42" x14ac:dyDescent="0.25">
      <c r="A447">
        <v>718</v>
      </c>
      <c r="B447">
        <v>13</v>
      </c>
      <c r="E447" t="s">
        <v>4786</v>
      </c>
      <c r="F447" t="b">
        <v>0</v>
      </c>
      <c r="I447" t="s">
        <v>5196</v>
      </c>
      <c r="K447" t="s">
        <v>4932</v>
      </c>
      <c r="L447" t="s">
        <v>4932</v>
      </c>
      <c r="M447" t="s">
        <v>4788</v>
      </c>
      <c r="N447" t="s">
        <v>4788</v>
      </c>
      <c r="O447">
        <v>7331.67</v>
      </c>
      <c r="Q447">
        <v>0</v>
      </c>
      <c r="R447">
        <v>0</v>
      </c>
      <c r="S447">
        <v>659.85</v>
      </c>
      <c r="T447" t="s">
        <v>4789</v>
      </c>
      <c r="U447">
        <v>1</v>
      </c>
      <c r="V447">
        <v>659.85</v>
      </c>
      <c r="W447" t="s">
        <v>4343</v>
      </c>
      <c r="Y447" t="b">
        <v>1</v>
      </c>
      <c r="Z447" t="b">
        <v>0</v>
      </c>
      <c r="AA447">
        <v>659.85</v>
      </c>
      <c r="AB447">
        <v>0</v>
      </c>
      <c r="AD447" t="b">
        <v>0</v>
      </c>
      <c r="AG447" s="1" t="s">
        <v>61</v>
      </c>
      <c r="AH447" s="1" t="s">
        <v>53</v>
      </c>
      <c r="AI447">
        <v>113</v>
      </c>
      <c r="AJ447">
        <v>204</v>
      </c>
      <c r="AK447" s="106">
        <v>45475.635465451393</v>
      </c>
      <c r="AL447" s="1" t="s">
        <v>4790</v>
      </c>
      <c r="AM447" s="42">
        <f>IFERROR(INDEX('Public procurment'!A:R,MATCH(ListOfExpenditure[[#This Row],[Content.contractId]],'Public procurment'!E:E,0),14),0)</f>
        <v>0</v>
      </c>
      <c r="AN447" s="2">
        <f>IF(AND(ListOfExpenditure[[#This Row],[Contract amount]]&gt;10000,ListOfExpenditure[[#This Row],[Content.declaredAmount]]&gt;2000),1,0)</f>
        <v>0</v>
      </c>
      <c r="AO447">
        <f>IFERROR(INDEX('Public procurment'!A:S,MATCH(ListOfExpenditure[[#This Row],[Content.contractId]],'Public procurment'!E:E,0),19),0)</f>
        <v>0</v>
      </c>
      <c r="AP447">
        <f>IF(ListOfExpenditure[[#This Row],[Numero di volte controllato il contract ]]&gt;0,0,ListOfExpenditure[[#This Row],[IF public procurment &gt;10000;1;0]])</f>
        <v>0</v>
      </c>
    </row>
    <row r="448" spans="1:42" x14ac:dyDescent="0.25">
      <c r="A448">
        <v>719</v>
      </c>
      <c r="B448">
        <v>14</v>
      </c>
      <c r="E448" t="s">
        <v>4786</v>
      </c>
      <c r="F448" t="b">
        <v>0</v>
      </c>
      <c r="I448" t="s">
        <v>5197</v>
      </c>
      <c r="K448" t="s">
        <v>4932</v>
      </c>
      <c r="L448" t="s">
        <v>4932</v>
      </c>
      <c r="M448" t="s">
        <v>4788</v>
      </c>
      <c r="N448" t="s">
        <v>4788</v>
      </c>
      <c r="O448">
        <v>5605.15</v>
      </c>
      <c r="Q448">
        <v>0</v>
      </c>
      <c r="R448">
        <v>0</v>
      </c>
      <c r="S448">
        <v>728.67</v>
      </c>
      <c r="T448" t="s">
        <v>4789</v>
      </c>
      <c r="U448">
        <v>1</v>
      </c>
      <c r="V448">
        <v>728.67</v>
      </c>
      <c r="W448" t="s">
        <v>4343</v>
      </c>
      <c r="Y448" t="b">
        <v>1</v>
      </c>
      <c r="Z448" t="b">
        <v>0</v>
      </c>
      <c r="AA448">
        <v>728.15</v>
      </c>
      <c r="AB448">
        <v>0.52</v>
      </c>
      <c r="AC448">
        <v>14</v>
      </c>
      <c r="AD448" t="b">
        <v>0</v>
      </c>
      <c r="AF448" t="s">
        <v>5184</v>
      </c>
      <c r="AG448" s="1" t="s">
        <v>61</v>
      </c>
      <c r="AH448" s="1" t="s">
        <v>53</v>
      </c>
      <c r="AI448">
        <v>113</v>
      </c>
      <c r="AJ448">
        <v>204</v>
      </c>
      <c r="AK448" s="106">
        <v>45475.635465451393</v>
      </c>
      <c r="AL448" s="1" t="s">
        <v>4790</v>
      </c>
      <c r="AM448" s="42">
        <f>IFERROR(INDEX('Public procurment'!A:R,MATCH(ListOfExpenditure[[#This Row],[Content.contractId]],'Public procurment'!E:E,0),14),0)</f>
        <v>0</v>
      </c>
      <c r="AN448" s="2">
        <f>IF(AND(ListOfExpenditure[[#This Row],[Contract amount]]&gt;10000,ListOfExpenditure[[#This Row],[Content.declaredAmount]]&gt;2000),1,0)</f>
        <v>0</v>
      </c>
      <c r="AO448">
        <f>IFERROR(INDEX('Public procurment'!A:S,MATCH(ListOfExpenditure[[#This Row],[Content.contractId]],'Public procurment'!E:E,0),19),0)</f>
        <v>0</v>
      </c>
      <c r="AP448">
        <f>IF(ListOfExpenditure[[#This Row],[Numero di volte controllato il contract ]]&gt;0,0,ListOfExpenditure[[#This Row],[IF public procurment &gt;10000;1;0]])</f>
        <v>0</v>
      </c>
    </row>
    <row r="449" spans="1:42" x14ac:dyDescent="0.25">
      <c r="A449">
        <v>720</v>
      </c>
      <c r="B449">
        <v>15</v>
      </c>
      <c r="E449" t="s">
        <v>4786</v>
      </c>
      <c r="F449" t="b">
        <v>0</v>
      </c>
      <c r="I449" t="s">
        <v>5198</v>
      </c>
      <c r="K449" t="s">
        <v>4932</v>
      </c>
      <c r="L449" t="s">
        <v>4932</v>
      </c>
      <c r="M449" t="s">
        <v>4788</v>
      </c>
      <c r="N449" t="s">
        <v>4788</v>
      </c>
      <c r="O449">
        <v>4803.91</v>
      </c>
      <c r="Q449">
        <v>0</v>
      </c>
      <c r="R449">
        <v>0</v>
      </c>
      <c r="S449">
        <v>528.44000000000005</v>
      </c>
      <c r="T449" t="s">
        <v>4789</v>
      </c>
      <c r="U449">
        <v>1</v>
      </c>
      <c r="V449">
        <v>528.44000000000005</v>
      </c>
      <c r="W449" t="s">
        <v>4343</v>
      </c>
      <c r="Y449" t="b">
        <v>1</v>
      </c>
      <c r="Z449" t="b">
        <v>0</v>
      </c>
      <c r="AA449">
        <v>528.44000000000005</v>
      </c>
      <c r="AB449">
        <v>0</v>
      </c>
      <c r="AD449" t="b">
        <v>0</v>
      </c>
      <c r="AG449" s="1" t="s">
        <v>61</v>
      </c>
      <c r="AH449" s="1" t="s">
        <v>53</v>
      </c>
      <c r="AI449">
        <v>113</v>
      </c>
      <c r="AJ449">
        <v>204</v>
      </c>
      <c r="AK449" s="106">
        <v>45475.635465451393</v>
      </c>
      <c r="AL449" s="1" t="s">
        <v>4790</v>
      </c>
      <c r="AM449" s="42">
        <f>IFERROR(INDEX('Public procurment'!A:R,MATCH(ListOfExpenditure[[#This Row],[Content.contractId]],'Public procurment'!E:E,0),14),0)</f>
        <v>0</v>
      </c>
      <c r="AN449" s="2">
        <f>IF(AND(ListOfExpenditure[[#This Row],[Contract amount]]&gt;10000,ListOfExpenditure[[#This Row],[Content.declaredAmount]]&gt;2000),1,0)</f>
        <v>0</v>
      </c>
      <c r="AO449">
        <f>IFERROR(INDEX('Public procurment'!A:S,MATCH(ListOfExpenditure[[#This Row],[Content.contractId]],'Public procurment'!E:E,0),19),0)</f>
        <v>0</v>
      </c>
      <c r="AP449">
        <f>IF(ListOfExpenditure[[#This Row],[Numero di volte controllato il contract ]]&gt;0,0,ListOfExpenditure[[#This Row],[IF public procurment &gt;10000;1;0]])</f>
        <v>0</v>
      </c>
    </row>
    <row r="450" spans="1:42" x14ac:dyDescent="0.25">
      <c r="A450">
        <v>721</v>
      </c>
      <c r="B450">
        <v>16</v>
      </c>
      <c r="E450" t="s">
        <v>4786</v>
      </c>
      <c r="F450" t="b">
        <v>0</v>
      </c>
      <c r="I450" t="s">
        <v>5199</v>
      </c>
      <c r="K450" t="s">
        <v>4932</v>
      </c>
      <c r="L450" t="s">
        <v>4932</v>
      </c>
      <c r="M450" t="s">
        <v>4788</v>
      </c>
      <c r="N450" t="s">
        <v>4788</v>
      </c>
      <c r="O450">
        <v>3514.73</v>
      </c>
      <c r="Q450">
        <v>0</v>
      </c>
      <c r="R450">
        <v>0</v>
      </c>
      <c r="S450">
        <v>386.63</v>
      </c>
      <c r="T450" t="s">
        <v>4789</v>
      </c>
      <c r="U450">
        <v>1</v>
      </c>
      <c r="V450">
        <v>386.63</v>
      </c>
      <c r="W450" t="s">
        <v>4343</v>
      </c>
      <c r="Y450" t="b">
        <v>1</v>
      </c>
      <c r="Z450" t="b">
        <v>0</v>
      </c>
      <c r="AA450">
        <v>386.63</v>
      </c>
      <c r="AB450">
        <v>0</v>
      </c>
      <c r="AD450" t="b">
        <v>0</v>
      </c>
      <c r="AG450" s="1" t="s">
        <v>61</v>
      </c>
      <c r="AH450" s="1" t="s">
        <v>53</v>
      </c>
      <c r="AI450">
        <v>113</v>
      </c>
      <c r="AJ450">
        <v>204</v>
      </c>
      <c r="AK450" s="106">
        <v>45475.635465451393</v>
      </c>
      <c r="AL450" s="1" t="s">
        <v>4790</v>
      </c>
      <c r="AM450" s="42">
        <f>IFERROR(INDEX('Public procurment'!A:R,MATCH(ListOfExpenditure[[#This Row],[Content.contractId]],'Public procurment'!E:E,0),14),0)</f>
        <v>0</v>
      </c>
      <c r="AN450" s="2">
        <f>IF(AND(ListOfExpenditure[[#This Row],[Contract amount]]&gt;10000,ListOfExpenditure[[#This Row],[Content.declaredAmount]]&gt;2000),1,0)</f>
        <v>0</v>
      </c>
      <c r="AO450">
        <f>IFERROR(INDEX('Public procurment'!A:S,MATCH(ListOfExpenditure[[#This Row],[Content.contractId]],'Public procurment'!E:E,0),19),0)</f>
        <v>0</v>
      </c>
      <c r="AP450">
        <f>IF(ListOfExpenditure[[#This Row],[Numero di volte controllato il contract ]]&gt;0,0,ListOfExpenditure[[#This Row],[IF public procurment &gt;10000;1;0]])</f>
        <v>0</v>
      </c>
    </row>
    <row r="451" spans="1:42" x14ac:dyDescent="0.25">
      <c r="A451">
        <v>722</v>
      </c>
      <c r="B451">
        <v>17</v>
      </c>
      <c r="E451" t="s">
        <v>4786</v>
      </c>
      <c r="F451" t="b">
        <v>0</v>
      </c>
      <c r="I451" t="s">
        <v>5200</v>
      </c>
      <c r="K451" t="s">
        <v>4932</v>
      </c>
      <c r="L451" t="s">
        <v>4932</v>
      </c>
      <c r="M451" t="s">
        <v>4788</v>
      </c>
      <c r="N451" t="s">
        <v>4788</v>
      </c>
      <c r="O451">
        <v>4682.8599999999997</v>
      </c>
      <c r="Q451">
        <v>0</v>
      </c>
      <c r="R451">
        <v>0</v>
      </c>
      <c r="S451">
        <v>327.79</v>
      </c>
      <c r="T451" t="s">
        <v>4789</v>
      </c>
      <c r="U451">
        <v>1</v>
      </c>
      <c r="V451">
        <v>327.79</v>
      </c>
      <c r="W451" t="s">
        <v>4343</v>
      </c>
      <c r="Y451" t="b">
        <v>1</v>
      </c>
      <c r="Z451" t="b">
        <v>0</v>
      </c>
      <c r="AA451">
        <v>327.79</v>
      </c>
      <c r="AB451">
        <v>0</v>
      </c>
      <c r="AD451" t="b">
        <v>0</v>
      </c>
      <c r="AG451" s="1" t="s">
        <v>61</v>
      </c>
      <c r="AH451" s="1" t="s">
        <v>53</v>
      </c>
      <c r="AI451">
        <v>113</v>
      </c>
      <c r="AJ451">
        <v>204</v>
      </c>
      <c r="AK451" s="106">
        <v>45475.635465451393</v>
      </c>
      <c r="AL451" s="1" t="s">
        <v>4790</v>
      </c>
      <c r="AM451" s="42">
        <f>IFERROR(INDEX('Public procurment'!A:R,MATCH(ListOfExpenditure[[#This Row],[Content.contractId]],'Public procurment'!E:E,0),14),0)</f>
        <v>0</v>
      </c>
      <c r="AN451" s="2">
        <f>IF(AND(ListOfExpenditure[[#This Row],[Contract amount]]&gt;10000,ListOfExpenditure[[#This Row],[Content.declaredAmount]]&gt;2000),1,0)</f>
        <v>0</v>
      </c>
      <c r="AO451">
        <f>IFERROR(INDEX('Public procurment'!A:S,MATCH(ListOfExpenditure[[#This Row],[Content.contractId]],'Public procurment'!E:E,0),19),0)</f>
        <v>0</v>
      </c>
      <c r="AP451">
        <f>IF(ListOfExpenditure[[#This Row],[Numero di volte controllato il contract ]]&gt;0,0,ListOfExpenditure[[#This Row],[IF public procurment &gt;10000;1;0]])</f>
        <v>0</v>
      </c>
    </row>
    <row r="452" spans="1:42" x14ac:dyDescent="0.25">
      <c r="A452">
        <v>723</v>
      </c>
      <c r="B452">
        <v>18</v>
      </c>
      <c r="E452" t="s">
        <v>4786</v>
      </c>
      <c r="F452" t="b">
        <v>0</v>
      </c>
      <c r="I452" t="s">
        <v>5201</v>
      </c>
      <c r="K452" t="s">
        <v>4932</v>
      </c>
      <c r="L452" t="s">
        <v>4932</v>
      </c>
      <c r="M452" t="s">
        <v>4788</v>
      </c>
      <c r="N452" t="s">
        <v>4788</v>
      </c>
      <c r="O452">
        <v>2118.36</v>
      </c>
      <c r="Q452">
        <v>0</v>
      </c>
      <c r="R452">
        <v>0</v>
      </c>
      <c r="S452">
        <v>233.01</v>
      </c>
      <c r="T452" t="s">
        <v>4789</v>
      </c>
      <c r="U452">
        <v>1</v>
      </c>
      <c r="V452">
        <v>233.01</v>
      </c>
      <c r="W452" t="s">
        <v>4343</v>
      </c>
      <c r="Y452" t="b">
        <v>1</v>
      </c>
      <c r="Z452" t="b">
        <v>0</v>
      </c>
      <c r="AA452">
        <v>233.01</v>
      </c>
      <c r="AB452">
        <v>0</v>
      </c>
      <c r="AD452" t="b">
        <v>0</v>
      </c>
      <c r="AG452" s="1" t="s">
        <v>61</v>
      </c>
      <c r="AH452" s="1" t="s">
        <v>53</v>
      </c>
      <c r="AI452">
        <v>113</v>
      </c>
      <c r="AJ452">
        <v>204</v>
      </c>
      <c r="AK452" s="106">
        <v>45475.635465451393</v>
      </c>
      <c r="AL452" s="1" t="s">
        <v>4790</v>
      </c>
      <c r="AM452" s="42">
        <f>IFERROR(INDEX('Public procurment'!A:R,MATCH(ListOfExpenditure[[#This Row],[Content.contractId]],'Public procurment'!E:E,0),14),0)</f>
        <v>0</v>
      </c>
      <c r="AN452" s="2">
        <f>IF(AND(ListOfExpenditure[[#This Row],[Contract amount]]&gt;10000,ListOfExpenditure[[#This Row],[Content.declaredAmount]]&gt;2000),1,0)</f>
        <v>0</v>
      </c>
      <c r="AO452">
        <f>IFERROR(INDEX('Public procurment'!A:S,MATCH(ListOfExpenditure[[#This Row],[Content.contractId]],'Public procurment'!E:E,0),19),0)</f>
        <v>0</v>
      </c>
      <c r="AP452">
        <f>IF(ListOfExpenditure[[#This Row],[Numero di volte controllato il contract ]]&gt;0,0,ListOfExpenditure[[#This Row],[IF public procurment &gt;10000;1;0]])</f>
        <v>0</v>
      </c>
    </row>
    <row r="453" spans="1:42" x14ac:dyDescent="0.25">
      <c r="A453">
        <v>797</v>
      </c>
      <c r="B453">
        <v>19</v>
      </c>
      <c r="E453" t="s">
        <v>4786</v>
      </c>
      <c r="F453" t="b">
        <v>0</v>
      </c>
      <c r="I453" t="s">
        <v>5202</v>
      </c>
      <c r="K453" t="s">
        <v>4942</v>
      </c>
      <c r="L453" t="s">
        <v>4942</v>
      </c>
      <c r="M453" t="s">
        <v>4788</v>
      </c>
      <c r="N453" t="s">
        <v>4788</v>
      </c>
      <c r="O453">
        <v>6738</v>
      </c>
      <c r="Q453">
        <v>0</v>
      </c>
      <c r="R453">
        <v>0</v>
      </c>
      <c r="S453">
        <v>606.42999999999995</v>
      </c>
      <c r="T453" t="s">
        <v>4789</v>
      </c>
      <c r="U453">
        <v>1</v>
      </c>
      <c r="V453">
        <v>606.42999999999995</v>
      </c>
      <c r="W453" t="s">
        <v>4343</v>
      </c>
      <c r="Y453" t="b">
        <v>1</v>
      </c>
      <c r="Z453" t="b">
        <v>0</v>
      </c>
      <c r="AA453">
        <v>606.42999999999995</v>
      </c>
      <c r="AB453">
        <v>0</v>
      </c>
      <c r="AD453" t="b">
        <v>0</v>
      </c>
      <c r="AG453" s="1" t="s">
        <v>61</v>
      </c>
      <c r="AH453" s="1" t="s">
        <v>53</v>
      </c>
      <c r="AI453">
        <v>113</v>
      </c>
      <c r="AJ453">
        <v>204</v>
      </c>
      <c r="AK453" s="106">
        <v>45475.635465451393</v>
      </c>
      <c r="AL453" s="1" t="s">
        <v>4790</v>
      </c>
      <c r="AM453" s="42">
        <f>IFERROR(INDEX('Public procurment'!A:R,MATCH(ListOfExpenditure[[#This Row],[Content.contractId]],'Public procurment'!E:E,0),14),0)</f>
        <v>0</v>
      </c>
      <c r="AN453" s="2">
        <f>IF(AND(ListOfExpenditure[[#This Row],[Contract amount]]&gt;10000,ListOfExpenditure[[#This Row],[Content.declaredAmount]]&gt;2000),1,0)</f>
        <v>0</v>
      </c>
      <c r="AO453">
        <f>IFERROR(INDEX('Public procurment'!A:S,MATCH(ListOfExpenditure[[#This Row],[Content.contractId]],'Public procurment'!E:E,0),19),0)</f>
        <v>0</v>
      </c>
      <c r="AP453">
        <f>IF(ListOfExpenditure[[#This Row],[Numero di volte controllato il contract ]]&gt;0,0,ListOfExpenditure[[#This Row],[IF public procurment &gt;10000;1;0]])</f>
        <v>0</v>
      </c>
    </row>
    <row r="454" spans="1:42" x14ac:dyDescent="0.25">
      <c r="A454">
        <v>798</v>
      </c>
      <c r="B454">
        <v>20</v>
      </c>
      <c r="E454" t="s">
        <v>4786</v>
      </c>
      <c r="F454" t="b">
        <v>0</v>
      </c>
      <c r="I454" t="s">
        <v>5203</v>
      </c>
      <c r="K454" t="s">
        <v>4942</v>
      </c>
      <c r="L454" t="s">
        <v>4942</v>
      </c>
      <c r="M454" t="s">
        <v>4788</v>
      </c>
      <c r="N454" t="s">
        <v>4788</v>
      </c>
      <c r="O454">
        <v>3323.92</v>
      </c>
      <c r="Q454">
        <v>0</v>
      </c>
      <c r="R454">
        <v>0</v>
      </c>
      <c r="S454">
        <v>432.11</v>
      </c>
      <c r="T454" t="s">
        <v>4789</v>
      </c>
      <c r="U454">
        <v>1</v>
      </c>
      <c r="V454">
        <v>432.11</v>
      </c>
      <c r="W454" t="s">
        <v>4343</v>
      </c>
      <c r="Y454" t="b">
        <v>1</v>
      </c>
      <c r="Z454" t="b">
        <v>0</v>
      </c>
      <c r="AA454">
        <v>431.06</v>
      </c>
      <c r="AB454">
        <v>1.05</v>
      </c>
      <c r="AC454">
        <v>14</v>
      </c>
      <c r="AD454" t="b">
        <v>0</v>
      </c>
      <c r="AF454" t="s">
        <v>5184</v>
      </c>
      <c r="AG454" s="1" t="s">
        <v>61</v>
      </c>
      <c r="AH454" s="1" t="s">
        <v>53</v>
      </c>
      <c r="AI454">
        <v>113</v>
      </c>
      <c r="AJ454">
        <v>204</v>
      </c>
      <c r="AK454" s="106">
        <v>45475.635465451393</v>
      </c>
      <c r="AL454" s="1" t="s">
        <v>4790</v>
      </c>
      <c r="AM454" s="42">
        <f>IFERROR(INDEX('Public procurment'!A:R,MATCH(ListOfExpenditure[[#This Row],[Content.contractId]],'Public procurment'!E:E,0),14),0)</f>
        <v>0</v>
      </c>
      <c r="AN454" s="2">
        <f>IF(AND(ListOfExpenditure[[#This Row],[Contract amount]]&gt;10000,ListOfExpenditure[[#This Row],[Content.declaredAmount]]&gt;2000),1,0)</f>
        <v>0</v>
      </c>
      <c r="AO454">
        <f>IFERROR(INDEX('Public procurment'!A:S,MATCH(ListOfExpenditure[[#This Row],[Content.contractId]],'Public procurment'!E:E,0),19),0)</f>
        <v>0</v>
      </c>
      <c r="AP454">
        <f>IF(ListOfExpenditure[[#This Row],[Numero di volte controllato il contract ]]&gt;0,0,ListOfExpenditure[[#This Row],[IF public procurment &gt;10000;1;0]])</f>
        <v>0</v>
      </c>
    </row>
    <row r="455" spans="1:42" x14ac:dyDescent="0.25">
      <c r="A455">
        <v>799</v>
      </c>
      <c r="B455">
        <v>21</v>
      </c>
      <c r="E455" t="s">
        <v>4786</v>
      </c>
      <c r="F455" t="b">
        <v>0</v>
      </c>
      <c r="I455" t="s">
        <v>5204</v>
      </c>
      <c r="K455" t="s">
        <v>4942</v>
      </c>
      <c r="L455" t="s">
        <v>4942</v>
      </c>
      <c r="M455" t="s">
        <v>4788</v>
      </c>
      <c r="N455" t="s">
        <v>4788</v>
      </c>
      <c r="O455">
        <v>4729.82</v>
      </c>
      <c r="Q455">
        <v>0</v>
      </c>
      <c r="R455">
        <v>0</v>
      </c>
      <c r="S455">
        <v>520.28</v>
      </c>
      <c r="T455" t="s">
        <v>4789</v>
      </c>
      <c r="U455">
        <v>1</v>
      </c>
      <c r="V455">
        <v>520.28</v>
      </c>
      <c r="W455" t="s">
        <v>4343</v>
      </c>
      <c r="Y455" t="b">
        <v>1</v>
      </c>
      <c r="Z455" t="b">
        <v>0</v>
      </c>
      <c r="AA455">
        <v>520.28</v>
      </c>
      <c r="AB455">
        <v>0</v>
      </c>
      <c r="AD455" t="b">
        <v>0</v>
      </c>
      <c r="AG455" s="1" t="s">
        <v>61</v>
      </c>
      <c r="AH455" s="1" t="s">
        <v>53</v>
      </c>
      <c r="AI455">
        <v>113</v>
      </c>
      <c r="AJ455">
        <v>204</v>
      </c>
      <c r="AK455" s="106">
        <v>45475.635465451393</v>
      </c>
      <c r="AL455" s="1" t="s">
        <v>4790</v>
      </c>
      <c r="AM455" s="42">
        <f>IFERROR(INDEX('Public procurment'!A:R,MATCH(ListOfExpenditure[[#This Row],[Content.contractId]],'Public procurment'!E:E,0),14),0)</f>
        <v>0</v>
      </c>
      <c r="AN455" s="2">
        <f>IF(AND(ListOfExpenditure[[#This Row],[Contract amount]]&gt;10000,ListOfExpenditure[[#This Row],[Content.declaredAmount]]&gt;2000),1,0)</f>
        <v>0</v>
      </c>
      <c r="AO455">
        <f>IFERROR(INDEX('Public procurment'!A:S,MATCH(ListOfExpenditure[[#This Row],[Content.contractId]],'Public procurment'!E:E,0),19),0)</f>
        <v>0</v>
      </c>
      <c r="AP455">
        <f>IF(ListOfExpenditure[[#This Row],[Numero di volte controllato il contract ]]&gt;0,0,ListOfExpenditure[[#This Row],[IF public procurment &gt;10000;1;0]])</f>
        <v>0</v>
      </c>
    </row>
    <row r="456" spans="1:42" x14ac:dyDescent="0.25">
      <c r="A456">
        <v>800</v>
      </c>
      <c r="B456">
        <v>22</v>
      </c>
      <c r="E456" t="s">
        <v>4786</v>
      </c>
      <c r="F456" t="b">
        <v>0</v>
      </c>
      <c r="I456" t="s">
        <v>5205</v>
      </c>
      <c r="K456" t="s">
        <v>4942</v>
      </c>
      <c r="L456" t="s">
        <v>4942</v>
      </c>
      <c r="M456" t="s">
        <v>4788</v>
      </c>
      <c r="N456" t="s">
        <v>4788</v>
      </c>
      <c r="O456">
        <v>3450.82</v>
      </c>
      <c r="Q456">
        <v>0</v>
      </c>
      <c r="R456">
        <v>0</v>
      </c>
      <c r="S456">
        <v>379.59</v>
      </c>
      <c r="T456" t="s">
        <v>4789</v>
      </c>
      <c r="U456">
        <v>1</v>
      </c>
      <c r="V456">
        <v>379.59</v>
      </c>
      <c r="W456" t="s">
        <v>4343</v>
      </c>
      <c r="Y456" t="b">
        <v>1</v>
      </c>
      <c r="Z456" t="b">
        <v>0</v>
      </c>
      <c r="AA456">
        <v>379.59</v>
      </c>
      <c r="AB456">
        <v>0</v>
      </c>
      <c r="AD456" t="b">
        <v>0</v>
      </c>
      <c r="AG456" s="1" t="s">
        <v>61</v>
      </c>
      <c r="AH456" s="1" t="s">
        <v>53</v>
      </c>
      <c r="AI456">
        <v>113</v>
      </c>
      <c r="AJ456">
        <v>204</v>
      </c>
      <c r="AK456" s="106">
        <v>45475.635465451393</v>
      </c>
      <c r="AL456" s="1" t="s">
        <v>4790</v>
      </c>
      <c r="AM456" s="42">
        <f>IFERROR(INDEX('Public procurment'!A:R,MATCH(ListOfExpenditure[[#This Row],[Content.contractId]],'Public procurment'!E:E,0),14),0)</f>
        <v>0</v>
      </c>
      <c r="AN456" s="2">
        <f>IF(AND(ListOfExpenditure[[#This Row],[Contract amount]]&gt;10000,ListOfExpenditure[[#This Row],[Content.declaredAmount]]&gt;2000),1,0)</f>
        <v>0</v>
      </c>
      <c r="AO456">
        <f>IFERROR(INDEX('Public procurment'!A:S,MATCH(ListOfExpenditure[[#This Row],[Content.contractId]],'Public procurment'!E:E,0),19),0)</f>
        <v>0</v>
      </c>
      <c r="AP456">
        <f>IF(ListOfExpenditure[[#This Row],[Numero di volte controllato il contract ]]&gt;0,0,ListOfExpenditure[[#This Row],[IF public procurment &gt;10000;1;0]])</f>
        <v>0</v>
      </c>
    </row>
    <row r="457" spans="1:42" x14ac:dyDescent="0.25">
      <c r="A457">
        <v>801</v>
      </c>
      <c r="B457">
        <v>23</v>
      </c>
      <c r="E457" t="s">
        <v>4786</v>
      </c>
      <c r="F457" t="b">
        <v>0</v>
      </c>
      <c r="I457" t="s">
        <v>5206</v>
      </c>
      <c r="K457" t="s">
        <v>4942</v>
      </c>
      <c r="L457" t="s">
        <v>4942</v>
      </c>
      <c r="M457" t="s">
        <v>4788</v>
      </c>
      <c r="N457" t="s">
        <v>4788</v>
      </c>
      <c r="O457">
        <v>4795.8599999999997</v>
      </c>
      <c r="Q457">
        <v>0</v>
      </c>
      <c r="R457">
        <v>0</v>
      </c>
      <c r="S457">
        <v>335.71</v>
      </c>
      <c r="T457" t="s">
        <v>4789</v>
      </c>
      <c r="U457">
        <v>1</v>
      </c>
      <c r="V457">
        <v>335.71</v>
      </c>
      <c r="W457" t="s">
        <v>4343</v>
      </c>
      <c r="Y457" t="b">
        <v>1</v>
      </c>
      <c r="Z457" t="b">
        <v>0</v>
      </c>
      <c r="AA457">
        <v>335.71</v>
      </c>
      <c r="AB457">
        <v>0</v>
      </c>
      <c r="AD457" t="b">
        <v>0</v>
      </c>
      <c r="AG457" s="1" t="s">
        <v>61</v>
      </c>
      <c r="AH457" s="1" t="s">
        <v>53</v>
      </c>
      <c r="AI457">
        <v>113</v>
      </c>
      <c r="AJ457">
        <v>204</v>
      </c>
      <c r="AK457" s="106">
        <v>45475.635465451393</v>
      </c>
      <c r="AL457" s="1" t="s">
        <v>4790</v>
      </c>
      <c r="AM457" s="42">
        <f>IFERROR(INDEX('Public procurment'!A:R,MATCH(ListOfExpenditure[[#This Row],[Content.contractId]],'Public procurment'!E:E,0),14),0)</f>
        <v>0</v>
      </c>
      <c r="AN457" s="2">
        <f>IF(AND(ListOfExpenditure[[#This Row],[Contract amount]]&gt;10000,ListOfExpenditure[[#This Row],[Content.declaredAmount]]&gt;2000),1,0)</f>
        <v>0</v>
      </c>
      <c r="AO457">
        <f>IFERROR(INDEX('Public procurment'!A:S,MATCH(ListOfExpenditure[[#This Row],[Content.contractId]],'Public procurment'!E:E,0),19),0)</f>
        <v>0</v>
      </c>
      <c r="AP457">
        <f>IF(ListOfExpenditure[[#This Row],[Numero di volte controllato il contract ]]&gt;0,0,ListOfExpenditure[[#This Row],[IF public procurment &gt;10000;1;0]])</f>
        <v>0</v>
      </c>
    </row>
    <row r="458" spans="1:42" x14ac:dyDescent="0.25">
      <c r="A458">
        <v>802</v>
      </c>
      <c r="B458">
        <v>24</v>
      </c>
      <c r="E458" t="s">
        <v>4786</v>
      </c>
      <c r="F458" t="b">
        <v>0</v>
      </c>
      <c r="I458" t="s">
        <v>5207</v>
      </c>
      <c r="K458" t="s">
        <v>4942</v>
      </c>
      <c r="L458" t="s">
        <v>4942</v>
      </c>
      <c r="M458" t="s">
        <v>4788</v>
      </c>
      <c r="N458" t="s">
        <v>4788</v>
      </c>
      <c r="O458">
        <v>2619.36</v>
      </c>
      <c r="Q458">
        <v>0</v>
      </c>
      <c r="R458">
        <v>0</v>
      </c>
      <c r="S458">
        <v>288.12</v>
      </c>
      <c r="T458" t="s">
        <v>4789</v>
      </c>
      <c r="U458">
        <v>1</v>
      </c>
      <c r="V458">
        <v>288.12</v>
      </c>
      <c r="W458" t="s">
        <v>4343</v>
      </c>
      <c r="Y458" t="b">
        <v>1</v>
      </c>
      <c r="Z458" t="b">
        <v>0</v>
      </c>
      <c r="AA458">
        <v>288.12</v>
      </c>
      <c r="AB458">
        <v>0</v>
      </c>
      <c r="AD458" t="b">
        <v>0</v>
      </c>
      <c r="AG458" s="1" t="s">
        <v>61</v>
      </c>
      <c r="AH458" s="1" t="s">
        <v>53</v>
      </c>
      <c r="AI458">
        <v>113</v>
      </c>
      <c r="AJ458">
        <v>204</v>
      </c>
      <c r="AK458" s="106">
        <v>45475.635465451393</v>
      </c>
      <c r="AL458" s="1" t="s">
        <v>4790</v>
      </c>
      <c r="AM458" s="42">
        <f>IFERROR(INDEX('Public procurment'!A:R,MATCH(ListOfExpenditure[[#This Row],[Content.contractId]],'Public procurment'!E:E,0),14),0)</f>
        <v>0</v>
      </c>
      <c r="AN458" s="2">
        <f>IF(AND(ListOfExpenditure[[#This Row],[Contract amount]]&gt;10000,ListOfExpenditure[[#This Row],[Content.declaredAmount]]&gt;2000),1,0)</f>
        <v>0</v>
      </c>
      <c r="AO458">
        <f>IFERROR(INDEX('Public procurment'!A:S,MATCH(ListOfExpenditure[[#This Row],[Content.contractId]],'Public procurment'!E:E,0),19),0)</f>
        <v>0</v>
      </c>
      <c r="AP458">
        <f>IF(ListOfExpenditure[[#This Row],[Numero di volte controllato il contract ]]&gt;0,0,ListOfExpenditure[[#This Row],[IF public procurment &gt;10000;1;0]])</f>
        <v>0</v>
      </c>
    </row>
    <row r="459" spans="1:42" x14ac:dyDescent="0.25">
      <c r="A459">
        <v>806</v>
      </c>
      <c r="B459">
        <v>25</v>
      </c>
      <c r="E459" t="s">
        <v>4786</v>
      </c>
      <c r="F459" t="b">
        <v>0</v>
      </c>
      <c r="I459" t="s">
        <v>5208</v>
      </c>
      <c r="K459" t="s">
        <v>4587</v>
      </c>
      <c r="L459" t="s">
        <v>4587</v>
      </c>
      <c r="M459" t="s">
        <v>4788</v>
      </c>
      <c r="N459" t="s">
        <v>4788</v>
      </c>
      <c r="O459">
        <v>7849.33</v>
      </c>
      <c r="Q459">
        <v>0</v>
      </c>
      <c r="R459">
        <v>0</v>
      </c>
      <c r="S459">
        <v>706.44</v>
      </c>
      <c r="T459" t="s">
        <v>4789</v>
      </c>
      <c r="U459">
        <v>1</v>
      </c>
      <c r="V459">
        <v>706.44</v>
      </c>
      <c r="W459" t="s">
        <v>4343</v>
      </c>
      <c r="Y459" t="b">
        <v>1</v>
      </c>
      <c r="Z459" t="b">
        <v>0</v>
      </c>
      <c r="AA459">
        <v>677.8</v>
      </c>
      <c r="AB459">
        <v>28.64</v>
      </c>
      <c r="AC459">
        <v>14</v>
      </c>
      <c r="AD459" t="b">
        <v>0</v>
      </c>
      <c r="AF459" t="s">
        <v>5184</v>
      </c>
      <c r="AG459" s="1" t="s">
        <v>61</v>
      </c>
      <c r="AH459" s="1" t="s">
        <v>53</v>
      </c>
      <c r="AI459">
        <v>113</v>
      </c>
      <c r="AJ459">
        <v>204</v>
      </c>
      <c r="AK459" s="106">
        <v>45475.635465451393</v>
      </c>
      <c r="AL459" s="1" t="s">
        <v>4790</v>
      </c>
      <c r="AM459" s="42">
        <f>IFERROR(INDEX('Public procurment'!A:R,MATCH(ListOfExpenditure[[#This Row],[Content.contractId]],'Public procurment'!E:E,0),14),0)</f>
        <v>0</v>
      </c>
      <c r="AN459" s="2">
        <f>IF(AND(ListOfExpenditure[[#This Row],[Contract amount]]&gt;10000,ListOfExpenditure[[#This Row],[Content.declaredAmount]]&gt;2000),1,0)</f>
        <v>0</v>
      </c>
      <c r="AO459">
        <f>IFERROR(INDEX('Public procurment'!A:S,MATCH(ListOfExpenditure[[#This Row],[Content.contractId]],'Public procurment'!E:E,0),19),0)</f>
        <v>0</v>
      </c>
      <c r="AP459">
        <f>IF(ListOfExpenditure[[#This Row],[Numero di volte controllato il contract ]]&gt;0,0,ListOfExpenditure[[#This Row],[IF public procurment &gt;10000;1;0]])</f>
        <v>0</v>
      </c>
    </row>
    <row r="460" spans="1:42" x14ac:dyDescent="0.25">
      <c r="A460">
        <v>807</v>
      </c>
      <c r="B460">
        <v>26</v>
      </c>
      <c r="E460" t="s">
        <v>4786</v>
      </c>
      <c r="F460" t="b">
        <v>0</v>
      </c>
      <c r="I460" t="s">
        <v>5209</v>
      </c>
      <c r="K460" t="s">
        <v>4587</v>
      </c>
      <c r="L460" t="s">
        <v>4587</v>
      </c>
      <c r="M460" t="s">
        <v>4788</v>
      </c>
      <c r="N460" t="s">
        <v>4788</v>
      </c>
      <c r="O460">
        <v>5458.69</v>
      </c>
      <c r="Q460">
        <v>0</v>
      </c>
      <c r="R460">
        <v>0</v>
      </c>
      <c r="S460">
        <v>709.62</v>
      </c>
      <c r="T460" t="s">
        <v>4789</v>
      </c>
      <c r="U460">
        <v>1</v>
      </c>
      <c r="V460">
        <v>709.62</v>
      </c>
      <c r="W460" t="s">
        <v>4343</v>
      </c>
      <c r="Y460" t="b">
        <v>1</v>
      </c>
      <c r="Z460" t="b">
        <v>0</v>
      </c>
      <c r="AA460">
        <v>666.03</v>
      </c>
      <c r="AB460">
        <v>43.59</v>
      </c>
      <c r="AC460">
        <v>14</v>
      </c>
      <c r="AD460" t="b">
        <v>0</v>
      </c>
      <c r="AF460" t="s">
        <v>5184</v>
      </c>
      <c r="AG460" s="1" t="s">
        <v>61</v>
      </c>
      <c r="AH460" s="1" t="s">
        <v>53</v>
      </c>
      <c r="AI460">
        <v>113</v>
      </c>
      <c r="AJ460">
        <v>204</v>
      </c>
      <c r="AK460" s="106">
        <v>45475.635465451393</v>
      </c>
      <c r="AL460" s="1" t="s">
        <v>4790</v>
      </c>
      <c r="AM460" s="42">
        <f>IFERROR(INDEX('Public procurment'!A:R,MATCH(ListOfExpenditure[[#This Row],[Content.contractId]],'Public procurment'!E:E,0),14),0)</f>
        <v>0</v>
      </c>
      <c r="AN460" s="2">
        <f>IF(AND(ListOfExpenditure[[#This Row],[Contract amount]]&gt;10000,ListOfExpenditure[[#This Row],[Content.declaredAmount]]&gt;2000),1,0)</f>
        <v>0</v>
      </c>
      <c r="AO460">
        <f>IFERROR(INDEX('Public procurment'!A:S,MATCH(ListOfExpenditure[[#This Row],[Content.contractId]],'Public procurment'!E:E,0),19),0)</f>
        <v>0</v>
      </c>
      <c r="AP460">
        <f>IF(ListOfExpenditure[[#This Row],[Numero di volte controllato il contract ]]&gt;0,0,ListOfExpenditure[[#This Row],[IF public procurment &gt;10000;1;0]])</f>
        <v>0</v>
      </c>
    </row>
    <row r="461" spans="1:42" x14ac:dyDescent="0.25">
      <c r="A461">
        <v>808</v>
      </c>
      <c r="B461">
        <v>27</v>
      </c>
      <c r="E461" t="s">
        <v>4786</v>
      </c>
      <c r="F461" t="b">
        <v>0</v>
      </c>
      <c r="I461" t="s">
        <v>5210</v>
      </c>
      <c r="K461" t="s">
        <v>4587</v>
      </c>
      <c r="L461" t="s">
        <v>4587</v>
      </c>
      <c r="M461" t="s">
        <v>4788</v>
      </c>
      <c r="N461" t="s">
        <v>4788</v>
      </c>
      <c r="O461">
        <v>5835.36</v>
      </c>
      <c r="Q461">
        <v>0</v>
      </c>
      <c r="R461">
        <v>0</v>
      </c>
      <c r="S461">
        <v>641.88</v>
      </c>
      <c r="T461" t="s">
        <v>4789</v>
      </c>
      <c r="U461">
        <v>1</v>
      </c>
      <c r="V461">
        <v>641.88</v>
      </c>
      <c r="W461" t="s">
        <v>4343</v>
      </c>
      <c r="Y461" t="b">
        <v>1</v>
      </c>
      <c r="Z461" t="b">
        <v>0</v>
      </c>
      <c r="AA461">
        <v>616.13</v>
      </c>
      <c r="AB461">
        <v>25.75</v>
      </c>
      <c r="AC461">
        <v>14</v>
      </c>
      <c r="AD461" t="b">
        <v>0</v>
      </c>
      <c r="AF461" t="s">
        <v>5184</v>
      </c>
      <c r="AG461" s="1" t="s">
        <v>61</v>
      </c>
      <c r="AH461" s="1" t="s">
        <v>53</v>
      </c>
      <c r="AI461">
        <v>113</v>
      </c>
      <c r="AJ461">
        <v>204</v>
      </c>
      <c r="AK461" s="106">
        <v>45475.635465451393</v>
      </c>
      <c r="AL461" s="1" t="s">
        <v>4790</v>
      </c>
      <c r="AM461" s="42">
        <f>IFERROR(INDEX('Public procurment'!A:R,MATCH(ListOfExpenditure[[#This Row],[Content.contractId]],'Public procurment'!E:E,0),14),0)</f>
        <v>0</v>
      </c>
      <c r="AN461" s="2">
        <f>IF(AND(ListOfExpenditure[[#This Row],[Contract amount]]&gt;10000,ListOfExpenditure[[#This Row],[Content.declaredAmount]]&gt;2000),1,0)</f>
        <v>0</v>
      </c>
      <c r="AO461">
        <f>IFERROR(INDEX('Public procurment'!A:S,MATCH(ListOfExpenditure[[#This Row],[Content.contractId]],'Public procurment'!E:E,0),19),0)</f>
        <v>0</v>
      </c>
      <c r="AP461">
        <f>IF(ListOfExpenditure[[#This Row],[Numero di volte controllato il contract ]]&gt;0,0,ListOfExpenditure[[#This Row],[IF public procurment &gt;10000;1;0]])</f>
        <v>0</v>
      </c>
    </row>
    <row r="462" spans="1:42" x14ac:dyDescent="0.25">
      <c r="A462">
        <v>809</v>
      </c>
      <c r="B462">
        <v>28</v>
      </c>
      <c r="E462" t="s">
        <v>4786</v>
      </c>
      <c r="F462" t="b">
        <v>0</v>
      </c>
      <c r="I462" t="s">
        <v>5211</v>
      </c>
      <c r="K462" t="s">
        <v>4587</v>
      </c>
      <c r="L462" t="s">
        <v>4587</v>
      </c>
      <c r="M462" t="s">
        <v>4788</v>
      </c>
      <c r="N462" t="s">
        <v>4788</v>
      </c>
      <c r="O462">
        <v>3867.64</v>
      </c>
      <c r="Q462">
        <v>0</v>
      </c>
      <c r="R462">
        <v>0</v>
      </c>
      <c r="S462">
        <v>425.44</v>
      </c>
      <c r="T462" t="s">
        <v>4789</v>
      </c>
      <c r="U462">
        <v>1</v>
      </c>
      <c r="V462">
        <v>425.44</v>
      </c>
      <c r="W462" t="s">
        <v>4343</v>
      </c>
      <c r="Y462" t="b">
        <v>1</v>
      </c>
      <c r="Z462" t="b">
        <v>0</v>
      </c>
      <c r="AA462">
        <v>411.41</v>
      </c>
      <c r="AB462">
        <v>14.03</v>
      </c>
      <c r="AC462">
        <v>14</v>
      </c>
      <c r="AD462" t="b">
        <v>0</v>
      </c>
      <c r="AF462" t="s">
        <v>5184</v>
      </c>
      <c r="AG462" s="1" t="s">
        <v>61</v>
      </c>
      <c r="AH462" s="1" t="s">
        <v>53</v>
      </c>
      <c r="AI462">
        <v>113</v>
      </c>
      <c r="AJ462">
        <v>204</v>
      </c>
      <c r="AK462" s="106">
        <v>45475.635465451393</v>
      </c>
      <c r="AL462" s="1" t="s">
        <v>4790</v>
      </c>
      <c r="AM462" s="42">
        <f>IFERROR(INDEX('Public procurment'!A:R,MATCH(ListOfExpenditure[[#This Row],[Content.contractId]],'Public procurment'!E:E,0),14),0)</f>
        <v>0</v>
      </c>
      <c r="AN462" s="2">
        <f>IF(AND(ListOfExpenditure[[#This Row],[Contract amount]]&gt;10000,ListOfExpenditure[[#This Row],[Content.declaredAmount]]&gt;2000),1,0)</f>
        <v>0</v>
      </c>
      <c r="AO462">
        <f>IFERROR(INDEX('Public procurment'!A:S,MATCH(ListOfExpenditure[[#This Row],[Content.contractId]],'Public procurment'!E:E,0),19),0)</f>
        <v>0</v>
      </c>
      <c r="AP462">
        <f>IF(ListOfExpenditure[[#This Row],[Numero di volte controllato il contract ]]&gt;0,0,ListOfExpenditure[[#This Row],[IF public procurment &gt;10000;1;0]])</f>
        <v>0</v>
      </c>
    </row>
    <row r="463" spans="1:42" x14ac:dyDescent="0.25">
      <c r="A463">
        <v>810</v>
      </c>
      <c r="B463">
        <v>29</v>
      </c>
      <c r="E463" t="s">
        <v>4786</v>
      </c>
      <c r="F463" t="b">
        <v>0</v>
      </c>
      <c r="I463" t="s">
        <v>5212</v>
      </c>
      <c r="K463" t="s">
        <v>4587</v>
      </c>
      <c r="L463" t="s">
        <v>4587</v>
      </c>
      <c r="M463" t="s">
        <v>4788</v>
      </c>
      <c r="N463" t="s">
        <v>4788</v>
      </c>
      <c r="O463">
        <v>4768.1400000000003</v>
      </c>
      <c r="Q463">
        <v>0</v>
      </c>
      <c r="R463">
        <v>0</v>
      </c>
      <c r="S463">
        <v>333.77</v>
      </c>
      <c r="T463" t="s">
        <v>4789</v>
      </c>
      <c r="U463">
        <v>1</v>
      </c>
      <c r="V463">
        <v>333.77</v>
      </c>
      <c r="W463" t="s">
        <v>4343</v>
      </c>
      <c r="Y463" t="b">
        <v>1</v>
      </c>
      <c r="Z463" t="b">
        <v>0</v>
      </c>
      <c r="AA463">
        <v>323.01</v>
      </c>
      <c r="AB463">
        <v>10.76</v>
      </c>
      <c r="AC463">
        <v>14</v>
      </c>
      <c r="AD463" t="b">
        <v>0</v>
      </c>
      <c r="AF463" t="s">
        <v>5184</v>
      </c>
      <c r="AG463" s="1" t="s">
        <v>61</v>
      </c>
      <c r="AH463" s="1" t="s">
        <v>53</v>
      </c>
      <c r="AI463">
        <v>113</v>
      </c>
      <c r="AJ463">
        <v>204</v>
      </c>
      <c r="AK463" s="106">
        <v>45475.635465451393</v>
      </c>
      <c r="AL463" s="1" t="s">
        <v>4790</v>
      </c>
      <c r="AM463" s="42">
        <f>IFERROR(INDEX('Public procurment'!A:R,MATCH(ListOfExpenditure[[#This Row],[Content.contractId]],'Public procurment'!E:E,0),14),0)</f>
        <v>0</v>
      </c>
      <c r="AN463" s="2">
        <f>IF(AND(ListOfExpenditure[[#This Row],[Contract amount]]&gt;10000,ListOfExpenditure[[#This Row],[Content.declaredAmount]]&gt;2000),1,0)</f>
        <v>0</v>
      </c>
      <c r="AO463">
        <f>IFERROR(INDEX('Public procurment'!A:S,MATCH(ListOfExpenditure[[#This Row],[Content.contractId]],'Public procurment'!E:E,0),19),0)</f>
        <v>0</v>
      </c>
      <c r="AP463">
        <f>IF(ListOfExpenditure[[#This Row],[Numero di volte controllato il contract ]]&gt;0,0,ListOfExpenditure[[#This Row],[IF public procurment &gt;10000;1;0]])</f>
        <v>0</v>
      </c>
    </row>
    <row r="464" spans="1:42" x14ac:dyDescent="0.25">
      <c r="A464">
        <v>811</v>
      </c>
      <c r="B464">
        <v>30</v>
      </c>
      <c r="E464" t="s">
        <v>4786</v>
      </c>
      <c r="F464" t="b">
        <v>0</v>
      </c>
      <c r="I464" t="s">
        <v>5213</v>
      </c>
      <c r="K464" t="s">
        <v>4587</v>
      </c>
      <c r="L464" t="s">
        <v>4587</v>
      </c>
      <c r="M464" t="s">
        <v>4788</v>
      </c>
      <c r="N464" t="s">
        <v>4788</v>
      </c>
      <c r="O464">
        <v>2305.8200000000002</v>
      </c>
      <c r="Q464">
        <v>0</v>
      </c>
      <c r="R464">
        <v>0</v>
      </c>
      <c r="S464">
        <v>253.65</v>
      </c>
      <c r="T464" t="s">
        <v>4789</v>
      </c>
      <c r="U464">
        <v>1</v>
      </c>
      <c r="V464">
        <v>253.65</v>
      </c>
      <c r="W464" t="s">
        <v>4343</v>
      </c>
      <c r="Y464" t="b">
        <v>1</v>
      </c>
      <c r="Z464" t="b">
        <v>0</v>
      </c>
      <c r="AA464">
        <v>253.65</v>
      </c>
      <c r="AB464">
        <v>0</v>
      </c>
      <c r="AD464" t="b">
        <v>0</v>
      </c>
      <c r="AG464" s="1" t="s">
        <v>61</v>
      </c>
      <c r="AH464" s="1" t="s">
        <v>53</v>
      </c>
      <c r="AI464">
        <v>113</v>
      </c>
      <c r="AJ464">
        <v>204</v>
      </c>
      <c r="AK464" s="106">
        <v>45475.635465451393</v>
      </c>
      <c r="AL464" s="1" t="s">
        <v>4790</v>
      </c>
      <c r="AM464" s="42">
        <f>IFERROR(INDEX('Public procurment'!A:R,MATCH(ListOfExpenditure[[#This Row],[Content.contractId]],'Public procurment'!E:E,0),14),0)</f>
        <v>0</v>
      </c>
      <c r="AN464" s="2">
        <f>IF(AND(ListOfExpenditure[[#This Row],[Contract amount]]&gt;10000,ListOfExpenditure[[#This Row],[Content.declaredAmount]]&gt;2000),1,0)</f>
        <v>0</v>
      </c>
      <c r="AO464">
        <f>IFERROR(INDEX('Public procurment'!A:S,MATCH(ListOfExpenditure[[#This Row],[Content.contractId]],'Public procurment'!E:E,0),19),0)</f>
        <v>0</v>
      </c>
      <c r="AP464">
        <f>IF(ListOfExpenditure[[#This Row],[Numero di volte controllato il contract ]]&gt;0,0,ListOfExpenditure[[#This Row],[IF public procurment &gt;10000;1;0]])</f>
        <v>0</v>
      </c>
    </row>
    <row r="465" spans="1:42" x14ac:dyDescent="0.25">
      <c r="A465">
        <v>1571</v>
      </c>
      <c r="B465">
        <v>1</v>
      </c>
      <c r="E465" t="s">
        <v>4798</v>
      </c>
      <c r="F465" t="b">
        <v>1</v>
      </c>
      <c r="I465" t="s">
        <v>212</v>
      </c>
      <c r="J465" t="s">
        <v>212</v>
      </c>
      <c r="M465" t="s">
        <v>4788</v>
      </c>
      <c r="N465" t="s">
        <v>4788</v>
      </c>
      <c r="O465">
        <v>0</v>
      </c>
      <c r="P465">
        <v>0</v>
      </c>
      <c r="Q465">
        <v>0</v>
      </c>
      <c r="R465">
        <v>0</v>
      </c>
      <c r="S465">
        <v>0</v>
      </c>
      <c r="T465" t="s">
        <v>4789</v>
      </c>
      <c r="U465">
        <v>1</v>
      </c>
      <c r="V465">
        <v>0</v>
      </c>
      <c r="Y465" t="b">
        <v>0</v>
      </c>
      <c r="Z465" t="b">
        <v>0</v>
      </c>
      <c r="AA465">
        <v>0</v>
      </c>
      <c r="AB465">
        <v>0</v>
      </c>
      <c r="AD465" t="b">
        <v>0</v>
      </c>
      <c r="AG465" s="1" t="s">
        <v>361</v>
      </c>
      <c r="AH465" s="1" t="s">
        <v>362</v>
      </c>
      <c r="AI465">
        <v>243</v>
      </c>
      <c r="AJ465">
        <v>152</v>
      </c>
      <c r="AK465" s="106">
        <v>45475.635483460646</v>
      </c>
      <c r="AL465" s="1" t="s">
        <v>4790</v>
      </c>
      <c r="AM465" s="42">
        <f>IFERROR(INDEX('Public procurment'!A:R,MATCH(ListOfExpenditure[[#This Row],[Content.contractId]],'Public procurment'!E:E,0),14),0)</f>
        <v>0</v>
      </c>
      <c r="AN465" s="2">
        <f>IF(AND(ListOfExpenditure[[#This Row],[Contract amount]]&gt;10000,ListOfExpenditure[[#This Row],[Content.declaredAmount]]&gt;2000),1,0)</f>
        <v>0</v>
      </c>
      <c r="AO465">
        <f>IFERROR(INDEX('Public procurment'!A:S,MATCH(ListOfExpenditure[[#This Row],[Content.contractId]],'Public procurment'!E:E,0),19),0)</f>
        <v>0</v>
      </c>
      <c r="AP465">
        <f>IF(ListOfExpenditure[[#This Row],[Numero di volte controllato il contract ]]&gt;0,0,ListOfExpenditure[[#This Row],[IF public procurment &gt;10000;1;0]])</f>
        <v>0</v>
      </c>
    </row>
    <row r="466" spans="1:42" x14ac:dyDescent="0.25">
      <c r="A466">
        <v>972</v>
      </c>
      <c r="B466">
        <v>1</v>
      </c>
      <c r="E466" t="s">
        <v>4786</v>
      </c>
      <c r="F466" t="b">
        <v>1</v>
      </c>
      <c r="I466" t="s">
        <v>5214</v>
      </c>
      <c r="K466" t="s">
        <v>4682</v>
      </c>
      <c r="L466" t="s">
        <v>4682</v>
      </c>
      <c r="M466" t="s">
        <v>4788</v>
      </c>
      <c r="N466" t="s">
        <v>4788</v>
      </c>
      <c r="O466">
        <v>16389.8</v>
      </c>
      <c r="Q466">
        <v>0</v>
      </c>
      <c r="R466">
        <v>0</v>
      </c>
      <c r="S466">
        <v>2825.6</v>
      </c>
      <c r="T466" t="s">
        <v>4789</v>
      </c>
      <c r="U466">
        <v>1</v>
      </c>
      <c r="V466">
        <v>2825.6</v>
      </c>
      <c r="W466" t="s">
        <v>4343</v>
      </c>
      <c r="Y466" t="b">
        <v>1</v>
      </c>
      <c r="Z466" t="b">
        <v>0</v>
      </c>
      <c r="AA466">
        <v>2825.6</v>
      </c>
      <c r="AB466">
        <v>0</v>
      </c>
      <c r="AD466" t="b">
        <v>0</v>
      </c>
      <c r="AG466" s="1" t="s">
        <v>361</v>
      </c>
      <c r="AH466" s="1" t="s">
        <v>363</v>
      </c>
      <c r="AI466">
        <v>239</v>
      </c>
      <c r="AJ466">
        <v>144</v>
      </c>
      <c r="AK466" s="106">
        <v>45475.635499363423</v>
      </c>
      <c r="AL466" s="1" t="s">
        <v>4790</v>
      </c>
      <c r="AM466" s="42">
        <f>IFERROR(INDEX('Public procurment'!A:R,MATCH(ListOfExpenditure[[#This Row],[Content.contractId]],'Public procurment'!E:E,0),14),0)</f>
        <v>0</v>
      </c>
      <c r="AN466" s="2">
        <f>IF(AND(ListOfExpenditure[[#This Row],[Contract amount]]&gt;10000,ListOfExpenditure[[#This Row],[Content.declaredAmount]]&gt;2000),1,0)</f>
        <v>0</v>
      </c>
      <c r="AO466">
        <f>IFERROR(INDEX('Public procurment'!A:S,MATCH(ListOfExpenditure[[#This Row],[Content.contractId]],'Public procurment'!E:E,0),19),0)</f>
        <v>0</v>
      </c>
      <c r="AP466">
        <f>IF(ListOfExpenditure[[#This Row],[Numero di volte controllato il contract ]]&gt;0,0,ListOfExpenditure[[#This Row],[IF public procurment &gt;10000;1;0]])</f>
        <v>0</v>
      </c>
    </row>
    <row r="467" spans="1:42" x14ac:dyDescent="0.25">
      <c r="A467">
        <v>973</v>
      </c>
      <c r="B467">
        <v>2</v>
      </c>
      <c r="E467" t="s">
        <v>4786</v>
      </c>
      <c r="F467" t="b">
        <v>1</v>
      </c>
      <c r="I467" t="s">
        <v>5215</v>
      </c>
      <c r="K467" t="s">
        <v>4682</v>
      </c>
      <c r="L467" t="s">
        <v>4682</v>
      </c>
      <c r="M467" t="s">
        <v>4788</v>
      </c>
      <c r="N467" t="s">
        <v>4788</v>
      </c>
      <c r="O467">
        <v>9001.2199999999993</v>
      </c>
      <c r="Q467">
        <v>0</v>
      </c>
      <c r="R467">
        <v>0</v>
      </c>
      <c r="S467">
        <v>2586.9499999999998</v>
      </c>
      <c r="T467" t="s">
        <v>4789</v>
      </c>
      <c r="U467">
        <v>1</v>
      </c>
      <c r="V467">
        <v>2586.9499999999998</v>
      </c>
      <c r="W467" t="s">
        <v>4343</v>
      </c>
      <c r="Y467" t="b">
        <v>1</v>
      </c>
      <c r="Z467" t="b">
        <v>0</v>
      </c>
      <c r="AA467">
        <v>2586.9499999999998</v>
      </c>
      <c r="AB467">
        <v>0</v>
      </c>
      <c r="AD467" t="b">
        <v>0</v>
      </c>
      <c r="AG467" s="1" t="s">
        <v>361</v>
      </c>
      <c r="AH467" s="1" t="s">
        <v>363</v>
      </c>
      <c r="AI467">
        <v>239</v>
      </c>
      <c r="AJ467">
        <v>144</v>
      </c>
      <c r="AK467" s="106">
        <v>45475.635499363423</v>
      </c>
      <c r="AL467" s="1" t="s">
        <v>4790</v>
      </c>
      <c r="AM467" s="42">
        <f>IFERROR(INDEX('Public procurment'!A:R,MATCH(ListOfExpenditure[[#This Row],[Content.contractId]],'Public procurment'!E:E,0),14),0)</f>
        <v>0</v>
      </c>
      <c r="AN467" s="2">
        <f>IF(AND(ListOfExpenditure[[#This Row],[Contract amount]]&gt;10000,ListOfExpenditure[[#This Row],[Content.declaredAmount]]&gt;2000),1,0)</f>
        <v>0</v>
      </c>
      <c r="AO467">
        <f>IFERROR(INDEX('Public procurment'!A:S,MATCH(ListOfExpenditure[[#This Row],[Content.contractId]],'Public procurment'!E:E,0),19),0)</f>
        <v>0</v>
      </c>
      <c r="AP467">
        <f>IF(ListOfExpenditure[[#This Row],[Numero di volte controllato il contract ]]&gt;0,0,ListOfExpenditure[[#This Row],[IF public procurment &gt;10000;1;0]])</f>
        <v>0</v>
      </c>
    </row>
    <row r="468" spans="1:42" x14ac:dyDescent="0.25">
      <c r="A468">
        <v>974</v>
      </c>
      <c r="B468">
        <v>3</v>
      </c>
      <c r="E468" t="s">
        <v>4786</v>
      </c>
      <c r="F468" t="b">
        <v>1</v>
      </c>
      <c r="I468" t="s">
        <v>5216</v>
      </c>
      <c r="K468" t="s">
        <v>4682</v>
      </c>
      <c r="L468" t="s">
        <v>4682</v>
      </c>
      <c r="M468" t="s">
        <v>4788</v>
      </c>
      <c r="N468" t="s">
        <v>4788</v>
      </c>
      <c r="O468">
        <v>12623.67</v>
      </c>
      <c r="Q468">
        <v>0</v>
      </c>
      <c r="R468">
        <v>0</v>
      </c>
      <c r="S468">
        <v>2611.84</v>
      </c>
      <c r="T468" t="s">
        <v>4789</v>
      </c>
      <c r="U468">
        <v>1</v>
      </c>
      <c r="V468">
        <v>2611.84</v>
      </c>
      <c r="W468" t="s">
        <v>4343</v>
      </c>
      <c r="Y468" t="b">
        <v>1</v>
      </c>
      <c r="Z468" t="b">
        <v>0</v>
      </c>
      <c r="AA468">
        <v>2611.84</v>
      </c>
      <c r="AB468">
        <v>0</v>
      </c>
      <c r="AD468" t="b">
        <v>0</v>
      </c>
      <c r="AG468" s="1" t="s">
        <v>361</v>
      </c>
      <c r="AH468" s="1" t="s">
        <v>363</v>
      </c>
      <c r="AI468">
        <v>239</v>
      </c>
      <c r="AJ468">
        <v>144</v>
      </c>
      <c r="AK468" s="106">
        <v>45475.635499363423</v>
      </c>
      <c r="AL468" s="1" t="s">
        <v>4790</v>
      </c>
      <c r="AM468" s="42">
        <f>IFERROR(INDEX('Public procurment'!A:R,MATCH(ListOfExpenditure[[#This Row],[Content.contractId]],'Public procurment'!E:E,0),14),0)</f>
        <v>0</v>
      </c>
      <c r="AN468" s="2">
        <f>IF(AND(ListOfExpenditure[[#This Row],[Contract amount]]&gt;10000,ListOfExpenditure[[#This Row],[Content.declaredAmount]]&gt;2000),1,0)</f>
        <v>0</v>
      </c>
      <c r="AO468">
        <f>IFERROR(INDEX('Public procurment'!A:S,MATCH(ListOfExpenditure[[#This Row],[Content.contractId]],'Public procurment'!E:E,0),19),0)</f>
        <v>0</v>
      </c>
      <c r="AP468">
        <f>IF(ListOfExpenditure[[#This Row],[Numero di volte controllato il contract ]]&gt;0,0,ListOfExpenditure[[#This Row],[IF public procurment &gt;10000;1;0]])</f>
        <v>0</v>
      </c>
    </row>
    <row r="469" spans="1:42" x14ac:dyDescent="0.25">
      <c r="A469">
        <v>975</v>
      </c>
      <c r="B469">
        <v>4</v>
      </c>
      <c r="E469" t="s">
        <v>4786</v>
      </c>
      <c r="F469" t="b">
        <v>1</v>
      </c>
      <c r="I469" t="s">
        <v>5217</v>
      </c>
      <c r="K469" t="s">
        <v>4682</v>
      </c>
      <c r="L469" t="s">
        <v>4682</v>
      </c>
      <c r="M469" t="s">
        <v>4788</v>
      </c>
      <c r="N469" t="s">
        <v>4788</v>
      </c>
      <c r="O469">
        <v>10931.6</v>
      </c>
      <c r="Q469">
        <v>0</v>
      </c>
      <c r="R469">
        <v>0</v>
      </c>
      <c r="S469">
        <v>3141.74</v>
      </c>
      <c r="T469" t="s">
        <v>4789</v>
      </c>
      <c r="U469">
        <v>1</v>
      </c>
      <c r="V469">
        <v>3141.74</v>
      </c>
      <c r="W469" t="s">
        <v>4343</v>
      </c>
      <c r="Y469" t="b">
        <v>1</v>
      </c>
      <c r="Z469" t="b">
        <v>0</v>
      </c>
      <c r="AA469">
        <v>3141.74</v>
      </c>
      <c r="AB469">
        <v>0</v>
      </c>
      <c r="AD469" t="b">
        <v>0</v>
      </c>
      <c r="AG469" s="1" t="s">
        <v>361</v>
      </c>
      <c r="AH469" s="1" t="s">
        <v>363</v>
      </c>
      <c r="AI469">
        <v>239</v>
      </c>
      <c r="AJ469">
        <v>144</v>
      </c>
      <c r="AK469" s="106">
        <v>45475.635499363423</v>
      </c>
      <c r="AL469" s="1" t="s">
        <v>4790</v>
      </c>
      <c r="AM469" s="42">
        <f>IFERROR(INDEX('Public procurment'!A:R,MATCH(ListOfExpenditure[[#This Row],[Content.contractId]],'Public procurment'!E:E,0),14),0)</f>
        <v>0</v>
      </c>
      <c r="AN469" s="2">
        <f>IF(AND(ListOfExpenditure[[#This Row],[Contract amount]]&gt;10000,ListOfExpenditure[[#This Row],[Content.declaredAmount]]&gt;2000),1,0)</f>
        <v>0</v>
      </c>
      <c r="AO469">
        <f>IFERROR(INDEX('Public procurment'!A:S,MATCH(ListOfExpenditure[[#This Row],[Content.contractId]],'Public procurment'!E:E,0),19),0)</f>
        <v>0</v>
      </c>
      <c r="AP469">
        <f>IF(ListOfExpenditure[[#This Row],[Numero di volte controllato il contract ]]&gt;0,0,ListOfExpenditure[[#This Row],[IF public procurment &gt;10000;1;0]])</f>
        <v>0</v>
      </c>
    </row>
    <row r="470" spans="1:42" x14ac:dyDescent="0.25">
      <c r="A470">
        <v>976</v>
      </c>
      <c r="B470">
        <v>5</v>
      </c>
      <c r="E470" t="s">
        <v>4786</v>
      </c>
      <c r="F470" t="b">
        <v>1</v>
      </c>
      <c r="I470" t="s">
        <v>5218</v>
      </c>
      <c r="K470" t="s">
        <v>4682</v>
      </c>
      <c r="L470" t="s">
        <v>4682</v>
      </c>
      <c r="M470" t="s">
        <v>4788</v>
      </c>
      <c r="N470" t="s">
        <v>4788</v>
      </c>
      <c r="O470">
        <v>12494.78</v>
      </c>
      <c r="Q470">
        <v>0</v>
      </c>
      <c r="R470">
        <v>0</v>
      </c>
      <c r="S470">
        <v>2154.1</v>
      </c>
      <c r="T470" t="s">
        <v>4789</v>
      </c>
      <c r="U470">
        <v>1</v>
      </c>
      <c r="V470">
        <v>2154.1</v>
      </c>
      <c r="W470" t="s">
        <v>4343</v>
      </c>
      <c r="Y470" t="b">
        <v>1</v>
      </c>
      <c r="Z470" t="b">
        <v>0</v>
      </c>
      <c r="AA470">
        <v>2154.09</v>
      </c>
      <c r="AB470">
        <v>0.01</v>
      </c>
      <c r="AC470">
        <v>14</v>
      </c>
      <c r="AD470" t="b">
        <v>0</v>
      </c>
      <c r="AF470" t="s">
        <v>5219</v>
      </c>
      <c r="AG470" s="1" t="s">
        <v>361</v>
      </c>
      <c r="AH470" s="1" t="s">
        <v>363</v>
      </c>
      <c r="AI470">
        <v>239</v>
      </c>
      <c r="AJ470">
        <v>144</v>
      </c>
      <c r="AK470" s="106">
        <v>45475.635499363423</v>
      </c>
      <c r="AL470" s="1" t="s">
        <v>4790</v>
      </c>
      <c r="AM470" s="42">
        <f>IFERROR(INDEX('Public procurment'!A:R,MATCH(ListOfExpenditure[[#This Row],[Content.contractId]],'Public procurment'!E:E,0),14),0)</f>
        <v>0</v>
      </c>
      <c r="AN470" s="2">
        <f>IF(AND(ListOfExpenditure[[#This Row],[Contract amount]]&gt;10000,ListOfExpenditure[[#This Row],[Content.declaredAmount]]&gt;2000),1,0)</f>
        <v>0</v>
      </c>
      <c r="AO470">
        <f>IFERROR(INDEX('Public procurment'!A:S,MATCH(ListOfExpenditure[[#This Row],[Content.contractId]],'Public procurment'!E:E,0),19),0)</f>
        <v>0</v>
      </c>
      <c r="AP470">
        <f>IF(ListOfExpenditure[[#This Row],[Numero di volte controllato il contract ]]&gt;0,0,ListOfExpenditure[[#This Row],[IF public procurment &gt;10000;1;0]])</f>
        <v>0</v>
      </c>
    </row>
    <row r="471" spans="1:42" x14ac:dyDescent="0.25">
      <c r="A471">
        <v>977</v>
      </c>
      <c r="B471">
        <v>6</v>
      </c>
      <c r="E471" t="s">
        <v>4786</v>
      </c>
      <c r="F471" t="b">
        <v>1</v>
      </c>
      <c r="I471" t="s">
        <v>5220</v>
      </c>
      <c r="K471" t="s">
        <v>4682</v>
      </c>
      <c r="L471" t="s">
        <v>4682</v>
      </c>
      <c r="M471" t="s">
        <v>4788</v>
      </c>
      <c r="N471" t="s">
        <v>4788</v>
      </c>
      <c r="O471">
        <v>17756.8</v>
      </c>
      <c r="Q471">
        <v>0</v>
      </c>
      <c r="R471">
        <v>0</v>
      </c>
      <c r="S471">
        <v>4490.6899999999996</v>
      </c>
      <c r="T471" t="s">
        <v>4789</v>
      </c>
      <c r="U471">
        <v>1</v>
      </c>
      <c r="V471">
        <v>4490.6899999999996</v>
      </c>
      <c r="W471" t="s">
        <v>4343</v>
      </c>
      <c r="Y471" t="b">
        <v>1</v>
      </c>
      <c r="Z471" t="b">
        <v>0</v>
      </c>
      <c r="AA471">
        <v>4490.6899999999996</v>
      </c>
      <c r="AB471">
        <v>0</v>
      </c>
      <c r="AD471" t="b">
        <v>0</v>
      </c>
      <c r="AF471" t="s">
        <v>5219</v>
      </c>
      <c r="AG471" s="1" t="s">
        <v>361</v>
      </c>
      <c r="AH471" s="1" t="s">
        <v>363</v>
      </c>
      <c r="AI471">
        <v>239</v>
      </c>
      <c r="AJ471">
        <v>144</v>
      </c>
      <c r="AK471" s="106">
        <v>45475.635499363423</v>
      </c>
      <c r="AL471" s="1" t="s">
        <v>4790</v>
      </c>
      <c r="AM471" s="42">
        <f>IFERROR(INDEX('Public procurment'!A:R,MATCH(ListOfExpenditure[[#This Row],[Content.contractId]],'Public procurment'!E:E,0),14),0)</f>
        <v>0</v>
      </c>
      <c r="AN471" s="2">
        <f>IF(AND(ListOfExpenditure[[#This Row],[Contract amount]]&gt;10000,ListOfExpenditure[[#This Row],[Content.declaredAmount]]&gt;2000),1,0)</f>
        <v>0</v>
      </c>
      <c r="AO471">
        <f>IFERROR(INDEX('Public procurment'!A:S,MATCH(ListOfExpenditure[[#This Row],[Content.contractId]],'Public procurment'!E:E,0),19),0)</f>
        <v>0</v>
      </c>
      <c r="AP471">
        <f>IF(ListOfExpenditure[[#This Row],[Numero di volte controllato il contract ]]&gt;0,0,ListOfExpenditure[[#This Row],[IF public procurment &gt;10000;1;0]])</f>
        <v>0</v>
      </c>
    </row>
    <row r="472" spans="1:42" x14ac:dyDescent="0.25">
      <c r="A472">
        <v>978</v>
      </c>
      <c r="B472">
        <v>7</v>
      </c>
      <c r="E472" t="s">
        <v>4786</v>
      </c>
      <c r="F472" t="b">
        <v>1</v>
      </c>
      <c r="I472" t="s">
        <v>5221</v>
      </c>
      <c r="K472" t="s">
        <v>4682</v>
      </c>
      <c r="L472" t="s">
        <v>4682</v>
      </c>
      <c r="M472" t="s">
        <v>4788</v>
      </c>
      <c r="N472" t="s">
        <v>4788</v>
      </c>
      <c r="O472">
        <v>17834.099999999999</v>
      </c>
      <c r="Q472">
        <v>0</v>
      </c>
      <c r="R472">
        <v>0</v>
      </c>
      <c r="S472">
        <v>6149.2</v>
      </c>
      <c r="T472" t="s">
        <v>4789</v>
      </c>
      <c r="U472">
        <v>1</v>
      </c>
      <c r="V472">
        <v>6149.2</v>
      </c>
      <c r="W472" t="s">
        <v>4343</v>
      </c>
      <c r="Y472" t="b">
        <v>1</v>
      </c>
      <c r="Z472" t="b">
        <v>0</v>
      </c>
      <c r="AA472">
        <v>6149.19</v>
      </c>
      <c r="AB472">
        <v>0.01</v>
      </c>
      <c r="AC472">
        <v>14</v>
      </c>
      <c r="AD472" t="b">
        <v>0</v>
      </c>
      <c r="AG472" s="1" t="s">
        <v>361</v>
      </c>
      <c r="AH472" s="1" t="s">
        <v>363</v>
      </c>
      <c r="AI472">
        <v>239</v>
      </c>
      <c r="AJ472">
        <v>144</v>
      </c>
      <c r="AK472" s="106">
        <v>45475.635499363423</v>
      </c>
      <c r="AL472" s="1" t="s">
        <v>4790</v>
      </c>
      <c r="AM472" s="42">
        <f>IFERROR(INDEX('Public procurment'!A:R,MATCH(ListOfExpenditure[[#This Row],[Content.contractId]],'Public procurment'!E:E,0),14),0)</f>
        <v>0</v>
      </c>
      <c r="AN472" s="2">
        <f>IF(AND(ListOfExpenditure[[#This Row],[Contract amount]]&gt;10000,ListOfExpenditure[[#This Row],[Content.declaredAmount]]&gt;2000),1,0)</f>
        <v>0</v>
      </c>
      <c r="AO472">
        <f>IFERROR(INDEX('Public procurment'!A:S,MATCH(ListOfExpenditure[[#This Row],[Content.contractId]],'Public procurment'!E:E,0),19),0)</f>
        <v>0</v>
      </c>
      <c r="AP472">
        <f>IF(ListOfExpenditure[[#This Row],[Numero di volte controllato il contract ]]&gt;0,0,ListOfExpenditure[[#This Row],[IF public procurment &gt;10000;1;0]])</f>
        <v>0</v>
      </c>
    </row>
    <row r="473" spans="1:42" x14ac:dyDescent="0.25">
      <c r="A473">
        <v>979</v>
      </c>
      <c r="B473">
        <v>8</v>
      </c>
      <c r="E473" t="s">
        <v>4786</v>
      </c>
      <c r="F473" t="b">
        <v>1</v>
      </c>
      <c r="I473" t="s">
        <v>5222</v>
      </c>
      <c r="K473" t="s">
        <v>4682</v>
      </c>
      <c r="L473" t="s">
        <v>4682</v>
      </c>
      <c r="M473" t="s">
        <v>4788</v>
      </c>
      <c r="N473" t="s">
        <v>4788</v>
      </c>
      <c r="O473">
        <v>11235.04</v>
      </c>
      <c r="Q473">
        <v>0</v>
      </c>
      <c r="R473">
        <v>0</v>
      </c>
      <c r="S473">
        <v>3099.75</v>
      </c>
      <c r="T473" t="s">
        <v>4789</v>
      </c>
      <c r="U473">
        <v>1</v>
      </c>
      <c r="V473">
        <v>3099.75</v>
      </c>
      <c r="W473" t="s">
        <v>4343</v>
      </c>
      <c r="Y473" t="b">
        <v>1</v>
      </c>
      <c r="Z473" t="b">
        <v>0</v>
      </c>
      <c r="AA473">
        <v>3099.75</v>
      </c>
      <c r="AB473">
        <v>0</v>
      </c>
      <c r="AD473" t="b">
        <v>0</v>
      </c>
      <c r="AG473" s="1" t="s">
        <v>361</v>
      </c>
      <c r="AH473" s="1" t="s">
        <v>363</v>
      </c>
      <c r="AI473">
        <v>239</v>
      </c>
      <c r="AJ473">
        <v>144</v>
      </c>
      <c r="AK473" s="106">
        <v>45475.635499363423</v>
      </c>
      <c r="AL473" s="1" t="s">
        <v>4790</v>
      </c>
      <c r="AM473" s="42">
        <f>IFERROR(INDEX('Public procurment'!A:R,MATCH(ListOfExpenditure[[#This Row],[Content.contractId]],'Public procurment'!E:E,0),14),0)</f>
        <v>0</v>
      </c>
      <c r="AN473" s="2">
        <f>IF(AND(ListOfExpenditure[[#This Row],[Contract amount]]&gt;10000,ListOfExpenditure[[#This Row],[Content.declaredAmount]]&gt;2000),1,0)</f>
        <v>0</v>
      </c>
      <c r="AO473">
        <f>IFERROR(INDEX('Public procurment'!A:S,MATCH(ListOfExpenditure[[#This Row],[Content.contractId]],'Public procurment'!E:E,0),19),0)</f>
        <v>0</v>
      </c>
      <c r="AP473">
        <f>IF(ListOfExpenditure[[#This Row],[Numero di volte controllato il contract ]]&gt;0,0,ListOfExpenditure[[#This Row],[IF public procurment &gt;10000;1;0]])</f>
        <v>0</v>
      </c>
    </row>
    <row r="474" spans="1:42" x14ac:dyDescent="0.25">
      <c r="A474">
        <v>980</v>
      </c>
      <c r="B474">
        <v>9</v>
      </c>
      <c r="E474" t="s">
        <v>4786</v>
      </c>
      <c r="F474" t="b">
        <v>1</v>
      </c>
      <c r="I474" t="s">
        <v>5223</v>
      </c>
      <c r="K474" t="s">
        <v>4682</v>
      </c>
      <c r="L474" t="s">
        <v>4682</v>
      </c>
      <c r="M474" t="s">
        <v>4788</v>
      </c>
      <c r="N474" t="s">
        <v>4788</v>
      </c>
      <c r="O474">
        <v>8725.3700000000008</v>
      </c>
      <c r="Q474">
        <v>0</v>
      </c>
      <c r="R474">
        <v>0</v>
      </c>
      <c r="S474">
        <v>1805.28</v>
      </c>
      <c r="T474" t="s">
        <v>4789</v>
      </c>
      <c r="U474">
        <v>1</v>
      </c>
      <c r="V474">
        <v>1805.28</v>
      </c>
      <c r="W474" t="s">
        <v>4343</v>
      </c>
      <c r="Y474" t="b">
        <v>1</v>
      </c>
      <c r="Z474" t="b">
        <v>0</v>
      </c>
      <c r="AA474">
        <v>1805.27</v>
      </c>
      <c r="AB474">
        <v>0.01</v>
      </c>
      <c r="AC474">
        <v>14</v>
      </c>
      <c r="AD474" t="b">
        <v>0</v>
      </c>
      <c r="AF474" t="s">
        <v>5219</v>
      </c>
      <c r="AG474" s="1" t="s">
        <v>361</v>
      </c>
      <c r="AH474" s="1" t="s">
        <v>363</v>
      </c>
      <c r="AI474">
        <v>239</v>
      </c>
      <c r="AJ474">
        <v>144</v>
      </c>
      <c r="AK474" s="106">
        <v>45475.635499363423</v>
      </c>
      <c r="AL474" s="1" t="s">
        <v>4790</v>
      </c>
      <c r="AM474" s="42">
        <f>IFERROR(INDEX('Public procurment'!A:R,MATCH(ListOfExpenditure[[#This Row],[Content.contractId]],'Public procurment'!E:E,0),14),0)</f>
        <v>0</v>
      </c>
      <c r="AN474" s="2">
        <f>IF(AND(ListOfExpenditure[[#This Row],[Contract amount]]&gt;10000,ListOfExpenditure[[#This Row],[Content.declaredAmount]]&gt;2000),1,0)</f>
        <v>0</v>
      </c>
      <c r="AO474">
        <f>IFERROR(INDEX('Public procurment'!A:S,MATCH(ListOfExpenditure[[#This Row],[Content.contractId]],'Public procurment'!E:E,0),19),0)</f>
        <v>0</v>
      </c>
      <c r="AP474">
        <f>IF(ListOfExpenditure[[#This Row],[Numero di volte controllato il contract ]]&gt;0,0,ListOfExpenditure[[#This Row],[IF public procurment &gt;10000;1;0]])</f>
        <v>0</v>
      </c>
    </row>
    <row r="475" spans="1:42" x14ac:dyDescent="0.25">
      <c r="A475">
        <v>981</v>
      </c>
      <c r="B475">
        <v>10</v>
      </c>
      <c r="E475" t="s">
        <v>4786</v>
      </c>
      <c r="F475" t="b">
        <v>1</v>
      </c>
      <c r="I475" t="s">
        <v>5224</v>
      </c>
      <c r="K475" t="s">
        <v>4682</v>
      </c>
      <c r="L475" t="s">
        <v>4682</v>
      </c>
      <c r="M475" t="s">
        <v>4788</v>
      </c>
      <c r="N475" t="s">
        <v>4788</v>
      </c>
      <c r="O475">
        <v>9423.4699999999993</v>
      </c>
      <c r="Q475">
        <v>0</v>
      </c>
      <c r="R475">
        <v>0</v>
      </c>
      <c r="S475">
        <v>1949.72</v>
      </c>
      <c r="T475" t="s">
        <v>4789</v>
      </c>
      <c r="U475">
        <v>1</v>
      </c>
      <c r="V475">
        <v>1949.72</v>
      </c>
      <c r="W475" t="s">
        <v>4343</v>
      </c>
      <c r="Y475" t="b">
        <v>1</v>
      </c>
      <c r="Z475" t="b">
        <v>0</v>
      </c>
      <c r="AA475">
        <v>1949.72</v>
      </c>
      <c r="AB475">
        <v>0</v>
      </c>
      <c r="AD475" t="b">
        <v>0</v>
      </c>
      <c r="AG475" s="1" t="s">
        <v>361</v>
      </c>
      <c r="AH475" s="1" t="s">
        <v>363</v>
      </c>
      <c r="AI475">
        <v>239</v>
      </c>
      <c r="AJ475">
        <v>144</v>
      </c>
      <c r="AK475" s="106">
        <v>45475.635499363423</v>
      </c>
      <c r="AL475" s="1" t="s">
        <v>4790</v>
      </c>
      <c r="AM475" s="42">
        <f>IFERROR(INDEX('Public procurment'!A:R,MATCH(ListOfExpenditure[[#This Row],[Content.contractId]],'Public procurment'!E:E,0),14),0)</f>
        <v>0</v>
      </c>
      <c r="AN475" s="2">
        <f>IF(AND(ListOfExpenditure[[#This Row],[Contract amount]]&gt;10000,ListOfExpenditure[[#This Row],[Content.declaredAmount]]&gt;2000),1,0)</f>
        <v>0</v>
      </c>
      <c r="AO475">
        <f>IFERROR(INDEX('Public procurment'!A:S,MATCH(ListOfExpenditure[[#This Row],[Content.contractId]],'Public procurment'!E:E,0),19),0)</f>
        <v>0</v>
      </c>
      <c r="AP475">
        <f>IF(ListOfExpenditure[[#This Row],[Numero di volte controllato il contract ]]&gt;0,0,ListOfExpenditure[[#This Row],[IF public procurment &gt;10000;1;0]])</f>
        <v>0</v>
      </c>
    </row>
    <row r="476" spans="1:42" x14ac:dyDescent="0.25">
      <c r="A476">
        <v>982</v>
      </c>
      <c r="B476">
        <v>11</v>
      </c>
      <c r="E476" t="s">
        <v>4786</v>
      </c>
      <c r="F476" t="b">
        <v>1</v>
      </c>
      <c r="I476" t="s">
        <v>5225</v>
      </c>
      <c r="K476" t="s">
        <v>4682</v>
      </c>
      <c r="L476" t="s">
        <v>4682</v>
      </c>
      <c r="M476" t="s">
        <v>4788</v>
      </c>
      <c r="N476" t="s">
        <v>4788</v>
      </c>
      <c r="O476">
        <v>3168.87</v>
      </c>
      <c r="Q476">
        <v>0</v>
      </c>
      <c r="R476">
        <v>0</v>
      </c>
      <c r="S476">
        <v>792.22</v>
      </c>
      <c r="T476" t="s">
        <v>4789</v>
      </c>
      <c r="U476">
        <v>1</v>
      </c>
      <c r="V476">
        <v>792.22</v>
      </c>
      <c r="W476" t="s">
        <v>4343</v>
      </c>
      <c r="Y476" t="b">
        <v>1</v>
      </c>
      <c r="Z476" t="b">
        <v>0</v>
      </c>
      <c r="AA476">
        <v>792.22</v>
      </c>
      <c r="AB476">
        <v>0</v>
      </c>
      <c r="AD476" t="b">
        <v>0</v>
      </c>
      <c r="AG476" s="1" t="s">
        <v>361</v>
      </c>
      <c r="AH476" s="1" t="s">
        <v>363</v>
      </c>
      <c r="AI476">
        <v>239</v>
      </c>
      <c r="AJ476">
        <v>144</v>
      </c>
      <c r="AK476" s="106">
        <v>45475.635499363423</v>
      </c>
      <c r="AL476" s="1" t="s">
        <v>4790</v>
      </c>
      <c r="AM476" s="42">
        <f>IFERROR(INDEX('Public procurment'!A:R,MATCH(ListOfExpenditure[[#This Row],[Content.contractId]],'Public procurment'!E:E,0),14),0)</f>
        <v>0</v>
      </c>
      <c r="AN476" s="2">
        <f>IF(AND(ListOfExpenditure[[#This Row],[Contract amount]]&gt;10000,ListOfExpenditure[[#This Row],[Content.declaredAmount]]&gt;2000),1,0)</f>
        <v>0</v>
      </c>
      <c r="AO476">
        <f>IFERROR(INDEX('Public procurment'!A:S,MATCH(ListOfExpenditure[[#This Row],[Content.contractId]],'Public procurment'!E:E,0),19),0)</f>
        <v>0</v>
      </c>
      <c r="AP476">
        <f>IF(ListOfExpenditure[[#This Row],[Numero di volte controllato il contract ]]&gt;0,0,ListOfExpenditure[[#This Row],[IF public procurment &gt;10000;1;0]])</f>
        <v>0</v>
      </c>
    </row>
    <row r="477" spans="1:42" x14ac:dyDescent="0.25">
      <c r="A477">
        <v>983</v>
      </c>
      <c r="B477">
        <v>12</v>
      </c>
      <c r="E477" t="s">
        <v>4786</v>
      </c>
      <c r="F477" t="b">
        <v>1</v>
      </c>
      <c r="I477" t="s">
        <v>5226</v>
      </c>
      <c r="K477" t="s">
        <v>4682</v>
      </c>
      <c r="L477" t="s">
        <v>4682</v>
      </c>
      <c r="M477" t="s">
        <v>4788</v>
      </c>
      <c r="N477" t="s">
        <v>4788</v>
      </c>
      <c r="O477">
        <v>11843.28</v>
      </c>
      <c r="Q477">
        <v>0</v>
      </c>
      <c r="R477">
        <v>0</v>
      </c>
      <c r="S477">
        <v>2722.77</v>
      </c>
      <c r="T477" t="s">
        <v>4789</v>
      </c>
      <c r="U477">
        <v>1</v>
      </c>
      <c r="V477">
        <v>2722.77</v>
      </c>
      <c r="W477" t="s">
        <v>4343</v>
      </c>
      <c r="Y477" t="b">
        <v>1</v>
      </c>
      <c r="Z477" t="b">
        <v>0</v>
      </c>
      <c r="AA477">
        <v>2722.77</v>
      </c>
      <c r="AB477">
        <v>0</v>
      </c>
      <c r="AD477" t="b">
        <v>0</v>
      </c>
      <c r="AG477" s="1" t="s">
        <v>361</v>
      </c>
      <c r="AH477" s="1" t="s">
        <v>363</v>
      </c>
      <c r="AI477">
        <v>239</v>
      </c>
      <c r="AJ477">
        <v>144</v>
      </c>
      <c r="AK477" s="106">
        <v>45475.635499363423</v>
      </c>
      <c r="AL477" s="1" t="s">
        <v>4790</v>
      </c>
      <c r="AM477" s="42">
        <f>IFERROR(INDEX('Public procurment'!A:R,MATCH(ListOfExpenditure[[#This Row],[Content.contractId]],'Public procurment'!E:E,0),14),0)</f>
        <v>0</v>
      </c>
      <c r="AN477" s="2">
        <f>IF(AND(ListOfExpenditure[[#This Row],[Contract amount]]&gt;10000,ListOfExpenditure[[#This Row],[Content.declaredAmount]]&gt;2000),1,0)</f>
        <v>0</v>
      </c>
      <c r="AO477">
        <f>IFERROR(INDEX('Public procurment'!A:S,MATCH(ListOfExpenditure[[#This Row],[Content.contractId]],'Public procurment'!E:E,0),19),0)</f>
        <v>0</v>
      </c>
      <c r="AP477">
        <f>IF(ListOfExpenditure[[#This Row],[Numero di volte controllato il contract ]]&gt;0,0,ListOfExpenditure[[#This Row],[IF public procurment &gt;10000;1;0]])</f>
        <v>0</v>
      </c>
    </row>
    <row r="478" spans="1:42" x14ac:dyDescent="0.25">
      <c r="A478">
        <v>984</v>
      </c>
      <c r="B478">
        <v>13</v>
      </c>
      <c r="E478" t="s">
        <v>4786</v>
      </c>
      <c r="F478" t="b">
        <v>0</v>
      </c>
      <c r="I478" t="s">
        <v>5227</v>
      </c>
      <c r="K478" t="s">
        <v>4682</v>
      </c>
      <c r="L478" t="s">
        <v>4682</v>
      </c>
      <c r="M478" t="s">
        <v>4788</v>
      </c>
      <c r="N478" t="s">
        <v>4788</v>
      </c>
      <c r="O478">
        <v>13015.5</v>
      </c>
      <c r="Q478">
        <v>0</v>
      </c>
      <c r="R478">
        <v>0</v>
      </c>
      <c r="S478">
        <v>2992.26</v>
      </c>
      <c r="T478" t="s">
        <v>4789</v>
      </c>
      <c r="U478">
        <v>1</v>
      </c>
      <c r="V478">
        <v>2992.26</v>
      </c>
      <c r="W478" t="s">
        <v>4343</v>
      </c>
      <c r="Y478" t="b">
        <v>1</v>
      </c>
      <c r="Z478" t="b">
        <v>0</v>
      </c>
      <c r="AA478">
        <v>2992.26</v>
      </c>
      <c r="AB478">
        <v>0</v>
      </c>
      <c r="AD478" t="b">
        <v>0</v>
      </c>
      <c r="AG478" s="1" t="s">
        <v>361</v>
      </c>
      <c r="AH478" s="1" t="s">
        <v>363</v>
      </c>
      <c r="AI478">
        <v>239</v>
      </c>
      <c r="AJ478">
        <v>144</v>
      </c>
      <c r="AK478" s="106">
        <v>45475.635499363423</v>
      </c>
      <c r="AL478" s="1" t="s">
        <v>4790</v>
      </c>
      <c r="AM478" s="42">
        <f>IFERROR(INDEX('Public procurment'!A:R,MATCH(ListOfExpenditure[[#This Row],[Content.contractId]],'Public procurment'!E:E,0),14),0)</f>
        <v>0</v>
      </c>
      <c r="AN478" s="2">
        <f>IF(AND(ListOfExpenditure[[#This Row],[Contract amount]]&gt;10000,ListOfExpenditure[[#This Row],[Content.declaredAmount]]&gt;2000),1,0)</f>
        <v>0</v>
      </c>
      <c r="AO478">
        <f>IFERROR(INDEX('Public procurment'!A:S,MATCH(ListOfExpenditure[[#This Row],[Content.contractId]],'Public procurment'!E:E,0),19),0)</f>
        <v>0</v>
      </c>
      <c r="AP478">
        <f>IF(ListOfExpenditure[[#This Row],[Numero di volte controllato il contract ]]&gt;0,0,ListOfExpenditure[[#This Row],[IF public procurment &gt;10000;1;0]])</f>
        <v>0</v>
      </c>
    </row>
    <row r="479" spans="1:42" x14ac:dyDescent="0.25">
      <c r="A479">
        <v>1508</v>
      </c>
      <c r="B479">
        <v>1</v>
      </c>
      <c r="E479" t="s">
        <v>4786</v>
      </c>
      <c r="F479" t="b">
        <v>1</v>
      </c>
      <c r="I479" t="s">
        <v>521</v>
      </c>
      <c r="K479" t="s">
        <v>4348</v>
      </c>
      <c r="L479" t="s">
        <v>4348</v>
      </c>
      <c r="M479" t="s">
        <v>4788</v>
      </c>
      <c r="N479" t="s">
        <v>4788</v>
      </c>
      <c r="O479">
        <v>20747.3</v>
      </c>
      <c r="Q479">
        <v>0</v>
      </c>
      <c r="R479">
        <v>0</v>
      </c>
      <c r="S479">
        <v>1348.55</v>
      </c>
      <c r="T479" t="s">
        <v>4789</v>
      </c>
      <c r="U479">
        <v>1</v>
      </c>
      <c r="V479">
        <v>1348.55</v>
      </c>
      <c r="W479" t="s">
        <v>4343</v>
      </c>
      <c r="Y479" t="b">
        <v>1</v>
      </c>
      <c r="Z479" t="b">
        <v>0</v>
      </c>
      <c r="AA479">
        <v>1348.55</v>
      </c>
      <c r="AB479">
        <v>0</v>
      </c>
      <c r="AD479" t="b">
        <v>0</v>
      </c>
      <c r="AF479" t="s">
        <v>5228</v>
      </c>
      <c r="AG479" s="1" t="s">
        <v>361</v>
      </c>
      <c r="AH479" s="1" t="s">
        <v>364</v>
      </c>
      <c r="AI479">
        <v>242</v>
      </c>
      <c r="AJ479">
        <v>230</v>
      </c>
      <c r="AK479" s="106">
        <v>45475.635496712966</v>
      </c>
      <c r="AL479" s="1" t="s">
        <v>4790</v>
      </c>
      <c r="AM479" s="42">
        <f>IFERROR(INDEX('Public procurment'!A:R,MATCH(ListOfExpenditure[[#This Row],[Content.contractId]],'Public procurment'!E:E,0),14),0)</f>
        <v>0</v>
      </c>
      <c r="AN479" s="2">
        <f>IF(AND(ListOfExpenditure[[#This Row],[Contract amount]]&gt;10000,ListOfExpenditure[[#This Row],[Content.declaredAmount]]&gt;2000),1,0)</f>
        <v>0</v>
      </c>
      <c r="AO479">
        <f>IFERROR(INDEX('Public procurment'!A:S,MATCH(ListOfExpenditure[[#This Row],[Content.contractId]],'Public procurment'!E:E,0),19),0)</f>
        <v>0</v>
      </c>
      <c r="AP479">
        <f>IF(ListOfExpenditure[[#This Row],[Numero di volte controllato il contract ]]&gt;0,0,ListOfExpenditure[[#This Row],[IF public procurment &gt;10000;1;0]])</f>
        <v>0</v>
      </c>
    </row>
    <row r="480" spans="1:42" x14ac:dyDescent="0.25">
      <c r="A480">
        <v>1509</v>
      </c>
      <c r="B480">
        <v>2</v>
      </c>
      <c r="E480" t="s">
        <v>4786</v>
      </c>
      <c r="F480" t="b">
        <v>1</v>
      </c>
      <c r="I480" t="s">
        <v>521</v>
      </c>
      <c r="K480" t="s">
        <v>4348</v>
      </c>
      <c r="L480" t="s">
        <v>4348</v>
      </c>
      <c r="M480" t="s">
        <v>4788</v>
      </c>
      <c r="N480" t="s">
        <v>4788</v>
      </c>
      <c r="O480">
        <v>28771.82</v>
      </c>
      <c r="Q480">
        <v>0</v>
      </c>
      <c r="R480">
        <v>0</v>
      </c>
      <c r="S480">
        <v>3452.6</v>
      </c>
      <c r="T480" t="s">
        <v>4789</v>
      </c>
      <c r="U480">
        <v>1</v>
      </c>
      <c r="V480">
        <v>3452.6</v>
      </c>
      <c r="W480" t="s">
        <v>4343</v>
      </c>
      <c r="Y480" t="b">
        <v>1</v>
      </c>
      <c r="Z480" t="b">
        <v>0</v>
      </c>
      <c r="AA480">
        <v>3452.6</v>
      </c>
      <c r="AB480">
        <v>0</v>
      </c>
      <c r="AD480" t="b">
        <v>0</v>
      </c>
      <c r="AF480" t="s">
        <v>5229</v>
      </c>
      <c r="AG480" s="1" t="s">
        <v>361</v>
      </c>
      <c r="AH480" s="1" t="s">
        <v>364</v>
      </c>
      <c r="AI480">
        <v>242</v>
      </c>
      <c r="AJ480">
        <v>230</v>
      </c>
      <c r="AK480" s="106">
        <v>45475.635496712966</v>
      </c>
      <c r="AL480" s="1" t="s">
        <v>4790</v>
      </c>
      <c r="AM480" s="42">
        <f>IFERROR(INDEX('Public procurment'!A:R,MATCH(ListOfExpenditure[[#This Row],[Content.contractId]],'Public procurment'!E:E,0),14),0)</f>
        <v>0</v>
      </c>
      <c r="AN480" s="2">
        <f>IF(AND(ListOfExpenditure[[#This Row],[Contract amount]]&gt;10000,ListOfExpenditure[[#This Row],[Content.declaredAmount]]&gt;2000),1,0)</f>
        <v>0</v>
      </c>
      <c r="AO480">
        <f>IFERROR(INDEX('Public procurment'!A:S,MATCH(ListOfExpenditure[[#This Row],[Content.contractId]],'Public procurment'!E:E,0),19),0)</f>
        <v>0</v>
      </c>
      <c r="AP480">
        <f>IF(ListOfExpenditure[[#This Row],[Numero di volte controllato il contract ]]&gt;0,0,ListOfExpenditure[[#This Row],[IF public procurment &gt;10000;1;0]])</f>
        <v>0</v>
      </c>
    </row>
    <row r="481" spans="1:42" x14ac:dyDescent="0.25">
      <c r="A481">
        <v>1510</v>
      </c>
      <c r="B481">
        <v>3</v>
      </c>
      <c r="E481" t="s">
        <v>4786</v>
      </c>
      <c r="F481" t="b">
        <v>1</v>
      </c>
      <c r="I481" t="s">
        <v>521</v>
      </c>
      <c r="K481" t="s">
        <v>4348</v>
      </c>
      <c r="L481" t="s">
        <v>4348</v>
      </c>
      <c r="M481" t="s">
        <v>4788</v>
      </c>
      <c r="N481" t="s">
        <v>4788</v>
      </c>
      <c r="O481">
        <v>19895.62</v>
      </c>
      <c r="Q481">
        <v>0</v>
      </c>
      <c r="R481">
        <v>0</v>
      </c>
      <c r="S481">
        <v>1790.61</v>
      </c>
      <c r="T481" t="s">
        <v>4789</v>
      </c>
      <c r="U481">
        <v>1</v>
      </c>
      <c r="V481">
        <v>1790.61</v>
      </c>
      <c r="W481" t="s">
        <v>4343</v>
      </c>
      <c r="Y481" t="b">
        <v>1</v>
      </c>
      <c r="Z481" t="b">
        <v>0</v>
      </c>
      <c r="AA481">
        <v>1790.61</v>
      </c>
      <c r="AB481">
        <v>0</v>
      </c>
      <c r="AD481" t="b">
        <v>0</v>
      </c>
      <c r="AF481" t="s">
        <v>5230</v>
      </c>
      <c r="AG481" s="1" t="s">
        <v>361</v>
      </c>
      <c r="AH481" s="1" t="s">
        <v>364</v>
      </c>
      <c r="AI481">
        <v>242</v>
      </c>
      <c r="AJ481">
        <v>230</v>
      </c>
      <c r="AK481" s="106">
        <v>45475.635496712966</v>
      </c>
      <c r="AL481" s="1" t="s">
        <v>4790</v>
      </c>
      <c r="AM481" s="42">
        <f>IFERROR(INDEX('Public procurment'!A:R,MATCH(ListOfExpenditure[[#This Row],[Content.contractId]],'Public procurment'!E:E,0),14),0)</f>
        <v>0</v>
      </c>
      <c r="AN481" s="2">
        <f>IF(AND(ListOfExpenditure[[#This Row],[Contract amount]]&gt;10000,ListOfExpenditure[[#This Row],[Content.declaredAmount]]&gt;2000),1,0)</f>
        <v>0</v>
      </c>
      <c r="AO481">
        <f>IFERROR(INDEX('Public procurment'!A:S,MATCH(ListOfExpenditure[[#This Row],[Content.contractId]],'Public procurment'!E:E,0),19),0)</f>
        <v>0</v>
      </c>
      <c r="AP481">
        <f>IF(ListOfExpenditure[[#This Row],[Numero di volte controllato il contract ]]&gt;0,0,ListOfExpenditure[[#This Row],[IF public procurment &gt;10000;1;0]])</f>
        <v>0</v>
      </c>
    </row>
    <row r="482" spans="1:42" x14ac:dyDescent="0.25">
      <c r="A482">
        <v>1511</v>
      </c>
      <c r="B482">
        <v>4</v>
      </c>
      <c r="E482" t="s">
        <v>4786</v>
      </c>
      <c r="F482" t="b">
        <v>1</v>
      </c>
      <c r="I482" t="s">
        <v>521</v>
      </c>
      <c r="K482" t="s">
        <v>4348</v>
      </c>
      <c r="L482" t="s">
        <v>4348</v>
      </c>
      <c r="M482" t="s">
        <v>4788</v>
      </c>
      <c r="N482" t="s">
        <v>4788</v>
      </c>
      <c r="O482">
        <v>19895.62</v>
      </c>
      <c r="Q482">
        <v>0</v>
      </c>
      <c r="R482">
        <v>0</v>
      </c>
      <c r="S482">
        <v>1790.61</v>
      </c>
      <c r="T482" t="s">
        <v>4789</v>
      </c>
      <c r="U482">
        <v>1</v>
      </c>
      <c r="V482">
        <v>1790.61</v>
      </c>
      <c r="W482" t="s">
        <v>4343</v>
      </c>
      <c r="Y482" t="b">
        <v>1</v>
      </c>
      <c r="Z482" t="b">
        <v>0</v>
      </c>
      <c r="AA482">
        <v>1790.61</v>
      </c>
      <c r="AB482">
        <v>0</v>
      </c>
      <c r="AD482" t="b">
        <v>0</v>
      </c>
      <c r="AF482" t="s">
        <v>5231</v>
      </c>
      <c r="AG482" s="1" t="s">
        <v>361</v>
      </c>
      <c r="AH482" s="1" t="s">
        <v>364</v>
      </c>
      <c r="AI482">
        <v>242</v>
      </c>
      <c r="AJ482">
        <v>230</v>
      </c>
      <c r="AK482" s="106">
        <v>45475.635496712966</v>
      </c>
      <c r="AL482" s="1" t="s">
        <v>4790</v>
      </c>
      <c r="AM482" s="42">
        <f>IFERROR(INDEX('Public procurment'!A:R,MATCH(ListOfExpenditure[[#This Row],[Content.contractId]],'Public procurment'!E:E,0),14),0)</f>
        <v>0</v>
      </c>
      <c r="AN482" s="2">
        <f>IF(AND(ListOfExpenditure[[#This Row],[Contract amount]]&gt;10000,ListOfExpenditure[[#This Row],[Content.declaredAmount]]&gt;2000),1,0)</f>
        <v>0</v>
      </c>
      <c r="AO482">
        <f>IFERROR(INDEX('Public procurment'!A:S,MATCH(ListOfExpenditure[[#This Row],[Content.contractId]],'Public procurment'!E:E,0),19),0)</f>
        <v>0</v>
      </c>
      <c r="AP482">
        <f>IF(ListOfExpenditure[[#This Row],[Numero di volte controllato il contract ]]&gt;0,0,ListOfExpenditure[[#This Row],[IF public procurment &gt;10000;1;0]])</f>
        <v>0</v>
      </c>
    </row>
    <row r="483" spans="1:42" x14ac:dyDescent="0.25">
      <c r="A483">
        <v>1512</v>
      </c>
      <c r="B483">
        <v>5</v>
      </c>
      <c r="E483" t="s">
        <v>4786</v>
      </c>
      <c r="F483" t="b">
        <v>1</v>
      </c>
      <c r="I483" t="s">
        <v>521</v>
      </c>
      <c r="K483" t="s">
        <v>4348</v>
      </c>
      <c r="L483" t="s">
        <v>4348</v>
      </c>
      <c r="M483" t="s">
        <v>4788</v>
      </c>
      <c r="N483" t="s">
        <v>4788</v>
      </c>
      <c r="O483">
        <v>14880.81</v>
      </c>
      <c r="Q483">
        <v>0</v>
      </c>
      <c r="R483">
        <v>0</v>
      </c>
      <c r="S483">
        <v>1339.28</v>
      </c>
      <c r="T483" t="s">
        <v>4789</v>
      </c>
      <c r="U483">
        <v>1</v>
      </c>
      <c r="V483">
        <v>1339.28</v>
      </c>
      <c r="W483" t="s">
        <v>4343</v>
      </c>
      <c r="Y483" t="b">
        <v>1</v>
      </c>
      <c r="Z483" t="b">
        <v>0</v>
      </c>
      <c r="AA483">
        <v>1339.28</v>
      </c>
      <c r="AB483">
        <v>0</v>
      </c>
      <c r="AD483" t="b">
        <v>0</v>
      </c>
      <c r="AF483" t="s">
        <v>5228</v>
      </c>
      <c r="AG483" s="1" t="s">
        <v>361</v>
      </c>
      <c r="AH483" s="1" t="s">
        <v>364</v>
      </c>
      <c r="AI483">
        <v>242</v>
      </c>
      <c r="AJ483">
        <v>230</v>
      </c>
      <c r="AK483" s="106">
        <v>45475.635496712966</v>
      </c>
      <c r="AL483" s="1" t="s">
        <v>4790</v>
      </c>
      <c r="AM483" s="42">
        <f>IFERROR(INDEX('Public procurment'!A:R,MATCH(ListOfExpenditure[[#This Row],[Content.contractId]],'Public procurment'!E:E,0),14),0)</f>
        <v>0</v>
      </c>
      <c r="AN483" s="2">
        <f>IF(AND(ListOfExpenditure[[#This Row],[Contract amount]]&gt;10000,ListOfExpenditure[[#This Row],[Content.declaredAmount]]&gt;2000),1,0)</f>
        <v>0</v>
      </c>
      <c r="AO483">
        <f>IFERROR(INDEX('Public procurment'!A:S,MATCH(ListOfExpenditure[[#This Row],[Content.contractId]],'Public procurment'!E:E,0),19),0)</f>
        <v>0</v>
      </c>
      <c r="AP483">
        <f>IF(ListOfExpenditure[[#This Row],[Numero di volte controllato il contract ]]&gt;0,0,ListOfExpenditure[[#This Row],[IF public procurment &gt;10000;1;0]])</f>
        <v>0</v>
      </c>
    </row>
    <row r="484" spans="1:42" x14ac:dyDescent="0.25">
      <c r="A484">
        <v>1513</v>
      </c>
      <c r="B484">
        <v>6</v>
      </c>
      <c r="E484" t="s">
        <v>4786</v>
      </c>
      <c r="F484" t="b">
        <v>1</v>
      </c>
      <c r="I484" t="s">
        <v>521</v>
      </c>
      <c r="K484" t="s">
        <v>4348</v>
      </c>
      <c r="L484" t="s">
        <v>4348</v>
      </c>
      <c r="M484" t="s">
        <v>4788</v>
      </c>
      <c r="N484" t="s">
        <v>4788</v>
      </c>
      <c r="O484">
        <v>11741.2</v>
      </c>
      <c r="Q484">
        <v>0</v>
      </c>
      <c r="R484">
        <v>0</v>
      </c>
      <c r="S484">
        <v>939.3</v>
      </c>
      <c r="T484" t="s">
        <v>4789</v>
      </c>
      <c r="U484">
        <v>1</v>
      </c>
      <c r="V484">
        <v>939.3</v>
      </c>
      <c r="W484" t="s">
        <v>4343</v>
      </c>
      <c r="Y484" t="b">
        <v>1</v>
      </c>
      <c r="Z484" t="b">
        <v>0</v>
      </c>
      <c r="AA484">
        <v>939.3</v>
      </c>
      <c r="AB484">
        <v>0</v>
      </c>
      <c r="AD484" t="b">
        <v>0</v>
      </c>
      <c r="AF484" t="s">
        <v>5231</v>
      </c>
      <c r="AG484" s="1" t="s">
        <v>361</v>
      </c>
      <c r="AH484" s="1" t="s">
        <v>364</v>
      </c>
      <c r="AI484">
        <v>242</v>
      </c>
      <c r="AJ484">
        <v>230</v>
      </c>
      <c r="AK484" s="106">
        <v>45475.635496712966</v>
      </c>
      <c r="AL484" s="1" t="s">
        <v>4790</v>
      </c>
      <c r="AM484" s="42">
        <f>IFERROR(INDEX('Public procurment'!A:R,MATCH(ListOfExpenditure[[#This Row],[Content.contractId]],'Public procurment'!E:E,0),14),0)</f>
        <v>0</v>
      </c>
      <c r="AN484" s="2">
        <f>IF(AND(ListOfExpenditure[[#This Row],[Contract amount]]&gt;10000,ListOfExpenditure[[#This Row],[Content.declaredAmount]]&gt;2000),1,0)</f>
        <v>0</v>
      </c>
      <c r="AO484">
        <f>IFERROR(INDEX('Public procurment'!A:S,MATCH(ListOfExpenditure[[#This Row],[Content.contractId]],'Public procurment'!E:E,0),19),0)</f>
        <v>0</v>
      </c>
      <c r="AP484">
        <f>IF(ListOfExpenditure[[#This Row],[Numero di volte controllato il contract ]]&gt;0,0,ListOfExpenditure[[#This Row],[IF public procurment &gt;10000;1;0]])</f>
        <v>0</v>
      </c>
    </row>
    <row r="485" spans="1:42" x14ac:dyDescent="0.25">
      <c r="A485">
        <v>1514</v>
      </c>
      <c r="B485">
        <v>7</v>
      </c>
      <c r="E485" t="s">
        <v>4786</v>
      </c>
      <c r="F485" t="b">
        <v>1</v>
      </c>
      <c r="I485" t="s">
        <v>521</v>
      </c>
      <c r="K485" t="s">
        <v>4348</v>
      </c>
      <c r="L485" t="s">
        <v>4348</v>
      </c>
      <c r="M485" t="s">
        <v>4788</v>
      </c>
      <c r="N485" t="s">
        <v>4788</v>
      </c>
      <c r="O485">
        <v>13152.52</v>
      </c>
      <c r="Q485">
        <v>0</v>
      </c>
      <c r="R485">
        <v>0</v>
      </c>
      <c r="S485">
        <v>1183.73</v>
      </c>
      <c r="T485" t="s">
        <v>4789</v>
      </c>
      <c r="U485">
        <v>1</v>
      </c>
      <c r="V485">
        <v>1183.73</v>
      </c>
      <c r="W485" t="s">
        <v>4343</v>
      </c>
      <c r="Y485" t="b">
        <v>1</v>
      </c>
      <c r="Z485" t="b">
        <v>0</v>
      </c>
      <c r="AA485">
        <v>1183.73</v>
      </c>
      <c r="AB485">
        <v>0</v>
      </c>
      <c r="AD485" t="b">
        <v>0</v>
      </c>
      <c r="AF485" t="s">
        <v>5229</v>
      </c>
      <c r="AG485" s="1" t="s">
        <v>361</v>
      </c>
      <c r="AH485" s="1" t="s">
        <v>364</v>
      </c>
      <c r="AI485">
        <v>242</v>
      </c>
      <c r="AJ485">
        <v>230</v>
      </c>
      <c r="AK485" s="106">
        <v>45475.635496712966</v>
      </c>
      <c r="AL485" s="1" t="s">
        <v>4790</v>
      </c>
      <c r="AM485" s="42">
        <f>IFERROR(INDEX('Public procurment'!A:R,MATCH(ListOfExpenditure[[#This Row],[Content.contractId]],'Public procurment'!E:E,0),14),0)</f>
        <v>0</v>
      </c>
      <c r="AN485" s="2">
        <f>IF(AND(ListOfExpenditure[[#This Row],[Contract amount]]&gt;10000,ListOfExpenditure[[#This Row],[Content.declaredAmount]]&gt;2000),1,0)</f>
        <v>0</v>
      </c>
      <c r="AO485">
        <f>IFERROR(INDEX('Public procurment'!A:S,MATCH(ListOfExpenditure[[#This Row],[Content.contractId]],'Public procurment'!E:E,0),19),0)</f>
        <v>0</v>
      </c>
      <c r="AP485">
        <f>IF(ListOfExpenditure[[#This Row],[Numero di volte controllato il contract ]]&gt;0,0,ListOfExpenditure[[#This Row],[IF public procurment &gt;10000;1;0]])</f>
        <v>0</v>
      </c>
    </row>
    <row r="486" spans="1:42" x14ac:dyDescent="0.25">
      <c r="A486">
        <v>697</v>
      </c>
      <c r="B486">
        <v>1</v>
      </c>
      <c r="C486">
        <v>108</v>
      </c>
      <c r="E486" t="s">
        <v>4893</v>
      </c>
      <c r="F486" t="b">
        <v>0</v>
      </c>
      <c r="M486" t="s">
        <v>4788</v>
      </c>
      <c r="N486" t="s">
        <v>4788</v>
      </c>
      <c r="Q486">
        <v>1</v>
      </c>
      <c r="R486">
        <v>9000</v>
      </c>
      <c r="S486">
        <v>9000</v>
      </c>
      <c r="T486" t="s">
        <v>4789</v>
      </c>
      <c r="U486">
        <v>1</v>
      </c>
      <c r="V486">
        <v>9000</v>
      </c>
      <c r="Y486" t="b">
        <v>1</v>
      </c>
      <c r="Z486" t="b">
        <v>0</v>
      </c>
      <c r="AA486">
        <v>9000</v>
      </c>
      <c r="AB486">
        <v>0</v>
      </c>
      <c r="AD486" t="b">
        <v>0</v>
      </c>
      <c r="AG486" s="1" t="s">
        <v>361</v>
      </c>
      <c r="AH486" s="1" t="s">
        <v>300</v>
      </c>
      <c r="AI486">
        <v>238</v>
      </c>
      <c r="AJ486">
        <v>143</v>
      </c>
      <c r="AK486" s="106">
        <v>45475.635514560185</v>
      </c>
      <c r="AL486" s="1" t="s">
        <v>4790</v>
      </c>
      <c r="AM486" s="42">
        <f>IFERROR(INDEX('Public procurment'!A:R,MATCH(ListOfExpenditure[[#This Row],[Content.contractId]],'Public procurment'!E:E,0),14),0)</f>
        <v>0</v>
      </c>
      <c r="AN486" s="2">
        <f>IF(AND(ListOfExpenditure[[#This Row],[Contract amount]]&gt;10000,ListOfExpenditure[[#This Row],[Content.declaredAmount]]&gt;2000),1,0)</f>
        <v>0</v>
      </c>
      <c r="AO486">
        <f>IFERROR(INDEX('Public procurment'!A:S,MATCH(ListOfExpenditure[[#This Row],[Content.contractId]],'Public procurment'!E:E,0),19),0)</f>
        <v>0</v>
      </c>
      <c r="AP486">
        <f>IF(ListOfExpenditure[[#This Row],[Numero di volte controllato il contract ]]&gt;0,0,ListOfExpenditure[[#This Row],[IF public procurment &gt;10000;1;0]])</f>
        <v>0</v>
      </c>
    </row>
    <row r="487" spans="1:42" x14ac:dyDescent="0.25">
      <c r="A487">
        <v>1217</v>
      </c>
      <c r="B487">
        <v>2</v>
      </c>
      <c r="E487" t="s">
        <v>4798</v>
      </c>
      <c r="F487" t="b">
        <v>0</v>
      </c>
      <c r="I487" t="s">
        <v>5232</v>
      </c>
      <c r="J487" t="s">
        <v>5233</v>
      </c>
      <c r="K487" t="s">
        <v>5234</v>
      </c>
      <c r="L487" t="s">
        <v>4925</v>
      </c>
      <c r="M487" t="s">
        <v>4788</v>
      </c>
      <c r="N487" t="s">
        <v>4788</v>
      </c>
      <c r="O487">
        <v>651.48</v>
      </c>
      <c r="P487">
        <v>117.48</v>
      </c>
      <c r="Q487">
        <v>0</v>
      </c>
      <c r="R487">
        <v>0</v>
      </c>
      <c r="S487">
        <v>651.48</v>
      </c>
      <c r="T487" t="s">
        <v>4789</v>
      </c>
      <c r="U487">
        <v>1</v>
      </c>
      <c r="V487">
        <v>651.48</v>
      </c>
      <c r="W487" t="s">
        <v>4343</v>
      </c>
      <c r="Y487" t="b">
        <v>1</v>
      </c>
      <c r="Z487" t="b">
        <v>0</v>
      </c>
      <c r="AA487">
        <v>651.48</v>
      </c>
      <c r="AB487">
        <v>0</v>
      </c>
      <c r="AD487" t="b">
        <v>0</v>
      </c>
      <c r="AG487" s="1" t="s">
        <v>361</v>
      </c>
      <c r="AH487" s="1" t="s">
        <v>300</v>
      </c>
      <c r="AI487">
        <v>238</v>
      </c>
      <c r="AJ487">
        <v>143</v>
      </c>
      <c r="AK487" s="106">
        <v>45475.635514560185</v>
      </c>
      <c r="AL487" s="1" t="s">
        <v>4790</v>
      </c>
      <c r="AM487" s="42">
        <f>IFERROR(INDEX('Public procurment'!A:R,MATCH(ListOfExpenditure[[#This Row],[Content.contractId]],'Public procurment'!E:E,0),14),0)</f>
        <v>0</v>
      </c>
      <c r="AN487" s="2">
        <f>IF(AND(ListOfExpenditure[[#This Row],[Contract amount]]&gt;10000,ListOfExpenditure[[#This Row],[Content.declaredAmount]]&gt;2000),1,0)</f>
        <v>0</v>
      </c>
      <c r="AO487">
        <f>IFERROR(INDEX('Public procurment'!A:S,MATCH(ListOfExpenditure[[#This Row],[Content.contractId]],'Public procurment'!E:E,0),19),0)</f>
        <v>0</v>
      </c>
      <c r="AP487">
        <f>IF(ListOfExpenditure[[#This Row],[Numero di volte controllato il contract ]]&gt;0,0,ListOfExpenditure[[#This Row],[IF public procurment &gt;10000;1;0]])</f>
        <v>0</v>
      </c>
    </row>
    <row r="488" spans="1:42" x14ac:dyDescent="0.25">
      <c r="A488">
        <v>1218</v>
      </c>
      <c r="B488">
        <v>3</v>
      </c>
      <c r="E488" t="s">
        <v>4798</v>
      </c>
      <c r="F488" t="b">
        <v>0</v>
      </c>
      <c r="I488" t="s">
        <v>5235</v>
      </c>
      <c r="J488" t="s">
        <v>5236</v>
      </c>
      <c r="K488" t="s">
        <v>5180</v>
      </c>
      <c r="L488" t="s">
        <v>4999</v>
      </c>
      <c r="M488" t="s">
        <v>4788</v>
      </c>
      <c r="N488" t="s">
        <v>4788</v>
      </c>
      <c r="O488">
        <v>394.89</v>
      </c>
      <c r="P488">
        <v>71.209999999999994</v>
      </c>
      <c r="Q488">
        <v>0</v>
      </c>
      <c r="R488">
        <v>0</v>
      </c>
      <c r="S488">
        <v>394.89</v>
      </c>
      <c r="T488" t="s">
        <v>4789</v>
      </c>
      <c r="U488">
        <v>1</v>
      </c>
      <c r="V488">
        <v>394.89</v>
      </c>
      <c r="W488" t="s">
        <v>4343</v>
      </c>
      <c r="Y488" t="b">
        <v>1</v>
      </c>
      <c r="Z488" t="b">
        <v>0</v>
      </c>
      <c r="AA488">
        <v>394.89</v>
      </c>
      <c r="AB488">
        <v>0</v>
      </c>
      <c r="AD488" t="b">
        <v>0</v>
      </c>
      <c r="AG488" s="1" t="s">
        <v>361</v>
      </c>
      <c r="AH488" s="1" t="s">
        <v>300</v>
      </c>
      <c r="AI488">
        <v>238</v>
      </c>
      <c r="AJ488">
        <v>143</v>
      </c>
      <c r="AK488" s="106">
        <v>45475.635514560185</v>
      </c>
      <c r="AL488" s="1" t="s">
        <v>4790</v>
      </c>
      <c r="AM488" s="42">
        <f>IFERROR(INDEX('Public procurment'!A:R,MATCH(ListOfExpenditure[[#This Row],[Content.contractId]],'Public procurment'!E:E,0),14),0)</f>
        <v>0</v>
      </c>
      <c r="AN488" s="2">
        <f>IF(AND(ListOfExpenditure[[#This Row],[Contract amount]]&gt;10000,ListOfExpenditure[[#This Row],[Content.declaredAmount]]&gt;2000),1,0)</f>
        <v>0</v>
      </c>
      <c r="AO488">
        <f>IFERROR(INDEX('Public procurment'!A:S,MATCH(ListOfExpenditure[[#This Row],[Content.contractId]],'Public procurment'!E:E,0),19),0)</f>
        <v>0</v>
      </c>
      <c r="AP488">
        <f>IF(ListOfExpenditure[[#This Row],[Numero di volte controllato il contract ]]&gt;0,0,ListOfExpenditure[[#This Row],[IF public procurment &gt;10000;1;0]])</f>
        <v>0</v>
      </c>
    </row>
    <row r="489" spans="1:42" x14ac:dyDescent="0.25">
      <c r="A489">
        <v>1295</v>
      </c>
      <c r="B489">
        <v>4</v>
      </c>
      <c r="E489" t="s">
        <v>4798</v>
      </c>
      <c r="F489" t="b">
        <v>0</v>
      </c>
      <c r="I489" t="s">
        <v>5237</v>
      </c>
      <c r="J489" t="s">
        <v>5238</v>
      </c>
      <c r="K489" t="s">
        <v>4359</v>
      </c>
      <c r="L489" t="s">
        <v>5239</v>
      </c>
      <c r="M489" t="s">
        <v>4788</v>
      </c>
      <c r="N489" t="s">
        <v>4788</v>
      </c>
      <c r="O489">
        <v>489.58</v>
      </c>
      <c r="P489">
        <v>42.47</v>
      </c>
      <c r="Q489">
        <v>0</v>
      </c>
      <c r="R489">
        <v>0</v>
      </c>
      <c r="S489">
        <v>489.58</v>
      </c>
      <c r="T489" t="s">
        <v>4789</v>
      </c>
      <c r="U489">
        <v>1</v>
      </c>
      <c r="V489">
        <v>489.58</v>
      </c>
      <c r="W489" t="s">
        <v>4343</v>
      </c>
      <c r="Y489" t="b">
        <v>1</v>
      </c>
      <c r="Z489" t="b">
        <v>0</v>
      </c>
      <c r="AA489">
        <v>489.58</v>
      </c>
      <c r="AB489">
        <v>0</v>
      </c>
      <c r="AD489" t="b">
        <v>0</v>
      </c>
      <c r="AG489" s="1" t="s">
        <v>361</v>
      </c>
      <c r="AH489" s="1" t="s">
        <v>300</v>
      </c>
      <c r="AI489">
        <v>238</v>
      </c>
      <c r="AJ489">
        <v>143</v>
      </c>
      <c r="AK489" s="106">
        <v>45475.635514560185</v>
      </c>
      <c r="AL489" s="1" t="s">
        <v>4790</v>
      </c>
      <c r="AM489" s="42">
        <f>IFERROR(INDEX('Public procurment'!A:R,MATCH(ListOfExpenditure[[#This Row],[Content.contractId]],'Public procurment'!E:E,0),14),0)</f>
        <v>0</v>
      </c>
      <c r="AN489" s="2">
        <f>IF(AND(ListOfExpenditure[[#This Row],[Contract amount]]&gt;10000,ListOfExpenditure[[#This Row],[Content.declaredAmount]]&gt;2000),1,0)</f>
        <v>0</v>
      </c>
      <c r="AO489">
        <f>IFERROR(INDEX('Public procurment'!A:S,MATCH(ListOfExpenditure[[#This Row],[Content.contractId]],'Public procurment'!E:E,0),19),0)</f>
        <v>0</v>
      </c>
      <c r="AP489">
        <f>IF(ListOfExpenditure[[#This Row],[Numero di volte controllato il contract ]]&gt;0,0,ListOfExpenditure[[#This Row],[IF public procurment &gt;10000;1;0]])</f>
        <v>0</v>
      </c>
    </row>
    <row r="490" spans="1:42" x14ac:dyDescent="0.25">
      <c r="A490">
        <v>1297</v>
      </c>
      <c r="B490">
        <v>5</v>
      </c>
      <c r="E490" t="s">
        <v>4798</v>
      </c>
      <c r="F490" t="b">
        <v>0</v>
      </c>
      <c r="I490" t="s">
        <v>5240</v>
      </c>
      <c r="J490" t="s">
        <v>5241</v>
      </c>
      <c r="K490" t="s">
        <v>4954</v>
      </c>
      <c r="L490" t="s">
        <v>4939</v>
      </c>
      <c r="M490" t="s">
        <v>4788</v>
      </c>
      <c r="N490" t="s">
        <v>4788</v>
      </c>
      <c r="O490">
        <v>80</v>
      </c>
      <c r="P490">
        <v>0</v>
      </c>
      <c r="Q490">
        <v>0</v>
      </c>
      <c r="R490">
        <v>0</v>
      </c>
      <c r="S490">
        <v>80</v>
      </c>
      <c r="T490" t="s">
        <v>4789</v>
      </c>
      <c r="U490">
        <v>1</v>
      </c>
      <c r="V490">
        <v>80</v>
      </c>
      <c r="W490" t="s">
        <v>4343</v>
      </c>
      <c r="Y490" t="b">
        <v>1</v>
      </c>
      <c r="Z490" t="b">
        <v>0</v>
      </c>
      <c r="AA490">
        <v>80</v>
      </c>
      <c r="AB490">
        <v>0</v>
      </c>
      <c r="AD490" t="b">
        <v>0</v>
      </c>
      <c r="AG490" s="1" t="s">
        <v>361</v>
      </c>
      <c r="AH490" s="1" t="s">
        <v>300</v>
      </c>
      <c r="AI490">
        <v>238</v>
      </c>
      <c r="AJ490">
        <v>143</v>
      </c>
      <c r="AK490" s="106">
        <v>45475.635514560185</v>
      </c>
      <c r="AL490" s="1" t="s">
        <v>4790</v>
      </c>
      <c r="AM490" s="42">
        <f>IFERROR(INDEX('Public procurment'!A:R,MATCH(ListOfExpenditure[[#This Row],[Content.contractId]],'Public procurment'!E:E,0),14),0)</f>
        <v>0</v>
      </c>
      <c r="AN490" s="2">
        <f>IF(AND(ListOfExpenditure[[#This Row],[Contract amount]]&gt;10000,ListOfExpenditure[[#This Row],[Content.declaredAmount]]&gt;2000),1,0)</f>
        <v>0</v>
      </c>
      <c r="AO490">
        <f>IFERROR(INDEX('Public procurment'!A:S,MATCH(ListOfExpenditure[[#This Row],[Content.contractId]],'Public procurment'!E:E,0),19),0)</f>
        <v>0</v>
      </c>
      <c r="AP490">
        <f>IF(ListOfExpenditure[[#This Row],[Numero di volte controllato il contract ]]&gt;0,0,ListOfExpenditure[[#This Row],[IF public procurment &gt;10000;1;0]])</f>
        <v>0</v>
      </c>
    </row>
    <row r="491" spans="1:42" x14ac:dyDescent="0.25">
      <c r="A491">
        <v>985</v>
      </c>
      <c r="B491">
        <v>1</v>
      </c>
      <c r="D491">
        <v>80</v>
      </c>
      <c r="E491" t="s">
        <v>4786</v>
      </c>
      <c r="F491" t="b">
        <v>0</v>
      </c>
      <c r="M491" t="s">
        <v>4788</v>
      </c>
      <c r="N491" t="s">
        <v>4788</v>
      </c>
      <c r="Q491">
        <v>343</v>
      </c>
      <c r="R491">
        <v>38</v>
      </c>
      <c r="S491">
        <v>13034</v>
      </c>
      <c r="T491" t="s">
        <v>4789</v>
      </c>
      <c r="U491">
        <v>1</v>
      </c>
      <c r="V491">
        <v>13034</v>
      </c>
      <c r="W491" t="s">
        <v>4343</v>
      </c>
      <c r="Y491" t="b">
        <v>1</v>
      </c>
      <c r="Z491" t="b">
        <v>0</v>
      </c>
      <c r="AA491">
        <v>12996</v>
      </c>
      <c r="AB491">
        <v>38</v>
      </c>
      <c r="AC491">
        <v>13</v>
      </c>
      <c r="AD491" t="b">
        <v>0</v>
      </c>
      <c r="AF491" t="s">
        <v>5242</v>
      </c>
      <c r="AG491" s="1" t="s">
        <v>361</v>
      </c>
      <c r="AH491" s="1" t="s">
        <v>69</v>
      </c>
      <c r="AI491">
        <v>244</v>
      </c>
      <c r="AJ491">
        <v>193</v>
      </c>
      <c r="AK491" s="106">
        <v>45475.635469074077</v>
      </c>
      <c r="AL491" s="1" t="s">
        <v>4790</v>
      </c>
      <c r="AM491" s="42">
        <f>IFERROR(INDEX('Public procurment'!A:R,MATCH(ListOfExpenditure[[#This Row],[Content.contractId]],'Public procurment'!E:E,0),14),0)</f>
        <v>0</v>
      </c>
      <c r="AN491" s="2">
        <f>IF(AND(ListOfExpenditure[[#This Row],[Contract amount]]&gt;10000,ListOfExpenditure[[#This Row],[Content.declaredAmount]]&gt;2000),1,0)</f>
        <v>0</v>
      </c>
      <c r="AO491">
        <f>IFERROR(INDEX('Public procurment'!A:S,MATCH(ListOfExpenditure[[#This Row],[Content.contractId]],'Public procurment'!E:E,0),19),0)</f>
        <v>0</v>
      </c>
      <c r="AP491">
        <f>IF(ListOfExpenditure[[#This Row],[Numero di volte controllato il contract ]]&gt;0,0,ListOfExpenditure[[#This Row],[IF public procurment &gt;10000;1;0]])</f>
        <v>0</v>
      </c>
    </row>
    <row r="492" spans="1:42" x14ac:dyDescent="0.25">
      <c r="A492">
        <v>1367</v>
      </c>
      <c r="B492">
        <v>1</v>
      </c>
      <c r="E492" t="s">
        <v>4798</v>
      </c>
      <c r="F492" t="b">
        <v>0</v>
      </c>
      <c r="I492" t="s">
        <v>212</v>
      </c>
      <c r="J492" t="s">
        <v>212</v>
      </c>
      <c r="M492" t="s">
        <v>4788</v>
      </c>
      <c r="N492" t="s">
        <v>4788</v>
      </c>
      <c r="O492">
        <v>0</v>
      </c>
      <c r="P492">
        <v>0</v>
      </c>
      <c r="Q492">
        <v>0</v>
      </c>
      <c r="R492">
        <v>0</v>
      </c>
      <c r="S492">
        <v>0</v>
      </c>
      <c r="T492" t="s">
        <v>4789</v>
      </c>
      <c r="U492">
        <v>1</v>
      </c>
      <c r="V492">
        <v>0</v>
      </c>
      <c r="Y492" t="b">
        <v>0</v>
      </c>
      <c r="Z492" t="b">
        <v>0</v>
      </c>
      <c r="AA492">
        <v>0</v>
      </c>
      <c r="AB492">
        <v>0</v>
      </c>
      <c r="AD492" t="b">
        <v>0</v>
      </c>
      <c r="AG492" s="1" t="s">
        <v>317</v>
      </c>
      <c r="AH492" s="1" t="s">
        <v>318</v>
      </c>
      <c r="AI492">
        <v>267</v>
      </c>
      <c r="AJ492">
        <v>254</v>
      </c>
      <c r="AK492" s="106">
        <v>45475.635481759258</v>
      </c>
      <c r="AL492" s="1" t="s">
        <v>4790</v>
      </c>
      <c r="AM492" s="42">
        <f>IFERROR(INDEX('Public procurment'!A:R,MATCH(ListOfExpenditure[[#This Row],[Content.contractId]],'Public procurment'!E:E,0),14),0)</f>
        <v>0</v>
      </c>
      <c r="AN492" s="2">
        <f>IF(AND(ListOfExpenditure[[#This Row],[Contract amount]]&gt;10000,ListOfExpenditure[[#This Row],[Content.declaredAmount]]&gt;2000),1,0)</f>
        <v>0</v>
      </c>
      <c r="AO492">
        <f>IFERROR(INDEX('Public procurment'!A:S,MATCH(ListOfExpenditure[[#This Row],[Content.contractId]],'Public procurment'!E:E,0),19),0)</f>
        <v>0</v>
      </c>
      <c r="AP492">
        <f>IF(ListOfExpenditure[[#This Row],[Numero di volte controllato il contract ]]&gt;0,0,ListOfExpenditure[[#This Row],[IF public procurment &gt;10000;1;0]])</f>
        <v>0</v>
      </c>
    </row>
    <row r="493" spans="1:42" x14ac:dyDescent="0.25">
      <c r="A493">
        <v>1873</v>
      </c>
      <c r="B493">
        <v>1</v>
      </c>
      <c r="E493" t="s">
        <v>4786</v>
      </c>
      <c r="F493" t="b">
        <v>0</v>
      </c>
      <c r="I493" t="s">
        <v>4922</v>
      </c>
      <c r="K493" t="s">
        <v>5243</v>
      </c>
      <c r="L493" t="s">
        <v>5243</v>
      </c>
      <c r="M493" t="s">
        <v>4788</v>
      </c>
      <c r="N493" t="s">
        <v>4788</v>
      </c>
      <c r="O493">
        <v>1993.97</v>
      </c>
      <c r="Q493">
        <v>0</v>
      </c>
      <c r="R493">
        <v>0</v>
      </c>
      <c r="S493">
        <v>996.98</v>
      </c>
      <c r="T493" t="s">
        <v>4789</v>
      </c>
      <c r="U493">
        <v>1</v>
      </c>
      <c r="V493">
        <v>996.98</v>
      </c>
      <c r="W493" t="s">
        <v>4343</v>
      </c>
      <c r="Y493" t="b">
        <v>1</v>
      </c>
      <c r="Z493" t="b">
        <v>0</v>
      </c>
      <c r="AA493">
        <v>946.84</v>
      </c>
      <c r="AB493">
        <v>50.14</v>
      </c>
      <c r="AC493">
        <v>14</v>
      </c>
      <c r="AD493" t="b">
        <v>0</v>
      </c>
      <c r="AF493" t="s">
        <v>4975</v>
      </c>
      <c r="AG493" s="1" t="s">
        <v>317</v>
      </c>
      <c r="AH493" s="1" t="s">
        <v>319</v>
      </c>
      <c r="AI493">
        <v>222</v>
      </c>
      <c r="AJ493">
        <v>317</v>
      </c>
      <c r="AK493" s="106">
        <v>45475.635517581017</v>
      </c>
      <c r="AL493" s="1" t="s">
        <v>4790</v>
      </c>
      <c r="AM493" s="42">
        <f>IFERROR(INDEX('Public procurment'!A:R,MATCH(ListOfExpenditure[[#This Row],[Content.contractId]],'Public procurment'!E:E,0),14),0)</f>
        <v>0</v>
      </c>
      <c r="AN493" s="2">
        <f>IF(AND(ListOfExpenditure[[#This Row],[Contract amount]]&gt;10000,ListOfExpenditure[[#This Row],[Content.declaredAmount]]&gt;2000),1,0)</f>
        <v>0</v>
      </c>
      <c r="AO493">
        <f>IFERROR(INDEX('Public procurment'!A:S,MATCH(ListOfExpenditure[[#This Row],[Content.contractId]],'Public procurment'!E:E,0),19),0)</f>
        <v>0</v>
      </c>
      <c r="AP493">
        <f>IF(ListOfExpenditure[[#This Row],[Numero di volte controllato il contract ]]&gt;0,0,ListOfExpenditure[[#This Row],[IF public procurment &gt;10000;1;0]])</f>
        <v>0</v>
      </c>
    </row>
    <row r="494" spans="1:42" x14ac:dyDescent="0.25">
      <c r="A494">
        <v>1874</v>
      </c>
      <c r="B494">
        <v>2</v>
      </c>
      <c r="E494" t="s">
        <v>4786</v>
      </c>
      <c r="F494" t="b">
        <v>0</v>
      </c>
      <c r="I494" t="s">
        <v>4926</v>
      </c>
      <c r="K494" t="s">
        <v>5027</v>
      </c>
      <c r="L494" t="s">
        <v>5027</v>
      </c>
      <c r="M494" t="s">
        <v>4788</v>
      </c>
      <c r="N494" t="s">
        <v>4788</v>
      </c>
      <c r="O494">
        <v>2023.7</v>
      </c>
      <c r="Q494">
        <v>0</v>
      </c>
      <c r="R494">
        <v>0</v>
      </c>
      <c r="S494">
        <v>1011.85</v>
      </c>
      <c r="T494" t="s">
        <v>4789</v>
      </c>
      <c r="U494">
        <v>1</v>
      </c>
      <c r="V494">
        <v>1011.85</v>
      </c>
      <c r="W494" t="s">
        <v>4343</v>
      </c>
      <c r="Y494" t="b">
        <v>1</v>
      </c>
      <c r="Z494" t="b">
        <v>0</v>
      </c>
      <c r="AA494">
        <v>961.71</v>
      </c>
      <c r="AB494">
        <v>50.14</v>
      </c>
      <c r="AC494">
        <v>14</v>
      </c>
      <c r="AD494" t="b">
        <v>0</v>
      </c>
      <c r="AF494" t="s">
        <v>4975</v>
      </c>
      <c r="AG494" s="1" t="s">
        <v>317</v>
      </c>
      <c r="AH494" s="1" t="s">
        <v>319</v>
      </c>
      <c r="AI494">
        <v>222</v>
      </c>
      <c r="AJ494">
        <v>317</v>
      </c>
      <c r="AK494" s="106">
        <v>45475.635517581017</v>
      </c>
      <c r="AL494" s="1" t="s">
        <v>4790</v>
      </c>
      <c r="AM494" s="42">
        <f>IFERROR(INDEX('Public procurment'!A:R,MATCH(ListOfExpenditure[[#This Row],[Content.contractId]],'Public procurment'!E:E,0),14),0)</f>
        <v>0</v>
      </c>
      <c r="AN494" s="2">
        <f>IF(AND(ListOfExpenditure[[#This Row],[Contract amount]]&gt;10000,ListOfExpenditure[[#This Row],[Content.declaredAmount]]&gt;2000),1,0)</f>
        <v>0</v>
      </c>
      <c r="AO494">
        <f>IFERROR(INDEX('Public procurment'!A:S,MATCH(ListOfExpenditure[[#This Row],[Content.contractId]],'Public procurment'!E:E,0),19),0)</f>
        <v>0</v>
      </c>
      <c r="AP494">
        <f>IF(ListOfExpenditure[[#This Row],[Numero di volte controllato il contract ]]&gt;0,0,ListOfExpenditure[[#This Row],[IF public procurment &gt;10000;1;0]])</f>
        <v>0</v>
      </c>
    </row>
    <row r="495" spans="1:42" x14ac:dyDescent="0.25">
      <c r="A495">
        <v>1875</v>
      </c>
      <c r="B495">
        <v>3</v>
      </c>
      <c r="E495" t="s">
        <v>4786</v>
      </c>
      <c r="F495" t="b">
        <v>0</v>
      </c>
      <c r="I495" t="s">
        <v>4929</v>
      </c>
      <c r="K495" t="s">
        <v>4969</v>
      </c>
      <c r="L495" t="s">
        <v>4969</v>
      </c>
      <c r="M495" t="s">
        <v>4788</v>
      </c>
      <c r="N495" t="s">
        <v>4788</v>
      </c>
      <c r="O495">
        <v>2085.23</v>
      </c>
      <c r="Q495">
        <v>0</v>
      </c>
      <c r="R495">
        <v>0</v>
      </c>
      <c r="S495">
        <v>1042.6099999999999</v>
      </c>
      <c r="T495" t="s">
        <v>4789</v>
      </c>
      <c r="U495">
        <v>1</v>
      </c>
      <c r="V495">
        <v>1042.6099999999999</v>
      </c>
      <c r="W495" t="s">
        <v>4343</v>
      </c>
      <c r="Y495" t="b">
        <v>1</v>
      </c>
      <c r="Z495" t="b">
        <v>0</v>
      </c>
      <c r="AA495">
        <v>992.47</v>
      </c>
      <c r="AB495">
        <v>50.14</v>
      </c>
      <c r="AC495">
        <v>14</v>
      </c>
      <c r="AD495" t="b">
        <v>0</v>
      </c>
      <c r="AF495" t="s">
        <v>4975</v>
      </c>
      <c r="AG495" s="1" t="s">
        <v>317</v>
      </c>
      <c r="AH495" s="1" t="s">
        <v>319</v>
      </c>
      <c r="AI495">
        <v>222</v>
      </c>
      <c r="AJ495">
        <v>317</v>
      </c>
      <c r="AK495" s="106">
        <v>45475.635517581017</v>
      </c>
      <c r="AL495" s="1" t="s">
        <v>4790</v>
      </c>
      <c r="AM495" s="42">
        <f>IFERROR(INDEX('Public procurment'!A:R,MATCH(ListOfExpenditure[[#This Row],[Content.contractId]],'Public procurment'!E:E,0),14),0)</f>
        <v>0</v>
      </c>
      <c r="AN495" s="2">
        <f>IF(AND(ListOfExpenditure[[#This Row],[Contract amount]]&gt;10000,ListOfExpenditure[[#This Row],[Content.declaredAmount]]&gt;2000),1,0)</f>
        <v>0</v>
      </c>
      <c r="AO495">
        <f>IFERROR(INDEX('Public procurment'!A:S,MATCH(ListOfExpenditure[[#This Row],[Content.contractId]],'Public procurment'!E:E,0),19),0)</f>
        <v>0</v>
      </c>
      <c r="AP495">
        <f>IF(ListOfExpenditure[[#This Row],[Numero di volte controllato il contract ]]&gt;0,0,ListOfExpenditure[[#This Row],[IF public procurment &gt;10000;1;0]])</f>
        <v>0</v>
      </c>
    </row>
    <row r="496" spans="1:42" x14ac:dyDescent="0.25">
      <c r="A496">
        <v>1876</v>
      </c>
      <c r="B496">
        <v>4</v>
      </c>
      <c r="E496" t="s">
        <v>4786</v>
      </c>
      <c r="F496" t="b">
        <v>0</v>
      </c>
      <c r="I496" t="s">
        <v>4933</v>
      </c>
      <c r="K496" t="s">
        <v>4921</v>
      </c>
      <c r="L496" t="s">
        <v>4921</v>
      </c>
      <c r="M496" t="s">
        <v>4788</v>
      </c>
      <c r="N496" t="s">
        <v>4788</v>
      </c>
      <c r="O496">
        <v>2428.98</v>
      </c>
      <c r="Q496">
        <v>0</v>
      </c>
      <c r="R496">
        <v>0</v>
      </c>
      <c r="S496">
        <v>1214.49</v>
      </c>
      <c r="T496" t="s">
        <v>4789</v>
      </c>
      <c r="U496">
        <v>1</v>
      </c>
      <c r="V496">
        <v>1214.49</v>
      </c>
      <c r="W496" t="s">
        <v>4343</v>
      </c>
      <c r="Y496" t="b">
        <v>1</v>
      </c>
      <c r="Z496" t="b">
        <v>0</v>
      </c>
      <c r="AA496">
        <v>1153.5999999999999</v>
      </c>
      <c r="AB496">
        <v>60.89</v>
      </c>
      <c r="AC496">
        <v>14</v>
      </c>
      <c r="AD496" t="b">
        <v>0</v>
      </c>
      <c r="AF496" t="s">
        <v>4975</v>
      </c>
      <c r="AG496" s="1" t="s">
        <v>317</v>
      </c>
      <c r="AH496" s="1" t="s">
        <v>319</v>
      </c>
      <c r="AI496">
        <v>222</v>
      </c>
      <c r="AJ496">
        <v>317</v>
      </c>
      <c r="AK496" s="106">
        <v>45475.635517581017</v>
      </c>
      <c r="AL496" s="1" t="s">
        <v>4790</v>
      </c>
      <c r="AM496" s="42">
        <f>IFERROR(INDEX('Public procurment'!A:R,MATCH(ListOfExpenditure[[#This Row],[Content.contractId]],'Public procurment'!E:E,0),14),0)</f>
        <v>0</v>
      </c>
      <c r="AN496" s="2">
        <f>IF(AND(ListOfExpenditure[[#This Row],[Contract amount]]&gt;10000,ListOfExpenditure[[#This Row],[Content.declaredAmount]]&gt;2000),1,0)</f>
        <v>0</v>
      </c>
      <c r="AO496">
        <f>IFERROR(INDEX('Public procurment'!A:S,MATCH(ListOfExpenditure[[#This Row],[Content.contractId]],'Public procurment'!E:E,0),19),0)</f>
        <v>0</v>
      </c>
      <c r="AP496">
        <f>IF(ListOfExpenditure[[#This Row],[Numero di volte controllato il contract ]]&gt;0,0,ListOfExpenditure[[#This Row],[IF public procurment &gt;10000;1;0]])</f>
        <v>0</v>
      </c>
    </row>
    <row r="497" spans="1:42" x14ac:dyDescent="0.25">
      <c r="A497">
        <v>1877</v>
      </c>
      <c r="B497">
        <v>5</v>
      </c>
      <c r="E497" t="s">
        <v>4786</v>
      </c>
      <c r="F497" t="b">
        <v>0</v>
      </c>
      <c r="I497" t="s">
        <v>4938</v>
      </c>
      <c r="K497" t="s">
        <v>5244</v>
      </c>
      <c r="L497" t="s">
        <v>5244</v>
      </c>
      <c r="M497" t="s">
        <v>4788</v>
      </c>
      <c r="N497" t="s">
        <v>4788</v>
      </c>
      <c r="O497">
        <v>0</v>
      </c>
      <c r="Q497">
        <v>0</v>
      </c>
      <c r="R497">
        <v>0</v>
      </c>
      <c r="S497">
        <v>0</v>
      </c>
      <c r="T497" t="s">
        <v>4789</v>
      </c>
      <c r="U497">
        <v>1</v>
      </c>
      <c r="V497">
        <v>0</v>
      </c>
      <c r="W497" t="s">
        <v>4343</v>
      </c>
      <c r="Y497" t="b">
        <v>1</v>
      </c>
      <c r="Z497" t="b">
        <v>0</v>
      </c>
      <c r="AA497">
        <v>0</v>
      </c>
      <c r="AB497">
        <v>0</v>
      </c>
      <c r="AD497" t="b">
        <v>0</v>
      </c>
      <c r="AG497" s="1" t="s">
        <v>317</v>
      </c>
      <c r="AH497" s="1" t="s">
        <v>319</v>
      </c>
      <c r="AI497">
        <v>222</v>
      </c>
      <c r="AJ497">
        <v>317</v>
      </c>
      <c r="AK497" s="106">
        <v>45475.635517581017</v>
      </c>
      <c r="AL497" s="1" t="s">
        <v>4790</v>
      </c>
      <c r="AM497" s="42">
        <f>IFERROR(INDEX('Public procurment'!A:R,MATCH(ListOfExpenditure[[#This Row],[Content.contractId]],'Public procurment'!E:E,0),14),0)</f>
        <v>0</v>
      </c>
      <c r="AN497" s="2">
        <f>IF(AND(ListOfExpenditure[[#This Row],[Contract amount]]&gt;10000,ListOfExpenditure[[#This Row],[Content.declaredAmount]]&gt;2000),1,0)</f>
        <v>0</v>
      </c>
      <c r="AO497">
        <f>IFERROR(INDEX('Public procurment'!A:S,MATCH(ListOfExpenditure[[#This Row],[Content.contractId]],'Public procurment'!E:E,0),19),0)</f>
        <v>0</v>
      </c>
      <c r="AP497">
        <f>IF(ListOfExpenditure[[#This Row],[Numero di volte controllato il contract ]]&gt;0,0,ListOfExpenditure[[#This Row],[IF public procurment &gt;10000;1;0]])</f>
        <v>0</v>
      </c>
    </row>
    <row r="498" spans="1:42" x14ac:dyDescent="0.25">
      <c r="A498">
        <v>1347</v>
      </c>
      <c r="B498">
        <v>1</v>
      </c>
      <c r="E498" t="s">
        <v>4798</v>
      </c>
      <c r="F498" t="b">
        <v>0</v>
      </c>
      <c r="H498">
        <v>203</v>
      </c>
      <c r="I498" t="s">
        <v>5245</v>
      </c>
      <c r="J498" t="s">
        <v>5246</v>
      </c>
      <c r="K498" t="s">
        <v>5247</v>
      </c>
      <c r="L498" t="s">
        <v>5029</v>
      </c>
      <c r="M498" t="s">
        <v>4788</v>
      </c>
      <c r="N498" t="s">
        <v>4788</v>
      </c>
      <c r="O498">
        <v>42.21</v>
      </c>
      <c r="P498">
        <v>7.61</v>
      </c>
      <c r="Q498">
        <v>0</v>
      </c>
      <c r="R498">
        <v>0</v>
      </c>
      <c r="S498">
        <v>42.21</v>
      </c>
      <c r="T498" t="s">
        <v>4789</v>
      </c>
      <c r="U498">
        <v>1</v>
      </c>
      <c r="V498">
        <v>42.21</v>
      </c>
      <c r="W498" t="s">
        <v>4343</v>
      </c>
      <c r="Y498" t="b">
        <v>1</v>
      </c>
      <c r="Z498" t="b">
        <v>0</v>
      </c>
      <c r="AA498">
        <v>42.21</v>
      </c>
      <c r="AB498">
        <v>0</v>
      </c>
      <c r="AD498" t="b">
        <v>0</v>
      </c>
      <c r="AG498" s="1" t="s">
        <v>317</v>
      </c>
      <c r="AH498" s="1" t="s">
        <v>321</v>
      </c>
      <c r="AI498">
        <v>117</v>
      </c>
      <c r="AJ498">
        <v>288</v>
      </c>
      <c r="AK498" s="106">
        <v>45475.63550945602</v>
      </c>
      <c r="AL498" s="1" t="s">
        <v>4790</v>
      </c>
      <c r="AM498" s="42">
        <f>IFERROR(INDEX('Public procurment'!A:R,MATCH(ListOfExpenditure[[#This Row],[Content.contractId]],'Public procurment'!E:E,0),14),0)</f>
        <v>42.21</v>
      </c>
      <c r="AN498" s="2">
        <f>IF(AND(ListOfExpenditure[[#This Row],[Contract amount]]&gt;10000,ListOfExpenditure[[#This Row],[Content.declaredAmount]]&gt;2000),1,0)</f>
        <v>0</v>
      </c>
      <c r="AO498">
        <f>IFERROR(INDEX('Public procurment'!A:S,MATCH(ListOfExpenditure[[#This Row],[Content.contractId]],'Public procurment'!E:E,0),19),0)</f>
        <v>1</v>
      </c>
      <c r="AP498">
        <f>IF(ListOfExpenditure[[#This Row],[Numero di volte controllato il contract ]]&gt;0,0,ListOfExpenditure[[#This Row],[IF public procurment &gt;10000;1;0]])</f>
        <v>0</v>
      </c>
    </row>
    <row r="499" spans="1:42" x14ac:dyDescent="0.25">
      <c r="A499">
        <v>1373</v>
      </c>
      <c r="B499">
        <v>2</v>
      </c>
      <c r="E499" t="s">
        <v>4786</v>
      </c>
      <c r="F499" t="b">
        <v>0</v>
      </c>
      <c r="I499" t="s">
        <v>5248</v>
      </c>
      <c r="K499" t="s">
        <v>4916</v>
      </c>
      <c r="L499" t="s">
        <v>4916</v>
      </c>
      <c r="M499" t="s">
        <v>4788</v>
      </c>
      <c r="N499" t="s">
        <v>4788</v>
      </c>
      <c r="O499">
        <v>6568.49</v>
      </c>
      <c r="Q499">
        <v>0</v>
      </c>
      <c r="R499">
        <v>0</v>
      </c>
      <c r="S499">
        <v>328.42</v>
      </c>
      <c r="T499" t="s">
        <v>4789</v>
      </c>
      <c r="U499">
        <v>1</v>
      </c>
      <c r="V499">
        <v>328.42</v>
      </c>
      <c r="W499" t="s">
        <v>4343</v>
      </c>
      <c r="Y499" t="b">
        <v>1</v>
      </c>
      <c r="Z499" t="b">
        <v>0</v>
      </c>
      <c r="AA499">
        <v>328.42</v>
      </c>
      <c r="AB499">
        <v>0</v>
      </c>
      <c r="AD499" t="b">
        <v>0</v>
      </c>
      <c r="AG499" s="1" t="s">
        <v>317</v>
      </c>
      <c r="AH499" s="1" t="s">
        <v>321</v>
      </c>
      <c r="AI499">
        <v>117</v>
      </c>
      <c r="AJ499">
        <v>288</v>
      </c>
      <c r="AK499" s="106">
        <v>45475.63550945602</v>
      </c>
      <c r="AL499" s="1" t="s">
        <v>4790</v>
      </c>
      <c r="AM499" s="42">
        <f>IFERROR(INDEX('Public procurment'!A:R,MATCH(ListOfExpenditure[[#This Row],[Content.contractId]],'Public procurment'!E:E,0),14),0)</f>
        <v>0</v>
      </c>
      <c r="AN499" s="2">
        <f>IF(AND(ListOfExpenditure[[#This Row],[Contract amount]]&gt;10000,ListOfExpenditure[[#This Row],[Content.declaredAmount]]&gt;2000),1,0)</f>
        <v>0</v>
      </c>
      <c r="AO499">
        <f>IFERROR(INDEX('Public procurment'!A:S,MATCH(ListOfExpenditure[[#This Row],[Content.contractId]],'Public procurment'!E:E,0),19),0)</f>
        <v>0</v>
      </c>
      <c r="AP499">
        <f>IF(ListOfExpenditure[[#This Row],[Numero di volte controllato il contract ]]&gt;0,0,ListOfExpenditure[[#This Row],[IF public procurment &gt;10000;1;0]])</f>
        <v>0</v>
      </c>
    </row>
    <row r="500" spans="1:42" x14ac:dyDescent="0.25">
      <c r="A500">
        <v>1374</v>
      </c>
      <c r="B500">
        <v>3</v>
      </c>
      <c r="E500" t="s">
        <v>4786</v>
      </c>
      <c r="F500" t="b">
        <v>0</v>
      </c>
      <c r="I500" t="s">
        <v>5249</v>
      </c>
      <c r="K500" t="s">
        <v>5250</v>
      </c>
      <c r="L500" t="s">
        <v>5250</v>
      </c>
      <c r="M500" t="s">
        <v>4788</v>
      </c>
      <c r="N500" t="s">
        <v>4788</v>
      </c>
      <c r="O500">
        <v>6693.92</v>
      </c>
      <c r="Q500">
        <v>0</v>
      </c>
      <c r="R500">
        <v>0</v>
      </c>
      <c r="S500">
        <v>334.7</v>
      </c>
      <c r="T500" t="s">
        <v>4789</v>
      </c>
      <c r="U500">
        <v>1</v>
      </c>
      <c r="V500">
        <v>334.7</v>
      </c>
      <c r="W500" t="s">
        <v>4343</v>
      </c>
      <c r="Y500" t="b">
        <v>1</v>
      </c>
      <c r="Z500" t="b">
        <v>0</v>
      </c>
      <c r="AA500">
        <v>334.7</v>
      </c>
      <c r="AB500">
        <v>0</v>
      </c>
      <c r="AD500" t="b">
        <v>0</v>
      </c>
      <c r="AG500" s="1" t="s">
        <v>317</v>
      </c>
      <c r="AH500" s="1" t="s">
        <v>321</v>
      </c>
      <c r="AI500">
        <v>117</v>
      </c>
      <c r="AJ500">
        <v>288</v>
      </c>
      <c r="AK500" s="106">
        <v>45475.63550945602</v>
      </c>
      <c r="AL500" s="1" t="s">
        <v>4790</v>
      </c>
      <c r="AM500" s="42">
        <f>IFERROR(INDEX('Public procurment'!A:R,MATCH(ListOfExpenditure[[#This Row],[Content.contractId]],'Public procurment'!E:E,0),14),0)</f>
        <v>0</v>
      </c>
      <c r="AN500" s="2">
        <f>IF(AND(ListOfExpenditure[[#This Row],[Contract amount]]&gt;10000,ListOfExpenditure[[#This Row],[Content.declaredAmount]]&gt;2000),1,0)</f>
        <v>0</v>
      </c>
      <c r="AO500">
        <f>IFERROR(INDEX('Public procurment'!A:S,MATCH(ListOfExpenditure[[#This Row],[Content.contractId]],'Public procurment'!E:E,0),19),0)</f>
        <v>0</v>
      </c>
      <c r="AP500">
        <f>IF(ListOfExpenditure[[#This Row],[Numero di volte controllato il contract ]]&gt;0,0,ListOfExpenditure[[#This Row],[IF public procurment &gt;10000;1;0]])</f>
        <v>0</v>
      </c>
    </row>
    <row r="501" spans="1:42" x14ac:dyDescent="0.25">
      <c r="A501">
        <v>1375</v>
      </c>
      <c r="B501">
        <v>4</v>
      </c>
      <c r="E501" t="s">
        <v>4786</v>
      </c>
      <c r="F501" t="b">
        <v>0</v>
      </c>
      <c r="I501" t="s">
        <v>5251</v>
      </c>
      <c r="K501" t="s">
        <v>4883</v>
      </c>
      <c r="L501" t="s">
        <v>4883</v>
      </c>
      <c r="M501" t="s">
        <v>4788</v>
      </c>
      <c r="N501" t="s">
        <v>4788</v>
      </c>
      <c r="O501">
        <v>6647.06</v>
      </c>
      <c r="Q501">
        <v>0</v>
      </c>
      <c r="R501">
        <v>0</v>
      </c>
      <c r="S501">
        <v>332.35</v>
      </c>
      <c r="T501" t="s">
        <v>4789</v>
      </c>
      <c r="U501">
        <v>1</v>
      </c>
      <c r="V501">
        <v>332.35</v>
      </c>
      <c r="W501" t="s">
        <v>4343</v>
      </c>
      <c r="Y501" t="b">
        <v>1</v>
      </c>
      <c r="Z501" t="b">
        <v>0</v>
      </c>
      <c r="AA501">
        <v>332.35</v>
      </c>
      <c r="AB501">
        <v>0</v>
      </c>
      <c r="AD501" t="b">
        <v>0</v>
      </c>
      <c r="AG501" s="1" t="s">
        <v>317</v>
      </c>
      <c r="AH501" s="1" t="s">
        <v>321</v>
      </c>
      <c r="AI501">
        <v>117</v>
      </c>
      <c r="AJ501">
        <v>288</v>
      </c>
      <c r="AK501" s="106">
        <v>45475.63550945602</v>
      </c>
      <c r="AL501" s="1" t="s">
        <v>4790</v>
      </c>
      <c r="AM501" s="42">
        <f>IFERROR(INDEX('Public procurment'!A:R,MATCH(ListOfExpenditure[[#This Row],[Content.contractId]],'Public procurment'!E:E,0),14),0)</f>
        <v>0</v>
      </c>
      <c r="AN501" s="2">
        <f>IF(AND(ListOfExpenditure[[#This Row],[Contract amount]]&gt;10000,ListOfExpenditure[[#This Row],[Content.declaredAmount]]&gt;2000),1,0)</f>
        <v>0</v>
      </c>
      <c r="AO501">
        <f>IFERROR(INDEX('Public procurment'!A:S,MATCH(ListOfExpenditure[[#This Row],[Content.contractId]],'Public procurment'!E:E,0),19),0)</f>
        <v>0</v>
      </c>
      <c r="AP501">
        <f>IF(ListOfExpenditure[[#This Row],[Numero di volte controllato il contract ]]&gt;0,0,ListOfExpenditure[[#This Row],[IF public procurment &gt;10000;1;0]])</f>
        <v>0</v>
      </c>
    </row>
    <row r="502" spans="1:42" x14ac:dyDescent="0.25">
      <c r="A502">
        <v>1376</v>
      </c>
      <c r="B502">
        <v>5</v>
      </c>
      <c r="E502" t="s">
        <v>4786</v>
      </c>
      <c r="F502" t="b">
        <v>0</v>
      </c>
      <c r="I502" t="s">
        <v>5252</v>
      </c>
      <c r="K502" t="s">
        <v>4974</v>
      </c>
      <c r="L502" t="s">
        <v>4974</v>
      </c>
      <c r="M502" t="s">
        <v>4788</v>
      </c>
      <c r="N502" t="s">
        <v>4788</v>
      </c>
      <c r="O502">
        <v>6648.78</v>
      </c>
      <c r="Q502">
        <v>0</v>
      </c>
      <c r="R502">
        <v>0</v>
      </c>
      <c r="S502">
        <v>332.44</v>
      </c>
      <c r="T502" t="s">
        <v>4789</v>
      </c>
      <c r="U502">
        <v>1</v>
      </c>
      <c r="V502">
        <v>332.44</v>
      </c>
      <c r="W502" t="s">
        <v>4343</v>
      </c>
      <c r="Y502" t="b">
        <v>1</v>
      </c>
      <c r="Z502" t="b">
        <v>0</v>
      </c>
      <c r="AA502">
        <v>332.44</v>
      </c>
      <c r="AB502">
        <v>0</v>
      </c>
      <c r="AD502" t="b">
        <v>0</v>
      </c>
      <c r="AG502" s="1" t="s">
        <v>317</v>
      </c>
      <c r="AH502" s="1" t="s">
        <v>321</v>
      </c>
      <c r="AI502">
        <v>117</v>
      </c>
      <c r="AJ502">
        <v>288</v>
      </c>
      <c r="AK502" s="106">
        <v>45475.63550945602</v>
      </c>
      <c r="AL502" s="1" t="s">
        <v>4790</v>
      </c>
      <c r="AM502" s="42">
        <f>IFERROR(INDEX('Public procurment'!A:R,MATCH(ListOfExpenditure[[#This Row],[Content.contractId]],'Public procurment'!E:E,0),14),0)</f>
        <v>0</v>
      </c>
      <c r="AN502" s="2">
        <f>IF(AND(ListOfExpenditure[[#This Row],[Contract amount]]&gt;10000,ListOfExpenditure[[#This Row],[Content.declaredAmount]]&gt;2000),1,0)</f>
        <v>0</v>
      </c>
      <c r="AO502">
        <f>IFERROR(INDEX('Public procurment'!A:S,MATCH(ListOfExpenditure[[#This Row],[Content.contractId]],'Public procurment'!E:E,0),19),0)</f>
        <v>0</v>
      </c>
      <c r="AP502">
        <f>IF(ListOfExpenditure[[#This Row],[Numero di volte controllato il contract ]]&gt;0,0,ListOfExpenditure[[#This Row],[IF public procurment &gt;10000;1;0]])</f>
        <v>0</v>
      </c>
    </row>
    <row r="503" spans="1:42" x14ac:dyDescent="0.25">
      <c r="A503">
        <v>1377</v>
      </c>
      <c r="B503">
        <v>6</v>
      </c>
      <c r="E503" t="s">
        <v>4786</v>
      </c>
      <c r="F503" t="b">
        <v>0</v>
      </c>
      <c r="I503" t="s">
        <v>5253</v>
      </c>
      <c r="K503" t="s">
        <v>4536</v>
      </c>
      <c r="L503" t="s">
        <v>4536</v>
      </c>
      <c r="M503" t="s">
        <v>4788</v>
      </c>
      <c r="N503" t="s">
        <v>4788</v>
      </c>
      <c r="O503">
        <v>6699.87</v>
      </c>
      <c r="Q503">
        <v>0</v>
      </c>
      <c r="R503">
        <v>0</v>
      </c>
      <c r="S503">
        <v>334.99</v>
      </c>
      <c r="T503" t="s">
        <v>4789</v>
      </c>
      <c r="U503">
        <v>1</v>
      </c>
      <c r="V503">
        <v>334.99</v>
      </c>
      <c r="W503" t="s">
        <v>4343</v>
      </c>
      <c r="Y503" t="b">
        <v>1</v>
      </c>
      <c r="Z503" t="b">
        <v>0</v>
      </c>
      <c r="AA503">
        <v>0</v>
      </c>
      <c r="AB503">
        <v>334.99</v>
      </c>
      <c r="AC503">
        <v>14</v>
      </c>
      <c r="AD503" t="b">
        <v>0</v>
      </c>
      <c r="AF503" t="s">
        <v>5254</v>
      </c>
      <c r="AG503" s="1" t="s">
        <v>317</v>
      </c>
      <c r="AH503" s="1" t="s">
        <v>321</v>
      </c>
      <c r="AI503">
        <v>117</v>
      </c>
      <c r="AJ503">
        <v>288</v>
      </c>
      <c r="AK503" s="106">
        <v>45475.63550945602</v>
      </c>
      <c r="AL503" s="1" t="s">
        <v>4790</v>
      </c>
      <c r="AM503" s="42">
        <f>IFERROR(INDEX('Public procurment'!A:R,MATCH(ListOfExpenditure[[#This Row],[Content.contractId]],'Public procurment'!E:E,0),14),0)</f>
        <v>0</v>
      </c>
      <c r="AN503" s="2">
        <f>IF(AND(ListOfExpenditure[[#This Row],[Contract amount]]&gt;10000,ListOfExpenditure[[#This Row],[Content.declaredAmount]]&gt;2000),1,0)</f>
        <v>0</v>
      </c>
      <c r="AO503">
        <f>IFERROR(INDEX('Public procurment'!A:S,MATCH(ListOfExpenditure[[#This Row],[Content.contractId]],'Public procurment'!E:E,0),19),0)</f>
        <v>0</v>
      </c>
      <c r="AP503">
        <f>IF(ListOfExpenditure[[#This Row],[Numero di volte controllato il contract ]]&gt;0,0,ListOfExpenditure[[#This Row],[IF public procurment &gt;10000;1;0]])</f>
        <v>0</v>
      </c>
    </row>
    <row r="504" spans="1:42" x14ac:dyDescent="0.25">
      <c r="A504">
        <v>1378</v>
      </c>
      <c r="B504">
        <v>7</v>
      </c>
      <c r="E504" t="s">
        <v>4786</v>
      </c>
      <c r="F504" t="b">
        <v>0</v>
      </c>
      <c r="I504" t="s">
        <v>5255</v>
      </c>
      <c r="K504" t="s">
        <v>4916</v>
      </c>
      <c r="L504" t="s">
        <v>4916</v>
      </c>
      <c r="M504" t="s">
        <v>4788</v>
      </c>
      <c r="N504" t="s">
        <v>4788</v>
      </c>
      <c r="O504">
        <v>2995.86</v>
      </c>
      <c r="Q504">
        <v>0</v>
      </c>
      <c r="R504">
        <v>0</v>
      </c>
      <c r="S504">
        <v>299.58999999999997</v>
      </c>
      <c r="T504" t="s">
        <v>4789</v>
      </c>
      <c r="U504">
        <v>1</v>
      </c>
      <c r="V504">
        <v>299.58999999999997</v>
      </c>
      <c r="W504" t="s">
        <v>4343</v>
      </c>
      <c r="Y504" t="b">
        <v>1</v>
      </c>
      <c r="Z504" t="b">
        <v>0</v>
      </c>
      <c r="AA504">
        <v>299.58999999999997</v>
      </c>
      <c r="AB504">
        <v>0</v>
      </c>
      <c r="AD504" t="b">
        <v>0</v>
      </c>
      <c r="AG504" s="1" t="s">
        <v>317</v>
      </c>
      <c r="AH504" s="1" t="s">
        <v>321</v>
      </c>
      <c r="AI504">
        <v>117</v>
      </c>
      <c r="AJ504">
        <v>288</v>
      </c>
      <c r="AK504" s="106">
        <v>45475.63550945602</v>
      </c>
      <c r="AL504" s="1" t="s">
        <v>4790</v>
      </c>
      <c r="AM504" s="42">
        <f>IFERROR(INDEX('Public procurment'!A:R,MATCH(ListOfExpenditure[[#This Row],[Content.contractId]],'Public procurment'!E:E,0),14),0)</f>
        <v>0</v>
      </c>
      <c r="AN504" s="2">
        <f>IF(AND(ListOfExpenditure[[#This Row],[Contract amount]]&gt;10000,ListOfExpenditure[[#This Row],[Content.declaredAmount]]&gt;2000),1,0)</f>
        <v>0</v>
      </c>
      <c r="AO504">
        <f>IFERROR(INDEX('Public procurment'!A:S,MATCH(ListOfExpenditure[[#This Row],[Content.contractId]],'Public procurment'!E:E,0),19),0)</f>
        <v>0</v>
      </c>
      <c r="AP504">
        <f>IF(ListOfExpenditure[[#This Row],[Numero di volte controllato il contract ]]&gt;0,0,ListOfExpenditure[[#This Row],[IF public procurment &gt;10000;1;0]])</f>
        <v>0</v>
      </c>
    </row>
    <row r="505" spans="1:42" x14ac:dyDescent="0.25">
      <c r="A505">
        <v>1379</v>
      </c>
      <c r="B505">
        <v>8</v>
      </c>
      <c r="E505" t="s">
        <v>4786</v>
      </c>
      <c r="F505" t="b">
        <v>0</v>
      </c>
      <c r="I505" t="s">
        <v>5256</v>
      </c>
      <c r="K505" t="s">
        <v>5250</v>
      </c>
      <c r="L505" t="s">
        <v>5250</v>
      </c>
      <c r="M505" t="s">
        <v>4788</v>
      </c>
      <c r="N505" t="s">
        <v>4788</v>
      </c>
      <c r="O505">
        <v>2979.41</v>
      </c>
      <c r="Q505">
        <v>0</v>
      </c>
      <c r="R505">
        <v>0</v>
      </c>
      <c r="S505">
        <v>297.94</v>
      </c>
      <c r="T505" t="s">
        <v>4789</v>
      </c>
      <c r="U505">
        <v>1</v>
      </c>
      <c r="V505">
        <v>297.94</v>
      </c>
      <c r="W505" t="s">
        <v>4343</v>
      </c>
      <c r="Y505" t="b">
        <v>1</v>
      </c>
      <c r="Z505" t="b">
        <v>0</v>
      </c>
      <c r="AA505">
        <v>297.94</v>
      </c>
      <c r="AB505">
        <v>0</v>
      </c>
      <c r="AD505" t="b">
        <v>0</v>
      </c>
      <c r="AG505" s="1" t="s">
        <v>317</v>
      </c>
      <c r="AH505" s="1" t="s">
        <v>321</v>
      </c>
      <c r="AI505">
        <v>117</v>
      </c>
      <c r="AJ505">
        <v>288</v>
      </c>
      <c r="AK505" s="106">
        <v>45475.63550945602</v>
      </c>
      <c r="AL505" s="1" t="s">
        <v>4790</v>
      </c>
      <c r="AM505" s="42">
        <f>IFERROR(INDEX('Public procurment'!A:R,MATCH(ListOfExpenditure[[#This Row],[Content.contractId]],'Public procurment'!E:E,0),14),0)</f>
        <v>0</v>
      </c>
      <c r="AN505" s="2">
        <f>IF(AND(ListOfExpenditure[[#This Row],[Contract amount]]&gt;10000,ListOfExpenditure[[#This Row],[Content.declaredAmount]]&gt;2000),1,0)</f>
        <v>0</v>
      </c>
      <c r="AO505">
        <f>IFERROR(INDEX('Public procurment'!A:S,MATCH(ListOfExpenditure[[#This Row],[Content.contractId]],'Public procurment'!E:E,0),19),0)</f>
        <v>0</v>
      </c>
      <c r="AP505">
        <f>IF(ListOfExpenditure[[#This Row],[Numero di volte controllato il contract ]]&gt;0,0,ListOfExpenditure[[#This Row],[IF public procurment &gt;10000;1;0]])</f>
        <v>0</v>
      </c>
    </row>
    <row r="506" spans="1:42" x14ac:dyDescent="0.25">
      <c r="A506">
        <v>1380</v>
      </c>
      <c r="B506">
        <v>9</v>
      </c>
      <c r="E506" t="s">
        <v>4786</v>
      </c>
      <c r="F506" t="b">
        <v>0</v>
      </c>
      <c r="I506" t="s">
        <v>5257</v>
      </c>
      <c r="K506" t="s">
        <v>4883</v>
      </c>
      <c r="L506" t="s">
        <v>4883</v>
      </c>
      <c r="M506" t="s">
        <v>4788</v>
      </c>
      <c r="N506" t="s">
        <v>4788</v>
      </c>
      <c r="O506">
        <v>2949.12</v>
      </c>
      <c r="Q506">
        <v>0</v>
      </c>
      <c r="R506">
        <v>0</v>
      </c>
      <c r="S506">
        <v>294.91000000000003</v>
      </c>
      <c r="T506" t="s">
        <v>4789</v>
      </c>
      <c r="U506">
        <v>1</v>
      </c>
      <c r="V506">
        <v>294.91000000000003</v>
      </c>
      <c r="W506" t="s">
        <v>4343</v>
      </c>
      <c r="Y506" t="b">
        <v>1</v>
      </c>
      <c r="Z506" t="b">
        <v>0</v>
      </c>
      <c r="AA506">
        <v>294.91000000000003</v>
      </c>
      <c r="AB506">
        <v>0</v>
      </c>
      <c r="AD506" t="b">
        <v>0</v>
      </c>
      <c r="AG506" s="1" t="s">
        <v>317</v>
      </c>
      <c r="AH506" s="1" t="s">
        <v>321</v>
      </c>
      <c r="AI506">
        <v>117</v>
      </c>
      <c r="AJ506">
        <v>288</v>
      </c>
      <c r="AK506" s="106">
        <v>45475.63550945602</v>
      </c>
      <c r="AL506" s="1" t="s">
        <v>4790</v>
      </c>
      <c r="AM506" s="42">
        <f>IFERROR(INDEX('Public procurment'!A:R,MATCH(ListOfExpenditure[[#This Row],[Content.contractId]],'Public procurment'!E:E,0),14),0)</f>
        <v>0</v>
      </c>
      <c r="AN506" s="2">
        <f>IF(AND(ListOfExpenditure[[#This Row],[Contract amount]]&gt;10000,ListOfExpenditure[[#This Row],[Content.declaredAmount]]&gt;2000),1,0)</f>
        <v>0</v>
      </c>
      <c r="AO506">
        <f>IFERROR(INDEX('Public procurment'!A:S,MATCH(ListOfExpenditure[[#This Row],[Content.contractId]],'Public procurment'!E:E,0),19),0)</f>
        <v>0</v>
      </c>
      <c r="AP506">
        <f>IF(ListOfExpenditure[[#This Row],[Numero di volte controllato il contract ]]&gt;0,0,ListOfExpenditure[[#This Row],[IF public procurment &gt;10000;1;0]])</f>
        <v>0</v>
      </c>
    </row>
    <row r="507" spans="1:42" x14ac:dyDescent="0.25">
      <c r="A507">
        <v>1381</v>
      </c>
      <c r="B507">
        <v>10</v>
      </c>
      <c r="E507" t="s">
        <v>4786</v>
      </c>
      <c r="F507" t="b">
        <v>0</v>
      </c>
      <c r="I507" t="s">
        <v>5258</v>
      </c>
      <c r="K507" t="s">
        <v>4974</v>
      </c>
      <c r="L507" t="s">
        <v>4974</v>
      </c>
      <c r="M507" t="s">
        <v>4788</v>
      </c>
      <c r="N507" t="s">
        <v>4788</v>
      </c>
      <c r="O507">
        <v>2840.26</v>
      </c>
      <c r="Q507">
        <v>0</v>
      </c>
      <c r="R507">
        <v>0</v>
      </c>
      <c r="S507">
        <v>284.02999999999997</v>
      </c>
      <c r="T507" t="s">
        <v>4789</v>
      </c>
      <c r="U507">
        <v>1</v>
      </c>
      <c r="V507">
        <v>284.02999999999997</v>
      </c>
      <c r="W507" t="s">
        <v>4343</v>
      </c>
      <c r="Y507" t="b">
        <v>1</v>
      </c>
      <c r="Z507" t="b">
        <v>0</v>
      </c>
      <c r="AA507">
        <v>284.02999999999997</v>
      </c>
      <c r="AB507">
        <v>0</v>
      </c>
      <c r="AD507" t="b">
        <v>0</v>
      </c>
      <c r="AG507" s="1" t="s">
        <v>317</v>
      </c>
      <c r="AH507" s="1" t="s">
        <v>321</v>
      </c>
      <c r="AI507">
        <v>117</v>
      </c>
      <c r="AJ507">
        <v>288</v>
      </c>
      <c r="AK507" s="106">
        <v>45475.63550945602</v>
      </c>
      <c r="AL507" s="1" t="s">
        <v>4790</v>
      </c>
      <c r="AM507" s="42">
        <f>IFERROR(INDEX('Public procurment'!A:R,MATCH(ListOfExpenditure[[#This Row],[Content.contractId]],'Public procurment'!E:E,0),14),0)</f>
        <v>0</v>
      </c>
      <c r="AN507" s="2">
        <f>IF(AND(ListOfExpenditure[[#This Row],[Contract amount]]&gt;10000,ListOfExpenditure[[#This Row],[Content.declaredAmount]]&gt;2000),1,0)</f>
        <v>0</v>
      </c>
      <c r="AO507">
        <f>IFERROR(INDEX('Public procurment'!A:S,MATCH(ListOfExpenditure[[#This Row],[Content.contractId]],'Public procurment'!E:E,0),19),0)</f>
        <v>0</v>
      </c>
      <c r="AP507">
        <f>IF(ListOfExpenditure[[#This Row],[Numero di volte controllato il contract ]]&gt;0,0,ListOfExpenditure[[#This Row],[IF public procurment &gt;10000;1;0]])</f>
        <v>0</v>
      </c>
    </row>
    <row r="508" spans="1:42" x14ac:dyDescent="0.25">
      <c r="A508">
        <v>1382</v>
      </c>
      <c r="B508">
        <v>11</v>
      </c>
      <c r="E508" t="s">
        <v>4786</v>
      </c>
      <c r="F508" t="b">
        <v>0</v>
      </c>
      <c r="I508" t="s">
        <v>5259</v>
      </c>
      <c r="K508" t="s">
        <v>4536</v>
      </c>
      <c r="L508" t="s">
        <v>4536</v>
      </c>
      <c r="M508" t="s">
        <v>4788</v>
      </c>
      <c r="N508" t="s">
        <v>4788</v>
      </c>
      <c r="O508">
        <v>2902.18</v>
      </c>
      <c r="Q508">
        <v>0</v>
      </c>
      <c r="R508">
        <v>0</v>
      </c>
      <c r="S508">
        <v>290.22000000000003</v>
      </c>
      <c r="T508" t="s">
        <v>4789</v>
      </c>
      <c r="U508">
        <v>1</v>
      </c>
      <c r="V508">
        <v>290.22000000000003</v>
      </c>
      <c r="W508" t="s">
        <v>4343</v>
      </c>
      <c r="Y508" t="b">
        <v>1</v>
      </c>
      <c r="Z508" t="b">
        <v>0</v>
      </c>
      <c r="AA508">
        <v>0</v>
      </c>
      <c r="AB508">
        <v>290.22000000000003</v>
      </c>
      <c r="AC508">
        <v>14</v>
      </c>
      <c r="AD508" t="b">
        <v>0</v>
      </c>
      <c r="AF508" t="s">
        <v>5254</v>
      </c>
      <c r="AG508" s="1" t="s">
        <v>317</v>
      </c>
      <c r="AH508" s="1" t="s">
        <v>321</v>
      </c>
      <c r="AI508">
        <v>117</v>
      </c>
      <c r="AJ508">
        <v>288</v>
      </c>
      <c r="AK508" s="106">
        <v>45475.63550945602</v>
      </c>
      <c r="AL508" s="1" t="s">
        <v>4790</v>
      </c>
      <c r="AM508" s="42">
        <f>IFERROR(INDEX('Public procurment'!A:R,MATCH(ListOfExpenditure[[#This Row],[Content.contractId]],'Public procurment'!E:E,0),14),0)</f>
        <v>0</v>
      </c>
      <c r="AN508" s="2">
        <f>IF(AND(ListOfExpenditure[[#This Row],[Contract amount]]&gt;10000,ListOfExpenditure[[#This Row],[Content.declaredAmount]]&gt;2000),1,0)</f>
        <v>0</v>
      </c>
      <c r="AO508">
        <f>IFERROR(INDEX('Public procurment'!A:S,MATCH(ListOfExpenditure[[#This Row],[Content.contractId]],'Public procurment'!E:E,0),19),0)</f>
        <v>0</v>
      </c>
      <c r="AP508">
        <f>IF(ListOfExpenditure[[#This Row],[Numero di volte controllato il contract ]]&gt;0,0,ListOfExpenditure[[#This Row],[IF public procurment &gt;10000;1;0]])</f>
        <v>0</v>
      </c>
    </row>
    <row r="509" spans="1:42" x14ac:dyDescent="0.25">
      <c r="A509">
        <v>1383</v>
      </c>
      <c r="B509">
        <v>12</v>
      </c>
      <c r="E509" t="s">
        <v>4786</v>
      </c>
      <c r="F509" t="b">
        <v>0</v>
      </c>
      <c r="I509" t="s">
        <v>5260</v>
      </c>
      <c r="K509" t="s">
        <v>4916</v>
      </c>
      <c r="L509" t="s">
        <v>4916</v>
      </c>
      <c r="M509" t="s">
        <v>4788</v>
      </c>
      <c r="N509" t="s">
        <v>4788</v>
      </c>
      <c r="O509">
        <v>3657.22</v>
      </c>
      <c r="Q509">
        <v>0</v>
      </c>
      <c r="R509">
        <v>0</v>
      </c>
      <c r="S509">
        <v>1462.89</v>
      </c>
      <c r="T509" t="s">
        <v>4789</v>
      </c>
      <c r="U509">
        <v>1</v>
      </c>
      <c r="V509">
        <v>1462.89</v>
      </c>
      <c r="W509" t="s">
        <v>4343</v>
      </c>
      <c r="Y509" t="b">
        <v>1</v>
      </c>
      <c r="Z509" t="b">
        <v>0</v>
      </c>
      <c r="AA509">
        <v>1462.89</v>
      </c>
      <c r="AB509">
        <v>0</v>
      </c>
      <c r="AD509" t="b">
        <v>0</v>
      </c>
      <c r="AG509" s="1" t="s">
        <v>317</v>
      </c>
      <c r="AH509" s="1" t="s">
        <v>321</v>
      </c>
      <c r="AI509">
        <v>117</v>
      </c>
      <c r="AJ509">
        <v>288</v>
      </c>
      <c r="AK509" s="106">
        <v>45475.63550945602</v>
      </c>
      <c r="AL509" s="1" t="s">
        <v>4790</v>
      </c>
      <c r="AM509" s="42">
        <f>IFERROR(INDEX('Public procurment'!A:R,MATCH(ListOfExpenditure[[#This Row],[Content.contractId]],'Public procurment'!E:E,0),14),0)</f>
        <v>0</v>
      </c>
      <c r="AN509" s="2">
        <f>IF(AND(ListOfExpenditure[[#This Row],[Contract amount]]&gt;10000,ListOfExpenditure[[#This Row],[Content.declaredAmount]]&gt;2000),1,0)</f>
        <v>0</v>
      </c>
      <c r="AO509">
        <f>IFERROR(INDEX('Public procurment'!A:S,MATCH(ListOfExpenditure[[#This Row],[Content.contractId]],'Public procurment'!E:E,0),19),0)</f>
        <v>0</v>
      </c>
      <c r="AP509">
        <f>IF(ListOfExpenditure[[#This Row],[Numero di volte controllato il contract ]]&gt;0,0,ListOfExpenditure[[#This Row],[IF public procurment &gt;10000;1;0]])</f>
        <v>0</v>
      </c>
    </row>
    <row r="510" spans="1:42" x14ac:dyDescent="0.25">
      <c r="A510">
        <v>1385</v>
      </c>
      <c r="B510">
        <v>13</v>
      </c>
      <c r="E510" t="s">
        <v>4786</v>
      </c>
      <c r="F510" t="b">
        <v>0</v>
      </c>
      <c r="I510" t="s">
        <v>5261</v>
      </c>
      <c r="K510" t="s">
        <v>5250</v>
      </c>
      <c r="L510" t="s">
        <v>5250</v>
      </c>
      <c r="M510" t="s">
        <v>4788</v>
      </c>
      <c r="N510" t="s">
        <v>4788</v>
      </c>
      <c r="O510">
        <v>3724.39</v>
      </c>
      <c r="Q510">
        <v>0</v>
      </c>
      <c r="R510">
        <v>0</v>
      </c>
      <c r="S510">
        <v>1489.76</v>
      </c>
      <c r="T510" t="s">
        <v>4789</v>
      </c>
      <c r="U510">
        <v>1</v>
      </c>
      <c r="V510">
        <v>1489.76</v>
      </c>
      <c r="W510" t="s">
        <v>4343</v>
      </c>
      <c r="Y510" t="b">
        <v>1</v>
      </c>
      <c r="Z510" t="b">
        <v>0</v>
      </c>
      <c r="AA510">
        <v>1489.76</v>
      </c>
      <c r="AB510">
        <v>0</v>
      </c>
      <c r="AD510" t="b">
        <v>0</v>
      </c>
      <c r="AG510" s="1" t="s">
        <v>317</v>
      </c>
      <c r="AH510" s="1" t="s">
        <v>321</v>
      </c>
      <c r="AI510">
        <v>117</v>
      </c>
      <c r="AJ510">
        <v>288</v>
      </c>
      <c r="AK510" s="106">
        <v>45475.63550945602</v>
      </c>
      <c r="AL510" s="1" t="s">
        <v>4790</v>
      </c>
      <c r="AM510" s="42">
        <f>IFERROR(INDEX('Public procurment'!A:R,MATCH(ListOfExpenditure[[#This Row],[Content.contractId]],'Public procurment'!E:E,0),14),0)</f>
        <v>0</v>
      </c>
      <c r="AN510" s="2">
        <f>IF(AND(ListOfExpenditure[[#This Row],[Contract amount]]&gt;10000,ListOfExpenditure[[#This Row],[Content.declaredAmount]]&gt;2000),1,0)</f>
        <v>0</v>
      </c>
      <c r="AO510">
        <f>IFERROR(INDEX('Public procurment'!A:S,MATCH(ListOfExpenditure[[#This Row],[Content.contractId]],'Public procurment'!E:E,0),19),0)</f>
        <v>0</v>
      </c>
      <c r="AP510">
        <f>IF(ListOfExpenditure[[#This Row],[Numero di volte controllato il contract ]]&gt;0,0,ListOfExpenditure[[#This Row],[IF public procurment &gt;10000;1;0]])</f>
        <v>0</v>
      </c>
    </row>
    <row r="511" spans="1:42" x14ac:dyDescent="0.25">
      <c r="A511">
        <v>1388</v>
      </c>
      <c r="B511">
        <v>14</v>
      </c>
      <c r="E511" t="s">
        <v>4786</v>
      </c>
      <c r="F511" t="b">
        <v>0</v>
      </c>
      <c r="I511" t="s">
        <v>5262</v>
      </c>
      <c r="K511" t="s">
        <v>4883</v>
      </c>
      <c r="L511" t="s">
        <v>4883</v>
      </c>
      <c r="M511" t="s">
        <v>4788</v>
      </c>
      <c r="N511" t="s">
        <v>4788</v>
      </c>
      <c r="O511">
        <v>3673.34</v>
      </c>
      <c r="Q511">
        <v>0</v>
      </c>
      <c r="R511">
        <v>0</v>
      </c>
      <c r="S511">
        <v>1469.33</v>
      </c>
      <c r="T511" t="s">
        <v>4789</v>
      </c>
      <c r="U511">
        <v>1</v>
      </c>
      <c r="V511">
        <v>1469.33</v>
      </c>
      <c r="W511" t="s">
        <v>4343</v>
      </c>
      <c r="Y511" t="b">
        <v>1</v>
      </c>
      <c r="Z511" t="b">
        <v>0</v>
      </c>
      <c r="AA511">
        <v>1469.33</v>
      </c>
      <c r="AB511">
        <v>0</v>
      </c>
      <c r="AD511" t="b">
        <v>0</v>
      </c>
      <c r="AG511" s="1" t="s">
        <v>317</v>
      </c>
      <c r="AH511" s="1" t="s">
        <v>321</v>
      </c>
      <c r="AI511">
        <v>117</v>
      </c>
      <c r="AJ511">
        <v>288</v>
      </c>
      <c r="AK511" s="106">
        <v>45475.63550945602</v>
      </c>
      <c r="AL511" s="1" t="s">
        <v>4790</v>
      </c>
      <c r="AM511" s="42">
        <f>IFERROR(INDEX('Public procurment'!A:R,MATCH(ListOfExpenditure[[#This Row],[Content.contractId]],'Public procurment'!E:E,0),14),0)</f>
        <v>0</v>
      </c>
      <c r="AN511" s="2">
        <f>IF(AND(ListOfExpenditure[[#This Row],[Contract amount]]&gt;10000,ListOfExpenditure[[#This Row],[Content.declaredAmount]]&gt;2000),1,0)</f>
        <v>0</v>
      </c>
      <c r="AO511">
        <f>IFERROR(INDEX('Public procurment'!A:S,MATCH(ListOfExpenditure[[#This Row],[Content.contractId]],'Public procurment'!E:E,0),19),0)</f>
        <v>0</v>
      </c>
      <c r="AP511">
        <f>IF(ListOfExpenditure[[#This Row],[Numero di volte controllato il contract ]]&gt;0,0,ListOfExpenditure[[#This Row],[IF public procurment &gt;10000;1;0]])</f>
        <v>0</v>
      </c>
    </row>
    <row r="512" spans="1:42" x14ac:dyDescent="0.25">
      <c r="A512">
        <v>1393</v>
      </c>
      <c r="B512">
        <v>15</v>
      </c>
      <c r="E512" t="s">
        <v>4786</v>
      </c>
      <c r="F512" t="b">
        <v>0</v>
      </c>
      <c r="I512" t="s">
        <v>5263</v>
      </c>
      <c r="K512" t="s">
        <v>4974</v>
      </c>
      <c r="L512" t="s">
        <v>4974</v>
      </c>
      <c r="M512" t="s">
        <v>4788</v>
      </c>
      <c r="N512" t="s">
        <v>4788</v>
      </c>
      <c r="O512">
        <v>3683.82</v>
      </c>
      <c r="Q512">
        <v>0</v>
      </c>
      <c r="R512">
        <v>0</v>
      </c>
      <c r="S512">
        <v>1473.53</v>
      </c>
      <c r="T512" t="s">
        <v>4789</v>
      </c>
      <c r="U512">
        <v>1</v>
      </c>
      <c r="V512">
        <v>1473.53</v>
      </c>
      <c r="W512" t="s">
        <v>4343</v>
      </c>
      <c r="Y512" t="b">
        <v>1</v>
      </c>
      <c r="Z512" t="b">
        <v>0</v>
      </c>
      <c r="AA512">
        <v>1473.53</v>
      </c>
      <c r="AB512">
        <v>0</v>
      </c>
      <c r="AD512" t="b">
        <v>0</v>
      </c>
      <c r="AG512" s="1" t="s">
        <v>317</v>
      </c>
      <c r="AH512" s="1" t="s">
        <v>321</v>
      </c>
      <c r="AI512">
        <v>117</v>
      </c>
      <c r="AJ512">
        <v>288</v>
      </c>
      <c r="AK512" s="106">
        <v>45475.63550945602</v>
      </c>
      <c r="AL512" s="1" t="s">
        <v>4790</v>
      </c>
      <c r="AM512" s="42">
        <f>IFERROR(INDEX('Public procurment'!A:R,MATCH(ListOfExpenditure[[#This Row],[Content.contractId]],'Public procurment'!E:E,0),14),0)</f>
        <v>0</v>
      </c>
      <c r="AN512" s="2">
        <f>IF(AND(ListOfExpenditure[[#This Row],[Contract amount]]&gt;10000,ListOfExpenditure[[#This Row],[Content.declaredAmount]]&gt;2000),1,0)</f>
        <v>0</v>
      </c>
      <c r="AO512">
        <f>IFERROR(INDEX('Public procurment'!A:S,MATCH(ListOfExpenditure[[#This Row],[Content.contractId]],'Public procurment'!E:E,0),19),0)</f>
        <v>0</v>
      </c>
      <c r="AP512">
        <f>IF(ListOfExpenditure[[#This Row],[Numero di volte controllato il contract ]]&gt;0,0,ListOfExpenditure[[#This Row],[IF public procurment &gt;10000;1;0]])</f>
        <v>0</v>
      </c>
    </row>
    <row r="513" spans="1:42" x14ac:dyDescent="0.25">
      <c r="A513">
        <v>1395</v>
      </c>
      <c r="B513">
        <v>16</v>
      </c>
      <c r="E513" t="s">
        <v>4786</v>
      </c>
      <c r="F513" t="b">
        <v>0</v>
      </c>
      <c r="I513" t="s">
        <v>5264</v>
      </c>
      <c r="K513" t="s">
        <v>4536</v>
      </c>
      <c r="L513" t="s">
        <v>4536</v>
      </c>
      <c r="M513" t="s">
        <v>4788</v>
      </c>
      <c r="N513" t="s">
        <v>4788</v>
      </c>
      <c r="O513">
        <v>3618.45</v>
      </c>
      <c r="Q513">
        <v>0</v>
      </c>
      <c r="R513">
        <v>0</v>
      </c>
      <c r="S513">
        <v>1447.38</v>
      </c>
      <c r="T513" t="s">
        <v>4789</v>
      </c>
      <c r="U513">
        <v>1</v>
      </c>
      <c r="V513">
        <v>1447.38</v>
      </c>
      <c r="W513" t="s">
        <v>4343</v>
      </c>
      <c r="Y513" t="b">
        <v>1</v>
      </c>
      <c r="Z513" t="b">
        <v>0</v>
      </c>
      <c r="AA513">
        <v>0</v>
      </c>
      <c r="AB513">
        <v>1447.38</v>
      </c>
      <c r="AC513">
        <v>14</v>
      </c>
      <c r="AD513" t="b">
        <v>0</v>
      </c>
      <c r="AF513" t="s">
        <v>5254</v>
      </c>
      <c r="AG513" s="1" t="s">
        <v>317</v>
      </c>
      <c r="AH513" s="1" t="s">
        <v>321</v>
      </c>
      <c r="AI513">
        <v>117</v>
      </c>
      <c r="AJ513">
        <v>288</v>
      </c>
      <c r="AK513" s="106">
        <v>45475.63550945602</v>
      </c>
      <c r="AL513" s="1" t="s">
        <v>4790</v>
      </c>
      <c r="AM513" s="42">
        <f>IFERROR(INDEX('Public procurment'!A:R,MATCH(ListOfExpenditure[[#This Row],[Content.contractId]],'Public procurment'!E:E,0),14),0)</f>
        <v>0</v>
      </c>
      <c r="AN513" s="2">
        <f>IF(AND(ListOfExpenditure[[#This Row],[Contract amount]]&gt;10000,ListOfExpenditure[[#This Row],[Content.declaredAmount]]&gt;2000),1,0)</f>
        <v>0</v>
      </c>
      <c r="AO513">
        <f>IFERROR(INDEX('Public procurment'!A:S,MATCH(ListOfExpenditure[[#This Row],[Content.contractId]],'Public procurment'!E:E,0),19),0)</f>
        <v>0</v>
      </c>
      <c r="AP513">
        <f>IF(ListOfExpenditure[[#This Row],[Numero di volte controllato il contract ]]&gt;0,0,ListOfExpenditure[[#This Row],[IF public procurment &gt;10000;1;0]])</f>
        <v>0</v>
      </c>
    </row>
    <row r="514" spans="1:42" x14ac:dyDescent="0.25">
      <c r="A514">
        <v>1399</v>
      </c>
      <c r="B514">
        <v>17</v>
      </c>
      <c r="E514" t="s">
        <v>4786</v>
      </c>
      <c r="F514" t="b">
        <v>0</v>
      </c>
      <c r="I514" t="s">
        <v>5265</v>
      </c>
      <c r="K514" t="s">
        <v>4916</v>
      </c>
      <c r="L514" t="s">
        <v>4916</v>
      </c>
      <c r="M514" t="s">
        <v>4788</v>
      </c>
      <c r="N514" t="s">
        <v>4788</v>
      </c>
      <c r="O514">
        <v>2847.45</v>
      </c>
      <c r="Q514">
        <v>0</v>
      </c>
      <c r="R514">
        <v>0</v>
      </c>
      <c r="S514">
        <v>854.24</v>
      </c>
      <c r="T514" t="s">
        <v>4789</v>
      </c>
      <c r="U514">
        <v>1</v>
      </c>
      <c r="V514">
        <v>854.24</v>
      </c>
      <c r="W514" t="s">
        <v>4343</v>
      </c>
      <c r="Y514" t="b">
        <v>1</v>
      </c>
      <c r="Z514" t="b">
        <v>0</v>
      </c>
      <c r="AA514">
        <v>854.24</v>
      </c>
      <c r="AB514">
        <v>0</v>
      </c>
      <c r="AD514" t="b">
        <v>0</v>
      </c>
      <c r="AG514" s="1" t="s">
        <v>317</v>
      </c>
      <c r="AH514" s="1" t="s">
        <v>321</v>
      </c>
      <c r="AI514">
        <v>117</v>
      </c>
      <c r="AJ514">
        <v>288</v>
      </c>
      <c r="AK514" s="106">
        <v>45475.63550945602</v>
      </c>
      <c r="AL514" s="1" t="s">
        <v>4790</v>
      </c>
      <c r="AM514" s="42">
        <f>IFERROR(INDEX('Public procurment'!A:R,MATCH(ListOfExpenditure[[#This Row],[Content.contractId]],'Public procurment'!E:E,0),14),0)</f>
        <v>0</v>
      </c>
      <c r="AN514" s="2">
        <f>IF(AND(ListOfExpenditure[[#This Row],[Contract amount]]&gt;10000,ListOfExpenditure[[#This Row],[Content.declaredAmount]]&gt;2000),1,0)</f>
        <v>0</v>
      </c>
      <c r="AO514">
        <f>IFERROR(INDEX('Public procurment'!A:S,MATCH(ListOfExpenditure[[#This Row],[Content.contractId]],'Public procurment'!E:E,0),19),0)</f>
        <v>0</v>
      </c>
      <c r="AP514">
        <f>IF(ListOfExpenditure[[#This Row],[Numero di volte controllato il contract ]]&gt;0,0,ListOfExpenditure[[#This Row],[IF public procurment &gt;10000;1;0]])</f>
        <v>0</v>
      </c>
    </row>
    <row r="515" spans="1:42" x14ac:dyDescent="0.25">
      <c r="A515">
        <v>1400</v>
      </c>
      <c r="B515">
        <v>18</v>
      </c>
      <c r="E515" t="s">
        <v>4786</v>
      </c>
      <c r="F515" t="b">
        <v>0</v>
      </c>
      <c r="I515" t="s">
        <v>5266</v>
      </c>
      <c r="K515" t="s">
        <v>5250</v>
      </c>
      <c r="L515" t="s">
        <v>5250</v>
      </c>
      <c r="M515" t="s">
        <v>4788</v>
      </c>
      <c r="N515" t="s">
        <v>4788</v>
      </c>
      <c r="O515">
        <v>2725.75</v>
      </c>
      <c r="Q515">
        <v>0</v>
      </c>
      <c r="R515">
        <v>0</v>
      </c>
      <c r="S515">
        <v>817.73</v>
      </c>
      <c r="T515" t="s">
        <v>4789</v>
      </c>
      <c r="U515">
        <v>1</v>
      </c>
      <c r="V515">
        <v>817.73</v>
      </c>
      <c r="W515" t="s">
        <v>4343</v>
      </c>
      <c r="Y515" t="b">
        <v>1</v>
      </c>
      <c r="Z515" t="b">
        <v>0</v>
      </c>
      <c r="AA515">
        <v>817.73</v>
      </c>
      <c r="AB515">
        <v>0</v>
      </c>
      <c r="AD515" t="b">
        <v>0</v>
      </c>
      <c r="AG515" s="1" t="s">
        <v>317</v>
      </c>
      <c r="AH515" s="1" t="s">
        <v>321</v>
      </c>
      <c r="AI515">
        <v>117</v>
      </c>
      <c r="AJ515">
        <v>288</v>
      </c>
      <c r="AK515" s="106">
        <v>45475.63550945602</v>
      </c>
      <c r="AL515" s="1" t="s">
        <v>4790</v>
      </c>
      <c r="AM515" s="42">
        <f>IFERROR(INDEX('Public procurment'!A:R,MATCH(ListOfExpenditure[[#This Row],[Content.contractId]],'Public procurment'!E:E,0),14),0)</f>
        <v>0</v>
      </c>
      <c r="AN515" s="2">
        <f>IF(AND(ListOfExpenditure[[#This Row],[Contract amount]]&gt;10000,ListOfExpenditure[[#This Row],[Content.declaredAmount]]&gt;2000),1,0)</f>
        <v>0</v>
      </c>
      <c r="AO515">
        <f>IFERROR(INDEX('Public procurment'!A:S,MATCH(ListOfExpenditure[[#This Row],[Content.contractId]],'Public procurment'!E:E,0),19),0)</f>
        <v>0</v>
      </c>
      <c r="AP515">
        <f>IF(ListOfExpenditure[[#This Row],[Numero di volte controllato il contract ]]&gt;0,0,ListOfExpenditure[[#This Row],[IF public procurment &gt;10000;1;0]])</f>
        <v>0</v>
      </c>
    </row>
    <row r="516" spans="1:42" x14ac:dyDescent="0.25">
      <c r="A516">
        <v>1401</v>
      </c>
      <c r="B516">
        <v>19</v>
      </c>
      <c r="E516" t="s">
        <v>4786</v>
      </c>
      <c r="F516" t="b">
        <v>0</v>
      </c>
      <c r="I516" t="s">
        <v>5267</v>
      </c>
      <c r="K516" t="s">
        <v>4883</v>
      </c>
      <c r="L516" t="s">
        <v>4883</v>
      </c>
      <c r="M516" t="s">
        <v>4788</v>
      </c>
      <c r="N516" t="s">
        <v>4788</v>
      </c>
      <c r="O516">
        <v>3059.67</v>
      </c>
      <c r="Q516">
        <v>0</v>
      </c>
      <c r="R516">
        <v>0</v>
      </c>
      <c r="S516">
        <v>917.9</v>
      </c>
      <c r="T516" t="s">
        <v>4789</v>
      </c>
      <c r="U516">
        <v>1</v>
      </c>
      <c r="V516">
        <v>917.9</v>
      </c>
      <c r="W516" t="s">
        <v>4343</v>
      </c>
      <c r="Y516" t="b">
        <v>1</v>
      </c>
      <c r="Z516" t="b">
        <v>0</v>
      </c>
      <c r="AA516">
        <v>917.9</v>
      </c>
      <c r="AB516">
        <v>0</v>
      </c>
      <c r="AD516" t="b">
        <v>0</v>
      </c>
      <c r="AG516" s="1" t="s">
        <v>317</v>
      </c>
      <c r="AH516" s="1" t="s">
        <v>321</v>
      </c>
      <c r="AI516">
        <v>117</v>
      </c>
      <c r="AJ516">
        <v>288</v>
      </c>
      <c r="AK516" s="106">
        <v>45475.63550945602</v>
      </c>
      <c r="AL516" s="1" t="s">
        <v>4790</v>
      </c>
      <c r="AM516" s="42">
        <f>IFERROR(INDEX('Public procurment'!A:R,MATCH(ListOfExpenditure[[#This Row],[Content.contractId]],'Public procurment'!E:E,0),14),0)</f>
        <v>0</v>
      </c>
      <c r="AN516" s="2">
        <f>IF(AND(ListOfExpenditure[[#This Row],[Contract amount]]&gt;10000,ListOfExpenditure[[#This Row],[Content.declaredAmount]]&gt;2000),1,0)</f>
        <v>0</v>
      </c>
      <c r="AO516">
        <f>IFERROR(INDEX('Public procurment'!A:S,MATCH(ListOfExpenditure[[#This Row],[Content.contractId]],'Public procurment'!E:E,0),19),0)</f>
        <v>0</v>
      </c>
      <c r="AP516">
        <f>IF(ListOfExpenditure[[#This Row],[Numero di volte controllato il contract ]]&gt;0,0,ListOfExpenditure[[#This Row],[IF public procurment &gt;10000;1;0]])</f>
        <v>0</v>
      </c>
    </row>
    <row r="517" spans="1:42" x14ac:dyDescent="0.25">
      <c r="A517">
        <v>1402</v>
      </c>
      <c r="B517">
        <v>20</v>
      </c>
      <c r="E517" t="s">
        <v>4786</v>
      </c>
      <c r="F517" t="b">
        <v>0</v>
      </c>
      <c r="I517" t="s">
        <v>5268</v>
      </c>
      <c r="K517" t="s">
        <v>4974</v>
      </c>
      <c r="L517" t="s">
        <v>4974</v>
      </c>
      <c r="M517" t="s">
        <v>4788</v>
      </c>
      <c r="N517" t="s">
        <v>4788</v>
      </c>
      <c r="O517">
        <v>3000.25</v>
      </c>
      <c r="Q517">
        <v>0</v>
      </c>
      <c r="R517">
        <v>0</v>
      </c>
      <c r="S517">
        <v>900.08</v>
      </c>
      <c r="T517" t="s">
        <v>4789</v>
      </c>
      <c r="U517">
        <v>1</v>
      </c>
      <c r="V517">
        <v>900.08</v>
      </c>
      <c r="W517" t="s">
        <v>4343</v>
      </c>
      <c r="Y517" t="b">
        <v>1</v>
      </c>
      <c r="Z517" t="b">
        <v>0</v>
      </c>
      <c r="AA517">
        <v>900.08</v>
      </c>
      <c r="AB517">
        <v>0</v>
      </c>
      <c r="AD517" t="b">
        <v>0</v>
      </c>
      <c r="AG517" s="1" t="s">
        <v>317</v>
      </c>
      <c r="AH517" s="1" t="s">
        <v>321</v>
      </c>
      <c r="AI517">
        <v>117</v>
      </c>
      <c r="AJ517">
        <v>288</v>
      </c>
      <c r="AK517" s="106">
        <v>45475.63550945602</v>
      </c>
      <c r="AL517" s="1" t="s">
        <v>4790</v>
      </c>
      <c r="AM517" s="42">
        <f>IFERROR(INDEX('Public procurment'!A:R,MATCH(ListOfExpenditure[[#This Row],[Content.contractId]],'Public procurment'!E:E,0),14),0)</f>
        <v>0</v>
      </c>
      <c r="AN517" s="2">
        <f>IF(AND(ListOfExpenditure[[#This Row],[Contract amount]]&gt;10000,ListOfExpenditure[[#This Row],[Content.declaredAmount]]&gt;2000),1,0)</f>
        <v>0</v>
      </c>
      <c r="AO517">
        <f>IFERROR(INDEX('Public procurment'!A:S,MATCH(ListOfExpenditure[[#This Row],[Content.contractId]],'Public procurment'!E:E,0),19),0)</f>
        <v>0</v>
      </c>
      <c r="AP517">
        <f>IF(ListOfExpenditure[[#This Row],[Numero di volte controllato il contract ]]&gt;0,0,ListOfExpenditure[[#This Row],[IF public procurment &gt;10000;1;0]])</f>
        <v>0</v>
      </c>
    </row>
    <row r="518" spans="1:42" x14ac:dyDescent="0.25">
      <c r="A518">
        <v>1403</v>
      </c>
      <c r="B518">
        <v>21</v>
      </c>
      <c r="E518" t="s">
        <v>4786</v>
      </c>
      <c r="F518" t="b">
        <v>0</v>
      </c>
      <c r="I518" t="s">
        <v>5269</v>
      </c>
      <c r="K518" t="s">
        <v>4536</v>
      </c>
      <c r="L518" t="s">
        <v>4536</v>
      </c>
      <c r="M518" t="s">
        <v>4788</v>
      </c>
      <c r="N518" t="s">
        <v>4788</v>
      </c>
      <c r="O518">
        <v>3071.58</v>
      </c>
      <c r="Q518">
        <v>0</v>
      </c>
      <c r="R518">
        <v>0</v>
      </c>
      <c r="S518">
        <v>921.48</v>
      </c>
      <c r="T518" t="s">
        <v>4789</v>
      </c>
      <c r="U518">
        <v>1</v>
      </c>
      <c r="V518">
        <v>921.48</v>
      </c>
      <c r="W518" t="s">
        <v>4343</v>
      </c>
      <c r="Y518" t="b">
        <v>1</v>
      </c>
      <c r="Z518" t="b">
        <v>0</v>
      </c>
      <c r="AA518">
        <v>0</v>
      </c>
      <c r="AB518">
        <v>921.48</v>
      </c>
      <c r="AC518">
        <v>14</v>
      </c>
      <c r="AD518" t="b">
        <v>0</v>
      </c>
      <c r="AF518" t="s">
        <v>5254</v>
      </c>
      <c r="AG518" s="1" t="s">
        <v>317</v>
      </c>
      <c r="AH518" s="1" t="s">
        <v>321</v>
      </c>
      <c r="AI518">
        <v>117</v>
      </c>
      <c r="AJ518">
        <v>288</v>
      </c>
      <c r="AK518" s="106">
        <v>45475.63550945602</v>
      </c>
      <c r="AL518" s="1" t="s">
        <v>4790</v>
      </c>
      <c r="AM518" s="42">
        <f>IFERROR(INDEX('Public procurment'!A:R,MATCH(ListOfExpenditure[[#This Row],[Content.contractId]],'Public procurment'!E:E,0),14),0)</f>
        <v>0</v>
      </c>
      <c r="AN518" s="2">
        <f>IF(AND(ListOfExpenditure[[#This Row],[Contract amount]]&gt;10000,ListOfExpenditure[[#This Row],[Content.declaredAmount]]&gt;2000),1,0)</f>
        <v>0</v>
      </c>
      <c r="AO518">
        <f>IFERROR(INDEX('Public procurment'!A:S,MATCH(ListOfExpenditure[[#This Row],[Content.contractId]],'Public procurment'!E:E,0),19),0)</f>
        <v>0</v>
      </c>
      <c r="AP518">
        <f>IF(ListOfExpenditure[[#This Row],[Numero di volte controllato il contract ]]&gt;0,0,ListOfExpenditure[[#This Row],[IF public procurment &gt;10000;1;0]])</f>
        <v>0</v>
      </c>
    </row>
    <row r="519" spans="1:42" x14ac:dyDescent="0.25">
      <c r="A519">
        <v>1765</v>
      </c>
      <c r="B519">
        <v>1</v>
      </c>
      <c r="D519">
        <v>137</v>
      </c>
      <c r="E519" t="s">
        <v>4786</v>
      </c>
      <c r="F519" t="b">
        <v>0</v>
      </c>
      <c r="M519" t="s">
        <v>4788</v>
      </c>
      <c r="N519" t="s">
        <v>4788</v>
      </c>
      <c r="Q519">
        <v>70</v>
      </c>
      <c r="R519">
        <v>38</v>
      </c>
      <c r="S519">
        <v>2660</v>
      </c>
      <c r="T519" t="s">
        <v>4789</v>
      </c>
      <c r="U519">
        <v>1</v>
      </c>
      <c r="V519">
        <v>2660</v>
      </c>
      <c r="W519" t="s">
        <v>4343</v>
      </c>
      <c r="Y519" t="b">
        <v>1</v>
      </c>
      <c r="Z519" t="b">
        <v>0</v>
      </c>
      <c r="AA519">
        <v>2660</v>
      </c>
      <c r="AB519">
        <v>0</v>
      </c>
      <c r="AD519" t="b">
        <v>0</v>
      </c>
      <c r="AF519" t="s">
        <v>5270</v>
      </c>
      <c r="AG519" s="1" t="s">
        <v>317</v>
      </c>
      <c r="AH519" s="1" t="s">
        <v>322</v>
      </c>
      <c r="AI519">
        <v>285</v>
      </c>
      <c r="AJ519">
        <v>316</v>
      </c>
      <c r="AK519" s="106">
        <v>45475.635494131944</v>
      </c>
      <c r="AL519" s="1" t="s">
        <v>4790</v>
      </c>
      <c r="AM519" s="42">
        <f>IFERROR(INDEX('Public procurment'!A:R,MATCH(ListOfExpenditure[[#This Row],[Content.contractId]],'Public procurment'!E:E,0),14),0)</f>
        <v>0</v>
      </c>
      <c r="AN519" s="2">
        <f>IF(AND(ListOfExpenditure[[#This Row],[Contract amount]]&gt;10000,ListOfExpenditure[[#This Row],[Content.declaredAmount]]&gt;2000),1,0)</f>
        <v>0</v>
      </c>
      <c r="AO519">
        <f>IFERROR(INDEX('Public procurment'!A:S,MATCH(ListOfExpenditure[[#This Row],[Content.contractId]],'Public procurment'!E:E,0),19),0)</f>
        <v>0</v>
      </c>
      <c r="AP519">
        <f>IF(ListOfExpenditure[[#This Row],[Numero di volte controllato il contract ]]&gt;0,0,ListOfExpenditure[[#This Row],[IF public procurment &gt;10000;1;0]])</f>
        <v>0</v>
      </c>
    </row>
    <row r="520" spans="1:42" x14ac:dyDescent="0.25">
      <c r="A520">
        <v>1766</v>
      </c>
      <c r="B520">
        <v>2</v>
      </c>
      <c r="D520">
        <v>138</v>
      </c>
      <c r="E520" t="s">
        <v>4786</v>
      </c>
      <c r="F520" t="b">
        <v>0</v>
      </c>
      <c r="M520" t="s">
        <v>4788</v>
      </c>
      <c r="N520" t="s">
        <v>4788</v>
      </c>
      <c r="Q520">
        <v>50</v>
      </c>
      <c r="R520">
        <v>27</v>
      </c>
      <c r="S520">
        <v>1350</v>
      </c>
      <c r="T520" t="s">
        <v>4789</v>
      </c>
      <c r="U520">
        <v>1</v>
      </c>
      <c r="V520">
        <v>1350</v>
      </c>
      <c r="W520" t="s">
        <v>4343</v>
      </c>
      <c r="Y520" t="b">
        <v>1</v>
      </c>
      <c r="Z520" t="b">
        <v>0</v>
      </c>
      <c r="AA520">
        <v>1350</v>
      </c>
      <c r="AB520">
        <v>0</v>
      </c>
      <c r="AD520" t="b">
        <v>0</v>
      </c>
      <c r="AF520" t="s">
        <v>5270</v>
      </c>
      <c r="AG520" s="1" t="s">
        <v>317</v>
      </c>
      <c r="AH520" s="1" t="s">
        <v>322</v>
      </c>
      <c r="AI520">
        <v>285</v>
      </c>
      <c r="AJ520">
        <v>316</v>
      </c>
      <c r="AK520" s="106">
        <v>45475.635494131944</v>
      </c>
      <c r="AL520" s="1" t="s">
        <v>4790</v>
      </c>
      <c r="AM520" s="42">
        <f>IFERROR(INDEX('Public procurment'!A:R,MATCH(ListOfExpenditure[[#This Row],[Content.contractId]],'Public procurment'!E:E,0),14),0)</f>
        <v>0</v>
      </c>
      <c r="AN520" s="2">
        <f>IF(AND(ListOfExpenditure[[#This Row],[Contract amount]]&gt;10000,ListOfExpenditure[[#This Row],[Content.declaredAmount]]&gt;2000),1,0)</f>
        <v>0</v>
      </c>
      <c r="AO520">
        <f>IFERROR(INDEX('Public procurment'!A:S,MATCH(ListOfExpenditure[[#This Row],[Content.contractId]],'Public procurment'!E:E,0),19),0)</f>
        <v>0</v>
      </c>
      <c r="AP520">
        <f>IF(ListOfExpenditure[[#This Row],[Numero di volte controllato il contract ]]&gt;0,0,ListOfExpenditure[[#This Row],[IF public procurment &gt;10000;1;0]])</f>
        <v>0</v>
      </c>
    </row>
    <row r="521" spans="1:42" x14ac:dyDescent="0.25">
      <c r="A521">
        <v>1675</v>
      </c>
      <c r="B521">
        <v>1</v>
      </c>
      <c r="D521">
        <v>131</v>
      </c>
      <c r="E521" t="s">
        <v>4786</v>
      </c>
      <c r="F521" t="b">
        <v>0</v>
      </c>
      <c r="M521" t="s">
        <v>4788</v>
      </c>
      <c r="N521" t="s">
        <v>4788</v>
      </c>
      <c r="Q521">
        <v>45</v>
      </c>
      <c r="R521">
        <v>27</v>
      </c>
      <c r="S521">
        <v>1215</v>
      </c>
      <c r="T521" t="s">
        <v>4789</v>
      </c>
      <c r="U521">
        <v>1</v>
      </c>
      <c r="V521">
        <v>1215</v>
      </c>
      <c r="W521" t="s">
        <v>4343</v>
      </c>
      <c r="Y521" t="b">
        <v>0</v>
      </c>
      <c r="Z521" t="b">
        <v>0</v>
      </c>
      <c r="AA521">
        <v>1215</v>
      </c>
      <c r="AB521">
        <v>0</v>
      </c>
      <c r="AD521" t="b">
        <v>0</v>
      </c>
      <c r="AG521" s="1" t="s">
        <v>317</v>
      </c>
      <c r="AH521" s="1" t="s">
        <v>39</v>
      </c>
      <c r="AI521">
        <v>220</v>
      </c>
      <c r="AJ521">
        <v>311</v>
      </c>
      <c r="AK521" s="106">
        <v>45475.63551349537</v>
      </c>
      <c r="AL521" s="1" t="s">
        <v>4790</v>
      </c>
      <c r="AM521" s="42">
        <f>IFERROR(INDEX('Public procurment'!A:R,MATCH(ListOfExpenditure[[#This Row],[Content.contractId]],'Public procurment'!E:E,0),14),0)</f>
        <v>0</v>
      </c>
      <c r="AN521" s="2">
        <f>IF(AND(ListOfExpenditure[[#This Row],[Contract amount]]&gt;10000,ListOfExpenditure[[#This Row],[Content.declaredAmount]]&gt;2000),1,0)</f>
        <v>0</v>
      </c>
      <c r="AO521">
        <f>IFERROR(INDEX('Public procurment'!A:S,MATCH(ListOfExpenditure[[#This Row],[Content.contractId]],'Public procurment'!E:E,0),19),0)</f>
        <v>0</v>
      </c>
      <c r="AP521">
        <f>IF(ListOfExpenditure[[#This Row],[Numero di volte controllato il contract ]]&gt;0,0,ListOfExpenditure[[#This Row],[IF public procurment &gt;10000;1;0]])</f>
        <v>0</v>
      </c>
    </row>
    <row r="522" spans="1:42" x14ac:dyDescent="0.25">
      <c r="A522">
        <v>1676</v>
      </c>
      <c r="B522">
        <v>2</v>
      </c>
      <c r="D522">
        <v>131</v>
      </c>
      <c r="E522" t="s">
        <v>4786</v>
      </c>
      <c r="F522" t="b">
        <v>0</v>
      </c>
      <c r="M522" t="s">
        <v>4788</v>
      </c>
      <c r="N522" t="s">
        <v>4788</v>
      </c>
      <c r="Q522">
        <v>15</v>
      </c>
      <c r="R522">
        <v>27</v>
      </c>
      <c r="S522">
        <v>405</v>
      </c>
      <c r="T522" t="s">
        <v>4789</v>
      </c>
      <c r="U522">
        <v>1</v>
      </c>
      <c r="V522">
        <v>405</v>
      </c>
      <c r="W522" t="s">
        <v>4343</v>
      </c>
      <c r="Y522" t="b">
        <v>0</v>
      </c>
      <c r="Z522" t="b">
        <v>0</v>
      </c>
      <c r="AA522">
        <v>405</v>
      </c>
      <c r="AB522">
        <v>0</v>
      </c>
      <c r="AD522" t="b">
        <v>0</v>
      </c>
      <c r="AG522" s="1" t="s">
        <v>317</v>
      </c>
      <c r="AH522" s="1" t="s">
        <v>39</v>
      </c>
      <c r="AI522">
        <v>220</v>
      </c>
      <c r="AJ522">
        <v>311</v>
      </c>
      <c r="AK522" s="106">
        <v>45475.63551349537</v>
      </c>
      <c r="AL522" s="1" t="s">
        <v>4790</v>
      </c>
      <c r="AM522" s="42">
        <f>IFERROR(INDEX('Public procurment'!A:R,MATCH(ListOfExpenditure[[#This Row],[Content.contractId]],'Public procurment'!E:E,0),14),0)</f>
        <v>0</v>
      </c>
      <c r="AN522" s="2">
        <f>IF(AND(ListOfExpenditure[[#This Row],[Contract amount]]&gt;10000,ListOfExpenditure[[#This Row],[Content.declaredAmount]]&gt;2000),1,0)</f>
        <v>0</v>
      </c>
      <c r="AO522">
        <f>IFERROR(INDEX('Public procurment'!A:S,MATCH(ListOfExpenditure[[#This Row],[Content.contractId]],'Public procurment'!E:E,0),19),0)</f>
        <v>0</v>
      </c>
      <c r="AP522">
        <f>IF(ListOfExpenditure[[#This Row],[Numero di volte controllato il contract ]]&gt;0,0,ListOfExpenditure[[#This Row],[IF public procurment &gt;10000;1;0]])</f>
        <v>0</v>
      </c>
    </row>
    <row r="523" spans="1:42" x14ac:dyDescent="0.25">
      <c r="A523">
        <v>1677</v>
      </c>
      <c r="B523">
        <v>3</v>
      </c>
      <c r="D523">
        <v>131</v>
      </c>
      <c r="E523" t="s">
        <v>4786</v>
      </c>
      <c r="F523" t="b">
        <v>0</v>
      </c>
      <c r="M523" t="s">
        <v>4788</v>
      </c>
      <c r="N523" t="s">
        <v>4788</v>
      </c>
      <c r="Q523">
        <v>40</v>
      </c>
      <c r="R523">
        <v>27</v>
      </c>
      <c r="S523">
        <v>1080</v>
      </c>
      <c r="T523" t="s">
        <v>4789</v>
      </c>
      <c r="U523">
        <v>1</v>
      </c>
      <c r="V523">
        <v>1080</v>
      </c>
      <c r="W523" t="s">
        <v>4343</v>
      </c>
      <c r="Y523" t="b">
        <v>0</v>
      </c>
      <c r="Z523" t="b">
        <v>0</v>
      </c>
      <c r="AA523">
        <v>1080</v>
      </c>
      <c r="AB523">
        <v>0</v>
      </c>
      <c r="AD523" t="b">
        <v>0</v>
      </c>
      <c r="AG523" s="1" t="s">
        <v>317</v>
      </c>
      <c r="AH523" s="1" t="s">
        <v>39</v>
      </c>
      <c r="AI523">
        <v>220</v>
      </c>
      <c r="AJ523">
        <v>311</v>
      </c>
      <c r="AK523" s="106">
        <v>45475.63551349537</v>
      </c>
      <c r="AL523" s="1" t="s">
        <v>4790</v>
      </c>
      <c r="AM523" s="42">
        <f>IFERROR(INDEX('Public procurment'!A:R,MATCH(ListOfExpenditure[[#This Row],[Content.contractId]],'Public procurment'!E:E,0),14),0)</f>
        <v>0</v>
      </c>
      <c r="AN523" s="2">
        <f>IF(AND(ListOfExpenditure[[#This Row],[Contract amount]]&gt;10000,ListOfExpenditure[[#This Row],[Content.declaredAmount]]&gt;2000),1,0)</f>
        <v>0</v>
      </c>
      <c r="AO523">
        <f>IFERROR(INDEX('Public procurment'!A:S,MATCH(ListOfExpenditure[[#This Row],[Content.contractId]],'Public procurment'!E:E,0),19),0)</f>
        <v>0</v>
      </c>
      <c r="AP523">
        <f>IF(ListOfExpenditure[[#This Row],[Numero di volte controllato il contract ]]&gt;0,0,ListOfExpenditure[[#This Row],[IF public procurment &gt;10000;1;0]])</f>
        <v>0</v>
      </c>
    </row>
    <row r="524" spans="1:42" x14ac:dyDescent="0.25">
      <c r="A524">
        <v>1679</v>
      </c>
      <c r="B524">
        <v>4</v>
      </c>
      <c r="D524">
        <v>131</v>
      </c>
      <c r="E524" t="s">
        <v>4786</v>
      </c>
      <c r="F524" t="b">
        <v>0</v>
      </c>
      <c r="M524" t="s">
        <v>4788</v>
      </c>
      <c r="N524" t="s">
        <v>4788</v>
      </c>
      <c r="Q524">
        <v>4</v>
      </c>
      <c r="R524">
        <v>27</v>
      </c>
      <c r="S524">
        <v>108</v>
      </c>
      <c r="T524" t="s">
        <v>4789</v>
      </c>
      <c r="U524">
        <v>1</v>
      </c>
      <c r="V524">
        <v>108</v>
      </c>
      <c r="W524" t="s">
        <v>4343</v>
      </c>
      <c r="Y524" t="b">
        <v>0</v>
      </c>
      <c r="Z524" t="b">
        <v>0</v>
      </c>
      <c r="AA524">
        <v>108</v>
      </c>
      <c r="AB524">
        <v>0</v>
      </c>
      <c r="AD524" t="b">
        <v>0</v>
      </c>
      <c r="AG524" s="1" t="s">
        <v>317</v>
      </c>
      <c r="AH524" s="1" t="s">
        <v>39</v>
      </c>
      <c r="AI524">
        <v>220</v>
      </c>
      <c r="AJ524">
        <v>311</v>
      </c>
      <c r="AK524" s="106">
        <v>45475.63551349537</v>
      </c>
      <c r="AL524" s="1" t="s">
        <v>4790</v>
      </c>
      <c r="AM524" s="42">
        <f>IFERROR(INDEX('Public procurment'!A:R,MATCH(ListOfExpenditure[[#This Row],[Content.contractId]],'Public procurment'!E:E,0),14),0)</f>
        <v>0</v>
      </c>
      <c r="AN524" s="2">
        <f>IF(AND(ListOfExpenditure[[#This Row],[Contract amount]]&gt;10000,ListOfExpenditure[[#This Row],[Content.declaredAmount]]&gt;2000),1,0)</f>
        <v>0</v>
      </c>
      <c r="AO524">
        <f>IFERROR(INDEX('Public procurment'!A:S,MATCH(ListOfExpenditure[[#This Row],[Content.contractId]],'Public procurment'!E:E,0),19),0)</f>
        <v>0</v>
      </c>
      <c r="AP524">
        <f>IF(ListOfExpenditure[[#This Row],[Numero di volte controllato il contract ]]&gt;0,0,ListOfExpenditure[[#This Row],[IF public procurment &gt;10000;1;0]])</f>
        <v>0</v>
      </c>
    </row>
    <row r="525" spans="1:42" x14ac:dyDescent="0.25">
      <c r="A525">
        <v>841</v>
      </c>
      <c r="B525">
        <v>1</v>
      </c>
      <c r="E525" t="s">
        <v>4786</v>
      </c>
      <c r="F525" t="b">
        <v>1</v>
      </c>
      <c r="I525" t="s">
        <v>5214</v>
      </c>
      <c r="K525" t="s">
        <v>4682</v>
      </c>
      <c r="L525" t="s">
        <v>4682</v>
      </c>
      <c r="M525" t="s">
        <v>4788</v>
      </c>
      <c r="N525" t="s">
        <v>4788</v>
      </c>
      <c r="O525">
        <v>16389.8</v>
      </c>
      <c r="Q525">
        <v>0</v>
      </c>
      <c r="R525">
        <v>0</v>
      </c>
      <c r="S525">
        <v>1130.9000000000001</v>
      </c>
      <c r="T525" t="s">
        <v>4789</v>
      </c>
      <c r="U525">
        <v>1</v>
      </c>
      <c r="V525">
        <v>1130.9000000000001</v>
      </c>
      <c r="W525" t="s">
        <v>4343</v>
      </c>
      <c r="Y525" t="b">
        <v>0</v>
      </c>
      <c r="Z525" t="b">
        <v>0</v>
      </c>
      <c r="AA525">
        <v>1130.9000000000001</v>
      </c>
      <c r="AB525">
        <v>0</v>
      </c>
      <c r="AD525" t="b">
        <v>0</v>
      </c>
      <c r="AG525" s="1" t="s">
        <v>288</v>
      </c>
      <c r="AH525" s="1" t="s">
        <v>54</v>
      </c>
      <c r="AI525">
        <v>63</v>
      </c>
      <c r="AJ525">
        <v>185</v>
      </c>
      <c r="AK525" s="106">
        <v>45475.635467986111</v>
      </c>
      <c r="AL525" s="1" t="s">
        <v>4790</v>
      </c>
      <c r="AM525" s="42">
        <f>IFERROR(INDEX('Public procurment'!A:R,MATCH(ListOfExpenditure[[#This Row],[Content.contractId]],'Public procurment'!E:E,0),14),0)</f>
        <v>0</v>
      </c>
      <c r="AN525" s="2">
        <f>IF(AND(ListOfExpenditure[[#This Row],[Contract amount]]&gt;10000,ListOfExpenditure[[#This Row],[Content.declaredAmount]]&gt;2000),1,0)</f>
        <v>0</v>
      </c>
      <c r="AO525">
        <f>IFERROR(INDEX('Public procurment'!A:S,MATCH(ListOfExpenditure[[#This Row],[Content.contractId]],'Public procurment'!E:E,0),19),0)</f>
        <v>0</v>
      </c>
      <c r="AP525">
        <f>IF(ListOfExpenditure[[#This Row],[Numero di volte controllato il contract ]]&gt;0,0,ListOfExpenditure[[#This Row],[IF public procurment &gt;10000;1;0]])</f>
        <v>0</v>
      </c>
    </row>
    <row r="526" spans="1:42" x14ac:dyDescent="0.25">
      <c r="A526">
        <v>842</v>
      </c>
      <c r="B526">
        <v>2</v>
      </c>
      <c r="E526" t="s">
        <v>4786</v>
      </c>
      <c r="F526" t="b">
        <v>1</v>
      </c>
      <c r="I526" t="s">
        <v>5215</v>
      </c>
      <c r="K526" t="s">
        <v>4682</v>
      </c>
      <c r="L526" t="s">
        <v>4682</v>
      </c>
      <c r="M526" t="s">
        <v>4788</v>
      </c>
      <c r="N526" t="s">
        <v>4788</v>
      </c>
      <c r="O526">
        <v>9001.2199999999993</v>
      </c>
      <c r="Q526">
        <v>0</v>
      </c>
      <c r="R526">
        <v>0</v>
      </c>
      <c r="S526">
        <v>828.11</v>
      </c>
      <c r="T526" t="s">
        <v>4789</v>
      </c>
      <c r="U526">
        <v>1</v>
      </c>
      <c r="V526">
        <v>828.11</v>
      </c>
      <c r="W526" t="s">
        <v>4343</v>
      </c>
      <c r="Y526" t="b">
        <v>0</v>
      </c>
      <c r="Z526" t="b">
        <v>0</v>
      </c>
      <c r="AA526">
        <v>828.11</v>
      </c>
      <c r="AB526">
        <v>0</v>
      </c>
      <c r="AD526" t="b">
        <v>0</v>
      </c>
      <c r="AG526" s="1" t="s">
        <v>288</v>
      </c>
      <c r="AH526" s="1" t="s">
        <v>54</v>
      </c>
      <c r="AI526">
        <v>63</v>
      </c>
      <c r="AJ526">
        <v>185</v>
      </c>
      <c r="AK526" s="106">
        <v>45475.635467986111</v>
      </c>
      <c r="AL526" s="1" t="s">
        <v>4790</v>
      </c>
      <c r="AM526" s="42">
        <f>IFERROR(INDEX('Public procurment'!A:R,MATCH(ListOfExpenditure[[#This Row],[Content.contractId]],'Public procurment'!E:E,0),14),0)</f>
        <v>0</v>
      </c>
      <c r="AN526" s="2">
        <f>IF(AND(ListOfExpenditure[[#This Row],[Contract amount]]&gt;10000,ListOfExpenditure[[#This Row],[Content.declaredAmount]]&gt;2000),1,0)</f>
        <v>0</v>
      </c>
      <c r="AO526">
        <f>IFERROR(INDEX('Public procurment'!A:S,MATCH(ListOfExpenditure[[#This Row],[Content.contractId]],'Public procurment'!E:E,0),19),0)</f>
        <v>0</v>
      </c>
      <c r="AP526">
        <f>IF(ListOfExpenditure[[#This Row],[Numero di volte controllato il contract ]]&gt;0,0,ListOfExpenditure[[#This Row],[IF public procurment &gt;10000;1;0]])</f>
        <v>0</v>
      </c>
    </row>
    <row r="527" spans="1:42" x14ac:dyDescent="0.25">
      <c r="A527">
        <v>843</v>
      </c>
      <c r="B527">
        <v>3</v>
      </c>
      <c r="E527" t="s">
        <v>4786</v>
      </c>
      <c r="F527" t="b">
        <v>1</v>
      </c>
      <c r="I527" t="s">
        <v>5216</v>
      </c>
      <c r="K527" t="s">
        <v>4682</v>
      </c>
      <c r="L527" t="s">
        <v>4682</v>
      </c>
      <c r="M527" t="s">
        <v>4788</v>
      </c>
      <c r="N527" t="s">
        <v>4788</v>
      </c>
      <c r="O527">
        <v>12623.67</v>
      </c>
      <c r="Q527">
        <v>0</v>
      </c>
      <c r="R527">
        <v>0</v>
      </c>
      <c r="S527">
        <v>1161.3800000000001</v>
      </c>
      <c r="T527" t="s">
        <v>4789</v>
      </c>
      <c r="U527">
        <v>1</v>
      </c>
      <c r="V527">
        <v>1161.3800000000001</v>
      </c>
      <c r="W527" t="s">
        <v>4343</v>
      </c>
      <c r="Y527" t="b">
        <v>0</v>
      </c>
      <c r="Z527" t="b">
        <v>0</v>
      </c>
      <c r="AA527">
        <v>1161.3800000000001</v>
      </c>
      <c r="AB527">
        <v>0</v>
      </c>
      <c r="AD527" t="b">
        <v>0</v>
      </c>
      <c r="AG527" s="1" t="s">
        <v>288</v>
      </c>
      <c r="AH527" s="1" t="s">
        <v>54</v>
      </c>
      <c r="AI527">
        <v>63</v>
      </c>
      <c r="AJ527">
        <v>185</v>
      </c>
      <c r="AK527" s="106">
        <v>45475.635467986111</v>
      </c>
      <c r="AL527" s="1" t="s">
        <v>4790</v>
      </c>
      <c r="AM527" s="42">
        <f>IFERROR(INDEX('Public procurment'!A:R,MATCH(ListOfExpenditure[[#This Row],[Content.contractId]],'Public procurment'!E:E,0),14),0)</f>
        <v>0</v>
      </c>
      <c r="AN527" s="2">
        <f>IF(AND(ListOfExpenditure[[#This Row],[Contract amount]]&gt;10000,ListOfExpenditure[[#This Row],[Content.declaredAmount]]&gt;2000),1,0)</f>
        <v>0</v>
      </c>
      <c r="AO527">
        <f>IFERROR(INDEX('Public procurment'!A:S,MATCH(ListOfExpenditure[[#This Row],[Content.contractId]],'Public procurment'!E:E,0),19),0)</f>
        <v>0</v>
      </c>
      <c r="AP527">
        <f>IF(ListOfExpenditure[[#This Row],[Numero di volte controllato il contract ]]&gt;0,0,ListOfExpenditure[[#This Row],[IF public procurment &gt;10000;1;0]])</f>
        <v>0</v>
      </c>
    </row>
    <row r="528" spans="1:42" x14ac:dyDescent="0.25">
      <c r="A528">
        <v>844</v>
      </c>
      <c r="B528">
        <v>4</v>
      </c>
      <c r="E528" t="s">
        <v>4786</v>
      </c>
      <c r="F528" t="b">
        <v>1</v>
      </c>
      <c r="I528" t="s">
        <v>5271</v>
      </c>
      <c r="K528" t="s">
        <v>4682</v>
      </c>
      <c r="L528" t="s">
        <v>4682</v>
      </c>
      <c r="M528" t="s">
        <v>4788</v>
      </c>
      <c r="N528" t="s">
        <v>4788</v>
      </c>
      <c r="O528">
        <v>10408.25</v>
      </c>
      <c r="Q528">
        <v>0</v>
      </c>
      <c r="R528">
        <v>0</v>
      </c>
      <c r="S528">
        <v>1435.3</v>
      </c>
      <c r="T528" t="s">
        <v>4789</v>
      </c>
      <c r="U528">
        <v>1</v>
      </c>
      <c r="V528">
        <v>1435.3</v>
      </c>
      <c r="W528" t="s">
        <v>4343</v>
      </c>
      <c r="Y528" t="b">
        <v>0</v>
      </c>
      <c r="Z528" t="b">
        <v>0</v>
      </c>
      <c r="AA528">
        <v>1435.3</v>
      </c>
      <c r="AB528">
        <v>0</v>
      </c>
      <c r="AD528" t="b">
        <v>0</v>
      </c>
      <c r="AG528" s="1" t="s">
        <v>288</v>
      </c>
      <c r="AH528" s="1" t="s">
        <v>54</v>
      </c>
      <c r="AI528">
        <v>63</v>
      </c>
      <c r="AJ528">
        <v>185</v>
      </c>
      <c r="AK528" s="106">
        <v>45475.635467986111</v>
      </c>
      <c r="AL528" s="1" t="s">
        <v>4790</v>
      </c>
      <c r="AM528" s="42">
        <f>IFERROR(INDEX('Public procurment'!A:R,MATCH(ListOfExpenditure[[#This Row],[Content.contractId]],'Public procurment'!E:E,0),14),0)</f>
        <v>0</v>
      </c>
      <c r="AN528" s="2">
        <f>IF(AND(ListOfExpenditure[[#This Row],[Contract amount]]&gt;10000,ListOfExpenditure[[#This Row],[Content.declaredAmount]]&gt;2000),1,0)</f>
        <v>0</v>
      </c>
      <c r="AO528">
        <f>IFERROR(INDEX('Public procurment'!A:S,MATCH(ListOfExpenditure[[#This Row],[Content.contractId]],'Public procurment'!E:E,0),19),0)</f>
        <v>0</v>
      </c>
      <c r="AP528">
        <f>IF(ListOfExpenditure[[#This Row],[Numero di volte controllato il contract ]]&gt;0,0,ListOfExpenditure[[#This Row],[IF public procurment &gt;10000;1;0]])</f>
        <v>0</v>
      </c>
    </row>
    <row r="529" spans="1:42" x14ac:dyDescent="0.25">
      <c r="A529">
        <v>845</v>
      </c>
      <c r="B529">
        <v>5</v>
      </c>
      <c r="E529" t="s">
        <v>4786</v>
      </c>
      <c r="F529" t="b">
        <v>1</v>
      </c>
      <c r="I529" t="s">
        <v>5222</v>
      </c>
      <c r="K529" t="s">
        <v>4682</v>
      </c>
      <c r="L529" t="s">
        <v>4682</v>
      </c>
      <c r="M529" t="s">
        <v>4788</v>
      </c>
      <c r="N529" t="s">
        <v>4788</v>
      </c>
      <c r="O529">
        <v>11235.04</v>
      </c>
      <c r="Q529">
        <v>0</v>
      </c>
      <c r="R529">
        <v>0</v>
      </c>
      <c r="S529">
        <v>1549.31</v>
      </c>
      <c r="T529" t="s">
        <v>4789</v>
      </c>
      <c r="U529">
        <v>1</v>
      </c>
      <c r="V529">
        <v>1549.31</v>
      </c>
      <c r="W529" t="s">
        <v>4343</v>
      </c>
      <c r="Y529" t="b">
        <v>0</v>
      </c>
      <c r="Z529" t="b">
        <v>0</v>
      </c>
      <c r="AA529">
        <v>1549.31</v>
      </c>
      <c r="AB529">
        <v>0</v>
      </c>
      <c r="AD529" t="b">
        <v>0</v>
      </c>
      <c r="AG529" s="1" t="s">
        <v>288</v>
      </c>
      <c r="AH529" s="1" t="s">
        <v>54</v>
      </c>
      <c r="AI529">
        <v>63</v>
      </c>
      <c r="AJ529">
        <v>185</v>
      </c>
      <c r="AK529" s="106">
        <v>45475.635467986111</v>
      </c>
      <c r="AL529" s="1" t="s">
        <v>4790</v>
      </c>
      <c r="AM529" s="42">
        <f>IFERROR(INDEX('Public procurment'!A:R,MATCH(ListOfExpenditure[[#This Row],[Content.contractId]],'Public procurment'!E:E,0),14),0)</f>
        <v>0</v>
      </c>
      <c r="AN529" s="2">
        <f>IF(AND(ListOfExpenditure[[#This Row],[Contract amount]]&gt;10000,ListOfExpenditure[[#This Row],[Content.declaredAmount]]&gt;2000),1,0)</f>
        <v>0</v>
      </c>
      <c r="AO529">
        <f>IFERROR(INDEX('Public procurment'!A:S,MATCH(ListOfExpenditure[[#This Row],[Content.contractId]],'Public procurment'!E:E,0),19),0)</f>
        <v>0</v>
      </c>
      <c r="AP529">
        <f>IF(ListOfExpenditure[[#This Row],[Numero di volte controllato il contract ]]&gt;0,0,ListOfExpenditure[[#This Row],[IF public procurment &gt;10000;1;0]])</f>
        <v>0</v>
      </c>
    </row>
    <row r="530" spans="1:42" x14ac:dyDescent="0.25">
      <c r="A530">
        <v>846</v>
      </c>
      <c r="B530">
        <v>6</v>
      </c>
      <c r="E530" t="s">
        <v>4786</v>
      </c>
      <c r="F530" t="b">
        <v>1</v>
      </c>
      <c r="I530" t="s">
        <v>5272</v>
      </c>
      <c r="K530" t="s">
        <v>4682</v>
      </c>
      <c r="L530" t="s">
        <v>4682</v>
      </c>
      <c r="M530" t="s">
        <v>4788</v>
      </c>
      <c r="N530" t="s">
        <v>4788</v>
      </c>
      <c r="O530">
        <v>8071.29</v>
      </c>
      <c r="Q530">
        <v>0</v>
      </c>
      <c r="R530">
        <v>0</v>
      </c>
      <c r="S530">
        <v>1298.67</v>
      </c>
      <c r="T530" t="s">
        <v>4789</v>
      </c>
      <c r="U530">
        <v>1</v>
      </c>
      <c r="V530">
        <v>1298.67</v>
      </c>
      <c r="W530" t="s">
        <v>4343</v>
      </c>
      <c r="Y530" t="b">
        <v>0</v>
      </c>
      <c r="Z530" t="b">
        <v>0</v>
      </c>
      <c r="AA530">
        <v>1298.67</v>
      </c>
      <c r="AB530">
        <v>0</v>
      </c>
      <c r="AD530" t="b">
        <v>0</v>
      </c>
      <c r="AG530" s="1" t="s">
        <v>288</v>
      </c>
      <c r="AH530" s="1" t="s">
        <v>54</v>
      </c>
      <c r="AI530">
        <v>63</v>
      </c>
      <c r="AJ530">
        <v>185</v>
      </c>
      <c r="AK530" s="106">
        <v>45475.635467986111</v>
      </c>
      <c r="AL530" s="1" t="s">
        <v>4790</v>
      </c>
      <c r="AM530" s="42">
        <f>IFERROR(INDEX('Public procurment'!A:R,MATCH(ListOfExpenditure[[#This Row],[Content.contractId]],'Public procurment'!E:E,0),14),0)</f>
        <v>0</v>
      </c>
      <c r="AN530" s="2">
        <f>IF(AND(ListOfExpenditure[[#This Row],[Contract amount]]&gt;10000,ListOfExpenditure[[#This Row],[Content.declaredAmount]]&gt;2000),1,0)</f>
        <v>0</v>
      </c>
      <c r="AO530">
        <f>IFERROR(INDEX('Public procurment'!A:S,MATCH(ListOfExpenditure[[#This Row],[Content.contractId]],'Public procurment'!E:E,0),19),0)</f>
        <v>0</v>
      </c>
      <c r="AP530">
        <f>IF(ListOfExpenditure[[#This Row],[Numero di volte controllato il contract ]]&gt;0,0,ListOfExpenditure[[#This Row],[IF public procurment &gt;10000;1;0]])</f>
        <v>0</v>
      </c>
    </row>
    <row r="531" spans="1:42" x14ac:dyDescent="0.25">
      <c r="A531">
        <v>847</v>
      </c>
      <c r="B531">
        <v>7</v>
      </c>
      <c r="E531" t="s">
        <v>4786</v>
      </c>
      <c r="F531" t="b">
        <v>1</v>
      </c>
      <c r="I531" t="s">
        <v>5223</v>
      </c>
      <c r="K531" t="s">
        <v>4682</v>
      </c>
      <c r="L531" t="s">
        <v>4682</v>
      </c>
      <c r="M531" t="s">
        <v>4788</v>
      </c>
      <c r="N531" t="s">
        <v>4788</v>
      </c>
      <c r="O531">
        <v>8725.3700000000008</v>
      </c>
      <c r="Q531">
        <v>0</v>
      </c>
      <c r="R531">
        <v>0</v>
      </c>
      <c r="S531">
        <v>602.04999999999995</v>
      </c>
      <c r="T531" t="s">
        <v>4789</v>
      </c>
      <c r="U531">
        <v>1</v>
      </c>
      <c r="V531">
        <v>602.04999999999995</v>
      </c>
      <c r="W531" t="s">
        <v>4343</v>
      </c>
      <c r="Y531" t="b">
        <v>0</v>
      </c>
      <c r="Z531" t="b">
        <v>0</v>
      </c>
      <c r="AA531">
        <v>602.04999999999995</v>
      </c>
      <c r="AB531">
        <v>0</v>
      </c>
      <c r="AD531" t="b">
        <v>0</v>
      </c>
      <c r="AG531" s="1" t="s">
        <v>288</v>
      </c>
      <c r="AH531" s="1" t="s">
        <v>54</v>
      </c>
      <c r="AI531">
        <v>63</v>
      </c>
      <c r="AJ531">
        <v>185</v>
      </c>
      <c r="AK531" s="106">
        <v>45475.635467986111</v>
      </c>
      <c r="AL531" s="1" t="s">
        <v>4790</v>
      </c>
      <c r="AM531" s="42">
        <f>IFERROR(INDEX('Public procurment'!A:R,MATCH(ListOfExpenditure[[#This Row],[Content.contractId]],'Public procurment'!E:E,0),14),0)</f>
        <v>0</v>
      </c>
      <c r="AN531" s="2">
        <f>IF(AND(ListOfExpenditure[[#This Row],[Contract amount]]&gt;10000,ListOfExpenditure[[#This Row],[Content.declaredAmount]]&gt;2000),1,0)</f>
        <v>0</v>
      </c>
      <c r="AO531">
        <f>IFERROR(INDEX('Public procurment'!A:S,MATCH(ListOfExpenditure[[#This Row],[Content.contractId]],'Public procurment'!E:E,0),19),0)</f>
        <v>0</v>
      </c>
      <c r="AP531">
        <f>IF(ListOfExpenditure[[#This Row],[Numero di volte controllato il contract ]]&gt;0,0,ListOfExpenditure[[#This Row],[IF public procurment &gt;10000;1;0]])</f>
        <v>0</v>
      </c>
    </row>
    <row r="532" spans="1:42" x14ac:dyDescent="0.25">
      <c r="A532">
        <v>848</v>
      </c>
      <c r="B532">
        <v>8</v>
      </c>
      <c r="E532" t="s">
        <v>4786</v>
      </c>
      <c r="F532" t="b">
        <v>1</v>
      </c>
      <c r="I532" t="s">
        <v>5224</v>
      </c>
      <c r="K532" t="s">
        <v>4682</v>
      </c>
      <c r="L532" t="s">
        <v>4682</v>
      </c>
      <c r="M532" t="s">
        <v>4788</v>
      </c>
      <c r="N532" t="s">
        <v>4788</v>
      </c>
      <c r="O532">
        <v>9423.4699999999993</v>
      </c>
      <c r="Q532">
        <v>0</v>
      </c>
      <c r="R532">
        <v>0</v>
      </c>
      <c r="S532">
        <v>650.22</v>
      </c>
      <c r="T532" t="s">
        <v>4789</v>
      </c>
      <c r="U532">
        <v>1</v>
      </c>
      <c r="V532">
        <v>650.22</v>
      </c>
      <c r="W532" t="s">
        <v>4343</v>
      </c>
      <c r="Y532" t="b">
        <v>0</v>
      </c>
      <c r="Z532" t="b">
        <v>0</v>
      </c>
      <c r="AA532">
        <v>650.22</v>
      </c>
      <c r="AB532">
        <v>0</v>
      </c>
      <c r="AD532" t="b">
        <v>0</v>
      </c>
      <c r="AG532" s="1" t="s">
        <v>288</v>
      </c>
      <c r="AH532" s="1" t="s">
        <v>54</v>
      </c>
      <c r="AI532">
        <v>63</v>
      </c>
      <c r="AJ532">
        <v>185</v>
      </c>
      <c r="AK532" s="106">
        <v>45475.635467986111</v>
      </c>
      <c r="AL532" s="1" t="s">
        <v>4790</v>
      </c>
      <c r="AM532" s="42">
        <f>IFERROR(INDEX('Public procurment'!A:R,MATCH(ListOfExpenditure[[#This Row],[Content.contractId]],'Public procurment'!E:E,0),14),0)</f>
        <v>0</v>
      </c>
      <c r="AN532" s="2">
        <f>IF(AND(ListOfExpenditure[[#This Row],[Contract amount]]&gt;10000,ListOfExpenditure[[#This Row],[Content.declaredAmount]]&gt;2000),1,0)</f>
        <v>0</v>
      </c>
      <c r="AO532">
        <f>IFERROR(INDEX('Public procurment'!A:S,MATCH(ListOfExpenditure[[#This Row],[Content.contractId]],'Public procurment'!E:E,0),19),0)</f>
        <v>0</v>
      </c>
      <c r="AP532">
        <f>IF(ListOfExpenditure[[#This Row],[Numero di volte controllato il contract ]]&gt;0,0,ListOfExpenditure[[#This Row],[IF public procurment &gt;10000;1;0]])</f>
        <v>0</v>
      </c>
    </row>
    <row r="533" spans="1:42" x14ac:dyDescent="0.25">
      <c r="A533">
        <v>849</v>
      </c>
      <c r="B533">
        <v>9</v>
      </c>
      <c r="E533" t="s">
        <v>4786</v>
      </c>
      <c r="F533" t="b">
        <v>1</v>
      </c>
      <c r="I533" t="s">
        <v>5273</v>
      </c>
      <c r="K533" t="s">
        <v>4682</v>
      </c>
      <c r="L533" t="s">
        <v>4682</v>
      </c>
      <c r="M533" t="s">
        <v>4788</v>
      </c>
      <c r="N533" t="s">
        <v>4788</v>
      </c>
      <c r="O533">
        <v>11572.93</v>
      </c>
      <c r="Q533">
        <v>0</v>
      </c>
      <c r="R533">
        <v>0</v>
      </c>
      <c r="S533">
        <v>1995.17</v>
      </c>
      <c r="T533" t="s">
        <v>4789</v>
      </c>
      <c r="U533">
        <v>1</v>
      </c>
      <c r="V533">
        <v>1995.17</v>
      </c>
      <c r="W533" t="s">
        <v>4343</v>
      </c>
      <c r="Y533" t="b">
        <v>0</v>
      </c>
      <c r="Z533" t="b">
        <v>0</v>
      </c>
      <c r="AA533">
        <v>1995.17</v>
      </c>
      <c r="AB533">
        <v>0</v>
      </c>
      <c r="AD533" t="b">
        <v>0</v>
      </c>
      <c r="AG533" s="1" t="s">
        <v>288</v>
      </c>
      <c r="AH533" s="1" t="s">
        <v>54</v>
      </c>
      <c r="AI533">
        <v>63</v>
      </c>
      <c r="AJ533">
        <v>185</v>
      </c>
      <c r="AK533" s="106">
        <v>45475.635467986111</v>
      </c>
      <c r="AL533" s="1" t="s">
        <v>4790</v>
      </c>
      <c r="AM533" s="42">
        <f>IFERROR(INDEX('Public procurment'!A:R,MATCH(ListOfExpenditure[[#This Row],[Content.contractId]],'Public procurment'!E:E,0),14),0)</f>
        <v>0</v>
      </c>
      <c r="AN533" s="2">
        <f>IF(AND(ListOfExpenditure[[#This Row],[Contract amount]]&gt;10000,ListOfExpenditure[[#This Row],[Content.declaredAmount]]&gt;2000),1,0)</f>
        <v>0</v>
      </c>
      <c r="AO533">
        <f>IFERROR(INDEX('Public procurment'!A:S,MATCH(ListOfExpenditure[[#This Row],[Content.contractId]],'Public procurment'!E:E,0),19),0)</f>
        <v>0</v>
      </c>
      <c r="AP533">
        <f>IF(ListOfExpenditure[[#This Row],[Numero di volte controllato il contract ]]&gt;0,0,ListOfExpenditure[[#This Row],[IF public procurment &gt;10000;1;0]])</f>
        <v>0</v>
      </c>
    </row>
    <row r="534" spans="1:42" x14ac:dyDescent="0.25">
      <c r="A534">
        <v>850</v>
      </c>
      <c r="B534">
        <v>10</v>
      </c>
      <c r="E534" t="s">
        <v>4786</v>
      </c>
      <c r="F534" t="b">
        <v>1</v>
      </c>
      <c r="I534" t="s">
        <v>5227</v>
      </c>
      <c r="K534" t="s">
        <v>4682</v>
      </c>
      <c r="L534" t="s">
        <v>4682</v>
      </c>
      <c r="M534" t="s">
        <v>4788</v>
      </c>
      <c r="N534" t="s">
        <v>4788</v>
      </c>
      <c r="O534">
        <v>13015.5</v>
      </c>
      <c r="Q534">
        <v>0</v>
      </c>
      <c r="R534">
        <v>0</v>
      </c>
      <c r="S534">
        <v>2243.87</v>
      </c>
      <c r="T534" t="s">
        <v>4789</v>
      </c>
      <c r="U534">
        <v>1</v>
      </c>
      <c r="V534">
        <v>2243.87</v>
      </c>
      <c r="W534" t="s">
        <v>4343</v>
      </c>
      <c r="Y534" t="b">
        <v>0</v>
      </c>
      <c r="Z534" t="b">
        <v>0</v>
      </c>
      <c r="AA534">
        <v>2243.87</v>
      </c>
      <c r="AB534">
        <v>0</v>
      </c>
      <c r="AD534" t="b">
        <v>0</v>
      </c>
      <c r="AG534" s="1" t="s">
        <v>288</v>
      </c>
      <c r="AH534" s="1" t="s">
        <v>54</v>
      </c>
      <c r="AI534">
        <v>63</v>
      </c>
      <c r="AJ534">
        <v>185</v>
      </c>
      <c r="AK534" s="106">
        <v>45475.635467986111</v>
      </c>
      <c r="AL534" s="1" t="s">
        <v>4790</v>
      </c>
      <c r="AM534" s="42">
        <f>IFERROR(INDEX('Public procurment'!A:R,MATCH(ListOfExpenditure[[#This Row],[Content.contractId]],'Public procurment'!E:E,0),14),0)</f>
        <v>0</v>
      </c>
      <c r="AN534" s="2">
        <f>IF(AND(ListOfExpenditure[[#This Row],[Contract amount]]&gt;10000,ListOfExpenditure[[#This Row],[Content.declaredAmount]]&gt;2000),1,0)</f>
        <v>0</v>
      </c>
      <c r="AO534">
        <f>IFERROR(INDEX('Public procurment'!A:S,MATCH(ListOfExpenditure[[#This Row],[Content.contractId]],'Public procurment'!E:E,0),19),0)</f>
        <v>0</v>
      </c>
      <c r="AP534">
        <f>IF(ListOfExpenditure[[#This Row],[Numero di volte controllato il contract ]]&gt;0,0,ListOfExpenditure[[#This Row],[IF public procurment &gt;10000;1;0]])</f>
        <v>0</v>
      </c>
    </row>
    <row r="535" spans="1:42" x14ac:dyDescent="0.25">
      <c r="A535">
        <v>851</v>
      </c>
      <c r="B535">
        <v>11</v>
      </c>
      <c r="E535" t="s">
        <v>4786</v>
      </c>
      <c r="F535" t="b">
        <v>1</v>
      </c>
      <c r="I535" t="s">
        <v>5226</v>
      </c>
      <c r="K535" t="s">
        <v>4682</v>
      </c>
      <c r="L535" t="s">
        <v>4682</v>
      </c>
      <c r="M535" t="s">
        <v>4788</v>
      </c>
      <c r="N535" t="s">
        <v>4788</v>
      </c>
      <c r="O535">
        <v>11843.28</v>
      </c>
      <c r="Q535">
        <v>0</v>
      </c>
      <c r="R535">
        <v>0</v>
      </c>
      <c r="S535">
        <v>1360.79</v>
      </c>
      <c r="T535" t="s">
        <v>4789</v>
      </c>
      <c r="U535">
        <v>1</v>
      </c>
      <c r="V535">
        <v>1360.79</v>
      </c>
      <c r="W535" t="s">
        <v>4343</v>
      </c>
      <c r="Y535" t="b">
        <v>0</v>
      </c>
      <c r="Z535" t="b">
        <v>0</v>
      </c>
      <c r="AA535">
        <v>1360.79</v>
      </c>
      <c r="AB535">
        <v>0</v>
      </c>
      <c r="AD535" t="b">
        <v>0</v>
      </c>
      <c r="AG535" s="1" t="s">
        <v>288</v>
      </c>
      <c r="AH535" s="1" t="s">
        <v>54</v>
      </c>
      <c r="AI535">
        <v>63</v>
      </c>
      <c r="AJ535">
        <v>185</v>
      </c>
      <c r="AK535" s="106">
        <v>45475.635467986111</v>
      </c>
      <c r="AL535" s="1" t="s">
        <v>4790</v>
      </c>
      <c r="AM535" s="42">
        <f>IFERROR(INDEX('Public procurment'!A:R,MATCH(ListOfExpenditure[[#This Row],[Content.contractId]],'Public procurment'!E:E,0),14),0)</f>
        <v>0</v>
      </c>
      <c r="AN535" s="2">
        <f>IF(AND(ListOfExpenditure[[#This Row],[Contract amount]]&gt;10000,ListOfExpenditure[[#This Row],[Content.declaredAmount]]&gt;2000),1,0)</f>
        <v>0</v>
      </c>
      <c r="AO535">
        <f>IFERROR(INDEX('Public procurment'!A:S,MATCH(ListOfExpenditure[[#This Row],[Content.contractId]],'Public procurment'!E:E,0),19),0)</f>
        <v>0</v>
      </c>
      <c r="AP535">
        <f>IF(ListOfExpenditure[[#This Row],[Numero di volte controllato il contract ]]&gt;0,0,ListOfExpenditure[[#This Row],[IF public procurment &gt;10000;1;0]])</f>
        <v>0</v>
      </c>
    </row>
    <row r="536" spans="1:42" x14ac:dyDescent="0.25">
      <c r="A536">
        <v>852</v>
      </c>
      <c r="B536">
        <v>12</v>
      </c>
      <c r="E536" t="s">
        <v>4786</v>
      </c>
      <c r="F536" t="b">
        <v>1</v>
      </c>
      <c r="I536" t="s">
        <v>5225</v>
      </c>
      <c r="K536" t="s">
        <v>4682</v>
      </c>
      <c r="L536" t="s">
        <v>4682</v>
      </c>
      <c r="M536" t="s">
        <v>4788</v>
      </c>
      <c r="N536" t="s">
        <v>4788</v>
      </c>
      <c r="O536">
        <v>3168.87</v>
      </c>
      <c r="Q536">
        <v>0</v>
      </c>
      <c r="R536">
        <v>0</v>
      </c>
      <c r="S536">
        <v>950.66</v>
      </c>
      <c r="T536" t="s">
        <v>4789</v>
      </c>
      <c r="U536">
        <v>1</v>
      </c>
      <c r="V536">
        <v>950.66</v>
      </c>
      <c r="W536" t="s">
        <v>4343</v>
      </c>
      <c r="Y536" t="b">
        <v>0</v>
      </c>
      <c r="Z536" t="b">
        <v>0</v>
      </c>
      <c r="AA536">
        <v>950.66</v>
      </c>
      <c r="AB536">
        <v>0</v>
      </c>
      <c r="AD536" t="b">
        <v>0</v>
      </c>
      <c r="AG536" s="1" t="s">
        <v>288</v>
      </c>
      <c r="AH536" s="1" t="s">
        <v>54</v>
      </c>
      <c r="AI536">
        <v>63</v>
      </c>
      <c r="AJ536">
        <v>185</v>
      </c>
      <c r="AK536" s="106">
        <v>45475.635467986111</v>
      </c>
      <c r="AL536" s="1" t="s">
        <v>4790</v>
      </c>
      <c r="AM536" s="42">
        <f>IFERROR(INDEX('Public procurment'!A:R,MATCH(ListOfExpenditure[[#This Row],[Content.contractId]],'Public procurment'!E:E,0),14),0)</f>
        <v>0</v>
      </c>
      <c r="AN536" s="2">
        <f>IF(AND(ListOfExpenditure[[#This Row],[Contract amount]]&gt;10000,ListOfExpenditure[[#This Row],[Content.declaredAmount]]&gt;2000),1,0)</f>
        <v>0</v>
      </c>
      <c r="AO536">
        <f>IFERROR(INDEX('Public procurment'!A:S,MATCH(ListOfExpenditure[[#This Row],[Content.contractId]],'Public procurment'!E:E,0),19),0)</f>
        <v>0</v>
      </c>
      <c r="AP536">
        <f>IF(ListOfExpenditure[[#This Row],[Numero di volte controllato il contract ]]&gt;0,0,ListOfExpenditure[[#This Row],[IF public procurment &gt;10000;1;0]])</f>
        <v>0</v>
      </c>
    </row>
    <row r="537" spans="1:42" x14ac:dyDescent="0.25">
      <c r="A537">
        <v>1627</v>
      </c>
      <c r="B537">
        <v>1</v>
      </c>
      <c r="E537" t="s">
        <v>4786</v>
      </c>
      <c r="F537" t="b">
        <v>0</v>
      </c>
      <c r="I537" t="s">
        <v>4894</v>
      </c>
      <c r="K537" t="s">
        <v>4678</v>
      </c>
      <c r="L537" t="s">
        <v>4835</v>
      </c>
      <c r="M537" t="s">
        <v>4788</v>
      </c>
      <c r="N537" t="s">
        <v>4788</v>
      </c>
      <c r="O537">
        <v>1113.05</v>
      </c>
      <c r="Q537">
        <v>0</v>
      </c>
      <c r="R537">
        <v>0</v>
      </c>
      <c r="S537">
        <v>1113.05</v>
      </c>
      <c r="T537" t="s">
        <v>4789</v>
      </c>
      <c r="U537">
        <v>1</v>
      </c>
      <c r="V537">
        <v>1113.05</v>
      </c>
      <c r="Y537" t="b">
        <v>1</v>
      </c>
      <c r="Z537" t="b">
        <v>0</v>
      </c>
      <c r="AA537">
        <v>1086.93</v>
      </c>
      <c r="AB537">
        <v>26.12</v>
      </c>
      <c r="AC537">
        <v>14</v>
      </c>
      <c r="AD537" t="b">
        <v>0</v>
      </c>
      <c r="AF537" t="s">
        <v>5274</v>
      </c>
      <c r="AG537" s="1" t="s">
        <v>288</v>
      </c>
      <c r="AH537" s="1" t="s">
        <v>290</v>
      </c>
      <c r="AI537">
        <v>62</v>
      </c>
      <c r="AJ537">
        <v>184</v>
      </c>
      <c r="AK537" s="106">
        <v>45475.635496249997</v>
      </c>
      <c r="AL537" s="1" t="s">
        <v>4790</v>
      </c>
      <c r="AM537" s="42">
        <f>IFERROR(INDEX('Public procurment'!A:R,MATCH(ListOfExpenditure[[#This Row],[Content.contractId]],'Public procurment'!E:E,0),14),0)</f>
        <v>0</v>
      </c>
      <c r="AN537" s="2">
        <f>IF(AND(ListOfExpenditure[[#This Row],[Contract amount]]&gt;10000,ListOfExpenditure[[#This Row],[Content.declaredAmount]]&gt;2000),1,0)</f>
        <v>0</v>
      </c>
      <c r="AO537">
        <f>IFERROR(INDEX('Public procurment'!A:S,MATCH(ListOfExpenditure[[#This Row],[Content.contractId]],'Public procurment'!E:E,0),19),0)</f>
        <v>0</v>
      </c>
      <c r="AP537">
        <f>IF(ListOfExpenditure[[#This Row],[Numero di volte controllato il contract ]]&gt;0,0,ListOfExpenditure[[#This Row],[IF public procurment &gt;10000;1;0]])</f>
        <v>0</v>
      </c>
    </row>
    <row r="538" spans="1:42" x14ac:dyDescent="0.25">
      <c r="A538">
        <v>1628</v>
      </c>
      <c r="B538">
        <v>2</v>
      </c>
      <c r="E538" t="s">
        <v>4786</v>
      </c>
      <c r="F538" t="b">
        <v>0</v>
      </c>
      <c r="I538" t="s">
        <v>4896</v>
      </c>
      <c r="K538" t="s">
        <v>4678</v>
      </c>
      <c r="L538" t="s">
        <v>4835</v>
      </c>
      <c r="M538" t="s">
        <v>4788</v>
      </c>
      <c r="N538" t="s">
        <v>4788</v>
      </c>
      <c r="O538">
        <v>1808.18</v>
      </c>
      <c r="Q538">
        <v>0</v>
      </c>
      <c r="R538">
        <v>0</v>
      </c>
      <c r="S538">
        <v>1808.18</v>
      </c>
      <c r="T538" t="s">
        <v>4789</v>
      </c>
      <c r="U538">
        <v>1</v>
      </c>
      <c r="V538">
        <v>1808.18</v>
      </c>
      <c r="Y538" t="b">
        <v>1</v>
      </c>
      <c r="Z538" t="b">
        <v>0</v>
      </c>
      <c r="AA538">
        <v>1770.57</v>
      </c>
      <c r="AB538">
        <v>37.61</v>
      </c>
      <c r="AC538">
        <v>14</v>
      </c>
      <c r="AD538" t="b">
        <v>0</v>
      </c>
      <c r="AF538" t="s">
        <v>5274</v>
      </c>
      <c r="AG538" s="1" t="s">
        <v>288</v>
      </c>
      <c r="AH538" s="1" t="s">
        <v>290</v>
      </c>
      <c r="AI538">
        <v>62</v>
      </c>
      <c r="AJ538">
        <v>184</v>
      </c>
      <c r="AK538" s="106">
        <v>45475.635496249997</v>
      </c>
      <c r="AL538" s="1" t="s">
        <v>4790</v>
      </c>
      <c r="AM538" s="42">
        <f>IFERROR(INDEX('Public procurment'!A:R,MATCH(ListOfExpenditure[[#This Row],[Content.contractId]],'Public procurment'!E:E,0),14),0)</f>
        <v>0</v>
      </c>
      <c r="AN538" s="2">
        <f>IF(AND(ListOfExpenditure[[#This Row],[Contract amount]]&gt;10000,ListOfExpenditure[[#This Row],[Content.declaredAmount]]&gt;2000),1,0)</f>
        <v>0</v>
      </c>
      <c r="AO538">
        <f>IFERROR(INDEX('Public procurment'!A:S,MATCH(ListOfExpenditure[[#This Row],[Content.contractId]],'Public procurment'!E:E,0),19),0)</f>
        <v>0</v>
      </c>
      <c r="AP538">
        <f>IF(ListOfExpenditure[[#This Row],[Numero di volte controllato il contract ]]&gt;0,0,ListOfExpenditure[[#This Row],[IF public procurment &gt;10000;1;0]])</f>
        <v>0</v>
      </c>
    </row>
    <row r="539" spans="1:42" x14ac:dyDescent="0.25">
      <c r="A539">
        <v>1629</v>
      </c>
      <c r="B539">
        <v>3</v>
      </c>
      <c r="E539" t="s">
        <v>4786</v>
      </c>
      <c r="F539" t="b">
        <v>0</v>
      </c>
      <c r="I539" t="s">
        <v>4897</v>
      </c>
      <c r="K539" t="s">
        <v>4678</v>
      </c>
      <c r="L539" t="s">
        <v>4835</v>
      </c>
      <c r="M539" t="s">
        <v>4788</v>
      </c>
      <c r="N539" t="s">
        <v>4788</v>
      </c>
      <c r="O539">
        <v>789.83</v>
      </c>
      <c r="Q539">
        <v>0</v>
      </c>
      <c r="R539">
        <v>0</v>
      </c>
      <c r="S539">
        <v>789.83</v>
      </c>
      <c r="T539" t="s">
        <v>4789</v>
      </c>
      <c r="U539">
        <v>1</v>
      </c>
      <c r="V539">
        <v>789.83</v>
      </c>
      <c r="Y539" t="b">
        <v>1</v>
      </c>
      <c r="Z539" t="b">
        <v>0</v>
      </c>
      <c r="AA539">
        <v>774.16</v>
      </c>
      <c r="AB539">
        <v>15.67</v>
      </c>
      <c r="AC539">
        <v>14</v>
      </c>
      <c r="AD539" t="b">
        <v>0</v>
      </c>
      <c r="AF539" t="s">
        <v>5274</v>
      </c>
      <c r="AG539" s="1" t="s">
        <v>288</v>
      </c>
      <c r="AH539" s="1" t="s">
        <v>290</v>
      </c>
      <c r="AI539">
        <v>62</v>
      </c>
      <c r="AJ539">
        <v>184</v>
      </c>
      <c r="AK539" s="106">
        <v>45475.635496249997</v>
      </c>
      <c r="AL539" s="1" t="s">
        <v>4790</v>
      </c>
      <c r="AM539" s="42">
        <f>IFERROR(INDEX('Public procurment'!A:R,MATCH(ListOfExpenditure[[#This Row],[Content.contractId]],'Public procurment'!E:E,0),14),0)</f>
        <v>0</v>
      </c>
      <c r="AN539" s="2">
        <f>IF(AND(ListOfExpenditure[[#This Row],[Contract amount]]&gt;10000,ListOfExpenditure[[#This Row],[Content.declaredAmount]]&gt;2000),1,0)</f>
        <v>0</v>
      </c>
      <c r="AO539">
        <f>IFERROR(INDEX('Public procurment'!A:S,MATCH(ListOfExpenditure[[#This Row],[Content.contractId]],'Public procurment'!E:E,0),19),0)</f>
        <v>0</v>
      </c>
      <c r="AP539">
        <f>IF(ListOfExpenditure[[#This Row],[Numero di volte controllato il contract ]]&gt;0,0,ListOfExpenditure[[#This Row],[IF public procurment &gt;10000;1;0]])</f>
        <v>0</v>
      </c>
    </row>
    <row r="540" spans="1:42" x14ac:dyDescent="0.25">
      <c r="A540">
        <v>698</v>
      </c>
      <c r="B540">
        <v>1</v>
      </c>
      <c r="C540">
        <v>141</v>
      </c>
      <c r="E540" t="s">
        <v>4893</v>
      </c>
      <c r="F540" t="b">
        <v>0</v>
      </c>
      <c r="M540" t="s">
        <v>4788</v>
      </c>
      <c r="N540" t="s">
        <v>4788</v>
      </c>
      <c r="Q540">
        <v>1</v>
      </c>
      <c r="R540">
        <v>9000</v>
      </c>
      <c r="S540">
        <v>9000</v>
      </c>
      <c r="T540" t="s">
        <v>4789</v>
      </c>
      <c r="U540">
        <v>1</v>
      </c>
      <c r="V540">
        <v>9000</v>
      </c>
      <c r="W540" t="s">
        <v>4343</v>
      </c>
      <c r="Y540" t="b">
        <v>0</v>
      </c>
      <c r="Z540" t="b">
        <v>0</v>
      </c>
      <c r="AA540">
        <v>9000</v>
      </c>
      <c r="AB540">
        <v>0</v>
      </c>
      <c r="AD540" t="b">
        <v>0</v>
      </c>
      <c r="AG540" s="1" t="s">
        <v>288</v>
      </c>
      <c r="AH540" s="1" t="s">
        <v>286</v>
      </c>
      <c r="AI540">
        <v>59</v>
      </c>
      <c r="AJ540">
        <v>181</v>
      </c>
      <c r="AK540" s="106">
        <v>45475.635533692126</v>
      </c>
      <c r="AL540" s="1" t="s">
        <v>4790</v>
      </c>
      <c r="AM540" s="42">
        <f>IFERROR(INDEX('Public procurment'!A:R,MATCH(ListOfExpenditure[[#This Row],[Content.contractId]],'Public procurment'!E:E,0),14),0)</f>
        <v>0</v>
      </c>
      <c r="AN540" s="2">
        <f>IF(AND(ListOfExpenditure[[#This Row],[Contract amount]]&gt;10000,ListOfExpenditure[[#This Row],[Content.declaredAmount]]&gt;2000),1,0)</f>
        <v>0</v>
      </c>
      <c r="AO540">
        <f>IFERROR(INDEX('Public procurment'!A:S,MATCH(ListOfExpenditure[[#This Row],[Content.contractId]],'Public procurment'!E:E,0),19),0)</f>
        <v>0</v>
      </c>
      <c r="AP540">
        <f>IF(ListOfExpenditure[[#This Row],[Numero di volte controllato il contract ]]&gt;0,0,ListOfExpenditure[[#This Row],[IF public procurment &gt;10000;1;0]])</f>
        <v>0</v>
      </c>
    </row>
    <row r="541" spans="1:42" x14ac:dyDescent="0.25">
      <c r="A541">
        <v>701</v>
      </c>
      <c r="B541">
        <v>2</v>
      </c>
      <c r="D541">
        <v>73</v>
      </c>
      <c r="E541" t="s">
        <v>4786</v>
      </c>
      <c r="F541" t="b">
        <v>1</v>
      </c>
      <c r="M541" t="s">
        <v>4788</v>
      </c>
      <c r="N541" t="s">
        <v>4788</v>
      </c>
      <c r="Q541">
        <v>150</v>
      </c>
      <c r="R541">
        <v>38</v>
      </c>
      <c r="S541">
        <v>5700</v>
      </c>
      <c r="T541" t="s">
        <v>4789</v>
      </c>
      <c r="U541">
        <v>1</v>
      </c>
      <c r="V541">
        <v>5700</v>
      </c>
      <c r="W541" t="s">
        <v>4343</v>
      </c>
      <c r="Y541" t="b">
        <v>0</v>
      </c>
      <c r="Z541" t="b">
        <v>0</v>
      </c>
      <c r="AA541">
        <v>5700</v>
      </c>
      <c r="AB541">
        <v>0</v>
      </c>
      <c r="AD541" t="b">
        <v>0</v>
      </c>
      <c r="AG541" s="1" t="s">
        <v>288</v>
      </c>
      <c r="AH541" s="1" t="s">
        <v>286</v>
      </c>
      <c r="AI541">
        <v>59</v>
      </c>
      <c r="AJ541">
        <v>181</v>
      </c>
      <c r="AK541" s="106">
        <v>45475.635533692126</v>
      </c>
      <c r="AL541" s="1" t="s">
        <v>4790</v>
      </c>
      <c r="AM541" s="42">
        <f>IFERROR(INDEX('Public procurment'!A:R,MATCH(ListOfExpenditure[[#This Row],[Content.contractId]],'Public procurment'!E:E,0),14),0)</f>
        <v>0</v>
      </c>
      <c r="AN541" s="2">
        <f>IF(AND(ListOfExpenditure[[#This Row],[Contract amount]]&gt;10000,ListOfExpenditure[[#This Row],[Content.declaredAmount]]&gt;2000),1,0)</f>
        <v>0</v>
      </c>
      <c r="AO541">
        <f>IFERROR(INDEX('Public procurment'!A:S,MATCH(ListOfExpenditure[[#This Row],[Content.contractId]],'Public procurment'!E:E,0),19),0)</f>
        <v>0</v>
      </c>
      <c r="AP541">
        <f>IF(ListOfExpenditure[[#This Row],[Numero di volte controllato il contract ]]&gt;0,0,ListOfExpenditure[[#This Row],[IF public procurment &gt;10000;1;0]])</f>
        <v>0</v>
      </c>
    </row>
    <row r="542" spans="1:42" x14ac:dyDescent="0.25">
      <c r="A542">
        <v>702</v>
      </c>
      <c r="B542">
        <v>3</v>
      </c>
      <c r="D542">
        <v>73</v>
      </c>
      <c r="E542" t="s">
        <v>4786</v>
      </c>
      <c r="F542" t="b">
        <v>1</v>
      </c>
      <c r="M542" t="s">
        <v>4788</v>
      </c>
      <c r="N542" t="s">
        <v>4788</v>
      </c>
      <c r="Q542">
        <v>125</v>
      </c>
      <c r="R542">
        <v>38</v>
      </c>
      <c r="S542">
        <v>4750</v>
      </c>
      <c r="T542" t="s">
        <v>4789</v>
      </c>
      <c r="U542">
        <v>1</v>
      </c>
      <c r="V542">
        <v>4750</v>
      </c>
      <c r="W542" t="s">
        <v>4343</v>
      </c>
      <c r="Y542" t="b">
        <v>0</v>
      </c>
      <c r="Z542" t="b">
        <v>0</v>
      </c>
      <c r="AA542">
        <v>4750</v>
      </c>
      <c r="AB542">
        <v>0</v>
      </c>
      <c r="AD542" t="b">
        <v>0</v>
      </c>
      <c r="AG542" s="1" t="s">
        <v>288</v>
      </c>
      <c r="AH542" s="1" t="s">
        <v>286</v>
      </c>
      <c r="AI542">
        <v>59</v>
      </c>
      <c r="AJ542">
        <v>181</v>
      </c>
      <c r="AK542" s="106">
        <v>45475.635533692126</v>
      </c>
      <c r="AL542" s="1" t="s">
        <v>4790</v>
      </c>
      <c r="AM542" s="42">
        <f>IFERROR(INDEX('Public procurment'!A:R,MATCH(ListOfExpenditure[[#This Row],[Content.contractId]],'Public procurment'!E:E,0),14),0)</f>
        <v>0</v>
      </c>
      <c r="AN542" s="2">
        <f>IF(AND(ListOfExpenditure[[#This Row],[Contract amount]]&gt;10000,ListOfExpenditure[[#This Row],[Content.declaredAmount]]&gt;2000),1,0)</f>
        <v>0</v>
      </c>
      <c r="AO542">
        <f>IFERROR(INDEX('Public procurment'!A:S,MATCH(ListOfExpenditure[[#This Row],[Content.contractId]],'Public procurment'!E:E,0),19),0)</f>
        <v>0</v>
      </c>
      <c r="AP542">
        <f>IF(ListOfExpenditure[[#This Row],[Numero di volte controllato il contract ]]&gt;0,0,ListOfExpenditure[[#This Row],[IF public procurment &gt;10000;1;0]])</f>
        <v>0</v>
      </c>
    </row>
    <row r="543" spans="1:42" x14ac:dyDescent="0.25">
      <c r="A543">
        <v>703</v>
      </c>
      <c r="B543">
        <v>4</v>
      </c>
      <c r="E543" t="s">
        <v>4798</v>
      </c>
      <c r="F543" t="b">
        <v>1</v>
      </c>
      <c r="H543">
        <v>122</v>
      </c>
      <c r="I543" t="s">
        <v>6285</v>
      </c>
      <c r="J543" t="s">
        <v>6286</v>
      </c>
      <c r="K543" t="s">
        <v>4359</v>
      </c>
      <c r="L543" t="s">
        <v>5074</v>
      </c>
      <c r="M543" t="s">
        <v>4788</v>
      </c>
      <c r="N543" t="s">
        <v>4788</v>
      </c>
      <c r="O543">
        <v>8200</v>
      </c>
      <c r="P543">
        <v>1804</v>
      </c>
      <c r="Q543">
        <v>0</v>
      </c>
      <c r="R543">
        <v>0</v>
      </c>
      <c r="S543">
        <v>10004</v>
      </c>
      <c r="T543" t="s">
        <v>4789</v>
      </c>
      <c r="U543">
        <v>1</v>
      </c>
      <c r="V543">
        <v>10004</v>
      </c>
      <c r="W543" t="s">
        <v>4343</v>
      </c>
      <c r="Y543" t="b">
        <v>0</v>
      </c>
      <c r="Z543" t="b">
        <v>0</v>
      </c>
      <c r="AA543">
        <v>10004</v>
      </c>
      <c r="AB543">
        <v>0</v>
      </c>
      <c r="AD543" t="b">
        <v>0</v>
      </c>
      <c r="AG543" s="1" t="s">
        <v>288</v>
      </c>
      <c r="AH543" s="1" t="s">
        <v>286</v>
      </c>
      <c r="AI543">
        <v>59</v>
      </c>
      <c r="AJ543">
        <v>181</v>
      </c>
      <c r="AK543" s="106">
        <v>45475.635533692126</v>
      </c>
      <c r="AL543" s="1" t="s">
        <v>4790</v>
      </c>
      <c r="AM543" s="42">
        <f>IFERROR(INDEX('Public procurment'!A:R,MATCH(ListOfExpenditure[[#This Row],[Content.contractId]],'Public procurment'!E:E,0),14),0)</f>
        <v>20500</v>
      </c>
      <c r="AN543" s="2">
        <f>IF(AND(ListOfExpenditure[[#This Row],[Contract amount]]&gt;10000,ListOfExpenditure[[#This Row],[Content.declaredAmount]]&gt;2000),1,0)</f>
        <v>1</v>
      </c>
      <c r="AO543">
        <f>IFERROR(INDEX('Public procurment'!A:S,MATCH(ListOfExpenditure[[#This Row],[Content.contractId]],'Public procurment'!E:E,0),19),0)</f>
        <v>0</v>
      </c>
      <c r="AP543">
        <f>IF(ListOfExpenditure[[#This Row],[Numero di volte controllato il contract ]]&gt;0,0,ListOfExpenditure[[#This Row],[IF public procurment &gt;10000;1;0]])</f>
        <v>1</v>
      </c>
    </row>
    <row r="544" spans="1:42" x14ac:dyDescent="0.25">
      <c r="A544">
        <v>1587</v>
      </c>
      <c r="B544">
        <v>1</v>
      </c>
      <c r="E544" t="s">
        <v>4786</v>
      </c>
      <c r="F544" t="b">
        <v>1</v>
      </c>
      <c r="I544" t="s">
        <v>212</v>
      </c>
      <c r="M544" t="s">
        <v>4788</v>
      </c>
      <c r="N544" t="s">
        <v>4788</v>
      </c>
      <c r="O544">
        <v>0</v>
      </c>
      <c r="Q544">
        <v>0</v>
      </c>
      <c r="R544">
        <v>0</v>
      </c>
      <c r="S544">
        <v>2887.56</v>
      </c>
      <c r="T544" t="s">
        <v>4789</v>
      </c>
      <c r="U544">
        <v>1</v>
      </c>
      <c r="V544">
        <v>2887.56</v>
      </c>
      <c r="W544" t="s">
        <v>4343</v>
      </c>
      <c r="Y544" t="b">
        <v>1</v>
      </c>
      <c r="Z544" t="b">
        <v>0</v>
      </c>
      <c r="AA544">
        <v>2887.56</v>
      </c>
      <c r="AB544">
        <v>0</v>
      </c>
      <c r="AD544" t="b">
        <v>0</v>
      </c>
      <c r="AG544" s="1" t="s">
        <v>288</v>
      </c>
      <c r="AH544" s="1" t="s">
        <v>292</v>
      </c>
      <c r="AI544">
        <v>60</v>
      </c>
      <c r="AJ544">
        <v>183</v>
      </c>
      <c r="AK544" s="106">
        <v>45475.635507824074</v>
      </c>
      <c r="AL544" s="1" t="s">
        <v>4790</v>
      </c>
      <c r="AM544" s="42">
        <f>IFERROR(INDEX('Public procurment'!A:R,MATCH(ListOfExpenditure[[#This Row],[Content.contractId]],'Public procurment'!E:E,0),14),0)</f>
        <v>0</v>
      </c>
      <c r="AN544" s="2">
        <f>IF(AND(ListOfExpenditure[[#This Row],[Contract amount]]&gt;10000,ListOfExpenditure[[#This Row],[Content.declaredAmount]]&gt;2000),1,0)</f>
        <v>0</v>
      </c>
      <c r="AO544">
        <f>IFERROR(INDEX('Public procurment'!A:S,MATCH(ListOfExpenditure[[#This Row],[Content.contractId]],'Public procurment'!E:E,0),19),0)</f>
        <v>0</v>
      </c>
      <c r="AP544">
        <f>IF(ListOfExpenditure[[#This Row],[Numero di volte controllato il contract ]]&gt;0,0,ListOfExpenditure[[#This Row],[IF public procurment &gt;10000;1;0]])</f>
        <v>0</v>
      </c>
    </row>
    <row r="545" spans="1:42" x14ac:dyDescent="0.25">
      <c r="A545">
        <v>1588</v>
      </c>
      <c r="B545">
        <v>2</v>
      </c>
      <c r="E545" t="s">
        <v>4786</v>
      </c>
      <c r="F545" t="b">
        <v>1</v>
      </c>
      <c r="I545" t="s">
        <v>212</v>
      </c>
      <c r="M545" t="s">
        <v>4788</v>
      </c>
      <c r="N545" t="s">
        <v>4788</v>
      </c>
      <c r="O545">
        <v>0</v>
      </c>
      <c r="Q545">
        <v>0</v>
      </c>
      <c r="R545">
        <v>0</v>
      </c>
      <c r="S545">
        <v>1438.25</v>
      </c>
      <c r="T545" t="s">
        <v>4789</v>
      </c>
      <c r="U545">
        <v>1</v>
      </c>
      <c r="V545">
        <v>1438.25</v>
      </c>
      <c r="W545" t="s">
        <v>4343</v>
      </c>
      <c r="Y545" t="b">
        <v>1</v>
      </c>
      <c r="Z545" t="b">
        <v>0</v>
      </c>
      <c r="AA545">
        <v>1438.25</v>
      </c>
      <c r="AB545">
        <v>0</v>
      </c>
      <c r="AD545" t="b">
        <v>0</v>
      </c>
      <c r="AG545" s="1" t="s">
        <v>288</v>
      </c>
      <c r="AH545" s="1" t="s">
        <v>292</v>
      </c>
      <c r="AI545">
        <v>60</v>
      </c>
      <c r="AJ545">
        <v>183</v>
      </c>
      <c r="AK545" s="106">
        <v>45475.635507824074</v>
      </c>
      <c r="AL545" s="1" t="s">
        <v>4790</v>
      </c>
      <c r="AM545" s="42">
        <f>IFERROR(INDEX('Public procurment'!A:R,MATCH(ListOfExpenditure[[#This Row],[Content.contractId]],'Public procurment'!E:E,0),14),0)</f>
        <v>0</v>
      </c>
      <c r="AN545" s="2">
        <f>IF(AND(ListOfExpenditure[[#This Row],[Contract amount]]&gt;10000,ListOfExpenditure[[#This Row],[Content.declaredAmount]]&gt;2000),1,0)</f>
        <v>0</v>
      </c>
      <c r="AO545">
        <f>IFERROR(INDEX('Public procurment'!A:S,MATCH(ListOfExpenditure[[#This Row],[Content.contractId]],'Public procurment'!E:E,0),19),0)</f>
        <v>0</v>
      </c>
      <c r="AP545">
        <f>IF(ListOfExpenditure[[#This Row],[Numero di volte controllato il contract ]]&gt;0,0,ListOfExpenditure[[#This Row],[IF public procurment &gt;10000;1;0]])</f>
        <v>0</v>
      </c>
    </row>
    <row r="546" spans="1:42" x14ac:dyDescent="0.25">
      <c r="A546">
        <v>1589</v>
      </c>
      <c r="B546">
        <v>3</v>
      </c>
      <c r="E546" t="s">
        <v>4786</v>
      </c>
      <c r="F546" t="b">
        <v>1</v>
      </c>
      <c r="I546" t="s">
        <v>212</v>
      </c>
      <c r="M546" t="s">
        <v>4788</v>
      </c>
      <c r="N546" t="s">
        <v>4788</v>
      </c>
      <c r="O546">
        <v>0</v>
      </c>
      <c r="Q546">
        <v>0</v>
      </c>
      <c r="R546">
        <v>0</v>
      </c>
      <c r="S546">
        <v>826.09</v>
      </c>
      <c r="T546" t="s">
        <v>4789</v>
      </c>
      <c r="U546">
        <v>1</v>
      </c>
      <c r="V546">
        <v>826.09</v>
      </c>
      <c r="W546" t="s">
        <v>4343</v>
      </c>
      <c r="Y546" t="b">
        <v>1</v>
      </c>
      <c r="Z546" t="b">
        <v>0</v>
      </c>
      <c r="AA546">
        <v>826.09</v>
      </c>
      <c r="AB546">
        <v>0</v>
      </c>
      <c r="AD546" t="b">
        <v>0</v>
      </c>
      <c r="AG546" s="1" t="s">
        <v>288</v>
      </c>
      <c r="AH546" s="1" t="s">
        <v>292</v>
      </c>
      <c r="AI546">
        <v>60</v>
      </c>
      <c r="AJ546">
        <v>183</v>
      </c>
      <c r="AK546" s="106">
        <v>45475.635507824074</v>
      </c>
      <c r="AL546" s="1" t="s">
        <v>4790</v>
      </c>
      <c r="AM546" s="42">
        <f>IFERROR(INDEX('Public procurment'!A:R,MATCH(ListOfExpenditure[[#This Row],[Content.contractId]],'Public procurment'!E:E,0),14),0)</f>
        <v>0</v>
      </c>
      <c r="AN546" s="2">
        <f>IF(AND(ListOfExpenditure[[#This Row],[Contract amount]]&gt;10000,ListOfExpenditure[[#This Row],[Content.declaredAmount]]&gt;2000),1,0)</f>
        <v>0</v>
      </c>
      <c r="AO546">
        <f>IFERROR(INDEX('Public procurment'!A:S,MATCH(ListOfExpenditure[[#This Row],[Content.contractId]],'Public procurment'!E:E,0),19),0)</f>
        <v>0</v>
      </c>
      <c r="AP546">
        <f>IF(ListOfExpenditure[[#This Row],[Numero di volte controllato il contract ]]&gt;0,0,ListOfExpenditure[[#This Row],[IF public procurment &gt;10000;1;0]])</f>
        <v>0</v>
      </c>
    </row>
    <row r="547" spans="1:42" x14ac:dyDescent="0.25">
      <c r="A547">
        <v>1590</v>
      </c>
      <c r="B547">
        <v>4</v>
      </c>
      <c r="E547" t="s">
        <v>4786</v>
      </c>
      <c r="F547" t="b">
        <v>1</v>
      </c>
      <c r="I547" t="s">
        <v>212</v>
      </c>
      <c r="K547" t="s">
        <v>4359</v>
      </c>
      <c r="L547" t="s">
        <v>4359</v>
      </c>
      <c r="M547" t="s">
        <v>4788</v>
      </c>
      <c r="N547" t="s">
        <v>4788</v>
      </c>
      <c r="O547">
        <v>1300</v>
      </c>
      <c r="Q547">
        <v>0</v>
      </c>
      <c r="R547">
        <v>0</v>
      </c>
      <c r="S547">
        <v>1300</v>
      </c>
      <c r="T547" t="s">
        <v>4789</v>
      </c>
      <c r="U547">
        <v>1</v>
      </c>
      <c r="V547">
        <v>1300</v>
      </c>
      <c r="W547" t="s">
        <v>4343</v>
      </c>
      <c r="Y547" t="b">
        <v>1</v>
      </c>
      <c r="Z547" t="b">
        <v>0</v>
      </c>
      <c r="AA547">
        <v>1300</v>
      </c>
      <c r="AB547">
        <v>0</v>
      </c>
      <c r="AD547" t="b">
        <v>0</v>
      </c>
      <c r="AG547" s="1" t="s">
        <v>288</v>
      </c>
      <c r="AH547" s="1" t="s">
        <v>292</v>
      </c>
      <c r="AI547">
        <v>60</v>
      </c>
      <c r="AJ547">
        <v>183</v>
      </c>
      <c r="AK547" s="106">
        <v>45475.635507824074</v>
      </c>
      <c r="AL547" s="1" t="s">
        <v>4790</v>
      </c>
      <c r="AM547" s="42">
        <f>IFERROR(INDEX('Public procurment'!A:R,MATCH(ListOfExpenditure[[#This Row],[Content.contractId]],'Public procurment'!E:E,0),14),0)</f>
        <v>0</v>
      </c>
      <c r="AN547" s="2">
        <f>IF(AND(ListOfExpenditure[[#This Row],[Contract amount]]&gt;10000,ListOfExpenditure[[#This Row],[Content.declaredAmount]]&gt;2000),1,0)</f>
        <v>0</v>
      </c>
      <c r="AO547">
        <f>IFERROR(INDEX('Public procurment'!A:S,MATCH(ListOfExpenditure[[#This Row],[Content.contractId]],'Public procurment'!E:E,0),19),0)</f>
        <v>0</v>
      </c>
      <c r="AP547">
        <f>IF(ListOfExpenditure[[#This Row],[Numero di volte controllato il contract ]]&gt;0,0,ListOfExpenditure[[#This Row],[IF public procurment &gt;10000;1;0]])</f>
        <v>0</v>
      </c>
    </row>
    <row r="548" spans="1:42" x14ac:dyDescent="0.25">
      <c r="A548">
        <v>1591</v>
      </c>
      <c r="B548">
        <v>5</v>
      </c>
      <c r="E548" t="s">
        <v>4786</v>
      </c>
      <c r="F548" t="b">
        <v>1</v>
      </c>
      <c r="I548" t="s">
        <v>212</v>
      </c>
      <c r="K548" t="s">
        <v>4682</v>
      </c>
      <c r="L548" t="s">
        <v>4555</v>
      </c>
      <c r="M548" t="s">
        <v>4788</v>
      </c>
      <c r="N548" t="s">
        <v>4788</v>
      </c>
      <c r="O548">
        <v>2989.1</v>
      </c>
      <c r="Q548">
        <v>0</v>
      </c>
      <c r="R548">
        <v>0</v>
      </c>
      <c r="S548">
        <v>2989.1</v>
      </c>
      <c r="T548" t="s">
        <v>4789</v>
      </c>
      <c r="U548">
        <v>1</v>
      </c>
      <c r="V548">
        <v>2989.1</v>
      </c>
      <c r="W548" t="s">
        <v>4343</v>
      </c>
      <c r="Y548" t="b">
        <v>1</v>
      </c>
      <c r="Z548" t="b">
        <v>0</v>
      </c>
      <c r="AA548">
        <v>2989.1</v>
      </c>
      <c r="AB548">
        <v>0</v>
      </c>
      <c r="AD548" t="b">
        <v>0</v>
      </c>
      <c r="AG548" s="1" t="s">
        <v>288</v>
      </c>
      <c r="AH548" s="1" t="s">
        <v>292</v>
      </c>
      <c r="AI548">
        <v>60</v>
      </c>
      <c r="AJ548">
        <v>183</v>
      </c>
      <c r="AK548" s="106">
        <v>45475.635507824074</v>
      </c>
      <c r="AL548" s="1" t="s">
        <v>4790</v>
      </c>
      <c r="AM548" s="42">
        <f>IFERROR(INDEX('Public procurment'!A:R,MATCH(ListOfExpenditure[[#This Row],[Content.contractId]],'Public procurment'!E:E,0),14),0)</f>
        <v>0</v>
      </c>
      <c r="AN548" s="2">
        <f>IF(AND(ListOfExpenditure[[#This Row],[Contract amount]]&gt;10000,ListOfExpenditure[[#This Row],[Content.declaredAmount]]&gt;2000),1,0)</f>
        <v>0</v>
      </c>
      <c r="AO548">
        <f>IFERROR(INDEX('Public procurment'!A:S,MATCH(ListOfExpenditure[[#This Row],[Content.contractId]],'Public procurment'!E:E,0),19),0)</f>
        <v>0</v>
      </c>
      <c r="AP548">
        <f>IF(ListOfExpenditure[[#This Row],[Numero di volte controllato il contract ]]&gt;0,0,ListOfExpenditure[[#This Row],[IF public procurment &gt;10000;1;0]])</f>
        <v>0</v>
      </c>
    </row>
    <row r="549" spans="1:42" x14ac:dyDescent="0.25">
      <c r="A549">
        <v>1674</v>
      </c>
      <c r="B549">
        <v>6</v>
      </c>
      <c r="E549" t="s">
        <v>4786</v>
      </c>
      <c r="F549" t="b">
        <v>1</v>
      </c>
      <c r="I549" t="s">
        <v>212</v>
      </c>
      <c r="K549" t="s">
        <v>4904</v>
      </c>
      <c r="L549" t="s">
        <v>4931</v>
      </c>
      <c r="M549" t="s">
        <v>4788</v>
      </c>
      <c r="N549" t="s">
        <v>4788</v>
      </c>
      <c r="O549">
        <v>1300</v>
      </c>
      <c r="Q549">
        <v>0</v>
      </c>
      <c r="R549">
        <v>0</v>
      </c>
      <c r="S549">
        <v>1300</v>
      </c>
      <c r="T549" t="s">
        <v>4789</v>
      </c>
      <c r="U549">
        <v>1</v>
      </c>
      <c r="V549">
        <v>1300</v>
      </c>
      <c r="W549" t="s">
        <v>4343</v>
      </c>
      <c r="Y549" t="b">
        <v>1</v>
      </c>
      <c r="Z549" t="b">
        <v>0</v>
      </c>
      <c r="AA549">
        <v>1300</v>
      </c>
      <c r="AB549">
        <v>0</v>
      </c>
      <c r="AD549" t="b">
        <v>0</v>
      </c>
      <c r="AG549" s="1" t="s">
        <v>288</v>
      </c>
      <c r="AH549" s="1" t="s">
        <v>292</v>
      </c>
      <c r="AI549">
        <v>60</v>
      </c>
      <c r="AJ549">
        <v>183</v>
      </c>
      <c r="AK549" s="106">
        <v>45475.635507824074</v>
      </c>
      <c r="AL549" s="1" t="s">
        <v>4790</v>
      </c>
      <c r="AM549" s="42">
        <f>IFERROR(INDEX('Public procurment'!A:R,MATCH(ListOfExpenditure[[#This Row],[Content.contractId]],'Public procurment'!E:E,0),14),0)</f>
        <v>0</v>
      </c>
      <c r="AN549" s="2">
        <f>IF(AND(ListOfExpenditure[[#This Row],[Contract amount]]&gt;10000,ListOfExpenditure[[#This Row],[Content.declaredAmount]]&gt;2000),1,0)</f>
        <v>0</v>
      </c>
      <c r="AO549">
        <f>IFERROR(INDEX('Public procurment'!A:S,MATCH(ListOfExpenditure[[#This Row],[Content.contractId]],'Public procurment'!E:E,0),19),0)</f>
        <v>0</v>
      </c>
      <c r="AP549">
        <f>IF(ListOfExpenditure[[#This Row],[Numero di volte controllato il contract ]]&gt;0,0,ListOfExpenditure[[#This Row],[IF public procurment &gt;10000;1;0]])</f>
        <v>0</v>
      </c>
    </row>
    <row r="550" spans="1:42" x14ac:dyDescent="0.25">
      <c r="A550">
        <v>2103</v>
      </c>
      <c r="B550">
        <v>1</v>
      </c>
      <c r="E550" t="s">
        <v>4798</v>
      </c>
      <c r="F550" t="b">
        <v>0</v>
      </c>
      <c r="I550" t="s">
        <v>212</v>
      </c>
      <c r="J550" t="s">
        <v>212</v>
      </c>
      <c r="M550" t="s">
        <v>4788</v>
      </c>
      <c r="N550" t="s">
        <v>4788</v>
      </c>
      <c r="O550">
        <v>0</v>
      </c>
      <c r="P550">
        <v>0</v>
      </c>
      <c r="Q550">
        <v>0</v>
      </c>
      <c r="R550">
        <v>0</v>
      </c>
      <c r="S550">
        <v>0</v>
      </c>
      <c r="T550" t="s">
        <v>4789</v>
      </c>
      <c r="U550">
        <v>1</v>
      </c>
      <c r="V550">
        <v>0</v>
      </c>
      <c r="Y550" t="b">
        <v>0</v>
      </c>
      <c r="Z550" t="b">
        <v>0</v>
      </c>
      <c r="AA550">
        <v>0</v>
      </c>
      <c r="AB550">
        <v>0</v>
      </c>
      <c r="AD550" t="b">
        <v>0</v>
      </c>
      <c r="AG550" s="1" t="s">
        <v>341</v>
      </c>
      <c r="AH550" s="1" t="s">
        <v>278</v>
      </c>
      <c r="AI550">
        <v>283</v>
      </c>
      <c r="AJ550">
        <v>278</v>
      </c>
      <c r="AK550" s="106">
        <v>45475.635542615739</v>
      </c>
      <c r="AL550" s="1" t="s">
        <v>4790</v>
      </c>
      <c r="AM550" s="42">
        <f>IFERROR(INDEX('Public procurment'!A:R,MATCH(ListOfExpenditure[[#This Row],[Content.contractId]],'Public procurment'!E:E,0),14),0)</f>
        <v>0</v>
      </c>
      <c r="AN550" s="2">
        <f>IF(AND(ListOfExpenditure[[#This Row],[Contract amount]]&gt;10000,ListOfExpenditure[[#This Row],[Content.declaredAmount]]&gt;2000),1,0)</f>
        <v>0</v>
      </c>
      <c r="AO550">
        <f>IFERROR(INDEX('Public procurment'!A:S,MATCH(ListOfExpenditure[[#This Row],[Content.contractId]],'Public procurment'!E:E,0),19),0)</f>
        <v>0</v>
      </c>
      <c r="AP550">
        <f>IF(ListOfExpenditure[[#This Row],[Numero di volte controllato il contract ]]&gt;0,0,ListOfExpenditure[[#This Row],[IF public procurment &gt;10000;1;0]])</f>
        <v>0</v>
      </c>
    </row>
    <row r="551" spans="1:42" x14ac:dyDescent="0.25">
      <c r="A551">
        <v>1424</v>
      </c>
      <c r="B551">
        <v>1</v>
      </c>
      <c r="E551" t="s">
        <v>4798</v>
      </c>
      <c r="F551" t="b">
        <v>0</v>
      </c>
      <c r="I551" t="s">
        <v>212</v>
      </c>
      <c r="J551" t="s">
        <v>212</v>
      </c>
      <c r="M551" t="s">
        <v>4788</v>
      </c>
      <c r="N551" t="s">
        <v>4788</v>
      </c>
      <c r="O551">
        <v>0</v>
      </c>
      <c r="P551">
        <v>0</v>
      </c>
      <c r="Q551">
        <v>0</v>
      </c>
      <c r="R551">
        <v>0</v>
      </c>
      <c r="S551">
        <v>0</v>
      </c>
      <c r="T551" t="s">
        <v>4789</v>
      </c>
      <c r="U551">
        <v>1</v>
      </c>
      <c r="V551">
        <v>0</v>
      </c>
      <c r="Y551" t="b">
        <v>0</v>
      </c>
      <c r="Z551" t="b">
        <v>0</v>
      </c>
      <c r="AA551">
        <v>0</v>
      </c>
      <c r="AB551">
        <v>0</v>
      </c>
      <c r="AD551" t="b">
        <v>0</v>
      </c>
      <c r="AG551" s="1" t="s">
        <v>341</v>
      </c>
      <c r="AH551" s="1" t="s">
        <v>47</v>
      </c>
      <c r="AI551">
        <v>135</v>
      </c>
      <c r="AJ551">
        <v>293</v>
      </c>
      <c r="AK551" s="106">
        <v>45475.63553550926</v>
      </c>
      <c r="AL551" s="1" t="s">
        <v>4790</v>
      </c>
      <c r="AM551" s="42">
        <f>IFERROR(INDEX('Public procurment'!A:R,MATCH(ListOfExpenditure[[#This Row],[Content.contractId]],'Public procurment'!E:E,0),14),0)</f>
        <v>0</v>
      </c>
      <c r="AN551" s="2">
        <f>IF(AND(ListOfExpenditure[[#This Row],[Contract amount]]&gt;10000,ListOfExpenditure[[#This Row],[Content.declaredAmount]]&gt;2000),1,0)</f>
        <v>0</v>
      </c>
      <c r="AO551">
        <f>IFERROR(INDEX('Public procurment'!A:S,MATCH(ListOfExpenditure[[#This Row],[Content.contractId]],'Public procurment'!E:E,0),19),0)</f>
        <v>0</v>
      </c>
      <c r="AP551">
        <f>IF(ListOfExpenditure[[#This Row],[Numero di volte controllato il contract ]]&gt;0,0,ListOfExpenditure[[#This Row],[IF public procurment &gt;10000;1;0]])</f>
        <v>0</v>
      </c>
    </row>
    <row r="552" spans="1:42" x14ac:dyDescent="0.25">
      <c r="A552">
        <v>2126</v>
      </c>
      <c r="B552">
        <v>1</v>
      </c>
      <c r="E552" t="s">
        <v>4850</v>
      </c>
      <c r="F552" t="b">
        <v>0</v>
      </c>
      <c r="I552" t="s">
        <v>6143</v>
      </c>
      <c r="J552" t="s">
        <v>6143</v>
      </c>
      <c r="M552" t="s">
        <v>4788</v>
      </c>
      <c r="N552" t="s">
        <v>4788</v>
      </c>
      <c r="O552">
        <v>0</v>
      </c>
      <c r="P552">
        <v>0</v>
      </c>
      <c r="Q552">
        <v>0</v>
      </c>
      <c r="R552">
        <v>0</v>
      </c>
      <c r="S552">
        <v>0</v>
      </c>
      <c r="T552" t="s">
        <v>4789</v>
      </c>
      <c r="U552">
        <v>1</v>
      </c>
      <c r="V552">
        <v>0</v>
      </c>
      <c r="Y552" t="b">
        <v>0</v>
      </c>
      <c r="Z552" t="b">
        <v>0</v>
      </c>
      <c r="AA552">
        <v>0</v>
      </c>
      <c r="AB552">
        <v>0</v>
      </c>
      <c r="AD552" t="b">
        <v>0</v>
      </c>
      <c r="AG552" s="1" t="s">
        <v>341</v>
      </c>
      <c r="AH552" s="1" t="s">
        <v>342</v>
      </c>
      <c r="AI552">
        <v>284</v>
      </c>
      <c r="AJ552">
        <v>332</v>
      </c>
      <c r="AK552" s="106">
        <v>45475.635553599539</v>
      </c>
      <c r="AL552" s="1" t="s">
        <v>4790</v>
      </c>
      <c r="AM552" s="42">
        <f>IFERROR(INDEX('Public procurment'!A:R,MATCH(ListOfExpenditure[[#This Row],[Content.contractId]],'Public procurment'!E:E,0),14),0)</f>
        <v>0</v>
      </c>
      <c r="AN552" s="2">
        <f>IF(AND(ListOfExpenditure[[#This Row],[Contract amount]]&gt;10000,ListOfExpenditure[[#This Row],[Content.declaredAmount]]&gt;2000),1,0)</f>
        <v>0</v>
      </c>
      <c r="AO552">
        <f>IFERROR(INDEX('Public procurment'!A:S,MATCH(ListOfExpenditure[[#This Row],[Content.contractId]],'Public procurment'!E:E,0),19),0)</f>
        <v>0</v>
      </c>
      <c r="AP552">
        <f>IF(ListOfExpenditure[[#This Row],[Numero di volte controllato il contract ]]&gt;0,0,ListOfExpenditure[[#This Row],[IF public procurment &gt;10000;1;0]])</f>
        <v>0</v>
      </c>
    </row>
    <row r="553" spans="1:42" x14ac:dyDescent="0.25">
      <c r="A553">
        <v>2089</v>
      </c>
      <c r="B553">
        <v>1</v>
      </c>
      <c r="E553" t="s">
        <v>4786</v>
      </c>
      <c r="F553" t="b">
        <v>0</v>
      </c>
      <c r="I553" t="s">
        <v>212</v>
      </c>
      <c r="M553" t="s">
        <v>4788</v>
      </c>
      <c r="N553" t="s">
        <v>4788</v>
      </c>
      <c r="O553">
        <v>0</v>
      </c>
      <c r="Q553">
        <v>0</v>
      </c>
      <c r="R553">
        <v>0</v>
      </c>
      <c r="S553">
        <v>0</v>
      </c>
      <c r="T553" t="s">
        <v>4789</v>
      </c>
      <c r="U553">
        <v>1</v>
      </c>
      <c r="V553">
        <v>0</v>
      </c>
      <c r="Y553" t="b">
        <v>0</v>
      </c>
      <c r="Z553" t="b">
        <v>0</v>
      </c>
      <c r="AA553">
        <v>0</v>
      </c>
      <c r="AB553">
        <v>0</v>
      </c>
      <c r="AD553" t="b">
        <v>0</v>
      </c>
      <c r="AG553" s="1" t="s">
        <v>341</v>
      </c>
      <c r="AH553" s="1" t="s">
        <v>4546</v>
      </c>
      <c r="AI553">
        <v>270</v>
      </c>
      <c r="AJ553">
        <v>340</v>
      </c>
      <c r="AK553" s="106">
        <v>45475.635536122689</v>
      </c>
      <c r="AL553" s="1" t="s">
        <v>4790</v>
      </c>
      <c r="AM553" s="42">
        <f>IFERROR(INDEX('Public procurment'!A:R,MATCH(ListOfExpenditure[[#This Row],[Content.contractId]],'Public procurment'!E:E,0),14),0)</f>
        <v>0</v>
      </c>
      <c r="AN553" s="2">
        <f>IF(AND(ListOfExpenditure[[#This Row],[Contract amount]]&gt;10000,ListOfExpenditure[[#This Row],[Content.declaredAmount]]&gt;2000),1,0)</f>
        <v>0</v>
      </c>
      <c r="AO553">
        <f>IFERROR(INDEX('Public procurment'!A:S,MATCH(ListOfExpenditure[[#This Row],[Content.contractId]],'Public procurment'!E:E,0),19),0)</f>
        <v>0</v>
      </c>
      <c r="AP553">
        <f>IF(ListOfExpenditure[[#This Row],[Numero di volte controllato il contract ]]&gt;0,0,ListOfExpenditure[[#This Row],[IF public procurment &gt;10000;1;0]])</f>
        <v>0</v>
      </c>
    </row>
    <row r="554" spans="1:42" x14ac:dyDescent="0.25">
      <c r="A554">
        <v>2104</v>
      </c>
      <c r="B554">
        <v>1</v>
      </c>
      <c r="E554" t="s">
        <v>4798</v>
      </c>
      <c r="F554" t="b">
        <v>0</v>
      </c>
      <c r="G554">
        <v>630</v>
      </c>
      <c r="H554">
        <v>23</v>
      </c>
      <c r="I554" t="s">
        <v>212</v>
      </c>
      <c r="J554" t="s">
        <v>4962</v>
      </c>
      <c r="K554" t="s">
        <v>5111</v>
      </c>
      <c r="L554" t="s">
        <v>5180</v>
      </c>
      <c r="M554" t="s">
        <v>4788</v>
      </c>
      <c r="N554" t="s">
        <v>4788</v>
      </c>
      <c r="O554">
        <v>10416.65</v>
      </c>
      <c r="P554">
        <v>0</v>
      </c>
      <c r="Q554">
        <v>0</v>
      </c>
      <c r="R554">
        <v>0</v>
      </c>
      <c r="S554">
        <v>10416.65</v>
      </c>
      <c r="T554" t="s">
        <v>4789</v>
      </c>
      <c r="U554">
        <v>1</v>
      </c>
      <c r="V554">
        <v>10416.65</v>
      </c>
      <c r="W554" t="s">
        <v>4343</v>
      </c>
      <c r="Y554" t="b">
        <v>1</v>
      </c>
      <c r="Z554" t="b">
        <v>0</v>
      </c>
      <c r="AA554">
        <v>2083.33</v>
      </c>
      <c r="AB554">
        <v>8333.32</v>
      </c>
      <c r="AC554">
        <v>26</v>
      </c>
      <c r="AD554" t="b">
        <v>0</v>
      </c>
      <c r="AF554" t="s">
        <v>6155</v>
      </c>
      <c r="AG554" s="1" t="s">
        <v>59</v>
      </c>
      <c r="AH554" s="1" t="s">
        <v>47</v>
      </c>
      <c r="AI554">
        <v>323</v>
      </c>
      <c r="AJ554">
        <v>339</v>
      </c>
      <c r="AK554" s="106">
        <v>45475.635556273148</v>
      </c>
      <c r="AL554" s="1" t="s">
        <v>4790</v>
      </c>
      <c r="AM554" s="42">
        <f>IFERROR(INDEX('Public procurment'!A:R,MATCH(ListOfExpenditure[[#This Row],[Content.contractId]],'Public procurment'!E:E,0),14),0)</f>
        <v>25000</v>
      </c>
      <c r="AN554" s="2">
        <f>IF(AND(ListOfExpenditure[[#This Row],[Contract amount]]&gt;10000,ListOfExpenditure[[#This Row],[Content.declaredAmount]]&gt;2000),1,0)</f>
        <v>1</v>
      </c>
      <c r="AO554">
        <f>IFERROR(INDEX('Public procurment'!A:S,MATCH(ListOfExpenditure[[#This Row],[Content.contractId]],'Public procurment'!E:E,0),19),0)</f>
        <v>2</v>
      </c>
      <c r="AP554">
        <f>IF(ListOfExpenditure[[#This Row],[Numero di volte controllato il contract ]]&gt;0,0,ListOfExpenditure[[#This Row],[IF public procurment &gt;10000;1;0]])</f>
        <v>0</v>
      </c>
    </row>
    <row r="555" spans="1:42" x14ac:dyDescent="0.25">
      <c r="A555">
        <v>2105</v>
      </c>
      <c r="B555">
        <v>2</v>
      </c>
      <c r="E555" t="s">
        <v>4786</v>
      </c>
      <c r="F555" t="b">
        <v>0</v>
      </c>
      <c r="I555" t="s">
        <v>212</v>
      </c>
      <c r="M555" t="s">
        <v>4788</v>
      </c>
      <c r="N555" t="s">
        <v>4788</v>
      </c>
      <c r="O555">
        <v>11838.95</v>
      </c>
      <c r="Q555">
        <v>0</v>
      </c>
      <c r="R555">
        <v>0</v>
      </c>
      <c r="S555">
        <v>11838.95</v>
      </c>
      <c r="T555" t="s">
        <v>4789</v>
      </c>
      <c r="U555">
        <v>1</v>
      </c>
      <c r="V555">
        <v>11838.95</v>
      </c>
      <c r="W555" t="s">
        <v>4343</v>
      </c>
      <c r="Y555" t="b">
        <v>1</v>
      </c>
      <c r="Z555" t="b">
        <v>0</v>
      </c>
      <c r="AA555">
        <v>11489.35</v>
      </c>
      <c r="AB555">
        <v>349.6</v>
      </c>
      <c r="AC555">
        <v>13</v>
      </c>
      <c r="AD555" t="b">
        <v>0</v>
      </c>
      <c r="AF555" t="s">
        <v>6156</v>
      </c>
      <c r="AG555" s="1" t="s">
        <v>59</v>
      </c>
      <c r="AH555" s="1" t="s">
        <v>47</v>
      </c>
      <c r="AI555">
        <v>323</v>
      </c>
      <c r="AJ555">
        <v>339</v>
      </c>
      <c r="AK555" s="106">
        <v>45475.635556273148</v>
      </c>
      <c r="AL555" s="1" t="s">
        <v>4790</v>
      </c>
      <c r="AM555" s="42">
        <f>IFERROR(INDEX('Public procurment'!A:R,MATCH(ListOfExpenditure[[#This Row],[Content.contractId]],'Public procurment'!E:E,0),14),0)</f>
        <v>0</v>
      </c>
      <c r="AN555" s="2">
        <f>IF(AND(ListOfExpenditure[[#This Row],[Contract amount]]&gt;10000,ListOfExpenditure[[#This Row],[Content.declaredAmount]]&gt;2000),1,0)</f>
        <v>0</v>
      </c>
      <c r="AO555">
        <f>IFERROR(INDEX('Public procurment'!A:S,MATCH(ListOfExpenditure[[#This Row],[Content.contractId]],'Public procurment'!E:E,0),19),0)</f>
        <v>0</v>
      </c>
      <c r="AP555">
        <f>IF(ListOfExpenditure[[#This Row],[Numero di volte controllato il contract ]]&gt;0,0,ListOfExpenditure[[#This Row],[IF public procurment &gt;10000;1;0]])</f>
        <v>0</v>
      </c>
    </row>
    <row r="556" spans="1:42" x14ac:dyDescent="0.25">
      <c r="A556">
        <v>2106</v>
      </c>
      <c r="B556">
        <v>3</v>
      </c>
      <c r="E556" t="s">
        <v>4786</v>
      </c>
      <c r="F556" t="b">
        <v>0</v>
      </c>
      <c r="I556" t="s">
        <v>212</v>
      </c>
      <c r="M556" t="s">
        <v>4788</v>
      </c>
      <c r="N556" t="s">
        <v>4788</v>
      </c>
      <c r="O556">
        <v>7469.47</v>
      </c>
      <c r="Q556">
        <v>0</v>
      </c>
      <c r="R556">
        <v>0</v>
      </c>
      <c r="S556">
        <v>7469.47</v>
      </c>
      <c r="T556" t="s">
        <v>4789</v>
      </c>
      <c r="U556">
        <v>1</v>
      </c>
      <c r="V556">
        <v>7469.47</v>
      </c>
      <c r="W556" t="s">
        <v>4343</v>
      </c>
      <c r="Y556" t="b">
        <v>1</v>
      </c>
      <c r="Z556" t="b">
        <v>0</v>
      </c>
      <c r="AA556">
        <v>7469.38</v>
      </c>
      <c r="AB556">
        <v>0.09</v>
      </c>
      <c r="AC556">
        <v>13</v>
      </c>
      <c r="AD556" t="b">
        <v>0</v>
      </c>
      <c r="AF556" t="s">
        <v>6156</v>
      </c>
      <c r="AG556" s="1" t="s">
        <v>59</v>
      </c>
      <c r="AH556" s="1" t="s">
        <v>47</v>
      </c>
      <c r="AI556">
        <v>323</v>
      </c>
      <c r="AJ556">
        <v>339</v>
      </c>
      <c r="AK556" s="106">
        <v>45475.635556273148</v>
      </c>
      <c r="AL556" s="1" t="s">
        <v>4790</v>
      </c>
      <c r="AM556" s="42">
        <f>IFERROR(INDEX('Public procurment'!A:R,MATCH(ListOfExpenditure[[#This Row],[Content.contractId]],'Public procurment'!E:E,0),14),0)</f>
        <v>0</v>
      </c>
      <c r="AN556" s="2">
        <f>IF(AND(ListOfExpenditure[[#This Row],[Contract amount]]&gt;10000,ListOfExpenditure[[#This Row],[Content.declaredAmount]]&gt;2000),1,0)</f>
        <v>0</v>
      </c>
      <c r="AO556">
        <f>IFERROR(INDEX('Public procurment'!A:S,MATCH(ListOfExpenditure[[#This Row],[Content.contractId]],'Public procurment'!E:E,0),19),0)</f>
        <v>0</v>
      </c>
      <c r="AP556">
        <f>IF(ListOfExpenditure[[#This Row],[Numero di volte controllato il contract ]]&gt;0,0,ListOfExpenditure[[#This Row],[IF public procurment &gt;10000;1;0]])</f>
        <v>0</v>
      </c>
    </row>
    <row r="557" spans="1:42" x14ac:dyDescent="0.25">
      <c r="A557">
        <v>2107</v>
      </c>
      <c r="B557">
        <v>4</v>
      </c>
      <c r="E557" t="s">
        <v>4786</v>
      </c>
      <c r="F557" t="b">
        <v>0</v>
      </c>
      <c r="I557" t="s">
        <v>212</v>
      </c>
      <c r="M557" t="s">
        <v>4788</v>
      </c>
      <c r="N557" t="s">
        <v>4788</v>
      </c>
      <c r="O557">
        <v>8094.25</v>
      </c>
      <c r="Q557">
        <v>0</v>
      </c>
      <c r="R557">
        <v>0</v>
      </c>
      <c r="S557">
        <v>8094.25</v>
      </c>
      <c r="T557" t="s">
        <v>4789</v>
      </c>
      <c r="U557">
        <v>1</v>
      </c>
      <c r="V557">
        <v>8094.25</v>
      </c>
      <c r="W557" t="s">
        <v>4343</v>
      </c>
      <c r="Y557" t="b">
        <v>1</v>
      </c>
      <c r="Z557" t="b">
        <v>0</v>
      </c>
      <c r="AA557">
        <v>7773.05</v>
      </c>
      <c r="AB557">
        <v>321.2</v>
      </c>
      <c r="AC557">
        <v>13</v>
      </c>
      <c r="AD557" t="b">
        <v>0</v>
      </c>
      <c r="AF557" t="s">
        <v>6156</v>
      </c>
      <c r="AG557" s="1" t="s">
        <v>59</v>
      </c>
      <c r="AH557" s="1" t="s">
        <v>47</v>
      </c>
      <c r="AI557">
        <v>323</v>
      </c>
      <c r="AJ557">
        <v>339</v>
      </c>
      <c r="AK557" s="106">
        <v>45475.635556273148</v>
      </c>
      <c r="AL557" s="1" t="s">
        <v>4790</v>
      </c>
      <c r="AM557" s="42">
        <f>IFERROR(INDEX('Public procurment'!A:R,MATCH(ListOfExpenditure[[#This Row],[Content.contractId]],'Public procurment'!E:E,0),14),0)</f>
        <v>0</v>
      </c>
      <c r="AN557" s="2">
        <f>IF(AND(ListOfExpenditure[[#This Row],[Contract amount]]&gt;10000,ListOfExpenditure[[#This Row],[Content.declaredAmount]]&gt;2000),1,0)</f>
        <v>0</v>
      </c>
      <c r="AO557">
        <f>IFERROR(INDEX('Public procurment'!A:S,MATCH(ListOfExpenditure[[#This Row],[Content.contractId]],'Public procurment'!E:E,0),19),0)</f>
        <v>0</v>
      </c>
      <c r="AP557">
        <f>IF(ListOfExpenditure[[#This Row],[Numero di volte controllato il contract ]]&gt;0,0,ListOfExpenditure[[#This Row],[IF public procurment &gt;10000;1;0]])</f>
        <v>0</v>
      </c>
    </row>
    <row r="558" spans="1:42" x14ac:dyDescent="0.25">
      <c r="A558">
        <v>184</v>
      </c>
      <c r="B558">
        <v>1</v>
      </c>
      <c r="E558" t="s">
        <v>4798</v>
      </c>
      <c r="F558" t="b">
        <v>0</v>
      </c>
      <c r="G558">
        <v>244</v>
      </c>
      <c r="H558">
        <v>23</v>
      </c>
      <c r="I558" t="s">
        <v>212</v>
      </c>
      <c r="J558" t="s">
        <v>4961</v>
      </c>
      <c r="K558" t="s">
        <v>5275</v>
      </c>
      <c r="L558" t="s">
        <v>5276</v>
      </c>
      <c r="M558" t="s">
        <v>4788</v>
      </c>
      <c r="N558" t="s">
        <v>4788</v>
      </c>
      <c r="O558">
        <v>2083.33</v>
      </c>
      <c r="P558">
        <v>0</v>
      </c>
      <c r="Q558">
        <v>0</v>
      </c>
      <c r="R558">
        <v>0</v>
      </c>
      <c r="S558">
        <v>2083.33</v>
      </c>
      <c r="T558" t="s">
        <v>4789</v>
      </c>
      <c r="U558">
        <v>1</v>
      </c>
      <c r="V558">
        <v>2083.33</v>
      </c>
      <c r="W558" t="s">
        <v>4343</v>
      </c>
      <c r="Y558" t="b">
        <v>1</v>
      </c>
      <c r="Z558" t="b">
        <v>0</v>
      </c>
      <c r="AA558">
        <v>2083.33</v>
      </c>
      <c r="AB558">
        <v>0</v>
      </c>
      <c r="AD558" t="b">
        <v>0</v>
      </c>
      <c r="AF558" t="s">
        <v>5277</v>
      </c>
      <c r="AG558" s="1" t="s">
        <v>59</v>
      </c>
      <c r="AH558" s="1" t="s">
        <v>47</v>
      </c>
      <c r="AI558">
        <v>323</v>
      </c>
      <c r="AJ558">
        <v>76</v>
      </c>
      <c r="AK558" s="106">
        <v>45475.6354584375</v>
      </c>
      <c r="AL558" s="1" t="s">
        <v>4790</v>
      </c>
      <c r="AM558" s="42">
        <f>IFERROR(INDEX('Public procurment'!A:R,MATCH(ListOfExpenditure[[#This Row],[Content.contractId]],'Public procurment'!E:E,0),14),0)</f>
        <v>25000</v>
      </c>
      <c r="AN558" s="2">
        <f>IF(AND(ListOfExpenditure[[#This Row],[Contract amount]]&gt;10000,ListOfExpenditure[[#This Row],[Content.declaredAmount]]&gt;2000),1,0)</f>
        <v>1</v>
      </c>
      <c r="AO558">
        <f>IFERROR(INDEX('Public procurment'!A:S,MATCH(ListOfExpenditure[[#This Row],[Content.contractId]],'Public procurment'!E:E,0),19),0)</f>
        <v>2</v>
      </c>
      <c r="AP558">
        <f>IF(ListOfExpenditure[[#This Row],[Numero di volte controllato il contract ]]&gt;0,0,ListOfExpenditure[[#This Row],[IF public procurment &gt;10000;1;0]])</f>
        <v>0</v>
      </c>
    </row>
    <row r="559" spans="1:42" x14ac:dyDescent="0.25">
      <c r="A559">
        <v>185</v>
      </c>
      <c r="B559">
        <v>2</v>
      </c>
      <c r="E559" t="s">
        <v>4786</v>
      </c>
      <c r="F559" t="b">
        <v>0</v>
      </c>
      <c r="I559" t="s">
        <v>4922</v>
      </c>
      <c r="K559" t="s">
        <v>5278</v>
      </c>
      <c r="L559" t="s">
        <v>5279</v>
      </c>
      <c r="M559" t="s">
        <v>4788</v>
      </c>
      <c r="N559" t="s">
        <v>4788</v>
      </c>
      <c r="O559">
        <v>28894.51</v>
      </c>
      <c r="Q559">
        <v>0</v>
      </c>
      <c r="R559">
        <v>0</v>
      </c>
      <c r="S559">
        <v>14236.07</v>
      </c>
      <c r="T559" t="s">
        <v>4789</v>
      </c>
      <c r="U559">
        <v>1</v>
      </c>
      <c r="V559">
        <v>14236.07</v>
      </c>
      <c r="W559" t="s">
        <v>4343</v>
      </c>
      <c r="Y559" t="b">
        <v>1</v>
      </c>
      <c r="Z559" t="b">
        <v>0</v>
      </c>
      <c r="AA559">
        <v>14166.66</v>
      </c>
      <c r="AB559">
        <v>69.41</v>
      </c>
      <c r="AC559">
        <v>13</v>
      </c>
      <c r="AD559" t="b">
        <v>0</v>
      </c>
      <c r="AF559" t="s">
        <v>5280</v>
      </c>
      <c r="AG559" s="1" t="s">
        <v>59</v>
      </c>
      <c r="AH559" s="1" t="s">
        <v>47</v>
      </c>
      <c r="AI559">
        <v>323</v>
      </c>
      <c r="AJ559">
        <v>76</v>
      </c>
      <c r="AK559" s="106">
        <v>45475.6354584375</v>
      </c>
      <c r="AL559" s="1" t="s">
        <v>4790</v>
      </c>
      <c r="AM559" s="42">
        <f>IFERROR(INDEX('Public procurment'!A:R,MATCH(ListOfExpenditure[[#This Row],[Content.contractId]],'Public procurment'!E:E,0),14),0)</f>
        <v>0</v>
      </c>
      <c r="AN559" s="2">
        <f>IF(AND(ListOfExpenditure[[#This Row],[Contract amount]]&gt;10000,ListOfExpenditure[[#This Row],[Content.declaredAmount]]&gt;2000),1,0)</f>
        <v>0</v>
      </c>
      <c r="AO559">
        <f>IFERROR(INDEX('Public procurment'!A:S,MATCH(ListOfExpenditure[[#This Row],[Content.contractId]],'Public procurment'!E:E,0),19),0)</f>
        <v>0</v>
      </c>
      <c r="AP559">
        <f>IF(ListOfExpenditure[[#This Row],[Numero di volte controllato il contract ]]&gt;0,0,ListOfExpenditure[[#This Row],[IF public procurment &gt;10000;1;0]])</f>
        <v>0</v>
      </c>
    </row>
    <row r="560" spans="1:42" x14ac:dyDescent="0.25">
      <c r="A560">
        <v>500</v>
      </c>
      <c r="B560">
        <v>3</v>
      </c>
      <c r="E560" t="s">
        <v>4786</v>
      </c>
      <c r="F560" t="b">
        <v>0</v>
      </c>
      <c r="I560" t="s">
        <v>4926</v>
      </c>
      <c r="K560" t="s">
        <v>5278</v>
      </c>
      <c r="L560" t="s">
        <v>5279</v>
      </c>
      <c r="M560" t="s">
        <v>4788</v>
      </c>
      <c r="N560" t="s">
        <v>4788</v>
      </c>
      <c r="O560">
        <v>18026.62</v>
      </c>
      <c r="Q560">
        <v>0</v>
      </c>
      <c r="R560">
        <v>0</v>
      </c>
      <c r="S560">
        <v>8606.25</v>
      </c>
      <c r="T560" t="s">
        <v>4789</v>
      </c>
      <c r="U560">
        <v>1</v>
      </c>
      <c r="V560">
        <v>8606.25</v>
      </c>
      <c r="W560" t="s">
        <v>4343</v>
      </c>
      <c r="Y560" t="b">
        <v>1</v>
      </c>
      <c r="Z560" t="b">
        <v>0</v>
      </c>
      <c r="AA560">
        <v>8606.25</v>
      </c>
      <c r="AB560">
        <v>0</v>
      </c>
      <c r="AD560" t="b">
        <v>0</v>
      </c>
      <c r="AG560" s="1" t="s">
        <v>59</v>
      </c>
      <c r="AH560" s="1" t="s">
        <v>47</v>
      </c>
      <c r="AI560">
        <v>323</v>
      </c>
      <c r="AJ560">
        <v>76</v>
      </c>
      <c r="AK560" s="106">
        <v>45475.6354584375</v>
      </c>
      <c r="AL560" s="1" t="s">
        <v>4790</v>
      </c>
      <c r="AM560" s="42">
        <f>IFERROR(INDEX('Public procurment'!A:R,MATCH(ListOfExpenditure[[#This Row],[Content.contractId]],'Public procurment'!E:E,0),14),0)</f>
        <v>0</v>
      </c>
      <c r="AN560" s="2">
        <f>IF(AND(ListOfExpenditure[[#This Row],[Contract amount]]&gt;10000,ListOfExpenditure[[#This Row],[Content.declaredAmount]]&gt;2000),1,0)</f>
        <v>0</v>
      </c>
      <c r="AO560">
        <f>IFERROR(INDEX('Public procurment'!A:S,MATCH(ListOfExpenditure[[#This Row],[Content.contractId]],'Public procurment'!E:E,0),19),0)</f>
        <v>0</v>
      </c>
      <c r="AP560">
        <f>IF(ListOfExpenditure[[#This Row],[Numero di volte controllato il contract ]]&gt;0,0,ListOfExpenditure[[#This Row],[IF public procurment &gt;10000;1;0]])</f>
        <v>0</v>
      </c>
    </row>
    <row r="561" spans="1:42" x14ac:dyDescent="0.25">
      <c r="A561">
        <v>501</v>
      </c>
      <c r="B561">
        <v>4</v>
      </c>
      <c r="E561" t="s">
        <v>4786</v>
      </c>
      <c r="F561" t="b">
        <v>0</v>
      </c>
      <c r="I561" t="s">
        <v>4929</v>
      </c>
      <c r="K561" t="s">
        <v>4352</v>
      </c>
      <c r="L561" t="s">
        <v>4413</v>
      </c>
      <c r="M561" t="s">
        <v>4788</v>
      </c>
      <c r="N561" t="s">
        <v>4788</v>
      </c>
      <c r="O561">
        <v>23894.33</v>
      </c>
      <c r="Q561">
        <v>0</v>
      </c>
      <c r="R561">
        <v>0</v>
      </c>
      <c r="S561">
        <v>9340.2199999999993</v>
      </c>
      <c r="T561" t="s">
        <v>4789</v>
      </c>
      <c r="U561">
        <v>1</v>
      </c>
      <c r="V561">
        <v>9340.2199999999993</v>
      </c>
      <c r="W561" t="s">
        <v>4343</v>
      </c>
      <c r="Y561" t="b">
        <v>1</v>
      </c>
      <c r="Z561" t="b">
        <v>0</v>
      </c>
      <c r="AA561">
        <v>9340.2199999999993</v>
      </c>
      <c r="AB561">
        <v>0</v>
      </c>
      <c r="AD561" t="b">
        <v>0</v>
      </c>
      <c r="AF561" t="s">
        <v>212</v>
      </c>
      <c r="AG561" s="1" t="s">
        <v>59</v>
      </c>
      <c r="AH561" s="1" t="s">
        <v>47</v>
      </c>
      <c r="AI561">
        <v>323</v>
      </c>
      <c r="AJ561">
        <v>76</v>
      </c>
      <c r="AK561" s="106">
        <v>45475.6354584375</v>
      </c>
      <c r="AL561" s="1" t="s">
        <v>4790</v>
      </c>
      <c r="AM561" s="42">
        <f>IFERROR(INDEX('Public procurment'!A:R,MATCH(ListOfExpenditure[[#This Row],[Content.contractId]],'Public procurment'!E:E,0),14),0)</f>
        <v>0</v>
      </c>
      <c r="AN561" s="2">
        <f>IF(AND(ListOfExpenditure[[#This Row],[Contract amount]]&gt;10000,ListOfExpenditure[[#This Row],[Content.declaredAmount]]&gt;2000),1,0)</f>
        <v>0</v>
      </c>
      <c r="AO561">
        <f>IFERROR(INDEX('Public procurment'!A:S,MATCH(ListOfExpenditure[[#This Row],[Content.contractId]],'Public procurment'!E:E,0),19),0)</f>
        <v>0</v>
      </c>
      <c r="AP561">
        <f>IF(ListOfExpenditure[[#This Row],[Numero di volte controllato il contract ]]&gt;0,0,ListOfExpenditure[[#This Row],[IF public procurment &gt;10000;1;0]])</f>
        <v>0</v>
      </c>
    </row>
    <row r="562" spans="1:42" x14ac:dyDescent="0.25">
      <c r="A562">
        <v>1838</v>
      </c>
      <c r="B562">
        <v>1</v>
      </c>
      <c r="E562" t="s">
        <v>4786</v>
      </c>
      <c r="F562" t="b">
        <v>0</v>
      </c>
      <c r="I562" t="s">
        <v>212</v>
      </c>
      <c r="M562" t="s">
        <v>4788</v>
      </c>
      <c r="N562" t="s">
        <v>4788</v>
      </c>
      <c r="O562">
        <v>1980.24</v>
      </c>
      <c r="Q562">
        <v>0</v>
      </c>
      <c r="R562">
        <v>0</v>
      </c>
      <c r="S562">
        <v>1980.24</v>
      </c>
      <c r="T562" t="s">
        <v>4789</v>
      </c>
      <c r="U562">
        <v>1</v>
      </c>
      <c r="V562">
        <v>1980.24</v>
      </c>
      <c r="W562" t="s">
        <v>4343</v>
      </c>
      <c r="Y562" t="b">
        <v>0</v>
      </c>
      <c r="Z562" t="b">
        <v>0</v>
      </c>
      <c r="AA562">
        <v>1980.24</v>
      </c>
      <c r="AB562">
        <v>0</v>
      </c>
      <c r="AD562" t="b">
        <v>0</v>
      </c>
      <c r="AG562" s="1" t="s">
        <v>59</v>
      </c>
      <c r="AH562" s="1" t="s">
        <v>44</v>
      </c>
      <c r="AI562">
        <v>326</v>
      </c>
      <c r="AJ562">
        <v>324</v>
      </c>
      <c r="AK562" s="106">
        <v>45475.635522766206</v>
      </c>
      <c r="AL562" s="1" t="s">
        <v>4790</v>
      </c>
      <c r="AM562" s="42">
        <f>IFERROR(INDEX('Public procurment'!A:R,MATCH(ListOfExpenditure[[#This Row],[Content.contractId]],'Public procurment'!E:E,0),14),0)</f>
        <v>0</v>
      </c>
      <c r="AN562" s="2">
        <f>IF(AND(ListOfExpenditure[[#This Row],[Contract amount]]&gt;10000,ListOfExpenditure[[#This Row],[Content.declaredAmount]]&gt;2000),1,0)</f>
        <v>0</v>
      </c>
      <c r="AO562">
        <f>IFERROR(INDEX('Public procurment'!A:S,MATCH(ListOfExpenditure[[#This Row],[Content.contractId]],'Public procurment'!E:E,0),19),0)</f>
        <v>0</v>
      </c>
      <c r="AP562">
        <f>IF(ListOfExpenditure[[#This Row],[Numero di volte controllato il contract ]]&gt;0,0,ListOfExpenditure[[#This Row],[IF public procurment &gt;10000;1;0]])</f>
        <v>0</v>
      </c>
    </row>
    <row r="563" spans="1:42" x14ac:dyDescent="0.25">
      <c r="A563">
        <v>1839</v>
      </c>
      <c r="B563">
        <v>2</v>
      </c>
      <c r="E563" t="s">
        <v>4786</v>
      </c>
      <c r="F563" t="b">
        <v>0</v>
      </c>
      <c r="I563" t="s">
        <v>212</v>
      </c>
      <c r="M563" t="s">
        <v>4788</v>
      </c>
      <c r="N563" t="s">
        <v>4788</v>
      </c>
      <c r="O563">
        <v>858.68</v>
      </c>
      <c r="Q563">
        <v>0</v>
      </c>
      <c r="R563">
        <v>0</v>
      </c>
      <c r="S563">
        <v>858.68</v>
      </c>
      <c r="T563" t="s">
        <v>4789</v>
      </c>
      <c r="U563">
        <v>1</v>
      </c>
      <c r="V563">
        <v>858.68</v>
      </c>
      <c r="W563" t="s">
        <v>4343</v>
      </c>
      <c r="Y563" t="b">
        <v>0</v>
      </c>
      <c r="Z563" t="b">
        <v>0</v>
      </c>
      <c r="AA563">
        <v>858.68</v>
      </c>
      <c r="AB563">
        <v>0</v>
      </c>
      <c r="AD563" t="b">
        <v>0</v>
      </c>
      <c r="AG563" s="1" t="s">
        <v>59</v>
      </c>
      <c r="AH563" s="1" t="s">
        <v>44</v>
      </c>
      <c r="AI563">
        <v>326</v>
      </c>
      <c r="AJ563">
        <v>324</v>
      </c>
      <c r="AK563" s="106">
        <v>45475.635522766206</v>
      </c>
      <c r="AL563" s="1" t="s">
        <v>4790</v>
      </c>
      <c r="AM563" s="42">
        <f>IFERROR(INDEX('Public procurment'!A:R,MATCH(ListOfExpenditure[[#This Row],[Content.contractId]],'Public procurment'!E:E,0),14),0)</f>
        <v>0</v>
      </c>
      <c r="AN563" s="2">
        <f>IF(AND(ListOfExpenditure[[#This Row],[Contract amount]]&gt;10000,ListOfExpenditure[[#This Row],[Content.declaredAmount]]&gt;2000),1,0)</f>
        <v>0</v>
      </c>
      <c r="AO563">
        <f>IFERROR(INDEX('Public procurment'!A:S,MATCH(ListOfExpenditure[[#This Row],[Content.contractId]],'Public procurment'!E:E,0),19),0)</f>
        <v>0</v>
      </c>
      <c r="AP563">
        <f>IF(ListOfExpenditure[[#This Row],[Numero di volte controllato il contract ]]&gt;0,0,ListOfExpenditure[[#This Row],[IF public procurment &gt;10000;1;0]])</f>
        <v>0</v>
      </c>
    </row>
    <row r="564" spans="1:42" x14ac:dyDescent="0.25">
      <c r="A564">
        <v>1840</v>
      </c>
      <c r="B564">
        <v>3</v>
      </c>
      <c r="E564" t="s">
        <v>4786</v>
      </c>
      <c r="F564" t="b">
        <v>0</v>
      </c>
      <c r="I564" t="s">
        <v>212</v>
      </c>
      <c r="M564" t="s">
        <v>4788</v>
      </c>
      <c r="N564" t="s">
        <v>4788</v>
      </c>
      <c r="O564">
        <v>3751.48</v>
      </c>
      <c r="Q564">
        <v>0</v>
      </c>
      <c r="R564">
        <v>0</v>
      </c>
      <c r="S564">
        <v>3751.48</v>
      </c>
      <c r="T564" t="s">
        <v>4789</v>
      </c>
      <c r="U564">
        <v>1</v>
      </c>
      <c r="V564">
        <v>3751.48</v>
      </c>
      <c r="W564" t="s">
        <v>4343</v>
      </c>
      <c r="Y564" t="b">
        <v>0</v>
      </c>
      <c r="Z564" t="b">
        <v>0</v>
      </c>
      <c r="AA564">
        <v>3751.48</v>
      </c>
      <c r="AB564">
        <v>0</v>
      </c>
      <c r="AD564" t="b">
        <v>0</v>
      </c>
      <c r="AG564" s="1" t="s">
        <v>59</v>
      </c>
      <c r="AH564" s="1" t="s">
        <v>44</v>
      </c>
      <c r="AI564">
        <v>326</v>
      </c>
      <c r="AJ564">
        <v>324</v>
      </c>
      <c r="AK564" s="106">
        <v>45475.635522766206</v>
      </c>
      <c r="AL564" s="1" t="s">
        <v>4790</v>
      </c>
      <c r="AM564" s="42">
        <f>IFERROR(INDEX('Public procurment'!A:R,MATCH(ListOfExpenditure[[#This Row],[Content.contractId]],'Public procurment'!E:E,0),14),0)</f>
        <v>0</v>
      </c>
      <c r="AN564" s="2">
        <f>IF(AND(ListOfExpenditure[[#This Row],[Contract amount]]&gt;10000,ListOfExpenditure[[#This Row],[Content.declaredAmount]]&gt;2000),1,0)</f>
        <v>0</v>
      </c>
      <c r="AO564">
        <f>IFERROR(INDEX('Public procurment'!A:S,MATCH(ListOfExpenditure[[#This Row],[Content.contractId]],'Public procurment'!E:E,0),19),0)</f>
        <v>0</v>
      </c>
      <c r="AP564">
        <f>IF(ListOfExpenditure[[#This Row],[Numero di volte controllato il contract ]]&gt;0,0,ListOfExpenditure[[#This Row],[IF public procurment &gt;10000;1;0]])</f>
        <v>0</v>
      </c>
    </row>
    <row r="565" spans="1:42" x14ac:dyDescent="0.25">
      <c r="A565">
        <v>1843</v>
      </c>
      <c r="B565">
        <v>4</v>
      </c>
      <c r="E565" t="s">
        <v>4786</v>
      </c>
      <c r="F565" t="b">
        <v>0</v>
      </c>
      <c r="I565" t="s">
        <v>212</v>
      </c>
      <c r="M565" t="s">
        <v>4788</v>
      </c>
      <c r="N565" t="s">
        <v>4788</v>
      </c>
      <c r="O565">
        <v>568.99</v>
      </c>
      <c r="Q565">
        <v>0</v>
      </c>
      <c r="R565">
        <v>0</v>
      </c>
      <c r="S565">
        <v>568.99</v>
      </c>
      <c r="T565" t="s">
        <v>4789</v>
      </c>
      <c r="U565">
        <v>1</v>
      </c>
      <c r="V565">
        <v>568.99</v>
      </c>
      <c r="W565" t="s">
        <v>4343</v>
      </c>
      <c r="Y565" t="b">
        <v>0</v>
      </c>
      <c r="Z565" t="b">
        <v>0</v>
      </c>
      <c r="AA565">
        <v>568.99</v>
      </c>
      <c r="AB565">
        <v>0</v>
      </c>
      <c r="AD565" t="b">
        <v>0</v>
      </c>
      <c r="AG565" s="1" t="s">
        <v>59</v>
      </c>
      <c r="AH565" s="1" t="s">
        <v>44</v>
      </c>
      <c r="AI565">
        <v>326</v>
      </c>
      <c r="AJ565">
        <v>324</v>
      </c>
      <c r="AK565" s="106">
        <v>45475.635522766206</v>
      </c>
      <c r="AL565" s="1" t="s">
        <v>4790</v>
      </c>
      <c r="AM565" s="42">
        <f>IFERROR(INDEX('Public procurment'!A:R,MATCH(ListOfExpenditure[[#This Row],[Content.contractId]],'Public procurment'!E:E,0),14),0)</f>
        <v>0</v>
      </c>
      <c r="AN565" s="2">
        <f>IF(AND(ListOfExpenditure[[#This Row],[Contract amount]]&gt;10000,ListOfExpenditure[[#This Row],[Content.declaredAmount]]&gt;2000),1,0)</f>
        <v>0</v>
      </c>
      <c r="AO565">
        <f>IFERROR(INDEX('Public procurment'!A:S,MATCH(ListOfExpenditure[[#This Row],[Content.contractId]],'Public procurment'!E:E,0),19),0)</f>
        <v>0</v>
      </c>
      <c r="AP565">
        <f>IF(ListOfExpenditure[[#This Row],[Numero di volte controllato il contract ]]&gt;0,0,ListOfExpenditure[[#This Row],[IF public procurment &gt;10000;1;0]])</f>
        <v>0</v>
      </c>
    </row>
    <row r="566" spans="1:42" x14ac:dyDescent="0.25">
      <c r="A566">
        <v>1844</v>
      </c>
      <c r="B566">
        <v>5</v>
      </c>
      <c r="E566" t="s">
        <v>4786</v>
      </c>
      <c r="F566" t="b">
        <v>0</v>
      </c>
      <c r="I566" t="s">
        <v>212</v>
      </c>
      <c r="M566" t="s">
        <v>4788</v>
      </c>
      <c r="N566" t="s">
        <v>4788</v>
      </c>
      <c r="O566">
        <v>4000</v>
      </c>
      <c r="Q566">
        <v>0</v>
      </c>
      <c r="R566">
        <v>0</v>
      </c>
      <c r="S566">
        <v>4000</v>
      </c>
      <c r="T566" t="s">
        <v>4789</v>
      </c>
      <c r="U566">
        <v>1</v>
      </c>
      <c r="V566">
        <v>4000</v>
      </c>
      <c r="W566" t="s">
        <v>4343</v>
      </c>
      <c r="Y566" t="b">
        <v>0</v>
      </c>
      <c r="Z566" t="b">
        <v>0</v>
      </c>
      <c r="AA566">
        <v>4000</v>
      </c>
      <c r="AB566">
        <v>0</v>
      </c>
      <c r="AD566" t="b">
        <v>0</v>
      </c>
      <c r="AG566" s="1" t="s">
        <v>59</v>
      </c>
      <c r="AH566" s="1" t="s">
        <v>44</v>
      </c>
      <c r="AI566">
        <v>326</v>
      </c>
      <c r="AJ566">
        <v>324</v>
      </c>
      <c r="AK566" s="106">
        <v>45475.635522766206</v>
      </c>
      <c r="AL566" s="1" t="s">
        <v>4790</v>
      </c>
      <c r="AM566" s="42">
        <f>IFERROR(INDEX('Public procurment'!A:R,MATCH(ListOfExpenditure[[#This Row],[Content.contractId]],'Public procurment'!E:E,0),14),0)</f>
        <v>0</v>
      </c>
      <c r="AN566" s="2">
        <f>IF(AND(ListOfExpenditure[[#This Row],[Contract amount]]&gt;10000,ListOfExpenditure[[#This Row],[Content.declaredAmount]]&gt;2000),1,0)</f>
        <v>0</v>
      </c>
      <c r="AO566">
        <f>IFERROR(INDEX('Public procurment'!A:S,MATCH(ListOfExpenditure[[#This Row],[Content.contractId]],'Public procurment'!E:E,0),19),0)</f>
        <v>0</v>
      </c>
      <c r="AP566">
        <f>IF(ListOfExpenditure[[#This Row],[Numero di volte controllato il contract ]]&gt;0,0,ListOfExpenditure[[#This Row],[IF public procurment &gt;10000;1;0]])</f>
        <v>0</v>
      </c>
    </row>
    <row r="567" spans="1:42" x14ac:dyDescent="0.25">
      <c r="A567">
        <v>1846</v>
      </c>
      <c r="B567">
        <v>6</v>
      </c>
      <c r="E567" t="s">
        <v>4786</v>
      </c>
      <c r="F567" t="b">
        <v>0</v>
      </c>
      <c r="I567" t="s">
        <v>212</v>
      </c>
      <c r="M567" t="s">
        <v>4788</v>
      </c>
      <c r="N567" t="s">
        <v>4788</v>
      </c>
      <c r="O567">
        <v>4000</v>
      </c>
      <c r="Q567">
        <v>0</v>
      </c>
      <c r="R567">
        <v>0</v>
      </c>
      <c r="S567">
        <v>4000</v>
      </c>
      <c r="T567" t="s">
        <v>4789</v>
      </c>
      <c r="U567">
        <v>1</v>
      </c>
      <c r="V567">
        <v>4000</v>
      </c>
      <c r="W567" t="s">
        <v>4343</v>
      </c>
      <c r="Y567" t="b">
        <v>0</v>
      </c>
      <c r="Z567" t="b">
        <v>0</v>
      </c>
      <c r="AA567">
        <v>4000</v>
      </c>
      <c r="AB567">
        <v>0</v>
      </c>
      <c r="AD567" t="b">
        <v>0</v>
      </c>
      <c r="AG567" s="1" t="s">
        <v>59</v>
      </c>
      <c r="AH567" s="1" t="s">
        <v>44</v>
      </c>
      <c r="AI567">
        <v>326</v>
      </c>
      <c r="AJ567">
        <v>324</v>
      </c>
      <c r="AK567" s="106">
        <v>45475.635522766206</v>
      </c>
      <c r="AL567" s="1" t="s">
        <v>4790</v>
      </c>
      <c r="AM567" s="42">
        <f>IFERROR(INDEX('Public procurment'!A:R,MATCH(ListOfExpenditure[[#This Row],[Content.contractId]],'Public procurment'!E:E,0),14),0)</f>
        <v>0</v>
      </c>
      <c r="AN567" s="2">
        <f>IF(AND(ListOfExpenditure[[#This Row],[Contract amount]]&gt;10000,ListOfExpenditure[[#This Row],[Content.declaredAmount]]&gt;2000),1,0)</f>
        <v>0</v>
      </c>
      <c r="AO567">
        <f>IFERROR(INDEX('Public procurment'!A:S,MATCH(ListOfExpenditure[[#This Row],[Content.contractId]],'Public procurment'!E:E,0),19),0)</f>
        <v>0</v>
      </c>
      <c r="AP567">
        <f>IF(ListOfExpenditure[[#This Row],[Numero di volte controllato il contract ]]&gt;0,0,ListOfExpenditure[[#This Row],[IF public procurment &gt;10000;1;0]])</f>
        <v>0</v>
      </c>
    </row>
    <row r="568" spans="1:42" x14ac:dyDescent="0.25">
      <c r="A568">
        <v>395</v>
      </c>
      <c r="B568">
        <v>1</v>
      </c>
      <c r="E568" t="s">
        <v>4786</v>
      </c>
      <c r="F568" t="b">
        <v>0</v>
      </c>
      <c r="I568" t="s">
        <v>4922</v>
      </c>
      <c r="M568" t="s">
        <v>4788</v>
      </c>
      <c r="N568" t="s">
        <v>4788</v>
      </c>
      <c r="O568">
        <v>3564.43</v>
      </c>
      <c r="Q568">
        <v>0</v>
      </c>
      <c r="R568">
        <v>0</v>
      </c>
      <c r="S568">
        <v>3564.43</v>
      </c>
      <c r="T568" t="s">
        <v>4789</v>
      </c>
      <c r="U568">
        <v>1</v>
      </c>
      <c r="V568">
        <v>3564.43</v>
      </c>
      <c r="W568" t="s">
        <v>4343</v>
      </c>
      <c r="Y568" t="b">
        <v>1</v>
      </c>
      <c r="Z568" t="b">
        <v>0</v>
      </c>
      <c r="AA568">
        <v>3564.43</v>
      </c>
      <c r="AB568">
        <v>0</v>
      </c>
      <c r="AD568" t="b">
        <v>0</v>
      </c>
      <c r="AG568" s="1" t="s">
        <v>59</v>
      </c>
      <c r="AH568" s="1" t="s">
        <v>44</v>
      </c>
      <c r="AI568">
        <v>326</v>
      </c>
      <c r="AJ568">
        <v>95</v>
      </c>
      <c r="AK568" s="106">
        <v>45475.635450023146</v>
      </c>
      <c r="AL568" s="1" t="s">
        <v>4790</v>
      </c>
      <c r="AM568" s="42">
        <f>IFERROR(INDEX('Public procurment'!A:R,MATCH(ListOfExpenditure[[#This Row],[Content.contractId]],'Public procurment'!E:E,0),14),0)</f>
        <v>0</v>
      </c>
      <c r="AN568" s="2">
        <f>IF(AND(ListOfExpenditure[[#This Row],[Contract amount]]&gt;10000,ListOfExpenditure[[#This Row],[Content.declaredAmount]]&gt;2000),1,0)</f>
        <v>0</v>
      </c>
      <c r="AO568">
        <f>IFERROR(INDEX('Public procurment'!A:S,MATCH(ListOfExpenditure[[#This Row],[Content.contractId]],'Public procurment'!E:E,0),19),0)</f>
        <v>0</v>
      </c>
      <c r="AP568">
        <f>IF(ListOfExpenditure[[#This Row],[Numero di volte controllato il contract ]]&gt;0,0,ListOfExpenditure[[#This Row],[IF public procurment &gt;10000;1;0]])</f>
        <v>0</v>
      </c>
    </row>
    <row r="569" spans="1:42" x14ac:dyDescent="0.25">
      <c r="A569">
        <v>396</v>
      </c>
      <c r="B569">
        <v>2</v>
      </c>
      <c r="E569" t="s">
        <v>4786</v>
      </c>
      <c r="F569" t="b">
        <v>0</v>
      </c>
      <c r="I569" t="s">
        <v>212</v>
      </c>
      <c r="M569" t="s">
        <v>4788</v>
      </c>
      <c r="N569" t="s">
        <v>4788</v>
      </c>
      <c r="O569">
        <v>1545.62</v>
      </c>
      <c r="Q569">
        <v>0</v>
      </c>
      <c r="R569">
        <v>0</v>
      </c>
      <c r="S569">
        <v>1545.62</v>
      </c>
      <c r="T569" t="s">
        <v>4789</v>
      </c>
      <c r="U569">
        <v>1</v>
      </c>
      <c r="V569">
        <v>1545.62</v>
      </c>
      <c r="W569" t="s">
        <v>4343</v>
      </c>
      <c r="Y569" t="b">
        <v>1</v>
      </c>
      <c r="Z569" t="b">
        <v>0</v>
      </c>
      <c r="AA569">
        <v>1545.62</v>
      </c>
      <c r="AB569">
        <v>0</v>
      </c>
      <c r="AD569" t="b">
        <v>0</v>
      </c>
      <c r="AG569" s="1" t="s">
        <v>59</v>
      </c>
      <c r="AH569" s="1" t="s">
        <v>44</v>
      </c>
      <c r="AI569">
        <v>326</v>
      </c>
      <c r="AJ569">
        <v>95</v>
      </c>
      <c r="AK569" s="106">
        <v>45475.635450023146</v>
      </c>
      <c r="AL569" s="1" t="s">
        <v>4790</v>
      </c>
      <c r="AM569" s="42">
        <f>IFERROR(INDEX('Public procurment'!A:R,MATCH(ListOfExpenditure[[#This Row],[Content.contractId]],'Public procurment'!E:E,0),14),0)</f>
        <v>0</v>
      </c>
      <c r="AN569" s="2">
        <f>IF(AND(ListOfExpenditure[[#This Row],[Contract amount]]&gt;10000,ListOfExpenditure[[#This Row],[Content.declaredAmount]]&gt;2000),1,0)</f>
        <v>0</v>
      </c>
      <c r="AO569">
        <f>IFERROR(INDEX('Public procurment'!A:S,MATCH(ListOfExpenditure[[#This Row],[Content.contractId]],'Public procurment'!E:E,0),19),0)</f>
        <v>0</v>
      </c>
      <c r="AP569">
        <f>IF(ListOfExpenditure[[#This Row],[Numero di volte controllato il contract ]]&gt;0,0,ListOfExpenditure[[#This Row],[IF public procurment &gt;10000;1;0]])</f>
        <v>0</v>
      </c>
    </row>
    <row r="570" spans="1:42" x14ac:dyDescent="0.25">
      <c r="A570">
        <v>397</v>
      </c>
      <c r="B570">
        <v>3</v>
      </c>
      <c r="E570" t="s">
        <v>4786</v>
      </c>
      <c r="F570" t="b">
        <v>0</v>
      </c>
      <c r="I570" t="s">
        <v>212</v>
      </c>
      <c r="M570" t="s">
        <v>4788</v>
      </c>
      <c r="N570" t="s">
        <v>4788</v>
      </c>
      <c r="O570">
        <v>6752.67</v>
      </c>
      <c r="Q570">
        <v>0</v>
      </c>
      <c r="R570">
        <v>0</v>
      </c>
      <c r="S570">
        <v>6752.67</v>
      </c>
      <c r="T570" t="s">
        <v>4789</v>
      </c>
      <c r="U570">
        <v>1</v>
      </c>
      <c r="V570">
        <v>6752.67</v>
      </c>
      <c r="W570" t="s">
        <v>4343</v>
      </c>
      <c r="Y570" t="b">
        <v>1</v>
      </c>
      <c r="Z570" t="b">
        <v>0</v>
      </c>
      <c r="AA570">
        <v>6752.67</v>
      </c>
      <c r="AB570">
        <v>0</v>
      </c>
      <c r="AD570" t="b">
        <v>0</v>
      </c>
      <c r="AG570" s="1" t="s">
        <v>59</v>
      </c>
      <c r="AH570" s="1" t="s">
        <v>44</v>
      </c>
      <c r="AI570">
        <v>326</v>
      </c>
      <c r="AJ570">
        <v>95</v>
      </c>
      <c r="AK570" s="106">
        <v>45475.635450023146</v>
      </c>
      <c r="AL570" s="1" t="s">
        <v>4790</v>
      </c>
      <c r="AM570" s="42">
        <f>IFERROR(INDEX('Public procurment'!A:R,MATCH(ListOfExpenditure[[#This Row],[Content.contractId]],'Public procurment'!E:E,0),14),0)</f>
        <v>0</v>
      </c>
      <c r="AN570" s="2">
        <f>IF(AND(ListOfExpenditure[[#This Row],[Contract amount]]&gt;10000,ListOfExpenditure[[#This Row],[Content.declaredAmount]]&gt;2000),1,0)</f>
        <v>0</v>
      </c>
      <c r="AO570">
        <f>IFERROR(INDEX('Public procurment'!A:S,MATCH(ListOfExpenditure[[#This Row],[Content.contractId]],'Public procurment'!E:E,0),19),0)</f>
        <v>0</v>
      </c>
      <c r="AP570">
        <f>IF(ListOfExpenditure[[#This Row],[Numero di volte controllato il contract ]]&gt;0,0,ListOfExpenditure[[#This Row],[IF public procurment &gt;10000;1;0]])</f>
        <v>0</v>
      </c>
    </row>
    <row r="571" spans="1:42" x14ac:dyDescent="0.25">
      <c r="A571">
        <v>398</v>
      </c>
      <c r="B571">
        <v>4</v>
      </c>
      <c r="E571" t="s">
        <v>4786</v>
      </c>
      <c r="F571" t="b">
        <v>0</v>
      </c>
      <c r="I571" t="s">
        <v>212</v>
      </c>
      <c r="M571" t="s">
        <v>4788</v>
      </c>
      <c r="N571" t="s">
        <v>4788</v>
      </c>
      <c r="O571">
        <v>1024.18</v>
      </c>
      <c r="Q571">
        <v>0</v>
      </c>
      <c r="R571">
        <v>0</v>
      </c>
      <c r="S571">
        <v>1024.18</v>
      </c>
      <c r="T571" t="s">
        <v>4789</v>
      </c>
      <c r="U571">
        <v>1</v>
      </c>
      <c r="V571">
        <v>1024.18</v>
      </c>
      <c r="W571" t="s">
        <v>4343</v>
      </c>
      <c r="Y571" t="b">
        <v>1</v>
      </c>
      <c r="Z571" t="b">
        <v>0</v>
      </c>
      <c r="AA571">
        <v>1024.18</v>
      </c>
      <c r="AB571">
        <v>0</v>
      </c>
      <c r="AD571" t="b">
        <v>0</v>
      </c>
      <c r="AG571" s="1" t="s">
        <v>59</v>
      </c>
      <c r="AH571" s="1" t="s">
        <v>44</v>
      </c>
      <c r="AI571">
        <v>326</v>
      </c>
      <c r="AJ571">
        <v>95</v>
      </c>
      <c r="AK571" s="106">
        <v>45475.635450023146</v>
      </c>
      <c r="AL571" s="1" t="s">
        <v>4790</v>
      </c>
      <c r="AM571" s="42">
        <f>IFERROR(INDEX('Public procurment'!A:R,MATCH(ListOfExpenditure[[#This Row],[Content.contractId]],'Public procurment'!E:E,0),14),0)</f>
        <v>0</v>
      </c>
      <c r="AN571" s="2">
        <f>IF(AND(ListOfExpenditure[[#This Row],[Contract amount]]&gt;10000,ListOfExpenditure[[#This Row],[Content.declaredAmount]]&gt;2000),1,0)</f>
        <v>0</v>
      </c>
      <c r="AO571">
        <f>IFERROR(INDEX('Public procurment'!A:S,MATCH(ListOfExpenditure[[#This Row],[Content.contractId]],'Public procurment'!E:E,0),19),0)</f>
        <v>0</v>
      </c>
      <c r="AP571">
        <f>IF(ListOfExpenditure[[#This Row],[Numero di volte controllato il contract ]]&gt;0,0,ListOfExpenditure[[#This Row],[IF public procurment &gt;10000;1;0]])</f>
        <v>0</v>
      </c>
    </row>
    <row r="572" spans="1:42" x14ac:dyDescent="0.25">
      <c r="A572">
        <v>1971</v>
      </c>
      <c r="B572">
        <v>1</v>
      </c>
      <c r="E572" t="s">
        <v>4786</v>
      </c>
      <c r="F572" t="b">
        <v>0</v>
      </c>
      <c r="I572" t="s">
        <v>6287</v>
      </c>
      <c r="K572" t="s">
        <v>6288</v>
      </c>
      <c r="L572" t="s">
        <v>6288</v>
      </c>
      <c r="M572" t="s">
        <v>4788</v>
      </c>
      <c r="N572" t="s">
        <v>4788</v>
      </c>
      <c r="O572">
        <v>304.62</v>
      </c>
      <c r="Q572">
        <v>0</v>
      </c>
      <c r="R572">
        <v>0</v>
      </c>
      <c r="S572">
        <v>304.62</v>
      </c>
      <c r="T572" t="s">
        <v>4789</v>
      </c>
      <c r="U572">
        <v>1</v>
      </c>
      <c r="V572">
        <v>304.62</v>
      </c>
      <c r="W572" t="s">
        <v>4343</v>
      </c>
      <c r="Y572" t="b">
        <v>1</v>
      </c>
      <c r="Z572" t="b">
        <v>0</v>
      </c>
      <c r="AA572">
        <v>0</v>
      </c>
      <c r="AB572">
        <v>304.62</v>
      </c>
      <c r="AC572">
        <v>24</v>
      </c>
      <c r="AD572" t="b">
        <v>0</v>
      </c>
      <c r="AF572" t="s">
        <v>6289</v>
      </c>
      <c r="AG572" s="1" t="s">
        <v>59</v>
      </c>
      <c r="AH572" s="1" t="s">
        <v>49</v>
      </c>
      <c r="AI572">
        <v>321</v>
      </c>
      <c r="AJ572">
        <v>164</v>
      </c>
      <c r="AK572" s="106">
        <v>45475.635553206019</v>
      </c>
      <c r="AL572" s="1" t="s">
        <v>4790</v>
      </c>
      <c r="AM572" s="42">
        <f>IFERROR(INDEX('Public procurment'!A:R,MATCH(ListOfExpenditure[[#This Row],[Content.contractId]],'Public procurment'!E:E,0),14),0)</f>
        <v>0</v>
      </c>
      <c r="AN572" s="2">
        <f>IF(AND(ListOfExpenditure[[#This Row],[Contract amount]]&gt;10000,ListOfExpenditure[[#This Row],[Content.declaredAmount]]&gt;2000),1,0)</f>
        <v>0</v>
      </c>
      <c r="AO572">
        <f>IFERROR(INDEX('Public procurment'!A:S,MATCH(ListOfExpenditure[[#This Row],[Content.contractId]],'Public procurment'!E:E,0),19),0)</f>
        <v>0</v>
      </c>
      <c r="AP572">
        <f>IF(ListOfExpenditure[[#This Row],[Numero di volte controllato il contract ]]&gt;0,0,ListOfExpenditure[[#This Row],[IF public procurment &gt;10000;1;0]])</f>
        <v>0</v>
      </c>
    </row>
    <row r="573" spans="1:42" x14ac:dyDescent="0.25">
      <c r="A573">
        <v>1972</v>
      </c>
      <c r="B573">
        <v>2</v>
      </c>
      <c r="E573" t="s">
        <v>4786</v>
      </c>
      <c r="F573" t="b">
        <v>0</v>
      </c>
      <c r="I573" t="s">
        <v>6290</v>
      </c>
      <c r="K573" t="s">
        <v>5040</v>
      </c>
      <c r="L573" t="s">
        <v>5040</v>
      </c>
      <c r="M573" t="s">
        <v>4788</v>
      </c>
      <c r="N573" t="s">
        <v>4788</v>
      </c>
      <c r="O573">
        <v>308.64999999999998</v>
      </c>
      <c r="Q573">
        <v>0</v>
      </c>
      <c r="R573">
        <v>0</v>
      </c>
      <c r="S573">
        <v>308.64999999999998</v>
      </c>
      <c r="T573" t="s">
        <v>4789</v>
      </c>
      <c r="U573">
        <v>1</v>
      </c>
      <c r="V573">
        <v>308.64999999999998</v>
      </c>
      <c r="W573" t="s">
        <v>4343</v>
      </c>
      <c r="Y573" t="b">
        <v>1</v>
      </c>
      <c r="Z573" t="b">
        <v>0</v>
      </c>
      <c r="AA573">
        <v>0</v>
      </c>
      <c r="AB573">
        <v>308.64999999999998</v>
      </c>
      <c r="AC573">
        <v>24</v>
      </c>
      <c r="AD573" t="b">
        <v>0</v>
      </c>
      <c r="AF573" t="s">
        <v>6289</v>
      </c>
      <c r="AG573" s="1" t="s">
        <v>59</v>
      </c>
      <c r="AH573" s="1" t="s">
        <v>49</v>
      </c>
      <c r="AI573">
        <v>321</v>
      </c>
      <c r="AJ573">
        <v>164</v>
      </c>
      <c r="AK573" s="106">
        <v>45475.635553206019</v>
      </c>
      <c r="AL573" s="1" t="s">
        <v>4790</v>
      </c>
      <c r="AM573" s="42">
        <f>IFERROR(INDEX('Public procurment'!A:R,MATCH(ListOfExpenditure[[#This Row],[Content.contractId]],'Public procurment'!E:E,0),14),0)</f>
        <v>0</v>
      </c>
      <c r="AN573" s="2">
        <f>IF(AND(ListOfExpenditure[[#This Row],[Contract amount]]&gt;10000,ListOfExpenditure[[#This Row],[Content.declaredAmount]]&gt;2000),1,0)</f>
        <v>0</v>
      </c>
      <c r="AO573">
        <f>IFERROR(INDEX('Public procurment'!A:S,MATCH(ListOfExpenditure[[#This Row],[Content.contractId]],'Public procurment'!E:E,0),19),0)</f>
        <v>0</v>
      </c>
      <c r="AP573">
        <f>IF(ListOfExpenditure[[#This Row],[Numero di volte controllato il contract ]]&gt;0,0,ListOfExpenditure[[#This Row],[IF public procurment &gt;10000;1;0]])</f>
        <v>0</v>
      </c>
    </row>
    <row r="574" spans="1:42" x14ac:dyDescent="0.25">
      <c r="A574">
        <v>1973</v>
      </c>
      <c r="B574">
        <v>3</v>
      </c>
      <c r="E574" t="s">
        <v>4786</v>
      </c>
      <c r="F574" t="b">
        <v>0</v>
      </c>
      <c r="I574" t="s">
        <v>6291</v>
      </c>
      <c r="K574" t="s">
        <v>5247</v>
      </c>
      <c r="L574" t="s">
        <v>5247</v>
      </c>
      <c r="M574" t="s">
        <v>4788</v>
      </c>
      <c r="N574" t="s">
        <v>4788</v>
      </c>
      <c r="O574">
        <v>289.48</v>
      </c>
      <c r="Q574">
        <v>0</v>
      </c>
      <c r="R574">
        <v>0</v>
      </c>
      <c r="S574">
        <v>289.48</v>
      </c>
      <c r="T574" t="s">
        <v>4789</v>
      </c>
      <c r="U574">
        <v>1</v>
      </c>
      <c r="V574">
        <v>289.48</v>
      </c>
      <c r="W574" t="s">
        <v>4343</v>
      </c>
      <c r="Y574" t="b">
        <v>1</v>
      </c>
      <c r="Z574" t="b">
        <v>0</v>
      </c>
      <c r="AA574">
        <v>0</v>
      </c>
      <c r="AB574">
        <v>289.48</v>
      </c>
      <c r="AC574">
        <v>24</v>
      </c>
      <c r="AD574" t="b">
        <v>0</v>
      </c>
      <c r="AF574" t="s">
        <v>6289</v>
      </c>
      <c r="AG574" s="1" t="s">
        <v>59</v>
      </c>
      <c r="AH574" s="1" t="s">
        <v>49</v>
      </c>
      <c r="AI574">
        <v>321</v>
      </c>
      <c r="AJ574">
        <v>164</v>
      </c>
      <c r="AK574" s="106">
        <v>45475.635553206019</v>
      </c>
      <c r="AL574" s="1" t="s">
        <v>4790</v>
      </c>
      <c r="AM574" s="42">
        <f>IFERROR(INDEX('Public procurment'!A:R,MATCH(ListOfExpenditure[[#This Row],[Content.contractId]],'Public procurment'!E:E,0),14),0)</f>
        <v>0</v>
      </c>
      <c r="AN574" s="2">
        <f>IF(AND(ListOfExpenditure[[#This Row],[Contract amount]]&gt;10000,ListOfExpenditure[[#This Row],[Content.declaredAmount]]&gt;2000),1,0)</f>
        <v>0</v>
      </c>
      <c r="AO574">
        <f>IFERROR(INDEX('Public procurment'!A:S,MATCH(ListOfExpenditure[[#This Row],[Content.contractId]],'Public procurment'!E:E,0),19),0)</f>
        <v>0</v>
      </c>
      <c r="AP574">
        <f>IF(ListOfExpenditure[[#This Row],[Numero di volte controllato il contract ]]&gt;0,0,ListOfExpenditure[[#This Row],[IF public procurment &gt;10000;1;0]])</f>
        <v>0</v>
      </c>
    </row>
    <row r="575" spans="1:42" x14ac:dyDescent="0.25">
      <c r="A575">
        <v>1974</v>
      </c>
      <c r="B575">
        <v>4</v>
      </c>
      <c r="E575" t="s">
        <v>4786</v>
      </c>
      <c r="F575" t="b">
        <v>0</v>
      </c>
      <c r="I575" t="s">
        <v>6292</v>
      </c>
      <c r="K575" t="s">
        <v>6293</v>
      </c>
      <c r="L575" t="s">
        <v>6293</v>
      </c>
      <c r="M575" t="s">
        <v>4788</v>
      </c>
      <c r="N575" t="s">
        <v>4788</v>
      </c>
      <c r="O575">
        <v>304.76</v>
      </c>
      <c r="Q575">
        <v>0</v>
      </c>
      <c r="R575">
        <v>0</v>
      </c>
      <c r="S575">
        <v>304.76</v>
      </c>
      <c r="T575" t="s">
        <v>4789</v>
      </c>
      <c r="U575">
        <v>1</v>
      </c>
      <c r="V575">
        <v>304.76</v>
      </c>
      <c r="W575" t="s">
        <v>4343</v>
      </c>
      <c r="Y575" t="b">
        <v>1</v>
      </c>
      <c r="Z575" t="b">
        <v>0</v>
      </c>
      <c r="AA575">
        <v>0</v>
      </c>
      <c r="AB575">
        <v>304.76</v>
      </c>
      <c r="AC575">
        <v>24</v>
      </c>
      <c r="AD575" t="b">
        <v>0</v>
      </c>
      <c r="AF575" t="s">
        <v>6289</v>
      </c>
      <c r="AG575" s="1" t="s">
        <v>59</v>
      </c>
      <c r="AH575" s="1" t="s">
        <v>49</v>
      </c>
      <c r="AI575">
        <v>321</v>
      </c>
      <c r="AJ575">
        <v>164</v>
      </c>
      <c r="AK575" s="106">
        <v>45475.635553206019</v>
      </c>
      <c r="AL575" s="1" t="s">
        <v>4790</v>
      </c>
      <c r="AM575" s="42">
        <f>IFERROR(INDEX('Public procurment'!A:R,MATCH(ListOfExpenditure[[#This Row],[Content.contractId]],'Public procurment'!E:E,0),14),0)</f>
        <v>0</v>
      </c>
      <c r="AN575" s="2">
        <f>IF(AND(ListOfExpenditure[[#This Row],[Contract amount]]&gt;10000,ListOfExpenditure[[#This Row],[Content.declaredAmount]]&gt;2000),1,0)</f>
        <v>0</v>
      </c>
      <c r="AO575">
        <f>IFERROR(INDEX('Public procurment'!A:S,MATCH(ListOfExpenditure[[#This Row],[Content.contractId]],'Public procurment'!E:E,0),19),0)</f>
        <v>0</v>
      </c>
      <c r="AP575">
        <f>IF(ListOfExpenditure[[#This Row],[Numero di volte controllato il contract ]]&gt;0,0,ListOfExpenditure[[#This Row],[IF public procurment &gt;10000;1;0]])</f>
        <v>0</v>
      </c>
    </row>
    <row r="576" spans="1:42" x14ac:dyDescent="0.25">
      <c r="A576">
        <v>1975</v>
      </c>
      <c r="B576">
        <v>5</v>
      </c>
      <c r="E576" t="s">
        <v>4786</v>
      </c>
      <c r="F576" t="b">
        <v>0</v>
      </c>
      <c r="I576" t="s">
        <v>6294</v>
      </c>
      <c r="K576" t="s">
        <v>6295</v>
      </c>
      <c r="L576" t="s">
        <v>6296</v>
      </c>
      <c r="M576" t="s">
        <v>4788</v>
      </c>
      <c r="N576" t="s">
        <v>4788</v>
      </c>
      <c r="O576">
        <v>275.27999999999997</v>
      </c>
      <c r="Q576">
        <v>0</v>
      </c>
      <c r="R576">
        <v>0</v>
      </c>
      <c r="S576">
        <v>275.27999999999997</v>
      </c>
      <c r="T576" t="s">
        <v>4789</v>
      </c>
      <c r="U576">
        <v>1</v>
      </c>
      <c r="V576">
        <v>275.27999999999997</v>
      </c>
      <c r="W576" t="s">
        <v>4343</v>
      </c>
      <c r="Y576" t="b">
        <v>1</v>
      </c>
      <c r="Z576" t="b">
        <v>0</v>
      </c>
      <c r="AA576">
        <v>275.27999999999997</v>
      </c>
      <c r="AB576">
        <v>0</v>
      </c>
      <c r="AD576" t="b">
        <v>0</v>
      </c>
      <c r="AG576" s="1" t="s">
        <v>59</v>
      </c>
      <c r="AH576" s="1" t="s">
        <v>49</v>
      </c>
      <c r="AI576">
        <v>321</v>
      </c>
      <c r="AJ576">
        <v>164</v>
      </c>
      <c r="AK576" s="106">
        <v>45475.635553206019</v>
      </c>
      <c r="AL576" s="1" t="s">
        <v>4790</v>
      </c>
      <c r="AM576" s="42">
        <f>IFERROR(INDEX('Public procurment'!A:R,MATCH(ListOfExpenditure[[#This Row],[Content.contractId]],'Public procurment'!E:E,0),14),0)</f>
        <v>0</v>
      </c>
      <c r="AN576" s="2">
        <f>IF(AND(ListOfExpenditure[[#This Row],[Contract amount]]&gt;10000,ListOfExpenditure[[#This Row],[Content.declaredAmount]]&gt;2000),1,0)</f>
        <v>0</v>
      </c>
      <c r="AO576">
        <f>IFERROR(INDEX('Public procurment'!A:S,MATCH(ListOfExpenditure[[#This Row],[Content.contractId]],'Public procurment'!E:E,0),19),0)</f>
        <v>0</v>
      </c>
      <c r="AP576">
        <f>IF(ListOfExpenditure[[#This Row],[Numero di volte controllato il contract ]]&gt;0,0,ListOfExpenditure[[#This Row],[IF public procurment &gt;10000;1;0]])</f>
        <v>0</v>
      </c>
    </row>
    <row r="577" spans="1:42" x14ac:dyDescent="0.25">
      <c r="A577">
        <v>1976</v>
      </c>
      <c r="B577">
        <v>6</v>
      </c>
      <c r="E577" t="s">
        <v>4786</v>
      </c>
      <c r="F577" t="b">
        <v>0</v>
      </c>
      <c r="I577" t="s">
        <v>6297</v>
      </c>
      <c r="K577" t="s">
        <v>6288</v>
      </c>
      <c r="L577" t="s">
        <v>6288</v>
      </c>
      <c r="M577" t="s">
        <v>4788</v>
      </c>
      <c r="N577" t="s">
        <v>4788</v>
      </c>
      <c r="O577">
        <v>260.48</v>
      </c>
      <c r="Q577">
        <v>0</v>
      </c>
      <c r="R577">
        <v>0</v>
      </c>
      <c r="S577">
        <v>260.48</v>
      </c>
      <c r="T577" t="s">
        <v>4789</v>
      </c>
      <c r="U577">
        <v>1</v>
      </c>
      <c r="V577">
        <v>260.48</v>
      </c>
      <c r="W577" t="s">
        <v>4343</v>
      </c>
      <c r="Y577" t="b">
        <v>0</v>
      </c>
      <c r="Z577" t="b">
        <v>0</v>
      </c>
      <c r="AA577">
        <v>260.48</v>
      </c>
      <c r="AB577">
        <v>0</v>
      </c>
      <c r="AD577" t="b">
        <v>0</v>
      </c>
      <c r="AG577" s="1" t="s">
        <v>59</v>
      </c>
      <c r="AH577" s="1" t="s">
        <v>49</v>
      </c>
      <c r="AI577">
        <v>321</v>
      </c>
      <c r="AJ577">
        <v>164</v>
      </c>
      <c r="AK577" s="106">
        <v>45475.635553206019</v>
      </c>
      <c r="AL577" s="1" t="s">
        <v>4790</v>
      </c>
      <c r="AM577" s="42">
        <f>IFERROR(INDEX('Public procurment'!A:R,MATCH(ListOfExpenditure[[#This Row],[Content.contractId]],'Public procurment'!E:E,0),14),0)</f>
        <v>0</v>
      </c>
      <c r="AN577" s="2">
        <f>IF(AND(ListOfExpenditure[[#This Row],[Contract amount]]&gt;10000,ListOfExpenditure[[#This Row],[Content.declaredAmount]]&gt;2000),1,0)</f>
        <v>0</v>
      </c>
      <c r="AO577">
        <f>IFERROR(INDEX('Public procurment'!A:S,MATCH(ListOfExpenditure[[#This Row],[Content.contractId]],'Public procurment'!E:E,0),19),0)</f>
        <v>0</v>
      </c>
      <c r="AP577">
        <f>IF(ListOfExpenditure[[#This Row],[Numero di volte controllato il contract ]]&gt;0,0,ListOfExpenditure[[#This Row],[IF public procurment &gt;10000;1;0]])</f>
        <v>0</v>
      </c>
    </row>
    <row r="578" spans="1:42" x14ac:dyDescent="0.25">
      <c r="A578">
        <v>1977</v>
      </c>
      <c r="B578">
        <v>7</v>
      </c>
      <c r="E578" t="s">
        <v>4786</v>
      </c>
      <c r="F578" t="b">
        <v>0</v>
      </c>
      <c r="I578" t="s">
        <v>6298</v>
      </c>
      <c r="K578" t="s">
        <v>5040</v>
      </c>
      <c r="L578" t="s">
        <v>5040</v>
      </c>
      <c r="M578" t="s">
        <v>4788</v>
      </c>
      <c r="N578" t="s">
        <v>4788</v>
      </c>
      <c r="O578">
        <v>263.64</v>
      </c>
      <c r="Q578">
        <v>0</v>
      </c>
      <c r="R578">
        <v>0</v>
      </c>
      <c r="S578">
        <v>263.64</v>
      </c>
      <c r="T578" t="s">
        <v>4789</v>
      </c>
      <c r="U578">
        <v>1</v>
      </c>
      <c r="V578">
        <v>263.64</v>
      </c>
      <c r="W578" t="s">
        <v>4343</v>
      </c>
      <c r="Y578" t="b">
        <v>1</v>
      </c>
      <c r="Z578" t="b">
        <v>0</v>
      </c>
      <c r="AA578">
        <v>263.64</v>
      </c>
      <c r="AB578">
        <v>0</v>
      </c>
      <c r="AD578" t="b">
        <v>0</v>
      </c>
      <c r="AG578" s="1" t="s">
        <v>59</v>
      </c>
      <c r="AH578" s="1" t="s">
        <v>49</v>
      </c>
      <c r="AI578">
        <v>321</v>
      </c>
      <c r="AJ578">
        <v>164</v>
      </c>
      <c r="AK578" s="106">
        <v>45475.635553206019</v>
      </c>
      <c r="AL578" s="1" t="s">
        <v>4790</v>
      </c>
      <c r="AM578" s="42">
        <f>IFERROR(INDEX('Public procurment'!A:R,MATCH(ListOfExpenditure[[#This Row],[Content.contractId]],'Public procurment'!E:E,0),14),0)</f>
        <v>0</v>
      </c>
      <c r="AN578" s="2">
        <f>IF(AND(ListOfExpenditure[[#This Row],[Contract amount]]&gt;10000,ListOfExpenditure[[#This Row],[Content.declaredAmount]]&gt;2000),1,0)</f>
        <v>0</v>
      </c>
      <c r="AO578">
        <f>IFERROR(INDEX('Public procurment'!A:S,MATCH(ListOfExpenditure[[#This Row],[Content.contractId]],'Public procurment'!E:E,0),19),0)</f>
        <v>0</v>
      </c>
      <c r="AP578">
        <f>IF(ListOfExpenditure[[#This Row],[Numero di volte controllato il contract ]]&gt;0,0,ListOfExpenditure[[#This Row],[IF public procurment &gt;10000;1;0]])</f>
        <v>0</v>
      </c>
    </row>
    <row r="579" spans="1:42" x14ac:dyDescent="0.25">
      <c r="A579">
        <v>1978</v>
      </c>
      <c r="B579">
        <v>8</v>
      </c>
      <c r="E579" t="s">
        <v>4786</v>
      </c>
      <c r="F579" t="b">
        <v>0</v>
      </c>
      <c r="I579" t="s">
        <v>6299</v>
      </c>
      <c r="K579" t="s">
        <v>5247</v>
      </c>
      <c r="L579" t="s">
        <v>5247</v>
      </c>
      <c r="M579" t="s">
        <v>4788</v>
      </c>
      <c r="N579" t="s">
        <v>4788</v>
      </c>
      <c r="O579">
        <v>245.09</v>
      </c>
      <c r="Q579">
        <v>0</v>
      </c>
      <c r="R579">
        <v>0</v>
      </c>
      <c r="S579">
        <v>245.09</v>
      </c>
      <c r="T579" t="s">
        <v>4789</v>
      </c>
      <c r="U579">
        <v>1</v>
      </c>
      <c r="V579">
        <v>245.09</v>
      </c>
      <c r="W579" t="s">
        <v>4343</v>
      </c>
      <c r="Y579" t="b">
        <v>0</v>
      </c>
      <c r="Z579" t="b">
        <v>0</v>
      </c>
      <c r="AA579">
        <v>245.09</v>
      </c>
      <c r="AB579">
        <v>0</v>
      </c>
      <c r="AD579" t="b">
        <v>0</v>
      </c>
      <c r="AG579" s="1" t="s">
        <v>59</v>
      </c>
      <c r="AH579" s="1" t="s">
        <v>49</v>
      </c>
      <c r="AI579">
        <v>321</v>
      </c>
      <c r="AJ579">
        <v>164</v>
      </c>
      <c r="AK579" s="106">
        <v>45475.635553206019</v>
      </c>
      <c r="AL579" s="1" t="s">
        <v>4790</v>
      </c>
      <c r="AM579" s="42">
        <f>IFERROR(INDEX('Public procurment'!A:R,MATCH(ListOfExpenditure[[#This Row],[Content.contractId]],'Public procurment'!E:E,0),14),0)</f>
        <v>0</v>
      </c>
      <c r="AN579" s="2">
        <f>IF(AND(ListOfExpenditure[[#This Row],[Contract amount]]&gt;10000,ListOfExpenditure[[#This Row],[Content.declaredAmount]]&gt;2000),1,0)</f>
        <v>0</v>
      </c>
      <c r="AO579">
        <f>IFERROR(INDEX('Public procurment'!A:S,MATCH(ListOfExpenditure[[#This Row],[Content.contractId]],'Public procurment'!E:E,0),19),0)</f>
        <v>0</v>
      </c>
      <c r="AP579">
        <f>IF(ListOfExpenditure[[#This Row],[Numero di volte controllato il contract ]]&gt;0,0,ListOfExpenditure[[#This Row],[IF public procurment &gt;10000;1;0]])</f>
        <v>0</v>
      </c>
    </row>
    <row r="580" spans="1:42" x14ac:dyDescent="0.25">
      <c r="A580">
        <v>1979</v>
      </c>
      <c r="B580">
        <v>9</v>
      </c>
      <c r="E580" t="s">
        <v>4786</v>
      </c>
      <c r="F580" t="b">
        <v>0</v>
      </c>
      <c r="I580" t="s">
        <v>6300</v>
      </c>
      <c r="K580" t="s">
        <v>6293</v>
      </c>
      <c r="L580" t="s">
        <v>6293</v>
      </c>
      <c r="M580" t="s">
        <v>4788</v>
      </c>
      <c r="N580" t="s">
        <v>4788</v>
      </c>
      <c r="O580">
        <v>243.09</v>
      </c>
      <c r="Q580">
        <v>0</v>
      </c>
      <c r="R580">
        <v>0</v>
      </c>
      <c r="S580">
        <v>243.09</v>
      </c>
      <c r="T580" t="s">
        <v>4789</v>
      </c>
      <c r="U580">
        <v>1</v>
      </c>
      <c r="V580">
        <v>243.09</v>
      </c>
      <c r="W580" t="s">
        <v>4343</v>
      </c>
      <c r="Y580" t="b">
        <v>0</v>
      </c>
      <c r="Z580" t="b">
        <v>0</v>
      </c>
      <c r="AA580">
        <v>243.09</v>
      </c>
      <c r="AB580">
        <v>0</v>
      </c>
      <c r="AD580" t="b">
        <v>0</v>
      </c>
      <c r="AG580" s="1" t="s">
        <v>59</v>
      </c>
      <c r="AH580" s="1" t="s">
        <v>49</v>
      </c>
      <c r="AI580">
        <v>321</v>
      </c>
      <c r="AJ580">
        <v>164</v>
      </c>
      <c r="AK580" s="106">
        <v>45475.635553206019</v>
      </c>
      <c r="AL580" s="1" t="s">
        <v>4790</v>
      </c>
      <c r="AM580" s="42">
        <f>IFERROR(INDEX('Public procurment'!A:R,MATCH(ListOfExpenditure[[#This Row],[Content.contractId]],'Public procurment'!E:E,0),14),0)</f>
        <v>0</v>
      </c>
      <c r="AN580" s="2">
        <f>IF(AND(ListOfExpenditure[[#This Row],[Contract amount]]&gt;10000,ListOfExpenditure[[#This Row],[Content.declaredAmount]]&gt;2000),1,0)</f>
        <v>0</v>
      </c>
      <c r="AO580">
        <f>IFERROR(INDEX('Public procurment'!A:S,MATCH(ListOfExpenditure[[#This Row],[Content.contractId]],'Public procurment'!E:E,0),19),0)</f>
        <v>0</v>
      </c>
      <c r="AP580">
        <f>IF(ListOfExpenditure[[#This Row],[Numero di volte controllato il contract ]]&gt;0,0,ListOfExpenditure[[#This Row],[IF public procurment &gt;10000;1;0]])</f>
        <v>0</v>
      </c>
    </row>
    <row r="581" spans="1:42" x14ac:dyDescent="0.25">
      <c r="A581">
        <v>1980</v>
      </c>
      <c r="B581">
        <v>10</v>
      </c>
      <c r="E581" t="s">
        <v>4786</v>
      </c>
      <c r="F581" t="b">
        <v>0</v>
      </c>
      <c r="I581" t="s">
        <v>6301</v>
      </c>
      <c r="K581" t="s">
        <v>6296</v>
      </c>
      <c r="L581" t="s">
        <v>6296</v>
      </c>
      <c r="M581" t="s">
        <v>4788</v>
      </c>
      <c r="N581" t="s">
        <v>4788</v>
      </c>
      <c r="O581">
        <v>246.58</v>
      </c>
      <c r="Q581">
        <v>0</v>
      </c>
      <c r="R581">
        <v>0</v>
      </c>
      <c r="S581">
        <v>246.58</v>
      </c>
      <c r="T581" t="s">
        <v>4789</v>
      </c>
      <c r="U581">
        <v>1</v>
      </c>
      <c r="V581">
        <v>246.58</v>
      </c>
      <c r="W581" t="s">
        <v>4343</v>
      </c>
      <c r="Y581" t="b">
        <v>0</v>
      </c>
      <c r="Z581" t="b">
        <v>0</v>
      </c>
      <c r="AA581">
        <v>246.58</v>
      </c>
      <c r="AB581">
        <v>0</v>
      </c>
      <c r="AD581" t="b">
        <v>0</v>
      </c>
      <c r="AG581" s="1" t="s">
        <v>59</v>
      </c>
      <c r="AH581" s="1" t="s">
        <v>49</v>
      </c>
      <c r="AI581">
        <v>321</v>
      </c>
      <c r="AJ581">
        <v>164</v>
      </c>
      <c r="AK581" s="106">
        <v>45475.635553206019</v>
      </c>
      <c r="AL581" s="1" t="s">
        <v>4790</v>
      </c>
      <c r="AM581" s="42">
        <f>IFERROR(INDEX('Public procurment'!A:R,MATCH(ListOfExpenditure[[#This Row],[Content.contractId]],'Public procurment'!E:E,0),14),0)</f>
        <v>0</v>
      </c>
      <c r="AN581" s="2">
        <f>IF(AND(ListOfExpenditure[[#This Row],[Contract amount]]&gt;10000,ListOfExpenditure[[#This Row],[Content.declaredAmount]]&gt;2000),1,0)</f>
        <v>0</v>
      </c>
      <c r="AO581">
        <f>IFERROR(INDEX('Public procurment'!A:S,MATCH(ListOfExpenditure[[#This Row],[Content.contractId]],'Public procurment'!E:E,0),19),0)</f>
        <v>0</v>
      </c>
      <c r="AP581">
        <f>IF(ListOfExpenditure[[#This Row],[Numero di volte controllato il contract ]]&gt;0,0,ListOfExpenditure[[#This Row],[IF public procurment &gt;10000;1;0]])</f>
        <v>0</v>
      </c>
    </row>
    <row r="582" spans="1:42" x14ac:dyDescent="0.25">
      <c r="A582">
        <v>1981</v>
      </c>
      <c r="B582">
        <v>11</v>
      </c>
      <c r="E582" t="s">
        <v>4786</v>
      </c>
      <c r="F582" t="b">
        <v>0</v>
      </c>
      <c r="I582" t="s">
        <v>6302</v>
      </c>
      <c r="K582" t="s">
        <v>6288</v>
      </c>
      <c r="L582" t="s">
        <v>6288</v>
      </c>
      <c r="M582" t="s">
        <v>4788</v>
      </c>
      <c r="N582" t="s">
        <v>4788</v>
      </c>
      <c r="O582">
        <v>235.8</v>
      </c>
      <c r="Q582">
        <v>0</v>
      </c>
      <c r="R582">
        <v>0</v>
      </c>
      <c r="S582">
        <v>235.8</v>
      </c>
      <c r="T582" t="s">
        <v>4789</v>
      </c>
      <c r="U582">
        <v>1</v>
      </c>
      <c r="V582">
        <v>235.8</v>
      </c>
      <c r="W582" t="s">
        <v>4343</v>
      </c>
      <c r="Y582" t="b">
        <v>0</v>
      </c>
      <c r="Z582" t="b">
        <v>0</v>
      </c>
      <c r="AA582">
        <v>235.8</v>
      </c>
      <c r="AB582">
        <v>0</v>
      </c>
      <c r="AD582" t="b">
        <v>0</v>
      </c>
      <c r="AG582" s="1" t="s">
        <v>59</v>
      </c>
      <c r="AH582" s="1" t="s">
        <v>49</v>
      </c>
      <c r="AI582">
        <v>321</v>
      </c>
      <c r="AJ582">
        <v>164</v>
      </c>
      <c r="AK582" s="106">
        <v>45475.635553206019</v>
      </c>
      <c r="AL582" s="1" t="s">
        <v>4790</v>
      </c>
      <c r="AM582" s="42">
        <f>IFERROR(INDEX('Public procurment'!A:R,MATCH(ListOfExpenditure[[#This Row],[Content.contractId]],'Public procurment'!E:E,0),14),0)</f>
        <v>0</v>
      </c>
      <c r="AN582" s="2">
        <f>IF(AND(ListOfExpenditure[[#This Row],[Contract amount]]&gt;10000,ListOfExpenditure[[#This Row],[Content.declaredAmount]]&gt;2000),1,0)</f>
        <v>0</v>
      </c>
      <c r="AO582">
        <f>IFERROR(INDEX('Public procurment'!A:S,MATCH(ListOfExpenditure[[#This Row],[Content.contractId]],'Public procurment'!E:E,0),19),0)</f>
        <v>0</v>
      </c>
      <c r="AP582">
        <f>IF(ListOfExpenditure[[#This Row],[Numero di volte controllato il contract ]]&gt;0,0,ListOfExpenditure[[#This Row],[IF public procurment &gt;10000;1;0]])</f>
        <v>0</v>
      </c>
    </row>
    <row r="583" spans="1:42" x14ac:dyDescent="0.25">
      <c r="A583">
        <v>1982</v>
      </c>
      <c r="B583">
        <v>12</v>
      </c>
      <c r="E583" t="s">
        <v>4786</v>
      </c>
      <c r="F583" t="b">
        <v>0</v>
      </c>
      <c r="I583" t="s">
        <v>6303</v>
      </c>
      <c r="K583" t="s">
        <v>5040</v>
      </c>
      <c r="L583" t="s">
        <v>5040</v>
      </c>
      <c r="M583" t="s">
        <v>4788</v>
      </c>
      <c r="N583" t="s">
        <v>4788</v>
      </c>
      <c r="O583">
        <v>238.77</v>
      </c>
      <c r="Q583">
        <v>0</v>
      </c>
      <c r="R583">
        <v>0</v>
      </c>
      <c r="S583">
        <v>238.77</v>
      </c>
      <c r="T583" t="s">
        <v>4789</v>
      </c>
      <c r="U583">
        <v>1</v>
      </c>
      <c r="V583">
        <v>238.77</v>
      </c>
      <c r="W583" t="s">
        <v>4343</v>
      </c>
      <c r="Y583" t="b">
        <v>1</v>
      </c>
      <c r="Z583" t="b">
        <v>0</v>
      </c>
      <c r="AA583">
        <v>238.77</v>
      </c>
      <c r="AB583">
        <v>0</v>
      </c>
      <c r="AD583" t="b">
        <v>0</v>
      </c>
      <c r="AG583" s="1" t="s">
        <v>59</v>
      </c>
      <c r="AH583" s="1" t="s">
        <v>49</v>
      </c>
      <c r="AI583">
        <v>321</v>
      </c>
      <c r="AJ583">
        <v>164</v>
      </c>
      <c r="AK583" s="106">
        <v>45475.635553206019</v>
      </c>
      <c r="AL583" s="1" t="s">
        <v>4790</v>
      </c>
      <c r="AM583" s="42">
        <f>IFERROR(INDEX('Public procurment'!A:R,MATCH(ListOfExpenditure[[#This Row],[Content.contractId]],'Public procurment'!E:E,0),14),0)</f>
        <v>0</v>
      </c>
      <c r="AN583" s="2">
        <f>IF(AND(ListOfExpenditure[[#This Row],[Contract amount]]&gt;10000,ListOfExpenditure[[#This Row],[Content.declaredAmount]]&gt;2000),1,0)</f>
        <v>0</v>
      </c>
      <c r="AO583">
        <f>IFERROR(INDEX('Public procurment'!A:S,MATCH(ListOfExpenditure[[#This Row],[Content.contractId]],'Public procurment'!E:E,0),19),0)</f>
        <v>0</v>
      </c>
      <c r="AP583">
        <f>IF(ListOfExpenditure[[#This Row],[Numero di volte controllato il contract ]]&gt;0,0,ListOfExpenditure[[#This Row],[IF public procurment &gt;10000;1;0]])</f>
        <v>0</v>
      </c>
    </row>
    <row r="584" spans="1:42" x14ac:dyDescent="0.25">
      <c r="A584">
        <v>1983</v>
      </c>
      <c r="B584">
        <v>13</v>
      </c>
      <c r="E584" t="s">
        <v>4786</v>
      </c>
      <c r="F584" t="b">
        <v>0</v>
      </c>
      <c r="I584" t="s">
        <v>6304</v>
      </c>
      <c r="K584" t="s">
        <v>5247</v>
      </c>
      <c r="L584" t="s">
        <v>5247</v>
      </c>
      <c r="M584" t="s">
        <v>4788</v>
      </c>
      <c r="N584" t="s">
        <v>4788</v>
      </c>
      <c r="O584">
        <v>232.93</v>
      </c>
      <c r="Q584">
        <v>0</v>
      </c>
      <c r="R584">
        <v>0</v>
      </c>
      <c r="S584">
        <v>232.93</v>
      </c>
      <c r="T584" t="s">
        <v>4789</v>
      </c>
      <c r="U584">
        <v>1</v>
      </c>
      <c r="V584">
        <v>232.93</v>
      </c>
      <c r="W584" t="s">
        <v>4343</v>
      </c>
      <c r="Y584" t="b">
        <v>0</v>
      </c>
      <c r="Z584" t="b">
        <v>0</v>
      </c>
      <c r="AA584">
        <v>232.93</v>
      </c>
      <c r="AB584">
        <v>0</v>
      </c>
      <c r="AD584" t="b">
        <v>0</v>
      </c>
      <c r="AG584" s="1" t="s">
        <v>59</v>
      </c>
      <c r="AH584" s="1" t="s">
        <v>49</v>
      </c>
      <c r="AI584">
        <v>321</v>
      </c>
      <c r="AJ584">
        <v>164</v>
      </c>
      <c r="AK584" s="106">
        <v>45475.635553206019</v>
      </c>
      <c r="AL584" s="1" t="s">
        <v>4790</v>
      </c>
      <c r="AM584" s="42">
        <f>IFERROR(INDEX('Public procurment'!A:R,MATCH(ListOfExpenditure[[#This Row],[Content.contractId]],'Public procurment'!E:E,0),14),0)</f>
        <v>0</v>
      </c>
      <c r="AN584" s="2">
        <f>IF(AND(ListOfExpenditure[[#This Row],[Contract amount]]&gt;10000,ListOfExpenditure[[#This Row],[Content.declaredAmount]]&gt;2000),1,0)</f>
        <v>0</v>
      </c>
      <c r="AO584">
        <f>IFERROR(INDEX('Public procurment'!A:S,MATCH(ListOfExpenditure[[#This Row],[Content.contractId]],'Public procurment'!E:E,0),19),0)</f>
        <v>0</v>
      </c>
      <c r="AP584">
        <f>IF(ListOfExpenditure[[#This Row],[Numero di volte controllato il contract ]]&gt;0,0,ListOfExpenditure[[#This Row],[IF public procurment &gt;10000;1;0]])</f>
        <v>0</v>
      </c>
    </row>
    <row r="585" spans="1:42" x14ac:dyDescent="0.25">
      <c r="A585">
        <v>1984</v>
      </c>
      <c r="B585">
        <v>14</v>
      </c>
      <c r="E585" t="s">
        <v>4786</v>
      </c>
      <c r="F585" t="b">
        <v>0</v>
      </c>
      <c r="I585" t="s">
        <v>6305</v>
      </c>
      <c r="K585" t="s">
        <v>6293</v>
      </c>
      <c r="L585" t="s">
        <v>6293</v>
      </c>
      <c r="M585" t="s">
        <v>4788</v>
      </c>
      <c r="N585" t="s">
        <v>4788</v>
      </c>
      <c r="O585">
        <v>234.58</v>
      </c>
      <c r="Q585">
        <v>0</v>
      </c>
      <c r="R585">
        <v>0</v>
      </c>
      <c r="S585">
        <v>234.58</v>
      </c>
      <c r="T585" t="s">
        <v>4789</v>
      </c>
      <c r="U585">
        <v>1</v>
      </c>
      <c r="V585">
        <v>234.58</v>
      </c>
      <c r="W585" t="s">
        <v>4343</v>
      </c>
      <c r="Y585" t="b">
        <v>0</v>
      </c>
      <c r="Z585" t="b">
        <v>0</v>
      </c>
      <c r="AA585">
        <v>234.58</v>
      </c>
      <c r="AB585">
        <v>0</v>
      </c>
      <c r="AD585" t="b">
        <v>0</v>
      </c>
      <c r="AG585" s="1" t="s">
        <v>59</v>
      </c>
      <c r="AH585" s="1" t="s">
        <v>49</v>
      </c>
      <c r="AI585">
        <v>321</v>
      </c>
      <c r="AJ585">
        <v>164</v>
      </c>
      <c r="AK585" s="106">
        <v>45475.635553206019</v>
      </c>
      <c r="AL585" s="1" t="s">
        <v>4790</v>
      </c>
      <c r="AM585" s="42">
        <f>IFERROR(INDEX('Public procurment'!A:R,MATCH(ListOfExpenditure[[#This Row],[Content.contractId]],'Public procurment'!E:E,0),14),0)</f>
        <v>0</v>
      </c>
      <c r="AN585" s="2">
        <f>IF(AND(ListOfExpenditure[[#This Row],[Contract amount]]&gt;10000,ListOfExpenditure[[#This Row],[Content.declaredAmount]]&gt;2000),1,0)</f>
        <v>0</v>
      </c>
      <c r="AO585">
        <f>IFERROR(INDEX('Public procurment'!A:S,MATCH(ListOfExpenditure[[#This Row],[Content.contractId]],'Public procurment'!E:E,0),19),0)</f>
        <v>0</v>
      </c>
      <c r="AP585">
        <f>IF(ListOfExpenditure[[#This Row],[Numero di volte controllato il contract ]]&gt;0,0,ListOfExpenditure[[#This Row],[IF public procurment &gt;10000;1;0]])</f>
        <v>0</v>
      </c>
    </row>
    <row r="586" spans="1:42" x14ac:dyDescent="0.25">
      <c r="A586">
        <v>1985</v>
      </c>
      <c r="B586">
        <v>15</v>
      </c>
      <c r="E586" t="s">
        <v>4786</v>
      </c>
      <c r="F586" t="b">
        <v>0</v>
      </c>
      <c r="I586" t="s">
        <v>6306</v>
      </c>
      <c r="K586" t="s">
        <v>6296</v>
      </c>
      <c r="L586" t="s">
        <v>6296</v>
      </c>
      <c r="M586" t="s">
        <v>4788</v>
      </c>
      <c r="N586" t="s">
        <v>4788</v>
      </c>
      <c r="O586">
        <v>220.79</v>
      </c>
      <c r="Q586">
        <v>0</v>
      </c>
      <c r="R586">
        <v>0</v>
      </c>
      <c r="S586">
        <v>220.79</v>
      </c>
      <c r="T586" t="s">
        <v>4789</v>
      </c>
      <c r="U586">
        <v>1</v>
      </c>
      <c r="V586">
        <v>220.79</v>
      </c>
      <c r="W586" t="s">
        <v>4343</v>
      </c>
      <c r="Y586" t="b">
        <v>0</v>
      </c>
      <c r="Z586" t="b">
        <v>0</v>
      </c>
      <c r="AA586">
        <v>220.79</v>
      </c>
      <c r="AB586">
        <v>0</v>
      </c>
      <c r="AD586" t="b">
        <v>0</v>
      </c>
      <c r="AG586" s="1" t="s">
        <v>59</v>
      </c>
      <c r="AH586" s="1" t="s">
        <v>49</v>
      </c>
      <c r="AI586">
        <v>321</v>
      </c>
      <c r="AJ586">
        <v>164</v>
      </c>
      <c r="AK586" s="106">
        <v>45475.635553206019</v>
      </c>
      <c r="AL586" s="1" t="s">
        <v>4790</v>
      </c>
      <c r="AM586" s="42">
        <f>IFERROR(INDEX('Public procurment'!A:R,MATCH(ListOfExpenditure[[#This Row],[Content.contractId]],'Public procurment'!E:E,0),14),0)</f>
        <v>0</v>
      </c>
      <c r="AN586" s="2">
        <f>IF(AND(ListOfExpenditure[[#This Row],[Contract amount]]&gt;10000,ListOfExpenditure[[#This Row],[Content.declaredAmount]]&gt;2000),1,0)</f>
        <v>0</v>
      </c>
      <c r="AO586">
        <f>IFERROR(INDEX('Public procurment'!A:S,MATCH(ListOfExpenditure[[#This Row],[Content.contractId]],'Public procurment'!E:E,0),19),0)</f>
        <v>0</v>
      </c>
      <c r="AP586">
        <f>IF(ListOfExpenditure[[#This Row],[Numero di volte controllato il contract ]]&gt;0,0,ListOfExpenditure[[#This Row],[IF public procurment &gt;10000;1;0]])</f>
        <v>0</v>
      </c>
    </row>
    <row r="587" spans="1:42" x14ac:dyDescent="0.25">
      <c r="A587">
        <v>1986</v>
      </c>
      <c r="B587">
        <v>16</v>
      </c>
      <c r="E587" t="s">
        <v>4786</v>
      </c>
      <c r="F587" t="b">
        <v>0</v>
      </c>
      <c r="I587" t="s">
        <v>6307</v>
      </c>
      <c r="K587" t="s">
        <v>6288</v>
      </c>
      <c r="L587" t="s">
        <v>6288</v>
      </c>
      <c r="M587" t="s">
        <v>4788</v>
      </c>
      <c r="N587" t="s">
        <v>4788</v>
      </c>
      <c r="O587">
        <v>375.07</v>
      </c>
      <c r="Q587">
        <v>0</v>
      </c>
      <c r="R587">
        <v>0</v>
      </c>
      <c r="S587">
        <v>375.07</v>
      </c>
      <c r="T587" t="s">
        <v>4789</v>
      </c>
      <c r="U587">
        <v>1</v>
      </c>
      <c r="V587">
        <v>375.07</v>
      </c>
      <c r="W587" t="s">
        <v>4343</v>
      </c>
      <c r="Y587" t="b">
        <v>0</v>
      </c>
      <c r="Z587" t="b">
        <v>0</v>
      </c>
      <c r="AA587">
        <v>375.07</v>
      </c>
      <c r="AB587">
        <v>0</v>
      </c>
      <c r="AD587" t="b">
        <v>0</v>
      </c>
      <c r="AG587" s="1" t="s">
        <v>59</v>
      </c>
      <c r="AH587" s="1" t="s">
        <v>49</v>
      </c>
      <c r="AI587">
        <v>321</v>
      </c>
      <c r="AJ587">
        <v>164</v>
      </c>
      <c r="AK587" s="106">
        <v>45475.635553206019</v>
      </c>
      <c r="AL587" s="1" t="s">
        <v>4790</v>
      </c>
      <c r="AM587" s="42">
        <f>IFERROR(INDEX('Public procurment'!A:R,MATCH(ListOfExpenditure[[#This Row],[Content.contractId]],'Public procurment'!E:E,0),14),0)</f>
        <v>0</v>
      </c>
      <c r="AN587" s="2">
        <f>IF(AND(ListOfExpenditure[[#This Row],[Contract amount]]&gt;10000,ListOfExpenditure[[#This Row],[Content.declaredAmount]]&gt;2000),1,0)</f>
        <v>0</v>
      </c>
      <c r="AO587">
        <f>IFERROR(INDEX('Public procurment'!A:S,MATCH(ListOfExpenditure[[#This Row],[Content.contractId]],'Public procurment'!E:E,0),19),0)</f>
        <v>0</v>
      </c>
      <c r="AP587">
        <f>IF(ListOfExpenditure[[#This Row],[Numero di volte controllato il contract ]]&gt;0,0,ListOfExpenditure[[#This Row],[IF public procurment &gt;10000;1;0]])</f>
        <v>0</v>
      </c>
    </row>
    <row r="588" spans="1:42" x14ac:dyDescent="0.25">
      <c r="A588">
        <v>1989</v>
      </c>
      <c r="B588">
        <v>17</v>
      </c>
      <c r="E588" t="s">
        <v>4786</v>
      </c>
      <c r="F588" t="b">
        <v>0</v>
      </c>
      <c r="I588" t="s">
        <v>6308</v>
      </c>
      <c r="K588" t="s">
        <v>5040</v>
      </c>
      <c r="L588" t="s">
        <v>5040</v>
      </c>
      <c r="M588" t="s">
        <v>4788</v>
      </c>
      <c r="N588" t="s">
        <v>4788</v>
      </c>
      <c r="O588">
        <v>386.11</v>
      </c>
      <c r="Q588">
        <v>0</v>
      </c>
      <c r="R588">
        <v>0</v>
      </c>
      <c r="S588">
        <v>386.11</v>
      </c>
      <c r="T588" t="s">
        <v>4789</v>
      </c>
      <c r="U588">
        <v>1</v>
      </c>
      <c r="V588">
        <v>386.11</v>
      </c>
      <c r="W588" t="s">
        <v>4343</v>
      </c>
      <c r="Y588" t="b">
        <v>1</v>
      </c>
      <c r="Z588" t="b">
        <v>0</v>
      </c>
      <c r="AA588">
        <v>386.11</v>
      </c>
      <c r="AB588">
        <v>0</v>
      </c>
      <c r="AD588" t="b">
        <v>0</v>
      </c>
      <c r="AG588" s="1" t="s">
        <v>59</v>
      </c>
      <c r="AH588" s="1" t="s">
        <v>49</v>
      </c>
      <c r="AI588">
        <v>321</v>
      </c>
      <c r="AJ588">
        <v>164</v>
      </c>
      <c r="AK588" s="106">
        <v>45475.635553206019</v>
      </c>
      <c r="AL588" s="1" t="s">
        <v>4790</v>
      </c>
      <c r="AM588" s="42">
        <f>IFERROR(INDEX('Public procurment'!A:R,MATCH(ListOfExpenditure[[#This Row],[Content.contractId]],'Public procurment'!E:E,0),14),0)</f>
        <v>0</v>
      </c>
      <c r="AN588" s="2">
        <f>IF(AND(ListOfExpenditure[[#This Row],[Contract amount]]&gt;10000,ListOfExpenditure[[#This Row],[Content.declaredAmount]]&gt;2000),1,0)</f>
        <v>0</v>
      </c>
      <c r="AO588">
        <f>IFERROR(INDEX('Public procurment'!A:S,MATCH(ListOfExpenditure[[#This Row],[Content.contractId]],'Public procurment'!E:E,0),19),0)</f>
        <v>0</v>
      </c>
      <c r="AP588">
        <f>IF(ListOfExpenditure[[#This Row],[Numero di volte controllato il contract ]]&gt;0,0,ListOfExpenditure[[#This Row],[IF public procurment &gt;10000;1;0]])</f>
        <v>0</v>
      </c>
    </row>
    <row r="589" spans="1:42" x14ac:dyDescent="0.25">
      <c r="A589">
        <v>1990</v>
      </c>
      <c r="B589">
        <v>18</v>
      </c>
      <c r="E589" t="s">
        <v>4786</v>
      </c>
      <c r="F589" t="b">
        <v>0</v>
      </c>
      <c r="I589" t="s">
        <v>6309</v>
      </c>
      <c r="K589" t="s">
        <v>5247</v>
      </c>
      <c r="L589" t="s">
        <v>5247</v>
      </c>
      <c r="M589" t="s">
        <v>4788</v>
      </c>
      <c r="N589" t="s">
        <v>4788</v>
      </c>
      <c r="O589">
        <v>381.59</v>
      </c>
      <c r="Q589">
        <v>0</v>
      </c>
      <c r="R589">
        <v>0</v>
      </c>
      <c r="S589">
        <v>381.59</v>
      </c>
      <c r="T589" t="s">
        <v>4789</v>
      </c>
      <c r="U589">
        <v>1</v>
      </c>
      <c r="V589">
        <v>381.59</v>
      </c>
      <c r="W589" t="s">
        <v>4343</v>
      </c>
      <c r="Y589" t="b">
        <v>0</v>
      </c>
      <c r="Z589" t="b">
        <v>0</v>
      </c>
      <c r="AA589">
        <v>381.59</v>
      </c>
      <c r="AB589">
        <v>0</v>
      </c>
      <c r="AD589" t="b">
        <v>0</v>
      </c>
      <c r="AG589" s="1" t="s">
        <v>59</v>
      </c>
      <c r="AH589" s="1" t="s">
        <v>49</v>
      </c>
      <c r="AI589">
        <v>321</v>
      </c>
      <c r="AJ589">
        <v>164</v>
      </c>
      <c r="AK589" s="106">
        <v>45475.635553206019</v>
      </c>
      <c r="AL589" s="1" t="s">
        <v>4790</v>
      </c>
      <c r="AM589" s="42">
        <f>IFERROR(INDEX('Public procurment'!A:R,MATCH(ListOfExpenditure[[#This Row],[Content.contractId]],'Public procurment'!E:E,0),14),0)</f>
        <v>0</v>
      </c>
      <c r="AN589" s="2">
        <f>IF(AND(ListOfExpenditure[[#This Row],[Contract amount]]&gt;10000,ListOfExpenditure[[#This Row],[Content.declaredAmount]]&gt;2000),1,0)</f>
        <v>0</v>
      </c>
      <c r="AO589">
        <f>IFERROR(INDEX('Public procurment'!A:S,MATCH(ListOfExpenditure[[#This Row],[Content.contractId]],'Public procurment'!E:E,0),19),0)</f>
        <v>0</v>
      </c>
      <c r="AP589">
        <f>IF(ListOfExpenditure[[#This Row],[Numero di volte controllato il contract ]]&gt;0,0,ListOfExpenditure[[#This Row],[IF public procurment &gt;10000;1;0]])</f>
        <v>0</v>
      </c>
    </row>
    <row r="590" spans="1:42" x14ac:dyDescent="0.25">
      <c r="A590">
        <v>1992</v>
      </c>
      <c r="B590">
        <v>19</v>
      </c>
      <c r="E590" t="s">
        <v>4786</v>
      </c>
      <c r="F590" t="b">
        <v>0</v>
      </c>
      <c r="I590" t="s">
        <v>6310</v>
      </c>
      <c r="K590" t="s">
        <v>6293</v>
      </c>
      <c r="L590" t="s">
        <v>6293</v>
      </c>
      <c r="M590" t="s">
        <v>4788</v>
      </c>
      <c r="N590" t="s">
        <v>4788</v>
      </c>
      <c r="O590">
        <v>385.25</v>
      </c>
      <c r="Q590">
        <v>0</v>
      </c>
      <c r="R590">
        <v>0</v>
      </c>
      <c r="S590">
        <v>385.25</v>
      </c>
      <c r="T590" t="s">
        <v>4789</v>
      </c>
      <c r="U590">
        <v>1</v>
      </c>
      <c r="V590">
        <v>385.25</v>
      </c>
      <c r="W590" t="s">
        <v>4343</v>
      </c>
      <c r="Y590" t="b">
        <v>0</v>
      </c>
      <c r="Z590" t="b">
        <v>0</v>
      </c>
      <c r="AA590">
        <v>385.25</v>
      </c>
      <c r="AB590">
        <v>0</v>
      </c>
      <c r="AD590" t="b">
        <v>0</v>
      </c>
      <c r="AG590" s="1" t="s">
        <v>59</v>
      </c>
      <c r="AH590" s="1" t="s">
        <v>49</v>
      </c>
      <c r="AI590">
        <v>321</v>
      </c>
      <c r="AJ590">
        <v>164</v>
      </c>
      <c r="AK590" s="106">
        <v>45475.635553206019</v>
      </c>
      <c r="AL590" s="1" t="s">
        <v>4790</v>
      </c>
      <c r="AM590" s="42">
        <f>IFERROR(INDEX('Public procurment'!A:R,MATCH(ListOfExpenditure[[#This Row],[Content.contractId]],'Public procurment'!E:E,0),14),0)</f>
        <v>0</v>
      </c>
      <c r="AN590" s="2">
        <f>IF(AND(ListOfExpenditure[[#This Row],[Contract amount]]&gt;10000,ListOfExpenditure[[#This Row],[Content.declaredAmount]]&gt;2000),1,0)</f>
        <v>0</v>
      </c>
      <c r="AO590">
        <f>IFERROR(INDEX('Public procurment'!A:S,MATCH(ListOfExpenditure[[#This Row],[Content.contractId]],'Public procurment'!E:E,0),19),0)</f>
        <v>0</v>
      </c>
      <c r="AP590">
        <f>IF(ListOfExpenditure[[#This Row],[Numero di volte controllato il contract ]]&gt;0,0,ListOfExpenditure[[#This Row],[IF public procurment &gt;10000;1;0]])</f>
        <v>0</v>
      </c>
    </row>
    <row r="591" spans="1:42" x14ac:dyDescent="0.25">
      <c r="A591">
        <v>1994</v>
      </c>
      <c r="B591">
        <v>20</v>
      </c>
      <c r="E591" t="s">
        <v>4786</v>
      </c>
      <c r="F591" t="b">
        <v>0</v>
      </c>
      <c r="I591" t="s">
        <v>6311</v>
      </c>
      <c r="K591" t="s">
        <v>6296</v>
      </c>
      <c r="L591" t="s">
        <v>6312</v>
      </c>
      <c r="M591" t="s">
        <v>4788</v>
      </c>
      <c r="N591" t="s">
        <v>4788</v>
      </c>
      <c r="O591">
        <v>377.08</v>
      </c>
      <c r="Q591">
        <v>0</v>
      </c>
      <c r="R591">
        <v>0</v>
      </c>
      <c r="S591">
        <v>377.08</v>
      </c>
      <c r="T591" t="s">
        <v>4789</v>
      </c>
      <c r="U591">
        <v>1</v>
      </c>
      <c r="V591">
        <v>377.08</v>
      </c>
      <c r="W591" t="s">
        <v>4343</v>
      </c>
      <c r="Y591" t="b">
        <v>0</v>
      </c>
      <c r="Z591" t="b">
        <v>0</v>
      </c>
      <c r="AA591">
        <v>377.08</v>
      </c>
      <c r="AB591">
        <v>0</v>
      </c>
      <c r="AD591" t="b">
        <v>0</v>
      </c>
      <c r="AG591" s="1" t="s">
        <v>59</v>
      </c>
      <c r="AH591" s="1" t="s">
        <v>49</v>
      </c>
      <c r="AI591">
        <v>321</v>
      </c>
      <c r="AJ591">
        <v>164</v>
      </c>
      <c r="AK591" s="106">
        <v>45475.635553206019</v>
      </c>
      <c r="AL591" s="1" t="s">
        <v>4790</v>
      </c>
      <c r="AM591" s="42">
        <f>IFERROR(INDEX('Public procurment'!A:R,MATCH(ListOfExpenditure[[#This Row],[Content.contractId]],'Public procurment'!E:E,0),14),0)</f>
        <v>0</v>
      </c>
      <c r="AN591" s="2">
        <f>IF(AND(ListOfExpenditure[[#This Row],[Contract amount]]&gt;10000,ListOfExpenditure[[#This Row],[Content.declaredAmount]]&gt;2000),1,0)</f>
        <v>0</v>
      </c>
      <c r="AO591">
        <f>IFERROR(INDEX('Public procurment'!A:S,MATCH(ListOfExpenditure[[#This Row],[Content.contractId]],'Public procurment'!E:E,0),19),0)</f>
        <v>0</v>
      </c>
      <c r="AP591">
        <f>IF(ListOfExpenditure[[#This Row],[Numero di volte controllato il contract ]]&gt;0,0,ListOfExpenditure[[#This Row],[IF public procurment &gt;10000;1;0]])</f>
        <v>0</v>
      </c>
    </row>
    <row r="592" spans="1:42" x14ac:dyDescent="0.25">
      <c r="A592">
        <v>1996</v>
      </c>
      <c r="B592">
        <v>21</v>
      </c>
      <c r="E592" t="s">
        <v>4786</v>
      </c>
      <c r="F592" t="b">
        <v>0</v>
      </c>
      <c r="I592" t="s">
        <v>6313</v>
      </c>
      <c r="K592" t="s">
        <v>6288</v>
      </c>
      <c r="L592" t="s">
        <v>6288</v>
      </c>
      <c r="M592" t="s">
        <v>4788</v>
      </c>
      <c r="N592" t="s">
        <v>4788</v>
      </c>
      <c r="O592">
        <v>503.55</v>
      </c>
      <c r="Q592">
        <v>0</v>
      </c>
      <c r="R592">
        <v>0</v>
      </c>
      <c r="S592">
        <v>503.55</v>
      </c>
      <c r="T592" t="s">
        <v>4789</v>
      </c>
      <c r="U592">
        <v>1</v>
      </c>
      <c r="V592">
        <v>503.55</v>
      </c>
      <c r="W592" t="s">
        <v>4343</v>
      </c>
      <c r="Y592" t="b">
        <v>1</v>
      </c>
      <c r="Z592" t="b">
        <v>0</v>
      </c>
      <c r="AA592">
        <v>490.26</v>
      </c>
      <c r="AB592">
        <v>13.29</v>
      </c>
      <c r="AC592">
        <v>24</v>
      </c>
      <c r="AD592" t="b">
        <v>0</v>
      </c>
      <c r="AF592" t="s">
        <v>6314</v>
      </c>
      <c r="AG592" s="1" t="s">
        <v>59</v>
      </c>
      <c r="AH592" s="1" t="s">
        <v>49</v>
      </c>
      <c r="AI592">
        <v>321</v>
      </c>
      <c r="AJ592">
        <v>164</v>
      </c>
      <c r="AK592" s="106">
        <v>45475.635553206019</v>
      </c>
      <c r="AL592" s="1" t="s">
        <v>4790</v>
      </c>
      <c r="AM592" s="42">
        <f>IFERROR(INDEX('Public procurment'!A:R,MATCH(ListOfExpenditure[[#This Row],[Content.contractId]],'Public procurment'!E:E,0),14),0)</f>
        <v>0</v>
      </c>
      <c r="AN592" s="2">
        <f>IF(AND(ListOfExpenditure[[#This Row],[Contract amount]]&gt;10000,ListOfExpenditure[[#This Row],[Content.declaredAmount]]&gt;2000),1,0)</f>
        <v>0</v>
      </c>
      <c r="AO592">
        <f>IFERROR(INDEX('Public procurment'!A:S,MATCH(ListOfExpenditure[[#This Row],[Content.contractId]],'Public procurment'!E:E,0),19),0)</f>
        <v>0</v>
      </c>
      <c r="AP592">
        <f>IF(ListOfExpenditure[[#This Row],[Numero di volte controllato il contract ]]&gt;0,0,ListOfExpenditure[[#This Row],[IF public procurment &gt;10000;1;0]])</f>
        <v>0</v>
      </c>
    </row>
    <row r="593" spans="1:42" x14ac:dyDescent="0.25">
      <c r="A593">
        <v>1998</v>
      </c>
      <c r="B593">
        <v>22</v>
      </c>
      <c r="E593" t="s">
        <v>4786</v>
      </c>
      <c r="F593" t="b">
        <v>0</v>
      </c>
      <c r="I593" t="s">
        <v>6315</v>
      </c>
      <c r="K593" t="s">
        <v>5040</v>
      </c>
      <c r="L593" t="s">
        <v>5040</v>
      </c>
      <c r="M593" t="s">
        <v>4788</v>
      </c>
      <c r="N593" t="s">
        <v>4788</v>
      </c>
      <c r="O593">
        <v>512.22</v>
      </c>
      <c r="Q593">
        <v>0</v>
      </c>
      <c r="R593">
        <v>0</v>
      </c>
      <c r="S593">
        <v>512.22</v>
      </c>
      <c r="T593" t="s">
        <v>4789</v>
      </c>
      <c r="U593">
        <v>1</v>
      </c>
      <c r="V593">
        <v>512.22</v>
      </c>
      <c r="W593" t="s">
        <v>4343</v>
      </c>
      <c r="Y593" t="b">
        <v>1</v>
      </c>
      <c r="Z593" t="b">
        <v>0</v>
      </c>
      <c r="AA593">
        <v>497.04</v>
      </c>
      <c r="AB593">
        <v>15.18</v>
      </c>
      <c r="AC593">
        <v>24</v>
      </c>
      <c r="AD593" t="b">
        <v>0</v>
      </c>
      <c r="AF593" t="s">
        <v>6314</v>
      </c>
      <c r="AG593" s="1" t="s">
        <v>59</v>
      </c>
      <c r="AH593" s="1" t="s">
        <v>49</v>
      </c>
      <c r="AI593">
        <v>321</v>
      </c>
      <c r="AJ593">
        <v>164</v>
      </c>
      <c r="AK593" s="106">
        <v>45475.635553206019</v>
      </c>
      <c r="AL593" s="1" t="s">
        <v>4790</v>
      </c>
      <c r="AM593" s="42">
        <f>IFERROR(INDEX('Public procurment'!A:R,MATCH(ListOfExpenditure[[#This Row],[Content.contractId]],'Public procurment'!E:E,0),14),0)</f>
        <v>0</v>
      </c>
      <c r="AN593" s="2">
        <f>IF(AND(ListOfExpenditure[[#This Row],[Contract amount]]&gt;10000,ListOfExpenditure[[#This Row],[Content.declaredAmount]]&gt;2000),1,0)</f>
        <v>0</v>
      </c>
      <c r="AO593">
        <f>IFERROR(INDEX('Public procurment'!A:S,MATCH(ListOfExpenditure[[#This Row],[Content.contractId]],'Public procurment'!E:E,0),19),0)</f>
        <v>0</v>
      </c>
      <c r="AP593">
        <f>IF(ListOfExpenditure[[#This Row],[Numero di volte controllato il contract ]]&gt;0,0,ListOfExpenditure[[#This Row],[IF public procurment &gt;10000;1;0]])</f>
        <v>0</v>
      </c>
    </row>
    <row r="594" spans="1:42" x14ac:dyDescent="0.25">
      <c r="A594">
        <v>2000</v>
      </c>
      <c r="B594">
        <v>23</v>
      </c>
      <c r="E594" t="s">
        <v>4786</v>
      </c>
      <c r="F594" t="b">
        <v>0</v>
      </c>
      <c r="I594" t="s">
        <v>6316</v>
      </c>
      <c r="K594" t="s">
        <v>5247</v>
      </c>
      <c r="L594" t="s">
        <v>5247</v>
      </c>
      <c r="M594" t="s">
        <v>4788</v>
      </c>
      <c r="N594" t="s">
        <v>4788</v>
      </c>
      <c r="O594">
        <v>500.28</v>
      </c>
      <c r="Q594">
        <v>0</v>
      </c>
      <c r="R594">
        <v>0</v>
      </c>
      <c r="S594">
        <v>500.28</v>
      </c>
      <c r="T594" t="s">
        <v>4789</v>
      </c>
      <c r="U594">
        <v>1</v>
      </c>
      <c r="V594">
        <v>500.28</v>
      </c>
      <c r="W594" t="s">
        <v>4343</v>
      </c>
      <c r="Y594" t="b">
        <v>1</v>
      </c>
      <c r="Z594" t="b">
        <v>0</v>
      </c>
      <c r="AA594">
        <v>497.65</v>
      </c>
      <c r="AB594">
        <v>2.63</v>
      </c>
      <c r="AC594">
        <v>24</v>
      </c>
      <c r="AD594" t="b">
        <v>0</v>
      </c>
      <c r="AF594" t="s">
        <v>6314</v>
      </c>
      <c r="AG594" s="1" t="s">
        <v>59</v>
      </c>
      <c r="AH594" s="1" t="s">
        <v>49</v>
      </c>
      <c r="AI594">
        <v>321</v>
      </c>
      <c r="AJ594">
        <v>164</v>
      </c>
      <c r="AK594" s="106">
        <v>45475.635553206019</v>
      </c>
      <c r="AL594" s="1" t="s">
        <v>4790</v>
      </c>
      <c r="AM594" s="42">
        <f>IFERROR(INDEX('Public procurment'!A:R,MATCH(ListOfExpenditure[[#This Row],[Content.contractId]],'Public procurment'!E:E,0),14),0)</f>
        <v>0</v>
      </c>
      <c r="AN594" s="2">
        <f>IF(AND(ListOfExpenditure[[#This Row],[Contract amount]]&gt;10000,ListOfExpenditure[[#This Row],[Content.declaredAmount]]&gt;2000),1,0)</f>
        <v>0</v>
      </c>
      <c r="AO594">
        <f>IFERROR(INDEX('Public procurment'!A:S,MATCH(ListOfExpenditure[[#This Row],[Content.contractId]],'Public procurment'!E:E,0),19),0)</f>
        <v>0</v>
      </c>
      <c r="AP594">
        <f>IF(ListOfExpenditure[[#This Row],[Numero di volte controllato il contract ]]&gt;0,0,ListOfExpenditure[[#This Row],[IF public procurment &gt;10000;1;0]])</f>
        <v>0</v>
      </c>
    </row>
    <row r="595" spans="1:42" x14ac:dyDescent="0.25">
      <c r="A595">
        <v>2001</v>
      </c>
      <c r="B595">
        <v>24</v>
      </c>
      <c r="E595" t="s">
        <v>4786</v>
      </c>
      <c r="F595" t="b">
        <v>0</v>
      </c>
      <c r="I595" t="s">
        <v>6317</v>
      </c>
      <c r="K595" t="s">
        <v>6293</v>
      </c>
      <c r="L595" t="s">
        <v>6293</v>
      </c>
      <c r="M595" t="s">
        <v>4788</v>
      </c>
      <c r="N595" t="s">
        <v>4788</v>
      </c>
      <c r="O595">
        <v>500.42</v>
      </c>
      <c r="Q595">
        <v>0</v>
      </c>
      <c r="R595">
        <v>0</v>
      </c>
      <c r="S595">
        <v>500.42</v>
      </c>
      <c r="T595" t="s">
        <v>4789</v>
      </c>
      <c r="U595">
        <v>1</v>
      </c>
      <c r="V595">
        <v>500.42</v>
      </c>
      <c r="W595" t="s">
        <v>4343</v>
      </c>
      <c r="Y595" t="b">
        <v>1</v>
      </c>
      <c r="Z595" t="b">
        <v>0</v>
      </c>
      <c r="AA595">
        <v>495.22</v>
      </c>
      <c r="AB595">
        <v>5.2</v>
      </c>
      <c r="AC595">
        <v>24</v>
      </c>
      <c r="AD595" t="b">
        <v>0</v>
      </c>
      <c r="AF595" t="s">
        <v>6314</v>
      </c>
      <c r="AG595" s="1" t="s">
        <v>59</v>
      </c>
      <c r="AH595" s="1" t="s">
        <v>49</v>
      </c>
      <c r="AI595">
        <v>321</v>
      </c>
      <c r="AJ595">
        <v>164</v>
      </c>
      <c r="AK595" s="106">
        <v>45475.635553206019</v>
      </c>
      <c r="AL595" s="1" t="s">
        <v>4790</v>
      </c>
      <c r="AM595" s="42">
        <f>IFERROR(INDEX('Public procurment'!A:R,MATCH(ListOfExpenditure[[#This Row],[Content.contractId]],'Public procurment'!E:E,0),14),0)</f>
        <v>0</v>
      </c>
      <c r="AN595" s="2">
        <f>IF(AND(ListOfExpenditure[[#This Row],[Contract amount]]&gt;10000,ListOfExpenditure[[#This Row],[Content.declaredAmount]]&gt;2000),1,0)</f>
        <v>0</v>
      </c>
      <c r="AO595">
        <f>IFERROR(INDEX('Public procurment'!A:S,MATCH(ListOfExpenditure[[#This Row],[Content.contractId]],'Public procurment'!E:E,0),19),0)</f>
        <v>0</v>
      </c>
      <c r="AP595">
        <f>IF(ListOfExpenditure[[#This Row],[Numero di volte controllato il contract ]]&gt;0,0,ListOfExpenditure[[#This Row],[IF public procurment &gt;10000;1;0]])</f>
        <v>0</v>
      </c>
    </row>
    <row r="596" spans="1:42" x14ac:dyDescent="0.25">
      <c r="A596">
        <v>2004</v>
      </c>
      <c r="B596">
        <v>25</v>
      </c>
      <c r="E596" t="s">
        <v>4786</v>
      </c>
      <c r="F596" t="b">
        <v>0</v>
      </c>
      <c r="I596" t="s">
        <v>6318</v>
      </c>
      <c r="K596" t="s">
        <v>6296</v>
      </c>
      <c r="L596" t="s">
        <v>6296</v>
      </c>
      <c r="M596" t="s">
        <v>4788</v>
      </c>
      <c r="N596" t="s">
        <v>4788</v>
      </c>
      <c r="O596">
        <v>486.31</v>
      </c>
      <c r="Q596">
        <v>0</v>
      </c>
      <c r="R596">
        <v>0</v>
      </c>
      <c r="S596">
        <v>486.31</v>
      </c>
      <c r="T596" t="s">
        <v>4789</v>
      </c>
      <c r="U596">
        <v>1</v>
      </c>
      <c r="V596">
        <v>486.31</v>
      </c>
      <c r="W596" t="s">
        <v>4343</v>
      </c>
      <c r="Y596" t="b">
        <v>1</v>
      </c>
      <c r="Z596" t="b">
        <v>0</v>
      </c>
      <c r="AA596">
        <v>468.16</v>
      </c>
      <c r="AB596">
        <v>18.149999999999999</v>
      </c>
      <c r="AC596">
        <v>24</v>
      </c>
      <c r="AD596" t="b">
        <v>0</v>
      </c>
      <c r="AF596" t="s">
        <v>6314</v>
      </c>
      <c r="AG596" s="1" t="s">
        <v>59</v>
      </c>
      <c r="AH596" s="1" t="s">
        <v>49</v>
      </c>
      <c r="AI596">
        <v>321</v>
      </c>
      <c r="AJ596">
        <v>164</v>
      </c>
      <c r="AK596" s="106">
        <v>45475.635553206019</v>
      </c>
      <c r="AL596" s="1" t="s">
        <v>4790</v>
      </c>
      <c r="AM596" s="42">
        <f>IFERROR(INDEX('Public procurment'!A:R,MATCH(ListOfExpenditure[[#This Row],[Content.contractId]],'Public procurment'!E:E,0),14),0)</f>
        <v>0</v>
      </c>
      <c r="AN596" s="2">
        <f>IF(AND(ListOfExpenditure[[#This Row],[Contract amount]]&gt;10000,ListOfExpenditure[[#This Row],[Content.declaredAmount]]&gt;2000),1,0)</f>
        <v>0</v>
      </c>
      <c r="AO596">
        <f>IFERROR(INDEX('Public procurment'!A:S,MATCH(ListOfExpenditure[[#This Row],[Content.contractId]],'Public procurment'!E:E,0),19),0)</f>
        <v>0</v>
      </c>
      <c r="AP596">
        <f>IF(ListOfExpenditure[[#This Row],[Numero di volte controllato il contract ]]&gt;0,0,ListOfExpenditure[[#This Row],[IF public procurment &gt;10000;1;0]])</f>
        <v>0</v>
      </c>
    </row>
    <row r="597" spans="1:42" x14ac:dyDescent="0.25">
      <c r="A597">
        <v>2006</v>
      </c>
      <c r="B597">
        <v>26</v>
      </c>
      <c r="E597" t="s">
        <v>4786</v>
      </c>
      <c r="F597" t="b">
        <v>0</v>
      </c>
      <c r="I597" t="s">
        <v>6319</v>
      </c>
      <c r="K597" t="s">
        <v>6288</v>
      </c>
      <c r="L597" t="s">
        <v>4831</v>
      </c>
      <c r="M597" t="s">
        <v>4788</v>
      </c>
      <c r="N597" t="s">
        <v>4788</v>
      </c>
      <c r="O597">
        <v>210.62</v>
      </c>
      <c r="Q597">
        <v>0</v>
      </c>
      <c r="R597">
        <v>0</v>
      </c>
      <c r="S597">
        <v>210.62</v>
      </c>
      <c r="T597" t="s">
        <v>4789</v>
      </c>
      <c r="U597">
        <v>1</v>
      </c>
      <c r="V597">
        <v>210.62</v>
      </c>
      <c r="W597" t="s">
        <v>4343</v>
      </c>
      <c r="Y597" t="b">
        <v>0</v>
      </c>
      <c r="Z597" t="b">
        <v>0</v>
      </c>
      <c r="AA597">
        <v>210.62</v>
      </c>
      <c r="AB597">
        <v>0</v>
      </c>
      <c r="AD597" t="b">
        <v>0</v>
      </c>
      <c r="AG597" s="1" t="s">
        <v>59</v>
      </c>
      <c r="AH597" s="1" t="s">
        <v>49</v>
      </c>
      <c r="AI597">
        <v>321</v>
      </c>
      <c r="AJ597">
        <v>164</v>
      </c>
      <c r="AK597" s="106">
        <v>45475.635553206019</v>
      </c>
      <c r="AL597" s="1" t="s">
        <v>4790</v>
      </c>
      <c r="AM597" s="42">
        <f>IFERROR(INDEX('Public procurment'!A:R,MATCH(ListOfExpenditure[[#This Row],[Content.contractId]],'Public procurment'!E:E,0),14),0)</f>
        <v>0</v>
      </c>
      <c r="AN597" s="2">
        <f>IF(AND(ListOfExpenditure[[#This Row],[Contract amount]]&gt;10000,ListOfExpenditure[[#This Row],[Content.declaredAmount]]&gt;2000),1,0)</f>
        <v>0</v>
      </c>
      <c r="AO597">
        <f>IFERROR(INDEX('Public procurment'!A:S,MATCH(ListOfExpenditure[[#This Row],[Content.contractId]],'Public procurment'!E:E,0),19),0)</f>
        <v>0</v>
      </c>
      <c r="AP597">
        <f>IF(ListOfExpenditure[[#This Row],[Numero di volte controllato il contract ]]&gt;0,0,ListOfExpenditure[[#This Row],[IF public procurment &gt;10000;1;0]])</f>
        <v>0</v>
      </c>
    </row>
    <row r="598" spans="1:42" x14ac:dyDescent="0.25">
      <c r="A598">
        <v>2007</v>
      </c>
      <c r="B598">
        <v>27</v>
      </c>
      <c r="E598" t="s">
        <v>4786</v>
      </c>
      <c r="F598" t="b">
        <v>0</v>
      </c>
      <c r="I598" t="s">
        <v>6320</v>
      </c>
      <c r="K598" t="s">
        <v>5040</v>
      </c>
      <c r="L598" t="s">
        <v>5040</v>
      </c>
      <c r="M598" t="s">
        <v>4788</v>
      </c>
      <c r="N598" t="s">
        <v>4788</v>
      </c>
      <c r="O598">
        <v>210.41</v>
      </c>
      <c r="Q598">
        <v>0</v>
      </c>
      <c r="R598">
        <v>0</v>
      </c>
      <c r="S598">
        <v>210.41</v>
      </c>
      <c r="T598" t="s">
        <v>4789</v>
      </c>
      <c r="U598">
        <v>1</v>
      </c>
      <c r="V598">
        <v>210.41</v>
      </c>
      <c r="W598" t="s">
        <v>4343</v>
      </c>
      <c r="Y598" t="b">
        <v>0</v>
      </c>
      <c r="Z598" t="b">
        <v>0</v>
      </c>
      <c r="AA598">
        <v>210.41</v>
      </c>
      <c r="AB598">
        <v>0</v>
      </c>
      <c r="AD598" t="b">
        <v>0</v>
      </c>
      <c r="AG598" s="1" t="s">
        <v>59</v>
      </c>
      <c r="AH598" s="1" t="s">
        <v>49</v>
      </c>
      <c r="AI598">
        <v>321</v>
      </c>
      <c r="AJ598">
        <v>164</v>
      </c>
      <c r="AK598" s="106">
        <v>45475.635553206019</v>
      </c>
      <c r="AL598" s="1" t="s">
        <v>4790</v>
      </c>
      <c r="AM598" s="42">
        <f>IFERROR(INDEX('Public procurment'!A:R,MATCH(ListOfExpenditure[[#This Row],[Content.contractId]],'Public procurment'!E:E,0),14),0)</f>
        <v>0</v>
      </c>
      <c r="AN598" s="2">
        <f>IF(AND(ListOfExpenditure[[#This Row],[Contract amount]]&gt;10000,ListOfExpenditure[[#This Row],[Content.declaredAmount]]&gt;2000),1,0)</f>
        <v>0</v>
      </c>
      <c r="AO598">
        <f>IFERROR(INDEX('Public procurment'!A:S,MATCH(ListOfExpenditure[[#This Row],[Content.contractId]],'Public procurment'!E:E,0),19),0)</f>
        <v>0</v>
      </c>
      <c r="AP598">
        <f>IF(ListOfExpenditure[[#This Row],[Numero di volte controllato il contract ]]&gt;0,0,ListOfExpenditure[[#This Row],[IF public procurment &gt;10000;1;0]])</f>
        <v>0</v>
      </c>
    </row>
    <row r="599" spans="1:42" x14ac:dyDescent="0.25">
      <c r="A599">
        <v>2009</v>
      </c>
      <c r="B599">
        <v>28</v>
      </c>
      <c r="E599" t="s">
        <v>4786</v>
      </c>
      <c r="F599" t="b">
        <v>0</v>
      </c>
      <c r="I599" t="s">
        <v>6321</v>
      </c>
      <c r="K599" t="s">
        <v>5247</v>
      </c>
      <c r="L599" t="s">
        <v>5247</v>
      </c>
      <c r="M599" t="s">
        <v>4788</v>
      </c>
      <c r="N599" t="s">
        <v>4788</v>
      </c>
      <c r="O599">
        <v>210.92</v>
      </c>
      <c r="Q599">
        <v>0</v>
      </c>
      <c r="R599">
        <v>0</v>
      </c>
      <c r="S599">
        <v>210.92</v>
      </c>
      <c r="T599" t="s">
        <v>4789</v>
      </c>
      <c r="U599">
        <v>1</v>
      </c>
      <c r="V599">
        <v>210.92</v>
      </c>
      <c r="W599" t="s">
        <v>4343</v>
      </c>
      <c r="Y599" t="b">
        <v>1</v>
      </c>
      <c r="Z599" t="b">
        <v>0</v>
      </c>
      <c r="AA599">
        <v>210.92</v>
      </c>
      <c r="AB599">
        <v>0</v>
      </c>
      <c r="AD599" t="b">
        <v>0</v>
      </c>
      <c r="AG599" s="1" t="s">
        <v>59</v>
      </c>
      <c r="AH599" s="1" t="s">
        <v>49</v>
      </c>
      <c r="AI599">
        <v>321</v>
      </c>
      <c r="AJ599">
        <v>164</v>
      </c>
      <c r="AK599" s="106">
        <v>45475.635553206019</v>
      </c>
      <c r="AL599" s="1" t="s">
        <v>4790</v>
      </c>
      <c r="AM599" s="42">
        <f>IFERROR(INDEX('Public procurment'!A:R,MATCH(ListOfExpenditure[[#This Row],[Content.contractId]],'Public procurment'!E:E,0),14),0)</f>
        <v>0</v>
      </c>
      <c r="AN599" s="2">
        <f>IF(AND(ListOfExpenditure[[#This Row],[Contract amount]]&gt;10000,ListOfExpenditure[[#This Row],[Content.declaredAmount]]&gt;2000),1,0)</f>
        <v>0</v>
      </c>
      <c r="AO599">
        <f>IFERROR(INDEX('Public procurment'!A:S,MATCH(ListOfExpenditure[[#This Row],[Content.contractId]],'Public procurment'!E:E,0),19),0)</f>
        <v>0</v>
      </c>
      <c r="AP599">
        <f>IF(ListOfExpenditure[[#This Row],[Numero di volte controllato il contract ]]&gt;0,0,ListOfExpenditure[[#This Row],[IF public procurment &gt;10000;1;0]])</f>
        <v>0</v>
      </c>
    </row>
    <row r="600" spans="1:42" x14ac:dyDescent="0.25">
      <c r="A600">
        <v>2010</v>
      </c>
      <c r="B600">
        <v>29</v>
      </c>
      <c r="E600" t="s">
        <v>4786</v>
      </c>
      <c r="F600" t="b">
        <v>0</v>
      </c>
      <c r="I600" t="s">
        <v>6322</v>
      </c>
      <c r="K600" t="s">
        <v>6293</v>
      </c>
      <c r="L600" t="s">
        <v>6293</v>
      </c>
      <c r="M600" t="s">
        <v>4788</v>
      </c>
      <c r="N600" t="s">
        <v>4788</v>
      </c>
      <c r="O600">
        <v>210.21</v>
      </c>
      <c r="Q600">
        <v>0</v>
      </c>
      <c r="R600">
        <v>0</v>
      </c>
      <c r="S600">
        <v>210.21</v>
      </c>
      <c r="T600" t="s">
        <v>4789</v>
      </c>
      <c r="U600">
        <v>1</v>
      </c>
      <c r="V600">
        <v>210.21</v>
      </c>
      <c r="W600" t="s">
        <v>4343</v>
      </c>
      <c r="Y600" t="b">
        <v>0</v>
      </c>
      <c r="Z600" t="b">
        <v>0</v>
      </c>
      <c r="AA600">
        <v>210.21</v>
      </c>
      <c r="AB600">
        <v>0</v>
      </c>
      <c r="AD600" t="b">
        <v>0</v>
      </c>
      <c r="AG600" s="1" t="s">
        <v>59</v>
      </c>
      <c r="AH600" s="1" t="s">
        <v>49</v>
      </c>
      <c r="AI600">
        <v>321</v>
      </c>
      <c r="AJ600">
        <v>164</v>
      </c>
      <c r="AK600" s="106">
        <v>45475.635553206019</v>
      </c>
      <c r="AL600" s="1" t="s">
        <v>4790</v>
      </c>
      <c r="AM600" s="42">
        <f>IFERROR(INDEX('Public procurment'!A:R,MATCH(ListOfExpenditure[[#This Row],[Content.contractId]],'Public procurment'!E:E,0),14),0)</f>
        <v>0</v>
      </c>
      <c r="AN600" s="2">
        <f>IF(AND(ListOfExpenditure[[#This Row],[Contract amount]]&gt;10000,ListOfExpenditure[[#This Row],[Content.declaredAmount]]&gt;2000),1,0)</f>
        <v>0</v>
      </c>
      <c r="AO600">
        <f>IFERROR(INDEX('Public procurment'!A:S,MATCH(ListOfExpenditure[[#This Row],[Content.contractId]],'Public procurment'!E:E,0),19),0)</f>
        <v>0</v>
      </c>
      <c r="AP600">
        <f>IF(ListOfExpenditure[[#This Row],[Numero di volte controllato il contract ]]&gt;0,0,ListOfExpenditure[[#This Row],[IF public procurment &gt;10000;1;0]])</f>
        <v>0</v>
      </c>
    </row>
    <row r="601" spans="1:42" x14ac:dyDescent="0.25">
      <c r="A601">
        <v>2011</v>
      </c>
      <c r="B601">
        <v>30</v>
      </c>
      <c r="E601" t="s">
        <v>4786</v>
      </c>
      <c r="F601" t="b">
        <v>0</v>
      </c>
      <c r="I601" t="s">
        <v>6323</v>
      </c>
      <c r="K601" t="s">
        <v>6296</v>
      </c>
      <c r="L601" t="s">
        <v>6296</v>
      </c>
      <c r="M601" t="s">
        <v>4788</v>
      </c>
      <c r="N601" t="s">
        <v>4788</v>
      </c>
      <c r="O601">
        <v>203.33</v>
      </c>
      <c r="Q601">
        <v>0</v>
      </c>
      <c r="R601">
        <v>0</v>
      </c>
      <c r="S601">
        <v>203.33</v>
      </c>
      <c r="T601" t="s">
        <v>4789</v>
      </c>
      <c r="U601">
        <v>1</v>
      </c>
      <c r="V601">
        <v>203.33</v>
      </c>
      <c r="W601" t="s">
        <v>4343</v>
      </c>
      <c r="Y601" t="b">
        <v>0</v>
      </c>
      <c r="Z601" t="b">
        <v>0</v>
      </c>
      <c r="AA601">
        <v>203.33</v>
      </c>
      <c r="AB601">
        <v>0</v>
      </c>
      <c r="AD601" t="b">
        <v>0</v>
      </c>
      <c r="AG601" s="1" t="s">
        <v>59</v>
      </c>
      <c r="AH601" s="1" t="s">
        <v>49</v>
      </c>
      <c r="AI601">
        <v>321</v>
      </c>
      <c r="AJ601">
        <v>164</v>
      </c>
      <c r="AK601" s="106">
        <v>45475.635553206019</v>
      </c>
      <c r="AL601" s="1" t="s">
        <v>4790</v>
      </c>
      <c r="AM601" s="42">
        <f>IFERROR(INDEX('Public procurment'!A:R,MATCH(ListOfExpenditure[[#This Row],[Content.contractId]],'Public procurment'!E:E,0),14),0)</f>
        <v>0</v>
      </c>
      <c r="AN601" s="2">
        <f>IF(AND(ListOfExpenditure[[#This Row],[Contract amount]]&gt;10000,ListOfExpenditure[[#This Row],[Content.declaredAmount]]&gt;2000),1,0)</f>
        <v>0</v>
      </c>
      <c r="AO601">
        <f>IFERROR(INDEX('Public procurment'!A:S,MATCH(ListOfExpenditure[[#This Row],[Content.contractId]],'Public procurment'!E:E,0),19),0)</f>
        <v>0</v>
      </c>
      <c r="AP601">
        <f>IF(ListOfExpenditure[[#This Row],[Numero di volte controllato il contract ]]&gt;0,0,ListOfExpenditure[[#This Row],[IF public procurment &gt;10000;1;0]])</f>
        <v>0</v>
      </c>
    </row>
    <row r="602" spans="1:42" x14ac:dyDescent="0.25">
      <c r="A602">
        <v>2013</v>
      </c>
      <c r="B602">
        <v>31</v>
      </c>
      <c r="E602" t="s">
        <v>4786</v>
      </c>
      <c r="F602" t="b">
        <v>0</v>
      </c>
      <c r="I602" t="s">
        <v>6324</v>
      </c>
      <c r="K602" t="s">
        <v>6288</v>
      </c>
      <c r="L602" t="s">
        <v>6288</v>
      </c>
      <c r="M602" t="s">
        <v>4788</v>
      </c>
      <c r="N602" t="s">
        <v>4788</v>
      </c>
      <c r="O602">
        <v>477.66</v>
      </c>
      <c r="Q602">
        <v>0</v>
      </c>
      <c r="R602">
        <v>0</v>
      </c>
      <c r="S602">
        <v>477.66</v>
      </c>
      <c r="T602" t="s">
        <v>4789</v>
      </c>
      <c r="U602">
        <v>1</v>
      </c>
      <c r="V602">
        <v>477.66</v>
      </c>
      <c r="W602" t="s">
        <v>4343</v>
      </c>
      <c r="Y602" t="b">
        <v>0</v>
      </c>
      <c r="Z602" t="b">
        <v>0</v>
      </c>
      <c r="AA602">
        <v>477.66</v>
      </c>
      <c r="AB602">
        <v>0</v>
      </c>
      <c r="AD602" t="b">
        <v>0</v>
      </c>
      <c r="AG602" s="1" t="s">
        <v>59</v>
      </c>
      <c r="AH602" s="1" t="s">
        <v>49</v>
      </c>
      <c r="AI602">
        <v>321</v>
      </c>
      <c r="AJ602">
        <v>164</v>
      </c>
      <c r="AK602" s="106">
        <v>45475.635553206019</v>
      </c>
      <c r="AL602" s="1" t="s">
        <v>4790</v>
      </c>
      <c r="AM602" s="42">
        <f>IFERROR(INDEX('Public procurment'!A:R,MATCH(ListOfExpenditure[[#This Row],[Content.contractId]],'Public procurment'!E:E,0),14),0)</f>
        <v>0</v>
      </c>
      <c r="AN602" s="2">
        <f>IF(AND(ListOfExpenditure[[#This Row],[Contract amount]]&gt;10000,ListOfExpenditure[[#This Row],[Content.declaredAmount]]&gt;2000),1,0)</f>
        <v>0</v>
      </c>
      <c r="AO602">
        <f>IFERROR(INDEX('Public procurment'!A:S,MATCH(ListOfExpenditure[[#This Row],[Content.contractId]],'Public procurment'!E:E,0),19),0)</f>
        <v>0</v>
      </c>
      <c r="AP602">
        <f>IF(ListOfExpenditure[[#This Row],[Numero di volte controllato il contract ]]&gt;0,0,ListOfExpenditure[[#This Row],[IF public procurment &gt;10000;1;0]])</f>
        <v>0</v>
      </c>
    </row>
    <row r="603" spans="1:42" x14ac:dyDescent="0.25">
      <c r="A603">
        <v>2015</v>
      </c>
      <c r="B603">
        <v>32</v>
      </c>
      <c r="E603" t="s">
        <v>4786</v>
      </c>
      <c r="F603" t="b">
        <v>0</v>
      </c>
      <c r="I603" t="s">
        <v>6325</v>
      </c>
      <c r="K603" t="s">
        <v>5040</v>
      </c>
      <c r="L603" t="s">
        <v>5040</v>
      </c>
      <c r="M603" t="s">
        <v>4788</v>
      </c>
      <c r="N603" t="s">
        <v>4788</v>
      </c>
      <c r="O603">
        <v>476.04</v>
      </c>
      <c r="Q603">
        <v>0</v>
      </c>
      <c r="R603">
        <v>0</v>
      </c>
      <c r="S603">
        <v>476.04</v>
      </c>
      <c r="T603" t="s">
        <v>4789</v>
      </c>
      <c r="U603">
        <v>1</v>
      </c>
      <c r="V603">
        <v>476.04</v>
      </c>
      <c r="W603" t="s">
        <v>4343</v>
      </c>
      <c r="Y603" t="b">
        <v>0</v>
      </c>
      <c r="Z603" t="b">
        <v>0</v>
      </c>
      <c r="AA603">
        <v>476.04</v>
      </c>
      <c r="AB603">
        <v>0</v>
      </c>
      <c r="AD603" t="b">
        <v>0</v>
      </c>
      <c r="AG603" s="1" t="s">
        <v>59</v>
      </c>
      <c r="AH603" s="1" t="s">
        <v>49</v>
      </c>
      <c r="AI603">
        <v>321</v>
      </c>
      <c r="AJ603">
        <v>164</v>
      </c>
      <c r="AK603" s="106">
        <v>45475.635553206019</v>
      </c>
      <c r="AL603" s="1" t="s">
        <v>4790</v>
      </c>
      <c r="AM603" s="42">
        <f>IFERROR(INDEX('Public procurment'!A:R,MATCH(ListOfExpenditure[[#This Row],[Content.contractId]],'Public procurment'!E:E,0),14),0)</f>
        <v>0</v>
      </c>
      <c r="AN603" s="2">
        <f>IF(AND(ListOfExpenditure[[#This Row],[Contract amount]]&gt;10000,ListOfExpenditure[[#This Row],[Content.declaredAmount]]&gt;2000),1,0)</f>
        <v>0</v>
      </c>
      <c r="AO603">
        <f>IFERROR(INDEX('Public procurment'!A:S,MATCH(ListOfExpenditure[[#This Row],[Content.contractId]],'Public procurment'!E:E,0),19),0)</f>
        <v>0</v>
      </c>
      <c r="AP603">
        <f>IF(ListOfExpenditure[[#This Row],[Numero di volte controllato il contract ]]&gt;0,0,ListOfExpenditure[[#This Row],[IF public procurment &gt;10000;1;0]])</f>
        <v>0</v>
      </c>
    </row>
    <row r="604" spans="1:42" x14ac:dyDescent="0.25">
      <c r="A604">
        <v>2016</v>
      </c>
      <c r="B604">
        <v>33</v>
      </c>
      <c r="E604" t="s">
        <v>4786</v>
      </c>
      <c r="F604" t="b">
        <v>0</v>
      </c>
      <c r="I604" t="s">
        <v>6326</v>
      </c>
      <c r="K604" t="s">
        <v>5247</v>
      </c>
      <c r="L604" t="s">
        <v>5247</v>
      </c>
      <c r="M604" t="s">
        <v>4788</v>
      </c>
      <c r="N604" t="s">
        <v>4788</v>
      </c>
      <c r="O604">
        <v>479.22</v>
      </c>
      <c r="Q604">
        <v>0</v>
      </c>
      <c r="R604">
        <v>0</v>
      </c>
      <c r="S604">
        <v>479.22</v>
      </c>
      <c r="T604" t="s">
        <v>4789</v>
      </c>
      <c r="U604">
        <v>1</v>
      </c>
      <c r="V604">
        <v>479.22</v>
      </c>
      <c r="W604" t="s">
        <v>4343</v>
      </c>
      <c r="Y604" t="b">
        <v>1</v>
      </c>
      <c r="Z604" t="b">
        <v>0</v>
      </c>
      <c r="AA604">
        <v>479.22</v>
      </c>
      <c r="AB604">
        <v>0</v>
      </c>
      <c r="AD604" t="b">
        <v>0</v>
      </c>
      <c r="AG604" s="1" t="s">
        <v>59</v>
      </c>
      <c r="AH604" s="1" t="s">
        <v>49</v>
      </c>
      <c r="AI604">
        <v>321</v>
      </c>
      <c r="AJ604">
        <v>164</v>
      </c>
      <c r="AK604" s="106">
        <v>45475.635553206019</v>
      </c>
      <c r="AL604" s="1" t="s">
        <v>4790</v>
      </c>
      <c r="AM604" s="42">
        <f>IFERROR(INDEX('Public procurment'!A:R,MATCH(ListOfExpenditure[[#This Row],[Content.contractId]],'Public procurment'!E:E,0),14),0)</f>
        <v>0</v>
      </c>
      <c r="AN604" s="2">
        <f>IF(AND(ListOfExpenditure[[#This Row],[Contract amount]]&gt;10000,ListOfExpenditure[[#This Row],[Content.declaredAmount]]&gt;2000),1,0)</f>
        <v>0</v>
      </c>
      <c r="AO604">
        <f>IFERROR(INDEX('Public procurment'!A:S,MATCH(ListOfExpenditure[[#This Row],[Content.contractId]],'Public procurment'!E:E,0),19),0)</f>
        <v>0</v>
      </c>
      <c r="AP604">
        <f>IF(ListOfExpenditure[[#This Row],[Numero di volte controllato il contract ]]&gt;0,0,ListOfExpenditure[[#This Row],[IF public procurment &gt;10000;1;0]])</f>
        <v>0</v>
      </c>
    </row>
    <row r="605" spans="1:42" x14ac:dyDescent="0.25">
      <c r="A605">
        <v>2017</v>
      </c>
      <c r="B605">
        <v>34</v>
      </c>
      <c r="E605" t="s">
        <v>4786</v>
      </c>
      <c r="F605" t="b">
        <v>0</v>
      </c>
      <c r="I605" t="s">
        <v>6327</v>
      </c>
      <c r="K605" t="s">
        <v>6293</v>
      </c>
      <c r="L605" t="s">
        <v>6293</v>
      </c>
      <c r="M605" t="s">
        <v>4788</v>
      </c>
      <c r="N605" t="s">
        <v>4788</v>
      </c>
      <c r="O605">
        <v>470.59</v>
      </c>
      <c r="Q605">
        <v>0</v>
      </c>
      <c r="R605">
        <v>0</v>
      </c>
      <c r="S605">
        <v>470.59</v>
      </c>
      <c r="T605" t="s">
        <v>4789</v>
      </c>
      <c r="U605">
        <v>1</v>
      </c>
      <c r="V605">
        <v>470.59</v>
      </c>
      <c r="W605" t="s">
        <v>4343</v>
      </c>
      <c r="Y605" t="b">
        <v>0</v>
      </c>
      <c r="Z605" t="b">
        <v>0</v>
      </c>
      <c r="AA605">
        <v>470.59</v>
      </c>
      <c r="AB605">
        <v>0</v>
      </c>
      <c r="AD605" t="b">
        <v>0</v>
      </c>
      <c r="AG605" s="1" t="s">
        <v>59</v>
      </c>
      <c r="AH605" s="1" t="s">
        <v>49</v>
      </c>
      <c r="AI605">
        <v>321</v>
      </c>
      <c r="AJ605">
        <v>164</v>
      </c>
      <c r="AK605" s="106">
        <v>45475.635553206019</v>
      </c>
      <c r="AL605" s="1" t="s">
        <v>4790</v>
      </c>
      <c r="AM605" s="42">
        <f>IFERROR(INDEX('Public procurment'!A:R,MATCH(ListOfExpenditure[[#This Row],[Content.contractId]],'Public procurment'!E:E,0),14),0)</f>
        <v>0</v>
      </c>
      <c r="AN605" s="2">
        <f>IF(AND(ListOfExpenditure[[#This Row],[Contract amount]]&gt;10000,ListOfExpenditure[[#This Row],[Content.declaredAmount]]&gt;2000),1,0)</f>
        <v>0</v>
      </c>
      <c r="AO605">
        <f>IFERROR(INDEX('Public procurment'!A:S,MATCH(ListOfExpenditure[[#This Row],[Content.contractId]],'Public procurment'!E:E,0),19),0)</f>
        <v>0</v>
      </c>
      <c r="AP605">
        <f>IF(ListOfExpenditure[[#This Row],[Numero di volte controllato il contract ]]&gt;0,0,ListOfExpenditure[[#This Row],[IF public procurment &gt;10000;1;0]])</f>
        <v>0</v>
      </c>
    </row>
    <row r="606" spans="1:42" x14ac:dyDescent="0.25">
      <c r="A606">
        <v>2018</v>
      </c>
      <c r="B606">
        <v>35</v>
      </c>
      <c r="E606" t="s">
        <v>4786</v>
      </c>
      <c r="F606" t="b">
        <v>0</v>
      </c>
      <c r="I606" t="s">
        <v>6328</v>
      </c>
      <c r="K606" t="s">
        <v>6296</v>
      </c>
      <c r="L606" t="s">
        <v>6296</v>
      </c>
      <c r="M606" t="s">
        <v>4788</v>
      </c>
      <c r="N606" t="s">
        <v>4788</v>
      </c>
      <c r="O606">
        <v>460.3</v>
      </c>
      <c r="Q606">
        <v>0</v>
      </c>
      <c r="R606">
        <v>0</v>
      </c>
      <c r="S606">
        <v>460.3</v>
      </c>
      <c r="T606" t="s">
        <v>4789</v>
      </c>
      <c r="U606">
        <v>1</v>
      </c>
      <c r="V606">
        <v>460.3</v>
      </c>
      <c r="W606" t="s">
        <v>4343</v>
      </c>
      <c r="Y606" t="b">
        <v>0</v>
      </c>
      <c r="Z606" t="b">
        <v>0</v>
      </c>
      <c r="AA606">
        <v>460.3</v>
      </c>
      <c r="AB606">
        <v>0</v>
      </c>
      <c r="AD606" t="b">
        <v>0</v>
      </c>
      <c r="AG606" s="1" t="s">
        <v>59</v>
      </c>
      <c r="AH606" s="1" t="s">
        <v>49</v>
      </c>
      <c r="AI606">
        <v>321</v>
      </c>
      <c r="AJ606">
        <v>164</v>
      </c>
      <c r="AK606" s="106">
        <v>45475.635553206019</v>
      </c>
      <c r="AL606" s="1" t="s">
        <v>4790</v>
      </c>
      <c r="AM606" s="42">
        <f>IFERROR(INDEX('Public procurment'!A:R,MATCH(ListOfExpenditure[[#This Row],[Content.contractId]],'Public procurment'!E:E,0),14),0)</f>
        <v>0</v>
      </c>
      <c r="AN606" s="2">
        <f>IF(AND(ListOfExpenditure[[#This Row],[Contract amount]]&gt;10000,ListOfExpenditure[[#This Row],[Content.declaredAmount]]&gt;2000),1,0)</f>
        <v>0</v>
      </c>
      <c r="AO606">
        <f>IFERROR(INDEX('Public procurment'!A:S,MATCH(ListOfExpenditure[[#This Row],[Content.contractId]],'Public procurment'!E:E,0),19),0)</f>
        <v>0</v>
      </c>
      <c r="AP606">
        <f>IF(ListOfExpenditure[[#This Row],[Numero di volte controllato il contract ]]&gt;0,0,ListOfExpenditure[[#This Row],[IF public procurment &gt;10000;1;0]])</f>
        <v>0</v>
      </c>
    </row>
    <row r="607" spans="1:42" x14ac:dyDescent="0.25">
      <c r="A607">
        <v>420</v>
      </c>
      <c r="B607">
        <v>1</v>
      </c>
      <c r="E607" t="s">
        <v>4786</v>
      </c>
      <c r="F607" t="b">
        <v>1</v>
      </c>
      <c r="I607" t="s">
        <v>5281</v>
      </c>
      <c r="K607" t="s">
        <v>4806</v>
      </c>
      <c r="L607" t="s">
        <v>5276</v>
      </c>
      <c r="M607" t="s">
        <v>4788</v>
      </c>
      <c r="N607" t="s">
        <v>4788</v>
      </c>
      <c r="O607">
        <v>1759.26</v>
      </c>
      <c r="Q607">
        <v>0</v>
      </c>
      <c r="R607">
        <v>0</v>
      </c>
      <c r="S607">
        <v>1759.26</v>
      </c>
      <c r="T607" t="s">
        <v>4789</v>
      </c>
      <c r="U607">
        <v>1</v>
      </c>
      <c r="V607">
        <v>1759.26</v>
      </c>
      <c r="W607" t="s">
        <v>4343</v>
      </c>
      <c r="Y607" t="b">
        <v>1</v>
      </c>
      <c r="Z607" t="b">
        <v>0</v>
      </c>
      <c r="AA607">
        <v>107.83</v>
      </c>
      <c r="AB607">
        <v>1651.43</v>
      </c>
      <c r="AC607">
        <v>13</v>
      </c>
      <c r="AD607" t="b">
        <v>0</v>
      </c>
      <c r="AF607" t="s">
        <v>5282</v>
      </c>
      <c r="AG607" s="1" t="s">
        <v>59</v>
      </c>
      <c r="AH607" s="1" t="s">
        <v>49</v>
      </c>
      <c r="AI607">
        <v>321</v>
      </c>
      <c r="AJ607">
        <v>69</v>
      </c>
      <c r="AK607" s="106">
        <v>45475.635459837962</v>
      </c>
      <c r="AL607" s="1" t="s">
        <v>4790</v>
      </c>
      <c r="AM607" s="42">
        <f>IFERROR(INDEX('Public procurment'!A:R,MATCH(ListOfExpenditure[[#This Row],[Content.contractId]],'Public procurment'!E:E,0),14),0)</f>
        <v>0</v>
      </c>
      <c r="AN607" s="2">
        <f>IF(AND(ListOfExpenditure[[#This Row],[Contract amount]]&gt;10000,ListOfExpenditure[[#This Row],[Content.declaredAmount]]&gt;2000),1,0)</f>
        <v>0</v>
      </c>
      <c r="AO607">
        <f>IFERROR(INDEX('Public procurment'!A:S,MATCH(ListOfExpenditure[[#This Row],[Content.contractId]],'Public procurment'!E:E,0),19),0)</f>
        <v>0</v>
      </c>
      <c r="AP607">
        <f>IF(ListOfExpenditure[[#This Row],[Numero di volte controllato il contract ]]&gt;0,0,ListOfExpenditure[[#This Row],[IF public procurment &gt;10000;1;0]])</f>
        <v>0</v>
      </c>
    </row>
    <row r="608" spans="1:42" x14ac:dyDescent="0.25">
      <c r="A608">
        <v>428</v>
      </c>
      <c r="B608">
        <v>2</v>
      </c>
      <c r="E608" t="s">
        <v>4786</v>
      </c>
      <c r="F608" t="b">
        <v>1</v>
      </c>
      <c r="I608" t="s">
        <v>5283</v>
      </c>
      <c r="K608" t="s">
        <v>4806</v>
      </c>
      <c r="L608" t="s">
        <v>5276</v>
      </c>
      <c r="M608" t="s">
        <v>4788</v>
      </c>
      <c r="N608" t="s">
        <v>4788</v>
      </c>
      <c r="O608">
        <v>428.25</v>
      </c>
      <c r="Q608">
        <v>0</v>
      </c>
      <c r="R608">
        <v>0</v>
      </c>
      <c r="S608">
        <v>428.25</v>
      </c>
      <c r="T608" t="s">
        <v>4789</v>
      </c>
      <c r="U608">
        <v>1</v>
      </c>
      <c r="V608">
        <v>428.25</v>
      </c>
      <c r="W608" t="s">
        <v>4343</v>
      </c>
      <c r="Y608" t="b">
        <v>1</v>
      </c>
      <c r="Z608" t="b">
        <v>0</v>
      </c>
      <c r="AA608">
        <v>214.06</v>
      </c>
      <c r="AB608">
        <v>214.19</v>
      </c>
      <c r="AC608">
        <v>13</v>
      </c>
      <c r="AD608" t="b">
        <v>0</v>
      </c>
      <c r="AF608" t="s">
        <v>5284</v>
      </c>
      <c r="AG608" s="1" t="s">
        <v>59</v>
      </c>
      <c r="AH608" s="1" t="s">
        <v>49</v>
      </c>
      <c r="AI608">
        <v>321</v>
      </c>
      <c r="AJ608">
        <v>69</v>
      </c>
      <c r="AK608" s="106">
        <v>45475.635459837962</v>
      </c>
      <c r="AL608" s="1" t="s">
        <v>4790</v>
      </c>
      <c r="AM608" s="42">
        <f>IFERROR(INDEX('Public procurment'!A:R,MATCH(ListOfExpenditure[[#This Row],[Content.contractId]],'Public procurment'!E:E,0),14),0)</f>
        <v>0</v>
      </c>
      <c r="AN608" s="2">
        <f>IF(AND(ListOfExpenditure[[#This Row],[Contract amount]]&gt;10000,ListOfExpenditure[[#This Row],[Content.declaredAmount]]&gt;2000),1,0)</f>
        <v>0</v>
      </c>
      <c r="AO608">
        <f>IFERROR(INDEX('Public procurment'!A:S,MATCH(ListOfExpenditure[[#This Row],[Content.contractId]],'Public procurment'!E:E,0),19),0)</f>
        <v>0</v>
      </c>
      <c r="AP608">
        <f>IF(ListOfExpenditure[[#This Row],[Numero di volte controllato il contract ]]&gt;0,0,ListOfExpenditure[[#This Row],[IF public procurment &gt;10000;1;0]])</f>
        <v>0</v>
      </c>
    </row>
    <row r="609" spans="1:42" x14ac:dyDescent="0.25">
      <c r="A609">
        <v>430</v>
      </c>
      <c r="B609">
        <v>3</v>
      </c>
      <c r="E609" t="s">
        <v>4786</v>
      </c>
      <c r="F609" t="b">
        <v>1</v>
      </c>
      <c r="I609" t="s">
        <v>5285</v>
      </c>
      <c r="K609" t="s">
        <v>4806</v>
      </c>
      <c r="L609" t="s">
        <v>5276</v>
      </c>
      <c r="M609" t="s">
        <v>4788</v>
      </c>
      <c r="N609" t="s">
        <v>4788</v>
      </c>
      <c r="O609">
        <v>396.4</v>
      </c>
      <c r="Q609">
        <v>0</v>
      </c>
      <c r="R609">
        <v>0</v>
      </c>
      <c r="S609">
        <v>396.4</v>
      </c>
      <c r="T609" t="s">
        <v>4789</v>
      </c>
      <c r="U609">
        <v>1</v>
      </c>
      <c r="V609">
        <v>396.4</v>
      </c>
      <c r="W609" t="s">
        <v>4343</v>
      </c>
      <c r="Y609" t="b">
        <v>1</v>
      </c>
      <c r="Z609" t="b">
        <v>0</v>
      </c>
      <c r="AA609">
        <v>196.61</v>
      </c>
      <c r="AB609">
        <v>199.79</v>
      </c>
      <c r="AC609">
        <v>13</v>
      </c>
      <c r="AD609" t="b">
        <v>0</v>
      </c>
      <c r="AF609" t="s">
        <v>5286</v>
      </c>
      <c r="AG609" s="1" t="s">
        <v>59</v>
      </c>
      <c r="AH609" s="1" t="s">
        <v>49</v>
      </c>
      <c r="AI609">
        <v>321</v>
      </c>
      <c r="AJ609">
        <v>69</v>
      </c>
      <c r="AK609" s="106">
        <v>45475.635459837962</v>
      </c>
      <c r="AL609" s="1" t="s">
        <v>4790</v>
      </c>
      <c r="AM609" s="42">
        <f>IFERROR(INDEX('Public procurment'!A:R,MATCH(ListOfExpenditure[[#This Row],[Content.contractId]],'Public procurment'!E:E,0),14),0)</f>
        <v>0</v>
      </c>
      <c r="AN609" s="2">
        <f>IF(AND(ListOfExpenditure[[#This Row],[Contract amount]]&gt;10000,ListOfExpenditure[[#This Row],[Content.declaredAmount]]&gt;2000),1,0)</f>
        <v>0</v>
      </c>
      <c r="AO609">
        <f>IFERROR(INDEX('Public procurment'!A:S,MATCH(ListOfExpenditure[[#This Row],[Content.contractId]],'Public procurment'!E:E,0),19),0)</f>
        <v>0</v>
      </c>
      <c r="AP609">
        <f>IF(ListOfExpenditure[[#This Row],[Numero di volte controllato il contract ]]&gt;0,0,ListOfExpenditure[[#This Row],[IF public procurment &gt;10000;1;0]])</f>
        <v>0</v>
      </c>
    </row>
    <row r="610" spans="1:42" x14ac:dyDescent="0.25">
      <c r="A610">
        <v>432</v>
      </c>
      <c r="B610">
        <v>4</v>
      </c>
      <c r="E610" t="s">
        <v>4786</v>
      </c>
      <c r="F610" t="b">
        <v>1</v>
      </c>
      <c r="I610" t="s">
        <v>5287</v>
      </c>
      <c r="K610" t="s">
        <v>4806</v>
      </c>
      <c r="L610" t="s">
        <v>5276</v>
      </c>
      <c r="M610" t="s">
        <v>4788</v>
      </c>
      <c r="N610" t="s">
        <v>4788</v>
      </c>
      <c r="O610">
        <v>3064.16</v>
      </c>
      <c r="Q610">
        <v>0</v>
      </c>
      <c r="R610">
        <v>0</v>
      </c>
      <c r="S610">
        <v>3064.16</v>
      </c>
      <c r="T610" t="s">
        <v>4789</v>
      </c>
      <c r="U610">
        <v>1</v>
      </c>
      <c r="V610">
        <v>3064.16</v>
      </c>
      <c r="W610" t="s">
        <v>4343</v>
      </c>
      <c r="Y610" t="b">
        <v>1</v>
      </c>
      <c r="Z610" t="b">
        <v>0</v>
      </c>
      <c r="AA610">
        <v>296.94</v>
      </c>
      <c r="AB610">
        <v>2767.22</v>
      </c>
      <c r="AC610">
        <v>13</v>
      </c>
      <c r="AD610" t="b">
        <v>0</v>
      </c>
      <c r="AF610" t="s">
        <v>5284</v>
      </c>
      <c r="AG610" s="1" t="s">
        <v>59</v>
      </c>
      <c r="AH610" s="1" t="s">
        <v>49</v>
      </c>
      <c r="AI610">
        <v>321</v>
      </c>
      <c r="AJ610">
        <v>69</v>
      </c>
      <c r="AK610" s="106">
        <v>45475.635459837962</v>
      </c>
      <c r="AL610" s="1" t="s">
        <v>4790</v>
      </c>
      <c r="AM610" s="42">
        <f>IFERROR(INDEX('Public procurment'!A:R,MATCH(ListOfExpenditure[[#This Row],[Content.contractId]],'Public procurment'!E:E,0),14),0)</f>
        <v>0</v>
      </c>
      <c r="AN610" s="2">
        <f>IF(AND(ListOfExpenditure[[#This Row],[Contract amount]]&gt;10000,ListOfExpenditure[[#This Row],[Content.declaredAmount]]&gt;2000),1,0)</f>
        <v>0</v>
      </c>
      <c r="AO610">
        <f>IFERROR(INDEX('Public procurment'!A:S,MATCH(ListOfExpenditure[[#This Row],[Content.contractId]],'Public procurment'!E:E,0),19),0)</f>
        <v>0</v>
      </c>
      <c r="AP610">
        <f>IF(ListOfExpenditure[[#This Row],[Numero di volte controllato il contract ]]&gt;0,0,ListOfExpenditure[[#This Row],[IF public procurment &gt;10000;1;0]])</f>
        <v>0</v>
      </c>
    </row>
    <row r="611" spans="1:42" x14ac:dyDescent="0.25">
      <c r="A611">
        <v>440</v>
      </c>
      <c r="B611">
        <v>5</v>
      </c>
      <c r="E611" t="s">
        <v>4786</v>
      </c>
      <c r="F611" t="b">
        <v>1</v>
      </c>
      <c r="I611" t="s">
        <v>5288</v>
      </c>
      <c r="K611" t="s">
        <v>4806</v>
      </c>
      <c r="L611" t="s">
        <v>5276</v>
      </c>
      <c r="M611" t="s">
        <v>4788</v>
      </c>
      <c r="N611" t="s">
        <v>4788</v>
      </c>
      <c r="O611">
        <v>850.62</v>
      </c>
      <c r="Q611">
        <v>0</v>
      </c>
      <c r="R611">
        <v>0</v>
      </c>
      <c r="S611">
        <v>850.62</v>
      </c>
      <c r="T611" t="s">
        <v>4789</v>
      </c>
      <c r="U611">
        <v>1</v>
      </c>
      <c r="V611">
        <v>850.62</v>
      </c>
      <c r="W611" t="s">
        <v>4343</v>
      </c>
      <c r="Y611" t="b">
        <v>1</v>
      </c>
      <c r="Z611" t="b">
        <v>0</v>
      </c>
      <c r="AA611">
        <v>431.25</v>
      </c>
      <c r="AB611">
        <v>419.37</v>
      </c>
      <c r="AC611">
        <v>13</v>
      </c>
      <c r="AD611" t="b">
        <v>0</v>
      </c>
      <c r="AF611" t="s">
        <v>5284</v>
      </c>
      <c r="AG611" s="1" t="s">
        <v>59</v>
      </c>
      <c r="AH611" s="1" t="s">
        <v>49</v>
      </c>
      <c r="AI611">
        <v>321</v>
      </c>
      <c r="AJ611">
        <v>69</v>
      </c>
      <c r="AK611" s="106">
        <v>45475.635459837962</v>
      </c>
      <c r="AL611" s="1" t="s">
        <v>4790</v>
      </c>
      <c r="AM611" s="42">
        <f>IFERROR(INDEX('Public procurment'!A:R,MATCH(ListOfExpenditure[[#This Row],[Content.contractId]],'Public procurment'!E:E,0),14),0)</f>
        <v>0</v>
      </c>
      <c r="AN611" s="2">
        <f>IF(AND(ListOfExpenditure[[#This Row],[Contract amount]]&gt;10000,ListOfExpenditure[[#This Row],[Content.declaredAmount]]&gt;2000),1,0)</f>
        <v>0</v>
      </c>
      <c r="AO611">
        <f>IFERROR(INDEX('Public procurment'!A:S,MATCH(ListOfExpenditure[[#This Row],[Content.contractId]],'Public procurment'!E:E,0),19),0)</f>
        <v>0</v>
      </c>
      <c r="AP611">
        <f>IF(ListOfExpenditure[[#This Row],[Numero di volte controllato il contract ]]&gt;0,0,ListOfExpenditure[[#This Row],[IF public procurment &gt;10000;1;0]])</f>
        <v>0</v>
      </c>
    </row>
    <row r="612" spans="1:42" x14ac:dyDescent="0.25">
      <c r="A612">
        <v>442</v>
      </c>
      <c r="B612">
        <v>6</v>
      </c>
      <c r="E612" t="s">
        <v>4786</v>
      </c>
      <c r="F612" t="b">
        <v>1</v>
      </c>
      <c r="I612" t="s">
        <v>5289</v>
      </c>
      <c r="K612" t="s">
        <v>4806</v>
      </c>
      <c r="L612" t="s">
        <v>5276</v>
      </c>
      <c r="M612" t="s">
        <v>4788</v>
      </c>
      <c r="N612" t="s">
        <v>4788</v>
      </c>
      <c r="O612">
        <v>365.85</v>
      </c>
      <c r="Q612">
        <v>0</v>
      </c>
      <c r="R612">
        <v>0</v>
      </c>
      <c r="S612">
        <v>365.85</v>
      </c>
      <c r="T612" t="s">
        <v>4789</v>
      </c>
      <c r="U612">
        <v>1</v>
      </c>
      <c r="V612">
        <v>365.85</v>
      </c>
      <c r="W612" t="s">
        <v>4343</v>
      </c>
      <c r="Y612" t="b">
        <v>1</v>
      </c>
      <c r="Z612" t="b">
        <v>0</v>
      </c>
      <c r="AA612">
        <v>178.39</v>
      </c>
      <c r="AB612">
        <v>187.46</v>
      </c>
      <c r="AC612">
        <v>13</v>
      </c>
      <c r="AD612" t="b">
        <v>0</v>
      </c>
      <c r="AF612" t="s">
        <v>5284</v>
      </c>
      <c r="AG612" s="1" t="s">
        <v>59</v>
      </c>
      <c r="AH612" s="1" t="s">
        <v>49</v>
      </c>
      <c r="AI612">
        <v>321</v>
      </c>
      <c r="AJ612">
        <v>69</v>
      </c>
      <c r="AK612" s="106">
        <v>45475.635459837962</v>
      </c>
      <c r="AL612" s="1" t="s">
        <v>4790</v>
      </c>
      <c r="AM612" s="42">
        <f>IFERROR(INDEX('Public procurment'!A:R,MATCH(ListOfExpenditure[[#This Row],[Content.contractId]],'Public procurment'!E:E,0),14),0)</f>
        <v>0</v>
      </c>
      <c r="AN612" s="2">
        <f>IF(AND(ListOfExpenditure[[#This Row],[Contract amount]]&gt;10000,ListOfExpenditure[[#This Row],[Content.declaredAmount]]&gt;2000),1,0)</f>
        <v>0</v>
      </c>
      <c r="AO612">
        <f>IFERROR(INDEX('Public procurment'!A:S,MATCH(ListOfExpenditure[[#This Row],[Content.contractId]],'Public procurment'!E:E,0),19),0)</f>
        <v>0</v>
      </c>
      <c r="AP612">
        <f>IF(ListOfExpenditure[[#This Row],[Numero di volte controllato il contract ]]&gt;0,0,ListOfExpenditure[[#This Row],[IF public procurment &gt;10000;1;0]])</f>
        <v>0</v>
      </c>
    </row>
    <row r="613" spans="1:42" x14ac:dyDescent="0.25">
      <c r="A613">
        <v>444</v>
      </c>
      <c r="B613">
        <v>7</v>
      </c>
      <c r="E613" t="s">
        <v>4786</v>
      </c>
      <c r="F613" t="b">
        <v>1</v>
      </c>
      <c r="I613" t="s">
        <v>5290</v>
      </c>
      <c r="K613" t="s">
        <v>4806</v>
      </c>
      <c r="L613" t="s">
        <v>5276</v>
      </c>
      <c r="M613" t="s">
        <v>4788</v>
      </c>
      <c r="N613" t="s">
        <v>4788</v>
      </c>
      <c r="O613">
        <v>3631.34</v>
      </c>
      <c r="Q613">
        <v>0</v>
      </c>
      <c r="R613">
        <v>0</v>
      </c>
      <c r="S613">
        <v>3631.34</v>
      </c>
      <c r="T613" t="s">
        <v>4789</v>
      </c>
      <c r="U613">
        <v>1</v>
      </c>
      <c r="V613">
        <v>3631.34</v>
      </c>
      <c r="W613" t="s">
        <v>4343</v>
      </c>
      <c r="Y613" t="b">
        <v>1</v>
      </c>
      <c r="Z613" t="b">
        <v>0</v>
      </c>
      <c r="AA613">
        <v>401.72</v>
      </c>
      <c r="AB613">
        <v>3229.62</v>
      </c>
      <c r="AC613">
        <v>13</v>
      </c>
      <c r="AD613" t="b">
        <v>0</v>
      </c>
      <c r="AF613" t="s">
        <v>5284</v>
      </c>
      <c r="AG613" s="1" t="s">
        <v>59</v>
      </c>
      <c r="AH613" s="1" t="s">
        <v>49</v>
      </c>
      <c r="AI613">
        <v>321</v>
      </c>
      <c r="AJ613">
        <v>69</v>
      </c>
      <c r="AK613" s="106">
        <v>45475.635459837962</v>
      </c>
      <c r="AL613" s="1" t="s">
        <v>4790</v>
      </c>
      <c r="AM613" s="42">
        <f>IFERROR(INDEX('Public procurment'!A:R,MATCH(ListOfExpenditure[[#This Row],[Content.contractId]],'Public procurment'!E:E,0),14),0)</f>
        <v>0</v>
      </c>
      <c r="AN613" s="2">
        <f>IF(AND(ListOfExpenditure[[#This Row],[Contract amount]]&gt;10000,ListOfExpenditure[[#This Row],[Content.declaredAmount]]&gt;2000),1,0)</f>
        <v>0</v>
      </c>
      <c r="AO613">
        <f>IFERROR(INDEX('Public procurment'!A:S,MATCH(ListOfExpenditure[[#This Row],[Content.contractId]],'Public procurment'!E:E,0),19),0)</f>
        <v>0</v>
      </c>
      <c r="AP613">
        <f>IF(ListOfExpenditure[[#This Row],[Numero di volte controllato il contract ]]&gt;0,0,ListOfExpenditure[[#This Row],[IF public procurment &gt;10000;1;0]])</f>
        <v>0</v>
      </c>
    </row>
    <row r="614" spans="1:42" x14ac:dyDescent="0.25">
      <c r="A614">
        <v>559</v>
      </c>
      <c r="B614">
        <v>1</v>
      </c>
      <c r="E614" t="s">
        <v>4786</v>
      </c>
      <c r="F614" t="b">
        <v>0</v>
      </c>
      <c r="I614" t="s">
        <v>212</v>
      </c>
      <c r="M614" t="s">
        <v>4788</v>
      </c>
      <c r="N614" t="s">
        <v>4788</v>
      </c>
      <c r="O614">
        <v>0</v>
      </c>
      <c r="Q614">
        <v>0</v>
      </c>
      <c r="R614">
        <v>0</v>
      </c>
      <c r="S614">
        <v>0</v>
      </c>
      <c r="T614" t="s">
        <v>4789</v>
      </c>
      <c r="U614">
        <v>1</v>
      </c>
      <c r="V614">
        <v>0</v>
      </c>
      <c r="Y614" t="b">
        <v>0</v>
      </c>
      <c r="Z614" t="b">
        <v>0</v>
      </c>
      <c r="AA614">
        <v>0</v>
      </c>
      <c r="AB614">
        <v>0</v>
      </c>
      <c r="AD614" t="b">
        <v>0</v>
      </c>
      <c r="AG614" s="1" t="s">
        <v>59</v>
      </c>
      <c r="AH614" s="1" t="s">
        <v>4547</v>
      </c>
      <c r="AI614">
        <v>315</v>
      </c>
      <c r="AJ614">
        <v>109</v>
      </c>
      <c r="AK614" s="106">
        <v>45475.635460428239</v>
      </c>
      <c r="AL614" s="1" t="s">
        <v>4790</v>
      </c>
      <c r="AM614" s="42">
        <f>IFERROR(INDEX('Public procurment'!A:R,MATCH(ListOfExpenditure[[#This Row],[Content.contractId]],'Public procurment'!E:E,0),14),0)</f>
        <v>0</v>
      </c>
      <c r="AN614" s="2">
        <f>IF(AND(ListOfExpenditure[[#This Row],[Contract amount]]&gt;10000,ListOfExpenditure[[#This Row],[Content.declaredAmount]]&gt;2000),1,0)</f>
        <v>0</v>
      </c>
      <c r="AO614">
        <f>IFERROR(INDEX('Public procurment'!A:S,MATCH(ListOfExpenditure[[#This Row],[Content.contractId]],'Public procurment'!E:E,0),19),0)</f>
        <v>0</v>
      </c>
      <c r="AP614">
        <f>IF(ListOfExpenditure[[#This Row],[Numero di volte controllato il contract ]]&gt;0,0,ListOfExpenditure[[#This Row],[IF public procurment &gt;10000;1;0]])</f>
        <v>0</v>
      </c>
    </row>
    <row r="615" spans="1:42" x14ac:dyDescent="0.25">
      <c r="A615">
        <v>1867</v>
      </c>
      <c r="B615">
        <v>1</v>
      </c>
      <c r="E615" t="s">
        <v>4786</v>
      </c>
      <c r="F615" t="b">
        <v>0</v>
      </c>
      <c r="I615" t="s">
        <v>212</v>
      </c>
      <c r="M615" t="s">
        <v>4788</v>
      </c>
      <c r="N615" t="s">
        <v>4788</v>
      </c>
      <c r="O615">
        <v>0</v>
      </c>
      <c r="Q615">
        <v>0</v>
      </c>
      <c r="R615">
        <v>0</v>
      </c>
      <c r="S615">
        <v>0</v>
      </c>
      <c r="T615" t="s">
        <v>4789</v>
      </c>
      <c r="U615">
        <v>1</v>
      </c>
      <c r="V615">
        <v>0</v>
      </c>
      <c r="Y615" t="b">
        <v>0</v>
      </c>
      <c r="Z615" t="b">
        <v>0</v>
      </c>
      <c r="AA615">
        <v>0</v>
      </c>
      <c r="AB615">
        <v>0</v>
      </c>
      <c r="AD615" t="b">
        <v>0</v>
      </c>
      <c r="AG615" s="1" t="s">
        <v>59</v>
      </c>
      <c r="AH615" s="1" t="s">
        <v>4547</v>
      </c>
      <c r="AI615">
        <v>315</v>
      </c>
      <c r="AJ615">
        <v>328</v>
      </c>
      <c r="AK615" s="106">
        <v>45475.635513958332</v>
      </c>
      <c r="AL615" s="1" t="s">
        <v>4790</v>
      </c>
      <c r="AM615" s="42">
        <f>IFERROR(INDEX('Public procurment'!A:R,MATCH(ListOfExpenditure[[#This Row],[Content.contractId]],'Public procurment'!E:E,0),14),0)</f>
        <v>0</v>
      </c>
      <c r="AN615" s="2">
        <f>IF(AND(ListOfExpenditure[[#This Row],[Contract amount]]&gt;10000,ListOfExpenditure[[#This Row],[Content.declaredAmount]]&gt;2000),1,0)</f>
        <v>0</v>
      </c>
      <c r="AO615">
        <f>IFERROR(INDEX('Public procurment'!A:S,MATCH(ListOfExpenditure[[#This Row],[Content.contractId]],'Public procurment'!E:E,0),19),0)</f>
        <v>0</v>
      </c>
      <c r="AP615">
        <f>IF(ListOfExpenditure[[#This Row],[Numero di volte controllato il contract ]]&gt;0,0,ListOfExpenditure[[#This Row],[IF public procurment &gt;10000;1;0]])</f>
        <v>0</v>
      </c>
    </row>
    <row r="616" spans="1:42" x14ac:dyDescent="0.25">
      <c r="A616">
        <v>139</v>
      </c>
      <c r="B616">
        <v>1</v>
      </c>
      <c r="C616">
        <v>41</v>
      </c>
      <c r="E616" t="s">
        <v>4893</v>
      </c>
      <c r="F616" t="b">
        <v>1</v>
      </c>
      <c r="M616" t="s">
        <v>4788</v>
      </c>
      <c r="N616" t="s">
        <v>4788</v>
      </c>
      <c r="Q616">
        <v>1</v>
      </c>
      <c r="R616">
        <v>9000</v>
      </c>
      <c r="S616">
        <v>9000</v>
      </c>
      <c r="T616" t="s">
        <v>4789</v>
      </c>
      <c r="U616">
        <v>1</v>
      </c>
      <c r="V616">
        <v>9000</v>
      </c>
      <c r="W616" t="s">
        <v>4343</v>
      </c>
      <c r="Y616" t="b">
        <v>1</v>
      </c>
      <c r="Z616" t="b">
        <v>0</v>
      </c>
      <c r="AA616">
        <v>9000</v>
      </c>
      <c r="AB616">
        <v>0</v>
      </c>
      <c r="AD616" t="b">
        <v>0</v>
      </c>
      <c r="AG616" s="1" t="s">
        <v>59</v>
      </c>
      <c r="AH616" s="1" t="s">
        <v>52</v>
      </c>
      <c r="AI616">
        <v>314</v>
      </c>
      <c r="AJ616">
        <v>63</v>
      </c>
      <c r="AK616" s="106">
        <v>45475.635463437502</v>
      </c>
      <c r="AL616" s="1" t="s">
        <v>4790</v>
      </c>
      <c r="AM616" s="42">
        <f>IFERROR(INDEX('Public procurment'!A:R,MATCH(ListOfExpenditure[[#This Row],[Content.contractId]],'Public procurment'!E:E,0),14),0)</f>
        <v>0</v>
      </c>
      <c r="AN616" s="2">
        <f>IF(AND(ListOfExpenditure[[#This Row],[Contract amount]]&gt;10000,ListOfExpenditure[[#This Row],[Content.declaredAmount]]&gt;2000),1,0)</f>
        <v>0</v>
      </c>
      <c r="AO616">
        <f>IFERROR(INDEX('Public procurment'!A:S,MATCH(ListOfExpenditure[[#This Row],[Content.contractId]],'Public procurment'!E:E,0),19),0)</f>
        <v>0</v>
      </c>
      <c r="AP616">
        <f>IF(ListOfExpenditure[[#This Row],[Numero di volte controllato il contract ]]&gt;0,0,ListOfExpenditure[[#This Row],[IF public procurment &gt;10000;1;0]])</f>
        <v>0</v>
      </c>
    </row>
    <row r="617" spans="1:42" x14ac:dyDescent="0.25">
      <c r="A617">
        <v>140</v>
      </c>
      <c r="B617">
        <v>2</v>
      </c>
      <c r="E617" t="s">
        <v>4798</v>
      </c>
      <c r="F617" t="b">
        <v>1</v>
      </c>
      <c r="H617">
        <v>22</v>
      </c>
      <c r="I617" t="s">
        <v>5291</v>
      </c>
      <c r="J617" t="s">
        <v>5292</v>
      </c>
      <c r="K617" t="s">
        <v>5293</v>
      </c>
      <c r="L617" t="s">
        <v>5294</v>
      </c>
      <c r="M617" t="s">
        <v>4788</v>
      </c>
      <c r="N617" t="s">
        <v>4788</v>
      </c>
      <c r="O617">
        <v>109.8</v>
      </c>
      <c r="P617">
        <v>19.8</v>
      </c>
      <c r="Q617">
        <v>0</v>
      </c>
      <c r="R617">
        <v>0</v>
      </c>
      <c r="S617">
        <v>109.8</v>
      </c>
      <c r="T617" t="s">
        <v>4789</v>
      </c>
      <c r="U617">
        <v>1</v>
      </c>
      <c r="V617">
        <v>109.8</v>
      </c>
      <c r="W617" t="s">
        <v>4343</v>
      </c>
      <c r="Y617" t="b">
        <v>1</v>
      </c>
      <c r="Z617" t="b">
        <v>0</v>
      </c>
      <c r="AA617">
        <v>109.8</v>
      </c>
      <c r="AB617">
        <v>0</v>
      </c>
      <c r="AD617" t="b">
        <v>0</v>
      </c>
      <c r="AG617" s="1" t="s">
        <v>59</v>
      </c>
      <c r="AH617" s="1" t="s">
        <v>52</v>
      </c>
      <c r="AI617">
        <v>314</v>
      </c>
      <c r="AJ617">
        <v>63</v>
      </c>
      <c r="AK617" s="106">
        <v>45475.635463437502</v>
      </c>
      <c r="AL617" s="1" t="s">
        <v>4790</v>
      </c>
      <c r="AM617" s="42">
        <f>IFERROR(INDEX('Public procurment'!A:R,MATCH(ListOfExpenditure[[#This Row],[Content.contractId]],'Public procurment'!E:E,0),14),0)</f>
        <v>90</v>
      </c>
      <c r="AN617" s="2">
        <f>IF(AND(ListOfExpenditure[[#This Row],[Contract amount]]&gt;10000,ListOfExpenditure[[#This Row],[Content.declaredAmount]]&gt;2000),1,0)</f>
        <v>0</v>
      </c>
      <c r="AO617">
        <f>IFERROR(INDEX('Public procurment'!A:S,MATCH(ListOfExpenditure[[#This Row],[Content.contractId]],'Public procurment'!E:E,0),19),0)</f>
        <v>1</v>
      </c>
      <c r="AP617">
        <f>IF(ListOfExpenditure[[#This Row],[Numero di volte controllato il contract ]]&gt;0,0,ListOfExpenditure[[#This Row],[IF public procurment &gt;10000;1;0]])</f>
        <v>0</v>
      </c>
    </row>
    <row r="618" spans="1:42" x14ac:dyDescent="0.25">
      <c r="A618">
        <v>141</v>
      </c>
      <c r="B618">
        <v>3</v>
      </c>
      <c r="E618" t="s">
        <v>4798</v>
      </c>
      <c r="F618" t="b">
        <v>1</v>
      </c>
      <c r="H618">
        <v>21</v>
      </c>
      <c r="I618" t="s">
        <v>5295</v>
      </c>
      <c r="J618" t="s">
        <v>5296</v>
      </c>
      <c r="K618" t="s">
        <v>5297</v>
      </c>
      <c r="L618" t="s">
        <v>5298</v>
      </c>
      <c r="M618" t="s">
        <v>4788</v>
      </c>
      <c r="N618" t="s">
        <v>4788</v>
      </c>
      <c r="O618">
        <v>240</v>
      </c>
      <c r="P618">
        <v>0</v>
      </c>
      <c r="Q618">
        <v>0</v>
      </c>
      <c r="R618">
        <v>0</v>
      </c>
      <c r="S618">
        <v>240</v>
      </c>
      <c r="T618" t="s">
        <v>4789</v>
      </c>
      <c r="U618">
        <v>1</v>
      </c>
      <c r="V618">
        <v>240</v>
      </c>
      <c r="W618" t="s">
        <v>4343</v>
      </c>
      <c r="Y618" t="b">
        <v>1</v>
      </c>
      <c r="Z618" t="b">
        <v>0</v>
      </c>
      <c r="AA618">
        <v>240</v>
      </c>
      <c r="AB618">
        <v>0</v>
      </c>
      <c r="AD618" t="b">
        <v>0</v>
      </c>
      <c r="AG618" s="1" t="s">
        <v>59</v>
      </c>
      <c r="AH618" s="1" t="s">
        <v>52</v>
      </c>
      <c r="AI618">
        <v>314</v>
      </c>
      <c r="AJ618">
        <v>63</v>
      </c>
      <c r="AK618" s="106">
        <v>45475.635463437502</v>
      </c>
      <c r="AL618" s="1" t="s">
        <v>4790</v>
      </c>
      <c r="AM618" s="42">
        <f>IFERROR(INDEX('Public procurment'!A:R,MATCH(ListOfExpenditure[[#This Row],[Content.contractId]],'Public procurment'!E:E,0),14),0)</f>
        <v>240</v>
      </c>
      <c r="AN618" s="2">
        <f>IF(AND(ListOfExpenditure[[#This Row],[Contract amount]]&gt;10000,ListOfExpenditure[[#This Row],[Content.declaredAmount]]&gt;2000),1,0)</f>
        <v>0</v>
      </c>
      <c r="AO618">
        <f>IFERROR(INDEX('Public procurment'!A:S,MATCH(ListOfExpenditure[[#This Row],[Content.contractId]],'Public procurment'!E:E,0),19),0)</f>
        <v>1</v>
      </c>
      <c r="AP618">
        <f>IF(ListOfExpenditure[[#This Row],[Numero di volte controllato il contract ]]&gt;0,0,ListOfExpenditure[[#This Row],[IF public procurment &gt;10000;1;0]])</f>
        <v>0</v>
      </c>
    </row>
    <row r="619" spans="1:42" x14ac:dyDescent="0.25">
      <c r="A619">
        <v>275</v>
      </c>
      <c r="B619">
        <v>4</v>
      </c>
      <c r="E619" t="s">
        <v>4798</v>
      </c>
      <c r="F619" t="b">
        <v>1</v>
      </c>
      <c r="H619">
        <v>37</v>
      </c>
      <c r="I619" t="s">
        <v>5299</v>
      </c>
      <c r="J619" t="s">
        <v>5300</v>
      </c>
      <c r="K619" t="s">
        <v>5301</v>
      </c>
      <c r="L619" t="s">
        <v>5302</v>
      </c>
      <c r="M619" t="s">
        <v>4788</v>
      </c>
      <c r="N619" t="s">
        <v>4788</v>
      </c>
      <c r="O619">
        <v>190.32</v>
      </c>
      <c r="P619">
        <v>34.32</v>
      </c>
      <c r="Q619">
        <v>0</v>
      </c>
      <c r="R619">
        <v>0</v>
      </c>
      <c r="S619">
        <v>190.32</v>
      </c>
      <c r="T619" t="s">
        <v>4789</v>
      </c>
      <c r="U619">
        <v>1</v>
      </c>
      <c r="V619">
        <v>190.32</v>
      </c>
      <c r="W619" t="s">
        <v>4343</v>
      </c>
      <c r="Y619" t="b">
        <v>1</v>
      </c>
      <c r="Z619" t="b">
        <v>0</v>
      </c>
      <c r="AA619">
        <v>190.32</v>
      </c>
      <c r="AB619">
        <v>0</v>
      </c>
      <c r="AD619" t="b">
        <v>0</v>
      </c>
      <c r="AG619" s="1" t="s">
        <v>59</v>
      </c>
      <c r="AH619" s="1" t="s">
        <v>52</v>
      </c>
      <c r="AI619">
        <v>314</v>
      </c>
      <c r="AJ619">
        <v>63</v>
      </c>
      <c r="AK619" s="106">
        <v>45475.635463437502</v>
      </c>
      <c r="AL619" s="1" t="s">
        <v>4790</v>
      </c>
      <c r="AM619" s="42">
        <f>IFERROR(INDEX('Public procurment'!A:R,MATCH(ListOfExpenditure[[#This Row],[Content.contractId]],'Public procurment'!E:E,0),14),0)</f>
        <v>156</v>
      </c>
      <c r="AN619" s="2">
        <f>IF(AND(ListOfExpenditure[[#This Row],[Contract amount]]&gt;10000,ListOfExpenditure[[#This Row],[Content.declaredAmount]]&gt;2000),1,0)</f>
        <v>0</v>
      </c>
      <c r="AO619">
        <f>IFERROR(INDEX('Public procurment'!A:S,MATCH(ListOfExpenditure[[#This Row],[Content.contractId]],'Public procurment'!E:E,0),19),0)</f>
        <v>1</v>
      </c>
      <c r="AP619">
        <f>IF(ListOfExpenditure[[#This Row],[Numero di volte controllato il contract ]]&gt;0,0,ListOfExpenditure[[#This Row],[IF public procurment &gt;10000;1;0]])</f>
        <v>0</v>
      </c>
    </row>
    <row r="620" spans="1:42" x14ac:dyDescent="0.25">
      <c r="A620">
        <v>276</v>
      </c>
      <c r="B620">
        <v>5</v>
      </c>
      <c r="E620" t="s">
        <v>4798</v>
      </c>
      <c r="F620" t="b">
        <v>1</v>
      </c>
      <c r="H620">
        <v>38</v>
      </c>
      <c r="I620" t="s">
        <v>5303</v>
      </c>
      <c r="J620" t="s">
        <v>5304</v>
      </c>
      <c r="K620" t="s">
        <v>5305</v>
      </c>
      <c r="L620" t="s">
        <v>5306</v>
      </c>
      <c r="M620" t="s">
        <v>4788</v>
      </c>
      <c r="N620" t="s">
        <v>4788</v>
      </c>
      <c r="O620">
        <v>854</v>
      </c>
      <c r="P620">
        <v>154</v>
      </c>
      <c r="Q620">
        <v>0</v>
      </c>
      <c r="R620">
        <v>0</v>
      </c>
      <c r="S620">
        <v>854</v>
      </c>
      <c r="T620" t="s">
        <v>4789</v>
      </c>
      <c r="U620">
        <v>1</v>
      </c>
      <c r="V620">
        <v>854</v>
      </c>
      <c r="W620" t="s">
        <v>4343</v>
      </c>
      <c r="Y620" t="b">
        <v>1</v>
      </c>
      <c r="Z620" t="b">
        <v>0</v>
      </c>
      <c r="AA620">
        <v>854</v>
      </c>
      <c r="AB620">
        <v>0</v>
      </c>
      <c r="AD620" t="b">
        <v>0</v>
      </c>
      <c r="AG620" s="1" t="s">
        <v>59</v>
      </c>
      <c r="AH620" s="1" t="s">
        <v>52</v>
      </c>
      <c r="AI620">
        <v>314</v>
      </c>
      <c r="AJ620">
        <v>63</v>
      </c>
      <c r="AK620" s="106">
        <v>45475.635463437502</v>
      </c>
      <c r="AL620" s="1" t="s">
        <v>4790</v>
      </c>
      <c r="AM620" s="42">
        <f>IFERROR(INDEX('Public procurment'!A:R,MATCH(ListOfExpenditure[[#This Row],[Content.contractId]],'Public procurment'!E:E,0),14),0)</f>
        <v>700</v>
      </c>
      <c r="AN620" s="2">
        <f>IF(AND(ListOfExpenditure[[#This Row],[Contract amount]]&gt;10000,ListOfExpenditure[[#This Row],[Content.declaredAmount]]&gt;2000),1,0)</f>
        <v>0</v>
      </c>
      <c r="AO620">
        <f>IFERROR(INDEX('Public procurment'!A:S,MATCH(ListOfExpenditure[[#This Row],[Content.contractId]],'Public procurment'!E:E,0),19),0)</f>
        <v>1</v>
      </c>
      <c r="AP620">
        <f>IF(ListOfExpenditure[[#This Row],[Numero di volte controllato il contract ]]&gt;0,0,ListOfExpenditure[[#This Row],[IF public procurment &gt;10000;1;0]])</f>
        <v>0</v>
      </c>
    </row>
    <row r="621" spans="1:42" x14ac:dyDescent="0.25">
      <c r="A621">
        <v>287</v>
      </c>
      <c r="B621">
        <v>6</v>
      </c>
      <c r="E621" t="s">
        <v>4798</v>
      </c>
      <c r="F621" t="b">
        <v>1</v>
      </c>
      <c r="H621">
        <v>39</v>
      </c>
      <c r="I621" t="s">
        <v>5307</v>
      </c>
      <c r="J621" t="s">
        <v>5308</v>
      </c>
      <c r="K621" t="s">
        <v>5309</v>
      </c>
      <c r="L621" t="s">
        <v>5310</v>
      </c>
      <c r="M621" t="s">
        <v>4788</v>
      </c>
      <c r="N621" t="s">
        <v>4788</v>
      </c>
      <c r="O621">
        <v>134.72</v>
      </c>
      <c r="P621">
        <v>0</v>
      </c>
      <c r="Q621">
        <v>0</v>
      </c>
      <c r="R621">
        <v>0</v>
      </c>
      <c r="S621">
        <v>134.72</v>
      </c>
      <c r="T621" t="s">
        <v>4789</v>
      </c>
      <c r="U621">
        <v>1</v>
      </c>
      <c r="V621">
        <v>134.72</v>
      </c>
      <c r="W621" t="s">
        <v>4343</v>
      </c>
      <c r="Y621" t="b">
        <v>1</v>
      </c>
      <c r="Z621" t="b">
        <v>0</v>
      </c>
      <c r="AA621">
        <v>134.72</v>
      </c>
      <c r="AB621">
        <v>0</v>
      </c>
      <c r="AD621" t="b">
        <v>0</v>
      </c>
      <c r="AG621" s="1" t="s">
        <v>59</v>
      </c>
      <c r="AH621" s="1" t="s">
        <v>52</v>
      </c>
      <c r="AI621">
        <v>314</v>
      </c>
      <c r="AJ621">
        <v>63</v>
      </c>
      <c r="AK621" s="106">
        <v>45475.635463437502</v>
      </c>
      <c r="AL621" s="1" t="s">
        <v>4790</v>
      </c>
      <c r="AM621" s="42">
        <f>IFERROR(INDEX('Public procurment'!A:R,MATCH(ListOfExpenditure[[#This Row],[Content.contractId]],'Public procurment'!E:E,0),14),0)</f>
        <v>134.72</v>
      </c>
      <c r="AN621" s="2">
        <f>IF(AND(ListOfExpenditure[[#This Row],[Contract amount]]&gt;10000,ListOfExpenditure[[#This Row],[Content.declaredAmount]]&gt;2000),1,0)</f>
        <v>0</v>
      </c>
      <c r="AO621">
        <f>IFERROR(INDEX('Public procurment'!A:S,MATCH(ListOfExpenditure[[#This Row],[Content.contractId]],'Public procurment'!E:E,0),19),0)</f>
        <v>1</v>
      </c>
      <c r="AP621">
        <f>IF(ListOfExpenditure[[#This Row],[Numero di volte controllato il contract ]]&gt;0,0,ListOfExpenditure[[#This Row],[IF public procurment &gt;10000;1;0]])</f>
        <v>0</v>
      </c>
    </row>
    <row r="622" spans="1:42" x14ac:dyDescent="0.25">
      <c r="A622">
        <v>291</v>
      </c>
      <c r="B622">
        <v>7</v>
      </c>
      <c r="E622" t="s">
        <v>4798</v>
      </c>
      <c r="F622" t="b">
        <v>1</v>
      </c>
      <c r="H622">
        <v>40</v>
      </c>
      <c r="I622" t="s">
        <v>5311</v>
      </c>
      <c r="J622" t="s">
        <v>5312</v>
      </c>
      <c r="K622" t="s">
        <v>5309</v>
      </c>
      <c r="L622" t="s">
        <v>5294</v>
      </c>
      <c r="M622" t="s">
        <v>4788</v>
      </c>
      <c r="N622" t="s">
        <v>4788</v>
      </c>
      <c r="O622">
        <v>76.86</v>
      </c>
      <c r="P622">
        <v>13.86</v>
      </c>
      <c r="Q622">
        <v>0</v>
      </c>
      <c r="R622">
        <v>0</v>
      </c>
      <c r="S622">
        <v>76.86</v>
      </c>
      <c r="T622" t="s">
        <v>4789</v>
      </c>
      <c r="U622">
        <v>1</v>
      </c>
      <c r="V622">
        <v>76.86</v>
      </c>
      <c r="W622" t="s">
        <v>4343</v>
      </c>
      <c r="Y622" t="b">
        <v>1</v>
      </c>
      <c r="Z622" t="b">
        <v>0</v>
      </c>
      <c r="AA622">
        <v>76.86</v>
      </c>
      <c r="AB622">
        <v>0</v>
      </c>
      <c r="AD622" t="b">
        <v>0</v>
      </c>
      <c r="AG622" s="1" t="s">
        <v>59</v>
      </c>
      <c r="AH622" s="1" t="s">
        <v>52</v>
      </c>
      <c r="AI622">
        <v>314</v>
      </c>
      <c r="AJ622">
        <v>63</v>
      </c>
      <c r="AK622" s="106">
        <v>45475.635463437502</v>
      </c>
      <c r="AL622" s="1" t="s">
        <v>4790</v>
      </c>
      <c r="AM622" s="42">
        <f>IFERROR(INDEX('Public procurment'!A:R,MATCH(ListOfExpenditure[[#This Row],[Content.contractId]],'Public procurment'!E:E,0),14),0)</f>
        <v>63</v>
      </c>
      <c r="AN622" s="2">
        <f>IF(AND(ListOfExpenditure[[#This Row],[Contract amount]]&gt;10000,ListOfExpenditure[[#This Row],[Content.declaredAmount]]&gt;2000),1,0)</f>
        <v>0</v>
      </c>
      <c r="AO622">
        <f>IFERROR(INDEX('Public procurment'!A:S,MATCH(ListOfExpenditure[[#This Row],[Content.contractId]],'Public procurment'!E:E,0),19),0)</f>
        <v>1</v>
      </c>
      <c r="AP622">
        <f>IF(ListOfExpenditure[[#This Row],[Numero di volte controllato il contract ]]&gt;0,0,ListOfExpenditure[[#This Row],[IF public procurment &gt;10000;1;0]])</f>
        <v>0</v>
      </c>
    </row>
    <row r="623" spans="1:42" x14ac:dyDescent="0.25">
      <c r="A623">
        <v>298</v>
      </c>
      <c r="B623">
        <v>8</v>
      </c>
      <c r="E623" t="s">
        <v>4850</v>
      </c>
      <c r="F623" t="b">
        <v>1</v>
      </c>
      <c r="H623">
        <v>41</v>
      </c>
      <c r="I623" t="s">
        <v>5313</v>
      </c>
      <c r="J623" t="s">
        <v>5314</v>
      </c>
      <c r="K623" t="s">
        <v>5309</v>
      </c>
      <c r="L623" t="s">
        <v>5315</v>
      </c>
      <c r="M623" t="s">
        <v>4788</v>
      </c>
      <c r="N623" t="s">
        <v>4788</v>
      </c>
      <c r="O623">
        <v>2992.76</v>
      </c>
      <c r="P623">
        <v>539.67999999999995</v>
      </c>
      <c r="Q623">
        <v>0</v>
      </c>
      <c r="R623">
        <v>0</v>
      </c>
      <c r="S623">
        <v>2992.76</v>
      </c>
      <c r="T623" t="s">
        <v>4789</v>
      </c>
      <c r="U623">
        <v>1</v>
      </c>
      <c r="V623">
        <v>2992.76</v>
      </c>
      <c r="W623" t="s">
        <v>4343</v>
      </c>
      <c r="Y623" t="b">
        <v>1</v>
      </c>
      <c r="Z623" t="b">
        <v>0</v>
      </c>
      <c r="AA623">
        <v>2992.76</v>
      </c>
      <c r="AB623">
        <v>0</v>
      </c>
      <c r="AD623" t="b">
        <v>0</v>
      </c>
      <c r="AG623" s="1" t="s">
        <v>59</v>
      </c>
      <c r="AH623" s="1" t="s">
        <v>52</v>
      </c>
      <c r="AI623">
        <v>314</v>
      </c>
      <c r="AJ623">
        <v>63</v>
      </c>
      <c r="AK623" s="106">
        <v>45475.635463437502</v>
      </c>
      <c r="AL623" s="1" t="s">
        <v>4790</v>
      </c>
      <c r="AM623" s="42">
        <f>IFERROR(INDEX('Public procurment'!A:R,MATCH(ListOfExpenditure[[#This Row],[Content.contractId]],'Public procurment'!E:E,0),14),0)</f>
        <v>2453.08</v>
      </c>
      <c r="AN623" s="2">
        <f>IF(AND(ListOfExpenditure[[#This Row],[Contract amount]]&gt;10000,ListOfExpenditure[[#This Row],[Content.declaredAmount]]&gt;2000),1,0)</f>
        <v>0</v>
      </c>
      <c r="AO623">
        <f>IFERROR(INDEX('Public procurment'!A:S,MATCH(ListOfExpenditure[[#This Row],[Content.contractId]],'Public procurment'!E:E,0),19),0)</f>
        <v>1</v>
      </c>
      <c r="AP623">
        <f>IF(ListOfExpenditure[[#This Row],[Numero di volte controllato il contract ]]&gt;0,0,ListOfExpenditure[[#This Row],[IF public procurment &gt;10000;1;0]])</f>
        <v>0</v>
      </c>
    </row>
    <row r="624" spans="1:42" x14ac:dyDescent="0.25">
      <c r="A624">
        <v>299</v>
      </c>
      <c r="B624">
        <v>9</v>
      </c>
      <c r="E624" t="s">
        <v>4798</v>
      </c>
      <c r="F624" t="b">
        <v>1</v>
      </c>
      <c r="H624">
        <v>42</v>
      </c>
      <c r="I624" t="s">
        <v>5316</v>
      </c>
      <c r="J624" t="s">
        <v>5317</v>
      </c>
      <c r="K624" t="s">
        <v>5318</v>
      </c>
      <c r="L624" t="s">
        <v>5315</v>
      </c>
      <c r="M624" t="s">
        <v>4788</v>
      </c>
      <c r="N624" t="s">
        <v>4788</v>
      </c>
      <c r="O624">
        <v>475.8</v>
      </c>
      <c r="P624">
        <v>85.8</v>
      </c>
      <c r="Q624">
        <v>0</v>
      </c>
      <c r="R624">
        <v>0</v>
      </c>
      <c r="S624">
        <v>475.8</v>
      </c>
      <c r="T624" t="s">
        <v>4789</v>
      </c>
      <c r="U624">
        <v>1</v>
      </c>
      <c r="V624">
        <v>475.8</v>
      </c>
      <c r="W624" t="s">
        <v>4343</v>
      </c>
      <c r="Y624" t="b">
        <v>1</v>
      </c>
      <c r="Z624" t="b">
        <v>0</v>
      </c>
      <c r="AA624">
        <v>475.8</v>
      </c>
      <c r="AB624">
        <v>0</v>
      </c>
      <c r="AD624" t="b">
        <v>0</v>
      </c>
      <c r="AG624" s="1" t="s">
        <v>59</v>
      </c>
      <c r="AH624" s="1" t="s">
        <v>52</v>
      </c>
      <c r="AI624">
        <v>314</v>
      </c>
      <c r="AJ624">
        <v>63</v>
      </c>
      <c r="AK624" s="106">
        <v>45475.635463437502</v>
      </c>
      <c r="AL624" s="1" t="s">
        <v>4790</v>
      </c>
      <c r="AM624" s="42">
        <f>IFERROR(INDEX('Public procurment'!A:R,MATCH(ListOfExpenditure[[#This Row],[Content.contractId]],'Public procurment'!E:E,0),14),0)</f>
        <v>390</v>
      </c>
      <c r="AN624" s="2">
        <f>IF(AND(ListOfExpenditure[[#This Row],[Contract amount]]&gt;10000,ListOfExpenditure[[#This Row],[Content.declaredAmount]]&gt;2000),1,0)</f>
        <v>0</v>
      </c>
      <c r="AO624">
        <f>IFERROR(INDEX('Public procurment'!A:S,MATCH(ListOfExpenditure[[#This Row],[Content.contractId]],'Public procurment'!E:E,0),19),0)</f>
        <v>1</v>
      </c>
      <c r="AP624">
        <f>IF(ListOfExpenditure[[#This Row],[Numero di volte controllato il contract ]]&gt;0,0,ListOfExpenditure[[#This Row],[IF public procurment &gt;10000;1;0]])</f>
        <v>0</v>
      </c>
    </row>
    <row r="625" spans="1:42" x14ac:dyDescent="0.25">
      <c r="A625">
        <v>354</v>
      </c>
      <c r="B625">
        <v>10</v>
      </c>
      <c r="E625" t="s">
        <v>4798</v>
      </c>
      <c r="F625" t="b">
        <v>1</v>
      </c>
      <c r="H625">
        <v>43</v>
      </c>
      <c r="I625" t="s">
        <v>5319</v>
      </c>
      <c r="J625" t="s">
        <v>5320</v>
      </c>
      <c r="K625" t="s">
        <v>5321</v>
      </c>
      <c r="L625" t="s">
        <v>5315</v>
      </c>
      <c r="M625" t="s">
        <v>4788</v>
      </c>
      <c r="N625" t="s">
        <v>4788</v>
      </c>
      <c r="O625">
        <v>72.05</v>
      </c>
      <c r="P625">
        <v>12.99</v>
      </c>
      <c r="Q625">
        <v>0</v>
      </c>
      <c r="R625">
        <v>0</v>
      </c>
      <c r="S625">
        <v>72.05</v>
      </c>
      <c r="T625" t="s">
        <v>4789</v>
      </c>
      <c r="U625">
        <v>1</v>
      </c>
      <c r="V625">
        <v>72.05</v>
      </c>
      <c r="W625" t="s">
        <v>4343</v>
      </c>
      <c r="Y625" t="b">
        <v>1</v>
      </c>
      <c r="Z625" t="b">
        <v>0</v>
      </c>
      <c r="AA625">
        <v>72.05</v>
      </c>
      <c r="AB625">
        <v>0</v>
      </c>
      <c r="AD625" t="b">
        <v>0</v>
      </c>
      <c r="AG625" s="1" t="s">
        <v>59</v>
      </c>
      <c r="AH625" s="1" t="s">
        <v>52</v>
      </c>
      <c r="AI625">
        <v>314</v>
      </c>
      <c r="AJ625">
        <v>63</v>
      </c>
      <c r="AK625" s="106">
        <v>45475.635463437502</v>
      </c>
      <c r="AL625" s="1" t="s">
        <v>4790</v>
      </c>
      <c r="AM625" s="42">
        <f>IFERROR(INDEX('Public procurment'!A:R,MATCH(ListOfExpenditure[[#This Row],[Content.contractId]],'Public procurment'!E:E,0),14),0)</f>
        <v>62.17</v>
      </c>
      <c r="AN625" s="2">
        <f>IF(AND(ListOfExpenditure[[#This Row],[Contract amount]]&gt;10000,ListOfExpenditure[[#This Row],[Content.declaredAmount]]&gt;2000),1,0)</f>
        <v>0</v>
      </c>
      <c r="AO625">
        <f>IFERROR(INDEX('Public procurment'!A:S,MATCH(ListOfExpenditure[[#This Row],[Content.contractId]],'Public procurment'!E:E,0),19),0)</f>
        <v>1</v>
      </c>
      <c r="AP625">
        <f>IF(ListOfExpenditure[[#This Row],[Numero di volte controllato il contract ]]&gt;0,0,ListOfExpenditure[[#This Row],[IF public procurment &gt;10000;1;0]])</f>
        <v>0</v>
      </c>
    </row>
    <row r="626" spans="1:42" x14ac:dyDescent="0.25">
      <c r="A626">
        <v>355</v>
      </c>
      <c r="B626">
        <v>11</v>
      </c>
      <c r="E626" t="s">
        <v>4798</v>
      </c>
      <c r="F626" t="b">
        <v>1</v>
      </c>
      <c r="H626">
        <v>44</v>
      </c>
      <c r="I626" t="s">
        <v>5322</v>
      </c>
      <c r="J626" t="s">
        <v>5323</v>
      </c>
      <c r="K626" t="s">
        <v>5302</v>
      </c>
      <c r="L626" t="s">
        <v>5324</v>
      </c>
      <c r="M626" t="s">
        <v>4788</v>
      </c>
      <c r="N626" t="s">
        <v>4788</v>
      </c>
      <c r="O626">
        <v>300</v>
      </c>
      <c r="P626">
        <v>0</v>
      </c>
      <c r="Q626">
        <v>0</v>
      </c>
      <c r="R626">
        <v>0</v>
      </c>
      <c r="S626">
        <v>300</v>
      </c>
      <c r="T626" t="s">
        <v>4789</v>
      </c>
      <c r="U626">
        <v>1</v>
      </c>
      <c r="V626">
        <v>300</v>
      </c>
      <c r="W626" t="s">
        <v>4343</v>
      </c>
      <c r="Y626" t="b">
        <v>1</v>
      </c>
      <c r="Z626" t="b">
        <v>0</v>
      </c>
      <c r="AA626">
        <v>300</v>
      </c>
      <c r="AB626">
        <v>0</v>
      </c>
      <c r="AD626" t="b">
        <v>0</v>
      </c>
      <c r="AG626" s="1" t="s">
        <v>59</v>
      </c>
      <c r="AH626" s="1" t="s">
        <v>52</v>
      </c>
      <c r="AI626">
        <v>314</v>
      </c>
      <c r="AJ626">
        <v>63</v>
      </c>
      <c r="AK626" s="106">
        <v>45475.635463437502</v>
      </c>
      <c r="AL626" s="1" t="s">
        <v>4790</v>
      </c>
      <c r="AM626" s="42">
        <f>IFERROR(INDEX('Public procurment'!A:R,MATCH(ListOfExpenditure[[#This Row],[Content.contractId]],'Public procurment'!E:E,0),14),0)</f>
        <v>300</v>
      </c>
      <c r="AN626" s="2">
        <f>IF(AND(ListOfExpenditure[[#This Row],[Contract amount]]&gt;10000,ListOfExpenditure[[#This Row],[Content.declaredAmount]]&gt;2000),1,0)</f>
        <v>0</v>
      </c>
      <c r="AO626">
        <f>IFERROR(INDEX('Public procurment'!A:S,MATCH(ListOfExpenditure[[#This Row],[Content.contractId]],'Public procurment'!E:E,0),19),0)</f>
        <v>1</v>
      </c>
      <c r="AP626">
        <f>IF(ListOfExpenditure[[#This Row],[Numero di volte controllato il contract ]]&gt;0,0,ListOfExpenditure[[#This Row],[IF public procurment &gt;10000;1;0]])</f>
        <v>0</v>
      </c>
    </row>
    <row r="627" spans="1:42" x14ac:dyDescent="0.25">
      <c r="A627">
        <v>356</v>
      </c>
      <c r="B627">
        <v>12</v>
      </c>
      <c r="E627" t="s">
        <v>4798</v>
      </c>
      <c r="F627" t="b">
        <v>1</v>
      </c>
      <c r="H627">
        <v>48</v>
      </c>
      <c r="I627" t="s">
        <v>5325</v>
      </c>
      <c r="J627" t="s">
        <v>5326</v>
      </c>
      <c r="K627" t="s">
        <v>5327</v>
      </c>
      <c r="L627" t="s">
        <v>5315</v>
      </c>
      <c r="M627" t="s">
        <v>4788</v>
      </c>
      <c r="N627" t="s">
        <v>4788</v>
      </c>
      <c r="O627">
        <v>680</v>
      </c>
      <c r="P627">
        <v>0</v>
      </c>
      <c r="Q627">
        <v>0</v>
      </c>
      <c r="R627">
        <v>0</v>
      </c>
      <c r="S627">
        <v>680</v>
      </c>
      <c r="T627" t="s">
        <v>4789</v>
      </c>
      <c r="U627">
        <v>1</v>
      </c>
      <c r="V627">
        <v>680</v>
      </c>
      <c r="W627" t="s">
        <v>4343</v>
      </c>
      <c r="Y627" t="b">
        <v>1</v>
      </c>
      <c r="Z627" t="b">
        <v>0</v>
      </c>
      <c r="AA627">
        <v>680</v>
      </c>
      <c r="AB627">
        <v>0</v>
      </c>
      <c r="AD627" t="b">
        <v>0</v>
      </c>
      <c r="AG627" s="1" t="s">
        <v>59</v>
      </c>
      <c r="AH627" s="1" t="s">
        <v>52</v>
      </c>
      <c r="AI627">
        <v>314</v>
      </c>
      <c r="AJ627">
        <v>63</v>
      </c>
      <c r="AK627" s="106">
        <v>45475.635463437502</v>
      </c>
      <c r="AL627" s="1" t="s">
        <v>4790</v>
      </c>
      <c r="AM627" s="42">
        <f>IFERROR(INDEX('Public procurment'!A:R,MATCH(ListOfExpenditure[[#This Row],[Content.contractId]],'Public procurment'!E:E,0),14),0)</f>
        <v>680</v>
      </c>
      <c r="AN627" s="2">
        <f>IF(AND(ListOfExpenditure[[#This Row],[Contract amount]]&gt;10000,ListOfExpenditure[[#This Row],[Content.declaredAmount]]&gt;2000),1,0)</f>
        <v>0</v>
      </c>
      <c r="AO627">
        <f>IFERROR(INDEX('Public procurment'!A:S,MATCH(ListOfExpenditure[[#This Row],[Content.contractId]],'Public procurment'!E:E,0),19),0)</f>
        <v>1</v>
      </c>
      <c r="AP627">
        <f>IF(ListOfExpenditure[[#This Row],[Numero di volte controllato il contract ]]&gt;0,0,ListOfExpenditure[[#This Row],[IF public procurment &gt;10000;1;0]])</f>
        <v>0</v>
      </c>
    </row>
    <row r="628" spans="1:42" x14ac:dyDescent="0.25">
      <c r="A628">
        <v>357</v>
      </c>
      <c r="B628">
        <v>13</v>
      </c>
      <c r="E628" t="s">
        <v>4798</v>
      </c>
      <c r="F628" t="b">
        <v>1</v>
      </c>
      <c r="H628">
        <v>49</v>
      </c>
      <c r="I628" t="s">
        <v>5328</v>
      </c>
      <c r="J628" t="s">
        <v>5329</v>
      </c>
      <c r="K628" t="s">
        <v>5327</v>
      </c>
      <c r="L628" t="s">
        <v>5330</v>
      </c>
      <c r="M628" t="s">
        <v>4788</v>
      </c>
      <c r="N628" t="s">
        <v>4788</v>
      </c>
      <c r="O628">
        <v>250</v>
      </c>
      <c r="P628">
        <v>21.69</v>
      </c>
      <c r="Q628">
        <v>0</v>
      </c>
      <c r="R628">
        <v>0</v>
      </c>
      <c r="S628">
        <v>250</v>
      </c>
      <c r="T628" t="s">
        <v>4789</v>
      </c>
      <c r="U628">
        <v>1</v>
      </c>
      <c r="V628">
        <v>250</v>
      </c>
      <c r="W628" t="s">
        <v>4343</v>
      </c>
      <c r="Y628" t="b">
        <v>1</v>
      </c>
      <c r="Z628" t="b">
        <v>0</v>
      </c>
      <c r="AA628">
        <v>250</v>
      </c>
      <c r="AB628">
        <v>0</v>
      </c>
      <c r="AD628" t="b">
        <v>0</v>
      </c>
      <c r="AG628" s="1" t="s">
        <v>59</v>
      </c>
      <c r="AH628" s="1" t="s">
        <v>52</v>
      </c>
      <c r="AI628">
        <v>314</v>
      </c>
      <c r="AJ628">
        <v>63</v>
      </c>
      <c r="AK628" s="106">
        <v>45475.635463437502</v>
      </c>
      <c r="AL628" s="1" t="s">
        <v>4790</v>
      </c>
      <c r="AM628" s="42">
        <f>IFERROR(INDEX('Public procurment'!A:R,MATCH(ListOfExpenditure[[#This Row],[Content.contractId]],'Public procurment'!E:E,0),14),0)</f>
        <v>228.31</v>
      </c>
      <c r="AN628" s="2">
        <f>IF(AND(ListOfExpenditure[[#This Row],[Contract amount]]&gt;10000,ListOfExpenditure[[#This Row],[Content.declaredAmount]]&gt;2000),1,0)</f>
        <v>0</v>
      </c>
      <c r="AO628">
        <f>IFERROR(INDEX('Public procurment'!A:S,MATCH(ListOfExpenditure[[#This Row],[Content.contractId]],'Public procurment'!E:E,0),19),0)</f>
        <v>1</v>
      </c>
      <c r="AP628">
        <f>IF(ListOfExpenditure[[#This Row],[Numero di volte controllato il contract ]]&gt;0,0,ListOfExpenditure[[#This Row],[IF public procurment &gt;10000;1;0]])</f>
        <v>0</v>
      </c>
    </row>
    <row r="629" spans="1:42" x14ac:dyDescent="0.25">
      <c r="A629">
        <v>358</v>
      </c>
      <c r="B629">
        <v>14</v>
      </c>
      <c r="E629" t="s">
        <v>4798</v>
      </c>
      <c r="F629" t="b">
        <v>1</v>
      </c>
      <c r="H629">
        <v>50</v>
      </c>
      <c r="I629" t="s">
        <v>5331</v>
      </c>
      <c r="J629" t="s">
        <v>5332</v>
      </c>
      <c r="K629" t="s">
        <v>5333</v>
      </c>
      <c r="L629" t="s">
        <v>5310</v>
      </c>
      <c r="M629" t="s">
        <v>4788</v>
      </c>
      <c r="N629" t="s">
        <v>4788</v>
      </c>
      <c r="O629">
        <v>800</v>
      </c>
      <c r="P629">
        <v>0</v>
      </c>
      <c r="Q629">
        <v>0</v>
      </c>
      <c r="R629">
        <v>0</v>
      </c>
      <c r="S629">
        <v>800</v>
      </c>
      <c r="T629" t="s">
        <v>4789</v>
      </c>
      <c r="U629">
        <v>1</v>
      </c>
      <c r="V629">
        <v>800</v>
      </c>
      <c r="W629" t="s">
        <v>4343</v>
      </c>
      <c r="Y629" t="b">
        <v>1</v>
      </c>
      <c r="Z629" t="b">
        <v>0</v>
      </c>
      <c r="AA629">
        <v>800</v>
      </c>
      <c r="AB629">
        <v>0</v>
      </c>
      <c r="AD629" t="b">
        <v>0</v>
      </c>
      <c r="AG629" s="1" t="s">
        <v>59</v>
      </c>
      <c r="AH629" s="1" t="s">
        <v>52</v>
      </c>
      <c r="AI629">
        <v>314</v>
      </c>
      <c r="AJ629">
        <v>63</v>
      </c>
      <c r="AK629" s="106">
        <v>45475.635463437502</v>
      </c>
      <c r="AL629" s="1" t="s">
        <v>4790</v>
      </c>
      <c r="AM629" s="42">
        <f>IFERROR(INDEX('Public procurment'!A:R,MATCH(ListOfExpenditure[[#This Row],[Content.contractId]],'Public procurment'!E:E,0),14),0)</f>
        <v>800</v>
      </c>
      <c r="AN629" s="2">
        <f>IF(AND(ListOfExpenditure[[#This Row],[Contract amount]]&gt;10000,ListOfExpenditure[[#This Row],[Content.declaredAmount]]&gt;2000),1,0)</f>
        <v>0</v>
      </c>
      <c r="AO629">
        <f>IFERROR(INDEX('Public procurment'!A:S,MATCH(ListOfExpenditure[[#This Row],[Content.contractId]],'Public procurment'!E:E,0),19),0)</f>
        <v>1</v>
      </c>
      <c r="AP629">
        <f>IF(ListOfExpenditure[[#This Row],[Numero di volte controllato il contract ]]&gt;0,0,ListOfExpenditure[[#This Row],[IF public procurment &gt;10000;1;0]])</f>
        <v>0</v>
      </c>
    </row>
    <row r="630" spans="1:42" x14ac:dyDescent="0.25">
      <c r="A630">
        <v>359</v>
      </c>
      <c r="B630">
        <v>15</v>
      </c>
      <c r="E630" t="s">
        <v>4798</v>
      </c>
      <c r="F630" t="b">
        <v>1</v>
      </c>
      <c r="H630">
        <v>51</v>
      </c>
      <c r="I630" t="s">
        <v>5334</v>
      </c>
      <c r="J630" t="s">
        <v>5335</v>
      </c>
      <c r="K630" t="s">
        <v>5336</v>
      </c>
      <c r="L630" t="s">
        <v>5337</v>
      </c>
      <c r="M630" t="s">
        <v>4788</v>
      </c>
      <c r="N630" t="s">
        <v>4788</v>
      </c>
      <c r="O630">
        <v>250</v>
      </c>
      <c r="P630">
        <v>0</v>
      </c>
      <c r="Q630">
        <v>0</v>
      </c>
      <c r="R630">
        <v>0</v>
      </c>
      <c r="S630">
        <v>250</v>
      </c>
      <c r="T630" t="s">
        <v>4789</v>
      </c>
      <c r="U630">
        <v>1</v>
      </c>
      <c r="V630">
        <v>250</v>
      </c>
      <c r="W630" t="s">
        <v>4343</v>
      </c>
      <c r="Y630" t="b">
        <v>1</v>
      </c>
      <c r="Z630" t="b">
        <v>0</v>
      </c>
      <c r="AA630">
        <v>250</v>
      </c>
      <c r="AB630">
        <v>0</v>
      </c>
      <c r="AD630" t="b">
        <v>0</v>
      </c>
      <c r="AG630" s="1" t="s">
        <v>59</v>
      </c>
      <c r="AH630" s="1" t="s">
        <v>52</v>
      </c>
      <c r="AI630">
        <v>314</v>
      </c>
      <c r="AJ630">
        <v>63</v>
      </c>
      <c r="AK630" s="106">
        <v>45475.635463437502</v>
      </c>
      <c r="AL630" s="1" t="s">
        <v>4790</v>
      </c>
      <c r="AM630" s="42">
        <f>IFERROR(INDEX('Public procurment'!A:R,MATCH(ListOfExpenditure[[#This Row],[Content.contractId]],'Public procurment'!E:E,0),14),0)</f>
        <v>250</v>
      </c>
      <c r="AN630" s="2">
        <f>IF(AND(ListOfExpenditure[[#This Row],[Contract amount]]&gt;10000,ListOfExpenditure[[#This Row],[Content.declaredAmount]]&gt;2000),1,0)</f>
        <v>0</v>
      </c>
      <c r="AO630">
        <f>IFERROR(INDEX('Public procurment'!A:S,MATCH(ListOfExpenditure[[#This Row],[Content.contractId]],'Public procurment'!E:E,0),19),0)</f>
        <v>1</v>
      </c>
      <c r="AP630">
        <f>IF(ListOfExpenditure[[#This Row],[Numero di volte controllato il contract ]]&gt;0,0,ListOfExpenditure[[#This Row],[IF public procurment &gt;10000;1;0]])</f>
        <v>0</v>
      </c>
    </row>
    <row r="631" spans="1:42" x14ac:dyDescent="0.25">
      <c r="A631">
        <v>360</v>
      </c>
      <c r="B631">
        <v>16</v>
      </c>
      <c r="E631" t="s">
        <v>4798</v>
      </c>
      <c r="F631" t="b">
        <v>1</v>
      </c>
      <c r="H631">
        <v>52</v>
      </c>
      <c r="I631" t="s">
        <v>5338</v>
      </c>
      <c r="J631" t="s">
        <v>5339</v>
      </c>
      <c r="K631" t="s">
        <v>5336</v>
      </c>
      <c r="L631" t="s">
        <v>5310</v>
      </c>
      <c r="M631" t="s">
        <v>4788</v>
      </c>
      <c r="N631" t="s">
        <v>4788</v>
      </c>
      <c r="O631">
        <v>356.85</v>
      </c>
      <c r="P631">
        <v>64.349999999999994</v>
      </c>
      <c r="Q631">
        <v>0</v>
      </c>
      <c r="R631">
        <v>0</v>
      </c>
      <c r="S631">
        <v>356.85</v>
      </c>
      <c r="T631" t="s">
        <v>4789</v>
      </c>
      <c r="U631">
        <v>1</v>
      </c>
      <c r="V631">
        <v>356.85</v>
      </c>
      <c r="W631" t="s">
        <v>4343</v>
      </c>
      <c r="Y631" t="b">
        <v>1</v>
      </c>
      <c r="Z631" t="b">
        <v>0</v>
      </c>
      <c r="AA631">
        <v>356.85</v>
      </c>
      <c r="AB631">
        <v>0</v>
      </c>
      <c r="AD631" t="b">
        <v>0</v>
      </c>
      <c r="AG631" s="1" t="s">
        <v>59</v>
      </c>
      <c r="AH631" s="1" t="s">
        <v>52</v>
      </c>
      <c r="AI631">
        <v>314</v>
      </c>
      <c r="AJ631">
        <v>63</v>
      </c>
      <c r="AK631" s="106">
        <v>45475.635463437502</v>
      </c>
      <c r="AL631" s="1" t="s">
        <v>4790</v>
      </c>
      <c r="AM631" s="42">
        <f>IFERROR(INDEX('Public procurment'!A:R,MATCH(ListOfExpenditure[[#This Row],[Content.contractId]],'Public procurment'!E:E,0),14),0)</f>
        <v>292.5</v>
      </c>
      <c r="AN631" s="2">
        <f>IF(AND(ListOfExpenditure[[#This Row],[Contract amount]]&gt;10000,ListOfExpenditure[[#This Row],[Content.declaredAmount]]&gt;2000),1,0)</f>
        <v>0</v>
      </c>
      <c r="AO631">
        <f>IFERROR(INDEX('Public procurment'!A:S,MATCH(ListOfExpenditure[[#This Row],[Content.contractId]],'Public procurment'!E:E,0),19),0)</f>
        <v>1</v>
      </c>
      <c r="AP631">
        <f>IF(ListOfExpenditure[[#This Row],[Numero di volte controllato il contract ]]&gt;0,0,ListOfExpenditure[[#This Row],[IF public procurment &gt;10000;1;0]])</f>
        <v>0</v>
      </c>
    </row>
    <row r="632" spans="1:42" x14ac:dyDescent="0.25">
      <c r="A632">
        <v>361</v>
      </c>
      <c r="B632">
        <v>17</v>
      </c>
      <c r="E632" t="s">
        <v>4798</v>
      </c>
      <c r="F632" t="b">
        <v>1</v>
      </c>
      <c r="H632">
        <v>53</v>
      </c>
      <c r="I632" t="s">
        <v>5340</v>
      </c>
      <c r="J632" t="s">
        <v>5341</v>
      </c>
      <c r="K632" t="s">
        <v>5336</v>
      </c>
      <c r="L632" t="s">
        <v>5342</v>
      </c>
      <c r="M632" t="s">
        <v>4788</v>
      </c>
      <c r="N632" t="s">
        <v>4788</v>
      </c>
      <c r="O632">
        <v>703</v>
      </c>
      <c r="P632">
        <v>0</v>
      </c>
      <c r="Q632">
        <v>0</v>
      </c>
      <c r="R632">
        <v>0</v>
      </c>
      <c r="S632">
        <v>703</v>
      </c>
      <c r="T632" t="s">
        <v>4789</v>
      </c>
      <c r="U632">
        <v>1</v>
      </c>
      <c r="V632">
        <v>703</v>
      </c>
      <c r="W632" t="s">
        <v>4343</v>
      </c>
      <c r="Y632" t="b">
        <v>1</v>
      </c>
      <c r="Z632" t="b">
        <v>0</v>
      </c>
      <c r="AA632">
        <v>703</v>
      </c>
      <c r="AB632">
        <v>0</v>
      </c>
      <c r="AD632" t="b">
        <v>0</v>
      </c>
      <c r="AG632" s="1" t="s">
        <v>59</v>
      </c>
      <c r="AH632" s="1" t="s">
        <v>52</v>
      </c>
      <c r="AI632">
        <v>314</v>
      </c>
      <c r="AJ632">
        <v>63</v>
      </c>
      <c r="AK632" s="106">
        <v>45475.635463437502</v>
      </c>
      <c r="AL632" s="1" t="s">
        <v>4790</v>
      </c>
      <c r="AM632" s="42">
        <f>IFERROR(INDEX('Public procurment'!A:R,MATCH(ListOfExpenditure[[#This Row],[Content.contractId]],'Public procurment'!E:E,0),14),0)</f>
        <v>703</v>
      </c>
      <c r="AN632" s="2">
        <f>IF(AND(ListOfExpenditure[[#This Row],[Contract amount]]&gt;10000,ListOfExpenditure[[#This Row],[Content.declaredAmount]]&gt;2000),1,0)</f>
        <v>0</v>
      </c>
      <c r="AO632">
        <f>IFERROR(INDEX('Public procurment'!A:S,MATCH(ListOfExpenditure[[#This Row],[Content.contractId]],'Public procurment'!E:E,0),19),0)</f>
        <v>1</v>
      </c>
      <c r="AP632">
        <f>IF(ListOfExpenditure[[#This Row],[Numero di volte controllato il contract ]]&gt;0,0,ListOfExpenditure[[#This Row],[IF public procurment &gt;10000;1;0]])</f>
        <v>0</v>
      </c>
    </row>
    <row r="633" spans="1:42" x14ac:dyDescent="0.25">
      <c r="A633">
        <v>362</v>
      </c>
      <c r="B633">
        <v>18</v>
      </c>
      <c r="E633" t="s">
        <v>4798</v>
      </c>
      <c r="F633" t="b">
        <v>1</v>
      </c>
      <c r="H633">
        <v>54</v>
      </c>
      <c r="I633" t="s">
        <v>5343</v>
      </c>
      <c r="J633" t="s">
        <v>5344</v>
      </c>
      <c r="K633" t="s">
        <v>5336</v>
      </c>
      <c r="L633" t="s">
        <v>5345</v>
      </c>
      <c r="M633" t="s">
        <v>4788</v>
      </c>
      <c r="N633" t="s">
        <v>4788</v>
      </c>
      <c r="O633">
        <v>288</v>
      </c>
      <c r="P633">
        <v>0</v>
      </c>
      <c r="Q633">
        <v>0</v>
      </c>
      <c r="R633">
        <v>0</v>
      </c>
      <c r="S633">
        <v>288</v>
      </c>
      <c r="T633" t="s">
        <v>4789</v>
      </c>
      <c r="U633">
        <v>1</v>
      </c>
      <c r="V633">
        <v>288</v>
      </c>
      <c r="W633" t="s">
        <v>4343</v>
      </c>
      <c r="Y633" t="b">
        <v>1</v>
      </c>
      <c r="Z633" t="b">
        <v>0</v>
      </c>
      <c r="AA633">
        <v>288</v>
      </c>
      <c r="AB633">
        <v>0</v>
      </c>
      <c r="AD633" t="b">
        <v>0</v>
      </c>
      <c r="AG633" s="1" t="s">
        <v>59</v>
      </c>
      <c r="AH633" s="1" t="s">
        <v>52</v>
      </c>
      <c r="AI633">
        <v>314</v>
      </c>
      <c r="AJ633">
        <v>63</v>
      </c>
      <c r="AK633" s="106">
        <v>45475.635463437502</v>
      </c>
      <c r="AL633" s="1" t="s">
        <v>4790</v>
      </c>
      <c r="AM633" s="42">
        <f>IFERROR(INDEX('Public procurment'!A:R,MATCH(ListOfExpenditure[[#This Row],[Content.contractId]],'Public procurment'!E:E,0),14),0)</f>
        <v>288</v>
      </c>
      <c r="AN633" s="2">
        <f>IF(AND(ListOfExpenditure[[#This Row],[Contract amount]]&gt;10000,ListOfExpenditure[[#This Row],[Content.declaredAmount]]&gt;2000),1,0)</f>
        <v>0</v>
      </c>
      <c r="AO633">
        <f>IFERROR(INDEX('Public procurment'!A:S,MATCH(ListOfExpenditure[[#This Row],[Content.contractId]],'Public procurment'!E:E,0),19),0)</f>
        <v>1</v>
      </c>
      <c r="AP633">
        <f>IF(ListOfExpenditure[[#This Row],[Numero di volte controllato il contract ]]&gt;0,0,ListOfExpenditure[[#This Row],[IF public procurment &gt;10000;1;0]])</f>
        <v>0</v>
      </c>
    </row>
    <row r="634" spans="1:42" x14ac:dyDescent="0.25">
      <c r="A634">
        <v>363</v>
      </c>
      <c r="B634">
        <v>19</v>
      </c>
      <c r="E634" t="s">
        <v>4798</v>
      </c>
      <c r="F634" t="b">
        <v>1</v>
      </c>
      <c r="H634">
        <v>55</v>
      </c>
      <c r="I634" t="s">
        <v>5346</v>
      </c>
      <c r="J634" t="s">
        <v>5347</v>
      </c>
      <c r="K634" t="s">
        <v>5348</v>
      </c>
      <c r="L634" t="s">
        <v>5349</v>
      </c>
      <c r="M634" t="s">
        <v>4788</v>
      </c>
      <c r="N634" t="s">
        <v>4788</v>
      </c>
      <c r="O634">
        <v>105.23</v>
      </c>
      <c r="P634">
        <v>9.1300000000000008</v>
      </c>
      <c r="Q634">
        <v>0</v>
      </c>
      <c r="R634">
        <v>0</v>
      </c>
      <c r="S634">
        <v>105.23</v>
      </c>
      <c r="T634" t="s">
        <v>4789</v>
      </c>
      <c r="U634">
        <v>1</v>
      </c>
      <c r="V634">
        <v>105.23</v>
      </c>
      <c r="W634" t="s">
        <v>4343</v>
      </c>
      <c r="Y634" t="b">
        <v>1</v>
      </c>
      <c r="Z634" t="b">
        <v>0</v>
      </c>
      <c r="AA634">
        <v>105.23</v>
      </c>
      <c r="AB634">
        <v>0</v>
      </c>
      <c r="AD634" t="b">
        <v>0</v>
      </c>
      <c r="AG634" s="1" t="s">
        <v>59</v>
      </c>
      <c r="AH634" s="1" t="s">
        <v>52</v>
      </c>
      <c r="AI634">
        <v>314</v>
      </c>
      <c r="AJ634">
        <v>63</v>
      </c>
      <c r="AK634" s="106">
        <v>45475.635463437502</v>
      </c>
      <c r="AL634" s="1" t="s">
        <v>4790</v>
      </c>
      <c r="AM634" s="42">
        <f>IFERROR(INDEX('Public procurment'!A:R,MATCH(ListOfExpenditure[[#This Row],[Content.contractId]],'Public procurment'!E:E,0),14),0)</f>
        <v>96.1</v>
      </c>
      <c r="AN634" s="2">
        <f>IF(AND(ListOfExpenditure[[#This Row],[Contract amount]]&gt;10000,ListOfExpenditure[[#This Row],[Content.declaredAmount]]&gt;2000),1,0)</f>
        <v>0</v>
      </c>
      <c r="AO634">
        <f>IFERROR(INDEX('Public procurment'!A:S,MATCH(ListOfExpenditure[[#This Row],[Content.contractId]],'Public procurment'!E:E,0),19),0)</f>
        <v>1</v>
      </c>
      <c r="AP634">
        <f>IF(ListOfExpenditure[[#This Row],[Numero di volte controllato il contract ]]&gt;0,0,ListOfExpenditure[[#This Row],[IF public procurment &gt;10000;1;0]])</f>
        <v>0</v>
      </c>
    </row>
    <row r="635" spans="1:42" x14ac:dyDescent="0.25">
      <c r="A635">
        <v>364</v>
      </c>
      <c r="B635">
        <v>20</v>
      </c>
      <c r="E635" t="s">
        <v>4798</v>
      </c>
      <c r="F635" t="b">
        <v>1</v>
      </c>
      <c r="H635">
        <v>56</v>
      </c>
      <c r="I635" t="s">
        <v>5350</v>
      </c>
      <c r="J635" t="s">
        <v>5351</v>
      </c>
      <c r="K635" t="s">
        <v>5348</v>
      </c>
      <c r="L635" t="s">
        <v>5330</v>
      </c>
      <c r="M635" t="s">
        <v>4788</v>
      </c>
      <c r="N635" t="s">
        <v>4788</v>
      </c>
      <c r="O635">
        <v>400</v>
      </c>
      <c r="P635">
        <v>0</v>
      </c>
      <c r="Q635">
        <v>0</v>
      </c>
      <c r="R635">
        <v>0</v>
      </c>
      <c r="S635">
        <v>400</v>
      </c>
      <c r="T635" t="s">
        <v>4789</v>
      </c>
      <c r="U635">
        <v>1</v>
      </c>
      <c r="V635">
        <v>400</v>
      </c>
      <c r="W635" t="s">
        <v>4343</v>
      </c>
      <c r="Y635" t="b">
        <v>1</v>
      </c>
      <c r="Z635" t="b">
        <v>0</v>
      </c>
      <c r="AA635">
        <v>400</v>
      </c>
      <c r="AB635">
        <v>0</v>
      </c>
      <c r="AD635" t="b">
        <v>0</v>
      </c>
      <c r="AG635" s="1" t="s">
        <v>59</v>
      </c>
      <c r="AH635" s="1" t="s">
        <v>52</v>
      </c>
      <c r="AI635">
        <v>314</v>
      </c>
      <c r="AJ635">
        <v>63</v>
      </c>
      <c r="AK635" s="106">
        <v>45475.635463437502</v>
      </c>
      <c r="AL635" s="1" t="s">
        <v>4790</v>
      </c>
      <c r="AM635" s="42">
        <f>IFERROR(INDEX('Public procurment'!A:R,MATCH(ListOfExpenditure[[#This Row],[Content.contractId]],'Public procurment'!E:E,0),14),0)</f>
        <v>400</v>
      </c>
      <c r="AN635" s="2">
        <f>IF(AND(ListOfExpenditure[[#This Row],[Contract amount]]&gt;10000,ListOfExpenditure[[#This Row],[Content.declaredAmount]]&gt;2000),1,0)</f>
        <v>0</v>
      </c>
      <c r="AO635">
        <f>IFERROR(INDEX('Public procurment'!A:S,MATCH(ListOfExpenditure[[#This Row],[Content.contractId]],'Public procurment'!E:E,0),19),0)</f>
        <v>1</v>
      </c>
      <c r="AP635">
        <f>IF(ListOfExpenditure[[#This Row],[Numero di volte controllato il contract ]]&gt;0,0,ListOfExpenditure[[#This Row],[IF public procurment &gt;10000;1;0]])</f>
        <v>0</v>
      </c>
    </row>
    <row r="636" spans="1:42" x14ac:dyDescent="0.25">
      <c r="A636">
        <v>365</v>
      </c>
      <c r="B636">
        <v>21</v>
      </c>
      <c r="E636" t="s">
        <v>4798</v>
      </c>
      <c r="F636" t="b">
        <v>1</v>
      </c>
      <c r="H636">
        <v>57</v>
      </c>
      <c r="I636" t="s">
        <v>5352</v>
      </c>
      <c r="J636" t="s">
        <v>5353</v>
      </c>
      <c r="K636" t="s">
        <v>5348</v>
      </c>
      <c r="L636" t="s">
        <v>5330</v>
      </c>
      <c r="M636" t="s">
        <v>4788</v>
      </c>
      <c r="N636" t="s">
        <v>4788</v>
      </c>
      <c r="O636">
        <v>1600</v>
      </c>
      <c r="P636">
        <v>138.81</v>
      </c>
      <c r="Q636">
        <v>0</v>
      </c>
      <c r="R636">
        <v>0</v>
      </c>
      <c r="S636">
        <v>1600</v>
      </c>
      <c r="T636" t="s">
        <v>4789</v>
      </c>
      <c r="U636">
        <v>1</v>
      </c>
      <c r="V636">
        <v>1600</v>
      </c>
      <c r="W636" t="s">
        <v>4343</v>
      </c>
      <c r="Y636" t="b">
        <v>1</v>
      </c>
      <c r="Z636" t="b">
        <v>0</v>
      </c>
      <c r="AA636">
        <v>1600</v>
      </c>
      <c r="AB636">
        <v>0</v>
      </c>
      <c r="AD636" t="b">
        <v>0</v>
      </c>
      <c r="AG636" s="1" t="s">
        <v>59</v>
      </c>
      <c r="AH636" s="1" t="s">
        <v>52</v>
      </c>
      <c r="AI636">
        <v>314</v>
      </c>
      <c r="AJ636">
        <v>63</v>
      </c>
      <c r="AK636" s="106">
        <v>45475.635463437502</v>
      </c>
      <c r="AL636" s="1" t="s">
        <v>4790</v>
      </c>
      <c r="AM636" s="42">
        <f>IFERROR(INDEX('Public procurment'!A:R,MATCH(ListOfExpenditure[[#This Row],[Content.contractId]],'Public procurment'!E:E,0),14),0)</f>
        <v>1600</v>
      </c>
      <c r="AN636" s="2">
        <f>IF(AND(ListOfExpenditure[[#This Row],[Contract amount]]&gt;10000,ListOfExpenditure[[#This Row],[Content.declaredAmount]]&gt;2000),1,0)</f>
        <v>0</v>
      </c>
      <c r="AO636">
        <f>IFERROR(INDEX('Public procurment'!A:S,MATCH(ListOfExpenditure[[#This Row],[Content.contractId]],'Public procurment'!E:E,0),19),0)</f>
        <v>1</v>
      </c>
      <c r="AP636">
        <f>IF(ListOfExpenditure[[#This Row],[Numero di volte controllato il contract ]]&gt;0,0,ListOfExpenditure[[#This Row],[IF public procurment &gt;10000;1;0]])</f>
        <v>0</v>
      </c>
    </row>
    <row r="637" spans="1:42" x14ac:dyDescent="0.25">
      <c r="A637">
        <v>366</v>
      </c>
      <c r="B637">
        <v>22</v>
      </c>
      <c r="E637" t="s">
        <v>4798</v>
      </c>
      <c r="F637" t="b">
        <v>1</v>
      </c>
      <c r="H637">
        <v>58</v>
      </c>
      <c r="I637" t="s">
        <v>5354</v>
      </c>
      <c r="J637" t="s">
        <v>5355</v>
      </c>
      <c r="K637" t="s">
        <v>5356</v>
      </c>
      <c r="L637" t="s">
        <v>5357</v>
      </c>
      <c r="M637" t="s">
        <v>4788</v>
      </c>
      <c r="N637" t="s">
        <v>4788</v>
      </c>
      <c r="O637">
        <v>457.5</v>
      </c>
      <c r="P637">
        <v>82.5</v>
      </c>
      <c r="Q637">
        <v>0</v>
      </c>
      <c r="R637">
        <v>0</v>
      </c>
      <c r="S637">
        <v>457.5</v>
      </c>
      <c r="T637" t="s">
        <v>4789</v>
      </c>
      <c r="U637">
        <v>1</v>
      </c>
      <c r="V637">
        <v>457.5</v>
      </c>
      <c r="W637" t="s">
        <v>4343</v>
      </c>
      <c r="Y637" t="b">
        <v>1</v>
      </c>
      <c r="Z637" t="b">
        <v>0</v>
      </c>
      <c r="AA637">
        <v>457.5</v>
      </c>
      <c r="AB637">
        <v>0</v>
      </c>
      <c r="AD637" t="b">
        <v>0</v>
      </c>
      <c r="AG637" s="1" t="s">
        <v>59</v>
      </c>
      <c r="AH637" s="1" t="s">
        <v>52</v>
      </c>
      <c r="AI637">
        <v>314</v>
      </c>
      <c r="AJ637">
        <v>63</v>
      </c>
      <c r="AK637" s="106">
        <v>45475.635463437502</v>
      </c>
      <c r="AL637" s="1" t="s">
        <v>4790</v>
      </c>
      <c r="AM637" s="42">
        <f>IFERROR(INDEX('Public procurment'!A:R,MATCH(ListOfExpenditure[[#This Row],[Content.contractId]],'Public procurment'!E:E,0),14),0)</f>
        <v>0</v>
      </c>
      <c r="AN637" s="2">
        <f>IF(AND(ListOfExpenditure[[#This Row],[Contract amount]]&gt;10000,ListOfExpenditure[[#This Row],[Content.declaredAmount]]&gt;2000),1,0)</f>
        <v>0</v>
      </c>
      <c r="AO637">
        <f>IFERROR(INDEX('Public procurment'!A:S,MATCH(ListOfExpenditure[[#This Row],[Content.contractId]],'Public procurment'!E:E,0),19),0)</f>
        <v>0</v>
      </c>
      <c r="AP637">
        <f>IF(ListOfExpenditure[[#This Row],[Numero di volte controllato il contract ]]&gt;0,0,ListOfExpenditure[[#This Row],[IF public procurment &gt;10000;1;0]])</f>
        <v>0</v>
      </c>
    </row>
    <row r="638" spans="1:42" x14ac:dyDescent="0.25">
      <c r="A638">
        <v>367</v>
      </c>
      <c r="B638">
        <v>23</v>
      </c>
      <c r="E638" t="s">
        <v>4798</v>
      </c>
      <c r="F638" t="b">
        <v>1</v>
      </c>
      <c r="I638" t="s">
        <v>5358</v>
      </c>
      <c r="J638" t="s">
        <v>5359</v>
      </c>
      <c r="K638" t="s">
        <v>5356</v>
      </c>
      <c r="L638" t="s">
        <v>5360</v>
      </c>
      <c r="M638" t="s">
        <v>4788</v>
      </c>
      <c r="N638" t="s">
        <v>4788</v>
      </c>
      <c r="O638">
        <v>103.57</v>
      </c>
      <c r="P638">
        <v>8.99</v>
      </c>
      <c r="Q638">
        <v>0</v>
      </c>
      <c r="R638">
        <v>0</v>
      </c>
      <c r="S638">
        <v>103.57</v>
      </c>
      <c r="T638" t="s">
        <v>4789</v>
      </c>
      <c r="U638">
        <v>1</v>
      </c>
      <c r="V638">
        <v>103.57</v>
      </c>
      <c r="W638" t="s">
        <v>4343</v>
      </c>
      <c r="Y638" t="b">
        <v>1</v>
      </c>
      <c r="Z638" t="b">
        <v>0</v>
      </c>
      <c r="AA638">
        <v>103.57</v>
      </c>
      <c r="AB638">
        <v>0</v>
      </c>
      <c r="AD638" t="b">
        <v>0</v>
      </c>
      <c r="AG638" s="1" t="s">
        <v>59</v>
      </c>
      <c r="AH638" s="1" t="s">
        <v>52</v>
      </c>
      <c r="AI638">
        <v>314</v>
      </c>
      <c r="AJ638">
        <v>63</v>
      </c>
      <c r="AK638" s="106">
        <v>45475.635463437502</v>
      </c>
      <c r="AL638" s="1" t="s">
        <v>4790</v>
      </c>
      <c r="AM638" s="42">
        <f>IFERROR(INDEX('Public procurment'!A:R,MATCH(ListOfExpenditure[[#This Row],[Content.contractId]],'Public procurment'!E:E,0),14),0)</f>
        <v>0</v>
      </c>
      <c r="AN638" s="2">
        <f>IF(AND(ListOfExpenditure[[#This Row],[Contract amount]]&gt;10000,ListOfExpenditure[[#This Row],[Content.declaredAmount]]&gt;2000),1,0)</f>
        <v>0</v>
      </c>
      <c r="AO638">
        <f>IFERROR(INDEX('Public procurment'!A:S,MATCH(ListOfExpenditure[[#This Row],[Content.contractId]],'Public procurment'!E:E,0),19),0)</f>
        <v>0</v>
      </c>
      <c r="AP638">
        <f>IF(ListOfExpenditure[[#This Row],[Numero di volte controllato il contract ]]&gt;0,0,ListOfExpenditure[[#This Row],[IF public procurment &gt;10000;1;0]])</f>
        <v>0</v>
      </c>
    </row>
    <row r="639" spans="1:42" x14ac:dyDescent="0.25">
      <c r="A639">
        <v>368</v>
      </c>
      <c r="B639">
        <v>24</v>
      </c>
      <c r="E639" t="s">
        <v>4798</v>
      </c>
      <c r="F639" t="b">
        <v>1</v>
      </c>
      <c r="H639">
        <v>59</v>
      </c>
      <c r="I639" t="s">
        <v>5361</v>
      </c>
      <c r="J639" t="s">
        <v>5362</v>
      </c>
      <c r="K639" t="s">
        <v>5363</v>
      </c>
      <c r="L639" t="s">
        <v>5364</v>
      </c>
      <c r="M639" t="s">
        <v>4788</v>
      </c>
      <c r="N639" t="s">
        <v>4788</v>
      </c>
      <c r="O639">
        <v>440</v>
      </c>
      <c r="P639">
        <v>53.14</v>
      </c>
      <c r="Q639">
        <v>0</v>
      </c>
      <c r="R639">
        <v>0</v>
      </c>
      <c r="S639">
        <v>440</v>
      </c>
      <c r="T639" t="s">
        <v>4789</v>
      </c>
      <c r="U639">
        <v>1</v>
      </c>
      <c r="V639">
        <v>440</v>
      </c>
      <c r="W639" t="s">
        <v>4343</v>
      </c>
      <c r="Y639" t="b">
        <v>1</v>
      </c>
      <c r="Z639" t="b">
        <v>0</v>
      </c>
      <c r="AA639">
        <v>440</v>
      </c>
      <c r="AB639">
        <v>0</v>
      </c>
      <c r="AD639" t="b">
        <v>0</v>
      </c>
      <c r="AG639" s="1" t="s">
        <v>59</v>
      </c>
      <c r="AH639" s="1" t="s">
        <v>52</v>
      </c>
      <c r="AI639">
        <v>314</v>
      </c>
      <c r="AJ639">
        <v>63</v>
      </c>
      <c r="AK639" s="106">
        <v>45475.635463437502</v>
      </c>
      <c r="AL639" s="1" t="s">
        <v>4790</v>
      </c>
      <c r="AM639" s="42">
        <f>IFERROR(INDEX('Public procurment'!A:R,MATCH(ListOfExpenditure[[#This Row],[Content.contractId]],'Public procurment'!E:E,0),14),0)</f>
        <v>0</v>
      </c>
      <c r="AN639" s="2">
        <f>IF(AND(ListOfExpenditure[[#This Row],[Contract amount]]&gt;10000,ListOfExpenditure[[#This Row],[Content.declaredAmount]]&gt;2000),1,0)</f>
        <v>0</v>
      </c>
      <c r="AO639">
        <f>IFERROR(INDEX('Public procurment'!A:S,MATCH(ListOfExpenditure[[#This Row],[Content.contractId]],'Public procurment'!E:E,0),19),0)</f>
        <v>0</v>
      </c>
      <c r="AP639">
        <f>IF(ListOfExpenditure[[#This Row],[Numero di volte controllato il contract ]]&gt;0,0,ListOfExpenditure[[#This Row],[IF public procurment &gt;10000;1;0]])</f>
        <v>0</v>
      </c>
    </row>
    <row r="640" spans="1:42" x14ac:dyDescent="0.25">
      <c r="A640">
        <v>369</v>
      </c>
      <c r="B640">
        <v>25</v>
      </c>
      <c r="E640" t="s">
        <v>4798</v>
      </c>
      <c r="F640" t="b">
        <v>1</v>
      </c>
      <c r="H640">
        <v>60</v>
      </c>
      <c r="I640" t="s">
        <v>5365</v>
      </c>
      <c r="J640" t="s">
        <v>5366</v>
      </c>
      <c r="K640" t="s">
        <v>5367</v>
      </c>
      <c r="L640" t="s">
        <v>4816</v>
      </c>
      <c r="M640" t="s">
        <v>4788</v>
      </c>
      <c r="N640" t="s">
        <v>4788</v>
      </c>
      <c r="O640">
        <v>250</v>
      </c>
      <c r="P640">
        <v>0</v>
      </c>
      <c r="Q640">
        <v>0</v>
      </c>
      <c r="R640">
        <v>0</v>
      </c>
      <c r="S640">
        <v>250</v>
      </c>
      <c r="T640" t="s">
        <v>4789</v>
      </c>
      <c r="U640">
        <v>1</v>
      </c>
      <c r="V640">
        <v>250</v>
      </c>
      <c r="W640" t="s">
        <v>4343</v>
      </c>
      <c r="Y640" t="b">
        <v>1</v>
      </c>
      <c r="Z640" t="b">
        <v>0</v>
      </c>
      <c r="AA640">
        <v>250</v>
      </c>
      <c r="AB640">
        <v>0</v>
      </c>
      <c r="AD640" t="b">
        <v>0</v>
      </c>
      <c r="AG640" s="1" t="s">
        <v>59</v>
      </c>
      <c r="AH640" s="1" t="s">
        <v>52</v>
      </c>
      <c r="AI640">
        <v>314</v>
      </c>
      <c r="AJ640">
        <v>63</v>
      </c>
      <c r="AK640" s="106">
        <v>45475.635463437502</v>
      </c>
      <c r="AL640" s="1" t="s">
        <v>4790</v>
      </c>
      <c r="AM640" s="42">
        <f>IFERROR(INDEX('Public procurment'!A:R,MATCH(ListOfExpenditure[[#This Row],[Content.contractId]],'Public procurment'!E:E,0),14),0)</f>
        <v>0</v>
      </c>
      <c r="AN640" s="2">
        <f>IF(AND(ListOfExpenditure[[#This Row],[Contract amount]]&gt;10000,ListOfExpenditure[[#This Row],[Content.declaredAmount]]&gt;2000),1,0)</f>
        <v>0</v>
      </c>
      <c r="AO640">
        <f>IFERROR(INDEX('Public procurment'!A:S,MATCH(ListOfExpenditure[[#This Row],[Content.contractId]],'Public procurment'!E:E,0),19),0)</f>
        <v>0</v>
      </c>
      <c r="AP640">
        <f>IF(ListOfExpenditure[[#This Row],[Numero di volte controllato il contract ]]&gt;0,0,ListOfExpenditure[[#This Row],[IF public procurment &gt;10000;1;0]])</f>
        <v>0</v>
      </c>
    </row>
    <row r="641" spans="1:42" x14ac:dyDescent="0.25">
      <c r="A641">
        <v>370</v>
      </c>
      <c r="B641">
        <v>26</v>
      </c>
      <c r="E641" t="s">
        <v>4798</v>
      </c>
      <c r="F641" t="b">
        <v>1</v>
      </c>
      <c r="H641">
        <v>61</v>
      </c>
      <c r="I641" t="s">
        <v>5368</v>
      </c>
      <c r="J641" t="s">
        <v>5369</v>
      </c>
      <c r="K641" t="s">
        <v>5337</v>
      </c>
      <c r="L641" t="s">
        <v>5357</v>
      </c>
      <c r="M641" t="s">
        <v>4788</v>
      </c>
      <c r="N641" t="s">
        <v>4788</v>
      </c>
      <c r="O641">
        <v>960</v>
      </c>
      <c r="P641">
        <v>0</v>
      </c>
      <c r="Q641">
        <v>0</v>
      </c>
      <c r="R641">
        <v>0</v>
      </c>
      <c r="S641">
        <v>960</v>
      </c>
      <c r="T641" t="s">
        <v>4789</v>
      </c>
      <c r="U641">
        <v>1</v>
      </c>
      <c r="V641">
        <v>960</v>
      </c>
      <c r="W641" t="s">
        <v>4343</v>
      </c>
      <c r="Y641" t="b">
        <v>1</v>
      </c>
      <c r="Z641" t="b">
        <v>0</v>
      </c>
      <c r="AA641">
        <v>960</v>
      </c>
      <c r="AB641">
        <v>0</v>
      </c>
      <c r="AD641" t="b">
        <v>0</v>
      </c>
      <c r="AG641" s="1" t="s">
        <v>59</v>
      </c>
      <c r="AH641" s="1" t="s">
        <v>52</v>
      </c>
      <c r="AI641">
        <v>314</v>
      </c>
      <c r="AJ641">
        <v>63</v>
      </c>
      <c r="AK641" s="106">
        <v>45475.635463437502</v>
      </c>
      <c r="AL641" s="1" t="s">
        <v>4790</v>
      </c>
      <c r="AM641" s="42">
        <f>IFERROR(INDEX('Public procurment'!A:R,MATCH(ListOfExpenditure[[#This Row],[Content.contractId]],'Public procurment'!E:E,0),14),0)</f>
        <v>0</v>
      </c>
      <c r="AN641" s="2">
        <f>IF(AND(ListOfExpenditure[[#This Row],[Contract amount]]&gt;10000,ListOfExpenditure[[#This Row],[Content.declaredAmount]]&gt;2000),1,0)</f>
        <v>0</v>
      </c>
      <c r="AO641">
        <f>IFERROR(INDEX('Public procurment'!A:S,MATCH(ListOfExpenditure[[#This Row],[Content.contractId]],'Public procurment'!E:E,0),19),0)</f>
        <v>0</v>
      </c>
      <c r="AP641">
        <f>IF(ListOfExpenditure[[#This Row],[Numero di volte controllato il contract ]]&gt;0,0,ListOfExpenditure[[#This Row],[IF public procurment &gt;10000;1;0]])</f>
        <v>0</v>
      </c>
    </row>
    <row r="642" spans="1:42" x14ac:dyDescent="0.25">
      <c r="A642">
        <v>371</v>
      </c>
      <c r="B642">
        <v>27</v>
      </c>
      <c r="E642" t="s">
        <v>4798</v>
      </c>
      <c r="F642" t="b">
        <v>1</v>
      </c>
      <c r="H642">
        <v>62</v>
      </c>
      <c r="I642" t="s">
        <v>5370</v>
      </c>
      <c r="J642" t="s">
        <v>5371</v>
      </c>
      <c r="K642" t="s">
        <v>5305</v>
      </c>
      <c r="L642" t="s">
        <v>4797</v>
      </c>
      <c r="M642" t="s">
        <v>4788</v>
      </c>
      <c r="N642" t="s">
        <v>4788</v>
      </c>
      <c r="O642">
        <v>98.88</v>
      </c>
      <c r="P642">
        <v>0</v>
      </c>
      <c r="Q642">
        <v>0</v>
      </c>
      <c r="R642">
        <v>0</v>
      </c>
      <c r="S642">
        <v>98.88</v>
      </c>
      <c r="T642" t="s">
        <v>4789</v>
      </c>
      <c r="U642">
        <v>1</v>
      </c>
      <c r="V642">
        <v>98.88</v>
      </c>
      <c r="W642" t="s">
        <v>4343</v>
      </c>
      <c r="Y642" t="b">
        <v>1</v>
      </c>
      <c r="Z642" t="b">
        <v>0</v>
      </c>
      <c r="AA642">
        <v>98.88</v>
      </c>
      <c r="AB642">
        <v>0</v>
      </c>
      <c r="AD642" t="b">
        <v>0</v>
      </c>
      <c r="AG642" s="1" t="s">
        <v>59</v>
      </c>
      <c r="AH642" s="1" t="s">
        <v>52</v>
      </c>
      <c r="AI642">
        <v>314</v>
      </c>
      <c r="AJ642">
        <v>63</v>
      </c>
      <c r="AK642" s="106">
        <v>45475.635463437502</v>
      </c>
      <c r="AL642" s="1" t="s">
        <v>4790</v>
      </c>
      <c r="AM642" s="42">
        <f>IFERROR(INDEX('Public procurment'!A:R,MATCH(ListOfExpenditure[[#This Row],[Content.contractId]],'Public procurment'!E:E,0),14),0)</f>
        <v>0</v>
      </c>
      <c r="AN642" s="2">
        <f>IF(AND(ListOfExpenditure[[#This Row],[Contract amount]]&gt;10000,ListOfExpenditure[[#This Row],[Content.declaredAmount]]&gt;2000),1,0)</f>
        <v>0</v>
      </c>
      <c r="AO642">
        <f>IFERROR(INDEX('Public procurment'!A:S,MATCH(ListOfExpenditure[[#This Row],[Content.contractId]],'Public procurment'!E:E,0),19),0)</f>
        <v>0</v>
      </c>
      <c r="AP642">
        <f>IF(ListOfExpenditure[[#This Row],[Numero di volte controllato il contract ]]&gt;0,0,ListOfExpenditure[[#This Row],[IF public procurment &gt;10000;1;0]])</f>
        <v>0</v>
      </c>
    </row>
    <row r="643" spans="1:42" x14ac:dyDescent="0.25">
      <c r="A643">
        <v>372</v>
      </c>
      <c r="B643">
        <v>28</v>
      </c>
      <c r="E643" t="s">
        <v>4798</v>
      </c>
      <c r="F643" t="b">
        <v>1</v>
      </c>
      <c r="H643">
        <v>63</v>
      </c>
      <c r="I643" t="s">
        <v>5372</v>
      </c>
      <c r="J643" t="s">
        <v>5373</v>
      </c>
      <c r="K643" t="s">
        <v>5305</v>
      </c>
      <c r="L643" t="s">
        <v>4797</v>
      </c>
      <c r="M643" t="s">
        <v>4788</v>
      </c>
      <c r="N643" t="s">
        <v>4788</v>
      </c>
      <c r="O643">
        <v>510</v>
      </c>
      <c r="P643">
        <v>0</v>
      </c>
      <c r="Q643">
        <v>0</v>
      </c>
      <c r="R643">
        <v>0</v>
      </c>
      <c r="S643">
        <v>510</v>
      </c>
      <c r="T643" t="s">
        <v>4789</v>
      </c>
      <c r="U643">
        <v>1</v>
      </c>
      <c r="V643">
        <v>510</v>
      </c>
      <c r="W643" t="s">
        <v>4343</v>
      </c>
      <c r="Y643" t="b">
        <v>1</v>
      </c>
      <c r="Z643" t="b">
        <v>0</v>
      </c>
      <c r="AA643">
        <v>510</v>
      </c>
      <c r="AB643">
        <v>0</v>
      </c>
      <c r="AD643" t="b">
        <v>0</v>
      </c>
      <c r="AG643" s="1" t="s">
        <v>59</v>
      </c>
      <c r="AH643" s="1" t="s">
        <v>52</v>
      </c>
      <c r="AI643">
        <v>314</v>
      </c>
      <c r="AJ643">
        <v>63</v>
      </c>
      <c r="AK643" s="106">
        <v>45475.635463437502</v>
      </c>
      <c r="AL643" s="1" t="s">
        <v>4790</v>
      </c>
      <c r="AM643" s="42">
        <f>IFERROR(INDEX('Public procurment'!A:R,MATCH(ListOfExpenditure[[#This Row],[Content.contractId]],'Public procurment'!E:E,0),14),0)</f>
        <v>0</v>
      </c>
      <c r="AN643" s="2">
        <f>IF(AND(ListOfExpenditure[[#This Row],[Contract amount]]&gt;10000,ListOfExpenditure[[#This Row],[Content.declaredAmount]]&gt;2000),1,0)</f>
        <v>0</v>
      </c>
      <c r="AO643">
        <f>IFERROR(INDEX('Public procurment'!A:S,MATCH(ListOfExpenditure[[#This Row],[Content.contractId]],'Public procurment'!E:E,0),19),0)</f>
        <v>0</v>
      </c>
      <c r="AP643">
        <f>IF(ListOfExpenditure[[#This Row],[Numero di volte controllato il contract ]]&gt;0,0,ListOfExpenditure[[#This Row],[IF public procurment &gt;10000;1;0]])</f>
        <v>0</v>
      </c>
    </row>
    <row r="644" spans="1:42" x14ac:dyDescent="0.25">
      <c r="A644">
        <v>373</v>
      </c>
      <c r="B644">
        <v>29</v>
      </c>
      <c r="E644" t="s">
        <v>4798</v>
      </c>
      <c r="F644" t="b">
        <v>1</v>
      </c>
      <c r="H644">
        <v>64</v>
      </c>
      <c r="I644" t="s">
        <v>5374</v>
      </c>
      <c r="J644" t="s">
        <v>5375</v>
      </c>
      <c r="K644" t="s">
        <v>5305</v>
      </c>
      <c r="L644" t="s">
        <v>5376</v>
      </c>
      <c r="M644" t="s">
        <v>4788</v>
      </c>
      <c r="N644" t="s">
        <v>4788</v>
      </c>
      <c r="O644">
        <v>381.25</v>
      </c>
      <c r="P644">
        <v>68.75</v>
      </c>
      <c r="Q644">
        <v>0</v>
      </c>
      <c r="R644">
        <v>0</v>
      </c>
      <c r="S644">
        <v>381.25</v>
      </c>
      <c r="T644" t="s">
        <v>4789</v>
      </c>
      <c r="U644">
        <v>1</v>
      </c>
      <c r="V644">
        <v>381.25</v>
      </c>
      <c r="W644" t="s">
        <v>4343</v>
      </c>
      <c r="Y644" t="b">
        <v>1</v>
      </c>
      <c r="Z644" t="b">
        <v>0</v>
      </c>
      <c r="AA644">
        <v>381.25</v>
      </c>
      <c r="AB644">
        <v>0</v>
      </c>
      <c r="AD644" t="b">
        <v>0</v>
      </c>
      <c r="AG644" s="1" t="s">
        <v>59</v>
      </c>
      <c r="AH644" s="1" t="s">
        <v>52</v>
      </c>
      <c r="AI644">
        <v>314</v>
      </c>
      <c r="AJ644">
        <v>63</v>
      </c>
      <c r="AK644" s="106">
        <v>45475.635463437502</v>
      </c>
      <c r="AL644" s="1" t="s">
        <v>4790</v>
      </c>
      <c r="AM644" s="42">
        <f>IFERROR(INDEX('Public procurment'!A:R,MATCH(ListOfExpenditure[[#This Row],[Content.contractId]],'Public procurment'!E:E,0),14),0)</f>
        <v>0</v>
      </c>
      <c r="AN644" s="2">
        <f>IF(AND(ListOfExpenditure[[#This Row],[Contract amount]]&gt;10000,ListOfExpenditure[[#This Row],[Content.declaredAmount]]&gt;2000),1,0)</f>
        <v>0</v>
      </c>
      <c r="AO644">
        <f>IFERROR(INDEX('Public procurment'!A:S,MATCH(ListOfExpenditure[[#This Row],[Content.contractId]],'Public procurment'!E:E,0),19),0)</f>
        <v>0</v>
      </c>
      <c r="AP644">
        <f>IF(ListOfExpenditure[[#This Row],[Numero di volte controllato il contract ]]&gt;0,0,ListOfExpenditure[[#This Row],[IF public procurment &gt;10000;1;0]])</f>
        <v>0</v>
      </c>
    </row>
    <row r="645" spans="1:42" x14ac:dyDescent="0.25">
      <c r="A645">
        <v>380</v>
      </c>
      <c r="B645">
        <v>30</v>
      </c>
      <c r="E645" t="s">
        <v>4798</v>
      </c>
      <c r="F645" t="b">
        <v>1</v>
      </c>
      <c r="H645">
        <v>65</v>
      </c>
      <c r="I645" t="s">
        <v>5377</v>
      </c>
      <c r="J645" t="s">
        <v>5378</v>
      </c>
      <c r="K645" t="s">
        <v>4354</v>
      </c>
      <c r="L645" t="s">
        <v>4873</v>
      </c>
      <c r="M645" t="s">
        <v>4788</v>
      </c>
      <c r="N645" t="s">
        <v>4788</v>
      </c>
      <c r="O645">
        <v>410</v>
      </c>
      <c r="P645">
        <v>0</v>
      </c>
      <c r="Q645">
        <v>0</v>
      </c>
      <c r="R645">
        <v>0</v>
      </c>
      <c r="S645">
        <v>410</v>
      </c>
      <c r="T645" t="s">
        <v>4789</v>
      </c>
      <c r="U645">
        <v>1</v>
      </c>
      <c r="V645">
        <v>410</v>
      </c>
      <c r="W645" t="s">
        <v>4343</v>
      </c>
      <c r="Y645" t="b">
        <v>1</v>
      </c>
      <c r="Z645" t="b">
        <v>0</v>
      </c>
      <c r="AA645">
        <v>410</v>
      </c>
      <c r="AB645">
        <v>0</v>
      </c>
      <c r="AD645" t="b">
        <v>0</v>
      </c>
      <c r="AG645" s="1" t="s">
        <v>59</v>
      </c>
      <c r="AH645" s="1" t="s">
        <v>52</v>
      </c>
      <c r="AI645">
        <v>314</v>
      </c>
      <c r="AJ645">
        <v>63</v>
      </c>
      <c r="AK645" s="106">
        <v>45475.635463437502</v>
      </c>
      <c r="AL645" s="1" t="s">
        <v>4790</v>
      </c>
      <c r="AM645" s="42">
        <f>IFERROR(INDEX('Public procurment'!A:R,MATCH(ListOfExpenditure[[#This Row],[Content.contractId]],'Public procurment'!E:E,0),14),0)</f>
        <v>0</v>
      </c>
      <c r="AN645" s="2">
        <f>IF(AND(ListOfExpenditure[[#This Row],[Contract amount]]&gt;10000,ListOfExpenditure[[#This Row],[Content.declaredAmount]]&gt;2000),1,0)</f>
        <v>0</v>
      </c>
      <c r="AO645">
        <f>IFERROR(INDEX('Public procurment'!A:S,MATCH(ListOfExpenditure[[#This Row],[Content.contractId]],'Public procurment'!E:E,0),19),0)</f>
        <v>0</v>
      </c>
      <c r="AP645">
        <f>IF(ListOfExpenditure[[#This Row],[Numero di volte controllato il contract ]]&gt;0,0,ListOfExpenditure[[#This Row],[IF public procurment &gt;10000;1;0]])</f>
        <v>0</v>
      </c>
    </row>
    <row r="646" spans="1:42" x14ac:dyDescent="0.25">
      <c r="A646">
        <v>381</v>
      </c>
      <c r="B646">
        <v>31</v>
      </c>
      <c r="E646" t="s">
        <v>4798</v>
      </c>
      <c r="F646" t="b">
        <v>1</v>
      </c>
      <c r="H646">
        <v>66</v>
      </c>
      <c r="I646" t="s">
        <v>5379</v>
      </c>
      <c r="J646" t="s">
        <v>5380</v>
      </c>
      <c r="K646" t="s">
        <v>5381</v>
      </c>
      <c r="L646" t="s">
        <v>5357</v>
      </c>
      <c r="M646" t="s">
        <v>4788</v>
      </c>
      <c r="N646" t="s">
        <v>4788</v>
      </c>
      <c r="O646">
        <v>150</v>
      </c>
      <c r="P646">
        <v>0</v>
      </c>
      <c r="Q646">
        <v>0</v>
      </c>
      <c r="R646">
        <v>0</v>
      </c>
      <c r="S646">
        <v>150</v>
      </c>
      <c r="T646" t="s">
        <v>4789</v>
      </c>
      <c r="U646">
        <v>1</v>
      </c>
      <c r="V646">
        <v>150</v>
      </c>
      <c r="W646" t="s">
        <v>4343</v>
      </c>
      <c r="Y646" t="b">
        <v>1</v>
      </c>
      <c r="Z646" t="b">
        <v>0</v>
      </c>
      <c r="AA646">
        <v>150</v>
      </c>
      <c r="AB646">
        <v>0</v>
      </c>
      <c r="AD646" t="b">
        <v>0</v>
      </c>
      <c r="AG646" s="1" t="s">
        <v>59</v>
      </c>
      <c r="AH646" s="1" t="s">
        <v>52</v>
      </c>
      <c r="AI646">
        <v>314</v>
      </c>
      <c r="AJ646">
        <v>63</v>
      </c>
      <c r="AK646" s="106">
        <v>45475.635463437502</v>
      </c>
      <c r="AL646" s="1" t="s">
        <v>4790</v>
      </c>
      <c r="AM646" s="42">
        <f>IFERROR(INDEX('Public procurment'!A:R,MATCH(ListOfExpenditure[[#This Row],[Content.contractId]],'Public procurment'!E:E,0),14),0)</f>
        <v>0</v>
      </c>
      <c r="AN646" s="2">
        <f>IF(AND(ListOfExpenditure[[#This Row],[Contract amount]]&gt;10000,ListOfExpenditure[[#This Row],[Content.declaredAmount]]&gt;2000),1,0)</f>
        <v>0</v>
      </c>
      <c r="AO646">
        <f>IFERROR(INDEX('Public procurment'!A:S,MATCH(ListOfExpenditure[[#This Row],[Content.contractId]],'Public procurment'!E:E,0),19),0)</f>
        <v>0</v>
      </c>
      <c r="AP646">
        <f>IF(ListOfExpenditure[[#This Row],[Numero di volte controllato il contract ]]&gt;0,0,ListOfExpenditure[[#This Row],[IF public procurment &gt;10000;1;0]])</f>
        <v>0</v>
      </c>
    </row>
    <row r="647" spans="1:42" x14ac:dyDescent="0.25">
      <c r="A647">
        <v>382</v>
      </c>
      <c r="B647">
        <v>32</v>
      </c>
      <c r="E647" t="s">
        <v>4798</v>
      </c>
      <c r="F647" t="b">
        <v>1</v>
      </c>
      <c r="H647">
        <v>67</v>
      </c>
      <c r="I647" t="s">
        <v>5382</v>
      </c>
      <c r="J647" t="s">
        <v>5383</v>
      </c>
      <c r="K647" t="s">
        <v>5349</v>
      </c>
      <c r="L647" t="s">
        <v>5384</v>
      </c>
      <c r="M647" t="s">
        <v>4788</v>
      </c>
      <c r="N647" t="s">
        <v>4788</v>
      </c>
      <c r="O647">
        <v>187.88</v>
      </c>
      <c r="P647">
        <v>33.880000000000003</v>
      </c>
      <c r="Q647">
        <v>0</v>
      </c>
      <c r="R647">
        <v>0</v>
      </c>
      <c r="S647">
        <v>187.88</v>
      </c>
      <c r="T647" t="s">
        <v>4789</v>
      </c>
      <c r="U647">
        <v>1</v>
      </c>
      <c r="V647">
        <v>187.88</v>
      </c>
      <c r="W647" t="s">
        <v>4343</v>
      </c>
      <c r="Y647" t="b">
        <v>1</v>
      </c>
      <c r="Z647" t="b">
        <v>0</v>
      </c>
      <c r="AA647">
        <v>187.88</v>
      </c>
      <c r="AB647">
        <v>0</v>
      </c>
      <c r="AD647" t="b">
        <v>0</v>
      </c>
      <c r="AG647" s="1" t="s">
        <v>59</v>
      </c>
      <c r="AH647" s="1" t="s">
        <v>52</v>
      </c>
      <c r="AI647">
        <v>314</v>
      </c>
      <c r="AJ647">
        <v>63</v>
      </c>
      <c r="AK647" s="106">
        <v>45475.635463437502</v>
      </c>
      <c r="AL647" s="1" t="s">
        <v>4790</v>
      </c>
      <c r="AM647" s="42">
        <f>IFERROR(INDEX('Public procurment'!A:R,MATCH(ListOfExpenditure[[#This Row],[Content.contractId]],'Public procurment'!E:E,0),14),0)</f>
        <v>0</v>
      </c>
      <c r="AN647" s="2">
        <f>IF(AND(ListOfExpenditure[[#This Row],[Contract amount]]&gt;10000,ListOfExpenditure[[#This Row],[Content.declaredAmount]]&gt;2000),1,0)</f>
        <v>0</v>
      </c>
      <c r="AO647">
        <f>IFERROR(INDEX('Public procurment'!A:S,MATCH(ListOfExpenditure[[#This Row],[Content.contractId]],'Public procurment'!E:E,0),19),0)</f>
        <v>0</v>
      </c>
      <c r="AP647">
        <f>IF(ListOfExpenditure[[#This Row],[Numero di volte controllato il contract ]]&gt;0,0,ListOfExpenditure[[#This Row],[IF public procurment &gt;10000;1;0]])</f>
        <v>0</v>
      </c>
    </row>
    <row r="648" spans="1:42" x14ac:dyDescent="0.25">
      <c r="A648">
        <v>383</v>
      </c>
      <c r="B648">
        <v>33</v>
      </c>
      <c r="E648" t="s">
        <v>4798</v>
      </c>
      <c r="F648" t="b">
        <v>1</v>
      </c>
      <c r="H648">
        <v>68</v>
      </c>
      <c r="I648" t="s">
        <v>5385</v>
      </c>
      <c r="J648" t="s">
        <v>5386</v>
      </c>
      <c r="K648" t="s">
        <v>5324</v>
      </c>
      <c r="L648" t="s">
        <v>5387</v>
      </c>
      <c r="M648" t="s">
        <v>4788</v>
      </c>
      <c r="N648" t="s">
        <v>4788</v>
      </c>
      <c r="O648">
        <v>354</v>
      </c>
      <c r="P648">
        <v>63.84</v>
      </c>
      <c r="Q648">
        <v>0</v>
      </c>
      <c r="R648">
        <v>0</v>
      </c>
      <c r="S648">
        <v>354</v>
      </c>
      <c r="T648" t="s">
        <v>4789</v>
      </c>
      <c r="U648">
        <v>1</v>
      </c>
      <c r="V648">
        <v>354</v>
      </c>
      <c r="W648" t="s">
        <v>4343</v>
      </c>
      <c r="Y648" t="b">
        <v>1</v>
      </c>
      <c r="Z648" t="b">
        <v>0</v>
      </c>
      <c r="AA648">
        <v>354</v>
      </c>
      <c r="AB648">
        <v>0</v>
      </c>
      <c r="AD648" t="b">
        <v>0</v>
      </c>
      <c r="AG648" s="1" t="s">
        <v>59</v>
      </c>
      <c r="AH648" s="1" t="s">
        <v>52</v>
      </c>
      <c r="AI648">
        <v>314</v>
      </c>
      <c r="AJ648">
        <v>63</v>
      </c>
      <c r="AK648" s="106">
        <v>45475.635463437502</v>
      </c>
      <c r="AL648" s="1" t="s">
        <v>4790</v>
      </c>
      <c r="AM648" s="42">
        <f>IFERROR(INDEX('Public procurment'!A:R,MATCH(ListOfExpenditure[[#This Row],[Content.contractId]],'Public procurment'!E:E,0),14),0)</f>
        <v>0</v>
      </c>
      <c r="AN648" s="2">
        <f>IF(AND(ListOfExpenditure[[#This Row],[Contract amount]]&gt;10000,ListOfExpenditure[[#This Row],[Content.declaredAmount]]&gt;2000),1,0)</f>
        <v>0</v>
      </c>
      <c r="AO648">
        <f>IFERROR(INDEX('Public procurment'!A:S,MATCH(ListOfExpenditure[[#This Row],[Content.contractId]],'Public procurment'!E:E,0),19),0)</f>
        <v>0</v>
      </c>
      <c r="AP648">
        <f>IF(ListOfExpenditure[[#This Row],[Numero di volte controllato il contract ]]&gt;0,0,ListOfExpenditure[[#This Row],[IF public procurment &gt;10000;1;0]])</f>
        <v>0</v>
      </c>
    </row>
    <row r="649" spans="1:42" x14ac:dyDescent="0.25">
      <c r="A649">
        <v>384</v>
      </c>
      <c r="B649">
        <v>34</v>
      </c>
      <c r="E649" t="s">
        <v>4798</v>
      </c>
      <c r="F649" t="b">
        <v>1</v>
      </c>
      <c r="H649">
        <v>69</v>
      </c>
      <c r="I649" t="s">
        <v>5388</v>
      </c>
      <c r="J649" t="s">
        <v>5389</v>
      </c>
      <c r="K649" t="s">
        <v>4797</v>
      </c>
      <c r="L649" t="s">
        <v>5387</v>
      </c>
      <c r="M649" t="s">
        <v>4788</v>
      </c>
      <c r="N649" t="s">
        <v>4788</v>
      </c>
      <c r="O649">
        <v>381.91</v>
      </c>
      <c r="P649">
        <v>68.87</v>
      </c>
      <c r="Q649">
        <v>0</v>
      </c>
      <c r="R649">
        <v>0</v>
      </c>
      <c r="S649">
        <v>381.91</v>
      </c>
      <c r="T649" t="s">
        <v>4789</v>
      </c>
      <c r="U649">
        <v>1</v>
      </c>
      <c r="V649">
        <v>381.91</v>
      </c>
      <c r="W649" t="s">
        <v>4343</v>
      </c>
      <c r="Y649" t="b">
        <v>1</v>
      </c>
      <c r="Z649" t="b">
        <v>0</v>
      </c>
      <c r="AA649">
        <v>381.91</v>
      </c>
      <c r="AB649">
        <v>0</v>
      </c>
      <c r="AD649" t="b">
        <v>0</v>
      </c>
      <c r="AG649" s="1" t="s">
        <v>59</v>
      </c>
      <c r="AH649" s="1" t="s">
        <v>52</v>
      </c>
      <c r="AI649">
        <v>314</v>
      </c>
      <c r="AJ649">
        <v>63</v>
      </c>
      <c r="AK649" s="106">
        <v>45475.635463437502</v>
      </c>
      <c r="AL649" s="1" t="s">
        <v>4790</v>
      </c>
      <c r="AM649" s="42">
        <f>IFERROR(INDEX('Public procurment'!A:R,MATCH(ListOfExpenditure[[#This Row],[Content.contractId]],'Public procurment'!E:E,0),14),0)</f>
        <v>0</v>
      </c>
      <c r="AN649" s="2">
        <f>IF(AND(ListOfExpenditure[[#This Row],[Contract amount]]&gt;10000,ListOfExpenditure[[#This Row],[Content.declaredAmount]]&gt;2000),1,0)</f>
        <v>0</v>
      </c>
      <c r="AO649">
        <f>IFERROR(INDEX('Public procurment'!A:S,MATCH(ListOfExpenditure[[#This Row],[Content.contractId]],'Public procurment'!E:E,0),19),0)</f>
        <v>0</v>
      </c>
      <c r="AP649">
        <f>IF(ListOfExpenditure[[#This Row],[Numero di volte controllato il contract ]]&gt;0,0,ListOfExpenditure[[#This Row],[IF public procurment &gt;10000;1;0]])</f>
        <v>0</v>
      </c>
    </row>
    <row r="650" spans="1:42" x14ac:dyDescent="0.25">
      <c r="A650">
        <v>385</v>
      </c>
      <c r="B650">
        <v>35</v>
      </c>
      <c r="E650" t="s">
        <v>4798</v>
      </c>
      <c r="F650" t="b">
        <v>1</v>
      </c>
      <c r="H650">
        <v>84</v>
      </c>
      <c r="I650" t="s">
        <v>5390</v>
      </c>
      <c r="J650" t="s">
        <v>5391</v>
      </c>
      <c r="K650" t="s">
        <v>5392</v>
      </c>
      <c r="L650" t="s">
        <v>5392</v>
      </c>
      <c r="M650" t="s">
        <v>4788</v>
      </c>
      <c r="N650" t="s">
        <v>4788</v>
      </c>
      <c r="O650">
        <v>1100</v>
      </c>
      <c r="P650">
        <v>0</v>
      </c>
      <c r="Q650">
        <v>0</v>
      </c>
      <c r="R650">
        <v>0</v>
      </c>
      <c r="S650">
        <v>1100</v>
      </c>
      <c r="T650" t="s">
        <v>4789</v>
      </c>
      <c r="U650">
        <v>1</v>
      </c>
      <c r="V650">
        <v>1100</v>
      </c>
      <c r="W650" t="s">
        <v>4343</v>
      </c>
      <c r="Y650" t="b">
        <v>1</v>
      </c>
      <c r="Z650" t="b">
        <v>0</v>
      </c>
      <c r="AA650">
        <v>1100</v>
      </c>
      <c r="AB650">
        <v>0</v>
      </c>
      <c r="AD650" t="b">
        <v>0</v>
      </c>
      <c r="AG650" s="1" t="s">
        <v>59</v>
      </c>
      <c r="AH650" s="1" t="s">
        <v>52</v>
      </c>
      <c r="AI650">
        <v>314</v>
      </c>
      <c r="AJ650">
        <v>63</v>
      </c>
      <c r="AK650" s="106">
        <v>45475.635463437502</v>
      </c>
      <c r="AL650" s="1" t="s">
        <v>4790</v>
      </c>
      <c r="AM650" s="42">
        <f>IFERROR(INDEX('Public procurment'!A:R,MATCH(ListOfExpenditure[[#This Row],[Content.contractId]],'Public procurment'!E:E,0),14),0)</f>
        <v>0</v>
      </c>
      <c r="AN650" s="2">
        <f>IF(AND(ListOfExpenditure[[#This Row],[Contract amount]]&gt;10000,ListOfExpenditure[[#This Row],[Content.declaredAmount]]&gt;2000),1,0)</f>
        <v>0</v>
      </c>
      <c r="AO650">
        <f>IFERROR(INDEX('Public procurment'!A:S,MATCH(ListOfExpenditure[[#This Row],[Content.contractId]],'Public procurment'!E:E,0),19),0)</f>
        <v>0</v>
      </c>
      <c r="AP650">
        <f>IF(ListOfExpenditure[[#This Row],[Numero di volte controllato il contract ]]&gt;0,0,ListOfExpenditure[[#This Row],[IF public procurment &gt;10000;1;0]])</f>
        <v>0</v>
      </c>
    </row>
    <row r="651" spans="1:42" x14ac:dyDescent="0.25">
      <c r="A651">
        <v>488</v>
      </c>
      <c r="B651">
        <v>36</v>
      </c>
      <c r="E651" t="s">
        <v>4798</v>
      </c>
      <c r="F651" t="b">
        <v>1</v>
      </c>
      <c r="I651" t="s">
        <v>5393</v>
      </c>
      <c r="J651" t="s">
        <v>5394</v>
      </c>
      <c r="K651" t="s">
        <v>4806</v>
      </c>
      <c r="L651" t="s">
        <v>4444</v>
      </c>
      <c r="M651" t="s">
        <v>4788</v>
      </c>
      <c r="N651" t="s">
        <v>4788</v>
      </c>
      <c r="O651">
        <v>213.5</v>
      </c>
      <c r="P651">
        <v>38.5</v>
      </c>
      <c r="Q651">
        <v>0</v>
      </c>
      <c r="R651">
        <v>0</v>
      </c>
      <c r="S651">
        <v>213.5</v>
      </c>
      <c r="T651" t="s">
        <v>4789</v>
      </c>
      <c r="U651">
        <v>1</v>
      </c>
      <c r="V651">
        <v>213.5</v>
      </c>
      <c r="W651" t="s">
        <v>4343</v>
      </c>
      <c r="Y651" t="b">
        <v>1</v>
      </c>
      <c r="Z651" t="b">
        <v>0</v>
      </c>
      <c r="AA651">
        <v>213.5</v>
      </c>
      <c r="AB651">
        <v>0</v>
      </c>
      <c r="AD651" t="b">
        <v>0</v>
      </c>
      <c r="AG651" s="1" t="s">
        <v>59</v>
      </c>
      <c r="AH651" s="1" t="s">
        <v>52</v>
      </c>
      <c r="AI651">
        <v>314</v>
      </c>
      <c r="AJ651">
        <v>63</v>
      </c>
      <c r="AK651" s="106">
        <v>45475.635463437502</v>
      </c>
      <c r="AL651" s="1" t="s">
        <v>4790</v>
      </c>
      <c r="AM651" s="42">
        <f>IFERROR(INDEX('Public procurment'!A:R,MATCH(ListOfExpenditure[[#This Row],[Content.contractId]],'Public procurment'!E:E,0),14),0)</f>
        <v>0</v>
      </c>
      <c r="AN651" s="2">
        <f>IF(AND(ListOfExpenditure[[#This Row],[Contract amount]]&gt;10000,ListOfExpenditure[[#This Row],[Content.declaredAmount]]&gt;2000),1,0)</f>
        <v>0</v>
      </c>
      <c r="AO651">
        <f>IFERROR(INDEX('Public procurment'!A:S,MATCH(ListOfExpenditure[[#This Row],[Content.contractId]],'Public procurment'!E:E,0),19),0)</f>
        <v>0</v>
      </c>
      <c r="AP651">
        <f>IF(ListOfExpenditure[[#This Row],[Numero di volte controllato il contract ]]&gt;0,0,ListOfExpenditure[[#This Row],[IF public procurment &gt;10000;1;0]])</f>
        <v>0</v>
      </c>
    </row>
    <row r="652" spans="1:42" x14ac:dyDescent="0.25">
      <c r="A652">
        <v>555</v>
      </c>
      <c r="B652">
        <v>37</v>
      </c>
      <c r="E652" t="s">
        <v>4798</v>
      </c>
      <c r="F652" t="b">
        <v>1</v>
      </c>
      <c r="H652">
        <v>91</v>
      </c>
      <c r="I652" t="s">
        <v>5395</v>
      </c>
      <c r="J652" t="s">
        <v>5396</v>
      </c>
      <c r="K652" t="s">
        <v>4821</v>
      </c>
      <c r="L652" t="s">
        <v>5275</v>
      </c>
      <c r="M652" t="s">
        <v>4788</v>
      </c>
      <c r="N652" t="s">
        <v>4788</v>
      </c>
      <c r="O652">
        <v>790</v>
      </c>
      <c r="P652">
        <v>0</v>
      </c>
      <c r="Q652">
        <v>0</v>
      </c>
      <c r="R652">
        <v>0</v>
      </c>
      <c r="S652">
        <v>790</v>
      </c>
      <c r="T652" t="s">
        <v>4789</v>
      </c>
      <c r="U652">
        <v>1</v>
      </c>
      <c r="V652">
        <v>790</v>
      </c>
      <c r="W652" t="s">
        <v>4343</v>
      </c>
      <c r="Y652" t="b">
        <v>1</v>
      </c>
      <c r="Z652" t="b">
        <v>0</v>
      </c>
      <c r="AA652">
        <v>790</v>
      </c>
      <c r="AB652">
        <v>0</v>
      </c>
      <c r="AD652" t="b">
        <v>0</v>
      </c>
      <c r="AG652" s="1" t="s">
        <v>59</v>
      </c>
      <c r="AH652" s="1" t="s">
        <v>52</v>
      </c>
      <c r="AI652">
        <v>314</v>
      </c>
      <c r="AJ652">
        <v>63</v>
      </c>
      <c r="AK652" s="106">
        <v>45475.635463437502</v>
      </c>
      <c r="AL652" s="1" t="s">
        <v>4790</v>
      </c>
      <c r="AM652" s="42">
        <f>IFERROR(INDEX('Public procurment'!A:R,MATCH(ListOfExpenditure[[#This Row],[Content.contractId]],'Public procurment'!E:E,0),14),0)</f>
        <v>0</v>
      </c>
      <c r="AN652" s="2">
        <f>IF(AND(ListOfExpenditure[[#This Row],[Contract amount]]&gt;10000,ListOfExpenditure[[#This Row],[Content.declaredAmount]]&gt;2000),1,0)</f>
        <v>0</v>
      </c>
      <c r="AO652">
        <f>IFERROR(INDEX('Public procurment'!A:S,MATCH(ListOfExpenditure[[#This Row],[Content.contractId]],'Public procurment'!E:E,0),19),0)</f>
        <v>0</v>
      </c>
      <c r="AP652">
        <f>IF(ListOfExpenditure[[#This Row],[Numero di volte controllato il contract ]]&gt;0,0,ListOfExpenditure[[#This Row],[IF public procurment &gt;10000;1;0]])</f>
        <v>0</v>
      </c>
    </row>
    <row r="653" spans="1:42" x14ac:dyDescent="0.25">
      <c r="A653">
        <v>556</v>
      </c>
      <c r="B653">
        <v>38</v>
      </c>
      <c r="E653" t="s">
        <v>4798</v>
      </c>
      <c r="F653" t="b">
        <v>1</v>
      </c>
      <c r="H653">
        <v>91</v>
      </c>
      <c r="I653" t="s">
        <v>5397</v>
      </c>
      <c r="J653" t="s">
        <v>5398</v>
      </c>
      <c r="K653" t="s">
        <v>4821</v>
      </c>
      <c r="L653" t="s">
        <v>5275</v>
      </c>
      <c r="M653" t="s">
        <v>4788</v>
      </c>
      <c r="N653" t="s">
        <v>4788</v>
      </c>
      <c r="O653">
        <v>164</v>
      </c>
      <c r="P653">
        <v>0</v>
      </c>
      <c r="Q653">
        <v>0</v>
      </c>
      <c r="R653">
        <v>0</v>
      </c>
      <c r="S653">
        <v>164</v>
      </c>
      <c r="T653" t="s">
        <v>4789</v>
      </c>
      <c r="U653">
        <v>1</v>
      </c>
      <c r="V653">
        <v>164</v>
      </c>
      <c r="W653" t="s">
        <v>4343</v>
      </c>
      <c r="Y653" t="b">
        <v>1</v>
      </c>
      <c r="Z653" t="b">
        <v>0</v>
      </c>
      <c r="AA653">
        <v>164</v>
      </c>
      <c r="AB653">
        <v>0</v>
      </c>
      <c r="AD653" t="b">
        <v>0</v>
      </c>
      <c r="AG653" s="1" t="s">
        <v>59</v>
      </c>
      <c r="AH653" s="1" t="s">
        <v>52</v>
      </c>
      <c r="AI653">
        <v>314</v>
      </c>
      <c r="AJ653">
        <v>63</v>
      </c>
      <c r="AK653" s="106">
        <v>45475.635463437502</v>
      </c>
      <c r="AL653" s="1" t="s">
        <v>4790</v>
      </c>
      <c r="AM653" s="42">
        <f>IFERROR(INDEX('Public procurment'!A:R,MATCH(ListOfExpenditure[[#This Row],[Content.contractId]],'Public procurment'!E:E,0),14),0)</f>
        <v>0</v>
      </c>
      <c r="AN653" s="2">
        <f>IF(AND(ListOfExpenditure[[#This Row],[Contract amount]]&gt;10000,ListOfExpenditure[[#This Row],[Content.declaredAmount]]&gt;2000),1,0)</f>
        <v>0</v>
      </c>
      <c r="AO653">
        <f>IFERROR(INDEX('Public procurment'!A:S,MATCH(ListOfExpenditure[[#This Row],[Content.contractId]],'Public procurment'!E:E,0),19),0)</f>
        <v>0</v>
      </c>
      <c r="AP653">
        <f>IF(ListOfExpenditure[[#This Row],[Numero di volte controllato il contract ]]&gt;0,0,ListOfExpenditure[[#This Row],[IF public procurment &gt;10000;1;0]])</f>
        <v>0</v>
      </c>
    </row>
    <row r="654" spans="1:42" x14ac:dyDescent="0.25">
      <c r="A654">
        <v>524</v>
      </c>
      <c r="B654">
        <v>1</v>
      </c>
      <c r="E654" t="s">
        <v>4798</v>
      </c>
      <c r="F654" t="b">
        <v>0</v>
      </c>
      <c r="I654" t="s">
        <v>212</v>
      </c>
      <c r="J654" t="s">
        <v>212</v>
      </c>
      <c r="M654" t="s">
        <v>4788</v>
      </c>
      <c r="N654" t="s">
        <v>4788</v>
      </c>
      <c r="O654">
        <v>0</v>
      </c>
      <c r="P654">
        <v>0</v>
      </c>
      <c r="Q654">
        <v>0</v>
      </c>
      <c r="R654">
        <v>0</v>
      </c>
      <c r="S654">
        <v>0</v>
      </c>
      <c r="T654" t="s">
        <v>4789</v>
      </c>
      <c r="U654">
        <v>1</v>
      </c>
      <c r="V654">
        <v>0</v>
      </c>
      <c r="Y654" t="b">
        <v>0</v>
      </c>
      <c r="Z654" t="b">
        <v>0</v>
      </c>
      <c r="AA654">
        <v>0</v>
      </c>
      <c r="AB654">
        <v>0</v>
      </c>
      <c r="AD654" t="b">
        <v>0</v>
      </c>
      <c r="AG654" s="1" t="s">
        <v>59</v>
      </c>
      <c r="AH654" s="1" t="s">
        <v>21</v>
      </c>
      <c r="AI654">
        <v>324</v>
      </c>
      <c r="AJ654">
        <v>102</v>
      </c>
      <c r="AK654" s="106">
        <v>45475.635438877318</v>
      </c>
      <c r="AL654" s="1" t="s">
        <v>4790</v>
      </c>
      <c r="AM654" s="42">
        <f>IFERROR(INDEX('Public procurment'!A:R,MATCH(ListOfExpenditure[[#This Row],[Content.contractId]],'Public procurment'!E:E,0),14),0)</f>
        <v>0</v>
      </c>
      <c r="AN654" s="2">
        <f>IF(AND(ListOfExpenditure[[#This Row],[Contract amount]]&gt;10000,ListOfExpenditure[[#This Row],[Content.declaredAmount]]&gt;2000),1,0)</f>
        <v>0</v>
      </c>
      <c r="AO654">
        <f>IFERROR(INDEX('Public procurment'!A:S,MATCH(ListOfExpenditure[[#This Row],[Content.contractId]],'Public procurment'!E:E,0),19),0)</f>
        <v>0</v>
      </c>
      <c r="AP654">
        <f>IF(ListOfExpenditure[[#This Row],[Numero di volte controllato il contract ]]&gt;0,0,ListOfExpenditure[[#This Row],[IF public procurment &gt;10000;1;0]])</f>
        <v>0</v>
      </c>
    </row>
    <row r="655" spans="1:42" x14ac:dyDescent="0.25">
      <c r="A655">
        <v>587</v>
      </c>
      <c r="B655">
        <v>1</v>
      </c>
      <c r="E655" t="s">
        <v>4798</v>
      </c>
      <c r="F655" t="b">
        <v>0</v>
      </c>
      <c r="G655">
        <v>371</v>
      </c>
      <c r="H655">
        <v>86</v>
      </c>
      <c r="I655" t="s">
        <v>212</v>
      </c>
      <c r="J655" t="s">
        <v>5399</v>
      </c>
      <c r="K655" t="s">
        <v>5040</v>
      </c>
      <c r="L655" t="s">
        <v>5239</v>
      </c>
      <c r="M655" t="s">
        <v>4788</v>
      </c>
      <c r="N655" t="s">
        <v>4788</v>
      </c>
      <c r="O655">
        <v>456.6</v>
      </c>
      <c r="P655">
        <v>40.909999999999997</v>
      </c>
      <c r="Q655">
        <v>0</v>
      </c>
      <c r="R655">
        <v>0</v>
      </c>
      <c r="S655">
        <v>456.6</v>
      </c>
      <c r="T655" t="s">
        <v>4789</v>
      </c>
      <c r="U655">
        <v>1</v>
      </c>
      <c r="V655">
        <v>456.6</v>
      </c>
      <c r="W655" t="s">
        <v>4343</v>
      </c>
      <c r="Y655" t="b">
        <v>1</v>
      </c>
      <c r="Z655" t="b">
        <v>0</v>
      </c>
      <c r="AA655">
        <v>456.6</v>
      </c>
      <c r="AB655">
        <v>0</v>
      </c>
      <c r="AD655" t="b">
        <v>0</v>
      </c>
      <c r="AF655" t="s">
        <v>5270</v>
      </c>
      <c r="AG655" s="1" t="s">
        <v>59</v>
      </c>
      <c r="AH655" s="1" t="s">
        <v>21</v>
      </c>
      <c r="AI655">
        <v>324</v>
      </c>
      <c r="AJ655">
        <v>163</v>
      </c>
      <c r="AK655" s="106">
        <v>45475.635486377316</v>
      </c>
      <c r="AL655" s="1" t="s">
        <v>4790</v>
      </c>
      <c r="AM655" s="42">
        <f>IFERROR(INDEX('Public procurment'!A:R,MATCH(ListOfExpenditure[[#This Row],[Content.contractId]],'Public procurment'!E:E,0),14),0)</f>
        <v>415.69</v>
      </c>
      <c r="AN655" s="2">
        <f>IF(AND(ListOfExpenditure[[#This Row],[Contract amount]]&gt;10000,ListOfExpenditure[[#This Row],[Content.declaredAmount]]&gt;2000),1,0)</f>
        <v>0</v>
      </c>
      <c r="AO655">
        <f>IFERROR(INDEX('Public procurment'!A:S,MATCH(ListOfExpenditure[[#This Row],[Content.contractId]],'Public procurment'!E:E,0),19),0)</f>
        <v>1</v>
      </c>
      <c r="AP655">
        <f>IF(ListOfExpenditure[[#This Row],[Numero di volte controllato il contract ]]&gt;0,0,ListOfExpenditure[[#This Row],[IF public procurment &gt;10000;1;0]])</f>
        <v>0</v>
      </c>
    </row>
    <row r="656" spans="1:42" x14ac:dyDescent="0.25">
      <c r="A656">
        <v>588</v>
      </c>
      <c r="B656">
        <v>2</v>
      </c>
      <c r="E656" t="s">
        <v>4798</v>
      </c>
      <c r="F656" t="b">
        <v>0</v>
      </c>
      <c r="G656">
        <v>371</v>
      </c>
      <c r="H656">
        <v>88</v>
      </c>
      <c r="I656" t="s">
        <v>212</v>
      </c>
      <c r="J656" t="s">
        <v>5400</v>
      </c>
      <c r="K656" t="s">
        <v>4359</v>
      </c>
      <c r="L656" t="s">
        <v>5239</v>
      </c>
      <c r="M656" t="s">
        <v>4788</v>
      </c>
      <c r="N656" t="s">
        <v>4788</v>
      </c>
      <c r="O656">
        <v>418</v>
      </c>
      <c r="P656">
        <v>38</v>
      </c>
      <c r="Q656">
        <v>0</v>
      </c>
      <c r="R656">
        <v>0</v>
      </c>
      <c r="S656">
        <v>418</v>
      </c>
      <c r="T656" t="s">
        <v>4789</v>
      </c>
      <c r="U656">
        <v>1</v>
      </c>
      <c r="V656">
        <v>418</v>
      </c>
      <c r="W656" t="s">
        <v>4343</v>
      </c>
      <c r="Y656" t="b">
        <v>0</v>
      </c>
      <c r="Z656" t="b">
        <v>0</v>
      </c>
      <c r="AA656">
        <v>418</v>
      </c>
      <c r="AB656">
        <v>0</v>
      </c>
      <c r="AD656" t="b">
        <v>0</v>
      </c>
      <c r="AF656" t="s">
        <v>4832</v>
      </c>
      <c r="AG656" s="1" t="s">
        <v>59</v>
      </c>
      <c r="AH656" s="1" t="s">
        <v>21</v>
      </c>
      <c r="AI656">
        <v>324</v>
      </c>
      <c r="AJ656">
        <v>163</v>
      </c>
      <c r="AK656" s="106">
        <v>45475.635486377316</v>
      </c>
      <c r="AL656" s="1" t="s">
        <v>4790</v>
      </c>
      <c r="AM656" s="42">
        <f>IFERROR(INDEX('Public procurment'!A:R,MATCH(ListOfExpenditure[[#This Row],[Content.contractId]],'Public procurment'!E:E,0),14),0)</f>
        <v>380</v>
      </c>
      <c r="AN656" s="2">
        <f>IF(AND(ListOfExpenditure[[#This Row],[Contract amount]]&gt;10000,ListOfExpenditure[[#This Row],[Content.declaredAmount]]&gt;2000),1,0)</f>
        <v>0</v>
      </c>
      <c r="AO656">
        <f>IFERROR(INDEX('Public procurment'!A:S,MATCH(ListOfExpenditure[[#This Row],[Content.contractId]],'Public procurment'!E:E,0),19),0)</f>
        <v>0</v>
      </c>
      <c r="AP656">
        <f>IF(ListOfExpenditure[[#This Row],[Numero di volte controllato il contract ]]&gt;0,0,ListOfExpenditure[[#This Row],[IF public procurment &gt;10000;1;0]])</f>
        <v>0</v>
      </c>
    </row>
    <row r="657" spans="1:42" x14ac:dyDescent="0.25">
      <c r="A657">
        <v>589</v>
      </c>
      <c r="B657">
        <v>3</v>
      </c>
      <c r="E657" t="s">
        <v>4798</v>
      </c>
      <c r="F657" t="b">
        <v>0</v>
      </c>
      <c r="G657">
        <v>371</v>
      </c>
      <c r="H657">
        <v>87</v>
      </c>
      <c r="I657" t="s">
        <v>212</v>
      </c>
      <c r="J657" t="s">
        <v>5401</v>
      </c>
      <c r="K657" t="s">
        <v>5037</v>
      </c>
      <c r="L657" t="s">
        <v>5239</v>
      </c>
      <c r="M657" t="s">
        <v>4788</v>
      </c>
      <c r="N657" t="s">
        <v>4788</v>
      </c>
      <c r="O657">
        <v>350</v>
      </c>
      <c r="P657">
        <v>0</v>
      </c>
      <c r="Q657">
        <v>0</v>
      </c>
      <c r="R657">
        <v>0</v>
      </c>
      <c r="S657">
        <v>350</v>
      </c>
      <c r="T657" t="s">
        <v>4789</v>
      </c>
      <c r="U657">
        <v>1</v>
      </c>
      <c r="V657">
        <v>350</v>
      </c>
      <c r="W657" t="s">
        <v>4343</v>
      </c>
      <c r="Y657" t="b">
        <v>1</v>
      </c>
      <c r="Z657" t="b">
        <v>0</v>
      </c>
      <c r="AA657">
        <v>350</v>
      </c>
      <c r="AB657">
        <v>0</v>
      </c>
      <c r="AD657" t="b">
        <v>0</v>
      </c>
      <c r="AF657" t="s">
        <v>5270</v>
      </c>
      <c r="AG657" s="1" t="s">
        <v>59</v>
      </c>
      <c r="AH657" s="1" t="s">
        <v>21</v>
      </c>
      <c r="AI657">
        <v>324</v>
      </c>
      <c r="AJ657">
        <v>163</v>
      </c>
      <c r="AK657" s="106">
        <v>45475.635486377316</v>
      </c>
      <c r="AL657" s="1" t="s">
        <v>4790</v>
      </c>
      <c r="AM657" s="42">
        <f>IFERROR(INDEX('Public procurment'!A:R,MATCH(ListOfExpenditure[[#This Row],[Content.contractId]],'Public procurment'!E:E,0),14),0)</f>
        <v>350</v>
      </c>
      <c r="AN657" s="2">
        <f>IF(AND(ListOfExpenditure[[#This Row],[Contract amount]]&gt;10000,ListOfExpenditure[[#This Row],[Content.declaredAmount]]&gt;2000),1,0)</f>
        <v>0</v>
      </c>
      <c r="AO657">
        <f>IFERROR(INDEX('Public procurment'!A:S,MATCH(ListOfExpenditure[[#This Row],[Content.contractId]],'Public procurment'!E:E,0),19),0)</f>
        <v>1</v>
      </c>
      <c r="AP657">
        <f>IF(ListOfExpenditure[[#This Row],[Numero di volte controllato il contract ]]&gt;0,0,ListOfExpenditure[[#This Row],[IF public procurment &gt;10000;1;0]])</f>
        <v>0</v>
      </c>
    </row>
    <row r="658" spans="1:42" x14ac:dyDescent="0.25">
      <c r="A658">
        <v>590</v>
      </c>
      <c r="B658">
        <v>4</v>
      </c>
      <c r="E658" t="s">
        <v>4798</v>
      </c>
      <c r="F658" t="b">
        <v>0</v>
      </c>
      <c r="G658">
        <v>371</v>
      </c>
      <c r="H658">
        <v>106</v>
      </c>
      <c r="I658" t="s">
        <v>212</v>
      </c>
      <c r="J658" t="s">
        <v>5402</v>
      </c>
      <c r="K658" t="s">
        <v>4359</v>
      </c>
      <c r="L658" t="s">
        <v>5062</v>
      </c>
      <c r="M658" t="s">
        <v>4788</v>
      </c>
      <c r="N658" t="s">
        <v>4788</v>
      </c>
      <c r="O658">
        <v>115.75</v>
      </c>
      <c r="P658">
        <v>7.8</v>
      </c>
      <c r="Q658">
        <v>0</v>
      </c>
      <c r="R658">
        <v>0</v>
      </c>
      <c r="S658">
        <v>115.75</v>
      </c>
      <c r="T658" t="s">
        <v>4789</v>
      </c>
      <c r="U658">
        <v>1</v>
      </c>
      <c r="V658">
        <v>115.75</v>
      </c>
      <c r="W658" t="s">
        <v>4343</v>
      </c>
      <c r="Y658" t="b">
        <v>1</v>
      </c>
      <c r="Z658" t="b">
        <v>0</v>
      </c>
      <c r="AA658">
        <v>115.75</v>
      </c>
      <c r="AB658">
        <v>0</v>
      </c>
      <c r="AD658" t="b">
        <v>0</v>
      </c>
      <c r="AF658" t="s">
        <v>5270</v>
      </c>
      <c r="AG658" s="1" t="s">
        <v>59</v>
      </c>
      <c r="AH658" s="1" t="s">
        <v>21</v>
      </c>
      <c r="AI658">
        <v>324</v>
      </c>
      <c r="AJ658">
        <v>163</v>
      </c>
      <c r="AK658" s="106">
        <v>45475.635486377316</v>
      </c>
      <c r="AL658" s="1" t="s">
        <v>4790</v>
      </c>
      <c r="AM658" s="42">
        <f>IFERROR(INDEX('Public procurment'!A:R,MATCH(ListOfExpenditure[[#This Row],[Content.contractId]],'Public procurment'!E:E,0),14),0)</f>
        <v>107.95</v>
      </c>
      <c r="AN658" s="2">
        <f>IF(AND(ListOfExpenditure[[#This Row],[Contract amount]]&gt;10000,ListOfExpenditure[[#This Row],[Content.declaredAmount]]&gt;2000),1,0)</f>
        <v>0</v>
      </c>
      <c r="AO658">
        <f>IFERROR(INDEX('Public procurment'!A:S,MATCH(ListOfExpenditure[[#This Row],[Content.contractId]],'Public procurment'!E:E,0),19),0)</f>
        <v>1</v>
      </c>
      <c r="AP658">
        <f>IF(ListOfExpenditure[[#This Row],[Numero di volte controllato il contract ]]&gt;0,0,ListOfExpenditure[[#This Row],[IF public procurment &gt;10000;1;0]])</f>
        <v>0</v>
      </c>
    </row>
    <row r="659" spans="1:42" x14ac:dyDescent="0.25">
      <c r="A659">
        <v>602</v>
      </c>
      <c r="B659">
        <v>5</v>
      </c>
      <c r="E659" t="s">
        <v>4798</v>
      </c>
      <c r="F659" t="b">
        <v>0</v>
      </c>
      <c r="H659">
        <v>85</v>
      </c>
      <c r="I659" t="s">
        <v>212</v>
      </c>
      <c r="J659" t="s">
        <v>5403</v>
      </c>
      <c r="K659" t="s">
        <v>4525</v>
      </c>
      <c r="L659" t="s">
        <v>4723</v>
      </c>
      <c r="M659" t="s">
        <v>4788</v>
      </c>
      <c r="N659" t="s">
        <v>4788</v>
      </c>
      <c r="O659">
        <v>2371.6799999999998</v>
      </c>
      <c r="P659">
        <v>427.68</v>
      </c>
      <c r="Q659">
        <v>0</v>
      </c>
      <c r="R659">
        <v>0</v>
      </c>
      <c r="S659">
        <v>2371.6799999999998</v>
      </c>
      <c r="T659" t="s">
        <v>4789</v>
      </c>
      <c r="U659">
        <v>1</v>
      </c>
      <c r="V659">
        <v>2371.6799999999998</v>
      </c>
      <c r="W659" t="s">
        <v>4343</v>
      </c>
      <c r="Y659" t="b">
        <v>1</v>
      </c>
      <c r="Z659" t="b">
        <v>0</v>
      </c>
      <c r="AA659">
        <v>2371.6799999999998</v>
      </c>
      <c r="AB659">
        <v>0</v>
      </c>
      <c r="AD659" t="b">
        <v>0</v>
      </c>
      <c r="AF659" t="s">
        <v>5270</v>
      </c>
      <c r="AG659" s="1" t="s">
        <v>59</v>
      </c>
      <c r="AH659" s="1" t="s">
        <v>21</v>
      </c>
      <c r="AI659">
        <v>324</v>
      </c>
      <c r="AJ659">
        <v>163</v>
      </c>
      <c r="AK659" s="106">
        <v>45475.635486377316</v>
      </c>
      <c r="AL659" s="1" t="s">
        <v>4790</v>
      </c>
      <c r="AM659" s="42">
        <f>IFERROR(INDEX('Public procurment'!A:R,MATCH(ListOfExpenditure[[#This Row],[Content.contractId]],'Public procurment'!E:E,0),14),0)</f>
        <v>16200</v>
      </c>
      <c r="AN659" s="2">
        <f>IF(AND(ListOfExpenditure[[#This Row],[Contract amount]]&gt;10000,ListOfExpenditure[[#This Row],[Content.declaredAmount]]&gt;2000),1,0)</f>
        <v>1</v>
      </c>
      <c r="AO659">
        <f>IFERROR(INDEX('Public procurment'!A:S,MATCH(ListOfExpenditure[[#This Row],[Content.contractId]],'Public procurment'!E:E,0),19),0)</f>
        <v>1</v>
      </c>
      <c r="AP659">
        <f>IF(ListOfExpenditure[[#This Row],[Numero di volte controllato il contract ]]&gt;0,0,ListOfExpenditure[[#This Row],[IF public procurment &gt;10000;1;0]])</f>
        <v>0</v>
      </c>
    </row>
    <row r="660" spans="1:42" x14ac:dyDescent="0.25">
      <c r="A660">
        <v>563</v>
      </c>
      <c r="B660">
        <v>1</v>
      </c>
      <c r="E660" t="s">
        <v>4798</v>
      </c>
      <c r="F660" t="b">
        <v>1</v>
      </c>
      <c r="I660" t="s">
        <v>6143</v>
      </c>
      <c r="J660" t="s">
        <v>6143</v>
      </c>
      <c r="K660" t="s">
        <v>4478</v>
      </c>
      <c r="L660" t="s">
        <v>4478</v>
      </c>
      <c r="M660" t="s">
        <v>4788</v>
      </c>
      <c r="N660" t="s">
        <v>4788</v>
      </c>
      <c r="O660">
        <v>0</v>
      </c>
      <c r="P660">
        <v>0</v>
      </c>
      <c r="Q660">
        <v>0</v>
      </c>
      <c r="R660">
        <v>0</v>
      </c>
      <c r="S660">
        <v>0</v>
      </c>
      <c r="T660" t="s">
        <v>4789</v>
      </c>
      <c r="U660">
        <v>1</v>
      </c>
      <c r="V660">
        <v>0</v>
      </c>
      <c r="Y660" t="b">
        <v>0</v>
      </c>
      <c r="Z660" t="b">
        <v>0</v>
      </c>
      <c r="AA660">
        <v>0</v>
      </c>
      <c r="AB660">
        <v>0</v>
      </c>
      <c r="AD660" t="b">
        <v>0</v>
      </c>
      <c r="AG660" s="1" t="s">
        <v>59</v>
      </c>
      <c r="AH660" s="1" t="s">
        <v>382</v>
      </c>
      <c r="AI660">
        <v>322</v>
      </c>
      <c r="AJ660">
        <v>108</v>
      </c>
      <c r="AK660" s="106">
        <v>45475.635464016203</v>
      </c>
      <c r="AL660" s="1" t="s">
        <v>4790</v>
      </c>
      <c r="AM660" s="42">
        <f>IFERROR(INDEX('Public procurment'!A:R,MATCH(ListOfExpenditure[[#This Row],[Content.contractId]],'Public procurment'!E:E,0),14),0)</f>
        <v>0</v>
      </c>
      <c r="AN660" s="2">
        <f>IF(AND(ListOfExpenditure[[#This Row],[Contract amount]]&gt;10000,ListOfExpenditure[[#This Row],[Content.declaredAmount]]&gt;2000),1,0)</f>
        <v>0</v>
      </c>
      <c r="AO660">
        <f>IFERROR(INDEX('Public procurment'!A:S,MATCH(ListOfExpenditure[[#This Row],[Content.contractId]],'Public procurment'!E:E,0),19),0)</f>
        <v>0</v>
      </c>
      <c r="AP660">
        <f>IF(ListOfExpenditure[[#This Row],[Numero di volte controllato il contract ]]&gt;0,0,ListOfExpenditure[[#This Row],[IF public procurment &gt;10000;1;0]])</f>
        <v>0</v>
      </c>
    </row>
    <row r="661" spans="1:42" x14ac:dyDescent="0.25">
      <c r="A661">
        <v>591</v>
      </c>
      <c r="B661">
        <v>1</v>
      </c>
      <c r="E661" t="s">
        <v>4798</v>
      </c>
      <c r="F661" t="b">
        <v>1</v>
      </c>
      <c r="G661">
        <v>374</v>
      </c>
      <c r="I661" t="s">
        <v>212</v>
      </c>
      <c r="J661" t="s">
        <v>4965</v>
      </c>
      <c r="K661" t="s">
        <v>5239</v>
      </c>
      <c r="L661" t="s">
        <v>4969</v>
      </c>
      <c r="M661" t="s">
        <v>4788</v>
      </c>
      <c r="N661" t="s">
        <v>4788</v>
      </c>
      <c r="O661">
        <v>4846.3999999999996</v>
      </c>
      <c r="P661">
        <v>0</v>
      </c>
      <c r="Q661">
        <v>0</v>
      </c>
      <c r="R661">
        <v>0</v>
      </c>
      <c r="S661">
        <v>4846.3999999999996</v>
      </c>
      <c r="T661" t="s">
        <v>4789</v>
      </c>
      <c r="U661">
        <v>1</v>
      </c>
      <c r="V661">
        <v>4846.3999999999996</v>
      </c>
      <c r="W661" t="s">
        <v>4343</v>
      </c>
      <c r="Y661" t="b">
        <v>1</v>
      </c>
      <c r="Z661" t="b">
        <v>0</v>
      </c>
      <c r="AA661">
        <v>4846.3999999999996</v>
      </c>
      <c r="AB661">
        <v>0</v>
      </c>
      <c r="AD661" t="b">
        <v>0</v>
      </c>
      <c r="AF661" t="s">
        <v>212</v>
      </c>
      <c r="AG661" s="1" t="s">
        <v>59</v>
      </c>
      <c r="AH661" s="1" t="s">
        <v>382</v>
      </c>
      <c r="AI661">
        <v>322</v>
      </c>
      <c r="AJ661">
        <v>167</v>
      </c>
      <c r="AK661" s="106">
        <v>45475.635555532404</v>
      </c>
      <c r="AL661" s="1" t="s">
        <v>4790</v>
      </c>
      <c r="AM661" s="42">
        <f>IFERROR(INDEX('Public procurment'!A:R,MATCH(ListOfExpenditure[[#This Row],[Content.contractId]],'Public procurment'!E:E,0),14),0)</f>
        <v>0</v>
      </c>
      <c r="AN661" s="2">
        <f>IF(AND(ListOfExpenditure[[#This Row],[Contract amount]]&gt;10000,ListOfExpenditure[[#This Row],[Content.declaredAmount]]&gt;2000),1,0)</f>
        <v>0</v>
      </c>
      <c r="AO661">
        <f>IFERROR(INDEX('Public procurment'!A:S,MATCH(ListOfExpenditure[[#This Row],[Content.contractId]],'Public procurment'!E:E,0),19),0)</f>
        <v>0</v>
      </c>
      <c r="AP661">
        <f>IF(ListOfExpenditure[[#This Row],[Numero di volte controllato il contract ]]&gt;0,0,ListOfExpenditure[[#This Row],[IF public procurment &gt;10000;1;0]])</f>
        <v>0</v>
      </c>
    </row>
    <row r="662" spans="1:42" x14ac:dyDescent="0.25">
      <c r="A662">
        <v>2074</v>
      </c>
      <c r="B662">
        <v>2</v>
      </c>
      <c r="E662" t="s">
        <v>4798</v>
      </c>
      <c r="F662" t="b">
        <v>0</v>
      </c>
      <c r="G662">
        <v>374</v>
      </c>
      <c r="I662" t="s">
        <v>212</v>
      </c>
      <c r="J662" t="s">
        <v>212</v>
      </c>
      <c r="M662" t="s">
        <v>4788</v>
      </c>
      <c r="N662" t="s">
        <v>4788</v>
      </c>
      <c r="O662">
        <v>7738.18</v>
      </c>
      <c r="P662">
        <v>131.59</v>
      </c>
      <c r="Q662">
        <v>0</v>
      </c>
      <c r="R662">
        <v>0</v>
      </c>
      <c r="S662">
        <v>7738.18</v>
      </c>
      <c r="T662" t="s">
        <v>4789</v>
      </c>
      <c r="U662">
        <v>1</v>
      </c>
      <c r="V662">
        <v>7738.18</v>
      </c>
      <c r="W662" t="s">
        <v>4343</v>
      </c>
      <c r="Y662" t="b">
        <v>1</v>
      </c>
      <c r="Z662" t="b">
        <v>0</v>
      </c>
      <c r="AA662">
        <v>0</v>
      </c>
      <c r="AB662">
        <v>7738.18</v>
      </c>
      <c r="AC662">
        <v>26</v>
      </c>
      <c r="AD662" t="b">
        <v>0</v>
      </c>
      <c r="AF662" t="s">
        <v>6329</v>
      </c>
      <c r="AG662" s="1" t="s">
        <v>59</v>
      </c>
      <c r="AH662" s="1" t="s">
        <v>382</v>
      </c>
      <c r="AI662">
        <v>322</v>
      </c>
      <c r="AJ662">
        <v>167</v>
      </c>
      <c r="AK662" s="106">
        <v>45475.635555532404</v>
      </c>
      <c r="AL662" s="1" t="s">
        <v>4790</v>
      </c>
      <c r="AM662" s="42">
        <f>IFERROR(INDEX('Public procurment'!A:R,MATCH(ListOfExpenditure[[#This Row],[Content.contractId]],'Public procurment'!E:E,0),14),0)</f>
        <v>0</v>
      </c>
      <c r="AN662" s="2">
        <f>IF(AND(ListOfExpenditure[[#This Row],[Contract amount]]&gt;10000,ListOfExpenditure[[#This Row],[Content.declaredAmount]]&gt;2000),1,0)</f>
        <v>0</v>
      </c>
      <c r="AO662">
        <f>IFERROR(INDEX('Public procurment'!A:S,MATCH(ListOfExpenditure[[#This Row],[Content.contractId]],'Public procurment'!E:E,0),19),0)</f>
        <v>0</v>
      </c>
      <c r="AP662">
        <f>IF(ListOfExpenditure[[#This Row],[Numero di volte controllato il contract ]]&gt;0,0,ListOfExpenditure[[#This Row],[IF public procurment &gt;10000;1;0]])</f>
        <v>0</v>
      </c>
    </row>
    <row r="663" spans="1:42" x14ac:dyDescent="0.25">
      <c r="A663">
        <v>238</v>
      </c>
      <c r="B663">
        <v>1</v>
      </c>
      <c r="E663" t="s">
        <v>4786</v>
      </c>
      <c r="F663" t="b">
        <v>0</v>
      </c>
      <c r="I663" t="s">
        <v>5404</v>
      </c>
      <c r="M663" t="s">
        <v>4788</v>
      </c>
      <c r="N663" t="s">
        <v>4788</v>
      </c>
      <c r="O663">
        <v>1285.5</v>
      </c>
      <c r="Q663">
        <v>0</v>
      </c>
      <c r="R663">
        <v>0</v>
      </c>
      <c r="S663">
        <v>1285.5</v>
      </c>
      <c r="T663" t="s">
        <v>4789</v>
      </c>
      <c r="U663">
        <v>1</v>
      </c>
      <c r="V663">
        <v>1285.5</v>
      </c>
      <c r="W663" t="s">
        <v>4343</v>
      </c>
      <c r="Y663" t="b">
        <v>1</v>
      </c>
      <c r="Z663" t="b">
        <v>0</v>
      </c>
      <c r="AA663">
        <v>1283.94</v>
      </c>
      <c r="AB663">
        <v>1.56</v>
      </c>
      <c r="AC663">
        <v>27</v>
      </c>
      <c r="AD663" t="b">
        <v>0</v>
      </c>
      <c r="AF663" t="s">
        <v>5405</v>
      </c>
      <c r="AG663" s="1" t="s">
        <v>59</v>
      </c>
      <c r="AH663" s="1" t="s">
        <v>41</v>
      </c>
      <c r="AI663">
        <v>320</v>
      </c>
      <c r="AJ663">
        <v>67</v>
      </c>
      <c r="AK663" s="106">
        <v>45475.6354440625</v>
      </c>
      <c r="AL663" s="1" t="s">
        <v>4790</v>
      </c>
      <c r="AM663" s="42">
        <f>IFERROR(INDEX('Public procurment'!A:R,MATCH(ListOfExpenditure[[#This Row],[Content.contractId]],'Public procurment'!E:E,0),14),0)</f>
        <v>0</v>
      </c>
      <c r="AN663" s="2">
        <f>IF(AND(ListOfExpenditure[[#This Row],[Contract amount]]&gt;10000,ListOfExpenditure[[#This Row],[Content.declaredAmount]]&gt;2000),1,0)</f>
        <v>0</v>
      </c>
      <c r="AO663">
        <f>IFERROR(INDEX('Public procurment'!A:S,MATCH(ListOfExpenditure[[#This Row],[Content.contractId]],'Public procurment'!E:E,0),19),0)</f>
        <v>0</v>
      </c>
      <c r="AP663">
        <f>IF(ListOfExpenditure[[#This Row],[Numero di volte controllato il contract ]]&gt;0,0,ListOfExpenditure[[#This Row],[IF public procurment &gt;10000;1;0]])</f>
        <v>0</v>
      </c>
    </row>
    <row r="664" spans="1:42" x14ac:dyDescent="0.25">
      <c r="A664">
        <v>239</v>
      </c>
      <c r="B664">
        <v>2</v>
      </c>
      <c r="E664" t="s">
        <v>4786</v>
      </c>
      <c r="F664" t="b">
        <v>0</v>
      </c>
      <c r="I664" t="s">
        <v>5406</v>
      </c>
      <c r="M664" t="s">
        <v>4788</v>
      </c>
      <c r="N664" t="s">
        <v>4788</v>
      </c>
      <c r="O664">
        <v>2799.91</v>
      </c>
      <c r="Q664">
        <v>0</v>
      </c>
      <c r="R664">
        <v>0</v>
      </c>
      <c r="S664">
        <v>2799.91</v>
      </c>
      <c r="T664" t="s">
        <v>4789</v>
      </c>
      <c r="U664">
        <v>1</v>
      </c>
      <c r="V664">
        <v>2799.91</v>
      </c>
      <c r="W664" t="s">
        <v>4343</v>
      </c>
      <c r="Y664" t="b">
        <v>1</v>
      </c>
      <c r="Z664" t="b">
        <v>0</v>
      </c>
      <c r="AA664">
        <v>2793.95</v>
      </c>
      <c r="AB664">
        <v>5.96</v>
      </c>
      <c r="AC664">
        <v>27</v>
      </c>
      <c r="AD664" t="b">
        <v>0</v>
      </c>
      <c r="AF664" t="s">
        <v>5405</v>
      </c>
      <c r="AG664" s="1" t="s">
        <v>59</v>
      </c>
      <c r="AH664" s="1" t="s">
        <v>41</v>
      </c>
      <c r="AI664">
        <v>320</v>
      </c>
      <c r="AJ664">
        <v>67</v>
      </c>
      <c r="AK664" s="106">
        <v>45475.6354440625</v>
      </c>
      <c r="AL664" s="1" t="s">
        <v>4790</v>
      </c>
      <c r="AM664" s="42">
        <f>IFERROR(INDEX('Public procurment'!A:R,MATCH(ListOfExpenditure[[#This Row],[Content.contractId]],'Public procurment'!E:E,0),14),0)</f>
        <v>0</v>
      </c>
      <c r="AN664" s="2">
        <f>IF(AND(ListOfExpenditure[[#This Row],[Contract amount]]&gt;10000,ListOfExpenditure[[#This Row],[Content.declaredAmount]]&gt;2000),1,0)</f>
        <v>0</v>
      </c>
      <c r="AO664">
        <f>IFERROR(INDEX('Public procurment'!A:S,MATCH(ListOfExpenditure[[#This Row],[Content.contractId]],'Public procurment'!E:E,0),19),0)</f>
        <v>0</v>
      </c>
      <c r="AP664">
        <f>IF(ListOfExpenditure[[#This Row],[Numero di volte controllato il contract ]]&gt;0,0,ListOfExpenditure[[#This Row],[IF public procurment &gt;10000;1;0]])</f>
        <v>0</v>
      </c>
    </row>
    <row r="665" spans="1:42" x14ac:dyDescent="0.25">
      <c r="A665">
        <v>240</v>
      </c>
      <c r="B665">
        <v>3</v>
      </c>
      <c r="E665" t="s">
        <v>4786</v>
      </c>
      <c r="F665" t="b">
        <v>0</v>
      </c>
      <c r="I665" t="s">
        <v>5407</v>
      </c>
      <c r="M665" t="s">
        <v>4788</v>
      </c>
      <c r="N665" t="s">
        <v>4788</v>
      </c>
      <c r="O665">
        <v>3647.66</v>
      </c>
      <c r="Q665">
        <v>0</v>
      </c>
      <c r="R665">
        <v>0</v>
      </c>
      <c r="S665">
        <v>3647.66</v>
      </c>
      <c r="T665" t="s">
        <v>4789</v>
      </c>
      <c r="U665">
        <v>1</v>
      </c>
      <c r="V665">
        <v>3647.66</v>
      </c>
      <c r="W665" t="s">
        <v>4343</v>
      </c>
      <c r="Y665" t="b">
        <v>1</v>
      </c>
      <c r="Z665" t="b">
        <v>0</v>
      </c>
      <c r="AA665">
        <v>3637.95</v>
      </c>
      <c r="AB665">
        <v>9.7100000000000009</v>
      </c>
      <c r="AC665">
        <v>27</v>
      </c>
      <c r="AD665" t="b">
        <v>0</v>
      </c>
      <c r="AF665" t="s">
        <v>5405</v>
      </c>
      <c r="AG665" s="1" t="s">
        <v>59</v>
      </c>
      <c r="AH665" s="1" t="s">
        <v>41</v>
      </c>
      <c r="AI665">
        <v>320</v>
      </c>
      <c r="AJ665">
        <v>67</v>
      </c>
      <c r="AK665" s="106">
        <v>45475.6354440625</v>
      </c>
      <c r="AL665" s="1" t="s">
        <v>4790</v>
      </c>
      <c r="AM665" s="42">
        <f>IFERROR(INDEX('Public procurment'!A:R,MATCH(ListOfExpenditure[[#This Row],[Content.contractId]],'Public procurment'!E:E,0),14),0)</f>
        <v>0</v>
      </c>
      <c r="AN665" s="2">
        <f>IF(AND(ListOfExpenditure[[#This Row],[Contract amount]]&gt;10000,ListOfExpenditure[[#This Row],[Content.declaredAmount]]&gt;2000),1,0)</f>
        <v>0</v>
      </c>
      <c r="AO665">
        <f>IFERROR(INDEX('Public procurment'!A:S,MATCH(ListOfExpenditure[[#This Row],[Content.contractId]],'Public procurment'!E:E,0),19),0)</f>
        <v>0</v>
      </c>
      <c r="AP665">
        <f>IF(ListOfExpenditure[[#This Row],[Numero di volte controllato il contract ]]&gt;0,0,ListOfExpenditure[[#This Row],[IF public procurment &gt;10000;1;0]])</f>
        <v>0</v>
      </c>
    </row>
    <row r="666" spans="1:42" x14ac:dyDescent="0.25">
      <c r="A666">
        <v>241</v>
      </c>
      <c r="B666">
        <v>4</v>
      </c>
      <c r="E666" t="s">
        <v>4786</v>
      </c>
      <c r="F666" t="b">
        <v>0</v>
      </c>
      <c r="I666" t="s">
        <v>5408</v>
      </c>
      <c r="M666" t="s">
        <v>4788</v>
      </c>
      <c r="N666" t="s">
        <v>4788</v>
      </c>
      <c r="O666">
        <v>2659.35</v>
      </c>
      <c r="Q666">
        <v>0</v>
      </c>
      <c r="R666">
        <v>0</v>
      </c>
      <c r="S666">
        <v>2659.35</v>
      </c>
      <c r="T666" t="s">
        <v>4789</v>
      </c>
      <c r="U666">
        <v>1</v>
      </c>
      <c r="V666">
        <v>2659.35</v>
      </c>
      <c r="W666" t="s">
        <v>4343</v>
      </c>
      <c r="Y666" t="b">
        <v>1</v>
      </c>
      <c r="Z666" t="b">
        <v>0</v>
      </c>
      <c r="AA666">
        <v>2652.93</v>
      </c>
      <c r="AB666">
        <v>6.42</v>
      </c>
      <c r="AC666">
        <v>27</v>
      </c>
      <c r="AD666" t="b">
        <v>0</v>
      </c>
      <c r="AF666" t="s">
        <v>5405</v>
      </c>
      <c r="AG666" s="1" t="s">
        <v>59</v>
      </c>
      <c r="AH666" s="1" t="s">
        <v>41</v>
      </c>
      <c r="AI666">
        <v>320</v>
      </c>
      <c r="AJ666">
        <v>67</v>
      </c>
      <c r="AK666" s="106">
        <v>45475.6354440625</v>
      </c>
      <c r="AL666" s="1" t="s">
        <v>4790</v>
      </c>
      <c r="AM666" s="42">
        <f>IFERROR(INDEX('Public procurment'!A:R,MATCH(ListOfExpenditure[[#This Row],[Content.contractId]],'Public procurment'!E:E,0),14),0)</f>
        <v>0</v>
      </c>
      <c r="AN666" s="2">
        <f>IF(AND(ListOfExpenditure[[#This Row],[Contract amount]]&gt;10000,ListOfExpenditure[[#This Row],[Content.declaredAmount]]&gt;2000),1,0)</f>
        <v>0</v>
      </c>
      <c r="AO666">
        <f>IFERROR(INDEX('Public procurment'!A:S,MATCH(ListOfExpenditure[[#This Row],[Content.contractId]],'Public procurment'!E:E,0),19),0)</f>
        <v>0</v>
      </c>
      <c r="AP666">
        <f>IF(ListOfExpenditure[[#This Row],[Numero di volte controllato il contract ]]&gt;0,0,ListOfExpenditure[[#This Row],[IF public procurment &gt;10000;1;0]])</f>
        <v>0</v>
      </c>
    </row>
    <row r="667" spans="1:42" x14ac:dyDescent="0.25">
      <c r="A667">
        <v>242</v>
      </c>
      <c r="B667">
        <v>5</v>
      </c>
      <c r="E667" t="s">
        <v>4786</v>
      </c>
      <c r="F667" t="b">
        <v>0</v>
      </c>
      <c r="I667" t="s">
        <v>5409</v>
      </c>
      <c r="M667" t="s">
        <v>4788</v>
      </c>
      <c r="N667" t="s">
        <v>4788</v>
      </c>
      <c r="O667">
        <v>2459.39</v>
      </c>
      <c r="Q667">
        <v>0</v>
      </c>
      <c r="R667">
        <v>0</v>
      </c>
      <c r="S667">
        <v>2459.39</v>
      </c>
      <c r="T667" t="s">
        <v>4789</v>
      </c>
      <c r="U667">
        <v>1</v>
      </c>
      <c r="V667">
        <v>2459.39</v>
      </c>
      <c r="W667" t="s">
        <v>4343</v>
      </c>
      <c r="Y667" t="b">
        <v>1</v>
      </c>
      <c r="Z667" t="b">
        <v>0</v>
      </c>
      <c r="AA667">
        <v>2451.83</v>
      </c>
      <c r="AB667">
        <v>7.56</v>
      </c>
      <c r="AC667">
        <v>27</v>
      </c>
      <c r="AD667" t="b">
        <v>0</v>
      </c>
      <c r="AF667" t="s">
        <v>5405</v>
      </c>
      <c r="AG667" s="1" t="s">
        <v>59</v>
      </c>
      <c r="AH667" s="1" t="s">
        <v>41</v>
      </c>
      <c r="AI667">
        <v>320</v>
      </c>
      <c r="AJ667">
        <v>67</v>
      </c>
      <c r="AK667" s="106">
        <v>45475.6354440625</v>
      </c>
      <c r="AL667" s="1" t="s">
        <v>4790</v>
      </c>
      <c r="AM667" s="42">
        <f>IFERROR(INDEX('Public procurment'!A:R,MATCH(ListOfExpenditure[[#This Row],[Content.contractId]],'Public procurment'!E:E,0),14),0)</f>
        <v>0</v>
      </c>
      <c r="AN667" s="2">
        <f>IF(AND(ListOfExpenditure[[#This Row],[Contract amount]]&gt;10000,ListOfExpenditure[[#This Row],[Content.declaredAmount]]&gt;2000),1,0)</f>
        <v>0</v>
      </c>
      <c r="AO667">
        <f>IFERROR(INDEX('Public procurment'!A:S,MATCH(ListOfExpenditure[[#This Row],[Content.contractId]],'Public procurment'!E:E,0),19),0)</f>
        <v>0</v>
      </c>
      <c r="AP667">
        <f>IF(ListOfExpenditure[[#This Row],[Numero di volte controllato il contract ]]&gt;0,0,ListOfExpenditure[[#This Row],[IF public procurment &gt;10000;1;0]])</f>
        <v>0</v>
      </c>
    </row>
    <row r="668" spans="1:42" x14ac:dyDescent="0.25">
      <c r="A668">
        <v>243</v>
      </c>
      <c r="B668">
        <v>6</v>
      </c>
      <c r="E668" t="s">
        <v>4786</v>
      </c>
      <c r="F668" t="b">
        <v>0</v>
      </c>
      <c r="I668" t="s">
        <v>5410</v>
      </c>
      <c r="M668" t="s">
        <v>4788</v>
      </c>
      <c r="N668" t="s">
        <v>4788</v>
      </c>
      <c r="O668">
        <v>1647.27</v>
      </c>
      <c r="Q668">
        <v>0</v>
      </c>
      <c r="R668">
        <v>0</v>
      </c>
      <c r="S668">
        <v>1647.27</v>
      </c>
      <c r="T668" t="s">
        <v>4789</v>
      </c>
      <c r="U668">
        <v>1</v>
      </c>
      <c r="V668">
        <v>1647.27</v>
      </c>
      <c r="W668" t="s">
        <v>4343</v>
      </c>
      <c r="Y668" t="b">
        <v>1</v>
      </c>
      <c r="Z668" t="b">
        <v>0</v>
      </c>
      <c r="AA668">
        <v>1641.62</v>
      </c>
      <c r="AB668">
        <v>5.65</v>
      </c>
      <c r="AC668">
        <v>27</v>
      </c>
      <c r="AD668" t="b">
        <v>0</v>
      </c>
      <c r="AF668" t="s">
        <v>5405</v>
      </c>
      <c r="AG668" s="1" t="s">
        <v>59</v>
      </c>
      <c r="AH668" s="1" t="s">
        <v>41</v>
      </c>
      <c r="AI668">
        <v>320</v>
      </c>
      <c r="AJ668">
        <v>67</v>
      </c>
      <c r="AK668" s="106">
        <v>45475.6354440625</v>
      </c>
      <c r="AL668" s="1" t="s">
        <v>4790</v>
      </c>
      <c r="AM668" s="42">
        <f>IFERROR(INDEX('Public procurment'!A:R,MATCH(ListOfExpenditure[[#This Row],[Content.contractId]],'Public procurment'!E:E,0),14),0)</f>
        <v>0</v>
      </c>
      <c r="AN668" s="2">
        <f>IF(AND(ListOfExpenditure[[#This Row],[Contract amount]]&gt;10000,ListOfExpenditure[[#This Row],[Content.declaredAmount]]&gt;2000),1,0)</f>
        <v>0</v>
      </c>
      <c r="AO668">
        <f>IFERROR(INDEX('Public procurment'!A:S,MATCH(ListOfExpenditure[[#This Row],[Content.contractId]],'Public procurment'!E:E,0),19),0)</f>
        <v>0</v>
      </c>
      <c r="AP668">
        <f>IF(ListOfExpenditure[[#This Row],[Numero di volte controllato il contract ]]&gt;0,0,ListOfExpenditure[[#This Row],[IF public procurment &gt;10000;1;0]])</f>
        <v>0</v>
      </c>
    </row>
    <row r="669" spans="1:42" x14ac:dyDescent="0.25">
      <c r="A669">
        <v>244</v>
      </c>
      <c r="B669">
        <v>7</v>
      </c>
      <c r="E669" t="s">
        <v>4786</v>
      </c>
      <c r="F669" t="b">
        <v>0</v>
      </c>
      <c r="I669" t="s">
        <v>5411</v>
      </c>
      <c r="M669" t="s">
        <v>4788</v>
      </c>
      <c r="N669" t="s">
        <v>4788</v>
      </c>
      <c r="O669">
        <v>1123.17</v>
      </c>
      <c r="Q669">
        <v>0</v>
      </c>
      <c r="R669">
        <v>0</v>
      </c>
      <c r="S669">
        <v>1123.17</v>
      </c>
      <c r="T669" t="s">
        <v>4789</v>
      </c>
      <c r="U669">
        <v>1</v>
      </c>
      <c r="V669">
        <v>1123.17</v>
      </c>
      <c r="W669" t="s">
        <v>4343</v>
      </c>
      <c r="Y669" t="b">
        <v>1</v>
      </c>
      <c r="Z669" t="b">
        <v>0</v>
      </c>
      <c r="AA669">
        <v>1118.42</v>
      </c>
      <c r="AB669">
        <v>4.75</v>
      </c>
      <c r="AC669">
        <v>27</v>
      </c>
      <c r="AD669" t="b">
        <v>0</v>
      </c>
      <c r="AF669" t="s">
        <v>5405</v>
      </c>
      <c r="AG669" s="1" t="s">
        <v>59</v>
      </c>
      <c r="AH669" s="1" t="s">
        <v>41</v>
      </c>
      <c r="AI669">
        <v>320</v>
      </c>
      <c r="AJ669">
        <v>67</v>
      </c>
      <c r="AK669" s="106">
        <v>45475.6354440625</v>
      </c>
      <c r="AL669" s="1" t="s">
        <v>4790</v>
      </c>
      <c r="AM669" s="42">
        <f>IFERROR(INDEX('Public procurment'!A:R,MATCH(ListOfExpenditure[[#This Row],[Content.contractId]],'Public procurment'!E:E,0),14),0)</f>
        <v>0</v>
      </c>
      <c r="AN669" s="2">
        <f>IF(AND(ListOfExpenditure[[#This Row],[Contract amount]]&gt;10000,ListOfExpenditure[[#This Row],[Content.declaredAmount]]&gt;2000),1,0)</f>
        <v>0</v>
      </c>
      <c r="AO669">
        <f>IFERROR(INDEX('Public procurment'!A:S,MATCH(ListOfExpenditure[[#This Row],[Content.contractId]],'Public procurment'!E:E,0),19),0)</f>
        <v>0</v>
      </c>
      <c r="AP669">
        <f>IF(ListOfExpenditure[[#This Row],[Numero di volte controllato il contract ]]&gt;0,0,ListOfExpenditure[[#This Row],[IF public procurment &gt;10000;1;0]])</f>
        <v>0</v>
      </c>
    </row>
    <row r="670" spans="1:42" x14ac:dyDescent="0.25">
      <c r="A670">
        <v>245</v>
      </c>
      <c r="B670">
        <v>8</v>
      </c>
      <c r="E670" t="s">
        <v>4786</v>
      </c>
      <c r="F670" t="b">
        <v>0</v>
      </c>
      <c r="I670" t="s">
        <v>5412</v>
      </c>
      <c r="M670" t="s">
        <v>4788</v>
      </c>
      <c r="N670" t="s">
        <v>4788</v>
      </c>
      <c r="O670">
        <v>5132.99</v>
      </c>
      <c r="Q670">
        <v>0</v>
      </c>
      <c r="R670">
        <v>0</v>
      </c>
      <c r="S670">
        <v>5132.99</v>
      </c>
      <c r="T670" t="s">
        <v>4789</v>
      </c>
      <c r="U670">
        <v>1</v>
      </c>
      <c r="V670">
        <v>5132.99</v>
      </c>
      <c r="W670" t="s">
        <v>4343</v>
      </c>
      <c r="Y670" t="b">
        <v>1</v>
      </c>
      <c r="Z670" t="b">
        <v>0</v>
      </c>
      <c r="AA670">
        <v>5118.12</v>
      </c>
      <c r="AB670">
        <v>14.87</v>
      </c>
      <c r="AC670">
        <v>27</v>
      </c>
      <c r="AD670" t="b">
        <v>0</v>
      </c>
      <c r="AF670" t="s">
        <v>5405</v>
      </c>
      <c r="AG670" s="1" t="s">
        <v>59</v>
      </c>
      <c r="AH670" s="1" t="s">
        <v>41</v>
      </c>
      <c r="AI670">
        <v>320</v>
      </c>
      <c r="AJ670">
        <v>67</v>
      </c>
      <c r="AK670" s="106">
        <v>45475.6354440625</v>
      </c>
      <c r="AL670" s="1" t="s">
        <v>4790</v>
      </c>
      <c r="AM670" s="42">
        <f>IFERROR(INDEX('Public procurment'!A:R,MATCH(ListOfExpenditure[[#This Row],[Content.contractId]],'Public procurment'!E:E,0),14),0)</f>
        <v>0</v>
      </c>
      <c r="AN670" s="2">
        <f>IF(AND(ListOfExpenditure[[#This Row],[Contract amount]]&gt;10000,ListOfExpenditure[[#This Row],[Content.declaredAmount]]&gt;2000),1,0)</f>
        <v>0</v>
      </c>
      <c r="AO670">
        <f>IFERROR(INDEX('Public procurment'!A:S,MATCH(ListOfExpenditure[[#This Row],[Content.contractId]],'Public procurment'!E:E,0),19),0)</f>
        <v>0</v>
      </c>
      <c r="AP670">
        <f>IF(ListOfExpenditure[[#This Row],[Numero di volte controllato il contract ]]&gt;0,0,ListOfExpenditure[[#This Row],[IF public procurment &gt;10000;1;0]])</f>
        <v>0</v>
      </c>
    </row>
    <row r="671" spans="1:42" x14ac:dyDescent="0.25">
      <c r="A671">
        <v>246</v>
      </c>
      <c r="B671">
        <v>9</v>
      </c>
      <c r="E671" t="s">
        <v>4786</v>
      </c>
      <c r="F671" t="b">
        <v>0</v>
      </c>
      <c r="I671" t="s">
        <v>5413</v>
      </c>
      <c r="M671" t="s">
        <v>4788</v>
      </c>
      <c r="N671" t="s">
        <v>4788</v>
      </c>
      <c r="O671">
        <v>616.61</v>
      </c>
      <c r="Q671">
        <v>0</v>
      </c>
      <c r="R671">
        <v>0</v>
      </c>
      <c r="S671">
        <v>616.61</v>
      </c>
      <c r="T671" t="s">
        <v>4789</v>
      </c>
      <c r="U671">
        <v>1</v>
      </c>
      <c r="V671">
        <v>616.61</v>
      </c>
      <c r="W671" t="s">
        <v>4343</v>
      </c>
      <c r="Y671" t="b">
        <v>1</v>
      </c>
      <c r="Z671" t="b">
        <v>0</v>
      </c>
      <c r="AA671">
        <v>616.61</v>
      </c>
      <c r="AB671">
        <v>0</v>
      </c>
      <c r="AD671" t="b">
        <v>0</v>
      </c>
      <c r="AG671" s="1" t="s">
        <v>59</v>
      </c>
      <c r="AH671" s="1" t="s">
        <v>41</v>
      </c>
      <c r="AI671">
        <v>320</v>
      </c>
      <c r="AJ671">
        <v>67</v>
      </c>
      <c r="AK671" s="106">
        <v>45475.6354440625</v>
      </c>
      <c r="AL671" s="1" t="s">
        <v>4790</v>
      </c>
      <c r="AM671" s="42">
        <f>IFERROR(INDEX('Public procurment'!A:R,MATCH(ListOfExpenditure[[#This Row],[Content.contractId]],'Public procurment'!E:E,0),14),0)</f>
        <v>0</v>
      </c>
      <c r="AN671" s="2">
        <f>IF(AND(ListOfExpenditure[[#This Row],[Contract amount]]&gt;10000,ListOfExpenditure[[#This Row],[Content.declaredAmount]]&gt;2000),1,0)</f>
        <v>0</v>
      </c>
      <c r="AO671">
        <f>IFERROR(INDEX('Public procurment'!A:S,MATCH(ListOfExpenditure[[#This Row],[Content.contractId]],'Public procurment'!E:E,0),19),0)</f>
        <v>0</v>
      </c>
      <c r="AP671">
        <f>IF(ListOfExpenditure[[#This Row],[Numero di volte controllato il contract ]]&gt;0,0,ListOfExpenditure[[#This Row],[IF public procurment &gt;10000;1;0]])</f>
        <v>0</v>
      </c>
    </row>
    <row r="672" spans="1:42" x14ac:dyDescent="0.25">
      <c r="A672">
        <v>247</v>
      </c>
      <c r="B672">
        <v>10</v>
      </c>
      <c r="E672" t="s">
        <v>4786</v>
      </c>
      <c r="F672" t="b">
        <v>0</v>
      </c>
      <c r="I672" t="s">
        <v>5414</v>
      </c>
      <c r="M672" t="s">
        <v>4788</v>
      </c>
      <c r="N672" t="s">
        <v>4788</v>
      </c>
      <c r="O672">
        <v>3959.34</v>
      </c>
      <c r="Q672">
        <v>0</v>
      </c>
      <c r="R672">
        <v>0</v>
      </c>
      <c r="S672">
        <v>3959.34</v>
      </c>
      <c r="T672" t="s">
        <v>4789</v>
      </c>
      <c r="U672">
        <v>1</v>
      </c>
      <c r="V672">
        <v>3959.34</v>
      </c>
      <c r="W672" t="s">
        <v>4343</v>
      </c>
      <c r="Y672" t="b">
        <v>1</v>
      </c>
      <c r="Z672" t="b">
        <v>0</v>
      </c>
      <c r="AA672">
        <v>3959.34</v>
      </c>
      <c r="AB672">
        <v>0</v>
      </c>
      <c r="AD672" t="b">
        <v>0</v>
      </c>
      <c r="AG672" s="1" t="s">
        <v>59</v>
      </c>
      <c r="AH672" s="1" t="s">
        <v>41</v>
      </c>
      <c r="AI672">
        <v>320</v>
      </c>
      <c r="AJ672">
        <v>67</v>
      </c>
      <c r="AK672" s="106">
        <v>45475.6354440625</v>
      </c>
      <c r="AL672" s="1" t="s">
        <v>4790</v>
      </c>
      <c r="AM672" s="42">
        <f>IFERROR(INDEX('Public procurment'!A:R,MATCH(ListOfExpenditure[[#This Row],[Content.contractId]],'Public procurment'!E:E,0),14),0)</f>
        <v>0</v>
      </c>
      <c r="AN672" s="2">
        <f>IF(AND(ListOfExpenditure[[#This Row],[Contract amount]]&gt;10000,ListOfExpenditure[[#This Row],[Content.declaredAmount]]&gt;2000),1,0)</f>
        <v>0</v>
      </c>
      <c r="AO672">
        <f>IFERROR(INDEX('Public procurment'!A:S,MATCH(ListOfExpenditure[[#This Row],[Content.contractId]],'Public procurment'!E:E,0),19),0)</f>
        <v>0</v>
      </c>
      <c r="AP672">
        <f>IF(ListOfExpenditure[[#This Row],[Numero di volte controllato il contract ]]&gt;0,0,ListOfExpenditure[[#This Row],[IF public procurment &gt;10000;1;0]])</f>
        <v>0</v>
      </c>
    </row>
    <row r="673" spans="1:42" x14ac:dyDescent="0.25">
      <c r="A673">
        <v>248</v>
      </c>
      <c r="B673">
        <v>11</v>
      </c>
      <c r="E673" t="s">
        <v>4786</v>
      </c>
      <c r="F673" t="b">
        <v>0</v>
      </c>
      <c r="I673" t="s">
        <v>5415</v>
      </c>
      <c r="M673" t="s">
        <v>4788</v>
      </c>
      <c r="N673" t="s">
        <v>4788</v>
      </c>
      <c r="O673">
        <v>130.44</v>
      </c>
      <c r="Q673">
        <v>0</v>
      </c>
      <c r="R673">
        <v>0</v>
      </c>
      <c r="S673">
        <v>130.44</v>
      </c>
      <c r="T673" t="s">
        <v>4789</v>
      </c>
      <c r="U673">
        <v>1</v>
      </c>
      <c r="V673">
        <v>130.44</v>
      </c>
      <c r="W673" t="s">
        <v>4343</v>
      </c>
      <c r="Y673" t="b">
        <v>1</v>
      </c>
      <c r="Z673" t="b">
        <v>0</v>
      </c>
      <c r="AA673">
        <v>116.26</v>
      </c>
      <c r="AB673">
        <v>14.18</v>
      </c>
      <c r="AC673">
        <v>27</v>
      </c>
      <c r="AD673" t="b">
        <v>0</v>
      </c>
      <c r="AF673" t="s">
        <v>5416</v>
      </c>
      <c r="AG673" s="1" t="s">
        <v>59</v>
      </c>
      <c r="AH673" s="1" t="s">
        <v>41</v>
      </c>
      <c r="AI673">
        <v>320</v>
      </c>
      <c r="AJ673">
        <v>67</v>
      </c>
      <c r="AK673" s="106">
        <v>45475.6354440625</v>
      </c>
      <c r="AL673" s="1" t="s">
        <v>4790</v>
      </c>
      <c r="AM673" s="42">
        <f>IFERROR(INDEX('Public procurment'!A:R,MATCH(ListOfExpenditure[[#This Row],[Content.contractId]],'Public procurment'!E:E,0),14),0)</f>
        <v>0</v>
      </c>
      <c r="AN673" s="2">
        <f>IF(AND(ListOfExpenditure[[#This Row],[Contract amount]]&gt;10000,ListOfExpenditure[[#This Row],[Content.declaredAmount]]&gt;2000),1,0)</f>
        <v>0</v>
      </c>
      <c r="AO673">
        <f>IFERROR(INDEX('Public procurment'!A:S,MATCH(ListOfExpenditure[[#This Row],[Content.contractId]],'Public procurment'!E:E,0),19),0)</f>
        <v>0</v>
      </c>
      <c r="AP673">
        <f>IF(ListOfExpenditure[[#This Row],[Numero di volte controllato il contract ]]&gt;0,0,ListOfExpenditure[[#This Row],[IF public procurment &gt;10000;1;0]])</f>
        <v>0</v>
      </c>
    </row>
    <row r="674" spans="1:42" x14ac:dyDescent="0.25">
      <c r="A674">
        <v>249</v>
      </c>
      <c r="B674">
        <v>12</v>
      </c>
      <c r="E674" t="s">
        <v>4786</v>
      </c>
      <c r="F674" t="b">
        <v>0</v>
      </c>
      <c r="I674" t="s">
        <v>5417</v>
      </c>
      <c r="M674" t="s">
        <v>4788</v>
      </c>
      <c r="N674" t="s">
        <v>4788</v>
      </c>
      <c r="O674">
        <v>178.21</v>
      </c>
      <c r="Q674">
        <v>0</v>
      </c>
      <c r="R674">
        <v>0</v>
      </c>
      <c r="S674">
        <v>178.21</v>
      </c>
      <c r="T674" t="s">
        <v>4789</v>
      </c>
      <c r="U674">
        <v>1</v>
      </c>
      <c r="V674">
        <v>178.21</v>
      </c>
      <c r="W674" t="s">
        <v>4343</v>
      </c>
      <c r="Y674" t="b">
        <v>1</v>
      </c>
      <c r="Z674" t="b">
        <v>0</v>
      </c>
      <c r="AA674">
        <v>178.21</v>
      </c>
      <c r="AB674">
        <v>0</v>
      </c>
      <c r="AD674" t="b">
        <v>0</v>
      </c>
      <c r="AG674" s="1" t="s">
        <v>59</v>
      </c>
      <c r="AH674" s="1" t="s">
        <v>41</v>
      </c>
      <c r="AI674">
        <v>320</v>
      </c>
      <c r="AJ674">
        <v>67</v>
      </c>
      <c r="AK674" s="106">
        <v>45475.6354440625</v>
      </c>
      <c r="AL674" s="1" t="s">
        <v>4790</v>
      </c>
      <c r="AM674" s="42">
        <f>IFERROR(INDEX('Public procurment'!A:R,MATCH(ListOfExpenditure[[#This Row],[Content.contractId]],'Public procurment'!E:E,0),14),0)</f>
        <v>0</v>
      </c>
      <c r="AN674" s="2">
        <f>IF(AND(ListOfExpenditure[[#This Row],[Contract amount]]&gt;10000,ListOfExpenditure[[#This Row],[Content.declaredAmount]]&gt;2000),1,0)</f>
        <v>0</v>
      </c>
      <c r="AO674">
        <f>IFERROR(INDEX('Public procurment'!A:S,MATCH(ListOfExpenditure[[#This Row],[Content.contractId]],'Public procurment'!E:E,0),19),0)</f>
        <v>0</v>
      </c>
      <c r="AP674">
        <f>IF(ListOfExpenditure[[#This Row],[Numero di volte controllato il contract ]]&gt;0,0,ListOfExpenditure[[#This Row],[IF public procurment &gt;10000;1;0]])</f>
        <v>0</v>
      </c>
    </row>
    <row r="675" spans="1:42" x14ac:dyDescent="0.25">
      <c r="A675">
        <v>1545</v>
      </c>
      <c r="B675">
        <v>1</v>
      </c>
      <c r="E675" t="s">
        <v>4786</v>
      </c>
      <c r="F675" t="b">
        <v>0</v>
      </c>
      <c r="I675" t="s">
        <v>5418</v>
      </c>
      <c r="K675" t="s">
        <v>5419</v>
      </c>
      <c r="L675" t="s">
        <v>5420</v>
      </c>
      <c r="M675" t="s">
        <v>4788</v>
      </c>
      <c r="N675" t="s">
        <v>4788</v>
      </c>
      <c r="O675">
        <v>4171.3100000000004</v>
      </c>
      <c r="Q675">
        <v>0</v>
      </c>
      <c r="R675">
        <v>0</v>
      </c>
      <c r="S675">
        <v>847</v>
      </c>
      <c r="T675" t="s">
        <v>4789</v>
      </c>
      <c r="U675">
        <v>1</v>
      </c>
      <c r="V675">
        <v>847</v>
      </c>
      <c r="Y675" t="b">
        <v>1</v>
      </c>
      <c r="Z675" t="b">
        <v>0</v>
      </c>
      <c r="AA675">
        <v>847</v>
      </c>
      <c r="AB675">
        <v>0</v>
      </c>
      <c r="AD675" t="b">
        <v>0</v>
      </c>
      <c r="AG675" s="1" t="s">
        <v>59</v>
      </c>
      <c r="AH675" s="1" t="s">
        <v>69</v>
      </c>
      <c r="AI675">
        <v>325</v>
      </c>
      <c r="AJ675">
        <v>244</v>
      </c>
      <c r="AK675" s="106">
        <v>45475.63549054398</v>
      </c>
      <c r="AL675" s="1" t="s">
        <v>4790</v>
      </c>
      <c r="AM675" s="42">
        <f>IFERROR(INDEX('Public procurment'!A:R,MATCH(ListOfExpenditure[[#This Row],[Content.contractId]],'Public procurment'!E:E,0),14),0)</f>
        <v>0</v>
      </c>
      <c r="AN675" s="2">
        <f>IF(AND(ListOfExpenditure[[#This Row],[Contract amount]]&gt;10000,ListOfExpenditure[[#This Row],[Content.declaredAmount]]&gt;2000),1,0)</f>
        <v>0</v>
      </c>
      <c r="AO675">
        <f>IFERROR(INDEX('Public procurment'!A:S,MATCH(ListOfExpenditure[[#This Row],[Content.contractId]],'Public procurment'!E:E,0),19),0)</f>
        <v>0</v>
      </c>
      <c r="AP675">
        <f>IF(ListOfExpenditure[[#This Row],[Numero di volte controllato il contract ]]&gt;0,0,ListOfExpenditure[[#This Row],[IF public procurment &gt;10000;1;0]])</f>
        <v>0</v>
      </c>
    </row>
    <row r="676" spans="1:42" x14ac:dyDescent="0.25">
      <c r="A676">
        <v>1548</v>
      </c>
      <c r="B676">
        <v>2</v>
      </c>
      <c r="E676" t="s">
        <v>4786</v>
      </c>
      <c r="F676" t="b">
        <v>0</v>
      </c>
      <c r="I676" t="s">
        <v>5421</v>
      </c>
      <c r="K676" t="s">
        <v>4864</v>
      </c>
      <c r="L676" t="s">
        <v>5422</v>
      </c>
      <c r="M676" t="s">
        <v>4788</v>
      </c>
      <c r="N676" t="s">
        <v>4788</v>
      </c>
      <c r="O676">
        <v>4171.3100000000004</v>
      </c>
      <c r="Q676">
        <v>0</v>
      </c>
      <c r="R676">
        <v>0</v>
      </c>
      <c r="S676">
        <v>847</v>
      </c>
      <c r="T676" t="s">
        <v>4789</v>
      </c>
      <c r="U676">
        <v>1</v>
      </c>
      <c r="V676">
        <v>847</v>
      </c>
      <c r="Y676" t="b">
        <v>1</v>
      </c>
      <c r="Z676" t="b">
        <v>0</v>
      </c>
      <c r="AA676">
        <v>847</v>
      </c>
      <c r="AB676">
        <v>0</v>
      </c>
      <c r="AD676" t="b">
        <v>0</v>
      </c>
      <c r="AG676" s="1" t="s">
        <v>59</v>
      </c>
      <c r="AH676" s="1" t="s">
        <v>69</v>
      </c>
      <c r="AI676">
        <v>325</v>
      </c>
      <c r="AJ676">
        <v>244</v>
      </c>
      <c r="AK676" s="106">
        <v>45475.63549054398</v>
      </c>
      <c r="AL676" s="1" t="s">
        <v>4790</v>
      </c>
      <c r="AM676" s="42">
        <f>IFERROR(INDEX('Public procurment'!A:R,MATCH(ListOfExpenditure[[#This Row],[Content.contractId]],'Public procurment'!E:E,0),14),0)</f>
        <v>0</v>
      </c>
      <c r="AN676" s="2">
        <f>IF(AND(ListOfExpenditure[[#This Row],[Contract amount]]&gt;10000,ListOfExpenditure[[#This Row],[Content.declaredAmount]]&gt;2000),1,0)</f>
        <v>0</v>
      </c>
      <c r="AO676">
        <f>IFERROR(INDEX('Public procurment'!A:S,MATCH(ListOfExpenditure[[#This Row],[Content.contractId]],'Public procurment'!E:E,0),19),0)</f>
        <v>0</v>
      </c>
      <c r="AP676">
        <f>IF(ListOfExpenditure[[#This Row],[Numero di volte controllato il contract ]]&gt;0,0,ListOfExpenditure[[#This Row],[IF public procurment &gt;10000;1;0]])</f>
        <v>0</v>
      </c>
    </row>
    <row r="677" spans="1:42" x14ac:dyDescent="0.25">
      <c r="A677">
        <v>1549</v>
      </c>
      <c r="B677">
        <v>3</v>
      </c>
      <c r="E677" t="s">
        <v>4786</v>
      </c>
      <c r="F677" t="b">
        <v>0</v>
      </c>
      <c r="I677" t="s">
        <v>5423</v>
      </c>
      <c r="K677" t="s">
        <v>5424</v>
      </c>
      <c r="L677" t="s">
        <v>5425</v>
      </c>
      <c r="M677" t="s">
        <v>4788</v>
      </c>
      <c r="N677" t="s">
        <v>4788</v>
      </c>
      <c r="O677">
        <v>4171.3100000000004</v>
      </c>
      <c r="Q677">
        <v>0</v>
      </c>
      <c r="R677">
        <v>0</v>
      </c>
      <c r="S677">
        <v>847</v>
      </c>
      <c r="T677" t="s">
        <v>4789</v>
      </c>
      <c r="U677">
        <v>1</v>
      </c>
      <c r="V677">
        <v>847</v>
      </c>
      <c r="Y677" t="b">
        <v>1</v>
      </c>
      <c r="Z677" t="b">
        <v>0</v>
      </c>
      <c r="AA677">
        <v>847</v>
      </c>
      <c r="AB677">
        <v>0</v>
      </c>
      <c r="AD677" t="b">
        <v>0</v>
      </c>
      <c r="AG677" s="1" t="s">
        <v>59</v>
      </c>
      <c r="AH677" s="1" t="s">
        <v>69</v>
      </c>
      <c r="AI677">
        <v>325</v>
      </c>
      <c r="AJ677">
        <v>244</v>
      </c>
      <c r="AK677" s="106">
        <v>45475.63549054398</v>
      </c>
      <c r="AL677" s="1" t="s">
        <v>4790</v>
      </c>
      <c r="AM677" s="42">
        <f>IFERROR(INDEX('Public procurment'!A:R,MATCH(ListOfExpenditure[[#This Row],[Content.contractId]],'Public procurment'!E:E,0),14),0)</f>
        <v>0</v>
      </c>
      <c r="AN677" s="2">
        <f>IF(AND(ListOfExpenditure[[#This Row],[Contract amount]]&gt;10000,ListOfExpenditure[[#This Row],[Content.declaredAmount]]&gt;2000),1,0)</f>
        <v>0</v>
      </c>
      <c r="AO677">
        <f>IFERROR(INDEX('Public procurment'!A:S,MATCH(ListOfExpenditure[[#This Row],[Content.contractId]],'Public procurment'!E:E,0),19),0)</f>
        <v>0</v>
      </c>
      <c r="AP677">
        <f>IF(ListOfExpenditure[[#This Row],[Numero di volte controllato il contract ]]&gt;0,0,ListOfExpenditure[[#This Row],[IF public procurment &gt;10000;1;0]])</f>
        <v>0</v>
      </c>
    </row>
    <row r="678" spans="1:42" x14ac:dyDescent="0.25">
      <c r="A678">
        <v>1550</v>
      </c>
      <c r="B678">
        <v>4</v>
      </c>
      <c r="E678" t="s">
        <v>4786</v>
      </c>
      <c r="F678" t="b">
        <v>0</v>
      </c>
      <c r="I678" t="s">
        <v>5426</v>
      </c>
      <c r="K678" t="s">
        <v>5427</v>
      </c>
      <c r="L678" t="s">
        <v>5428</v>
      </c>
      <c r="M678" t="s">
        <v>4788</v>
      </c>
      <c r="N678" t="s">
        <v>4788</v>
      </c>
      <c r="O678">
        <v>4171.3100000000004</v>
      </c>
      <c r="Q678">
        <v>0</v>
      </c>
      <c r="R678">
        <v>0</v>
      </c>
      <c r="S678">
        <v>847</v>
      </c>
      <c r="T678" t="s">
        <v>4789</v>
      </c>
      <c r="U678">
        <v>1</v>
      </c>
      <c r="V678">
        <v>847</v>
      </c>
      <c r="Y678" t="b">
        <v>1</v>
      </c>
      <c r="Z678" t="b">
        <v>0</v>
      </c>
      <c r="AA678">
        <v>847</v>
      </c>
      <c r="AB678">
        <v>0</v>
      </c>
      <c r="AD678" t="b">
        <v>0</v>
      </c>
      <c r="AG678" s="1" t="s">
        <v>59</v>
      </c>
      <c r="AH678" s="1" t="s">
        <v>69</v>
      </c>
      <c r="AI678">
        <v>325</v>
      </c>
      <c r="AJ678">
        <v>244</v>
      </c>
      <c r="AK678" s="106">
        <v>45475.63549054398</v>
      </c>
      <c r="AL678" s="1" t="s">
        <v>4790</v>
      </c>
      <c r="AM678" s="42">
        <f>IFERROR(INDEX('Public procurment'!A:R,MATCH(ListOfExpenditure[[#This Row],[Content.contractId]],'Public procurment'!E:E,0),14),0)</f>
        <v>0</v>
      </c>
      <c r="AN678" s="2">
        <f>IF(AND(ListOfExpenditure[[#This Row],[Contract amount]]&gt;10000,ListOfExpenditure[[#This Row],[Content.declaredAmount]]&gt;2000),1,0)</f>
        <v>0</v>
      </c>
      <c r="AO678">
        <f>IFERROR(INDEX('Public procurment'!A:S,MATCH(ListOfExpenditure[[#This Row],[Content.contractId]],'Public procurment'!E:E,0),19),0)</f>
        <v>0</v>
      </c>
      <c r="AP678">
        <f>IF(ListOfExpenditure[[#This Row],[Numero di volte controllato il contract ]]&gt;0,0,ListOfExpenditure[[#This Row],[IF public procurment &gt;10000;1;0]])</f>
        <v>0</v>
      </c>
    </row>
    <row r="679" spans="1:42" x14ac:dyDescent="0.25">
      <c r="A679">
        <v>1551</v>
      </c>
      <c r="B679">
        <v>5</v>
      </c>
      <c r="E679" t="s">
        <v>4786</v>
      </c>
      <c r="F679" t="b">
        <v>0</v>
      </c>
      <c r="I679" t="s">
        <v>5429</v>
      </c>
      <c r="K679" t="s">
        <v>5348</v>
      </c>
      <c r="L679" t="s">
        <v>5430</v>
      </c>
      <c r="M679" t="s">
        <v>4788</v>
      </c>
      <c r="N679" t="s">
        <v>4788</v>
      </c>
      <c r="O679">
        <v>4171.3100000000004</v>
      </c>
      <c r="Q679">
        <v>0</v>
      </c>
      <c r="R679">
        <v>0</v>
      </c>
      <c r="S679">
        <v>847</v>
      </c>
      <c r="T679" t="s">
        <v>4789</v>
      </c>
      <c r="U679">
        <v>1</v>
      </c>
      <c r="V679">
        <v>847</v>
      </c>
      <c r="Y679" t="b">
        <v>1</v>
      </c>
      <c r="Z679" t="b">
        <v>0</v>
      </c>
      <c r="AA679">
        <v>847</v>
      </c>
      <c r="AB679">
        <v>0</v>
      </c>
      <c r="AD679" t="b">
        <v>0</v>
      </c>
      <c r="AG679" s="1" t="s">
        <v>59</v>
      </c>
      <c r="AH679" s="1" t="s">
        <v>69</v>
      </c>
      <c r="AI679">
        <v>325</v>
      </c>
      <c r="AJ679">
        <v>244</v>
      </c>
      <c r="AK679" s="106">
        <v>45475.63549054398</v>
      </c>
      <c r="AL679" s="1" t="s">
        <v>4790</v>
      </c>
      <c r="AM679" s="42">
        <f>IFERROR(INDEX('Public procurment'!A:R,MATCH(ListOfExpenditure[[#This Row],[Content.contractId]],'Public procurment'!E:E,0),14),0)</f>
        <v>0</v>
      </c>
      <c r="AN679" s="2">
        <f>IF(AND(ListOfExpenditure[[#This Row],[Contract amount]]&gt;10000,ListOfExpenditure[[#This Row],[Content.declaredAmount]]&gt;2000),1,0)</f>
        <v>0</v>
      </c>
      <c r="AO679">
        <f>IFERROR(INDEX('Public procurment'!A:S,MATCH(ListOfExpenditure[[#This Row],[Content.contractId]],'Public procurment'!E:E,0),19),0)</f>
        <v>0</v>
      </c>
      <c r="AP679">
        <f>IF(ListOfExpenditure[[#This Row],[Numero di volte controllato il contract ]]&gt;0,0,ListOfExpenditure[[#This Row],[IF public procurment &gt;10000;1;0]])</f>
        <v>0</v>
      </c>
    </row>
    <row r="680" spans="1:42" x14ac:dyDescent="0.25">
      <c r="A680">
        <v>1552</v>
      </c>
      <c r="B680">
        <v>6</v>
      </c>
      <c r="E680" t="s">
        <v>4786</v>
      </c>
      <c r="F680" t="b">
        <v>0</v>
      </c>
      <c r="I680" t="s">
        <v>5431</v>
      </c>
      <c r="K680" t="s">
        <v>5432</v>
      </c>
      <c r="L680" t="s">
        <v>5357</v>
      </c>
      <c r="M680" t="s">
        <v>4788</v>
      </c>
      <c r="N680" t="s">
        <v>4788</v>
      </c>
      <c r="O680">
        <v>4171.3100000000004</v>
      </c>
      <c r="Q680">
        <v>0</v>
      </c>
      <c r="R680">
        <v>0</v>
      </c>
      <c r="S680">
        <v>847</v>
      </c>
      <c r="T680" t="s">
        <v>4789</v>
      </c>
      <c r="U680">
        <v>1</v>
      </c>
      <c r="V680">
        <v>847</v>
      </c>
      <c r="Y680" t="b">
        <v>1</v>
      </c>
      <c r="Z680" t="b">
        <v>0</v>
      </c>
      <c r="AA680">
        <v>847</v>
      </c>
      <c r="AB680">
        <v>0</v>
      </c>
      <c r="AD680" t="b">
        <v>0</v>
      </c>
      <c r="AG680" s="1" t="s">
        <v>59</v>
      </c>
      <c r="AH680" s="1" t="s">
        <v>69</v>
      </c>
      <c r="AI680">
        <v>325</v>
      </c>
      <c r="AJ680">
        <v>244</v>
      </c>
      <c r="AK680" s="106">
        <v>45475.63549054398</v>
      </c>
      <c r="AL680" s="1" t="s">
        <v>4790</v>
      </c>
      <c r="AM680" s="42">
        <f>IFERROR(INDEX('Public procurment'!A:R,MATCH(ListOfExpenditure[[#This Row],[Content.contractId]],'Public procurment'!E:E,0),14),0)</f>
        <v>0</v>
      </c>
      <c r="AN680" s="2">
        <f>IF(AND(ListOfExpenditure[[#This Row],[Contract amount]]&gt;10000,ListOfExpenditure[[#This Row],[Content.declaredAmount]]&gt;2000),1,0)</f>
        <v>0</v>
      </c>
      <c r="AO680">
        <f>IFERROR(INDEX('Public procurment'!A:S,MATCH(ListOfExpenditure[[#This Row],[Content.contractId]],'Public procurment'!E:E,0),19),0)</f>
        <v>0</v>
      </c>
      <c r="AP680">
        <f>IF(ListOfExpenditure[[#This Row],[Numero di volte controllato il contract ]]&gt;0,0,ListOfExpenditure[[#This Row],[IF public procurment &gt;10000;1;0]])</f>
        <v>0</v>
      </c>
    </row>
    <row r="681" spans="1:42" x14ac:dyDescent="0.25">
      <c r="A681">
        <v>1553</v>
      </c>
      <c r="B681">
        <v>7</v>
      </c>
      <c r="E681" t="s">
        <v>4786</v>
      </c>
      <c r="F681" t="b">
        <v>0</v>
      </c>
      <c r="I681" t="s">
        <v>5433</v>
      </c>
      <c r="K681" t="s">
        <v>5434</v>
      </c>
      <c r="L681" t="s">
        <v>5435</v>
      </c>
      <c r="M681" t="s">
        <v>4788</v>
      </c>
      <c r="N681" t="s">
        <v>4788</v>
      </c>
      <c r="O681">
        <v>4171.3100000000004</v>
      </c>
      <c r="Q681">
        <v>0</v>
      </c>
      <c r="R681">
        <v>0</v>
      </c>
      <c r="S681">
        <v>847</v>
      </c>
      <c r="T681" t="s">
        <v>4789</v>
      </c>
      <c r="U681">
        <v>1</v>
      </c>
      <c r="V681">
        <v>847</v>
      </c>
      <c r="Y681" t="b">
        <v>1</v>
      </c>
      <c r="Z681" t="b">
        <v>0</v>
      </c>
      <c r="AA681">
        <v>847</v>
      </c>
      <c r="AB681">
        <v>0</v>
      </c>
      <c r="AD681" t="b">
        <v>0</v>
      </c>
      <c r="AG681" s="1" t="s">
        <v>59</v>
      </c>
      <c r="AH681" s="1" t="s">
        <v>69</v>
      </c>
      <c r="AI681">
        <v>325</v>
      </c>
      <c r="AJ681">
        <v>244</v>
      </c>
      <c r="AK681" s="106">
        <v>45475.63549054398</v>
      </c>
      <c r="AL681" s="1" t="s">
        <v>4790</v>
      </c>
      <c r="AM681" s="42">
        <f>IFERROR(INDEX('Public procurment'!A:R,MATCH(ListOfExpenditure[[#This Row],[Content.contractId]],'Public procurment'!E:E,0),14),0)</f>
        <v>0</v>
      </c>
      <c r="AN681" s="2">
        <f>IF(AND(ListOfExpenditure[[#This Row],[Contract amount]]&gt;10000,ListOfExpenditure[[#This Row],[Content.declaredAmount]]&gt;2000),1,0)</f>
        <v>0</v>
      </c>
      <c r="AO681">
        <f>IFERROR(INDEX('Public procurment'!A:S,MATCH(ListOfExpenditure[[#This Row],[Content.contractId]],'Public procurment'!E:E,0),19),0)</f>
        <v>0</v>
      </c>
      <c r="AP681">
        <f>IF(ListOfExpenditure[[#This Row],[Numero di volte controllato il contract ]]&gt;0,0,ListOfExpenditure[[#This Row],[IF public procurment &gt;10000;1;0]])</f>
        <v>0</v>
      </c>
    </row>
    <row r="682" spans="1:42" x14ac:dyDescent="0.25">
      <c r="A682">
        <v>1554</v>
      </c>
      <c r="B682">
        <v>8</v>
      </c>
      <c r="E682" t="s">
        <v>4786</v>
      </c>
      <c r="F682" t="b">
        <v>0</v>
      </c>
      <c r="I682" t="s">
        <v>5436</v>
      </c>
      <c r="K682" t="s">
        <v>5437</v>
      </c>
      <c r="L682" t="s">
        <v>4950</v>
      </c>
      <c r="M682" t="s">
        <v>4788</v>
      </c>
      <c r="N682" t="s">
        <v>4788</v>
      </c>
      <c r="O682">
        <v>4171.3100000000004</v>
      </c>
      <c r="Q682">
        <v>0</v>
      </c>
      <c r="R682">
        <v>0</v>
      </c>
      <c r="S682">
        <v>847</v>
      </c>
      <c r="T682" t="s">
        <v>4789</v>
      </c>
      <c r="U682">
        <v>1</v>
      </c>
      <c r="V682">
        <v>847</v>
      </c>
      <c r="Y682" t="b">
        <v>1</v>
      </c>
      <c r="Z682" t="b">
        <v>0</v>
      </c>
      <c r="AA682">
        <v>847</v>
      </c>
      <c r="AB682">
        <v>0</v>
      </c>
      <c r="AD682" t="b">
        <v>0</v>
      </c>
      <c r="AG682" s="1" t="s">
        <v>59</v>
      </c>
      <c r="AH682" s="1" t="s">
        <v>69</v>
      </c>
      <c r="AI682">
        <v>325</v>
      </c>
      <c r="AJ682">
        <v>244</v>
      </c>
      <c r="AK682" s="106">
        <v>45475.63549054398</v>
      </c>
      <c r="AL682" s="1" t="s">
        <v>4790</v>
      </c>
      <c r="AM682" s="42">
        <f>IFERROR(INDEX('Public procurment'!A:R,MATCH(ListOfExpenditure[[#This Row],[Content.contractId]],'Public procurment'!E:E,0),14),0)</f>
        <v>0</v>
      </c>
      <c r="AN682" s="2">
        <f>IF(AND(ListOfExpenditure[[#This Row],[Contract amount]]&gt;10000,ListOfExpenditure[[#This Row],[Content.declaredAmount]]&gt;2000),1,0)</f>
        <v>0</v>
      </c>
      <c r="AO682">
        <f>IFERROR(INDEX('Public procurment'!A:S,MATCH(ListOfExpenditure[[#This Row],[Content.contractId]],'Public procurment'!E:E,0),19),0)</f>
        <v>0</v>
      </c>
      <c r="AP682">
        <f>IF(ListOfExpenditure[[#This Row],[Numero di volte controllato il contract ]]&gt;0,0,ListOfExpenditure[[#This Row],[IF public procurment &gt;10000;1;0]])</f>
        <v>0</v>
      </c>
    </row>
    <row r="683" spans="1:42" x14ac:dyDescent="0.25">
      <c r="A683">
        <v>1555</v>
      </c>
      <c r="B683">
        <v>9</v>
      </c>
      <c r="E683" t="s">
        <v>4786</v>
      </c>
      <c r="F683" t="b">
        <v>0</v>
      </c>
      <c r="I683" t="s">
        <v>5438</v>
      </c>
      <c r="K683" t="s">
        <v>5036</v>
      </c>
      <c r="L683" t="s">
        <v>4455</v>
      </c>
      <c r="M683" t="s">
        <v>4788</v>
      </c>
      <c r="N683" t="s">
        <v>4788</v>
      </c>
      <c r="O683">
        <v>4171.3100000000004</v>
      </c>
      <c r="Q683">
        <v>0</v>
      </c>
      <c r="R683">
        <v>0</v>
      </c>
      <c r="S683">
        <v>847</v>
      </c>
      <c r="T683" t="s">
        <v>4789</v>
      </c>
      <c r="U683">
        <v>1</v>
      </c>
      <c r="V683">
        <v>847</v>
      </c>
      <c r="Y683" t="b">
        <v>1</v>
      </c>
      <c r="Z683" t="b">
        <v>0</v>
      </c>
      <c r="AA683">
        <v>847</v>
      </c>
      <c r="AB683">
        <v>0</v>
      </c>
      <c r="AD683" t="b">
        <v>0</v>
      </c>
      <c r="AG683" s="1" t="s">
        <v>59</v>
      </c>
      <c r="AH683" s="1" t="s">
        <v>69</v>
      </c>
      <c r="AI683">
        <v>325</v>
      </c>
      <c r="AJ683">
        <v>244</v>
      </c>
      <c r="AK683" s="106">
        <v>45475.63549054398</v>
      </c>
      <c r="AL683" s="1" t="s">
        <v>4790</v>
      </c>
      <c r="AM683" s="42">
        <f>IFERROR(INDEX('Public procurment'!A:R,MATCH(ListOfExpenditure[[#This Row],[Content.contractId]],'Public procurment'!E:E,0),14),0)</f>
        <v>0</v>
      </c>
      <c r="AN683" s="2">
        <f>IF(AND(ListOfExpenditure[[#This Row],[Contract amount]]&gt;10000,ListOfExpenditure[[#This Row],[Content.declaredAmount]]&gt;2000),1,0)</f>
        <v>0</v>
      </c>
      <c r="AO683">
        <f>IFERROR(INDEX('Public procurment'!A:S,MATCH(ListOfExpenditure[[#This Row],[Content.contractId]],'Public procurment'!E:E,0),19),0)</f>
        <v>0</v>
      </c>
      <c r="AP683">
        <f>IF(ListOfExpenditure[[#This Row],[Numero di volte controllato il contract ]]&gt;0,0,ListOfExpenditure[[#This Row],[IF public procurment &gt;10000;1;0]])</f>
        <v>0</v>
      </c>
    </row>
    <row r="684" spans="1:42" x14ac:dyDescent="0.25">
      <c r="A684">
        <v>1556</v>
      </c>
      <c r="B684">
        <v>10</v>
      </c>
      <c r="E684" t="s">
        <v>4786</v>
      </c>
      <c r="F684" t="b">
        <v>0</v>
      </c>
      <c r="I684" t="s">
        <v>5439</v>
      </c>
      <c r="K684" t="s">
        <v>5440</v>
      </c>
      <c r="L684" t="s">
        <v>5033</v>
      </c>
      <c r="M684" t="s">
        <v>4788</v>
      </c>
      <c r="N684" t="s">
        <v>4788</v>
      </c>
      <c r="O684">
        <v>4171.3100000000004</v>
      </c>
      <c r="Q684">
        <v>0</v>
      </c>
      <c r="R684">
        <v>0</v>
      </c>
      <c r="S684">
        <v>847</v>
      </c>
      <c r="T684" t="s">
        <v>4789</v>
      </c>
      <c r="U684">
        <v>1</v>
      </c>
      <c r="V684">
        <v>847</v>
      </c>
      <c r="Y684" t="b">
        <v>1</v>
      </c>
      <c r="Z684" t="b">
        <v>0</v>
      </c>
      <c r="AA684">
        <v>847</v>
      </c>
      <c r="AB684">
        <v>0</v>
      </c>
      <c r="AD684" t="b">
        <v>0</v>
      </c>
      <c r="AG684" s="1" t="s">
        <v>59</v>
      </c>
      <c r="AH684" s="1" t="s">
        <v>69</v>
      </c>
      <c r="AI684">
        <v>325</v>
      </c>
      <c r="AJ684">
        <v>244</v>
      </c>
      <c r="AK684" s="106">
        <v>45475.63549054398</v>
      </c>
      <c r="AL684" s="1" t="s">
        <v>4790</v>
      </c>
      <c r="AM684" s="42">
        <f>IFERROR(INDEX('Public procurment'!A:R,MATCH(ListOfExpenditure[[#This Row],[Content.contractId]],'Public procurment'!E:E,0),14),0)</f>
        <v>0</v>
      </c>
      <c r="AN684" s="2">
        <f>IF(AND(ListOfExpenditure[[#This Row],[Contract amount]]&gt;10000,ListOfExpenditure[[#This Row],[Content.declaredAmount]]&gt;2000),1,0)</f>
        <v>0</v>
      </c>
      <c r="AO684">
        <f>IFERROR(INDEX('Public procurment'!A:S,MATCH(ListOfExpenditure[[#This Row],[Content.contractId]],'Public procurment'!E:E,0),19),0)</f>
        <v>0</v>
      </c>
      <c r="AP684">
        <f>IF(ListOfExpenditure[[#This Row],[Numero di volte controllato il contract ]]&gt;0,0,ListOfExpenditure[[#This Row],[IF public procurment &gt;10000;1;0]])</f>
        <v>0</v>
      </c>
    </row>
    <row r="685" spans="1:42" x14ac:dyDescent="0.25">
      <c r="A685">
        <v>1557</v>
      </c>
      <c r="B685">
        <v>11</v>
      </c>
      <c r="E685" t="s">
        <v>4786</v>
      </c>
      <c r="F685" t="b">
        <v>0</v>
      </c>
      <c r="I685" t="s">
        <v>5441</v>
      </c>
      <c r="K685" t="s">
        <v>5442</v>
      </c>
      <c r="L685" t="s">
        <v>5115</v>
      </c>
      <c r="M685" t="s">
        <v>4788</v>
      </c>
      <c r="N685" t="s">
        <v>4788</v>
      </c>
      <c r="O685">
        <v>4171.3100000000004</v>
      </c>
      <c r="Q685">
        <v>0</v>
      </c>
      <c r="R685">
        <v>0</v>
      </c>
      <c r="S685">
        <v>847</v>
      </c>
      <c r="T685" t="s">
        <v>4789</v>
      </c>
      <c r="U685">
        <v>1</v>
      </c>
      <c r="V685">
        <v>847</v>
      </c>
      <c r="Y685" t="b">
        <v>1</v>
      </c>
      <c r="Z685" t="b">
        <v>0</v>
      </c>
      <c r="AA685">
        <v>847</v>
      </c>
      <c r="AB685">
        <v>0</v>
      </c>
      <c r="AD685" t="b">
        <v>0</v>
      </c>
      <c r="AG685" s="1" t="s">
        <v>59</v>
      </c>
      <c r="AH685" s="1" t="s">
        <v>69</v>
      </c>
      <c r="AI685">
        <v>325</v>
      </c>
      <c r="AJ685">
        <v>244</v>
      </c>
      <c r="AK685" s="106">
        <v>45475.63549054398</v>
      </c>
      <c r="AL685" s="1" t="s">
        <v>4790</v>
      </c>
      <c r="AM685" s="42">
        <f>IFERROR(INDEX('Public procurment'!A:R,MATCH(ListOfExpenditure[[#This Row],[Content.contractId]],'Public procurment'!E:E,0),14),0)</f>
        <v>0</v>
      </c>
      <c r="AN685" s="2">
        <f>IF(AND(ListOfExpenditure[[#This Row],[Contract amount]]&gt;10000,ListOfExpenditure[[#This Row],[Content.declaredAmount]]&gt;2000),1,0)</f>
        <v>0</v>
      </c>
      <c r="AO685">
        <f>IFERROR(INDEX('Public procurment'!A:S,MATCH(ListOfExpenditure[[#This Row],[Content.contractId]],'Public procurment'!E:E,0),19),0)</f>
        <v>0</v>
      </c>
      <c r="AP685">
        <f>IF(ListOfExpenditure[[#This Row],[Numero di volte controllato il contract ]]&gt;0,0,ListOfExpenditure[[#This Row],[IF public procurment &gt;10000;1;0]])</f>
        <v>0</v>
      </c>
    </row>
    <row r="686" spans="1:42" x14ac:dyDescent="0.25">
      <c r="A686">
        <v>1558</v>
      </c>
      <c r="B686">
        <v>12</v>
      </c>
      <c r="E686" t="s">
        <v>4786</v>
      </c>
      <c r="F686" t="b">
        <v>0</v>
      </c>
      <c r="I686" t="s">
        <v>5443</v>
      </c>
      <c r="K686" t="s">
        <v>5250</v>
      </c>
      <c r="L686" t="s">
        <v>4932</v>
      </c>
      <c r="M686" t="s">
        <v>4788</v>
      </c>
      <c r="N686" t="s">
        <v>4788</v>
      </c>
      <c r="O686">
        <v>7775.47</v>
      </c>
      <c r="Q686">
        <v>0</v>
      </c>
      <c r="R686">
        <v>0</v>
      </c>
      <c r="S686">
        <v>847</v>
      </c>
      <c r="T686" t="s">
        <v>4789</v>
      </c>
      <c r="U686">
        <v>1</v>
      </c>
      <c r="V686">
        <v>847</v>
      </c>
      <c r="Y686" t="b">
        <v>1</v>
      </c>
      <c r="Z686" t="b">
        <v>0</v>
      </c>
      <c r="AA686">
        <v>847</v>
      </c>
      <c r="AB686">
        <v>0</v>
      </c>
      <c r="AD686" t="b">
        <v>0</v>
      </c>
      <c r="AG686" s="1" t="s">
        <v>59</v>
      </c>
      <c r="AH686" s="1" t="s">
        <v>69</v>
      </c>
      <c r="AI686">
        <v>325</v>
      </c>
      <c r="AJ686">
        <v>244</v>
      </c>
      <c r="AK686" s="106">
        <v>45475.63549054398</v>
      </c>
      <c r="AL686" s="1" t="s">
        <v>4790</v>
      </c>
      <c r="AM686" s="42">
        <f>IFERROR(INDEX('Public procurment'!A:R,MATCH(ListOfExpenditure[[#This Row],[Content.contractId]],'Public procurment'!E:E,0),14),0)</f>
        <v>0</v>
      </c>
      <c r="AN686" s="2">
        <f>IF(AND(ListOfExpenditure[[#This Row],[Contract amount]]&gt;10000,ListOfExpenditure[[#This Row],[Content.declaredAmount]]&gt;2000),1,0)</f>
        <v>0</v>
      </c>
      <c r="AO686">
        <f>IFERROR(INDEX('Public procurment'!A:S,MATCH(ListOfExpenditure[[#This Row],[Content.contractId]],'Public procurment'!E:E,0),19),0)</f>
        <v>0</v>
      </c>
      <c r="AP686">
        <f>IF(ListOfExpenditure[[#This Row],[Numero di volte controllato il contract ]]&gt;0,0,ListOfExpenditure[[#This Row],[IF public procurment &gt;10000;1;0]])</f>
        <v>0</v>
      </c>
    </row>
    <row r="687" spans="1:42" x14ac:dyDescent="0.25">
      <c r="A687">
        <v>1559</v>
      </c>
      <c r="B687">
        <v>13</v>
      </c>
      <c r="E687" t="s">
        <v>4786</v>
      </c>
      <c r="F687" t="b">
        <v>0</v>
      </c>
      <c r="I687" t="s">
        <v>5444</v>
      </c>
      <c r="K687" t="s">
        <v>5419</v>
      </c>
      <c r="L687" t="s">
        <v>5420</v>
      </c>
      <c r="M687" t="s">
        <v>4788</v>
      </c>
      <c r="N687" t="s">
        <v>4788</v>
      </c>
      <c r="O687">
        <v>2860.01</v>
      </c>
      <c r="Q687">
        <v>0</v>
      </c>
      <c r="R687">
        <v>0</v>
      </c>
      <c r="S687">
        <v>671.95</v>
      </c>
      <c r="T687" t="s">
        <v>4789</v>
      </c>
      <c r="U687">
        <v>1</v>
      </c>
      <c r="V687">
        <v>671.95</v>
      </c>
      <c r="Y687" t="b">
        <v>1</v>
      </c>
      <c r="Z687" t="b">
        <v>0</v>
      </c>
      <c r="AA687">
        <v>671.95</v>
      </c>
      <c r="AB687">
        <v>0</v>
      </c>
      <c r="AD687" t="b">
        <v>0</v>
      </c>
      <c r="AG687" s="1" t="s">
        <v>59</v>
      </c>
      <c r="AH687" s="1" t="s">
        <v>69</v>
      </c>
      <c r="AI687">
        <v>325</v>
      </c>
      <c r="AJ687">
        <v>244</v>
      </c>
      <c r="AK687" s="106">
        <v>45475.63549054398</v>
      </c>
      <c r="AL687" s="1" t="s">
        <v>4790</v>
      </c>
      <c r="AM687" s="42">
        <f>IFERROR(INDEX('Public procurment'!A:R,MATCH(ListOfExpenditure[[#This Row],[Content.contractId]],'Public procurment'!E:E,0),14),0)</f>
        <v>0</v>
      </c>
      <c r="AN687" s="2">
        <f>IF(AND(ListOfExpenditure[[#This Row],[Contract amount]]&gt;10000,ListOfExpenditure[[#This Row],[Content.declaredAmount]]&gt;2000),1,0)</f>
        <v>0</v>
      </c>
      <c r="AO687">
        <f>IFERROR(INDEX('Public procurment'!A:S,MATCH(ListOfExpenditure[[#This Row],[Content.contractId]],'Public procurment'!E:E,0),19),0)</f>
        <v>0</v>
      </c>
      <c r="AP687">
        <f>IF(ListOfExpenditure[[#This Row],[Numero di volte controllato il contract ]]&gt;0,0,ListOfExpenditure[[#This Row],[IF public procurment &gt;10000;1;0]])</f>
        <v>0</v>
      </c>
    </row>
    <row r="688" spans="1:42" x14ac:dyDescent="0.25">
      <c r="A688">
        <v>1560</v>
      </c>
      <c r="B688">
        <v>14</v>
      </c>
      <c r="E688" t="s">
        <v>4786</v>
      </c>
      <c r="F688" t="b">
        <v>0</v>
      </c>
      <c r="I688" t="s">
        <v>5445</v>
      </c>
      <c r="K688" t="s">
        <v>4864</v>
      </c>
      <c r="L688" t="s">
        <v>5422</v>
      </c>
      <c r="M688" t="s">
        <v>4788</v>
      </c>
      <c r="N688" t="s">
        <v>4788</v>
      </c>
      <c r="O688">
        <v>2860.01</v>
      </c>
      <c r="Q688">
        <v>0</v>
      </c>
      <c r="R688">
        <v>0</v>
      </c>
      <c r="S688">
        <v>671.95</v>
      </c>
      <c r="T688" t="s">
        <v>4789</v>
      </c>
      <c r="U688">
        <v>1</v>
      </c>
      <c r="V688">
        <v>671.95</v>
      </c>
      <c r="Y688" t="b">
        <v>1</v>
      </c>
      <c r="Z688" t="b">
        <v>0</v>
      </c>
      <c r="AA688">
        <v>671.95</v>
      </c>
      <c r="AB688">
        <v>0</v>
      </c>
      <c r="AD688" t="b">
        <v>0</v>
      </c>
      <c r="AG688" s="1" t="s">
        <v>59</v>
      </c>
      <c r="AH688" s="1" t="s">
        <v>69</v>
      </c>
      <c r="AI688">
        <v>325</v>
      </c>
      <c r="AJ688">
        <v>244</v>
      </c>
      <c r="AK688" s="106">
        <v>45475.63549054398</v>
      </c>
      <c r="AL688" s="1" t="s">
        <v>4790</v>
      </c>
      <c r="AM688" s="42">
        <f>IFERROR(INDEX('Public procurment'!A:R,MATCH(ListOfExpenditure[[#This Row],[Content.contractId]],'Public procurment'!E:E,0),14),0)</f>
        <v>0</v>
      </c>
      <c r="AN688" s="2">
        <f>IF(AND(ListOfExpenditure[[#This Row],[Contract amount]]&gt;10000,ListOfExpenditure[[#This Row],[Content.declaredAmount]]&gt;2000),1,0)</f>
        <v>0</v>
      </c>
      <c r="AO688">
        <f>IFERROR(INDEX('Public procurment'!A:S,MATCH(ListOfExpenditure[[#This Row],[Content.contractId]],'Public procurment'!E:E,0),19),0)</f>
        <v>0</v>
      </c>
      <c r="AP688">
        <f>IF(ListOfExpenditure[[#This Row],[Numero di volte controllato il contract ]]&gt;0,0,ListOfExpenditure[[#This Row],[IF public procurment &gt;10000;1;0]])</f>
        <v>0</v>
      </c>
    </row>
    <row r="689" spans="1:42" x14ac:dyDescent="0.25">
      <c r="A689">
        <v>1561</v>
      </c>
      <c r="B689">
        <v>15</v>
      </c>
      <c r="E689" t="s">
        <v>4786</v>
      </c>
      <c r="F689" t="b">
        <v>0</v>
      </c>
      <c r="I689" t="s">
        <v>5446</v>
      </c>
      <c r="K689" t="s">
        <v>5424</v>
      </c>
      <c r="L689" t="s">
        <v>5425</v>
      </c>
      <c r="M689" t="s">
        <v>4788</v>
      </c>
      <c r="N689" t="s">
        <v>4788</v>
      </c>
      <c r="O689">
        <v>2860.01</v>
      </c>
      <c r="Q689">
        <v>0</v>
      </c>
      <c r="R689">
        <v>0</v>
      </c>
      <c r="S689">
        <v>671.95</v>
      </c>
      <c r="T689" t="s">
        <v>4789</v>
      </c>
      <c r="U689">
        <v>1</v>
      </c>
      <c r="V689">
        <v>671.95</v>
      </c>
      <c r="Y689" t="b">
        <v>1</v>
      </c>
      <c r="Z689" t="b">
        <v>0</v>
      </c>
      <c r="AA689">
        <v>671.95</v>
      </c>
      <c r="AB689">
        <v>0</v>
      </c>
      <c r="AD689" t="b">
        <v>0</v>
      </c>
      <c r="AG689" s="1" t="s">
        <v>59</v>
      </c>
      <c r="AH689" s="1" t="s">
        <v>69</v>
      </c>
      <c r="AI689">
        <v>325</v>
      </c>
      <c r="AJ689">
        <v>244</v>
      </c>
      <c r="AK689" s="106">
        <v>45475.63549054398</v>
      </c>
      <c r="AL689" s="1" t="s">
        <v>4790</v>
      </c>
      <c r="AM689" s="42">
        <f>IFERROR(INDEX('Public procurment'!A:R,MATCH(ListOfExpenditure[[#This Row],[Content.contractId]],'Public procurment'!E:E,0),14),0)</f>
        <v>0</v>
      </c>
      <c r="AN689" s="2">
        <f>IF(AND(ListOfExpenditure[[#This Row],[Contract amount]]&gt;10000,ListOfExpenditure[[#This Row],[Content.declaredAmount]]&gt;2000),1,0)</f>
        <v>0</v>
      </c>
      <c r="AO689">
        <f>IFERROR(INDEX('Public procurment'!A:S,MATCH(ListOfExpenditure[[#This Row],[Content.contractId]],'Public procurment'!E:E,0),19),0)</f>
        <v>0</v>
      </c>
      <c r="AP689">
        <f>IF(ListOfExpenditure[[#This Row],[Numero di volte controllato il contract ]]&gt;0,0,ListOfExpenditure[[#This Row],[IF public procurment &gt;10000;1;0]])</f>
        <v>0</v>
      </c>
    </row>
    <row r="690" spans="1:42" x14ac:dyDescent="0.25">
      <c r="A690">
        <v>1562</v>
      </c>
      <c r="B690">
        <v>16</v>
      </c>
      <c r="E690" t="s">
        <v>4786</v>
      </c>
      <c r="F690" t="b">
        <v>0</v>
      </c>
      <c r="I690" t="s">
        <v>5447</v>
      </c>
      <c r="K690" t="s">
        <v>5427</v>
      </c>
      <c r="L690" t="s">
        <v>5428</v>
      </c>
      <c r="M690" t="s">
        <v>4788</v>
      </c>
      <c r="N690" t="s">
        <v>4788</v>
      </c>
      <c r="O690">
        <v>2860.01</v>
      </c>
      <c r="Q690">
        <v>0</v>
      </c>
      <c r="R690">
        <v>0</v>
      </c>
      <c r="S690">
        <v>671.95</v>
      </c>
      <c r="T690" t="s">
        <v>4789</v>
      </c>
      <c r="U690">
        <v>1</v>
      </c>
      <c r="V690">
        <v>671.95</v>
      </c>
      <c r="Y690" t="b">
        <v>1</v>
      </c>
      <c r="Z690" t="b">
        <v>0</v>
      </c>
      <c r="AA690">
        <v>671.95</v>
      </c>
      <c r="AB690">
        <v>0</v>
      </c>
      <c r="AD690" t="b">
        <v>0</v>
      </c>
      <c r="AG690" s="1" t="s">
        <v>59</v>
      </c>
      <c r="AH690" s="1" t="s">
        <v>69</v>
      </c>
      <c r="AI690">
        <v>325</v>
      </c>
      <c r="AJ690">
        <v>244</v>
      </c>
      <c r="AK690" s="106">
        <v>45475.63549054398</v>
      </c>
      <c r="AL690" s="1" t="s">
        <v>4790</v>
      </c>
      <c r="AM690" s="42">
        <f>IFERROR(INDEX('Public procurment'!A:R,MATCH(ListOfExpenditure[[#This Row],[Content.contractId]],'Public procurment'!E:E,0),14),0)</f>
        <v>0</v>
      </c>
      <c r="AN690" s="2">
        <f>IF(AND(ListOfExpenditure[[#This Row],[Contract amount]]&gt;10000,ListOfExpenditure[[#This Row],[Content.declaredAmount]]&gt;2000),1,0)</f>
        <v>0</v>
      </c>
      <c r="AO690">
        <f>IFERROR(INDEX('Public procurment'!A:S,MATCH(ListOfExpenditure[[#This Row],[Content.contractId]],'Public procurment'!E:E,0),19),0)</f>
        <v>0</v>
      </c>
      <c r="AP690">
        <f>IF(ListOfExpenditure[[#This Row],[Numero di volte controllato il contract ]]&gt;0,0,ListOfExpenditure[[#This Row],[IF public procurment &gt;10000;1;0]])</f>
        <v>0</v>
      </c>
    </row>
    <row r="691" spans="1:42" x14ac:dyDescent="0.25">
      <c r="A691">
        <v>1563</v>
      </c>
      <c r="B691">
        <v>17</v>
      </c>
      <c r="E691" t="s">
        <v>4786</v>
      </c>
      <c r="F691" t="b">
        <v>0</v>
      </c>
      <c r="I691" t="s">
        <v>5448</v>
      </c>
      <c r="K691" t="s">
        <v>5348</v>
      </c>
      <c r="L691" t="s">
        <v>5430</v>
      </c>
      <c r="M691" t="s">
        <v>4788</v>
      </c>
      <c r="N691" t="s">
        <v>4788</v>
      </c>
      <c r="O691">
        <v>2860.01</v>
      </c>
      <c r="Q691">
        <v>0</v>
      </c>
      <c r="R691">
        <v>0</v>
      </c>
      <c r="S691">
        <v>671.95</v>
      </c>
      <c r="T691" t="s">
        <v>4789</v>
      </c>
      <c r="U691">
        <v>1</v>
      </c>
      <c r="V691">
        <v>671.95</v>
      </c>
      <c r="Y691" t="b">
        <v>1</v>
      </c>
      <c r="Z691" t="b">
        <v>0</v>
      </c>
      <c r="AA691">
        <v>671.95</v>
      </c>
      <c r="AB691">
        <v>0</v>
      </c>
      <c r="AD691" t="b">
        <v>0</v>
      </c>
      <c r="AG691" s="1" t="s">
        <v>59</v>
      </c>
      <c r="AH691" s="1" t="s">
        <v>69</v>
      </c>
      <c r="AI691">
        <v>325</v>
      </c>
      <c r="AJ691">
        <v>244</v>
      </c>
      <c r="AK691" s="106">
        <v>45475.63549054398</v>
      </c>
      <c r="AL691" s="1" t="s">
        <v>4790</v>
      </c>
      <c r="AM691" s="42">
        <f>IFERROR(INDEX('Public procurment'!A:R,MATCH(ListOfExpenditure[[#This Row],[Content.contractId]],'Public procurment'!E:E,0),14),0)</f>
        <v>0</v>
      </c>
      <c r="AN691" s="2">
        <f>IF(AND(ListOfExpenditure[[#This Row],[Contract amount]]&gt;10000,ListOfExpenditure[[#This Row],[Content.declaredAmount]]&gt;2000),1,0)</f>
        <v>0</v>
      </c>
      <c r="AO691">
        <f>IFERROR(INDEX('Public procurment'!A:S,MATCH(ListOfExpenditure[[#This Row],[Content.contractId]],'Public procurment'!E:E,0),19),0)</f>
        <v>0</v>
      </c>
      <c r="AP691">
        <f>IF(ListOfExpenditure[[#This Row],[Numero di volte controllato il contract ]]&gt;0,0,ListOfExpenditure[[#This Row],[IF public procurment &gt;10000;1;0]])</f>
        <v>0</v>
      </c>
    </row>
    <row r="692" spans="1:42" x14ac:dyDescent="0.25">
      <c r="A692">
        <v>1564</v>
      </c>
      <c r="B692">
        <v>18</v>
      </c>
      <c r="E692" t="s">
        <v>4786</v>
      </c>
      <c r="F692" t="b">
        <v>0</v>
      </c>
      <c r="I692" t="s">
        <v>5449</v>
      </c>
      <c r="K692" t="s">
        <v>5432</v>
      </c>
      <c r="L692" t="s">
        <v>5357</v>
      </c>
      <c r="M692" t="s">
        <v>4788</v>
      </c>
      <c r="N692" t="s">
        <v>4788</v>
      </c>
      <c r="O692">
        <v>2860.01</v>
      </c>
      <c r="Q692">
        <v>0</v>
      </c>
      <c r="R692">
        <v>0</v>
      </c>
      <c r="S692">
        <v>671.95</v>
      </c>
      <c r="T692" t="s">
        <v>4789</v>
      </c>
      <c r="U692">
        <v>1</v>
      </c>
      <c r="V692">
        <v>671.95</v>
      </c>
      <c r="Y692" t="b">
        <v>1</v>
      </c>
      <c r="Z692" t="b">
        <v>0</v>
      </c>
      <c r="AA692">
        <v>671.95</v>
      </c>
      <c r="AB692">
        <v>0</v>
      </c>
      <c r="AD692" t="b">
        <v>0</v>
      </c>
      <c r="AG692" s="1" t="s">
        <v>59</v>
      </c>
      <c r="AH692" s="1" t="s">
        <v>69</v>
      </c>
      <c r="AI692">
        <v>325</v>
      </c>
      <c r="AJ692">
        <v>244</v>
      </c>
      <c r="AK692" s="106">
        <v>45475.63549054398</v>
      </c>
      <c r="AL692" s="1" t="s">
        <v>4790</v>
      </c>
      <c r="AM692" s="42">
        <f>IFERROR(INDEX('Public procurment'!A:R,MATCH(ListOfExpenditure[[#This Row],[Content.contractId]],'Public procurment'!E:E,0),14),0)</f>
        <v>0</v>
      </c>
      <c r="AN692" s="2">
        <f>IF(AND(ListOfExpenditure[[#This Row],[Contract amount]]&gt;10000,ListOfExpenditure[[#This Row],[Content.declaredAmount]]&gt;2000),1,0)</f>
        <v>0</v>
      </c>
      <c r="AO692">
        <f>IFERROR(INDEX('Public procurment'!A:S,MATCH(ListOfExpenditure[[#This Row],[Content.contractId]],'Public procurment'!E:E,0),19),0)</f>
        <v>0</v>
      </c>
      <c r="AP692">
        <f>IF(ListOfExpenditure[[#This Row],[Numero di volte controllato il contract ]]&gt;0,0,ListOfExpenditure[[#This Row],[IF public procurment &gt;10000;1;0]])</f>
        <v>0</v>
      </c>
    </row>
    <row r="693" spans="1:42" x14ac:dyDescent="0.25">
      <c r="A693">
        <v>1565</v>
      </c>
      <c r="B693">
        <v>19</v>
      </c>
      <c r="E693" t="s">
        <v>4786</v>
      </c>
      <c r="F693" t="b">
        <v>0</v>
      </c>
      <c r="I693" t="s">
        <v>5445</v>
      </c>
      <c r="K693" t="s">
        <v>5434</v>
      </c>
      <c r="L693" t="s">
        <v>5435</v>
      </c>
      <c r="M693" t="s">
        <v>4788</v>
      </c>
      <c r="N693" t="s">
        <v>4788</v>
      </c>
      <c r="O693">
        <v>2860.01</v>
      </c>
      <c r="Q693">
        <v>0</v>
      </c>
      <c r="R693">
        <v>0</v>
      </c>
      <c r="S693">
        <v>671.95</v>
      </c>
      <c r="T693" t="s">
        <v>4789</v>
      </c>
      <c r="U693">
        <v>1</v>
      </c>
      <c r="V693">
        <v>671.95</v>
      </c>
      <c r="Y693" t="b">
        <v>1</v>
      </c>
      <c r="Z693" t="b">
        <v>0</v>
      </c>
      <c r="AA693">
        <v>671.95</v>
      </c>
      <c r="AB693">
        <v>0</v>
      </c>
      <c r="AD693" t="b">
        <v>0</v>
      </c>
      <c r="AG693" s="1" t="s">
        <v>59</v>
      </c>
      <c r="AH693" s="1" t="s">
        <v>69</v>
      </c>
      <c r="AI693">
        <v>325</v>
      </c>
      <c r="AJ693">
        <v>244</v>
      </c>
      <c r="AK693" s="106">
        <v>45475.63549054398</v>
      </c>
      <c r="AL693" s="1" t="s">
        <v>4790</v>
      </c>
      <c r="AM693" s="42">
        <f>IFERROR(INDEX('Public procurment'!A:R,MATCH(ListOfExpenditure[[#This Row],[Content.contractId]],'Public procurment'!E:E,0),14),0)</f>
        <v>0</v>
      </c>
      <c r="AN693" s="2">
        <f>IF(AND(ListOfExpenditure[[#This Row],[Contract amount]]&gt;10000,ListOfExpenditure[[#This Row],[Content.declaredAmount]]&gt;2000),1,0)</f>
        <v>0</v>
      </c>
      <c r="AO693">
        <f>IFERROR(INDEX('Public procurment'!A:S,MATCH(ListOfExpenditure[[#This Row],[Content.contractId]],'Public procurment'!E:E,0),19),0)</f>
        <v>0</v>
      </c>
      <c r="AP693">
        <f>IF(ListOfExpenditure[[#This Row],[Numero di volte controllato il contract ]]&gt;0,0,ListOfExpenditure[[#This Row],[IF public procurment &gt;10000;1;0]])</f>
        <v>0</v>
      </c>
    </row>
    <row r="694" spans="1:42" x14ac:dyDescent="0.25">
      <c r="A694">
        <v>1566</v>
      </c>
      <c r="B694">
        <v>20</v>
      </c>
      <c r="E694" t="s">
        <v>4786</v>
      </c>
      <c r="F694" t="b">
        <v>0</v>
      </c>
      <c r="I694" t="s">
        <v>5450</v>
      </c>
      <c r="K694" t="s">
        <v>5437</v>
      </c>
      <c r="L694" t="s">
        <v>4950</v>
      </c>
      <c r="M694" t="s">
        <v>4788</v>
      </c>
      <c r="N694" t="s">
        <v>4788</v>
      </c>
      <c r="O694">
        <v>2860.01</v>
      </c>
      <c r="Q694">
        <v>0</v>
      </c>
      <c r="R694">
        <v>0</v>
      </c>
      <c r="S694">
        <v>671.95</v>
      </c>
      <c r="T694" t="s">
        <v>4789</v>
      </c>
      <c r="U694">
        <v>1</v>
      </c>
      <c r="V694">
        <v>671.95</v>
      </c>
      <c r="Y694" t="b">
        <v>1</v>
      </c>
      <c r="Z694" t="b">
        <v>0</v>
      </c>
      <c r="AA694">
        <v>671.95</v>
      </c>
      <c r="AB694">
        <v>0</v>
      </c>
      <c r="AD694" t="b">
        <v>0</v>
      </c>
      <c r="AG694" s="1" t="s">
        <v>59</v>
      </c>
      <c r="AH694" s="1" t="s">
        <v>69</v>
      </c>
      <c r="AI694">
        <v>325</v>
      </c>
      <c r="AJ694">
        <v>244</v>
      </c>
      <c r="AK694" s="106">
        <v>45475.63549054398</v>
      </c>
      <c r="AL694" s="1" t="s">
        <v>4790</v>
      </c>
      <c r="AM694" s="42">
        <f>IFERROR(INDEX('Public procurment'!A:R,MATCH(ListOfExpenditure[[#This Row],[Content.contractId]],'Public procurment'!E:E,0),14),0)</f>
        <v>0</v>
      </c>
      <c r="AN694" s="2">
        <f>IF(AND(ListOfExpenditure[[#This Row],[Contract amount]]&gt;10000,ListOfExpenditure[[#This Row],[Content.declaredAmount]]&gt;2000),1,0)</f>
        <v>0</v>
      </c>
      <c r="AO694">
        <f>IFERROR(INDEX('Public procurment'!A:S,MATCH(ListOfExpenditure[[#This Row],[Content.contractId]],'Public procurment'!E:E,0),19),0)</f>
        <v>0</v>
      </c>
      <c r="AP694">
        <f>IF(ListOfExpenditure[[#This Row],[Numero di volte controllato il contract ]]&gt;0,0,ListOfExpenditure[[#This Row],[IF public procurment &gt;10000;1;0]])</f>
        <v>0</v>
      </c>
    </row>
    <row r="695" spans="1:42" x14ac:dyDescent="0.25">
      <c r="A695">
        <v>1567</v>
      </c>
      <c r="B695">
        <v>21</v>
      </c>
      <c r="E695" t="s">
        <v>4786</v>
      </c>
      <c r="F695" t="b">
        <v>0</v>
      </c>
      <c r="I695" t="s">
        <v>5451</v>
      </c>
      <c r="K695" t="s">
        <v>5036</v>
      </c>
      <c r="L695" t="s">
        <v>4455</v>
      </c>
      <c r="M695" t="s">
        <v>4788</v>
      </c>
      <c r="N695" t="s">
        <v>4788</v>
      </c>
      <c r="O695">
        <v>2860.01</v>
      </c>
      <c r="Q695">
        <v>0</v>
      </c>
      <c r="R695">
        <v>0</v>
      </c>
      <c r="S695">
        <v>671.95</v>
      </c>
      <c r="T695" t="s">
        <v>4789</v>
      </c>
      <c r="U695">
        <v>1</v>
      </c>
      <c r="V695">
        <v>671.95</v>
      </c>
      <c r="Y695" t="b">
        <v>1</v>
      </c>
      <c r="Z695" t="b">
        <v>0</v>
      </c>
      <c r="AA695">
        <v>671.95</v>
      </c>
      <c r="AB695">
        <v>0</v>
      </c>
      <c r="AD695" t="b">
        <v>0</v>
      </c>
      <c r="AG695" s="1" t="s">
        <v>59</v>
      </c>
      <c r="AH695" s="1" t="s">
        <v>69</v>
      </c>
      <c r="AI695">
        <v>325</v>
      </c>
      <c r="AJ695">
        <v>244</v>
      </c>
      <c r="AK695" s="106">
        <v>45475.63549054398</v>
      </c>
      <c r="AL695" s="1" t="s">
        <v>4790</v>
      </c>
      <c r="AM695" s="42">
        <f>IFERROR(INDEX('Public procurment'!A:R,MATCH(ListOfExpenditure[[#This Row],[Content.contractId]],'Public procurment'!E:E,0),14),0)</f>
        <v>0</v>
      </c>
      <c r="AN695" s="2">
        <f>IF(AND(ListOfExpenditure[[#This Row],[Contract amount]]&gt;10000,ListOfExpenditure[[#This Row],[Content.declaredAmount]]&gt;2000),1,0)</f>
        <v>0</v>
      </c>
      <c r="AO695">
        <f>IFERROR(INDEX('Public procurment'!A:S,MATCH(ListOfExpenditure[[#This Row],[Content.contractId]],'Public procurment'!E:E,0),19),0)</f>
        <v>0</v>
      </c>
      <c r="AP695">
        <f>IF(ListOfExpenditure[[#This Row],[Numero di volte controllato il contract ]]&gt;0,0,ListOfExpenditure[[#This Row],[IF public procurment &gt;10000;1;0]])</f>
        <v>0</v>
      </c>
    </row>
    <row r="696" spans="1:42" x14ac:dyDescent="0.25">
      <c r="A696">
        <v>1568</v>
      </c>
      <c r="B696">
        <v>22</v>
      </c>
      <c r="E696" t="s">
        <v>4786</v>
      </c>
      <c r="F696" t="b">
        <v>0</v>
      </c>
      <c r="I696" t="s">
        <v>5452</v>
      </c>
      <c r="K696" t="s">
        <v>5440</v>
      </c>
      <c r="L696" t="s">
        <v>5033</v>
      </c>
      <c r="M696" t="s">
        <v>4788</v>
      </c>
      <c r="N696" t="s">
        <v>4788</v>
      </c>
      <c r="O696">
        <v>2860.01</v>
      </c>
      <c r="Q696">
        <v>0</v>
      </c>
      <c r="R696">
        <v>0</v>
      </c>
      <c r="S696">
        <v>671.95</v>
      </c>
      <c r="T696" t="s">
        <v>4789</v>
      </c>
      <c r="U696">
        <v>1</v>
      </c>
      <c r="V696">
        <v>671.95</v>
      </c>
      <c r="Y696" t="b">
        <v>1</v>
      </c>
      <c r="Z696" t="b">
        <v>0</v>
      </c>
      <c r="AA696">
        <v>671.95</v>
      </c>
      <c r="AB696">
        <v>0</v>
      </c>
      <c r="AD696" t="b">
        <v>0</v>
      </c>
      <c r="AG696" s="1" t="s">
        <v>59</v>
      </c>
      <c r="AH696" s="1" t="s">
        <v>69</v>
      </c>
      <c r="AI696">
        <v>325</v>
      </c>
      <c r="AJ696">
        <v>244</v>
      </c>
      <c r="AK696" s="106">
        <v>45475.63549054398</v>
      </c>
      <c r="AL696" s="1" t="s">
        <v>4790</v>
      </c>
      <c r="AM696" s="42">
        <f>IFERROR(INDEX('Public procurment'!A:R,MATCH(ListOfExpenditure[[#This Row],[Content.contractId]],'Public procurment'!E:E,0),14),0)</f>
        <v>0</v>
      </c>
      <c r="AN696" s="2">
        <f>IF(AND(ListOfExpenditure[[#This Row],[Contract amount]]&gt;10000,ListOfExpenditure[[#This Row],[Content.declaredAmount]]&gt;2000),1,0)</f>
        <v>0</v>
      </c>
      <c r="AO696">
        <f>IFERROR(INDEX('Public procurment'!A:S,MATCH(ListOfExpenditure[[#This Row],[Content.contractId]],'Public procurment'!E:E,0),19),0)</f>
        <v>0</v>
      </c>
      <c r="AP696">
        <f>IF(ListOfExpenditure[[#This Row],[Numero di volte controllato il contract ]]&gt;0,0,ListOfExpenditure[[#This Row],[IF public procurment &gt;10000;1;0]])</f>
        <v>0</v>
      </c>
    </row>
    <row r="697" spans="1:42" x14ac:dyDescent="0.25">
      <c r="A697">
        <v>1569</v>
      </c>
      <c r="B697">
        <v>23</v>
      </c>
      <c r="E697" t="s">
        <v>4786</v>
      </c>
      <c r="F697" t="b">
        <v>0</v>
      </c>
      <c r="I697" t="s">
        <v>5453</v>
      </c>
      <c r="K697" t="s">
        <v>5442</v>
      </c>
      <c r="L697" t="s">
        <v>5115</v>
      </c>
      <c r="M697" t="s">
        <v>4788</v>
      </c>
      <c r="N697" t="s">
        <v>4788</v>
      </c>
      <c r="O697">
        <v>2860.01</v>
      </c>
      <c r="Q697">
        <v>0</v>
      </c>
      <c r="R697">
        <v>0</v>
      </c>
      <c r="S697">
        <v>671.95</v>
      </c>
      <c r="T697" t="s">
        <v>4789</v>
      </c>
      <c r="U697">
        <v>1</v>
      </c>
      <c r="V697">
        <v>671.95</v>
      </c>
      <c r="Y697" t="b">
        <v>1</v>
      </c>
      <c r="Z697" t="b">
        <v>0</v>
      </c>
      <c r="AA697">
        <v>671.95</v>
      </c>
      <c r="AB697">
        <v>0</v>
      </c>
      <c r="AD697" t="b">
        <v>0</v>
      </c>
      <c r="AG697" s="1" t="s">
        <v>59</v>
      </c>
      <c r="AH697" s="1" t="s">
        <v>69</v>
      </c>
      <c r="AI697">
        <v>325</v>
      </c>
      <c r="AJ697">
        <v>244</v>
      </c>
      <c r="AK697" s="106">
        <v>45475.63549054398</v>
      </c>
      <c r="AL697" s="1" t="s">
        <v>4790</v>
      </c>
      <c r="AM697" s="42">
        <f>IFERROR(INDEX('Public procurment'!A:R,MATCH(ListOfExpenditure[[#This Row],[Content.contractId]],'Public procurment'!E:E,0),14),0)</f>
        <v>0</v>
      </c>
      <c r="AN697" s="2">
        <f>IF(AND(ListOfExpenditure[[#This Row],[Contract amount]]&gt;10000,ListOfExpenditure[[#This Row],[Content.declaredAmount]]&gt;2000),1,0)</f>
        <v>0</v>
      </c>
      <c r="AO697">
        <f>IFERROR(INDEX('Public procurment'!A:S,MATCH(ListOfExpenditure[[#This Row],[Content.contractId]],'Public procurment'!E:E,0),19),0)</f>
        <v>0</v>
      </c>
      <c r="AP697">
        <f>IF(ListOfExpenditure[[#This Row],[Numero di volte controllato il contract ]]&gt;0,0,ListOfExpenditure[[#This Row],[IF public procurment &gt;10000;1;0]])</f>
        <v>0</v>
      </c>
    </row>
    <row r="698" spans="1:42" x14ac:dyDescent="0.25">
      <c r="A698">
        <v>1572</v>
      </c>
      <c r="B698">
        <v>24</v>
      </c>
      <c r="E698" t="s">
        <v>4786</v>
      </c>
      <c r="F698" t="b">
        <v>0</v>
      </c>
      <c r="I698" t="s">
        <v>5454</v>
      </c>
      <c r="K698" t="s">
        <v>5250</v>
      </c>
      <c r="L698" t="s">
        <v>4932</v>
      </c>
      <c r="M698" t="s">
        <v>4788</v>
      </c>
      <c r="N698" t="s">
        <v>4788</v>
      </c>
      <c r="O698">
        <v>5379.73</v>
      </c>
      <c r="Q698">
        <v>0</v>
      </c>
      <c r="R698">
        <v>0</v>
      </c>
      <c r="S698">
        <v>671.95</v>
      </c>
      <c r="T698" t="s">
        <v>4789</v>
      </c>
      <c r="U698">
        <v>1</v>
      </c>
      <c r="V698">
        <v>671.95</v>
      </c>
      <c r="Y698" t="b">
        <v>1</v>
      </c>
      <c r="Z698" t="b">
        <v>0</v>
      </c>
      <c r="AA698">
        <v>671.95</v>
      </c>
      <c r="AB698">
        <v>0</v>
      </c>
      <c r="AD698" t="b">
        <v>0</v>
      </c>
      <c r="AG698" s="1" t="s">
        <v>59</v>
      </c>
      <c r="AH698" s="1" t="s">
        <v>69</v>
      </c>
      <c r="AI698">
        <v>325</v>
      </c>
      <c r="AJ698">
        <v>244</v>
      </c>
      <c r="AK698" s="106">
        <v>45475.63549054398</v>
      </c>
      <c r="AL698" s="1" t="s">
        <v>4790</v>
      </c>
      <c r="AM698" s="42">
        <f>IFERROR(INDEX('Public procurment'!A:R,MATCH(ListOfExpenditure[[#This Row],[Content.contractId]],'Public procurment'!E:E,0),14),0)</f>
        <v>0</v>
      </c>
      <c r="AN698" s="2">
        <f>IF(AND(ListOfExpenditure[[#This Row],[Contract amount]]&gt;10000,ListOfExpenditure[[#This Row],[Content.declaredAmount]]&gt;2000),1,0)</f>
        <v>0</v>
      </c>
      <c r="AO698">
        <f>IFERROR(INDEX('Public procurment'!A:S,MATCH(ListOfExpenditure[[#This Row],[Content.contractId]],'Public procurment'!E:E,0),19),0)</f>
        <v>0</v>
      </c>
      <c r="AP698">
        <f>IF(ListOfExpenditure[[#This Row],[Numero di volte controllato il contract ]]&gt;0,0,ListOfExpenditure[[#This Row],[IF public procurment &gt;10000;1;0]])</f>
        <v>0</v>
      </c>
    </row>
    <row r="699" spans="1:42" x14ac:dyDescent="0.25">
      <c r="A699">
        <v>1594</v>
      </c>
      <c r="B699">
        <v>25</v>
      </c>
      <c r="E699" t="s">
        <v>4786</v>
      </c>
      <c r="F699" t="b">
        <v>0</v>
      </c>
      <c r="I699" t="s">
        <v>5455</v>
      </c>
      <c r="K699" t="s">
        <v>5419</v>
      </c>
      <c r="L699" t="s">
        <v>5420</v>
      </c>
      <c r="M699" t="s">
        <v>4788</v>
      </c>
      <c r="N699" t="s">
        <v>4788</v>
      </c>
      <c r="O699">
        <v>3432</v>
      </c>
      <c r="Q699">
        <v>0</v>
      </c>
      <c r="R699">
        <v>0</v>
      </c>
      <c r="S699">
        <v>705.5</v>
      </c>
      <c r="T699" t="s">
        <v>4789</v>
      </c>
      <c r="U699">
        <v>1</v>
      </c>
      <c r="V699">
        <v>705.5</v>
      </c>
      <c r="Y699" t="b">
        <v>1</v>
      </c>
      <c r="Z699" t="b">
        <v>0</v>
      </c>
      <c r="AA699">
        <v>705.5</v>
      </c>
      <c r="AB699">
        <v>0</v>
      </c>
      <c r="AD699" t="b">
        <v>0</v>
      </c>
      <c r="AG699" s="1" t="s">
        <v>59</v>
      </c>
      <c r="AH699" s="1" t="s">
        <v>69</v>
      </c>
      <c r="AI699">
        <v>325</v>
      </c>
      <c r="AJ699">
        <v>244</v>
      </c>
      <c r="AK699" s="106">
        <v>45475.63549054398</v>
      </c>
      <c r="AL699" s="1" t="s">
        <v>4790</v>
      </c>
      <c r="AM699" s="42">
        <f>IFERROR(INDEX('Public procurment'!A:R,MATCH(ListOfExpenditure[[#This Row],[Content.contractId]],'Public procurment'!E:E,0),14),0)</f>
        <v>0</v>
      </c>
      <c r="AN699" s="2">
        <f>IF(AND(ListOfExpenditure[[#This Row],[Contract amount]]&gt;10000,ListOfExpenditure[[#This Row],[Content.declaredAmount]]&gt;2000),1,0)</f>
        <v>0</v>
      </c>
      <c r="AO699">
        <f>IFERROR(INDEX('Public procurment'!A:S,MATCH(ListOfExpenditure[[#This Row],[Content.contractId]],'Public procurment'!E:E,0),19),0)</f>
        <v>0</v>
      </c>
      <c r="AP699">
        <f>IF(ListOfExpenditure[[#This Row],[Numero di volte controllato il contract ]]&gt;0,0,ListOfExpenditure[[#This Row],[IF public procurment &gt;10000;1;0]])</f>
        <v>0</v>
      </c>
    </row>
    <row r="700" spans="1:42" x14ac:dyDescent="0.25">
      <c r="A700">
        <v>1595</v>
      </c>
      <c r="B700">
        <v>26</v>
      </c>
      <c r="E700" t="s">
        <v>4786</v>
      </c>
      <c r="F700" t="b">
        <v>0</v>
      </c>
      <c r="I700" t="s">
        <v>5456</v>
      </c>
      <c r="K700" t="s">
        <v>4864</v>
      </c>
      <c r="L700" t="s">
        <v>5422</v>
      </c>
      <c r="M700" t="s">
        <v>4788</v>
      </c>
      <c r="N700" t="s">
        <v>4788</v>
      </c>
      <c r="O700">
        <v>3432</v>
      </c>
      <c r="Q700">
        <v>0</v>
      </c>
      <c r="R700">
        <v>0</v>
      </c>
      <c r="S700">
        <v>705.5</v>
      </c>
      <c r="T700" t="s">
        <v>4789</v>
      </c>
      <c r="U700">
        <v>1</v>
      </c>
      <c r="V700">
        <v>705.5</v>
      </c>
      <c r="Y700" t="b">
        <v>1</v>
      </c>
      <c r="Z700" t="b">
        <v>0</v>
      </c>
      <c r="AA700">
        <v>705.5</v>
      </c>
      <c r="AB700">
        <v>0</v>
      </c>
      <c r="AD700" t="b">
        <v>0</v>
      </c>
      <c r="AG700" s="1" t="s">
        <v>59</v>
      </c>
      <c r="AH700" s="1" t="s">
        <v>69</v>
      </c>
      <c r="AI700">
        <v>325</v>
      </c>
      <c r="AJ700">
        <v>244</v>
      </c>
      <c r="AK700" s="106">
        <v>45475.63549054398</v>
      </c>
      <c r="AL700" s="1" t="s">
        <v>4790</v>
      </c>
      <c r="AM700" s="42">
        <f>IFERROR(INDEX('Public procurment'!A:R,MATCH(ListOfExpenditure[[#This Row],[Content.contractId]],'Public procurment'!E:E,0),14),0)</f>
        <v>0</v>
      </c>
      <c r="AN700" s="2">
        <f>IF(AND(ListOfExpenditure[[#This Row],[Contract amount]]&gt;10000,ListOfExpenditure[[#This Row],[Content.declaredAmount]]&gt;2000),1,0)</f>
        <v>0</v>
      </c>
      <c r="AO700">
        <f>IFERROR(INDEX('Public procurment'!A:S,MATCH(ListOfExpenditure[[#This Row],[Content.contractId]],'Public procurment'!E:E,0),19),0)</f>
        <v>0</v>
      </c>
      <c r="AP700">
        <f>IF(ListOfExpenditure[[#This Row],[Numero di volte controllato il contract ]]&gt;0,0,ListOfExpenditure[[#This Row],[IF public procurment &gt;10000;1;0]])</f>
        <v>0</v>
      </c>
    </row>
    <row r="701" spans="1:42" x14ac:dyDescent="0.25">
      <c r="A701">
        <v>1596</v>
      </c>
      <c r="B701">
        <v>27</v>
      </c>
      <c r="E701" t="s">
        <v>4786</v>
      </c>
      <c r="F701" t="b">
        <v>0</v>
      </c>
      <c r="I701" t="s">
        <v>5457</v>
      </c>
      <c r="K701" t="s">
        <v>5424</v>
      </c>
      <c r="L701" t="s">
        <v>5425</v>
      </c>
      <c r="M701" t="s">
        <v>4788</v>
      </c>
      <c r="N701" t="s">
        <v>4788</v>
      </c>
      <c r="O701">
        <v>3432</v>
      </c>
      <c r="Q701">
        <v>0</v>
      </c>
      <c r="R701">
        <v>0</v>
      </c>
      <c r="S701">
        <v>705.5</v>
      </c>
      <c r="T701" t="s">
        <v>4789</v>
      </c>
      <c r="U701">
        <v>1</v>
      </c>
      <c r="V701">
        <v>705.5</v>
      </c>
      <c r="Y701" t="b">
        <v>1</v>
      </c>
      <c r="Z701" t="b">
        <v>0</v>
      </c>
      <c r="AA701">
        <v>705.5</v>
      </c>
      <c r="AB701">
        <v>0</v>
      </c>
      <c r="AD701" t="b">
        <v>0</v>
      </c>
      <c r="AG701" s="1" t="s">
        <v>59</v>
      </c>
      <c r="AH701" s="1" t="s">
        <v>69</v>
      </c>
      <c r="AI701">
        <v>325</v>
      </c>
      <c r="AJ701">
        <v>244</v>
      </c>
      <c r="AK701" s="106">
        <v>45475.63549054398</v>
      </c>
      <c r="AL701" s="1" t="s">
        <v>4790</v>
      </c>
      <c r="AM701" s="42">
        <f>IFERROR(INDEX('Public procurment'!A:R,MATCH(ListOfExpenditure[[#This Row],[Content.contractId]],'Public procurment'!E:E,0),14),0)</f>
        <v>0</v>
      </c>
      <c r="AN701" s="2">
        <f>IF(AND(ListOfExpenditure[[#This Row],[Contract amount]]&gt;10000,ListOfExpenditure[[#This Row],[Content.declaredAmount]]&gt;2000),1,0)</f>
        <v>0</v>
      </c>
      <c r="AO701">
        <f>IFERROR(INDEX('Public procurment'!A:S,MATCH(ListOfExpenditure[[#This Row],[Content.contractId]],'Public procurment'!E:E,0),19),0)</f>
        <v>0</v>
      </c>
      <c r="AP701">
        <f>IF(ListOfExpenditure[[#This Row],[Numero di volte controllato il contract ]]&gt;0,0,ListOfExpenditure[[#This Row],[IF public procurment &gt;10000;1;0]])</f>
        <v>0</v>
      </c>
    </row>
    <row r="702" spans="1:42" x14ac:dyDescent="0.25">
      <c r="A702">
        <v>1597</v>
      </c>
      <c r="B702">
        <v>28</v>
      </c>
      <c r="E702" t="s">
        <v>4786</v>
      </c>
      <c r="F702" t="b">
        <v>0</v>
      </c>
      <c r="I702" t="s">
        <v>5458</v>
      </c>
      <c r="K702" t="s">
        <v>5427</v>
      </c>
      <c r="L702" t="s">
        <v>5428</v>
      </c>
      <c r="M702" t="s">
        <v>4788</v>
      </c>
      <c r="N702" t="s">
        <v>4788</v>
      </c>
      <c r="O702">
        <v>3432</v>
      </c>
      <c r="Q702">
        <v>0</v>
      </c>
      <c r="R702">
        <v>0</v>
      </c>
      <c r="S702">
        <v>705.5</v>
      </c>
      <c r="T702" t="s">
        <v>4789</v>
      </c>
      <c r="U702">
        <v>1</v>
      </c>
      <c r="V702">
        <v>705.5</v>
      </c>
      <c r="Y702" t="b">
        <v>1</v>
      </c>
      <c r="Z702" t="b">
        <v>0</v>
      </c>
      <c r="AA702">
        <v>705.5</v>
      </c>
      <c r="AB702">
        <v>0</v>
      </c>
      <c r="AD702" t="b">
        <v>0</v>
      </c>
      <c r="AG702" s="1" t="s">
        <v>59</v>
      </c>
      <c r="AH702" s="1" t="s">
        <v>69</v>
      </c>
      <c r="AI702">
        <v>325</v>
      </c>
      <c r="AJ702">
        <v>244</v>
      </c>
      <c r="AK702" s="106">
        <v>45475.63549054398</v>
      </c>
      <c r="AL702" s="1" t="s">
        <v>4790</v>
      </c>
      <c r="AM702" s="42">
        <f>IFERROR(INDEX('Public procurment'!A:R,MATCH(ListOfExpenditure[[#This Row],[Content.contractId]],'Public procurment'!E:E,0),14),0)</f>
        <v>0</v>
      </c>
      <c r="AN702" s="2">
        <f>IF(AND(ListOfExpenditure[[#This Row],[Contract amount]]&gt;10000,ListOfExpenditure[[#This Row],[Content.declaredAmount]]&gt;2000),1,0)</f>
        <v>0</v>
      </c>
      <c r="AO702">
        <f>IFERROR(INDEX('Public procurment'!A:S,MATCH(ListOfExpenditure[[#This Row],[Content.contractId]],'Public procurment'!E:E,0),19),0)</f>
        <v>0</v>
      </c>
      <c r="AP702">
        <f>IF(ListOfExpenditure[[#This Row],[Numero di volte controllato il contract ]]&gt;0,0,ListOfExpenditure[[#This Row],[IF public procurment &gt;10000;1;0]])</f>
        <v>0</v>
      </c>
    </row>
    <row r="703" spans="1:42" x14ac:dyDescent="0.25">
      <c r="A703">
        <v>1598</v>
      </c>
      <c r="B703">
        <v>29</v>
      </c>
      <c r="E703" t="s">
        <v>4786</v>
      </c>
      <c r="F703" t="b">
        <v>0</v>
      </c>
      <c r="I703" t="s">
        <v>5459</v>
      </c>
      <c r="K703" t="s">
        <v>5348</v>
      </c>
      <c r="L703" t="s">
        <v>5430</v>
      </c>
      <c r="M703" t="s">
        <v>4788</v>
      </c>
      <c r="N703" t="s">
        <v>4788</v>
      </c>
      <c r="O703">
        <v>3432</v>
      </c>
      <c r="Q703">
        <v>0</v>
      </c>
      <c r="R703">
        <v>0</v>
      </c>
      <c r="S703">
        <v>705.5</v>
      </c>
      <c r="T703" t="s">
        <v>4789</v>
      </c>
      <c r="U703">
        <v>1</v>
      </c>
      <c r="V703">
        <v>705.5</v>
      </c>
      <c r="Y703" t="b">
        <v>1</v>
      </c>
      <c r="Z703" t="b">
        <v>0</v>
      </c>
      <c r="AA703">
        <v>705.5</v>
      </c>
      <c r="AB703">
        <v>0</v>
      </c>
      <c r="AD703" t="b">
        <v>0</v>
      </c>
      <c r="AG703" s="1" t="s">
        <v>59</v>
      </c>
      <c r="AH703" s="1" t="s">
        <v>69</v>
      </c>
      <c r="AI703">
        <v>325</v>
      </c>
      <c r="AJ703">
        <v>244</v>
      </c>
      <c r="AK703" s="106">
        <v>45475.63549054398</v>
      </c>
      <c r="AL703" s="1" t="s">
        <v>4790</v>
      </c>
      <c r="AM703" s="42">
        <f>IFERROR(INDEX('Public procurment'!A:R,MATCH(ListOfExpenditure[[#This Row],[Content.contractId]],'Public procurment'!E:E,0),14),0)</f>
        <v>0</v>
      </c>
      <c r="AN703" s="2">
        <f>IF(AND(ListOfExpenditure[[#This Row],[Contract amount]]&gt;10000,ListOfExpenditure[[#This Row],[Content.declaredAmount]]&gt;2000),1,0)</f>
        <v>0</v>
      </c>
      <c r="AO703">
        <f>IFERROR(INDEX('Public procurment'!A:S,MATCH(ListOfExpenditure[[#This Row],[Content.contractId]],'Public procurment'!E:E,0),19),0)</f>
        <v>0</v>
      </c>
      <c r="AP703">
        <f>IF(ListOfExpenditure[[#This Row],[Numero di volte controllato il contract ]]&gt;0,0,ListOfExpenditure[[#This Row],[IF public procurment &gt;10000;1;0]])</f>
        <v>0</v>
      </c>
    </row>
    <row r="704" spans="1:42" x14ac:dyDescent="0.25">
      <c r="A704">
        <v>1599</v>
      </c>
      <c r="B704">
        <v>30</v>
      </c>
      <c r="E704" t="s">
        <v>4786</v>
      </c>
      <c r="F704" t="b">
        <v>0</v>
      </c>
      <c r="I704" t="s">
        <v>5460</v>
      </c>
      <c r="K704" t="s">
        <v>5432</v>
      </c>
      <c r="L704" t="s">
        <v>5357</v>
      </c>
      <c r="M704" t="s">
        <v>4788</v>
      </c>
      <c r="N704" t="s">
        <v>4788</v>
      </c>
      <c r="O704">
        <v>3432</v>
      </c>
      <c r="Q704">
        <v>0</v>
      </c>
      <c r="R704">
        <v>0</v>
      </c>
      <c r="S704">
        <v>705.5</v>
      </c>
      <c r="T704" t="s">
        <v>4789</v>
      </c>
      <c r="U704">
        <v>1</v>
      </c>
      <c r="V704">
        <v>705.5</v>
      </c>
      <c r="Y704" t="b">
        <v>1</v>
      </c>
      <c r="Z704" t="b">
        <v>0</v>
      </c>
      <c r="AA704">
        <v>705.5</v>
      </c>
      <c r="AB704">
        <v>0</v>
      </c>
      <c r="AD704" t="b">
        <v>0</v>
      </c>
      <c r="AG704" s="1" t="s">
        <v>59</v>
      </c>
      <c r="AH704" s="1" t="s">
        <v>69</v>
      </c>
      <c r="AI704">
        <v>325</v>
      </c>
      <c r="AJ704">
        <v>244</v>
      </c>
      <c r="AK704" s="106">
        <v>45475.63549054398</v>
      </c>
      <c r="AL704" s="1" t="s">
        <v>4790</v>
      </c>
      <c r="AM704" s="42">
        <f>IFERROR(INDEX('Public procurment'!A:R,MATCH(ListOfExpenditure[[#This Row],[Content.contractId]],'Public procurment'!E:E,0),14),0)</f>
        <v>0</v>
      </c>
      <c r="AN704" s="2">
        <f>IF(AND(ListOfExpenditure[[#This Row],[Contract amount]]&gt;10000,ListOfExpenditure[[#This Row],[Content.declaredAmount]]&gt;2000),1,0)</f>
        <v>0</v>
      </c>
      <c r="AO704">
        <f>IFERROR(INDEX('Public procurment'!A:S,MATCH(ListOfExpenditure[[#This Row],[Content.contractId]],'Public procurment'!E:E,0),19),0)</f>
        <v>0</v>
      </c>
      <c r="AP704">
        <f>IF(ListOfExpenditure[[#This Row],[Numero di volte controllato il contract ]]&gt;0,0,ListOfExpenditure[[#This Row],[IF public procurment &gt;10000;1;0]])</f>
        <v>0</v>
      </c>
    </row>
    <row r="705" spans="1:42" x14ac:dyDescent="0.25">
      <c r="A705">
        <v>1600</v>
      </c>
      <c r="B705">
        <v>31</v>
      </c>
      <c r="E705" t="s">
        <v>4786</v>
      </c>
      <c r="F705" t="b">
        <v>0</v>
      </c>
      <c r="I705" t="s">
        <v>5461</v>
      </c>
      <c r="K705" t="s">
        <v>5434</v>
      </c>
      <c r="L705" t="s">
        <v>5435</v>
      </c>
      <c r="M705" t="s">
        <v>4788</v>
      </c>
      <c r="N705" t="s">
        <v>4788</v>
      </c>
      <c r="O705">
        <v>3432</v>
      </c>
      <c r="Q705">
        <v>0</v>
      </c>
      <c r="R705">
        <v>0</v>
      </c>
      <c r="S705">
        <v>705.5</v>
      </c>
      <c r="T705" t="s">
        <v>4789</v>
      </c>
      <c r="U705">
        <v>1</v>
      </c>
      <c r="V705">
        <v>705.5</v>
      </c>
      <c r="Y705" t="b">
        <v>1</v>
      </c>
      <c r="Z705" t="b">
        <v>0</v>
      </c>
      <c r="AA705">
        <v>705.5</v>
      </c>
      <c r="AB705">
        <v>0</v>
      </c>
      <c r="AD705" t="b">
        <v>0</v>
      </c>
      <c r="AG705" s="1" t="s">
        <v>59</v>
      </c>
      <c r="AH705" s="1" t="s">
        <v>69</v>
      </c>
      <c r="AI705">
        <v>325</v>
      </c>
      <c r="AJ705">
        <v>244</v>
      </c>
      <c r="AK705" s="106">
        <v>45475.63549054398</v>
      </c>
      <c r="AL705" s="1" t="s">
        <v>4790</v>
      </c>
      <c r="AM705" s="42">
        <f>IFERROR(INDEX('Public procurment'!A:R,MATCH(ListOfExpenditure[[#This Row],[Content.contractId]],'Public procurment'!E:E,0),14),0)</f>
        <v>0</v>
      </c>
      <c r="AN705" s="2">
        <f>IF(AND(ListOfExpenditure[[#This Row],[Contract amount]]&gt;10000,ListOfExpenditure[[#This Row],[Content.declaredAmount]]&gt;2000),1,0)</f>
        <v>0</v>
      </c>
      <c r="AO705">
        <f>IFERROR(INDEX('Public procurment'!A:S,MATCH(ListOfExpenditure[[#This Row],[Content.contractId]],'Public procurment'!E:E,0),19),0)</f>
        <v>0</v>
      </c>
      <c r="AP705">
        <f>IF(ListOfExpenditure[[#This Row],[Numero di volte controllato il contract ]]&gt;0,0,ListOfExpenditure[[#This Row],[IF public procurment &gt;10000;1;0]])</f>
        <v>0</v>
      </c>
    </row>
    <row r="706" spans="1:42" x14ac:dyDescent="0.25">
      <c r="A706">
        <v>1601</v>
      </c>
      <c r="B706">
        <v>32</v>
      </c>
      <c r="E706" t="s">
        <v>4786</v>
      </c>
      <c r="F706" t="b">
        <v>0</v>
      </c>
      <c r="I706" t="s">
        <v>5462</v>
      </c>
      <c r="K706" t="s">
        <v>5437</v>
      </c>
      <c r="L706" t="s">
        <v>4950</v>
      </c>
      <c r="M706" t="s">
        <v>4788</v>
      </c>
      <c r="N706" t="s">
        <v>4788</v>
      </c>
      <c r="O706">
        <v>3432</v>
      </c>
      <c r="Q706">
        <v>0</v>
      </c>
      <c r="R706">
        <v>0</v>
      </c>
      <c r="S706">
        <v>705.5</v>
      </c>
      <c r="T706" t="s">
        <v>4789</v>
      </c>
      <c r="U706">
        <v>1</v>
      </c>
      <c r="V706">
        <v>705.5</v>
      </c>
      <c r="Y706" t="b">
        <v>1</v>
      </c>
      <c r="Z706" t="b">
        <v>0</v>
      </c>
      <c r="AA706">
        <v>705.5</v>
      </c>
      <c r="AB706">
        <v>0</v>
      </c>
      <c r="AD706" t="b">
        <v>0</v>
      </c>
      <c r="AG706" s="1" t="s">
        <v>59</v>
      </c>
      <c r="AH706" s="1" t="s">
        <v>69</v>
      </c>
      <c r="AI706">
        <v>325</v>
      </c>
      <c r="AJ706">
        <v>244</v>
      </c>
      <c r="AK706" s="106">
        <v>45475.63549054398</v>
      </c>
      <c r="AL706" s="1" t="s">
        <v>4790</v>
      </c>
      <c r="AM706" s="42">
        <f>IFERROR(INDEX('Public procurment'!A:R,MATCH(ListOfExpenditure[[#This Row],[Content.contractId]],'Public procurment'!E:E,0),14),0)</f>
        <v>0</v>
      </c>
      <c r="AN706" s="2">
        <f>IF(AND(ListOfExpenditure[[#This Row],[Contract amount]]&gt;10000,ListOfExpenditure[[#This Row],[Content.declaredAmount]]&gt;2000),1,0)</f>
        <v>0</v>
      </c>
      <c r="AO706">
        <f>IFERROR(INDEX('Public procurment'!A:S,MATCH(ListOfExpenditure[[#This Row],[Content.contractId]],'Public procurment'!E:E,0),19),0)</f>
        <v>0</v>
      </c>
      <c r="AP706">
        <f>IF(ListOfExpenditure[[#This Row],[Numero di volte controllato il contract ]]&gt;0,0,ListOfExpenditure[[#This Row],[IF public procurment &gt;10000;1;0]])</f>
        <v>0</v>
      </c>
    </row>
    <row r="707" spans="1:42" x14ac:dyDescent="0.25">
      <c r="A707">
        <v>1602</v>
      </c>
      <c r="B707">
        <v>33</v>
      </c>
      <c r="E707" t="s">
        <v>4786</v>
      </c>
      <c r="F707" t="b">
        <v>0</v>
      </c>
      <c r="I707" t="s">
        <v>5463</v>
      </c>
      <c r="K707" t="s">
        <v>5036</v>
      </c>
      <c r="L707" t="s">
        <v>4455</v>
      </c>
      <c r="M707" t="s">
        <v>4788</v>
      </c>
      <c r="N707" t="s">
        <v>4788</v>
      </c>
      <c r="O707">
        <v>3432</v>
      </c>
      <c r="Q707">
        <v>0</v>
      </c>
      <c r="R707">
        <v>0</v>
      </c>
      <c r="S707">
        <v>705.5</v>
      </c>
      <c r="T707" t="s">
        <v>4789</v>
      </c>
      <c r="U707">
        <v>1</v>
      </c>
      <c r="V707">
        <v>705.5</v>
      </c>
      <c r="Y707" t="b">
        <v>1</v>
      </c>
      <c r="Z707" t="b">
        <v>0</v>
      </c>
      <c r="AA707">
        <v>705.5</v>
      </c>
      <c r="AB707">
        <v>0</v>
      </c>
      <c r="AD707" t="b">
        <v>0</v>
      </c>
      <c r="AG707" s="1" t="s">
        <v>59</v>
      </c>
      <c r="AH707" s="1" t="s">
        <v>69</v>
      </c>
      <c r="AI707">
        <v>325</v>
      </c>
      <c r="AJ707">
        <v>244</v>
      </c>
      <c r="AK707" s="106">
        <v>45475.63549054398</v>
      </c>
      <c r="AL707" s="1" t="s">
        <v>4790</v>
      </c>
      <c r="AM707" s="42">
        <f>IFERROR(INDEX('Public procurment'!A:R,MATCH(ListOfExpenditure[[#This Row],[Content.contractId]],'Public procurment'!E:E,0),14),0)</f>
        <v>0</v>
      </c>
      <c r="AN707" s="2">
        <f>IF(AND(ListOfExpenditure[[#This Row],[Contract amount]]&gt;10000,ListOfExpenditure[[#This Row],[Content.declaredAmount]]&gt;2000),1,0)</f>
        <v>0</v>
      </c>
      <c r="AO707">
        <f>IFERROR(INDEX('Public procurment'!A:S,MATCH(ListOfExpenditure[[#This Row],[Content.contractId]],'Public procurment'!E:E,0),19),0)</f>
        <v>0</v>
      </c>
      <c r="AP707">
        <f>IF(ListOfExpenditure[[#This Row],[Numero di volte controllato il contract ]]&gt;0,0,ListOfExpenditure[[#This Row],[IF public procurment &gt;10000;1;0]])</f>
        <v>0</v>
      </c>
    </row>
    <row r="708" spans="1:42" x14ac:dyDescent="0.25">
      <c r="A708">
        <v>1603</v>
      </c>
      <c r="B708">
        <v>34</v>
      </c>
      <c r="E708" t="s">
        <v>4786</v>
      </c>
      <c r="F708" t="b">
        <v>0</v>
      </c>
      <c r="I708" t="s">
        <v>5464</v>
      </c>
      <c r="K708" t="s">
        <v>5440</v>
      </c>
      <c r="L708" t="s">
        <v>5033</v>
      </c>
      <c r="M708" t="s">
        <v>4788</v>
      </c>
      <c r="N708" t="s">
        <v>4788</v>
      </c>
      <c r="O708">
        <v>3432</v>
      </c>
      <c r="Q708">
        <v>0</v>
      </c>
      <c r="R708">
        <v>0</v>
      </c>
      <c r="S708">
        <v>705.5</v>
      </c>
      <c r="T708" t="s">
        <v>4789</v>
      </c>
      <c r="U708">
        <v>1</v>
      </c>
      <c r="V708">
        <v>705.5</v>
      </c>
      <c r="Y708" t="b">
        <v>1</v>
      </c>
      <c r="Z708" t="b">
        <v>0</v>
      </c>
      <c r="AA708">
        <v>705.5</v>
      </c>
      <c r="AB708">
        <v>0</v>
      </c>
      <c r="AD708" t="b">
        <v>0</v>
      </c>
      <c r="AG708" s="1" t="s">
        <v>59</v>
      </c>
      <c r="AH708" s="1" t="s">
        <v>69</v>
      </c>
      <c r="AI708">
        <v>325</v>
      </c>
      <c r="AJ708">
        <v>244</v>
      </c>
      <c r="AK708" s="106">
        <v>45475.63549054398</v>
      </c>
      <c r="AL708" s="1" t="s">
        <v>4790</v>
      </c>
      <c r="AM708" s="42">
        <f>IFERROR(INDEX('Public procurment'!A:R,MATCH(ListOfExpenditure[[#This Row],[Content.contractId]],'Public procurment'!E:E,0),14),0)</f>
        <v>0</v>
      </c>
      <c r="AN708" s="2">
        <f>IF(AND(ListOfExpenditure[[#This Row],[Contract amount]]&gt;10000,ListOfExpenditure[[#This Row],[Content.declaredAmount]]&gt;2000),1,0)</f>
        <v>0</v>
      </c>
      <c r="AO708">
        <f>IFERROR(INDEX('Public procurment'!A:S,MATCH(ListOfExpenditure[[#This Row],[Content.contractId]],'Public procurment'!E:E,0),19),0)</f>
        <v>0</v>
      </c>
      <c r="AP708">
        <f>IF(ListOfExpenditure[[#This Row],[Numero di volte controllato il contract ]]&gt;0,0,ListOfExpenditure[[#This Row],[IF public procurment &gt;10000;1;0]])</f>
        <v>0</v>
      </c>
    </row>
    <row r="709" spans="1:42" x14ac:dyDescent="0.25">
      <c r="A709">
        <v>1604</v>
      </c>
      <c r="B709">
        <v>35</v>
      </c>
      <c r="E709" t="s">
        <v>4786</v>
      </c>
      <c r="F709" t="b">
        <v>0</v>
      </c>
      <c r="I709" t="s">
        <v>5465</v>
      </c>
      <c r="K709" t="s">
        <v>5442</v>
      </c>
      <c r="L709" t="s">
        <v>5115</v>
      </c>
      <c r="M709" t="s">
        <v>4788</v>
      </c>
      <c r="N709" t="s">
        <v>4788</v>
      </c>
      <c r="O709">
        <v>3432</v>
      </c>
      <c r="Q709">
        <v>0</v>
      </c>
      <c r="R709">
        <v>0</v>
      </c>
      <c r="S709">
        <v>705.5</v>
      </c>
      <c r="T709" t="s">
        <v>4789</v>
      </c>
      <c r="U709">
        <v>1</v>
      </c>
      <c r="V709">
        <v>705.5</v>
      </c>
      <c r="Y709" t="b">
        <v>1</v>
      </c>
      <c r="Z709" t="b">
        <v>0</v>
      </c>
      <c r="AA709">
        <v>705.5</v>
      </c>
      <c r="AB709">
        <v>0</v>
      </c>
      <c r="AD709" t="b">
        <v>0</v>
      </c>
      <c r="AG709" s="1" t="s">
        <v>59</v>
      </c>
      <c r="AH709" s="1" t="s">
        <v>69</v>
      </c>
      <c r="AI709">
        <v>325</v>
      </c>
      <c r="AJ709">
        <v>244</v>
      </c>
      <c r="AK709" s="106">
        <v>45475.63549054398</v>
      </c>
      <c r="AL709" s="1" t="s">
        <v>4790</v>
      </c>
      <c r="AM709" s="42">
        <f>IFERROR(INDEX('Public procurment'!A:R,MATCH(ListOfExpenditure[[#This Row],[Content.contractId]],'Public procurment'!E:E,0),14),0)</f>
        <v>0</v>
      </c>
      <c r="AN709" s="2">
        <f>IF(AND(ListOfExpenditure[[#This Row],[Contract amount]]&gt;10000,ListOfExpenditure[[#This Row],[Content.declaredAmount]]&gt;2000),1,0)</f>
        <v>0</v>
      </c>
      <c r="AO709">
        <f>IFERROR(INDEX('Public procurment'!A:S,MATCH(ListOfExpenditure[[#This Row],[Content.contractId]],'Public procurment'!E:E,0),19),0)</f>
        <v>0</v>
      </c>
      <c r="AP709">
        <f>IF(ListOfExpenditure[[#This Row],[Numero di volte controllato il contract ]]&gt;0,0,ListOfExpenditure[[#This Row],[IF public procurment &gt;10000;1;0]])</f>
        <v>0</v>
      </c>
    </row>
    <row r="710" spans="1:42" x14ac:dyDescent="0.25">
      <c r="A710">
        <v>1605</v>
      </c>
      <c r="B710">
        <v>36</v>
      </c>
      <c r="E710" t="s">
        <v>4786</v>
      </c>
      <c r="F710" t="b">
        <v>0</v>
      </c>
      <c r="I710" t="s">
        <v>5466</v>
      </c>
      <c r="K710" t="s">
        <v>5250</v>
      </c>
      <c r="L710" t="s">
        <v>4932</v>
      </c>
      <c r="M710" t="s">
        <v>4788</v>
      </c>
      <c r="N710" t="s">
        <v>4788</v>
      </c>
      <c r="O710">
        <v>6455.66</v>
      </c>
      <c r="Q710">
        <v>0</v>
      </c>
      <c r="R710">
        <v>0</v>
      </c>
      <c r="S710">
        <v>705.5</v>
      </c>
      <c r="T710" t="s">
        <v>4789</v>
      </c>
      <c r="U710">
        <v>1</v>
      </c>
      <c r="V710">
        <v>705.5</v>
      </c>
      <c r="Y710" t="b">
        <v>1</v>
      </c>
      <c r="Z710" t="b">
        <v>0</v>
      </c>
      <c r="AA710">
        <v>705.5</v>
      </c>
      <c r="AB710">
        <v>0</v>
      </c>
      <c r="AD710" t="b">
        <v>0</v>
      </c>
      <c r="AG710" s="1" t="s">
        <v>59</v>
      </c>
      <c r="AH710" s="1" t="s">
        <v>69</v>
      </c>
      <c r="AI710">
        <v>325</v>
      </c>
      <c r="AJ710">
        <v>244</v>
      </c>
      <c r="AK710" s="106">
        <v>45475.63549054398</v>
      </c>
      <c r="AL710" s="1" t="s">
        <v>4790</v>
      </c>
      <c r="AM710" s="42">
        <f>IFERROR(INDEX('Public procurment'!A:R,MATCH(ListOfExpenditure[[#This Row],[Content.contractId]],'Public procurment'!E:E,0),14),0)</f>
        <v>0</v>
      </c>
      <c r="AN710" s="2">
        <f>IF(AND(ListOfExpenditure[[#This Row],[Contract amount]]&gt;10000,ListOfExpenditure[[#This Row],[Content.declaredAmount]]&gt;2000),1,0)</f>
        <v>0</v>
      </c>
      <c r="AO710">
        <f>IFERROR(INDEX('Public procurment'!A:S,MATCH(ListOfExpenditure[[#This Row],[Content.contractId]],'Public procurment'!E:E,0),19),0)</f>
        <v>0</v>
      </c>
      <c r="AP710">
        <f>IF(ListOfExpenditure[[#This Row],[Numero di volte controllato il contract ]]&gt;0,0,ListOfExpenditure[[#This Row],[IF public procurment &gt;10000;1;0]])</f>
        <v>0</v>
      </c>
    </row>
    <row r="711" spans="1:42" x14ac:dyDescent="0.25">
      <c r="A711">
        <v>1609</v>
      </c>
      <c r="B711">
        <v>37</v>
      </c>
      <c r="E711" t="s">
        <v>4786</v>
      </c>
      <c r="F711" t="b">
        <v>0</v>
      </c>
      <c r="I711" t="s">
        <v>5467</v>
      </c>
      <c r="K711" t="s">
        <v>5419</v>
      </c>
      <c r="L711" t="s">
        <v>5420</v>
      </c>
      <c r="M711" t="s">
        <v>4788</v>
      </c>
      <c r="N711" t="s">
        <v>4788</v>
      </c>
      <c r="O711">
        <v>4437.6400000000003</v>
      </c>
      <c r="Q711">
        <v>0</v>
      </c>
      <c r="R711">
        <v>0</v>
      </c>
      <c r="S711">
        <v>900.16</v>
      </c>
      <c r="T711" t="s">
        <v>4789</v>
      </c>
      <c r="U711">
        <v>1</v>
      </c>
      <c r="V711">
        <v>900.16</v>
      </c>
      <c r="Y711" t="b">
        <v>1</v>
      </c>
      <c r="Z711" t="b">
        <v>0</v>
      </c>
      <c r="AA711">
        <v>900.16</v>
      </c>
      <c r="AB711">
        <v>0</v>
      </c>
      <c r="AD711" t="b">
        <v>0</v>
      </c>
      <c r="AG711" s="1" t="s">
        <v>59</v>
      </c>
      <c r="AH711" s="1" t="s">
        <v>69</v>
      </c>
      <c r="AI711">
        <v>325</v>
      </c>
      <c r="AJ711">
        <v>244</v>
      </c>
      <c r="AK711" s="106">
        <v>45475.63549054398</v>
      </c>
      <c r="AL711" s="1" t="s">
        <v>4790</v>
      </c>
      <c r="AM711" s="42">
        <f>IFERROR(INDEX('Public procurment'!A:R,MATCH(ListOfExpenditure[[#This Row],[Content.contractId]],'Public procurment'!E:E,0),14),0)</f>
        <v>0</v>
      </c>
      <c r="AN711" s="2">
        <f>IF(AND(ListOfExpenditure[[#This Row],[Contract amount]]&gt;10000,ListOfExpenditure[[#This Row],[Content.declaredAmount]]&gt;2000),1,0)</f>
        <v>0</v>
      </c>
      <c r="AO711">
        <f>IFERROR(INDEX('Public procurment'!A:S,MATCH(ListOfExpenditure[[#This Row],[Content.contractId]],'Public procurment'!E:E,0),19),0)</f>
        <v>0</v>
      </c>
      <c r="AP711">
        <f>IF(ListOfExpenditure[[#This Row],[Numero di volte controllato il contract ]]&gt;0,0,ListOfExpenditure[[#This Row],[IF public procurment &gt;10000;1;0]])</f>
        <v>0</v>
      </c>
    </row>
    <row r="712" spans="1:42" x14ac:dyDescent="0.25">
      <c r="A712">
        <v>1610</v>
      </c>
      <c r="B712">
        <v>38</v>
      </c>
      <c r="E712" t="s">
        <v>4786</v>
      </c>
      <c r="F712" t="b">
        <v>0</v>
      </c>
      <c r="I712" t="s">
        <v>5468</v>
      </c>
      <c r="K712" t="s">
        <v>4864</v>
      </c>
      <c r="L712" t="s">
        <v>5422</v>
      </c>
      <c r="M712" t="s">
        <v>4788</v>
      </c>
      <c r="N712" t="s">
        <v>4788</v>
      </c>
      <c r="O712">
        <v>6506.78</v>
      </c>
      <c r="Q712">
        <v>0</v>
      </c>
      <c r="R712">
        <v>0</v>
      </c>
      <c r="S712">
        <v>900.16</v>
      </c>
      <c r="T712" t="s">
        <v>4789</v>
      </c>
      <c r="U712">
        <v>1</v>
      </c>
      <c r="V712">
        <v>900.16</v>
      </c>
      <c r="Y712" t="b">
        <v>1</v>
      </c>
      <c r="Z712" t="b">
        <v>0</v>
      </c>
      <c r="AA712">
        <v>900.16</v>
      </c>
      <c r="AB712">
        <v>0</v>
      </c>
      <c r="AD712" t="b">
        <v>0</v>
      </c>
      <c r="AG712" s="1" t="s">
        <v>59</v>
      </c>
      <c r="AH712" s="1" t="s">
        <v>69</v>
      </c>
      <c r="AI712">
        <v>325</v>
      </c>
      <c r="AJ712">
        <v>244</v>
      </c>
      <c r="AK712" s="106">
        <v>45475.63549054398</v>
      </c>
      <c r="AL712" s="1" t="s">
        <v>4790</v>
      </c>
      <c r="AM712" s="42">
        <f>IFERROR(INDEX('Public procurment'!A:R,MATCH(ListOfExpenditure[[#This Row],[Content.contractId]],'Public procurment'!E:E,0),14),0)</f>
        <v>0</v>
      </c>
      <c r="AN712" s="2">
        <f>IF(AND(ListOfExpenditure[[#This Row],[Contract amount]]&gt;10000,ListOfExpenditure[[#This Row],[Content.declaredAmount]]&gt;2000),1,0)</f>
        <v>0</v>
      </c>
      <c r="AO712">
        <f>IFERROR(INDEX('Public procurment'!A:S,MATCH(ListOfExpenditure[[#This Row],[Content.contractId]],'Public procurment'!E:E,0),19),0)</f>
        <v>0</v>
      </c>
      <c r="AP712">
        <f>IF(ListOfExpenditure[[#This Row],[Numero di volte controllato il contract ]]&gt;0,0,ListOfExpenditure[[#This Row],[IF public procurment &gt;10000;1;0]])</f>
        <v>0</v>
      </c>
    </row>
    <row r="713" spans="1:42" x14ac:dyDescent="0.25">
      <c r="A713">
        <v>1611</v>
      </c>
      <c r="B713">
        <v>39</v>
      </c>
      <c r="E713" t="s">
        <v>4786</v>
      </c>
      <c r="F713" t="b">
        <v>0</v>
      </c>
      <c r="I713" t="s">
        <v>5469</v>
      </c>
      <c r="K713" t="s">
        <v>5424</v>
      </c>
      <c r="L713" t="s">
        <v>5425</v>
      </c>
      <c r="M713" t="s">
        <v>4788</v>
      </c>
      <c r="N713" t="s">
        <v>4788</v>
      </c>
      <c r="O713">
        <v>4862.2700000000004</v>
      </c>
      <c r="Q713">
        <v>0</v>
      </c>
      <c r="R713">
        <v>0</v>
      </c>
      <c r="S713">
        <v>900.16</v>
      </c>
      <c r="T713" t="s">
        <v>4789</v>
      </c>
      <c r="U713">
        <v>1</v>
      </c>
      <c r="V713">
        <v>900.16</v>
      </c>
      <c r="Y713" t="b">
        <v>1</v>
      </c>
      <c r="Z713" t="b">
        <v>0</v>
      </c>
      <c r="AA713">
        <v>900.16</v>
      </c>
      <c r="AB713">
        <v>0</v>
      </c>
      <c r="AD713" t="b">
        <v>0</v>
      </c>
      <c r="AG713" s="1" t="s">
        <v>59</v>
      </c>
      <c r="AH713" s="1" t="s">
        <v>69</v>
      </c>
      <c r="AI713">
        <v>325</v>
      </c>
      <c r="AJ713">
        <v>244</v>
      </c>
      <c r="AK713" s="106">
        <v>45475.63549054398</v>
      </c>
      <c r="AL713" s="1" t="s">
        <v>4790</v>
      </c>
      <c r="AM713" s="42">
        <f>IFERROR(INDEX('Public procurment'!A:R,MATCH(ListOfExpenditure[[#This Row],[Content.contractId]],'Public procurment'!E:E,0),14),0)</f>
        <v>0</v>
      </c>
      <c r="AN713" s="2">
        <f>IF(AND(ListOfExpenditure[[#This Row],[Contract amount]]&gt;10000,ListOfExpenditure[[#This Row],[Content.declaredAmount]]&gt;2000),1,0)</f>
        <v>0</v>
      </c>
      <c r="AO713">
        <f>IFERROR(INDEX('Public procurment'!A:S,MATCH(ListOfExpenditure[[#This Row],[Content.contractId]],'Public procurment'!E:E,0),19),0)</f>
        <v>0</v>
      </c>
      <c r="AP713">
        <f>IF(ListOfExpenditure[[#This Row],[Numero di volte controllato il contract ]]&gt;0,0,ListOfExpenditure[[#This Row],[IF public procurment &gt;10000;1;0]])</f>
        <v>0</v>
      </c>
    </row>
    <row r="714" spans="1:42" x14ac:dyDescent="0.25">
      <c r="A714">
        <v>1612</v>
      </c>
      <c r="B714">
        <v>40</v>
      </c>
      <c r="E714" t="s">
        <v>4786</v>
      </c>
      <c r="F714" t="b">
        <v>0</v>
      </c>
      <c r="I714" t="s">
        <v>5470</v>
      </c>
      <c r="K714" t="s">
        <v>5427</v>
      </c>
      <c r="L714" t="s">
        <v>5428</v>
      </c>
      <c r="M714" t="s">
        <v>4788</v>
      </c>
      <c r="N714" t="s">
        <v>4788</v>
      </c>
      <c r="O714">
        <v>4862.2700000000004</v>
      </c>
      <c r="Q714">
        <v>0</v>
      </c>
      <c r="R714">
        <v>0</v>
      </c>
      <c r="S714">
        <v>900.16</v>
      </c>
      <c r="T714" t="s">
        <v>4789</v>
      </c>
      <c r="U714">
        <v>1</v>
      </c>
      <c r="V714">
        <v>900.16</v>
      </c>
      <c r="Y714" t="b">
        <v>1</v>
      </c>
      <c r="Z714" t="b">
        <v>0</v>
      </c>
      <c r="AA714">
        <v>900.16</v>
      </c>
      <c r="AB714">
        <v>0</v>
      </c>
      <c r="AD714" t="b">
        <v>0</v>
      </c>
      <c r="AG714" s="1" t="s">
        <v>59</v>
      </c>
      <c r="AH714" s="1" t="s">
        <v>69</v>
      </c>
      <c r="AI714">
        <v>325</v>
      </c>
      <c r="AJ714">
        <v>244</v>
      </c>
      <c r="AK714" s="106">
        <v>45475.63549054398</v>
      </c>
      <c r="AL714" s="1" t="s">
        <v>4790</v>
      </c>
      <c r="AM714" s="42">
        <f>IFERROR(INDEX('Public procurment'!A:R,MATCH(ListOfExpenditure[[#This Row],[Content.contractId]],'Public procurment'!E:E,0),14),0)</f>
        <v>0</v>
      </c>
      <c r="AN714" s="2">
        <f>IF(AND(ListOfExpenditure[[#This Row],[Contract amount]]&gt;10000,ListOfExpenditure[[#This Row],[Content.declaredAmount]]&gt;2000),1,0)</f>
        <v>0</v>
      </c>
      <c r="AO714">
        <f>IFERROR(INDEX('Public procurment'!A:S,MATCH(ListOfExpenditure[[#This Row],[Content.contractId]],'Public procurment'!E:E,0),19),0)</f>
        <v>0</v>
      </c>
      <c r="AP714">
        <f>IF(ListOfExpenditure[[#This Row],[Numero di volte controllato il contract ]]&gt;0,0,ListOfExpenditure[[#This Row],[IF public procurment &gt;10000;1;0]])</f>
        <v>0</v>
      </c>
    </row>
    <row r="715" spans="1:42" x14ac:dyDescent="0.25">
      <c r="A715">
        <v>1613</v>
      </c>
      <c r="B715">
        <v>41</v>
      </c>
      <c r="E715" t="s">
        <v>4786</v>
      </c>
      <c r="F715" t="b">
        <v>0</v>
      </c>
      <c r="I715" t="s">
        <v>5471</v>
      </c>
      <c r="K715" t="s">
        <v>5348</v>
      </c>
      <c r="L715" t="s">
        <v>5430</v>
      </c>
      <c r="M715" t="s">
        <v>4788</v>
      </c>
      <c r="N715" t="s">
        <v>4788</v>
      </c>
      <c r="O715">
        <v>4862.2700000000004</v>
      </c>
      <c r="Q715">
        <v>0</v>
      </c>
      <c r="R715">
        <v>0</v>
      </c>
      <c r="S715">
        <v>900.16</v>
      </c>
      <c r="T715" t="s">
        <v>4789</v>
      </c>
      <c r="U715">
        <v>1</v>
      </c>
      <c r="V715">
        <v>900.16</v>
      </c>
      <c r="Y715" t="b">
        <v>1</v>
      </c>
      <c r="Z715" t="b">
        <v>0</v>
      </c>
      <c r="AA715">
        <v>900.16</v>
      </c>
      <c r="AB715">
        <v>0</v>
      </c>
      <c r="AD715" t="b">
        <v>0</v>
      </c>
      <c r="AG715" s="1" t="s">
        <v>59</v>
      </c>
      <c r="AH715" s="1" t="s">
        <v>69</v>
      </c>
      <c r="AI715">
        <v>325</v>
      </c>
      <c r="AJ715">
        <v>244</v>
      </c>
      <c r="AK715" s="106">
        <v>45475.63549054398</v>
      </c>
      <c r="AL715" s="1" t="s">
        <v>4790</v>
      </c>
      <c r="AM715" s="42">
        <f>IFERROR(INDEX('Public procurment'!A:R,MATCH(ListOfExpenditure[[#This Row],[Content.contractId]],'Public procurment'!E:E,0),14),0)</f>
        <v>0</v>
      </c>
      <c r="AN715" s="2">
        <f>IF(AND(ListOfExpenditure[[#This Row],[Contract amount]]&gt;10000,ListOfExpenditure[[#This Row],[Content.declaredAmount]]&gt;2000),1,0)</f>
        <v>0</v>
      </c>
      <c r="AO715">
        <f>IFERROR(INDEX('Public procurment'!A:S,MATCH(ListOfExpenditure[[#This Row],[Content.contractId]],'Public procurment'!E:E,0),19),0)</f>
        <v>0</v>
      </c>
      <c r="AP715">
        <f>IF(ListOfExpenditure[[#This Row],[Numero di volte controllato il contract ]]&gt;0,0,ListOfExpenditure[[#This Row],[IF public procurment &gt;10000;1;0]])</f>
        <v>0</v>
      </c>
    </row>
    <row r="716" spans="1:42" x14ac:dyDescent="0.25">
      <c r="A716">
        <v>1614</v>
      </c>
      <c r="B716">
        <v>42</v>
      </c>
      <c r="E716" t="s">
        <v>4786</v>
      </c>
      <c r="F716" t="b">
        <v>0</v>
      </c>
      <c r="I716" t="s">
        <v>5472</v>
      </c>
      <c r="K716" t="s">
        <v>5432</v>
      </c>
      <c r="L716" t="s">
        <v>5357</v>
      </c>
      <c r="M716" t="s">
        <v>4788</v>
      </c>
      <c r="N716" t="s">
        <v>4788</v>
      </c>
      <c r="O716">
        <v>4862.2700000000004</v>
      </c>
      <c r="Q716">
        <v>0</v>
      </c>
      <c r="R716">
        <v>0</v>
      </c>
      <c r="S716">
        <v>900.16</v>
      </c>
      <c r="T716" t="s">
        <v>4789</v>
      </c>
      <c r="U716">
        <v>1</v>
      </c>
      <c r="V716">
        <v>900.16</v>
      </c>
      <c r="Y716" t="b">
        <v>1</v>
      </c>
      <c r="Z716" t="b">
        <v>0</v>
      </c>
      <c r="AA716">
        <v>900.16</v>
      </c>
      <c r="AB716">
        <v>0</v>
      </c>
      <c r="AD716" t="b">
        <v>0</v>
      </c>
      <c r="AG716" s="1" t="s">
        <v>59</v>
      </c>
      <c r="AH716" s="1" t="s">
        <v>69</v>
      </c>
      <c r="AI716">
        <v>325</v>
      </c>
      <c r="AJ716">
        <v>244</v>
      </c>
      <c r="AK716" s="106">
        <v>45475.63549054398</v>
      </c>
      <c r="AL716" s="1" t="s">
        <v>4790</v>
      </c>
      <c r="AM716" s="42">
        <f>IFERROR(INDEX('Public procurment'!A:R,MATCH(ListOfExpenditure[[#This Row],[Content.contractId]],'Public procurment'!E:E,0),14),0)</f>
        <v>0</v>
      </c>
      <c r="AN716" s="2">
        <f>IF(AND(ListOfExpenditure[[#This Row],[Contract amount]]&gt;10000,ListOfExpenditure[[#This Row],[Content.declaredAmount]]&gt;2000),1,0)</f>
        <v>0</v>
      </c>
      <c r="AO716">
        <f>IFERROR(INDEX('Public procurment'!A:S,MATCH(ListOfExpenditure[[#This Row],[Content.contractId]],'Public procurment'!E:E,0),19),0)</f>
        <v>0</v>
      </c>
      <c r="AP716">
        <f>IF(ListOfExpenditure[[#This Row],[Numero di volte controllato il contract ]]&gt;0,0,ListOfExpenditure[[#This Row],[IF public procurment &gt;10000;1;0]])</f>
        <v>0</v>
      </c>
    </row>
    <row r="717" spans="1:42" x14ac:dyDescent="0.25">
      <c r="A717">
        <v>1616</v>
      </c>
      <c r="B717">
        <v>43</v>
      </c>
      <c r="E717" t="s">
        <v>4786</v>
      </c>
      <c r="F717" t="b">
        <v>0</v>
      </c>
      <c r="I717" t="s">
        <v>5473</v>
      </c>
      <c r="K717" t="s">
        <v>5434</v>
      </c>
      <c r="L717" t="s">
        <v>5435</v>
      </c>
      <c r="M717" t="s">
        <v>4788</v>
      </c>
      <c r="N717" t="s">
        <v>4788</v>
      </c>
      <c r="O717">
        <v>4862.2700000000004</v>
      </c>
      <c r="Q717">
        <v>0</v>
      </c>
      <c r="R717">
        <v>0</v>
      </c>
      <c r="S717">
        <v>900.16</v>
      </c>
      <c r="T717" t="s">
        <v>4789</v>
      </c>
      <c r="U717">
        <v>1</v>
      </c>
      <c r="V717">
        <v>900.16</v>
      </c>
      <c r="Y717" t="b">
        <v>1</v>
      </c>
      <c r="Z717" t="b">
        <v>0</v>
      </c>
      <c r="AA717">
        <v>900.16</v>
      </c>
      <c r="AB717">
        <v>0</v>
      </c>
      <c r="AD717" t="b">
        <v>0</v>
      </c>
      <c r="AG717" s="1" t="s">
        <v>59</v>
      </c>
      <c r="AH717" s="1" t="s">
        <v>69</v>
      </c>
      <c r="AI717">
        <v>325</v>
      </c>
      <c r="AJ717">
        <v>244</v>
      </c>
      <c r="AK717" s="106">
        <v>45475.63549054398</v>
      </c>
      <c r="AL717" s="1" t="s">
        <v>4790</v>
      </c>
      <c r="AM717" s="42">
        <f>IFERROR(INDEX('Public procurment'!A:R,MATCH(ListOfExpenditure[[#This Row],[Content.contractId]],'Public procurment'!E:E,0),14),0)</f>
        <v>0</v>
      </c>
      <c r="AN717" s="2">
        <f>IF(AND(ListOfExpenditure[[#This Row],[Contract amount]]&gt;10000,ListOfExpenditure[[#This Row],[Content.declaredAmount]]&gt;2000),1,0)</f>
        <v>0</v>
      </c>
      <c r="AO717">
        <f>IFERROR(INDEX('Public procurment'!A:S,MATCH(ListOfExpenditure[[#This Row],[Content.contractId]],'Public procurment'!E:E,0),19),0)</f>
        <v>0</v>
      </c>
      <c r="AP717">
        <f>IF(ListOfExpenditure[[#This Row],[Numero di volte controllato il contract ]]&gt;0,0,ListOfExpenditure[[#This Row],[IF public procurment &gt;10000;1;0]])</f>
        <v>0</v>
      </c>
    </row>
    <row r="718" spans="1:42" x14ac:dyDescent="0.25">
      <c r="A718">
        <v>1617</v>
      </c>
      <c r="B718">
        <v>44</v>
      </c>
      <c r="E718" t="s">
        <v>4786</v>
      </c>
      <c r="F718" t="b">
        <v>0</v>
      </c>
      <c r="I718" t="s">
        <v>5474</v>
      </c>
      <c r="K718" t="s">
        <v>5437</v>
      </c>
      <c r="L718" t="s">
        <v>4950</v>
      </c>
      <c r="M718" t="s">
        <v>4788</v>
      </c>
      <c r="N718" t="s">
        <v>4788</v>
      </c>
      <c r="O718">
        <v>4862.2700000000004</v>
      </c>
      <c r="Q718">
        <v>0</v>
      </c>
      <c r="R718">
        <v>0</v>
      </c>
      <c r="S718">
        <v>900.16</v>
      </c>
      <c r="T718" t="s">
        <v>4789</v>
      </c>
      <c r="U718">
        <v>1</v>
      </c>
      <c r="V718">
        <v>900.16</v>
      </c>
      <c r="Y718" t="b">
        <v>1</v>
      </c>
      <c r="Z718" t="b">
        <v>0</v>
      </c>
      <c r="AA718">
        <v>900.16</v>
      </c>
      <c r="AB718">
        <v>0</v>
      </c>
      <c r="AD718" t="b">
        <v>0</v>
      </c>
      <c r="AG718" s="1" t="s">
        <v>59</v>
      </c>
      <c r="AH718" s="1" t="s">
        <v>69</v>
      </c>
      <c r="AI718">
        <v>325</v>
      </c>
      <c r="AJ718">
        <v>244</v>
      </c>
      <c r="AK718" s="106">
        <v>45475.63549054398</v>
      </c>
      <c r="AL718" s="1" t="s">
        <v>4790</v>
      </c>
      <c r="AM718" s="42">
        <f>IFERROR(INDEX('Public procurment'!A:R,MATCH(ListOfExpenditure[[#This Row],[Content.contractId]],'Public procurment'!E:E,0),14),0)</f>
        <v>0</v>
      </c>
      <c r="AN718" s="2">
        <f>IF(AND(ListOfExpenditure[[#This Row],[Contract amount]]&gt;10000,ListOfExpenditure[[#This Row],[Content.declaredAmount]]&gt;2000),1,0)</f>
        <v>0</v>
      </c>
      <c r="AO718">
        <f>IFERROR(INDEX('Public procurment'!A:S,MATCH(ListOfExpenditure[[#This Row],[Content.contractId]],'Public procurment'!E:E,0),19),0)</f>
        <v>0</v>
      </c>
      <c r="AP718">
        <f>IF(ListOfExpenditure[[#This Row],[Numero di volte controllato il contract ]]&gt;0,0,ListOfExpenditure[[#This Row],[IF public procurment &gt;10000;1;0]])</f>
        <v>0</v>
      </c>
    </row>
    <row r="719" spans="1:42" x14ac:dyDescent="0.25">
      <c r="A719">
        <v>1619</v>
      </c>
      <c r="B719">
        <v>45</v>
      </c>
      <c r="E719" t="s">
        <v>4786</v>
      </c>
      <c r="F719" t="b">
        <v>0</v>
      </c>
      <c r="I719" t="s">
        <v>5475</v>
      </c>
      <c r="K719" t="s">
        <v>5036</v>
      </c>
      <c r="L719" t="s">
        <v>4455</v>
      </c>
      <c r="M719" t="s">
        <v>4788</v>
      </c>
      <c r="N719" t="s">
        <v>4788</v>
      </c>
      <c r="O719">
        <v>4862.2700000000004</v>
      </c>
      <c r="Q719">
        <v>0</v>
      </c>
      <c r="R719">
        <v>0</v>
      </c>
      <c r="S719">
        <v>900.16</v>
      </c>
      <c r="T719" t="s">
        <v>4789</v>
      </c>
      <c r="U719">
        <v>1</v>
      </c>
      <c r="V719">
        <v>900.16</v>
      </c>
      <c r="Y719" t="b">
        <v>1</v>
      </c>
      <c r="Z719" t="b">
        <v>0</v>
      </c>
      <c r="AA719">
        <v>900.16</v>
      </c>
      <c r="AB719">
        <v>0</v>
      </c>
      <c r="AD719" t="b">
        <v>0</v>
      </c>
      <c r="AG719" s="1" t="s">
        <v>59</v>
      </c>
      <c r="AH719" s="1" t="s">
        <v>69</v>
      </c>
      <c r="AI719">
        <v>325</v>
      </c>
      <c r="AJ719">
        <v>244</v>
      </c>
      <c r="AK719" s="106">
        <v>45475.63549054398</v>
      </c>
      <c r="AL719" s="1" t="s">
        <v>4790</v>
      </c>
      <c r="AM719" s="42">
        <f>IFERROR(INDEX('Public procurment'!A:R,MATCH(ListOfExpenditure[[#This Row],[Content.contractId]],'Public procurment'!E:E,0),14),0)</f>
        <v>0</v>
      </c>
      <c r="AN719" s="2">
        <f>IF(AND(ListOfExpenditure[[#This Row],[Contract amount]]&gt;10000,ListOfExpenditure[[#This Row],[Content.declaredAmount]]&gt;2000),1,0)</f>
        <v>0</v>
      </c>
      <c r="AO719">
        <f>IFERROR(INDEX('Public procurment'!A:S,MATCH(ListOfExpenditure[[#This Row],[Content.contractId]],'Public procurment'!E:E,0),19),0)</f>
        <v>0</v>
      </c>
      <c r="AP719">
        <f>IF(ListOfExpenditure[[#This Row],[Numero di volte controllato il contract ]]&gt;0,0,ListOfExpenditure[[#This Row],[IF public procurment &gt;10000;1;0]])</f>
        <v>0</v>
      </c>
    </row>
    <row r="720" spans="1:42" x14ac:dyDescent="0.25">
      <c r="A720">
        <v>1620</v>
      </c>
      <c r="B720">
        <v>46</v>
      </c>
      <c r="E720" t="s">
        <v>4786</v>
      </c>
      <c r="F720" t="b">
        <v>0</v>
      </c>
      <c r="I720" t="s">
        <v>5476</v>
      </c>
      <c r="K720" t="s">
        <v>5440</v>
      </c>
      <c r="L720" t="s">
        <v>5033</v>
      </c>
      <c r="M720" t="s">
        <v>4788</v>
      </c>
      <c r="N720" t="s">
        <v>4788</v>
      </c>
      <c r="O720">
        <v>4862.2700000000004</v>
      </c>
      <c r="Q720">
        <v>0</v>
      </c>
      <c r="R720">
        <v>0</v>
      </c>
      <c r="S720">
        <v>900.16</v>
      </c>
      <c r="T720" t="s">
        <v>4789</v>
      </c>
      <c r="U720">
        <v>1</v>
      </c>
      <c r="V720">
        <v>900.16</v>
      </c>
      <c r="Y720" t="b">
        <v>1</v>
      </c>
      <c r="Z720" t="b">
        <v>0</v>
      </c>
      <c r="AA720">
        <v>900.16</v>
      </c>
      <c r="AB720">
        <v>0</v>
      </c>
      <c r="AD720" t="b">
        <v>0</v>
      </c>
      <c r="AG720" s="1" t="s">
        <v>59</v>
      </c>
      <c r="AH720" s="1" t="s">
        <v>69</v>
      </c>
      <c r="AI720">
        <v>325</v>
      </c>
      <c r="AJ720">
        <v>244</v>
      </c>
      <c r="AK720" s="106">
        <v>45475.63549054398</v>
      </c>
      <c r="AL720" s="1" t="s">
        <v>4790</v>
      </c>
      <c r="AM720" s="42">
        <f>IFERROR(INDEX('Public procurment'!A:R,MATCH(ListOfExpenditure[[#This Row],[Content.contractId]],'Public procurment'!E:E,0),14),0)</f>
        <v>0</v>
      </c>
      <c r="AN720" s="2">
        <f>IF(AND(ListOfExpenditure[[#This Row],[Contract amount]]&gt;10000,ListOfExpenditure[[#This Row],[Content.declaredAmount]]&gt;2000),1,0)</f>
        <v>0</v>
      </c>
      <c r="AO720">
        <f>IFERROR(INDEX('Public procurment'!A:S,MATCH(ListOfExpenditure[[#This Row],[Content.contractId]],'Public procurment'!E:E,0),19),0)</f>
        <v>0</v>
      </c>
      <c r="AP720">
        <f>IF(ListOfExpenditure[[#This Row],[Numero di volte controllato il contract ]]&gt;0,0,ListOfExpenditure[[#This Row],[IF public procurment &gt;10000;1;0]])</f>
        <v>0</v>
      </c>
    </row>
    <row r="721" spans="1:42" x14ac:dyDescent="0.25">
      <c r="A721">
        <v>1621</v>
      </c>
      <c r="B721">
        <v>47</v>
      </c>
      <c r="E721" t="s">
        <v>4786</v>
      </c>
      <c r="F721" t="b">
        <v>0</v>
      </c>
      <c r="I721" t="s">
        <v>4090</v>
      </c>
      <c r="K721" t="s">
        <v>5442</v>
      </c>
      <c r="L721" t="s">
        <v>5115</v>
      </c>
      <c r="M721" t="s">
        <v>4788</v>
      </c>
      <c r="N721" t="s">
        <v>4788</v>
      </c>
      <c r="O721">
        <v>4862.2700000000004</v>
      </c>
      <c r="Q721">
        <v>0</v>
      </c>
      <c r="R721">
        <v>0</v>
      </c>
      <c r="S721">
        <v>900.16</v>
      </c>
      <c r="T721" t="s">
        <v>4789</v>
      </c>
      <c r="U721">
        <v>1</v>
      </c>
      <c r="V721">
        <v>900.16</v>
      </c>
      <c r="Y721" t="b">
        <v>1</v>
      </c>
      <c r="Z721" t="b">
        <v>0</v>
      </c>
      <c r="AA721">
        <v>900.16</v>
      </c>
      <c r="AB721">
        <v>0</v>
      </c>
      <c r="AD721" t="b">
        <v>0</v>
      </c>
      <c r="AG721" s="1" t="s">
        <v>59</v>
      </c>
      <c r="AH721" s="1" t="s">
        <v>69</v>
      </c>
      <c r="AI721">
        <v>325</v>
      </c>
      <c r="AJ721">
        <v>244</v>
      </c>
      <c r="AK721" s="106">
        <v>45475.63549054398</v>
      </c>
      <c r="AL721" s="1" t="s">
        <v>4790</v>
      </c>
      <c r="AM721" s="42">
        <f>IFERROR(INDEX('Public procurment'!A:R,MATCH(ListOfExpenditure[[#This Row],[Content.contractId]],'Public procurment'!E:E,0),14),0)</f>
        <v>0</v>
      </c>
      <c r="AN721" s="2">
        <f>IF(AND(ListOfExpenditure[[#This Row],[Contract amount]]&gt;10000,ListOfExpenditure[[#This Row],[Content.declaredAmount]]&gt;2000),1,0)</f>
        <v>0</v>
      </c>
      <c r="AO721">
        <f>IFERROR(INDEX('Public procurment'!A:S,MATCH(ListOfExpenditure[[#This Row],[Content.contractId]],'Public procurment'!E:E,0),19),0)</f>
        <v>0</v>
      </c>
      <c r="AP721">
        <f>IF(ListOfExpenditure[[#This Row],[Numero di volte controllato il contract ]]&gt;0,0,ListOfExpenditure[[#This Row],[IF public procurment &gt;10000;1;0]])</f>
        <v>0</v>
      </c>
    </row>
    <row r="722" spans="1:42" x14ac:dyDescent="0.25">
      <c r="A722">
        <v>1622</v>
      </c>
      <c r="B722">
        <v>48</v>
      </c>
      <c r="E722" t="s">
        <v>4786</v>
      </c>
      <c r="F722" t="b">
        <v>0</v>
      </c>
      <c r="I722" t="s">
        <v>5477</v>
      </c>
      <c r="K722" t="s">
        <v>5250</v>
      </c>
      <c r="L722" t="s">
        <v>4932</v>
      </c>
      <c r="M722" t="s">
        <v>4788</v>
      </c>
      <c r="N722" t="s">
        <v>4788</v>
      </c>
      <c r="O722">
        <v>9022.36</v>
      </c>
      <c r="Q722">
        <v>0</v>
      </c>
      <c r="R722">
        <v>0</v>
      </c>
      <c r="S722">
        <v>900.16</v>
      </c>
      <c r="T722" t="s">
        <v>4789</v>
      </c>
      <c r="U722">
        <v>1</v>
      </c>
      <c r="V722">
        <v>900.16</v>
      </c>
      <c r="Y722" t="b">
        <v>1</v>
      </c>
      <c r="Z722" t="b">
        <v>0</v>
      </c>
      <c r="AA722">
        <v>900.16</v>
      </c>
      <c r="AB722">
        <v>0</v>
      </c>
      <c r="AD722" t="b">
        <v>0</v>
      </c>
      <c r="AG722" s="1" t="s">
        <v>59</v>
      </c>
      <c r="AH722" s="1" t="s">
        <v>69</v>
      </c>
      <c r="AI722">
        <v>325</v>
      </c>
      <c r="AJ722">
        <v>244</v>
      </c>
      <c r="AK722" s="106">
        <v>45475.63549054398</v>
      </c>
      <c r="AL722" s="1" t="s">
        <v>4790</v>
      </c>
      <c r="AM722" s="42">
        <f>IFERROR(INDEX('Public procurment'!A:R,MATCH(ListOfExpenditure[[#This Row],[Content.contractId]],'Public procurment'!E:E,0),14),0)</f>
        <v>0</v>
      </c>
      <c r="AN722" s="2">
        <f>IF(AND(ListOfExpenditure[[#This Row],[Contract amount]]&gt;10000,ListOfExpenditure[[#This Row],[Content.declaredAmount]]&gt;2000),1,0)</f>
        <v>0</v>
      </c>
      <c r="AO722">
        <f>IFERROR(INDEX('Public procurment'!A:S,MATCH(ListOfExpenditure[[#This Row],[Content.contractId]],'Public procurment'!E:E,0),19),0)</f>
        <v>0</v>
      </c>
      <c r="AP722">
        <f>IF(ListOfExpenditure[[#This Row],[Numero di volte controllato il contract ]]&gt;0,0,ListOfExpenditure[[#This Row],[IF public procurment &gt;10000;1;0]])</f>
        <v>0</v>
      </c>
    </row>
    <row r="723" spans="1:42" x14ac:dyDescent="0.25">
      <c r="A723">
        <v>1623</v>
      </c>
      <c r="B723">
        <v>49</v>
      </c>
      <c r="E723" t="s">
        <v>4786</v>
      </c>
      <c r="F723" t="b">
        <v>0</v>
      </c>
      <c r="I723" t="s">
        <v>4922</v>
      </c>
      <c r="K723" t="s">
        <v>4713</v>
      </c>
      <c r="L723" t="s">
        <v>4932</v>
      </c>
      <c r="M723" t="s">
        <v>4788</v>
      </c>
      <c r="N723" t="s">
        <v>4788</v>
      </c>
      <c r="O723">
        <v>3124.92</v>
      </c>
      <c r="Q723">
        <v>0</v>
      </c>
      <c r="R723">
        <v>0</v>
      </c>
      <c r="S723">
        <v>3124.92</v>
      </c>
      <c r="T723" t="s">
        <v>4789</v>
      </c>
      <c r="U723">
        <v>1</v>
      </c>
      <c r="V723">
        <v>3124.92</v>
      </c>
      <c r="Y723" t="b">
        <v>1</v>
      </c>
      <c r="Z723" t="b">
        <v>0</v>
      </c>
      <c r="AA723">
        <v>3124.92</v>
      </c>
      <c r="AB723">
        <v>0</v>
      </c>
      <c r="AD723" t="b">
        <v>0</v>
      </c>
      <c r="AG723" s="1" t="s">
        <v>59</v>
      </c>
      <c r="AH723" s="1" t="s">
        <v>69</v>
      </c>
      <c r="AI723">
        <v>325</v>
      </c>
      <c r="AJ723">
        <v>244</v>
      </c>
      <c r="AK723" s="106">
        <v>45475.63549054398</v>
      </c>
      <c r="AL723" s="1" t="s">
        <v>4790</v>
      </c>
      <c r="AM723" s="42">
        <f>IFERROR(INDEX('Public procurment'!A:R,MATCH(ListOfExpenditure[[#This Row],[Content.contractId]],'Public procurment'!E:E,0),14),0)</f>
        <v>0</v>
      </c>
      <c r="AN723" s="2">
        <f>IF(AND(ListOfExpenditure[[#This Row],[Contract amount]]&gt;10000,ListOfExpenditure[[#This Row],[Content.declaredAmount]]&gt;2000),1,0)</f>
        <v>0</v>
      </c>
      <c r="AO723">
        <f>IFERROR(INDEX('Public procurment'!A:S,MATCH(ListOfExpenditure[[#This Row],[Content.contractId]],'Public procurment'!E:E,0),19),0)</f>
        <v>0</v>
      </c>
      <c r="AP723">
        <f>IF(ListOfExpenditure[[#This Row],[Numero di volte controllato il contract ]]&gt;0,0,ListOfExpenditure[[#This Row],[IF public procurment &gt;10000;1;0]])</f>
        <v>0</v>
      </c>
    </row>
    <row r="724" spans="1:42" x14ac:dyDescent="0.25">
      <c r="A724">
        <v>1624</v>
      </c>
      <c r="B724">
        <v>50</v>
      </c>
      <c r="E724" t="s">
        <v>4786</v>
      </c>
      <c r="F724" t="b">
        <v>0</v>
      </c>
      <c r="I724" t="s">
        <v>4922</v>
      </c>
      <c r="K724" t="s">
        <v>4713</v>
      </c>
      <c r="L724" t="s">
        <v>4668</v>
      </c>
      <c r="M724" t="s">
        <v>4788</v>
      </c>
      <c r="N724" t="s">
        <v>4788</v>
      </c>
      <c r="O724">
        <v>2083.36</v>
      </c>
      <c r="Q724">
        <v>0</v>
      </c>
      <c r="R724">
        <v>0</v>
      </c>
      <c r="S724">
        <v>2083.36</v>
      </c>
      <c r="T724" t="s">
        <v>4789</v>
      </c>
      <c r="U724">
        <v>1</v>
      </c>
      <c r="V724">
        <v>2083.36</v>
      </c>
      <c r="Y724" t="b">
        <v>1</v>
      </c>
      <c r="Z724" t="b">
        <v>0</v>
      </c>
      <c r="AA724">
        <v>2083.36</v>
      </c>
      <c r="AB724">
        <v>0</v>
      </c>
      <c r="AD724" t="b">
        <v>0</v>
      </c>
      <c r="AG724" s="1" t="s">
        <v>59</v>
      </c>
      <c r="AH724" s="1" t="s">
        <v>69</v>
      </c>
      <c r="AI724">
        <v>325</v>
      </c>
      <c r="AJ724">
        <v>244</v>
      </c>
      <c r="AK724" s="106">
        <v>45475.63549054398</v>
      </c>
      <c r="AL724" s="1" t="s">
        <v>4790</v>
      </c>
      <c r="AM724" s="42">
        <f>IFERROR(INDEX('Public procurment'!A:R,MATCH(ListOfExpenditure[[#This Row],[Content.contractId]],'Public procurment'!E:E,0),14),0)</f>
        <v>0</v>
      </c>
      <c r="AN724" s="2">
        <f>IF(AND(ListOfExpenditure[[#This Row],[Contract amount]]&gt;10000,ListOfExpenditure[[#This Row],[Content.declaredAmount]]&gt;2000),1,0)</f>
        <v>0</v>
      </c>
      <c r="AO724">
        <f>IFERROR(INDEX('Public procurment'!A:S,MATCH(ListOfExpenditure[[#This Row],[Content.contractId]],'Public procurment'!E:E,0),19),0)</f>
        <v>0</v>
      </c>
      <c r="AP724">
        <f>IF(ListOfExpenditure[[#This Row],[Numero di volte controllato il contract ]]&gt;0,0,ListOfExpenditure[[#This Row],[IF public procurment &gt;10000;1;0]])</f>
        <v>0</v>
      </c>
    </row>
    <row r="725" spans="1:42" x14ac:dyDescent="0.25">
      <c r="A725">
        <v>1625</v>
      </c>
      <c r="B725">
        <v>51</v>
      </c>
      <c r="E725" t="s">
        <v>4786</v>
      </c>
      <c r="F725" t="b">
        <v>0</v>
      </c>
      <c r="I725" t="s">
        <v>4922</v>
      </c>
      <c r="K725" t="s">
        <v>4713</v>
      </c>
      <c r="L725" t="s">
        <v>4569</v>
      </c>
      <c r="M725" t="s">
        <v>4788</v>
      </c>
      <c r="N725" t="s">
        <v>4788</v>
      </c>
      <c r="O725">
        <v>2083.36</v>
      </c>
      <c r="Q725">
        <v>0</v>
      </c>
      <c r="R725">
        <v>0</v>
      </c>
      <c r="S725">
        <v>2083.36</v>
      </c>
      <c r="T725" t="s">
        <v>4789</v>
      </c>
      <c r="U725">
        <v>1</v>
      </c>
      <c r="V725">
        <v>2083.36</v>
      </c>
      <c r="Y725" t="b">
        <v>1</v>
      </c>
      <c r="Z725" t="b">
        <v>0</v>
      </c>
      <c r="AA725">
        <v>2083.36</v>
      </c>
      <c r="AB725">
        <v>0</v>
      </c>
      <c r="AD725" t="b">
        <v>0</v>
      </c>
      <c r="AG725" s="1" t="s">
        <v>59</v>
      </c>
      <c r="AH725" s="1" t="s">
        <v>69</v>
      </c>
      <c r="AI725">
        <v>325</v>
      </c>
      <c r="AJ725">
        <v>244</v>
      </c>
      <c r="AK725" s="106">
        <v>45475.63549054398</v>
      </c>
      <c r="AL725" s="1" t="s">
        <v>4790</v>
      </c>
      <c r="AM725" s="42">
        <f>IFERROR(INDEX('Public procurment'!A:R,MATCH(ListOfExpenditure[[#This Row],[Content.contractId]],'Public procurment'!E:E,0),14),0)</f>
        <v>0</v>
      </c>
      <c r="AN725" s="2">
        <f>IF(AND(ListOfExpenditure[[#This Row],[Contract amount]]&gt;10000,ListOfExpenditure[[#This Row],[Content.declaredAmount]]&gt;2000),1,0)</f>
        <v>0</v>
      </c>
      <c r="AO725">
        <f>IFERROR(INDEX('Public procurment'!A:S,MATCH(ListOfExpenditure[[#This Row],[Content.contractId]],'Public procurment'!E:E,0),19),0)</f>
        <v>0</v>
      </c>
      <c r="AP725">
        <f>IF(ListOfExpenditure[[#This Row],[Numero di volte controllato il contract ]]&gt;0,0,ListOfExpenditure[[#This Row],[IF public procurment &gt;10000;1;0]])</f>
        <v>0</v>
      </c>
    </row>
    <row r="726" spans="1:42" x14ac:dyDescent="0.25">
      <c r="A726">
        <v>1626</v>
      </c>
      <c r="B726">
        <v>52</v>
      </c>
      <c r="E726" t="s">
        <v>4786</v>
      </c>
      <c r="F726" t="b">
        <v>0</v>
      </c>
      <c r="I726" t="s">
        <v>4922</v>
      </c>
      <c r="K726" t="s">
        <v>4713</v>
      </c>
      <c r="L726" t="s">
        <v>4569</v>
      </c>
      <c r="M726" t="s">
        <v>4788</v>
      </c>
      <c r="N726" t="s">
        <v>4788</v>
      </c>
      <c r="O726">
        <v>2500.0700000000002</v>
      </c>
      <c r="Q726">
        <v>0</v>
      </c>
      <c r="R726">
        <v>0</v>
      </c>
      <c r="S726">
        <v>2500.0700000000002</v>
      </c>
      <c r="T726" t="s">
        <v>4789</v>
      </c>
      <c r="U726">
        <v>1</v>
      </c>
      <c r="V726">
        <v>2500.0700000000002</v>
      </c>
      <c r="Y726" t="b">
        <v>1</v>
      </c>
      <c r="Z726" t="b">
        <v>0</v>
      </c>
      <c r="AA726">
        <v>2500.0700000000002</v>
      </c>
      <c r="AB726">
        <v>0</v>
      </c>
      <c r="AD726" t="b">
        <v>0</v>
      </c>
      <c r="AG726" s="1" t="s">
        <v>59</v>
      </c>
      <c r="AH726" s="1" t="s">
        <v>69</v>
      </c>
      <c r="AI726">
        <v>325</v>
      </c>
      <c r="AJ726">
        <v>244</v>
      </c>
      <c r="AK726" s="106">
        <v>45475.63549054398</v>
      </c>
      <c r="AL726" s="1" t="s">
        <v>4790</v>
      </c>
      <c r="AM726" s="42">
        <f>IFERROR(INDEX('Public procurment'!A:R,MATCH(ListOfExpenditure[[#This Row],[Content.contractId]],'Public procurment'!E:E,0),14),0)</f>
        <v>0</v>
      </c>
      <c r="AN726" s="2">
        <f>IF(AND(ListOfExpenditure[[#This Row],[Contract amount]]&gt;10000,ListOfExpenditure[[#This Row],[Content.declaredAmount]]&gt;2000),1,0)</f>
        <v>0</v>
      </c>
      <c r="AO726">
        <f>IFERROR(INDEX('Public procurment'!A:S,MATCH(ListOfExpenditure[[#This Row],[Content.contractId]],'Public procurment'!E:E,0),19),0)</f>
        <v>0</v>
      </c>
      <c r="AP726">
        <f>IF(ListOfExpenditure[[#This Row],[Numero di volte controllato il contract ]]&gt;0,0,ListOfExpenditure[[#This Row],[IF public procurment &gt;10000;1;0]])</f>
        <v>0</v>
      </c>
    </row>
    <row r="727" spans="1:42" x14ac:dyDescent="0.25">
      <c r="A727">
        <v>504</v>
      </c>
      <c r="B727">
        <v>1</v>
      </c>
      <c r="E727" t="s">
        <v>4786</v>
      </c>
      <c r="F727" t="b">
        <v>0</v>
      </c>
      <c r="I727" t="s">
        <v>5467</v>
      </c>
      <c r="K727" t="s">
        <v>5419</v>
      </c>
      <c r="L727" t="s">
        <v>5420</v>
      </c>
      <c r="M727" t="s">
        <v>4788</v>
      </c>
      <c r="N727" t="s">
        <v>4788</v>
      </c>
      <c r="O727">
        <v>4437.6400000000003</v>
      </c>
      <c r="Q727">
        <v>0</v>
      </c>
      <c r="R727">
        <v>0</v>
      </c>
      <c r="S727">
        <v>1395.08</v>
      </c>
      <c r="T727" t="s">
        <v>4789</v>
      </c>
      <c r="U727">
        <v>1</v>
      </c>
      <c r="V727">
        <v>1395.08</v>
      </c>
      <c r="W727" t="s">
        <v>4343</v>
      </c>
      <c r="Y727" t="b">
        <v>1</v>
      </c>
      <c r="Z727" t="b">
        <v>0</v>
      </c>
      <c r="AA727">
        <v>0</v>
      </c>
      <c r="AB727">
        <v>1395.08</v>
      </c>
      <c r="AC727">
        <v>12</v>
      </c>
      <c r="AD727" t="b">
        <v>0</v>
      </c>
      <c r="AF727" t="s">
        <v>5478</v>
      </c>
      <c r="AG727" s="1" t="s">
        <v>59</v>
      </c>
      <c r="AH727" s="1" t="s">
        <v>69</v>
      </c>
      <c r="AI727">
        <v>325</v>
      </c>
      <c r="AJ727">
        <v>75</v>
      </c>
      <c r="AK727" s="106">
        <v>45475.635456435186</v>
      </c>
      <c r="AL727" s="1" t="s">
        <v>4790</v>
      </c>
      <c r="AM727" s="42">
        <f>IFERROR(INDEX('Public procurment'!A:R,MATCH(ListOfExpenditure[[#This Row],[Content.contractId]],'Public procurment'!E:E,0),14),0)</f>
        <v>0</v>
      </c>
      <c r="AN727" s="2">
        <f>IF(AND(ListOfExpenditure[[#This Row],[Contract amount]]&gt;10000,ListOfExpenditure[[#This Row],[Content.declaredAmount]]&gt;2000),1,0)</f>
        <v>0</v>
      </c>
      <c r="AO727">
        <f>IFERROR(INDEX('Public procurment'!A:S,MATCH(ListOfExpenditure[[#This Row],[Content.contractId]],'Public procurment'!E:E,0),19),0)</f>
        <v>0</v>
      </c>
      <c r="AP727">
        <f>IF(ListOfExpenditure[[#This Row],[Numero di volte controllato il contract ]]&gt;0,0,ListOfExpenditure[[#This Row],[IF public procurment &gt;10000;1;0]])</f>
        <v>0</v>
      </c>
    </row>
    <row r="728" spans="1:42" x14ac:dyDescent="0.25">
      <c r="A728">
        <v>505</v>
      </c>
      <c r="B728">
        <v>2</v>
      </c>
      <c r="E728" t="s">
        <v>4786</v>
      </c>
      <c r="F728" t="b">
        <v>0</v>
      </c>
      <c r="I728" t="s">
        <v>5468</v>
      </c>
      <c r="K728" t="s">
        <v>4864</v>
      </c>
      <c r="L728" t="s">
        <v>5422</v>
      </c>
      <c r="M728" t="s">
        <v>4788</v>
      </c>
      <c r="N728" t="s">
        <v>4788</v>
      </c>
      <c r="O728">
        <v>6506.78</v>
      </c>
      <c r="Q728">
        <v>0</v>
      </c>
      <c r="R728">
        <v>0</v>
      </c>
      <c r="S728">
        <v>1196.4000000000001</v>
      </c>
      <c r="T728" t="s">
        <v>4789</v>
      </c>
      <c r="U728">
        <v>1</v>
      </c>
      <c r="V728">
        <v>1196.4000000000001</v>
      </c>
      <c r="W728" t="s">
        <v>4343</v>
      </c>
      <c r="Y728" t="b">
        <v>1</v>
      </c>
      <c r="Z728" t="b">
        <v>0</v>
      </c>
      <c r="AA728">
        <v>0</v>
      </c>
      <c r="AB728">
        <v>1196.4000000000001</v>
      </c>
      <c r="AC728">
        <v>12</v>
      </c>
      <c r="AD728" t="b">
        <v>0</v>
      </c>
      <c r="AF728" t="s">
        <v>5478</v>
      </c>
      <c r="AG728" s="1" t="s">
        <v>59</v>
      </c>
      <c r="AH728" s="1" t="s">
        <v>69</v>
      </c>
      <c r="AI728">
        <v>325</v>
      </c>
      <c r="AJ728">
        <v>75</v>
      </c>
      <c r="AK728" s="106">
        <v>45475.635456435186</v>
      </c>
      <c r="AL728" s="1" t="s">
        <v>4790</v>
      </c>
      <c r="AM728" s="42">
        <f>IFERROR(INDEX('Public procurment'!A:R,MATCH(ListOfExpenditure[[#This Row],[Content.contractId]],'Public procurment'!E:E,0),14),0)</f>
        <v>0</v>
      </c>
      <c r="AN728" s="2">
        <f>IF(AND(ListOfExpenditure[[#This Row],[Contract amount]]&gt;10000,ListOfExpenditure[[#This Row],[Content.declaredAmount]]&gt;2000),1,0)</f>
        <v>0</v>
      </c>
      <c r="AO728">
        <f>IFERROR(INDEX('Public procurment'!A:S,MATCH(ListOfExpenditure[[#This Row],[Content.contractId]],'Public procurment'!E:E,0),19),0)</f>
        <v>0</v>
      </c>
      <c r="AP728">
        <f>IF(ListOfExpenditure[[#This Row],[Numero di volte controllato il contract ]]&gt;0,0,ListOfExpenditure[[#This Row],[IF public procurment &gt;10000;1;0]])</f>
        <v>0</v>
      </c>
    </row>
    <row r="729" spans="1:42" x14ac:dyDescent="0.25">
      <c r="A729">
        <v>506</v>
      </c>
      <c r="B729">
        <v>3</v>
      </c>
      <c r="E729" t="s">
        <v>4786</v>
      </c>
      <c r="F729" t="b">
        <v>0</v>
      </c>
      <c r="I729" t="s">
        <v>5469</v>
      </c>
      <c r="K729" t="s">
        <v>5424</v>
      </c>
      <c r="L729" t="s">
        <v>5425</v>
      </c>
      <c r="M729" t="s">
        <v>4788</v>
      </c>
      <c r="N729" t="s">
        <v>4788</v>
      </c>
      <c r="O729">
        <v>4862.2700000000004</v>
      </c>
      <c r="Q729">
        <v>0</v>
      </c>
      <c r="R729">
        <v>0</v>
      </c>
      <c r="S729">
        <v>797.6</v>
      </c>
      <c r="T729" t="s">
        <v>4789</v>
      </c>
      <c r="U729">
        <v>1</v>
      </c>
      <c r="V729">
        <v>797.6</v>
      </c>
      <c r="W729" t="s">
        <v>4343</v>
      </c>
      <c r="Y729" t="b">
        <v>1</v>
      </c>
      <c r="Z729" t="b">
        <v>0</v>
      </c>
      <c r="AA729">
        <v>0</v>
      </c>
      <c r="AB729">
        <v>797.6</v>
      </c>
      <c r="AC729">
        <v>12</v>
      </c>
      <c r="AD729" t="b">
        <v>0</v>
      </c>
      <c r="AF729" t="s">
        <v>5478</v>
      </c>
      <c r="AG729" s="1" t="s">
        <v>59</v>
      </c>
      <c r="AH729" s="1" t="s">
        <v>69</v>
      </c>
      <c r="AI729">
        <v>325</v>
      </c>
      <c r="AJ729">
        <v>75</v>
      </c>
      <c r="AK729" s="106">
        <v>45475.635456435186</v>
      </c>
      <c r="AL729" s="1" t="s">
        <v>4790</v>
      </c>
      <c r="AM729" s="42">
        <f>IFERROR(INDEX('Public procurment'!A:R,MATCH(ListOfExpenditure[[#This Row],[Content.contractId]],'Public procurment'!E:E,0),14),0)</f>
        <v>0</v>
      </c>
      <c r="AN729" s="2">
        <f>IF(AND(ListOfExpenditure[[#This Row],[Contract amount]]&gt;10000,ListOfExpenditure[[#This Row],[Content.declaredAmount]]&gt;2000),1,0)</f>
        <v>0</v>
      </c>
      <c r="AO729">
        <f>IFERROR(INDEX('Public procurment'!A:S,MATCH(ListOfExpenditure[[#This Row],[Content.contractId]],'Public procurment'!E:E,0),19),0)</f>
        <v>0</v>
      </c>
      <c r="AP729">
        <f>IF(ListOfExpenditure[[#This Row],[Numero di volte controllato il contract ]]&gt;0,0,ListOfExpenditure[[#This Row],[IF public procurment &gt;10000;1;0]])</f>
        <v>0</v>
      </c>
    </row>
    <row r="730" spans="1:42" x14ac:dyDescent="0.25">
      <c r="A730">
        <v>507</v>
      </c>
      <c r="B730">
        <v>4</v>
      </c>
      <c r="E730" t="s">
        <v>4786</v>
      </c>
      <c r="F730" t="b">
        <v>0</v>
      </c>
      <c r="I730" t="s">
        <v>5470</v>
      </c>
      <c r="K730" t="s">
        <v>5427</v>
      </c>
      <c r="L730" t="s">
        <v>5428</v>
      </c>
      <c r="M730" t="s">
        <v>4788</v>
      </c>
      <c r="N730" t="s">
        <v>4788</v>
      </c>
      <c r="O730">
        <v>4862.2700000000004</v>
      </c>
      <c r="Q730">
        <v>0</v>
      </c>
      <c r="R730">
        <v>0</v>
      </c>
      <c r="S730">
        <v>797.6</v>
      </c>
      <c r="T730" t="s">
        <v>4789</v>
      </c>
      <c r="U730">
        <v>1</v>
      </c>
      <c r="V730">
        <v>797.6</v>
      </c>
      <c r="W730" t="s">
        <v>4343</v>
      </c>
      <c r="Y730" t="b">
        <v>1</v>
      </c>
      <c r="Z730" t="b">
        <v>0</v>
      </c>
      <c r="AA730">
        <v>0</v>
      </c>
      <c r="AB730">
        <v>797.6</v>
      </c>
      <c r="AC730">
        <v>12</v>
      </c>
      <c r="AD730" t="b">
        <v>0</v>
      </c>
      <c r="AF730" t="s">
        <v>5478</v>
      </c>
      <c r="AG730" s="1" t="s">
        <v>59</v>
      </c>
      <c r="AH730" s="1" t="s">
        <v>69</v>
      </c>
      <c r="AI730">
        <v>325</v>
      </c>
      <c r="AJ730">
        <v>75</v>
      </c>
      <c r="AK730" s="106">
        <v>45475.635456435186</v>
      </c>
      <c r="AL730" s="1" t="s">
        <v>4790</v>
      </c>
      <c r="AM730" s="42">
        <f>IFERROR(INDEX('Public procurment'!A:R,MATCH(ListOfExpenditure[[#This Row],[Content.contractId]],'Public procurment'!E:E,0),14),0)</f>
        <v>0</v>
      </c>
      <c r="AN730" s="2">
        <f>IF(AND(ListOfExpenditure[[#This Row],[Contract amount]]&gt;10000,ListOfExpenditure[[#This Row],[Content.declaredAmount]]&gt;2000),1,0)</f>
        <v>0</v>
      </c>
      <c r="AO730">
        <f>IFERROR(INDEX('Public procurment'!A:S,MATCH(ListOfExpenditure[[#This Row],[Content.contractId]],'Public procurment'!E:E,0),19),0)</f>
        <v>0</v>
      </c>
      <c r="AP730">
        <f>IF(ListOfExpenditure[[#This Row],[Numero di volte controllato il contract ]]&gt;0,0,ListOfExpenditure[[#This Row],[IF public procurment &gt;10000;1;0]])</f>
        <v>0</v>
      </c>
    </row>
    <row r="731" spans="1:42" x14ac:dyDescent="0.25">
      <c r="A731">
        <v>508</v>
      </c>
      <c r="B731">
        <v>5</v>
      </c>
      <c r="E731" t="s">
        <v>4786</v>
      </c>
      <c r="F731" t="b">
        <v>0</v>
      </c>
      <c r="I731" t="s">
        <v>5471</v>
      </c>
      <c r="K731" t="s">
        <v>5348</v>
      </c>
      <c r="L731" t="s">
        <v>5430</v>
      </c>
      <c r="M731" t="s">
        <v>4788</v>
      </c>
      <c r="N731" t="s">
        <v>4788</v>
      </c>
      <c r="O731">
        <v>4862.2700000000004</v>
      </c>
      <c r="Q731">
        <v>0</v>
      </c>
      <c r="R731">
        <v>0</v>
      </c>
      <c r="S731">
        <v>398.8</v>
      </c>
      <c r="T731" t="s">
        <v>4789</v>
      </c>
      <c r="U731">
        <v>1</v>
      </c>
      <c r="V731">
        <v>398.8</v>
      </c>
      <c r="W731" t="s">
        <v>4343</v>
      </c>
      <c r="Y731" t="b">
        <v>1</v>
      </c>
      <c r="Z731" t="b">
        <v>0</v>
      </c>
      <c r="AA731">
        <v>0</v>
      </c>
      <c r="AB731">
        <v>398.8</v>
      </c>
      <c r="AC731">
        <v>12</v>
      </c>
      <c r="AD731" t="b">
        <v>0</v>
      </c>
      <c r="AF731" t="s">
        <v>5478</v>
      </c>
      <c r="AG731" s="1" t="s">
        <v>59</v>
      </c>
      <c r="AH731" s="1" t="s">
        <v>69</v>
      </c>
      <c r="AI731">
        <v>325</v>
      </c>
      <c r="AJ731">
        <v>75</v>
      </c>
      <c r="AK731" s="106">
        <v>45475.635456435186</v>
      </c>
      <c r="AL731" s="1" t="s">
        <v>4790</v>
      </c>
      <c r="AM731" s="42">
        <f>IFERROR(INDEX('Public procurment'!A:R,MATCH(ListOfExpenditure[[#This Row],[Content.contractId]],'Public procurment'!E:E,0),14),0)</f>
        <v>0</v>
      </c>
      <c r="AN731" s="2">
        <f>IF(AND(ListOfExpenditure[[#This Row],[Contract amount]]&gt;10000,ListOfExpenditure[[#This Row],[Content.declaredAmount]]&gt;2000),1,0)</f>
        <v>0</v>
      </c>
      <c r="AO731">
        <f>IFERROR(INDEX('Public procurment'!A:S,MATCH(ListOfExpenditure[[#This Row],[Content.contractId]],'Public procurment'!E:E,0),19),0)</f>
        <v>0</v>
      </c>
      <c r="AP731">
        <f>IF(ListOfExpenditure[[#This Row],[Numero di volte controllato il contract ]]&gt;0,0,ListOfExpenditure[[#This Row],[IF public procurment &gt;10000;1;0]])</f>
        <v>0</v>
      </c>
    </row>
    <row r="732" spans="1:42" x14ac:dyDescent="0.25">
      <c r="A732">
        <v>509</v>
      </c>
      <c r="B732">
        <v>6</v>
      </c>
      <c r="E732" t="s">
        <v>4786</v>
      </c>
      <c r="F732" t="b">
        <v>0</v>
      </c>
      <c r="I732" t="s">
        <v>5472</v>
      </c>
      <c r="K732" t="s">
        <v>5432</v>
      </c>
      <c r="L732" t="s">
        <v>5357</v>
      </c>
      <c r="M732" t="s">
        <v>4788</v>
      </c>
      <c r="N732" t="s">
        <v>4788</v>
      </c>
      <c r="O732">
        <v>4862.2700000000004</v>
      </c>
      <c r="Q732">
        <v>0</v>
      </c>
      <c r="R732">
        <v>0</v>
      </c>
      <c r="S732">
        <v>498.8</v>
      </c>
      <c r="T732" t="s">
        <v>4789</v>
      </c>
      <c r="U732">
        <v>1</v>
      </c>
      <c r="V732">
        <v>498.8</v>
      </c>
      <c r="W732" t="s">
        <v>4343</v>
      </c>
      <c r="Y732" t="b">
        <v>1</v>
      </c>
      <c r="Z732" t="b">
        <v>0</v>
      </c>
      <c r="AA732">
        <v>0</v>
      </c>
      <c r="AB732">
        <v>498.8</v>
      </c>
      <c r="AC732">
        <v>12</v>
      </c>
      <c r="AD732" t="b">
        <v>0</v>
      </c>
      <c r="AF732" t="s">
        <v>5478</v>
      </c>
      <c r="AG732" s="1" t="s">
        <v>59</v>
      </c>
      <c r="AH732" s="1" t="s">
        <v>69</v>
      </c>
      <c r="AI732">
        <v>325</v>
      </c>
      <c r="AJ732">
        <v>75</v>
      </c>
      <c r="AK732" s="106">
        <v>45475.635456435186</v>
      </c>
      <c r="AL732" s="1" t="s">
        <v>4790</v>
      </c>
      <c r="AM732" s="42">
        <f>IFERROR(INDEX('Public procurment'!A:R,MATCH(ListOfExpenditure[[#This Row],[Content.contractId]],'Public procurment'!E:E,0),14),0)</f>
        <v>0</v>
      </c>
      <c r="AN732" s="2">
        <f>IF(AND(ListOfExpenditure[[#This Row],[Contract amount]]&gt;10000,ListOfExpenditure[[#This Row],[Content.declaredAmount]]&gt;2000),1,0)</f>
        <v>0</v>
      </c>
      <c r="AO732">
        <f>IFERROR(INDEX('Public procurment'!A:S,MATCH(ListOfExpenditure[[#This Row],[Content.contractId]],'Public procurment'!E:E,0),19),0)</f>
        <v>0</v>
      </c>
      <c r="AP732">
        <f>IF(ListOfExpenditure[[#This Row],[Numero di volte controllato il contract ]]&gt;0,0,ListOfExpenditure[[#This Row],[IF public procurment &gt;10000;1;0]])</f>
        <v>0</v>
      </c>
    </row>
    <row r="733" spans="1:42" x14ac:dyDescent="0.25">
      <c r="A733">
        <v>510</v>
      </c>
      <c r="B733">
        <v>7</v>
      </c>
      <c r="E733" t="s">
        <v>4786</v>
      </c>
      <c r="F733" t="b">
        <v>0</v>
      </c>
      <c r="I733" t="s">
        <v>5473</v>
      </c>
      <c r="K733" t="s">
        <v>5434</v>
      </c>
      <c r="L733" t="s">
        <v>5435</v>
      </c>
      <c r="M733" t="s">
        <v>4788</v>
      </c>
      <c r="N733" t="s">
        <v>4788</v>
      </c>
      <c r="O733">
        <v>4862.2700000000004</v>
      </c>
      <c r="Q733">
        <v>0</v>
      </c>
      <c r="R733">
        <v>0</v>
      </c>
      <c r="S733">
        <v>1296.0999999999999</v>
      </c>
      <c r="T733" t="s">
        <v>4789</v>
      </c>
      <c r="U733">
        <v>1</v>
      </c>
      <c r="V733">
        <v>1296.0999999999999</v>
      </c>
      <c r="W733" t="s">
        <v>4343</v>
      </c>
      <c r="Y733" t="b">
        <v>1</v>
      </c>
      <c r="Z733" t="b">
        <v>0</v>
      </c>
      <c r="AA733">
        <v>0</v>
      </c>
      <c r="AB733">
        <v>1296.0999999999999</v>
      </c>
      <c r="AC733">
        <v>12</v>
      </c>
      <c r="AD733" t="b">
        <v>0</v>
      </c>
      <c r="AF733" t="s">
        <v>5478</v>
      </c>
      <c r="AG733" s="1" t="s">
        <v>59</v>
      </c>
      <c r="AH733" s="1" t="s">
        <v>69</v>
      </c>
      <c r="AI733">
        <v>325</v>
      </c>
      <c r="AJ733">
        <v>75</v>
      </c>
      <c r="AK733" s="106">
        <v>45475.635456435186</v>
      </c>
      <c r="AL733" s="1" t="s">
        <v>4790</v>
      </c>
      <c r="AM733" s="42">
        <f>IFERROR(INDEX('Public procurment'!A:R,MATCH(ListOfExpenditure[[#This Row],[Content.contractId]],'Public procurment'!E:E,0),14),0)</f>
        <v>0</v>
      </c>
      <c r="AN733" s="2">
        <f>IF(AND(ListOfExpenditure[[#This Row],[Contract amount]]&gt;10000,ListOfExpenditure[[#This Row],[Content.declaredAmount]]&gt;2000),1,0)</f>
        <v>0</v>
      </c>
      <c r="AO733">
        <f>IFERROR(INDEX('Public procurment'!A:S,MATCH(ListOfExpenditure[[#This Row],[Content.contractId]],'Public procurment'!E:E,0),19),0)</f>
        <v>0</v>
      </c>
      <c r="AP733">
        <f>IF(ListOfExpenditure[[#This Row],[Numero di volte controllato il contract ]]&gt;0,0,ListOfExpenditure[[#This Row],[IF public procurment &gt;10000;1;0]])</f>
        <v>0</v>
      </c>
    </row>
    <row r="734" spans="1:42" x14ac:dyDescent="0.25">
      <c r="A734">
        <v>511</v>
      </c>
      <c r="B734">
        <v>8</v>
      </c>
      <c r="E734" t="s">
        <v>4786</v>
      </c>
      <c r="F734" t="b">
        <v>0</v>
      </c>
      <c r="I734" t="s">
        <v>5474</v>
      </c>
      <c r="K734" t="s">
        <v>5437</v>
      </c>
      <c r="L734" t="s">
        <v>4950</v>
      </c>
      <c r="M734" t="s">
        <v>4788</v>
      </c>
      <c r="N734" t="s">
        <v>4788</v>
      </c>
      <c r="O734">
        <v>4862.2700000000004</v>
      </c>
      <c r="Q734">
        <v>0</v>
      </c>
      <c r="R734">
        <v>0</v>
      </c>
      <c r="S734">
        <v>897.3</v>
      </c>
      <c r="T734" t="s">
        <v>4789</v>
      </c>
      <c r="U734">
        <v>1</v>
      </c>
      <c r="V734">
        <v>897.3</v>
      </c>
      <c r="W734" t="s">
        <v>4343</v>
      </c>
      <c r="Y734" t="b">
        <v>1</v>
      </c>
      <c r="Z734" t="b">
        <v>0</v>
      </c>
      <c r="AA734">
        <v>0</v>
      </c>
      <c r="AB734">
        <v>897.3</v>
      </c>
      <c r="AC734">
        <v>12</v>
      </c>
      <c r="AD734" t="b">
        <v>0</v>
      </c>
      <c r="AF734" t="s">
        <v>5478</v>
      </c>
      <c r="AG734" s="1" t="s">
        <v>59</v>
      </c>
      <c r="AH734" s="1" t="s">
        <v>69</v>
      </c>
      <c r="AI734">
        <v>325</v>
      </c>
      <c r="AJ734">
        <v>75</v>
      </c>
      <c r="AK734" s="106">
        <v>45475.635456435186</v>
      </c>
      <c r="AL734" s="1" t="s">
        <v>4790</v>
      </c>
      <c r="AM734" s="42">
        <f>IFERROR(INDEX('Public procurment'!A:R,MATCH(ListOfExpenditure[[#This Row],[Content.contractId]],'Public procurment'!E:E,0),14),0)</f>
        <v>0</v>
      </c>
      <c r="AN734" s="2">
        <f>IF(AND(ListOfExpenditure[[#This Row],[Contract amount]]&gt;10000,ListOfExpenditure[[#This Row],[Content.declaredAmount]]&gt;2000),1,0)</f>
        <v>0</v>
      </c>
      <c r="AO734">
        <f>IFERROR(INDEX('Public procurment'!A:S,MATCH(ListOfExpenditure[[#This Row],[Content.contractId]],'Public procurment'!E:E,0),19),0)</f>
        <v>0</v>
      </c>
      <c r="AP734">
        <f>IF(ListOfExpenditure[[#This Row],[Numero di volte controllato il contract ]]&gt;0,0,ListOfExpenditure[[#This Row],[IF public procurment &gt;10000;1;0]])</f>
        <v>0</v>
      </c>
    </row>
    <row r="735" spans="1:42" x14ac:dyDescent="0.25">
      <c r="A735">
        <v>513</v>
      </c>
      <c r="B735">
        <v>9</v>
      </c>
      <c r="E735" t="s">
        <v>4786</v>
      </c>
      <c r="F735" t="b">
        <v>0</v>
      </c>
      <c r="I735" t="s">
        <v>5475</v>
      </c>
      <c r="K735" t="s">
        <v>5036</v>
      </c>
      <c r="L735" t="s">
        <v>4455</v>
      </c>
      <c r="M735" t="s">
        <v>4788</v>
      </c>
      <c r="N735" t="s">
        <v>4788</v>
      </c>
      <c r="O735">
        <v>4862.2700000000004</v>
      </c>
      <c r="Q735">
        <v>0</v>
      </c>
      <c r="R735">
        <v>0</v>
      </c>
      <c r="S735">
        <v>797.6</v>
      </c>
      <c r="T735" t="s">
        <v>4789</v>
      </c>
      <c r="U735">
        <v>1</v>
      </c>
      <c r="V735">
        <v>797.6</v>
      </c>
      <c r="W735" t="s">
        <v>4343</v>
      </c>
      <c r="Y735" t="b">
        <v>1</v>
      </c>
      <c r="Z735" t="b">
        <v>0</v>
      </c>
      <c r="AA735">
        <v>0</v>
      </c>
      <c r="AB735">
        <v>797.6</v>
      </c>
      <c r="AC735">
        <v>12</v>
      </c>
      <c r="AD735" t="b">
        <v>0</v>
      </c>
      <c r="AF735" t="s">
        <v>5478</v>
      </c>
      <c r="AG735" s="1" t="s">
        <v>59</v>
      </c>
      <c r="AH735" s="1" t="s">
        <v>69</v>
      </c>
      <c r="AI735">
        <v>325</v>
      </c>
      <c r="AJ735">
        <v>75</v>
      </c>
      <c r="AK735" s="106">
        <v>45475.635456435186</v>
      </c>
      <c r="AL735" s="1" t="s">
        <v>4790</v>
      </c>
      <c r="AM735" s="42">
        <f>IFERROR(INDEX('Public procurment'!A:R,MATCH(ListOfExpenditure[[#This Row],[Content.contractId]],'Public procurment'!E:E,0),14),0)</f>
        <v>0</v>
      </c>
      <c r="AN735" s="2">
        <f>IF(AND(ListOfExpenditure[[#This Row],[Contract amount]]&gt;10000,ListOfExpenditure[[#This Row],[Content.declaredAmount]]&gt;2000),1,0)</f>
        <v>0</v>
      </c>
      <c r="AO735">
        <f>IFERROR(INDEX('Public procurment'!A:S,MATCH(ListOfExpenditure[[#This Row],[Content.contractId]],'Public procurment'!E:E,0),19),0)</f>
        <v>0</v>
      </c>
      <c r="AP735">
        <f>IF(ListOfExpenditure[[#This Row],[Numero di volte controllato il contract ]]&gt;0,0,ListOfExpenditure[[#This Row],[IF public procurment &gt;10000;1;0]])</f>
        <v>0</v>
      </c>
    </row>
    <row r="736" spans="1:42" x14ac:dyDescent="0.25">
      <c r="A736">
        <v>525</v>
      </c>
      <c r="B736">
        <v>10</v>
      </c>
      <c r="E736" t="s">
        <v>4786</v>
      </c>
      <c r="F736" t="b">
        <v>0</v>
      </c>
      <c r="I736" t="s">
        <v>5418</v>
      </c>
      <c r="K736" t="s">
        <v>5419</v>
      </c>
      <c r="L736" t="s">
        <v>5420</v>
      </c>
      <c r="M736" t="s">
        <v>4788</v>
      </c>
      <c r="N736" t="s">
        <v>4788</v>
      </c>
      <c r="O736">
        <v>4171.3100000000004</v>
      </c>
      <c r="Q736">
        <v>0</v>
      </c>
      <c r="R736">
        <v>0</v>
      </c>
      <c r="S736">
        <v>513.48</v>
      </c>
      <c r="T736" t="s">
        <v>4789</v>
      </c>
      <c r="U736">
        <v>1</v>
      </c>
      <c r="V736">
        <v>513.48</v>
      </c>
      <c r="W736" t="s">
        <v>4343</v>
      </c>
      <c r="Y736" t="b">
        <v>1</v>
      </c>
      <c r="Z736" t="b">
        <v>0</v>
      </c>
      <c r="AA736">
        <v>0</v>
      </c>
      <c r="AB736">
        <v>513.48</v>
      </c>
      <c r="AC736">
        <v>12</v>
      </c>
      <c r="AD736" t="b">
        <v>0</v>
      </c>
      <c r="AF736" t="s">
        <v>5478</v>
      </c>
      <c r="AG736" s="1" t="s">
        <v>59</v>
      </c>
      <c r="AH736" s="1" t="s">
        <v>69</v>
      </c>
      <c r="AI736">
        <v>325</v>
      </c>
      <c r="AJ736">
        <v>75</v>
      </c>
      <c r="AK736" s="106">
        <v>45475.635456435186</v>
      </c>
      <c r="AL736" s="1" t="s">
        <v>4790</v>
      </c>
      <c r="AM736" s="42">
        <f>IFERROR(INDEX('Public procurment'!A:R,MATCH(ListOfExpenditure[[#This Row],[Content.contractId]],'Public procurment'!E:E,0),14),0)</f>
        <v>0</v>
      </c>
      <c r="AN736" s="2">
        <f>IF(AND(ListOfExpenditure[[#This Row],[Contract amount]]&gt;10000,ListOfExpenditure[[#This Row],[Content.declaredAmount]]&gt;2000),1,0)</f>
        <v>0</v>
      </c>
      <c r="AO736">
        <f>IFERROR(INDEX('Public procurment'!A:S,MATCH(ListOfExpenditure[[#This Row],[Content.contractId]],'Public procurment'!E:E,0),19),0)</f>
        <v>0</v>
      </c>
      <c r="AP736">
        <f>IF(ListOfExpenditure[[#This Row],[Numero di volte controllato il contract ]]&gt;0,0,ListOfExpenditure[[#This Row],[IF public procurment &gt;10000;1;0]])</f>
        <v>0</v>
      </c>
    </row>
    <row r="737" spans="1:42" x14ac:dyDescent="0.25">
      <c r="A737">
        <v>526</v>
      </c>
      <c r="B737">
        <v>11</v>
      </c>
      <c r="E737" t="s">
        <v>4786</v>
      </c>
      <c r="F737" t="b">
        <v>0</v>
      </c>
      <c r="I737" t="s">
        <v>5421</v>
      </c>
      <c r="K737" t="s">
        <v>4864</v>
      </c>
      <c r="L737" t="s">
        <v>5422</v>
      </c>
      <c r="M737" t="s">
        <v>4788</v>
      </c>
      <c r="N737" t="s">
        <v>4788</v>
      </c>
      <c r="O737">
        <v>4171.3100000000004</v>
      </c>
      <c r="Q737">
        <v>0</v>
      </c>
      <c r="R737">
        <v>0</v>
      </c>
      <c r="S737">
        <v>641.85</v>
      </c>
      <c r="T737" t="s">
        <v>4789</v>
      </c>
      <c r="U737">
        <v>1</v>
      </c>
      <c r="V737">
        <v>641.85</v>
      </c>
      <c r="W737" t="s">
        <v>4343</v>
      </c>
      <c r="Y737" t="b">
        <v>1</v>
      </c>
      <c r="Z737" t="b">
        <v>0</v>
      </c>
      <c r="AA737">
        <v>0</v>
      </c>
      <c r="AB737">
        <v>641.85</v>
      </c>
      <c r="AC737">
        <v>12</v>
      </c>
      <c r="AD737" t="b">
        <v>0</v>
      </c>
      <c r="AF737" t="s">
        <v>5478</v>
      </c>
      <c r="AG737" s="1" t="s">
        <v>59</v>
      </c>
      <c r="AH737" s="1" t="s">
        <v>69</v>
      </c>
      <c r="AI737">
        <v>325</v>
      </c>
      <c r="AJ737">
        <v>75</v>
      </c>
      <c r="AK737" s="106">
        <v>45475.635456435186</v>
      </c>
      <c r="AL737" s="1" t="s">
        <v>4790</v>
      </c>
      <c r="AM737" s="42">
        <f>IFERROR(INDEX('Public procurment'!A:R,MATCH(ListOfExpenditure[[#This Row],[Content.contractId]],'Public procurment'!E:E,0),14),0)</f>
        <v>0</v>
      </c>
      <c r="AN737" s="2">
        <f>IF(AND(ListOfExpenditure[[#This Row],[Contract amount]]&gt;10000,ListOfExpenditure[[#This Row],[Content.declaredAmount]]&gt;2000),1,0)</f>
        <v>0</v>
      </c>
      <c r="AO737">
        <f>IFERROR(INDEX('Public procurment'!A:S,MATCH(ListOfExpenditure[[#This Row],[Content.contractId]],'Public procurment'!E:E,0),19),0)</f>
        <v>0</v>
      </c>
      <c r="AP737">
        <f>IF(ListOfExpenditure[[#This Row],[Numero di volte controllato il contract ]]&gt;0,0,ListOfExpenditure[[#This Row],[IF public procurment &gt;10000;1;0]])</f>
        <v>0</v>
      </c>
    </row>
    <row r="738" spans="1:42" x14ac:dyDescent="0.25">
      <c r="A738">
        <v>527</v>
      </c>
      <c r="B738">
        <v>12</v>
      </c>
      <c r="E738" t="s">
        <v>4786</v>
      </c>
      <c r="F738" t="b">
        <v>0</v>
      </c>
      <c r="I738" t="s">
        <v>5423</v>
      </c>
      <c r="K738" t="s">
        <v>5424</v>
      </c>
      <c r="L738" t="s">
        <v>5425</v>
      </c>
      <c r="M738" t="s">
        <v>4788</v>
      </c>
      <c r="N738" t="s">
        <v>4788</v>
      </c>
      <c r="O738">
        <v>4171.3100000000004</v>
      </c>
      <c r="Q738">
        <v>0</v>
      </c>
      <c r="R738">
        <v>0</v>
      </c>
      <c r="S738">
        <v>770.22</v>
      </c>
      <c r="T738" t="s">
        <v>4789</v>
      </c>
      <c r="U738">
        <v>1</v>
      </c>
      <c r="V738">
        <v>770.22</v>
      </c>
      <c r="W738" t="s">
        <v>4343</v>
      </c>
      <c r="Y738" t="b">
        <v>1</v>
      </c>
      <c r="Z738" t="b">
        <v>0</v>
      </c>
      <c r="AA738">
        <v>0</v>
      </c>
      <c r="AB738">
        <v>770.22</v>
      </c>
      <c r="AC738">
        <v>12</v>
      </c>
      <c r="AD738" t="b">
        <v>0</v>
      </c>
      <c r="AF738" t="s">
        <v>5478</v>
      </c>
      <c r="AG738" s="1" t="s">
        <v>59</v>
      </c>
      <c r="AH738" s="1" t="s">
        <v>69</v>
      </c>
      <c r="AI738">
        <v>325</v>
      </c>
      <c r="AJ738">
        <v>75</v>
      </c>
      <c r="AK738" s="106">
        <v>45475.635456435186</v>
      </c>
      <c r="AL738" s="1" t="s">
        <v>4790</v>
      </c>
      <c r="AM738" s="42">
        <f>IFERROR(INDEX('Public procurment'!A:R,MATCH(ListOfExpenditure[[#This Row],[Content.contractId]],'Public procurment'!E:E,0),14),0)</f>
        <v>0</v>
      </c>
      <c r="AN738" s="2">
        <f>IF(AND(ListOfExpenditure[[#This Row],[Contract amount]]&gt;10000,ListOfExpenditure[[#This Row],[Content.declaredAmount]]&gt;2000),1,0)</f>
        <v>0</v>
      </c>
      <c r="AO738">
        <f>IFERROR(INDEX('Public procurment'!A:S,MATCH(ListOfExpenditure[[#This Row],[Content.contractId]],'Public procurment'!E:E,0),19),0)</f>
        <v>0</v>
      </c>
      <c r="AP738">
        <f>IF(ListOfExpenditure[[#This Row],[Numero di volte controllato il contract ]]&gt;0,0,ListOfExpenditure[[#This Row],[IF public procurment &gt;10000;1;0]])</f>
        <v>0</v>
      </c>
    </row>
    <row r="739" spans="1:42" x14ac:dyDescent="0.25">
      <c r="A739">
        <v>528</v>
      </c>
      <c r="B739">
        <v>13</v>
      </c>
      <c r="E739" t="s">
        <v>4786</v>
      </c>
      <c r="F739" t="b">
        <v>0</v>
      </c>
      <c r="I739" t="s">
        <v>5426</v>
      </c>
      <c r="K739" t="s">
        <v>5427</v>
      </c>
      <c r="L739" t="s">
        <v>5428</v>
      </c>
      <c r="M739" t="s">
        <v>4788</v>
      </c>
      <c r="N739" t="s">
        <v>4788</v>
      </c>
      <c r="O739">
        <v>4171.3100000000004</v>
      </c>
      <c r="Q739">
        <v>0</v>
      </c>
      <c r="R739">
        <v>0</v>
      </c>
      <c r="S739">
        <v>427.9</v>
      </c>
      <c r="T739" t="s">
        <v>4789</v>
      </c>
      <c r="U739">
        <v>1</v>
      </c>
      <c r="V739">
        <v>427.9</v>
      </c>
      <c r="W739" t="s">
        <v>4343</v>
      </c>
      <c r="Y739" t="b">
        <v>1</v>
      </c>
      <c r="Z739" t="b">
        <v>0</v>
      </c>
      <c r="AA739">
        <v>0</v>
      </c>
      <c r="AB739">
        <v>427.9</v>
      </c>
      <c r="AC739">
        <v>12</v>
      </c>
      <c r="AD739" t="b">
        <v>0</v>
      </c>
      <c r="AF739" t="s">
        <v>5478</v>
      </c>
      <c r="AG739" s="1" t="s">
        <v>59</v>
      </c>
      <c r="AH739" s="1" t="s">
        <v>69</v>
      </c>
      <c r="AI739">
        <v>325</v>
      </c>
      <c r="AJ739">
        <v>75</v>
      </c>
      <c r="AK739" s="106">
        <v>45475.635456435186</v>
      </c>
      <c r="AL739" s="1" t="s">
        <v>4790</v>
      </c>
      <c r="AM739" s="42">
        <f>IFERROR(INDEX('Public procurment'!A:R,MATCH(ListOfExpenditure[[#This Row],[Content.contractId]],'Public procurment'!E:E,0),14),0)</f>
        <v>0</v>
      </c>
      <c r="AN739" s="2">
        <f>IF(AND(ListOfExpenditure[[#This Row],[Contract amount]]&gt;10000,ListOfExpenditure[[#This Row],[Content.declaredAmount]]&gt;2000),1,0)</f>
        <v>0</v>
      </c>
      <c r="AO739">
        <f>IFERROR(INDEX('Public procurment'!A:S,MATCH(ListOfExpenditure[[#This Row],[Content.contractId]],'Public procurment'!E:E,0),19),0)</f>
        <v>0</v>
      </c>
      <c r="AP739">
        <f>IF(ListOfExpenditure[[#This Row],[Numero di volte controllato il contract ]]&gt;0,0,ListOfExpenditure[[#This Row],[IF public procurment &gt;10000;1;0]])</f>
        <v>0</v>
      </c>
    </row>
    <row r="740" spans="1:42" x14ac:dyDescent="0.25">
      <c r="A740">
        <v>529</v>
      </c>
      <c r="B740">
        <v>14</v>
      </c>
      <c r="E740" t="s">
        <v>4786</v>
      </c>
      <c r="F740" t="b">
        <v>0</v>
      </c>
      <c r="I740" t="s">
        <v>5429</v>
      </c>
      <c r="K740" t="s">
        <v>5348</v>
      </c>
      <c r="L740" t="s">
        <v>5430</v>
      </c>
      <c r="M740" t="s">
        <v>4788</v>
      </c>
      <c r="N740" t="s">
        <v>4788</v>
      </c>
      <c r="O740">
        <v>4171.3100000000004</v>
      </c>
      <c r="Q740">
        <v>0</v>
      </c>
      <c r="R740">
        <v>0</v>
      </c>
      <c r="S740">
        <v>342.32</v>
      </c>
      <c r="T740" t="s">
        <v>4789</v>
      </c>
      <c r="U740">
        <v>1</v>
      </c>
      <c r="V740">
        <v>342.32</v>
      </c>
      <c r="W740" t="s">
        <v>4343</v>
      </c>
      <c r="Y740" t="b">
        <v>1</v>
      </c>
      <c r="Z740" t="b">
        <v>0</v>
      </c>
      <c r="AA740">
        <v>0</v>
      </c>
      <c r="AB740">
        <v>342.32</v>
      </c>
      <c r="AC740">
        <v>12</v>
      </c>
      <c r="AD740" t="b">
        <v>0</v>
      </c>
      <c r="AF740" t="s">
        <v>5478</v>
      </c>
      <c r="AG740" s="1" t="s">
        <v>59</v>
      </c>
      <c r="AH740" s="1" t="s">
        <v>69</v>
      </c>
      <c r="AI740">
        <v>325</v>
      </c>
      <c r="AJ740">
        <v>75</v>
      </c>
      <c r="AK740" s="106">
        <v>45475.635456435186</v>
      </c>
      <c r="AL740" s="1" t="s">
        <v>4790</v>
      </c>
      <c r="AM740" s="42">
        <f>IFERROR(INDEX('Public procurment'!A:R,MATCH(ListOfExpenditure[[#This Row],[Content.contractId]],'Public procurment'!E:E,0),14),0)</f>
        <v>0</v>
      </c>
      <c r="AN740" s="2">
        <f>IF(AND(ListOfExpenditure[[#This Row],[Contract amount]]&gt;10000,ListOfExpenditure[[#This Row],[Content.declaredAmount]]&gt;2000),1,0)</f>
        <v>0</v>
      </c>
      <c r="AO740">
        <f>IFERROR(INDEX('Public procurment'!A:S,MATCH(ListOfExpenditure[[#This Row],[Content.contractId]],'Public procurment'!E:E,0),19),0)</f>
        <v>0</v>
      </c>
      <c r="AP740">
        <f>IF(ListOfExpenditure[[#This Row],[Numero di volte controllato il contract ]]&gt;0,0,ListOfExpenditure[[#This Row],[IF public procurment &gt;10000;1;0]])</f>
        <v>0</v>
      </c>
    </row>
    <row r="741" spans="1:42" x14ac:dyDescent="0.25">
      <c r="A741">
        <v>530</v>
      </c>
      <c r="B741">
        <v>15</v>
      </c>
      <c r="E741" t="s">
        <v>4786</v>
      </c>
      <c r="F741" t="b">
        <v>0</v>
      </c>
      <c r="I741" t="s">
        <v>5431</v>
      </c>
      <c r="K741" t="s">
        <v>5432</v>
      </c>
      <c r="L741" t="s">
        <v>5357</v>
      </c>
      <c r="M741" t="s">
        <v>4788</v>
      </c>
      <c r="N741" t="s">
        <v>4788</v>
      </c>
      <c r="O741">
        <v>4171.3100000000004</v>
      </c>
      <c r="Q741">
        <v>0</v>
      </c>
      <c r="R741">
        <v>0</v>
      </c>
      <c r="S741">
        <v>1155.33</v>
      </c>
      <c r="T741" t="s">
        <v>4789</v>
      </c>
      <c r="U741">
        <v>1</v>
      </c>
      <c r="V741">
        <v>1155.33</v>
      </c>
      <c r="W741" t="s">
        <v>4343</v>
      </c>
      <c r="Y741" t="b">
        <v>1</v>
      </c>
      <c r="Z741" t="b">
        <v>0</v>
      </c>
      <c r="AA741">
        <v>0</v>
      </c>
      <c r="AB741">
        <v>1155.33</v>
      </c>
      <c r="AC741">
        <v>12</v>
      </c>
      <c r="AD741" t="b">
        <v>0</v>
      </c>
      <c r="AF741" t="s">
        <v>5478</v>
      </c>
      <c r="AG741" s="1" t="s">
        <v>59</v>
      </c>
      <c r="AH741" s="1" t="s">
        <v>69</v>
      </c>
      <c r="AI741">
        <v>325</v>
      </c>
      <c r="AJ741">
        <v>75</v>
      </c>
      <c r="AK741" s="106">
        <v>45475.635456435186</v>
      </c>
      <c r="AL741" s="1" t="s">
        <v>4790</v>
      </c>
      <c r="AM741" s="42">
        <f>IFERROR(INDEX('Public procurment'!A:R,MATCH(ListOfExpenditure[[#This Row],[Content.contractId]],'Public procurment'!E:E,0),14),0)</f>
        <v>0</v>
      </c>
      <c r="AN741" s="2">
        <f>IF(AND(ListOfExpenditure[[#This Row],[Contract amount]]&gt;10000,ListOfExpenditure[[#This Row],[Content.declaredAmount]]&gt;2000),1,0)</f>
        <v>0</v>
      </c>
      <c r="AO741">
        <f>IFERROR(INDEX('Public procurment'!A:S,MATCH(ListOfExpenditure[[#This Row],[Content.contractId]],'Public procurment'!E:E,0),19),0)</f>
        <v>0</v>
      </c>
      <c r="AP741">
        <f>IF(ListOfExpenditure[[#This Row],[Numero di volte controllato il contract ]]&gt;0,0,ListOfExpenditure[[#This Row],[IF public procurment &gt;10000;1;0]])</f>
        <v>0</v>
      </c>
    </row>
    <row r="742" spans="1:42" x14ac:dyDescent="0.25">
      <c r="A742">
        <v>531</v>
      </c>
      <c r="B742">
        <v>16</v>
      </c>
      <c r="E742" t="s">
        <v>4786</v>
      </c>
      <c r="F742" t="b">
        <v>0</v>
      </c>
      <c r="I742" t="s">
        <v>5433</v>
      </c>
      <c r="K742" t="s">
        <v>5434</v>
      </c>
      <c r="L742" t="s">
        <v>5435</v>
      </c>
      <c r="M742" t="s">
        <v>4788</v>
      </c>
      <c r="N742" t="s">
        <v>4788</v>
      </c>
      <c r="O742">
        <v>4171.3100000000004</v>
      </c>
      <c r="Q742">
        <v>0</v>
      </c>
      <c r="R742">
        <v>0</v>
      </c>
      <c r="S742">
        <v>427.9</v>
      </c>
      <c r="T742" t="s">
        <v>4789</v>
      </c>
      <c r="U742">
        <v>1</v>
      </c>
      <c r="V742">
        <v>427.9</v>
      </c>
      <c r="W742" t="s">
        <v>4343</v>
      </c>
      <c r="Y742" t="b">
        <v>1</v>
      </c>
      <c r="Z742" t="b">
        <v>0</v>
      </c>
      <c r="AA742">
        <v>0</v>
      </c>
      <c r="AB742">
        <v>427.9</v>
      </c>
      <c r="AC742">
        <v>12</v>
      </c>
      <c r="AD742" t="b">
        <v>0</v>
      </c>
      <c r="AF742" t="s">
        <v>5478</v>
      </c>
      <c r="AG742" s="1" t="s">
        <v>59</v>
      </c>
      <c r="AH742" s="1" t="s">
        <v>69</v>
      </c>
      <c r="AI742">
        <v>325</v>
      </c>
      <c r="AJ742">
        <v>75</v>
      </c>
      <c r="AK742" s="106">
        <v>45475.635456435186</v>
      </c>
      <c r="AL742" s="1" t="s">
        <v>4790</v>
      </c>
      <c r="AM742" s="42">
        <f>IFERROR(INDEX('Public procurment'!A:R,MATCH(ListOfExpenditure[[#This Row],[Content.contractId]],'Public procurment'!E:E,0),14),0)</f>
        <v>0</v>
      </c>
      <c r="AN742" s="2">
        <f>IF(AND(ListOfExpenditure[[#This Row],[Contract amount]]&gt;10000,ListOfExpenditure[[#This Row],[Content.declaredAmount]]&gt;2000),1,0)</f>
        <v>0</v>
      </c>
      <c r="AO742">
        <f>IFERROR(INDEX('Public procurment'!A:S,MATCH(ListOfExpenditure[[#This Row],[Content.contractId]],'Public procurment'!E:E,0),19),0)</f>
        <v>0</v>
      </c>
      <c r="AP742">
        <f>IF(ListOfExpenditure[[#This Row],[Numero di volte controllato il contract ]]&gt;0,0,ListOfExpenditure[[#This Row],[IF public procurment &gt;10000;1;0]])</f>
        <v>0</v>
      </c>
    </row>
    <row r="743" spans="1:42" x14ac:dyDescent="0.25">
      <c r="A743">
        <v>532</v>
      </c>
      <c r="B743">
        <v>17</v>
      </c>
      <c r="E743" t="s">
        <v>4786</v>
      </c>
      <c r="F743" t="b">
        <v>0</v>
      </c>
      <c r="I743" t="s">
        <v>5436</v>
      </c>
      <c r="K743" t="s">
        <v>5437</v>
      </c>
      <c r="L743" t="s">
        <v>4950</v>
      </c>
      <c r="M743" t="s">
        <v>4788</v>
      </c>
      <c r="N743" t="s">
        <v>4788</v>
      </c>
      <c r="O743">
        <v>4171.3100000000004</v>
      </c>
      <c r="Q743">
        <v>0</v>
      </c>
      <c r="R743">
        <v>0</v>
      </c>
      <c r="S743">
        <v>1711.6</v>
      </c>
      <c r="T743" t="s">
        <v>4789</v>
      </c>
      <c r="U743">
        <v>1</v>
      </c>
      <c r="V743">
        <v>1711.6</v>
      </c>
      <c r="W743" t="s">
        <v>4343</v>
      </c>
      <c r="Y743" t="b">
        <v>1</v>
      </c>
      <c r="Z743" t="b">
        <v>0</v>
      </c>
      <c r="AA743">
        <v>0</v>
      </c>
      <c r="AB743">
        <v>1711.6</v>
      </c>
      <c r="AC743">
        <v>12</v>
      </c>
      <c r="AD743" t="b">
        <v>0</v>
      </c>
      <c r="AF743" t="s">
        <v>5478</v>
      </c>
      <c r="AG743" s="1" t="s">
        <v>59</v>
      </c>
      <c r="AH743" s="1" t="s">
        <v>69</v>
      </c>
      <c r="AI743">
        <v>325</v>
      </c>
      <c r="AJ743">
        <v>75</v>
      </c>
      <c r="AK743" s="106">
        <v>45475.635456435186</v>
      </c>
      <c r="AL743" s="1" t="s">
        <v>4790</v>
      </c>
      <c r="AM743" s="42">
        <f>IFERROR(INDEX('Public procurment'!A:R,MATCH(ListOfExpenditure[[#This Row],[Content.contractId]],'Public procurment'!E:E,0),14),0)</f>
        <v>0</v>
      </c>
      <c r="AN743" s="2">
        <f>IF(AND(ListOfExpenditure[[#This Row],[Contract amount]]&gt;10000,ListOfExpenditure[[#This Row],[Content.declaredAmount]]&gt;2000),1,0)</f>
        <v>0</v>
      </c>
      <c r="AO743">
        <f>IFERROR(INDEX('Public procurment'!A:S,MATCH(ListOfExpenditure[[#This Row],[Content.contractId]],'Public procurment'!E:E,0),19),0)</f>
        <v>0</v>
      </c>
      <c r="AP743">
        <f>IF(ListOfExpenditure[[#This Row],[Numero di volte controllato il contract ]]&gt;0,0,ListOfExpenditure[[#This Row],[IF public procurment &gt;10000;1;0]])</f>
        <v>0</v>
      </c>
    </row>
    <row r="744" spans="1:42" x14ac:dyDescent="0.25">
      <c r="A744">
        <v>533</v>
      </c>
      <c r="B744">
        <v>18</v>
      </c>
      <c r="E744" t="s">
        <v>4786</v>
      </c>
      <c r="F744" t="b">
        <v>0</v>
      </c>
      <c r="I744" t="s">
        <v>5438</v>
      </c>
      <c r="K744" t="s">
        <v>5036</v>
      </c>
      <c r="L744" t="s">
        <v>4455</v>
      </c>
      <c r="M744" t="s">
        <v>4788</v>
      </c>
      <c r="N744" t="s">
        <v>4788</v>
      </c>
      <c r="O744">
        <v>4171.3100000000004</v>
      </c>
      <c r="Q744">
        <v>0</v>
      </c>
      <c r="R744">
        <v>0</v>
      </c>
      <c r="S744">
        <v>1626.02</v>
      </c>
      <c r="T744" t="s">
        <v>4789</v>
      </c>
      <c r="U744">
        <v>1</v>
      </c>
      <c r="V744">
        <v>1626.02</v>
      </c>
      <c r="W744" t="s">
        <v>4343</v>
      </c>
      <c r="Y744" t="b">
        <v>1</v>
      </c>
      <c r="Z744" t="b">
        <v>0</v>
      </c>
      <c r="AA744">
        <v>0</v>
      </c>
      <c r="AB744">
        <v>1626.02</v>
      </c>
      <c r="AC744">
        <v>12</v>
      </c>
      <c r="AD744" t="b">
        <v>0</v>
      </c>
      <c r="AF744" t="s">
        <v>5478</v>
      </c>
      <c r="AG744" s="1" t="s">
        <v>59</v>
      </c>
      <c r="AH744" s="1" t="s">
        <v>69</v>
      </c>
      <c r="AI744">
        <v>325</v>
      </c>
      <c r="AJ744">
        <v>75</v>
      </c>
      <c r="AK744" s="106">
        <v>45475.635456435186</v>
      </c>
      <c r="AL744" s="1" t="s">
        <v>4790</v>
      </c>
      <c r="AM744" s="42">
        <f>IFERROR(INDEX('Public procurment'!A:R,MATCH(ListOfExpenditure[[#This Row],[Content.contractId]],'Public procurment'!E:E,0),14),0)</f>
        <v>0</v>
      </c>
      <c r="AN744" s="2">
        <f>IF(AND(ListOfExpenditure[[#This Row],[Contract amount]]&gt;10000,ListOfExpenditure[[#This Row],[Content.declaredAmount]]&gt;2000),1,0)</f>
        <v>0</v>
      </c>
      <c r="AO744">
        <f>IFERROR(INDEX('Public procurment'!A:S,MATCH(ListOfExpenditure[[#This Row],[Content.contractId]],'Public procurment'!E:E,0),19),0)</f>
        <v>0</v>
      </c>
      <c r="AP744">
        <f>IF(ListOfExpenditure[[#This Row],[Numero di volte controllato il contract ]]&gt;0,0,ListOfExpenditure[[#This Row],[IF public procurment &gt;10000;1;0]])</f>
        <v>0</v>
      </c>
    </row>
    <row r="745" spans="1:42" x14ac:dyDescent="0.25">
      <c r="A745">
        <v>534</v>
      </c>
      <c r="B745">
        <v>19</v>
      </c>
      <c r="E745" t="s">
        <v>4786</v>
      </c>
      <c r="F745" t="b">
        <v>0</v>
      </c>
      <c r="I745" t="s">
        <v>5444</v>
      </c>
      <c r="K745" t="s">
        <v>5419</v>
      </c>
      <c r="L745" t="s">
        <v>5420</v>
      </c>
      <c r="M745" t="s">
        <v>4788</v>
      </c>
      <c r="N745" t="s">
        <v>4788</v>
      </c>
      <c r="O745">
        <v>2860.01</v>
      </c>
      <c r="Q745">
        <v>0</v>
      </c>
      <c r="R745">
        <v>0</v>
      </c>
      <c r="S745">
        <v>118.8</v>
      </c>
      <c r="T745" t="s">
        <v>4789</v>
      </c>
      <c r="U745">
        <v>1</v>
      </c>
      <c r="V745">
        <v>118.8</v>
      </c>
      <c r="W745" t="s">
        <v>4343</v>
      </c>
      <c r="Y745" t="b">
        <v>1</v>
      </c>
      <c r="Z745" t="b">
        <v>0</v>
      </c>
      <c r="AA745">
        <v>0</v>
      </c>
      <c r="AB745">
        <v>118.8</v>
      </c>
      <c r="AC745">
        <v>12</v>
      </c>
      <c r="AD745" t="b">
        <v>0</v>
      </c>
      <c r="AF745" t="s">
        <v>5478</v>
      </c>
      <c r="AG745" s="1" t="s">
        <v>59</v>
      </c>
      <c r="AH745" s="1" t="s">
        <v>69</v>
      </c>
      <c r="AI745">
        <v>325</v>
      </c>
      <c r="AJ745">
        <v>75</v>
      </c>
      <c r="AK745" s="106">
        <v>45475.635456435186</v>
      </c>
      <c r="AL745" s="1" t="s">
        <v>4790</v>
      </c>
      <c r="AM745" s="42">
        <f>IFERROR(INDEX('Public procurment'!A:R,MATCH(ListOfExpenditure[[#This Row],[Content.contractId]],'Public procurment'!E:E,0),14),0)</f>
        <v>0</v>
      </c>
      <c r="AN745" s="2">
        <f>IF(AND(ListOfExpenditure[[#This Row],[Contract amount]]&gt;10000,ListOfExpenditure[[#This Row],[Content.declaredAmount]]&gt;2000),1,0)</f>
        <v>0</v>
      </c>
      <c r="AO745">
        <f>IFERROR(INDEX('Public procurment'!A:S,MATCH(ListOfExpenditure[[#This Row],[Content.contractId]],'Public procurment'!E:E,0),19),0)</f>
        <v>0</v>
      </c>
      <c r="AP745">
        <f>IF(ListOfExpenditure[[#This Row],[Numero di volte controllato il contract ]]&gt;0,0,ListOfExpenditure[[#This Row],[IF public procurment &gt;10000;1;0]])</f>
        <v>0</v>
      </c>
    </row>
    <row r="746" spans="1:42" x14ac:dyDescent="0.25">
      <c r="A746">
        <v>535</v>
      </c>
      <c r="B746">
        <v>20</v>
      </c>
      <c r="E746" t="s">
        <v>4786</v>
      </c>
      <c r="F746" t="b">
        <v>0</v>
      </c>
      <c r="I746" t="s">
        <v>5445</v>
      </c>
      <c r="K746" t="s">
        <v>4864</v>
      </c>
      <c r="L746" t="s">
        <v>5422</v>
      </c>
      <c r="M746" t="s">
        <v>4788</v>
      </c>
      <c r="N746" t="s">
        <v>4788</v>
      </c>
      <c r="O746">
        <v>2860.01</v>
      </c>
      <c r="Q746">
        <v>0</v>
      </c>
      <c r="R746">
        <v>0</v>
      </c>
      <c r="S746">
        <v>1366.2</v>
      </c>
      <c r="T746" t="s">
        <v>4789</v>
      </c>
      <c r="U746">
        <v>1</v>
      </c>
      <c r="V746">
        <v>1366.2</v>
      </c>
      <c r="W746" t="s">
        <v>4343</v>
      </c>
      <c r="Y746" t="b">
        <v>1</v>
      </c>
      <c r="Z746" t="b">
        <v>0</v>
      </c>
      <c r="AA746">
        <v>0</v>
      </c>
      <c r="AB746">
        <v>1366.2</v>
      </c>
      <c r="AC746">
        <v>12</v>
      </c>
      <c r="AD746" t="b">
        <v>0</v>
      </c>
      <c r="AF746" t="s">
        <v>5478</v>
      </c>
      <c r="AG746" s="1" t="s">
        <v>59</v>
      </c>
      <c r="AH746" s="1" t="s">
        <v>69</v>
      </c>
      <c r="AI746">
        <v>325</v>
      </c>
      <c r="AJ746">
        <v>75</v>
      </c>
      <c r="AK746" s="106">
        <v>45475.635456435186</v>
      </c>
      <c r="AL746" s="1" t="s">
        <v>4790</v>
      </c>
      <c r="AM746" s="42">
        <f>IFERROR(INDEX('Public procurment'!A:R,MATCH(ListOfExpenditure[[#This Row],[Content.contractId]],'Public procurment'!E:E,0),14),0)</f>
        <v>0</v>
      </c>
      <c r="AN746" s="2">
        <f>IF(AND(ListOfExpenditure[[#This Row],[Contract amount]]&gt;10000,ListOfExpenditure[[#This Row],[Content.declaredAmount]]&gt;2000),1,0)</f>
        <v>0</v>
      </c>
      <c r="AO746">
        <f>IFERROR(INDEX('Public procurment'!A:S,MATCH(ListOfExpenditure[[#This Row],[Content.contractId]],'Public procurment'!E:E,0),19),0)</f>
        <v>0</v>
      </c>
      <c r="AP746">
        <f>IF(ListOfExpenditure[[#This Row],[Numero di volte controllato il contract ]]&gt;0,0,ListOfExpenditure[[#This Row],[IF public procurment &gt;10000;1;0]])</f>
        <v>0</v>
      </c>
    </row>
    <row r="747" spans="1:42" x14ac:dyDescent="0.25">
      <c r="A747">
        <v>536</v>
      </c>
      <c r="B747">
        <v>21</v>
      </c>
      <c r="E747" t="s">
        <v>4786</v>
      </c>
      <c r="F747" t="b">
        <v>0</v>
      </c>
      <c r="I747" t="s">
        <v>5446</v>
      </c>
      <c r="K747" t="s">
        <v>5424</v>
      </c>
      <c r="L747" t="s">
        <v>5425</v>
      </c>
      <c r="M747" t="s">
        <v>4788</v>
      </c>
      <c r="N747" t="s">
        <v>4788</v>
      </c>
      <c r="O747">
        <v>2860.01</v>
      </c>
      <c r="Q747">
        <v>0</v>
      </c>
      <c r="R747">
        <v>0</v>
      </c>
      <c r="S747">
        <v>2554.1999999999998</v>
      </c>
      <c r="T747" t="s">
        <v>4789</v>
      </c>
      <c r="U747">
        <v>1</v>
      </c>
      <c r="V747">
        <v>2554.1999999999998</v>
      </c>
      <c r="W747" t="s">
        <v>4343</v>
      </c>
      <c r="Y747" t="b">
        <v>1</v>
      </c>
      <c r="Z747" t="b">
        <v>0</v>
      </c>
      <c r="AA747">
        <v>0</v>
      </c>
      <c r="AB747">
        <v>2554.1999999999998</v>
      </c>
      <c r="AC747">
        <v>12</v>
      </c>
      <c r="AD747" t="b">
        <v>0</v>
      </c>
      <c r="AF747" t="s">
        <v>5478</v>
      </c>
      <c r="AG747" s="1" t="s">
        <v>59</v>
      </c>
      <c r="AH747" s="1" t="s">
        <v>69</v>
      </c>
      <c r="AI747">
        <v>325</v>
      </c>
      <c r="AJ747">
        <v>75</v>
      </c>
      <c r="AK747" s="106">
        <v>45475.635456435186</v>
      </c>
      <c r="AL747" s="1" t="s">
        <v>4790</v>
      </c>
      <c r="AM747" s="42">
        <f>IFERROR(INDEX('Public procurment'!A:R,MATCH(ListOfExpenditure[[#This Row],[Content.contractId]],'Public procurment'!E:E,0),14),0)</f>
        <v>0</v>
      </c>
      <c r="AN747" s="2">
        <f>IF(AND(ListOfExpenditure[[#This Row],[Contract amount]]&gt;10000,ListOfExpenditure[[#This Row],[Content.declaredAmount]]&gt;2000),1,0)</f>
        <v>0</v>
      </c>
      <c r="AO747">
        <f>IFERROR(INDEX('Public procurment'!A:S,MATCH(ListOfExpenditure[[#This Row],[Content.contractId]],'Public procurment'!E:E,0),19),0)</f>
        <v>0</v>
      </c>
      <c r="AP747">
        <f>IF(ListOfExpenditure[[#This Row],[Numero di volte controllato il contract ]]&gt;0,0,ListOfExpenditure[[#This Row],[IF public procurment &gt;10000;1;0]])</f>
        <v>0</v>
      </c>
    </row>
    <row r="748" spans="1:42" x14ac:dyDescent="0.25">
      <c r="A748">
        <v>537</v>
      </c>
      <c r="B748">
        <v>22</v>
      </c>
      <c r="E748" t="s">
        <v>4786</v>
      </c>
      <c r="F748" t="b">
        <v>0</v>
      </c>
      <c r="I748" t="s">
        <v>5447</v>
      </c>
      <c r="K748" t="s">
        <v>5427</v>
      </c>
      <c r="L748" t="s">
        <v>5428</v>
      </c>
      <c r="M748" t="s">
        <v>4788</v>
      </c>
      <c r="N748" t="s">
        <v>4788</v>
      </c>
      <c r="O748">
        <v>2860.01</v>
      </c>
      <c r="Q748">
        <v>0</v>
      </c>
      <c r="R748">
        <v>0</v>
      </c>
      <c r="S748">
        <v>445.5</v>
      </c>
      <c r="T748" t="s">
        <v>4789</v>
      </c>
      <c r="U748">
        <v>1</v>
      </c>
      <c r="V748">
        <v>445.5</v>
      </c>
      <c r="W748" t="s">
        <v>4343</v>
      </c>
      <c r="Y748" t="b">
        <v>1</v>
      </c>
      <c r="Z748" t="b">
        <v>0</v>
      </c>
      <c r="AA748">
        <v>0</v>
      </c>
      <c r="AB748">
        <v>445.5</v>
      </c>
      <c r="AC748">
        <v>12</v>
      </c>
      <c r="AD748" t="b">
        <v>0</v>
      </c>
      <c r="AF748" t="s">
        <v>5478</v>
      </c>
      <c r="AG748" s="1" t="s">
        <v>59</v>
      </c>
      <c r="AH748" s="1" t="s">
        <v>69</v>
      </c>
      <c r="AI748">
        <v>325</v>
      </c>
      <c r="AJ748">
        <v>75</v>
      </c>
      <c r="AK748" s="106">
        <v>45475.635456435186</v>
      </c>
      <c r="AL748" s="1" t="s">
        <v>4790</v>
      </c>
      <c r="AM748" s="42">
        <f>IFERROR(INDEX('Public procurment'!A:R,MATCH(ListOfExpenditure[[#This Row],[Content.contractId]],'Public procurment'!E:E,0),14),0)</f>
        <v>0</v>
      </c>
      <c r="AN748" s="2">
        <f>IF(AND(ListOfExpenditure[[#This Row],[Contract amount]]&gt;10000,ListOfExpenditure[[#This Row],[Content.declaredAmount]]&gt;2000),1,0)</f>
        <v>0</v>
      </c>
      <c r="AO748">
        <f>IFERROR(INDEX('Public procurment'!A:S,MATCH(ListOfExpenditure[[#This Row],[Content.contractId]],'Public procurment'!E:E,0),19),0)</f>
        <v>0</v>
      </c>
      <c r="AP748">
        <f>IF(ListOfExpenditure[[#This Row],[Numero di volte controllato il contract ]]&gt;0,0,ListOfExpenditure[[#This Row],[IF public procurment &gt;10000;1;0]])</f>
        <v>0</v>
      </c>
    </row>
    <row r="749" spans="1:42" x14ac:dyDescent="0.25">
      <c r="A749">
        <v>538</v>
      </c>
      <c r="B749">
        <v>23</v>
      </c>
      <c r="E749" t="s">
        <v>4786</v>
      </c>
      <c r="F749" t="b">
        <v>0</v>
      </c>
      <c r="I749" t="s">
        <v>5448</v>
      </c>
      <c r="K749" t="s">
        <v>5348</v>
      </c>
      <c r="L749" t="s">
        <v>5430</v>
      </c>
      <c r="M749" t="s">
        <v>4788</v>
      </c>
      <c r="N749" t="s">
        <v>4788</v>
      </c>
      <c r="O749">
        <v>2860.01</v>
      </c>
      <c r="Q749">
        <v>0</v>
      </c>
      <c r="R749">
        <v>0</v>
      </c>
      <c r="S749">
        <v>415.8</v>
      </c>
      <c r="T749" t="s">
        <v>4789</v>
      </c>
      <c r="U749">
        <v>1</v>
      </c>
      <c r="V749">
        <v>415.8</v>
      </c>
      <c r="W749" t="s">
        <v>4343</v>
      </c>
      <c r="Y749" t="b">
        <v>1</v>
      </c>
      <c r="Z749" t="b">
        <v>0</v>
      </c>
      <c r="AA749">
        <v>0</v>
      </c>
      <c r="AB749">
        <v>415.8</v>
      </c>
      <c r="AC749">
        <v>12</v>
      </c>
      <c r="AD749" t="b">
        <v>0</v>
      </c>
      <c r="AF749" t="s">
        <v>5478</v>
      </c>
      <c r="AG749" s="1" t="s">
        <v>59</v>
      </c>
      <c r="AH749" s="1" t="s">
        <v>69</v>
      </c>
      <c r="AI749">
        <v>325</v>
      </c>
      <c r="AJ749">
        <v>75</v>
      </c>
      <c r="AK749" s="106">
        <v>45475.635456435186</v>
      </c>
      <c r="AL749" s="1" t="s">
        <v>4790</v>
      </c>
      <c r="AM749" s="42">
        <f>IFERROR(INDEX('Public procurment'!A:R,MATCH(ListOfExpenditure[[#This Row],[Content.contractId]],'Public procurment'!E:E,0),14),0)</f>
        <v>0</v>
      </c>
      <c r="AN749" s="2">
        <f>IF(AND(ListOfExpenditure[[#This Row],[Contract amount]]&gt;10000,ListOfExpenditure[[#This Row],[Content.declaredAmount]]&gt;2000),1,0)</f>
        <v>0</v>
      </c>
      <c r="AO749">
        <f>IFERROR(INDEX('Public procurment'!A:S,MATCH(ListOfExpenditure[[#This Row],[Content.contractId]],'Public procurment'!E:E,0),19),0)</f>
        <v>0</v>
      </c>
      <c r="AP749">
        <f>IF(ListOfExpenditure[[#This Row],[Numero di volte controllato il contract ]]&gt;0,0,ListOfExpenditure[[#This Row],[IF public procurment &gt;10000;1;0]])</f>
        <v>0</v>
      </c>
    </row>
    <row r="750" spans="1:42" x14ac:dyDescent="0.25">
      <c r="A750">
        <v>539</v>
      </c>
      <c r="B750">
        <v>24</v>
      </c>
      <c r="E750" t="s">
        <v>4786</v>
      </c>
      <c r="F750" t="b">
        <v>0</v>
      </c>
      <c r="I750" t="s">
        <v>5449</v>
      </c>
      <c r="K750" t="s">
        <v>5432</v>
      </c>
      <c r="L750" t="s">
        <v>5357</v>
      </c>
      <c r="M750" t="s">
        <v>4788</v>
      </c>
      <c r="N750" t="s">
        <v>4788</v>
      </c>
      <c r="O750">
        <v>2860.01</v>
      </c>
      <c r="Q750">
        <v>0</v>
      </c>
      <c r="R750">
        <v>0</v>
      </c>
      <c r="S750">
        <v>237.6</v>
      </c>
      <c r="T750" t="s">
        <v>4789</v>
      </c>
      <c r="U750">
        <v>1</v>
      </c>
      <c r="V750">
        <v>237.6</v>
      </c>
      <c r="W750" t="s">
        <v>4343</v>
      </c>
      <c r="Y750" t="b">
        <v>1</v>
      </c>
      <c r="Z750" t="b">
        <v>0</v>
      </c>
      <c r="AA750">
        <v>0</v>
      </c>
      <c r="AB750">
        <v>237.6</v>
      </c>
      <c r="AC750">
        <v>12</v>
      </c>
      <c r="AD750" t="b">
        <v>0</v>
      </c>
      <c r="AF750" t="s">
        <v>5478</v>
      </c>
      <c r="AG750" s="1" t="s">
        <v>59</v>
      </c>
      <c r="AH750" s="1" t="s">
        <v>69</v>
      </c>
      <c r="AI750">
        <v>325</v>
      </c>
      <c r="AJ750">
        <v>75</v>
      </c>
      <c r="AK750" s="106">
        <v>45475.635456435186</v>
      </c>
      <c r="AL750" s="1" t="s">
        <v>4790</v>
      </c>
      <c r="AM750" s="42">
        <f>IFERROR(INDEX('Public procurment'!A:R,MATCH(ListOfExpenditure[[#This Row],[Content.contractId]],'Public procurment'!E:E,0),14),0)</f>
        <v>0</v>
      </c>
      <c r="AN750" s="2">
        <f>IF(AND(ListOfExpenditure[[#This Row],[Contract amount]]&gt;10000,ListOfExpenditure[[#This Row],[Content.declaredAmount]]&gt;2000),1,0)</f>
        <v>0</v>
      </c>
      <c r="AO750">
        <f>IFERROR(INDEX('Public procurment'!A:S,MATCH(ListOfExpenditure[[#This Row],[Content.contractId]],'Public procurment'!E:E,0),19),0)</f>
        <v>0</v>
      </c>
      <c r="AP750">
        <f>IF(ListOfExpenditure[[#This Row],[Numero di volte controllato il contract ]]&gt;0,0,ListOfExpenditure[[#This Row],[IF public procurment &gt;10000;1;0]])</f>
        <v>0</v>
      </c>
    </row>
    <row r="751" spans="1:42" x14ac:dyDescent="0.25">
      <c r="A751">
        <v>540</v>
      </c>
      <c r="B751">
        <v>25</v>
      </c>
      <c r="E751" t="s">
        <v>4786</v>
      </c>
      <c r="F751" t="b">
        <v>0</v>
      </c>
      <c r="I751" t="s">
        <v>5445</v>
      </c>
      <c r="K751" t="s">
        <v>5434</v>
      </c>
      <c r="L751" t="s">
        <v>5435</v>
      </c>
      <c r="M751" t="s">
        <v>4788</v>
      </c>
      <c r="N751" t="s">
        <v>4788</v>
      </c>
      <c r="O751">
        <v>2860.01</v>
      </c>
      <c r="Q751">
        <v>0</v>
      </c>
      <c r="R751">
        <v>0</v>
      </c>
      <c r="S751">
        <v>178.2</v>
      </c>
      <c r="T751" t="s">
        <v>4789</v>
      </c>
      <c r="U751">
        <v>1</v>
      </c>
      <c r="V751">
        <v>178.2</v>
      </c>
      <c r="W751" t="s">
        <v>4343</v>
      </c>
      <c r="Y751" t="b">
        <v>1</v>
      </c>
      <c r="Z751" t="b">
        <v>0</v>
      </c>
      <c r="AA751">
        <v>0</v>
      </c>
      <c r="AB751">
        <v>178.2</v>
      </c>
      <c r="AC751">
        <v>12</v>
      </c>
      <c r="AD751" t="b">
        <v>0</v>
      </c>
      <c r="AF751" t="s">
        <v>5478</v>
      </c>
      <c r="AG751" s="1" t="s">
        <v>59</v>
      </c>
      <c r="AH751" s="1" t="s">
        <v>69</v>
      </c>
      <c r="AI751">
        <v>325</v>
      </c>
      <c r="AJ751">
        <v>75</v>
      </c>
      <c r="AK751" s="106">
        <v>45475.635456435186</v>
      </c>
      <c r="AL751" s="1" t="s">
        <v>4790</v>
      </c>
      <c r="AM751" s="42">
        <f>IFERROR(INDEX('Public procurment'!A:R,MATCH(ListOfExpenditure[[#This Row],[Content.contractId]],'Public procurment'!E:E,0),14),0)</f>
        <v>0</v>
      </c>
      <c r="AN751" s="2">
        <f>IF(AND(ListOfExpenditure[[#This Row],[Contract amount]]&gt;10000,ListOfExpenditure[[#This Row],[Content.declaredAmount]]&gt;2000),1,0)</f>
        <v>0</v>
      </c>
      <c r="AO751">
        <f>IFERROR(INDEX('Public procurment'!A:S,MATCH(ListOfExpenditure[[#This Row],[Content.contractId]],'Public procurment'!E:E,0),19),0)</f>
        <v>0</v>
      </c>
      <c r="AP751">
        <f>IF(ListOfExpenditure[[#This Row],[Numero di volte controllato il contract ]]&gt;0,0,ListOfExpenditure[[#This Row],[IF public procurment &gt;10000;1;0]])</f>
        <v>0</v>
      </c>
    </row>
    <row r="752" spans="1:42" x14ac:dyDescent="0.25">
      <c r="A752">
        <v>541</v>
      </c>
      <c r="B752">
        <v>26</v>
      </c>
      <c r="E752" t="s">
        <v>4786</v>
      </c>
      <c r="F752" t="b">
        <v>0</v>
      </c>
      <c r="I752" t="s">
        <v>5450</v>
      </c>
      <c r="K752" t="s">
        <v>5437</v>
      </c>
      <c r="L752" t="s">
        <v>4950</v>
      </c>
      <c r="M752" t="s">
        <v>4788</v>
      </c>
      <c r="N752" t="s">
        <v>4788</v>
      </c>
      <c r="O752">
        <v>2860.01</v>
      </c>
      <c r="Q752">
        <v>0</v>
      </c>
      <c r="R752">
        <v>0</v>
      </c>
      <c r="S752">
        <v>178.2</v>
      </c>
      <c r="T752" t="s">
        <v>4789</v>
      </c>
      <c r="U752">
        <v>1</v>
      </c>
      <c r="V752">
        <v>178.2</v>
      </c>
      <c r="W752" t="s">
        <v>4343</v>
      </c>
      <c r="Y752" t="b">
        <v>1</v>
      </c>
      <c r="Z752" t="b">
        <v>0</v>
      </c>
      <c r="AA752">
        <v>0</v>
      </c>
      <c r="AB752">
        <v>178.2</v>
      </c>
      <c r="AC752">
        <v>12</v>
      </c>
      <c r="AD752" t="b">
        <v>0</v>
      </c>
      <c r="AF752" t="s">
        <v>5478</v>
      </c>
      <c r="AG752" s="1" t="s">
        <v>59</v>
      </c>
      <c r="AH752" s="1" t="s">
        <v>69</v>
      </c>
      <c r="AI752">
        <v>325</v>
      </c>
      <c r="AJ752">
        <v>75</v>
      </c>
      <c r="AK752" s="106">
        <v>45475.635456435186</v>
      </c>
      <c r="AL752" s="1" t="s">
        <v>4790</v>
      </c>
      <c r="AM752" s="42">
        <f>IFERROR(INDEX('Public procurment'!A:R,MATCH(ListOfExpenditure[[#This Row],[Content.contractId]],'Public procurment'!E:E,0),14),0)</f>
        <v>0</v>
      </c>
      <c r="AN752" s="2">
        <f>IF(AND(ListOfExpenditure[[#This Row],[Contract amount]]&gt;10000,ListOfExpenditure[[#This Row],[Content.declaredAmount]]&gt;2000),1,0)</f>
        <v>0</v>
      </c>
      <c r="AO752">
        <f>IFERROR(INDEX('Public procurment'!A:S,MATCH(ListOfExpenditure[[#This Row],[Content.contractId]],'Public procurment'!E:E,0),19),0)</f>
        <v>0</v>
      </c>
      <c r="AP752">
        <f>IF(ListOfExpenditure[[#This Row],[Numero di volte controllato il contract ]]&gt;0,0,ListOfExpenditure[[#This Row],[IF public procurment &gt;10000;1;0]])</f>
        <v>0</v>
      </c>
    </row>
    <row r="753" spans="1:42" x14ac:dyDescent="0.25">
      <c r="A753">
        <v>542</v>
      </c>
      <c r="B753">
        <v>27</v>
      </c>
      <c r="E753" t="s">
        <v>4786</v>
      </c>
      <c r="F753" t="b">
        <v>0</v>
      </c>
      <c r="I753" t="s">
        <v>5451</v>
      </c>
      <c r="K753" t="s">
        <v>5036</v>
      </c>
      <c r="L753" t="s">
        <v>4455</v>
      </c>
      <c r="M753" t="s">
        <v>4788</v>
      </c>
      <c r="N753" t="s">
        <v>4788</v>
      </c>
      <c r="O753">
        <v>2860.01</v>
      </c>
      <c r="Q753">
        <v>0</v>
      </c>
      <c r="R753">
        <v>0</v>
      </c>
      <c r="S753">
        <v>534.6</v>
      </c>
      <c r="T753" t="s">
        <v>4789</v>
      </c>
      <c r="U753">
        <v>1</v>
      </c>
      <c r="V753">
        <v>534.6</v>
      </c>
      <c r="W753" t="s">
        <v>4343</v>
      </c>
      <c r="Y753" t="b">
        <v>1</v>
      </c>
      <c r="Z753" t="b">
        <v>0</v>
      </c>
      <c r="AA753">
        <v>0</v>
      </c>
      <c r="AB753">
        <v>534.6</v>
      </c>
      <c r="AC753">
        <v>12</v>
      </c>
      <c r="AD753" t="b">
        <v>0</v>
      </c>
      <c r="AF753" t="s">
        <v>5478</v>
      </c>
      <c r="AG753" s="1" t="s">
        <v>59</v>
      </c>
      <c r="AH753" s="1" t="s">
        <v>69</v>
      </c>
      <c r="AI753">
        <v>325</v>
      </c>
      <c r="AJ753">
        <v>75</v>
      </c>
      <c r="AK753" s="106">
        <v>45475.635456435186</v>
      </c>
      <c r="AL753" s="1" t="s">
        <v>4790</v>
      </c>
      <c r="AM753" s="42">
        <f>IFERROR(INDEX('Public procurment'!A:R,MATCH(ListOfExpenditure[[#This Row],[Content.contractId]],'Public procurment'!E:E,0),14),0)</f>
        <v>0</v>
      </c>
      <c r="AN753" s="2">
        <f>IF(AND(ListOfExpenditure[[#This Row],[Contract amount]]&gt;10000,ListOfExpenditure[[#This Row],[Content.declaredAmount]]&gt;2000),1,0)</f>
        <v>0</v>
      </c>
      <c r="AO753">
        <f>IFERROR(INDEX('Public procurment'!A:S,MATCH(ListOfExpenditure[[#This Row],[Content.contractId]],'Public procurment'!E:E,0),19),0)</f>
        <v>0</v>
      </c>
      <c r="AP753">
        <f>IF(ListOfExpenditure[[#This Row],[Numero di volte controllato il contract ]]&gt;0,0,ListOfExpenditure[[#This Row],[IF public procurment &gt;10000;1;0]])</f>
        <v>0</v>
      </c>
    </row>
    <row r="754" spans="1:42" x14ac:dyDescent="0.25">
      <c r="A754">
        <v>543</v>
      </c>
      <c r="B754">
        <v>28</v>
      </c>
      <c r="E754" t="s">
        <v>4786</v>
      </c>
      <c r="F754" t="b">
        <v>0</v>
      </c>
      <c r="I754" t="s">
        <v>5455</v>
      </c>
      <c r="K754" t="s">
        <v>5419</v>
      </c>
      <c r="L754" t="s">
        <v>5420</v>
      </c>
      <c r="M754" t="s">
        <v>4788</v>
      </c>
      <c r="N754" t="s">
        <v>4788</v>
      </c>
      <c r="O754">
        <v>3432</v>
      </c>
      <c r="Q754">
        <v>0</v>
      </c>
      <c r="R754">
        <v>0</v>
      </c>
      <c r="S754">
        <v>641.52</v>
      </c>
      <c r="T754" t="s">
        <v>4789</v>
      </c>
      <c r="U754">
        <v>1</v>
      </c>
      <c r="V754">
        <v>641.52</v>
      </c>
      <c r="W754" t="s">
        <v>4343</v>
      </c>
      <c r="Y754" t="b">
        <v>1</v>
      </c>
      <c r="Z754" t="b">
        <v>0</v>
      </c>
      <c r="AA754">
        <v>0</v>
      </c>
      <c r="AB754">
        <v>641.52</v>
      </c>
      <c r="AC754">
        <v>12</v>
      </c>
      <c r="AD754" t="b">
        <v>0</v>
      </c>
      <c r="AF754" t="s">
        <v>5478</v>
      </c>
      <c r="AG754" s="1" t="s">
        <v>59</v>
      </c>
      <c r="AH754" s="1" t="s">
        <v>69</v>
      </c>
      <c r="AI754">
        <v>325</v>
      </c>
      <c r="AJ754">
        <v>75</v>
      </c>
      <c r="AK754" s="106">
        <v>45475.635456435186</v>
      </c>
      <c r="AL754" s="1" t="s">
        <v>4790</v>
      </c>
      <c r="AM754" s="42">
        <f>IFERROR(INDEX('Public procurment'!A:R,MATCH(ListOfExpenditure[[#This Row],[Content.contractId]],'Public procurment'!E:E,0),14),0)</f>
        <v>0</v>
      </c>
      <c r="AN754" s="2">
        <f>IF(AND(ListOfExpenditure[[#This Row],[Contract amount]]&gt;10000,ListOfExpenditure[[#This Row],[Content.declaredAmount]]&gt;2000),1,0)</f>
        <v>0</v>
      </c>
      <c r="AO754">
        <f>IFERROR(INDEX('Public procurment'!A:S,MATCH(ListOfExpenditure[[#This Row],[Content.contractId]],'Public procurment'!E:E,0),19),0)</f>
        <v>0</v>
      </c>
      <c r="AP754">
        <f>IF(ListOfExpenditure[[#This Row],[Numero di volte controllato il contract ]]&gt;0,0,ListOfExpenditure[[#This Row],[IF public procurment &gt;10000;1;0]])</f>
        <v>0</v>
      </c>
    </row>
    <row r="755" spans="1:42" x14ac:dyDescent="0.25">
      <c r="A755">
        <v>544</v>
      </c>
      <c r="B755">
        <v>29</v>
      </c>
      <c r="E755" t="s">
        <v>4786</v>
      </c>
      <c r="F755" t="b">
        <v>0</v>
      </c>
      <c r="I755" t="s">
        <v>5456</v>
      </c>
      <c r="K755" t="s">
        <v>4864</v>
      </c>
      <c r="L755" t="s">
        <v>5422</v>
      </c>
      <c r="M755" t="s">
        <v>4788</v>
      </c>
      <c r="N755" t="s">
        <v>4788</v>
      </c>
      <c r="O755">
        <v>3432</v>
      </c>
      <c r="Q755">
        <v>0</v>
      </c>
      <c r="R755">
        <v>0</v>
      </c>
      <c r="S755">
        <v>926.64</v>
      </c>
      <c r="T755" t="s">
        <v>4789</v>
      </c>
      <c r="U755">
        <v>1</v>
      </c>
      <c r="V755">
        <v>926.64</v>
      </c>
      <c r="W755" t="s">
        <v>4343</v>
      </c>
      <c r="Y755" t="b">
        <v>1</v>
      </c>
      <c r="Z755" t="b">
        <v>0</v>
      </c>
      <c r="AA755">
        <v>0</v>
      </c>
      <c r="AB755">
        <v>926.64</v>
      </c>
      <c r="AC755">
        <v>12</v>
      </c>
      <c r="AD755" t="b">
        <v>0</v>
      </c>
      <c r="AF755" t="s">
        <v>5478</v>
      </c>
      <c r="AG755" s="1" t="s">
        <v>59</v>
      </c>
      <c r="AH755" s="1" t="s">
        <v>69</v>
      </c>
      <c r="AI755">
        <v>325</v>
      </c>
      <c r="AJ755">
        <v>75</v>
      </c>
      <c r="AK755" s="106">
        <v>45475.635456435186</v>
      </c>
      <c r="AL755" s="1" t="s">
        <v>4790</v>
      </c>
      <c r="AM755" s="42">
        <f>IFERROR(INDEX('Public procurment'!A:R,MATCH(ListOfExpenditure[[#This Row],[Content.contractId]],'Public procurment'!E:E,0),14),0)</f>
        <v>0</v>
      </c>
      <c r="AN755" s="2">
        <f>IF(AND(ListOfExpenditure[[#This Row],[Contract amount]]&gt;10000,ListOfExpenditure[[#This Row],[Content.declaredAmount]]&gt;2000),1,0)</f>
        <v>0</v>
      </c>
      <c r="AO755">
        <f>IFERROR(INDEX('Public procurment'!A:S,MATCH(ListOfExpenditure[[#This Row],[Content.contractId]],'Public procurment'!E:E,0),19),0)</f>
        <v>0</v>
      </c>
      <c r="AP755">
        <f>IF(ListOfExpenditure[[#This Row],[Numero di volte controllato il contract ]]&gt;0,0,ListOfExpenditure[[#This Row],[IF public procurment &gt;10000;1;0]])</f>
        <v>0</v>
      </c>
    </row>
    <row r="756" spans="1:42" x14ac:dyDescent="0.25">
      <c r="A756">
        <v>545</v>
      </c>
      <c r="B756">
        <v>30</v>
      </c>
      <c r="E756" t="s">
        <v>4786</v>
      </c>
      <c r="F756" t="b">
        <v>0</v>
      </c>
      <c r="I756" t="s">
        <v>5457</v>
      </c>
      <c r="K756" t="s">
        <v>5424</v>
      </c>
      <c r="L756" t="s">
        <v>5425</v>
      </c>
      <c r="M756" t="s">
        <v>4788</v>
      </c>
      <c r="N756" t="s">
        <v>4788</v>
      </c>
      <c r="O756">
        <v>3432</v>
      </c>
      <c r="Q756">
        <v>0</v>
      </c>
      <c r="R756">
        <v>0</v>
      </c>
      <c r="S756">
        <v>926.64</v>
      </c>
      <c r="T756" t="s">
        <v>4789</v>
      </c>
      <c r="U756">
        <v>1</v>
      </c>
      <c r="V756">
        <v>926.64</v>
      </c>
      <c r="W756" t="s">
        <v>4343</v>
      </c>
      <c r="Y756" t="b">
        <v>1</v>
      </c>
      <c r="Z756" t="b">
        <v>0</v>
      </c>
      <c r="AA756">
        <v>0</v>
      </c>
      <c r="AB756">
        <v>926.64</v>
      </c>
      <c r="AC756">
        <v>12</v>
      </c>
      <c r="AD756" t="b">
        <v>0</v>
      </c>
      <c r="AF756" t="s">
        <v>5478</v>
      </c>
      <c r="AG756" s="1" t="s">
        <v>59</v>
      </c>
      <c r="AH756" s="1" t="s">
        <v>69</v>
      </c>
      <c r="AI756">
        <v>325</v>
      </c>
      <c r="AJ756">
        <v>75</v>
      </c>
      <c r="AK756" s="106">
        <v>45475.635456435186</v>
      </c>
      <c r="AL756" s="1" t="s">
        <v>4790</v>
      </c>
      <c r="AM756" s="42">
        <f>IFERROR(INDEX('Public procurment'!A:R,MATCH(ListOfExpenditure[[#This Row],[Content.contractId]],'Public procurment'!E:E,0),14),0)</f>
        <v>0</v>
      </c>
      <c r="AN756" s="2">
        <f>IF(AND(ListOfExpenditure[[#This Row],[Contract amount]]&gt;10000,ListOfExpenditure[[#This Row],[Content.declaredAmount]]&gt;2000),1,0)</f>
        <v>0</v>
      </c>
      <c r="AO756">
        <f>IFERROR(INDEX('Public procurment'!A:S,MATCH(ListOfExpenditure[[#This Row],[Content.contractId]],'Public procurment'!E:E,0),19),0)</f>
        <v>0</v>
      </c>
      <c r="AP756">
        <f>IF(ListOfExpenditure[[#This Row],[Numero di volte controllato il contract ]]&gt;0,0,ListOfExpenditure[[#This Row],[IF public procurment &gt;10000;1;0]])</f>
        <v>0</v>
      </c>
    </row>
    <row r="757" spans="1:42" x14ac:dyDescent="0.25">
      <c r="A757">
        <v>546</v>
      </c>
      <c r="B757">
        <v>31</v>
      </c>
      <c r="E757" t="s">
        <v>4786</v>
      </c>
      <c r="F757" t="b">
        <v>0</v>
      </c>
      <c r="I757" t="s">
        <v>5458</v>
      </c>
      <c r="K757" t="s">
        <v>5427</v>
      </c>
      <c r="L757" t="s">
        <v>5428</v>
      </c>
      <c r="M757" t="s">
        <v>4788</v>
      </c>
      <c r="N757" t="s">
        <v>4788</v>
      </c>
      <c r="O757">
        <v>3432</v>
      </c>
      <c r="Q757">
        <v>0</v>
      </c>
      <c r="R757">
        <v>0</v>
      </c>
      <c r="S757">
        <v>891</v>
      </c>
      <c r="T757" t="s">
        <v>4789</v>
      </c>
      <c r="U757">
        <v>1</v>
      </c>
      <c r="V757">
        <v>891</v>
      </c>
      <c r="W757" t="s">
        <v>4343</v>
      </c>
      <c r="Y757" t="b">
        <v>1</v>
      </c>
      <c r="Z757" t="b">
        <v>0</v>
      </c>
      <c r="AA757">
        <v>0</v>
      </c>
      <c r="AB757">
        <v>891</v>
      </c>
      <c r="AC757">
        <v>12</v>
      </c>
      <c r="AD757" t="b">
        <v>0</v>
      </c>
      <c r="AF757" t="s">
        <v>5478</v>
      </c>
      <c r="AG757" s="1" t="s">
        <v>59</v>
      </c>
      <c r="AH757" s="1" t="s">
        <v>69</v>
      </c>
      <c r="AI757">
        <v>325</v>
      </c>
      <c r="AJ757">
        <v>75</v>
      </c>
      <c r="AK757" s="106">
        <v>45475.635456435186</v>
      </c>
      <c r="AL757" s="1" t="s">
        <v>4790</v>
      </c>
      <c r="AM757" s="42">
        <f>IFERROR(INDEX('Public procurment'!A:R,MATCH(ListOfExpenditure[[#This Row],[Content.contractId]],'Public procurment'!E:E,0),14),0)</f>
        <v>0</v>
      </c>
      <c r="AN757" s="2">
        <f>IF(AND(ListOfExpenditure[[#This Row],[Contract amount]]&gt;10000,ListOfExpenditure[[#This Row],[Content.declaredAmount]]&gt;2000),1,0)</f>
        <v>0</v>
      </c>
      <c r="AO757">
        <f>IFERROR(INDEX('Public procurment'!A:S,MATCH(ListOfExpenditure[[#This Row],[Content.contractId]],'Public procurment'!E:E,0),19),0)</f>
        <v>0</v>
      </c>
      <c r="AP757">
        <f>IF(ListOfExpenditure[[#This Row],[Numero di volte controllato il contract ]]&gt;0,0,ListOfExpenditure[[#This Row],[IF public procurment &gt;10000;1;0]])</f>
        <v>0</v>
      </c>
    </row>
    <row r="758" spans="1:42" x14ac:dyDescent="0.25">
      <c r="A758">
        <v>547</v>
      </c>
      <c r="B758">
        <v>32</v>
      </c>
      <c r="E758" t="s">
        <v>4786</v>
      </c>
      <c r="F758" t="b">
        <v>0</v>
      </c>
      <c r="I758" t="s">
        <v>5459</v>
      </c>
      <c r="K758" t="s">
        <v>5348</v>
      </c>
      <c r="L758" t="s">
        <v>5430</v>
      </c>
      <c r="M758" t="s">
        <v>4788</v>
      </c>
      <c r="N758" t="s">
        <v>4788</v>
      </c>
      <c r="O758">
        <v>3432</v>
      </c>
      <c r="Q758">
        <v>0</v>
      </c>
      <c r="R758">
        <v>0</v>
      </c>
      <c r="S758">
        <v>1069.2</v>
      </c>
      <c r="T758" t="s">
        <v>4789</v>
      </c>
      <c r="U758">
        <v>1</v>
      </c>
      <c r="V758">
        <v>1069.2</v>
      </c>
      <c r="W758" t="s">
        <v>4343</v>
      </c>
      <c r="Y758" t="b">
        <v>1</v>
      </c>
      <c r="Z758" t="b">
        <v>0</v>
      </c>
      <c r="AA758">
        <v>0</v>
      </c>
      <c r="AB758">
        <v>1069.2</v>
      </c>
      <c r="AC758">
        <v>12</v>
      </c>
      <c r="AD758" t="b">
        <v>0</v>
      </c>
      <c r="AF758" t="s">
        <v>5478</v>
      </c>
      <c r="AG758" s="1" t="s">
        <v>59</v>
      </c>
      <c r="AH758" s="1" t="s">
        <v>69</v>
      </c>
      <c r="AI758">
        <v>325</v>
      </c>
      <c r="AJ758">
        <v>75</v>
      </c>
      <c r="AK758" s="106">
        <v>45475.635456435186</v>
      </c>
      <c r="AL758" s="1" t="s">
        <v>4790</v>
      </c>
      <c r="AM758" s="42">
        <f>IFERROR(INDEX('Public procurment'!A:R,MATCH(ListOfExpenditure[[#This Row],[Content.contractId]],'Public procurment'!E:E,0),14),0)</f>
        <v>0</v>
      </c>
      <c r="AN758" s="2">
        <f>IF(AND(ListOfExpenditure[[#This Row],[Contract amount]]&gt;10000,ListOfExpenditure[[#This Row],[Content.declaredAmount]]&gt;2000),1,0)</f>
        <v>0</v>
      </c>
      <c r="AO758">
        <f>IFERROR(INDEX('Public procurment'!A:S,MATCH(ListOfExpenditure[[#This Row],[Content.contractId]],'Public procurment'!E:E,0),19),0)</f>
        <v>0</v>
      </c>
      <c r="AP758">
        <f>IF(ListOfExpenditure[[#This Row],[Numero di volte controllato il contract ]]&gt;0,0,ListOfExpenditure[[#This Row],[IF public procurment &gt;10000;1;0]])</f>
        <v>0</v>
      </c>
    </row>
    <row r="759" spans="1:42" x14ac:dyDescent="0.25">
      <c r="A759">
        <v>548</v>
      </c>
      <c r="B759">
        <v>33</v>
      </c>
      <c r="E759" t="s">
        <v>4786</v>
      </c>
      <c r="F759" t="b">
        <v>0</v>
      </c>
      <c r="I759" t="s">
        <v>5460</v>
      </c>
      <c r="K759" t="s">
        <v>5432</v>
      </c>
      <c r="L759" t="s">
        <v>5357</v>
      </c>
      <c r="M759" t="s">
        <v>4788</v>
      </c>
      <c r="N759" t="s">
        <v>4788</v>
      </c>
      <c r="O759">
        <v>3432</v>
      </c>
      <c r="Q759">
        <v>0</v>
      </c>
      <c r="R759">
        <v>0</v>
      </c>
      <c r="S759">
        <v>926.64</v>
      </c>
      <c r="T759" t="s">
        <v>4789</v>
      </c>
      <c r="U759">
        <v>1</v>
      </c>
      <c r="V759">
        <v>926.64</v>
      </c>
      <c r="W759" t="s">
        <v>4343</v>
      </c>
      <c r="Y759" t="b">
        <v>1</v>
      </c>
      <c r="Z759" t="b">
        <v>0</v>
      </c>
      <c r="AA759">
        <v>0</v>
      </c>
      <c r="AB759">
        <v>926.64</v>
      </c>
      <c r="AC759">
        <v>12</v>
      </c>
      <c r="AD759" t="b">
        <v>0</v>
      </c>
      <c r="AF759" t="s">
        <v>5478</v>
      </c>
      <c r="AG759" s="1" t="s">
        <v>59</v>
      </c>
      <c r="AH759" s="1" t="s">
        <v>69</v>
      </c>
      <c r="AI759">
        <v>325</v>
      </c>
      <c r="AJ759">
        <v>75</v>
      </c>
      <c r="AK759" s="106">
        <v>45475.635456435186</v>
      </c>
      <c r="AL759" s="1" t="s">
        <v>4790</v>
      </c>
      <c r="AM759" s="42">
        <f>IFERROR(INDEX('Public procurment'!A:R,MATCH(ListOfExpenditure[[#This Row],[Content.contractId]],'Public procurment'!E:E,0),14),0)</f>
        <v>0</v>
      </c>
      <c r="AN759" s="2">
        <f>IF(AND(ListOfExpenditure[[#This Row],[Contract amount]]&gt;10000,ListOfExpenditure[[#This Row],[Content.declaredAmount]]&gt;2000),1,0)</f>
        <v>0</v>
      </c>
      <c r="AO759">
        <f>IFERROR(INDEX('Public procurment'!A:S,MATCH(ListOfExpenditure[[#This Row],[Content.contractId]],'Public procurment'!E:E,0),19),0)</f>
        <v>0</v>
      </c>
      <c r="AP759">
        <f>IF(ListOfExpenditure[[#This Row],[Numero di volte controllato il contract ]]&gt;0,0,ListOfExpenditure[[#This Row],[IF public procurment &gt;10000;1;0]])</f>
        <v>0</v>
      </c>
    </row>
    <row r="760" spans="1:42" x14ac:dyDescent="0.25">
      <c r="A760">
        <v>549</v>
      </c>
      <c r="B760">
        <v>34</v>
      </c>
      <c r="E760" t="s">
        <v>4786</v>
      </c>
      <c r="F760" t="b">
        <v>0</v>
      </c>
      <c r="I760" t="s">
        <v>5461</v>
      </c>
      <c r="K760" t="s">
        <v>5434</v>
      </c>
      <c r="L760" t="s">
        <v>5435</v>
      </c>
      <c r="M760" t="s">
        <v>4788</v>
      </c>
      <c r="N760" t="s">
        <v>4788</v>
      </c>
      <c r="O760">
        <v>3432</v>
      </c>
      <c r="Q760">
        <v>0</v>
      </c>
      <c r="R760">
        <v>0</v>
      </c>
      <c r="S760">
        <v>784.08</v>
      </c>
      <c r="T760" t="s">
        <v>4789</v>
      </c>
      <c r="U760">
        <v>1</v>
      </c>
      <c r="V760">
        <v>784.08</v>
      </c>
      <c r="W760" t="s">
        <v>4343</v>
      </c>
      <c r="Y760" t="b">
        <v>1</v>
      </c>
      <c r="Z760" t="b">
        <v>0</v>
      </c>
      <c r="AA760">
        <v>0</v>
      </c>
      <c r="AB760">
        <v>784.08</v>
      </c>
      <c r="AC760">
        <v>12</v>
      </c>
      <c r="AD760" t="b">
        <v>0</v>
      </c>
      <c r="AF760" t="s">
        <v>5478</v>
      </c>
      <c r="AG760" s="1" t="s">
        <v>59</v>
      </c>
      <c r="AH760" s="1" t="s">
        <v>69</v>
      </c>
      <c r="AI760">
        <v>325</v>
      </c>
      <c r="AJ760">
        <v>75</v>
      </c>
      <c r="AK760" s="106">
        <v>45475.635456435186</v>
      </c>
      <c r="AL760" s="1" t="s">
        <v>4790</v>
      </c>
      <c r="AM760" s="42">
        <f>IFERROR(INDEX('Public procurment'!A:R,MATCH(ListOfExpenditure[[#This Row],[Content.contractId]],'Public procurment'!E:E,0),14),0)</f>
        <v>0</v>
      </c>
      <c r="AN760" s="2">
        <f>IF(AND(ListOfExpenditure[[#This Row],[Contract amount]]&gt;10000,ListOfExpenditure[[#This Row],[Content.declaredAmount]]&gt;2000),1,0)</f>
        <v>0</v>
      </c>
      <c r="AO760">
        <f>IFERROR(INDEX('Public procurment'!A:S,MATCH(ListOfExpenditure[[#This Row],[Content.contractId]],'Public procurment'!E:E,0),19),0)</f>
        <v>0</v>
      </c>
      <c r="AP760">
        <f>IF(ListOfExpenditure[[#This Row],[Numero di volte controllato il contract ]]&gt;0,0,ListOfExpenditure[[#This Row],[IF public procurment &gt;10000;1;0]])</f>
        <v>0</v>
      </c>
    </row>
    <row r="761" spans="1:42" x14ac:dyDescent="0.25">
      <c r="A761">
        <v>550</v>
      </c>
      <c r="B761">
        <v>35</v>
      </c>
      <c r="E761" t="s">
        <v>4786</v>
      </c>
      <c r="F761" t="b">
        <v>0</v>
      </c>
      <c r="I761" t="s">
        <v>5463</v>
      </c>
      <c r="K761" t="s">
        <v>5036</v>
      </c>
      <c r="L761" t="s">
        <v>4455</v>
      </c>
      <c r="M761" t="s">
        <v>4788</v>
      </c>
      <c r="N761" t="s">
        <v>4788</v>
      </c>
      <c r="O761">
        <v>3432</v>
      </c>
      <c r="Q761">
        <v>0</v>
      </c>
      <c r="R761">
        <v>0</v>
      </c>
      <c r="S761">
        <v>178.2</v>
      </c>
      <c r="T761" t="s">
        <v>4789</v>
      </c>
      <c r="U761">
        <v>1</v>
      </c>
      <c r="V761">
        <v>178.2</v>
      </c>
      <c r="W761" t="s">
        <v>4343</v>
      </c>
      <c r="Y761" t="b">
        <v>1</v>
      </c>
      <c r="Z761" t="b">
        <v>0</v>
      </c>
      <c r="AA761">
        <v>0</v>
      </c>
      <c r="AB761">
        <v>178.2</v>
      </c>
      <c r="AC761">
        <v>12</v>
      </c>
      <c r="AD761" t="b">
        <v>0</v>
      </c>
      <c r="AF761" t="s">
        <v>5478</v>
      </c>
      <c r="AG761" s="1" t="s">
        <v>59</v>
      </c>
      <c r="AH761" s="1" t="s">
        <v>69</v>
      </c>
      <c r="AI761">
        <v>325</v>
      </c>
      <c r="AJ761">
        <v>75</v>
      </c>
      <c r="AK761" s="106">
        <v>45475.635456435186</v>
      </c>
      <c r="AL761" s="1" t="s">
        <v>4790</v>
      </c>
      <c r="AM761" s="42">
        <f>IFERROR(INDEX('Public procurment'!A:R,MATCH(ListOfExpenditure[[#This Row],[Content.contractId]],'Public procurment'!E:E,0),14),0)</f>
        <v>0</v>
      </c>
      <c r="AN761" s="2">
        <f>IF(AND(ListOfExpenditure[[#This Row],[Contract amount]]&gt;10000,ListOfExpenditure[[#This Row],[Content.declaredAmount]]&gt;2000),1,0)</f>
        <v>0</v>
      </c>
      <c r="AO761">
        <f>IFERROR(INDEX('Public procurment'!A:S,MATCH(ListOfExpenditure[[#This Row],[Content.contractId]],'Public procurment'!E:E,0),19),0)</f>
        <v>0</v>
      </c>
      <c r="AP761">
        <f>IF(ListOfExpenditure[[#This Row],[Numero di volte controllato il contract ]]&gt;0,0,ListOfExpenditure[[#This Row],[IF public procurment &gt;10000;1;0]])</f>
        <v>0</v>
      </c>
    </row>
    <row r="762" spans="1:42" x14ac:dyDescent="0.25">
      <c r="A762">
        <v>1828</v>
      </c>
      <c r="B762">
        <v>1</v>
      </c>
      <c r="E762" t="s">
        <v>4786</v>
      </c>
      <c r="F762" t="b">
        <v>0</v>
      </c>
      <c r="I762" t="s">
        <v>5479</v>
      </c>
      <c r="K762" t="s">
        <v>4678</v>
      </c>
      <c r="L762" t="s">
        <v>5480</v>
      </c>
      <c r="M762" t="s">
        <v>4788</v>
      </c>
      <c r="N762" t="s">
        <v>4788</v>
      </c>
      <c r="O762">
        <v>13469.24</v>
      </c>
      <c r="Q762">
        <v>0</v>
      </c>
      <c r="R762">
        <v>0</v>
      </c>
      <c r="S762">
        <v>5665.85</v>
      </c>
      <c r="T762" t="s">
        <v>4789</v>
      </c>
      <c r="U762">
        <v>1</v>
      </c>
      <c r="V762">
        <v>5665.85</v>
      </c>
      <c r="W762" t="s">
        <v>4343</v>
      </c>
      <c r="Y762" t="b">
        <v>1</v>
      </c>
      <c r="Z762" t="b">
        <v>0</v>
      </c>
      <c r="AA762">
        <v>5665.85</v>
      </c>
      <c r="AB762">
        <v>0</v>
      </c>
      <c r="AD762" t="b">
        <v>0</v>
      </c>
      <c r="AG762" s="1" t="s">
        <v>59</v>
      </c>
      <c r="AH762" s="1" t="s">
        <v>22</v>
      </c>
      <c r="AI762">
        <v>318</v>
      </c>
      <c r="AJ762">
        <v>292</v>
      </c>
      <c r="AK762" s="106">
        <v>45475.635507083331</v>
      </c>
      <c r="AL762" s="1" t="s">
        <v>4790</v>
      </c>
      <c r="AM762" s="42">
        <f>IFERROR(INDEX('Public procurment'!A:R,MATCH(ListOfExpenditure[[#This Row],[Content.contractId]],'Public procurment'!E:E,0),14),0)</f>
        <v>0</v>
      </c>
      <c r="AN762" s="2">
        <f>IF(AND(ListOfExpenditure[[#This Row],[Contract amount]]&gt;10000,ListOfExpenditure[[#This Row],[Content.declaredAmount]]&gt;2000),1,0)</f>
        <v>0</v>
      </c>
      <c r="AO762">
        <f>IFERROR(INDEX('Public procurment'!A:S,MATCH(ListOfExpenditure[[#This Row],[Content.contractId]],'Public procurment'!E:E,0),19),0)</f>
        <v>0</v>
      </c>
      <c r="AP762">
        <f>IF(ListOfExpenditure[[#This Row],[Numero di volte controllato il contract ]]&gt;0,0,ListOfExpenditure[[#This Row],[IF public procurment &gt;10000;1;0]])</f>
        <v>0</v>
      </c>
    </row>
    <row r="763" spans="1:42" x14ac:dyDescent="0.25">
      <c r="A763">
        <v>1829</v>
      </c>
      <c r="B763">
        <v>2</v>
      </c>
      <c r="E763" t="s">
        <v>4786</v>
      </c>
      <c r="F763" t="b">
        <v>0</v>
      </c>
      <c r="I763" t="s">
        <v>5481</v>
      </c>
      <c r="K763" t="s">
        <v>4678</v>
      </c>
      <c r="L763" t="s">
        <v>5480</v>
      </c>
      <c r="M763" t="s">
        <v>4788</v>
      </c>
      <c r="N763" t="s">
        <v>4788</v>
      </c>
      <c r="O763">
        <v>5267.54</v>
      </c>
      <c r="Q763">
        <v>0</v>
      </c>
      <c r="R763">
        <v>0</v>
      </c>
      <c r="S763">
        <v>263.38</v>
      </c>
      <c r="T763" t="s">
        <v>4789</v>
      </c>
      <c r="U763">
        <v>1</v>
      </c>
      <c r="V763">
        <v>263.38</v>
      </c>
      <c r="W763" t="s">
        <v>4343</v>
      </c>
      <c r="Y763" t="b">
        <v>1</v>
      </c>
      <c r="Z763" t="b">
        <v>0</v>
      </c>
      <c r="AA763">
        <v>263.38</v>
      </c>
      <c r="AB763">
        <v>0</v>
      </c>
      <c r="AD763" t="b">
        <v>0</v>
      </c>
      <c r="AG763" s="1" t="s">
        <v>59</v>
      </c>
      <c r="AH763" s="1" t="s">
        <v>22</v>
      </c>
      <c r="AI763">
        <v>318</v>
      </c>
      <c r="AJ763">
        <v>292</v>
      </c>
      <c r="AK763" s="106">
        <v>45475.635507083331</v>
      </c>
      <c r="AL763" s="1" t="s">
        <v>4790</v>
      </c>
      <c r="AM763" s="42">
        <f>IFERROR(INDEX('Public procurment'!A:R,MATCH(ListOfExpenditure[[#This Row],[Content.contractId]],'Public procurment'!E:E,0),14),0)</f>
        <v>0</v>
      </c>
      <c r="AN763" s="2">
        <f>IF(AND(ListOfExpenditure[[#This Row],[Contract amount]]&gt;10000,ListOfExpenditure[[#This Row],[Content.declaredAmount]]&gt;2000),1,0)</f>
        <v>0</v>
      </c>
      <c r="AO763">
        <f>IFERROR(INDEX('Public procurment'!A:S,MATCH(ListOfExpenditure[[#This Row],[Content.contractId]],'Public procurment'!E:E,0),19),0)</f>
        <v>0</v>
      </c>
      <c r="AP763">
        <f>IF(ListOfExpenditure[[#This Row],[Numero di volte controllato il contract ]]&gt;0,0,ListOfExpenditure[[#This Row],[IF public procurment &gt;10000;1;0]])</f>
        <v>0</v>
      </c>
    </row>
    <row r="764" spans="1:42" x14ac:dyDescent="0.25">
      <c r="A764">
        <v>1830</v>
      </c>
      <c r="B764">
        <v>3</v>
      </c>
      <c r="E764" t="s">
        <v>4786</v>
      </c>
      <c r="F764" t="b">
        <v>0</v>
      </c>
      <c r="I764" t="s">
        <v>5482</v>
      </c>
      <c r="K764" t="s">
        <v>4678</v>
      </c>
      <c r="L764" t="s">
        <v>5480</v>
      </c>
      <c r="M764" t="s">
        <v>4788</v>
      </c>
      <c r="N764" t="s">
        <v>4788</v>
      </c>
      <c r="O764">
        <v>6299.43</v>
      </c>
      <c r="Q764">
        <v>0</v>
      </c>
      <c r="R764">
        <v>0</v>
      </c>
      <c r="S764">
        <v>944.91</v>
      </c>
      <c r="T764" t="s">
        <v>4789</v>
      </c>
      <c r="U764">
        <v>1</v>
      </c>
      <c r="V764">
        <v>944.91</v>
      </c>
      <c r="W764" t="s">
        <v>4343</v>
      </c>
      <c r="Y764" t="b">
        <v>1</v>
      </c>
      <c r="Z764" t="b">
        <v>0</v>
      </c>
      <c r="AA764">
        <v>944.91</v>
      </c>
      <c r="AB764">
        <v>0</v>
      </c>
      <c r="AD764" t="b">
        <v>0</v>
      </c>
      <c r="AG764" s="1" t="s">
        <v>59</v>
      </c>
      <c r="AH764" s="1" t="s">
        <v>22</v>
      </c>
      <c r="AI764">
        <v>318</v>
      </c>
      <c r="AJ764">
        <v>292</v>
      </c>
      <c r="AK764" s="106">
        <v>45475.635507083331</v>
      </c>
      <c r="AL764" s="1" t="s">
        <v>4790</v>
      </c>
      <c r="AM764" s="42">
        <f>IFERROR(INDEX('Public procurment'!A:R,MATCH(ListOfExpenditure[[#This Row],[Content.contractId]],'Public procurment'!E:E,0),14),0)</f>
        <v>0</v>
      </c>
      <c r="AN764" s="2">
        <f>IF(AND(ListOfExpenditure[[#This Row],[Contract amount]]&gt;10000,ListOfExpenditure[[#This Row],[Content.declaredAmount]]&gt;2000),1,0)</f>
        <v>0</v>
      </c>
      <c r="AO764">
        <f>IFERROR(INDEX('Public procurment'!A:S,MATCH(ListOfExpenditure[[#This Row],[Content.contractId]],'Public procurment'!E:E,0),19),0)</f>
        <v>0</v>
      </c>
      <c r="AP764">
        <f>IF(ListOfExpenditure[[#This Row],[Numero di volte controllato il contract ]]&gt;0,0,ListOfExpenditure[[#This Row],[IF public procurment &gt;10000;1;0]])</f>
        <v>0</v>
      </c>
    </row>
    <row r="765" spans="1:42" x14ac:dyDescent="0.25">
      <c r="A765">
        <v>1831</v>
      </c>
      <c r="B765">
        <v>4</v>
      </c>
      <c r="E765" t="s">
        <v>4786</v>
      </c>
      <c r="F765" t="b">
        <v>0</v>
      </c>
      <c r="I765" t="s">
        <v>5483</v>
      </c>
      <c r="K765" t="s">
        <v>4678</v>
      </c>
      <c r="L765" t="s">
        <v>5480</v>
      </c>
      <c r="M765" t="s">
        <v>4788</v>
      </c>
      <c r="N765" t="s">
        <v>4788</v>
      </c>
      <c r="O765">
        <v>3814.07</v>
      </c>
      <c r="Q765">
        <v>0</v>
      </c>
      <c r="R765">
        <v>0</v>
      </c>
      <c r="S765">
        <v>228.84</v>
      </c>
      <c r="T765" t="s">
        <v>4789</v>
      </c>
      <c r="U765">
        <v>1</v>
      </c>
      <c r="V765">
        <v>228.84</v>
      </c>
      <c r="W765" t="s">
        <v>4343</v>
      </c>
      <c r="Y765" t="b">
        <v>1</v>
      </c>
      <c r="Z765" t="b">
        <v>0</v>
      </c>
      <c r="AA765">
        <v>228.84</v>
      </c>
      <c r="AB765">
        <v>0</v>
      </c>
      <c r="AD765" t="b">
        <v>0</v>
      </c>
      <c r="AG765" s="1" t="s">
        <v>59</v>
      </c>
      <c r="AH765" s="1" t="s">
        <v>22</v>
      </c>
      <c r="AI765">
        <v>318</v>
      </c>
      <c r="AJ765">
        <v>292</v>
      </c>
      <c r="AK765" s="106">
        <v>45475.635507083331</v>
      </c>
      <c r="AL765" s="1" t="s">
        <v>4790</v>
      </c>
      <c r="AM765" s="42">
        <f>IFERROR(INDEX('Public procurment'!A:R,MATCH(ListOfExpenditure[[#This Row],[Content.contractId]],'Public procurment'!E:E,0),14),0)</f>
        <v>0</v>
      </c>
      <c r="AN765" s="2">
        <f>IF(AND(ListOfExpenditure[[#This Row],[Contract amount]]&gt;10000,ListOfExpenditure[[#This Row],[Content.declaredAmount]]&gt;2000),1,0)</f>
        <v>0</v>
      </c>
      <c r="AO765">
        <f>IFERROR(INDEX('Public procurment'!A:S,MATCH(ListOfExpenditure[[#This Row],[Content.contractId]],'Public procurment'!E:E,0),19),0)</f>
        <v>0</v>
      </c>
      <c r="AP765">
        <f>IF(ListOfExpenditure[[#This Row],[Numero di volte controllato il contract ]]&gt;0,0,ListOfExpenditure[[#This Row],[IF public procurment &gt;10000;1;0]])</f>
        <v>0</v>
      </c>
    </row>
    <row r="766" spans="1:42" x14ac:dyDescent="0.25">
      <c r="A766">
        <v>1832</v>
      </c>
      <c r="B766">
        <v>5</v>
      </c>
      <c r="E766" t="s">
        <v>4786</v>
      </c>
      <c r="F766" t="b">
        <v>0</v>
      </c>
      <c r="I766" t="s">
        <v>5484</v>
      </c>
      <c r="K766" t="s">
        <v>4678</v>
      </c>
      <c r="L766" t="s">
        <v>5480</v>
      </c>
      <c r="M766" t="s">
        <v>4788</v>
      </c>
      <c r="N766" t="s">
        <v>4788</v>
      </c>
      <c r="O766">
        <v>4766.16</v>
      </c>
      <c r="Q766">
        <v>0</v>
      </c>
      <c r="R766">
        <v>0</v>
      </c>
      <c r="S766">
        <v>714.92</v>
      </c>
      <c r="T766" t="s">
        <v>4789</v>
      </c>
      <c r="U766">
        <v>1</v>
      </c>
      <c r="V766">
        <v>714.92</v>
      </c>
      <c r="W766" t="s">
        <v>4343</v>
      </c>
      <c r="Y766" t="b">
        <v>1</v>
      </c>
      <c r="Z766" t="b">
        <v>0</v>
      </c>
      <c r="AA766">
        <v>714.92</v>
      </c>
      <c r="AB766">
        <v>0</v>
      </c>
      <c r="AD766" t="b">
        <v>0</v>
      </c>
      <c r="AG766" s="1" t="s">
        <v>59</v>
      </c>
      <c r="AH766" s="1" t="s">
        <v>22</v>
      </c>
      <c r="AI766">
        <v>318</v>
      </c>
      <c r="AJ766">
        <v>292</v>
      </c>
      <c r="AK766" s="106">
        <v>45475.635507083331</v>
      </c>
      <c r="AL766" s="1" t="s">
        <v>4790</v>
      </c>
      <c r="AM766" s="42">
        <f>IFERROR(INDEX('Public procurment'!A:R,MATCH(ListOfExpenditure[[#This Row],[Content.contractId]],'Public procurment'!E:E,0),14),0)</f>
        <v>0</v>
      </c>
      <c r="AN766" s="2">
        <f>IF(AND(ListOfExpenditure[[#This Row],[Contract amount]]&gt;10000,ListOfExpenditure[[#This Row],[Content.declaredAmount]]&gt;2000),1,0)</f>
        <v>0</v>
      </c>
      <c r="AO766">
        <f>IFERROR(INDEX('Public procurment'!A:S,MATCH(ListOfExpenditure[[#This Row],[Content.contractId]],'Public procurment'!E:E,0),19),0)</f>
        <v>0</v>
      </c>
      <c r="AP766">
        <f>IF(ListOfExpenditure[[#This Row],[Numero di volte controllato il contract ]]&gt;0,0,ListOfExpenditure[[#This Row],[IF public procurment &gt;10000;1;0]])</f>
        <v>0</v>
      </c>
    </row>
    <row r="767" spans="1:42" x14ac:dyDescent="0.25">
      <c r="A767">
        <v>1833</v>
      </c>
      <c r="B767">
        <v>6</v>
      </c>
      <c r="E767" t="s">
        <v>4786</v>
      </c>
      <c r="F767" t="b">
        <v>0</v>
      </c>
      <c r="I767" t="s">
        <v>5485</v>
      </c>
      <c r="K767" t="s">
        <v>4678</v>
      </c>
      <c r="L767" t="s">
        <v>5480</v>
      </c>
      <c r="M767" t="s">
        <v>4788</v>
      </c>
      <c r="N767" t="s">
        <v>4788</v>
      </c>
      <c r="O767">
        <v>6123.66</v>
      </c>
      <c r="Q767">
        <v>0</v>
      </c>
      <c r="R767">
        <v>0</v>
      </c>
      <c r="S767">
        <v>1224.73</v>
      </c>
      <c r="T767" t="s">
        <v>4789</v>
      </c>
      <c r="U767">
        <v>1</v>
      </c>
      <c r="V767">
        <v>1224.73</v>
      </c>
      <c r="W767" t="s">
        <v>4343</v>
      </c>
      <c r="Y767" t="b">
        <v>1</v>
      </c>
      <c r="Z767" t="b">
        <v>0</v>
      </c>
      <c r="AA767">
        <v>1224.73</v>
      </c>
      <c r="AB767">
        <v>0</v>
      </c>
      <c r="AD767" t="b">
        <v>0</v>
      </c>
      <c r="AG767" s="1" t="s">
        <v>59</v>
      </c>
      <c r="AH767" s="1" t="s">
        <v>22</v>
      </c>
      <c r="AI767">
        <v>318</v>
      </c>
      <c r="AJ767">
        <v>292</v>
      </c>
      <c r="AK767" s="106">
        <v>45475.635507083331</v>
      </c>
      <c r="AL767" s="1" t="s">
        <v>4790</v>
      </c>
      <c r="AM767" s="42">
        <f>IFERROR(INDEX('Public procurment'!A:R,MATCH(ListOfExpenditure[[#This Row],[Content.contractId]],'Public procurment'!E:E,0),14),0)</f>
        <v>0</v>
      </c>
      <c r="AN767" s="2">
        <f>IF(AND(ListOfExpenditure[[#This Row],[Contract amount]]&gt;10000,ListOfExpenditure[[#This Row],[Content.declaredAmount]]&gt;2000),1,0)</f>
        <v>0</v>
      </c>
      <c r="AO767">
        <f>IFERROR(INDEX('Public procurment'!A:S,MATCH(ListOfExpenditure[[#This Row],[Content.contractId]],'Public procurment'!E:E,0),19),0)</f>
        <v>0</v>
      </c>
      <c r="AP767">
        <f>IF(ListOfExpenditure[[#This Row],[Numero di volte controllato il contract ]]&gt;0,0,ListOfExpenditure[[#This Row],[IF public procurment &gt;10000;1;0]])</f>
        <v>0</v>
      </c>
    </row>
    <row r="768" spans="1:42" x14ac:dyDescent="0.25">
      <c r="A768">
        <v>1834</v>
      </c>
      <c r="B768">
        <v>7</v>
      </c>
      <c r="E768" t="s">
        <v>4786</v>
      </c>
      <c r="F768" t="b">
        <v>0</v>
      </c>
      <c r="I768" t="s">
        <v>5486</v>
      </c>
      <c r="K768" t="s">
        <v>4525</v>
      </c>
      <c r="L768" t="s">
        <v>4672</v>
      </c>
      <c r="M768" t="s">
        <v>4788</v>
      </c>
      <c r="N768" t="s">
        <v>4788</v>
      </c>
      <c r="O768">
        <v>109.5</v>
      </c>
      <c r="Q768">
        <v>0</v>
      </c>
      <c r="R768">
        <v>0</v>
      </c>
      <c r="S768">
        <v>49.28</v>
      </c>
      <c r="T768" t="s">
        <v>4789</v>
      </c>
      <c r="U768">
        <v>1</v>
      </c>
      <c r="V768">
        <v>49.28</v>
      </c>
      <c r="W768" t="s">
        <v>4343</v>
      </c>
      <c r="Y768" t="b">
        <v>1</v>
      </c>
      <c r="Z768" t="b">
        <v>0</v>
      </c>
      <c r="AA768">
        <v>49.28</v>
      </c>
      <c r="AB768">
        <v>0</v>
      </c>
      <c r="AD768" t="b">
        <v>0</v>
      </c>
      <c r="AG768" s="1" t="s">
        <v>59</v>
      </c>
      <c r="AH768" s="1" t="s">
        <v>22</v>
      </c>
      <c r="AI768">
        <v>318</v>
      </c>
      <c r="AJ768">
        <v>292</v>
      </c>
      <c r="AK768" s="106">
        <v>45475.635507083331</v>
      </c>
      <c r="AL768" s="1" t="s">
        <v>4790</v>
      </c>
      <c r="AM768" s="42">
        <f>IFERROR(INDEX('Public procurment'!A:R,MATCH(ListOfExpenditure[[#This Row],[Content.contractId]],'Public procurment'!E:E,0),14),0)</f>
        <v>0</v>
      </c>
      <c r="AN768" s="2">
        <f>IF(AND(ListOfExpenditure[[#This Row],[Contract amount]]&gt;10000,ListOfExpenditure[[#This Row],[Content.declaredAmount]]&gt;2000),1,0)</f>
        <v>0</v>
      </c>
      <c r="AO768">
        <f>IFERROR(INDEX('Public procurment'!A:S,MATCH(ListOfExpenditure[[#This Row],[Content.contractId]],'Public procurment'!E:E,0),19),0)</f>
        <v>0</v>
      </c>
      <c r="AP768">
        <f>IF(ListOfExpenditure[[#This Row],[Numero di volte controllato il contract ]]&gt;0,0,ListOfExpenditure[[#This Row],[IF public procurment &gt;10000;1;0]])</f>
        <v>0</v>
      </c>
    </row>
    <row r="769" spans="1:42" x14ac:dyDescent="0.25">
      <c r="A769">
        <v>56</v>
      </c>
      <c r="B769">
        <v>1</v>
      </c>
      <c r="E769" t="s">
        <v>4786</v>
      </c>
      <c r="F769" t="b">
        <v>1</v>
      </c>
      <c r="I769" t="s">
        <v>5487</v>
      </c>
      <c r="K769" t="s">
        <v>4342</v>
      </c>
      <c r="L769" t="s">
        <v>5488</v>
      </c>
      <c r="M769" t="s">
        <v>4788</v>
      </c>
      <c r="N769" t="s">
        <v>4788</v>
      </c>
      <c r="O769">
        <v>20889.16</v>
      </c>
      <c r="Q769">
        <v>0</v>
      </c>
      <c r="R769">
        <v>0</v>
      </c>
      <c r="S769">
        <v>9400.1200000000008</v>
      </c>
      <c r="T769" t="s">
        <v>4789</v>
      </c>
      <c r="U769">
        <v>1</v>
      </c>
      <c r="V769">
        <v>9400.1200000000008</v>
      </c>
      <c r="W769" t="s">
        <v>4343</v>
      </c>
      <c r="Y769" t="b">
        <v>1</v>
      </c>
      <c r="Z769" t="b">
        <v>0</v>
      </c>
      <c r="AA769">
        <v>8256.7199999999993</v>
      </c>
      <c r="AB769">
        <v>1143.4000000000001</v>
      </c>
      <c r="AC769">
        <v>1</v>
      </c>
      <c r="AD769" t="b">
        <v>0</v>
      </c>
      <c r="AF769" t="s">
        <v>5489</v>
      </c>
      <c r="AG769" s="1" t="s">
        <v>59</v>
      </c>
      <c r="AH769" s="1" t="s">
        <v>22</v>
      </c>
      <c r="AI769">
        <v>318</v>
      </c>
      <c r="AJ769">
        <v>51</v>
      </c>
      <c r="AK769" s="106">
        <v>45475.635423356478</v>
      </c>
      <c r="AL769" s="1" t="s">
        <v>4790</v>
      </c>
      <c r="AM769" s="42">
        <f>IFERROR(INDEX('Public procurment'!A:R,MATCH(ListOfExpenditure[[#This Row],[Content.contractId]],'Public procurment'!E:E,0),14),0)</f>
        <v>0</v>
      </c>
      <c r="AN769" s="2">
        <f>IF(AND(ListOfExpenditure[[#This Row],[Contract amount]]&gt;10000,ListOfExpenditure[[#This Row],[Content.declaredAmount]]&gt;2000),1,0)</f>
        <v>0</v>
      </c>
      <c r="AO769">
        <f>IFERROR(INDEX('Public procurment'!A:S,MATCH(ListOfExpenditure[[#This Row],[Content.contractId]],'Public procurment'!E:E,0),19),0)</f>
        <v>0</v>
      </c>
      <c r="AP769">
        <f>IF(ListOfExpenditure[[#This Row],[Numero di volte controllato il contract ]]&gt;0,0,ListOfExpenditure[[#This Row],[IF public procurment &gt;10000;1;0]])</f>
        <v>0</v>
      </c>
    </row>
    <row r="770" spans="1:42" x14ac:dyDescent="0.25">
      <c r="A770">
        <v>345</v>
      </c>
      <c r="B770">
        <v>1</v>
      </c>
      <c r="E770" t="s">
        <v>4786</v>
      </c>
      <c r="F770" t="b">
        <v>1</v>
      </c>
      <c r="I770" t="s">
        <v>4922</v>
      </c>
      <c r="K770" t="s">
        <v>4342</v>
      </c>
      <c r="L770" t="s">
        <v>4873</v>
      </c>
      <c r="M770" t="s">
        <v>4788</v>
      </c>
      <c r="N770" t="s">
        <v>4788</v>
      </c>
      <c r="O770">
        <v>5090.2</v>
      </c>
      <c r="Q770">
        <v>0</v>
      </c>
      <c r="R770">
        <v>0</v>
      </c>
      <c r="S770">
        <v>5090.2</v>
      </c>
      <c r="T770" t="s">
        <v>4789</v>
      </c>
      <c r="U770">
        <v>1</v>
      </c>
      <c r="V770">
        <v>5090.2</v>
      </c>
      <c r="W770" t="s">
        <v>4343</v>
      </c>
      <c r="Y770" t="b">
        <v>1</v>
      </c>
      <c r="Z770" t="b">
        <v>0</v>
      </c>
      <c r="AA770">
        <v>5058.37</v>
      </c>
      <c r="AB770">
        <v>31.83</v>
      </c>
      <c r="AC770">
        <v>3</v>
      </c>
      <c r="AD770" t="b">
        <v>0</v>
      </c>
      <c r="AF770" t="s">
        <v>5490</v>
      </c>
      <c r="AG770" s="1" t="s">
        <v>59</v>
      </c>
      <c r="AH770" s="1" t="s">
        <v>48</v>
      </c>
      <c r="AI770">
        <v>319</v>
      </c>
      <c r="AJ770">
        <v>56</v>
      </c>
      <c r="AK770" s="106">
        <v>45475.63545908565</v>
      </c>
      <c r="AL770" s="1" t="s">
        <v>4790</v>
      </c>
      <c r="AM770" s="42">
        <f>IFERROR(INDEX('Public procurment'!A:R,MATCH(ListOfExpenditure[[#This Row],[Content.contractId]],'Public procurment'!E:E,0),14),0)</f>
        <v>0</v>
      </c>
      <c r="AN770" s="2">
        <f>IF(AND(ListOfExpenditure[[#This Row],[Contract amount]]&gt;10000,ListOfExpenditure[[#This Row],[Content.declaredAmount]]&gt;2000),1,0)</f>
        <v>0</v>
      </c>
      <c r="AO770">
        <f>IFERROR(INDEX('Public procurment'!A:S,MATCH(ListOfExpenditure[[#This Row],[Content.contractId]],'Public procurment'!E:E,0),19),0)</f>
        <v>0</v>
      </c>
      <c r="AP770">
        <f>IF(ListOfExpenditure[[#This Row],[Numero di volte controllato il contract ]]&gt;0,0,ListOfExpenditure[[#This Row],[IF public procurment &gt;10000;1;0]])</f>
        <v>0</v>
      </c>
    </row>
    <row r="771" spans="1:42" x14ac:dyDescent="0.25">
      <c r="A771">
        <v>346</v>
      </c>
      <c r="B771">
        <v>2</v>
      </c>
      <c r="E771" t="s">
        <v>4786</v>
      </c>
      <c r="F771" t="b">
        <v>1</v>
      </c>
      <c r="I771" t="s">
        <v>4926</v>
      </c>
      <c r="K771" t="s">
        <v>4342</v>
      </c>
      <c r="L771" t="s">
        <v>5349</v>
      </c>
      <c r="M771" t="s">
        <v>4788</v>
      </c>
      <c r="N771" t="s">
        <v>4788</v>
      </c>
      <c r="O771">
        <v>2112.21</v>
      </c>
      <c r="Q771">
        <v>0</v>
      </c>
      <c r="R771">
        <v>0</v>
      </c>
      <c r="S771">
        <v>2112.21</v>
      </c>
      <c r="T771" t="s">
        <v>4789</v>
      </c>
      <c r="U771">
        <v>1</v>
      </c>
      <c r="V771">
        <v>2112.21</v>
      </c>
      <c r="W771" t="s">
        <v>4343</v>
      </c>
      <c r="Y771" t="b">
        <v>1</v>
      </c>
      <c r="Z771" t="b">
        <v>0</v>
      </c>
      <c r="AA771">
        <v>2112.21</v>
      </c>
      <c r="AB771">
        <v>0</v>
      </c>
      <c r="AD771" t="b">
        <v>0</v>
      </c>
      <c r="AG771" s="1" t="s">
        <v>59</v>
      </c>
      <c r="AH771" s="1" t="s">
        <v>48</v>
      </c>
      <c r="AI771">
        <v>319</v>
      </c>
      <c r="AJ771">
        <v>56</v>
      </c>
      <c r="AK771" s="106">
        <v>45475.63545908565</v>
      </c>
      <c r="AL771" s="1" t="s">
        <v>4790</v>
      </c>
      <c r="AM771" s="42">
        <f>IFERROR(INDEX('Public procurment'!A:R,MATCH(ListOfExpenditure[[#This Row],[Content.contractId]],'Public procurment'!E:E,0),14),0)</f>
        <v>0</v>
      </c>
      <c r="AN771" s="2">
        <f>IF(AND(ListOfExpenditure[[#This Row],[Contract amount]]&gt;10000,ListOfExpenditure[[#This Row],[Content.declaredAmount]]&gt;2000),1,0)</f>
        <v>0</v>
      </c>
      <c r="AO771">
        <f>IFERROR(INDEX('Public procurment'!A:S,MATCH(ListOfExpenditure[[#This Row],[Content.contractId]],'Public procurment'!E:E,0),19),0)</f>
        <v>0</v>
      </c>
      <c r="AP771">
        <f>IF(ListOfExpenditure[[#This Row],[Numero di volte controllato il contract ]]&gt;0,0,ListOfExpenditure[[#This Row],[IF public procurment &gt;10000;1;0]])</f>
        <v>0</v>
      </c>
    </row>
    <row r="772" spans="1:42" x14ac:dyDescent="0.25">
      <c r="A772">
        <v>1987</v>
      </c>
      <c r="B772">
        <v>1</v>
      </c>
      <c r="E772" t="s">
        <v>4786</v>
      </c>
      <c r="F772" t="b">
        <v>1</v>
      </c>
      <c r="I772" t="s">
        <v>4922</v>
      </c>
      <c r="K772" t="s">
        <v>4348</v>
      </c>
      <c r="L772" t="s">
        <v>4831</v>
      </c>
      <c r="M772" t="s">
        <v>4788</v>
      </c>
      <c r="N772" t="s">
        <v>4788</v>
      </c>
      <c r="O772">
        <v>1020.15</v>
      </c>
      <c r="Q772">
        <v>0</v>
      </c>
      <c r="R772">
        <v>0</v>
      </c>
      <c r="S772">
        <v>1020.15</v>
      </c>
      <c r="T772" t="s">
        <v>4789</v>
      </c>
      <c r="U772">
        <v>1</v>
      </c>
      <c r="V772">
        <v>1020.15</v>
      </c>
      <c r="W772" t="s">
        <v>4343</v>
      </c>
      <c r="Y772" t="b">
        <v>1</v>
      </c>
      <c r="Z772" t="b">
        <v>0</v>
      </c>
      <c r="AA772">
        <v>693.61</v>
      </c>
      <c r="AB772">
        <v>326.54000000000002</v>
      </c>
      <c r="AC772">
        <v>14</v>
      </c>
      <c r="AD772" t="b">
        <v>0</v>
      </c>
      <c r="AF772" t="s">
        <v>5491</v>
      </c>
      <c r="AG772" s="1" t="s">
        <v>59</v>
      </c>
      <c r="AH772" s="1" t="s">
        <v>48</v>
      </c>
      <c r="AI772">
        <v>319</v>
      </c>
      <c r="AJ772">
        <v>57</v>
      </c>
      <c r="AK772" s="106">
        <v>45475.635526469909</v>
      </c>
      <c r="AL772" s="1" t="s">
        <v>4790</v>
      </c>
      <c r="AM772" s="42">
        <f>IFERROR(INDEX('Public procurment'!A:R,MATCH(ListOfExpenditure[[#This Row],[Content.contractId]],'Public procurment'!E:E,0),14),0)</f>
        <v>0</v>
      </c>
      <c r="AN772" s="2">
        <f>IF(AND(ListOfExpenditure[[#This Row],[Contract amount]]&gt;10000,ListOfExpenditure[[#This Row],[Content.declaredAmount]]&gt;2000),1,0)</f>
        <v>0</v>
      </c>
      <c r="AO772">
        <f>IFERROR(INDEX('Public procurment'!A:S,MATCH(ListOfExpenditure[[#This Row],[Content.contractId]],'Public procurment'!E:E,0),19),0)</f>
        <v>0</v>
      </c>
      <c r="AP772">
        <f>IF(ListOfExpenditure[[#This Row],[Numero di volte controllato il contract ]]&gt;0,0,ListOfExpenditure[[#This Row],[IF public procurment &gt;10000;1;0]])</f>
        <v>0</v>
      </c>
    </row>
    <row r="773" spans="1:42" x14ac:dyDescent="0.25">
      <c r="A773">
        <v>1988</v>
      </c>
      <c r="B773">
        <v>2</v>
      </c>
      <c r="E773" t="s">
        <v>4786</v>
      </c>
      <c r="F773" t="b">
        <v>1</v>
      </c>
      <c r="I773" t="s">
        <v>4926</v>
      </c>
      <c r="K773" t="s">
        <v>4348</v>
      </c>
      <c r="L773" t="s">
        <v>4957</v>
      </c>
      <c r="M773" t="s">
        <v>4788</v>
      </c>
      <c r="N773" t="s">
        <v>4788</v>
      </c>
      <c r="O773">
        <v>666.38</v>
      </c>
      <c r="Q773">
        <v>0</v>
      </c>
      <c r="R773">
        <v>0</v>
      </c>
      <c r="S773">
        <v>666.38</v>
      </c>
      <c r="T773" t="s">
        <v>4789</v>
      </c>
      <c r="U773">
        <v>1</v>
      </c>
      <c r="V773">
        <v>666.38</v>
      </c>
      <c r="W773" t="s">
        <v>4343</v>
      </c>
      <c r="Y773" t="b">
        <v>1</v>
      </c>
      <c r="Z773" t="b">
        <v>0</v>
      </c>
      <c r="AA773">
        <v>666.38</v>
      </c>
      <c r="AB773">
        <v>0</v>
      </c>
      <c r="AD773" t="b">
        <v>0</v>
      </c>
      <c r="AG773" s="1" t="s">
        <v>59</v>
      </c>
      <c r="AH773" s="1" t="s">
        <v>48</v>
      </c>
      <c r="AI773">
        <v>319</v>
      </c>
      <c r="AJ773">
        <v>57</v>
      </c>
      <c r="AK773" s="106">
        <v>45475.635526469909</v>
      </c>
      <c r="AL773" s="1" t="s">
        <v>4790</v>
      </c>
      <c r="AM773" s="42">
        <f>IFERROR(INDEX('Public procurment'!A:R,MATCH(ListOfExpenditure[[#This Row],[Content.contractId]],'Public procurment'!E:E,0),14),0)</f>
        <v>0</v>
      </c>
      <c r="AN773" s="2">
        <f>IF(AND(ListOfExpenditure[[#This Row],[Contract amount]]&gt;10000,ListOfExpenditure[[#This Row],[Content.declaredAmount]]&gt;2000),1,0)</f>
        <v>0</v>
      </c>
      <c r="AO773">
        <f>IFERROR(INDEX('Public procurment'!A:S,MATCH(ListOfExpenditure[[#This Row],[Content.contractId]],'Public procurment'!E:E,0),19),0)</f>
        <v>0</v>
      </c>
      <c r="AP773">
        <f>IF(ListOfExpenditure[[#This Row],[Numero di volte controllato il contract ]]&gt;0,0,ListOfExpenditure[[#This Row],[IF public procurment &gt;10000;1;0]])</f>
        <v>0</v>
      </c>
    </row>
    <row r="774" spans="1:42" x14ac:dyDescent="0.25">
      <c r="A774">
        <v>1991</v>
      </c>
      <c r="B774">
        <v>3</v>
      </c>
      <c r="E774" t="s">
        <v>4786</v>
      </c>
      <c r="F774" t="b">
        <v>1</v>
      </c>
      <c r="I774" t="s">
        <v>4929</v>
      </c>
      <c r="K774" t="s">
        <v>4348</v>
      </c>
      <c r="L774" t="s">
        <v>4914</v>
      </c>
      <c r="M774" t="s">
        <v>4788</v>
      </c>
      <c r="N774" t="s">
        <v>4788</v>
      </c>
      <c r="O774">
        <v>638.20000000000005</v>
      </c>
      <c r="Q774">
        <v>0</v>
      </c>
      <c r="R774">
        <v>0</v>
      </c>
      <c r="S774">
        <v>638.20000000000005</v>
      </c>
      <c r="T774" t="s">
        <v>4789</v>
      </c>
      <c r="U774">
        <v>1</v>
      </c>
      <c r="V774">
        <v>638.20000000000005</v>
      </c>
      <c r="W774" t="s">
        <v>4343</v>
      </c>
      <c r="Y774" t="b">
        <v>1</v>
      </c>
      <c r="Z774" t="b">
        <v>0</v>
      </c>
      <c r="AA774">
        <v>638.20000000000005</v>
      </c>
      <c r="AB774">
        <v>0</v>
      </c>
      <c r="AD774" t="b">
        <v>0</v>
      </c>
      <c r="AG774" s="1" t="s">
        <v>59</v>
      </c>
      <c r="AH774" s="1" t="s">
        <v>48</v>
      </c>
      <c r="AI774">
        <v>319</v>
      </c>
      <c r="AJ774">
        <v>57</v>
      </c>
      <c r="AK774" s="106">
        <v>45475.635526469909</v>
      </c>
      <c r="AL774" s="1" t="s">
        <v>4790</v>
      </c>
      <c r="AM774" s="42">
        <f>IFERROR(INDEX('Public procurment'!A:R,MATCH(ListOfExpenditure[[#This Row],[Content.contractId]],'Public procurment'!E:E,0),14),0)</f>
        <v>0</v>
      </c>
      <c r="AN774" s="2">
        <f>IF(AND(ListOfExpenditure[[#This Row],[Contract amount]]&gt;10000,ListOfExpenditure[[#This Row],[Content.declaredAmount]]&gt;2000),1,0)</f>
        <v>0</v>
      </c>
      <c r="AO774">
        <f>IFERROR(INDEX('Public procurment'!A:S,MATCH(ListOfExpenditure[[#This Row],[Content.contractId]],'Public procurment'!E:E,0),19),0)</f>
        <v>0</v>
      </c>
      <c r="AP774">
        <f>IF(ListOfExpenditure[[#This Row],[Numero di volte controllato il contract ]]&gt;0,0,ListOfExpenditure[[#This Row],[IF public procurment &gt;10000;1;0]])</f>
        <v>0</v>
      </c>
    </row>
    <row r="775" spans="1:42" x14ac:dyDescent="0.25">
      <c r="A775">
        <v>1993</v>
      </c>
      <c r="B775">
        <v>4</v>
      </c>
      <c r="E775" t="s">
        <v>4786</v>
      </c>
      <c r="F775" t="b">
        <v>1</v>
      </c>
      <c r="I775" t="s">
        <v>4933</v>
      </c>
      <c r="K775" t="s">
        <v>4348</v>
      </c>
      <c r="L775" t="s">
        <v>4959</v>
      </c>
      <c r="M775" t="s">
        <v>4788</v>
      </c>
      <c r="N775" t="s">
        <v>4788</v>
      </c>
      <c r="O775">
        <v>633.07000000000005</v>
      </c>
      <c r="Q775">
        <v>0</v>
      </c>
      <c r="R775">
        <v>0</v>
      </c>
      <c r="S775">
        <v>633.07000000000005</v>
      </c>
      <c r="T775" t="s">
        <v>4789</v>
      </c>
      <c r="U775">
        <v>1</v>
      </c>
      <c r="V775">
        <v>633.07000000000005</v>
      </c>
      <c r="W775" t="s">
        <v>4343</v>
      </c>
      <c r="Y775" t="b">
        <v>1</v>
      </c>
      <c r="Z775" t="b">
        <v>0</v>
      </c>
      <c r="AA775">
        <v>633.07000000000005</v>
      </c>
      <c r="AB775">
        <v>0</v>
      </c>
      <c r="AD775" t="b">
        <v>0</v>
      </c>
      <c r="AG775" s="1" t="s">
        <v>59</v>
      </c>
      <c r="AH775" s="1" t="s">
        <v>48</v>
      </c>
      <c r="AI775">
        <v>319</v>
      </c>
      <c r="AJ775">
        <v>57</v>
      </c>
      <c r="AK775" s="106">
        <v>45475.635526469909</v>
      </c>
      <c r="AL775" s="1" t="s">
        <v>4790</v>
      </c>
      <c r="AM775" s="42">
        <f>IFERROR(INDEX('Public procurment'!A:R,MATCH(ListOfExpenditure[[#This Row],[Content.contractId]],'Public procurment'!E:E,0),14),0)</f>
        <v>0</v>
      </c>
      <c r="AN775" s="2">
        <f>IF(AND(ListOfExpenditure[[#This Row],[Contract amount]]&gt;10000,ListOfExpenditure[[#This Row],[Content.declaredAmount]]&gt;2000),1,0)</f>
        <v>0</v>
      </c>
      <c r="AO775">
        <f>IFERROR(INDEX('Public procurment'!A:S,MATCH(ListOfExpenditure[[#This Row],[Content.contractId]],'Public procurment'!E:E,0),19),0)</f>
        <v>0</v>
      </c>
      <c r="AP775">
        <f>IF(ListOfExpenditure[[#This Row],[Numero di volte controllato il contract ]]&gt;0,0,ListOfExpenditure[[#This Row],[IF public procurment &gt;10000;1;0]])</f>
        <v>0</v>
      </c>
    </row>
    <row r="776" spans="1:42" x14ac:dyDescent="0.25">
      <c r="A776">
        <v>1997</v>
      </c>
      <c r="B776">
        <v>5</v>
      </c>
      <c r="E776" t="s">
        <v>4786</v>
      </c>
      <c r="F776" t="b">
        <v>1</v>
      </c>
      <c r="I776" t="s">
        <v>4938</v>
      </c>
      <c r="K776" t="s">
        <v>4348</v>
      </c>
      <c r="L776" t="s">
        <v>4835</v>
      </c>
      <c r="M776" t="s">
        <v>4788</v>
      </c>
      <c r="N776" t="s">
        <v>4788</v>
      </c>
      <c r="O776">
        <v>648.03</v>
      </c>
      <c r="Q776">
        <v>0</v>
      </c>
      <c r="R776">
        <v>0</v>
      </c>
      <c r="S776">
        <v>648.03</v>
      </c>
      <c r="T776" t="s">
        <v>4789</v>
      </c>
      <c r="U776">
        <v>1</v>
      </c>
      <c r="V776">
        <v>648.03</v>
      </c>
      <c r="W776" t="s">
        <v>4343</v>
      </c>
      <c r="Y776" t="b">
        <v>1</v>
      </c>
      <c r="Z776" t="b">
        <v>0</v>
      </c>
      <c r="AA776">
        <v>648.03</v>
      </c>
      <c r="AB776">
        <v>0</v>
      </c>
      <c r="AD776" t="b">
        <v>0</v>
      </c>
      <c r="AG776" s="1" t="s">
        <v>59</v>
      </c>
      <c r="AH776" s="1" t="s">
        <v>48</v>
      </c>
      <c r="AI776">
        <v>319</v>
      </c>
      <c r="AJ776">
        <v>57</v>
      </c>
      <c r="AK776" s="106">
        <v>45475.635526469909</v>
      </c>
      <c r="AL776" s="1" t="s">
        <v>4790</v>
      </c>
      <c r="AM776" s="42">
        <f>IFERROR(INDEX('Public procurment'!A:R,MATCH(ListOfExpenditure[[#This Row],[Content.contractId]],'Public procurment'!E:E,0),14),0)</f>
        <v>0</v>
      </c>
      <c r="AN776" s="2">
        <f>IF(AND(ListOfExpenditure[[#This Row],[Contract amount]]&gt;10000,ListOfExpenditure[[#This Row],[Content.declaredAmount]]&gt;2000),1,0)</f>
        <v>0</v>
      </c>
      <c r="AO776">
        <f>IFERROR(INDEX('Public procurment'!A:S,MATCH(ListOfExpenditure[[#This Row],[Content.contractId]],'Public procurment'!E:E,0),19),0)</f>
        <v>0</v>
      </c>
      <c r="AP776">
        <f>IF(ListOfExpenditure[[#This Row],[Numero di volte controllato il contract ]]&gt;0,0,ListOfExpenditure[[#This Row],[IF public procurment &gt;10000;1;0]])</f>
        <v>0</v>
      </c>
    </row>
    <row r="777" spans="1:42" x14ac:dyDescent="0.25">
      <c r="A777">
        <v>1999</v>
      </c>
      <c r="B777">
        <v>6</v>
      </c>
      <c r="E777" t="s">
        <v>4786</v>
      </c>
      <c r="F777" t="b">
        <v>1</v>
      </c>
      <c r="I777" t="s">
        <v>4940</v>
      </c>
      <c r="K777" t="s">
        <v>4348</v>
      </c>
      <c r="L777" t="s">
        <v>4831</v>
      </c>
      <c r="M777" t="s">
        <v>4788</v>
      </c>
      <c r="N777" t="s">
        <v>4788</v>
      </c>
      <c r="O777">
        <v>429.04</v>
      </c>
      <c r="Q777">
        <v>0</v>
      </c>
      <c r="R777">
        <v>0</v>
      </c>
      <c r="S777">
        <v>429.04</v>
      </c>
      <c r="T777" t="s">
        <v>4789</v>
      </c>
      <c r="U777">
        <v>1</v>
      </c>
      <c r="V777">
        <v>429.04</v>
      </c>
      <c r="W777" t="s">
        <v>4343</v>
      </c>
      <c r="Y777" t="b">
        <v>1</v>
      </c>
      <c r="Z777" t="b">
        <v>0</v>
      </c>
      <c r="AA777">
        <v>429.04</v>
      </c>
      <c r="AB777">
        <v>0</v>
      </c>
      <c r="AD777" t="b">
        <v>0</v>
      </c>
      <c r="AG777" s="1" t="s">
        <v>59</v>
      </c>
      <c r="AH777" s="1" t="s">
        <v>48</v>
      </c>
      <c r="AI777">
        <v>319</v>
      </c>
      <c r="AJ777">
        <v>57</v>
      </c>
      <c r="AK777" s="106">
        <v>45475.635526469909</v>
      </c>
      <c r="AL777" s="1" t="s">
        <v>4790</v>
      </c>
      <c r="AM777" s="42">
        <f>IFERROR(INDEX('Public procurment'!A:R,MATCH(ListOfExpenditure[[#This Row],[Content.contractId]],'Public procurment'!E:E,0),14),0)</f>
        <v>0</v>
      </c>
      <c r="AN777" s="2">
        <f>IF(AND(ListOfExpenditure[[#This Row],[Contract amount]]&gt;10000,ListOfExpenditure[[#This Row],[Content.declaredAmount]]&gt;2000),1,0)</f>
        <v>0</v>
      </c>
      <c r="AO777">
        <f>IFERROR(INDEX('Public procurment'!A:S,MATCH(ListOfExpenditure[[#This Row],[Content.contractId]],'Public procurment'!E:E,0),19),0)</f>
        <v>0</v>
      </c>
      <c r="AP777">
        <f>IF(ListOfExpenditure[[#This Row],[Numero di volte controllato il contract ]]&gt;0,0,ListOfExpenditure[[#This Row],[IF public procurment &gt;10000;1;0]])</f>
        <v>0</v>
      </c>
    </row>
    <row r="778" spans="1:42" x14ac:dyDescent="0.25">
      <c r="A778">
        <v>2002</v>
      </c>
      <c r="B778">
        <v>7</v>
      </c>
      <c r="E778" t="s">
        <v>4786</v>
      </c>
      <c r="F778" t="b">
        <v>1</v>
      </c>
      <c r="I778" t="s">
        <v>4941</v>
      </c>
      <c r="K778" t="s">
        <v>4348</v>
      </c>
      <c r="L778" t="s">
        <v>4957</v>
      </c>
      <c r="M778" t="s">
        <v>4788</v>
      </c>
      <c r="N778" t="s">
        <v>4788</v>
      </c>
      <c r="O778">
        <v>450.17</v>
      </c>
      <c r="Q778">
        <v>0</v>
      </c>
      <c r="R778">
        <v>0</v>
      </c>
      <c r="S778">
        <v>450.17</v>
      </c>
      <c r="T778" t="s">
        <v>4789</v>
      </c>
      <c r="U778">
        <v>1</v>
      </c>
      <c r="V778">
        <v>450.17</v>
      </c>
      <c r="W778" t="s">
        <v>4343</v>
      </c>
      <c r="Y778" t="b">
        <v>1</v>
      </c>
      <c r="Z778" t="b">
        <v>0</v>
      </c>
      <c r="AA778">
        <v>435.18</v>
      </c>
      <c r="AB778">
        <v>14.99</v>
      </c>
      <c r="AC778">
        <v>14</v>
      </c>
      <c r="AD778" t="b">
        <v>0</v>
      </c>
      <c r="AF778" t="s">
        <v>5492</v>
      </c>
      <c r="AG778" s="1" t="s">
        <v>59</v>
      </c>
      <c r="AH778" s="1" t="s">
        <v>48</v>
      </c>
      <c r="AI778">
        <v>319</v>
      </c>
      <c r="AJ778">
        <v>57</v>
      </c>
      <c r="AK778" s="106">
        <v>45475.635526469909</v>
      </c>
      <c r="AL778" s="1" t="s">
        <v>4790</v>
      </c>
      <c r="AM778" s="42">
        <f>IFERROR(INDEX('Public procurment'!A:R,MATCH(ListOfExpenditure[[#This Row],[Content.contractId]],'Public procurment'!E:E,0),14),0)</f>
        <v>0</v>
      </c>
      <c r="AN778" s="2">
        <f>IF(AND(ListOfExpenditure[[#This Row],[Contract amount]]&gt;10000,ListOfExpenditure[[#This Row],[Content.declaredAmount]]&gt;2000),1,0)</f>
        <v>0</v>
      </c>
      <c r="AO778">
        <f>IFERROR(INDEX('Public procurment'!A:S,MATCH(ListOfExpenditure[[#This Row],[Content.contractId]],'Public procurment'!E:E,0),19),0)</f>
        <v>0</v>
      </c>
      <c r="AP778">
        <f>IF(ListOfExpenditure[[#This Row],[Numero di volte controllato il contract ]]&gt;0,0,ListOfExpenditure[[#This Row],[IF public procurment &gt;10000;1;0]])</f>
        <v>0</v>
      </c>
    </row>
    <row r="779" spans="1:42" x14ac:dyDescent="0.25">
      <c r="A779">
        <v>2003</v>
      </c>
      <c r="B779">
        <v>8</v>
      </c>
      <c r="E779" t="s">
        <v>4786</v>
      </c>
      <c r="F779" t="b">
        <v>1</v>
      </c>
      <c r="I779" t="s">
        <v>4943</v>
      </c>
      <c r="K779" t="s">
        <v>4348</v>
      </c>
      <c r="L779" t="s">
        <v>4914</v>
      </c>
      <c r="M779" t="s">
        <v>4788</v>
      </c>
      <c r="N779" t="s">
        <v>4788</v>
      </c>
      <c r="O779">
        <v>430.56</v>
      </c>
      <c r="Q779">
        <v>0</v>
      </c>
      <c r="R779">
        <v>0</v>
      </c>
      <c r="S779">
        <v>430.56</v>
      </c>
      <c r="T779" t="s">
        <v>4789</v>
      </c>
      <c r="U779">
        <v>1</v>
      </c>
      <c r="V779">
        <v>430.56</v>
      </c>
      <c r="W779" t="s">
        <v>4343</v>
      </c>
      <c r="Y779" t="b">
        <v>1</v>
      </c>
      <c r="Z779" t="b">
        <v>0</v>
      </c>
      <c r="AA779">
        <v>430.56</v>
      </c>
      <c r="AB779">
        <v>0</v>
      </c>
      <c r="AD779" t="b">
        <v>0</v>
      </c>
      <c r="AG779" s="1" t="s">
        <v>59</v>
      </c>
      <c r="AH779" s="1" t="s">
        <v>48</v>
      </c>
      <c r="AI779">
        <v>319</v>
      </c>
      <c r="AJ779">
        <v>57</v>
      </c>
      <c r="AK779" s="106">
        <v>45475.635526469909</v>
      </c>
      <c r="AL779" s="1" t="s">
        <v>4790</v>
      </c>
      <c r="AM779" s="42">
        <f>IFERROR(INDEX('Public procurment'!A:R,MATCH(ListOfExpenditure[[#This Row],[Content.contractId]],'Public procurment'!E:E,0),14),0)</f>
        <v>0</v>
      </c>
      <c r="AN779" s="2">
        <f>IF(AND(ListOfExpenditure[[#This Row],[Contract amount]]&gt;10000,ListOfExpenditure[[#This Row],[Content.declaredAmount]]&gt;2000),1,0)</f>
        <v>0</v>
      </c>
      <c r="AO779">
        <f>IFERROR(INDEX('Public procurment'!A:S,MATCH(ListOfExpenditure[[#This Row],[Content.contractId]],'Public procurment'!E:E,0),19),0)</f>
        <v>0</v>
      </c>
      <c r="AP779">
        <f>IF(ListOfExpenditure[[#This Row],[Numero di volte controllato il contract ]]&gt;0,0,ListOfExpenditure[[#This Row],[IF public procurment &gt;10000;1;0]])</f>
        <v>0</v>
      </c>
    </row>
    <row r="780" spans="1:42" x14ac:dyDescent="0.25">
      <c r="A780">
        <v>2005</v>
      </c>
      <c r="B780">
        <v>9</v>
      </c>
      <c r="E780" t="s">
        <v>4786</v>
      </c>
      <c r="F780" t="b">
        <v>1</v>
      </c>
      <c r="I780" t="s">
        <v>4944</v>
      </c>
      <c r="K780" t="s">
        <v>4348</v>
      </c>
      <c r="L780" t="s">
        <v>4959</v>
      </c>
      <c r="M780" t="s">
        <v>4788</v>
      </c>
      <c r="N780" t="s">
        <v>4788</v>
      </c>
      <c r="O780">
        <v>392.28</v>
      </c>
      <c r="Q780">
        <v>0</v>
      </c>
      <c r="R780">
        <v>0</v>
      </c>
      <c r="S780">
        <v>392.28</v>
      </c>
      <c r="T780" t="s">
        <v>4789</v>
      </c>
      <c r="U780">
        <v>1</v>
      </c>
      <c r="V780">
        <v>392.28</v>
      </c>
      <c r="W780" t="s">
        <v>4343</v>
      </c>
      <c r="Y780" t="b">
        <v>1</v>
      </c>
      <c r="Z780" t="b">
        <v>0</v>
      </c>
      <c r="AA780">
        <v>392.28</v>
      </c>
      <c r="AB780">
        <v>0</v>
      </c>
      <c r="AD780" t="b">
        <v>0</v>
      </c>
      <c r="AG780" s="1" t="s">
        <v>59</v>
      </c>
      <c r="AH780" s="1" t="s">
        <v>48</v>
      </c>
      <c r="AI780">
        <v>319</v>
      </c>
      <c r="AJ780">
        <v>57</v>
      </c>
      <c r="AK780" s="106">
        <v>45475.635526469909</v>
      </c>
      <c r="AL780" s="1" t="s">
        <v>4790</v>
      </c>
      <c r="AM780" s="42">
        <f>IFERROR(INDEX('Public procurment'!A:R,MATCH(ListOfExpenditure[[#This Row],[Content.contractId]],'Public procurment'!E:E,0),14),0)</f>
        <v>0</v>
      </c>
      <c r="AN780" s="2">
        <f>IF(AND(ListOfExpenditure[[#This Row],[Contract amount]]&gt;10000,ListOfExpenditure[[#This Row],[Content.declaredAmount]]&gt;2000),1,0)</f>
        <v>0</v>
      </c>
      <c r="AO780">
        <f>IFERROR(INDEX('Public procurment'!A:S,MATCH(ListOfExpenditure[[#This Row],[Content.contractId]],'Public procurment'!E:E,0),19),0)</f>
        <v>0</v>
      </c>
      <c r="AP780">
        <f>IF(ListOfExpenditure[[#This Row],[Numero di volte controllato il contract ]]&gt;0,0,ListOfExpenditure[[#This Row],[IF public procurment &gt;10000;1;0]])</f>
        <v>0</v>
      </c>
    </row>
    <row r="781" spans="1:42" x14ac:dyDescent="0.25">
      <c r="A781">
        <v>2008</v>
      </c>
      <c r="B781">
        <v>10</v>
      </c>
      <c r="E781" t="s">
        <v>4786</v>
      </c>
      <c r="F781" t="b">
        <v>1</v>
      </c>
      <c r="I781" t="s">
        <v>4945</v>
      </c>
      <c r="K781" t="s">
        <v>4348</v>
      </c>
      <c r="L781" t="s">
        <v>4835</v>
      </c>
      <c r="M781" t="s">
        <v>4788</v>
      </c>
      <c r="N781" t="s">
        <v>4788</v>
      </c>
      <c r="O781">
        <v>441.41</v>
      </c>
      <c r="Q781">
        <v>0</v>
      </c>
      <c r="R781">
        <v>0</v>
      </c>
      <c r="S781">
        <v>441.41</v>
      </c>
      <c r="T781" t="s">
        <v>4789</v>
      </c>
      <c r="U781">
        <v>1</v>
      </c>
      <c r="V781">
        <v>441.41</v>
      </c>
      <c r="W781" t="s">
        <v>4343</v>
      </c>
      <c r="Y781" t="b">
        <v>1</v>
      </c>
      <c r="Z781" t="b">
        <v>0</v>
      </c>
      <c r="AA781">
        <v>441.41</v>
      </c>
      <c r="AB781">
        <v>0</v>
      </c>
      <c r="AD781" t="b">
        <v>0</v>
      </c>
      <c r="AG781" s="1" t="s">
        <v>59</v>
      </c>
      <c r="AH781" s="1" t="s">
        <v>48</v>
      </c>
      <c r="AI781">
        <v>319</v>
      </c>
      <c r="AJ781">
        <v>57</v>
      </c>
      <c r="AK781" s="106">
        <v>45475.635526469909</v>
      </c>
      <c r="AL781" s="1" t="s">
        <v>4790</v>
      </c>
      <c r="AM781" s="42">
        <f>IFERROR(INDEX('Public procurment'!A:R,MATCH(ListOfExpenditure[[#This Row],[Content.contractId]],'Public procurment'!E:E,0),14),0)</f>
        <v>0</v>
      </c>
      <c r="AN781" s="2">
        <f>IF(AND(ListOfExpenditure[[#This Row],[Contract amount]]&gt;10000,ListOfExpenditure[[#This Row],[Content.declaredAmount]]&gt;2000),1,0)</f>
        <v>0</v>
      </c>
      <c r="AO781">
        <f>IFERROR(INDEX('Public procurment'!A:S,MATCH(ListOfExpenditure[[#This Row],[Content.contractId]],'Public procurment'!E:E,0),19),0)</f>
        <v>0</v>
      </c>
      <c r="AP781">
        <f>IF(ListOfExpenditure[[#This Row],[Numero di volte controllato il contract ]]&gt;0,0,ListOfExpenditure[[#This Row],[IF public procurment &gt;10000;1;0]])</f>
        <v>0</v>
      </c>
    </row>
    <row r="782" spans="1:42" x14ac:dyDescent="0.25">
      <c r="A782">
        <v>2012</v>
      </c>
      <c r="B782">
        <v>11</v>
      </c>
      <c r="E782" t="s">
        <v>4786</v>
      </c>
      <c r="F782" t="b">
        <v>1</v>
      </c>
      <c r="I782" t="s">
        <v>4947</v>
      </c>
      <c r="K782" t="s">
        <v>4348</v>
      </c>
      <c r="L782" t="s">
        <v>4831</v>
      </c>
      <c r="M782" t="s">
        <v>4788</v>
      </c>
      <c r="N782" t="s">
        <v>4788</v>
      </c>
      <c r="O782">
        <v>167.74</v>
      </c>
      <c r="Q782">
        <v>0</v>
      </c>
      <c r="R782">
        <v>0</v>
      </c>
      <c r="S782">
        <v>167.74</v>
      </c>
      <c r="T782" t="s">
        <v>4789</v>
      </c>
      <c r="U782">
        <v>1</v>
      </c>
      <c r="V782">
        <v>167.74</v>
      </c>
      <c r="W782" t="s">
        <v>4343</v>
      </c>
      <c r="Y782" t="b">
        <v>1</v>
      </c>
      <c r="Z782" t="b">
        <v>0</v>
      </c>
      <c r="AA782">
        <v>167.74</v>
      </c>
      <c r="AB782">
        <v>0</v>
      </c>
      <c r="AD782" t="b">
        <v>0</v>
      </c>
      <c r="AG782" s="1" t="s">
        <v>59</v>
      </c>
      <c r="AH782" s="1" t="s">
        <v>48</v>
      </c>
      <c r="AI782">
        <v>319</v>
      </c>
      <c r="AJ782">
        <v>57</v>
      </c>
      <c r="AK782" s="106">
        <v>45475.635526469909</v>
      </c>
      <c r="AL782" s="1" t="s">
        <v>4790</v>
      </c>
      <c r="AM782" s="42">
        <f>IFERROR(INDEX('Public procurment'!A:R,MATCH(ListOfExpenditure[[#This Row],[Content.contractId]],'Public procurment'!E:E,0),14),0)</f>
        <v>0</v>
      </c>
      <c r="AN782" s="2">
        <f>IF(AND(ListOfExpenditure[[#This Row],[Contract amount]]&gt;10000,ListOfExpenditure[[#This Row],[Content.declaredAmount]]&gt;2000),1,0)</f>
        <v>0</v>
      </c>
      <c r="AO782">
        <f>IFERROR(INDEX('Public procurment'!A:S,MATCH(ListOfExpenditure[[#This Row],[Content.contractId]],'Public procurment'!E:E,0),19),0)</f>
        <v>0</v>
      </c>
      <c r="AP782">
        <f>IF(ListOfExpenditure[[#This Row],[Numero di volte controllato il contract ]]&gt;0,0,ListOfExpenditure[[#This Row],[IF public procurment &gt;10000;1;0]])</f>
        <v>0</v>
      </c>
    </row>
    <row r="783" spans="1:42" x14ac:dyDescent="0.25">
      <c r="A783">
        <v>2014</v>
      </c>
      <c r="B783">
        <v>12</v>
      </c>
      <c r="E783" t="s">
        <v>4786</v>
      </c>
      <c r="F783" t="b">
        <v>1</v>
      </c>
      <c r="I783" t="s">
        <v>4948</v>
      </c>
      <c r="K783" t="s">
        <v>4348</v>
      </c>
      <c r="L783" t="s">
        <v>4957</v>
      </c>
      <c r="M783" t="s">
        <v>4788</v>
      </c>
      <c r="N783" t="s">
        <v>4788</v>
      </c>
      <c r="O783">
        <v>360.19</v>
      </c>
      <c r="Q783">
        <v>0</v>
      </c>
      <c r="R783">
        <v>0</v>
      </c>
      <c r="S783">
        <v>360.19</v>
      </c>
      <c r="T783" t="s">
        <v>4789</v>
      </c>
      <c r="U783">
        <v>1</v>
      </c>
      <c r="V783">
        <v>360.19</v>
      </c>
      <c r="W783" t="s">
        <v>4343</v>
      </c>
      <c r="Y783" t="b">
        <v>0</v>
      </c>
      <c r="Z783" t="b">
        <v>0</v>
      </c>
      <c r="AA783">
        <v>360.19</v>
      </c>
      <c r="AB783">
        <v>0</v>
      </c>
      <c r="AD783" t="b">
        <v>0</v>
      </c>
      <c r="AG783" s="1" t="s">
        <v>59</v>
      </c>
      <c r="AH783" s="1" t="s">
        <v>48</v>
      </c>
      <c r="AI783">
        <v>319</v>
      </c>
      <c r="AJ783">
        <v>57</v>
      </c>
      <c r="AK783" s="106">
        <v>45475.635526469909</v>
      </c>
      <c r="AL783" s="1" t="s">
        <v>4790</v>
      </c>
      <c r="AM783" s="42">
        <f>IFERROR(INDEX('Public procurment'!A:R,MATCH(ListOfExpenditure[[#This Row],[Content.contractId]],'Public procurment'!E:E,0),14),0)</f>
        <v>0</v>
      </c>
      <c r="AN783" s="2">
        <f>IF(AND(ListOfExpenditure[[#This Row],[Contract amount]]&gt;10000,ListOfExpenditure[[#This Row],[Content.declaredAmount]]&gt;2000),1,0)</f>
        <v>0</v>
      </c>
      <c r="AO783">
        <f>IFERROR(INDEX('Public procurment'!A:S,MATCH(ListOfExpenditure[[#This Row],[Content.contractId]],'Public procurment'!E:E,0),19),0)</f>
        <v>0</v>
      </c>
      <c r="AP783">
        <f>IF(ListOfExpenditure[[#This Row],[Numero di volte controllato il contract ]]&gt;0,0,ListOfExpenditure[[#This Row],[IF public procurment &gt;10000;1;0]])</f>
        <v>0</v>
      </c>
    </row>
    <row r="784" spans="1:42" x14ac:dyDescent="0.25">
      <c r="A784">
        <v>2019</v>
      </c>
      <c r="B784">
        <v>13</v>
      </c>
      <c r="E784" t="s">
        <v>4786</v>
      </c>
      <c r="F784" t="b">
        <v>1</v>
      </c>
      <c r="I784" t="s">
        <v>4949</v>
      </c>
      <c r="K784" t="s">
        <v>4348</v>
      </c>
      <c r="L784" t="s">
        <v>4914</v>
      </c>
      <c r="M784" t="s">
        <v>4788</v>
      </c>
      <c r="N784" t="s">
        <v>4788</v>
      </c>
      <c r="O784">
        <v>376.62</v>
      </c>
      <c r="Q784">
        <v>0</v>
      </c>
      <c r="R784">
        <v>0</v>
      </c>
      <c r="S784">
        <v>376.62</v>
      </c>
      <c r="T784" t="s">
        <v>4789</v>
      </c>
      <c r="U784">
        <v>1</v>
      </c>
      <c r="V784">
        <v>376.62</v>
      </c>
      <c r="W784" t="s">
        <v>4343</v>
      </c>
      <c r="Y784" t="b">
        <v>0</v>
      </c>
      <c r="Z784" t="b">
        <v>0</v>
      </c>
      <c r="AA784">
        <v>376.62</v>
      </c>
      <c r="AB784">
        <v>0</v>
      </c>
      <c r="AD784" t="b">
        <v>0</v>
      </c>
      <c r="AG784" s="1" t="s">
        <v>59</v>
      </c>
      <c r="AH784" s="1" t="s">
        <v>48</v>
      </c>
      <c r="AI784">
        <v>319</v>
      </c>
      <c r="AJ784">
        <v>57</v>
      </c>
      <c r="AK784" s="106">
        <v>45475.635526469909</v>
      </c>
      <c r="AL784" s="1" t="s">
        <v>4790</v>
      </c>
      <c r="AM784" s="42">
        <f>IFERROR(INDEX('Public procurment'!A:R,MATCH(ListOfExpenditure[[#This Row],[Content.contractId]],'Public procurment'!E:E,0),14),0)</f>
        <v>0</v>
      </c>
      <c r="AN784" s="2">
        <f>IF(AND(ListOfExpenditure[[#This Row],[Contract amount]]&gt;10000,ListOfExpenditure[[#This Row],[Content.declaredAmount]]&gt;2000),1,0)</f>
        <v>0</v>
      </c>
      <c r="AO784">
        <f>IFERROR(INDEX('Public procurment'!A:S,MATCH(ListOfExpenditure[[#This Row],[Content.contractId]],'Public procurment'!E:E,0),19),0)</f>
        <v>0</v>
      </c>
      <c r="AP784">
        <f>IF(ListOfExpenditure[[#This Row],[Numero di volte controllato il contract ]]&gt;0,0,ListOfExpenditure[[#This Row],[IF public procurment &gt;10000;1;0]])</f>
        <v>0</v>
      </c>
    </row>
    <row r="785" spans="1:42" x14ac:dyDescent="0.25">
      <c r="A785">
        <v>2020</v>
      </c>
      <c r="B785">
        <v>14</v>
      </c>
      <c r="E785" t="s">
        <v>4786</v>
      </c>
      <c r="F785" t="b">
        <v>1</v>
      </c>
      <c r="I785" t="s">
        <v>4961</v>
      </c>
      <c r="K785" t="s">
        <v>4348</v>
      </c>
      <c r="L785" t="s">
        <v>4959</v>
      </c>
      <c r="M785" t="s">
        <v>4788</v>
      </c>
      <c r="N785" t="s">
        <v>4788</v>
      </c>
      <c r="O785">
        <v>373.75</v>
      </c>
      <c r="Q785">
        <v>0</v>
      </c>
      <c r="R785">
        <v>0</v>
      </c>
      <c r="S785">
        <v>373.75</v>
      </c>
      <c r="T785" t="s">
        <v>4789</v>
      </c>
      <c r="U785">
        <v>1</v>
      </c>
      <c r="V785">
        <v>373.75</v>
      </c>
      <c r="W785" t="s">
        <v>4343</v>
      </c>
      <c r="Y785" t="b">
        <v>0</v>
      </c>
      <c r="Z785" t="b">
        <v>0</v>
      </c>
      <c r="AA785">
        <v>373.75</v>
      </c>
      <c r="AB785">
        <v>0</v>
      </c>
      <c r="AD785" t="b">
        <v>0</v>
      </c>
      <c r="AG785" s="1" t="s">
        <v>59</v>
      </c>
      <c r="AH785" s="1" t="s">
        <v>48</v>
      </c>
      <c r="AI785">
        <v>319</v>
      </c>
      <c r="AJ785">
        <v>57</v>
      </c>
      <c r="AK785" s="106">
        <v>45475.635526469909</v>
      </c>
      <c r="AL785" s="1" t="s">
        <v>4790</v>
      </c>
      <c r="AM785" s="42">
        <f>IFERROR(INDEX('Public procurment'!A:R,MATCH(ListOfExpenditure[[#This Row],[Content.contractId]],'Public procurment'!E:E,0),14),0)</f>
        <v>0</v>
      </c>
      <c r="AN785" s="2">
        <f>IF(AND(ListOfExpenditure[[#This Row],[Contract amount]]&gt;10000,ListOfExpenditure[[#This Row],[Content.declaredAmount]]&gt;2000),1,0)</f>
        <v>0</v>
      </c>
      <c r="AO785">
        <f>IFERROR(INDEX('Public procurment'!A:S,MATCH(ListOfExpenditure[[#This Row],[Content.contractId]],'Public procurment'!E:E,0),19),0)</f>
        <v>0</v>
      </c>
      <c r="AP785">
        <f>IF(ListOfExpenditure[[#This Row],[Numero di volte controllato il contract ]]&gt;0,0,ListOfExpenditure[[#This Row],[IF public procurment &gt;10000;1;0]])</f>
        <v>0</v>
      </c>
    </row>
    <row r="786" spans="1:42" x14ac:dyDescent="0.25">
      <c r="A786">
        <v>2021</v>
      </c>
      <c r="B786">
        <v>15</v>
      </c>
      <c r="E786" t="s">
        <v>4786</v>
      </c>
      <c r="F786" t="b">
        <v>1</v>
      </c>
      <c r="I786" t="s">
        <v>4962</v>
      </c>
      <c r="K786" t="s">
        <v>4348</v>
      </c>
      <c r="L786" t="s">
        <v>4835</v>
      </c>
      <c r="M786" t="s">
        <v>4788</v>
      </c>
      <c r="N786" t="s">
        <v>4788</v>
      </c>
      <c r="O786">
        <v>380.69</v>
      </c>
      <c r="Q786">
        <v>0</v>
      </c>
      <c r="R786">
        <v>0</v>
      </c>
      <c r="S786">
        <v>380.69</v>
      </c>
      <c r="T786" t="s">
        <v>4789</v>
      </c>
      <c r="U786">
        <v>1</v>
      </c>
      <c r="V786">
        <v>380.69</v>
      </c>
      <c r="W786" t="s">
        <v>4343</v>
      </c>
      <c r="Y786" t="b">
        <v>0</v>
      </c>
      <c r="Z786" t="b">
        <v>0</v>
      </c>
      <c r="AA786">
        <v>380.69</v>
      </c>
      <c r="AB786">
        <v>0</v>
      </c>
      <c r="AD786" t="b">
        <v>0</v>
      </c>
      <c r="AG786" s="1" t="s">
        <v>59</v>
      </c>
      <c r="AH786" s="1" t="s">
        <v>48</v>
      </c>
      <c r="AI786">
        <v>319</v>
      </c>
      <c r="AJ786">
        <v>57</v>
      </c>
      <c r="AK786" s="106">
        <v>45475.635526469909</v>
      </c>
      <c r="AL786" s="1" t="s">
        <v>4790</v>
      </c>
      <c r="AM786" s="42">
        <f>IFERROR(INDEX('Public procurment'!A:R,MATCH(ListOfExpenditure[[#This Row],[Content.contractId]],'Public procurment'!E:E,0),14),0)</f>
        <v>0</v>
      </c>
      <c r="AN786" s="2">
        <f>IF(AND(ListOfExpenditure[[#This Row],[Contract amount]]&gt;10000,ListOfExpenditure[[#This Row],[Content.declaredAmount]]&gt;2000),1,0)</f>
        <v>0</v>
      </c>
      <c r="AO786">
        <f>IFERROR(INDEX('Public procurment'!A:S,MATCH(ListOfExpenditure[[#This Row],[Content.contractId]],'Public procurment'!E:E,0),19),0)</f>
        <v>0</v>
      </c>
      <c r="AP786">
        <f>IF(ListOfExpenditure[[#This Row],[Numero di volte controllato il contract ]]&gt;0,0,ListOfExpenditure[[#This Row],[IF public procurment &gt;10000;1;0]])</f>
        <v>0</v>
      </c>
    </row>
    <row r="787" spans="1:42" x14ac:dyDescent="0.25">
      <c r="A787">
        <v>2022</v>
      </c>
      <c r="B787">
        <v>16</v>
      </c>
      <c r="E787" t="s">
        <v>4786</v>
      </c>
      <c r="F787" t="b">
        <v>1</v>
      </c>
      <c r="I787" t="s">
        <v>4963</v>
      </c>
      <c r="K787" t="s">
        <v>4348</v>
      </c>
      <c r="L787" t="s">
        <v>4835</v>
      </c>
      <c r="M787" t="s">
        <v>4788</v>
      </c>
      <c r="N787" t="s">
        <v>4788</v>
      </c>
      <c r="O787">
        <v>1245.83</v>
      </c>
      <c r="Q787">
        <v>0</v>
      </c>
      <c r="R787">
        <v>0</v>
      </c>
      <c r="S787">
        <v>1245.83</v>
      </c>
      <c r="T787" t="s">
        <v>4789</v>
      </c>
      <c r="U787">
        <v>1</v>
      </c>
      <c r="V787">
        <v>1245.83</v>
      </c>
      <c r="W787" t="s">
        <v>4343</v>
      </c>
      <c r="Y787" t="b">
        <v>1</v>
      </c>
      <c r="Z787" t="b">
        <v>0</v>
      </c>
      <c r="AA787">
        <v>1245.83</v>
      </c>
      <c r="AB787">
        <v>0</v>
      </c>
      <c r="AD787" t="b">
        <v>0</v>
      </c>
      <c r="AG787" s="1" t="s">
        <v>59</v>
      </c>
      <c r="AH787" s="1" t="s">
        <v>48</v>
      </c>
      <c r="AI787">
        <v>319</v>
      </c>
      <c r="AJ787">
        <v>57</v>
      </c>
      <c r="AK787" s="106">
        <v>45475.635526469909</v>
      </c>
      <c r="AL787" s="1" t="s">
        <v>4790</v>
      </c>
      <c r="AM787" s="42">
        <f>IFERROR(INDEX('Public procurment'!A:R,MATCH(ListOfExpenditure[[#This Row],[Content.contractId]],'Public procurment'!E:E,0),14),0)</f>
        <v>0</v>
      </c>
      <c r="AN787" s="2">
        <f>IF(AND(ListOfExpenditure[[#This Row],[Contract amount]]&gt;10000,ListOfExpenditure[[#This Row],[Content.declaredAmount]]&gt;2000),1,0)</f>
        <v>0</v>
      </c>
      <c r="AO787">
        <f>IFERROR(INDEX('Public procurment'!A:S,MATCH(ListOfExpenditure[[#This Row],[Content.contractId]],'Public procurment'!E:E,0),19),0)</f>
        <v>0</v>
      </c>
      <c r="AP787">
        <f>IF(ListOfExpenditure[[#This Row],[Numero di volte controllato il contract ]]&gt;0,0,ListOfExpenditure[[#This Row],[IF public procurment &gt;10000;1;0]])</f>
        <v>0</v>
      </c>
    </row>
    <row r="788" spans="1:42" x14ac:dyDescent="0.25">
      <c r="A788">
        <v>2023</v>
      </c>
      <c r="B788">
        <v>17</v>
      </c>
      <c r="E788" t="s">
        <v>4786</v>
      </c>
      <c r="F788" t="b">
        <v>1</v>
      </c>
      <c r="I788" t="s">
        <v>4964</v>
      </c>
      <c r="M788" t="s">
        <v>4788</v>
      </c>
      <c r="N788" t="s">
        <v>4788</v>
      </c>
      <c r="O788">
        <v>0</v>
      </c>
      <c r="Q788">
        <v>0</v>
      </c>
      <c r="R788">
        <v>0</v>
      </c>
      <c r="S788">
        <v>0</v>
      </c>
      <c r="T788" t="s">
        <v>4789</v>
      </c>
      <c r="U788">
        <v>1</v>
      </c>
      <c r="V788">
        <v>0</v>
      </c>
      <c r="W788" t="s">
        <v>4343</v>
      </c>
      <c r="Y788" t="b">
        <v>0</v>
      </c>
      <c r="Z788" t="b">
        <v>0</v>
      </c>
      <c r="AA788">
        <v>0</v>
      </c>
      <c r="AB788">
        <v>0</v>
      </c>
      <c r="AD788" t="b">
        <v>0</v>
      </c>
      <c r="AG788" s="1" t="s">
        <v>59</v>
      </c>
      <c r="AH788" s="1" t="s">
        <v>48</v>
      </c>
      <c r="AI788">
        <v>319</v>
      </c>
      <c r="AJ788">
        <v>57</v>
      </c>
      <c r="AK788" s="106">
        <v>45475.635526469909</v>
      </c>
      <c r="AL788" s="1" t="s">
        <v>4790</v>
      </c>
      <c r="AM788" s="42">
        <f>IFERROR(INDEX('Public procurment'!A:R,MATCH(ListOfExpenditure[[#This Row],[Content.contractId]],'Public procurment'!E:E,0),14),0)</f>
        <v>0</v>
      </c>
      <c r="AN788" s="2">
        <f>IF(AND(ListOfExpenditure[[#This Row],[Contract amount]]&gt;10000,ListOfExpenditure[[#This Row],[Content.declaredAmount]]&gt;2000),1,0)</f>
        <v>0</v>
      </c>
      <c r="AO788">
        <f>IFERROR(INDEX('Public procurment'!A:S,MATCH(ListOfExpenditure[[#This Row],[Content.contractId]],'Public procurment'!E:E,0),19),0)</f>
        <v>0</v>
      </c>
      <c r="AP788">
        <f>IF(ListOfExpenditure[[#This Row],[Numero di volte controllato il contract ]]&gt;0,0,ListOfExpenditure[[#This Row],[IF public procurment &gt;10000;1;0]])</f>
        <v>0</v>
      </c>
    </row>
    <row r="789" spans="1:42" x14ac:dyDescent="0.25">
      <c r="A789">
        <v>2024</v>
      </c>
      <c r="B789">
        <v>18</v>
      </c>
      <c r="E789" t="s">
        <v>4786</v>
      </c>
      <c r="F789" t="b">
        <v>1</v>
      </c>
      <c r="I789" t="s">
        <v>4965</v>
      </c>
      <c r="M789" t="s">
        <v>4788</v>
      </c>
      <c r="N789" t="s">
        <v>4788</v>
      </c>
      <c r="O789">
        <v>0</v>
      </c>
      <c r="Q789">
        <v>0</v>
      </c>
      <c r="R789">
        <v>0</v>
      </c>
      <c r="S789">
        <v>0</v>
      </c>
      <c r="T789" t="s">
        <v>4789</v>
      </c>
      <c r="U789">
        <v>1</v>
      </c>
      <c r="V789">
        <v>0</v>
      </c>
      <c r="W789" t="s">
        <v>4343</v>
      </c>
      <c r="Y789" t="b">
        <v>0</v>
      </c>
      <c r="Z789" t="b">
        <v>0</v>
      </c>
      <c r="AA789">
        <v>0</v>
      </c>
      <c r="AB789">
        <v>0</v>
      </c>
      <c r="AD789" t="b">
        <v>0</v>
      </c>
      <c r="AG789" s="1" t="s">
        <v>59</v>
      </c>
      <c r="AH789" s="1" t="s">
        <v>48</v>
      </c>
      <c r="AI789">
        <v>319</v>
      </c>
      <c r="AJ789">
        <v>57</v>
      </c>
      <c r="AK789" s="106">
        <v>45475.635526469909</v>
      </c>
      <c r="AL789" s="1" t="s">
        <v>4790</v>
      </c>
      <c r="AM789" s="42">
        <f>IFERROR(INDEX('Public procurment'!A:R,MATCH(ListOfExpenditure[[#This Row],[Content.contractId]],'Public procurment'!E:E,0),14),0)</f>
        <v>0</v>
      </c>
      <c r="AN789" s="2">
        <f>IF(AND(ListOfExpenditure[[#This Row],[Contract amount]]&gt;10000,ListOfExpenditure[[#This Row],[Content.declaredAmount]]&gt;2000),1,0)</f>
        <v>0</v>
      </c>
      <c r="AO789">
        <f>IFERROR(INDEX('Public procurment'!A:S,MATCH(ListOfExpenditure[[#This Row],[Content.contractId]],'Public procurment'!E:E,0),19),0)</f>
        <v>0</v>
      </c>
      <c r="AP789">
        <f>IF(ListOfExpenditure[[#This Row],[Numero di volte controllato il contract ]]&gt;0,0,ListOfExpenditure[[#This Row],[IF public procurment &gt;10000;1;0]])</f>
        <v>0</v>
      </c>
    </row>
    <row r="790" spans="1:42" x14ac:dyDescent="0.25">
      <c r="A790">
        <v>2025</v>
      </c>
      <c r="B790">
        <v>19</v>
      </c>
      <c r="E790" t="s">
        <v>4786</v>
      </c>
      <c r="F790" t="b">
        <v>1</v>
      </c>
      <c r="I790" t="s">
        <v>4966</v>
      </c>
      <c r="M790" t="s">
        <v>4788</v>
      </c>
      <c r="N790" t="s">
        <v>4788</v>
      </c>
      <c r="O790">
        <v>0</v>
      </c>
      <c r="Q790">
        <v>0</v>
      </c>
      <c r="R790">
        <v>0</v>
      </c>
      <c r="S790">
        <v>0</v>
      </c>
      <c r="T790" t="s">
        <v>4789</v>
      </c>
      <c r="U790">
        <v>1</v>
      </c>
      <c r="V790">
        <v>0</v>
      </c>
      <c r="W790" t="s">
        <v>4343</v>
      </c>
      <c r="Y790" t="b">
        <v>0</v>
      </c>
      <c r="Z790" t="b">
        <v>0</v>
      </c>
      <c r="AA790">
        <v>0</v>
      </c>
      <c r="AB790">
        <v>0</v>
      </c>
      <c r="AD790" t="b">
        <v>0</v>
      </c>
      <c r="AG790" s="1" t="s">
        <v>59</v>
      </c>
      <c r="AH790" s="1" t="s">
        <v>48</v>
      </c>
      <c r="AI790">
        <v>319</v>
      </c>
      <c r="AJ790">
        <v>57</v>
      </c>
      <c r="AK790" s="106">
        <v>45475.635526469909</v>
      </c>
      <c r="AL790" s="1" t="s">
        <v>4790</v>
      </c>
      <c r="AM790" s="42">
        <f>IFERROR(INDEX('Public procurment'!A:R,MATCH(ListOfExpenditure[[#This Row],[Content.contractId]],'Public procurment'!E:E,0),14),0)</f>
        <v>0</v>
      </c>
      <c r="AN790" s="2">
        <f>IF(AND(ListOfExpenditure[[#This Row],[Contract amount]]&gt;10000,ListOfExpenditure[[#This Row],[Content.declaredAmount]]&gt;2000),1,0)</f>
        <v>0</v>
      </c>
      <c r="AO790">
        <f>IFERROR(INDEX('Public procurment'!A:S,MATCH(ListOfExpenditure[[#This Row],[Content.contractId]],'Public procurment'!E:E,0),19),0)</f>
        <v>0</v>
      </c>
      <c r="AP790">
        <f>IF(ListOfExpenditure[[#This Row],[Numero di volte controllato il contract ]]&gt;0,0,ListOfExpenditure[[#This Row],[IF public procurment &gt;10000;1;0]])</f>
        <v>0</v>
      </c>
    </row>
    <row r="791" spans="1:42" x14ac:dyDescent="0.25">
      <c r="A791">
        <v>2026</v>
      </c>
      <c r="B791">
        <v>20</v>
      </c>
      <c r="E791" t="s">
        <v>4786</v>
      </c>
      <c r="F791" t="b">
        <v>1</v>
      </c>
      <c r="I791" t="s">
        <v>4968</v>
      </c>
      <c r="M791" t="s">
        <v>4788</v>
      </c>
      <c r="N791" t="s">
        <v>4788</v>
      </c>
      <c r="O791">
        <v>0</v>
      </c>
      <c r="Q791">
        <v>0</v>
      </c>
      <c r="R791">
        <v>0</v>
      </c>
      <c r="S791">
        <v>0</v>
      </c>
      <c r="T791" t="s">
        <v>4789</v>
      </c>
      <c r="U791">
        <v>1</v>
      </c>
      <c r="V791">
        <v>0</v>
      </c>
      <c r="W791" t="s">
        <v>4343</v>
      </c>
      <c r="Y791" t="b">
        <v>0</v>
      </c>
      <c r="Z791" t="b">
        <v>0</v>
      </c>
      <c r="AA791">
        <v>0</v>
      </c>
      <c r="AB791">
        <v>0</v>
      </c>
      <c r="AD791" t="b">
        <v>0</v>
      </c>
      <c r="AG791" s="1" t="s">
        <v>59</v>
      </c>
      <c r="AH791" s="1" t="s">
        <v>48</v>
      </c>
      <c r="AI791">
        <v>319</v>
      </c>
      <c r="AJ791">
        <v>57</v>
      </c>
      <c r="AK791" s="106">
        <v>45475.635526469909</v>
      </c>
      <c r="AL791" s="1" t="s">
        <v>4790</v>
      </c>
      <c r="AM791" s="42">
        <f>IFERROR(INDEX('Public procurment'!A:R,MATCH(ListOfExpenditure[[#This Row],[Content.contractId]],'Public procurment'!E:E,0),14),0)</f>
        <v>0</v>
      </c>
      <c r="AN791" s="2">
        <f>IF(AND(ListOfExpenditure[[#This Row],[Contract amount]]&gt;10000,ListOfExpenditure[[#This Row],[Content.declaredAmount]]&gt;2000),1,0)</f>
        <v>0</v>
      </c>
      <c r="AO791">
        <f>IFERROR(INDEX('Public procurment'!A:S,MATCH(ListOfExpenditure[[#This Row],[Content.contractId]],'Public procurment'!E:E,0),19),0)</f>
        <v>0</v>
      </c>
      <c r="AP791">
        <f>IF(ListOfExpenditure[[#This Row],[Numero di volte controllato il contract ]]&gt;0,0,ListOfExpenditure[[#This Row],[IF public procurment &gt;10000;1;0]])</f>
        <v>0</v>
      </c>
    </row>
    <row r="792" spans="1:42" x14ac:dyDescent="0.25">
      <c r="A792">
        <v>2027</v>
      </c>
      <c r="B792">
        <v>21</v>
      </c>
      <c r="E792" t="s">
        <v>4786</v>
      </c>
      <c r="F792" t="b">
        <v>1</v>
      </c>
      <c r="I792" t="s">
        <v>4970</v>
      </c>
      <c r="M792" t="s">
        <v>4788</v>
      </c>
      <c r="N792" t="s">
        <v>4788</v>
      </c>
      <c r="O792">
        <v>0</v>
      </c>
      <c r="Q792">
        <v>0</v>
      </c>
      <c r="R792">
        <v>0</v>
      </c>
      <c r="S792">
        <v>0</v>
      </c>
      <c r="T792" t="s">
        <v>4789</v>
      </c>
      <c r="U792">
        <v>1</v>
      </c>
      <c r="V792">
        <v>0</v>
      </c>
      <c r="W792" t="s">
        <v>4343</v>
      </c>
      <c r="Y792" t="b">
        <v>0</v>
      </c>
      <c r="Z792" t="b">
        <v>0</v>
      </c>
      <c r="AA792">
        <v>0</v>
      </c>
      <c r="AB792">
        <v>0</v>
      </c>
      <c r="AD792" t="b">
        <v>0</v>
      </c>
      <c r="AG792" s="1" t="s">
        <v>59</v>
      </c>
      <c r="AH792" s="1" t="s">
        <v>48</v>
      </c>
      <c r="AI792">
        <v>319</v>
      </c>
      <c r="AJ792">
        <v>57</v>
      </c>
      <c r="AK792" s="106">
        <v>45475.635526469909</v>
      </c>
      <c r="AL792" s="1" t="s">
        <v>4790</v>
      </c>
      <c r="AM792" s="42">
        <f>IFERROR(INDEX('Public procurment'!A:R,MATCH(ListOfExpenditure[[#This Row],[Content.contractId]],'Public procurment'!E:E,0),14),0)</f>
        <v>0</v>
      </c>
      <c r="AN792" s="2">
        <f>IF(AND(ListOfExpenditure[[#This Row],[Contract amount]]&gt;10000,ListOfExpenditure[[#This Row],[Content.declaredAmount]]&gt;2000),1,0)</f>
        <v>0</v>
      </c>
      <c r="AO792">
        <f>IFERROR(INDEX('Public procurment'!A:S,MATCH(ListOfExpenditure[[#This Row],[Content.contractId]],'Public procurment'!E:E,0),19),0)</f>
        <v>0</v>
      </c>
      <c r="AP792">
        <f>IF(ListOfExpenditure[[#This Row],[Numero di volte controllato il contract ]]&gt;0,0,ListOfExpenditure[[#This Row],[IF public procurment &gt;10000;1;0]])</f>
        <v>0</v>
      </c>
    </row>
    <row r="793" spans="1:42" x14ac:dyDescent="0.25">
      <c r="A793">
        <v>2028</v>
      </c>
      <c r="B793">
        <v>22</v>
      </c>
      <c r="E793" t="s">
        <v>4786</v>
      </c>
      <c r="F793" t="b">
        <v>1</v>
      </c>
      <c r="I793" t="s">
        <v>5493</v>
      </c>
      <c r="M793" t="s">
        <v>4788</v>
      </c>
      <c r="N793" t="s">
        <v>4788</v>
      </c>
      <c r="O793">
        <v>0</v>
      </c>
      <c r="Q793">
        <v>0</v>
      </c>
      <c r="R793">
        <v>0</v>
      </c>
      <c r="S793">
        <v>0</v>
      </c>
      <c r="T793" t="s">
        <v>4789</v>
      </c>
      <c r="U793">
        <v>1</v>
      </c>
      <c r="V793">
        <v>0</v>
      </c>
      <c r="W793" t="s">
        <v>4343</v>
      </c>
      <c r="Y793" t="b">
        <v>0</v>
      </c>
      <c r="Z793" t="b">
        <v>0</v>
      </c>
      <c r="AA793">
        <v>0</v>
      </c>
      <c r="AB793">
        <v>0</v>
      </c>
      <c r="AD793" t="b">
        <v>0</v>
      </c>
      <c r="AG793" s="1" t="s">
        <v>59</v>
      </c>
      <c r="AH793" s="1" t="s">
        <v>48</v>
      </c>
      <c r="AI793">
        <v>319</v>
      </c>
      <c r="AJ793">
        <v>57</v>
      </c>
      <c r="AK793" s="106">
        <v>45475.635526469909</v>
      </c>
      <c r="AL793" s="1" t="s">
        <v>4790</v>
      </c>
      <c r="AM793" s="42">
        <f>IFERROR(INDEX('Public procurment'!A:R,MATCH(ListOfExpenditure[[#This Row],[Content.contractId]],'Public procurment'!E:E,0),14),0)</f>
        <v>0</v>
      </c>
      <c r="AN793" s="2">
        <f>IF(AND(ListOfExpenditure[[#This Row],[Contract amount]]&gt;10000,ListOfExpenditure[[#This Row],[Content.declaredAmount]]&gt;2000),1,0)</f>
        <v>0</v>
      </c>
      <c r="AO793">
        <f>IFERROR(INDEX('Public procurment'!A:S,MATCH(ListOfExpenditure[[#This Row],[Content.contractId]],'Public procurment'!E:E,0),19),0)</f>
        <v>0</v>
      </c>
      <c r="AP793">
        <f>IF(ListOfExpenditure[[#This Row],[Numero di volte controllato il contract ]]&gt;0,0,ListOfExpenditure[[#This Row],[IF public procurment &gt;10000;1;0]])</f>
        <v>0</v>
      </c>
    </row>
    <row r="794" spans="1:42" x14ac:dyDescent="0.25">
      <c r="A794">
        <v>2029</v>
      </c>
      <c r="B794">
        <v>23</v>
      </c>
      <c r="E794" t="s">
        <v>4786</v>
      </c>
      <c r="F794" t="b">
        <v>1</v>
      </c>
      <c r="I794" t="s">
        <v>5494</v>
      </c>
      <c r="M794" t="s">
        <v>4788</v>
      </c>
      <c r="N794" t="s">
        <v>4788</v>
      </c>
      <c r="O794">
        <v>0</v>
      </c>
      <c r="Q794">
        <v>0</v>
      </c>
      <c r="R794">
        <v>0</v>
      </c>
      <c r="S794">
        <v>0</v>
      </c>
      <c r="T794" t="s">
        <v>4789</v>
      </c>
      <c r="U794">
        <v>1</v>
      </c>
      <c r="V794">
        <v>0</v>
      </c>
      <c r="W794" t="s">
        <v>4343</v>
      </c>
      <c r="Y794" t="b">
        <v>0</v>
      </c>
      <c r="Z794" t="b">
        <v>0</v>
      </c>
      <c r="AA794">
        <v>0</v>
      </c>
      <c r="AB794">
        <v>0</v>
      </c>
      <c r="AD794" t="b">
        <v>0</v>
      </c>
      <c r="AG794" s="1" t="s">
        <v>59</v>
      </c>
      <c r="AH794" s="1" t="s">
        <v>48</v>
      </c>
      <c r="AI794">
        <v>319</v>
      </c>
      <c r="AJ794">
        <v>57</v>
      </c>
      <c r="AK794" s="106">
        <v>45475.635526469909</v>
      </c>
      <c r="AL794" s="1" t="s">
        <v>4790</v>
      </c>
      <c r="AM794" s="42">
        <f>IFERROR(INDEX('Public procurment'!A:R,MATCH(ListOfExpenditure[[#This Row],[Content.contractId]],'Public procurment'!E:E,0),14),0)</f>
        <v>0</v>
      </c>
      <c r="AN794" s="2">
        <f>IF(AND(ListOfExpenditure[[#This Row],[Contract amount]]&gt;10000,ListOfExpenditure[[#This Row],[Content.declaredAmount]]&gt;2000),1,0)</f>
        <v>0</v>
      </c>
      <c r="AO794">
        <f>IFERROR(INDEX('Public procurment'!A:S,MATCH(ListOfExpenditure[[#This Row],[Content.contractId]],'Public procurment'!E:E,0),19),0)</f>
        <v>0</v>
      </c>
      <c r="AP794">
        <f>IF(ListOfExpenditure[[#This Row],[Numero di volte controllato il contract ]]&gt;0,0,ListOfExpenditure[[#This Row],[IF public procurment &gt;10000;1;0]])</f>
        <v>0</v>
      </c>
    </row>
    <row r="795" spans="1:42" x14ac:dyDescent="0.25">
      <c r="A795">
        <v>2030</v>
      </c>
      <c r="B795">
        <v>24</v>
      </c>
      <c r="E795" t="s">
        <v>4786</v>
      </c>
      <c r="F795" t="b">
        <v>1</v>
      </c>
      <c r="I795" t="s">
        <v>5495</v>
      </c>
      <c r="M795" t="s">
        <v>4788</v>
      </c>
      <c r="N795" t="s">
        <v>4788</v>
      </c>
      <c r="O795">
        <v>0</v>
      </c>
      <c r="Q795">
        <v>0</v>
      </c>
      <c r="R795">
        <v>0</v>
      </c>
      <c r="S795">
        <v>0</v>
      </c>
      <c r="T795" t="s">
        <v>4789</v>
      </c>
      <c r="U795">
        <v>1</v>
      </c>
      <c r="V795">
        <v>0</v>
      </c>
      <c r="W795" t="s">
        <v>4343</v>
      </c>
      <c r="Y795" t="b">
        <v>0</v>
      </c>
      <c r="Z795" t="b">
        <v>0</v>
      </c>
      <c r="AA795">
        <v>0</v>
      </c>
      <c r="AB795">
        <v>0</v>
      </c>
      <c r="AD795" t="b">
        <v>0</v>
      </c>
      <c r="AG795" s="1" t="s">
        <v>59</v>
      </c>
      <c r="AH795" s="1" t="s">
        <v>48</v>
      </c>
      <c r="AI795">
        <v>319</v>
      </c>
      <c r="AJ795">
        <v>57</v>
      </c>
      <c r="AK795" s="106">
        <v>45475.635526469909</v>
      </c>
      <c r="AL795" s="1" t="s">
        <v>4790</v>
      </c>
      <c r="AM795" s="42">
        <f>IFERROR(INDEX('Public procurment'!A:R,MATCH(ListOfExpenditure[[#This Row],[Content.contractId]],'Public procurment'!E:E,0),14),0)</f>
        <v>0</v>
      </c>
      <c r="AN795" s="2">
        <f>IF(AND(ListOfExpenditure[[#This Row],[Contract amount]]&gt;10000,ListOfExpenditure[[#This Row],[Content.declaredAmount]]&gt;2000),1,0)</f>
        <v>0</v>
      </c>
      <c r="AO795">
        <f>IFERROR(INDEX('Public procurment'!A:S,MATCH(ListOfExpenditure[[#This Row],[Content.contractId]],'Public procurment'!E:E,0),19),0)</f>
        <v>0</v>
      </c>
      <c r="AP795">
        <f>IF(ListOfExpenditure[[#This Row],[Numero di volte controllato il contract ]]&gt;0,0,ListOfExpenditure[[#This Row],[IF public procurment &gt;10000;1;0]])</f>
        <v>0</v>
      </c>
    </row>
    <row r="796" spans="1:42" x14ac:dyDescent="0.25">
      <c r="A796">
        <v>2031</v>
      </c>
      <c r="B796">
        <v>25</v>
      </c>
      <c r="E796" t="s">
        <v>4786</v>
      </c>
      <c r="F796" t="b">
        <v>1</v>
      </c>
      <c r="I796" t="s">
        <v>5496</v>
      </c>
      <c r="M796" t="s">
        <v>4788</v>
      </c>
      <c r="N796" t="s">
        <v>4788</v>
      </c>
      <c r="O796">
        <v>0</v>
      </c>
      <c r="Q796">
        <v>0</v>
      </c>
      <c r="R796">
        <v>0</v>
      </c>
      <c r="S796">
        <v>0</v>
      </c>
      <c r="T796" t="s">
        <v>4789</v>
      </c>
      <c r="U796">
        <v>1</v>
      </c>
      <c r="V796">
        <v>0</v>
      </c>
      <c r="W796" t="s">
        <v>4343</v>
      </c>
      <c r="Y796" t="b">
        <v>0</v>
      </c>
      <c r="Z796" t="b">
        <v>0</v>
      </c>
      <c r="AA796">
        <v>0</v>
      </c>
      <c r="AB796">
        <v>0</v>
      </c>
      <c r="AD796" t="b">
        <v>0</v>
      </c>
      <c r="AG796" s="1" t="s">
        <v>59</v>
      </c>
      <c r="AH796" s="1" t="s">
        <v>48</v>
      </c>
      <c r="AI796">
        <v>319</v>
      </c>
      <c r="AJ796">
        <v>57</v>
      </c>
      <c r="AK796" s="106">
        <v>45475.635526469909</v>
      </c>
      <c r="AL796" s="1" t="s">
        <v>4790</v>
      </c>
      <c r="AM796" s="42">
        <f>IFERROR(INDEX('Public procurment'!A:R,MATCH(ListOfExpenditure[[#This Row],[Content.contractId]],'Public procurment'!E:E,0),14),0)</f>
        <v>0</v>
      </c>
      <c r="AN796" s="2">
        <f>IF(AND(ListOfExpenditure[[#This Row],[Contract amount]]&gt;10000,ListOfExpenditure[[#This Row],[Content.declaredAmount]]&gt;2000),1,0)</f>
        <v>0</v>
      </c>
      <c r="AO796">
        <f>IFERROR(INDEX('Public procurment'!A:S,MATCH(ListOfExpenditure[[#This Row],[Content.contractId]],'Public procurment'!E:E,0),19),0)</f>
        <v>0</v>
      </c>
      <c r="AP796">
        <f>IF(ListOfExpenditure[[#This Row],[Numero di volte controllato il contract ]]&gt;0,0,ListOfExpenditure[[#This Row],[IF public procurment &gt;10000;1;0]])</f>
        <v>0</v>
      </c>
    </row>
    <row r="797" spans="1:42" x14ac:dyDescent="0.25">
      <c r="A797">
        <v>2032</v>
      </c>
      <c r="B797">
        <v>26</v>
      </c>
      <c r="E797" t="s">
        <v>4786</v>
      </c>
      <c r="F797" t="b">
        <v>1</v>
      </c>
      <c r="I797" t="s">
        <v>5497</v>
      </c>
      <c r="M797" t="s">
        <v>4788</v>
      </c>
      <c r="N797" t="s">
        <v>4788</v>
      </c>
      <c r="O797">
        <v>0</v>
      </c>
      <c r="Q797">
        <v>0</v>
      </c>
      <c r="R797">
        <v>0</v>
      </c>
      <c r="S797">
        <v>0</v>
      </c>
      <c r="T797" t="s">
        <v>4789</v>
      </c>
      <c r="U797">
        <v>1</v>
      </c>
      <c r="V797">
        <v>0</v>
      </c>
      <c r="W797" t="s">
        <v>4343</v>
      </c>
      <c r="Y797" t="b">
        <v>0</v>
      </c>
      <c r="Z797" t="b">
        <v>0</v>
      </c>
      <c r="AA797">
        <v>0</v>
      </c>
      <c r="AB797">
        <v>0</v>
      </c>
      <c r="AD797" t="b">
        <v>0</v>
      </c>
      <c r="AG797" s="1" t="s">
        <v>59</v>
      </c>
      <c r="AH797" s="1" t="s">
        <v>48</v>
      </c>
      <c r="AI797">
        <v>319</v>
      </c>
      <c r="AJ797">
        <v>57</v>
      </c>
      <c r="AK797" s="106">
        <v>45475.635526469909</v>
      </c>
      <c r="AL797" s="1" t="s">
        <v>4790</v>
      </c>
      <c r="AM797" s="42">
        <f>IFERROR(INDEX('Public procurment'!A:R,MATCH(ListOfExpenditure[[#This Row],[Content.contractId]],'Public procurment'!E:E,0),14),0)</f>
        <v>0</v>
      </c>
      <c r="AN797" s="2">
        <f>IF(AND(ListOfExpenditure[[#This Row],[Contract amount]]&gt;10000,ListOfExpenditure[[#This Row],[Content.declaredAmount]]&gt;2000),1,0)</f>
        <v>0</v>
      </c>
      <c r="AO797">
        <f>IFERROR(INDEX('Public procurment'!A:S,MATCH(ListOfExpenditure[[#This Row],[Content.contractId]],'Public procurment'!E:E,0),19),0)</f>
        <v>0</v>
      </c>
      <c r="AP797">
        <f>IF(ListOfExpenditure[[#This Row],[Numero di volte controllato il contract ]]&gt;0,0,ListOfExpenditure[[#This Row],[IF public procurment &gt;10000;1;0]])</f>
        <v>0</v>
      </c>
    </row>
    <row r="798" spans="1:42" x14ac:dyDescent="0.25">
      <c r="A798">
        <v>214</v>
      </c>
      <c r="B798">
        <v>1</v>
      </c>
      <c r="E798" t="s">
        <v>4786</v>
      </c>
      <c r="F798" t="b">
        <v>1</v>
      </c>
      <c r="I798" t="s">
        <v>5498</v>
      </c>
      <c r="K798" t="s">
        <v>4806</v>
      </c>
      <c r="L798" t="s">
        <v>5499</v>
      </c>
      <c r="M798" t="s">
        <v>4788</v>
      </c>
      <c r="N798" t="s">
        <v>4788</v>
      </c>
      <c r="O798">
        <v>17425.3</v>
      </c>
      <c r="Q798">
        <v>0</v>
      </c>
      <c r="R798">
        <v>0</v>
      </c>
      <c r="S798">
        <v>16502.22</v>
      </c>
      <c r="T798" t="s">
        <v>4789</v>
      </c>
      <c r="U798">
        <v>1</v>
      </c>
      <c r="V798">
        <v>16502.22</v>
      </c>
      <c r="W798" t="s">
        <v>4343</v>
      </c>
      <c r="Y798" t="b">
        <v>0</v>
      </c>
      <c r="Z798" t="b">
        <v>0</v>
      </c>
      <c r="AA798">
        <v>16502.22</v>
      </c>
      <c r="AB798">
        <v>0</v>
      </c>
      <c r="AD798" t="b">
        <v>0</v>
      </c>
      <c r="AG798" s="1" t="s">
        <v>59</v>
      </c>
      <c r="AH798" s="1" t="s">
        <v>28</v>
      </c>
      <c r="AI798">
        <v>317</v>
      </c>
      <c r="AJ798">
        <v>53</v>
      </c>
      <c r="AK798" s="106">
        <v>45475.635431377312</v>
      </c>
      <c r="AL798" s="1" t="s">
        <v>4790</v>
      </c>
      <c r="AM798" s="42">
        <f>IFERROR(INDEX('Public procurment'!A:R,MATCH(ListOfExpenditure[[#This Row],[Content.contractId]],'Public procurment'!E:E,0),14),0)</f>
        <v>0</v>
      </c>
      <c r="AN798" s="2">
        <f>IF(AND(ListOfExpenditure[[#This Row],[Contract amount]]&gt;10000,ListOfExpenditure[[#This Row],[Content.declaredAmount]]&gt;2000),1,0)</f>
        <v>0</v>
      </c>
      <c r="AO798">
        <f>IFERROR(INDEX('Public procurment'!A:S,MATCH(ListOfExpenditure[[#This Row],[Content.contractId]],'Public procurment'!E:E,0),19),0)</f>
        <v>0</v>
      </c>
      <c r="AP798">
        <f>IF(ListOfExpenditure[[#This Row],[Numero di volte controllato il contract ]]&gt;0,0,ListOfExpenditure[[#This Row],[IF public procurment &gt;10000;1;0]])</f>
        <v>0</v>
      </c>
    </row>
    <row r="799" spans="1:42" x14ac:dyDescent="0.25">
      <c r="A799">
        <v>1101</v>
      </c>
      <c r="B799">
        <v>1</v>
      </c>
      <c r="E799" t="s">
        <v>4798</v>
      </c>
      <c r="F799" t="b">
        <v>0</v>
      </c>
      <c r="I799" t="s">
        <v>212</v>
      </c>
      <c r="J799" t="s">
        <v>6330</v>
      </c>
      <c r="K799" t="s">
        <v>4364</v>
      </c>
      <c r="L799" t="s">
        <v>4348</v>
      </c>
      <c r="M799" t="s">
        <v>4788</v>
      </c>
      <c r="N799" t="s">
        <v>4788</v>
      </c>
      <c r="O799">
        <v>1250</v>
      </c>
      <c r="P799">
        <v>48.08</v>
      </c>
      <c r="Q799">
        <v>0</v>
      </c>
      <c r="R799">
        <v>0</v>
      </c>
      <c r="S799">
        <v>1250</v>
      </c>
      <c r="T799" t="s">
        <v>4789</v>
      </c>
      <c r="U799">
        <v>1</v>
      </c>
      <c r="V799">
        <v>1250</v>
      </c>
      <c r="W799" t="s">
        <v>4343</v>
      </c>
      <c r="Y799" t="b">
        <v>0</v>
      </c>
      <c r="Z799" t="b">
        <v>0</v>
      </c>
      <c r="AA799">
        <v>1250</v>
      </c>
      <c r="AB799">
        <v>0</v>
      </c>
      <c r="AD799" t="b">
        <v>0</v>
      </c>
      <c r="AG799" s="1" t="s">
        <v>271</v>
      </c>
      <c r="AH799" s="1" t="s">
        <v>272</v>
      </c>
      <c r="AI799">
        <v>229</v>
      </c>
      <c r="AJ799">
        <v>246</v>
      </c>
      <c r="AK799" s="106">
        <v>45475.635522118057</v>
      </c>
      <c r="AL799" s="1" t="s">
        <v>4790</v>
      </c>
      <c r="AM799" s="42">
        <f>IFERROR(INDEX('Public procurment'!A:R,MATCH(ListOfExpenditure[[#This Row],[Content.contractId]],'Public procurment'!E:E,0),14),0)</f>
        <v>0</v>
      </c>
      <c r="AN799" s="2">
        <f>IF(AND(ListOfExpenditure[[#This Row],[Contract amount]]&gt;10000,ListOfExpenditure[[#This Row],[Content.declaredAmount]]&gt;2000),1,0)</f>
        <v>0</v>
      </c>
      <c r="AO799">
        <f>IFERROR(INDEX('Public procurment'!A:S,MATCH(ListOfExpenditure[[#This Row],[Content.contractId]],'Public procurment'!E:E,0),19),0)</f>
        <v>0</v>
      </c>
      <c r="AP799">
        <f>IF(ListOfExpenditure[[#This Row],[Numero di volte controllato il contract ]]&gt;0,0,ListOfExpenditure[[#This Row],[IF public procurment &gt;10000;1;0]])</f>
        <v>0</v>
      </c>
    </row>
    <row r="800" spans="1:42" x14ac:dyDescent="0.25">
      <c r="A800">
        <v>1102</v>
      </c>
      <c r="B800">
        <v>2</v>
      </c>
      <c r="E800" t="s">
        <v>4798</v>
      </c>
      <c r="F800" t="b">
        <v>0</v>
      </c>
      <c r="I800" t="s">
        <v>212</v>
      </c>
      <c r="J800" t="s">
        <v>6331</v>
      </c>
      <c r="K800" t="s">
        <v>4577</v>
      </c>
      <c r="L800" t="s">
        <v>4348</v>
      </c>
      <c r="M800" t="s">
        <v>4788</v>
      </c>
      <c r="N800" t="s">
        <v>4788</v>
      </c>
      <c r="O800">
        <v>2684</v>
      </c>
      <c r="P800">
        <v>484</v>
      </c>
      <c r="Q800">
        <v>0</v>
      </c>
      <c r="R800">
        <v>0</v>
      </c>
      <c r="S800">
        <v>2684</v>
      </c>
      <c r="T800" t="s">
        <v>4789</v>
      </c>
      <c r="U800">
        <v>1</v>
      </c>
      <c r="V800">
        <v>2684</v>
      </c>
      <c r="W800" t="s">
        <v>4343</v>
      </c>
      <c r="Y800" t="b">
        <v>0</v>
      </c>
      <c r="Z800" t="b">
        <v>0</v>
      </c>
      <c r="AA800">
        <v>2684</v>
      </c>
      <c r="AB800">
        <v>0</v>
      </c>
      <c r="AD800" t="b">
        <v>0</v>
      </c>
      <c r="AG800" s="1" t="s">
        <v>271</v>
      </c>
      <c r="AH800" s="1" t="s">
        <v>272</v>
      </c>
      <c r="AI800">
        <v>229</v>
      </c>
      <c r="AJ800">
        <v>246</v>
      </c>
      <c r="AK800" s="106">
        <v>45475.635522118057</v>
      </c>
      <c r="AL800" s="1" t="s">
        <v>4790</v>
      </c>
      <c r="AM800" s="42">
        <f>IFERROR(INDEX('Public procurment'!A:R,MATCH(ListOfExpenditure[[#This Row],[Content.contractId]],'Public procurment'!E:E,0),14),0)</f>
        <v>0</v>
      </c>
      <c r="AN800" s="2">
        <f>IF(AND(ListOfExpenditure[[#This Row],[Contract amount]]&gt;10000,ListOfExpenditure[[#This Row],[Content.declaredAmount]]&gt;2000),1,0)</f>
        <v>0</v>
      </c>
      <c r="AO800">
        <f>IFERROR(INDEX('Public procurment'!A:S,MATCH(ListOfExpenditure[[#This Row],[Content.contractId]],'Public procurment'!E:E,0),19),0)</f>
        <v>0</v>
      </c>
      <c r="AP800">
        <f>IF(ListOfExpenditure[[#This Row],[Numero di volte controllato il contract ]]&gt;0,0,ListOfExpenditure[[#This Row],[IF public procurment &gt;10000;1;0]])</f>
        <v>0</v>
      </c>
    </row>
    <row r="801" spans="1:42" x14ac:dyDescent="0.25">
      <c r="A801">
        <v>1103</v>
      </c>
      <c r="B801">
        <v>3</v>
      </c>
      <c r="E801" t="s">
        <v>4798</v>
      </c>
      <c r="F801" t="b">
        <v>0</v>
      </c>
      <c r="G801">
        <v>525</v>
      </c>
      <c r="H801">
        <v>196</v>
      </c>
      <c r="I801" t="s">
        <v>212</v>
      </c>
      <c r="J801" t="s">
        <v>4922</v>
      </c>
      <c r="K801" t="s">
        <v>4577</v>
      </c>
      <c r="L801" t="s">
        <v>4348</v>
      </c>
      <c r="M801" t="s">
        <v>4788</v>
      </c>
      <c r="N801" t="s">
        <v>4788</v>
      </c>
      <c r="O801">
        <v>1000</v>
      </c>
      <c r="P801">
        <v>180.33</v>
      </c>
      <c r="Q801">
        <v>0</v>
      </c>
      <c r="R801">
        <v>0</v>
      </c>
      <c r="S801">
        <v>1000</v>
      </c>
      <c r="T801" t="s">
        <v>4789</v>
      </c>
      <c r="U801">
        <v>1</v>
      </c>
      <c r="V801">
        <v>1000</v>
      </c>
      <c r="W801" t="s">
        <v>4343</v>
      </c>
      <c r="Y801" t="b">
        <v>1</v>
      </c>
      <c r="Z801" t="b">
        <v>0</v>
      </c>
      <c r="AA801">
        <v>1000</v>
      </c>
      <c r="AB801">
        <v>0</v>
      </c>
      <c r="AD801" t="b">
        <v>0</v>
      </c>
      <c r="AG801" s="1" t="s">
        <v>271</v>
      </c>
      <c r="AH801" s="1" t="s">
        <v>272</v>
      </c>
      <c r="AI801">
        <v>229</v>
      </c>
      <c r="AJ801">
        <v>246</v>
      </c>
      <c r="AK801" s="106">
        <v>45475.635522118057</v>
      </c>
      <c r="AL801" s="1" t="s">
        <v>4790</v>
      </c>
      <c r="AM801" s="42">
        <f>IFERROR(INDEX('Public procurment'!A:R,MATCH(ListOfExpenditure[[#This Row],[Content.contractId]],'Public procurment'!E:E,0),14),0)</f>
        <v>32300</v>
      </c>
      <c r="AN801" s="2">
        <f>IF(AND(ListOfExpenditure[[#This Row],[Contract amount]]&gt;10000,ListOfExpenditure[[#This Row],[Content.declaredAmount]]&gt;2000),1,0)</f>
        <v>0</v>
      </c>
      <c r="AO801">
        <f>IFERROR(INDEX('Public procurment'!A:S,MATCH(ListOfExpenditure[[#This Row],[Content.contractId]],'Public procurment'!E:E,0),19),0)</f>
        <v>2</v>
      </c>
      <c r="AP801">
        <f>IF(ListOfExpenditure[[#This Row],[Numero di volte controllato il contract ]]&gt;0,0,ListOfExpenditure[[#This Row],[IF public procurment &gt;10000;1;0]])</f>
        <v>0</v>
      </c>
    </row>
    <row r="802" spans="1:42" x14ac:dyDescent="0.25">
      <c r="A802">
        <v>1104</v>
      </c>
      <c r="B802">
        <v>4</v>
      </c>
      <c r="E802" t="s">
        <v>4850</v>
      </c>
      <c r="F802" t="b">
        <v>0</v>
      </c>
      <c r="G802">
        <v>525</v>
      </c>
      <c r="I802" t="s">
        <v>212</v>
      </c>
      <c r="J802" t="s">
        <v>6332</v>
      </c>
      <c r="K802" t="s">
        <v>4577</v>
      </c>
      <c r="L802" t="s">
        <v>4348</v>
      </c>
      <c r="M802" t="s">
        <v>4788</v>
      </c>
      <c r="N802" t="s">
        <v>4788</v>
      </c>
      <c r="O802">
        <v>841.8</v>
      </c>
      <c r="P802">
        <v>151.80000000000001</v>
      </c>
      <c r="Q802">
        <v>0</v>
      </c>
      <c r="R802">
        <v>0</v>
      </c>
      <c r="S802">
        <v>841.8</v>
      </c>
      <c r="T802" t="s">
        <v>4789</v>
      </c>
      <c r="U802">
        <v>1</v>
      </c>
      <c r="V802">
        <v>841.8</v>
      </c>
      <c r="W802" t="s">
        <v>4343</v>
      </c>
      <c r="Y802" t="b">
        <v>0</v>
      </c>
      <c r="Z802" t="b">
        <v>0</v>
      </c>
      <c r="AA802">
        <v>841.8</v>
      </c>
      <c r="AB802">
        <v>0</v>
      </c>
      <c r="AD802" t="b">
        <v>0</v>
      </c>
      <c r="AG802" s="1" t="s">
        <v>271</v>
      </c>
      <c r="AH802" s="1" t="s">
        <v>272</v>
      </c>
      <c r="AI802">
        <v>229</v>
      </c>
      <c r="AJ802">
        <v>246</v>
      </c>
      <c r="AK802" s="106">
        <v>45475.635522118057</v>
      </c>
      <c r="AL802" s="1" t="s">
        <v>4790</v>
      </c>
      <c r="AM802" s="42">
        <f>IFERROR(INDEX('Public procurment'!A:R,MATCH(ListOfExpenditure[[#This Row],[Content.contractId]],'Public procurment'!E:E,0),14),0)</f>
        <v>0</v>
      </c>
      <c r="AN802" s="2">
        <f>IF(AND(ListOfExpenditure[[#This Row],[Contract amount]]&gt;10000,ListOfExpenditure[[#This Row],[Content.declaredAmount]]&gt;2000),1,0)</f>
        <v>0</v>
      </c>
      <c r="AO802">
        <f>IFERROR(INDEX('Public procurment'!A:S,MATCH(ListOfExpenditure[[#This Row],[Content.contractId]],'Public procurment'!E:E,0),19),0)</f>
        <v>0</v>
      </c>
      <c r="AP802">
        <f>IF(ListOfExpenditure[[#This Row],[Numero di volte controllato il contract ]]&gt;0,0,ListOfExpenditure[[#This Row],[IF public procurment &gt;10000;1;0]])</f>
        <v>0</v>
      </c>
    </row>
    <row r="803" spans="1:42" x14ac:dyDescent="0.25">
      <c r="A803">
        <v>1105</v>
      </c>
      <c r="B803">
        <v>5</v>
      </c>
      <c r="E803" t="s">
        <v>4850</v>
      </c>
      <c r="F803" t="b">
        <v>0</v>
      </c>
      <c r="G803">
        <v>525</v>
      </c>
      <c r="I803" t="s">
        <v>212</v>
      </c>
      <c r="J803" t="s">
        <v>6333</v>
      </c>
      <c r="K803" t="s">
        <v>4364</v>
      </c>
      <c r="L803" t="s">
        <v>4348</v>
      </c>
      <c r="M803" t="s">
        <v>4788</v>
      </c>
      <c r="N803" t="s">
        <v>4788</v>
      </c>
      <c r="O803">
        <v>10980</v>
      </c>
      <c r="P803">
        <v>1980</v>
      </c>
      <c r="Q803">
        <v>0</v>
      </c>
      <c r="R803">
        <v>0</v>
      </c>
      <c r="S803">
        <v>10980</v>
      </c>
      <c r="T803" t="s">
        <v>4789</v>
      </c>
      <c r="U803">
        <v>1</v>
      </c>
      <c r="V803">
        <v>10980</v>
      </c>
      <c r="W803" t="s">
        <v>4343</v>
      </c>
      <c r="Y803" t="b">
        <v>1</v>
      </c>
      <c r="Z803" t="b">
        <v>0</v>
      </c>
      <c r="AA803">
        <v>10980</v>
      </c>
      <c r="AB803">
        <v>0</v>
      </c>
      <c r="AD803" t="b">
        <v>0</v>
      </c>
      <c r="AG803" s="1" t="s">
        <v>271</v>
      </c>
      <c r="AH803" s="1" t="s">
        <v>272</v>
      </c>
      <c r="AI803">
        <v>229</v>
      </c>
      <c r="AJ803">
        <v>246</v>
      </c>
      <c r="AK803" s="106">
        <v>45475.635522118057</v>
      </c>
      <c r="AL803" s="1" t="s">
        <v>4790</v>
      </c>
      <c r="AM803" s="42">
        <f>IFERROR(INDEX('Public procurment'!A:R,MATCH(ListOfExpenditure[[#This Row],[Content.contractId]],'Public procurment'!E:E,0),14),0)</f>
        <v>0</v>
      </c>
      <c r="AN803" s="2">
        <f>IF(AND(ListOfExpenditure[[#This Row],[Contract amount]]&gt;10000,ListOfExpenditure[[#This Row],[Content.declaredAmount]]&gt;2000),1,0)</f>
        <v>0</v>
      </c>
      <c r="AO803">
        <f>IFERROR(INDEX('Public procurment'!A:S,MATCH(ListOfExpenditure[[#This Row],[Content.contractId]],'Public procurment'!E:E,0),19),0)</f>
        <v>0</v>
      </c>
      <c r="AP803">
        <f>IF(ListOfExpenditure[[#This Row],[Numero di volte controllato il contract ]]&gt;0,0,ListOfExpenditure[[#This Row],[IF public procurment &gt;10000;1;0]])</f>
        <v>0</v>
      </c>
    </row>
    <row r="804" spans="1:42" x14ac:dyDescent="0.25">
      <c r="A804">
        <v>1106</v>
      </c>
      <c r="B804">
        <v>6</v>
      </c>
      <c r="E804" t="s">
        <v>5095</v>
      </c>
      <c r="F804" t="b">
        <v>0</v>
      </c>
      <c r="G804">
        <v>525</v>
      </c>
      <c r="I804" t="s">
        <v>212</v>
      </c>
      <c r="J804" t="s">
        <v>6334</v>
      </c>
      <c r="K804" t="s">
        <v>4569</v>
      </c>
      <c r="L804" t="s">
        <v>4348</v>
      </c>
      <c r="M804" t="s">
        <v>4788</v>
      </c>
      <c r="N804" t="s">
        <v>4788</v>
      </c>
      <c r="O804">
        <v>1179.8</v>
      </c>
      <c r="P804">
        <v>212.75</v>
      </c>
      <c r="Q804">
        <v>0</v>
      </c>
      <c r="R804">
        <v>0</v>
      </c>
      <c r="S804">
        <v>1179.8</v>
      </c>
      <c r="T804" t="s">
        <v>4789</v>
      </c>
      <c r="U804">
        <v>1</v>
      </c>
      <c r="V804">
        <v>1179.8</v>
      </c>
      <c r="W804" t="s">
        <v>4343</v>
      </c>
      <c r="Y804" t="b">
        <v>0</v>
      </c>
      <c r="Z804" t="b">
        <v>0</v>
      </c>
      <c r="AA804">
        <v>1179.8</v>
      </c>
      <c r="AB804">
        <v>0</v>
      </c>
      <c r="AD804" t="b">
        <v>0</v>
      </c>
      <c r="AG804" s="1" t="s">
        <v>271</v>
      </c>
      <c r="AH804" s="1" t="s">
        <v>272</v>
      </c>
      <c r="AI804">
        <v>229</v>
      </c>
      <c r="AJ804">
        <v>246</v>
      </c>
      <c r="AK804" s="106">
        <v>45475.635522118057</v>
      </c>
      <c r="AL804" s="1" t="s">
        <v>4790</v>
      </c>
      <c r="AM804" s="42">
        <f>IFERROR(INDEX('Public procurment'!A:R,MATCH(ListOfExpenditure[[#This Row],[Content.contractId]],'Public procurment'!E:E,0),14),0)</f>
        <v>0</v>
      </c>
      <c r="AN804" s="2">
        <f>IF(AND(ListOfExpenditure[[#This Row],[Contract amount]]&gt;10000,ListOfExpenditure[[#This Row],[Content.declaredAmount]]&gt;2000),1,0)</f>
        <v>0</v>
      </c>
      <c r="AO804">
        <f>IFERROR(INDEX('Public procurment'!A:S,MATCH(ListOfExpenditure[[#This Row],[Content.contractId]],'Public procurment'!E:E,0),19),0)</f>
        <v>0</v>
      </c>
      <c r="AP804">
        <f>IF(ListOfExpenditure[[#This Row],[Numero di volte controllato il contract ]]&gt;0,0,ListOfExpenditure[[#This Row],[IF public procurment &gt;10000;1;0]])</f>
        <v>0</v>
      </c>
    </row>
    <row r="805" spans="1:42" x14ac:dyDescent="0.25">
      <c r="A805">
        <v>1107</v>
      </c>
      <c r="B805">
        <v>7</v>
      </c>
      <c r="E805" t="s">
        <v>5095</v>
      </c>
      <c r="F805" t="b">
        <v>0</v>
      </c>
      <c r="G805">
        <v>525</v>
      </c>
      <c r="I805" t="s">
        <v>212</v>
      </c>
      <c r="J805" t="s">
        <v>6335</v>
      </c>
      <c r="K805" t="s">
        <v>4577</v>
      </c>
      <c r="L805" t="s">
        <v>4348</v>
      </c>
      <c r="M805" t="s">
        <v>4788</v>
      </c>
      <c r="N805" t="s">
        <v>4788</v>
      </c>
      <c r="O805">
        <v>878.4</v>
      </c>
      <c r="P805">
        <v>158.4</v>
      </c>
      <c r="Q805">
        <v>0</v>
      </c>
      <c r="R805">
        <v>0</v>
      </c>
      <c r="S805">
        <v>878.4</v>
      </c>
      <c r="T805" t="s">
        <v>4789</v>
      </c>
      <c r="U805">
        <v>1</v>
      </c>
      <c r="V805">
        <v>878.4</v>
      </c>
      <c r="W805" t="s">
        <v>4343</v>
      </c>
      <c r="Y805" t="b">
        <v>0</v>
      </c>
      <c r="Z805" t="b">
        <v>0</v>
      </c>
      <c r="AA805">
        <v>878.4</v>
      </c>
      <c r="AB805">
        <v>0</v>
      </c>
      <c r="AD805" t="b">
        <v>0</v>
      </c>
      <c r="AG805" s="1" t="s">
        <v>271</v>
      </c>
      <c r="AH805" s="1" t="s">
        <v>272</v>
      </c>
      <c r="AI805">
        <v>229</v>
      </c>
      <c r="AJ805">
        <v>246</v>
      </c>
      <c r="AK805" s="106">
        <v>45475.635522118057</v>
      </c>
      <c r="AL805" s="1" t="s">
        <v>4790</v>
      </c>
      <c r="AM805" s="42">
        <f>IFERROR(INDEX('Public procurment'!A:R,MATCH(ListOfExpenditure[[#This Row],[Content.contractId]],'Public procurment'!E:E,0),14),0)</f>
        <v>0</v>
      </c>
      <c r="AN805" s="2">
        <f>IF(AND(ListOfExpenditure[[#This Row],[Contract amount]]&gt;10000,ListOfExpenditure[[#This Row],[Content.declaredAmount]]&gt;2000),1,0)</f>
        <v>0</v>
      </c>
      <c r="AO805">
        <f>IFERROR(INDEX('Public procurment'!A:S,MATCH(ListOfExpenditure[[#This Row],[Content.contractId]],'Public procurment'!E:E,0),19),0)</f>
        <v>0</v>
      </c>
      <c r="AP805">
        <f>IF(ListOfExpenditure[[#This Row],[Numero di volte controllato il contract ]]&gt;0,0,ListOfExpenditure[[#This Row],[IF public procurment &gt;10000;1;0]])</f>
        <v>0</v>
      </c>
    </row>
    <row r="806" spans="1:42" x14ac:dyDescent="0.25">
      <c r="A806">
        <v>1108</v>
      </c>
      <c r="B806">
        <v>8</v>
      </c>
      <c r="E806" t="s">
        <v>5095</v>
      </c>
      <c r="F806" t="b">
        <v>0</v>
      </c>
      <c r="G806">
        <v>525</v>
      </c>
      <c r="H806">
        <v>196</v>
      </c>
      <c r="I806" t="s">
        <v>212</v>
      </c>
      <c r="J806" t="s">
        <v>4926</v>
      </c>
      <c r="K806" t="s">
        <v>4577</v>
      </c>
      <c r="L806" t="s">
        <v>4348</v>
      </c>
      <c r="M806" t="s">
        <v>4788</v>
      </c>
      <c r="N806" t="s">
        <v>4788</v>
      </c>
      <c r="O806">
        <v>10400</v>
      </c>
      <c r="P806">
        <v>1875.41</v>
      </c>
      <c r="Q806">
        <v>0</v>
      </c>
      <c r="R806">
        <v>0</v>
      </c>
      <c r="S806">
        <v>10400</v>
      </c>
      <c r="T806" t="s">
        <v>4789</v>
      </c>
      <c r="U806">
        <v>1</v>
      </c>
      <c r="V806">
        <v>10400</v>
      </c>
      <c r="W806" t="s">
        <v>4343</v>
      </c>
      <c r="Y806" t="b">
        <v>1</v>
      </c>
      <c r="Z806" t="b">
        <v>0</v>
      </c>
      <c r="AA806">
        <v>10400</v>
      </c>
      <c r="AB806">
        <v>0</v>
      </c>
      <c r="AD806" t="b">
        <v>0</v>
      </c>
      <c r="AG806" s="1" t="s">
        <v>271</v>
      </c>
      <c r="AH806" s="1" t="s">
        <v>272</v>
      </c>
      <c r="AI806">
        <v>229</v>
      </c>
      <c r="AJ806">
        <v>246</v>
      </c>
      <c r="AK806" s="106">
        <v>45475.635522118057</v>
      </c>
      <c r="AL806" s="1" t="s">
        <v>4790</v>
      </c>
      <c r="AM806" s="42">
        <f>IFERROR(INDEX('Public procurment'!A:R,MATCH(ListOfExpenditure[[#This Row],[Content.contractId]],'Public procurment'!E:E,0),14),0)</f>
        <v>32300</v>
      </c>
      <c r="AN806" s="2">
        <f>IF(AND(ListOfExpenditure[[#This Row],[Contract amount]]&gt;10000,ListOfExpenditure[[#This Row],[Content.declaredAmount]]&gt;2000),1,0)</f>
        <v>1</v>
      </c>
      <c r="AO806">
        <f>IFERROR(INDEX('Public procurment'!A:S,MATCH(ListOfExpenditure[[#This Row],[Content.contractId]],'Public procurment'!E:E,0),19),0)</f>
        <v>2</v>
      </c>
      <c r="AP806">
        <f>IF(ListOfExpenditure[[#This Row],[Numero di volte controllato il contract ]]&gt;0,0,ListOfExpenditure[[#This Row],[IF public procurment &gt;10000;1;0]])</f>
        <v>0</v>
      </c>
    </row>
    <row r="807" spans="1:42" x14ac:dyDescent="0.25">
      <c r="A807">
        <v>1109</v>
      </c>
      <c r="B807">
        <v>9</v>
      </c>
      <c r="E807" t="s">
        <v>5095</v>
      </c>
      <c r="F807" t="b">
        <v>0</v>
      </c>
      <c r="G807">
        <v>525</v>
      </c>
      <c r="I807" t="s">
        <v>212</v>
      </c>
      <c r="J807" t="s">
        <v>4929</v>
      </c>
      <c r="K807" t="s">
        <v>4364</v>
      </c>
      <c r="L807" t="s">
        <v>4348</v>
      </c>
      <c r="M807" t="s">
        <v>4788</v>
      </c>
      <c r="N807" t="s">
        <v>4788</v>
      </c>
      <c r="O807">
        <v>4268.22</v>
      </c>
      <c r="P807">
        <v>383.32</v>
      </c>
      <c r="Q807">
        <v>0</v>
      </c>
      <c r="R807">
        <v>0</v>
      </c>
      <c r="S807">
        <v>4266.22</v>
      </c>
      <c r="T807" t="s">
        <v>4789</v>
      </c>
      <c r="U807">
        <v>1</v>
      </c>
      <c r="V807">
        <v>4266.22</v>
      </c>
      <c r="W807" t="s">
        <v>4343</v>
      </c>
      <c r="Y807" t="b">
        <v>1</v>
      </c>
      <c r="Z807" t="b">
        <v>0</v>
      </c>
      <c r="AA807">
        <v>4266.22</v>
      </c>
      <c r="AB807">
        <v>0</v>
      </c>
      <c r="AD807" t="b">
        <v>0</v>
      </c>
      <c r="AG807" s="1" t="s">
        <v>271</v>
      </c>
      <c r="AH807" s="1" t="s">
        <v>272</v>
      </c>
      <c r="AI807">
        <v>229</v>
      </c>
      <c r="AJ807">
        <v>246</v>
      </c>
      <c r="AK807" s="106">
        <v>45475.635522118057</v>
      </c>
      <c r="AL807" s="1" t="s">
        <v>4790</v>
      </c>
      <c r="AM807" s="42">
        <f>IFERROR(INDEX('Public procurment'!A:R,MATCH(ListOfExpenditure[[#This Row],[Content.contractId]],'Public procurment'!E:E,0),14),0)</f>
        <v>0</v>
      </c>
      <c r="AN807" s="2">
        <f>IF(AND(ListOfExpenditure[[#This Row],[Contract amount]]&gt;10000,ListOfExpenditure[[#This Row],[Content.declaredAmount]]&gt;2000),1,0)</f>
        <v>0</v>
      </c>
      <c r="AO807">
        <f>IFERROR(INDEX('Public procurment'!A:S,MATCH(ListOfExpenditure[[#This Row],[Content.contractId]],'Public procurment'!E:E,0),19),0)</f>
        <v>0</v>
      </c>
      <c r="AP807">
        <f>IF(ListOfExpenditure[[#This Row],[Numero di volte controllato il contract ]]&gt;0,0,ListOfExpenditure[[#This Row],[IF public procurment &gt;10000;1;0]])</f>
        <v>0</v>
      </c>
    </row>
    <row r="808" spans="1:42" x14ac:dyDescent="0.25">
      <c r="A808">
        <v>1110</v>
      </c>
      <c r="B808">
        <v>1</v>
      </c>
      <c r="E808" t="s">
        <v>4786</v>
      </c>
      <c r="F808" t="b">
        <v>0</v>
      </c>
      <c r="I808" t="s">
        <v>4922</v>
      </c>
      <c r="K808" t="s">
        <v>4347</v>
      </c>
      <c r="L808" t="s">
        <v>5500</v>
      </c>
      <c r="M808" t="s">
        <v>4788</v>
      </c>
      <c r="N808" t="s">
        <v>4788</v>
      </c>
      <c r="O808">
        <v>24093.31</v>
      </c>
      <c r="Q808">
        <v>0</v>
      </c>
      <c r="R808">
        <v>0</v>
      </c>
      <c r="S808">
        <v>3680.36</v>
      </c>
      <c r="T808" t="s">
        <v>4789</v>
      </c>
      <c r="U808">
        <v>1</v>
      </c>
      <c r="V808">
        <v>3680.36</v>
      </c>
      <c r="W808" t="s">
        <v>4343</v>
      </c>
      <c r="Y808" t="b">
        <v>1</v>
      </c>
      <c r="Z808" t="b">
        <v>0</v>
      </c>
      <c r="AA808">
        <v>3011.92</v>
      </c>
      <c r="AB808">
        <v>668.44</v>
      </c>
      <c r="AC808">
        <v>14</v>
      </c>
      <c r="AD808" t="b">
        <v>0</v>
      </c>
      <c r="AF808" t="s">
        <v>5501</v>
      </c>
      <c r="AG808" s="1" t="s">
        <v>271</v>
      </c>
      <c r="AH808" s="1" t="s">
        <v>274</v>
      </c>
      <c r="AI808">
        <v>218</v>
      </c>
      <c r="AJ808">
        <v>233</v>
      </c>
      <c r="AK808" s="106">
        <v>45475.635511701388</v>
      </c>
      <c r="AL808" s="1" t="s">
        <v>4790</v>
      </c>
      <c r="AM808" s="42">
        <f>IFERROR(INDEX('Public procurment'!A:R,MATCH(ListOfExpenditure[[#This Row],[Content.contractId]],'Public procurment'!E:E,0),14),0)</f>
        <v>0</v>
      </c>
      <c r="AN808" s="2">
        <f>IF(AND(ListOfExpenditure[[#This Row],[Contract amount]]&gt;10000,ListOfExpenditure[[#This Row],[Content.declaredAmount]]&gt;2000),1,0)</f>
        <v>0</v>
      </c>
      <c r="AO808">
        <f>IFERROR(INDEX('Public procurment'!A:S,MATCH(ListOfExpenditure[[#This Row],[Content.contractId]],'Public procurment'!E:E,0),19),0)</f>
        <v>0</v>
      </c>
      <c r="AP808">
        <f>IF(ListOfExpenditure[[#This Row],[Numero di volte controllato il contract ]]&gt;0,0,ListOfExpenditure[[#This Row],[IF public procurment &gt;10000;1;0]])</f>
        <v>0</v>
      </c>
    </row>
    <row r="809" spans="1:42" x14ac:dyDescent="0.25">
      <c r="A809">
        <v>1111</v>
      </c>
      <c r="B809">
        <v>2</v>
      </c>
      <c r="E809" t="s">
        <v>4786</v>
      </c>
      <c r="F809" t="b">
        <v>0</v>
      </c>
      <c r="I809" t="s">
        <v>4926</v>
      </c>
      <c r="K809" t="s">
        <v>4347</v>
      </c>
      <c r="L809" t="s">
        <v>4587</v>
      </c>
      <c r="M809" t="s">
        <v>4788</v>
      </c>
      <c r="N809" t="s">
        <v>4788</v>
      </c>
      <c r="O809">
        <v>11842.17</v>
      </c>
      <c r="Q809">
        <v>0</v>
      </c>
      <c r="R809">
        <v>0</v>
      </c>
      <c r="S809">
        <v>5921.09</v>
      </c>
      <c r="T809" t="s">
        <v>4789</v>
      </c>
      <c r="U809">
        <v>1</v>
      </c>
      <c r="V809">
        <v>5921.09</v>
      </c>
      <c r="W809" t="s">
        <v>4343</v>
      </c>
      <c r="Y809" t="b">
        <v>1</v>
      </c>
      <c r="Z809" t="b">
        <v>0</v>
      </c>
      <c r="AA809">
        <v>5010.8500000000004</v>
      </c>
      <c r="AB809">
        <v>910.24</v>
      </c>
      <c r="AC809">
        <v>14</v>
      </c>
      <c r="AD809" t="b">
        <v>0</v>
      </c>
      <c r="AF809" t="s">
        <v>5501</v>
      </c>
      <c r="AG809" s="1" t="s">
        <v>271</v>
      </c>
      <c r="AH809" s="1" t="s">
        <v>274</v>
      </c>
      <c r="AI809">
        <v>218</v>
      </c>
      <c r="AJ809">
        <v>233</v>
      </c>
      <c r="AK809" s="106">
        <v>45475.635511701388</v>
      </c>
      <c r="AL809" s="1" t="s">
        <v>4790</v>
      </c>
      <c r="AM809" s="42">
        <f>IFERROR(INDEX('Public procurment'!A:R,MATCH(ListOfExpenditure[[#This Row],[Content.contractId]],'Public procurment'!E:E,0),14),0)</f>
        <v>0</v>
      </c>
      <c r="AN809" s="2">
        <f>IF(AND(ListOfExpenditure[[#This Row],[Contract amount]]&gt;10000,ListOfExpenditure[[#This Row],[Content.declaredAmount]]&gt;2000),1,0)</f>
        <v>0</v>
      </c>
      <c r="AO809">
        <f>IFERROR(INDEX('Public procurment'!A:S,MATCH(ListOfExpenditure[[#This Row],[Content.contractId]],'Public procurment'!E:E,0),19),0)</f>
        <v>0</v>
      </c>
      <c r="AP809">
        <f>IF(ListOfExpenditure[[#This Row],[Numero di volte controllato il contract ]]&gt;0,0,ListOfExpenditure[[#This Row],[IF public procurment &gt;10000;1;0]])</f>
        <v>0</v>
      </c>
    </row>
    <row r="810" spans="1:42" x14ac:dyDescent="0.25">
      <c r="A810">
        <v>1112</v>
      </c>
      <c r="B810">
        <v>3</v>
      </c>
      <c r="E810" t="s">
        <v>4786</v>
      </c>
      <c r="F810" t="b">
        <v>0</v>
      </c>
      <c r="I810" t="s">
        <v>4929</v>
      </c>
      <c r="K810" t="s">
        <v>4347</v>
      </c>
      <c r="L810" t="s">
        <v>4587</v>
      </c>
      <c r="M810" t="s">
        <v>4788</v>
      </c>
      <c r="N810" t="s">
        <v>4788</v>
      </c>
      <c r="O810">
        <v>11627.1</v>
      </c>
      <c r="Q810">
        <v>0</v>
      </c>
      <c r="R810">
        <v>0</v>
      </c>
      <c r="S810">
        <v>3488.13</v>
      </c>
      <c r="T810" t="s">
        <v>4789</v>
      </c>
      <c r="U810">
        <v>1</v>
      </c>
      <c r="V810">
        <v>3488.13</v>
      </c>
      <c r="W810" t="s">
        <v>4343</v>
      </c>
      <c r="Y810" t="b">
        <v>1</v>
      </c>
      <c r="Z810" t="b">
        <v>0</v>
      </c>
      <c r="AA810">
        <v>3078.87</v>
      </c>
      <c r="AB810">
        <v>409.26</v>
      </c>
      <c r="AC810">
        <v>14</v>
      </c>
      <c r="AD810" t="b">
        <v>0</v>
      </c>
      <c r="AF810" t="s">
        <v>5502</v>
      </c>
      <c r="AG810" s="1" t="s">
        <v>271</v>
      </c>
      <c r="AH810" s="1" t="s">
        <v>274</v>
      </c>
      <c r="AI810">
        <v>218</v>
      </c>
      <c r="AJ810">
        <v>233</v>
      </c>
      <c r="AK810" s="106">
        <v>45475.635511701388</v>
      </c>
      <c r="AL810" s="1" t="s">
        <v>4790</v>
      </c>
      <c r="AM810" s="42">
        <f>IFERROR(INDEX('Public procurment'!A:R,MATCH(ListOfExpenditure[[#This Row],[Content.contractId]],'Public procurment'!E:E,0),14),0)</f>
        <v>0</v>
      </c>
      <c r="AN810" s="2">
        <f>IF(AND(ListOfExpenditure[[#This Row],[Contract amount]]&gt;10000,ListOfExpenditure[[#This Row],[Content.declaredAmount]]&gt;2000),1,0)</f>
        <v>0</v>
      </c>
      <c r="AO810">
        <f>IFERROR(INDEX('Public procurment'!A:S,MATCH(ListOfExpenditure[[#This Row],[Content.contractId]],'Public procurment'!E:E,0),19),0)</f>
        <v>0</v>
      </c>
      <c r="AP810">
        <f>IF(ListOfExpenditure[[#This Row],[Numero di volte controllato il contract ]]&gt;0,0,ListOfExpenditure[[#This Row],[IF public procurment &gt;10000;1;0]])</f>
        <v>0</v>
      </c>
    </row>
    <row r="811" spans="1:42" x14ac:dyDescent="0.25">
      <c r="A811">
        <v>1113</v>
      </c>
      <c r="B811">
        <v>4</v>
      </c>
      <c r="E811" t="s">
        <v>4798</v>
      </c>
      <c r="F811" t="b">
        <v>0</v>
      </c>
      <c r="G811">
        <v>479</v>
      </c>
      <c r="I811" t="s">
        <v>4933</v>
      </c>
      <c r="J811" t="s">
        <v>5503</v>
      </c>
      <c r="K811" t="s">
        <v>5118</v>
      </c>
      <c r="L811" t="s">
        <v>4662</v>
      </c>
      <c r="M811" t="s">
        <v>4788</v>
      </c>
      <c r="N811" t="s">
        <v>4788</v>
      </c>
      <c r="O811">
        <v>6100</v>
      </c>
      <c r="P811">
        <v>1100</v>
      </c>
      <c r="Q811">
        <v>0</v>
      </c>
      <c r="R811">
        <v>0</v>
      </c>
      <c r="S811">
        <v>5000</v>
      </c>
      <c r="T811" t="s">
        <v>4789</v>
      </c>
      <c r="U811">
        <v>1</v>
      </c>
      <c r="V811">
        <v>5000</v>
      </c>
      <c r="W811" t="s">
        <v>4343</v>
      </c>
      <c r="Y811" t="b">
        <v>1</v>
      </c>
      <c r="Z811" t="b">
        <v>0</v>
      </c>
      <c r="AA811">
        <v>5000</v>
      </c>
      <c r="AB811">
        <v>0</v>
      </c>
      <c r="AD811" t="b">
        <v>0</v>
      </c>
      <c r="AG811" s="1" t="s">
        <v>271</v>
      </c>
      <c r="AH811" s="1" t="s">
        <v>274</v>
      </c>
      <c r="AI811">
        <v>218</v>
      </c>
      <c r="AJ811">
        <v>233</v>
      </c>
      <c r="AK811" s="106">
        <v>45475.635511701388</v>
      </c>
      <c r="AL811" s="1" t="s">
        <v>4790</v>
      </c>
      <c r="AM811" s="42">
        <f>IFERROR(INDEX('Public procurment'!A:R,MATCH(ListOfExpenditure[[#This Row],[Content.contractId]],'Public procurment'!E:E,0),14),0)</f>
        <v>0</v>
      </c>
      <c r="AN811" s="2">
        <f>IF(AND(ListOfExpenditure[[#This Row],[Contract amount]]&gt;10000,ListOfExpenditure[[#This Row],[Content.declaredAmount]]&gt;2000),1,0)</f>
        <v>0</v>
      </c>
      <c r="AO811">
        <f>IFERROR(INDEX('Public procurment'!A:S,MATCH(ListOfExpenditure[[#This Row],[Content.contractId]],'Public procurment'!E:E,0),19),0)</f>
        <v>0</v>
      </c>
      <c r="AP811">
        <f>IF(ListOfExpenditure[[#This Row],[Numero di volte controllato il contract ]]&gt;0,0,ListOfExpenditure[[#This Row],[IF public procurment &gt;10000;1;0]])</f>
        <v>0</v>
      </c>
    </row>
    <row r="812" spans="1:42" x14ac:dyDescent="0.25">
      <c r="A812">
        <v>2122</v>
      </c>
      <c r="B812">
        <v>1</v>
      </c>
      <c r="E812" t="s">
        <v>4786</v>
      </c>
      <c r="F812" t="b">
        <v>0</v>
      </c>
      <c r="I812" t="s">
        <v>6157</v>
      </c>
      <c r="K812" t="s">
        <v>4342</v>
      </c>
      <c r="L812" t="s">
        <v>5024</v>
      </c>
      <c r="M812" t="s">
        <v>4788</v>
      </c>
      <c r="N812" t="s">
        <v>4788</v>
      </c>
      <c r="O812">
        <v>0</v>
      </c>
      <c r="Q812">
        <v>0</v>
      </c>
      <c r="R812">
        <v>0</v>
      </c>
      <c r="S812">
        <v>0</v>
      </c>
      <c r="T812" t="s">
        <v>4789</v>
      </c>
      <c r="U812">
        <v>1</v>
      </c>
      <c r="V812">
        <v>0</v>
      </c>
      <c r="Y812" t="b">
        <v>0</v>
      </c>
      <c r="Z812" t="b">
        <v>0</v>
      </c>
      <c r="AA812">
        <v>0</v>
      </c>
      <c r="AB812">
        <v>0</v>
      </c>
      <c r="AD812" t="b">
        <v>0</v>
      </c>
      <c r="AG812" s="1" t="s">
        <v>271</v>
      </c>
      <c r="AH812" s="1" t="s">
        <v>275</v>
      </c>
      <c r="AI812">
        <v>221</v>
      </c>
      <c r="AJ812">
        <v>325</v>
      </c>
      <c r="AK812" s="106">
        <v>45475.635549756946</v>
      </c>
      <c r="AL812" s="1" t="s">
        <v>4790</v>
      </c>
      <c r="AM812" s="42">
        <f>IFERROR(INDEX('Public procurment'!A:R,MATCH(ListOfExpenditure[[#This Row],[Content.contractId]],'Public procurment'!E:E,0),14),0)</f>
        <v>0</v>
      </c>
      <c r="AN812" s="2">
        <f>IF(AND(ListOfExpenditure[[#This Row],[Contract amount]]&gt;10000,ListOfExpenditure[[#This Row],[Content.declaredAmount]]&gt;2000),1,0)</f>
        <v>0</v>
      </c>
      <c r="AO812">
        <f>IFERROR(INDEX('Public procurment'!A:S,MATCH(ListOfExpenditure[[#This Row],[Content.contractId]],'Public procurment'!E:E,0),19),0)</f>
        <v>0</v>
      </c>
      <c r="AP812">
        <f>IF(ListOfExpenditure[[#This Row],[Numero di volte controllato il contract ]]&gt;0,0,ListOfExpenditure[[#This Row],[IF public procurment &gt;10000;1;0]])</f>
        <v>0</v>
      </c>
    </row>
    <row r="813" spans="1:42" x14ac:dyDescent="0.25">
      <c r="A813">
        <v>1145</v>
      </c>
      <c r="B813">
        <v>1</v>
      </c>
      <c r="C813">
        <v>155</v>
      </c>
      <c r="E813" t="s">
        <v>4893</v>
      </c>
      <c r="F813" t="b">
        <v>0</v>
      </c>
      <c r="M813" t="s">
        <v>4788</v>
      </c>
      <c r="N813" t="s">
        <v>4788</v>
      </c>
      <c r="Q813">
        <v>1</v>
      </c>
      <c r="R813">
        <v>9000</v>
      </c>
      <c r="S813">
        <v>9000</v>
      </c>
      <c r="T813" t="s">
        <v>4789</v>
      </c>
      <c r="U813">
        <v>1</v>
      </c>
      <c r="V813">
        <v>9000</v>
      </c>
      <c r="W813" t="s">
        <v>4343</v>
      </c>
      <c r="Y813" t="b">
        <v>1</v>
      </c>
      <c r="Z813" t="b">
        <v>0</v>
      </c>
      <c r="AA813">
        <v>9000</v>
      </c>
      <c r="AB813">
        <v>0</v>
      </c>
      <c r="AD813" t="b">
        <v>0</v>
      </c>
      <c r="AF813" t="s">
        <v>5270</v>
      </c>
      <c r="AG813" s="1" t="s">
        <v>271</v>
      </c>
      <c r="AH813" s="1" t="s">
        <v>276</v>
      </c>
      <c r="AI813">
        <v>76</v>
      </c>
      <c r="AJ813">
        <v>198</v>
      </c>
      <c r="AK813" s="106">
        <v>45475.635503483798</v>
      </c>
      <c r="AL813" s="1" t="s">
        <v>4790</v>
      </c>
      <c r="AM813" s="42">
        <f>IFERROR(INDEX('Public procurment'!A:R,MATCH(ListOfExpenditure[[#This Row],[Content.contractId]],'Public procurment'!E:E,0),14),0)</f>
        <v>0</v>
      </c>
      <c r="AN813" s="2">
        <f>IF(AND(ListOfExpenditure[[#This Row],[Contract amount]]&gt;10000,ListOfExpenditure[[#This Row],[Content.declaredAmount]]&gt;2000),1,0)</f>
        <v>0</v>
      </c>
      <c r="AO813">
        <f>IFERROR(INDEX('Public procurment'!A:S,MATCH(ListOfExpenditure[[#This Row],[Content.contractId]],'Public procurment'!E:E,0),19),0)</f>
        <v>0</v>
      </c>
      <c r="AP813">
        <f>IF(ListOfExpenditure[[#This Row],[Numero di volte controllato il contract ]]&gt;0,0,ListOfExpenditure[[#This Row],[IF public procurment &gt;10000;1;0]])</f>
        <v>0</v>
      </c>
    </row>
    <row r="814" spans="1:42" x14ac:dyDescent="0.25">
      <c r="A814">
        <v>1146</v>
      </c>
      <c r="B814">
        <v>2</v>
      </c>
      <c r="E814" t="s">
        <v>4786</v>
      </c>
      <c r="F814" t="b">
        <v>0</v>
      </c>
      <c r="I814" t="s">
        <v>5504</v>
      </c>
      <c r="K814" t="s">
        <v>4342</v>
      </c>
      <c r="L814" t="s">
        <v>5062</v>
      </c>
      <c r="M814" t="s">
        <v>4788</v>
      </c>
      <c r="N814" t="s">
        <v>4788</v>
      </c>
      <c r="O814">
        <v>5333.81</v>
      </c>
      <c r="Q814">
        <v>0</v>
      </c>
      <c r="R814">
        <v>0</v>
      </c>
      <c r="S814">
        <v>420.03</v>
      </c>
      <c r="T814" t="s">
        <v>4789</v>
      </c>
      <c r="U814">
        <v>1</v>
      </c>
      <c r="V814">
        <v>420.03</v>
      </c>
      <c r="W814" t="s">
        <v>4343</v>
      </c>
      <c r="Y814" t="b">
        <v>1</v>
      </c>
      <c r="Z814" t="b">
        <v>0</v>
      </c>
      <c r="AA814">
        <v>420.03</v>
      </c>
      <c r="AB814">
        <v>0</v>
      </c>
      <c r="AD814" t="b">
        <v>0</v>
      </c>
      <c r="AF814" t="s">
        <v>5270</v>
      </c>
      <c r="AG814" s="1" t="s">
        <v>271</v>
      </c>
      <c r="AH814" s="1" t="s">
        <v>276</v>
      </c>
      <c r="AI814">
        <v>76</v>
      </c>
      <c r="AJ814">
        <v>198</v>
      </c>
      <c r="AK814" s="106">
        <v>45475.635503483798</v>
      </c>
      <c r="AL814" s="1" t="s">
        <v>4790</v>
      </c>
      <c r="AM814" s="42">
        <f>IFERROR(INDEX('Public procurment'!A:R,MATCH(ListOfExpenditure[[#This Row],[Content.contractId]],'Public procurment'!E:E,0),14),0)</f>
        <v>0</v>
      </c>
      <c r="AN814" s="2">
        <f>IF(AND(ListOfExpenditure[[#This Row],[Contract amount]]&gt;10000,ListOfExpenditure[[#This Row],[Content.declaredAmount]]&gt;2000),1,0)</f>
        <v>0</v>
      </c>
      <c r="AO814">
        <f>IFERROR(INDEX('Public procurment'!A:S,MATCH(ListOfExpenditure[[#This Row],[Content.contractId]],'Public procurment'!E:E,0),19),0)</f>
        <v>0</v>
      </c>
      <c r="AP814">
        <f>IF(ListOfExpenditure[[#This Row],[Numero di volte controllato il contract ]]&gt;0,0,ListOfExpenditure[[#This Row],[IF public procurment &gt;10000;1;0]])</f>
        <v>0</v>
      </c>
    </row>
    <row r="815" spans="1:42" x14ac:dyDescent="0.25">
      <c r="A815">
        <v>1147</v>
      </c>
      <c r="B815">
        <v>3</v>
      </c>
      <c r="E815" t="s">
        <v>4786</v>
      </c>
      <c r="F815" t="b">
        <v>0</v>
      </c>
      <c r="I815" t="s">
        <v>5505</v>
      </c>
      <c r="K815" t="s">
        <v>4359</v>
      </c>
      <c r="L815" t="s">
        <v>4913</v>
      </c>
      <c r="M815" t="s">
        <v>4788</v>
      </c>
      <c r="N815" t="s">
        <v>4788</v>
      </c>
      <c r="O815">
        <v>5333.81</v>
      </c>
      <c r="Q815">
        <v>0</v>
      </c>
      <c r="R815">
        <v>0</v>
      </c>
      <c r="S815">
        <v>840.07</v>
      </c>
      <c r="T815" t="s">
        <v>4789</v>
      </c>
      <c r="U815">
        <v>1</v>
      </c>
      <c r="V815">
        <v>840.07</v>
      </c>
      <c r="W815" t="s">
        <v>4343</v>
      </c>
      <c r="Y815" t="b">
        <v>1</v>
      </c>
      <c r="Z815" t="b">
        <v>0</v>
      </c>
      <c r="AA815">
        <v>840.07</v>
      </c>
      <c r="AB815">
        <v>0</v>
      </c>
      <c r="AD815" t="b">
        <v>0</v>
      </c>
      <c r="AF815" t="s">
        <v>5270</v>
      </c>
      <c r="AG815" s="1" t="s">
        <v>271</v>
      </c>
      <c r="AH815" s="1" t="s">
        <v>276</v>
      </c>
      <c r="AI815">
        <v>76</v>
      </c>
      <c r="AJ815">
        <v>198</v>
      </c>
      <c r="AK815" s="106">
        <v>45475.635503483798</v>
      </c>
      <c r="AL815" s="1" t="s">
        <v>4790</v>
      </c>
      <c r="AM815" s="42">
        <f>IFERROR(INDEX('Public procurment'!A:R,MATCH(ListOfExpenditure[[#This Row],[Content.contractId]],'Public procurment'!E:E,0),14),0)</f>
        <v>0</v>
      </c>
      <c r="AN815" s="2">
        <f>IF(AND(ListOfExpenditure[[#This Row],[Contract amount]]&gt;10000,ListOfExpenditure[[#This Row],[Content.declaredAmount]]&gt;2000),1,0)</f>
        <v>0</v>
      </c>
      <c r="AO815">
        <f>IFERROR(INDEX('Public procurment'!A:S,MATCH(ListOfExpenditure[[#This Row],[Content.contractId]],'Public procurment'!E:E,0),19),0)</f>
        <v>0</v>
      </c>
      <c r="AP815">
        <f>IF(ListOfExpenditure[[#This Row],[Numero di volte controllato il contract ]]&gt;0,0,ListOfExpenditure[[#This Row],[IF public procurment &gt;10000;1;0]])</f>
        <v>0</v>
      </c>
    </row>
    <row r="816" spans="1:42" x14ac:dyDescent="0.25">
      <c r="A816">
        <v>1148</v>
      </c>
      <c r="B816">
        <v>4</v>
      </c>
      <c r="E816" t="s">
        <v>4786</v>
      </c>
      <c r="F816" t="b">
        <v>0</v>
      </c>
      <c r="I816" t="s">
        <v>5506</v>
      </c>
      <c r="K816" t="s">
        <v>4931</v>
      </c>
      <c r="L816" t="s">
        <v>5027</v>
      </c>
      <c r="M816" t="s">
        <v>4788</v>
      </c>
      <c r="N816" t="s">
        <v>4788</v>
      </c>
      <c r="O816">
        <v>5333.81</v>
      </c>
      <c r="Q816">
        <v>0</v>
      </c>
      <c r="R816">
        <v>0</v>
      </c>
      <c r="S816">
        <v>840.07</v>
      </c>
      <c r="T816" t="s">
        <v>4789</v>
      </c>
      <c r="U816">
        <v>1</v>
      </c>
      <c r="V816">
        <v>840.07</v>
      </c>
      <c r="W816" t="s">
        <v>4343</v>
      </c>
      <c r="Y816" t="b">
        <v>0</v>
      </c>
      <c r="Z816" t="b">
        <v>0</v>
      </c>
      <c r="AA816">
        <v>840.07</v>
      </c>
      <c r="AB816">
        <v>0</v>
      </c>
      <c r="AD816" t="b">
        <v>0</v>
      </c>
      <c r="AG816" s="1" t="s">
        <v>271</v>
      </c>
      <c r="AH816" s="1" t="s">
        <v>276</v>
      </c>
      <c r="AI816">
        <v>76</v>
      </c>
      <c r="AJ816">
        <v>198</v>
      </c>
      <c r="AK816" s="106">
        <v>45475.635503483798</v>
      </c>
      <c r="AL816" s="1" t="s">
        <v>4790</v>
      </c>
      <c r="AM816" s="42">
        <f>IFERROR(INDEX('Public procurment'!A:R,MATCH(ListOfExpenditure[[#This Row],[Content.contractId]],'Public procurment'!E:E,0),14),0)</f>
        <v>0</v>
      </c>
      <c r="AN816" s="2">
        <f>IF(AND(ListOfExpenditure[[#This Row],[Contract amount]]&gt;10000,ListOfExpenditure[[#This Row],[Content.declaredAmount]]&gt;2000),1,0)</f>
        <v>0</v>
      </c>
      <c r="AO816">
        <f>IFERROR(INDEX('Public procurment'!A:S,MATCH(ListOfExpenditure[[#This Row],[Content.contractId]],'Public procurment'!E:E,0),19),0)</f>
        <v>0</v>
      </c>
      <c r="AP816">
        <f>IF(ListOfExpenditure[[#This Row],[Numero di volte controllato il contract ]]&gt;0,0,ListOfExpenditure[[#This Row],[IF public procurment &gt;10000;1;0]])</f>
        <v>0</v>
      </c>
    </row>
    <row r="817" spans="1:42" x14ac:dyDescent="0.25">
      <c r="A817">
        <v>1149</v>
      </c>
      <c r="B817">
        <v>5</v>
      </c>
      <c r="E817" t="s">
        <v>4786</v>
      </c>
      <c r="F817" t="b">
        <v>0</v>
      </c>
      <c r="I817" t="s">
        <v>5507</v>
      </c>
      <c r="K817" t="s">
        <v>4525</v>
      </c>
      <c r="L817" t="s">
        <v>5029</v>
      </c>
      <c r="M817" t="s">
        <v>4788</v>
      </c>
      <c r="N817" t="s">
        <v>4788</v>
      </c>
      <c r="O817">
        <v>5333.81</v>
      </c>
      <c r="Q817">
        <v>0</v>
      </c>
      <c r="R817">
        <v>0</v>
      </c>
      <c r="S817">
        <v>840.07</v>
      </c>
      <c r="T817" t="s">
        <v>4789</v>
      </c>
      <c r="U817">
        <v>1</v>
      </c>
      <c r="V817">
        <v>840.07</v>
      </c>
      <c r="W817" t="s">
        <v>4343</v>
      </c>
      <c r="Y817" t="b">
        <v>0</v>
      </c>
      <c r="Z817" t="b">
        <v>0</v>
      </c>
      <c r="AA817">
        <v>840.07</v>
      </c>
      <c r="AB817">
        <v>0</v>
      </c>
      <c r="AD817" t="b">
        <v>0</v>
      </c>
      <c r="AG817" s="1" t="s">
        <v>271</v>
      </c>
      <c r="AH817" s="1" t="s">
        <v>276</v>
      </c>
      <c r="AI817">
        <v>76</v>
      </c>
      <c r="AJ817">
        <v>198</v>
      </c>
      <c r="AK817" s="106">
        <v>45475.635503483798</v>
      </c>
      <c r="AL817" s="1" t="s">
        <v>4790</v>
      </c>
      <c r="AM817" s="42">
        <f>IFERROR(INDEX('Public procurment'!A:R,MATCH(ListOfExpenditure[[#This Row],[Content.contractId]],'Public procurment'!E:E,0),14),0)</f>
        <v>0</v>
      </c>
      <c r="AN817" s="2">
        <f>IF(AND(ListOfExpenditure[[#This Row],[Contract amount]]&gt;10000,ListOfExpenditure[[#This Row],[Content.declaredAmount]]&gt;2000),1,0)</f>
        <v>0</v>
      </c>
      <c r="AO817">
        <f>IFERROR(INDEX('Public procurment'!A:S,MATCH(ListOfExpenditure[[#This Row],[Content.contractId]],'Public procurment'!E:E,0),19),0)</f>
        <v>0</v>
      </c>
      <c r="AP817">
        <f>IF(ListOfExpenditure[[#This Row],[Numero di volte controllato il contract ]]&gt;0,0,ListOfExpenditure[[#This Row],[IF public procurment &gt;10000;1;0]])</f>
        <v>0</v>
      </c>
    </row>
    <row r="818" spans="1:42" x14ac:dyDescent="0.25">
      <c r="A818">
        <v>1150</v>
      </c>
      <c r="B818">
        <v>6</v>
      </c>
      <c r="E818" t="s">
        <v>4786</v>
      </c>
      <c r="F818" t="b">
        <v>0</v>
      </c>
      <c r="I818" t="s">
        <v>5508</v>
      </c>
      <c r="K818" t="s">
        <v>4678</v>
      </c>
      <c r="L818" t="s">
        <v>4835</v>
      </c>
      <c r="M818" t="s">
        <v>4788</v>
      </c>
      <c r="N818" t="s">
        <v>4788</v>
      </c>
      <c r="O818">
        <v>5333.81</v>
      </c>
      <c r="Q818">
        <v>0</v>
      </c>
      <c r="R818">
        <v>0</v>
      </c>
      <c r="S818">
        <v>840.07</v>
      </c>
      <c r="T818" t="s">
        <v>4789</v>
      </c>
      <c r="U818">
        <v>1</v>
      </c>
      <c r="V818">
        <v>840.07</v>
      </c>
      <c r="W818" t="s">
        <v>4343</v>
      </c>
      <c r="Y818" t="b">
        <v>0</v>
      </c>
      <c r="Z818" t="b">
        <v>0</v>
      </c>
      <c r="AA818">
        <v>840.07</v>
      </c>
      <c r="AB818">
        <v>0</v>
      </c>
      <c r="AD818" t="b">
        <v>0</v>
      </c>
      <c r="AG818" s="1" t="s">
        <v>271</v>
      </c>
      <c r="AH818" s="1" t="s">
        <v>276</v>
      </c>
      <c r="AI818">
        <v>76</v>
      </c>
      <c r="AJ818">
        <v>198</v>
      </c>
      <c r="AK818" s="106">
        <v>45475.635503483798</v>
      </c>
      <c r="AL818" s="1" t="s">
        <v>4790</v>
      </c>
      <c r="AM818" s="42">
        <f>IFERROR(INDEX('Public procurment'!A:R,MATCH(ListOfExpenditure[[#This Row],[Content.contractId]],'Public procurment'!E:E,0),14),0)</f>
        <v>0</v>
      </c>
      <c r="AN818" s="2">
        <f>IF(AND(ListOfExpenditure[[#This Row],[Contract amount]]&gt;10000,ListOfExpenditure[[#This Row],[Content.declaredAmount]]&gt;2000),1,0)</f>
        <v>0</v>
      </c>
      <c r="AO818">
        <f>IFERROR(INDEX('Public procurment'!A:S,MATCH(ListOfExpenditure[[#This Row],[Content.contractId]],'Public procurment'!E:E,0),19),0)</f>
        <v>0</v>
      </c>
      <c r="AP818">
        <f>IF(ListOfExpenditure[[#This Row],[Numero di volte controllato il contract ]]&gt;0,0,ListOfExpenditure[[#This Row],[IF public procurment &gt;10000;1;0]])</f>
        <v>0</v>
      </c>
    </row>
    <row r="819" spans="1:42" x14ac:dyDescent="0.25">
      <c r="A819">
        <v>1151</v>
      </c>
      <c r="B819">
        <v>7</v>
      </c>
      <c r="E819" t="s">
        <v>4786</v>
      </c>
      <c r="F819" t="b">
        <v>0</v>
      </c>
      <c r="I819" t="s">
        <v>5509</v>
      </c>
      <c r="K819" t="s">
        <v>4342</v>
      </c>
      <c r="L819" t="s">
        <v>5062</v>
      </c>
      <c r="M819" t="s">
        <v>4788</v>
      </c>
      <c r="N819" t="s">
        <v>4788</v>
      </c>
      <c r="O819">
        <v>4585.49</v>
      </c>
      <c r="Q819">
        <v>0</v>
      </c>
      <c r="R819">
        <v>0</v>
      </c>
      <c r="S819">
        <v>607.57000000000005</v>
      </c>
      <c r="T819" t="s">
        <v>4789</v>
      </c>
      <c r="U819">
        <v>1</v>
      </c>
      <c r="V819">
        <v>607.57000000000005</v>
      </c>
      <c r="W819" t="s">
        <v>4343</v>
      </c>
      <c r="Y819" t="b">
        <v>0</v>
      </c>
      <c r="Z819" t="b">
        <v>0</v>
      </c>
      <c r="AA819">
        <v>607.57000000000005</v>
      </c>
      <c r="AB819">
        <v>0</v>
      </c>
      <c r="AD819" t="b">
        <v>0</v>
      </c>
      <c r="AG819" s="1" t="s">
        <v>271</v>
      </c>
      <c r="AH819" s="1" t="s">
        <v>276</v>
      </c>
      <c r="AI819">
        <v>76</v>
      </c>
      <c r="AJ819">
        <v>198</v>
      </c>
      <c r="AK819" s="106">
        <v>45475.635503483798</v>
      </c>
      <c r="AL819" s="1" t="s">
        <v>4790</v>
      </c>
      <c r="AM819" s="42">
        <f>IFERROR(INDEX('Public procurment'!A:R,MATCH(ListOfExpenditure[[#This Row],[Content.contractId]],'Public procurment'!E:E,0),14),0)</f>
        <v>0</v>
      </c>
      <c r="AN819" s="2">
        <f>IF(AND(ListOfExpenditure[[#This Row],[Contract amount]]&gt;10000,ListOfExpenditure[[#This Row],[Content.declaredAmount]]&gt;2000),1,0)</f>
        <v>0</v>
      </c>
      <c r="AO819">
        <f>IFERROR(INDEX('Public procurment'!A:S,MATCH(ListOfExpenditure[[#This Row],[Content.contractId]],'Public procurment'!E:E,0),19),0)</f>
        <v>0</v>
      </c>
      <c r="AP819">
        <f>IF(ListOfExpenditure[[#This Row],[Numero di volte controllato il contract ]]&gt;0,0,ListOfExpenditure[[#This Row],[IF public procurment &gt;10000;1;0]])</f>
        <v>0</v>
      </c>
    </row>
    <row r="820" spans="1:42" x14ac:dyDescent="0.25">
      <c r="A820">
        <v>1152</v>
      </c>
      <c r="B820">
        <v>8</v>
      </c>
      <c r="E820" t="s">
        <v>4786</v>
      </c>
      <c r="F820" t="b">
        <v>0</v>
      </c>
      <c r="I820" t="s">
        <v>5510</v>
      </c>
      <c r="K820" t="s">
        <v>4359</v>
      </c>
      <c r="L820" t="s">
        <v>4913</v>
      </c>
      <c r="M820" t="s">
        <v>4788</v>
      </c>
      <c r="N820" t="s">
        <v>4788</v>
      </c>
      <c r="O820">
        <v>4585.49</v>
      </c>
      <c r="Q820">
        <v>0</v>
      </c>
      <c r="R820">
        <v>0</v>
      </c>
      <c r="S820">
        <v>1215.1500000000001</v>
      </c>
      <c r="T820" t="s">
        <v>4789</v>
      </c>
      <c r="U820">
        <v>1</v>
      </c>
      <c r="V820">
        <v>1215.1500000000001</v>
      </c>
      <c r="W820" t="s">
        <v>4343</v>
      </c>
      <c r="Y820" t="b">
        <v>0</v>
      </c>
      <c r="Z820" t="b">
        <v>0</v>
      </c>
      <c r="AA820">
        <v>1215.1500000000001</v>
      </c>
      <c r="AB820">
        <v>0</v>
      </c>
      <c r="AD820" t="b">
        <v>0</v>
      </c>
      <c r="AG820" s="1" t="s">
        <v>271</v>
      </c>
      <c r="AH820" s="1" t="s">
        <v>276</v>
      </c>
      <c r="AI820">
        <v>76</v>
      </c>
      <c r="AJ820">
        <v>198</v>
      </c>
      <c r="AK820" s="106">
        <v>45475.635503483798</v>
      </c>
      <c r="AL820" s="1" t="s">
        <v>4790</v>
      </c>
      <c r="AM820" s="42">
        <f>IFERROR(INDEX('Public procurment'!A:R,MATCH(ListOfExpenditure[[#This Row],[Content.contractId]],'Public procurment'!E:E,0),14),0)</f>
        <v>0</v>
      </c>
      <c r="AN820" s="2">
        <f>IF(AND(ListOfExpenditure[[#This Row],[Contract amount]]&gt;10000,ListOfExpenditure[[#This Row],[Content.declaredAmount]]&gt;2000),1,0)</f>
        <v>0</v>
      </c>
      <c r="AO820">
        <f>IFERROR(INDEX('Public procurment'!A:S,MATCH(ListOfExpenditure[[#This Row],[Content.contractId]],'Public procurment'!E:E,0),19),0)</f>
        <v>0</v>
      </c>
      <c r="AP820">
        <f>IF(ListOfExpenditure[[#This Row],[Numero di volte controllato il contract ]]&gt;0,0,ListOfExpenditure[[#This Row],[IF public procurment &gt;10000;1;0]])</f>
        <v>0</v>
      </c>
    </row>
    <row r="821" spans="1:42" x14ac:dyDescent="0.25">
      <c r="A821">
        <v>1201</v>
      </c>
      <c r="B821">
        <v>9</v>
      </c>
      <c r="E821" t="s">
        <v>4786</v>
      </c>
      <c r="F821" t="b">
        <v>0</v>
      </c>
      <c r="I821" t="s">
        <v>5511</v>
      </c>
      <c r="K821" t="s">
        <v>4931</v>
      </c>
      <c r="L821" t="s">
        <v>5027</v>
      </c>
      <c r="M821" t="s">
        <v>4788</v>
      </c>
      <c r="N821" t="s">
        <v>4788</v>
      </c>
      <c r="O821">
        <v>4585.49</v>
      </c>
      <c r="Q821">
        <v>0</v>
      </c>
      <c r="R821">
        <v>0</v>
      </c>
      <c r="S821">
        <v>1215.1500000000001</v>
      </c>
      <c r="T821" t="s">
        <v>4789</v>
      </c>
      <c r="U821">
        <v>1</v>
      </c>
      <c r="V821">
        <v>1215.1500000000001</v>
      </c>
      <c r="W821" t="s">
        <v>4343</v>
      </c>
      <c r="Y821" t="b">
        <v>1</v>
      </c>
      <c r="Z821" t="b">
        <v>0</v>
      </c>
      <c r="AA821">
        <v>1215.1500000000001</v>
      </c>
      <c r="AB821">
        <v>0</v>
      </c>
      <c r="AD821" t="b">
        <v>0</v>
      </c>
      <c r="AF821" t="s">
        <v>5270</v>
      </c>
      <c r="AG821" s="1" t="s">
        <v>271</v>
      </c>
      <c r="AH821" s="1" t="s">
        <v>276</v>
      </c>
      <c r="AI821">
        <v>76</v>
      </c>
      <c r="AJ821">
        <v>198</v>
      </c>
      <c r="AK821" s="106">
        <v>45475.635503483798</v>
      </c>
      <c r="AL821" s="1" t="s">
        <v>4790</v>
      </c>
      <c r="AM821" s="42">
        <f>IFERROR(INDEX('Public procurment'!A:R,MATCH(ListOfExpenditure[[#This Row],[Content.contractId]],'Public procurment'!E:E,0),14),0)</f>
        <v>0</v>
      </c>
      <c r="AN821" s="2">
        <f>IF(AND(ListOfExpenditure[[#This Row],[Contract amount]]&gt;10000,ListOfExpenditure[[#This Row],[Content.declaredAmount]]&gt;2000),1,0)</f>
        <v>0</v>
      </c>
      <c r="AO821">
        <f>IFERROR(INDEX('Public procurment'!A:S,MATCH(ListOfExpenditure[[#This Row],[Content.contractId]],'Public procurment'!E:E,0),19),0)</f>
        <v>0</v>
      </c>
      <c r="AP821">
        <f>IF(ListOfExpenditure[[#This Row],[Numero di volte controllato il contract ]]&gt;0,0,ListOfExpenditure[[#This Row],[IF public procurment &gt;10000;1;0]])</f>
        <v>0</v>
      </c>
    </row>
    <row r="822" spans="1:42" x14ac:dyDescent="0.25">
      <c r="A822">
        <v>1202</v>
      </c>
      <c r="B822">
        <v>10</v>
      </c>
      <c r="E822" t="s">
        <v>4786</v>
      </c>
      <c r="F822" t="b">
        <v>0</v>
      </c>
      <c r="I822" t="s">
        <v>5512</v>
      </c>
      <c r="K822" t="s">
        <v>4525</v>
      </c>
      <c r="L822" t="s">
        <v>5029</v>
      </c>
      <c r="M822" t="s">
        <v>4788</v>
      </c>
      <c r="N822" t="s">
        <v>4788</v>
      </c>
      <c r="O822">
        <v>4585.49</v>
      </c>
      <c r="Q822">
        <v>0</v>
      </c>
      <c r="R822">
        <v>0</v>
      </c>
      <c r="S822">
        <v>1215.1500000000001</v>
      </c>
      <c r="T822" t="s">
        <v>4789</v>
      </c>
      <c r="U822">
        <v>1</v>
      </c>
      <c r="V822">
        <v>1215.1500000000001</v>
      </c>
      <c r="W822" t="s">
        <v>4343</v>
      </c>
      <c r="Y822" t="b">
        <v>1</v>
      </c>
      <c r="Z822" t="b">
        <v>0</v>
      </c>
      <c r="AA822">
        <v>1215.1500000000001</v>
      </c>
      <c r="AB822">
        <v>0</v>
      </c>
      <c r="AD822" t="b">
        <v>0</v>
      </c>
      <c r="AF822" t="s">
        <v>5270</v>
      </c>
      <c r="AG822" s="1" t="s">
        <v>271</v>
      </c>
      <c r="AH822" s="1" t="s">
        <v>276</v>
      </c>
      <c r="AI822">
        <v>76</v>
      </c>
      <c r="AJ822">
        <v>198</v>
      </c>
      <c r="AK822" s="106">
        <v>45475.635503483798</v>
      </c>
      <c r="AL822" s="1" t="s">
        <v>4790</v>
      </c>
      <c r="AM822" s="42">
        <f>IFERROR(INDEX('Public procurment'!A:R,MATCH(ListOfExpenditure[[#This Row],[Content.contractId]],'Public procurment'!E:E,0),14),0)</f>
        <v>0</v>
      </c>
      <c r="AN822" s="2">
        <f>IF(AND(ListOfExpenditure[[#This Row],[Contract amount]]&gt;10000,ListOfExpenditure[[#This Row],[Content.declaredAmount]]&gt;2000),1,0)</f>
        <v>0</v>
      </c>
      <c r="AO822">
        <f>IFERROR(INDEX('Public procurment'!A:S,MATCH(ListOfExpenditure[[#This Row],[Content.contractId]],'Public procurment'!E:E,0),19),0)</f>
        <v>0</v>
      </c>
      <c r="AP822">
        <f>IF(ListOfExpenditure[[#This Row],[Numero di volte controllato il contract ]]&gt;0,0,ListOfExpenditure[[#This Row],[IF public procurment &gt;10000;1;0]])</f>
        <v>0</v>
      </c>
    </row>
    <row r="823" spans="1:42" x14ac:dyDescent="0.25">
      <c r="A823">
        <v>1203</v>
      </c>
      <c r="B823">
        <v>11</v>
      </c>
      <c r="E823" t="s">
        <v>4786</v>
      </c>
      <c r="F823" t="b">
        <v>0</v>
      </c>
      <c r="I823" t="s">
        <v>5513</v>
      </c>
      <c r="K823" t="s">
        <v>4678</v>
      </c>
      <c r="L823" t="s">
        <v>4835</v>
      </c>
      <c r="M823" t="s">
        <v>4788</v>
      </c>
      <c r="N823" t="s">
        <v>4788</v>
      </c>
      <c r="O823">
        <v>4585.49</v>
      </c>
      <c r="Q823">
        <v>0</v>
      </c>
      <c r="R823">
        <v>0</v>
      </c>
      <c r="S823">
        <v>1215.1500000000001</v>
      </c>
      <c r="T823" t="s">
        <v>4789</v>
      </c>
      <c r="U823">
        <v>1</v>
      </c>
      <c r="V823">
        <v>1215.1500000000001</v>
      </c>
      <c r="W823" t="s">
        <v>4343</v>
      </c>
      <c r="Y823" t="b">
        <v>0</v>
      </c>
      <c r="Z823" t="b">
        <v>0</v>
      </c>
      <c r="AA823">
        <v>1215.1500000000001</v>
      </c>
      <c r="AB823">
        <v>0</v>
      </c>
      <c r="AD823" t="b">
        <v>0</v>
      </c>
      <c r="AG823" s="1" t="s">
        <v>271</v>
      </c>
      <c r="AH823" s="1" t="s">
        <v>276</v>
      </c>
      <c r="AI823">
        <v>76</v>
      </c>
      <c r="AJ823">
        <v>198</v>
      </c>
      <c r="AK823" s="106">
        <v>45475.635503483798</v>
      </c>
      <c r="AL823" s="1" t="s">
        <v>4790</v>
      </c>
      <c r="AM823" s="42">
        <f>IFERROR(INDEX('Public procurment'!A:R,MATCH(ListOfExpenditure[[#This Row],[Content.contractId]],'Public procurment'!E:E,0),14),0)</f>
        <v>0</v>
      </c>
      <c r="AN823" s="2">
        <f>IF(AND(ListOfExpenditure[[#This Row],[Contract amount]]&gt;10000,ListOfExpenditure[[#This Row],[Content.declaredAmount]]&gt;2000),1,0)</f>
        <v>0</v>
      </c>
      <c r="AO823">
        <f>IFERROR(INDEX('Public procurment'!A:S,MATCH(ListOfExpenditure[[#This Row],[Content.contractId]],'Public procurment'!E:E,0),19),0)</f>
        <v>0</v>
      </c>
      <c r="AP823">
        <f>IF(ListOfExpenditure[[#This Row],[Numero di volte controllato il contract ]]&gt;0,0,ListOfExpenditure[[#This Row],[IF public procurment &gt;10000;1;0]])</f>
        <v>0</v>
      </c>
    </row>
    <row r="824" spans="1:42" x14ac:dyDescent="0.25">
      <c r="A824">
        <v>1204</v>
      </c>
      <c r="B824">
        <v>12</v>
      </c>
      <c r="E824" t="s">
        <v>4786</v>
      </c>
      <c r="F824" t="b">
        <v>0</v>
      </c>
      <c r="I824" t="s">
        <v>5514</v>
      </c>
      <c r="K824" t="s">
        <v>4342</v>
      </c>
      <c r="L824" t="s">
        <v>5062</v>
      </c>
      <c r="M824" t="s">
        <v>4788</v>
      </c>
      <c r="N824" t="s">
        <v>4788</v>
      </c>
      <c r="O824">
        <v>3546.63</v>
      </c>
      <c r="Q824">
        <v>0</v>
      </c>
      <c r="R824">
        <v>0</v>
      </c>
      <c r="S824">
        <v>177.33</v>
      </c>
      <c r="T824" t="s">
        <v>4789</v>
      </c>
      <c r="U824">
        <v>1</v>
      </c>
      <c r="V824">
        <v>177.33</v>
      </c>
      <c r="W824" t="s">
        <v>4343</v>
      </c>
      <c r="Y824" t="b">
        <v>1</v>
      </c>
      <c r="Z824" t="b">
        <v>0</v>
      </c>
      <c r="AA824">
        <v>177.33</v>
      </c>
      <c r="AB824">
        <v>0</v>
      </c>
      <c r="AD824" t="b">
        <v>0</v>
      </c>
      <c r="AF824" t="s">
        <v>5270</v>
      </c>
      <c r="AG824" s="1" t="s">
        <v>271</v>
      </c>
      <c r="AH824" s="1" t="s">
        <v>276</v>
      </c>
      <c r="AI824">
        <v>76</v>
      </c>
      <c r="AJ824">
        <v>198</v>
      </c>
      <c r="AK824" s="106">
        <v>45475.635503483798</v>
      </c>
      <c r="AL824" s="1" t="s">
        <v>4790</v>
      </c>
      <c r="AM824" s="42">
        <f>IFERROR(INDEX('Public procurment'!A:R,MATCH(ListOfExpenditure[[#This Row],[Content.contractId]],'Public procurment'!E:E,0),14),0)</f>
        <v>0</v>
      </c>
      <c r="AN824" s="2">
        <f>IF(AND(ListOfExpenditure[[#This Row],[Contract amount]]&gt;10000,ListOfExpenditure[[#This Row],[Content.declaredAmount]]&gt;2000),1,0)</f>
        <v>0</v>
      </c>
      <c r="AO824">
        <f>IFERROR(INDEX('Public procurment'!A:S,MATCH(ListOfExpenditure[[#This Row],[Content.contractId]],'Public procurment'!E:E,0),19),0)</f>
        <v>0</v>
      </c>
      <c r="AP824">
        <f>IF(ListOfExpenditure[[#This Row],[Numero di volte controllato il contract ]]&gt;0,0,ListOfExpenditure[[#This Row],[IF public procurment &gt;10000;1;0]])</f>
        <v>0</v>
      </c>
    </row>
    <row r="825" spans="1:42" x14ac:dyDescent="0.25">
      <c r="A825">
        <v>1205</v>
      </c>
      <c r="B825">
        <v>13</v>
      </c>
      <c r="E825" t="s">
        <v>4786</v>
      </c>
      <c r="F825" t="b">
        <v>0</v>
      </c>
      <c r="I825" t="s">
        <v>5515</v>
      </c>
      <c r="K825" t="s">
        <v>4359</v>
      </c>
      <c r="L825" t="s">
        <v>4913</v>
      </c>
      <c r="M825" t="s">
        <v>4788</v>
      </c>
      <c r="N825" t="s">
        <v>4788</v>
      </c>
      <c r="O825">
        <v>3546.63</v>
      </c>
      <c r="Q825">
        <v>0</v>
      </c>
      <c r="R825">
        <v>0</v>
      </c>
      <c r="S825">
        <v>354.66</v>
      </c>
      <c r="T825" t="s">
        <v>4789</v>
      </c>
      <c r="U825">
        <v>1</v>
      </c>
      <c r="V825">
        <v>354.66</v>
      </c>
      <c r="W825" t="s">
        <v>4343</v>
      </c>
      <c r="Y825" t="b">
        <v>0</v>
      </c>
      <c r="Z825" t="b">
        <v>0</v>
      </c>
      <c r="AA825">
        <v>354.66</v>
      </c>
      <c r="AB825">
        <v>0</v>
      </c>
      <c r="AD825" t="b">
        <v>0</v>
      </c>
      <c r="AG825" s="1" t="s">
        <v>271</v>
      </c>
      <c r="AH825" s="1" t="s">
        <v>276</v>
      </c>
      <c r="AI825">
        <v>76</v>
      </c>
      <c r="AJ825">
        <v>198</v>
      </c>
      <c r="AK825" s="106">
        <v>45475.635503483798</v>
      </c>
      <c r="AL825" s="1" t="s">
        <v>4790</v>
      </c>
      <c r="AM825" s="42">
        <f>IFERROR(INDEX('Public procurment'!A:R,MATCH(ListOfExpenditure[[#This Row],[Content.contractId]],'Public procurment'!E:E,0),14),0)</f>
        <v>0</v>
      </c>
      <c r="AN825" s="2">
        <f>IF(AND(ListOfExpenditure[[#This Row],[Contract amount]]&gt;10000,ListOfExpenditure[[#This Row],[Content.declaredAmount]]&gt;2000),1,0)</f>
        <v>0</v>
      </c>
      <c r="AO825">
        <f>IFERROR(INDEX('Public procurment'!A:S,MATCH(ListOfExpenditure[[#This Row],[Content.contractId]],'Public procurment'!E:E,0),19),0)</f>
        <v>0</v>
      </c>
      <c r="AP825">
        <f>IF(ListOfExpenditure[[#This Row],[Numero di volte controllato il contract ]]&gt;0,0,ListOfExpenditure[[#This Row],[IF public procurment &gt;10000;1;0]])</f>
        <v>0</v>
      </c>
    </row>
    <row r="826" spans="1:42" x14ac:dyDescent="0.25">
      <c r="A826">
        <v>1206</v>
      </c>
      <c r="B826">
        <v>14</v>
      </c>
      <c r="E826" t="s">
        <v>4786</v>
      </c>
      <c r="F826" t="b">
        <v>0</v>
      </c>
      <c r="I826" t="s">
        <v>5516</v>
      </c>
      <c r="K826" t="s">
        <v>4931</v>
      </c>
      <c r="L826" t="s">
        <v>5027</v>
      </c>
      <c r="M826" t="s">
        <v>4788</v>
      </c>
      <c r="N826" t="s">
        <v>4788</v>
      </c>
      <c r="O826">
        <v>3546.63</v>
      </c>
      <c r="Q826">
        <v>0</v>
      </c>
      <c r="R826">
        <v>0</v>
      </c>
      <c r="S826">
        <v>354.66</v>
      </c>
      <c r="T826" t="s">
        <v>4789</v>
      </c>
      <c r="U826">
        <v>1</v>
      </c>
      <c r="V826">
        <v>354.66</v>
      </c>
      <c r="W826" t="s">
        <v>4343</v>
      </c>
      <c r="Y826" t="b">
        <v>0</v>
      </c>
      <c r="Z826" t="b">
        <v>0</v>
      </c>
      <c r="AA826">
        <v>354.66</v>
      </c>
      <c r="AB826">
        <v>0</v>
      </c>
      <c r="AD826" t="b">
        <v>0</v>
      </c>
      <c r="AG826" s="1" t="s">
        <v>271</v>
      </c>
      <c r="AH826" s="1" t="s">
        <v>276</v>
      </c>
      <c r="AI826">
        <v>76</v>
      </c>
      <c r="AJ826">
        <v>198</v>
      </c>
      <c r="AK826" s="106">
        <v>45475.635503483798</v>
      </c>
      <c r="AL826" s="1" t="s">
        <v>4790</v>
      </c>
      <c r="AM826" s="42">
        <f>IFERROR(INDEX('Public procurment'!A:R,MATCH(ListOfExpenditure[[#This Row],[Content.contractId]],'Public procurment'!E:E,0),14),0)</f>
        <v>0</v>
      </c>
      <c r="AN826" s="2">
        <f>IF(AND(ListOfExpenditure[[#This Row],[Contract amount]]&gt;10000,ListOfExpenditure[[#This Row],[Content.declaredAmount]]&gt;2000),1,0)</f>
        <v>0</v>
      </c>
      <c r="AO826">
        <f>IFERROR(INDEX('Public procurment'!A:S,MATCH(ListOfExpenditure[[#This Row],[Content.contractId]],'Public procurment'!E:E,0),19),0)</f>
        <v>0</v>
      </c>
      <c r="AP826">
        <f>IF(ListOfExpenditure[[#This Row],[Numero di volte controllato il contract ]]&gt;0,0,ListOfExpenditure[[#This Row],[IF public procurment &gt;10000;1;0]])</f>
        <v>0</v>
      </c>
    </row>
    <row r="827" spans="1:42" x14ac:dyDescent="0.25">
      <c r="A827">
        <v>1207</v>
      </c>
      <c r="B827">
        <v>15</v>
      </c>
      <c r="E827" t="s">
        <v>4786</v>
      </c>
      <c r="F827" t="b">
        <v>0</v>
      </c>
      <c r="I827" t="s">
        <v>5517</v>
      </c>
      <c r="K827" t="s">
        <v>4525</v>
      </c>
      <c r="L827" t="s">
        <v>5029</v>
      </c>
      <c r="M827" t="s">
        <v>4788</v>
      </c>
      <c r="N827" t="s">
        <v>4788</v>
      </c>
      <c r="O827">
        <v>3546.63</v>
      </c>
      <c r="Q827">
        <v>0</v>
      </c>
      <c r="R827">
        <v>0</v>
      </c>
      <c r="S827">
        <v>354.66</v>
      </c>
      <c r="T827" t="s">
        <v>4789</v>
      </c>
      <c r="U827">
        <v>1</v>
      </c>
      <c r="V827">
        <v>354.66</v>
      </c>
      <c r="W827" t="s">
        <v>4343</v>
      </c>
      <c r="Y827" t="b">
        <v>0</v>
      </c>
      <c r="Z827" t="b">
        <v>0</v>
      </c>
      <c r="AA827">
        <v>354.66</v>
      </c>
      <c r="AB827">
        <v>0</v>
      </c>
      <c r="AD827" t="b">
        <v>0</v>
      </c>
      <c r="AG827" s="1" t="s">
        <v>271</v>
      </c>
      <c r="AH827" s="1" t="s">
        <v>276</v>
      </c>
      <c r="AI827">
        <v>76</v>
      </c>
      <c r="AJ827">
        <v>198</v>
      </c>
      <c r="AK827" s="106">
        <v>45475.635503483798</v>
      </c>
      <c r="AL827" s="1" t="s">
        <v>4790</v>
      </c>
      <c r="AM827" s="42">
        <f>IFERROR(INDEX('Public procurment'!A:R,MATCH(ListOfExpenditure[[#This Row],[Content.contractId]],'Public procurment'!E:E,0),14),0)</f>
        <v>0</v>
      </c>
      <c r="AN827" s="2">
        <f>IF(AND(ListOfExpenditure[[#This Row],[Contract amount]]&gt;10000,ListOfExpenditure[[#This Row],[Content.declaredAmount]]&gt;2000),1,0)</f>
        <v>0</v>
      </c>
      <c r="AO827">
        <f>IFERROR(INDEX('Public procurment'!A:S,MATCH(ListOfExpenditure[[#This Row],[Content.contractId]],'Public procurment'!E:E,0),19),0)</f>
        <v>0</v>
      </c>
      <c r="AP827">
        <f>IF(ListOfExpenditure[[#This Row],[Numero di volte controllato il contract ]]&gt;0,0,ListOfExpenditure[[#This Row],[IF public procurment &gt;10000;1;0]])</f>
        <v>0</v>
      </c>
    </row>
    <row r="828" spans="1:42" x14ac:dyDescent="0.25">
      <c r="A828">
        <v>1208</v>
      </c>
      <c r="B828">
        <v>16</v>
      </c>
      <c r="E828" t="s">
        <v>4786</v>
      </c>
      <c r="F828" t="b">
        <v>0</v>
      </c>
      <c r="I828" t="s">
        <v>5518</v>
      </c>
      <c r="K828" t="s">
        <v>4678</v>
      </c>
      <c r="L828" t="s">
        <v>4835</v>
      </c>
      <c r="M828" t="s">
        <v>4788</v>
      </c>
      <c r="N828" t="s">
        <v>4788</v>
      </c>
      <c r="O828">
        <v>3546.63</v>
      </c>
      <c r="Q828">
        <v>0</v>
      </c>
      <c r="R828">
        <v>0</v>
      </c>
      <c r="S828">
        <v>354.66</v>
      </c>
      <c r="T828" t="s">
        <v>4789</v>
      </c>
      <c r="U828">
        <v>1</v>
      </c>
      <c r="V828">
        <v>354.66</v>
      </c>
      <c r="W828" t="s">
        <v>4343</v>
      </c>
      <c r="Y828" t="b">
        <v>1</v>
      </c>
      <c r="Z828" t="b">
        <v>0</v>
      </c>
      <c r="AA828">
        <v>354.66</v>
      </c>
      <c r="AB828">
        <v>0</v>
      </c>
      <c r="AD828" t="b">
        <v>0</v>
      </c>
      <c r="AF828" t="s">
        <v>5270</v>
      </c>
      <c r="AG828" s="1" t="s">
        <v>271</v>
      </c>
      <c r="AH828" s="1" t="s">
        <v>276</v>
      </c>
      <c r="AI828">
        <v>76</v>
      </c>
      <c r="AJ828">
        <v>198</v>
      </c>
      <c r="AK828" s="106">
        <v>45475.635503483798</v>
      </c>
      <c r="AL828" s="1" t="s">
        <v>4790</v>
      </c>
      <c r="AM828" s="42">
        <f>IFERROR(INDEX('Public procurment'!A:R,MATCH(ListOfExpenditure[[#This Row],[Content.contractId]],'Public procurment'!E:E,0),14),0)</f>
        <v>0</v>
      </c>
      <c r="AN828" s="2">
        <f>IF(AND(ListOfExpenditure[[#This Row],[Contract amount]]&gt;10000,ListOfExpenditure[[#This Row],[Content.declaredAmount]]&gt;2000),1,0)</f>
        <v>0</v>
      </c>
      <c r="AO828">
        <f>IFERROR(INDEX('Public procurment'!A:S,MATCH(ListOfExpenditure[[#This Row],[Content.contractId]],'Public procurment'!E:E,0),19),0)</f>
        <v>0</v>
      </c>
      <c r="AP828">
        <f>IF(ListOfExpenditure[[#This Row],[Numero di volte controllato il contract ]]&gt;0,0,ListOfExpenditure[[#This Row],[IF public procurment &gt;10000;1;0]])</f>
        <v>0</v>
      </c>
    </row>
    <row r="829" spans="1:42" x14ac:dyDescent="0.25">
      <c r="A829">
        <v>1357</v>
      </c>
      <c r="B829">
        <v>17</v>
      </c>
      <c r="E829" t="s">
        <v>4786</v>
      </c>
      <c r="F829" t="b">
        <v>0</v>
      </c>
      <c r="I829" t="s">
        <v>5519</v>
      </c>
      <c r="K829" t="s">
        <v>4342</v>
      </c>
      <c r="L829" t="s">
        <v>4831</v>
      </c>
      <c r="M829" t="s">
        <v>4788</v>
      </c>
      <c r="N829" t="s">
        <v>4788</v>
      </c>
      <c r="O829">
        <v>4386.54</v>
      </c>
      <c r="Q829">
        <v>0</v>
      </c>
      <c r="R829">
        <v>0</v>
      </c>
      <c r="S829">
        <v>943.11</v>
      </c>
      <c r="T829" t="s">
        <v>4789</v>
      </c>
      <c r="U829">
        <v>1</v>
      </c>
      <c r="V829">
        <v>943.11</v>
      </c>
      <c r="W829" t="s">
        <v>4343</v>
      </c>
      <c r="Y829" t="b">
        <v>0</v>
      </c>
      <c r="Z829" t="b">
        <v>0</v>
      </c>
      <c r="AA829">
        <v>943.11</v>
      </c>
      <c r="AB829">
        <v>0</v>
      </c>
      <c r="AD829" t="b">
        <v>0</v>
      </c>
      <c r="AG829" s="1" t="s">
        <v>271</v>
      </c>
      <c r="AH829" s="1" t="s">
        <v>276</v>
      </c>
      <c r="AI829">
        <v>76</v>
      </c>
      <c r="AJ829">
        <v>198</v>
      </c>
      <c r="AK829" s="106">
        <v>45475.635503483798</v>
      </c>
      <c r="AL829" s="1" t="s">
        <v>4790</v>
      </c>
      <c r="AM829" s="42">
        <f>IFERROR(INDEX('Public procurment'!A:R,MATCH(ListOfExpenditure[[#This Row],[Content.contractId]],'Public procurment'!E:E,0),14),0)</f>
        <v>0</v>
      </c>
      <c r="AN829" s="2">
        <f>IF(AND(ListOfExpenditure[[#This Row],[Contract amount]]&gt;10000,ListOfExpenditure[[#This Row],[Content.declaredAmount]]&gt;2000),1,0)</f>
        <v>0</v>
      </c>
      <c r="AO829">
        <f>IFERROR(INDEX('Public procurment'!A:S,MATCH(ListOfExpenditure[[#This Row],[Content.contractId]],'Public procurment'!E:E,0),19),0)</f>
        <v>0</v>
      </c>
      <c r="AP829">
        <f>IF(ListOfExpenditure[[#This Row],[Numero di volte controllato il contract ]]&gt;0,0,ListOfExpenditure[[#This Row],[IF public procurment &gt;10000;1;0]])</f>
        <v>0</v>
      </c>
    </row>
    <row r="830" spans="1:42" x14ac:dyDescent="0.25">
      <c r="A830">
        <v>1358</v>
      </c>
      <c r="B830">
        <v>18</v>
      </c>
      <c r="E830" t="s">
        <v>4786</v>
      </c>
      <c r="F830" t="b">
        <v>0</v>
      </c>
      <c r="I830" t="s">
        <v>5520</v>
      </c>
      <c r="K830" t="s">
        <v>4359</v>
      </c>
      <c r="L830" t="s">
        <v>4957</v>
      </c>
      <c r="M830" t="s">
        <v>4788</v>
      </c>
      <c r="N830" t="s">
        <v>4788</v>
      </c>
      <c r="O830">
        <v>4386.54</v>
      </c>
      <c r="Q830">
        <v>0</v>
      </c>
      <c r="R830">
        <v>0</v>
      </c>
      <c r="S830">
        <v>1886.21</v>
      </c>
      <c r="T830" t="s">
        <v>4789</v>
      </c>
      <c r="U830">
        <v>1</v>
      </c>
      <c r="V830">
        <v>1886.21</v>
      </c>
      <c r="W830" t="s">
        <v>4343</v>
      </c>
      <c r="Y830" t="b">
        <v>1</v>
      </c>
      <c r="Z830" t="b">
        <v>0</v>
      </c>
      <c r="AA830">
        <v>1886.21</v>
      </c>
      <c r="AB830">
        <v>0</v>
      </c>
      <c r="AD830" t="b">
        <v>0</v>
      </c>
      <c r="AF830" t="s">
        <v>5270</v>
      </c>
      <c r="AG830" s="1" t="s">
        <v>271</v>
      </c>
      <c r="AH830" s="1" t="s">
        <v>276</v>
      </c>
      <c r="AI830">
        <v>76</v>
      </c>
      <c r="AJ830">
        <v>198</v>
      </c>
      <c r="AK830" s="106">
        <v>45475.635503483798</v>
      </c>
      <c r="AL830" s="1" t="s">
        <v>4790</v>
      </c>
      <c r="AM830" s="42">
        <f>IFERROR(INDEX('Public procurment'!A:R,MATCH(ListOfExpenditure[[#This Row],[Content.contractId]],'Public procurment'!E:E,0),14),0)</f>
        <v>0</v>
      </c>
      <c r="AN830" s="2">
        <f>IF(AND(ListOfExpenditure[[#This Row],[Contract amount]]&gt;10000,ListOfExpenditure[[#This Row],[Content.declaredAmount]]&gt;2000),1,0)</f>
        <v>0</v>
      </c>
      <c r="AO830">
        <f>IFERROR(INDEX('Public procurment'!A:S,MATCH(ListOfExpenditure[[#This Row],[Content.contractId]],'Public procurment'!E:E,0),19),0)</f>
        <v>0</v>
      </c>
      <c r="AP830">
        <f>IF(ListOfExpenditure[[#This Row],[Numero di volte controllato il contract ]]&gt;0,0,ListOfExpenditure[[#This Row],[IF public procurment &gt;10000;1;0]])</f>
        <v>0</v>
      </c>
    </row>
    <row r="831" spans="1:42" x14ac:dyDescent="0.25">
      <c r="A831">
        <v>1359</v>
      </c>
      <c r="B831">
        <v>19</v>
      </c>
      <c r="E831" t="s">
        <v>4786</v>
      </c>
      <c r="F831" t="b">
        <v>0</v>
      </c>
      <c r="I831" t="s">
        <v>5521</v>
      </c>
      <c r="K831" t="s">
        <v>4931</v>
      </c>
      <c r="L831" t="s">
        <v>4958</v>
      </c>
      <c r="M831" t="s">
        <v>4788</v>
      </c>
      <c r="N831" t="s">
        <v>4788</v>
      </c>
      <c r="O831">
        <v>4386.54</v>
      </c>
      <c r="Q831">
        <v>0</v>
      </c>
      <c r="R831">
        <v>0</v>
      </c>
      <c r="S831">
        <v>1886.21</v>
      </c>
      <c r="T831" t="s">
        <v>4789</v>
      </c>
      <c r="U831">
        <v>1</v>
      </c>
      <c r="V831">
        <v>1886.21</v>
      </c>
      <c r="W831" t="s">
        <v>4343</v>
      </c>
      <c r="Y831" t="b">
        <v>1</v>
      </c>
      <c r="Z831" t="b">
        <v>0</v>
      </c>
      <c r="AA831">
        <v>1886.21</v>
      </c>
      <c r="AB831">
        <v>0</v>
      </c>
      <c r="AD831" t="b">
        <v>0</v>
      </c>
      <c r="AF831" t="s">
        <v>5270</v>
      </c>
      <c r="AG831" s="1" t="s">
        <v>271</v>
      </c>
      <c r="AH831" s="1" t="s">
        <v>276</v>
      </c>
      <c r="AI831">
        <v>76</v>
      </c>
      <c r="AJ831">
        <v>198</v>
      </c>
      <c r="AK831" s="106">
        <v>45475.635503483798</v>
      </c>
      <c r="AL831" s="1" t="s">
        <v>4790</v>
      </c>
      <c r="AM831" s="42">
        <f>IFERROR(INDEX('Public procurment'!A:R,MATCH(ListOfExpenditure[[#This Row],[Content.contractId]],'Public procurment'!E:E,0),14),0)</f>
        <v>0</v>
      </c>
      <c r="AN831" s="2">
        <f>IF(AND(ListOfExpenditure[[#This Row],[Contract amount]]&gt;10000,ListOfExpenditure[[#This Row],[Content.declaredAmount]]&gt;2000),1,0)</f>
        <v>0</v>
      </c>
      <c r="AO831">
        <f>IFERROR(INDEX('Public procurment'!A:S,MATCH(ListOfExpenditure[[#This Row],[Content.contractId]],'Public procurment'!E:E,0),19),0)</f>
        <v>0</v>
      </c>
      <c r="AP831">
        <f>IF(ListOfExpenditure[[#This Row],[Numero di volte controllato il contract ]]&gt;0,0,ListOfExpenditure[[#This Row],[IF public procurment &gt;10000;1;0]])</f>
        <v>0</v>
      </c>
    </row>
    <row r="832" spans="1:42" x14ac:dyDescent="0.25">
      <c r="A832">
        <v>1360</v>
      </c>
      <c r="B832">
        <v>20</v>
      </c>
      <c r="E832" t="s">
        <v>4786</v>
      </c>
      <c r="F832" t="b">
        <v>0</v>
      </c>
      <c r="I832" t="s">
        <v>5522</v>
      </c>
      <c r="K832" t="s">
        <v>4525</v>
      </c>
      <c r="L832" t="s">
        <v>4959</v>
      </c>
      <c r="M832" t="s">
        <v>4788</v>
      </c>
      <c r="N832" t="s">
        <v>4788</v>
      </c>
      <c r="O832">
        <v>4386.54</v>
      </c>
      <c r="Q832">
        <v>0</v>
      </c>
      <c r="R832">
        <v>0</v>
      </c>
      <c r="S832">
        <v>1886.21</v>
      </c>
      <c r="T832" t="s">
        <v>4789</v>
      </c>
      <c r="U832">
        <v>1</v>
      </c>
      <c r="V832">
        <v>1886.21</v>
      </c>
      <c r="W832" t="s">
        <v>4343</v>
      </c>
      <c r="Y832" t="b">
        <v>0</v>
      </c>
      <c r="Z832" t="b">
        <v>0</v>
      </c>
      <c r="AA832">
        <v>1886.21</v>
      </c>
      <c r="AB832">
        <v>0</v>
      </c>
      <c r="AD832" t="b">
        <v>0</v>
      </c>
      <c r="AG832" s="1" t="s">
        <v>271</v>
      </c>
      <c r="AH832" s="1" t="s">
        <v>276</v>
      </c>
      <c r="AI832">
        <v>76</v>
      </c>
      <c r="AJ832">
        <v>198</v>
      </c>
      <c r="AK832" s="106">
        <v>45475.635503483798</v>
      </c>
      <c r="AL832" s="1" t="s">
        <v>4790</v>
      </c>
      <c r="AM832" s="42">
        <f>IFERROR(INDEX('Public procurment'!A:R,MATCH(ListOfExpenditure[[#This Row],[Content.contractId]],'Public procurment'!E:E,0),14),0)</f>
        <v>0</v>
      </c>
      <c r="AN832" s="2">
        <f>IF(AND(ListOfExpenditure[[#This Row],[Contract amount]]&gt;10000,ListOfExpenditure[[#This Row],[Content.declaredAmount]]&gt;2000),1,0)</f>
        <v>0</v>
      </c>
      <c r="AO832">
        <f>IFERROR(INDEX('Public procurment'!A:S,MATCH(ListOfExpenditure[[#This Row],[Content.contractId]],'Public procurment'!E:E,0),19),0)</f>
        <v>0</v>
      </c>
      <c r="AP832">
        <f>IF(ListOfExpenditure[[#This Row],[Numero di volte controllato il contract ]]&gt;0,0,ListOfExpenditure[[#This Row],[IF public procurment &gt;10000;1;0]])</f>
        <v>0</v>
      </c>
    </row>
    <row r="833" spans="1:42" x14ac:dyDescent="0.25">
      <c r="A833">
        <v>1361</v>
      </c>
      <c r="B833">
        <v>21</v>
      </c>
      <c r="E833" t="s">
        <v>4786</v>
      </c>
      <c r="F833" t="b">
        <v>0</v>
      </c>
      <c r="I833" t="s">
        <v>5523</v>
      </c>
      <c r="K833" t="s">
        <v>4678</v>
      </c>
      <c r="L833" t="s">
        <v>4835</v>
      </c>
      <c r="M833" t="s">
        <v>4788</v>
      </c>
      <c r="N833" t="s">
        <v>4788</v>
      </c>
      <c r="O833">
        <v>4386.54</v>
      </c>
      <c r="Q833">
        <v>0</v>
      </c>
      <c r="R833">
        <v>0</v>
      </c>
      <c r="S833">
        <v>1886.21</v>
      </c>
      <c r="T833" t="s">
        <v>4789</v>
      </c>
      <c r="U833">
        <v>1</v>
      </c>
      <c r="V833">
        <v>1886.21</v>
      </c>
      <c r="W833" t="s">
        <v>4343</v>
      </c>
      <c r="Y833" t="b">
        <v>0</v>
      </c>
      <c r="Z833" t="b">
        <v>0</v>
      </c>
      <c r="AA833">
        <v>1886.21</v>
      </c>
      <c r="AB833">
        <v>0</v>
      </c>
      <c r="AD833" t="b">
        <v>0</v>
      </c>
      <c r="AG833" s="1" t="s">
        <v>271</v>
      </c>
      <c r="AH833" s="1" t="s">
        <v>276</v>
      </c>
      <c r="AI833">
        <v>76</v>
      </c>
      <c r="AJ833">
        <v>198</v>
      </c>
      <c r="AK833" s="106">
        <v>45475.635503483798</v>
      </c>
      <c r="AL833" s="1" t="s">
        <v>4790</v>
      </c>
      <c r="AM833" s="42">
        <f>IFERROR(INDEX('Public procurment'!A:R,MATCH(ListOfExpenditure[[#This Row],[Content.contractId]],'Public procurment'!E:E,0),14),0)</f>
        <v>0</v>
      </c>
      <c r="AN833" s="2">
        <f>IF(AND(ListOfExpenditure[[#This Row],[Contract amount]]&gt;10000,ListOfExpenditure[[#This Row],[Content.declaredAmount]]&gt;2000),1,0)</f>
        <v>0</v>
      </c>
      <c r="AO833">
        <f>IFERROR(INDEX('Public procurment'!A:S,MATCH(ListOfExpenditure[[#This Row],[Content.contractId]],'Public procurment'!E:E,0),19),0)</f>
        <v>0</v>
      </c>
      <c r="AP833">
        <f>IF(ListOfExpenditure[[#This Row],[Numero di volte controllato il contract ]]&gt;0,0,ListOfExpenditure[[#This Row],[IF public procurment &gt;10000;1;0]])</f>
        <v>0</v>
      </c>
    </row>
    <row r="834" spans="1:42" x14ac:dyDescent="0.25">
      <c r="A834">
        <v>1362</v>
      </c>
      <c r="B834">
        <v>22</v>
      </c>
      <c r="E834" t="s">
        <v>4786</v>
      </c>
      <c r="F834" t="b">
        <v>0</v>
      </c>
      <c r="I834" t="s">
        <v>5524</v>
      </c>
      <c r="K834" t="s">
        <v>4342</v>
      </c>
      <c r="L834" t="s">
        <v>4831</v>
      </c>
      <c r="M834" t="s">
        <v>4788</v>
      </c>
      <c r="N834" t="s">
        <v>4788</v>
      </c>
      <c r="O834">
        <v>4841.71</v>
      </c>
      <c r="Q834">
        <v>0</v>
      </c>
      <c r="R834">
        <v>0</v>
      </c>
      <c r="S834">
        <v>48.41</v>
      </c>
      <c r="T834" t="s">
        <v>4789</v>
      </c>
      <c r="U834">
        <v>1</v>
      </c>
      <c r="V834">
        <v>48.41</v>
      </c>
      <c r="W834" t="s">
        <v>4343</v>
      </c>
      <c r="Y834" t="b">
        <v>0</v>
      </c>
      <c r="Z834" t="b">
        <v>0</v>
      </c>
      <c r="AA834">
        <v>48.41</v>
      </c>
      <c r="AB834">
        <v>0</v>
      </c>
      <c r="AD834" t="b">
        <v>0</v>
      </c>
      <c r="AG834" s="1" t="s">
        <v>271</v>
      </c>
      <c r="AH834" s="1" t="s">
        <v>276</v>
      </c>
      <c r="AI834">
        <v>76</v>
      </c>
      <c r="AJ834">
        <v>198</v>
      </c>
      <c r="AK834" s="106">
        <v>45475.635503483798</v>
      </c>
      <c r="AL834" s="1" t="s">
        <v>4790</v>
      </c>
      <c r="AM834" s="42">
        <f>IFERROR(INDEX('Public procurment'!A:R,MATCH(ListOfExpenditure[[#This Row],[Content.contractId]],'Public procurment'!E:E,0),14),0)</f>
        <v>0</v>
      </c>
      <c r="AN834" s="2">
        <f>IF(AND(ListOfExpenditure[[#This Row],[Contract amount]]&gt;10000,ListOfExpenditure[[#This Row],[Content.declaredAmount]]&gt;2000),1,0)</f>
        <v>0</v>
      </c>
      <c r="AO834">
        <f>IFERROR(INDEX('Public procurment'!A:S,MATCH(ListOfExpenditure[[#This Row],[Content.contractId]],'Public procurment'!E:E,0),19),0)</f>
        <v>0</v>
      </c>
      <c r="AP834">
        <f>IF(ListOfExpenditure[[#This Row],[Numero di volte controllato il contract ]]&gt;0,0,ListOfExpenditure[[#This Row],[IF public procurment &gt;10000;1;0]])</f>
        <v>0</v>
      </c>
    </row>
    <row r="835" spans="1:42" x14ac:dyDescent="0.25">
      <c r="A835">
        <v>1363</v>
      </c>
      <c r="B835">
        <v>23</v>
      </c>
      <c r="E835" t="s">
        <v>4786</v>
      </c>
      <c r="F835" t="b">
        <v>0</v>
      </c>
      <c r="I835" t="s">
        <v>5525</v>
      </c>
      <c r="K835" t="s">
        <v>4359</v>
      </c>
      <c r="L835" t="s">
        <v>4957</v>
      </c>
      <c r="M835" t="s">
        <v>4788</v>
      </c>
      <c r="N835" t="s">
        <v>4788</v>
      </c>
      <c r="O835">
        <v>4841.71</v>
      </c>
      <c r="Q835">
        <v>0</v>
      </c>
      <c r="R835">
        <v>0</v>
      </c>
      <c r="S835">
        <v>96.83</v>
      </c>
      <c r="T835" t="s">
        <v>4789</v>
      </c>
      <c r="U835">
        <v>1</v>
      </c>
      <c r="V835">
        <v>96.83</v>
      </c>
      <c r="W835" t="s">
        <v>4343</v>
      </c>
      <c r="Y835" t="b">
        <v>0</v>
      </c>
      <c r="Z835" t="b">
        <v>0</v>
      </c>
      <c r="AA835">
        <v>96.83</v>
      </c>
      <c r="AB835">
        <v>0</v>
      </c>
      <c r="AD835" t="b">
        <v>0</v>
      </c>
      <c r="AG835" s="1" t="s">
        <v>271</v>
      </c>
      <c r="AH835" s="1" t="s">
        <v>276</v>
      </c>
      <c r="AI835">
        <v>76</v>
      </c>
      <c r="AJ835">
        <v>198</v>
      </c>
      <c r="AK835" s="106">
        <v>45475.635503483798</v>
      </c>
      <c r="AL835" s="1" t="s">
        <v>4790</v>
      </c>
      <c r="AM835" s="42">
        <f>IFERROR(INDEX('Public procurment'!A:R,MATCH(ListOfExpenditure[[#This Row],[Content.contractId]],'Public procurment'!E:E,0),14),0)</f>
        <v>0</v>
      </c>
      <c r="AN835" s="2">
        <f>IF(AND(ListOfExpenditure[[#This Row],[Contract amount]]&gt;10000,ListOfExpenditure[[#This Row],[Content.declaredAmount]]&gt;2000),1,0)</f>
        <v>0</v>
      </c>
      <c r="AO835">
        <f>IFERROR(INDEX('Public procurment'!A:S,MATCH(ListOfExpenditure[[#This Row],[Content.contractId]],'Public procurment'!E:E,0),19),0)</f>
        <v>0</v>
      </c>
      <c r="AP835">
        <f>IF(ListOfExpenditure[[#This Row],[Numero di volte controllato il contract ]]&gt;0,0,ListOfExpenditure[[#This Row],[IF public procurment &gt;10000;1;0]])</f>
        <v>0</v>
      </c>
    </row>
    <row r="836" spans="1:42" x14ac:dyDescent="0.25">
      <c r="A836">
        <v>1364</v>
      </c>
      <c r="B836">
        <v>24</v>
      </c>
      <c r="E836" t="s">
        <v>4786</v>
      </c>
      <c r="F836" t="b">
        <v>0</v>
      </c>
      <c r="I836" t="s">
        <v>5526</v>
      </c>
      <c r="K836" t="s">
        <v>4931</v>
      </c>
      <c r="L836" t="s">
        <v>4958</v>
      </c>
      <c r="M836" t="s">
        <v>4788</v>
      </c>
      <c r="N836" t="s">
        <v>4788</v>
      </c>
      <c r="O836">
        <v>4841.71</v>
      </c>
      <c r="Q836">
        <v>0</v>
      </c>
      <c r="R836">
        <v>0</v>
      </c>
      <c r="S836">
        <v>96.83</v>
      </c>
      <c r="T836" t="s">
        <v>4789</v>
      </c>
      <c r="U836">
        <v>1</v>
      </c>
      <c r="V836">
        <v>96.83</v>
      </c>
      <c r="W836" t="s">
        <v>4343</v>
      </c>
      <c r="Y836" t="b">
        <v>0</v>
      </c>
      <c r="Z836" t="b">
        <v>0</v>
      </c>
      <c r="AA836">
        <v>96.83</v>
      </c>
      <c r="AB836">
        <v>0</v>
      </c>
      <c r="AD836" t="b">
        <v>0</v>
      </c>
      <c r="AG836" s="1" t="s">
        <v>271</v>
      </c>
      <c r="AH836" s="1" t="s">
        <v>276</v>
      </c>
      <c r="AI836">
        <v>76</v>
      </c>
      <c r="AJ836">
        <v>198</v>
      </c>
      <c r="AK836" s="106">
        <v>45475.635503483798</v>
      </c>
      <c r="AL836" s="1" t="s">
        <v>4790</v>
      </c>
      <c r="AM836" s="42">
        <f>IFERROR(INDEX('Public procurment'!A:R,MATCH(ListOfExpenditure[[#This Row],[Content.contractId]],'Public procurment'!E:E,0),14),0)</f>
        <v>0</v>
      </c>
      <c r="AN836" s="2">
        <f>IF(AND(ListOfExpenditure[[#This Row],[Contract amount]]&gt;10000,ListOfExpenditure[[#This Row],[Content.declaredAmount]]&gt;2000),1,0)</f>
        <v>0</v>
      </c>
      <c r="AO836">
        <f>IFERROR(INDEX('Public procurment'!A:S,MATCH(ListOfExpenditure[[#This Row],[Content.contractId]],'Public procurment'!E:E,0),19),0)</f>
        <v>0</v>
      </c>
      <c r="AP836">
        <f>IF(ListOfExpenditure[[#This Row],[Numero di volte controllato il contract ]]&gt;0,0,ListOfExpenditure[[#This Row],[IF public procurment &gt;10000;1;0]])</f>
        <v>0</v>
      </c>
    </row>
    <row r="837" spans="1:42" x14ac:dyDescent="0.25">
      <c r="A837">
        <v>1365</v>
      </c>
      <c r="B837">
        <v>25</v>
      </c>
      <c r="E837" t="s">
        <v>4786</v>
      </c>
      <c r="F837" t="b">
        <v>0</v>
      </c>
      <c r="I837" t="s">
        <v>5527</v>
      </c>
      <c r="K837" t="s">
        <v>4525</v>
      </c>
      <c r="L837" t="s">
        <v>4959</v>
      </c>
      <c r="M837" t="s">
        <v>4788</v>
      </c>
      <c r="N837" t="s">
        <v>4788</v>
      </c>
      <c r="O837">
        <v>4841.71</v>
      </c>
      <c r="Q837">
        <v>0</v>
      </c>
      <c r="R837">
        <v>0</v>
      </c>
      <c r="S837">
        <v>96.83</v>
      </c>
      <c r="T837" t="s">
        <v>4789</v>
      </c>
      <c r="U837">
        <v>1</v>
      </c>
      <c r="V837">
        <v>96.83</v>
      </c>
      <c r="W837" t="s">
        <v>4343</v>
      </c>
      <c r="Y837" t="b">
        <v>1</v>
      </c>
      <c r="Z837" t="b">
        <v>0</v>
      </c>
      <c r="AA837">
        <v>96.83</v>
      </c>
      <c r="AB837">
        <v>0</v>
      </c>
      <c r="AD837" t="b">
        <v>0</v>
      </c>
      <c r="AF837" t="s">
        <v>5270</v>
      </c>
      <c r="AG837" s="1" t="s">
        <v>271</v>
      </c>
      <c r="AH837" s="1" t="s">
        <v>276</v>
      </c>
      <c r="AI837">
        <v>76</v>
      </c>
      <c r="AJ837">
        <v>198</v>
      </c>
      <c r="AK837" s="106">
        <v>45475.635503483798</v>
      </c>
      <c r="AL837" s="1" t="s">
        <v>4790</v>
      </c>
      <c r="AM837" s="42">
        <f>IFERROR(INDEX('Public procurment'!A:R,MATCH(ListOfExpenditure[[#This Row],[Content.contractId]],'Public procurment'!E:E,0),14),0)</f>
        <v>0</v>
      </c>
      <c r="AN837" s="2">
        <f>IF(AND(ListOfExpenditure[[#This Row],[Contract amount]]&gt;10000,ListOfExpenditure[[#This Row],[Content.declaredAmount]]&gt;2000),1,0)</f>
        <v>0</v>
      </c>
      <c r="AO837">
        <f>IFERROR(INDEX('Public procurment'!A:S,MATCH(ListOfExpenditure[[#This Row],[Content.contractId]],'Public procurment'!E:E,0),19),0)</f>
        <v>0</v>
      </c>
      <c r="AP837">
        <f>IF(ListOfExpenditure[[#This Row],[Numero di volte controllato il contract ]]&gt;0,0,ListOfExpenditure[[#This Row],[IF public procurment &gt;10000;1;0]])</f>
        <v>0</v>
      </c>
    </row>
    <row r="838" spans="1:42" x14ac:dyDescent="0.25">
      <c r="A838">
        <v>1366</v>
      </c>
      <c r="B838">
        <v>26</v>
      </c>
      <c r="E838" t="s">
        <v>4786</v>
      </c>
      <c r="F838" t="b">
        <v>0</v>
      </c>
      <c r="I838" t="s">
        <v>5528</v>
      </c>
      <c r="K838" t="s">
        <v>4678</v>
      </c>
      <c r="L838" t="s">
        <v>4835</v>
      </c>
      <c r="M838" t="s">
        <v>4788</v>
      </c>
      <c r="N838" t="s">
        <v>4788</v>
      </c>
      <c r="O838">
        <v>4841.71</v>
      </c>
      <c r="Q838">
        <v>0</v>
      </c>
      <c r="R838">
        <v>0</v>
      </c>
      <c r="S838">
        <v>96.83</v>
      </c>
      <c r="T838" t="s">
        <v>4789</v>
      </c>
      <c r="U838">
        <v>1</v>
      </c>
      <c r="V838">
        <v>96.83</v>
      </c>
      <c r="W838" t="s">
        <v>4343</v>
      </c>
      <c r="Y838" t="b">
        <v>1</v>
      </c>
      <c r="Z838" t="b">
        <v>0</v>
      </c>
      <c r="AA838">
        <v>96.83</v>
      </c>
      <c r="AB838">
        <v>0</v>
      </c>
      <c r="AD838" t="b">
        <v>0</v>
      </c>
      <c r="AF838" t="s">
        <v>5270</v>
      </c>
      <c r="AG838" s="1" t="s">
        <v>271</v>
      </c>
      <c r="AH838" s="1" t="s">
        <v>276</v>
      </c>
      <c r="AI838">
        <v>76</v>
      </c>
      <c r="AJ838">
        <v>198</v>
      </c>
      <c r="AK838" s="106">
        <v>45475.635503483798</v>
      </c>
      <c r="AL838" s="1" t="s">
        <v>4790</v>
      </c>
      <c r="AM838" s="42">
        <f>IFERROR(INDEX('Public procurment'!A:R,MATCH(ListOfExpenditure[[#This Row],[Content.contractId]],'Public procurment'!E:E,0),14),0)</f>
        <v>0</v>
      </c>
      <c r="AN838" s="2">
        <f>IF(AND(ListOfExpenditure[[#This Row],[Contract amount]]&gt;10000,ListOfExpenditure[[#This Row],[Content.declaredAmount]]&gt;2000),1,0)</f>
        <v>0</v>
      </c>
      <c r="AO838">
        <f>IFERROR(INDEX('Public procurment'!A:S,MATCH(ListOfExpenditure[[#This Row],[Content.contractId]],'Public procurment'!E:E,0),19),0)</f>
        <v>0</v>
      </c>
      <c r="AP838">
        <f>IF(ListOfExpenditure[[#This Row],[Numero di volte controllato il contract ]]&gt;0,0,ListOfExpenditure[[#This Row],[IF public procurment &gt;10000;1;0]])</f>
        <v>0</v>
      </c>
    </row>
    <row r="839" spans="1:42" x14ac:dyDescent="0.25">
      <c r="A839">
        <v>1404</v>
      </c>
      <c r="B839">
        <v>27</v>
      </c>
      <c r="E839" t="s">
        <v>4786</v>
      </c>
      <c r="F839" t="b">
        <v>0</v>
      </c>
      <c r="I839" t="s">
        <v>5529</v>
      </c>
      <c r="K839" t="s">
        <v>4342</v>
      </c>
      <c r="L839" t="s">
        <v>5062</v>
      </c>
      <c r="M839" t="s">
        <v>4788</v>
      </c>
      <c r="N839" t="s">
        <v>4788</v>
      </c>
      <c r="O839">
        <v>4133.05</v>
      </c>
      <c r="Q839">
        <v>0</v>
      </c>
      <c r="R839">
        <v>0</v>
      </c>
      <c r="S839">
        <v>61.99</v>
      </c>
      <c r="T839" t="s">
        <v>4789</v>
      </c>
      <c r="U839">
        <v>1</v>
      </c>
      <c r="V839">
        <v>61.99</v>
      </c>
      <c r="W839" t="s">
        <v>4343</v>
      </c>
      <c r="Y839" t="b">
        <v>1</v>
      </c>
      <c r="Z839" t="b">
        <v>0</v>
      </c>
      <c r="AA839">
        <v>61.99</v>
      </c>
      <c r="AB839">
        <v>0</v>
      </c>
      <c r="AD839" t="b">
        <v>0</v>
      </c>
      <c r="AF839" t="s">
        <v>5270</v>
      </c>
      <c r="AG839" s="1" t="s">
        <v>271</v>
      </c>
      <c r="AH839" s="1" t="s">
        <v>276</v>
      </c>
      <c r="AI839">
        <v>76</v>
      </c>
      <c r="AJ839">
        <v>198</v>
      </c>
      <c r="AK839" s="106">
        <v>45475.635503483798</v>
      </c>
      <c r="AL839" s="1" t="s">
        <v>4790</v>
      </c>
      <c r="AM839" s="42">
        <f>IFERROR(INDEX('Public procurment'!A:R,MATCH(ListOfExpenditure[[#This Row],[Content.contractId]],'Public procurment'!E:E,0),14),0)</f>
        <v>0</v>
      </c>
      <c r="AN839" s="2">
        <f>IF(AND(ListOfExpenditure[[#This Row],[Contract amount]]&gt;10000,ListOfExpenditure[[#This Row],[Content.declaredAmount]]&gt;2000),1,0)</f>
        <v>0</v>
      </c>
      <c r="AO839">
        <f>IFERROR(INDEX('Public procurment'!A:S,MATCH(ListOfExpenditure[[#This Row],[Content.contractId]],'Public procurment'!E:E,0),19),0)</f>
        <v>0</v>
      </c>
      <c r="AP839">
        <f>IF(ListOfExpenditure[[#This Row],[Numero di volte controllato il contract ]]&gt;0,0,ListOfExpenditure[[#This Row],[IF public procurment &gt;10000;1;0]])</f>
        <v>0</v>
      </c>
    </row>
    <row r="840" spans="1:42" x14ac:dyDescent="0.25">
      <c r="A840">
        <v>1408</v>
      </c>
      <c r="B840">
        <v>28</v>
      </c>
      <c r="E840" t="s">
        <v>4786</v>
      </c>
      <c r="F840" t="b">
        <v>0</v>
      </c>
      <c r="I840" t="s">
        <v>5530</v>
      </c>
      <c r="K840" t="s">
        <v>4359</v>
      </c>
      <c r="L840" t="s">
        <v>4913</v>
      </c>
      <c r="M840" t="s">
        <v>4788</v>
      </c>
      <c r="N840" t="s">
        <v>4788</v>
      </c>
      <c r="O840">
        <v>4133.05</v>
      </c>
      <c r="Q840">
        <v>0</v>
      </c>
      <c r="R840">
        <v>0</v>
      </c>
      <c r="S840">
        <v>123.99</v>
      </c>
      <c r="T840" t="s">
        <v>4789</v>
      </c>
      <c r="U840">
        <v>1</v>
      </c>
      <c r="V840">
        <v>123.99</v>
      </c>
      <c r="W840" t="s">
        <v>4343</v>
      </c>
      <c r="Y840" t="b">
        <v>1</v>
      </c>
      <c r="Z840" t="b">
        <v>0</v>
      </c>
      <c r="AA840">
        <v>123.99</v>
      </c>
      <c r="AB840">
        <v>0</v>
      </c>
      <c r="AD840" t="b">
        <v>0</v>
      </c>
      <c r="AF840" t="s">
        <v>5270</v>
      </c>
      <c r="AG840" s="1" t="s">
        <v>271</v>
      </c>
      <c r="AH840" s="1" t="s">
        <v>276</v>
      </c>
      <c r="AI840">
        <v>76</v>
      </c>
      <c r="AJ840">
        <v>198</v>
      </c>
      <c r="AK840" s="106">
        <v>45475.635503483798</v>
      </c>
      <c r="AL840" s="1" t="s">
        <v>4790</v>
      </c>
      <c r="AM840" s="42">
        <f>IFERROR(INDEX('Public procurment'!A:R,MATCH(ListOfExpenditure[[#This Row],[Content.contractId]],'Public procurment'!E:E,0),14),0)</f>
        <v>0</v>
      </c>
      <c r="AN840" s="2">
        <f>IF(AND(ListOfExpenditure[[#This Row],[Contract amount]]&gt;10000,ListOfExpenditure[[#This Row],[Content.declaredAmount]]&gt;2000),1,0)</f>
        <v>0</v>
      </c>
      <c r="AO840">
        <f>IFERROR(INDEX('Public procurment'!A:S,MATCH(ListOfExpenditure[[#This Row],[Content.contractId]],'Public procurment'!E:E,0),19),0)</f>
        <v>0</v>
      </c>
      <c r="AP840">
        <f>IF(ListOfExpenditure[[#This Row],[Numero di volte controllato il contract ]]&gt;0,0,ListOfExpenditure[[#This Row],[IF public procurment &gt;10000;1;0]])</f>
        <v>0</v>
      </c>
    </row>
    <row r="841" spans="1:42" x14ac:dyDescent="0.25">
      <c r="A841">
        <v>1409</v>
      </c>
      <c r="B841">
        <v>29</v>
      </c>
      <c r="E841" t="s">
        <v>4786</v>
      </c>
      <c r="F841" t="b">
        <v>0</v>
      </c>
      <c r="I841" t="s">
        <v>5531</v>
      </c>
      <c r="K841" t="s">
        <v>4931</v>
      </c>
      <c r="L841" t="s">
        <v>5027</v>
      </c>
      <c r="M841" t="s">
        <v>4788</v>
      </c>
      <c r="N841" t="s">
        <v>4788</v>
      </c>
      <c r="O841">
        <v>4133.05</v>
      </c>
      <c r="Q841">
        <v>0</v>
      </c>
      <c r="R841">
        <v>0</v>
      </c>
      <c r="S841">
        <v>123.99</v>
      </c>
      <c r="T841" t="s">
        <v>4789</v>
      </c>
      <c r="U841">
        <v>1</v>
      </c>
      <c r="V841">
        <v>123.99</v>
      </c>
      <c r="W841" t="s">
        <v>4343</v>
      </c>
      <c r="Y841" t="b">
        <v>0</v>
      </c>
      <c r="Z841" t="b">
        <v>0</v>
      </c>
      <c r="AA841">
        <v>123.99</v>
      </c>
      <c r="AB841">
        <v>0</v>
      </c>
      <c r="AD841" t="b">
        <v>0</v>
      </c>
      <c r="AG841" s="1" t="s">
        <v>271</v>
      </c>
      <c r="AH841" s="1" t="s">
        <v>276</v>
      </c>
      <c r="AI841">
        <v>76</v>
      </c>
      <c r="AJ841">
        <v>198</v>
      </c>
      <c r="AK841" s="106">
        <v>45475.635503483798</v>
      </c>
      <c r="AL841" s="1" t="s">
        <v>4790</v>
      </c>
      <c r="AM841" s="42">
        <f>IFERROR(INDEX('Public procurment'!A:R,MATCH(ListOfExpenditure[[#This Row],[Content.contractId]],'Public procurment'!E:E,0),14),0)</f>
        <v>0</v>
      </c>
      <c r="AN841" s="2">
        <f>IF(AND(ListOfExpenditure[[#This Row],[Contract amount]]&gt;10000,ListOfExpenditure[[#This Row],[Content.declaredAmount]]&gt;2000),1,0)</f>
        <v>0</v>
      </c>
      <c r="AO841">
        <f>IFERROR(INDEX('Public procurment'!A:S,MATCH(ListOfExpenditure[[#This Row],[Content.contractId]],'Public procurment'!E:E,0),19),0)</f>
        <v>0</v>
      </c>
      <c r="AP841">
        <f>IF(ListOfExpenditure[[#This Row],[Numero di volte controllato il contract ]]&gt;0,0,ListOfExpenditure[[#This Row],[IF public procurment &gt;10000;1;0]])</f>
        <v>0</v>
      </c>
    </row>
    <row r="842" spans="1:42" x14ac:dyDescent="0.25">
      <c r="A842">
        <v>1410</v>
      </c>
      <c r="B842">
        <v>30</v>
      </c>
      <c r="E842" t="s">
        <v>4786</v>
      </c>
      <c r="F842" t="b">
        <v>0</v>
      </c>
      <c r="I842" t="s">
        <v>5532</v>
      </c>
      <c r="K842" t="s">
        <v>4525</v>
      </c>
      <c r="L842" t="s">
        <v>5533</v>
      </c>
      <c r="M842" t="s">
        <v>4788</v>
      </c>
      <c r="N842" t="s">
        <v>4788</v>
      </c>
      <c r="O842">
        <v>4133.05</v>
      </c>
      <c r="Q842">
        <v>0</v>
      </c>
      <c r="R842">
        <v>0</v>
      </c>
      <c r="S842">
        <v>123.99</v>
      </c>
      <c r="T842" t="s">
        <v>4789</v>
      </c>
      <c r="U842">
        <v>1</v>
      </c>
      <c r="V842">
        <v>123.99</v>
      </c>
      <c r="W842" t="s">
        <v>4343</v>
      </c>
      <c r="Y842" t="b">
        <v>0</v>
      </c>
      <c r="Z842" t="b">
        <v>0</v>
      </c>
      <c r="AA842">
        <v>123.99</v>
      </c>
      <c r="AB842">
        <v>0</v>
      </c>
      <c r="AD842" t="b">
        <v>0</v>
      </c>
      <c r="AG842" s="1" t="s">
        <v>271</v>
      </c>
      <c r="AH842" s="1" t="s">
        <v>276</v>
      </c>
      <c r="AI842">
        <v>76</v>
      </c>
      <c r="AJ842">
        <v>198</v>
      </c>
      <c r="AK842" s="106">
        <v>45475.635503483798</v>
      </c>
      <c r="AL842" s="1" t="s">
        <v>4790</v>
      </c>
      <c r="AM842" s="42">
        <f>IFERROR(INDEX('Public procurment'!A:R,MATCH(ListOfExpenditure[[#This Row],[Content.contractId]],'Public procurment'!E:E,0),14),0)</f>
        <v>0</v>
      </c>
      <c r="AN842" s="2">
        <f>IF(AND(ListOfExpenditure[[#This Row],[Contract amount]]&gt;10000,ListOfExpenditure[[#This Row],[Content.declaredAmount]]&gt;2000),1,0)</f>
        <v>0</v>
      </c>
      <c r="AO842">
        <f>IFERROR(INDEX('Public procurment'!A:S,MATCH(ListOfExpenditure[[#This Row],[Content.contractId]],'Public procurment'!E:E,0),19),0)</f>
        <v>0</v>
      </c>
      <c r="AP842">
        <f>IF(ListOfExpenditure[[#This Row],[Numero di volte controllato il contract ]]&gt;0,0,ListOfExpenditure[[#This Row],[IF public procurment &gt;10000;1;0]])</f>
        <v>0</v>
      </c>
    </row>
    <row r="843" spans="1:42" x14ac:dyDescent="0.25">
      <c r="A843">
        <v>1411</v>
      </c>
      <c r="B843">
        <v>31</v>
      </c>
      <c r="E843" t="s">
        <v>4786</v>
      </c>
      <c r="F843" t="b">
        <v>0</v>
      </c>
      <c r="I843" t="s">
        <v>5534</v>
      </c>
      <c r="K843" t="s">
        <v>4678</v>
      </c>
      <c r="L843" t="s">
        <v>5535</v>
      </c>
      <c r="M843" t="s">
        <v>4788</v>
      </c>
      <c r="N843" t="s">
        <v>4788</v>
      </c>
      <c r="O843">
        <v>4133.05</v>
      </c>
      <c r="Q843">
        <v>0</v>
      </c>
      <c r="R843">
        <v>0</v>
      </c>
      <c r="S843">
        <v>123.99</v>
      </c>
      <c r="T843" t="s">
        <v>4789</v>
      </c>
      <c r="U843">
        <v>1</v>
      </c>
      <c r="V843">
        <v>123.99</v>
      </c>
      <c r="W843" t="s">
        <v>4343</v>
      </c>
      <c r="Y843" t="b">
        <v>0</v>
      </c>
      <c r="Z843" t="b">
        <v>0</v>
      </c>
      <c r="AA843">
        <v>123.99</v>
      </c>
      <c r="AB843">
        <v>0</v>
      </c>
      <c r="AD843" t="b">
        <v>0</v>
      </c>
      <c r="AG843" s="1" t="s">
        <v>271</v>
      </c>
      <c r="AH843" s="1" t="s">
        <v>276</v>
      </c>
      <c r="AI843">
        <v>76</v>
      </c>
      <c r="AJ843">
        <v>198</v>
      </c>
      <c r="AK843" s="106">
        <v>45475.635503483798</v>
      </c>
      <c r="AL843" s="1" t="s">
        <v>4790</v>
      </c>
      <c r="AM843" s="42">
        <f>IFERROR(INDEX('Public procurment'!A:R,MATCH(ListOfExpenditure[[#This Row],[Content.contractId]],'Public procurment'!E:E,0),14),0)</f>
        <v>0</v>
      </c>
      <c r="AN843" s="2">
        <f>IF(AND(ListOfExpenditure[[#This Row],[Contract amount]]&gt;10000,ListOfExpenditure[[#This Row],[Content.declaredAmount]]&gt;2000),1,0)</f>
        <v>0</v>
      </c>
      <c r="AO843">
        <f>IFERROR(INDEX('Public procurment'!A:S,MATCH(ListOfExpenditure[[#This Row],[Content.contractId]],'Public procurment'!E:E,0),19),0)</f>
        <v>0</v>
      </c>
      <c r="AP843">
        <f>IF(ListOfExpenditure[[#This Row],[Numero di volte controllato il contract ]]&gt;0,0,ListOfExpenditure[[#This Row],[IF public procurment &gt;10000;1;0]])</f>
        <v>0</v>
      </c>
    </row>
    <row r="844" spans="1:42" x14ac:dyDescent="0.25">
      <c r="A844">
        <v>1412</v>
      </c>
      <c r="B844">
        <v>32</v>
      </c>
      <c r="E844" t="s">
        <v>4786</v>
      </c>
      <c r="F844" t="b">
        <v>0</v>
      </c>
      <c r="I844" t="s">
        <v>5536</v>
      </c>
      <c r="K844" t="s">
        <v>4342</v>
      </c>
      <c r="L844" t="s">
        <v>5062</v>
      </c>
      <c r="M844" t="s">
        <v>4788</v>
      </c>
      <c r="N844" t="s">
        <v>4788</v>
      </c>
      <c r="O844">
        <v>4363.32</v>
      </c>
      <c r="Q844">
        <v>0</v>
      </c>
      <c r="R844">
        <v>0</v>
      </c>
      <c r="S844">
        <v>545.41</v>
      </c>
      <c r="T844" t="s">
        <v>4789</v>
      </c>
      <c r="U844">
        <v>1</v>
      </c>
      <c r="V844">
        <v>545.41</v>
      </c>
      <c r="W844" t="s">
        <v>4343</v>
      </c>
      <c r="Y844" t="b">
        <v>0</v>
      </c>
      <c r="Z844" t="b">
        <v>0</v>
      </c>
      <c r="AA844">
        <v>545.41</v>
      </c>
      <c r="AB844">
        <v>0</v>
      </c>
      <c r="AD844" t="b">
        <v>0</v>
      </c>
      <c r="AG844" s="1" t="s">
        <v>271</v>
      </c>
      <c r="AH844" s="1" t="s">
        <v>276</v>
      </c>
      <c r="AI844">
        <v>76</v>
      </c>
      <c r="AJ844">
        <v>198</v>
      </c>
      <c r="AK844" s="106">
        <v>45475.635503483798</v>
      </c>
      <c r="AL844" s="1" t="s">
        <v>4790</v>
      </c>
      <c r="AM844" s="42">
        <f>IFERROR(INDEX('Public procurment'!A:R,MATCH(ListOfExpenditure[[#This Row],[Content.contractId]],'Public procurment'!E:E,0),14),0)</f>
        <v>0</v>
      </c>
      <c r="AN844" s="2">
        <f>IF(AND(ListOfExpenditure[[#This Row],[Contract amount]]&gt;10000,ListOfExpenditure[[#This Row],[Content.declaredAmount]]&gt;2000),1,0)</f>
        <v>0</v>
      </c>
      <c r="AO844">
        <f>IFERROR(INDEX('Public procurment'!A:S,MATCH(ListOfExpenditure[[#This Row],[Content.contractId]],'Public procurment'!E:E,0),19),0)</f>
        <v>0</v>
      </c>
      <c r="AP844">
        <f>IF(ListOfExpenditure[[#This Row],[Numero di volte controllato il contract ]]&gt;0,0,ListOfExpenditure[[#This Row],[IF public procurment &gt;10000;1;0]])</f>
        <v>0</v>
      </c>
    </row>
    <row r="845" spans="1:42" x14ac:dyDescent="0.25">
      <c r="A845">
        <v>1413</v>
      </c>
      <c r="B845">
        <v>33</v>
      </c>
      <c r="E845" t="s">
        <v>4786</v>
      </c>
      <c r="F845" t="b">
        <v>0</v>
      </c>
      <c r="I845" t="s">
        <v>5537</v>
      </c>
      <c r="K845" t="s">
        <v>4359</v>
      </c>
      <c r="L845" t="s">
        <v>4913</v>
      </c>
      <c r="M845" t="s">
        <v>4788</v>
      </c>
      <c r="N845" t="s">
        <v>4788</v>
      </c>
      <c r="O845">
        <v>4363.32</v>
      </c>
      <c r="Q845">
        <v>0</v>
      </c>
      <c r="R845">
        <v>0</v>
      </c>
      <c r="S845">
        <v>1090.83</v>
      </c>
      <c r="T845" t="s">
        <v>4789</v>
      </c>
      <c r="U845">
        <v>1</v>
      </c>
      <c r="V845">
        <v>1090.83</v>
      </c>
      <c r="W845" t="s">
        <v>4343</v>
      </c>
      <c r="Y845" t="b">
        <v>0</v>
      </c>
      <c r="Z845" t="b">
        <v>0</v>
      </c>
      <c r="AA845">
        <v>1090.83</v>
      </c>
      <c r="AB845">
        <v>0</v>
      </c>
      <c r="AD845" t="b">
        <v>0</v>
      </c>
      <c r="AG845" s="1" t="s">
        <v>271</v>
      </c>
      <c r="AH845" s="1" t="s">
        <v>276</v>
      </c>
      <c r="AI845">
        <v>76</v>
      </c>
      <c r="AJ845">
        <v>198</v>
      </c>
      <c r="AK845" s="106">
        <v>45475.635503483798</v>
      </c>
      <c r="AL845" s="1" t="s">
        <v>4790</v>
      </c>
      <c r="AM845" s="42">
        <f>IFERROR(INDEX('Public procurment'!A:R,MATCH(ListOfExpenditure[[#This Row],[Content.contractId]],'Public procurment'!E:E,0),14),0)</f>
        <v>0</v>
      </c>
      <c r="AN845" s="2">
        <f>IF(AND(ListOfExpenditure[[#This Row],[Contract amount]]&gt;10000,ListOfExpenditure[[#This Row],[Content.declaredAmount]]&gt;2000),1,0)</f>
        <v>0</v>
      </c>
      <c r="AO845">
        <f>IFERROR(INDEX('Public procurment'!A:S,MATCH(ListOfExpenditure[[#This Row],[Content.contractId]],'Public procurment'!E:E,0),19),0)</f>
        <v>0</v>
      </c>
      <c r="AP845">
        <f>IF(ListOfExpenditure[[#This Row],[Numero di volte controllato il contract ]]&gt;0,0,ListOfExpenditure[[#This Row],[IF public procurment &gt;10000;1;0]])</f>
        <v>0</v>
      </c>
    </row>
    <row r="846" spans="1:42" x14ac:dyDescent="0.25">
      <c r="A846">
        <v>1414</v>
      </c>
      <c r="B846">
        <v>34</v>
      </c>
      <c r="E846" t="s">
        <v>4786</v>
      </c>
      <c r="F846" t="b">
        <v>0</v>
      </c>
      <c r="I846" t="s">
        <v>5538</v>
      </c>
      <c r="K846" t="s">
        <v>4931</v>
      </c>
      <c r="L846" t="s">
        <v>5027</v>
      </c>
      <c r="M846" t="s">
        <v>4788</v>
      </c>
      <c r="N846" t="s">
        <v>4788</v>
      </c>
      <c r="O846">
        <v>4363.32</v>
      </c>
      <c r="Q846">
        <v>0</v>
      </c>
      <c r="R846">
        <v>0</v>
      </c>
      <c r="S846">
        <v>1090.83</v>
      </c>
      <c r="T846" t="s">
        <v>4789</v>
      </c>
      <c r="U846">
        <v>1</v>
      </c>
      <c r="V846">
        <v>1090.83</v>
      </c>
      <c r="W846" t="s">
        <v>4343</v>
      </c>
      <c r="Y846" t="b">
        <v>1</v>
      </c>
      <c r="Z846" t="b">
        <v>0</v>
      </c>
      <c r="AA846">
        <v>1090.83</v>
      </c>
      <c r="AB846">
        <v>0</v>
      </c>
      <c r="AD846" t="b">
        <v>0</v>
      </c>
      <c r="AF846" t="s">
        <v>5270</v>
      </c>
      <c r="AG846" s="1" t="s">
        <v>271</v>
      </c>
      <c r="AH846" s="1" t="s">
        <v>276</v>
      </c>
      <c r="AI846">
        <v>76</v>
      </c>
      <c r="AJ846">
        <v>198</v>
      </c>
      <c r="AK846" s="106">
        <v>45475.635503483798</v>
      </c>
      <c r="AL846" s="1" t="s">
        <v>4790</v>
      </c>
      <c r="AM846" s="42">
        <f>IFERROR(INDEX('Public procurment'!A:R,MATCH(ListOfExpenditure[[#This Row],[Content.contractId]],'Public procurment'!E:E,0),14),0)</f>
        <v>0</v>
      </c>
      <c r="AN846" s="2">
        <f>IF(AND(ListOfExpenditure[[#This Row],[Contract amount]]&gt;10000,ListOfExpenditure[[#This Row],[Content.declaredAmount]]&gt;2000),1,0)</f>
        <v>0</v>
      </c>
      <c r="AO846">
        <f>IFERROR(INDEX('Public procurment'!A:S,MATCH(ListOfExpenditure[[#This Row],[Content.contractId]],'Public procurment'!E:E,0),19),0)</f>
        <v>0</v>
      </c>
      <c r="AP846">
        <f>IF(ListOfExpenditure[[#This Row],[Numero di volte controllato il contract ]]&gt;0,0,ListOfExpenditure[[#This Row],[IF public procurment &gt;10000;1;0]])</f>
        <v>0</v>
      </c>
    </row>
    <row r="847" spans="1:42" x14ac:dyDescent="0.25">
      <c r="A847">
        <v>1415</v>
      </c>
      <c r="B847">
        <v>35</v>
      </c>
      <c r="E847" t="s">
        <v>4786</v>
      </c>
      <c r="F847" t="b">
        <v>0</v>
      </c>
      <c r="I847" t="s">
        <v>5539</v>
      </c>
      <c r="K847" t="s">
        <v>4525</v>
      </c>
      <c r="L847" t="s">
        <v>5533</v>
      </c>
      <c r="M847" t="s">
        <v>4788</v>
      </c>
      <c r="N847" t="s">
        <v>4788</v>
      </c>
      <c r="O847">
        <v>4363.32</v>
      </c>
      <c r="Q847">
        <v>0</v>
      </c>
      <c r="R847">
        <v>0</v>
      </c>
      <c r="S847">
        <v>1090.83</v>
      </c>
      <c r="T847" t="s">
        <v>4789</v>
      </c>
      <c r="U847">
        <v>1</v>
      </c>
      <c r="V847">
        <v>1090.83</v>
      </c>
      <c r="W847" t="s">
        <v>4343</v>
      </c>
      <c r="Y847" t="b">
        <v>1</v>
      </c>
      <c r="Z847" t="b">
        <v>0</v>
      </c>
      <c r="AA847">
        <v>1090.83</v>
      </c>
      <c r="AB847">
        <v>0</v>
      </c>
      <c r="AD847" t="b">
        <v>0</v>
      </c>
      <c r="AF847" t="s">
        <v>5270</v>
      </c>
      <c r="AG847" s="1" t="s">
        <v>271</v>
      </c>
      <c r="AH847" s="1" t="s">
        <v>276</v>
      </c>
      <c r="AI847">
        <v>76</v>
      </c>
      <c r="AJ847">
        <v>198</v>
      </c>
      <c r="AK847" s="106">
        <v>45475.635503483798</v>
      </c>
      <c r="AL847" s="1" t="s">
        <v>4790</v>
      </c>
      <c r="AM847" s="42">
        <f>IFERROR(INDEX('Public procurment'!A:R,MATCH(ListOfExpenditure[[#This Row],[Content.contractId]],'Public procurment'!E:E,0),14),0)</f>
        <v>0</v>
      </c>
      <c r="AN847" s="2">
        <f>IF(AND(ListOfExpenditure[[#This Row],[Contract amount]]&gt;10000,ListOfExpenditure[[#This Row],[Content.declaredAmount]]&gt;2000),1,0)</f>
        <v>0</v>
      </c>
      <c r="AO847">
        <f>IFERROR(INDEX('Public procurment'!A:S,MATCH(ListOfExpenditure[[#This Row],[Content.contractId]],'Public procurment'!E:E,0),19),0)</f>
        <v>0</v>
      </c>
      <c r="AP847">
        <f>IF(ListOfExpenditure[[#This Row],[Numero di volte controllato il contract ]]&gt;0,0,ListOfExpenditure[[#This Row],[IF public procurment &gt;10000;1;0]])</f>
        <v>0</v>
      </c>
    </row>
    <row r="848" spans="1:42" x14ac:dyDescent="0.25">
      <c r="A848">
        <v>1416</v>
      </c>
      <c r="B848">
        <v>36</v>
      </c>
      <c r="E848" t="s">
        <v>4786</v>
      </c>
      <c r="F848" t="b">
        <v>0</v>
      </c>
      <c r="I848" t="s">
        <v>5540</v>
      </c>
      <c r="K848" t="s">
        <v>4678</v>
      </c>
      <c r="L848" t="s">
        <v>5535</v>
      </c>
      <c r="M848" t="s">
        <v>4788</v>
      </c>
      <c r="N848" t="s">
        <v>4788</v>
      </c>
      <c r="O848">
        <v>4363.32</v>
      </c>
      <c r="Q848">
        <v>0</v>
      </c>
      <c r="R848">
        <v>0</v>
      </c>
      <c r="S848">
        <v>1090.83</v>
      </c>
      <c r="T848" t="s">
        <v>4789</v>
      </c>
      <c r="U848">
        <v>1</v>
      </c>
      <c r="V848">
        <v>1090.83</v>
      </c>
      <c r="W848" t="s">
        <v>4343</v>
      </c>
      <c r="Y848" t="b">
        <v>0</v>
      </c>
      <c r="Z848" t="b">
        <v>0</v>
      </c>
      <c r="AA848">
        <v>1090.83</v>
      </c>
      <c r="AB848">
        <v>0</v>
      </c>
      <c r="AD848" t="b">
        <v>0</v>
      </c>
      <c r="AG848" s="1" t="s">
        <v>271</v>
      </c>
      <c r="AH848" s="1" t="s">
        <v>276</v>
      </c>
      <c r="AI848">
        <v>76</v>
      </c>
      <c r="AJ848">
        <v>198</v>
      </c>
      <c r="AK848" s="106">
        <v>45475.635503483798</v>
      </c>
      <c r="AL848" s="1" t="s">
        <v>4790</v>
      </c>
      <c r="AM848" s="42">
        <f>IFERROR(INDEX('Public procurment'!A:R,MATCH(ListOfExpenditure[[#This Row],[Content.contractId]],'Public procurment'!E:E,0),14),0)</f>
        <v>0</v>
      </c>
      <c r="AN848" s="2">
        <f>IF(AND(ListOfExpenditure[[#This Row],[Contract amount]]&gt;10000,ListOfExpenditure[[#This Row],[Content.declaredAmount]]&gt;2000),1,0)</f>
        <v>0</v>
      </c>
      <c r="AO848">
        <f>IFERROR(INDEX('Public procurment'!A:S,MATCH(ListOfExpenditure[[#This Row],[Content.contractId]],'Public procurment'!E:E,0),19),0)</f>
        <v>0</v>
      </c>
      <c r="AP848">
        <f>IF(ListOfExpenditure[[#This Row],[Numero di volte controllato il contract ]]&gt;0,0,ListOfExpenditure[[#This Row],[IF public procurment &gt;10000;1;0]])</f>
        <v>0</v>
      </c>
    </row>
    <row r="849" spans="1:42" x14ac:dyDescent="0.25">
      <c r="A849">
        <v>1417</v>
      </c>
      <c r="B849">
        <v>37</v>
      </c>
      <c r="E849" t="s">
        <v>4786</v>
      </c>
      <c r="F849" t="b">
        <v>0</v>
      </c>
      <c r="I849" t="s">
        <v>5541</v>
      </c>
      <c r="K849" t="s">
        <v>4342</v>
      </c>
      <c r="L849" t="s">
        <v>5062</v>
      </c>
      <c r="M849" t="s">
        <v>4788</v>
      </c>
      <c r="N849" t="s">
        <v>4788</v>
      </c>
      <c r="O849">
        <v>3212.72</v>
      </c>
      <c r="Q849">
        <v>0</v>
      </c>
      <c r="R849">
        <v>0</v>
      </c>
      <c r="S849">
        <v>240.95</v>
      </c>
      <c r="T849" t="s">
        <v>4789</v>
      </c>
      <c r="U849">
        <v>1</v>
      </c>
      <c r="V849">
        <v>240.95</v>
      </c>
      <c r="W849" t="s">
        <v>4343</v>
      </c>
      <c r="Y849" t="b">
        <v>1</v>
      </c>
      <c r="Z849" t="b">
        <v>0</v>
      </c>
      <c r="AA849">
        <v>240.95</v>
      </c>
      <c r="AB849">
        <v>0</v>
      </c>
      <c r="AD849" t="b">
        <v>0</v>
      </c>
      <c r="AF849" t="s">
        <v>5270</v>
      </c>
      <c r="AG849" s="1" t="s">
        <v>271</v>
      </c>
      <c r="AH849" s="1" t="s">
        <v>276</v>
      </c>
      <c r="AI849">
        <v>76</v>
      </c>
      <c r="AJ849">
        <v>198</v>
      </c>
      <c r="AK849" s="106">
        <v>45475.635503483798</v>
      </c>
      <c r="AL849" s="1" t="s">
        <v>4790</v>
      </c>
      <c r="AM849" s="42">
        <f>IFERROR(INDEX('Public procurment'!A:R,MATCH(ListOfExpenditure[[#This Row],[Content.contractId]],'Public procurment'!E:E,0),14),0)</f>
        <v>0</v>
      </c>
      <c r="AN849" s="2">
        <f>IF(AND(ListOfExpenditure[[#This Row],[Contract amount]]&gt;10000,ListOfExpenditure[[#This Row],[Content.declaredAmount]]&gt;2000),1,0)</f>
        <v>0</v>
      </c>
      <c r="AO849">
        <f>IFERROR(INDEX('Public procurment'!A:S,MATCH(ListOfExpenditure[[#This Row],[Content.contractId]],'Public procurment'!E:E,0),19),0)</f>
        <v>0</v>
      </c>
      <c r="AP849">
        <f>IF(ListOfExpenditure[[#This Row],[Numero di volte controllato il contract ]]&gt;0,0,ListOfExpenditure[[#This Row],[IF public procurment &gt;10000;1;0]])</f>
        <v>0</v>
      </c>
    </row>
    <row r="850" spans="1:42" x14ac:dyDescent="0.25">
      <c r="A850">
        <v>1419</v>
      </c>
      <c r="B850">
        <v>38</v>
      </c>
      <c r="E850" t="s">
        <v>4786</v>
      </c>
      <c r="F850" t="b">
        <v>0</v>
      </c>
      <c r="I850" t="s">
        <v>5542</v>
      </c>
      <c r="K850" t="s">
        <v>4359</v>
      </c>
      <c r="L850" t="s">
        <v>4913</v>
      </c>
      <c r="M850" t="s">
        <v>4788</v>
      </c>
      <c r="N850" t="s">
        <v>4788</v>
      </c>
      <c r="O850">
        <v>3212.72</v>
      </c>
      <c r="Q850">
        <v>0</v>
      </c>
      <c r="R850">
        <v>0</v>
      </c>
      <c r="S850">
        <v>481.91</v>
      </c>
      <c r="T850" t="s">
        <v>4789</v>
      </c>
      <c r="U850">
        <v>1</v>
      </c>
      <c r="V850">
        <v>481.91</v>
      </c>
      <c r="W850" t="s">
        <v>4343</v>
      </c>
      <c r="Y850" t="b">
        <v>0</v>
      </c>
      <c r="Z850" t="b">
        <v>0</v>
      </c>
      <c r="AA850">
        <v>481.91</v>
      </c>
      <c r="AB850">
        <v>0</v>
      </c>
      <c r="AD850" t="b">
        <v>0</v>
      </c>
      <c r="AG850" s="1" t="s">
        <v>271</v>
      </c>
      <c r="AH850" s="1" t="s">
        <v>276</v>
      </c>
      <c r="AI850">
        <v>76</v>
      </c>
      <c r="AJ850">
        <v>198</v>
      </c>
      <c r="AK850" s="106">
        <v>45475.635503483798</v>
      </c>
      <c r="AL850" s="1" t="s">
        <v>4790</v>
      </c>
      <c r="AM850" s="42">
        <f>IFERROR(INDEX('Public procurment'!A:R,MATCH(ListOfExpenditure[[#This Row],[Content.contractId]],'Public procurment'!E:E,0),14),0)</f>
        <v>0</v>
      </c>
      <c r="AN850" s="2">
        <f>IF(AND(ListOfExpenditure[[#This Row],[Contract amount]]&gt;10000,ListOfExpenditure[[#This Row],[Content.declaredAmount]]&gt;2000),1,0)</f>
        <v>0</v>
      </c>
      <c r="AO850">
        <f>IFERROR(INDEX('Public procurment'!A:S,MATCH(ListOfExpenditure[[#This Row],[Content.contractId]],'Public procurment'!E:E,0),19),0)</f>
        <v>0</v>
      </c>
      <c r="AP850">
        <f>IF(ListOfExpenditure[[#This Row],[Numero di volte controllato il contract ]]&gt;0,0,ListOfExpenditure[[#This Row],[IF public procurment &gt;10000;1;0]])</f>
        <v>0</v>
      </c>
    </row>
    <row r="851" spans="1:42" x14ac:dyDescent="0.25">
      <c r="A851">
        <v>1420</v>
      </c>
      <c r="B851">
        <v>39</v>
      </c>
      <c r="E851" t="s">
        <v>4786</v>
      </c>
      <c r="F851" t="b">
        <v>0</v>
      </c>
      <c r="I851" t="s">
        <v>5543</v>
      </c>
      <c r="K851" t="s">
        <v>4931</v>
      </c>
      <c r="L851" t="s">
        <v>5027</v>
      </c>
      <c r="M851" t="s">
        <v>4788</v>
      </c>
      <c r="N851" t="s">
        <v>4788</v>
      </c>
      <c r="O851">
        <v>3212.72</v>
      </c>
      <c r="Q851">
        <v>0</v>
      </c>
      <c r="R851">
        <v>0</v>
      </c>
      <c r="S851">
        <v>481.91</v>
      </c>
      <c r="T851" t="s">
        <v>4789</v>
      </c>
      <c r="U851">
        <v>1</v>
      </c>
      <c r="V851">
        <v>481.91</v>
      </c>
      <c r="W851" t="s">
        <v>4343</v>
      </c>
      <c r="Y851" t="b">
        <v>0</v>
      </c>
      <c r="Z851" t="b">
        <v>0</v>
      </c>
      <c r="AA851">
        <v>481.91</v>
      </c>
      <c r="AB851">
        <v>0</v>
      </c>
      <c r="AD851" t="b">
        <v>0</v>
      </c>
      <c r="AG851" s="1" t="s">
        <v>271</v>
      </c>
      <c r="AH851" s="1" t="s">
        <v>276</v>
      </c>
      <c r="AI851">
        <v>76</v>
      </c>
      <c r="AJ851">
        <v>198</v>
      </c>
      <c r="AK851" s="106">
        <v>45475.635503483798</v>
      </c>
      <c r="AL851" s="1" t="s">
        <v>4790</v>
      </c>
      <c r="AM851" s="42">
        <f>IFERROR(INDEX('Public procurment'!A:R,MATCH(ListOfExpenditure[[#This Row],[Content.contractId]],'Public procurment'!E:E,0),14),0)</f>
        <v>0</v>
      </c>
      <c r="AN851" s="2">
        <f>IF(AND(ListOfExpenditure[[#This Row],[Contract amount]]&gt;10000,ListOfExpenditure[[#This Row],[Content.declaredAmount]]&gt;2000),1,0)</f>
        <v>0</v>
      </c>
      <c r="AO851">
        <f>IFERROR(INDEX('Public procurment'!A:S,MATCH(ListOfExpenditure[[#This Row],[Content.contractId]],'Public procurment'!E:E,0),19),0)</f>
        <v>0</v>
      </c>
      <c r="AP851">
        <f>IF(ListOfExpenditure[[#This Row],[Numero di volte controllato il contract ]]&gt;0,0,ListOfExpenditure[[#This Row],[IF public procurment &gt;10000;1;0]])</f>
        <v>0</v>
      </c>
    </row>
    <row r="852" spans="1:42" x14ac:dyDescent="0.25">
      <c r="A852">
        <v>1421</v>
      </c>
      <c r="B852">
        <v>40</v>
      </c>
      <c r="E852" t="s">
        <v>4786</v>
      </c>
      <c r="F852" t="b">
        <v>0</v>
      </c>
      <c r="I852" t="s">
        <v>5544</v>
      </c>
      <c r="K852" t="s">
        <v>4525</v>
      </c>
      <c r="L852" t="s">
        <v>5533</v>
      </c>
      <c r="M852" t="s">
        <v>4788</v>
      </c>
      <c r="N852" t="s">
        <v>4788</v>
      </c>
      <c r="O852">
        <v>3212.72</v>
      </c>
      <c r="Q852">
        <v>0</v>
      </c>
      <c r="R852">
        <v>0</v>
      </c>
      <c r="S852">
        <v>481.91</v>
      </c>
      <c r="T852" t="s">
        <v>4789</v>
      </c>
      <c r="U852">
        <v>1</v>
      </c>
      <c r="V852">
        <v>481.91</v>
      </c>
      <c r="W852" t="s">
        <v>4343</v>
      </c>
      <c r="Y852" t="b">
        <v>0</v>
      </c>
      <c r="Z852" t="b">
        <v>0</v>
      </c>
      <c r="AA852">
        <v>481.91</v>
      </c>
      <c r="AB852">
        <v>0</v>
      </c>
      <c r="AD852" t="b">
        <v>0</v>
      </c>
      <c r="AG852" s="1" t="s">
        <v>271</v>
      </c>
      <c r="AH852" s="1" t="s">
        <v>276</v>
      </c>
      <c r="AI852">
        <v>76</v>
      </c>
      <c r="AJ852">
        <v>198</v>
      </c>
      <c r="AK852" s="106">
        <v>45475.635503483798</v>
      </c>
      <c r="AL852" s="1" t="s">
        <v>4790</v>
      </c>
      <c r="AM852" s="42">
        <f>IFERROR(INDEX('Public procurment'!A:R,MATCH(ListOfExpenditure[[#This Row],[Content.contractId]],'Public procurment'!E:E,0),14),0)</f>
        <v>0</v>
      </c>
      <c r="AN852" s="2">
        <f>IF(AND(ListOfExpenditure[[#This Row],[Contract amount]]&gt;10000,ListOfExpenditure[[#This Row],[Content.declaredAmount]]&gt;2000),1,0)</f>
        <v>0</v>
      </c>
      <c r="AO852">
        <f>IFERROR(INDEX('Public procurment'!A:S,MATCH(ListOfExpenditure[[#This Row],[Content.contractId]],'Public procurment'!E:E,0),19),0)</f>
        <v>0</v>
      </c>
      <c r="AP852">
        <f>IF(ListOfExpenditure[[#This Row],[Numero di volte controllato il contract ]]&gt;0,0,ListOfExpenditure[[#This Row],[IF public procurment &gt;10000;1;0]])</f>
        <v>0</v>
      </c>
    </row>
    <row r="853" spans="1:42" x14ac:dyDescent="0.25">
      <c r="A853">
        <v>1422</v>
      </c>
      <c r="B853">
        <v>41</v>
      </c>
      <c r="E853" t="s">
        <v>4786</v>
      </c>
      <c r="F853" t="b">
        <v>0</v>
      </c>
      <c r="I853" t="s">
        <v>5545</v>
      </c>
      <c r="K853" t="s">
        <v>4678</v>
      </c>
      <c r="L853" t="s">
        <v>5535</v>
      </c>
      <c r="M853" t="s">
        <v>4788</v>
      </c>
      <c r="N853" t="s">
        <v>4788</v>
      </c>
      <c r="O853">
        <v>3212.72</v>
      </c>
      <c r="Q853">
        <v>0</v>
      </c>
      <c r="R853">
        <v>0</v>
      </c>
      <c r="S853">
        <v>481.91</v>
      </c>
      <c r="T853" t="s">
        <v>4789</v>
      </c>
      <c r="U853">
        <v>1</v>
      </c>
      <c r="V853">
        <v>481.91</v>
      </c>
      <c r="W853" t="s">
        <v>4343</v>
      </c>
      <c r="Y853" t="b">
        <v>1</v>
      </c>
      <c r="Z853" t="b">
        <v>0</v>
      </c>
      <c r="AA853">
        <v>481.91</v>
      </c>
      <c r="AB853">
        <v>0</v>
      </c>
      <c r="AD853" t="b">
        <v>0</v>
      </c>
      <c r="AF853" t="s">
        <v>5270</v>
      </c>
      <c r="AG853" s="1" t="s">
        <v>271</v>
      </c>
      <c r="AH853" s="1" t="s">
        <v>276</v>
      </c>
      <c r="AI853">
        <v>76</v>
      </c>
      <c r="AJ853">
        <v>198</v>
      </c>
      <c r="AK853" s="106">
        <v>45475.635503483798</v>
      </c>
      <c r="AL853" s="1" t="s">
        <v>4790</v>
      </c>
      <c r="AM853" s="42">
        <f>IFERROR(INDEX('Public procurment'!A:R,MATCH(ListOfExpenditure[[#This Row],[Content.contractId]],'Public procurment'!E:E,0),14),0)</f>
        <v>0</v>
      </c>
      <c r="AN853" s="2">
        <f>IF(AND(ListOfExpenditure[[#This Row],[Contract amount]]&gt;10000,ListOfExpenditure[[#This Row],[Content.declaredAmount]]&gt;2000),1,0)</f>
        <v>0</v>
      </c>
      <c r="AO853">
        <f>IFERROR(INDEX('Public procurment'!A:S,MATCH(ListOfExpenditure[[#This Row],[Content.contractId]],'Public procurment'!E:E,0),19),0)</f>
        <v>0</v>
      </c>
      <c r="AP853">
        <f>IF(ListOfExpenditure[[#This Row],[Numero di volte controllato il contract ]]&gt;0,0,ListOfExpenditure[[#This Row],[IF public procurment &gt;10000;1;0]])</f>
        <v>0</v>
      </c>
    </row>
    <row r="854" spans="1:42" x14ac:dyDescent="0.25">
      <c r="A854">
        <v>1429</v>
      </c>
      <c r="B854">
        <v>42</v>
      </c>
      <c r="E854" t="s">
        <v>4786</v>
      </c>
      <c r="F854" t="b">
        <v>0</v>
      </c>
      <c r="I854" t="s">
        <v>5546</v>
      </c>
      <c r="K854" t="s">
        <v>4342</v>
      </c>
      <c r="L854" t="s">
        <v>5062</v>
      </c>
      <c r="M854" t="s">
        <v>4788</v>
      </c>
      <c r="N854" t="s">
        <v>4788</v>
      </c>
      <c r="O854">
        <v>5096.87</v>
      </c>
      <c r="Q854">
        <v>0</v>
      </c>
      <c r="R854">
        <v>0</v>
      </c>
      <c r="S854">
        <v>76.45</v>
      </c>
      <c r="T854" t="s">
        <v>4789</v>
      </c>
      <c r="U854">
        <v>1</v>
      </c>
      <c r="V854">
        <v>76.45</v>
      </c>
      <c r="W854" t="s">
        <v>4343</v>
      </c>
      <c r="Y854" t="b">
        <v>0</v>
      </c>
      <c r="Z854" t="b">
        <v>0</v>
      </c>
      <c r="AA854">
        <v>76.45</v>
      </c>
      <c r="AB854">
        <v>0</v>
      </c>
      <c r="AD854" t="b">
        <v>0</v>
      </c>
      <c r="AG854" s="1" t="s">
        <v>271</v>
      </c>
      <c r="AH854" s="1" t="s">
        <v>276</v>
      </c>
      <c r="AI854">
        <v>76</v>
      </c>
      <c r="AJ854">
        <v>198</v>
      </c>
      <c r="AK854" s="106">
        <v>45475.635503483798</v>
      </c>
      <c r="AL854" s="1" t="s">
        <v>4790</v>
      </c>
      <c r="AM854" s="42">
        <f>IFERROR(INDEX('Public procurment'!A:R,MATCH(ListOfExpenditure[[#This Row],[Content.contractId]],'Public procurment'!E:E,0),14),0)</f>
        <v>0</v>
      </c>
      <c r="AN854" s="2">
        <f>IF(AND(ListOfExpenditure[[#This Row],[Contract amount]]&gt;10000,ListOfExpenditure[[#This Row],[Content.declaredAmount]]&gt;2000),1,0)</f>
        <v>0</v>
      </c>
      <c r="AO854">
        <f>IFERROR(INDEX('Public procurment'!A:S,MATCH(ListOfExpenditure[[#This Row],[Content.contractId]],'Public procurment'!E:E,0),19),0)</f>
        <v>0</v>
      </c>
      <c r="AP854">
        <f>IF(ListOfExpenditure[[#This Row],[Numero di volte controllato il contract ]]&gt;0,0,ListOfExpenditure[[#This Row],[IF public procurment &gt;10000;1;0]])</f>
        <v>0</v>
      </c>
    </row>
    <row r="855" spans="1:42" x14ac:dyDescent="0.25">
      <c r="A855">
        <v>1430</v>
      </c>
      <c r="B855">
        <v>43</v>
      </c>
      <c r="E855" t="s">
        <v>4786</v>
      </c>
      <c r="F855" t="b">
        <v>0</v>
      </c>
      <c r="I855" t="s">
        <v>5547</v>
      </c>
      <c r="K855" t="s">
        <v>4359</v>
      </c>
      <c r="L855" t="s">
        <v>4913</v>
      </c>
      <c r="M855" t="s">
        <v>4788</v>
      </c>
      <c r="N855" t="s">
        <v>4788</v>
      </c>
      <c r="O855">
        <v>5096.87</v>
      </c>
      <c r="Q855">
        <v>0</v>
      </c>
      <c r="R855">
        <v>0</v>
      </c>
      <c r="S855">
        <v>152.91</v>
      </c>
      <c r="T855" t="s">
        <v>4789</v>
      </c>
      <c r="U855">
        <v>1</v>
      </c>
      <c r="V855">
        <v>152.91</v>
      </c>
      <c r="W855" t="s">
        <v>4343</v>
      </c>
      <c r="Y855" t="b">
        <v>1</v>
      </c>
      <c r="Z855" t="b">
        <v>0</v>
      </c>
      <c r="AA855">
        <v>152.91</v>
      </c>
      <c r="AB855">
        <v>0</v>
      </c>
      <c r="AD855" t="b">
        <v>0</v>
      </c>
      <c r="AF855" t="s">
        <v>5270</v>
      </c>
      <c r="AG855" s="1" t="s">
        <v>271</v>
      </c>
      <c r="AH855" s="1" t="s">
        <v>276</v>
      </c>
      <c r="AI855">
        <v>76</v>
      </c>
      <c r="AJ855">
        <v>198</v>
      </c>
      <c r="AK855" s="106">
        <v>45475.635503483798</v>
      </c>
      <c r="AL855" s="1" t="s">
        <v>4790</v>
      </c>
      <c r="AM855" s="42">
        <f>IFERROR(INDEX('Public procurment'!A:R,MATCH(ListOfExpenditure[[#This Row],[Content.contractId]],'Public procurment'!E:E,0),14),0)</f>
        <v>0</v>
      </c>
      <c r="AN855" s="2">
        <f>IF(AND(ListOfExpenditure[[#This Row],[Contract amount]]&gt;10000,ListOfExpenditure[[#This Row],[Content.declaredAmount]]&gt;2000),1,0)</f>
        <v>0</v>
      </c>
      <c r="AO855">
        <f>IFERROR(INDEX('Public procurment'!A:S,MATCH(ListOfExpenditure[[#This Row],[Content.contractId]],'Public procurment'!E:E,0),19),0)</f>
        <v>0</v>
      </c>
      <c r="AP855">
        <f>IF(ListOfExpenditure[[#This Row],[Numero di volte controllato il contract ]]&gt;0,0,ListOfExpenditure[[#This Row],[IF public procurment &gt;10000;1;0]])</f>
        <v>0</v>
      </c>
    </row>
    <row r="856" spans="1:42" x14ac:dyDescent="0.25">
      <c r="A856">
        <v>1431</v>
      </c>
      <c r="B856">
        <v>44</v>
      </c>
      <c r="E856" t="s">
        <v>4786</v>
      </c>
      <c r="F856" t="b">
        <v>0</v>
      </c>
      <c r="I856" t="s">
        <v>5548</v>
      </c>
      <c r="K856" t="s">
        <v>4931</v>
      </c>
      <c r="L856" t="s">
        <v>5027</v>
      </c>
      <c r="M856" t="s">
        <v>4788</v>
      </c>
      <c r="N856" t="s">
        <v>4788</v>
      </c>
      <c r="O856">
        <v>5096.87</v>
      </c>
      <c r="Q856">
        <v>0</v>
      </c>
      <c r="R856">
        <v>0</v>
      </c>
      <c r="S856">
        <v>152.91</v>
      </c>
      <c r="T856" t="s">
        <v>4789</v>
      </c>
      <c r="U856">
        <v>1</v>
      </c>
      <c r="V856">
        <v>152.91</v>
      </c>
      <c r="W856" t="s">
        <v>4343</v>
      </c>
      <c r="Y856" t="b">
        <v>1</v>
      </c>
      <c r="Z856" t="b">
        <v>0</v>
      </c>
      <c r="AA856">
        <v>152.91</v>
      </c>
      <c r="AB856">
        <v>0</v>
      </c>
      <c r="AD856" t="b">
        <v>0</v>
      </c>
      <c r="AF856" t="s">
        <v>5270</v>
      </c>
      <c r="AG856" s="1" t="s">
        <v>271</v>
      </c>
      <c r="AH856" s="1" t="s">
        <v>276</v>
      </c>
      <c r="AI856">
        <v>76</v>
      </c>
      <c r="AJ856">
        <v>198</v>
      </c>
      <c r="AK856" s="106">
        <v>45475.635503483798</v>
      </c>
      <c r="AL856" s="1" t="s">
        <v>4790</v>
      </c>
      <c r="AM856" s="42">
        <f>IFERROR(INDEX('Public procurment'!A:R,MATCH(ListOfExpenditure[[#This Row],[Content.contractId]],'Public procurment'!E:E,0),14),0)</f>
        <v>0</v>
      </c>
      <c r="AN856" s="2">
        <f>IF(AND(ListOfExpenditure[[#This Row],[Contract amount]]&gt;10000,ListOfExpenditure[[#This Row],[Content.declaredAmount]]&gt;2000),1,0)</f>
        <v>0</v>
      </c>
      <c r="AO856">
        <f>IFERROR(INDEX('Public procurment'!A:S,MATCH(ListOfExpenditure[[#This Row],[Content.contractId]],'Public procurment'!E:E,0),19),0)</f>
        <v>0</v>
      </c>
      <c r="AP856">
        <f>IF(ListOfExpenditure[[#This Row],[Numero di volte controllato il contract ]]&gt;0,0,ListOfExpenditure[[#This Row],[IF public procurment &gt;10000;1;0]])</f>
        <v>0</v>
      </c>
    </row>
    <row r="857" spans="1:42" x14ac:dyDescent="0.25">
      <c r="A857">
        <v>1432</v>
      </c>
      <c r="B857">
        <v>45</v>
      </c>
      <c r="E857" t="s">
        <v>4786</v>
      </c>
      <c r="F857" t="b">
        <v>0</v>
      </c>
      <c r="I857" t="s">
        <v>5549</v>
      </c>
      <c r="K857" t="s">
        <v>4525</v>
      </c>
      <c r="L857" t="s">
        <v>5533</v>
      </c>
      <c r="M857" t="s">
        <v>4788</v>
      </c>
      <c r="N857" t="s">
        <v>4788</v>
      </c>
      <c r="O857">
        <v>5096.87</v>
      </c>
      <c r="Q857">
        <v>0</v>
      </c>
      <c r="R857">
        <v>0</v>
      </c>
      <c r="S857">
        <v>152.91</v>
      </c>
      <c r="T857" t="s">
        <v>4789</v>
      </c>
      <c r="U857">
        <v>1</v>
      </c>
      <c r="V857">
        <v>152.91</v>
      </c>
      <c r="W857" t="s">
        <v>4343</v>
      </c>
      <c r="Y857" t="b">
        <v>0</v>
      </c>
      <c r="Z857" t="b">
        <v>0</v>
      </c>
      <c r="AA857">
        <v>152.91</v>
      </c>
      <c r="AB857">
        <v>0</v>
      </c>
      <c r="AD857" t="b">
        <v>0</v>
      </c>
      <c r="AG857" s="1" t="s">
        <v>271</v>
      </c>
      <c r="AH857" s="1" t="s">
        <v>276</v>
      </c>
      <c r="AI857">
        <v>76</v>
      </c>
      <c r="AJ857">
        <v>198</v>
      </c>
      <c r="AK857" s="106">
        <v>45475.635503483798</v>
      </c>
      <c r="AL857" s="1" t="s">
        <v>4790</v>
      </c>
      <c r="AM857" s="42">
        <f>IFERROR(INDEX('Public procurment'!A:R,MATCH(ListOfExpenditure[[#This Row],[Content.contractId]],'Public procurment'!E:E,0),14),0)</f>
        <v>0</v>
      </c>
      <c r="AN857" s="2">
        <f>IF(AND(ListOfExpenditure[[#This Row],[Contract amount]]&gt;10000,ListOfExpenditure[[#This Row],[Content.declaredAmount]]&gt;2000),1,0)</f>
        <v>0</v>
      </c>
      <c r="AO857">
        <f>IFERROR(INDEX('Public procurment'!A:S,MATCH(ListOfExpenditure[[#This Row],[Content.contractId]],'Public procurment'!E:E,0),19),0)</f>
        <v>0</v>
      </c>
      <c r="AP857">
        <f>IF(ListOfExpenditure[[#This Row],[Numero di volte controllato il contract ]]&gt;0,0,ListOfExpenditure[[#This Row],[IF public procurment &gt;10000;1;0]])</f>
        <v>0</v>
      </c>
    </row>
    <row r="858" spans="1:42" x14ac:dyDescent="0.25">
      <c r="A858">
        <v>1433</v>
      </c>
      <c r="B858">
        <v>46</v>
      </c>
      <c r="E858" t="s">
        <v>4786</v>
      </c>
      <c r="F858" t="b">
        <v>0</v>
      </c>
      <c r="I858" t="s">
        <v>5550</v>
      </c>
      <c r="K858" t="s">
        <v>4678</v>
      </c>
      <c r="L858" t="s">
        <v>5535</v>
      </c>
      <c r="M858" t="s">
        <v>4788</v>
      </c>
      <c r="N858" t="s">
        <v>4788</v>
      </c>
      <c r="O858">
        <v>5096.87</v>
      </c>
      <c r="Q858">
        <v>0</v>
      </c>
      <c r="R858">
        <v>0</v>
      </c>
      <c r="S858">
        <v>152.91</v>
      </c>
      <c r="T858" t="s">
        <v>4789</v>
      </c>
      <c r="U858">
        <v>1</v>
      </c>
      <c r="V858">
        <v>152.91</v>
      </c>
      <c r="W858" t="s">
        <v>4343</v>
      </c>
      <c r="Y858" t="b">
        <v>0</v>
      </c>
      <c r="Z858" t="b">
        <v>0</v>
      </c>
      <c r="AA858">
        <v>152.91</v>
      </c>
      <c r="AB858">
        <v>0</v>
      </c>
      <c r="AD858" t="b">
        <v>0</v>
      </c>
      <c r="AG858" s="1" t="s">
        <v>271</v>
      </c>
      <c r="AH858" s="1" t="s">
        <v>276</v>
      </c>
      <c r="AI858">
        <v>76</v>
      </c>
      <c r="AJ858">
        <v>198</v>
      </c>
      <c r="AK858" s="106">
        <v>45475.635503483798</v>
      </c>
      <c r="AL858" s="1" t="s">
        <v>4790</v>
      </c>
      <c r="AM858" s="42">
        <f>IFERROR(INDEX('Public procurment'!A:R,MATCH(ListOfExpenditure[[#This Row],[Content.contractId]],'Public procurment'!E:E,0),14),0)</f>
        <v>0</v>
      </c>
      <c r="AN858" s="2">
        <f>IF(AND(ListOfExpenditure[[#This Row],[Contract amount]]&gt;10000,ListOfExpenditure[[#This Row],[Content.declaredAmount]]&gt;2000),1,0)</f>
        <v>0</v>
      </c>
      <c r="AO858">
        <f>IFERROR(INDEX('Public procurment'!A:S,MATCH(ListOfExpenditure[[#This Row],[Content.contractId]],'Public procurment'!E:E,0),19),0)</f>
        <v>0</v>
      </c>
      <c r="AP858">
        <f>IF(ListOfExpenditure[[#This Row],[Numero di volte controllato il contract ]]&gt;0,0,ListOfExpenditure[[#This Row],[IF public procurment &gt;10000;1;0]])</f>
        <v>0</v>
      </c>
    </row>
    <row r="859" spans="1:42" x14ac:dyDescent="0.25">
      <c r="A859">
        <v>1434</v>
      </c>
      <c r="B859">
        <v>47</v>
      </c>
      <c r="E859" t="s">
        <v>4786</v>
      </c>
      <c r="F859" t="b">
        <v>0</v>
      </c>
      <c r="I859" t="s">
        <v>5551</v>
      </c>
      <c r="K859" t="s">
        <v>4342</v>
      </c>
      <c r="L859" t="s">
        <v>5062</v>
      </c>
      <c r="M859" t="s">
        <v>4788</v>
      </c>
      <c r="N859" t="s">
        <v>4788</v>
      </c>
      <c r="O859">
        <v>4366.76</v>
      </c>
      <c r="Q859">
        <v>0</v>
      </c>
      <c r="R859">
        <v>0</v>
      </c>
      <c r="S859">
        <v>174.67</v>
      </c>
      <c r="T859" t="s">
        <v>4789</v>
      </c>
      <c r="U859">
        <v>1</v>
      </c>
      <c r="V859">
        <v>174.67</v>
      </c>
      <c r="W859" t="s">
        <v>4343</v>
      </c>
      <c r="Y859" t="b">
        <v>1</v>
      </c>
      <c r="Z859" t="b">
        <v>0</v>
      </c>
      <c r="AA859">
        <v>109.16</v>
      </c>
      <c r="AB859">
        <v>65.510000000000005</v>
      </c>
      <c r="AC859">
        <v>13</v>
      </c>
      <c r="AD859" t="b">
        <v>0</v>
      </c>
      <c r="AF859" t="s">
        <v>5552</v>
      </c>
      <c r="AG859" s="1" t="s">
        <v>271</v>
      </c>
      <c r="AH859" s="1" t="s">
        <v>276</v>
      </c>
      <c r="AI859">
        <v>76</v>
      </c>
      <c r="AJ859">
        <v>198</v>
      </c>
      <c r="AK859" s="106">
        <v>45475.635503483798</v>
      </c>
      <c r="AL859" s="1" t="s">
        <v>4790</v>
      </c>
      <c r="AM859" s="42">
        <f>IFERROR(INDEX('Public procurment'!A:R,MATCH(ListOfExpenditure[[#This Row],[Content.contractId]],'Public procurment'!E:E,0),14),0)</f>
        <v>0</v>
      </c>
      <c r="AN859" s="2">
        <f>IF(AND(ListOfExpenditure[[#This Row],[Contract amount]]&gt;10000,ListOfExpenditure[[#This Row],[Content.declaredAmount]]&gt;2000),1,0)</f>
        <v>0</v>
      </c>
      <c r="AO859">
        <f>IFERROR(INDEX('Public procurment'!A:S,MATCH(ListOfExpenditure[[#This Row],[Content.contractId]],'Public procurment'!E:E,0),19),0)</f>
        <v>0</v>
      </c>
      <c r="AP859">
        <f>IF(ListOfExpenditure[[#This Row],[Numero di volte controllato il contract ]]&gt;0,0,ListOfExpenditure[[#This Row],[IF public procurment &gt;10000;1;0]])</f>
        <v>0</v>
      </c>
    </row>
    <row r="860" spans="1:42" x14ac:dyDescent="0.25">
      <c r="A860">
        <v>1435</v>
      </c>
      <c r="B860">
        <v>48</v>
      </c>
      <c r="E860" t="s">
        <v>4786</v>
      </c>
      <c r="F860" t="b">
        <v>0</v>
      </c>
      <c r="I860" t="s">
        <v>5553</v>
      </c>
      <c r="K860" t="s">
        <v>4359</v>
      </c>
      <c r="L860" t="s">
        <v>4913</v>
      </c>
      <c r="M860" t="s">
        <v>4788</v>
      </c>
      <c r="N860" t="s">
        <v>4788</v>
      </c>
      <c r="O860">
        <v>4366.76</v>
      </c>
      <c r="Q860">
        <v>0</v>
      </c>
      <c r="R860">
        <v>0</v>
      </c>
      <c r="S860">
        <v>349.34</v>
      </c>
      <c r="T860" t="s">
        <v>4789</v>
      </c>
      <c r="U860">
        <v>1</v>
      </c>
      <c r="V860">
        <v>349.34</v>
      </c>
      <c r="W860" t="s">
        <v>4343</v>
      </c>
      <c r="Y860" t="b">
        <v>1</v>
      </c>
      <c r="Z860" t="b">
        <v>0</v>
      </c>
      <c r="AA860">
        <v>218.33</v>
      </c>
      <c r="AB860">
        <v>131.01</v>
      </c>
      <c r="AC860">
        <v>13</v>
      </c>
      <c r="AD860" t="b">
        <v>0</v>
      </c>
      <c r="AF860" t="s">
        <v>5552</v>
      </c>
      <c r="AG860" s="1" t="s">
        <v>271</v>
      </c>
      <c r="AH860" s="1" t="s">
        <v>276</v>
      </c>
      <c r="AI860">
        <v>76</v>
      </c>
      <c r="AJ860">
        <v>198</v>
      </c>
      <c r="AK860" s="106">
        <v>45475.635503483798</v>
      </c>
      <c r="AL860" s="1" t="s">
        <v>4790</v>
      </c>
      <c r="AM860" s="42">
        <f>IFERROR(INDEX('Public procurment'!A:R,MATCH(ListOfExpenditure[[#This Row],[Content.contractId]],'Public procurment'!E:E,0),14),0)</f>
        <v>0</v>
      </c>
      <c r="AN860" s="2">
        <f>IF(AND(ListOfExpenditure[[#This Row],[Contract amount]]&gt;10000,ListOfExpenditure[[#This Row],[Content.declaredAmount]]&gt;2000),1,0)</f>
        <v>0</v>
      </c>
      <c r="AO860">
        <f>IFERROR(INDEX('Public procurment'!A:S,MATCH(ListOfExpenditure[[#This Row],[Content.contractId]],'Public procurment'!E:E,0),19),0)</f>
        <v>0</v>
      </c>
      <c r="AP860">
        <f>IF(ListOfExpenditure[[#This Row],[Numero di volte controllato il contract ]]&gt;0,0,ListOfExpenditure[[#This Row],[IF public procurment &gt;10000;1;0]])</f>
        <v>0</v>
      </c>
    </row>
    <row r="861" spans="1:42" x14ac:dyDescent="0.25">
      <c r="A861">
        <v>1454</v>
      </c>
      <c r="B861">
        <v>49</v>
      </c>
      <c r="E861" t="s">
        <v>4786</v>
      </c>
      <c r="F861" t="b">
        <v>0</v>
      </c>
      <c r="I861" t="s">
        <v>5554</v>
      </c>
      <c r="K861" t="s">
        <v>4931</v>
      </c>
      <c r="L861" t="s">
        <v>5027</v>
      </c>
      <c r="M861" t="s">
        <v>4788</v>
      </c>
      <c r="N861" t="s">
        <v>4788</v>
      </c>
      <c r="O861">
        <v>4366.76</v>
      </c>
      <c r="Q861">
        <v>0</v>
      </c>
      <c r="R861">
        <v>0</v>
      </c>
      <c r="S861">
        <v>349.34</v>
      </c>
      <c r="T861" t="s">
        <v>4789</v>
      </c>
      <c r="U861">
        <v>1</v>
      </c>
      <c r="V861">
        <v>349.34</v>
      </c>
      <c r="W861" t="s">
        <v>4343</v>
      </c>
      <c r="Y861" t="b">
        <v>1</v>
      </c>
      <c r="Z861" t="b">
        <v>0</v>
      </c>
      <c r="AA861">
        <v>218.33</v>
      </c>
      <c r="AB861">
        <v>131.01</v>
      </c>
      <c r="AC861">
        <v>13</v>
      </c>
      <c r="AD861" t="b">
        <v>0</v>
      </c>
      <c r="AF861" t="s">
        <v>5552</v>
      </c>
      <c r="AG861" s="1" t="s">
        <v>271</v>
      </c>
      <c r="AH861" s="1" t="s">
        <v>276</v>
      </c>
      <c r="AI861">
        <v>76</v>
      </c>
      <c r="AJ861">
        <v>198</v>
      </c>
      <c r="AK861" s="106">
        <v>45475.635503483798</v>
      </c>
      <c r="AL861" s="1" t="s">
        <v>4790</v>
      </c>
      <c r="AM861" s="42">
        <f>IFERROR(INDEX('Public procurment'!A:R,MATCH(ListOfExpenditure[[#This Row],[Content.contractId]],'Public procurment'!E:E,0),14),0)</f>
        <v>0</v>
      </c>
      <c r="AN861" s="2">
        <f>IF(AND(ListOfExpenditure[[#This Row],[Contract amount]]&gt;10000,ListOfExpenditure[[#This Row],[Content.declaredAmount]]&gt;2000),1,0)</f>
        <v>0</v>
      </c>
      <c r="AO861">
        <f>IFERROR(INDEX('Public procurment'!A:S,MATCH(ListOfExpenditure[[#This Row],[Content.contractId]],'Public procurment'!E:E,0),19),0)</f>
        <v>0</v>
      </c>
      <c r="AP861">
        <f>IF(ListOfExpenditure[[#This Row],[Numero di volte controllato il contract ]]&gt;0,0,ListOfExpenditure[[#This Row],[IF public procurment &gt;10000;1;0]])</f>
        <v>0</v>
      </c>
    </row>
    <row r="862" spans="1:42" x14ac:dyDescent="0.25">
      <c r="A862">
        <v>1455</v>
      </c>
      <c r="B862">
        <v>50</v>
      </c>
      <c r="E862" t="s">
        <v>4786</v>
      </c>
      <c r="F862" t="b">
        <v>0</v>
      </c>
      <c r="I862" t="s">
        <v>5555</v>
      </c>
      <c r="K862" t="s">
        <v>4525</v>
      </c>
      <c r="L862" t="s">
        <v>5533</v>
      </c>
      <c r="M862" t="s">
        <v>4788</v>
      </c>
      <c r="N862" t="s">
        <v>4788</v>
      </c>
      <c r="O862">
        <v>4366.76</v>
      </c>
      <c r="Q862">
        <v>0</v>
      </c>
      <c r="R862">
        <v>0</v>
      </c>
      <c r="S862">
        <v>349.34</v>
      </c>
      <c r="T862" t="s">
        <v>4789</v>
      </c>
      <c r="U862">
        <v>1</v>
      </c>
      <c r="V862">
        <v>349.34</v>
      </c>
      <c r="W862" t="s">
        <v>4343</v>
      </c>
      <c r="Y862" t="b">
        <v>1</v>
      </c>
      <c r="Z862" t="b">
        <v>0</v>
      </c>
      <c r="AA862">
        <v>218.33</v>
      </c>
      <c r="AB862">
        <v>131.01</v>
      </c>
      <c r="AC862">
        <v>13</v>
      </c>
      <c r="AD862" t="b">
        <v>0</v>
      </c>
      <c r="AF862" t="s">
        <v>5556</v>
      </c>
      <c r="AG862" s="1" t="s">
        <v>271</v>
      </c>
      <c r="AH862" s="1" t="s">
        <v>276</v>
      </c>
      <c r="AI862">
        <v>76</v>
      </c>
      <c r="AJ862">
        <v>198</v>
      </c>
      <c r="AK862" s="106">
        <v>45475.635503483798</v>
      </c>
      <c r="AL862" s="1" t="s">
        <v>4790</v>
      </c>
      <c r="AM862" s="42">
        <f>IFERROR(INDEX('Public procurment'!A:R,MATCH(ListOfExpenditure[[#This Row],[Content.contractId]],'Public procurment'!E:E,0),14),0)</f>
        <v>0</v>
      </c>
      <c r="AN862" s="2">
        <f>IF(AND(ListOfExpenditure[[#This Row],[Contract amount]]&gt;10000,ListOfExpenditure[[#This Row],[Content.declaredAmount]]&gt;2000),1,0)</f>
        <v>0</v>
      </c>
      <c r="AO862">
        <f>IFERROR(INDEX('Public procurment'!A:S,MATCH(ListOfExpenditure[[#This Row],[Content.contractId]],'Public procurment'!E:E,0),19),0)</f>
        <v>0</v>
      </c>
      <c r="AP862">
        <f>IF(ListOfExpenditure[[#This Row],[Numero di volte controllato il contract ]]&gt;0,0,ListOfExpenditure[[#This Row],[IF public procurment &gt;10000;1;0]])</f>
        <v>0</v>
      </c>
    </row>
    <row r="863" spans="1:42" x14ac:dyDescent="0.25">
      <c r="A863">
        <v>1456</v>
      </c>
      <c r="B863">
        <v>51</v>
      </c>
      <c r="E863" t="s">
        <v>4786</v>
      </c>
      <c r="F863" t="b">
        <v>0</v>
      </c>
      <c r="I863" t="s">
        <v>5557</v>
      </c>
      <c r="K863" t="s">
        <v>4678</v>
      </c>
      <c r="L863" t="s">
        <v>5535</v>
      </c>
      <c r="M863" t="s">
        <v>4788</v>
      </c>
      <c r="N863" t="s">
        <v>4788</v>
      </c>
      <c r="O863">
        <v>4366.76</v>
      </c>
      <c r="Q863">
        <v>0</v>
      </c>
      <c r="R863">
        <v>0</v>
      </c>
      <c r="S863">
        <v>349.34</v>
      </c>
      <c r="T863" t="s">
        <v>4789</v>
      </c>
      <c r="U863">
        <v>1</v>
      </c>
      <c r="V863">
        <v>349.34</v>
      </c>
      <c r="W863" t="s">
        <v>4343</v>
      </c>
      <c r="Y863" t="b">
        <v>1</v>
      </c>
      <c r="Z863" t="b">
        <v>0</v>
      </c>
      <c r="AA863">
        <v>218.33</v>
      </c>
      <c r="AB863">
        <v>131.01</v>
      </c>
      <c r="AC863">
        <v>13</v>
      </c>
      <c r="AD863" t="b">
        <v>0</v>
      </c>
      <c r="AF863" t="s">
        <v>5556</v>
      </c>
      <c r="AG863" s="1" t="s">
        <v>271</v>
      </c>
      <c r="AH863" s="1" t="s">
        <v>276</v>
      </c>
      <c r="AI863">
        <v>76</v>
      </c>
      <c r="AJ863">
        <v>198</v>
      </c>
      <c r="AK863" s="106">
        <v>45475.635503483798</v>
      </c>
      <c r="AL863" s="1" t="s">
        <v>4790</v>
      </c>
      <c r="AM863" s="42">
        <f>IFERROR(INDEX('Public procurment'!A:R,MATCH(ListOfExpenditure[[#This Row],[Content.contractId]],'Public procurment'!E:E,0),14),0)</f>
        <v>0</v>
      </c>
      <c r="AN863" s="2">
        <f>IF(AND(ListOfExpenditure[[#This Row],[Contract amount]]&gt;10000,ListOfExpenditure[[#This Row],[Content.declaredAmount]]&gt;2000),1,0)</f>
        <v>0</v>
      </c>
      <c r="AO863">
        <f>IFERROR(INDEX('Public procurment'!A:S,MATCH(ListOfExpenditure[[#This Row],[Content.contractId]],'Public procurment'!E:E,0),19),0)</f>
        <v>0</v>
      </c>
      <c r="AP863">
        <f>IF(ListOfExpenditure[[#This Row],[Numero di volte controllato il contract ]]&gt;0,0,ListOfExpenditure[[#This Row],[IF public procurment &gt;10000;1;0]])</f>
        <v>0</v>
      </c>
    </row>
    <row r="864" spans="1:42" x14ac:dyDescent="0.25">
      <c r="A864">
        <v>1459</v>
      </c>
      <c r="B864">
        <v>52</v>
      </c>
      <c r="E864" t="s">
        <v>4786</v>
      </c>
      <c r="F864" t="b">
        <v>0</v>
      </c>
      <c r="I864" t="s">
        <v>5558</v>
      </c>
      <c r="K864" t="s">
        <v>4342</v>
      </c>
      <c r="L864" t="s">
        <v>5062</v>
      </c>
      <c r="M864" t="s">
        <v>4788</v>
      </c>
      <c r="N864" t="s">
        <v>4788</v>
      </c>
      <c r="O864">
        <v>2840.31</v>
      </c>
      <c r="Q864">
        <v>0</v>
      </c>
      <c r="R864">
        <v>0</v>
      </c>
      <c r="S864">
        <v>142.01</v>
      </c>
      <c r="T864" t="s">
        <v>4789</v>
      </c>
      <c r="U864">
        <v>1</v>
      </c>
      <c r="V864">
        <v>142.01</v>
      </c>
      <c r="W864" t="s">
        <v>4343</v>
      </c>
      <c r="Y864" t="b">
        <v>1</v>
      </c>
      <c r="Z864" t="b">
        <v>0</v>
      </c>
      <c r="AA864">
        <v>142.01</v>
      </c>
      <c r="AB864">
        <v>0</v>
      </c>
      <c r="AD864" t="b">
        <v>0</v>
      </c>
      <c r="AF864" t="s">
        <v>5270</v>
      </c>
      <c r="AG864" s="1" t="s">
        <v>271</v>
      </c>
      <c r="AH864" s="1" t="s">
        <v>276</v>
      </c>
      <c r="AI864">
        <v>76</v>
      </c>
      <c r="AJ864">
        <v>198</v>
      </c>
      <c r="AK864" s="106">
        <v>45475.635503483798</v>
      </c>
      <c r="AL864" s="1" t="s">
        <v>4790</v>
      </c>
      <c r="AM864" s="42">
        <f>IFERROR(INDEX('Public procurment'!A:R,MATCH(ListOfExpenditure[[#This Row],[Content.contractId]],'Public procurment'!E:E,0),14),0)</f>
        <v>0</v>
      </c>
      <c r="AN864" s="2">
        <f>IF(AND(ListOfExpenditure[[#This Row],[Contract amount]]&gt;10000,ListOfExpenditure[[#This Row],[Content.declaredAmount]]&gt;2000),1,0)</f>
        <v>0</v>
      </c>
      <c r="AO864">
        <f>IFERROR(INDEX('Public procurment'!A:S,MATCH(ListOfExpenditure[[#This Row],[Content.contractId]],'Public procurment'!E:E,0),19),0)</f>
        <v>0</v>
      </c>
      <c r="AP864">
        <f>IF(ListOfExpenditure[[#This Row],[Numero di volte controllato il contract ]]&gt;0,0,ListOfExpenditure[[#This Row],[IF public procurment &gt;10000;1;0]])</f>
        <v>0</v>
      </c>
    </row>
    <row r="865" spans="1:42" x14ac:dyDescent="0.25">
      <c r="A865">
        <v>1460</v>
      </c>
      <c r="B865">
        <v>53</v>
      </c>
      <c r="E865" t="s">
        <v>4786</v>
      </c>
      <c r="F865" t="b">
        <v>0</v>
      </c>
      <c r="I865" t="s">
        <v>5559</v>
      </c>
      <c r="K865" t="s">
        <v>4359</v>
      </c>
      <c r="L865" t="s">
        <v>4913</v>
      </c>
      <c r="M865" t="s">
        <v>4788</v>
      </c>
      <c r="N865" t="s">
        <v>4788</v>
      </c>
      <c r="O865">
        <v>2840.31</v>
      </c>
      <c r="Q865">
        <v>0</v>
      </c>
      <c r="R865">
        <v>0</v>
      </c>
      <c r="S865">
        <v>284.02999999999997</v>
      </c>
      <c r="T865" t="s">
        <v>4789</v>
      </c>
      <c r="U865">
        <v>1</v>
      </c>
      <c r="V865">
        <v>284.02999999999997</v>
      </c>
      <c r="W865" t="s">
        <v>4343</v>
      </c>
      <c r="Y865" t="b">
        <v>1</v>
      </c>
      <c r="Z865" t="b">
        <v>0</v>
      </c>
      <c r="AA865">
        <v>284.02999999999997</v>
      </c>
      <c r="AB865">
        <v>0</v>
      </c>
      <c r="AD865" t="b">
        <v>0</v>
      </c>
      <c r="AF865" t="s">
        <v>5270</v>
      </c>
      <c r="AG865" s="1" t="s">
        <v>271</v>
      </c>
      <c r="AH865" s="1" t="s">
        <v>276</v>
      </c>
      <c r="AI865">
        <v>76</v>
      </c>
      <c r="AJ865">
        <v>198</v>
      </c>
      <c r="AK865" s="106">
        <v>45475.635503483798</v>
      </c>
      <c r="AL865" s="1" t="s">
        <v>4790</v>
      </c>
      <c r="AM865" s="42">
        <f>IFERROR(INDEX('Public procurment'!A:R,MATCH(ListOfExpenditure[[#This Row],[Content.contractId]],'Public procurment'!E:E,0),14),0)</f>
        <v>0</v>
      </c>
      <c r="AN865" s="2">
        <f>IF(AND(ListOfExpenditure[[#This Row],[Contract amount]]&gt;10000,ListOfExpenditure[[#This Row],[Content.declaredAmount]]&gt;2000),1,0)</f>
        <v>0</v>
      </c>
      <c r="AO865">
        <f>IFERROR(INDEX('Public procurment'!A:S,MATCH(ListOfExpenditure[[#This Row],[Content.contractId]],'Public procurment'!E:E,0),19),0)</f>
        <v>0</v>
      </c>
      <c r="AP865">
        <f>IF(ListOfExpenditure[[#This Row],[Numero di volte controllato il contract ]]&gt;0,0,ListOfExpenditure[[#This Row],[IF public procurment &gt;10000;1;0]])</f>
        <v>0</v>
      </c>
    </row>
    <row r="866" spans="1:42" x14ac:dyDescent="0.25">
      <c r="A866">
        <v>1464</v>
      </c>
      <c r="B866">
        <v>54</v>
      </c>
      <c r="E866" t="s">
        <v>4786</v>
      </c>
      <c r="F866" t="b">
        <v>0</v>
      </c>
      <c r="I866" t="s">
        <v>5560</v>
      </c>
      <c r="K866" t="s">
        <v>4931</v>
      </c>
      <c r="L866" t="s">
        <v>5027</v>
      </c>
      <c r="M866" t="s">
        <v>4788</v>
      </c>
      <c r="N866" t="s">
        <v>4788</v>
      </c>
      <c r="O866">
        <v>2840.31</v>
      </c>
      <c r="Q866">
        <v>0</v>
      </c>
      <c r="R866">
        <v>0</v>
      </c>
      <c r="S866">
        <v>284.02999999999997</v>
      </c>
      <c r="T866" t="s">
        <v>4789</v>
      </c>
      <c r="U866">
        <v>1</v>
      </c>
      <c r="V866">
        <v>284.02999999999997</v>
      </c>
      <c r="W866" t="s">
        <v>4343</v>
      </c>
      <c r="Y866" t="b">
        <v>0</v>
      </c>
      <c r="Z866" t="b">
        <v>0</v>
      </c>
      <c r="AA866">
        <v>284.02999999999997</v>
      </c>
      <c r="AB866">
        <v>0</v>
      </c>
      <c r="AD866" t="b">
        <v>0</v>
      </c>
      <c r="AG866" s="1" t="s">
        <v>271</v>
      </c>
      <c r="AH866" s="1" t="s">
        <v>276</v>
      </c>
      <c r="AI866">
        <v>76</v>
      </c>
      <c r="AJ866">
        <v>198</v>
      </c>
      <c r="AK866" s="106">
        <v>45475.635503483798</v>
      </c>
      <c r="AL866" s="1" t="s">
        <v>4790</v>
      </c>
      <c r="AM866" s="42">
        <f>IFERROR(INDEX('Public procurment'!A:R,MATCH(ListOfExpenditure[[#This Row],[Content.contractId]],'Public procurment'!E:E,0),14),0)</f>
        <v>0</v>
      </c>
      <c r="AN866" s="2">
        <f>IF(AND(ListOfExpenditure[[#This Row],[Contract amount]]&gt;10000,ListOfExpenditure[[#This Row],[Content.declaredAmount]]&gt;2000),1,0)</f>
        <v>0</v>
      </c>
      <c r="AO866">
        <f>IFERROR(INDEX('Public procurment'!A:S,MATCH(ListOfExpenditure[[#This Row],[Content.contractId]],'Public procurment'!E:E,0),19),0)</f>
        <v>0</v>
      </c>
      <c r="AP866">
        <f>IF(ListOfExpenditure[[#This Row],[Numero di volte controllato il contract ]]&gt;0,0,ListOfExpenditure[[#This Row],[IF public procurment &gt;10000;1;0]])</f>
        <v>0</v>
      </c>
    </row>
    <row r="867" spans="1:42" x14ac:dyDescent="0.25">
      <c r="A867">
        <v>1466</v>
      </c>
      <c r="B867">
        <v>55</v>
      </c>
      <c r="E867" t="s">
        <v>4786</v>
      </c>
      <c r="F867" t="b">
        <v>0</v>
      </c>
      <c r="I867" t="s">
        <v>5561</v>
      </c>
      <c r="K867" t="s">
        <v>4525</v>
      </c>
      <c r="L867" t="s">
        <v>5533</v>
      </c>
      <c r="M867" t="s">
        <v>4788</v>
      </c>
      <c r="N867" t="s">
        <v>4788</v>
      </c>
      <c r="O867">
        <v>2840.31</v>
      </c>
      <c r="Q867">
        <v>0</v>
      </c>
      <c r="R867">
        <v>0</v>
      </c>
      <c r="S867">
        <v>284.02999999999997</v>
      </c>
      <c r="T867" t="s">
        <v>4789</v>
      </c>
      <c r="U867">
        <v>1</v>
      </c>
      <c r="V867">
        <v>284.02999999999997</v>
      </c>
      <c r="W867" t="s">
        <v>4343</v>
      </c>
      <c r="Y867" t="b">
        <v>0</v>
      </c>
      <c r="Z867" t="b">
        <v>0</v>
      </c>
      <c r="AA867">
        <v>284.02999999999997</v>
      </c>
      <c r="AB867">
        <v>0</v>
      </c>
      <c r="AD867" t="b">
        <v>0</v>
      </c>
      <c r="AG867" s="1" t="s">
        <v>271</v>
      </c>
      <c r="AH867" s="1" t="s">
        <v>276</v>
      </c>
      <c r="AI867">
        <v>76</v>
      </c>
      <c r="AJ867">
        <v>198</v>
      </c>
      <c r="AK867" s="106">
        <v>45475.635503483798</v>
      </c>
      <c r="AL867" s="1" t="s">
        <v>4790</v>
      </c>
      <c r="AM867" s="42">
        <f>IFERROR(INDEX('Public procurment'!A:R,MATCH(ListOfExpenditure[[#This Row],[Content.contractId]],'Public procurment'!E:E,0),14),0)</f>
        <v>0</v>
      </c>
      <c r="AN867" s="2">
        <f>IF(AND(ListOfExpenditure[[#This Row],[Contract amount]]&gt;10000,ListOfExpenditure[[#This Row],[Content.declaredAmount]]&gt;2000),1,0)</f>
        <v>0</v>
      </c>
      <c r="AO867">
        <f>IFERROR(INDEX('Public procurment'!A:S,MATCH(ListOfExpenditure[[#This Row],[Content.contractId]],'Public procurment'!E:E,0),19),0)</f>
        <v>0</v>
      </c>
      <c r="AP867">
        <f>IF(ListOfExpenditure[[#This Row],[Numero di volte controllato il contract ]]&gt;0,0,ListOfExpenditure[[#This Row],[IF public procurment &gt;10000;1;0]])</f>
        <v>0</v>
      </c>
    </row>
    <row r="868" spans="1:42" x14ac:dyDescent="0.25">
      <c r="A868">
        <v>1467</v>
      </c>
      <c r="B868">
        <v>56</v>
      </c>
      <c r="E868" t="s">
        <v>4786</v>
      </c>
      <c r="F868" t="b">
        <v>0</v>
      </c>
      <c r="I868" t="s">
        <v>5562</v>
      </c>
      <c r="K868" t="s">
        <v>5563</v>
      </c>
      <c r="L868" t="s">
        <v>5535</v>
      </c>
      <c r="M868" t="s">
        <v>4788</v>
      </c>
      <c r="N868" t="s">
        <v>4788</v>
      </c>
      <c r="O868">
        <v>2840.31</v>
      </c>
      <c r="Q868">
        <v>0</v>
      </c>
      <c r="R868">
        <v>0</v>
      </c>
      <c r="S868">
        <v>284.02999999999997</v>
      </c>
      <c r="T868" t="s">
        <v>4789</v>
      </c>
      <c r="U868">
        <v>1</v>
      </c>
      <c r="V868">
        <v>284.02999999999997</v>
      </c>
      <c r="W868" t="s">
        <v>4343</v>
      </c>
      <c r="Y868" t="b">
        <v>0</v>
      </c>
      <c r="Z868" t="b">
        <v>0</v>
      </c>
      <c r="AA868">
        <v>284.02999999999997</v>
      </c>
      <c r="AB868">
        <v>0</v>
      </c>
      <c r="AD868" t="b">
        <v>0</v>
      </c>
      <c r="AG868" s="1" t="s">
        <v>271</v>
      </c>
      <c r="AH868" s="1" t="s">
        <v>276</v>
      </c>
      <c r="AI868">
        <v>76</v>
      </c>
      <c r="AJ868">
        <v>198</v>
      </c>
      <c r="AK868" s="106">
        <v>45475.635503483798</v>
      </c>
      <c r="AL868" s="1" t="s">
        <v>4790</v>
      </c>
      <c r="AM868" s="42">
        <f>IFERROR(INDEX('Public procurment'!A:R,MATCH(ListOfExpenditure[[#This Row],[Content.contractId]],'Public procurment'!E:E,0),14),0)</f>
        <v>0</v>
      </c>
      <c r="AN868" s="2">
        <f>IF(AND(ListOfExpenditure[[#This Row],[Contract amount]]&gt;10000,ListOfExpenditure[[#This Row],[Content.declaredAmount]]&gt;2000),1,0)</f>
        <v>0</v>
      </c>
      <c r="AO868">
        <f>IFERROR(INDEX('Public procurment'!A:S,MATCH(ListOfExpenditure[[#This Row],[Content.contractId]],'Public procurment'!E:E,0),19),0)</f>
        <v>0</v>
      </c>
      <c r="AP868">
        <f>IF(ListOfExpenditure[[#This Row],[Numero di volte controllato il contract ]]&gt;0,0,ListOfExpenditure[[#This Row],[IF public procurment &gt;10000;1;0]])</f>
        <v>0</v>
      </c>
    </row>
    <row r="869" spans="1:42" x14ac:dyDescent="0.25">
      <c r="A869">
        <v>1468</v>
      </c>
      <c r="B869">
        <v>57</v>
      </c>
      <c r="E869" t="s">
        <v>4786</v>
      </c>
      <c r="F869" t="b">
        <v>0</v>
      </c>
      <c r="I869" t="s">
        <v>5564</v>
      </c>
      <c r="K869" t="s">
        <v>4342</v>
      </c>
      <c r="L869" t="s">
        <v>5062</v>
      </c>
      <c r="M869" t="s">
        <v>4788</v>
      </c>
      <c r="N869" t="s">
        <v>4788</v>
      </c>
      <c r="O869">
        <v>4544.1099999999997</v>
      </c>
      <c r="Q869">
        <v>0</v>
      </c>
      <c r="R869">
        <v>0</v>
      </c>
      <c r="S869">
        <v>68.16</v>
      </c>
      <c r="T869" t="s">
        <v>4789</v>
      </c>
      <c r="U869">
        <v>1</v>
      </c>
      <c r="V869">
        <v>68.16</v>
      </c>
      <c r="W869" t="s">
        <v>4343</v>
      </c>
      <c r="Y869" t="b">
        <v>0</v>
      </c>
      <c r="Z869" t="b">
        <v>0</v>
      </c>
      <c r="AA869">
        <v>68.16</v>
      </c>
      <c r="AB869">
        <v>0</v>
      </c>
      <c r="AD869" t="b">
        <v>0</v>
      </c>
      <c r="AG869" s="1" t="s">
        <v>271</v>
      </c>
      <c r="AH869" s="1" t="s">
        <v>276</v>
      </c>
      <c r="AI869">
        <v>76</v>
      </c>
      <c r="AJ869">
        <v>198</v>
      </c>
      <c r="AK869" s="106">
        <v>45475.635503483798</v>
      </c>
      <c r="AL869" s="1" t="s">
        <v>4790</v>
      </c>
      <c r="AM869" s="42">
        <f>IFERROR(INDEX('Public procurment'!A:R,MATCH(ListOfExpenditure[[#This Row],[Content.contractId]],'Public procurment'!E:E,0),14),0)</f>
        <v>0</v>
      </c>
      <c r="AN869" s="2">
        <f>IF(AND(ListOfExpenditure[[#This Row],[Contract amount]]&gt;10000,ListOfExpenditure[[#This Row],[Content.declaredAmount]]&gt;2000),1,0)</f>
        <v>0</v>
      </c>
      <c r="AO869">
        <f>IFERROR(INDEX('Public procurment'!A:S,MATCH(ListOfExpenditure[[#This Row],[Content.contractId]],'Public procurment'!E:E,0),19),0)</f>
        <v>0</v>
      </c>
      <c r="AP869">
        <f>IF(ListOfExpenditure[[#This Row],[Numero di volte controllato il contract ]]&gt;0,0,ListOfExpenditure[[#This Row],[IF public procurment &gt;10000;1;0]])</f>
        <v>0</v>
      </c>
    </row>
    <row r="870" spans="1:42" x14ac:dyDescent="0.25">
      <c r="A870">
        <v>1470</v>
      </c>
      <c r="B870">
        <v>58</v>
      </c>
      <c r="E870" t="s">
        <v>4786</v>
      </c>
      <c r="F870" t="b">
        <v>0</v>
      </c>
      <c r="I870" t="s">
        <v>5565</v>
      </c>
      <c r="K870" t="s">
        <v>4359</v>
      </c>
      <c r="L870" t="s">
        <v>4913</v>
      </c>
      <c r="M870" t="s">
        <v>4788</v>
      </c>
      <c r="N870" t="s">
        <v>4788</v>
      </c>
      <c r="O870">
        <v>4544.1099999999997</v>
      </c>
      <c r="Q870">
        <v>0</v>
      </c>
      <c r="R870">
        <v>0</v>
      </c>
      <c r="S870">
        <v>136.32</v>
      </c>
      <c r="T870" t="s">
        <v>4789</v>
      </c>
      <c r="U870">
        <v>1</v>
      </c>
      <c r="V870">
        <v>136.32</v>
      </c>
      <c r="W870" t="s">
        <v>4343</v>
      </c>
      <c r="Y870" t="b">
        <v>0</v>
      </c>
      <c r="Z870" t="b">
        <v>0</v>
      </c>
      <c r="AA870">
        <v>136.32</v>
      </c>
      <c r="AB870">
        <v>0</v>
      </c>
      <c r="AD870" t="b">
        <v>0</v>
      </c>
      <c r="AG870" s="1" t="s">
        <v>271</v>
      </c>
      <c r="AH870" s="1" t="s">
        <v>276</v>
      </c>
      <c r="AI870">
        <v>76</v>
      </c>
      <c r="AJ870">
        <v>198</v>
      </c>
      <c r="AK870" s="106">
        <v>45475.635503483798</v>
      </c>
      <c r="AL870" s="1" t="s">
        <v>4790</v>
      </c>
      <c r="AM870" s="42">
        <f>IFERROR(INDEX('Public procurment'!A:R,MATCH(ListOfExpenditure[[#This Row],[Content.contractId]],'Public procurment'!E:E,0),14),0)</f>
        <v>0</v>
      </c>
      <c r="AN870" s="2">
        <f>IF(AND(ListOfExpenditure[[#This Row],[Contract amount]]&gt;10000,ListOfExpenditure[[#This Row],[Content.declaredAmount]]&gt;2000),1,0)</f>
        <v>0</v>
      </c>
      <c r="AO870">
        <f>IFERROR(INDEX('Public procurment'!A:S,MATCH(ListOfExpenditure[[#This Row],[Content.contractId]],'Public procurment'!E:E,0),19),0)</f>
        <v>0</v>
      </c>
      <c r="AP870">
        <f>IF(ListOfExpenditure[[#This Row],[Numero di volte controllato il contract ]]&gt;0,0,ListOfExpenditure[[#This Row],[IF public procurment &gt;10000;1;0]])</f>
        <v>0</v>
      </c>
    </row>
    <row r="871" spans="1:42" x14ac:dyDescent="0.25">
      <c r="A871">
        <v>1471</v>
      </c>
      <c r="B871">
        <v>59</v>
      </c>
      <c r="E871" t="s">
        <v>4786</v>
      </c>
      <c r="F871" t="b">
        <v>0</v>
      </c>
      <c r="I871" t="s">
        <v>5566</v>
      </c>
      <c r="K871" t="s">
        <v>4931</v>
      </c>
      <c r="L871" t="s">
        <v>5027</v>
      </c>
      <c r="M871" t="s">
        <v>4788</v>
      </c>
      <c r="N871" t="s">
        <v>4788</v>
      </c>
      <c r="O871">
        <v>4544.1099999999997</v>
      </c>
      <c r="Q871">
        <v>0</v>
      </c>
      <c r="R871">
        <v>0</v>
      </c>
      <c r="S871">
        <v>136.32</v>
      </c>
      <c r="T871" t="s">
        <v>4789</v>
      </c>
      <c r="U871">
        <v>1</v>
      </c>
      <c r="V871">
        <v>136.32</v>
      </c>
      <c r="W871" t="s">
        <v>4343</v>
      </c>
      <c r="Y871" t="b">
        <v>1</v>
      </c>
      <c r="Z871" t="b">
        <v>0</v>
      </c>
      <c r="AA871">
        <v>136.32</v>
      </c>
      <c r="AB871">
        <v>0</v>
      </c>
      <c r="AD871" t="b">
        <v>0</v>
      </c>
      <c r="AF871" t="s">
        <v>5270</v>
      </c>
      <c r="AG871" s="1" t="s">
        <v>271</v>
      </c>
      <c r="AH871" s="1" t="s">
        <v>276</v>
      </c>
      <c r="AI871">
        <v>76</v>
      </c>
      <c r="AJ871">
        <v>198</v>
      </c>
      <c r="AK871" s="106">
        <v>45475.635503483798</v>
      </c>
      <c r="AL871" s="1" t="s">
        <v>4790</v>
      </c>
      <c r="AM871" s="42">
        <f>IFERROR(INDEX('Public procurment'!A:R,MATCH(ListOfExpenditure[[#This Row],[Content.contractId]],'Public procurment'!E:E,0),14),0)</f>
        <v>0</v>
      </c>
      <c r="AN871" s="2">
        <f>IF(AND(ListOfExpenditure[[#This Row],[Contract amount]]&gt;10000,ListOfExpenditure[[#This Row],[Content.declaredAmount]]&gt;2000),1,0)</f>
        <v>0</v>
      </c>
      <c r="AO871">
        <f>IFERROR(INDEX('Public procurment'!A:S,MATCH(ListOfExpenditure[[#This Row],[Content.contractId]],'Public procurment'!E:E,0),19),0)</f>
        <v>0</v>
      </c>
      <c r="AP871">
        <f>IF(ListOfExpenditure[[#This Row],[Numero di volte controllato il contract ]]&gt;0,0,ListOfExpenditure[[#This Row],[IF public procurment &gt;10000;1;0]])</f>
        <v>0</v>
      </c>
    </row>
    <row r="872" spans="1:42" x14ac:dyDescent="0.25">
      <c r="A872">
        <v>1475</v>
      </c>
      <c r="B872">
        <v>60</v>
      </c>
      <c r="E872" t="s">
        <v>4786</v>
      </c>
      <c r="F872" t="b">
        <v>0</v>
      </c>
      <c r="I872" t="s">
        <v>5567</v>
      </c>
      <c r="K872" t="s">
        <v>4525</v>
      </c>
      <c r="L872" t="s">
        <v>5533</v>
      </c>
      <c r="M872" t="s">
        <v>4788</v>
      </c>
      <c r="N872" t="s">
        <v>4788</v>
      </c>
      <c r="O872">
        <v>4544.1099999999997</v>
      </c>
      <c r="Q872">
        <v>0</v>
      </c>
      <c r="R872">
        <v>0</v>
      </c>
      <c r="S872">
        <v>136.32</v>
      </c>
      <c r="T872" t="s">
        <v>4789</v>
      </c>
      <c r="U872">
        <v>1</v>
      </c>
      <c r="V872">
        <v>136.32</v>
      </c>
      <c r="W872" t="s">
        <v>4343</v>
      </c>
      <c r="Y872" t="b">
        <v>1</v>
      </c>
      <c r="Z872" t="b">
        <v>0</v>
      </c>
      <c r="AA872">
        <v>136.32</v>
      </c>
      <c r="AB872">
        <v>0</v>
      </c>
      <c r="AD872" t="b">
        <v>0</v>
      </c>
      <c r="AG872" s="1" t="s">
        <v>271</v>
      </c>
      <c r="AH872" s="1" t="s">
        <v>276</v>
      </c>
      <c r="AI872">
        <v>76</v>
      </c>
      <c r="AJ872">
        <v>198</v>
      </c>
      <c r="AK872" s="106">
        <v>45475.635503483798</v>
      </c>
      <c r="AL872" s="1" t="s">
        <v>4790</v>
      </c>
      <c r="AM872" s="42">
        <f>IFERROR(INDEX('Public procurment'!A:R,MATCH(ListOfExpenditure[[#This Row],[Content.contractId]],'Public procurment'!E:E,0),14),0)</f>
        <v>0</v>
      </c>
      <c r="AN872" s="2">
        <f>IF(AND(ListOfExpenditure[[#This Row],[Contract amount]]&gt;10000,ListOfExpenditure[[#This Row],[Content.declaredAmount]]&gt;2000),1,0)</f>
        <v>0</v>
      </c>
      <c r="AO872">
        <f>IFERROR(INDEX('Public procurment'!A:S,MATCH(ListOfExpenditure[[#This Row],[Content.contractId]],'Public procurment'!E:E,0),19),0)</f>
        <v>0</v>
      </c>
      <c r="AP872">
        <f>IF(ListOfExpenditure[[#This Row],[Numero di volte controllato il contract ]]&gt;0,0,ListOfExpenditure[[#This Row],[IF public procurment &gt;10000;1;0]])</f>
        <v>0</v>
      </c>
    </row>
    <row r="873" spans="1:42" x14ac:dyDescent="0.25">
      <c r="A873">
        <v>1477</v>
      </c>
      <c r="B873">
        <v>61</v>
      </c>
      <c r="E873" t="s">
        <v>4786</v>
      </c>
      <c r="F873" t="b">
        <v>0</v>
      </c>
      <c r="I873" t="s">
        <v>5568</v>
      </c>
      <c r="K873" t="s">
        <v>4678</v>
      </c>
      <c r="L873" t="s">
        <v>5535</v>
      </c>
      <c r="M873" t="s">
        <v>4788</v>
      </c>
      <c r="N873" t="s">
        <v>4788</v>
      </c>
      <c r="O873">
        <v>4544.1099999999997</v>
      </c>
      <c r="Q873">
        <v>0</v>
      </c>
      <c r="R873">
        <v>0</v>
      </c>
      <c r="S873">
        <v>136.32</v>
      </c>
      <c r="T873" t="s">
        <v>4789</v>
      </c>
      <c r="U873">
        <v>1</v>
      </c>
      <c r="V873">
        <v>136.32</v>
      </c>
      <c r="W873" t="s">
        <v>4343</v>
      </c>
      <c r="Y873" t="b">
        <v>0</v>
      </c>
      <c r="Z873" t="b">
        <v>0</v>
      </c>
      <c r="AA873">
        <v>136.32</v>
      </c>
      <c r="AB873">
        <v>0</v>
      </c>
      <c r="AD873" t="b">
        <v>0</v>
      </c>
      <c r="AG873" s="1" t="s">
        <v>271</v>
      </c>
      <c r="AH873" s="1" t="s">
        <v>276</v>
      </c>
      <c r="AI873">
        <v>76</v>
      </c>
      <c r="AJ873">
        <v>198</v>
      </c>
      <c r="AK873" s="106">
        <v>45475.635503483798</v>
      </c>
      <c r="AL873" s="1" t="s">
        <v>4790</v>
      </c>
      <c r="AM873" s="42">
        <f>IFERROR(INDEX('Public procurment'!A:R,MATCH(ListOfExpenditure[[#This Row],[Content.contractId]],'Public procurment'!E:E,0),14),0)</f>
        <v>0</v>
      </c>
      <c r="AN873" s="2">
        <f>IF(AND(ListOfExpenditure[[#This Row],[Contract amount]]&gt;10000,ListOfExpenditure[[#This Row],[Content.declaredAmount]]&gt;2000),1,0)</f>
        <v>0</v>
      </c>
      <c r="AO873">
        <f>IFERROR(INDEX('Public procurment'!A:S,MATCH(ListOfExpenditure[[#This Row],[Content.contractId]],'Public procurment'!E:E,0),19),0)</f>
        <v>0</v>
      </c>
      <c r="AP873">
        <f>IF(ListOfExpenditure[[#This Row],[Numero di volte controllato il contract ]]&gt;0,0,ListOfExpenditure[[#This Row],[IF public procurment &gt;10000;1;0]])</f>
        <v>0</v>
      </c>
    </row>
    <row r="874" spans="1:42" x14ac:dyDescent="0.25">
      <c r="A874">
        <v>1664</v>
      </c>
      <c r="B874">
        <v>1</v>
      </c>
      <c r="E874" t="s">
        <v>4850</v>
      </c>
      <c r="F874" t="b">
        <v>0</v>
      </c>
      <c r="H874">
        <v>240</v>
      </c>
      <c r="I874" t="s">
        <v>6336</v>
      </c>
      <c r="J874" t="s">
        <v>6337</v>
      </c>
      <c r="K874" t="s">
        <v>5065</v>
      </c>
      <c r="L874" t="s">
        <v>5115</v>
      </c>
      <c r="M874" t="s">
        <v>4788</v>
      </c>
      <c r="N874" t="s">
        <v>4788</v>
      </c>
      <c r="O874">
        <v>15990</v>
      </c>
      <c r="P874">
        <v>2883.44</v>
      </c>
      <c r="Q874">
        <v>0</v>
      </c>
      <c r="R874">
        <v>0</v>
      </c>
      <c r="S874">
        <v>15990</v>
      </c>
      <c r="T874" t="s">
        <v>4789</v>
      </c>
      <c r="U874">
        <v>1</v>
      </c>
      <c r="V874">
        <v>15990</v>
      </c>
      <c r="W874" t="s">
        <v>4343</v>
      </c>
      <c r="Y874" t="b">
        <v>1</v>
      </c>
      <c r="Z874" t="b">
        <v>0</v>
      </c>
      <c r="AA874">
        <v>15990</v>
      </c>
      <c r="AB874">
        <v>0</v>
      </c>
      <c r="AD874" t="b">
        <v>0</v>
      </c>
      <c r="AG874" s="1" t="s">
        <v>57</v>
      </c>
      <c r="AH874" s="1" t="s">
        <v>29</v>
      </c>
      <c r="AI874">
        <v>312</v>
      </c>
      <c r="AJ874">
        <v>218</v>
      </c>
      <c r="AK874" s="106">
        <v>45475.635524282407</v>
      </c>
      <c r="AL874" s="1" t="s">
        <v>4790</v>
      </c>
      <c r="AM874" s="42">
        <f>IFERROR(INDEX('Public procurment'!A:R,MATCH(ListOfExpenditure[[#This Row],[Content.contractId]],'Public procurment'!E:E,0),14),0)</f>
        <v>25613.93</v>
      </c>
      <c r="AN874" s="2">
        <f>IF(AND(ListOfExpenditure[[#This Row],[Contract amount]]&gt;10000,ListOfExpenditure[[#This Row],[Content.declaredAmount]]&gt;2000),1,0)</f>
        <v>1</v>
      </c>
      <c r="AO874">
        <f>IFERROR(INDEX('Public procurment'!A:S,MATCH(ListOfExpenditure[[#This Row],[Content.contractId]],'Public procurment'!E:E,0),19),0)</f>
        <v>3</v>
      </c>
      <c r="AP874">
        <f>IF(ListOfExpenditure[[#This Row],[Numero di volte controllato il contract ]]&gt;0,0,ListOfExpenditure[[#This Row],[IF public procurment &gt;10000;1;0]])</f>
        <v>0</v>
      </c>
    </row>
    <row r="875" spans="1:42" x14ac:dyDescent="0.25">
      <c r="A875">
        <v>1665</v>
      </c>
      <c r="B875">
        <v>2</v>
      </c>
      <c r="E875" t="s">
        <v>4850</v>
      </c>
      <c r="F875" t="b">
        <v>0</v>
      </c>
      <c r="H875">
        <v>240</v>
      </c>
      <c r="I875" t="s">
        <v>6336</v>
      </c>
      <c r="J875" t="s">
        <v>6338</v>
      </c>
      <c r="K875" t="s">
        <v>5065</v>
      </c>
      <c r="L875" t="s">
        <v>5115</v>
      </c>
      <c r="M875" t="s">
        <v>4788</v>
      </c>
      <c r="N875" t="s">
        <v>4788</v>
      </c>
      <c r="O875">
        <v>8831</v>
      </c>
      <c r="P875">
        <v>1592.48</v>
      </c>
      <c r="Q875">
        <v>0</v>
      </c>
      <c r="R875">
        <v>0</v>
      </c>
      <c r="S875">
        <v>8831</v>
      </c>
      <c r="T875" t="s">
        <v>4789</v>
      </c>
      <c r="U875">
        <v>1</v>
      </c>
      <c r="V875">
        <v>8831</v>
      </c>
      <c r="W875" t="s">
        <v>4343</v>
      </c>
      <c r="Y875" t="b">
        <v>1</v>
      </c>
      <c r="Z875" t="b">
        <v>0</v>
      </c>
      <c r="AA875">
        <v>8831</v>
      </c>
      <c r="AB875">
        <v>0</v>
      </c>
      <c r="AD875" t="b">
        <v>0</v>
      </c>
      <c r="AG875" s="1" t="s">
        <v>57</v>
      </c>
      <c r="AH875" s="1" t="s">
        <v>29</v>
      </c>
      <c r="AI875">
        <v>312</v>
      </c>
      <c r="AJ875">
        <v>218</v>
      </c>
      <c r="AK875" s="106">
        <v>45475.635524282407</v>
      </c>
      <c r="AL875" s="1" t="s">
        <v>4790</v>
      </c>
      <c r="AM875" s="42">
        <f>IFERROR(INDEX('Public procurment'!A:R,MATCH(ListOfExpenditure[[#This Row],[Content.contractId]],'Public procurment'!E:E,0),14),0)</f>
        <v>25613.93</v>
      </c>
      <c r="AN875" s="2">
        <f>IF(AND(ListOfExpenditure[[#This Row],[Contract amount]]&gt;10000,ListOfExpenditure[[#This Row],[Content.declaredAmount]]&gt;2000),1,0)</f>
        <v>1</v>
      </c>
      <c r="AO875">
        <f>IFERROR(INDEX('Public procurment'!A:S,MATCH(ListOfExpenditure[[#This Row],[Content.contractId]],'Public procurment'!E:E,0),19),0)</f>
        <v>3</v>
      </c>
      <c r="AP875">
        <f>IF(ListOfExpenditure[[#This Row],[Numero di volte controllato il contract ]]&gt;0,0,ListOfExpenditure[[#This Row],[IF public procurment &gt;10000;1;0]])</f>
        <v>0</v>
      </c>
    </row>
    <row r="876" spans="1:42" x14ac:dyDescent="0.25">
      <c r="A876">
        <v>1667</v>
      </c>
      <c r="B876">
        <v>3</v>
      </c>
      <c r="E876" t="s">
        <v>4850</v>
      </c>
      <c r="F876" t="b">
        <v>0</v>
      </c>
      <c r="H876">
        <v>240</v>
      </c>
      <c r="I876" t="s">
        <v>6336</v>
      </c>
      <c r="J876" t="s">
        <v>6339</v>
      </c>
      <c r="K876" t="s">
        <v>5065</v>
      </c>
      <c r="L876" t="s">
        <v>5115</v>
      </c>
      <c r="M876" t="s">
        <v>4788</v>
      </c>
      <c r="N876" t="s">
        <v>4788</v>
      </c>
      <c r="O876">
        <v>6428</v>
      </c>
      <c r="P876">
        <v>1159.1500000000001</v>
      </c>
      <c r="Q876">
        <v>0</v>
      </c>
      <c r="R876">
        <v>0</v>
      </c>
      <c r="S876">
        <v>6428</v>
      </c>
      <c r="T876" t="s">
        <v>4789</v>
      </c>
      <c r="U876">
        <v>1</v>
      </c>
      <c r="V876">
        <v>6428</v>
      </c>
      <c r="W876" t="s">
        <v>4343</v>
      </c>
      <c r="Y876" t="b">
        <v>1</v>
      </c>
      <c r="Z876" t="b">
        <v>0</v>
      </c>
      <c r="AA876">
        <v>6428</v>
      </c>
      <c r="AB876">
        <v>0</v>
      </c>
      <c r="AD876" t="b">
        <v>0</v>
      </c>
      <c r="AG876" s="1" t="s">
        <v>57</v>
      </c>
      <c r="AH876" s="1" t="s">
        <v>29</v>
      </c>
      <c r="AI876">
        <v>312</v>
      </c>
      <c r="AJ876">
        <v>218</v>
      </c>
      <c r="AK876" s="106">
        <v>45475.635524282407</v>
      </c>
      <c r="AL876" s="1" t="s">
        <v>4790</v>
      </c>
      <c r="AM876" s="42">
        <f>IFERROR(INDEX('Public procurment'!A:R,MATCH(ListOfExpenditure[[#This Row],[Content.contractId]],'Public procurment'!E:E,0),14),0)</f>
        <v>25613.93</v>
      </c>
      <c r="AN876" s="2">
        <f>IF(AND(ListOfExpenditure[[#This Row],[Contract amount]]&gt;10000,ListOfExpenditure[[#This Row],[Content.declaredAmount]]&gt;2000),1,0)</f>
        <v>1</v>
      </c>
      <c r="AO876">
        <f>IFERROR(INDEX('Public procurment'!A:S,MATCH(ListOfExpenditure[[#This Row],[Content.contractId]],'Public procurment'!E:E,0),19),0)</f>
        <v>3</v>
      </c>
      <c r="AP876">
        <f>IF(ListOfExpenditure[[#This Row],[Numero di volte controllato il contract ]]&gt;0,0,ListOfExpenditure[[#This Row],[IF public procurment &gt;10000;1;0]])</f>
        <v>0</v>
      </c>
    </row>
    <row r="877" spans="1:42" x14ac:dyDescent="0.25">
      <c r="A877">
        <v>1775</v>
      </c>
      <c r="B877">
        <v>4</v>
      </c>
      <c r="E877" t="s">
        <v>4786</v>
      </c>
      <c r="F877" t="b">
        <v>0</v>
      </c>
      <c r="I877" t="s">
        <v>6340</v>
      </c>
      <c r="L877" t="s">
        <v>4831</v>
      </c>
      <c r="M877" t="s">
        <v>4788</v>
      </c>
      <c r="N877" t="s">
        <v>4788</v>
      </c>
      <c r="O877">
        <v>1712.46</v>
      </c>
      <c r="Q877">
        <v>0</v>
      </c>
      <c r="R877">
        <v>0</v>
      </c>
      <c r="S877">
        <v>856.23</v>
      </c>
      <c r="T877" t="s">
        <v>4789</v>
      </c>
      <c r="U877">
        <v>1</v>
      </c>
      <c r="V877">
        <v>856.23</v>
      </c>
      <c r="W877" t="s">
        <v>4343</v>
      </c>
      <c r="Y877" t="b">
        <v>1</v>
      </c>
      <c r="Z877" t="b">
        <v>0</v>
      </c>
      <c r="AA877">
        <v>856.23</v>
      </c>
      <c r="AB877">
        <v>0</v>
      </c>
      <c r="AD877" t="b">
        <v>0</v>
      </c>
      <c r="AG877" s="1" t="s">
        <v>57</v>
      </c>
      <c r="AH877" s="1" t="s">
        <v>29</v>
      </c>
      <c r="AI877">
        <v>312</v>
      </c>
      <c r="AJ877">
        <v>218</v>
      </c>
      <c r="AK877" s="106">
        <v>45475.635524282407</v>
      </c>
      <c r="AL877" s="1" t="s">
        <v>4790</v>
      </c>
      <c r="AM877" s="42">
        <f>IFERROR(INDEX('Public procurment'!A:R,MATCH(ListOfExpenditure[[#This Row],[Content.contractId]],'Public procurment'!E:E,0),14),0)</f>
        <v>0</v>
      </c>
      <c r="AN877" s="2">
        <f>IF(AND(ListOfExpenditure[[#This Row],[Contract amount]]&gt;10000,ListOfExpenditure[[#This Row],[Content.declaredAmount]]&gt;2000),1,0)</f>
        <v>0</v>
      </c>
      <c r="AO877">
        <f>IFERROR(INDEX('Public procurment'!A:S,MATCH(ListOfExpenditure[[#This Row],[Content.contractId]],'Public procurment'!E:E,0),19),0)</f>
        <v>0</v>
      </c>
      <c r="AP877">
        <f>IF(ListOfExpenditure[[#This Row],[Numero di volte controllato il contract ]]&gt;0,0,ListOfExpenditure[[#This Row],[IF public procurment &gt;10000;1;0]])</f>
        <v>0</v>
      </c>
    </row>
    <row r="878" spans="1:42" x14ac:dyDescent="0.25">
      <c r="A878">
        <v>1776</v>
      </c>
      <c r="B878">
        <v>5</v>
      </c>
      <c r="E878" t="s">
        <v>4786</v>
      </c>
      <c r="F878" t="b">
        <v>0</v>
      </c>
      <c r="I878" t="s">
        <v>6341</v>
      </c>
      <c r="L878" t="s">
        <v>4957</v>
      </c>
      <c r="M878" t="s">
        <v>4788</v>
      </c>
      <c r="N878" t="s">
        <v>4788</v>
      </c>
      <c r="O878">
        <v>1653.81</v>
      </c>
      <c r="Q878">
        <v>0</v>
      </c>
      <c r="R878">
        <v>0</v>
      </c>
      <c r="S878">
        <v>826.9</v>
      </c>
      <c r="T878" t="s">
        <v>4789</v>
      </c>
      <c r="U878">
        <v>1</v>
      </c>
      <c r="V878">
        <v>826.9</v>
      </c>
      <c r="W878" t="s">
        <v>4343</v>
      </c>
      <c r="Y878" t="b">
        <v>1</v>
      </c>
      <c r="Z878" t="b">
        <v>0</v>
      </c>
      <c r="AA878">
        <v>826.9</v>
      </c>
      <c r="AB878">
        <v>0</v>
      </c>
      <c r="AD878" t="b">
        <v>0</v>
      </c>
      <c r="AG878" s="1" t="s">
        <v>57</v>
      </c>
      <c r="AH878" s="1" t="s">
        <v>29</v>
      </c>
      <c r="AI878">
        <v>312</v>
      </c>
      <c r="AJ878">
        <v>218</v>
      </c>
      <c r="AK878" s="106">
        <v>45475.635524282407</v>
      </c>
      <c r="AL878" s="1" t="s">
        <v>4790</v>
      </c>
      <c r="AM878" s="42">
        <f>IFERROR(INDEX('Public procurment'!A:R,MATCH(ListOfExpenditure[[#This Row],[Content.contractId]],'Public procurment'!E:E,0),14),0)</f>
        <v>0</v>
      </c>
      <c r="AN878" s="2">
        <f>IF(AND(ListOfExpenditure[[#This Row],[Contract amount]]&gt;10000,ListOfExpenditure[[#This Row],[Content.declaredAmount]]&gt;2000),1,0)</f>
        <v>0</v>
      </c>
      <c r="AO878">
        <f>IFERROR(INDEX('Public procurment'!A:S,MATCH(ListOfExpenditure[[#This Row],[Content.contractId]],'Public procurment'!E:E,0),19),0)</f>
        <v>0</v>
      </c>
      <c r="AP878">
        <f>IF(ListOfExpenditure[[#This Row],[Numero di volte controllato il contract ]]&gt;0,0,ListOfExpenditure[[#This Row],[IF public procurment &gt;10000;1;0]])</f>
        <v>0</v>
      </c>
    </row>
    <row r="879" spans="1:42" x14ac:dyDescent="0.25">
      <c r="A879">
        <v>1777</v>
      </c>
      <c r="B879">
        <v>6</v>
      </c>
      <c r="E879" t="s">
        <v>4786</v>
      </c>
      <c r="F879" t="b">
        <v>0</v>
      </c>
      <c r="I879" t="s">
        <v>6342</v>
      </c>
      <c r="L879" t="s">
        <v>4914</v>
      </c>
      <c r="M879" t="s">
        <v>4788</v>
      </c>
      <c r="N879" t="s">
        <v>4788</v>
      </c>
      <c r="O879">
        <v>1914.02</v>
      </c>
      <c r="Q879">
        <v>0</v>
      </c>
      <c r="R879">
        <v>0</v>
      </c>
      <c r="S879">
        <v>957.01</v>
      </c>
      <c r="T879" t="s">
        <v>4789</v>
      </c>
      <c r="U879">
        <v>1</v>
      </c>
      <c r="V879">
        <v>957.01</v>
      </c>
      <c r="W879" t="s">
        <v>4343</v>
      </c>
      <c r="Y879" t="b">
        <v>1</v>
      </c>
      <c r="Z879" t="b">
        <v>0</v>
      </c>
      <c r="AA879">
        <v>957.01</v>
      </c>
      <c r="AB879">
        <v>0</v>
      </c>
      <c r="AD879" t="b">
        <v>0</v>
      </c>
      <c r="AG879" s="1" t="s">
        <v>57</v>
      </c>
      <c r="AH879" s="1" t="s">
        <v>29</v>
      </c>
      <c r="AI879">
        <v>312</v>
      </c>
      <c r="AJ879">
        <v>218</v>
      </c>
      <c r="AK879" s="106">
        <v>45475.635524282407</v>
      </c>
      <c r="AL879" s="1" t="s">
        <v>4790</v>
      </c>
      <c r="AM879" s="42">
        <f>IFERROR(INDEX('Public procurment'!A:R,MATCH(ListOfExpenditure[[#This Row],[Content.contractId]],'Public procurment'!E:E,0),14),0)</f>
        <v>0</v>
      </c>
      <c r="AN879" s="2">
        <f>IF(AND(ListOfExpenditure[[#This Row],[Contract amount]]&gt;10000,ListOfExpenditure[[#This Row],[Content.declaredAmount]]&gt;2000),1,0)</f>
        <v>0</v>
      </c>
      <c r="AO879">
        <f>IFERROR(INDEX('Public procurment'!A:S,MATCH(ListOfExpenditure[[#This Row],[Content.contractId]],'Public procurment'!E:E,0),19),0)</f>
        <v>0</v>
      </c>
      <c r="AP879">
        <f>IF(ListOfExpenditure[[#This Row],[Numero di volte controllato il contract ]]&gt;0,0,ListOfExpenditure[[#This Row],[IF public procurment &gt;10000;1;0]])</f>
        <v>0</v>
      </c>
    </row>
    <row r="880" spans="1:42" x14ac:dyDescent="0.25">
      <c r="A880">
        <v>1778</v>
      </c>
      <c r="B880">
        <v>7</v>
      </c>
      <c r="E880" t="s">
        <v>4786</v>
      </c>
      <c r="F880" t="b">
        <v>0</v>
      </c>
      <c r="I880" t="s">
        <v>6343</v>
      </c>
      <c r="L880" t="s">
        <v>4959</v>
      </c>
      <c r="M880" t="s">
        <v>4788</v>
      </c>
      <c r="N880" t="s">
        <v>4788</v>
      </c>
      <c r="O880">
        <v>1555.4</v>
      </c>
      <c r="Q880">
        <v>0</v>
      </c>
      <c r="R880">
        <v>0</v>
      </c>
      <c r="S880">
        <v>777.7</v>
      </c>
      <c r="T880" t="s">
        <v>4789</v>
      </c>
      <c r="U880">
        <v>1</v>
      </c>
      <c r="V880">
        <v>777.7</v>
      </c>
      <c r="W880" t="s">
        <v>4343</v>
      </c>
      <c r="Y880" t="b">
        <v>1</v>
      </c>
      <c r="Z880" t="b">
        <v>0</v>
      </c>
      <c r="AA880">
        <v>755.7</v>
      </c>
      <c r="AB880">
        <v>22</v>
      </c>
      <c r="AC880">
        <v>14</v>
      </c>
      <c r="AD880" t="b">
        <v>0</v>
      </c>
      <c r="AF880" t="s">
        <v>6344</v>
      </c>
      <c r="AG880" s="1" t="s">
        <v>57</v>
      </c>
      <c r="AH880" s="1" t="s">
        <v>29</v>
      </c>
      <c r="AI880">
        <v>312</v>
      </c>
      <c r="AJ880">
        <v>218</v>
      </c>
      <c r="AK880" s="106">
        <v>45475.635524282407</v>
      </c>
      <c r="AL880" s="1" t="s">
        <v>4790</v>
      </c>
      <c r="AM880" s="42">
        <f>IFERROR(INDEX('Public procurment'!A:R,MATCH(ListOfExpenditure[[#This Row],[Content.contractId]],'Public procurment'!E:E,0),14),0)</f>
        <v>0</v>
      </c>
      <c r="AN880" s="2">
        <f>IF(AND(ListOfExpenditure[[#This Row],[Contract amount]]&gt;10000,ListOfExpenditure[[#This Row],[Content.declaredAmount]]&gt;2000),1,0)</f>
        <v>0</v>
      </c>
      <c r="AO880">
        <f>IFERROR(INDEX('Public procurment'!A:S,MATCH(ListOfExpenditure[[#This Row],[Content.contractId]],'Public procurment'!E:E,0),19),0)</f>
        <v>0</v>
      </c>
      <c r="AP880">
        <f>IF(ListOfExpenditure[[#This Row],[Numero di volte controllato il contract ]]&gt;0,0,ListOfExpenditure[[#This Row],[IF public procurment &gt;10000;1;0]])</f>
        <v>0</v>
      </c>
    </row>
    <row r="881" spans="1:42" x14ac:dyDescent="0.25">
      <c r="A881">
        <v>1779</v>
      </c>
      <c r="B881">
        <v>8</v>
      </c>
      <c r="E881" t="s">
        <v>4786</v>
      </c>
      <c r="F881" t="b">
        <v>0</v>
      </c>
      <c r="I881" t="s">
        <v>6345</v>
      </c>
      <c r="L881" t="s">
        <v>4835</v>
      </c>
      <c r="M881" t="s">
        <v>4788</v>
      </c>
      <c r="N881" t="s">
        <v>4788</v>
      </c>
      <c r="O881">
        <v>2115.2399999999998</v>
      </c>
      <c r="Q881">
        <v>0</v>
      </c>
      <c r="R881">
        <v>0</v>
      </c>
      <c r="S881">
        <v>1057.6199999999999</v>
      </c>
      <c r="T881" t="s">
        <v>4789</v>
      </c>
      <c r="U881">
        <v>1</v>
      </c>
      <c r="V881">
        <v>1057.6199999999999</v>
      </c>
      <c r="W881" t="s">
        <v>4343</v>
      </c>
      <c r="Y881" t="b">
        <v>1</v>
      </c>
      <c r="Z881" t="b">
        <v>0</v>
      </c>
      <c r="AA881">
        <v>1027.3800000000001</v>
      </c>
      <c r="AB881">
        <v>30.24</v>
      </c>
      <c r="AC881">
        <v>14</v>
      </c>
      <c r="AD881" t="b">
        <v>0</v>
      </c>
      <c r="AF881" t="s">
        <v>6346</v>
      </c>
      <c r="AG881" s="1" t="s">
        <v>57</v>
      </c>
      <c r="AH881" s="1" t="s">
        <v>29</v>
      </c>
      <c r="AI881">
        <v>312</v>
      </c>
      <c r="AJ881">
        <v>218</v>
      </c>
      <c r="AK881" s="106">
        <v>45475.635524282407</v>
      </c>
      <c r="AL881" s="1" t="s">
        <v>4790</v>
      </c>
      <c r="AM881" s="42">
        <f>IFERROR(INDEX('Public procurment'!A:R,MATCH(ListOfExpenditure[[#This Row],[Content.contractId]],'Public procurment'!E:E,0),14),0)</f>
        <v>0</v>
      </c>
      <c r="AN881" s="2">
        <f>IF(AND(ListOfExpenditure[[#This Row],[Contract amount]]&gt;10000,ListOfExpenditure[[#This Row],[Content.declaredAmount]]&gt;2000),1,0)</f>
        <v>0</v>
      </c>
      <c r="AO881">
        <f>IFERROR(INDEX('Public procurment'!A:S,MATCH(ListOfExpenditure[[#This Row],[Content.contractId]],'Public procurment'!E:E,0),19),0)</f>
        <v>0</v>
      </c>
      <c r="AP881">
        <f>IF(ListOfExpenditure[[#This Row],[Numero di volte controllato il contract ]]&gt;0,0,ListOfExpenditure[[#This Row],[IF public procurment &gt;10000;1;0]])</f>
        <v>0</v>
      </c>
    </row>
    <row r="882" spans="1:42" x14ac:dyDescent="0.25">
      <c r="A882">
        <v>1780</v>
      </c>
      <c r="B882">
        <v>9</v>
      </c>
      <c r="E882" t="s">
        <v>4786</v>
      </c>
      <c r="F882" t="b">
        <v>0</v>
      </c>
      <c r="I882" t="s">
        <v>6347</v>
      </c>
      <c r="L882" t="s">
        <v>4831</v>
      </c>
      <c r="M882" t="s">
        <v>4788</v>
      </c>
      <c r="N882" t="s">
        <v>4788</v>
      </c>
      <c r="O882">
        <v>2477.75</v>
      </c>
      <c r="Q882">
        <v>0</v>
      </c>
      <c r="R882">
        <v>0</v>
      </c>
      <c r="S882">
        <v>619.44000000000005</v>
      </c>
      <c r="T882" t="s">
        <v>4789</v>
      </c>
      <c r="U882">
        <v>1</v>
      </c>
      <c r="V882">
        <v>619.44000000000005</v>
      </c>
      <c r="W882" t="s">
        <v>4343</v>
      </c>
      <c r="Y882" t="b">
        <v>0</v>
      </c>
      <c r="Z882" t="b">
        <v>0</v>
      </c>
      <c r="AA882">
        <v>619.44000000000005</v>
      </c>
      <c r="AB882">
        <v>0</v>
      </c>
      <c r="AD882" t="b">
        <v>0</v>
      </c>
      <c r="AG882" s="1" t="s">
        <v>57</v>
      </c>
      <c r="AH882" s="1" t="s">
        <v>29</v>
      </c>
      <c r="AI882">
        <v>312</v>
      </c>
      <c r="AJ882">
        <v>218</v>
      </c>
      <c r="AK882" s="106">
        <v>45475.635524282407</v>
      </c>
      <c r="AL882" s="1" t="s">
        <v>4790</v>
      </c>
      <c r="AM882" s="42">
        <f>IFERROR(INDEX('Public procurment'!A:R,MATCH(ListOfExpenditure[[#This Row],[Content.contractId]],'Public procurment'!E:E,0),14),0)</f>
        <v>0</v>
      </c>
      <c r="AN882" s="2">
        <f>IF(AND(ListOfExpenditure[[#This Row],[Contract amount]]&gt;10000,ListOfExpenditure[[#This Row],[Content.declaredAmount]]&gt;2000),1,0)</f>
        <v>0</v>
      </c>
      <c r="AO882">
        <f>IFERROR(INDEX('Public procurment'!A:S,MATCH(ListOfExpenditure[[#This Row],[Content.contractId]],'Public procurment'!E:E,0),19),0)</f>
        <v>0</v>
      </c>
      <c r="AP882">
        <f>IF(ListOfExpenditure[[#This Row],[Numero di volte controllato il contract ]]&gt;0,0,ListOfExpenditure[[#This Row],[IF public procurment &gt;10000;1;0]])</f>
        <v>0</v>
      </c>
    </row>
    <row r="883" spans="1:42" x14ac:dyDescent="0.25">
      <c r="A883">
        <v>1781</v>
      </c>
      <c r="B883">
        <v>10</v>
      </c>
      <c r="E883" t="s">
        <v>4786</v>
      </c>
      <c r="F883" t="b">
        <v>0</v>
      </c>
      <c r="I883" t="s">
        <v>6348</v>
      </c>
      <c r="L883" t="s">
        <v>4957</v>
      </c>
      <c r="M883" t="s">
        <v>4788</v>
      </c>
      <c r="N883" t="s">
        <v>4788</v>
      </c>
      <c r="O883">
        <v>1263</v>
      </c>
      <c r="Q883">
        <v>0</v>
      </c>
      <c r="R883">
        <v>0</v>
      </c>
      <c r="S883">
        <v>315.75</v>
      </c>
      <c r="T883" t="s">
        <v>4789</v>
      </c>
      <c r="U883">
        <v>1</v>
      </c>
      <c r="V883">
        <v>315.75</v>
      </c>
      <c r="W883" t="s">
        <v>4343</v>
      </c>
      <c r="Y883" t="b">
        <v>0</v>
      </c>
      <c r="Z883" t="b">
        <v>0</v>
      </c>
      <c r="AA883">
        <v>315.75</v>
      </c>
      <c r="AB883">
        <v>0</v>
      </c>
      <c r="AD883" t="b">
        <v>0</v>
      </c>
      <c r="AG883" s="1" t="s">
        <v>57</v>
      </c>
      <c r="AH883" s="1" t="s">
        <v>29</v>
      </c>
      <c r="AI883">
        <v>312</v>
      </c>
      <c r="AJ883">
        <v>218</v>
      </c>
      <c r="AK883" s="106">
        <v>45475.635524282407</v>
      </c>
      <c r="AL883" s="1" t="s">
        <v>4790</v>
      </c>
      <c r="AM883" s="42">
        <f>IFERROR(INDEX('Public procurment'!A:R,MATCH(ListOfExpenditure[[#This Row],[Content.contractId]],'Public procurment'!E:E,0),14),0)</f>
        <v>0</v>
      </c>
      <c r="AN883" s="2">
        <f>IF(AND(ListOfExpenditure[[#This Row],[Contract amount]]&gt;10000,ListOfExpenditure[[#This Row],[Content.declaredAmount]]&gt;2000),1,0)</f>
        <v>0</v>
      </c>
      <c r="AO883">
        <f>IFERROR(INDEX('Public procurment'!A:S,MATCH(ListOfExpenditure[[#This Row],[Content.contractId]],'Public procurment'!E:E,0),19),0)</f>
        <v>0</v>
      </c>
      <c r="AP883">
        <f>IF(ListOfExpenditure[[#This Row],[Numero di volte controllato il contract ]]&gt;0,0,ListOfExpenditure[[#This Row],[IF public procurment &gt;10000;1;0]])</f>
        <v>0</v>
      </c>
    </row>
    <row r="884" spans="1:42" x14ac:dyDescent="0.25">
      <c r="A884">
        <v>1782</v>
      </c>
      <c r="B884">
        <v>11</v>
      </c>
      <c r="E884" t="s">
        <v>4786</v>
      </c>
      <c r="F884" t="b">
        <v>0</v>
      </c>
      <c r="I884" t="s">
        <v>6349</v>
      </c>
      <c r="L884" t="s">
        <v>4914</v>
      </c>
      <c r="M884" t="s">
        <v>4788</v>
      </c>
      <c r="N884" t="s">
        <v>4788</v>
      </c>
      <c r="O884">
        <v>2572.25</v>
      </c>
      <c r="Q884">
        <v>0</v>
      </c>
      <c r="R884">
        <v>0</v>
      </c>
      <c r="S884">
        <v>643.05999999999995</v>
      </c>
      <c r="T884" t="s">
        <v>4789</v>
      </c>
      <c r="U884">
        <v>1</v>
      </c>
      <c r="V884">
        <v>643.05999999999995</v>
      </c>
      <c r="W884" t="s">
        <v>4343</v>
      </c>
      <c r="Y884" t="b">
        <v>0</v>
      </c>
      <c r="Z884" t="b">
        <v>0</v>
      </c>
      <c r="AA884">
        <v>643.05999999999995</v>
      </c>
      <c r="AB884">
        <v>0</v>
      </c>
      <c r="AD884" t="b">
        <v>0</v>
      </c>
      <c r="AG884" s="1" t="s">
        <v>57</v>
      </c>
      <c r="AH884" s="1" t="s">
        <v>29</v>
      </c>
      <c r="AI884">
        <v>312</v>
      </c>
      <c r="AJ884">
        <v>218</v>
      </c>
      <c r="AK884" s="106">
        <v>45475.635524282407</v>
      </c>
      <c r="AL884" s="1" t="s">
        <v>4790</v>
      </c>
      <c r="AM884" s="42">
        <f>IFERROR(INDEX('Public procurment'!A:R,MATCH(ListOfExpenditure[[#This Row],[Content.contractId]],'Public procurment'!E:E,0),14),0)</f>
        <v>0</v>
      </c>
      <c r="AN884" s="2">
        <f>IF(AND(ListOfExpenditure[[#This Row],[Contract amount]]&gt;10000,ListOfExpenditure[[#This Row],[Content.declaredAmount]]&gt;2000),1,0)</f>
        <v>0</v>
      </c>
      <c r="AO884">
        <f>IFERROR(INDEX('Public procurment'!A:S,MATCH(ListOfExpenditure[[#This Row],[Content.contractId]],'Public procurment'!E:E,0),19),0)</f>
        <v>0</v>
      </c>
      <c r="AP884">
        <f>IF(ListOfExpenditure[[#This Row],[Numero di volte controllato il contract ]]&gt;0,0,ListOfExpenditure[[#This Row],[IF public procurment &gt;10000;1;0]])</f>
        <v>0</v>
      </c>
    </row>
    <row r="885" spans="1:42" x14ac:dyDescent="0.25">
      <c r="A885">
        <v>1783</v>
      </c>
      <c r="B885">
        <v>12</v>
      </c>
      <c r="E885" t="s">
        <v>4786</v>
      </c>
      <c r="F885" t="b">
        <v>0</v>
      </c>
      <c r="I885" t="s">
        <v>6350</v>
      </c>
      <c r="L885" t="s">
        <v>4959</v>
      </c>
      <c r="M885" t="s">
        <v>4788</v>
      </c>
      <c r="N885" t="s">
        <v>4788</v>
      </c>
      <c r="O885">
        <v>2534.27</v>
      </c>
      <c r="Q885">
        <v>0</v>
      </c>
      <c r="R885">
        <v>0</v>
      </c>
      <c r="S885">
        <v>633.57000000000005</v>
      </c>
      <c r="T885" t="s">
        <v>4789</v>
      </c>
      <c r="U885">
        <v>1</v>
      </c>
      <c r="V885">
        <v>633.57000000000005</v>
      </c>
      <c r="W885" t="s">
        <v>4343</v>
      </c>
      <c r="Y885" t="b">
        <v>0</v>
      </c>
      <c r="Z885" t="b">
        <v>0</v>
      </c>
      <c r="AA885">
        <v>633.57000000000005</v>
      </c>
      <c r="AB885">
        <v>0</v>
      </c>
      <c r="AD885" t="b">
        <v>0</v>
      </c>
      <c r="AG885" s="1" t="s">
        <v>57</v>
      </c>
      <c r="AH885" s="1" t="s">
        <v>29</v>
      </c>
      <c r="AI885">
        <v>312</v>
      </c>
      <c r="AJ885">
        <v>218</v>
      </c>
      <c r="AK885" s="106">
        <v>45475.635524282407</v>
      </c>
      <c r="AL885" s="1" t="s">
        <v>4790</v>
      </c>
      <c r="AM885" s="42">
        <f>IFERROR(INDEX('Public procurment'!A:R,MATCH(ListOfExpenditure[[#This Row],[Content.contractId]],'Public procurment'!E:E,0),14),0)</f>
        <v>0</v>
      </c>
      <c r="AN885" s="2">
        <f>IF(AND(ListOfExpenditure[[#This Row],[Contract amount]]&gt;10000,ListOfExpenditure[[#This Row],[Content.declaredAmount]]&gt;2000),1,0)</f>
        <v>0</v>
      </c>
      <c r="AO885">
        <f>IFERROR(INDEX('Public procurment'!A:S,MATCH(ListOfExpenditure[[#This Row],[Content.contractId]],'Public procurment'!E:E,0),19),0)</f>
        <v>0</v>
      </c>
      <c r="AP885">
        <f>IF(ListOfExpenditure[[#This Row],[Numero di volte controllato il contract ]]&gt;0,0,ListOfExpenditure[[#This Row],[IF public procurment &gt;10000;1;0]])</f>
        <v>0</v>
      </c>
    </row>
    <row r="886" spans="1:42" x14ac:dyDescent="0.25">
      <c r="A886">
        <v>1784</v>
      </c>
      <c r="B886">
        <v>13</v>
      </c>
      <c r="E886" t="s">
        <v>4786</v>
      </c>
      <c r="F886" t="b">
        <v>0</v>
      </c>
      <c r="I886" t="s">
        <v>6351</v>
      </c>
      <c r="L886" t="s">
        <v>4835</v>
      </c>
      <c r="M886" t="s">
        <v>4788</v>
      </c>
      <c r="N886" t="s">
        <v>4788</v>
      </c>
      <c r="O886">
        <v>2600.89</v>
      </c>
      <c r="Q886">
        <v>0</v>
      </c>
      <c r="R886">
        <v>0</v>
      </c>
      <c r="S886">
        <v>650.22</v>
      </c>
      <c r="T886" t="s">
        <v>4789</v>
      </c>
      <c r="U886">
        <v>1</v>
      </c>
      <c r="V886">
        <v>650.22</v>
      </c>
      <c r="W886" t="s">
        <v>4343</v>
      </c>
      <c r="Y886" t="b">
        <v>1</v>
      </c>
      <c r="Z886" t="b">
        <v>0</v>
      </c>
      <c r="AA886">
        <v>624.1</v>
      </c>
      <c r="AB886">
        <v>26.12</v>
      </c>
      <c r="AC886">
        <v>14</v>
      </c>
      <c r="AD886" t="b">
        <v>0</v>
      </c>
      <c r="AF886" t="s">
        <v>6346</v>
      </c>
      <c r="AG886" s="1" t="s">
        <v>57</v>
      </c>
      <c r="AH886" s="1" t="s">
        <v>29</v>
      </c>
      <c r="AI886">
        <v>312</v>
      </c>
      <c r="AJ886">
        <v>218</v>
      </c>
      <c r="AK886" s="106">
        <v>45475.635524282407</v>
      </c>
      <c r="AL886" s="1" t="s">
        <v>4790</v>
      </c>
      <c r="AM886" s="42">
        <f>IFERROR(INDEX('Public procurment'!A:R,MATCH(ListOfExpenditure[[#This Row],[Content.contractId]],'Public procurment'!E:E,0),14),0)</f>
        <v>0</v>
      </c>
      <c r="AN886" s="2">
        <f>IF(AND(ListOfExpenditure[[#This Row],[Contract amount]]&gt;10000,ListOfExpenditure[[#This Row],[Content.declaredAmount]]&gt;2000),1,0)</f>
        <v>0</v>
      </c>
      <c r="AO886">
        <f>IFERROR(INDEX('Public procurment'!A:S,MATCH(ListOfExpenditure[[#This Row],[Content.contractId]],'Public procurment'!E:E,0),19),0)</f>
        <v>0</v>
      </c>
      <c r="AP886">
        <f>IF(ListOfExpenditure[[#This Row],[Numero di volte controllato il contract ]]&gt;0,0,ListOfExpenditure[[#This Row],[IF public procurment &gt;10000;1;0]])</f>
        <v>0</v>
      </c>
    </row>
    <row r="887" spans="1:42" x14ac:dyDescent="0.25">
      <c r="A887">
        <v>1835</v>
      </c>
      <c r="B887">
        <v>14</v>
      </c>
      <c r="E887" t="s">
        <v>4786</v>
      </c>
      <c r="F887" t="b">
        <v>0</v>
      </c>
      <c r="I887" t="s">
        <v>6352</v>
      </c>
      <c r="M887" t="s">
        <v>4788</v>
      </c>
      <c r="N887" t="s">
        <v>4788</v>
      </c>
      <c r="O887">
        <v>0</v>
      </c>
      <c r="Q887">
        <v>0</v>
      </c>
      <c r="R887">
        <v>0</v>
      </c>
      <c r="S887">
        <v>0</v>
      </c>
      <c r="T887" t="s">
        <v>4789</v>
      </c>
      <c r="U887">
        <v>1</v>
      </c>
      <c r="V887">
        <v>0</v>
      </c>
      <c r="W887" t="s">
        <v>4343</v>
      </c>
      <c r="Y887" t="b">
        <v>0</v>
      </c>
      <c r="Z887" t="b">
        <v>0</v>
      </c>
      <c r="AA887">
        <v>0</v>
      </c>
      <c r="AB887">
        <v>0</v>
      </c>
      <c r="AD887" t="b">
        <v>0</v>
      </c>
      <c r="AG887" s="1" t="s">
        <v>57</v>
      </c>
      <c r="AH887" s="1" t="s">
        <v>29</v>
      </c>
      <c r="AI887">
        <v>312</v>
      </c>
      <c r="AJ887">
        <v>218</v>
      </c>
      <c r="AK887" s="106">
        <v>45475.635524282407</v>
      </c>
      <c r="AL887" s="1" t="s">
        <v>4790</v>
      </c>
      <c r="AM887" s="42">
        <f>IFERROR(INDEX('Public procurment'!A:R,MATCH(ListOfExpenditure[[#This Row],[Content.contractId]],'Public procurment'!E:E,0),14),0)</f>
        <v>0</v>
      </c>
      <c r="AN887" s="2">
        <f>IF(AND(ListOfExpenditure[[#This Row],[Contract amount]]&gt;10000,ListOfExpenditure[[#This Row],[Content.declaredAmount]]&gt;2000),1,0)</f>
        <v>0</v>
      </c>
      <c r="AO887">
        <f>IFERROR(INDEX('Public procurment'!A:S,MATCH(ListOfExpenditure[[#This Row],[Content.contractId]],'Public procurment'!E:E,0),19),0)</f>
        <v>0</v>
      </c>
      <c r="AP887">
        <f>IF(ListOfExpenditure[[#This Row],[Numero di volte controllato il contract ]]&gt;0,0,ListOfExpenditure[[#This Row],[IF public procurment &gt;10000;1;0]])</f>
        <v>0</v>
      </c>
    </row>
    <row r="888" spans="1:42" x14ac:dyDescent="0.25">
      <c r="A888">
        <v>327</v>
      </c>
      <c r="B888">
        <v>1</v>
      </c>
      <c r="E888" t="s">
        <v>4786</v>
      </c>
      <c r="F888" t="b">
        <v>0</v>
      </c>
      <c r="I888" t="s">
        <v>5569</v>
      </c>
      <c r="K888" t="s">
        <v>5570</v>
      </c>
      <c r="L888" t="s">
        <v>5571</v>
      </c>
      <c r="M888" t="s">
        <v>4788</v>
      </c>
      <c r="N888" t="s">
        <v>4788</v>
      </c>
      <c r="O888">
        <v>1951.78</v>
      </c>
      <c r="Q888">
        <v>0</v>
      </c>
      <c r="R888">
        <v>0</v>
      </c>
      <c r="S888">
        <v>975.89</v>
      </c>
      <c r="T888" t="s">
        <v>4789</v>
      </c>
      <c r="U888">
        <v>1</v>
      </c>
      <c r="V888">
        <v>975.89</v>
      </c>
      <c r="W888" t="s">
        <v>4343</v>
      </c>
      <c r="Y888" t="b">
        <v>1</v>
      </c>
      <c r="Z888" t="b">
        <v>0</v>
      </c>
      <c r="AA888">
        <v>798.01</v>
      </c>
      <c r="AB888">
        <v>177.88</v>
      </c>
      <c r="AC888">
        <v>8</v>
      </c>
      <c r="AD888" t="b">
        <v>0</v>
      </c>
      <c r="AF888" t="s">
        <v>5572</v>
      </c>
      <c r="AG888" s="1" t="s">
        <v>57</v>
      </c>
      <c r="AH888" s="1" t="s">
        <v>29</v>
      </c>
      <c r="AI888">
        <v>312</v>
      </c>
      <c r="AJ888">
        <v>61</v>
      </c>
      <c r="AK888" s="106">
        <v>45475.635433194446</v>
      </c>
      <c r="AL888" s="1" t="s">
        <v>4790</v>
      </c>
      <c r="AM888" s="42">
        <f>IFERROR(INDEX('Public procurment'!A:R,MATCH(ListOfExpenditure[[#This Row],[Content.contractId]],'Public procurment'!E:E,0),14),0)</f>
        <v>0</v>
      </c>
      <c r="AN888" s="2">
        <f>IF(AND(ListOfExpenditure[[#This Row],[Contract amount]]&gt;10000,ListOfExpenditure[[#This Row],[Content.declaredAmount]]&gt;2000),1,0)</f>
        <v>0</v>
      </c>
      <c r="AO888">
        <f>IFERROR(INDEX('Public procurment'!A:S,MATCH(ListOfExpenditure[[#This Row],[Content.contractId]],'Public procurment'!E:E,0),19),0)</f>
        <v>0</v>
      </c>
      <c r="AP888">
        <f>IF(ListOfExpenditure[[#This Row],[Numero di volte controllato il contract ]]&gt;0,0,ListOfExpenditure[[#This Row],[IF public procurment &gt;10000;1;0]])</f>
        <v>0</v>
      </c>
    </row>
    <row r="889" spans="1:42" x14ac:dyDescent="0.25">
      <c r="A889">
        <v>328</v>
      </c>
      <c r="B889">
        <v>2</v>
      </c>
      <c r="E889" t="s">
        <v>4786</v>
      </c>
      <c r="F889" t="b">
        <v>0</v>
      </c>
      <c r="I889" t="s">
        <v>5573</v>
      </c>
      <c r="K889" t="s">
        <v>5574</v>
      </c>
      <c r="L889" t="s">
        <v>5575</v>
      </c>
      <c r="M889" t="s">
        <v>4788</v>
      </c>
      <c r="N889" t="s">
        <v>4788</v>
      </c>
      <c r="O889">
        <v>1876</v>
      </c>
      <c r="Q889">
        <v>0</v>
      </c>
      <c r="R889">
        <v>0</v>
      </c>
      <c r="S889">
        <v>938</v>
      </c>
      <c r="T889" t="s">
        <v>4789</v>
      </c>
      <c r="U889">
        <v>1</v>
      </c>
      <c r="V889">
        <v>938</v>
      </c>
      <c r="W889" t="s">
        <v>4343</v>
      </c>
      <c r="Y889" t="b">
        <v>1</v>
      </c>
      <c r="Z889" t="b">
        <v>0</v>
      </c>
      <c r="AA889">
        <v>938</v>
      </c>
      <c r="AB889">
        <v>0</v>
      </c>
      <c r="AD889" t="b">
        <v>0</v>
      </c>
      <c r="AG889" s="1" t="s">
        <v>57</v>
      </c>
      <c r="AH889" s="1" t="s">
        <v>29</v>
      </c>
      <c r="AI889">
        <v>312</v>
      </c>
      <c r="AJ889">
        <v>61</v>
      </c>
      <c r="AK889" s="106">
        <v>45475.635433194446</v>
      </c>
      <c r="AL889" s="1" t="s">
        <v>4790</v>
      </c>
      <c r="AM889" s="42">
        <f>IFERROR(INDEX('Public procurment'!A:R,MATCH(ListOfExpenditure[[#This Row],[Content.contractId]],'Public procurment'!E:E,0),14),0)</f>
        <v>0</v>
      </c>
      <c r="AN889" s="2">
        <f>IF(AND(ListOfExpenditure[[#This Row],[Contract amount]]&gt;10000,ListOfExpenditure[[#This Row],[Content.declaredAmount]]&gt;2000),1,0)</f>
        <v>0</v>
      </c>
      <c r="AO889">
        <f>IFERROR(INDEX('Public procurment'!A:S,MATCH(ListOfExpenditure[[#This Row],[Content.contractId]],'Public procurment'!E:E,0),19),0)</f>
        <v>0</v>
      </c>
      <c r="AP889">
        <f>IF(ListOfExpenditure[[#This Row],[Numero di volte controllato il contract ]]&gt;0,0,ListOfExpenditure[[#This Row],[IF public procurment &gt;10000;1;0]])</f>
        <v>0</v>
      </c>
    </row>
    <row r="890" spans="1:42" x14ac:dyDescent="0.25">
      <c r="A890">
        <v>329</v>
      </c>
      <c r="B890">
        <v>3</v>
      </c>
      <c r="E890" t="s">
        <v>4786</v>
      </c>
      <c r="F890" t="b">
        <v>0</v>
      </c>
      <c r="I890" t="s">
        <v>5576</v>
      </c>
      <c r="K890" t="s">
        <v>5577</v>
      </c>
      <c r="L890" t="s">
        <v>5578</v>
      </c>
      <c r="M890" t="s">
        <v>4788</v>
      </c>
      <c r="N890" t="s">
        <v>4788</v>
      </c>
      <c r="O890">
        <v>1806.25</v>
      </c>
      <c r="Q890">
        <v>0</v>
      </c>
      <c r="R890">
        <v>0</v>
      </c>
      <c r="S890">
        <v>903.12</v>
      </c>
      <c r="T890" t="s">
        <v>4789</v>
      </c>
      <c r="U890">
        <v>1</v>
      </c>
      <c r="V890">
        <v>903.12</v>
      </c>
      <c r="W890" t="s">
        <v>4343</v>
      </c>
      <c r="Y890" t="b">
        <v>1</v>
      </c>
      <c r="Z890" t="b">
        <v>0</v>
      </c>
      <c r="AA890">
        <v>802.19</v>
      </c>
      <c r="AB890">
        <v>100.93</v>
      </c>
      <c r="AC890">
        <v>14</v>
      </c>
      <c r="AD890" t="b">
        <v>0</v>
      </c>
      <c r="AF890" t="s">
        <v>5579</v>
      </c>
      <c r="AG890" s="1" t="s">
        <v>57</v>
      </c>
      <c r="AH890" s="1" t="s">
        <v>29</v>
      </c>
      <c r="AI890">
        <v>312</v>
      </c>
      <c r="AJ890">
        <v>61</v>
      </c>
      <c r="AK890" s="106">
        <v>45475.635433194446</v>
      </c>
      <c r="AL890" s="1" t="s">
        <v>4790</v>
      </c>
      <c r="AM890" s="42">
        <f>IFERROR(INDEX('Public procurment'!A:R,MATCH(ListOfExpenditure[[#This Row],[Content.contractId]],'Public procurment'!E:E,0),14),0)</f>
        <v>0</v>
      </c>
      <c r="AN890" s="2">
        <f>IF(AND(ListOfExpenditure[[#This Row],[Contract amount]]&gt;10000,ListOfExpenditure[[#This Row],[Content.declaredAmount]]&gt;2000),1,0)</f>
        <v>0</v>
      </c>
      <c r="AO890">
        <f>IFERROR(INDEX('Public procurment'!A:S,MATCH(ListOfExpenditure[[#This Row],[Content.contractId]],'Public procurment'!E:E,0),19),0)</f>
        <v>0</v>
      </c>
      <c r="AP890">
        <f>IF(ListOfExpenditure[[#This Row],[Numero di volte controllato il contract ]]&gt;0,0,ListOfExpenditure[[#This Row],[IF public procurment &gt;10000;1;0]])</f>
        <v>0</v>
      </c>
    </row>
    <row r="891" spans="1:42" x14ac:dyDescent="0.25">
      <c r="A891">
        <v>330</v>
      </c>
      <c r="B891">
        <v>4</v>
      </c>
      <c r="E891" t="s">
        <v>4786</v>
      </c>
      <c r="F891" t="b">
        <v>0</v>
      </c>
      <c r="I891" t="s">
        <v>5580</v>
      </c>
      <c r="K891" t="s">
        <v>5581</v>
      </c>
      <c r="L891" t="s">
        <v>5321</v>
      </c>
      <c r="M891" t="s">
        <v>4788</v>
      </c>
      <c r="N891" t="s">
        <v>4788</v>
      </c>
      <c r="O891">
        <v>1778.59</v>
      </c>
      <c r="Q891">
        <v>0</v>
      </c>
      <c r="R891">
        <v>0</v>
      </c>
      <c r="S891">
        <v>889.3</v>
      </c>
      <c r="T891" t="s">
        <v>4789</v>
      </c>
      <c r="U891">
        <v>1</v>
      </c>
      <c r="V891">
        <v>889.3</v>
      </c>
      <c r="W891" t="s">
        <v>4343</v>
      </c>
      <c r="Y891" t="b">
        <v>1</v>
      </c>
      <c r="Z891" t="b">
        <v>0</v>
      </c>
      <c r="AA891">
        <v>782.86</v>
      </c>
      <c r="AB891">
        <v>106.44</v>
      </c>
      <c r="AC891">
        <v>14</v>
      </c>
      <c r="AD891" t="b">
        <v>0</v>
      </c>
      <c r="AF891" t="s">
        <v>5579</v>
      </c>
      <c r="AG891" s="1" t="s">
        <v>57</v>
      </c>
      <c r="AH891" s="1" t="s">
        <v>29</v>
      </c>
      <c r="AI891">
        <v>312</v>
      </c>
      <c r="AJ891">
        <v>61</v>
      </c>
      <c r="AK891" s="106">
        <v>45475.635433194446</v>
      </c>
      <c r="AL891" s="1" t="s">
        <v>4790</v>
      </c>
      <c r="AM891" s="42">
        <f>IFERROR(INDEX('Public procurment'!A:R,MATCH(ListOfExpenditure[[#This Row],[Content.contractId]],'Public procurment'!E:E,0),14),0)</f>
        <v>0</v>
      </c>
      <c r="AN891" s="2">
        <f>IF(AND(ListOfExpenditure[[#This Row],[Contract amount]]&gt;10000,ListOfExpenditure[[#This Row],[Content.declaredAmount]]&gt;2000),1,0)</f>
        <v>0</v>
      </c>
      <c r="AO891">
        <f>IFERROR(INDEX('Public procurment'!A:S,MATCH(ListOfExpenditure[[#This Row],[Content.contractId]],'Public procurment'!E:E,0),19),0)</f>
        <v>0</v>
      </c>
      <c r="AP891">
        <f>IF(ListOfExpenditure[[#This Row],[Numero di volte controllato il contract ]]&gt;0,0,ListOfExpenditure[[#This Row],[IF public procurment &gt;10000;1;0]])</f>
        <v>0</v>
      </c>
    </row>
    <row r="892" spans="1:42" x14ac:dyDescent="0.25">
      <c r="A892">
        <v>338</v>
      </c>
      <c r="B892">
        <v>5</v>
      </c>
      <c r="E892" t="s">
        <v>4786</v>
      </c>
      <c r="F892" t="b">
        <v>0</v>
      </c>
      <c r="I892" t="s">
        <v>5582</v>
      </c>
      <c r="K892" t="s">
        <v>4354</v>
      </c>
      <c r="L892" t="s">
        <v>5381</v>
      </c>
      <c r="M892" t="s">
        <v>4788</v>
      </c>
      <c r="N892" t="s">
        <v>4788</v>
      </c>
      <c r="O892">
        <v>1923.32</v>
      </c>
      <c r="Q892">
        <v>0</v>
      </c>
      <c r="R892">
        <v>0</v>
      </c>
      <c r="S892">
        <v>961.66</v>
      </c>
      <c r="T892" t="s">
        <v>4789</v>
      </c>
      <c r="U892">
        <v>1</v>
      </c>
      <c r="V892">
        <v>961.66</v>
      </c>
      <c r="W892" t="s">
        <v>4343</v>
      </c>
      <c r="Y892" t="b">
        <v>1</v>
      </c>
      <c r="Z892" t="b">
        <v>0</v>
      </c>
      <c r="AA892">
        <v>961.66</v>
      </c>
      <c r="AB892">
        <v>0</v>
      </c>
      <c r="AD892" t="b">
        <v>0</v>
      </c>
      <c r="AG892" s="1" t="s">
        <v>57</v>
      </c>
      <c r="AH892" s="1" t="s">
        <v>29</v>
      </c>
      <c r="AI892">
        <v>312</v>
      </c>
      <c r="AJ892">
        <v>61</v>
      </c>
      <c r="AK892" s="106">
        <v>45475.635433194446</v>
      </c>
      <c r="AL892" s="1" t="s">
        <v>4790</v>
      </c>
      <c r="AM892" s="42">
        <f>IFERROR(INDEX('Public procurment'!A:R,MATCH(ListOfExpenditure[[#This Row],[Content.contractId]],'Public procurment'!E:E,0),14),0)</f>
        <v>0</v>
      </c>
      <c r="AN892" s="2">
        <f>IF(AND(ListOfExpenditure[[#This Row],[Contract amount]]&gt;10000,ListOfExpenditure[[#This Row],[Content.declaredAmount]]&gt;2000),1,0)</f>
        <v>0</v>
      </c>
      <c r="AO892">
        <f>IFERROR(INDEX('Public procurment'!A:S,MATCH(ListOfExpenditure[[#This Row],[Content.contractId]],'Public procurment'!E:E,0),19),0)</f>
        <v>0</v>
      </c>
      <c r="AP892">
        <f>IF(ListOfExpenditure[[#This Row],[Numero di volte controllato il contract ]]&gt;0,0,ListOfExpenditure[[#This Row],[IF public procurment &gt;10000;1;0]])</f>
        <v>0</v>
      </c>
    </row>
    <row r="893" spans="1:42" x14ac:dyDescent="0.25">
      <c r="A893">
        <v>339</v>
      </c>
      <c r="B893">
        <v>6</v>
      </c>
      <c r="E893" t="s">
        <v>4786</v>
      </c>
      <c r="F893" t="b">
        <v>0</v>
      </c>
      <c r="I893" t="s">
        <v>5583</v>
      </c>
      <c r="K893" t="s">
        <v>5392</v>
      </c>
      <c r="L893" t="s">
        <v>4421</v>
      </c>
      <c r="M893" t="s">
        <v>4788</v>
      </c>
      <c r="N893" t="s">
        <v>4788</v>
      </c>
      <c r="O893">
        <v>1952.61</v>
      </c>
      <c r="Q893">
        <v>0</v>
      </c>
      <c r="R893">
        <v>0</v>
      </c>
      <c r="S893">
        <v>976.31</v>
      </c>
      <c r="T893" t="s">
        <v>4789</v>
      </c>
      <c r="U893">
        <v>1</v>
      </c>
      <c r="V893">
        <v>976.31</v>
      </c>
      <c r="W893" t="s">
        <v>4343</v>
      </c>
      <c r="Y893" t="b">
        <v>1</v>
      </c>
      <c r="Z893" t="b">
        <v>0</v>
      </c>
      <c r="AA893">
        <v>976.31</v>
      </c>
      <c r="AB893">
        <v>0</v>
      </c>
      <c r="AD893" t="b">
        <v>0</v>
      </c>
      <c r="AG893" s="1" t="s">
        <v>57</v>
      </c>
      <c r="AH893" s="1" t="s">
        <v>29</v>
      </c>
      <c r="AI893">
        <v>312</v>
      </c>
      <c r="AJ893">
        <v>61</v>
      </c>
      <c r="AK893" s="106">
        <v>45475.635433194446</v>
      </c>
      <c r="AL893" s="1" t="s">
        <v>4790</v>
      </c>
      <c r="AM893" s="42">
        <f>IFERROR(INDEX('Public procurment'!A:R,MATCH(ListOfExpenditure[[#This Row],[Content.contractId]],'Public procurment'!E:E,0),14),0)</f>
        <v>0</v>
      </c>
      <c r="AN893" s="2">
        <f>IF(AND(ListOfExpenditure[[#This Row],[Contract amount]]&gt;10000,ListOfExpenditure[[#This Row],[Content.declaredAmount]]&gt;2000),1,0)</f>
        <v>0</v>
      </c>
      <c r="AO893">
        <f>IFERROR(INDEX('Public procurment'!A:S,MATCH(ListOfExpenditure[[#This Row],[Content.contractId]],'Public procurment'!E:E,0),19),0)</f>
        <v>0</v>
      </c>
      <c r="AP893">
        <f>IF(ListOfExpenditure[[#This Row],[Numero di volte controllato il contract ]]&gt;0,0,ListOfExpenditure[[#This Row],[IF public procurment &gt;10000;1;0]])</f>
        <v>0</v>
      </c>
    </row>
    <row r="894" spans="1:42" x14ac:dyDescent="0.25">
      <c r="A894">
        <v>342</v>
      </c>
      <c r="B894">
        <v>7</v>
      </c>
      <c r="E894" t="s">
        <v>4786</v>
      </c>
      <c r="F894" t="b">
        <v>0</v>
      </c>
      <c r="I894" t="s">
        <v>5584</v>
      </c>
      <c r="K894" t="s">
        <v>4403</v>
      </c>
      <c r="L894" t="s">
        <v>4877</v>
      </c>
      <c r="M894" t="s">
        <v>4788</v>
      </c>
      <c r="N894" t="s">
        <v>4788</v>
      </c>
      <c r="O894">
        <v>2196.87</v>
      </c>
      <c r="Q894">
        <v>0</v>
      </c>
      <c r="R894">
        <v>0</v>
      </c>
      <c r="S894">
        <v>1098.43</v>
      </c>
      <c r="T894" t="s">
        <v>4789</v>
      </c>
      <c r="U894">
        <v>1</v>
      </c>
      <c r="V894">
        <v>1098.43</v>
      </c>
      <c r="W894" t="s">
        <v>4343</v>
      </c>
      <c r="Y894" t="b">
        <v>1</v>
      </c>
      <c r="Z894" t="b">
        <v>0</v>
      </c>
      <c r="AA894">
        <v>1098.43</v>
      </c>
      <c r="AB894">
        <v>0</v>
      </c>
      <c r="AD894" t="b">
        <v>0</v>
      </c>
      <c r="AG894" s="1" t="s">
        <v>57</v>
      </c>
      <c r="AH894" s="1" t="s">
        <v>29</v>
      </c>
      <c r="AI894">
        <v>312</v>
      </c>
      <c r="AJ894">
        <v>61</v>
      </c>
      <c r="AK894" s="106">
        <v>45475.635433194446</v>
      </c>
      <c r="AL894" s="1" t="s">
        <v>4790</v>
      </c>
      <c r="AM894" s="42">
        <f>IFERROR(INDEX('Public procurment'!A:R,MATCH(ListOfExpenditure[[#This Row],[Content.contractId]],'Public procurment'!E:E,0),14),0)</f>
        <v>0</v>
      </c>
      <c r="AN894" s="2">
        <f>IF(AND(ListOfExpenditure[[#This Row],[Contract amount]]&gt;10000,ListOfExpenditure[[#This Row],[Content.declaredAmount]]&gt;2000),1,0)</f>
        <v>0</v>
      </c>
      <c r="AO894">
        <f>IFERROR(INDEX('Public procurment'!A:S,MATCH(ListOfExpenditure[[#This Row],[Content.contractId]],'Public procurment'!E:E,0),19),0)</f>
        <v>0</v>
      </c>
      <c r="AP894">
        <f>IF(ListOfExpenditure[[#This Row],[Numero di volte controllato il contract ]]&gt;0,0,ListOfExpenditure[[#This Row],[IF public procurment &gt;10000;1;0]])</f>
        <v>0</v>
      </c>
    </row>
    <row r="895" spans="1:42" x14ac:dyDescent="0.25">
      <c r="A895">
        <v>343</v>
      </c>
      <c r="B895">
        <v>8</v>
      </c>
      <c r="E895" t="s">
        <v>4786</v>
      </c>
      <c r="F895" t="b">
        <v>0</v>
      </c>
      <c r="I895" t="s">
        <v>5585</v>
      </c>
      <c r="K895" t="s">
        <v>4347</v>
      </c>
      <c r="L895" t="s">
        <v>4873</v>
      </c>
      <c r="M895" t="s">
        <v>4788</v>
      </c>
      <c r="N895" t="s">
        <v>4788</v>
      </c>
      <c r="O895">
        <v>1969.24</v>
      </c>
      <c r="Q895">
        <v>0</v>
      </c>
      <c r="R895">
        <v>0</v>
      </c>
      <c r="S895">
        <v>984.62</v>
      </c>
      <c r="T895" t="s">
        <v>4789</v>
      </c>
      <c r="U895">
        <v>1</v>
      </c>
      <c r="V895">
        <v>984.62</v>
      </c>
      <c r="W895" t="s">
        <v>4343</v>
      </c>
      <c r="Y895" t="b">
        <v>1</v>
      </c>
      <c r="Z895" t="b">
        <v>0</v>
      </c>
      <c r="AA895">
        <v>984.62</v>
      </c>
      <c r="AB895">
        <v>0</v>
      </c>
      <c r="AD895" t="b">
        <v>0</v>
      </c>
      <c r="AG895" s="1" t="s">
        <v>57</v>
      </c>
      <c r="AH895" s="1" t="s">
        <v>29</v>
      </c>
      <c r="AI895">
        <v>312</v>
      </c>
      <c r="AJ895">
        <v>61</v>
      </c>
      <c r="AK895" s="106">
        <v>45475.635433194446</v>
      </c>
      <c r="AL895" s="1" t="s">
        <v>4790</v>
      </c>
      <c r="AM895" s="42">
        <f>IFERROR(INDEX('Public procurment'!A:R,MATCH(ListOfExpenditure[[#This Row],[Content.contractId]],'Public procurment'!E:E,0),14),0)</f>
        <v>0</v>
      </c>
      <c r="AN895" s="2">
        <f>IF(AND(ListOfExpenditure[[#This Row],[Contract amount]]&gt;10000,ListOfExpenditure[[#This Row],[Content.declaredAmount]]&gt;2000),1,0)</f>
        <v>0</v>
      </c>
      <c r="AO895">
        <f>IFERROR(INDEX('Public procurment'!A:S,MATCH(ListOfExpenditure[[#This Row],[Content.contractId]],'Public procurment'!E:E,0),19),0)</f>
        <v>0</v>
      </c>
      <c r="AP895">
        <f>IF(ListOfExpenditure[[#This Row],[Numero di volte controllato il contract ]]&gt;0,0,ListOfExpenditure[[#This Row],[IF public procurment &gt;10000;1;0]])</f>
        <v>0</v>
      </c>
    </row>
    <row r="896" spans="1:42" x14ac:dyDescent="0.25">
      <c r="A896">
        <v>344</v>
      </c>
      <c r="B896">
        <v>9</v>
      </c>
      <c r="E896" t="s">
        <v>4786</v>
      </c>
      <c r="F896" t="b">
        <v>0</v>
      </c>
      <c r="I896" t="s">
        <v>5586</v>
      </c>
      <c r="K896" t="s">
        <v>5570</v>
      </c>
      <c r="L896" t="s">
        <v>5571</v>
      </c>
      <c r="M896" t="s">
        <v>4788</v>
      </c>
      <c r="N896" t="s">
        <v>4788</v>
      </c>
      <c r="O896">
        <v>2664.07</v>
      </c>
      <c r="Q896">
        <v>0</v>
      </c>
      <c r="R896">
        <v>0</v>
      </c>
      <c r="S896">
        <v>666.02</v>
      </c>
      <c r="T896" t="s">
        <v>4789</v>
      </c>
      <c r="U896">
        <v>1</v>
      </c>
      <c r="V896">
        <v>666.02</v>
      </c>
      <c r="W896" t="s">
        <v>4343</v>
      </c>
      <c r="Y896" t="b">
        <v>1</v>
      </c>
      <c r="Z896" t="b">
        <v>0</v>
      </c>
      <c r="AA896">
        <v>598.38</v>
      </c>
      <c r="AB896">
        <v>67.64</v>
      </c>
      <c r="AC896">
        <v>8</v>
      </c>
      <c r="AD896" t="b">
        <v>0</v>
      </c>
      <c r="AF896" t="s">
        <v>5587</v>
      </c>
      <c r="AG896" s="1" t="s">
        <v>57</v>
      </c>
      <c r="AH896" s="1" t="s">
        <v>29</v>
      </c>
      <c r="AI896">
        <v>312</v>
      </c>
      <c r="AJ896">
        <v>61</v>
      </c>
      <c r="AK896" s="106">
        <v>45475.635433194446</v>
      </c>
      <c r="AL896" s="1" t="s">
        <v>4790</v>
      </c>
      <c r="AM896" s="42">
        <f>IFERROR(INDEX('Public procurment'!A:R,MATCH(ListOfExpenditure[[#This Row],[Content.contractId]],'Public procurment'!E:E,0),14),0)</f>
        <v>0</v>
      </c>
      <c r="AN896" s="2">
        <f>IF(AND(ListOfExpenditure[[#This Row],[Contract amount]]&gt;10000,ListOfExpenditure[[#This Row],[Content.declaredAmount]]&gt;2000),1,0)</f>
        <v>0</v>
      </c>
      <c r="AO896">
        <f>IFERROR(INDEX('Public procurment'!A:S,MATCH(ListOfExpenditure[[#This Row],[Content.contractId]],'Public procurment'!E:E,0),19),0)</f>
        <v>0</v>
      </c>
      <c r="AP896">
        <f>IF(ListOfExpenditure[[#This Row],[Numero di volte controllato il contract ]]&gt;0,0,ListOfExpenditure[[#This Row],[IF public procurment &gt;10000;1;0]])</f>
        <v>0</v>
      </c>
    </row>
    <row r="897" spans="1:42" x14ac:dyDescent="0.25">
      <c r="A897">
        <v>347</v>
      </c>
      <c r="B897">
        <v>10</v>
      </c>
      <c r="E897" t="s">
        <v>4786</v>
      </c>
      <c r="F897" t="b">
        <v>0</v>
      </c>
      <c r="I897" t="s">
        <v>5588</v>
      </c>
      <c r="K897" t="s">
        <v>5574</v>
      </c>
      <c r="L897" t="s">
        <v>5575</v>
      </c>
      <c r="M897" t="s">
        <v>4788</v>
      </c>
      <c r="N897" t="s">
        <v>4788</v>
      </c>
      <c r="O897">
        <v>2413.7800000000002</v>
      </c>
      <c r="Q897">
        <v>0</v>
      </c>
      <c r="R897">
        <v>0</v>
      </c>
      <c r="S897">
        <v>603.45000000000005</v>
      </c>
      <c r="T897" t="s">
        <v>4789</v>
      </c>
      <c r="U897">
        <v>1</v>
      </c>
      <c r="V897">
        <v>603.45000000000005</v>
      </c>
      <c r="W897" t="s">
        <v>4343</v>
      </c>
      <c r="Y897" t="b">
        <v>1</v>
      </c>
      <c r="Z897" t="b">
        <v>0</v>
      </c>
      <c r="AA897">
        <v>603.45000000000005</v>
      </c>
      <c r="AB897">
        <v>0</v>
      </c>
      <c r="AD897" t="b">
        <v>0</v>
      </c>
      <c r="AG897" s="1" t="s">
        <v>57</v>
      </c>
      <c r="AH897" s="1" t="s">
        <v>29</v>
      </c>
      <c r="AI897">
        <v>312</v>
      </c>
      <c r="AJ897">
        <v>61</v>
      </c>
      <c r="AK897" s="106">
        <v>45475.635433194446</v>
      </c>
      <c r="AL897" s="1" t="s">
        <v>4790</v>
      </c>
      <c r="AM897" s="42">
        <f>IFERROR(INDEX('Public procurment'!A:R,MATCH(ListOfExpenditure[[#This Row],[Content.contractId]],'Public procurment'!E:E,0),14),0)</f>
        <v>0</v>
      </c>
      <c r="AN897" s="2">
        <f>IF(AND(ListOfExpenditure[[#This Row],[Contract amount]]&gt;10000,ListOfExpenditure[[#This Row],[Content.declaredAmount]]&gt;2000),1,0)</f>
        <v>0</v>
      </c>
      <c r="AO897">
        <f>IFERROR(INDEX('Public procurment'!A:S,MATCH(ListOfExpenditure[[#This Row],[Content.contractId]],'Public procurment'!E:E,0),19),0)</f>
        <v>0</v>
      </c>
      <c r="AP897">
        <f>IF(ListOfExpenditure[[#This Row],[Numero di volte controllato il contract ]]&gt;0,0,ListOfExpenditure[[#This Row],[IF public procurment &gt;10000;1;0]])</f>
        <v>0</v>
      </c>
    </row>
    <row r="898" spans="1:42" x14ac:dyDescent="0.25">
      <c r="A898">
        <v>348</v>
      </c>
      <c r="B898">
        <v>11</v>
      </c>
      <c r="E898" t="s">
        <v>4786</v>
      </c>
      <c r="F898" t="b">
        <v>0</v>
      </c>
      <c r="I898" t="s">
        <v>5589</v>
      </c>
      <c r="K898" t="s">
        <v>5577</v>
      </c>
      <c r="L898" t="s">
        <v>5578</v>
      </c>
      <c r="M898" t="s">
        <v>4788</v>
      </c>
      <c r="N898" t="s">
        <v>4788</v>
      </c>
      <c r="O898">
        <v>2469.27</v>
      </c>
      <c r="Q898">
        <v>0</v>
      </c>
      <c r="R898">
        <v>0</v>
      </c>
      <c r="S898">
        <v>617.32000000000005</v>
      </c>
      <c r="T898" t="s">
        <v>4789</v>
      </c>
      <c r="U898">
        <v>1</v>
      </c>
      <c r="V898">
        <v>617.32000000000005</v>
      </c>
      <c r="W898" t="s">
        <v>4343</v>
      </c>
      <c r="Y898" t="b">
        <v>1</v>
      </c>
      <c r="Z898" t="b">
        <v>0</v>
      </c>
      <c r="AA898">
        <v>617.32000000000005</v>
      </c>
      <c r="AB898">
        <v>0</v>
      </c>
      <c r="AD898" t="b">
        <v>0</v>
      </c>
      <c r="AG898" s="1" t="s">
        <v>57</v>
      </c>
      <c r="AH898" s="1" t="s">
        <v>29</v>
      </c>
      <c r="AI898">
        <v>312</v>
      </c>
      <c r="AJ898">
        <v>61</v>
      </c>
      <c r="AK898" s="106">
        <v>45475.635433194446</v>
      </c>
      <c r="AL898" s="1" t="s">
        <v>4790</v>
      </c>
      <c r="AM898" s="42">
        <f>IFERROR(INDEX('Public procurment'!A:R,MATCH(ListOfExpenditure[[#This Row],[Content.contractId]],'Public procurment'!E:E,0),14),0)</f>
        <v>0</v>
      </c>
      <c r="AN898" s="2">
        <f>IF(AND(ListOfExpenditure[[#This Row],[Contract amount]]&gt;10000,ListOfExpenditure[[#This Row],[Content.declaredAmount]]&gt;2000),1,0)</f>
        <v>0</v>
      </c>
      <c r="AO898">
        <f>IFERROR(INDEX('Public procurment'!A:S,MATCH(ListOfExpenditure[[#This Row],[Content.contractId]],'Public procurment'!E:E,0),19),0)</f>
        <v>0</v>
      </c>
      <c r="AP898">
        <f>IF(ListOfExpenditure[[#This Row],[Numero di volte controllato il contract ]]&gt;0,0,ListOfExpenditure[[#This Row],[IF public procurment &gt;10000;1;0]])</f>
        <v>0</v>
      </c>
    </row>
    <row r="899" spans="1:42" x14ac:dyDescent="0.25">
      <c r="A899">
        <v>349</v>
      </c>
      <c r="B899">
        <v>12</v>
      </c>
      <c r="E899" t="s">
        <v>4786</v>
      </c>
      <c r="F899" t="b">
        <v>0</v>
      </c>
      <c r="I899" t="s">
        <v>5590</v>
      </c>
      <c r="K899" t="s">
        <v>5581</v>
      </c>
      <c r="L899" t="s">
        <v>5321</v>
      </c>
      <c r="M899" t="s">
        <v>4788</v>
      </c>
      <c r="N899" t="s">
        <v>4788</v>
      </c>
      <c r="O899">
        <v>2495.19</v>
      </c>
      <c r="Q899">
        <v>0</v>
      </c>
      <c r="R899">
        <v>0</v>
      </c>
      <c r="S899">
        <v>623.79999999999995</v>
      </c>
      <c r="T899" t="s">
        <v>4789</v>
      </c>
      <c r="U899">
        <v>1</v>
      </c>
      <c r="V899">
        <v>623.79999999999995</v>
      </c>
      <c r="W899" t="s">
        <v>4343</v>
      </c>
      <c r="Y899" t="b">
        <v>1</v>
      </c>
      <c r="Z899" t="b">
        <v>0</v>
      </c>
      <c r="AA899">
        <v>623.79999999999995</v>
      </c>
      <c r="AB899">
        <v>0</v>
      </c>
      <c r="AD899" t="b">
        <v>0</v>
      </c>
      <c r="AG899" s="1" t="s">
        <v>57</v>
      </c>
      <c r="AH899" s="1" t="s">
        <v>29</v>
      </c>
      <c r="AI899">
        <v>312</v>
      </c>
      <c r="AJ899">
        <v>61</v>
      </c>
      <c r="AK899" s="106">
        <v>45475.635433194446</v>
      </c>
      <c r="AL899" s="1" t="s">
        <v>4790</v>
      </c>
      <c r="AM899" s="42">
        <f>IFERROR(INDEX('Public procurment'!A:R,MATCH(ListOfExpenditure[[#This Row],[Content.contractId]],'Public procurment'!E:E,0),14),0)</f>
        <v>0</v>
      </c>
      <c r="AN899" s="2">
        <f>IF(AND(ListOfExpenditure[[#This Row],[Contract amount]]&gt;10000,ListOfExpenditure[[#This Row],[Content.declaredAmount]]&gt;2000),1,0)</f>
        <v>0</v>
      </c>
      <c r="AO899">
        <f>IFERROR(INDEX('Public procurment'!A:S,MATCH(ListOfExpenditure[[#This Row],[Content.contractId]],'Public procurment'!E:E,0),19),0)</f>
        <v>0</v>
      </c>
      <c r="AP899">
        <f>IF(ListOfExpenditure[[#This Row],[Numero di volte controllato il contract ]]&gt;0,0,ListOfExpenditure[[#This Row],[IF public procurment &gt;10000;1;0]])</f>
        <v>0</v>
      </c>
    </row>
    <row r="900" spans="1:42" x14ac:dyDescent="0.25">
      <c r="A900">
        <v>350</v>
      </c>
      <c r="B900">
        <v>13</v>
      </c>
      <c r="E900" t="s">
        <v>4786</v>
      </c>
      <c r="F900" t="b">
        <v>0</v>
      </c>
      <c r="I900" t="s">
        <v>5591</v>
      </c>
      <c r="K900" t="s">
        <v>4354</v>
      </c>
      <c r="L900" t="s">
        <v>5381</v>
      </c>
      <c r="M900" t="s">
        <v>4788</v>
      </c>
      <c r="N900" t="s">
        <v>4788</v>
      </c>
      <c r="O900">
        <v>2474.21</v>
      </c>
      <c r="Q900">
        <v>0</v>
      </c>
      <c r="R900">
        <v>0</v>
      </c>
      <c r="S900">
        <v>618.54999999999995</v>
      </c>
      <c r="T900" t="s">
        <v>4789</v>
      </c>
      <c r="U900">
        <v>1</v>
      </c>
      <c r="V900">
        <v>618.54999999999995</v>
      </c>
      <c r="W900" t="s">
        <v>4343</v>
      </c>
      <c r="Y900" t="b">
        <v>1</v>
      </c>
      <c r="Z900" t="b">
        <v>0</v>
      </c>
      <c r="AA900">
        <v>618.54999999999995</v>
      </c>
      <c r="AB900">
        <v>0</v>
      </c>
      <c r="AD900" t="b">
        <v>0</v>
      </c>
      <c r="AG900" s="1" t="s">
        <v>57</v>
      </c>
      <c r="AH900" s="1" t="s">
        <v>29</v>
      </c>
      <c r="AI900">
        <v>312</v>
      </c>
      <c r="AJ900">
        <v>61</v>
      </c>
      <c r="AK900" s="106">
        <v>45475.635433194446</v>
      </c>
      <c r="AL900" s="1" t="s">
        <v>4790</v>
      </c>
      <c r="AM900" s="42">
        <f>IFERROR(INDEX('Public procurment'!A:R,MATCH(ListOfExpenditure[[#This Row],[Content.contractId]],'Public procurment'!E:E,0),14),0)</f>
        <v>0</v>
      </c>
      <c r="AN900" s="2">
        <f>IF(AND(ListOfExpenditure[[#This Row],[Contract amount]]&gt;10000,ListOfExpenditure[[#This Row],[Content.declaredAmount]]&gt;2000),1,0)</f>
        <v>0</v>
      </c>
      <c r="AO900">
        <f>IFERROR(INDEX('Public procurment'!A:S,MATCH(ListOfExpenditure[[#This Row],[Content.contractId]],'Public procurment'!E:E,0),19),0)</f>
        <v>0</v>
      </c>
      <c r="AP900">
        <f>IF(ListOfExpenditure[[#This Row],[Numero di volte controllato il contract ]]&gt;0,0,ListOfExpenditure[[#This Row],[IF public procurment &gt;10000;1;0]])</f>
        <v>0</v>
      </c>
    </row>
    <row r="901" spans="1:42" x14ac:dyDescent="0.25">
      <c r="A901">
        <v>351</v>
      </c>
      <c r="B901">
        <v>14</v>
      </c>
      <c r="E901" t="s">
        <v>4786</v>
      </c>
      <c r="F901" t="b">
        <v>0</v>
      </c>
      <c r="I901" t="s">
        <v>5592</v>
      </c>
      <c r="K901" t="s">
        <v>5392</v>
      </c>
      <c r="L901" t="s">
        <v>4421</v>
      </c>
      <c r="M901" t="s">
        <v>4788</v>
      </c>
      <c r="N901" t="s">
        <v>4788</v>
      </c>
      <c r="O901">
        <v>2434.12</v>
      </c>
      <c r="Q901">
        <v>0</v>
      </c>
      <c r="R901">
        <v>0</v>
      </c>
      <c r="S901">
        <v>608.53</v>
      </c>
      <c r="T901" t="s">
        <v>4789</v>
      </c>
      <c r="U901">
        <v>1</v>
      </c>
      <c r="V901">
        <v>608.53</v>
      </c>
      <c r="W901" t="s">
        <v>4343</v>
      </c>
      <c r="Y901" t="b">
        <v>1</v>
      </c>
      <c r="Z901" t="b">
        <v>0</v>
      </c>
      <c r="AA901">
        <v>608.53</v>
      </c>
      <c r="AB901">
        <v>0</v>
      </c>
      <c r="AD901" t="b">
        <v>0</v>
      </c>
      <c r="AG901" s="1" t="s">
        <v>57</v>
      </c>
      <c r="AH901" s="1" t="s">
        <v>29</v>
      </c>
      <c r="AI901">
        <v>312</v>
      </c>
      <c r="AJ901">
        <v>61</v>
      </c>
      <c r="AK901" s="106">
        <v>45475.635433194446</v>
      </c>
      <c r="AL901" s="1" t="s">
        <v>4790</v>
      </c>
      <c r="AM901" s="42">
        <f>IFERROR(INDEX('Public procurment'!A:R,MATCH(ListOfExpenditure[[#This Row],[Content.contractId]],'Public procurment'!E:E,0),14),0)</f>
        <v>0</v>
      </c>
      <c r="AN901" s="2">
        <f>IF(AND(ListOfExpenditure[[#This Row],[Contract amount]]&gt;10000,ListOfExpenditure[[#This Row],[Content.declaredAmount]]&gt;2000),1,0)</f>
        <v>0</v>
      </c>
      <c r="AO901">
        <f>IFERROR(INDEX('Public procurment'!A:S,MATCH(ListOfExpenditure[[#This Row],[Content.contractId]],'Public procurment'!E:E,0),19),0)</f>
        <v>0</v>
      </c>
      <c r="AP901">
        <f>IF(ListOfExpenditure[[#This Row],[Numero di volte controllato il contract ]]&gt;0,0,ListOfExpenditure[[#This Row],[IF public procurment &gt;10000;1;0]])</f>
        <v>0</v>
      </c>
    </row>
    <row r="902" spans="1:42" x14ac:dyDescent="0.25">
      <c r="A902">
        <v>352</v>
      </c>
      <c r="B902">
        <v>15</v>
      </c>
      <c r="E902" t="s">
        <v>4786</v>
      </c>
      <c r="F902" t="b">
        <v>0</v>
      </c>
      <c r="I902" t="s">
        <v>5593</v>
      </c>
      <c r="K902" t="s">
        <v>4403</v>
      </c>
      <c r="L902" t="s">
        <v>4877</v>
      </c>
      <c r="M902" t="s">
        <v>4788</v>
      </c>
      <c r="N902" t="s">
        <v>4788</v>
      </c>
      <c r="O902">
        <v>2679.71</v>
      </c>
      <c r="Q902">
        <v>0</v>
      </c>
      <c r="R902">
        <v>0</v>
      </c>
      <c r="S902">
        <v>669.93</v>
      </c>
      <c r="T902" t="s">
        <v>4789</v>
      </c>
      <c r="U902">
        <v>1</v>
      </c>
      <c r="V902">
        <v>669.93</v>
      </c>
      <c r="W902" t="s">
        <v>4343</v>
      </c>
      <c r="Y902" t="b">
        <v>1</v>
      </c>
      <c r="Z902" t="b">
        <v>0</v>
      </c>
      <c r="AA902">
        <v>669.93</v>
      </c>
      <c r="AB902">
        <v>0</v>
      </c>
      <c r="AD902" t="b">
        <v>0</v>
      </c>
      <c r="AG902" s="1" t="s">
        <v>57</v>
      </c>
      <c r="AH902" s="1" t="s">
        <v>29</v>
      </c>
      <c r="AI902">
        <v>312</v>
      </c>
      <c r="AJ902">
        <v>61</v>
      </c>
      <c r="AK902" s="106">
        <v>45475.635433194446</v>
      </c>
      <c r="AL902" s="1" t="s">
        <v>4790</v>
      </c>
      <c r="AM902" s="42">
        <f>IFERROR(INDEX('Public procurment'!A:R,MATCH(ListOfExpenditure[[#This Row],[Content.contractId]],'Public procurment'!E:E,0),14),0)</f>
        <v>0</v>
      </c>
      <c r="AN902" s="2">
        <f>IF(AND(ListOfExpenditure[[#This Row],[Contract amount]]&gt;10000,ListOfExpenditure[[#This Row],[Content.declaredAmount]]&gt;2000),1,0)</f>
        <v>0</v>
      </c>
      <c r="AO902">
        <f>IFERROR(INDEX('Public procurment'!A:S,MATCH(ListOfExpenditure[[#This Row],[Content.contractId]],'Public procurment'!E:E,0),19),0)</f>
        <v>0</v>
      </c>
      <c r="AP902">
        <f>IF(ListOfExpenditure[[#This Row],[Numero di volte controllato il contract ]]&gt;0,0,ListOfExpenditure[[#This Row],[IF public procurment &gt;10000;1;0]])</f>
        <v>0</v>
      </c>
    </row>
    <row r="903" spans="1:42" x14ac:dyDescent="0.25">
      <c r="A903">
        <v>353</v>
      </c>
      <c r="B903">
        <v>16</v>
      </c>
      <c r="E903" t="s">
        <v>4786</v>
      </c>
      <c r="F903" t="b">
        <v>0</v>
      </c>
      <c r="I903" t="s">
        <v>5594</v>
      </c>
      <c r="K903" t="s">
        <v>4347</v>
      </c>
      <c r="L903" t="s">
        <v>4873</v>
      </c>
      <c r="M903" t="s">
        <v>4788</v>
      </c>
      <c r="N903" t="s">
        <v>4788</v>
      </c>
      <c r="O903">
        <v>2534.61</v>
      </c>
      <c r="Q903">
        <v>0</v>
      </c>
      <c r="R903">
        <v>0</v>
      </c>
      <c r="S903">
        <v>633.65</v>
      </c>
      <c r="T903" t="s">
        <v>4789</v>
      </c>
      <c r="U903">
        <v>1</v>
      </c>
      <c r="V903">
        <v>633.65</v>
      </c>
      <c r="W903" t="s">
        <v>4343</v>
      </c>
      <c r="Y903" t="b">
        <v>1</v>
      </c>
      <c r="Z903" t="b">
        <v>0</v>
      </c>
      <c r="AA903">
        <v>633.65</v>
      </c>
      <c r="AB903">
        <v>0</v>
      </c>
      <c r="AD903" t="b">
        <v>0</v>
      </c>
      <c r="AG903" s="1" t="s">
        <v>57</v>
      </c>
      <c r="AH903" s="1" t="s">
        <v>29</v>
      </c>
      <c r="AI903">
        <v>312</v>
      </c>
      <c r="AJ903">
        <v>61</v>
      </c>
      <c r="AK903" s="106">
        <v>45475.635433194446</v>
      </c>
      <c r="AL903" s="1" t="s">
        <v>4790</v>
      </c>
      <c r="AM903" s="42">
        <f>IFERROR(INDEX('Public procurment'!A:R,MATCH(ListOfExpenditure[[#This Row],[Content.contractId]],'Public procurment'!E:E,0),14),0)</f>
        <v>0</v>
      </c>
      <c r="AN903" s="2">
        <f>IF(AND(ListOfExpenditure[[#This Row],[Contract amount]]&gt;10000,ListOfExpenditure[[#This Row],[Content.declaredAmount]]&gt;2000),1,0)</f>
        <v>0</v>
      </c>
      <c r="AO903">
        <f>IFERROR(INDEX('Public procurment'!A:S,MATCH(ListOfExpenditure[[#This Row],[Content.contractId]],'Public procurment'!E:E,0),19),0)</f>
        <v>0</v>
      </c>
      <c r="AP903">
        <f>IF(ListOfExpenditure[[#This Row],[Numero di volte controllato il contract ]]&gt;0,0,ListOfExpenditure[[#This Row],[IF public procurment &gt;10000;1;0]])</f>
        <v>0</v>
      </c>
    </row>
    <row r="904" spans="1:42" x14ac:dyDescent="0.25">
      <c r="A904">
        <v>374</v>
      </c>
      <c r="B904">
        <v>17</v>
      </c>
      <c r="E904" t="s">
        <v>4786</v>
      </c>
      <c r="F904" t="b">
        <v>0</v>
      </c>
      <c r="I904" t="s">
        <v>5595</v>
      </c>
      <c r="K904" t="s">
        <v>5570</v>
      </c>
      <c r="L904" t="s">
        <v>5571</v>
      </c>
      <c r="M904" t="s">
        <v>4788</v>
      </c>
      <c r="N904" t="s">
        <v>4788</v>
      </c>
      <c r="O904">
        <v>3340.88</v>
      </c>
      <c r="Q904">
        <v>0</v>
      </c>
      <c r="R904">
        <v>0</v>
      </c>
      <c r="S904">
        <v>1670.44</v>
      </c>
      <c r="T904" t="s">
        <v>4789</v>
      </c>
      <c r="U904">
        <v>1</v>
      </c>
      <c r="V904">
        <v>1670.44</v>
      </c>
      <c r="W904" t="s">
        <v>4343</v>
      </c>
      <c r="Y904" t="b">
        <v>1</v>
      </c>
      <c r="Z904" t="b">
        <v>0</v>
      </c>
      <c r="AA904">
        <v>1443.08</v>
      </c>
      <c r="AB904">
        <v>227.36</v>
      </c>
      <c r="AC904">
        <v>8</v>
      </c>
      <c r="AD904" t="b">
        <v>0</v>
      </c>
      <c r="AF904" t="s">
        <v>5587</v>
      </c>
      <c r="AG904" s="1" t="s">
        <v>57</v>
      </c>
      <c r="AH904" s="1" t="s">
        <v>29</v>
      </c>
      <c r="AI904">
        <v>312</v>
      </c>
      <c r="AJ904">
        <v>61</v>
      </c>
      <c r="AK904" s="106">
        <v>45475.635433194446</v>
      </c>
      <c r="AL904" s="1" t="s">
        <v>4790</v>
      </c>
      <c r="AM904" s="42">
        <f>IFERROR(INDEX('Public procurment'!A:R,MATCH(ListOfExpenditure[[#This Row],[Content.contractId]],'Public procurment'!E:E,0),14),0)</f>
        <v>0</v>
      </c>
      <c r="AN904" s="2">
        <f>IF(AND(ListOfExpenditure[[#This Row],[Contract amount]]&gt;10000,ListOfExpenditure[[#This Row],[Content.declaredAmount]]&gt;2000),1,0)</f>
        <v>0</v>
      </c>
      <c r="AO904">
        <f>IFERROR(INDEX('Public procurment'!A:S,MATCH(ListOfExpenditure[[#This Row],[Content.contractId]],'Public procurment'!E:E,0),19),0)</f>
        <v>0</v>
      </c>
      <c r="AP904">
        <f>IF(ListOfExpenditure[[#This Row],[Numero di volte controllato il contract ]]&gt;0,0,ListOfExpenditure[[#This Row],[IF public procurment &gt;10000;1;0]])</f>
        <v>0</v>
      </c>
    </row>
    <row r="905" spans="1:42" x14ac:dyDescent="0.25">
      <c r="A905">
        <v>375</v>
      </c>
      <c r="B905">
        <v>18</v>
      </c>
      <c r="E905" t="s">
        <v>4786</v>
      </c>
      <c r="F905" t="b">
        <v>0</v>
      </c>
      <c r="I905" t="s">
        <v>5596</v>
      </c>
      <c r="K905" t="s">
        <v>5574</v>
      </c>
      <c r="L905" t="s">
        <v>5575</v>
      </c>
      <c r="M905" t="s">
        <v>4788</v>
      </c>
      <c r="N905" t="s">
        <v>4788</v>
      </c>
      <c r="O905">
        <v>2914.69</v>
      </c>
      <c r="Q905">
        <v>0</v>
      </c>
      <c r="R905">
        <v>0</v>
      </c>
      <c r="S905">
        <v>1457.35</v>
      </c>
      <c r="T905" t="s">
        <v>4789</v>
      </c>
      <c r="U905">
        <v>1</v>
      </c>
      <c r="V905">
        <v>1457.35</v>
      </c>
      <c r="W905" t="s">
        <v>4343</v>
      </c>
      <c r="Y905" t="b">
        <v>1</v>
      </c>
      <c r="Z905" t="b">
        <v>0</v>
      </c>
      <c r="AA905">
        <v>1457.35</v>
      </c>
      <c r="AB905">
        <v>0</v>
      </c>
      <c r="AD905" t="b">
        <v>0</v>
      </c>
      <c r="AG905" s="1" t="s">
        <v>57</v>
      </c>
      <c r="AH905" s="1" t="s">
        <v>29</v>
      </c>
      <c r="AI905">
        <v>312</v>
      </c>
      <c r="AJ905">
        <v>61</v>
      </c>
      <c r="AK905" s="106">
        <v>45475.635433194446</v>
      </c>
      <c r="AL905" s="1" t="s">
        <v>4790</v>
      </c>
      <c r="AM905" s="42">
        <f>IFERROR(INDEX('Public procurment'!A:R,MATCH(ListOfExpenditure[[#This Row],[Content.contractId]],'Public procurment'!E:E,0),14),0)</f>
        <v>0</v>
      </c>
      <c r="AN905" s="2">
        <f>IF(AND(ListOfExpenditure[[#This Row],[Contract amount]]&gt;10000,ListOfExpenditure[[#This Row],[Content.declaredAmount]]&gt;2000),1,0)</f>
        <v>0</v>
      </c>
      <c r="AO905">
        <f>IFERROR(INDEX('Public procurment'!A:S,MATCH(ListOfExpenditure[[#This Row],[Content.contractId]],'Public procurment'!E:E,0),19),0)</f>
        <v>0</v>
      </c>
      <c r="AP905">
        <f>IF(ListOfExpenditure[[#This Row],[Numero di volte controllato il contract ]]&gt;0,0,ListOfExpenditure[[#This Row],[IF public procurment &gt;10000;1;0]])</f>
        <v>0</v>
      </c>
    </row>
    <row r="906" spans="1:42" x14ac:dyDescent="0.25">
      <c r="A906">
        <v>376</v>
      </c>
      <c r="B906">
        <v>19</v>
      </c>
      <c r="E906" t="s">
        <v>4786</v>
      </c>
      <c r="F906" t="b">
        <v>0</v>
      </c>
      <c r="I906" t="s">
        <v>5597</v>
      </c>
      <c r="K906" t="s">
        <v>5577</v>
      </c>
      <c r="L906" t="s">
        <v>5578</v>
      </c>
      <c r="M906" t="s">
        <v>4788</v>
      </c>
      <c r="N906" t="s">
        <v>4788</v>
      </c>
      <c r="O906">
        <v>3049.93</v>
      </c>
      <c r="Q906">
        <v>0</v>
      </c>
      <c r="R906">
        <v>0</v>
      </c>
      <c r="S906">
        <v>1524.96</v>
      </c>
      <c r="T906" t="s">
        <v>4789</v>
      </c>
      <c r="U906">
        <v>1</v>
      </c>
      <c r="V906">
        <v>1524.96</v>
      </c>
      <c r="W906" t="s">
        <v>4343</v>
      </c>
      <c r="Y906" t="b">
        <v>1</v>
      </c>
      <c r="Z906" t="b">
        <v>0</v>
      </c>
      <c r="AA906">
        <v>1524.96</v>
      </c>
      <c r="AB906">
        <v>0</v>
      </c>
      <c r="AD906" t="b">
        <v>0</v>
      </c>
      <c r="AG906" s="1" t="s">
        <v>57</v>
      </c>
      <c r="AH906" s="1" t="s">
        <v>29</v>
      </c>
      <c r="AI906">
        <v>312</v>
      </c>
      <c r="AJ906">
        <v>61</v>
      </c>
      <c r="AK906" s="106">
        <v>45475.635433194446</v>
      </c>
      <c r="AL906" s="1" t="s">
        <v>4790</v>
      </c>
      <c r="AM906" s="42">
        <f>IFERROR(INDEX('Public procurment'!A:R,MATCH(ListOfExpenditure[[#This Row],[Content.contractId]],'Public procurment'!E:E,0),14),0)</f>
        <v>0</v>
      </c>
      <c r="AN906" s="2">
        <f>IF(AND(ListOfExpenditure[[#This Row],[Contract amount]]&gt;10000,ListOfExpenditure[[#This Row],[Content.declaredAmount]]&gt;2000),1,0)</f>
        <v>0</v>
      </c>
      <c r="AO906">
        <f>IFERROR(INDEX('Public procurment'!A:S,MATCH(ListOfExpenditure[[#This Row],[Content.contractId]],'Public procurment'!E:E,0),19),0)</f>
        <v>0</v>
      </c>
      <c r="AP906">
        <f>IF(ListOfExpenditure[[#This Row],[Numero di volte controllato il contract ]]&gt;0,0,ListOfExpenditure[[#This Row],[IF public procurment &gt;10000;1;0]])</f>
        <v>0</v>
      </c>
    </row>
    <row r="907" spans="1:42" x14ac:dyDescent="0.25">
      <c r="A907">
        <v>377</v>
      </c>
      <c r="B907">
        <v>20</v>
      </c>
      <c r="E907" t="s">
        <v>4786</v>
      </c>
      <c r="F907" t="b">
        <v>0</v>
      </c>
      <c r="I907" t="s">
        <v>5598</v>
      </c>
      <c r="K907" t="s">
        <v>5581</v>
      </c>
      <c r="L907" t="s">
        <v>5321</v>
      </c>
      <c r="M907" t="s">
        <v>4788</v>
      </c>
      <c r="N907" t="s">
        <v>4788</v>
      </c>
      <c r="O907">
        <v>2983.62</v>
      </c>
      <c r="Q907">
        <v>0</v>
      </c>
      <c r="R907">
        <v>0</v>
      </c>
      <c r="S907">
        <v>1491.81</v>
      </c>
      <c r="T907" t="s">
        <v>4789</v>
      </c>
      <c r="U907">
        <v>1</v>
      </c>
      <c r="V907">
        <v>1491.81</v>
      </c>
      <c r="W907" t="s">
        <v>4343</v>
      </c>
      <c r="Y907" t="b">
        <v>1</v>
      </c>
      <c r="Z907" t="b">
        <v>0</v>
      </c>
      <c r="AA907">
        <v>1491.81</v>
      </c>
      <c r="AB907">
        <v>0</v>
      </c>
      <c r="AD907" t="b">
        <v>0</v>
      </c>
      <c r="AG907" s="1" t="s">
        <v>57</v>
      </c>
      <c r="AH907" s="1" t="s">
        <v>29</v>
      </c>
      <c r="AI907">
        <v>312</v>
      </c>
      <c r="AJ907">
        <v>61</v>
      </c>
      <c r="AK907" s="106">
        <v>45475.635433194446</v>
      </c>
      <c r="AL907" s="1" t="s">
        <v>4790</v>
      </c>
      <c r="AM907" s="42">
        <f>IFERROR(INDEX('Public procurment'!A:R,MATCH(ListOfExpenditure[[#This Row],[Content.contractId]],'Public procurment'!E:E,0),14),0)</f>
        <v>0</v>
      </c>
      <c r="AN907" s="2">
        <f>IF(AND(ListOfExpenditure[[#This Row],[Contract amount]]&gt;10000,ListOfExpenditure[[#This Row],[Content.declaredAmount]]&gt;2000),1,0)</f>
        <v>0</v>
      </c>
      <c r="AO907">
        <f>IFERROR(INDEX('Public procurment'!A:S,MATCH(ListOfExpenditure[[#This Row],[Content.contractId]],'Public procurment'!E:E,0),19),0)</f>
        <v>0</v>
      </c>
      <c r="AP907">
        <f>IF(ListOfExpenditure[[#This Row],[Numero di volte controllato il contract ]]&gt;0,0,ListOfExpenditure[[#This Row],[IF public procurment &gt;10000;1;0]])</f>
        <v>0</v>
      </c>
    </row>
    <row r="908" spans="1:42" x14ac:dyDescent="0.25">
      <c r="A908">
        <v>378</v>
      </c>
      <c r="B908">
        <v>21</v>
      </c>
      <c r="E908" t="s">
        <v>4786</v>
      </c>
      <c r="F908" t="b">
        <v>0</v>
      </c>
      <c r="I908" t="s">
        <v>5599</v>
      </c>
      <c r="K908" t="s">
        <v>4354</v>
      </c>
      <c r="L908" t="s">
        <v>5381</v>
      </c>
      <c r="M908" t="s">
        <v>4788</v>
      </c>
      <c r="N908" t="s">
        <v>4788</v>
      </c>
      <c r="O908">
        <v>3041.94</v>
      </c>
      <c r="Q908">
        <v>0</v>
      </c>
      <c r="R908">
        <v>0</v>
      </c>
      <c r="S908">
        <v>1520.97</v>
      </c>
      <c r="T908" t="s">
        <v>4789</v>
      </c>
      <c r="U908">
        <v>1</v>
      </c>
      <c r="V908">
        <v>1520.97</v>
      </c>
      <c r="W908" t="s">
        <v>4343</v>
      </c>
      <c r="Y908" t="b">
        <v>1</v>
      </c>
      <c r="Z908" t="b">
        <v>0</v>
      </c>
      <c r="AA908">
        <v>1520.97</v>
      </c>
      <c r="AB908">
        <v>0</v>
      </c>
      <c r="AD908" t="b">
        <v>0</v>
      </c>
      <c r="AG908" s="1" t="s">
        <v>57</v>
      </c>
      <c r="AH908" s="1" t="s">
        <v>29</v>
      </c>
      <c r="AI908">
        <v>312</v>
      </c>
      <c r="AJ908">
        <v>61</v>
      </c>
      <c r="AK908" s="106">
        <v>45475.635433194446</v>
      </c>
      <c r="AL908" s="1" t="s">
        <v>4790</v>
      </c>
      <c r="AM908" s="42">
        <f>IFERROR(INDEX('Public procurment'!A:R,MATCH(ListOfExpenditure[[#This Row],[Content.contractId]],'Public procurment'!E:E,0),14),0)</f>
        <v>0</v>
      </c>
      <c r="AN908" s="2">
        <f>IF(AND(ListOfExpenditure[[#This Row],[Contract amount]]&gt;10000,ListOfExpenditure[[#This Row],[Content.declaredAmount]]&gt;2000),1,0)</f>
        <v>0</v>
      </c>
      <c r="AO908">
        <f>IFERROR(INDEX('Public procurment'!A:S,MATCH(ListOfExpenditure[[#This Row],[Content.contractId]],'Public procurment'!E:E,0),19),0)</f>
        <v>0</v>
      </c>
      <c r="AP908">
        <f>IF(ListOfExpenditure[[#This Row],[Numero di volte controllato il contract ]]&gt;0,0,ListOfExpenditure[[#This Row],[IF public procurment &gt;10000;1;0]])</f>
        <v>0</v>
      </c>
    </row>
    <row r="909" spans="1:42" x14ac:dyDescent="0.25">
      <c r="A909">
        <v>379</v>
      </c>
      <c r="B909">
        <v>22</v>
      </c>
      <c r="E909" t="s">
        <v>4786</v>
      </c>
      <c r="F909" t="b">
        <v>0</v>
      </c>
      <c r="I909" t="s">
        <v>5600</v>
      </c>
      <c r="K909" t="s">
        <v>5392</v>
      </c>
      <c r="L909" t="s">
        <v>4421</v>
      </c>
      <c r="M909" t="s">
        <v>4788</v>
      </c>
      <c r="N909" t="s">
        <v>4788</v>
      </c>
      <c r="O909">
        <v>3011.19</v>
      </c>
      <c r="Q909">
        <v>0</v>
      </c>
      <c r="R909">
        <v>0</v>
      </c>
      <c r="S909">
        <v>1505.59</v>
      </c>
      <c r="T909" t="s">
        <v>4789</v>
      </c>
      <c r="U909">
        <v>1</v>
      </c>
      <c r="V909">
        <v>1505.59</v>
      </c>
      <c r="W909" t="s">
        <v>4343</v>
      </c>
      <c r="Y909" t="b">
        <v>1</v>
      </c>
      <c r="Z909" t="b">
        <v>0</v>
      </c>
      <c r="AA909">
        <v>1505.59</v>
      </c>
      <c r="AB909">
        <v>0</v>
      </c>
      <c r="AD909" t="b">
        <v>0</v>
      </c>
      <c r="AG909" s="1" t="s">
        <v>57</v>
      </c>
      <c r="AH909" s="1" t="s">
        <v>29</v>
      </c>
      <c r="AI909">
        <v>312</v>
      </c>
      <c r="AJ909">
        <v>61</v>
      </c>
      <c r="AK909" s="106">
        <v>45475.635433194446</v>
      </c>
      <c r="AL909" s="1" t="s">
        <v>4790</v>
      </c>
      <c r="AM909" s="42">
        <f>IFERROR(INDEX('Public procurment'!A:R,MATCH(ListOfExpenditure[[#This Row],[Content.contractId]],'Public procurment'!E:E,0),14),0)</f>
        <v>0</v>
      </c>
      <c r="AN909" s="2">
        <f>IF(AND(ListOfExpenditure[[#This Row],[Contract amount]]&gt;10000,ListOfExpenditure[[#This Row],[Content.declaredAmount]]&gt;2000),1,0)</f>
        <v>0</v>
      </c>
      <c r="AO909">
        <f>IFERROR(INDEX('Public procurment'!A:S,MATCH(ListOfExpenditure[[#This Row],[Content.contractId]],'Public procurment'!E:E,0),19),0)</f>
        <v>0</v>
      </c>
      <c r="AP909">
        <f>IF(ListOfExpenditure[[#This Row],[Numero di volte controllato il contract ]]&gt;0,0,ListOfExpenditure[[#This Row],[IF public procurment &gt;10000;1;0]])</f>
        <v>0</v>
      </c>
    </row>
    <row r="910" spans="1:42" x14ac:dyDescent="0.25">
      <c r="A910">
        <v>502</v>
      </c>
      <c r="B910">
        <v>23</v>
      </c>
      <c r="E910" t="s">
        <v>4786</v>
      </c>
      <c r="F910" t="b">
        <v>0</v>
      </c>
      <c r="I910" t="s">
        <v>5601</v>
      </c>
      <c r="K910" t="s">
        <v>4403</v>
      </c>
      <c r="L910" t="s">
        <v>4877</v>
      </c>
      <c r="M910" t="s">
        <v>4788</v>
      </c>
      <c r="N910" t="s">
        <v>4788</v>
      </c>
      <c r="O910">
        <v>3140.6</v>
      </c>
      <c r="Q910">
        <v>0</v>
      </c>
      <c r="R910">
        <v>0</v>
      </c>
      <c r="S910">
        <v>1570.3</v>
      </c>
      <c r="T910" t="s">
        <v>4789</v>
      </c>
      <c r="U910">
        <v>1</v>
      </c>
      <c r="V910">
        <v>1570.3</v>
      </c>
      <c r="W910" t="s">
        <v>4343</v>
      </c>
      <c r="Y910" t="b">
        <v>1</v>
      </c>
      <c r="Z910" t="b">
        <v>0</v>
      </c>
      <c r="AA910">
        <v>1570.3</v>
      </c>
      <c r="AB910">
        <v>0</v>
      </c>
      <c r="AD910" t="b">
        <v>0</v>
      </c>
      <c r="AG910" s="1" t="s">
        <v>57</v>
      </c>
      <c r="AH910" s="1" t="s">
        <v>29</v>
      </c>
      <c r="AI910">
        <v>312</v>
      </c>
      <c r="AJ910">
        <v>61</v>
      </c>
      <c r="AK910" s="106">
        <v>45475.635433194446</v>
      </c>
      <c r="AL910" s="1" t="s">
        <v>4790</v>
      </c>
      <c r="AM910" s="42">
        <f>IFERROR(INDEX('Public procurment'!A:R,MATCH(ListOfExpenditure[[#This Row],[Content.contractId]],'Public procurment'!E:E,0),14),0)</f>
        <v>0</v>
      </c>
      <c r="AN910" s="2">
        <f>IF(AND(ListOfExpenditure[[#This Row],[Contract amount]]&gt;10000,ListOfExpenditure[[#This Row],[Content.declaredAmount]]&gt;2000),1,0)</f>
        <v>0</v>
      </c>
      <c r="AO910">
        <f>IFERROR(INDEX('Public procurment'!A:S,MATCH(ListOfExpenditure[[#This Row],[Content.contractId]],'Public procurment'!E:E,0),19),0)</f>
        <v>0</v>
      </c>
      <c r="AP910">
        <f>IF(ListOfExpenditure[[#This Row],[Numero di volte controllato il contract ]]&gt;0,0,ListOfExpenditure[[#This Row],[IF public procurment &gt;10000;1;0]])</f>
        <v>0</v>
      </c>
    </row>
    <row r="911" spans="1:42" x14ac:dyDescent="0.25">
      <c r="A911">
        <v>503</v>
      </c>
      <c r="B911">
        <v>24</v>
      </c>
      <c r="E911" t="s">
        <v>4786</v>
      </c>
      <c r="F911" t="b">
        <v>0</v>
      </c>
      <c r="I911" t="s">
        <v>5602</v>
      </c>
      <c r="K911" t="s">
        <v>4347</v>
      </c>
      <c r="L911" t="s">
        <v>4873</v>
      </c>
      <c r="M911" t="s">
        <v>4788</v>
      </c>
      <c r="N911" t="s">
        <v>4788</v>
      </c>
      <c r="O911">
        <v>649.46</v>
      </c>
      <c r="Q911">
        <v>0</v>
      </c>
      <c r="R911">
        <v>0</v>
      </c>
      <c r="S911">
        <v>324.73</v>
      </c>
      <c r="T911" t="s">
        <v>4789</v>
      </c>
      <c r="U911">
        <v>1</v>
      </c>
      <c r="V911">
        <v>324.73</v>
      </c>
      <c r="W911" t="s">
        <v>4343</v>
      </c>
      <c r="Y911" t="b">
        <v>1</v>
      </c>
      <c r="Z911" t="b">
        <v>0</v>
      </c>
      <c r="AA911">
        <v>324.73</v>
      </c>
      <c r="AB911">
        <v>0</v>
      </c>
      <c r="AD911" t="b">
        <v>0</v>
      </c>
      <c r="AG911" s="1" t="s">
        <v>57</v>
      </c>
      <c r="AH911" s="1" t="s">
        <v>29</v>
      </c>
      <c r="AI911">
        <v>312</v>
      </c>
      <c r="AJ911">
        <v>61</v>
      </c>
      <c r="AK911" s="106">
        <v>45475.635433194446</v>
      </c>
      <c r="AL911" s="1" t="s">
        <v>4790</v>
      </c>
      <c r="AM911" s="42">
        <f>IFERROR(INDEX('Public procurment'!A:R,MATCH(ListOfExpenditure[[#This Row],[Content.contractId]],'Public procurment'!E:E,0),14),0)</f>
        <v>0</v>
      </c>
      <c r="AN911" s="2">
        <f>IF(AND(ListOfExpenditure[[#This Row],[Contract amount]]&gt;10000,ListOfExpenditure[[#This Row],[Content.declaredAmount]]&gt;2000),1,0)</f>
        <v>0</v>
      </c>
      <c r="AO911">
        <f>IFERROR(INDEX('Public procurment'!A:S,MATCH(ListOfExpenditure[[#This Row],[Content.contractId]],'Public procurment'!E:E,0),19),0)</f>
        <v>0</v>
      </c>
      <c r="AP911">
        <f>IF(ListOfExpenditure[[#This Row],[Numero di volte controllato il contract ]]&gt;0,0,ListOfExpenditure[[#This Row],[IF public procurment &gt;10000;1;0]])</f>
        <v>0</v>
      </c>
    </row>
    <row r="912" spans="1:42" x14ac:dyDescent="0.25">
      <c r="A912">
        <v>1496</v>
      </c>
      <c r="B912">
        <v>1</v>
      </c>
      <c r="D912">
        <v>109</v>
      </c>
      <c r="E912" t="s">
        <v>4786</v>
      </c>
      <c r="F912" t="b">
        <v>0</v>
      </c>
      <c r="M912" t="s">
        <v>4788</v>
      </c>
      <c r="N912" t="s">
        <v>4788</v>
      </c>
      <c r="Q912">
        <v>1</v>
      </c>
      <c r="R912">
        <v>58</v>
      </c>
      <c r="S912">
        <v>58</v>
      </c>
      <c r="T912" t="s">
        <v>4789</v>
      </c>
      <c r="U912">
        <v>1</v>
      </c>
      <c r="V912">
        <v>58</v>
      </c>
      <c r="W912" t="s">
        <v>4343</v>
      </c>
      <c r="Y912" t="b">
        <v>1</v>
      </c>
      <c r="Z912" t="b">
        <v>0</v>
      </c>
      <c r="AA912">
        <v>58</v>
      </c>
      <c r="AB912">
        <v>0</v>
      </c>
      <c r="AD912" t="b">
        <v>0</v>
      </c>
      <c r="AG912" s="1" t="s">
        <v>57</v>
      </c>
      <c r="AH912" s="1" t="s">
        <v>0</v>
      </c>
      <c r="AI912">
        <v>305</v>
      </c>
      <c r="AJ912">
        <v>274</v>
      </c>
      <c r="AK912" s="106">
        <v>45475.635492002315</v>
      </c>
      <c r="AL912" s="1" t="s">
        <v>4790</v>
      </c>
      <c r="AM912" s="42">
        <f>IFERROR(INDEX('Public procurment'!A:R,MATCH(ListOfExpenditure[[#This Row],[Content.contractId]],'Public procurment'!E:E,0),14),0)</f>
        <v>0</v>
      </c>
      <c r="AN912" s="2">
        <f>IF(AND(ListOfExpenditure[[#This Row],[Contract amount]]&gt;10000,ListOfExpenditure[[#This Row],[Content.declaredAmount]]&gt;2000),1,0)</f>
        <v>0</v>
      </c>
      <c r="AO912">
        <f>IFERROR(INDEX('Public procurment'!A:S,MATCH(ListOfExpenditure[[#This Row],[Content.contractId]],'Public procurment'!E:E,0),19),0)</f>
        <v>0</v>
      </c>
      <c r="AP912">
        <f>IF(ListOfExpenditure[[#This Row],[Numero di volte controllato il contract ]]&gt;0,0,ListOfExpenditure[[#This Row],[IF public procurment &gt;10000;1;0]])</f>
        <v>0</v>
      </c>
    </row>
    <row r="913" spans="1:42" x14ac:dyDescent="0.25">
      <c r="A913">
        <v>1497</v>
      </c>
      <c r="B913">
        <v>2</v>
      </c>
      <c r="D913">
        <v>106</v>
      </c>
      <c r="E913" t="s">
        <v>4786</v>
      </c>
      <c r="F913" t="b">
        <v>0</v>
      </c>
      <c r="M913" t="s">
        <v>4788</v>
      </c>
      <c r="N913" t="s">
        <v>4788</v>
      </c>
      <c r="Q913">
        <v>20</v>
      </c>
      <c r="R913">
        <v>38</v>
      </c>
      <c r="S913">
        <v>760</v>
      </c>
      <c r="T913" t="s">
        <v>4789</v>
      </c>
      <c r="U913">
        <v>1</v>
      </c>
      <c r="V913">
        <v>760</v>
      </c>
      <c r="W913" t="s">
        <v>4343</v>
      </c>
      <c r="Y913" t="b">
        <v>1</v>
      </c>
      <c r="Z913" t="b">
        <v>0</v>
      </c>
      <c r="AA913">
        <v>722</v>
      </c>
      <c r="AB913">
        <v>38</v>
      </c>
      <c r="AC913">
        <v>68</v>
      </c>
      <c r="AD913" t="b">
        <v>0</v>
      </c>
      <c r="AF913" t="s">
        <v>6353</v>
      </c>
      <c r="AG913" s="1" t="s">
        <v>57</v>
      </c>
      <c r="AH913" s="1" t="s">
        <v>0</v>
      </c>
      <c r="AI913">
        <v>305</v>
      </c>
      <c r="AJ913">
        <v>274</v>
      </c>
      <c r="AK913" s="106">
        <v>45475.635492002315</v>
      </c>
      <c r="AL913" s="1" t="s">
        <v>4790</v>
      </c>
      <c r="AM913" s="42">
        <f>IFERROR(INDEX('Public procurment'!A:R,MATCH(ListOfExpenditure[[#This Row],[Content.contractId]],'Public procurment'!E:E,0),14),0)</f>
        <v>0</v>
      </c>
      <c r="AN913" s="2">
        <f>IF(AND(ListOfExpenditure[[#This Row],[Contract amount]]&gt;10000,ListOfExpenditure[[#This Row],[Content.declaredAmount]]&gt;2000),1,0)</f>
        <v>0</v>
      </c>
      <c r="AO913">
        <f>IFERROR(INDEX('Public procurment'!A:S,MATCH(ListOfExpenditure[[#This Row],[Content.contractId]],'Public procurment'!E:E,0),19),0)</f>
        <v>0</v>
      </c>
      <c r="AP913">
        <f>IF(ListOfExpenditure[[#This Row],[Numero di volte controllato il contract ]]&gt;0,0,ListOfExpenditure[[#This Row],[IF public procurment &gt;10000;1;0]])</f>
        <v>0</v>
      </c>
    </row>
    <row r="914" spans="1:42" x14ac:dyDescent="0.25">
      <c r="A914">
        <v>1498</v>
      </c>
      <c r="B914">
        <v>3</v>
      </c>
      <c r="D914">
        <v>107</v>
      </c>
      <c r="E914" t="s">
        <v>4786</v>
      </c>
      <c r="F914" t="b">
        <v>0</v>
      </c>
      <c r="M914" t="s">
        <v>4788</v>
      </c>
      <c r="N914" t="s">
        <v>4788</v>
      </c>
      <c r="Q914">
        <v>60</v>
      </c>
      <c r="R914">
        <v>27</v>
      </c>
      <c r="S914">
        <v>1620</v>
      </c>
      <c r="T914" t="s">
        <v>4789</v>
      </c>
      <c r="U914">
        <v>1</v>
      </c>
      <c r="V914">
        <v>1620</v>
      </c>
      <c r="W914" t="s">
        <v>4343</v>
      </c>
      <c r="Y914" t="b">
        <v>1</v>
      </c>
      <c r="Z914" t="b">
        <v>0</v>
      </c>
      <c r="AA914">
        <v>1620</v>
      </c>
      <c r="AB914">
        <v>0</v>
      </c>
      <c r="AD914" t="b">
        <v>0</v>
      </c>
      <c r="AG914" s="1" t="s">
        <v>57</v>
      </c>
      <c r="AH914" s="1" t="s">
        <v>0</v>
      </c>
      <c r="AI914">
        <v>305</v>
      </c>
      <c r="AJ914">
        <v>274</v>
      </c>
      <c r="AK914" s="106">
        <v>45475.635492002315</v>
      </c>
      <c r="AL914" s="1" t="s">
        <v>4790</v>
      </c>
      <c r="AM914" s="42">
        <f>IFERROR(INDEX('Public procurment'!A:R,MATCH(ListOfExpenditure[[#This Row],[Content.contractId]],'Public procurment'!E:E,0),14),0)</f>
        <v>0</v>
      </c>
      <c r="AN914" s="2">
        <f>IF(AND(ListOfExpenditure[[#This Row],[Contract amount]]&gt;10000,ListOfExpenditure[[#This Row],[Content.declaredAmount]]&gt;2000),1,0)</f>
        <v>0</v>
      </c>
      <c r="AO914">
        <f>IFERROR(INDEX('Public procurment'!A:S,MATCH(ListOfExpenditure[[#This Row],[Content.contractId]],'Public procurment'!E:E,0),19),0)</f>
        <v>0</v>
      </c>
      <c r="AP914">
        <f>IF(ListOfExpenditure[[#This Row],[Numero di volte controllato il contract ]]&gt;0,0,ListOfExpenditure[[#This Row],[IF public procurment &gt;10000;1;0]])</f>
        <v>0</v>
      </c>
    </row>
    <row r="915" spans="1:42" x14ac:dyDescent="0.25">
      <c r="A915">
        <v>1499</v>
      </c>
      <c r="B915">
        <v>4</v>
      </c>
      <c r="D915">
        <v>107</v>
      </c>
      <c r="E915" t="s">
        <v>4786</v>
      </c>
      <c r="F915" t="b">
        <v>0</v>
      </c>
      <c r="M915" t="s">
        <v>4788</v>
      </c>
      <c r="N915" t="s">
        <v>4788</v>
      </c>
      <c r="Q915">
        <v>26</v>
      </c>
      <c r="R915">
        <v>27</v>
      </c>
      <c r="S915">
        <v>702</v>
      </c>
      <c r="T915" t="s">
        <v>4789</v>
      </c>
      <c r="U915">
        <v>1</v>
      </c>
      <c r="V915">
        <v>702</v>
      </c>
      <c r="W915" t="s">
        <v>4343</v>
      </c>
      <c r="Y915" t="b">
        <v>1</v>
      </c>
      <c r="Z915" t="b">
        <v>0</v>
      </c>
      <c r="AA915">
        <v>702</v>
      </c>
      <c r="AB915">
        <v>0</v>
      </c>
      <c r="AD915" t="b">
        <v>0</v>
      </c>
      <c r="AG915" s="1" t="s">
        <v>57</v>
      </c>
      <c r="AH915" s="1" t="s">
        <v>0</v>
      </c>
      <c r="AI915">
        <v>305</v>
      </c>
      <c r="AJ915">
        <v>274</v>
      </c>
      <c r="AK915" s="106">
        <v>45475.635492002315</v>
      </c>
      <c r="AL915" s="1" t="s">
        <v>4790</v>
      </c>
      <c r="AM915" s="42">
        <f>IFERROR(INDEX('Public procurment'!A:R,MATCH(ListOfExpenditure[[#This Row],[Content.contractId]],'Public procurment'!E:E,0),14),0)</f>
        <v>0</v>
      </c>
      <c r="AN915" s="2">
        <f>IF(AND(ListOfExpenditure[[#This Row],[Contract amount]]&gt;10000,ListOfExpenditure[[#This Row],[Content.declaredAmount]]&gt;2000),1,0)</f>
        <v>0</v>
      </c>
      <c r="AO915">
        <f>IFERROR(INDEX('Public procurment'!A:S,MATCH(ListOfExpenditure[[#This Row],[Content.contractId]],'Public procurment'!E:E,0),19),0)</f>
        <v>0</v>
      </c>
      <c r="AP915">
        <f>IF(ListOfExpenditure[[#This Row],[Numero di volte controllato il contract ]]&gt;0,0,ListOfExpenditure[[#This Row],[IF public procurment &gt;10000;1;0]])</f>
        <v>0</v>
      </c>
    </row>
    <row r="916" spans="1:42" x14ac:dyDescent="0.25">
      <c r="A916">
        <v>1500</v>
      </c>
      <c r="B916">
        <v>5</v>
      </c>
      <c r="D916">
        <v>108</v>
      </c>
      <c r="E916" t="s">
        <v>4786</v>
      </c>
      <c r="F916" t="b">
        <v>0</v>
      </c>
      <c r="M916" t="s">
        <v>4788</v>
      </c>
      <c r="N916" t="s">
        <v>4788</v>
      </c>
      <c r="Q916">
        <v>380</v>
      </c>
      <c r="R916">
        <v>18</v>
      </c>
      <c r="S916">
        <v>6840</v>
      </c>
      <c r="T916" t="s">
        <v>4789</v>
      </c>
      <c r="U916">
        <v>1</v>
      </c>
      <c r="V916">
        <v>6840</v>
      </c>
      <c r="W916" t="s">
        <v>4343</v>
      </c>
      <c r="Y916" t="b">
        <v>1</v>
      </c>
      <c r="Z916" t="b">
        <v>0</v>
      </c>
      <c r="AA916">
        <v>6606</v>
      </c>
      <c r="AB916">
        <v>234</v>
      </c>
      <c r="AC916">
        <v>68</v>
      </c>
      <c r="AD916" t="b">
        <v>0</v>
      </c>
      <c r="AF916" t="s">
        <v>6354</v>
      </c>
      <c r="AG916" s="1" t="s">
        <v>57</v>
      </c>
      <c r="AH916" s="1" t="s">
        <v>0</v>
      </c>
      <c r="AI916">
        <v>305</v>
      </c>
      <c r="AJ916">
        <v>274</v>
      </c>
      <c r="AK916" s="106">
        <v>45475.635492002315</v>
      </c>
      <c r="AL916" s="1" t="s">
        <v>4790</v>
      </c>
      <c r="AM916" s="42">
        <f>IFERROR(INDEX('Public procurment'!A:R,MATCH(ListOfExpenditure[[#This Row],[Content.contractId]],'Public procurment'!E:E,0),14),0)</f>
        <v>0</v>
      </c>
      <c r="AN916" s="2">
        <f>IF(AND(ListOfExpenditure[[#This Row],[Contract amount]]&gt;10000,ListOfExpenditure[[#This Row],[Content.declaredAmount]]&gt;2000),1,0)</f>
        <v>0</v>
      </c>
      <c r="AO916">
        <f>IFERROR(INDEX('Public procurment'!A:S,MATCH(ListOfExpenditure[[#This Row],[Content.contractId]],'Public procurment'!E:E,0),19),0)</f>
        <v>0</v>
      </c>
      <c r="AP916">
        <f>IF(ListOfExpenditure[[#This Row],[Numero di volte controllato il contract ]]&gt;0,0,ListOfExpenditure[[#This Row],[IF public procurment &gt;10000;1;0]])</f>
        <v>0</v>
      </c>
    </row>
    <row r="917" spans="1:42" x14ac:dyDescent="0.25">
      <c r="A917">
        <v>1501</v>
      </c>
      <c r="B917">
        <v>6</v>
      </c>
      <c r="E917" t="s">
        <v>4850</v>
      </c>
      <c r="F917" t="b">
        <v>0</v>
      </c>
      <c r="H917">
        <v>217</v>
      </c>
      <c r="I917" t="s">
        <v>212</v>
      </c>
      <c r="J917" t="s">
        <v>4970</v>
      </c>
      <c r="K917" t="s">
        <v>4668</v>
      </c>
      <c r="L917" t="s">
        <v>4723</v>
      </c>
      <c r="M917" t="s">
        <v>4788</v>
      </c>
      <c r="N917" t="s">
        <v>4788</v>
      </c>
      <c r="O917">
        <v>14701</v>
      </c>
      <c r="P917">
        <v>2651</v>
      </c>
      <c r="Q917">
        <v>0</v>
      </c>
      <c r="R917">
        <v>0</v>
      </c>
      <c r="S917">
        <v>14701</v>
      </c>
      <c r="T917" t="s">
        <v>4789</v>
      </c>
      <c r="U917">
        <v>1</v>
      </c>
      <c r="V917">
        <v>14701</v>
      </c>
      <c r="W917" t="s">
        <v>4343</v>
      </c>
      <c r="Y917" t="b">
        <v>1</v>
      </c>
      <c r="Z917" t="b">
        <v>0</v>
      </c>
      <c r="AA917">
        <v>14701</v>
      </c>
      <c r="AB917">
        <v>0</v>
      </c>
      <c r="AD917" t="b">
        <v>0</v>
      </c>
      <c r="AG917" s="1" t="s">
        <v>57</v>
      </c>
      <c r="AH917" s="1" t="s">
        <v>0</v>
      </c>
      <c r="AI917">
        <v>305</v>
      </c>
      <c r="AJ917">
        <v>274</v>
      </c>
      <c r="AK917" s="106">
        <v>45475.635492002315</v>
      </c>
      <c r="AL917" s="1" t="s">
        <v>4790</v>
      </c>
      <c r="AM917" s="42">
        <f>IFERROR(INDEX('Public procurment'!A:R,MATCH(ListOfExpenditure[[#This Row],[Content.contractId]],'Public procurment'!E:E,0),14),0)</f>
        <v>147010</v>
      </c>
      <c r="AN917" s="2">
        <f>IF(AND(ListOfExpenditure[[#This Row],[Contract amount]]&gt;10000,ListOfExpenditure[[#This Row],[Content.declaredAmount]]&gt;2000),1,0)</f>
        <v>1</v>
      </c>
      <c r="AO917">
        <f>IFERROR(INDEX('Public procurment'!A:S,MATCH(ListOfExpenditure[[#This Row],[Content.contractId]],'Public procurment'!E:E,0),19),0)</f>
        <v>1</v>
      </c>
      <c r="AP917">
        <f>IF(ListOfExpenditure[[#This Row],[Numero di volte controllato il contract ]]&gt;0,0,ListOfExpenditure[[#This Row],[IF public procurment &gt;10000;1;0]])</f>
        <v>0</v>
      </c>
    </row>
    <row r="918" spans="1:42" x14ac:dyDescent="0.25">
      <c r="A918">
        <v>454</v>
      </c>
      <c r="B918">
        <v>1</v>
      </c>
      <c r="D918">
        <v>33</v>
      </c>
      <c r="E918" t="s">
        <v>4786</v>
      </c>
      <c r="F918" t="b">
        <v>0</v>
      </c>
      <c r="M918" t="s">
        <v>4788</v>
      </c>
      <c r="N918" t="s">
        <v>4788</v>
      </c>
      <c r="Q918">
        <v>323</v>
      </c>
      <c r="R918">
        <v>27</v>
      </c>
      <c r="S918">
        <v>8721</v>
      </c>
      <c r="T918" t="s">
        <v>4789</v>
      </c>
      <c r="U918">
        <v>1</v>
      </c>
      <c r="V918">
        <v>8721</v>
      </c>
      <c r="W918" t="s">
        <v>4343</v>
      </c>
      <c r="Y918" t="b">
        <v>1</v>
      </c>
      <c r="Z918" t="b">
        <v>0</v>
      </c>
      <c r="AA918">
        <v>8707.5</v>
      </c>
      <c r="AB918">
        <v>13.5</v>
      </c>
      <c r="AC918">
        <v>68</v>
      </c>
      <c r="AD918" t="b">
        <v>0</v>
      </c>
      <c r="AF918" t="s">
        <v>5603</v>
      </c>
      <c r="AG918" s="1" t="s">
        <v>57</v>
      </c>
      <c r="AH918" s="1" t="s">
        <v>0</v>
      </c>
      <c r="AI918">
        <v>305</v>
      </c>
      <c r="AJ918">
        <v>94</v>
      </c>
      <c r="AK918" s="106">
        <v>45475.635447141205</v>
      </c>
      <c r="AL918" s="1" t="s">
        <v>4790</v>
      </c>
      <c r="AM918" s="42">
        <f>IFERROR(INDEX('Public procurment'!A:R,MATCH(ListOfExpenditure[[#This Row],[Content.contractId]],'Public procurment'!E:E,0),14),0)</f>
        <v>0</v>
      </c>
      <c r="AN918" s="2">
        <f>IF(AND(ListOfExpenditure[[#This Row],[Contract amount]]&gt;10000,ListOfExpenditure[[#This Row],[Content.declaredAmount]]&gt;2000),1,0)</f>
        <v>0</v>
      </c>
      <c r="AO918">
        <f>IFERROR(INDEX('Public procurment'!A:S,MATCH(ListOfExpenditure[[#This Row],[Content.contractId]],'Public procurment'!E:E,0),19),0)</f>
        <v>0</v>
      </c>
      <c r="AP918">
        <f>IF(ListOfExpenditure[[#This Row],[Numero di volte controllato il contract ]]&gt;0,0,ListOfExpenditure[[#This Row],[IF public procurment &gt;10000;1;0]])</f>
        <v>0</v>
      </c>
    </row>
    <row r="919" spans="1:42" x14ac:dyDescent="0.25">
      <c r="A919">
        <v>455</v>
      </c>
      <c r="B919">
        <v>2</v>
      </c>
      <c r="D919">
        <v>35</v>
      </c>
      <c r="E919" t="s">
        <v>4786</v>
      </c>
      <c r="F919" t="b">
        <v>0</v>
      </c>
      <c r="M919" t="s">
        <v>4788</v>
      </c>
      <c r="N919" t="s">
        <v>4788</v>
      </c>
      <c r="Q919">
        <v>258</v>
      </c>
      <c r="R919">
        <v>38</v>
      </c>
      <c r="S919">
        <v>9804</v>
      </c>
      <c r="T919" t="s">
        <v>4789</v>
      </c>
      <c r="U919">
        <v>1</v>
      </c>
      <c r="V919">
        <v>9804</v>
      </c>
      <c r="W919" t="s">
        <v>4343</v>
      </c>
      <c r="Y919" t="b">
        <v>1</v>
      </c>
      <c r="Z919" t="b">
        <v>0</v>
      </c>
      <c r="AA919">
        <v>9804</v>
      </c>
      <c r="AB919">
        <v>0</v>
      </c>
      <c r="AD919" t="b">
        <v>0</v>
      </c>
      <c r="AG919" s="1" t="s">
        <v>57</v>
      </c>
      <c r="AH919" s="1" t="s">
        <v>0</v>
      </c>
      <c r="AI919">
        <v>305</v>
      </c>
      <c r="AJ919">
        <v>94</v>
      </c>
      <c r="AK919" s="106">
        <v>45475.635447141205</v>
      </c>
      <c r="AL919" s="1" t="s">
        <v>4790</v>
      </c>
      <c r="AM919" s="42">
        <f>IFERROR(INDEX('Public procurment'!A:R,MATCH(ListOfExpenditure[[#This Row],[Content.contractId]],'Public procurment'!E:E,0),14),0)</f>
        <v>0</v>
      </c>
      <c r="AN919" s="2">
        <f>IF(AND(ListOfExpenditure[[#This Row],[Contract amount]]&gt;10000,ListOfExpenditure[[#This Row],[Content.declaredAmount]]&gt;2000),1,0)</f>
        <v>0</v>
      </c>
      <c r="AO919">
        <f>IFERROR(INDEX('Public procurment'!A:S,MATCH(ListOfExpenditure[[#This Row],[Content.contractId]],'Public procurment'!E:E,0),19),0)</f>
        <v>0</v>
      </c>
      <c r="AP919">
        <f>IF(ListOfExpenditure[[#This Row],[Numero di volte controllato il contract ]]&gt;0,0,ListOfExpenditure[[#This Row],[IF public procurment &gt;10000;1;0]])</f>
        <v>0</v>
      </c>
    </row>
    <row r="920" spans="1:42" x14ac:dyDescent="0.25">
      <c r="A920">
        <v>46</v>
      </c>
      <c r="B920">
        <v>1</v>
      </c>
      <c r="E920" t="s">
        <v>4798</v>
      </c>
      <c r="F920" t="b">
        <v>0</v>
      </c>
      <c r="H920">
        <v>18</v>
      </c>
      <c r="I920" t="s">
        <v>5604</v>
      </c>
      <c r="J920" t="s">
        <v>5605</v>
      </c>
      <c r="K920" t="s">
        <v>5324</v>
      </c>
      <c r="L920" t="s">
        <v>4816</v>
      </c>
      <c r="M920" t="s">
        <v>4788</v>
      </c>
      <c r="N920" t="s">
        <v>4788</v>
      </c>
      <c r="O920">
        <v>1141.92</v>
      </c>
      <c r="P920">
        <v>205.92</v>
      </c>
      <c r="Q920">
        <v>0</v>
      </c>
      <c r="R920">
        <v>0</v>
      </c>
      <c r="S920">
        <v>1141.92</v>
      </c>
      <c r="T920" t="s">
        <v>4789</v>
      </c>
      <c r="U920">
        <v>1</v>
      </c>
      <c r="V920">
        <v>1141.92</v>
      </c>
      <c r="W920" t="s">
        <v>4343</v>
      </c>
      <c r="Y920" t="b">
        <v>1</v>
      </c>
      <c r="Z920" t="b">
        <v>0</v>
      </c>
      <c r="AA920">
        <v>1141.92</v>
      </c>
      <c r="AB920">
        <v>0</v>
      </c>
      <c r="AD920" t="b">
        <v>0</v>
      </c>
      <c r="AF920" t="s">
        <v>5181</v>
      </c>
      <c r="AG920" s="1" t="s">
        <v>57</v>
      </c>
      <c r="AH920" s="1" t="s">
        <v>34</v>
      </c>
      <c r="AI920">
        <v>306</v>
      </c>
      <c r="AJ920">
        <v>52</v>
      </c>
      <c r="AK920" s="106">
        <v>45475.635437581019</v>
      </c>
      <c r="AL920" s="1" t="s">
        <v>4790</v>
      </c>
      <c r="AM920" s="42">
        <f>IFERROR(INDEX('Public procurment'!A:R,MATCH(ListOfExpenditure[[#This Row],[Content.contractId]],'Public procurment'!E:E,0),14),0)</f>
        <v>1141.92</v>
      </c>
      <c r="AN920" s="2">
        <f>IF(AND(ListOfExpenditure[[#This Row],[Contract amount]]&gt;10000,ListOfExpenditure[[#This Row],[Content.declaredAmount]]&gt;2000),1,0)</f>
        <v>0</v>
      </c>
      <c r="AO920">
        <f>IFERROR(INDEX('Public procurment'!A:S,MATCH(ListOfExpenditure[[#This Row],[Content.contractId]],'Public procurment'!E:E,0),19),0)</f>
        <v>1</v>
      </c>
      <c r="AP920">
        <f>IF(ListOfExpenditure[[#This Row],[Numero di volte controllato il contract ]]&gt;0,0,ListOfExpenditure[[#This Row],[IF public procurment &gt;10000;1;0]])</f>
        <v>0</v>
      </c>
    </row>
    <row r="921" spans="1:42" x14ac:dyDescent="0.25">
      <c r="A921">
        <v>47</v>
      </c>
      <c r="B921">
        <v>2</v>
      </c>
      <c r="E921" t="s">
        <v>4798</v>
      </c>
      <c r="F921" t="b">
        <v>0</v>
      </c>
      <c r="H921">
        <v>19</v>
      </c>
      <c r="I921" t="s">
        <v>5604</v>
      </c>
      <c r="J921" t="s">
        <v>5606</v>
      </c>
      <c r="K921" t="s">
        <v>5607</v>
      </c>
      <c r="L921" t="s">
        <v>5608</v>
      </c>
      <c r="M921" t="s">
        <v>4788</v>
      </c>
      <c r="N921" t="s">
        <v>4788</v>
      </c>
      <c r="O921">
        <v>1324.99</v>
      </c>
      <c r="P921">
        <v>120.45</v>
      </c>
      <c r="Q921">
        <v>0</v>
      </c>
      <c r="R921">
        <v>0</v>
      </c>
      <c r="S921">
        <v>1324.99</v>
      </c>
      <c r="T921" t="s">
        <v>4789</v>
      </c>
      <c r="U921">
        <v>1</v>
      </c>
      <c r="V921">
        <v>1324.99</v>
      </c>
      <c r="W921" t="s">
        <v>4343</v>
      </c>
      <c r="Y921" t="b">
        <v>1</v>
      </c>
      <c r="Z921" t="b">
        <v>0</v>
      </c>
      <c r="AA921">
        <v>1324.99</v>
      </c>
      <c r="AB921">
        <v>0</v>
      </c>
      <c r="AD921" t="b">
        <v>0</v>
      </c>
      <c r="AF921" t="s">
        <v>5181</v>
      </c>
      <c r="AG921" s="1" t="s">
        <v>57</v>
      </c>
      <c r="AH921" s="1" t="s">
        <v>34</v>
      </c>
      <c r="AI921">
        <v>306</v>
      </c>
      <c r="AJ921">
        <v>52</v>
      </c>
      <c r="AK921" s="106">
        <v>45475.635437581019</v>
      </c>
      <c r="AL921" s="1" t="s">
        <v>4790</v>
      </c>
      <c r="AM921" s="42">
        <f>IFERROR(INDEX('Public procurment'!A:R,MATCH(ListOfExpenditure[[#This Row],[Content.contractId]],'Public procurment'!E:E,0),14),0)</f>
        <v>1324.99</v>
      </c>
      <c r="AN921" s="2">
        <f>IF(AND(ListOfExpenditure[[#This Row],[Contract amount]]&gt;10000,ListOfExpenditure[[#This Row],[Content.declaredAmount]]&gt;2000),1,0)</f>
        <v>0</v>
      </c>
      <c r="AO921">
        <f>IFERROR(INDEX('Public procurment'!A:S,MATCH(ListOfExpenditure[[#This Row],[Content.contractId]],'Public procurment'!E:E,0),19),0)</f>
        <v>1</v>
      </c>
      <c r="AP921">
        <f>IF(ListOfExpenditure[[#This Row],[Numero di volte controllato il contract ]]&gt;0,0,ListOfExpenditure[[#This Row],[IF public procurment &gt;10000;1;0]])</f>
        <v>0</v>
      </c>
    </row>
    <row r="922" spans="1:42" x14ac:dyDescent="0.25">
      <c r="A922">
        <v>48</v>
      </c>
      <c r="B922">
        <v>3</v>
      </c>
      <c r="E922" t="s">
        <v>4786</v>
      </c>
      <c r="F922" t="b">
        <v>0</v>
      </c>
      <c r="I922" t="s">
        <v>5604</v>
      </c>
      <c r="M922" t="s">
        <v>4788</v>
      </c>
      <c r="N922" t="s">
        <v>4788</v>
      </c>
      <c r="O922">
        <v>0</v>
      </c>
      <c r="Q922">
        <v>0</v>
      </c>
      <c r="R922">
        <v>0</v>
      </c>
      <c r="S922">
        <v>4364.53</v>
      </c>
      <c r="T922" t="s">
        <v>4789</v>
      </c>
      <c r="U922">
        <v>1</v>
      </c>
      <c r="V922">
        <v>4364.53</v>
      </c>
      <c r="W922" t="s">
        <v>4343</v>
      </c>
      <c r="Y922" t="b">
        <v>1</v>
      </c>
      <c r="Z922" t="b">
        <v>0</v>
      </c>
      <c r="AA922">
        <v>4364.53</v>
      </c>
      <c r="AB922">
        <v>0</v>
      </c>
      <c r="AD922" t="b">
        <v>0</v>
      </c>
      <c r="AF922" t="s">
        <v>5609</v>
      </c>
      <c r="AG922" s="1" t="s">
        <v>57</v>
      </c>
      <c r="AH922" s="1" t="s">
        <v>34</v>
      </c>
      <c r="AI922">
        <v>306</v>
      </c>
      <c r="AJ922">
        <v>52</v>
      </c>
      <c r="AK922" s="106">
        <v>45475.635437581019</v>
      </c>
      <c r="AL922" s="1" t="s">
        <v>4790</v>
      </c>
      <c r="AM922" s="42">
        <f>IFERROR(INDEX('Public procurment'!A:R,MATCH(ListOfExpenditure[[#This Row],[Content.contractId]],'Public procurment'!E:E,0),14),0)</f>
        <v>0</v>
      </c>
      <c r="AN922" s="2">
        <f>IF(AND(ListOfExpenditure[[#This Row],[Contract amount]]&gt;10000,ListOfExpenditure[[#This Row],[Content.declaredAmount]]&gt;2000),1,0)</f>
        <v>0</v>
      </c>
      <c r="AO922">
        <f>IFERROR(INDEX('Public procurment'!A:S,MATCH(ListOfExpenditure[[#This Row],[Content.contractId]],'Public procurment'!E:E,0),19),0)</f>
        <v>0</v>
      </c>
      <c r="AP922">
        <f>IF(ListOfExpenditure[[#This Row],[Numero di volte controllato il contract ]]&gt;0,0,ListOfExpenditure[[#This Row],[IF public procurment &gt;10000;1;0]])</f>
        <v>0</v>
      </c>
    </row>
    <row r="923" spans="1:42" x14ac:dyDescent="0.25">
      <c r="A923">
        <v>49</v>
      </c>
      <c r="B923">
        <v>4</v>
      </c>
      <c r="E923" t="s">
        <v>4786</v>
      </c>
      <c r="F923" t="b">
        <v>0</v>
      </c>
      <c r="I923" t="s">
        <v>5604</v>
      </c>
      <c r="M923" t="s">
        <v>4788</v>
      </c>
      <c r="N923" t="s">
        <v>4788</v>
      </c>
      <c r="O923">
        <v>0</v>
      </c>
      <c r="Q923">
        <v>0</v>
      </c>
      <c r="R923">
        <v>0</v>
      </c>
      <c r="S923">
        <v>5873.46</v>
      </c>
      <c r="T923" t="s">
        <v>4789</v>
      </c>
      <c r="U923">
        <v>1</v>
      </c>
      <c r="V923">
        <v>5873.46</v>
      </c>
      <c r="W923" t="s">
        <v>4343</v>
      </c>
      <c r="Y923" t="b">
        <v>1</v>
      </c>
      <c r="Z923" t="b">
        <v>0</v>
      </c>
      <c r="AA923">
        <v>5873.46</v>
      </c>
      <c r="AB923">
        <v>0</v>
      </c>
      <c r="AD923" t="b">
        <v>0</v>
      </c>
      <c r="AF923" t="s">
        <v>5181</v>
      </c>
      <c r="AG923" s="1" t="s">
        <v>57</v>
      </c>
      <c r="AH923" s="1" t="s">
        <v>34</v>
      </c>
      <c r="AI923">
        <v>306</v>
      </c>
      <c r="AJ923">
        <v>52</v>
      </c>
      <c r="AK923" s="106">
        <v>45475.635437581019</v>
      </c>
      <c r="AL923" s="1" t="s">
        <v>4790</v>
      </c>
      <c r="AM923" s="42">
        <f>IFERROR(INDEX('Public procurment'!A:R,MATCH(ListOfExpenditure[[#This Row],[Content.contractId]],'Public procurment'!E:E,0),14),0)</f>
        <v>0</v>
      </c>
      <c r="AN923" s="2">
        <f>IF(AND(ListOfExpenditure[[#This Row],[Contract amount]]&gt;10000,ListOfExpenditure[[#This Row],[Content.declaredAmount]]&gt;2000),1,0)</f>
        <v>0</v>
      </c>
      <c r="AO923">
        <f>IFERROR(INDEX('Public procurment'!A:S,MATCH(ListOfExpenditure[[#This Row],[Content.contractId]],'Public procurment'!E:E,0),19),0)</f>
        <v>0</v>
      </c>
      <c r="AP923">
        <f>IF(ListOfExpenditure[[#This Row],[Numero di volte controllato il contract ]]&gt;0,0,ListOfExpenditure[[#This Row],[IF public procurment &gt;10000;1;0]])</f>
        <v>0</v>
      </c>
    </row>
    <row r="924" spans="1:42" x14ac:dyDescent="0.25">
      <c r="A924">
        <v>50</v>
      </c>
      <c r="B924">
        <v>5</v>
      </c>
      <c r="E924" t="s">
        <v>4786</v>
      </c>
      <c r="F924" t="b">
        <v>0</v>
      </c>
      <c r="I924" t="s">
        <v>5604</v>
      </c>
      <c r="M924" t="s">
        <v>4788</v>
      </c>
      <c r="N924" t="s">
        <v>4788</v>
      </c>
      <c r="O924">
        <v>0</v>
      </c>
      <c r="Q924">
        <v>0</v>
      </c>
      <c r="R924">
        <v>0</v>
      </c>
      <c r="S924">
        <v>2107.98</v>
      </c>
      <c r="T924" t="s">
        <v>4789</v>
      </c>
      <c r="U924">
        <v>1</v>
      </c>
      <c r="V924">
        <v>2107.98</v>
      </c>
      <c r="W924" t="s">
        <v>4343</v>
      </c>
      <c r="Y924" t="b">
        <v>1</v>
      </c>
      <c r="Z924" t="b">
        <v>0</v>
      </c>
      <c r="AA924">
        <v>1438.75</v>
      </c>
      <c r="AB924">
        <v>669.23</v>
      </c>
      <c r="AC924">
        <v>12</v>
      </c>
      <c r="AD924" t="b">
        <v>0</v>
      </c>
      <c r="AF924" t="s">
        <v>5610</v>
      </c>
      <c r="AG924" s="1" t="s">
        <v>57</v>
      </c>
      <c r="AH924" s="1" t="s">
        <v>34</v>
      </c>
      <c r="AI924">
        <v>306</v>
      </c>
      <c r="AJ924">
        <v>52</v>
      </c>
      <c r="AK924" s="106">
        <v>45475.635437581019</v>
      </c>
      <c r="AL924" s="1" t="s">
        <v>4790</v>
      </c>
      <c r="AM924" s="42">
        <f>IFERROR(INDEX('Public procurment'!A:R,MATCH(ListOfExpenditure[[#This Row],[Content.contractId]],'Public procurment'!E:E,0),14),0)</f>
        <v>0</v>
      </c>
      <c r="AN924" s="2">
        <f>IF(AND(ListOfExpenditure[[#This Row],[Contract amount]]&gt;10000,ListOfExpenditure[[#This Row],[Content.declaredAmount]]&gt;2000),1,0)</f>
        <v>0</v>
      </c>
      <c r="AO924">
        <f>IFERROR(INDEX('Public procurment'!A:S,MATCH(ListOfExpenditure[[#This Row],[Content.contractId]],'Public procurment'!E:E,0),19),0)</f>
        <v>0</v>
      </c>
      <c r="AP924">
        <f>IF(ListOfExpenditure[[#This Row],[Numero di volte controllato il contract ]]&gt;0,0,ListOfExpenditure[[#This Row],[IF public procurment &gt;10000;1;0]])</f>
        <v>0</v>
      </c>
    </row>
    <row r="925" spans="1:42" x14ac:dyDescent="0.25">
      <c r="A925">
        <v>51</v>
      </c>
      <c r="B925">
        <v>6</v>
      </c>
      <c r="E925" t="s">
        <v>4786</v>
      </c>
      <c r="F925" t="b">
        <v>0</v>
      </c>
      <c r="I925" t="s">
        <v>5604</v>
      </c>
      <c r="M925" t="s">
        <v>4788</v>
      </c>
      <c r="N925" t="s">
        <v>4788</v>
      </c>
      <c r="O925">
        <v>0</v>
      </c>
      <c r="Q925">
        <v>0</v>
      </c>
      <c r="R925">
        <v>0</v>
      </c>
      <c r="S925">
        <v>2909.52</v>
      </c>
      <c r="T925" t="s">
        <v>4789</v>
      </c>
      <c r="U925">
        <v>1</v>
      </c>
      <c r="V925">
        <v>2909.52</v>
      </c>
      <c r="W925" t="s">
        <v>4343</v>
      </c>
      <c r="Y925" t="b">
        <v>1</v>
      </c>
      <c r="Z925" t="b">
        <v>0</v>
      </c>
      <c r="AA925">
        <v>1801.96</v>
      </c>
      <c r="AB925">
        <v>1107.56</v>
      </c>
      <c r="AC925">
        <v>12</v>
      </c>
      <c r="AD925" t="b">
        <v>0</v>
      </c>
      <c r="AF925" t="s">
        <v>5610</v>
      </c>
      <c r="AG925" s="1" t="s">
        <v>57</v>
      </c>
      <c r="AH925" s="1" t="s">
        <v>34</v>
      </c>
      <c r="AI925">
        <v>306</v>
      </c>
      <c r="AJ925">
        <v>52</v>
      </c>
      <c r="AK925" s="106">
        <v>45475.635437581019</v>
      </c>
      <c r="AL925" s="1" t="s">
        <v>4790</v>
      </c>
      <c r="AM925" s="42">
        <f>IFERROR(INDEX('Public procurment'!A:R,MATCH(ListOfExpenditure[[#This Row],[Content.contractId]],'Public procurment'!E:E,0),14),0)</f>
        <v>0</v>
      </c>
      <c r="AN925" s="2">
        <f>IF(AND(ListOfExpenditure[[#This Row],[Contract amount]]&gt;10000,ListOfExpenditure[[#This Row],[Content.declaredAmount]]&gt;2000),1,0)</f>
        <v>0</v>
      </c>
      <c r="AO925">
        <f>IFERROR(INDEX('Public procurment'!A:S,MATCH(ListOfExpenditure[[#This Row],[Content.contractId]],'Public procurment'!E:E,0),19),0)</f>
        <v>0</v>
      </c>
      <c r="AP925">
        <f>IF(ListOfExpenditure[[#This Row],[Numero di volte controllato il contract ]]&gt;0,0,ListOfExpenditure[[#This Row],[IF public procurment &gt;10000;1;0]])</f>
        <v>0</v>
      </c>
    </row>
    <row r="926" spans="1:42" x14ac:dyDescent="0.25">
      <c r="A926">
        <v>87</v>
      </c>
      <c r="B926">
        <v>1</v>
      </c>
      <c r="E926" t="s">
        <v>4786</v>
      </c>
      <c r="F926" t="b">
        <v>0</v>
      </c>
      <c r="I926" t="s">
        <v>5611</v>
      </c>
      <c r="K926" t="s">
        <v>5612</v>
      </c>
      <c r="L926" t="s">
        <v>5613</v>
      </c>
      <c r="M926" t="s">
        <v>4788</v>
      </c>
      <c r="N926" t="s">
        <v>4788</v>
      </c>
      <c r="O926">
        <v>2630.31</v>
      </c>
      <c r="Q926">
        <v>0</v>
      </c>
      <c r="R926">
        <v>0</v>
      </c>
      <c r="S926">
        <v>1052.1300000000001</v>
      </c>
      <c r="T926" t="s">
        <v>4789</v>
      </c>
      <c r="U926">
        <v>1</v>
      </c>
      <c r="V926">
        <v>1052.1300000000001</v>
      </c>
      <c r="W926" t="s">
        <v>4343</v>
      </c>
      <c r="Y926" t="b">
        <v>0</v>
      </c>
      <c r="Z926" t="b">
        <v>0</v>
      </c>
      <c r="AA926">
        <v>1052.1300000000001</v>
      </c>
      <c r="AB926">
        <v>0</v>
      </c>
      <c r="AD926" t="b">
        <v>0</v>
      </c>
      <c r="AG926" s="1" t="s">
        <v>57</v>
      </c>
      <c r="AH926" s="1" t="s">
        <v>45</v>
      </c>
      <c r="AI926">
        <v>311</v>
      </c>
      <c r="AJ926">
        <v>68</v>
      </c>
      <c r="AK926" s="106">
        <v>45475.635452430557</v>
      </c>
      <c r="AL926" s="1" t="s">
        <v>4790</v>
      </c>
      <c r="AM926" s="42">
        <f>IFERROR(INDEX('Public procurment'!A:R,MATCH(ListOfExpenditure[[#This Row],[Content.contractId]],'Public procurment'!E:E,0),14),0)</f>
        <v>0</v>
      </c>
      <c r="AN926" s="2">
        <f>IF(AND(ListOfExpenditure[[#This Row],[Contract amount]]&gt;10000,ListOfExpenditure[[#This Row],[Content.declaredAmount]]&gt;2000),1,0)</f>
        <v>0</v>
      </c>
      <c r="AO926">
        <f>IFERROR(INDEX('Public procurment'!A:S,MATCH(ListOfExpenditure[[#This Row],[Content.contractId]],'Public procurment'!E:E,0),19),0)</f>
        <v>0</v>
      </c>
      <c r="AP926">
        <f>IF(ListOfExpenditure[[#This Row],[Numero di volte controllato il contract ]]&gt;0,0,ListOfExpenditure[[#This Row],[IF public procurment &gt;10000;1;0]])</f>
        <v>0</v>
      </c>
    </row>
    <row r="927" spans="1:42" x14ac:dyDescent="0.25">
      <c r="A927">
        <v>88</v>
      </c>
      <c r="B927">
        <v>2</v>
      </c>
      <c r="E927" t="s">
        <v>4786</v>
      </c>
      <c r="F927" t="b">
        <v>0</v>
      </c>
      <c r="I927" t="s">
        <v>5614</v>
      </c>
      <c r="K927" t="s">
        <v>5575</v>
      </c>
      <c r="L927" t="s">
        <v>4795</v>
      </c>
      <c r="M927" t="s">
        <v>4788</v>
      </c>
      <c r="N927" t="s">
        <v>4788</v>
      </c>
      <c r="O927">
        <v>2586.75</v>
      </c>
      <c r="Q927">
        <v>0</v>
      </c>
      <c r="R927">
        <v>0</v>
      </c>
      <c r="S927">
        <v>1034.7</v>
      </c>
      <c r="T927" t="s">
        <v>4789</v>
      </c>
      <c r="U927">
        <v>1</v>
      </c>
      <c r="V927">
        <v>1034.7</v>
      </c>
      <c r="W927" t="s">
        <v>4343</v>
      </c>
      <c r="Y927" t="b">
        <v>0</v>
      </c>
      <c r="Z927" t="b">
        <v>0</v>
      </c>
      <c r="AA927">
        <v>1034.7</v>
      </c>
      <c r="AB927">
        <v>0</v>
      </c>
      <c r="AD927" t="b">
        <v>0</v>
      </c>
      <c r="AG927" s="1" t="s">
        <v>57</v>
      </c>
      <c r="AH927" s="1" t="s">
        <v>45</v>
      </c>
      <c r="AI927">
        <v>311</v>
      </c>
      <c r="AJ927">
        <v>68</v>
      </c>
      <c r="AK927" s="106">
        <v>45475.635452430557</v>
      </c>
      <c r="AL927" s="1" t="s">
        <v>4790</v>
      </c>
      <c r="AM927" s="42">
        <f>IFERROR(INDEX('Public procurment'!A:R,MATCH(ListOfExpenditure[[#This Row],[Content.contractId]],'Public procurment'!E:E,0),14),0)</f>
        <v>0</v>
      </c>
      <c r="AN927" s="2">
        <f>IF(AND(ListOfExpenditure[[#This Row],[Contract amount]]&gt;10000,ListOfExpenditure[[#This Row],[Content.declaredAmount]]&gt;2000),1,0)</f>
        <v>0</v>
      </c>
      <c r="AO927">
        <f>IFERROR(INDEX('Public procurment'!A:S,MATCH(ListOfExpenditure[[#This Row],[Content.contractId]],'Public procurment'!E:E,0),19),0)</f>
        <v>0</v>
      </c>
      <c r="AP927">
        <f>IF(ListOfExpenditure[[#This Row],[Numero di volte controllato il contract ]]&gt;0,0,ListOfExpenditure[[#This Row],[IF public procurment &gt;10000;1;0]])</f>
        <v>0</v>
      </c>
    </row>
    <row r="928" spans="1:42" x14ac:dyDescent="0.25">
      <c r="A928">
        <v>89</v>
      </c>
      <c r="B928">
        <v>3</v>
      </c>
      <c r="E928" t="s">
        <v>4786</v>
      </c>
      <c r="F928" t="b">
        <v>0</v>
      </c>
      <c r="I928" t="s">
        <v>5615</v>
      </c>
      <c r="K928" t="s">
        <v>5616</v>
      </c>
      <c r="L928" t="s">
        <v>5617</v>
      </c>
      <c r="M928" t="s">
        <v>4788</v>
      </c>
      <c r="N928" t="s">
        <v>4788</v>
      </c>
      <c r="O928">
        <v>2615.79</v>
      </c>
      <c r="Q928">
        <v>0</v>
      </c>
      <c r="R928">
        <v>0</v>
      </c>
      <c r="S928">
        <v>1046.32</v>
      </c>
      <c r="T928" t="s">
        <v>4789</v>
      </c>
      <c r="U928">
        <v>1</v>
      </c>
      <c r="V928">
        <v>1046.32</v>
      </c>
      <c r="W928" t="s">
        <v>4343</v>
      </c>
      <c r="Y928" t="b">
        <v>0</v>
      </c>
      <c r="Z928" t="b">
        <v>0</v>
      </c>
      <c r="AA928">
        <v>1046.32</v>
      </c>
      <c r="AB928">
        <v>0</v>
      </c>
      <c r="AD928" t="b">
        <v>0</v>
      </c>
      <c r="AG928" s="1" t="s">
        <v>57</v>
      </c>
      <c r="AH928" s="1" t="s">
        <v>45</v>
      </c>
      <c r="AI928">
        <v>311</v>
      </c>
      <c r="AJ928">
        <v>68</v>
      </c>
      <c r="AK928" s="106">
        <v>45475.635452430557</v>
      </c>
      <c r="AL928" s="1" t="s">
        <v>4790</v>
      </c>
      <c r="AM928" s="42">
        <f>IFERROR(INDEX('Public procurment'!A:R,MATCH(ListOfExpenditure[[#This Row],[Content.contractId]],'Public procurment'!E:E,0),14),0)</f>
        <v>0</v>
      </c>
      <c r="AN928" s="2">
        <f>IF(AND(ListOfExpenditure[[#This Row],[Contract amount]]&gt;10000,ListOfExpenditure[[#This Row],[Content.declaredAmount]]&gt;2000),1,0)</f>
        <v>0</v>
      </c>
      <c r="AO928">
        <f>IFERROR(INDEX('Public procurment'!A:S,MATCH(ListOfExpenditure[[#This Row],[Content.contractId]],'Public procurment'!E:E,0),19),0)</f>
        <v>0</v>
      </c>
      <c r="AP928">
        <f>IF(ListOfExpenditure[[#This Row],[Numero di volte controllato il contract ]]&gt;0,0,ListOfExpenditure[[#This Row],[IF public procurment &gt;10000;1;0]])</f>
        <v>0</v>
      </c>
    </row>
    <row r="929" spans="1:42" x14ac:dyDescent="0.25">
      <c r="A929">
        <v>90</v>
      </c>
      <c r="B929">
        <v>4</v>
      </c>
      <c r="E929" t="s">
        <v>4786</v>
      </c>
      <c r="F929" t="b">
        <v>0</v>
      </c>
      <c r="I929" t="s">
        <v>5618</v>
      </c>
      <c r="K929" t="s">
        <v>5619</v>
      </c>
      <c r="L929" t="s">
        <v>5620</v>
      </c>
      <c r="M929" t="s">
        <v>4788</v>
      </c>
      <c r="N929" t="s">
        <v>4788</v>
      </c>
      <c r="O929">
        <v>2586.75</v>
      </c>
      <c r="Q929">
        <v>0</v>
      </c>
      <c r="R929">
        <v>0</v>
      </c>
      <c r="S929">
        <v>1034.7</v>
      </c>
      <c r="T929" t="s">
        <v>4789</v>
      </c>
      <c r="U929">
        <v>1</v>
      </c>
      <c r="V929">
        <v>1034.7</v>
      </c>
      <c r="W929" t="s">
        <v>4343</v>
      </c>
      <c r="Y929" t="b">
        <v>0</v>
      </c>
      <c r="Z929" t="b">
        <v>0</v>
      </c>
      <c r="AA929">
        <v>1034.7</v>
      </c>
      <c r="AB929">
        <v>0</v>
      </c>
      <c r="AD929" t="b">
        <v>0</v>
      </c>
      <c r="AG929" s="1" t="s">
        <v>57</v>
      </c>
      <c r="AH929" s="1" t="s">
        <v>45</v>
      </c>
      <c r="AI929">
        <v>311</v>
      </c>
      <c r="AJ929">
        <v>68</v>
      </c>
      <c r="AK929" s="106">
        <v>45475.635452430557</v>
      </c>
      <c r="AL929" s="1" t="s">
        <v>4790</v>
      </c>
      <c r="AM929" s="42">
        <f>IFERROR(INDEX('Public procurment'!A:R,MATCH(ListOfExpenditure[[#This Row],[Content.contractId]],'Public procurment'!E:E,0),14),0)</f>
        <v>0</v>
      </c>
      <c r="AN929" s="2">
        <f>IF(AND(ListOfExpenditure[[#This Row],[Contract amount]]&gt;10000,ListOfExpenditure[[#This Row],[Content.declaredAmount]]&gt;2000),1,0)</f>
        <v>0</v>
      </c>
      <c r="AO929">
        <f>IFERROR(INDEX('Public procurment'!A:S,MATCH(ListOfExpenditure[[#This Row],[Content.contractId]],'Public procurment'!E:E,0),19),0)</f>
        <v>0</v>
      </c>
      <c r="AP929">
        <f>IF(ListOfExpenditure[[#This Row],[Numero di volte controllato il contract ]]&gt;0,0,ListOfExpenditure[[#This Row],[IF public procurment &gt;10000;1;0]])</f>
        <v>0</v>
      </c>
    </row>
    <row r="930" spans="1:42" x14ac:dyDescent="0.25">
      <c r="A930">
        <v>91</v>
      </c>
      <c r="B930">
        <v>5</v>
      </c>
      <c r="E930" t="s">
        <v>4786</v>
      </c>
      <c r="F930" t="b">
        <v>0</v>
      </c>
      <c r="I930" t="s">
        <v>5621</v>
      </c>
      <c r="K930" t="s">
        <v>5381</v>
      </c>
      <c r="L930" t="s">
        <v>5376</v>
      </c>
      <c r="M930" t="s">
        <v>4788</v>
      </c>
      <c r="N930" t="s">
        <v>4788</v>
      </c>
      <c r="O930">
        <v>2630.31</v>
      </c>
      <c r="Q930">
        <v>0</v>
      </c>
      <c r="R930">
        <v>0</v>
      </c>
      <c r="S930">
        <v>1052.1300000000001</v>
      </c>
      <c r="T930" t="s">
        <v>4789</v>
      </c>
      <c r="U930">
        <v>1</v>
      </c>
      <c r="V930">
        <v>1052.1300000000001</v>
      </c>
      <c r="W930" t="s">
        <v>4343</v>
      </c>
      <c r="Y930" t="b">
        <v>0</v>
      </c>
      <c r="Z930" t="b">
        <v>0</v>
      </c>
      <c r="AA930">
        <v>1052.1300000000001</v>
      </c>
      <c r="AB930">
        <v>0</v>
      </c>
      <c r="AD930" t="b">
        <v>0</v>
      </c>
      <c r="AG930" s="1" t="s">
        <v>57</v>
      </c>
      <c r="AH930" s="1" t="s">
        <v>45</v>
      </c>
      <c r="AI930">
        <v>311</v>
      </c>
      <c r="AJ930">
        <v>68</v>
      </c>
      <c r="AK930" s="106">
        <v>45475.635452430557</v>
      </c>
      <c r="AL930" s="1" t="s">
        <v>4790</v>
      </c>
      <c r="AM930" s="42">
        <f>IFERROR(INDEX('Public procurment'!A:R,MATCH(ListOfExpenditure[[#This Row],[Content.contractId]],'Public procurment'!E:E,0),14),0)</f>
        <v>0</v>
      </c>
      <c r="AN930" s="2">
        <f>IF(AND(ListOfExpenditure[[#This Row],[Contract amount]]&gt;10000,ListOfExpenditure[[#This Row],[Content.declaredAmount]]&gt;2000),1,0)</f>
        <v>0</v>
      </c>
      <c r="AO930">
        <f>IFERROR(INDEX('Public procurment'!A:S,MATCH(ListOfExpenditure[[#This Row],[Content.contractId]],'Public procurment'!E:E,0),19),0)</f>
        <v>0</v>
      </c>
      <c r="AP930">
        <f>IF(ListOfExpenditure[[#This Row],[Numero di volte controllato il contract ]]&gt;0,0,ListOfExpenditure[[#This Row],[IF public procurment &gt;10000;1;0]])</f>
        <v>0</v>
      </c>
    </row>
    <row r="931" spans="1:42" x14ac:dyDescent="0.25">
      <c r="A931">
        <v>92</v>
      </c>
      <c r="B931">
        <v>6</v>
      </c>
      <c r="E931" t="s">
        <v>4786</v>
      </c>
      <c r="F931" t="b">
        <v>0</v>
      </c>
      <c r="I931" t="s">
        <v>5622</v>
      </c>
      <c r="K931" t="s">
        <v>5623</v>
      </c>
      <c r="L931" t="s">
        <v>5624</v>
      </c>
      <c r="M931" t="s">
        <v>4788</v>
      </c>
      <c r="N931" t="s">
        <v>4788</v>
      </c>
      <c r="O931">
        <v>2595.15</v>
      </c>
      <c r="Q931">
        <v>0</v>
      </c>
      <c r="R931">
        <v>0</v>
      </c>
      <c r="S931">
        <v>1038.06</v>
      </c>
      <c r="T931" t="s">
        <v>4789</v>
      </c>
      <c r="U931">
        <v>1</v>
      </c>
      <c r="V931">
        <v>1038.06</v>
      </c>
      <c r="W931" t="s">
        <v>4343</v>
      </c>
      <c r="Y931" t="b">
        <v>0</v>
      </c>
      <c r="Z931" t="b">
        <v>0</v>
      </c>
      <c r="AA931">
        <v>1038.06</v>
      </c>
      <c r="AB931">
        <v>0</v>
      </c>
      <c r="AD931" t="b">
        <v>0</v>
      </c>
      <c r="AG931" s="1" t="s">
        <v>57</v>
      </c>
      <c r="AH931" s="1" t="s">
        <v>45</v>
      </c>
      <c r="AI931">
        <v>311</v>
      </c>
      <c r="AJ931">
        <v>68</v>
      </c>
      <c r="AK931" s="106">
        <v>45475.635452430557</v>
      </c>
      <c r="AL931" s="1" t="s">
        <v>4790</v>
      </c>
      <c r="AM931" s="42">
        <f>IFERROR(INDEX('Public procurment'!A:R,MATCH(ListOfExpenditure[[#This Row],[Content.contractId]],'Public procurment'!E:E,0),14),0)</f>
        <v>0</v>
      </c>
      <c r="AN931" s="2">
        <f>IF(AND(ListOfExpenditure[[#This Row],[Contract amount]]&gt;10000,ListOfExpenditure[[#This Row],[Content.declaredAmount]]&gt;2000),1,0)</f>
        <v>0</v>
      </c>
      <c r="AO931">
        <f>IFERROR(INDEX('Public procurment'!A:S,MATCH(ListOfExpenditure[[#This Row],[Content.contractId]],'Public procurment'!E:E,0),19),0)</f>
        <v>0</v>
      </c>
      <c r="AP931">
        <f>IF(ListOfExpenditure[[#This Row],[Numero di volte controllato il contract ]]&gt;0,0,ListOfExpenditure[[#This Row],[IF public procurment &gt;10000;1;0]])</f>
        <v>0</v>
      </c>
    </row>
    <row r="932" spans="1:42" x14ac:dyDescent="0.25">
      <c r="A932">
        <v>93</v>
      </c>
      <c r="B932">
        <v>7</v>
      </c>
      <c r="E932" t="s">
        <v>4786</v>
      </c>
      <c r="F932" t="b">
        <v>0</v>
      </c>
      <c r="I932" t="s">
        <v>5625</v>
      </c>
      <c r="K932" t="s">
        <v>5626</v>
      </c>
      <c r="L932" t="s">
        <v>4910</v>
      </c>
      <c r="M932" t="s">
        <v>4788</v>
      </c>
      <c r="N932" t="s">
        <v>4788</v>
      </c>
      <c r="O932">
        <v>2630.31</v>
      </c>
      <c r="Q932">
        <v>0</v>
      </c>
      <c r="R932">
        <v>0</v>
      </c>
      <c r="S932">
        <v>1052.1300000000001</v>
      </c>
      <c r="T932" t="s">
        <v>4789</v>
      </c>
      <c r="U932">
        <v>1</v>
      </c>
      <c r="V932">
        <v>1052.1300000000001</v>
      </c>
      <c r="W932" t="s">
        <v>4343</v>
      </c>
      <c r="Y932" t="b">
        <v>0</v>
      </c>
      <c r="Z932" t="b">
        <v>0</v>
      </c>
      <c r="AA932">
        <v>1052.1300000000001</v>
      </c>
      <c r="AB932">
        <v>0</v>
      </c>
      <c r="AD932" t="b">
        <v>0</v>
      </c>
      <c r="AG932" s="1" t="s">
        <v>57</v>
      </c>
      <c r="AH932" s="1" t="s">
        <v>45</v>
      </c>
      <c r="AI932">
        <v>311</v>
      </c>
      <c r="AJ932">
        <v>68</v>
      </c>
      <c r="AK932" s="106">
        <v>45475.635452430557</v>
      </c>
      <c r="AL932" s="1" t="s">
        <v>4790</v>
      </c>
      <c r="AM932" s="42">
        <f>IFERROR(INDEX('Public procurment'!A:R,MATCH(ListOfExpenditure[[#This Row],[Content.contractId]],'Public procurment'!E:E,0),14),0)</f>
        <v>0</v>
      </c>
      <c r="AN932" s="2">
        <f>IF(AND(ListOfExpenditure[[#This Row],[Contract amount]]&gt;10000,ListOfExpenditure[[#This Row],[Content.declaredAmount]]&gt;2000),1,0)</f>
        <v>0</v>
      </c>
      <c r="AO932">
        <f>IFERROR(INDEX('Public procurment'!A:S,MATCH(ListOfExpenditure[[#This Row],[Content.contractId]],'Public procurment'!E:E,0),19),0)</f>
        <v>0</v>
      </c>
      <c r="AP932">
        <f>IF(ListOfExpenditure[[#This Row],[Numero di volte controllato il contract ]]&gt;0,0,ListOfExpenditure[[#This Row],[IF public procurment &gt;10000;1;0]])</f>
        <v>0</v>
      </c>
    </row>
    <row r="933" spans="1:42" x14ac:dyDescent="0.25">
      <c r="A933">
        <v>94</v>
      </c>
      <c r="B933">
        <v>8</v>
      </c>
      <c r="E933" t="s">
        <v>4786</v>
      </c>
      <c r="F933" t="b">
        <v>0</v>
      </c>
      <c r="I933" t="s">
        <v>5627</v>
      </c>
      <c r="K933" t="s">
        <v>4873</v>
      </c>
      <c r="L933" t="s">
        <v>4444</v>
      </c>
      <c r="M933" t="s">
        <v>4788</v>
      </c>
      <c r="N933" t="s">
        <v>4788</v>
      </c>
      <c r="O933">
        <v>2499.63</v>
      </c>
      <c r="Q933">
        <v>0</v>
      </c>
      <c r="R933">
        <v>0</v>
      </c>
      <c r="S933">
        <v>999.85</v>
      </c>
      <c r="T933" t="s">
        <v>4789</v>
      </c>
      <c r="U933">
        <v>1</v>
      </c>
      <c r="V933">
        <v>999.85</v>
      </c>
      <c r="W933" t="s">
        <v>4343</v>
      </c>
      <c r="Y933" t="b">
        <v>0</v>
      </c>
      <c r="Z933" t="b">
        <v>0</v>
      </c>
      <c r="AA933">
        <v>999.85</v>
      </c>
      <c r="AB933">
        <v>0</v>
      </c>
      <c r="AD933" t="b">
        <v>0</v>
      </c>
      <c r="AG933" s="1" t="s">
        <v>57</v>
      </c>
      <c r="AH933" s="1" t="s">
        <v>45</v>
      </c>
      <c r="AI933">
        <v>311</v>
      </c>
      <c r="AJ933">
        <v>68</v>
      </c>
      <c r="AK933" s="106">
        <v>45475.635452430557</v>
      </c>
      <c r="AL933" s="1" t="s">
        <v>4790</v>
      </c>
      <c r="AM933" s="42">
        <f>IFERROR(INDEX('Public procurment'!A:R,MATCH(ListOfExpenditure[[#This Row],[Content.contractId]],'Public procurment'!E:E,0),14),0)</f>
        <v>0</v>
      </c>
      <c r="AN933" s="2">
        <f>IF(AND(ListOfExpenditure[[#This Row],[Contract amount]]&gt;10000,ListOfExpenditure[[#This Row],[Content.declaredAmount]]&gt;2000),1,0)</f>
        <v>0</v>
      </c>
      <c r="AO933">
        <f>IFERROR(INDEX('Public procurment'!A:S,MATCH(ListOfExpenditure[[#This Row],[Content.contractId]],'Public procurment'!E:E,0),19),0)</f>
        <v>0</v>
      </c>
      <c r="AP933">
        <f>IF(ListOfExpenditure[[#This Row],[Numero di volte controllato il contract ]]&gt;0,0,ListOfExpenditure[[#This Row],[IF public procurment &gt;10000;1;0]])</f>
        <v>0</v>
      </c>
    </row>
    <row r="934" spans="1:42" x14ac:dyDescent="0.25">
      <c r="A934">
        <v>95</v>
      </c>
      <c r="B934">
        <v>9</v>
      </c>
      <c r="E934" t="s">
        <v>4786</v>
      </c>
      <c r="F934" t="b">
        <v>0</v>
      </c>
      <c r="I934" t="s">
        <v>5628</v>
      </c>
      <c r="K934" t="s">
        <v>5612</v>
      </c>
      <c r="L934" t="s">
        <v>5613</v>
      </c>
      <c r="M934" t="s">
        <v>4788</v>
      </c>
      <c r="N934" t="s">
        <v>4788</v>
      </c>
      <c r="O934">
        <v>2989.98</v>
      </c>
      <c r="Q934">
        <v>0</v>
      </c>
      <c r="R934">
        <v>0</v>
      </c>
      <c r="S934">
        <v>896.99</v>
      </c>
      <c r="T934" t="s">
        <v>4789</v>
      </c>
      <c r="U934">
        <v>1</v>
      </c>
      <c r="V934">
        <v>896.99</v>
      </c>
      <c r="W934" t="s">
        <v>4343</v>
      </c>
      <c r="Y934" t="b">
        <v>0</v>
      </c>
      <c r="Z934" t="b">
        <v>0</v>
      </c>
      <c r="AA934">
        <v>896.99</v>
      </c>
      <c r="AB934">
        <v>0</v>
      </c>
      <c r="AD934" t="b">
        <v>0</v>
      </c>
      <c r="AG934" s="1" t="s">
        <v>57</v>
      </c>
      <c r="AH934" s="1" t="s">
        <v>45</v>
      </c>
      <c r="AI934">
        <v>311</v>
      </c>
      <c r="AJ934">
        <v>68</v>
      </c>
      <c r="AK934" s="106">
        <v>45475.635452430557</v>
      </c>
      <c r="AL934" s="1" t="s">
        <v>4790</v>
      </c>
      <c r="AM934" s="42">
        <f>IFERROR(INDEX('Public procurment'!A:R,MATCH(ListOfExpenditure[[#This Row],[Content.contractId]],'Public procurment'!E:E,0),14),0)</f>
        <v>0</v>
      </c>
      <c r="AN934" s="2">
        <f>IF(AND(ListOfExpenditure[[#This Row],[Contract amount]]&gt;10000,ListOfExpenditure[[#This Row],[Content.declaredAmount]]&gt;2000),1,0)</f>
        <v>0</v>
      </c>
      <c r="AO934">
        <f>IFERROR(INDEX('Public procurment'!A:S,MATCH(ListOfExpenditure[[#This Row],[Content.contractId]],'Public procurment'!E:E,0),19),0)</f>
        <v>0</v>
      </c>
      <c r="AP934">
        <f>IF(ListOfExpenditure[[#This Row],[Numero di volte controllato il contract ]]&gt;0,0,ListOfExpenditure[[#This Row],[IF public procurment &gt;10000;1;0]])</f>
        <v>0</v>
      </c>
    </row>
    <row r="935" spans="1:42" x14ac:dyDescent="0.25">
      <c r="A935">
        <v>96</v>
      </c>
      <c r="B935">
        <v>10</v>
      </c>
      <c r="E935" t="s">
        <v>4786</v>
      </c>
      <c r="F935" t="b">
        <v>0</v>
      </c>
      <c r="I935" t="s">
        <v>5629</v>
      </c>
      <c r="K935" t="s">
        <v>5575</v>
      </c>
      <c r="L935" t="s">
        <v>4795</v>
      </c>
      <c r="M935" t="s">
        <v>4788</v>
      </c>
      <c r="N935" t="s">
        <v>4788</v>
      </c>
      <c r="O935">
        <v>2791.56</v>
      </c>
      <c r="Q935">
        <v>0</v>
      </c>
      <c r="R935">
        <v>0</v>
      </c>
      <c r="S935">
        <v>837.47</v>
      </c>
      <c r="T935" t="s">
        <v>4789</v>
      </c>
      <c r="U935">
        <v>1</v>
      </c>
      <c r="V935">
        <v>837.47</v>
      </c>
      <c r="W935" t="s">
        <v>4343</v>
      </c>
      <c r="Y935" t="b">
        <v>0</v>
      </c>
      <c r="Z935" t="b">
        <v>0</v>
      </c>
      <c r="AA935">
        <v>837.47</v>
      </c>
      <c r="AB935">
        <v>0</v>
      </c>
      <c r="AD935" t="b">
        <v>0</v>
      </c>
      <c r="AG935" s="1" t="s">
        <v>57</v>
      </c>
      <c r="AH935" s="1" t="s">
        <v>45</v>
      </c>
      <c r="AI935">
        <v>311</v>
      </c>
      <c r="AJ935">
        <v>68</v>
      </c>
      <c r="AK935" s="106">
        <v>45475.635452430557</v>
      </c>
      <c r="AL935" s="1" t="s">
        <v>4790</v>
      </c>
      <c r="AM935" s="42">
        <f>IFERROR(INDEX('Public procurment'!A:R,MATCH(ListOfExpenditure[[#This Row],[Content.contractId]],'Public procurment'!E:E,0),14),0)</f>
        <v>0</v>
      </c>
      <c r="AN935" s="2">
        <f>IF(AND(ListOfExpenditure[[#This Row],[Contract amount]]&gt;10000,ListOfExpenditure[[#This Row],[Content.declaredAmount]]&gt;2000),1,0)</f>
        <v>0</v>
      </c>
      <c r="AO935">
        <f>IFERROR(INDEX('Public procurment'!A:S,MATCH(ListOfExpenditure[[#This Row],[Content.contractId]],'Public procurment'!E:E,0),19),0)</f>
        <v>0</v>
      </c>
      <c r="AP935">
        <f>IF(ListOfExpenditure[[#This Row],[Numero di volte controllato il contract ]]&gt;0,0,ListOfExpenditure[[#This Row],[IF public procurment &gt;10000;1;0]])</f>
        <v>0</v>
      </c>
    </row>
    <row r="936" spans="1:42" x14ac:dyDescent="0.25">
      <c r="A936">
        <v>97</v>
      </c>
      <c r="B936">
        <v>11</v>
      </c>
      <c r="E936" t="s">
        <v>4786</v>
      </c>
      <c r="F936" t="b">
        <v>0</v>
      </c>
      <c r="I936" t="s">
        <v>5630</v>
      </c>
      <c r="K936" t="s">
        <v>5616</v>
      </c>
      <c r="L936" t="s">
        <v>5617</v>
      </c>
      <c r="M936" t="s">
        <v>4788</v>
      </c>
      <c r="N936" t="s">
        <v>4788</v>
      </c>
      <c r="O936">
        <v>3025.32</v>
      </c>
      <c r="Q936">
        <v>0</v>
      </c>
      <c r="R936">
        <v>0</v>
      </c>
      <c r="S936">
        <v>907.6</v>
      </c>
      <c r="T936" t="s">
        <v>4789</v>
      </c>
      <c r="U936">
        <v>1</v>
      </c>
      <c r="V936">
        <v>907.6</v>
      </c>
      <c r="W936" t="s">
        <v>4343</v>
      </c>
      <c r="Y936" t="b">
        <v>0</v>
      </c>
      <c r="Z936" t="b">
        <v>0</v>
      </c>
      <c r="AA936">
        <v>907.6</v>
      </c>
      <c r="AB936">
        <v>0</v>
      </c>
      <c r="AD936" t="b">
        <v>0</v>
      </c>
      <c r="AG936" s="1" t="s">
        <v>57</v>
      </c>
      <c r="AH936" s="1" t="s">
        <v>45</v>
      </c>
      <c r="AI936">
        <v>311</v>
      </c>
      <c r="AJ936">
        <v>68</v>
      </c>
      <c r="AK936" s="106">
        <v>45475.635452430557</v>
      </c>
      <c r="AL936" s="1" t="s">
        <v>4790</v>
      </c>
      <c r="AM936" s="42">
        <f>IFERROR(INDEX('Public procurment'!A:R,MATCH(ListOfExpenditure[[#This Row],[Content.contractId]],'Public procurment'!E:E,0),14),0)</f>
        <v>0</v>
      </c>
      <c r="AN936" s="2">
        <f>IF(AND(ListOfExpenditure[[#This Row],[Contract amount]]&gt;10000,ListOfExpenditure[[#This Row],[Content.declaredAmount]]&gt;2000),1,0)</f>
        <v>0</v>
      </c>
      <c r="AO936">
        <f>IFERROR(INDEX('Public procurment'!A:S,MATCH(ListOfExpenditure[[#This Row],[Content.contractId]],'Public procurment'!E:E,0),19),0)</f>
        <v>0</v>
      </c>
      <c r="AP936">
        <f>IF(ListOfExpenditure[[#This Row],[Numero di volte controllato il contract ]]&gt;0,0,ListOfExpenditure[[#This Row],[IF public procurment &gt;10000;1;0]])</f>
        <v>0</v>
      </c>
    </row>
    <row r="937" spans="1:42" x14ac:dyDescent="0.25">
      <c r="A937">
        <v>98</v>
      </c>
      <c r="B937">
        <v>12</v>
      </c>
      <c r="E937" t="s">
        <v>4786</v>
      </c>
      <c r="F937" t="b">
        <v>0</v>
      </c>
      <c r="I937" t="s">
        <v>5631</v>
      </c>
      <c r="K937" t="s">
        <v>5619</v>
      </c>
      <c r="L937" t="s">
        <v>5620</v>
      </c>
      <c r="M937" t="s">
        <v>4788</v>
      </c>
      <c r="N937" t="s">
        <v>4788</v>
      </c>
      <c r="O937">
        <v>2646.47</v>
      </c>
      <c r="Q937">
        <v>0</v>
      </c>
      <c r="R937">
        <v>0</v>
      </c>
      <c r="S937">
        <v>793.94</v>
      </c>
      <c r="T937" t="s">
        <v>4789</v>
      </c>
      <c r="U937">
        <v>1</v>
      </c>
      <c r="V937">
        <v>793.94</v>
      </c>
      <c r="W937" t="s">
        <v>4343</v>
      </c>
      <c r="Y937" t="b">
        <v>0</v>
      </c>
      <c r="Z937" t="b">
        <v>0</v>
      </c>
      <c r="AA937">
        <v>793.94</v>
      </c>
      <c r="AB937">
        <v>0</v>
      </c>
      <c r="AD937" t="b">
        <v>0</v>
      </c>
      <c r="AG937" s="1" t="s">
        <v>57</v>
      </c>
      <c r="AH937" s="1" t="s">
        <v>45</v>
      </c>
      <c r="AI937">
        <v>311</v>
      </c>
      <c r="AJ937">
        <v>68</v>
      </c>
      <c r="AK937" s="106">
        <v>45475.635452430557</v>
      </c>
      <c r="AL937" s="1" t="s">
        <v>4790</v>
      </c>
      <c r="AM937" s="42">
        <f>IFERROR(INDEX('Public procurment'!A:R,MATCH(ListOfExpenditure[[#This Row],[Content.contractId]],'Public procurment'!E:E,0),14),0)</f>
        <v>0</v>
      </c>
      <c r="AN937" s="2">
        <f>IF(AND(ListOfExpenditure[[#This Row],[Contract amount]]&gt;10000,ListOfExpenditure[[#This Row],[Content.declaredAmount]]&gt;2000),1,0)</f>
        <v>0</v>
      </c>
      <c r="AO937">
        <f>IFERROR(INDEX('Public procurment'!A:S,MATCH(ListOfExpenditure[[#This Row],[Content.contractId]],'Public procurment'!E:E,0),19),0)</f>
        <v>0</v>
      </c>
      <c r="AP937">
        <f>IF(ListOfExpenditure[[#This Row],[Numero di volte controllato il contract ]]&gt;0,0,ListOfExpenditure[[#This Row],[IF public procurment &gt;10000;1;0]])</f>
        <v>0</v>
      </c>
    </row>
    <row r="938" spans="1:42" x14ac:dyDescent="0.25">
      <c r="A938">
        <v>99</v>
      </c>
      <c r="B938">
        <v>13</v>
      </c>
      <c r="E938" t="s">
        <v>4786</v>
      </c>
      <c r="F938" t="b">
        <v>0</v>
      </c>
      <c r="I938" t="s">
        <v>5632</v>
      </c>
      <c r="K938" t="s">
        <v>5381</v>
      </c>
      <c r="L938" t="s">
        <v>5376</v>
      </c>
      <c r="M938" t="s">
        <v>4788</v>
      </c>
      <c r="N938" t="s">
        <v>4788</v>
      </c>
      <c r="O938">
        <v>2996.1</v>
      </c>
      <c r="Q938">
        <v>0</v>
      </c>
      <c r="R938">
        <v>0</v>
      </c>
      <c r="S938">
        <v>898.83</v>
      </c>
      <c r="T938" t="s">
        <v>4789</v>
      </c>
      <c r="U938">
        <v>1</v>
      </c>
      <c r="V938">
        <v>898.83</v>
      </c>
      <c r="W938" t="s">
        <v>4343</v>
      </c>
      <c r="Y938" t="b">
        <v>0</v>
      </c>
      <c r="Z938" t="b">
        <v>0</v>
      </c>
      <c r="AA938">
        <v>898.83</v>
      </c>
      <c r="AB938">
        <v>0</v>
      </c>
      <c r="AD938" t="b">
        <v>0</v>
      </c>
      <c r="AG938" s="1" t="s">
        <v>57</v>
      </c>
      <c r="AH938" s="1" t="s">
        <v>45</v>
      </c>
      <c r="AI938">
        <v>311</v>
      </c>
      <c r="AJ938">
        <v>68</v>
      </c>
      <c r="AK938" s="106">
        <v>45475.635452430557</v>
      </c>
      <c r="AL938" s="1" t="s">
        <v>4790</v>
      </c>
      <c r="AM938" s="42">
        <f>IFERROR(INDEX('Public procurment'!A:R,MATCH(ListOfExpenditure[[#This Row],[Content.contractId]],'Public procurment'!E:E,0),14),0)</f>
        <v>0</v>
      </c>
      <c r="AN938" s="2">
        <f>IF(AND(ListOfExpenditure[[#This Row],[Contract amount]]&gt;10000,ListOfExpenditure[[#This Row],[Content.declaredAmount]]&gt;2000),1,0)</f>
        <v>0</v>
      </c>
      <c r="AO938">
        <f>IFERROR(INDEX('Public procurment'!A:S,MATCH(ListOfExpenditure[[#This Row],[Content.contractId]],'Public procurment'!E:E,0),19),0)</f>
        <v>0</v>
      </c>
      <c r="AP938">
        <f>IF(ListOfExpenditure[[#This Row],[Numero di volte controllato il contract ]]&gt;0,0,ListOfExpenditure[[#This Row],[IF public procurment &gt;10000;1;0]])</f>
        <v>0</v>
      </c>
    </row>
    <row r="939" spans="1:42" x14ac:dyDescent="0.25">
      <c r="A939">
        <v>100</v>
      </c>
      <c r="B939">
        <v>14</v>
      </c>
      <c r="E939" t="s">
        <v>4786</v>
      </c>
      <c r="F939" t="b">
        <v>0</v>
      </c>
      <c r="I939" t="s">
        <v>5633</v>
      </c>
      <c r="K939" t="s">
        <v>5623</v>
      </c>
      <c r="L939" t="s">
        <v>5624</v>
      </c>
      <c r="M939" t="s">
        <v>4788</v>
      </c>
      <c r="N939" t="s">
        <v>4788</v>
      </c>
      <c r="O939">
        <v>3048.42</v>
      </c>
      <c r="Q939">
        <v>0</v>
      </c>
      <c r="R939">
        <v>0</v>
      </c>
      <c r="S939">
        <v>914.53</v>
      </c>
      <c r="T939" t="s">
        <v>4789</v>
      </c>
      <c r="U939">
        <v>1</v>
      </c>
      <c r="V939">
        <v>914.53</v>
      </c>
      <c r="W939" t="s">
        <v>4343</v>
      </c>
      <c r="Y939" t="b">
        <v>0</v>
      </c>
      <c r="Z939" t="b">
        <v>0</v>
      </c>
      <c r="AA939">
        <v>914.53</v>
      </c>
      <c r="AB939">
        <v>0</v>
      </c>
      <c r="AD939" t="b">
        <v>0</v>
      </c>
      <c r="AG939" s="1" t="s">
        <v>57</v>
      </c>
      <c r="AH939" s="1" t="s">
        <v>45</v>
      </c>
      <c r="AI939">
        <v>311</v>
      </c>
      <c r="AJ939">
        <v>68</v>
      </c>
      <c r="AK939" s="106">
        <v>45475.635452430557</v>
      </c>
      <c r="AL939" s="1" t="s">
        <v>4790</v>
      </c>
      <c r="AM939" s="42">
        <f>IFERROR(INDEX('Public procurment'!A:R,MATCH(ListOfExpenditure[[#This Row],[Content.contractId]],'Public procurment'!E:E,0),14),0)</f>
        <v>0</v>
      </c>
      <c r="AN939" s="2">
        <f>IF(AND(ListOfExpenditure[[#This Row],[Contract amount]]&gt;10000,ListOfExpenditure[[#This Row],[Content.declaredAmount]]&gt;2000),1,0)</f>
        <v>0</v>
      </c>
      <c r="AO939">
        <f>IFERROR(INDEX('Public procurment'!A:S,MATCH(ListOfExpenditure[[#This Row],[Content.contractId]],'Public procurment'!E:E,0),19),0)</f>
        <v>0</v>
      </c>
      <c r="AP939">
        <f>IF(ListOfExpenditure[[#This Row],[Numero di volte controllato il contract ]]&gt;0,0,ListOfExpenditure[[#This Row],[IF public procurment &gt;10000;1;0]])</f>
        <v>0</v>
      </c>
    </row>
    <row r="940" spans="1:42" x14ac:dyDescent="0.25">
      <c r="A940">
        <v>101</v>
      </c>
      <c r="B940">
        <v>15</v>
      </c>
      <c r="E940" t="s">
        <v>4786</v>
      </c>
      <c r="F940" t="b">
        <v>0</v>
      </c>
      <c r="I940" t="s">
        <v>5634</v>
      </c>
      <c r="K940" t="s">
        <v>5626</v>
      </c>
      <c r="L940" t="s">
        <v>4910</v>
      </c>
      <c r="M940" t="s">
        <v>4788</v>
      </c>
      <c r="N940" t="s">
        <v>4788</v>
      </c>
      <c r="O940">
        <v>2580.9</v>
      </c>
      <c r="Q940">
        <v>0</v>
      </c>
      <c r="R940">
        <v>0</v>
      </c>
      <c r="S940">
        <v>774.27</v>
      </c>
      <c r="T940" t="s">
        <v>4789</v>
      </c>
      <c r="U940">
        <v>1</v>
      </c>
      <c r="V940">
        <v>774.27</v>
      </c>
      <c r="W940" t="s">
        <v>4343</v>
      </c>
      <c r="Y940" t="b">
        <v>0</v>
      </c>
      <c r="Z940" t="b">
        <v>0</v>
      </c>
      <c r="AA940">
        <v>774.27</v>
      </c>
      <c r="AB940">
        <v>0</v>
      </c>
      <c r="AD940" t="b">
        <v>0</v>
      </c>
      <c r="AG940" s="1" t="s">
        <v>57</v>
      </c>
      <c r="AH940" s="1" t="s">
        <v>45</v>
      </c>
      <c r="AI940">
        <v>311</v>
      </c>
      <c r="AJ940">
        <v>68</v>
      </c>
      <c r="AK940" s="106">
        <v>45475.635452430557</v>
      </c>
      <c r="AL940" s="1" t="s">
        <v>4790</v>
      </c>
      <c r="AM940" s="42">
        <f>IFERROR(INDEX('Public procurment'!A:R,MATCH(ListOfExpenditure[[#This Row],[Content.contractId]],'Public procurment'!E:E,0),14),0)</f>
        <v>0</v>
      </c>
      <c r="AN940" s="2">
        <f>IF(AND(ListOfExpenditure[[#This Row],[Contract amount]]&gt;10000,ListOfExpenditure[[#This Row],[Content.declaredAmount]]&gt;2000),1,0)</f>
        <v>0</v>
      </c>
      <c r="AO940">
        <f>IFERROR(INDEX('Public procurment'!A:S,MATCH(ListOfExpenditure[[#This Row],[Content.contractId]],'Public procurment'!E:E,0),19),0)</f>
        <v>0</v>
      </c>
      <c r="AP940">
        <f>IF(ListOfExpenditure[[#This Row],[Numero di volte controllato il contract ]]&gt;0,0,ListOfExpenditure[[#This Row],[IF public procurment &gt;10000;1;0]])</f>
        <v>0</v>
      </c>
    </row>
    <row r="941" spans="1:42" x14ac:dyDescent="0.25">
      <c r="A941">
        <v>102</v>
      </c>
      <c r="B941">
        <v>16</v>
      </c>
      <c r="E941" t="s">
        <v>4786</v>
      </c>
      <c r="F941" t="b">
        <v>0</v>
      </c>
      <c r="I941" t="s">
        <v>5635</v>
      </c>
      <c r="K941" t="s">
        <v>4873</v>
      </c>
      <c r="L941" t="s">
        <v>4444</v>
      </c>
      <c r="M941" t="s">
        <v>4788</v>
      </c>
      <c r="N941" t="s">
        <v>4788</v>
      </c>
      <c r="O941">
        <v>3007.65</v>
      </c>
      <c r="Q941">
        <v>0</v>
      </c>
      <c r="R941">
        <v>0</v>
      </c>
      <c r="S941">
        <v>902.3</v>
      </c>
      <c r="T941" t="s">
        <v>4789</v>
      </c>
      <c r="U941">
        <v>1</v>
      </c>
      <c r="V941">
        <v>902.3</v>
      </c>
      <c r="W941" t="s">
        <v>4343</v>
      </c>
      <c r="Y941" t="b">
        <v>0</v>
      </c>
      <c r="Z941" t="b">
        <v>0</v>
      </c>
      <c r="AA941">
        <v>902.3</v>
      </c>
      <c r="AB941">
        <v>0</v>
      </c>
      <c r="AD941" t="b">
        <v>0</v>
      </c>
      <c r="AG941" s="1" t="s">
        <v>57</v>
      </c>
      <c r="AH941" s="1" t="s">
        <v>45</v>
      </c>
      <c r="AI941">
        <v>311</v>
      </c>
      <c r="AJ941">
        <v>68</v>
      </c>
      <c r="AK941" s="106">
        <v>45475.635452430557</v>
      </c>
      <c r="AL941" s="1" t="s">
        <v>4790</v>
      </c>
      <c r="AM941" s="42">
        <f>IFERROR(INDEX('Public procurment'!A:R,MATCH(ListOfExpenditure[[#This Row],[Content.contractId]],'Public procurment'!E:E,0),14),0)</f>
        <v>0</v>
      </c>
      <c r="AN941" s="2">
        <f>IF(AND(ListOfExpenditure[[#This Row],[Contract amount]]&gt;10000,ListOfExpenditure[[#This Row],[Content.declaredAmount]]&gt;2000),1,0)</f>
        <v>0</v>
      </c>
      <c r="AO941">
        <f>IFERROR(INDEX('Public procurment'!A:S,MATCH(ListOfExpenditure[[#This Row],[Content.contractId]],'Public procurment'!E:E,0),19),0)</f>
        <v>0</v>
      </c>
      <c r="AP941">
        <f>IF(ListOfExpenditure[[#This Row],[Numero di volte controllato il contract ]]&gt;0,0,ListOfExpenditure[[#This Row],[IF public procurment &gt;10000;1;0]])</f>
        <v>0</v>
      </c>
    </row>
    <row r="942" spans="1:42" x14ac:dyDescent="0.25">
      <c r="A942">
        <v>103</v>
      </c>
      <c r="B942">
        <v>17</v>
      </c>
      <c r="E942" t="s">
        <v>4786</v>
      </c>
      <c r="F942" t="b">
        <v>0</v>
      </c>
      <c r="I942" t="s">
        <v>5636</v>
      </c>
      <c r="K942" t="s">
        <v>5612</v>
      </c>
      <c r="L942" t="s">
        <v>5613</v>
      </c>
      <c r="M942" t="s">
        <v>4788</v>
      </c>
      <c r="N942" t="s">
        <v>4788</v>
      </c>
      <c r="O942">
        <v>2048</v>
      </c>
      <c r="Q942">
        <v>0</v>
      </c>
      <c r="R942">
        <v>0</v>
      </c>
      <c r="S942">
        <v>614.4</v>
      </c>
      <c r="T942" t="s">
        <v>4789</v>
      </c>
      <c r="U942">
        <v>1</v>
      </c>
      <c r="V942">
        <v>614.4</v>
      </c>
      <c r="W942" t="s">
        <v>4343</v>
      </c>
      <c r="Y942" t="b">
        <v>0</v>
      </c>
      <c r="Z942" t="b">
        <v>0</v>
      </c>
      <c r="AA942">
        <v>614.4</v>
      </c>
      <c r="AB942">
        <v>0</v>
      </c>
      <c r="AD942" t="b">
        <v>0</v>
      </c>
      <c r="AG942" s="1" t="s">
        <v>57</v>
      </c>
      <c r="AH942" s="1" t="s">
        <v>45</v>
      </c>
      <c r="AI942">
        <v>311</v>
      </c>
      <c r="AJ942">
        <v>68</v>
      </c>
      <c r="AK942" s="106">
        <v>45475.635452430557</v>
      </c>
      <c r="AL942" s="1" t="s">
        <v>4790</v>
      </c>
      <c r="AM942" s="42">
        <f>IFERROR(INDEX('Public procurment'!A:R,MATCH(ListOfExpenditure[[#This Row],[Content.contractId]],'Public procurment'!E:E,0),14),0)</f>
        <v>0</v>
      </c>
      <c r="AN942" s="2">
        <f>IF(AND(ListOfExpenditure[[#This Row],[Contract amount]]&gt;10000,ListOfExpenditure[[#This Row],[Content.declaredAmount]]&gt;2000),1,0)</f>
        <v>0</v>
      </c>
      <c r="AO942">
        <f>IFERROR(INDEX('Public procurment'!A:S,MATCH(ListOfExpenditure[[#This Row],[Content.contractId]],'Public procurment'!E:E,0),19),0)</f>
        <v>0</v>
      </c>
      <c r="AP942">
        <f>IF(ListOfExpenditure[[#This Row],[Numero di volte controllato il contract ]]&gt;0,0,ListOfExpenditure[[#This Row],[IF public procurment &gt;10000;1;0]])</f>
        <v>0</v>
      </c>
    </row>
    <row r="943" spans="1:42" x14ac:dyDescent="0.25">
      <c r="A943">
        <v>104</v>
      </c>
      <c r="B943">
        <v>18</v>
      </c>
      <c r="E943" t="s">
        <v>4786</v>
      </c>
      <c r="F943" t="b">
        <v>0</v>
      </c>
      <c r="I943" t="s">
        <v>5637</v>
      </c>
      <c r="K943" t="s">
        <v>5575</v>
      </c>
      <c r="L943" t="s">
        <v>4795</v>
      </c>
      <c r="M943" t="s">
        <v>4788</v>
      </c>
      <c r="N943" t="s">
        <v>4788</v>
      </c>
      <c r="O943">
        <v>1943.55</v>
      </c>
      <c r="Q943">
        <v>0</v>
      </c>
      <c r="R943">
        <v>0</v>
      </c>
      <c r="S943">
        <v>583.07000000000005</v>
      </c>
      <c r="T943" t="s">
        <v>4789</v>
      </c>
      <c r="U943">
        <v>1</v>
      </c>
      <c r="V943">
        <v>583.07000000000005</v>
      </c>
      <c r="W943" t="s">
        <v>4343</v>
      </c>
      <c r="Y943" t="b">
        <v>0</v>
      </c>
      <c r="Z943" t="b">
        <v>0</v>
      </c>
      <c r="AA943">
        <v>583.07000000000005</v>
      </c>
      <c r="AB943">
        <v>0</v>
      </c>
      <c r="AD943" t="b">
        <v>0</v>
      </c>
      <c r="AG943" s="1" t="s">
        <v>57</v>
      </c>
      <c r="AH943" s="1" t="s">
        <v>45</v>
      </c>
      <c r="AI943">
        <v>311</v>
      </c>
      <c r="AJ943">
        <v>68</v>
      </c>
      <c r="AK943" s="106">
        <v>45475.635452430557</v>
      </c>
      <c r="AL943" s="1" t="s">
        <v>4790</v>
      </c>
      <c r="AM943" s="42">
        <f>IFERROR(INDEX('Public procurment'!A:R,MATCH(ListOfExpenditure[[#This Row],[Content.contractId]],'Public procurment'!E:E,0),14),0)</f>
        <v>0</v>
      </c>
      <c r="AN943" s="2">
        <f>IF(AND(ListOfExpenditure[[#This Row],[Contract amount]]&gt;10000,ListOfExpenditure[[#This Row],[Content.declaredAmount]]&gt;2000),1,0)</f>
        <v>0</v>
      </c>
      <c r="AO943">
        <f>IFERROR(INDEX('Public procurment'!A:S,MATCH(ListOfExpenditure[[#This Row],[Content.contractId]],'Public procurment'!E:E,0),19),0)</f>
        <v>0</v>
      </c>
      <c r="AP943">
        <f>IF(ListOfExpenditure[[#This Row],[Numero di volte controllato il contract ]]&gt;0,0,ListOfExpenditure[[#This Row],[IF public procurment &gt;10000;1;0]])</f>
        <v>0</v>
      </c>
    </row>
    <row r="944" spans="1:42" x14ac:dyDescent="0.25">
      <c r="A944">
        <v>105</v>
      </c>
      <c r="B944">
        <v>19</v>
      </c>
      <c r="E944" t="s">
        <v>4786</v>
      </c>
      <c r="F944" t="b">
        <v>0</v>
      </c>
      <c r="I944" t="s">
        <v>5638</v>
      </c>
      <c r="K944" t="s">
        <v>5616</v>
      </c>
      <c r="L944" t="s">
        <v>5617</v>
      </c>
      <c r="M944" t="s">
        <v>4788</v>
      </c>
      <c r="N944" t="s">
        <v>4788</v>
      </c>
      <c r="O944">
        <v>2065.2800000000002</v>
      </c>
      <c r="Q944">
        <v>0</v>
      </c>
      <c r="R944">
        <v>0</v>
      </c>
      <c r="S944">
        <v>619.58000000000004</v>
      </c>
      <c r="T944" t="s">
        <v>4789</v>
      </c>
      <c r="U944">
        <v>1</v>
      </c>
      <c r="V944">
        <v>619.58000000000004</v>
      </c>
      <c r="W944" t="s">
        <v>4343</v>
      </c>
      <c r="Y944" t="b">
        <v>0</v>
      </c>
      <c r="Z944" t="b">
        <v>0</v>
      </c>
      <c r="AA944">
        <v>619.58000000000004</v>
      </c>
      <c r="AB944">
        <v>0</v>
      </c>
      <c r="AD944" t="b">
        <v>0</v>
      </c>
      <c r="AG944" s="1" t="s">
        <v>57</v>
      </c>
      <c r="AH944" s="1" t="s">
        <v>45</v>
      </c>
      <c r="AI944">
        <v>311</v>
      </c>
      <c r="AJ944">
        <v>68</v>
      </c>
      <c r="AK944" s="106">
        <v>45475.635452430557</v>
      </c>
      <c r="AL944" s="1" t="s">
        <v>4790</v>
      </c>
      <c r="AM944" s="42">
        <f>IFERROR(INDEX('Public procurment'!A:R,MATCH(ListOfExpenditure[[#This Row],[Content.contractId]],'Public procurment'!E:E,0),14),0)</f>
        <v>0</v>
      </c>
      <c r="AN944" s="2">
        <f>IF(AND(ListOfExpenditure[[#This Row],[Contract amount]]&gt;10000,ListOfExpenditure[[#This Row],[Content.declaredAmount]]&gt;2000),1,0)</f>
        <v>0</v>
      </c>
      <c r="AO944">
        <f>IFERROR(INDEX('Public procurment'!A:S,MATCH(ListOfExpenditure[[#This Row],[Content.contractId]],'Public procurment'!E:E,0),19),0)</f>
        <v>0</v>
      </c>
      <c r="AP944">
        <f>IF(ListOfExpenditure[[#This Row],[Numero di volte controllato il contract ]]&gt;0,0,ListOfExpenditure[[#This Row],[IF public procurment &gt;10000;1;0]])</f>
        <v>0</v>
      </c>
    </row>
    <row r="945" spans="1:42" x14ac:dyDescent="0.25">
      <c r="A945">
        <v>106</v>
      </c>
      <c r="B945">
        <v>20</v>
      </c>
      <c r="E945" t="s">
        <v>4786</v>
      </c>
      <c r="F945" t="b">
        <v>0</v>
      </c>
      <c r="I945" t="s">
        <v>5639</v>
      </c>
      <c r="K945" t="s">
        <v>5619</v>
      </c>
      <c r="L945" t="s">
        <v>5620</v>
      </c>
      <c r="M945" t="s">
        <v>4788</v>
      </c>
      <c r="N945" t="s">
        <v>4788</v>
      </c>
      <c r="O945">
        <v>2022.08</v>
      </c>
      <c r="Q945">
        <v>0</v>
      </c>
      <c r="R945">
        <v>0</v>
      </c>
      <c r="S945">
        <v>606.62</v>
      </c>
      <c r="T945" t="s">
        <v>4789</v>
      </c>
      <c r="U945">
        <v>1</v>
      </c>
      <c r="V945">
        <v>606.62</v>
      </c>
      <c r="W945" t="s">
        <v>4343</v>
      </c>
      <c r="Y945" t="b">
        <v>0</v>
      </c>
      <c r="Z945" t="b">
        <v>0</v>
      </c>
      <c r="AA945">
        <v>606.62</v>
      </c>
      <c r="AB945">
        <v>0</v>
      </c>
      <c r="AD945" t="b">
        <v>0</v>
      </c>
      <c r="AG945" s="1" t="s">
        <v>57</v>
      </c>
      <c r="AH945" s="1" t="s">
        <v>45</v>
      </c>
      <c r="AI945">
        <v>311</v>
      </c>
      <c r="AJ945">
        <v>68</v>
      </c>
      <c r="AK945" s="106">
        <v>45475.635452430557</v>
      </c>
      <c r="AL945" s="1" t="s">
        <v>4790</v>
      </c>
      <c r="AM945" s="42">
        <f>IFERROR(INDEX('Public procurment'!A:R,MATCH(ListOfExpenditure[[#This Row],[Content.contractId]],'Public procurment'!E:E,0),14),0)</f>
        <v>0</v>
      </c>
      <c r="AN945" s="2">
        <f>IF(AND(ListOfExpenditure[[#This Row],[Contract amount]]&gt;10000,ListOfExpenditure[[#This Row],[Content.declaredAmount]]&gt;2000),1,0)</f>
        <v>0</v>
      </c>
      <c r="AO945">
        <f>IFERROR(INDEX('Public procurment'!A:S,MATCH(ListOfExpenditure[[#This Row],[Content.contractId]],'Public procurment'!E:E,0),19),0)</f>
        <v>0</v>
      </c>
      <c r="AP945">
        <f>IF(ListOfExpenditure[[#This Row],[Numero di volte controllato il contract ]]&gt;0,0,ListOfExpenditure[[#This Row],[IF public procurment &gt;10000;1;0]])</f>
        <v>0</v>
      </c>
    </row>
    <row r="946" spans="1:42" x14ac:dyDescent="0.25">
      <c r="A946">
        <v>107</v>
      </c>
      <c r="B946">
        <v>21</v>
      </c>
      <c r="E946" t="s">
        <v>4786</v>
      </c>
      <c r="F946" t="b">
        <v>0</v>
      </c>
      <c r="I946" t="s">
        <v>5640</v>
      </c>
      <c r="K946" t="s">
        <v>5381</v>
      </c>
      <c r="L946" t="s">
        <v>5376</v>
      </c>
      <c r="M946" t="s">
        <v>4788</v>
      </c>
      <c r="N946" t="s">
        <v>4788</v>
      </c>
      <c r="O946">
        <v>2030.74</v>
      </c>
      <c r="Q946">
        <v>0</v>
      </c>
      <c r="R946">
        <v>0</v>
      </c>
      <c r="S946">
        <v>609.22</v>
      </c>
      <c r="T946" t="s">
        <v>4789</v>
      </c>
      <c r="U946">
        <v>1</v>
      </c>
      <c r="V946">
        <v>609.22</v>
      </c>
      <c r="W946" t="s">
        <v>4343</v>
      </c>
      <c r="Y946" t="b">
        <v>0</v>
      </c>
      <c r="Z946" t="b">
        <v>0</v>
      </c>
      <c r="AA946">
        <v>609.22</v>
      </c>
      <c r="AB946">
        <v>0</v>
      </c>
      <c r="AD946" t="b">
        <v>0</v>
      </c>
      <c r="AG946" s="1" t="s">
        <v>57</v>
      </c>
      <c r="AH946" s="1" t="s">
        <v>45</v>
      </c>
      <c r="AI946">
        <v>311</v>
      </c>
      <c r="AJ946">
        <v>68</v>
      </c>
      <c r="AK946" s="106">
        <v>45475.635452430557</v>
      </c>
      <c r="AL946" s="1" t="s">
        <v>4790</v>
      </c>
      <c r="AM946" s="42">
        <f>IFERROR(INDEX('Public procurment'!A:R,MATCH(ListOfExpenditure[[#This Row],[Content.contractId]],'Public procurment'!E:E,0),14),0)</f>
        <v>0</v>
      </c>
      <c r="AN946" s="2">
        <f>IF(AND(ListOfExpenditure[[#This Row],[Contract amount]]&gt;10000,ListOfExpenditure[[#This Row],[Content.declaredAmount]]&gt;2000),1,0)</f>
        <v>0</v>
      </c>
      <c r="AO946">
        <f>IFERROR(INDEX('Public procurment'!A:S,MATCH(ListOfExpenditure[[#This Row],[Content.contractId]],'Public procurment'!E:E,0),19),0)</f>
        <v>0</v>
      </c>
      <c r="AP946">
        <f>IF(ListOfExpenditure[[#This Row],[Numero di volte controllato il contract ]]&gt;0,0,ListOfExpenditure[[#This Row],[IF public procurment &gt;10000;1;0]])</f>
        <v>0</v>
      </c>
    </row>
    <row r="947" spans="1:42" x14ac:dyDescent="0.25">
      <c r="A947">
        <v>108</v>
      </c>
      <c r="B947">
        <v>22</v>
      </c>
      <c r="E947" t="s">
        <v>4786</v>
      </c>
      <c r="F947" t="b">
        <v>0</v>
      </c>
      <c r="I947" t="s">
        <v>5641</v>
      </c>
      <c r="K947" t="s">
        <v>5623</v>
      </c>
      <c r="L947" t="s">
        <v>5624</v>
      </c>
      <c r="M947" t="s">
        <v>4788</v>
      </c>
      <c r="N947" t="s">
        <v>4788</v>
      </c>
      <c r="O947">
        <v>2030.72</v>
      </c>
      <c r="Q947">
        <v>0</v>
      </c>
      <c r="R947">
        <v>0</v>
      </c>
      <c r="S947">
        <v>609.22</v>
      </c>
      <c r="T947" t="s">
        <v>4789</v>
      </c>
      <c r="U947">
        <v>1</v>
      </c>
      <c r="V947">
        <v>609.22</v>
      </c>
      <c r="W947" t="s">
        <v>4343</v>
      </c>
      <c r="Y947" t="b">
        <v>0</v>
      </c>
      <c r="Z947" t="b">
        <v>0</v>
      </c>
      <c r="AA947">
        <v>609.22</v>
      </c>
      <c r="AB947">
        <v>0</v>
      </c>
      <c r="AD947" t="b">
        <v>0</v>
      </c>
      <c r="AG947" s="1" t="s">
        <v>57</v>
      </c>
      <c r="AH947" s="1" t="s">
        <v>45</v>
      </c>
      <c r="AI947">
        <v>311</v>
      </c>
      <c r="AJ947">
        <v>68</v>
      </c>
      <c r="AK947" s="106">
        <v>45475.635452430557</v>
      </c>
      <c r="AL947" s="1" t="s">
        <v>4790</v>
      </c>
      <c r="AM947" s="42">
        <f>IFERROR(INDEX('Public procurment'!A:R,MATCH(ListOfExpenditure[[#This Row],[Content.contractId]],'Public procurment'!E:E,0),14),0)</f>
        <v>0</v>
      </c>
      <c r="AN947" s="2">
        <f>IF(AND(ListOfExpenditure[[#This Row],[Contract amount]]&gt;10000,ListOfExpenditure[[#This Row],[Content.declaredAmount]]&gt;2000),1,0)</f>
        <v>0</v>
      </c>
      <c r="AO947">
        <f>IFERROR(INDEX('Public procurment'!A:S,MATCH(ListOfExpenditure[[#This Row],[Content.contractId]],'Public procurment'!E:E,0),19),0)</f>
        <v>0</v>
      </c>
      <c r="AP947">
        <f>IF(ListOfExpenditure[[#This Row],[Numero di volte controllato il contract ]]&gt;0,0,ListOfExpenditure[[#This Row],[IF public procurment &gt;10000;1;0]])</f>
        <v>0</v>
      </c>
    </row>
    <row r="948" spans="1:42" x14ac:dyDescent="0.25">
      <c r="A948">
        <v>109</v>
      </c>
      <c r="B948">
        <v>23</v>
      </c>
      <c r="E948" t="s">
        <v>4786</v>
      </c>
      <c r="F948" t="b">
        <v>0</v>
      </c>
      <c r="I948" t="s">
        <v>5642</v>
      </c>
      <c r="K948" t="s">
        <v>5626</v>
      </c>
      <c r="L948" t="s">
        <v>4910</v>
      </c>
      <c r="M948" t="s">
        <v>4788</v>
      </c>
      <c r="N948" t="s">
        <v>4788</v>
      </c>
      <c r="O948">
        <v>2022.08</v>
      </c>
      <c r="Q948">
        <v>0</v>
      </c>
      <c r="R948">
        <v>0</v>
      </c>
      <c r="S948">
        <v>606.62</v>
      </c>
      <c r="T948" t="s">
        <v>4789</v>
      </c>
      <c r="U948">
        <v>1</v>
      </c>
      <c r="V948">
        <v>606.62</v>
      </c>
      <c r="W948" t="s">
        <v>4343</v>
      </c>
      <c r="Y948" t="b">
        <v>0</v>
      </c>
      <c r="Z948" t="b">
        <v>0</v>
      </c>
      <c r="AA948">
        <v>606.62</v>
      </c>
      <c r="AB948">
        <v>0</v>
      </c>
      <c r="AD948" t="b">
        <v>0</v>
      </c>
      <c r="AG948" s="1" t="s">
        <v>57</v>
      </c>
      <c r="AH948" s="1" t="s">
        <v>45</v>
      </c>
      <c r="AI948">
        <v>311</v>
      </c>
      <c r="AJ948">
        <v>68</v>
      </c>
      <c r="AK948" s="106">
        <v>45475.635452430557</v>
      </c>
      <c r="AL948" s="1" t="s">
        <v>4790</v>
      </c>
      <c r="AM948" s="42">
        <f>IFERROR(INDEX('Public procurment'!A:R,MATCH(ListOfExpenditure[[#This Row],[Content.contractId]],'Public procurment'!E:E,0),14),0)</f>
        <v>0</v>
      </c>
      <c r="AN948" s="2">
        <f>IF(AND(ListOfExpenditure[[#This Row],[Contract amount]]&gt;10000,ListOfExpenditure[[#This Row],[Content.declaredAmount]]&gt;2000),1,0)</f>
        <v>0</v>
      </c>
      <c r="AO948">
        <f>IFERROR(INDEX('Public procurment'!A:S,MATCH(ListOfExpenditure[[#This Row],[Content.contractId]],'Public procurment'!E:E,0),19),0)</f>
        <v>0</v>
      </c>
      <c r="AP948">
        <f>IF(ListOfExpenditure[[#This Row],[Numero di volte controllato il contract ]]&gt;0,0,ListOfExpenditure[[#This Row],[IF public procurment &gt;10000;1;0]])</f>
        <v>0</v>
      </c>
    </row>
    <row r="949" spans="1:42" x14ac:dyDescent="0.25">
      <c r="A949">
        <v>110</v>
      </c>
      <c r="B949">
        <v>24</v>
      </c>
      <c r="E949" t="s">
        <v>4786</v>
      </c>
      <c r="F949" t="b">
        <v>0</v>
      </c>
      <c r="I949" t="s">
        <v>5643</v>
      </c>
      <c r="K949" t="s">
        <v>4873</v>
      </c>
      <c r="L949" t="s">
        <v>4444</v>
      </c>
      <c r="M949" t="s">
        <v>4788</v>
      </c>
      <c r="N949" t="s">
        <v>4788</v>
      </c>
      <c r="O949">
        <v>2013.44</v>
      </c>
      <c r="Q949">
        <v>0</v>
      </c>
      <c r="R949">
        <v>0</v>
      </c>
      <c r="S949">
        <v>604.03</v>
      </c>
      <c r="T949" t="s">
        <v>4789</v>
      </c>
      <c r="U949">
        <v>1</v>
      </c>
      <c r="V949">
        <v>604.03</v>
      </c>
      <c r="W949" t="s">
        <v>4343</v>
      </c>
      <c r="Y949" t="b">
        <v>0</v>
      </c>
      <c r="Z949" t="b">
        <v>0</v>
      </c>
      <c r="AA949">
        <v>604.03</v>
      </c>
      <c r="AB949">
        <v>0</v>
      </c>
      <c r="AD949" t="b">
        <v>0</v>
      </c>
      <c r="AG949" s="1" t="s">
        <v>57</v>
      </c>
      <c r="AH949" s="1" t="s">
        <v>45</v>
      </c>
      <c r="AI949">
        <v>311</v>
      </c>
      <c r="AJ949">
        <v>68</v>
      </c>
      <c r="AK949" s="106">
        <v>45475.635452430557</v>
      </c>
      <c r="AL949" s="1" t="s">
        <v>4790</v>
      </c>
      <c r="AM949" s="42">
        <f>IFERROR(INDEX('Public procurment'!A:R,MATCH(ListOfExpenditure[[#This Row],[Content.contractId]],'Public procurment'!E:E,0),14),0)</f>
        <v>0</v>
      </c>
      <c r="AN949" s="2">
        <f>IF(AND(ListOfExpenditure[[#This Row],[Contract amount]]&gt;10000,ListOfExpenditure[[#This Row],[Content.declaredAmount]]&gt;2000),1,0)</f>
        <v>0</v>
      </c>
      <c r="AO949">
        <f>IFERROR(INDEX('Public procurment'!A:S,MATCH(ListOfExpenditure[[#This Row],[Content.contractId]],'Public procurment'!E:E,0),19),0)</f>
        <v>0</v>
      </c>
      <c r="AP949">
        <f>IF(ListOfExpenditure[[#This Row],[Numero di volte controllato il contract ]]&gt;0,0,ListOfExpenditure[[#This Row],[IF public procurment &gt;10000;1;0]])</f>
        <v>0</v>
      </c>
    </row>
    <row r="950" spans="1:42" x14ac:dyDescent="0.25">
      <c r="A950">
        <v>111</v>
      </c>
      <c r="B950">
        <v>25</v>
      </c>
      <c r="E950" t="s">
        <v>4786</v>
      </c>
      <c r="F950" t="b">
        <v>0</v>
      </c>
      <c r="I950" t="s">
        <v>5644</v>
      </c>
      <c r="K950" t="s">
        <v>5612</v>
      </c>
      <c r="L950" t="s">
        <v>5613</v>
      </c>
      <c r="M950" t="s">
        <v>4788</v>
      </c>
      <c r="N950" t="s">
        <v>4788</v>
      </c>
      <c r="O950">
        <v>1790.58</v>
      </c>
      <c r="Q950">
        <v>0</v>
      </c>
      <c r="R950">
        <v>0</v>
      </c>
      <c r="S950">
        <v>358.12</v>
      </c>
      <c r="T950" t="s">
        <v>4789</v>
      </c>
      <c r="U950">
        <v>1</v>
      </c>
      <c r="V950">
        <v>358.12</v>
      </c>
      <c r="W950" t="s">
        <v>4343</v>
      </c>
      <c r="Y950" t="b">
        <v>0</v>
      </c>
      <c r="Z950" t="b">
        <v>0</v>
      </c>
      <c r="AA950">
        <v>358.12</v>
      </c>
      <c r="AB950">
        <v>0</v>
      </c>
      <c r="AD950" t="b">
        <v>0</v>
      </c>
      <c r="AG950" s="1" t="s">
        <v>57</v>
      </c>
      <c r="AH950" s="1" t="s">
        <v>45</v>
      </c>
      <c r="AI950">
        <v>311</v>
      </c>
      <c r="AJ950">
        <v>68</v>
      </c>
      <c r="AK950" s="106">
        <v>45475.635452430557</v>
      </c>
      <c r="AL950" s="1" t="s">
        <v>4790</v>
      </c>
      <c r="AM950" s="42">
        <f>IFERROR(INDEX('Public procurment'!A:R,MATCH(ListOfExpenditure[[#This Row],[Content.contractId]],'Public procurment'!E:E,0),14),0)</f>
        <v>0</v>
      </c>
      <c r="AN950" s="2">
        <f>IF(AND(ListOfExpenditure[[#This Row],[Contract amount]]&gt;10000,ListOfExpenditure[[#This Row],[Content.declaredAmount]]&gt;2000),1,0)</f>
        <v>0</v>
      </c>
      <c r="AO950">
        <f>IFERROR(INDEX('Public procurment'!A:S,MATCH(ListOfExpenditure[[#This Row],[Content.contractId]],'Public procurment'!E:E,0),19),0)</f>
        <v>0</v>
      </c>
      <c r="AP950">
        <f>IF(ListOfExpenditure[[#This Row],[Numero di volte controllato il contract ]]&gt;0,0,ListOfExpenditure[[#This Row],[IF public procurment &gt;10000;1;0]])</f>
        <v>0</v>
      </c>
    </row>
    <row r="951" spans="1:42" x14ac:dyDescent="0.25">
      <c r="A951">
        <v>112</v>
      </c>
      <c r="B951">
        <v>26</v>
      </c>
      <c r="E951" t="s">
        <v>4786</v>
      </c>
      <c r="F951" t="b">
        <v>0</v>
      </c>
      <c r="I951" t="s">
        <v>5645</v>
      </c>
      <c r="K951" t="s">
        <v>5575</v>
      </c>
      <c r="L951" t="s">
        <v>4795</v>
      </c>
      <c r="M951" t="s">
        <v>4788</v>
      </c>
      <c r="N951" t="s">
        <v>4788</v>
      </c>
      <c r="O951">
        <v>1790.77</v>
      </c>
      <c r="Q951">
        <v>0</v>
      </c>
      <c r="R951">
        <v>0</v>
      </c>
      <c r="S951">
        <v>358.15</v>
      </c>
      <c r="T951" t="s">
        <v>4789</v>
      </c>
      <c r="U951">
        <v>1</v>
      </c>
      <c r="V951">
        <v>358.15</v>
      </c>
      <c r="W951" t="s">
        <v>4343</v>
      </c>
      <c r="Y951" t="b">
        <v>0</v>
      </c>
      <c r="Z951" t="b">
        <v>0</v>
      </c>
      <c r="AA951">
        <v>358.15</v>
      </c>
      <c r="AB951">
        <v>0</v>
      </c>
      <c r="AD951" t="b">
        <v>0</v>
      </c>
      <c r="AG951" s="1" t="s">
        <v>57</v>
      </c>
      <c r="AH951" s="1" t="s">
        <v>45</v>
      </c>
      <c r="AI951">
        <v>311</v>
      </c>
      <c r="AJ951">
        <v>68</v>
      </c>
      <c r="AK951" s="106">
        <v>45475.635452430557</v>
      </c>
      <c r="AL951" s="1" t="s">
        <v>4790</v>
      </c>
      <c r="AM951" s="42">
        <f>IFERROR(INDEX('Public procurment'!A:R,MATCH(ListOfExpenditure[[#This Row],[Content.contractId]],'Public procurment'!E:E,0),14),0)</f>
        <v>0</v>
      </c>
      <c r="AN951" s="2">
        <f>IF(AND(ListOfExpenditure[[#This Row],[Contract amount]]&gt;10000,ListOfExpenditure[[#This Row],[Content.declaredAmount]]&gt;2000),1,0)</f>
        <v>0</v>
      </c>
      <c r="AO951">
        <f>IFERROR(INDEX('Public procurment'!A:S,MATCH(ListOfExpenditure[[#This Row],[Content.contractId]],'Public procurment'!E:E,0),19),0)</f>
        <v>0</v>
      </c>
      <c r="AP951">
        <f>IF(ListOfExpenditure[[#This Row],[Numero di volte controllato il contract ]]&gt;0,0,ListOfExpenditure[[#This Row],[IF public procurment &gt;10000;1;0]])</f>
        <v>0</v>
      </c>
    </row>
    <row r="952" spans="1:42" x14ac:dyDescent="0.25">
      <c r="A952">
        <v>113</v>
      </c>
      <c r="B952">
        <v>27</v>
      </c>
      <c r="E952" t="s">
        <v>4786</v>
      </c>
      <c r="F952" t="b">
        <v>0</v>
      </c>
      <c r="I952" t="s">
        <v>5646</v>
      </c>
      <c r="K952" t="s">
        <v>5616</v>
      </c>
      <c r="L952" t="s">
        <v>5617</v>
      </c>
      <c r="M952" t="s">
        <v>4788</v>
      </c>
      <c r="N952" t="s">
        <v>4788</v>
      </c>
      <c r="O952">
        <v>1817.95</v>
      </c>
      <c r="Q952">
        <v>0</v>
      </c>
      <c r="R952">
        <v>0</v>
      </c>
      <c r="S952">
        <v>363.59</v>
      </c>
      <c r="T952" t="s">
        <v>4789</v>
      </c>
      <c r="U952">
        <v>1</v>
      </c>
      <c r="V952">
        <v>363.59</v>
      </c>
      <c r="W952" t="s">
        <v>4343</v>
      </c>
      <c r="Y952" t="b">
        <v>0</v>
      </c>
      <c r="Z952" t="b">
        <v>0</v>
      </c>
      <c r="AA952">
        <v>363.59</v>
      </c>
      <c r="AB952">
        <v>0</v>
      </c>
      <c r="AD952" t="b">
        <v>0</v>
      </c>
      <c r="AG952" s="1" t="s">
        <v>57</v>
      </c>
      <c r="AH952" s="1" t="s">
        <v>45</v>
      </c>
      <c r="AI952">
        <v>311</v>
      </c>
      <c r="AJ952">
        <v>68</v>
      </c>
      <c r="AK952" s="106">
        <v>45475.635452430557</v>
      </c>
      <c r="AL952" s="1" t="s">
        <v>4790</v>
      </c>
      <c r="AM952" s="42">
        <f>IFERROR(INDEX('Public procurment'!A:R,MATCH(ListOfExpenditure[[#This Row],[Content.contractId]],'Public procurment'!E:E,0),14),0)</f>
        <v>0</v>
      </c>
      <c r="AN952" s="2">
        <f>IF(AND(ListOfExpenditure[[#This Row],[Contract amount]]&gt;10000,ListOfExpenditure[[#This Row],[Content.declaredAmount]]&gt;2000),1,0)</f>
        <v>0</v>
      </c>
      <c r="AO952">
        <f>IFERROR(INDEX('Public procurment'!A:S,MATCH(ListOfExpenditure[[#This Row],[Content.contractId]],'Public procurment'!E:E,0),19),0)</f>
        <v>0</v>
      </c>
      <c r="AP952">
        <f>IF(ListOfExpenditure[[#This Row],[Numero di volte controllato il contract ]]&gt;0,0,ListOfExpenditure[[#This Row],[IF public procurment &gt;10000;1;0]])</f>
        <v>0</v>
      </c>
    </row>
    <row r="953" spans="1:42" x14ac:dyDescent="0.25">
      <c r="A953">
        <v>114</v>
      </c>
      <c r="B953">
        <v>28</v>
      </c>
      <c r="E953" t="s">
        <v>4786</v>
      </c>
      <c r="F953" t="b">
        <v>0</v>
      </c>
      <c r="I953" t="s">
        <v>5647</v>
      </c>
      <c r="K953" t="s">
        <v>5619</v>
      </c>
      <c r="L953" t="s">
        <v>5620</v>
      </c>
      <c r="M953" t="s">
        <v>4788</v>
      </c>
      <c r="N953" t="s">
        <v>4788</v>
      </c>
      <c r="O953">
        <v>1781.71</v>
      </c>
      <c r="Q953">
        <v>0</v>
      </c>
      <c r="R953">
        <v>0</v>
      </c>
      <c r="S953">
        <v>356.34</v>
      </c>
      <c r="T953" t="s">
        <v>4789</v>
      </c>
      <c r="U953">
        <v>1</v>
      </c>
      <c r="V953">
        <v>356.34</v>
      </c>
      <c r="W953" t="s">
        <v>4343</v>
      </c>
      <c r="Y953" t="b">
        <v>0</v>
      </c>
      <c r="Z953" t="b">
        <v>0</v>
      </c>
      <c r="AA953">
        <v>356.34</v>
      </c>
      <c r="AB953">
        <v>0</v>
      </c>
      <c r="AD953" t="b">
        <v>0</v>
      </c>
      <c r="AG953" s="1" t="s">
        <v>57</v>
      </c>
      <c r="AH953" s="1" t="s">
        <v>45</v>
      </c>
      <c r="AI953">
        <v>311</v>
      </c>
      <c r="AJ953">
        <v>68</v>
      </c>
      <c r="AK953" s="106">
        <v>45475.635452430557</v>
      </c>
      <c r="AL953" s="1" t="s">
        <v>4790</v>
      </c>
      <c r="AM953" s="42">
        <f>IFERROR(INDEX('Public procurment'!A:R,MATCH(ListOfExpenditure[[#This Row],[Content.contractId]],'Public procurment'!E:E,0),14),0)</f>
        <v>0</v>
      </c>
      <c r="AN953" s="2">
        <f>IF(AND(ListOfExpenditure[[#This Row],[Contract amount]]&gt;10000,ListOfExpenditure[[#This Row],[Content.declaredAmount]]&gt;2000),1,0)</f>
        <v>0</v>
      </c>
      <c r="AO953">
        <f>IFERROR(INDEX('Public procurment'!A:S,MATCH(ListOfExpenditure[[#This Row],[Content.contractId]],'Public procurment'!E:E,0),19),0)</f>
        <v>0</v>
      </c>
      <c r="AP953">
        <f>IF(ListOfExpenditure[[#This Row],[Numero di volte controllato il contract ]]&gt;0,0,ListOfExpenditure[[#This Row],[IF public procurment &gt;10000;1;0]])</f>
        <v>0</v>
      </c>
    </row>
    <row r="954" spans="1:42" x14ac:dyDescent="0.25">
      <c r="A954">
        <v>115</v>
      </c>
      <c r="B954">
        <v>29</v>
      </c>
      <c r="E954" t="s">
        <v>4786</v>
      </c>
      <c r="F954" t="b">
        <v>0</v>
      </c>
      <c r="I954" t="s">
        <v>5648</v>
      </c>
      <c r="K954" t="s">
        <v>5381</v>
      </c>
      <c r="L954" t="s">
        <v>5376</v>
      </c>
      <c r="M954" t="s">
        <v>4788</v>
      </c>
      <c r="N954" t="s">
        <v>4788</v>
      </c>
      <c r="O954">
        <v>1799.83</v>
      </c>
      <c r="Q954">
        <v>0</v>
      </c>
      <c r="R954">
        <v>0</v>
      </c>
      <c r="S954">
        <v>359.97</v>
      </c>
      <c r="T954" t="s">
        <v>4789</v>
      </c>
      <c r="U954">
        <v>1</v>
      </c>
      <c r="V954">
        <v>359.97</v>
      </c>
      <c r="W954" t="s">
        <v>4343</v>
      </c>
      <c r="Y954" t="b">
        <v>0</v>
      </c>
      <c r="Z954" t="b">
        <v>0</v>
      </c>
      <c r="AA954">
        <v>359.97</v>
      </c>
      <c r="AB954">
        <v>0</v>
      </c>
      <c r="AD954" t="b">
        <v>0</v>
      </c>
      <c r="AG954" s="1" t="s">
        <v>57</v>
      </c>
      <c r="AH954" s="1" t="s">
        <v>45</v>
      </c>
      <c r="AI954">
        <v>311</v>
      </c>
      <c r="AJ954">
        <v>68</v>
      </c>
      <c r="AK954" s="106">
        <v>45475.635452430557</v>
      </c>
      <c r="AL954" s="1" t="s">
        <v>4790</v>
      </c>
      <c r="AM954" s="42">
        <f>IFERROR(INDEX('Public procurment'!A:R,MATCH(ListOfExpenditure[[#This Row],[Content.contractId]],'Public procurment'!E:E,0),14),0)</f>
        <v>0</v>
      </c>
      <c r="AN954" s="2">
        <f>IF(AND(ListOfExpenditure[[#This Row],[Contract amount]]&gt;10000,ListOfExpenditure[[#This Row],[Content.declaredAmount]]&gt;2000),1,0)</f>
        <v>0</v>
      </c>
      <c r="AO954">
        <f>IFERROR(INDEX('Public procurment'!A:S,MATCH(ListOfExpenditure[[#This Row],[Content.contractId]],'Public procurment'!E:E,0),19),0)</f>
        <v>0</v>
      </c>
      <c r="AP954">
        <f>IF(ListOfExpenditure[[#This Row],[Numero di volte controllato il contract ]]&gt;0,0,ListOfExpenditure[[#This Row],[IF public procurment &gt;10000;1;0]])</f>
        <v>0</v>
      </c>
    </row>
    <row r="955" spans="1:42" x14ac:dyDescent="0.25">
      <c r="A955">
        <v>116</v>
      </c>
      <c r="B955">
        <v>30</v>
      </c>
      <c r="E955" t="s">
        <v>4786</v>
      </c>
      <c r="F955" t="b">
        <v>0</v>
      </c>
      <c r="I955" t="s">
        <v>5649</v>
      </c>
      <c r="K955" t="s">
        <v>5623</v>
      </c>
      <c r="L955" t="s">
        <v>5624</v>
      </c>
      <c r="M955" t="s">
        <v>4788</v>
      </c>
      <c r="N955" t="s">
        <v>4788</v>
      </c>
      <c r="O955">
        <v>1763.58</v>
      </c>
      <c r="Q955">
        <v>0</v>
      </c>
      <c r="R955">
        <v>0</v>
      </c>
      <c r="S955">
        <v>352.72</v>
      </c>
      <c r="T955" t="s">
        <v>4789</v>
      </c>
      <c r="U955">
        <v>1</v>
      </c>
      <c r="V955">
        <v>352.72</v>
      </c>
      <c r="W955" t="s">
        <v>4343</v>
      </c>
      <c r="Y955" t="b">
        <v>0</v>
      </c>
      <c r="Z955" t="b">
        <v>0</v>
      </c>
      <c r="AA955">
        <v>352.72</v>
      </c>
      <c r="AB955">
        <v>0</v>
      </c>
      <c r="AD955" t="b">
        <v>0</v>
      </c>
      <c r="AG955" s="1" t="s">
        <v>57</v>
      </c>
      <c r="AH955" s="1" t="s">
        <v>45</v>
      </c>
      <c r="AI955">
        <v>311</v>
      </c>
      <c r="AJ955">
        <v>68</v>
      </c>
      <c r="AK955" s="106">
        <v>45475.635452430557</v>
      </c>
      <c r="AL955" s="1" t="s">
        <v>4790</v>
      </c>
      <c r="AM955" s="42">
        <f>IFERROR(INDEX('Public procurment'!A:R,MATCH(ListOfExpenditure[[#This Row],[Content.contractId]],'Public procurment'!E:E,0),14),0)</f>
        <v>0</v>
      </c>
      <c r="AN955" s="2">
        <f>IF(AND(ListOfExpenditure[[#This Row],[Contract amount]]&gt;10000,ListOfExpenditure[[#This Row],[Content.declaredAmount]]&gt;2000),1,0)</f>
        <v>0</v>
      </c>
      <c r="AO955">
        <f>IFERROR(INDEX('Public procurment'!A:S,MATCH(ListOfExpenditure[[#This Row],[Content.contractId]],'Public procurment'!E:E,0),19),0)</f>
        <v>0</v>
      </c>
      <c r="AP955">
        <f>IF(ListOfExpenditure[[#This Row],[Numero di volte controllato il contract ]]&gt;0,0,ListOfExpenditure[[#This Row],[IF public procurment &gt;10000;1;0]])</f>
        <v>0</v>
      </c>
    </row>
    <row r="956" spans="1:42" x14ac:dyDescent="0.25">
      <c r="A956">
        <v>117</v>
      </c>
      <c r="B956">
        <v>31</v>
      </c>
      <c r="E956" t="s">
        <v>4786</v>
      </c>
      <c r="F956" t="b">
        <v>0</v>
      </c>
      <c r="I956" t="s">
        <v>5650</v>
      </c>
      <c r="K956" t="s">
        <v>5626</v>
      </c>
      <c r="L956" t="s">
        <v>4910</v>
      </c>
      <c r="M956" t="s">
        <v>4788</v>
      </c>
      <c r="N956" t="s">
        <v>4788</v>
      </c>
      <c r="O956">
        <v>1808.88</v>
      </c>
      <c r="Q956">
        <v>0</v>
      </c>
      <c r="R956">
        <v>0</v>
      </c>
      <c r="S956">
        <v>361.78</v>
      </c>
      <c r="T956" t="s">
        <v>4789</v>
      </c>
      <c r="U956">
        <v>1</v>
      </c>
      <c r="V956">
        <v>361.78</v>
      </c>
      <c r="W956" t="s">
        <v>4343</v>
      </c>
      <c r="Y956" t="b">
        <v>0</v>
      </c>
      <c r="Z956" t="b">
        <v>0</v>
      </c>
      <c r="AA956">
        <v>361.78</v>
      </c>
      <c r="AB956">
        <v>0</v>
      </c>
      <c r="AD956" t="b">
        <v>0</v>
      </c>
      <c r="AG956" s="1" t="s">
        <v>57</v>
      </c>
      <c r="AH956" s="1" t="s">
        <v>45</v>
      </c>
      <c r="AI956">
        <v>311</v>
      </c>
      <c r="AJ956">
        <v>68</v>
      </c>
      <c r="AK956" s="106">
        <v>45475.635452430557</v>
      </c>
      <c r="AL956" s="1" t="s">
        <v>4790</v>
      </c>
      <c r="AM956" s="42">
        <f>IFERROR(INDEX('Public procurment'!A:R,MATCH(ListOfExpenditure[[#This Row],[Content.contractId]],'Public procurment'!E:E,0),14),0)</f>
        <v>0</v>
      </c>
      <c r="AN956" s="2">
        <f>IF(AND(ListOfExpenditure[[#This Row],[Contract amount]]&gt;10000,ListOfExpenditure[[#This Row],[Content.declaredAmount]]&gt;2000),1,0)</f>
        <v>0</v>
      </c>
      <c r="AO956">
        <f>IFERROR(INDEX('Public procurment'!A:S,MATCH(ListOfExpenditure[[#This Row],[Content.contractId]],'Public procurment'!E:E,0),19),0)</f>
        <v>0</v>
      </c>
      <c r="AP956">
        <f>IF(ListOfExpenditure[[#This Row],[Numero di volte controllato il contract ]]&gt;0,0,ListOfExpenditure[[#This Row],[IF public procurment &gt;10000;1;0]])</f>
        <v>0</v>
      </c>
    </row>
    <row r="957" spans="1:42" x14ac:dyDescent="0.25">
      <c r="A957">
        <v>118</v>
      </c>
      <c r="B957">
        <v>32</v>
      </c>
      <c r="E957" t="s">
        <v>4786</v>
      </c>
      <c r="F957" t="b">
        <v>0</v>
      </c>
      <c r="I957" t="s">
        <v>5651</v>
      </c>
      <c r="K957" t="s">
        <v>4873</v>
      </c>
      <c r="L957" t="s">
        <v>4444</v>
      </c>
      <c r="M957" t="s">
        <v>4788</v>
      </c>
      <c r="N957" t="s">
        <v>4788</v>
      </c>
      <c r="O957">
        <v>1763.59</v>
      </c>
      <c r="Q957">
        <v>0</v>
      </c>
      <c r="R957">
        <v>0</v>
      </c>
      <c r="S957">
        <v>352.72</v>
      </c>
      <c r="T957" t="s">
        <v>4789</v>
      </c>
      <c r="U957">
        <v>1</v>
      </c>
      <c r="V957">
        <v>352.72</v>
      </c>
      <c r="W957" t="s">
        <v>4343</v>
      </c>
      <c r="Y957" t="b">
        <v>0</v>
      </c>
      <c r="Z957" t="b">
        <v>0</v>
      </c>
      <c r="AA957">
        <v>352.72</v>
      </c>
      <c r="AB957">
        <v>0</v>
      </c>
      <c r="AD957" t="b">
        <v>0</v>
      </c>
      <c r="AG957" s="1" t="s">
        <v>57</v>
      </c>
      <c r="AH957" s="1" t="s">
        <v>45</v>
      </c>
      <c r="AI957">
        <v>311</v>
      </c>
      <c r="AJ957">
        <v>68</v>
      </c>
      <c r="AK957" s="106">
        <v>45475.635452430557</v>
      </c>
      <c r="AL957" s="1" t="s">
        <v>4790</v>
      </c>
      <c r="AM957" s="42">
        <f>IFERROR(INDEX('Public procurment'!A:R,MATCH(ListOfExpenditure[[#This Row],[Content.contractId]],'Public procurment'!E:E,0),14),0)</f>
        <v>0</v>
      </c>
      <c r="AN957" s="2">
        <f>IF(AND(ListOfExpenditure[[#This Row],[Contract amount]]&gt;10000,ListOfExpenditure[[#This Row],[Content.declaredAmount]]&gt;2000),1,0)</f>
        <v>0</v>
      </c>
      <c r="AO957">
        <f>IFERROR(INDEX('Public procurment'!A:S,MATCH(ListOfExpenditure[[#This Row],[Content.contractId]],'Public procurment'!E:E,0),19),0)</f>
        <v>0</v>
      </c>
      <c r="AP957">
        <f>IF(ListOfExpenditure[[#This Row],[Numero di volte controllato il contract ]]&gt;0,0,ListOfExpenditure[[#This Row],[IF public procurment &gt;10000;1;0]])</f>
        <v>0</v>
      </c>
    </row>
    <row r="958" spans="1:42" x14ac:dyDescent="0.25">
      <c r="A958">
        <v>119</v>
      </c>
      <c r="B958">
        <v>33</v>
      </c>
      <c r="E958" t="s">
        <v>4786</v>
      </c>
      <c r="F958" t="b">
        <v>0</v>
      </c>
      <c r="I958" t="s">
        <v>5652</v>
      </c>
      <c r="K958" t="s">
        <v>5612</v>
      </c>
      <c r="L958" t="s">
        <v>5613</v>
      </c>
      <c r="M958" t="s">
        <v>4788</v>
      </c>
      <c r="N958" t="s">
        <v>4788</v>
      </c>
      <c r="O958">
        <v>1553.41</v>
      </c>
      <c r="Q958">
        <v>0</v>
      </c>
      <c r="R958">
        <v>0</v>
      </c>
      <c r="S958">
        <v>466.02</v>
      </c>
      <c r="T958" t="s">
        <v>4789</v>
      </c>
      <c r="U958">
        <v>1</v>
      </c>
      <c r="V958">
        <v>466.02</v>
      </c>
      <c r="W958" t="s">
        <v>4343</v>
      </c>
      <c r="Y958" t="b">
        <v>0</v>
      </c>
      <c r="Z958" t="b">
        <v>0</v>
      </c>
      <c r="AA958">
        <v>466.02</v>
      </c>
      <c r="AB958">
        <v>0</v>
      </c>
      <c r="AD958" t="b">
        <v>0</v>
      </c>
      <c r="AG958" s="1" t="s">
        <v>57</v>
      </c>
      <c r="AH958" s="1" t="s">
        <v>45</v>
      </c>
      <c r="AI958">
        <v>311</v>
      </c>
      <c r="AJ958">
        <v>68</v>
      </c>
      <c r="AK958" s="106">
        <v>45475.635452430557</v>
      </c>
      <c r="AL958" s="1" t="s">
        <v>4790</v>
      </c>
      <c r="AM958" s="42">
        <f>IFERROR(INDEX('Public procurment'!A:R,MATCH(ListOfExpenditure[[#This Row],[Content.contractId]],'Public procurment'!E:E,0),14),0)</f>
        <v>0</v>
      </c>
      <c r="AN958" s="2">
        <f>IF(AND(ListOfExpenditure[[#This Row],[Contract amount]]&gt;10000,ListOfExpenditure[[#This Row],[Content.declaredAmount]]&gt;2000),1,0)</f>
        <v>0</v>
      </c>
      <c r="AO958">
        <f>IFERROR(INDEX('Public procurment'!A:S,MATCH(ListOfExpenditure[[#This Row],[Content.contractId]],'Public procurment'!E:E,0),19),0)</f>
        <v>0</v>
      </c>
      <c r="AP958">
        <f>IF(ListOfExpenditure[[#This Row],[Numero di volte controllato il contract ]]&gt;0,0,ListOfExpenditure[[#This Row],[IF public procurment &gt;10000;1;0]])</f>
        <v>0</v>
      </c>
    </row>
    <row r="959" spans="1:42" x14ac:dyDescent="0.25">
      <c r="A959">
        <v>120</v>
      </c>
      <c r="B959">
        <v>34</v>
      </c>
      <c r="E959" t="s">
        <v>4786</v>
      </c>
      <c r="F959" t="b">
        <v>0</v>
      </c>
      <c r="I959" t="s">
        <v>5653</v>
      </c>
      <c r="K959" t="s">
        <v>5575</v>
      </c>
      <c r="L959" t="s">
        <v>4795</v>
      </c>
      <c r="M959" t="s">
        <v>4788</v>
      </c>
      <c r="N959" t="s">
        <v>4788</v>
      </c>
      <c r="O959">
        <v>1043.3399999999999</v>
      </c>
      <c r="Q959">
        <v>0</v>
      </c>
      <c r="R959">
        <v>0</v>
      </c>
      <c r="S959">
        <v>313</v>
      </c>
      <c r="T959" t="s">
        <v>4789</v>
      </c>
      <c r="U959">
        <v>1</v>
      </c>
      <c r="V959">
        <v>313</v>
      </c>
      <c r="W959" t="s">
        <v>4343</v>
      </c>
      <c r="Y959" t="b">
        <v>0</v>
      </c>
      <c r="Z959" t="b">
        <v>0</v>
      </c>
      <c r="AA959">
        <v>313</v>
      </c>
      <c r="AB959">
        <v>0</v>
      </c>
      <c r="AD959" t="b">
        <v>0</v>
      </c>
      <c r="AG959" s="1" t="s">
        <v>57</v>
      </c>
      <c r="AH959" s="1" t="s">
        <v>45</v>
      </c>
      <c r="AI959">
        <v>311</v>
      </c>
      <c r="AJ959">
        <v>68</v>
      </c>
      <c r="AK959" s="106">
        <v>45475.635452430557</v>
      </c>
      <c r="AL959" s="1" t="s">
        <v>4790</v>
      </c>
      <c r="AM959" s="42">
        <f>IFERROR(INDEX('Public procurment'!A:R,MATCH(ListOfExpenditure[[#This Row],[Content.contractId]],'Public procurment'!E:E,0),14),0)</f>
        <v>0</v>
      </c>
      <c r="AN959" s="2">
        <f>IF(AND(ListOfExpenditure[[#This Row],[Contract amount]]&gt;10000,ListOfExpenditure[[#This Row],[Content.declaredAmount]]&gt;2000),1,0)</f>
        <v>0</v>
      </c>
      <c r="AO959">
        <f>IFERROR(INDEX('Public procurment'!A:S,MATCH(ListOfExpenditure[[#This Row],[Content.contractId]],'Public procurment'!E:E,0),19),0)</f>
        <v>0</v>
      </c>
      <c r="AP959">
        <f>IF(ListOfExpenditure[[#This Row],[Numero di volte controllato il contract ]]&gt;0,0,ListOfExpenditure[[#This Row],[IF public procurment &gt;10000;1;0]])</f>
        <v>0</v>
      </c>
    </row>
    <row r="960" spans="1:42" x14ac:dyDescent="0.25">
      <c r="A960">
        <v>121</v>
      </c>
      <c r="B960">
        <v>35</v>
      </c>
      <c r="E960" t="s">
        <v>4786</v>
      </c>
      <c r="F960" t="b">
        <v>0</v>
      </c>
      <c r="I960" t="s">
        <v>5654</v>
      </c>
      <c r="K960" t="s">
        <v>5616</v>
      </c>
      <c r="L960" t="s">
        <v>5617</v>
      </c>
      <c r="M960" t="s">
        <v>4788</v>
      </c>
      <c r="N960" t="s">
        <v>4788</v>
      </c>
      <c r="O960">
        <v>1643.45</v>
      </c>
      <c r="Q960">
        <v>0</v>
      </c>
      <c r="R960">
        <v>0</v>
      </c>
      <c r="S960">
        <v>493.04</v>
      </c>
      <c r="T960" t="s">
        <v>4789</v>
      </c>
      <c r="U960">
        <v>1</v>
      </c>
      <c r="V960">
        <v>493.04</v>
      </c>
      <c r="W960" t="s">
        <v>4343</v>
      </c>
      <c r="Y960" t="b">
        <v>0</v>
      </c>
      <c r="Z960" t="b">
        <v>0</v>
      </c>
      <c r="AA960">
        <v>493.04</v>
      </c>
      <c r="AB960">
        <v>0</v>
      </c>
      <c r="AD960" t="b">
        <v>0</v>
      </c>
      <c r="AG960" s="1" t="s">
        <v>57</v>
      </c>
      <c r="AH960" s="1" t="s">
        <v>45</v>
      </c>
      <c r="AI960">
        <v>311</v>
      </c>
      <c r="AJ960">
        <v>68</v>
      </c>
      <c r="AK960" s="106">
        <v>45475.635452430557</v>
      </c>
      <c r="AL960" s="1" t="s">
        <v>4790</v>
      </c>
      <c r="AM960" s="42">
        <f>IFERROR(INDEX('Public procurment'!A:R,MATCH(ListOfExpenditure[[#This Row],[Content.contractId]],'Public procurment'!E:E,0),14),0)</f>
        <v>0</v>
      </c>
      <c r="AN960" s="2">
        <f>IF(AND(ListOfExpenditure[[#This Row],[Contract amount]]&gt;10000,ListOfExpenditure[[#This Row],[Content.declaredAmount]]&gt;2000),1,0)</f>
        <v>0</v>
      </c>
      <c r="AO960">
        <f>IFERROR(INDEX('Public procurment'!A:S,MATCH(ListOfExpenditure[[#This Row],[Content.contractId]],'Public procurment'!E:E,0),19),0)</f>
        <v>0</v>
      </c>
      <c r="AP960">
        <f>IF(ListOfExpenditure[[#This Row],[Numero di volte controllato il contract ]]&gt;0,0,ListOfExpenditure[[#This Row],[IF public procurment &gt;10000;1;0]])</f>
        <v>0</v>
      </c>
    </row>
    <row r="961" spans="1:42" x14ac:dyDescent="0.25">
      <c r="A961">
        <v>122</v>
      </c>
      <c r="B961">
        <v>36</v>
      </c>
      <c r="E961" t="s">
        <v>4786</v>
      </c>
      <c r="F961" t="b">
        <v>0</v>
      </c>
      <c r="I961" t="s">
        <v>5655</v>
      </c>
      <c r="K961" t="s">
        <v>5619</v>
      </c>
      <c r="L961" t="s">
        <v>5620</v>
      </c>
      <c r="M961" t="s">
        <v>4788</v>
      </c>
      <c r="N961" t="s">
        <v>4788</v>
      </c>
      <c r="O961">
        <v>2192.0100000000002</v>
      </c>
      <c r="Q961">
        <v>0</v>
      </c>
      <c r="R961">
        <v>0</v>
      </c>
      <c r="S961">
        <v>657.6</v>
      </c>
      <c r="T961" t="s">
        <v>4789</v>
      </c>
      <c r="U961">
        <v>1</v>
      </c>
      <c r="V961">
        <v>657.6</v>
      </c>
      <c r="W961" t="s">
        <v>4343</v>
      </c>
      <c r="Y961" t="b">
        <v>0</v>
      </c>
      <c r="Z961" t="b">
        <v>0</v>
      </c>
      <c r="AA961">
        <v>657.6</v>
      </c>
      <c r="AB961">
        <v>0</v>
      </c>
      <c r="AD961" t="b">
        <v>0</v>
      </c>
      <c r="AG961" s="1" t="s">
        <v>57</v>
      </c>
      <c r="AH961" s="1" t="s">
        <v>45</v>
      </c>
      <c r="AI961">
        <v>311</v>
      </c>
      <c r="AJ961">
        <v>68</v>
      </c>
      <c r="AK961" s="106">
        <v>45475.635452430557</v>
      </c>
      <c r="AL961" s="1" t="s">
        <v>4790</v>
      </c>
      <c r="AM961" s="42">
        <f>IFERROR(INDEX('Public procurment'!A:R,MATCH(ListOfExpenditure[[#This Row],[Content.contractId]],'Public procurment'!E:E,0),14),0)</f>
        <v>0</v>
      </c>
      <c r="AN961" s="2">
        <f>IF(AND(ListOfExpenditure[[#This Row],[Contract amount]]&gt;10000,ListOfExpenditure[[#This Row],[Content.declaredAmount]]&gt;2000),1,0)</f>
        <v>0</v>
      </c>
      <c r="AO961">
        <f>IFERROR(INDEX('Public procurment'!A:S,MATCH(ListOfExpenditure[[#This Row],[Content.contractId]],'Public procurment'!E:E,0),19),0)</f>
        <v>0</v>
      </c>
      <c r="AP961">
        <f>IF(ListOfExpenditure[[#This Row],[Numero di volte controllato il contract ]]&gt;0,0,ListOfExpenditure[[#This Row],[IF public procurment &gt;10000;1;0]])</f>
        <v>0</v>
      </c>
    </row>
    <row r="962" spans="1:42" x14ac:dyDescent="0.25">
      <c r="A962">
        <v>123</v>
      </c>
      <c r="B962">
        <v>37</v>
      </c>
      <c r="E962" t="s">
        <v>4786</v>
      </c>
      <c r="F962" t="b">
        <v>0</v>
      </c>
      <c r="I962" t="s">
        <v>5656</v>
      </c>
      <c r="K962" t="s">
        <v>5381</v>
      </c>
      <c r="L962" t="s">
        <v>5376</v>
      </c>
      <c r="M962" t="s">
        <v>4788</v>
      </c>
      <c r="N962" t="s">
        <v>4788</v>
      </c>
      <c r="O962">
        <v>2235.5700000000002</v>
      </c>
      <c r="Q962">
        <v>0</v>
      </c>
      <c r="R962">
        <v>0</v>
      </c>
      <c r="S962">
        <v>670.67</v>
      </c>
      <c r="T962" t="s">
        <v>4789</v>
      </c>
      <c r="U962">
        <v>1</v>
      </c>
      <c r="V962">
        <v>670.67</v>
      </c>
      <c r="W962" t="s">
        <v>4343</v>
      </c>
      <c r="Y962" t="b">
        <v>0</v>
      </c>
      <c r="Z962" t="b">
        <v>0</v>
      </c>
      <c r="AA962">
        <v>670.67</v>
      </c>
      <c r="AB962">
        <v>0</v>
      </c>
      <c r="AD962" t="b">
        <v>0</v>
      </c>
      <c r="AG962" s="1" t="s">
        <v>57</v>
      </c>
      <c r="AH962" s="1" t="s">
        <v>45</v>
      </c>
      <c r="AI962">
        <v>311</v>
      </c>
      <c r="AJ962">
        <v>68</v>
      </c>
      <c r="AK962" s="106">
        <v>45475.635452430557</v>
      </c>
      <c r="AL962" s="1" t="s">
        <v>4790</v>
      </c>
      <c r="AM962" s="42">
        <f>IFERROR(INDEX('Public procurment'!A:R,MATCH(ListOfExpenditure[[#This Row],[Content.contractId]],'Public procurment'!E:E,0),14),0)</f>
        <v>0</v>
      </c>
      <c r="AN962" s="2">
        <f>IF(AND(ListOfExpenditure[[#This Row],[Contract amount]]&gt;10000,ListOfExpenditure[[#This Row],[Content.declaredAmount]]&gt;2000),1,0)</f>
        <v>0</v>
      </c>
      <c r="AO962">
        <f>IFERROR(INDEX('Public procurment'!A:S,MATCH(ListOfExpenditure[[#This Row],[Content.contractId]],'Public procurment'!E:E,0),19),0)</f>
        <v>0</v>
      </c>
      <c r="AP962">
        <f>IF(ListOfExpenditure[[#This Row],[Numero di volte controllato il contract ]]&gt;0,0,ListOfExpenditure[[#This Row],[IF public procurment &gt;10000;1;0]])</f>
        <v>0</v>
      </c>
    </row>
    <row r="963" spans="1:42" x14ac:dyDescent="0.25">
      <c r="A963">
        <v>124</v>
      </c>
      <c r="B963">
        <v>38</v>
      </c>
      <c r="E963" t="s">
        <v>4786</v>
      </c>
      <c r="F963" t="b">
        <v>0</v>
      </c>
      <c r="I963" t="s">
        <v>5657</v>
      </c>
      <c r="K963" t="s">
        <v>5623</v>
      </c>
      <c r="L963" t="s">
        <v>5624</v>
      </c>
      <c r="M963" t="s">
        <v>4788</v>
      </c>
      <c r="N963" t="s">
        <v>4788</v>
      </c>
      <c r="O963">
        <v>2206.5300000000002</v>
      </c>
      <c r="Q963">
        <v>0</v>
      </c>
      <c r="R963">
        <v>0</v>
      </c>
      <c r="S963">
        <v>661.96</v>
      </c>
      <c r="T963" t="s">
        <v>4789</v>
      </c>
      <c r="U963">
        <v>1</v>
      </c>
      <c r="V963">
        <v>661.96</v>
      </c>
      <c r="W963" t="s">
        <v>4343</v>
      </c>
      <c r="Y963" t="b">
        <v>0</v>
      </c>
      <c r="Z963" t="b">
        <v>0</v>
      </c>
      <c r="AA963">
        <v>661.96</v>
      </c>
      <c r="AB963">
        <v>0</v>
      </c>
      <c r="AD963" t="b">
        <v>0</v>
      </c>
      <c r="AG963" s="1" t="s">
        <v>57</v>
      </c>
      <c r="AH963" s="1" t="s">
        <v>45</v>
      </c>
      <c r="AI963">
        <v>311</v>
      </c>
      <c r="AJ963">
        <v>68</v>
      </c>
      <c r="AK963" s="106">
        <v>45475.635452430557</v>
      </c>
      <c r="AL963" s="1" t="s">
        <v>4790</v>
      </c>
      <c r="AM963" s="42">
        <f>IFERROR(INDEX('Public procurment'!A:R,MATCH(ListOfExpenditure[[#This Row],[Content.contractId]],'Public procurment'!E:E,0),14),0)</f>
        <v>0</v>
      </c>
      <c r="AN963" s="2">
        <f>IF(AND(ListOfExpenditure[[#This Row],[Contract amount]]&gt;10000,ListOfExpenditure[[#This Row],[Content.declaredAmount]]&gt;2000),1,0)</f>
        <v>0</v>
      </c>
      <c r="AO963">
        <f>IFERROR(INDEX('Public procurment'!A:S,MATCH(ListOfExpenditure[[#This Row],[Content.contractId]],'Public procurment'!E:E,0),19),0)</f>
        <v>0</v>
      </c>
      <c r="AP963">
        <f>IF(ListOfExpenditure[[#This Row],[Numero di volte controllato il contract ]]&gt;0,0,ListOfExpenditure[[#This Row],[IF public procurment &gt;10000;1;0]])</f>
        <v>0</v>
      </c>
    </row>
    <row r="964" spans="1:42" x14ac:dyDescent="0.25">
      <c r="A964">
        <v>125</v>
      </c>
      <c r="B964">
        <v>39</v>
      </c>
      <c r="E964" t="s">
        <v>4786</v>
      </c>
      <c r="F964" t="b">
        <v>0</v>
      </c>
      <c r="I964" t="s">
        <v>5658</v>
      </c>
      <c r="K964" t="s">
        <v>5626</v>
      </c>
      <c r="L964" t="s">
        <v>4910</v>
      </c>
      <c r="M964" t="s">
        <v>4788</v>
      </c>
      <c r="N964" t="s">
        <v>4788</v>
      </c>
      <c r="O964">
        <v>2148.4499999999998</v>
      </c>
      <c r="Q964">
        <v>0</v>
      </c>
      <c r="R964">
        <v>0</v>
      </c>
      <c r="S964">
        <v>644.54</v>
      </c>
      <c r="T964" t="s">
        <v>4789</v>
      </c>
      <c r="U964">
        <v>1</v>
      </c>
      <c r="V964">
        <v>644.54</v>
      </c>
      <c r="W964" t="s">
        <v>4343</v>
      </c>
      <c r="Y964" t="b">
        <v>0</v>
      </c>
      <c r="Z964" t="b">
        <v>0</v>
      </c>
      <c r="AA964">
        <v>644.54</v>
      </c>
      <c r="AB964">
        <v>0</v>
      </c>
      <c r="AD964" t="b">
        <v>0</v>
      </c>
      <c r="AG964" s="1" t="s">
        <v>57</v>
      </c>
      <c r="AH964" s="1" t="s">
        <v>45</v>
      </c>
      <c r="AI964">
        <v>311</v>
      </c>
      <c r="AJ964">
        <v>68</v>
      </c>
      <c r="AK964" s="106">
        <v>45475.635452430557</v>
      </c>
      <c r="AL964" s="1" t="s">
        <v>4790</v>
      </c>
      <c r="AM964" s="42">
        <f>IFERROR(INDEX('Public procurment'!A:R,MATCH(ListOfExpenditure[[#This Row],[Content.contractId]],'Public procurment'!E:E,0),14),0)</f>
        <v>0</v>
      </c>
      <c r="AN964" s="2">
        <f>IF(AND(ListOfExpenditure[[#This Row],[Contract amount]]&gt;10000,ListOfExpenditure[[#This Row],[Content.declaredAmount]]&gt;2000),1,0)</f>
        <v>0</v>
      </c>
      <c r="AO964">
        <f>IFERROR(INDEX('Public procurment'!A:S,MATCH(ListOfExpenditure[[#This Row],[Content.contractId]],'Public procurment'!E:E,0),19),0)</f>
        <v>0</v>
      </c>
      <c r="AP964">
        <f>IF(ListOfExpenditure[[#This Row],[Numero di volte controllato il contract ]]&gt;0,0,ListOfExpenditure[[#This Row],[IF public procurment &gt;10000;1;0]])</f>
        <v>0</v>
      </c>
    </row>
    <row r="965" spans="1:42" x14ac:dyDescent="0.25">
      <c r="A965">
        <v>126</v>
      </c>
      <c r="B965">
        <v>40</v>
      </c>
      <c r="E965" t="s">
        <v>4786</v>
      </c>
      <c r="F965" t="b">
        <v>0</v>
      </c>
      <c r="I965" t="s">
        <v>5659</v>
      </c>
      <c r="K965" t="s">
        <v>4873</v>
      </c>
      <c r="L965" t="s">
        <v>4444</v>
      </c>
      <c r="M965" t="s">
        <v>4788</v>
      </c>
      <c r="N965" t="s">
        <v>4788</v>
      </c>
      <c r="O965">
        <v>1802.09</v>
      </c>
      <c r="Q965">
        <v>0</v>
      </c>
      <c r="R965">
        <v>0</v>
      </c>
      <c r="S965">
        <v>540.63</v>
      </c>
      <c r="T965" t="s">
        <v>4789</v>
      </c>
      <c r="U965">
        <v>1</v>
      </c>
      <c r="V965">
        <v>540.63</v>
      </c>
      <c r="W965" t="s">
        <v>4343</v>
      </c>
      <c r="Y965" t="b">
        <v>0</v>
      </c>
      <c r="Z965" t="b">
        <v>0</v>
      </c>
      <c r="AA965">
        <v>540.63</v>
      </c>
      <c r="AB965">
        <v>0</v>
      </c>
      <c r="AD965" t="b">
        <v>0</v>
      </c>
      <c r="AG965" s="1" t="s">
        <v>57</v>
      </c>
      <c r="AH965" s="1" t="s">
        <v>45</v>
      </c>
      <c r="AI965">
        <v>311</v>
      </c>
      <c r="AJ965">
        <v>68</v>
      </c>
      <c r="AK965" s="106">
        <v>45475.635452430557</v>
      </c>
      <c r="AL965" s="1" t="s">
        <v>4790</v>
      </c>
      <c r="AM965" s="42">
        <f>IFERROR(INDEX('Public procurment'!A:R,MATCH(ListOfExpenditure[[#This Row],[Content.contractId]],'Public procurment'!E:E,0),14),0)</f>
        <v>0</v>
      </c>
      <c r="AN965" s="2">
        <f>IF(AND(ListOfExpenditure[[#This Row],[Contract amount]]&gt;10000,ListOfExpenditure[[#This Row],[Content.declaredAmount]]&gt;2000),1,0)</f>
        <v>0</v>
      </c>
      <c r="AO965">
        <f>IFERROR(INDEX('Public procurment'!A:S,MATCH(ListOfExpenditure[[#This Row],[Content.contractId]],'Public procurment'!E:E,0),19),0)</f>
        <v>0</v>
      </c>
      <c r="AP965">
        <f>IF(ListOfExpenditure[[#This Row],[Numero di volte controllato il contract ]]&gt;0,0,ListOfExpenditure[[#This Row],[IF public procurment &gt;10000;1;0]])</f>
        <v>0</v>
      </c>
    </row>
    <row r="966" spans="1:42" x14ac:dyDescent="0.25">
      <c r="A966">
        <v>127</v>
      </c>
      <c r="B966">
        <v>41</v>
      </c>
      <c r="E966" t="s">
        <v>4786</v>
      </c>
      <c r="F966" t="b">
        <v>0</v>
      </c>
      <c r="I966" t="s">
        <v>5660</v>
      </c>
      <c r="K966" t="s">
        <v>5612</v>
      </c>
      <c r="L966" t="s">
        <v>5613</v>
      </c>
      <c r="M966" t="s">
        <v>4788</v>
      </c>
      <c r="N966" t="s">
        <v>4788</v>
      </c>
      <c r="O966">
        <v>2145.4499999999998</v>
      </c>
      <c r="Q966">
        <v>0</v>
      </c>
      <c r="R966">
        <v>0</v>
      </c>
      <c r="S966">
        <v>429.09</v>
      </c>
      <c r="T966" t="s">
        <v>4789</v>
      </c>
      <c r="U966">
        <v>1</v>
      </c>
      <c r="V966">
        <v>429.09</v>
      </c>
      <c r="W966" t="s">
        <v>4343</v>
      </c>
      <c r="Y966" t="b">
        <v>0</v>
      </c>
      <c r="Z966" t="b">
        <v>0</v>
      </c>
      <c r="AA966">
        <v>429.09</v>
      </c>
      <c r="AB966">
        <v>0</v>
      </c>
      <c r="AD966" t="b">
        <v>0</v>
      </c>
      <c r="AG966" s="1" t="s">
        <v>57</v>
      </c>
      <c r="AH966" s="1" t="s">
        <v>45</v>
      </c>
      <c r="AI966">
        <v>311</v>
      </c>
      <c r="AJ966">
        <v>68</v>
      </c>
      <c r="AK966" s="106">
        <v>45475.635452430557</v>
      </c>
      <c r="AL966" s="1" t="s">
        <v>4790</v>
      </c>
      <c r="AM966" s="42">
        <f>IFERROR(INDEX('Public procurment'!A:R,MATCH(ListOfExpenditure[[#This Row],[Content.contractId]],'Public procurment'!E:E,0),14),0)</f>
        <v>0</v>
      </c>
      <c r="AN966" s="2">
        <f>IF(AND(ListOfExpenditure[[#This Row],[Contract amount]]&gt;10000,ListOfExpenditure[[#This Row],[Content.declaredAmount]]&gt;2000),1,0)</f>
        <v>0</v>
      </c>
      <c r="AO966">
        <f>IFERROR(INDEX('Public procurment'!A:S,MATCH(ListOfExpenditure[[#This Row],[Content.contractId]],'Public procurment'!E:E,0),19),0)</f>
        <v>0</v>
      </c>
      <c r="AP966">
        <f>IF(ListOfExpenditure[[#This Row],[Numero di volte controllato il contract ]]&gt;0,0,ListOfExpenditure[[#This Row],[IF public procurment &gt;10000;1;0]])</f>
        <v>0</v>
      </c>
    </row>
    <row r="967" spans="1:42" x14ac:dyDescent="0.25">
      <c r="A967">
        <v>128</v>
      </c>
      <c r="B967">
        <v>42</v>
      </c>
      <c r="E967" t="s">
        <v>4786</v>
      </c>
      <c r="F967" t="b">
        <v>0</v>
      </c>
      <c r="I967" t="s">
        <v>5661</v>
      </c>
      <c r="K967" t="s">
        <v>5575</v>
      </c>
      <c r="L967" t="s">
        <v>4795</v>
      </c>
      <c r="M967" t="s">
        <v>4788</v>
      </c>
      <c r="N967" t="s">
        <v>4788</v>
      </c>
      <c r="O967">
        <v>2123.9699999999998</v>
      </c>
      <c r="Q967">
        <v>0</v>
      </c>
      <c r="R967">
        <v>0</v>
      </c>
      <c r="S967">
        <v>424.79</v>
      </c>
      <c r="T967" t="s">
        <v>4789</v>
      </c>
      <c r="U967">
        <v>1</v>
      </c>
      <c r="V967">
        <v>424.79</v>
      </c>
      <c r="W967" t="s">
        <v>4343</v>
      </c>
      <c r="Y967" t="b">
        <v>0</v>
      </c>
      <c r="Z967" t="b">
        <v>0</v>
      </c>
      <c r="AA967">
        <v>424.79</v>
      </c>
      <c r="AB967">
        <v>0</v>
      </c>
      <c r="AD967" t="b">
        <v>0</v>
      </c>
      <c r="AG967" s="1" t="s">
        <v>57</v>
      </c>
      <c r="AH967" s="1" t="s">
        <v>45</v>
      </c>
      <c r="AI967">
        <v>311</v>
      </c>
      <c r="AJ967">
        <v>68</v>
      </c>
      <c r="AK967" s="106">
        <v>45475.635452430557</v>
      </c>
      <c r="AL967" s="1" t="s">
        <v>4790</v>
      </c>
      <c r="AM967" s="42">
        <f>IFERROR(INDEX('Public procurment'!A:R,MATCH(ListOfExpenditure[[#This Row],[Content.contractId]],'Public procurment'!E:E,0),14),0)</f>
        <v>0</v>
      </c>
      <c r="AN967" s="2">
        <f>IF(AND(ListOfExpenditure[[#This Row],[Contract amount]]&gt;10000,ListOfExpenditure[[#This Row],[Content.declaredAmount]]&gt;2000),1,0)</f>
        <v>0</v>
      </c>
      <c r="AO967">
        <f>IFERROR(INDEX('Public procurment'!A:S,MATCH(ListOfExpenditure[[#This Row],[Content.contractId]],'Public procurment'!E:E,0),19),0)</f>
        <v>0</v>
      </c>
      <c r="AP967">
        <f>IF(ListOfExpenditure[[#This Row],[Numero di volte controllato il contract ]]&gt;0,0,ListOfExpenditure[[#This Row],[IF public procurment &gt;10000;1;0]])</f>
        <v>0</v>
      </c>
    </row>
    <row r="968" spans="1:42" x14ac:dyDescent="0.25">
      <c r="A968">
        <v>129</v>
      </c>
      <c r="B968">
        <v>43</v>
      </c>
      <c r="E968" t="s">
        <v>4786</v>
      </c>
      <c r="F968" t="b">
        <v>0</v>
      </c>
      <c r="I968" t="s">
        <v>5662</v>
      </c>
      <c r="K968" t="s">
        <v>5616</v>
      </c>
      <c r="L968" t="s">
        <v>5617</v>
      </c>
      <c r="M968" t="s">
        <v>4788</v>
      </c>
      <c r="N968" t="s">
        <v>4788</v>
      </c>
      <c r="O968">
        <v>2177.67</v>
      </c>
      <c r="Q968">
        <v>0</v>
      </c>
      <c r="R968">
        <v>0</v>
      </c>
      <c r="S968">
        <v>435.53</v>
      </c>
      <c r="T968" t="s">
        <v>4789</v>
      </c>
      <c r="U968">
        <v>1</v>
      </c>
      <c r="V968">
        <v>435.53</v>
      </c>
      <c r="W968" t="s">
        <v>4343</v>
      </c>
      <c r="Y968" t="b">
        <v>0</v>
      </c>
      <c r="Z968" t="b">
        <v>0</v>
      </c>
      <c r="AA968">
        <v>435.53</v>
      </c>
      <c r="AB968">
        <v>0</v>
      </c>
      <c r="AD968" t="b">
        <v>0</v>
      </c>
      <c r="AG968" s="1" t="s">
        <v>57</v>
      </c>
      <c r="AH968" s="1" t="s">
        <v>45</v>
      </c>
      <c r="AI968">
        <v>311</v>
      </c>
      <c r="AJ968">
        <v>68</v>
      </c>
      <c r="AK968" s="106">
        <v>45475.635452430557</v>
      </c>
      <c r="AL968" s="1" t="s">
        <v>4790</v>
      </c>
      <c r="AM968" s="42">
        <f>IFERROR(INDEX('Public procurment'!A:R,MATCH(ListOfExpenditure[[#This Row],[Content.contractId]],'Public procurment'!E:E,0),14),0)</f>
        <v>0</v>
      </c>
      <c r="AN968" s="2">
        <f>IF(AND(ListOfExpenditure[[#This Row],[Contract amount]]&gt;10000,ListOfExpenditure[[#This Row],[Content.declaredAmount]]&gt;2000),1,0)</f>
        <v>0</v>
      </c>
      <c r="AO968">
        <f>IFERROR(INDEX('Public procurment'!A:S,MATCH(ListOfExpenditure[[#This Row],[Content.contractId]],'Public procurment'!E:E,0),19),0)</f>
        <v>0</v>
      </c>
      <c r="AP968">
        <f>IF(ListOfExpenditure[[#This Row],[Numero di volte controllato il contract ]]&gt;0,0,ListOfExpenditure[[#This Row],[IF public procurment &gt;10000;1;0]])</f>
        <v>0</v>
      </c>
    </row>
    <row r="969" spans="1:42" x14ac:dyDescent="0.25">
      <c r="A969">
        <v>130</v>
      </c>
      <c r="B969">
        <v>44</v>
      </c>
      <c r="E969" t="s">
        <v>4786</v>
      </c>
      <c r="F969" t="b">
        <v>0</v>
      </c>
      <c r="I969" t="s">
        <v>5663</v>
      </c>
      <c r="K969" t="s">
        <v>5619</v>
      </c>
      <c r="L969" t="s">
        <v>5620</v>
      </c>
      <c r="M969" t="s">
        <v>4788</v>
      </c>
      <c r="N969" t="s">
        <v>4788</v>
      </c>
      <c r="O969">
        <v>2097.89</v>
      </c>
      <c r="Q969">
        <v>0</v>
      </c>
      <c r="R969">
        <v>0</v>
      </c>
      <c r="S969">
        <v>419.58</v>
      </c>
      <c r="T969" t="s">
        <v>4789</v>
      </c>
      <c r="U969">
        <v>1</v>
      </c>
      <c r="V969">
        <v>419.58</v>
      </c>
      <c r="W969" t="s">
        <v>4343</v>
      </c>
      <c r="Y969" t="b">
        <v>0</v>
      </c>
      <c r="Z969" t="b">
        <v>0</v>
      </c>
      <c r="AA969">
        <v>419.58</v>
      </c>
      <c r="AB969">
        <v>0</v>
      </c>
      <c r="AD969" t="b">
        <v>0</v>
      </c>
      <c r="AG969" s="1" t="s">
        <v>57</v>
      </c>
      <c r="AH969" s="1" t="s">
        <v>45</v>
      </c>
      <c r="AI969">
        <v>311</v>
      </c>
      <c r="AJ969">
        <v>68</v>
      </c>
      <c r="AK969" s="106">
        <v>45475.635452430557</v>
      </c>
      <c r="AL969" s="1" t="s">
        <v>4790</v>
      </c>
      <c r="AM969" s="42">
        <f>IFERROR(INDEX('Public procurment'!A:R,MATCH(ListOfExpenditure[[#This Row],[Content.contractId]],'Public procurment'!E:E,0),14),0)</f>
        <v>0</v>
      </c>
      <c r="AN969" s="2">
        <f>IF(AND(ListOfExpenditure[[#This Row],[Contract amount]]&gt;10000,ListOfExpenditure[[#This Row],[Content.declaredAmount]]&gt;2000),1,0)</f>
        <v>0</v>
      </c>
      <c r="AO969">
        <f>IFERROR(INDEX('Public procurment'!A:S,MATCH(ListOfExpenditure[[#This Row],[Content.contractId]],'Public procurment'!E:E,0),19),0)</f>
        <v>0</v>
      </c>
      <c r="AP969">
        <f>IF(ListOfExpenditure[[#This Row],[Numero di volte controllato il contract ]]&gt;0,0,ListOfExpenditure[[#This Row],[IF public procurment &gt;10000;1;0]])</f>
        <v>0</v>
      </c>
    </row>
    <row r="970" spans="1:42" x14ac:dyDescent="0.25">
      <c r="A970">
        <v>131</v>
      </c>
      <c r="B970">
        <v>45</v>
      </c>
      <c r="E970" t="s">
        <v>4786</v>
      </c>
      <c r="F970" t="b">
        <v>0</v>
      </c>
      <c r="I970" t="s">
        <v>5664</v>
      </c>
      <c r="K970" t="s">
        <v>5381</v>
      </c>
      <c r="L970" t="s">
        <v>5376</v>
      </c>
      <c r="M970" t="s">
        <v>4788</v>
      </c>
      <c r="N970" t="s">
        <v>4788</v>
      </c>
      <c r="O970">
        <v>2151.5700000000002</v>
      </c>
      <c r="Q970">
        <v>0</v>
      </c>
      <c r="R970">
        <v>0</v>
      </c>
      <c r="S970">
        <v>430.31</v>
      </c>
      <c r="T970" t="s">
        <v>4789</v>
      </c>
      <c r="U970">
        <v>1</v>
      </c>
      <c r="V970">
        <v>430.31</v>
      </c>
      <c r="W970" t="s">
        <v>4343</v>
      </c>
      <c r="Y970" t="b">
        <v>0</v>
      </c>
      <c r="Z970" t="b">
        <v>0</v>
      </c>
      <c r="AA970">
        <v>430.31</v>
      </c>
      <c r="AB970">
        <v>0</v>
      </c>
      <c r="AD970" t="b">
        <v>0</v>
      </c>
      <c r="AG970" s="1" t="s">
        <v>57</v>
      </c>
      <c r="AH970" s="1" t="s">
        <v>45</v>
      </c>
      <c r="AI970">
        <v>311</v>
      </c>
      <c r="AJ970">
        <v>68</v>
      </c>
      <c r="AK970" s="106">
        <v>45475.635452430557</v>
      </c>
      <c r="AL970" s="1" t="s">
        <v>4790</v>
      </c>
      <c r="AM970" s="42">
        <f>IFERROR(INDEX('Public procurment'!A:R,MATCH(ListOfExpenditure[[#This Row],[Content.contractId]],'Public procurment'!E:E,0),14),0)</f>
        <v>0</v>
      </c>
      <c r="AN970" s="2">
        <f>IF(AND(ListOfExpenditure[[#This Row],[Contract amount]]&gt;10000,ListOfExpenditure[[#This Row],[Content.declaredAmount]]&gt;2000),1,0)</f>
        <v>0</v>
      </c>
      <c r="AO970">
        <f>IFERROR(INDEX('Public procurment'!A:S,MATCH(ListOfExpenditure[[#This Row],[Content.contractId]],'Public procurment'!E:E,0),19),0)</f>
        <v>0</v>
      </c>
      <c r="AP970">
        <f>IF(ListOfExpenditure[[#This Row],[Numero di volte controllato il contract ]]&gt;0,0,ListOfExpenditure[[#This Row],[IF public procurment &gt;10000;1;0]])</f>
        <v>0</v>
      </c>
    </row>
    <row r="971" spans="1:42" x14ac:dyDescent="0.25">
      <c r="A971">
        <v>132</v>
      </c>
      <c r="B971">
        <v>46</v>
      </c>
      <c r="E971" t="s">
        <v>4786</v>
      </c>
      <c r="F971" t="b">
        <v>0</v>
      </c>
      <c r="I971" t="s">
        <v>5665</v>
      </c>
      <c r="K971" t="s">
        <v>5623</v>
      </c>
      <c r="L971" t="s">
        <v>5624</v>
      </c>
      <c r="M971" t="s">
        <v>4788</v>
      </c>
      <c r="N971" t="s">
        <v>4788</v>
      </c>
      <c r="O971">
        <v>2059.5300000000002</v>
      </c>
      <c r="Q971">
        <v>0</v>
      </c>
      <c r="R971">
        <v>0</v>
      </c>
      <c r="S971">
        <v>411.91</v>
      </c>
      <c r="T971" t="s">
        <v>4789</v>
      </c>
      <c r="U971">
        <v>1</v>
      </c>
      <c r="V971">
        <v>411.91</v>
      </c>
      <c r="W971" t="s">
        <v>4343</v>
      </c>
      <c r="Y971" t="b">
        <v>0</v>
      </c>
      <c r="Z971" t="b">
        <v>0</v>
      </c>
      <c r="AA971">
        <v>411.91</v>
      </c>
      <c r="AB971">
        <v>0</v>
      </c>
      <c r="AD971" t="b">
        <v>0</v>
      </c>
      <c r="AG971" s="1" t="s">
        <v>57</v>
      </c>
      <c r="AH971" s="1" t="s">
        <v>45</v>
      </c>
      <c r="AI971">
        <v>311</v>
      </c>
      <c r="AJ971">
        <v>68</v>
      </c>
      <c r="AK971" s="106">
        <v>45475.635452430557</v>
      </c>
      <c r="AL971" s="1" t="s">
        <v>4790</v>
      </c>
      <c r="AM971" s="42">
        <f>IFERROR(INDEX('Public procurment'!A:R,MATCH(ListOfExpenditure[[#This Row],[Content.contractId]],'Public procurment'!E:E,0),14),0)</f>
        <v>0</v>
      </c>
      <c r="AN971" s="2">
        <f>IF(AND(ListOfExpenditure[[#This Row],[Contract amount]]&gt;10000,ListOfExpenditure[[#This Row],[Content.declaredAmount]]&gt;2000),1,0)</f>
        <v>0</v>
      </c>
      <c r="AO971">
        <f>IFERROR(INDEX('Public procurment'!A:S,MATCH(ListOfExpenditure[[#This Row],[Content.contractId]],'Public procurment'!E:E,0),19),0)</f>
        <v>0</v>
      </c>
      <c r="AP971">
        <f>IF(ListOfExpenditure[[#This Row],[Numero di volte controllato il contract ]]&gt;0,0,ListOfExpenditure[[#This Row],[IF public procurment &gt;10000;1;0]])</f>
        <v>0</v>
      </c>
    </row>
    <row r="972" spans="1:42" x14ac:dyDescent="0.25">
      <c r="A972">
        <v>133</v>
      </c>
      <c r="B972">
        <v>47</v>
      </c>
      <c r="E972" t="s">
        <v>4786</v>
      </c>
      <c r="F972" t="b">
        <v>0</v>
      </c>
      <c r="I972" t="s">
        <v>5666</v>
      </c>
      <c r="K972" t="s">
        <v>5626</v>
      </c>
      <c r="L972" t="s">
        <v>4910</v>
      </c>
      <c r="M972" t="s">
        <v>4788</v>
      </c>
      <c r="N972" t="s">
        <v>4788</v>
      </c>
      <c r="O972">
        <v>2151.5700000000002</v>
      </c>
      <c r="Q972">
        <v>0</v>
      </c>
      <c r="R972">
        <v>0</v>
      </c>
      <c r="S972">
        <v>430.31</v>
      </c>
      <c r="T972" t="s">
        <v>4789</v>
      </c>
      <c r="U972">
        <v>1</v>
      </c>
      <c r="V972">
        <v>430.31</v>
      </c>
      <c r="W972" t="s">
        <v>4343</v>
      </c>
      <c r="Y972" t="b">
        <v>0</v>
      </c>
      <c r="Z972" t="b">
        <v>0</v>
      </c>
      <c r="AA972">
        <v>430.31</v>
      </c>
      <c r="AB972">
        <v>0</v>
      </c>
      <c r="AD972" t="b">
        <v>0</v>
      </c>
      <c r="AG972" s="1" t="s">
        <v>57</v>
      </c>
      <c r="AH972" s="1" t="s">
        <v>45</v>
      </c>
      <c r="AI972">
        <v>311</v>
      </c>
      <c r="AJ972">
        <v>68</v>
      </c>
      <c r="AK972" s="106">
        <v>45475.635452430557</v>
      </c>
      <c r="AL972" s="1" t="s">
        <v>4790</v>
      </c>
      <c r="AM972" s="42">
        <f>IFERROR(INDEX('Public procurment'!A:R,MATCH(ListOfExpenditure[[#This Row],[Content.contractId]],'Public procurment'!E:E,0),14),0)</f>
        <v>0</v>
      </c>
      <c r="AN972" s="2">
        <f>IF(AND(ListOfExpenditure[[#This Row],[Contract amount]]&gt;10000,ListOfExpenditure[[#This Row],[Content.declaredAmount]]&gt;2000),1,0)</f>
        <v>0</v>
      </c>
      <c r="AO972">
        <f>IFERROR(INDEX('Public procurment'!A:S,MATCH(ListOfExpenditure[[#This Row],[Content.contractId]],'Public procurment'!E:E,0),19),0)</f>
        <v>0</v>
      </c>
      <c r="AP972">
        <f>IF(ListOfExpenditure[[#This Row],[Numero di volte controllato il contract ]]&gt;0,0,ListOfExpenditure[[#This Row],[IF public procurment &gt;10000;1;0]])</f>
        <v>0</v>
      </c>
    </row>
    <row r="973" spans="1:42" x14ac:dyDescent="0.25">
      <c r="A973">
        <v>134</v>
      </c>
      <c r="B973">
        <v>48</v>
      </c>
      <c r="E973" t="s">
        <v>4786</v>
      </c>
      <c r="F973" t="b">
        <v>0</v>
      </c>
      <c r="I973" t="s">
        <v>5667</v>
      </c>
      <c r="K973" t="s">
        <v>4873</v>
      </c>
      <c r="L973" t="s">
        <v>4444</v>
      </c>
      <c r="M973" t="s">
        <v>4788</v>
      </c>
      <c r="N973" t="s">
        <v>4788</v>
      </c>
      <c r="O973">
        <v>2033.43</v>
      </c>
      <c r="Q973">
        <v>0</v>
      </c>
      <c r="R973">
        <v>0</v>
      </c>
      <c r="S973">
        <v>406.69</v>
      </c>
      <c r="T973" t="s">
        <v>4789</v>
      </c>
      <c r="U973">
        <v>1</v>
      </c>
      <c r="V973">
        <v>406.69</v>
      </c>
      <c r="W973" t="s">
        <v>4343</v>
      </c>
      <c r="Y973" t="b">
        <v>0</v>
      </c>
      <c r="Z973" t="b">
        <v>0</v>
      </c>
      <c r="AA973">
        <v>406.69</v>
      </c>
      <c r="AB973">
        <v>0</v>
      </c>
      <c r="AD973" t="b">
        <v>0</v>
      </c>
      <c r="AG973" s="1" t="s">
        <v>57</v>
      </c>
      <c r="AH973" s="1" t="s">
        <v>45</v>
      </c>
      <c r="AI973">
        <v>311</v>
      </c>
      <c r="AJ973">
        <v>68</v>
      </c>
      <c r="AK973" s="106">
        <v>45475.635452430557</v>
      </c>
      <c r="AL973" s="1" t="s">
        <v>4790</v>
      </c>
      <c r="AM973" s="42">
        <f>IFERROR(INDEX('Public procurment'!A:R,MATCH(ListOfExpenditure[[#This Row],[Content.contractId]],'Public procurment'!E:E,0),14),0)</f>
        <v>0</v>
      </c>
      <c r="AN973" s="2">
        <f>IF(AND(ListOfExpenditure[[#This Row],[Contract amount]]&gt;10000,ListOfExpenditure[[#This Row],[Content.declaredAmount]]&gt;2000),1,0)</f>
        <v>0</v>
      </c>
      <c r="AO973">
        <f>IFERROR(INDEX('Public procurment'!A:S,MATCH(ListOfExpenditure[[#This Row],[Content.contractId]],'Public procurment'!E:E,0),19),0)</f>
        <v>0</v>
      </c>
      <c r="AP973">
        <f>IF(ListOfExpenditure[[#This Row],[Numero di volte controllato il contract ]]&gt;0,0,ListOfExpenditure[[#This Row],[IF public procurment &gt;10000;1;0]])</f>
        <v>0</v>
      </c>
    </row>
    <row r="974" spans="1:42" x14ac:dyDescent="0.25">
      <c r="A974">
        <v>553</v>
      </c>
      <c r="B974">
        <v>49</v>
      </c>
      <c r="E974" t="s">
        <v>5095</v>
      </c>
      <c r="F974" t="b">
        <v>0</v>
      </c>
      <c r="G974">
        <v>209</v>
      </c>
      <c r="H974">
        <v>89</v>
      </c>
      <c r="I974" t="s">
        <v>5668</v>
      </c>
      <c r="J974" t="s">
        <v>5669</v>
      </c>
      <c r="K974" t="s">
        <v>5670</v>
      </c>
      <c r="L974" t="s">
        <v>5392</v>
      </c>
      <c r="M974" t="s">
        <v>4788</v>
      </c>
      <c r="N974" t="s">
        <v>4788</v>
      </c>
      <c r="O974">
        <v>75466.27</v>
      </c>
      <c r="P974">
        <v>13608.67</v>
      </c>
      <c r="Q974">
        <v>0</v>
      </c>
      <c r="R974">
        <v>0</v>
      </c>
      <c r="S974">
        <v>75466.27</v>
      </c>
      <c r="T974" t="s">
        <v>4789</v>
      </c>
      <c r="U974">
        <v>1</v>
      </c>
      <c r="V974">
        <v>75466.27</v>
      </c>
      <c r="W974" t="s">
        <v>4343</v>
      </c>
      <c r="Y974" t="b">
        <v>0</v>
      </c>
      <c r="Z974" t="b">
        <v>0</v>
      </c>
      <c r="AA974">
        <v>75466.27</v>
      </c>
      <c r="AB974">
        <v>0</v>
      </c>
      <c r="AD974" t="b">
        <v>0</v>
      </c>
      <c r="AG974" s="1" t="s">
        <v>57</v>
      </c>
      <c r="AH974" s="1" t="s">
        <v>45</v>
      </c>
      <c r="AI974">
        <v>311</v>
      </c>
      <c r="AJ974">
        <v>68</v>
      </c>
      <c r="AK974" s="106">
        <v>45475.635452430557</v>
      </c>
      <c r="AL974" s="1" t="s">
        <v>4790</v>
      </c>
      <c r="AM974" s="42">
        <f>IFERROR(INDEX('Public procurment'!A:R,MATCH(ListOfExpenditure[[#This Row],[Content.contractId]],'Public procurment'!E:E,0),14),0)</f>
        <v>75466.27</v>
      </c>
      <c r="AN974" s="2">
        <f>IF(AND(ListOfExpenditure[[#This Row],[Contract amount]]&gt;10000,ListOfExpenditure[[#This Row],[Content.declaredAmount]]&gt;2000),1,0)</f>
        <v>1</v>
      </c>
      <c r="AO974">
        <f>IFERROR(INDEX('Public procurment'!A:S,MATCH(ListOfExpenditure[[#This Row],[Content.contractId]],'Public procurment'!E:E,0),19),0)</f>
        <v>0</v>
      </c>
      <c r="AP974">
        <f>IF(ListOfExpenditure[[#This Row],[Numero di volte controllato il contract ]]&gt;0,0,ListOfExpenditure[[#This Row],[IF public procurment &gt;10000;1;0]])</f>
        <v>1</v>
      </c>
    </row>
    <row r="975" spans="1:42" x14ac:dyDescent="0.25">
      <c r="A975">
        <v>554</v>
      </c>
      <c r="B975">
        <v>50</v>
      </c>
      <c r="E975" t="s">
        <v>4798</v>
      </c>
      <c r="F975" t="b">
        <v>0</v>
      </c>
      <c r="H975">
        <v>90</v>
      </c>
      <c r="I975" t="s">
        <v>5415</v>
      </c>
      <c r="J975" t="s">
        <v>5671</v>
      </c>
      <c r="K975" t="s">
        <v>5672</v>
      </c>
      <c r="L975" t="s">
        <v>5673</v>
      </c>
      <c r="M975" t="s">
        <v>4788</v>
      </c>
      <c r="N975" t="s">
        <v>4788</v>
      </c>
      <c r="O975">
        <v>907.68</v>
      </c>
      <c r="P975">
        <v>163.68</v>
      </c>
      <c r="Q975">
        <v>0</v>
      </c>
      <c r="R975">
        <v>0</v>
      </c>
      <c r="S975">
        <v>907.68</v>
      </c>
      <c r="T975" t="s">
        <v>4789</v>
      </c>
      <c r="U975">
        <v>1</v>
      </c>
      <c r="V975">
        <v>907.68</v>
      </c>
      <c r="W975" t="s">
        <v>4343</v>
      </c>
      <c r="Y975" t="b">
        <v>0</v>
      </c>
      <c r="Z975" t="b">
        <v>0</v>
      </c>
      <c r="AA975">
        <v>907.68</v>
      </c>
      <c r="AB975">
        <v>0</v>
      </c>
      <c r="AD975" t="b">
        <v>0</v>
      </c>
      <c r="AG975" s="1" t="s">
        <v>57</v>
      </c>
      <c r="AH975" s="1" t="s">
        <v>45</v>
      </c>
      <c r="AI975">
        <v>311</v>
      </c>
      <c r="AJ975">
        <v>68</v>
      </c>
      <c r="AK975" s="106">
        <v>45475.635452430557</v>
      </c>
      <c r="AL975" s="1" t="s">
        <v>4790</v>
      </c>
      <c r="AM975" s="42">
        <f>IFERROR(INDEX('Public procurment'!A:R,MATCH(ListOfExpenditure[[#This Row],[Content.contractId]],'Public procurment'!E:E,0),14),0)</f>
        <v>907.68</v>
      </c>
      <c r="AN975" s="2">
        <f>IF(AND(ListOfExpenditure[[#This Row],[Contract amount]]&gt;10000,ListOfExpenditure[[#This Row],[Content.declaredAmount]]&gt;2000),1,0)</f>
        <v>0</v>
      </c>
      <c r="AO975">
        <f>IFERROR(INDEX('Public procurment'!A:S,MATCH(ListOfExpenditure[[#This Row],[Content.contractId]],'Public procurment'!E:E,0),19),0)</f>
        <v>0</v>
      </c>
      <c r="AP975">
        <f>IF(ListOfExpenditure[[#This Row],[Numero di volte controllato il contract ]]&gt;0,0,ListOfExpenditure[[#This Row],[IF public procurment &gt;10000;1;0]])</f>
        <v>0</v>
      </c>
    </row>
    <row r="976" spans="1:42" x14ac:dyDescent="0.25">
      <c r="A976">
        <v>16</v>
      </c>
      <c r="B976">
        <v>1</v>
      </c>
      <c r="E976" t="s">
        <v>4786</v>
      </c>
      <c r="F976" t="b">
        <v>0</v>
      </c>
      <c r="I976" t="s">
        <v>5674</v>
      </c>
      <c r="K976" t="s">
        <v>5675</v>
      </c>
      <c r="L976" t="s">
        <v>5676</v>
      </c>
      <c r="M976" t="s">
        <v>4788</v>
      </c>
      <c r="N976" t="s">
        <v>4788</v>
      </c>
      <c r="O976">
        <v>2390.0100000000002</v>
      </c>
      <c r="Q976">
        <v>0</v>
      </c>
      <c r="R976">
        <v>0</v>
      </c>
      <c r="S976">
        <v>1912.01</v>
      </c>
      <c r="T976" t="s">
        <v>4789</v>
      </c>
      <c r="U976">
        <v>1</v>
      </c>
      <c r="V976">
        <v>1912.01</v>
      </c>
      <c r="W976" t="s">
        <v>4343</v>
      </c>
      <c r="Y976" t="b">
        <v>1</v>
      </c>
      <c r="Z976" t="b">
        <v>0</v>
      </c>
      <c r="AA976">
        <v>1912.01</v>
      </c>
      <c r="AB976">
        <v>0</v>
      </c>
      <c r="AD976" t="b">
        <v>0</v>
      </c>
      <c r="AG976" s="1" t="s">
        <v>57</v>
      </c>
      <c r="AH976" s="1" t="s">
        <v>42</v>
      </c>
      <c r="AI976">
        <v>316</v>
      </c>
      <c r="AJ976">
        <v>28</v>
      </c>
      <c r="AK976" s="106">
        <v>45475.635445775464</v>
      </c>
      <c r="AL976" s="1" t="s">
        <v>4790</v>
      </c>
      <c r="AM976" s="42">
        <f>IFERROR(INDEX('Public procurment'!A:R,MATCH(ListOfExpenditure[[#This Row],[Content.contractId]],'Public procurment'!E:E,0),14),0)</f>
        <v>0</v>
      </c>
      <c r="AN976" s="2">
        <f>IF(AND(ListOfExpenditure[[#This Row],[Contract amount]]&gt;10000,ListOfExpenditure[[#This Row],[Content.declaredAmount]]&gt;2000),1,0)</f>
        <v>0</v>
      </c>
      <c r="AO976">
        <f>IFERROR(INDEX('Public procurment'!A:S,MATCH(ListOfExpenditure[[#This Row],[Content.contractId]],'Public procurment'!E:E,0),19),0)</f>
        <v>0</v>
      </c>
      <c r="AP976">
        <f>IF(ListOfExpenditure[[#This Row],[Numero di volte controllato il contract ]]&gt;0,0,ListOfExpenditure[[#This Row],[IF public procurment &gt;10000;1;0]])</f>
        <v>0</v>
      </c>
    </row>
    <row r="977" spans="1:42" x14ac:dyDescent="0.25">
      <c r="A977">
        <v>17</v>
      </c>
      <c r="B977">
        <v>2</v>
      </c>
      <c r="E977" t="s">
        <v>4786</v>
      </c>
      <c r="F977" t="b">
        <v>0</v>
      </c>
      <c r="I977" t="s">
        <v>5677</v>
      </c>
      <c r="K977" t="s">
        <v>5305</v>
      </c>
      <c r="L977" t="s">
        <v>5324</v>
      </c>
      <c r="M977" t="s">
        <v>4788</v>
      </c>
      <c r="N977" t="s">
        <v>4788</v>
      </c>
      <c r="O977">
        <v>2936.29</v>
      </c>
      <c r="Q977">
        <v>0</v>
      </c>
      <c r="R977">
        <v>0</v>
      </c>
      <c r="S977">
        <v>587.26</v>
      </c>
      <c r="T977" t="s">
        <v>4789</v>
      </c>
      <c r="U977">
        <v>1</v>
      </c>
      <c r="V977">
        <v>587.26</v>
      </c>
      <c r="W977" t="s">
        <v>4343</v>
      </c>
      <c r="Y977" t="b">
        <v>1</v>
      </c>
      <c r="Z977" t="b">
        <v>0</v>
      </c>
      <c r="AA977">
        <v>587.26</v>
      </c>
      <c r="AB977">
        <v>0</v>
      </c>
      <c r="AD977" t="b">
        <v>0</v>
      </c>
      <c r="AG977" s="1" t="s">
        <v>57</v>
      </c>
      <c r="AH977" s="1" t="s">
        <v>42</v>
      </c>
      <c r="AI977">
        <v>316</v>
      </c>
      <c r="AJ977">
        <v>28</v>
      </c>
      <c r="AK977" s="106">
        <v>45475.635445775464</v>
      </c>
      <c r="AL977" s="1" t="s">
        <v>4790</v>
      </c>
      <c r="AM977" s="42">
        <f>IFERROR(INDEX('Public procurment'!A:R,MATCH(ListOfExpenditure[[#This Row],[Content.contractId]],'Public procurment'!E:E,0),14),0)</f>
        <v>0</v>
      </c>
      <c r="AN977" s="2">
        <f>IF(AND(ListOfExpenditure[[#This Row],[Contract amount]]&gt;10000,ListOfExpenditure[[#This Row],[Content.declaredAmount]]&gt;2000),1,0)</f>
        <v>0</v>
      </c>
      <c r="AO977">
        <f>IFERROR(INDEX('Public procurment'!A:S,MATCH(ListOfExpenditure[[#This Row],[Content.contractId]],'Public procurment'!E:E,0),19),0)</f>
        <v>0</v>
      </c>
      <c r="AP977">
        <f>IF(ListOfExpenditure[[#This Row],[Numero di volte controllato il contract ]]&gt;0,0,ListOfExpenditure[[#This Row],[IF public procurment &gt;10000;1;0]])</f>
        <v>0</v>
      </c>
    </row>
    <row r="978" spans="1:42" x14ac:dyDescent="0.25">
      <c r="A978">
        <v>18</v>
      </c>
      <c r="B978">
        <v>3</v>
      </c>
      <c r="E978" t="s">
        <v>4786</v>
      </c>
      <c r="F978" t="b">
        <v>0</v>
      </c>
      <c r="I978" t="s">
        <v>5677</v>
      </c>
      <c r="K978" t="s">
        <v>5305</v>
      </c>
      <c r="L978" t="s">
        <v>5324</v>
      </c>
      <c r="M978" t="s">
        <v>4788</v>
      </c>
      <c r="N978" t="s">
        <v>4788</v>
      </c>
      <c r="O978">
        <v>3012.8</v>
      </c>
      <c r="Q978">
        <v>0</v>
      </c>
      <c r="R978">
        <v>0</v>
      </c>
      <c r="S978">
        <v>301.27999999999997</v>
      </c>
      <c r="T978" t="s">
        <v>4789</v>
      </c>
      <c r="U978">
        <v>1</v>
      </c>
      <c r="V978">
        <v>301.27999999999997</v>
      </c>
      <c r="W978" t="s">
        <v>4343</v>
      </c>
      <c r="Y978" t="b">
        <v>1</v>
      </c>
      <c r="Z978" t="b">
        <v>0</v>
      </c>
      <c r="AA978">
        <v>301.27999999999997</v>
      </c>
      <c r="AB978">
        <v>0</v>
      </c>
      <c r="AD978" t="b">
        <v>0</v>
      </c>
      <c r="AG978" s="1" t="s">
        <v>57</v>
      </c>
      <c r="AH978" s="1" t="s">
        <v>42</v>
      </c>
      <c r="AI978">
        <v>316</v>
      </c>
      <c r="AJ978">
        <v>28</v>
      </c>
      <c r="AK978" s="106">
        <v>45475.635445775464</v>
      </c>
      <c r="AL978" s="1" t="s">
        <v>4790</v>
      </c>
      <c r="AM978" s="42">
        <f>IFERROR(INDEX('Public procurment'!A:R,MATCH(ListOfExpenditure[[#This Row],[Content.contractId]],'Public procurment'!E:E,0),14),0)</f>
        <v>0</v>
      </c>
      <c r="AN978" s="2">
        <f>IF(AND(ListOfExpenditure[[#This Row],[Contract amount]]&gt;10000,ListOfExpenditure[[#This Row],[Content.declaredAmount]]&gt;2000),1,0)</f>
        <v>0</v>
      </c>
      <c r="AO978">
        <f>IFERROR(INDEX('Public procurment'!A:S,MATCH(ListOfExpenditure[[#This Row],[Content.contractId]],'Public procurment'!E:E,0),19),0)</f>
        <v>0</v>
      </c>
      <c r="AP978">
        <f>IF(ListOfExpenditure[[#This Row],[Numero di volte controllato il contract ]]&gt;0,0,ListOfExpenditure[[#This Row],[IF public procurment &gt;10000;1;0]])</f>
        <v>0</v>
      </c>
    </row>
    <row r="979" spans="1:42" x14ac:dyDescent="0.25">
      <c r="A979">
        <v>161</v>
      </c>
      <c r="B979">
        <v>4</v>
      </c>
      <c r="E979" t="s">
        <v>4786</v>
      </c>
      <c r="F979" t="b">
        <v>0</v>
      </c>
      <c r="I979" t="s">
        <v>5677</v>
      </c>
      <c r="K979" t="s">
        <v>5305</v>
      </c>
      <c r="L979" t="s">
        <v>5324</v>
      </c>
      <c r="M979" t="s">
        <v>4788</v>
      </c>
      <c r="N979" t="s">
        <v>4788</v>
      </c>
      <c r="O979">
        <v>4266.42</v>
      </c>
      <c r="Q979">
        <v>0</v>
      </c>
      <c r="R979">
        <v>0</v>
      </c>
      <c r="S979">
        <v>853.28</v>
      </c>
      <c r="T979" t="s">
        <v>4789</v>
      </c>
      <c r="U979">
        <v>1</v>
      </c>
      <c r="V979">
        <v>853.28</v>
      </c>
      <c r="W979" t="s">
        <v>4343</v>
      </c>
      <c r="Y979" t="b">
        <v>1</v>
      </c>
      <c r="Z979" t="b">
        <v>0</v>
      </c>
      <c r="AA979">
        <v>853.28</v>
      </c>
      <c r="AB979">
        <v>0</v>
      </c>
      <c r="AD979" t="b">
        <v>0</v>
      </c>
      <c r="AG979" s="1" t="s">
        <v>57</v>
      </c>
      <c r="AH979" s="1" t="s">
        <v>42</v>
      </c>
      <c r="AI979">
        <v>316</v>
      </c>
      <c r="AJ979">
        <v>28</v>
      </c>
      <c r="AK979" s="106">
        <v>45475.635445775464</v>
      </c>
      <c r="AL979" s="1" t="s">
        <v>4790</v>
      </c>
      <c r="AM979" s="42">
        <f>IFERROR(INDEX('Public procurment'!A:R,MATCH(ListOfExpenditure[[#This Row],[Content.contractId]],'Public procurment'!E:E,0),14),0)</f>
        <v>0</v>
      </c>
      <c r="AN979" s="2">
        <f>IF(AND(ListOfExpenditure[[#This Row],[Contract amount]]&gt;10000,ListOfExpenditure[[#This Row],[Content.declaredAmount]]&gt;2000),1,0)</f>
        <v>0</v>
      </c>
      <c r="AO979">
        <f>IFERROR(INDEX('Public procurment'!A:S,MATCH(ListOfExpenditure[[#This Row],[Content.contractId]],'Public procurment'!E:E,0),19),0)</f>
        <v>0</v>
      </c>
      <c r="AP979">
        <f>IF(ListOfExpenditure[[#This Row],[Numero di volte controllato il contract ]]&gt;0,0,ListOfExpenditure[[#This Row],[IF public procurment &gt;10000;1;0]])</f>
        <v>0</v>
      </c>
    </row>
    <row r="980" spans="1:42" x14ac:dyDescent="0.25">
      <c r="A980">
        <v>162</v>
      </c>
      <c r="B980">
        <v>5</v>
      </c>
      <c r="E980" t="s">
        <v>4786</v>
      </c>
      <c r="F980" t="b">
        <v>0</v>
      </c>
      <c r="I980" t="s">
        <v>5677</v>
      </c>
      <c r="K980" t="s">
        <v>5305</v>
      </c>
      <c r="L980" t="s">
        <v>5324</v>
      </c>
      <c r="M980" t="s">
        <v>4788</v>
      </c>
      <c r="N980" t="s">
        <v>4788</v>
      </c>
      <c r="O980">
        <v>2418.61</v>
      </c>
      <c r="Q980">
        <v>0</v>
      </c>
      <c r="R980">
        <v>0</v>
      </c>
      <c r="S980">
        <v>1934.89</v>
      </c>
      <c r="T980" t="s">
        <v>4789</v>
      </c>
      <c r="U980">
        <v>1</v>
      </c>
      <c r="V980">
        <v>1934.89</v>
      </c>
      <c r="W980" t="s">
        <v>4343</v>
      </c>
      <c r="Y980" t="b">
        <v>1</v>
      </c>
      <c r="Z980" t="b">
        <v>0</v>
      </c>
      <c r="AA980">
        <v>1934.89</v>
      </c>
      <c r="AB980">
        <v>0</v>
      </c>
      <c r="AD980" t="b">
        <v>0</v>
      </c>
      <c r="AG980" s="1" t="s">
        <v>57</v>
      </c>
      <c r="AH980" s="1" t="s">
        <v>42</v>
      </c>
      <c r="AI980">
        <v>316</v>
      </c>
      <c r="AJ980">
        <v>28</v>
      </c>
      <c r="AK980" s="106">
        <v>45475.635445775464</v>
      </c>
      <c r="AL980" s="1" t="s">
        <v>4790</v>
      </c>
      <c r="AM980" s="42">
        <f>IFERROR(INDEX('Public procurment'!A:R,MATCH(ListOfExpenditure[[#This Row],[Content.contractId]],'Public procurment'!E:E,0),14),0)</f>
        <v>0</v>
      </c>
      <c r="AN980" s="2">
        <f>IF(AND(ListOfExpenditure[[#This Row],[Contract amount]]&gt;10000,ListOfExpenditure[[#This Row],[Content.declaredAmount]]&gt;2000),1,0)</f>
        <v>0</v>
      </c>
      <c r="AO980">
        <f>IFERROR(INDEX('Public procurment'!A:S,MATCH(ListOfExpenditure[[#This Row],[Content.contractId]],'Public procurment'!E:E,0),19),0)</f>
        <v>0</v>
      </c>
      <c r="AP980">
        <f>IF(ListOfExpenditure[[#This Row],[Numero di volte controllato il contract ]]&gt;0,0,ListOfExpenditure[[#This Row],[IF public procurment &gt;10000;1;0]])</f>
        <v>0</v>
      </c>
    </row>
    <row r="981" spans="1:42" x14ac:dyDescent="0.25">
      <c r="A981">
        <v>163</v>
      </c>
      <c r="B981">
        <v>6</v>
      </c>
      <c r="E981" t="s">
        <v>4786</v>
      </c>
      <c r="F981" t="b">
        <v>0</v>
      </c>
      <c r="I981" t="s">
        <v>5678</v>
      </c>
      <c r="K981" t="s">
        <v>4797</v>
      </c>
      <c r="L981" t="s">
        <v>5623</v>
      </c>
      <c r="M981" t="s">
        <v>4788</v>
      </c>
      <c r="N981" t="s">
        <v>4788</v>
      </c>
      <c r="O981">
        <v>3115.01</v>
      </c>
      <c r="Q981">
        <v>0</v>
      </c>
      <c r="R981">
        <v>0</v>
      </c>
      <c r="S981">
        <v>623</v>
      </c>
      <c r="T981" t="s">
        <v>4789</v>
      </c>
      <c r="U981">
        <v>1</v>
      </c>
      <c r="V981">
        <v>623</v>
      </c>
      <c r="W981" t="s">
        <v>4343</v>
      </c>
      <c r="Y981" t="b">
        <v>1</v>
      </c>
      <c r="Z981" t="b">
        <v>0</v>
      </c>
      <c r="AA981">
        <v>611.79</v>
      </c>
      <c r="AB981">
        <v>11.21</v>
      </c>
      <c r="AC981">
        <v>8</v>
      </c>
      <c r="AD981" t="b">
        <v>0</v>
      </c>
      <c r="AF981" t="s">
        <v>5679</v>
      </c>
      <c r="AG981" s="1" t="s">
        <v>57</v>
      </c>
      <c r="AH981" s="1" t="s">
        <v>42</v>
      </c>
      <c r="AI981">
        <v>316</v>
      </c>
      <c r="AJ981">
        <v>28</v>
      </c>
      <c r="AK981" s="106">
        <v>45475.635445775464</v>
      </c>
      <c r="AL981" s="1" t="s">
        <v>4790</v>
      </c>
      <c r="AM981" s="42">
        <f>IFERROR(INDEX('Public procurment'!A:R,MATCH(ListOfExpenditure[[#This Row],[Content.contractId]],'Public procurment'!E:E,0),14),0)</f>
        <v>0</v>
      </c>
      <c r="AN981" s="2">
        <f>IF(AND(ListOfExpenditure[[#This Row],[Contract amount]]&gt;10000,ListOfExpenditure[[#This Row],[Content.declaredAmount]]&gt;2000),1,0)</f>
        <v>0</v>
      </c>
      <c r="AO981">
        <f>IFERROR(INDEX('Public procurment'!A:S,MATCH(ListOfExpenditure[[#This Row],[Content.contractId]],'Public procurment'!E:E,0),19),0)</f>
        <v>0</v>
      </c>
      <c r="AP981">
        <f>IF(ListOfExpenditure[[#This Row],[Numero di volte controllato il contract ]]&gt;0,0,ListOfExpenditure[[#This Row],[IF public procurment &gt;10000;1;0]])</f>
        <v>0</v>
      </c>
    </row>
    <row r="982" spans="1:42" x14ac:dyDescent="0.25">
      <c r="A982">
        <v>164</v>
      </c>
      <c r="B982">
        <v>7</v>
      </c>
      <c r="E982" t="s">
        <v>4786</v>
      </c>
      <c r="F982" t="b">
        <v>0</v>
      </c>
      <c r="I982" t="s">
        <v>5678</v>
      </c>
      <c r="K982" t="s">
        <v>4797</v>
      </c>
      <c r="L982" t="s">
        <v>5623</v>
      </c>
      <c r="M982" t="s">
        <v>4788</v>
      </c>
      <c r="N982" t="s">
        <v>4788</v>
      </c>
      <c r="O982">
        <v>3428.91</v>
      </c>
      <c r="Q982">
        <v>0</v>
      </c>
      <c r="R982">
        <v>0</v>
      </c>
      <c r="S982">
        <v>342.89</v>
      </c>
      <c r="T982" t="s">
        <v>4789</v>
      </c>
      <c r="U982">
        <v>1</v>
      </c>
      <c r="V982">
        <v>342.89</v>
      </c>
      <c r="W982" t="s">
        <v>4343</v>
      </c>
      <c r="Y982" t="b">
        <v>1</v>
      </c>
      <c r="Z982" t="b">
        <v>0</v>
      </c>
      <c r="AA982">
        <v>314.66000000000003</v>
      </c>
      <c r="AB982">
        <v>28.23</v>
      </c>
      <c r="AC982">
        <v>8</v>
      </c>
      <c r="AD982" t="b">
        <v>0</v>
      </c>
      <c r="AF982" t="s">
        <v>5680</v>
      </c>
      <c r="AG982" s="1" t="s">
        <v>57</v>
      </c>
      <c r="AH982" s="1" t="s">
        <v>42</v>
      </c>
      <c r="AI982">
        <v>316</v>
      </c>
      <c r="AJ982">
        <v>28</v>
      </c>
      <c r="AK982" s="106">
        <v>45475.635445775464</v>
      </c>
      <c r="AL982" s="1" t="s">
        <v>4790</v>
      </c>
      <c r="AM982" s="42">
        <f>IFERROR(INDEX('Public procurment'!A:R,MATCH(ListOfExpenditure[[#This Row],[Content.contractId]],'Public procurment'!E:E,0),14),0)</f>
        <v>0</v>
      </c>
      <c r="AN982" s="2">
        <f>IF(AND(ListOfExpenditure[[#This Row],[Contract amount]]&gt;10000,ListOfExpenditure[[#This Row],[Content.declaredAmount]]&gt;2000),1,0)</f>
        <v>0</v>
      </c>
      <c r="AO982">
        <f>IFERROR(INDEX('Public procurment'!A:S,MATCH(ListOfExpenditure[[#This Row],[Content.contractId]],'Public procurment'!E:E,0),19),0)</f>
        <v>0</v>
      </c>
      <c r="AP982">
        <f>IF(ListOfExpenditure[[#This Row],[Numero di volte controllato il contract ]]&gt;0,0,ListOfExpenditure[[#This Row],[IF public procurment &gt;10000;1;0]])</f>
        <v>0</v>
      </c>
    </row>
    <row r="983" spans="1:42" x14ac:dyDescent="0.25">
      <c r="A983">
        <v>165</v>
      </c>
      <c r="B983">
        <v>8</v>
      </c>
      <c r="E983" t="s">
        <v>4786</v>
      </c>
      <c r="F983" t="b">
        <v>0</v>
      </c>
      <c r="I983" t="s">
        <v>5678</v>
      </c>
      <c r="K983" t="s">
        <v>4797</v>
      </c>
      <c r="L983" t="s">
        <v>5623</v>
      </c>
      <c r="M983" t="s">
        <v>4788</v>
      </c>
      <c r="N983" t="s">
        <v>4788</v>
      </c>
      <c r="O983">
        <v>4677.28</v>
      </c>
      <c r="Q983">
        <v>0</v>
      </c>
      <c r="R983">
        <v>0</v>
      </c>
      <c r="S983">
        <v>935.46</v>
      </c>
      <c r="T983" t="s">
        <v>4789</v>
      </c>
      <c r="U983">
        <v>1</v>
      </c>
      <c r="V983">
        <v>935.46</v>
      </c>
      <c r="W983" t="s">
        <v>4343</v>
      </c>
      <c r="Y983" t="b">
        <v>1</v>
      </c>
      <c r="Z983" t="b">
        <v>0</v>
      </c>
      <c r="AA983">
        <v>918.42</v>
      </c>
      <c r="AB983">
        <v>17.04</v>
      </c>
      <c r="AC983">
        <v>8</v>
      </c>
      <c r="AD983" t="b">
        <v>0</v>
      </c>
      <c r="AF983" t="s">
        <v>5679</v>
      </c>
      <c r="AG983" s="1" t="s">
        <v>57</v>
      </c>
      <c r="AH983" s="1" t="s">
        <v>42</v>
      </c>
      <c r="AI983">
        <v>316</v>
      </c>
      <c r="AJ983">
        <v>28</v>
      </c>
      <c r="AK983" s="106">
        <v>45475.635445775464</v>
      </c>
      <c r="AL983" s="1" t="s">
        <v>4790</v>
      </c>
      <c r="AM983" s="42">
        <f>IFERROR(INDEX('Public procurment'!A:R,MATCH(ListOfExpenditure[[#This Row],[Content.contractId]],'Public procurment'!E:E,0),14),0)</f>
        <v>0</v>
      </c>
      <c r="AN983" s="2">
        <f>IF(AND(ListOfExpenditure[[#This Row],[Contract amount]]&gt;10000,ListOfExpenditure[[#This Row],[Content.declaredAmount]]&gt;2000),1,0)</f>
        <v>0</v>
      </c>
      <c r="AO983">
        <f>IFERROR(INDEX('Public procurment'!A:S,MATCH(ListOfExpenditure[[#This Row],[Content.contractId]],'Public procurment'!E:E,0),19),0)</f>
        <v>0</v>
      </c>
      <c r="AP983">
        <f>IF(ListOfExpenditure[[#This Row],[Numero di volte controllato il contract ]]&gt;0,0,ListOfExpenditure[[#This Row],[IF public procurment &gt;10000;1;0]])</f>
        <v>0</v>
      </c>
    </row>
    <row r="984" spans="1:42" x14ac:dyDescent="0.25">
      <c r="A984">
        <v>166</v>
      </c>
      <c r="B984">
        <v>9</v>
      </c>
      <c r="E984" t="s">
        <v>4786</v>
      </c>
      <c r="F984" t="b">
        <v>0</v>
      </c>
      <c r="I984" t="s">
        <v>5678</v>
      </c>
      <c r="K984" t="s">
        <v>4797</v>
      </c>
      <c r="L984" t="s">
        <v>5623</v>
      </c>
      <c r="M984" t="s">
        <v>4788</v>
      </c>
      <c r="N984" t="s">
        <v>4788</v>
      </c>
      <c r="O984">
        <v>2507.92</v>
      </c>
      <c r="Q984">
        <v>0</v>
      </c>
      <c r="R984">
        <v>0</v>
      </c>
      <c r="S984">
        <v>2006.33</v>
      </c>
      <c r="T984" t="s">
        <v>4789</v>
      </c>
      <c r="U984">
        <v>1</v>
      </c>
      <c r="V984">
        <v>2006.33</v>
      </c>
      <c r="W984" t="s">
        <v>4343</v>
      </c>
      <c r="Y984" t="b">
        <v>1</v>
      </c>
      <c r="Z984" t="b">
        <v>0</v>
      </c>
      <c r="AA984">
        <v>2006.33</v>
      </c>
      <c r="AB984">
        <v>0</v>
      </c>
      <c r="AD984" t="b">
        <v>0</v>
      </c>
      <c r="AG984" s="1" t="s">
        <v>57</v>
      </c>
      <c r="AH984" s="1" t="s">
        <v>42</v>
      </c>
      <c r="AI984">
        <v>316</v>
      </c>
      <c r="AJ984">
        <v>28</v>
      </c>
      <c r="AK984" s="106">
        <v>45475.635445775464</v>
      </c>
      <c r="AL984" s="1" t="s">
        <v>4790</v>
      </c>
      <c r="AM984" s="42">
        <f>IFERROR(INDEX('Public procurment'!A:R,MATCH(ListOfExpenditure[[#This Row],[Content.contractId]],'Public procurment'!E:E,0),14),0)</f>
        <v>0</v>
      </c>
      <c r="AN984" s="2">
        <f>IF(AND(ListOfExpenditure[[#This Row],[Contract amount]]&gt;10000,ListOfExpenditure[[#This Row],[Content.declaredAmount]]&gt;2000),1,0)</f>
        <v>0</v>
      </c>
      <c r="AO984">
        <f>IFERROR(INDEX('Public procurment'!A:S,MATCH(ListOfExpenditure[[#This Row],[Content.contractId]],'Public procurment'!E:E,0),19),0)</f>
        <v>0</v>
      </c>
      <c r="AP984">
        <f>IF(ListOfExpenditure[[#This Row],[Numero di volte controllato il contract ]]&gt;0,0,ListOfExpenditure[[#This Row],[IF public procurment &gt;10000;1;0]])</f>
        <v>0</v>
      </c>
    </row>
    <row r="985" spans="1:42" x14ac:dyDescent="0.25">
      <c r="A985">
        <v>167</v>
      </c>
      <c r="B985">
        <v>10</v>
      </c>
      <c r="E985" t="s">
        <v>4786</v>
      </c>
      <c r="F985" t="b">
        <v>0</v>
      </c>
      <c r="I985" t="s">
        <v>5681</v>
      </c>
      <c r="K985" t="s">
        <v>4804</v>
      </c>
      <c r="L985" t="s">
        <v>4877</v>
      </c>
      <c r="M985" t="s">
        <v>4788</v>
      </c>
      <c r="N985" t="s">
        <v>4788</v>
      </c>
      <c r="O985">
        <v>2963.14</v>
      </c>
      <c r="Q985">
        <v>0</v>
      </c>
      <c r="R985">
        <v>0</v>
      </c>
      <c r="S985">
        <v>592.63</v>
      </c>
      <c r="T985" t="s">
        <v>4789</v>
      </c>
      <c r="U985">
        <v>1</v>
      </c>
      <c r="V985">
        <v>592.63</v>
      </c>
      <c r="W985" t="s">
        <v>4343</v>
      </c>
      <c r="Y985" t="b">
        <v>1</v>
      </c>
      <c r="Z985" t="b">
        <v>0</v>
      </c>
      <c r="AA985">
        <v>592.63</v>
      </c>
      <c r="AB985">
        <v>0</v>
      </c>
      <c r="AD985" t="b">
        <v>0</v>
      </c>
      <c r="AG985" s="1" t="s">
        <v>57</v>
      </c>
      <c r="AH985" s="1" t="s">
        <v>42</v>
      </c>
      <c r="AI985">
        <v>316</v>
      </c>
      <c r="AJ985">
        <v>28</v>
      </c>
      <c r="AK985" s="106">
        <v>45475.635445775464</v>
      </c>
      <c r="AL985" s="1" t="s">
        <v>4790</v>
      </c>
      <c r="AM985" s="42">
        <f>IFERROR(INDEX('Public procurment'!A:R,MATCH(ListOfExpenditure[[#This Row],[Content.contractId]],'Public procurment'!E:E,0),14),0)</f>
        <v>0</v>
      </c>
      <c r="AN985" s="2">
        <f>IF(AND(ListOfExpenditure[[#This Row],[Contract amount]]&gt;10000,ListOfExpenditure[[#This Row],[Content.declaredAmount]]&gt;2000),1,0)</f>
        <v>0</v>
      </c>
      <c r="AO985">
        <f>IFERROR(INDEX('Public procurment'!A:S,MATCH(ListOfExpenditure[[#This Row],[Content.contractId]],'Public procurment'!E:E,0),19),0)</f>
        <v>0</v>
      </c>
      <c r="AP985">
        <f>IF(ListOfExpenditure[[#This Row],[Numero di volte controllato il contract ]]&gt;0,0,ListOfExpenditure[[#This Row],[IF public procurment &gt;10000;1;0]])</f>
        <v>0</v>
      </c>
    </row>
    <row r="986" spans="1:42" x14ac:dyDescent="0.25">
      <c r="A986">
        <v>168</v>
      </c>
      <c r="B986">
        <v>11</v>
      </c>
      <c r="E986" t="s">
        <v>4786</v>
      </c>
      <c r="F986" t="b">
        <v>0</v>
      </c>
      <c r="I986" t="s">
        <v>5681</v>
      </c>
      <c r="K986" t="s">
        <v>4804</v>
      </c>
      <c r="L986" t="s">
        <v>4877</v>
      </c>
      <c r="M986" t="s">
        <v>4788</v>
      </c>
      <c r="N986" t="s">
        <v>4788</v>
      </c>
      <c r="O986">
        <v>3301.46</v>
      </c>
      <c r="Q986">
        <v>0</v>
      </c>
      <c r="R986">
        <v>0</v>
      </c>
      <c r="S986">
        <v>330.15</v>
      </c>
      <c r="T986" t="s">
        <v>4789</v>
      </c>
      <c r="U986">
        <v>1</v>
      </c>
      <c r="V986">
        <v>330.15</v>
      </c>
      <c r="W986" t="s">
        <v>4343</v>
      </c>
      <c r="Y986" t="b">
        <v>1</v>
      </c>
      <c r="Z986" t="b">
        <v>0</v>
      </c>
      <c r="AA986">
        <v>307.33999999999997</v>
      </c>
      <c r="AB986">
        <v>22.81</v>
      </c>
      <c r="AC986">
        <v>14</v>
      </c>
      <c r="AD986" t="b">
        <v>0</v>
      </c>
      <c r="AF986" t="s">
        <v>5682</v>
      </c>
      <c r="AG986" s="1" t="s">
        <v>57</v>
      </c>
      <c r="AH986" s="1" t="s">
        <v>42</v>
      </c>
      <c r="AI986">
        <v>316</v>
      </c>
      <c r="AJ986">
        <v>28</v>
      </c>
      <c r="AK986" s="106">
        <v>45475.635445775464</v>
      </c>
      <c r="AL986" s="1" t="s">
        <v>4790</v>
      </c>
      <c r="AM986" s="42">
        <f>IFERROR(INDEX('Public procurment'!A:R,MATCH(ListOfExpenditure[[#This Row],[Content.contractId]],'Public procurment'!E:E,0),14),0)</f>
        <v>0</v>
      </c>
      <c r="AN986" s="2">
        <f>IF(AND(ListOfExpenditure[[#This Row],[Contract amount]]&gt;10000,ListOfExpenditure[[#This Row],[Content.declaredAmount]]&gt;2000),1,0)</f>
        <v>0</v>
      </c>
      <c r="AO986">
        <f>IFERROR(INDEX('Public procurment'!A:S,MATCH(ListOfExpenditure[[#This Row],[Content.contractId]],'Public procurment'!E:E,0),19),0)</f>
        <v>0</v>
      </c>
      <c r="AP986">
        <f>IF(ListOfExpenditure[[#This Row],[Numero di volte controllato il contract ]]&gt;0,0,ListOfExpenditure[[#This Row],[IF public procurment &gt;10000;1;0]])</f>
        <v>0</v>
      </c>
    </row>
    <row r="987" spans="1:42" x14ac:dyDescent="0.25">
      <c r="A987">
        <v>169</v>
      </c>
      <c r="B987">
        <v>12</v>
      </c>
      <c r="E987" t="s">
        <v>4786</v>
      </c>
      <c r="F987" t="b">
        <v>0</v>
      </c>
      <c r="I987" t="s">
        <v>5681</v>
      </c>
      <c r="K987" t="s">
        <v>4804</v>
      </c>
      <c r="L987" t="s">
        <v>4877</v>
      </c>
      <c r="M987" t="s">
        <v>4788</v>
      </c>
      <c r="N987" t="s">
        <v>4788</v>
      </c>
      <c r="O987">
        <v>4455.9399999999996</v>
      </c>
      <c r="Q987">
        <v>0</v>
      </c>
      <c r="R987">
        <v>0</v>
      </c>
      <c r="S987">
        <v>891.19</v>
      </c>
      <c r="T987" t="s">
        <v>4789</v>
      </c>
      <c r="U987">
        <v>1</v>
      </c>
      <c r="V987">
        <v>891.19</v>
      </c>
      <c r="W987" t="s">
        <v>4343</v>
      </c>
      <c r="Y987" t="b">
        <v>1</v>
      </c>
      <c r="Z987" t="b">
        <v>0</v>
      </c>
      <c r="AA987">
        <v>891.19</v>
      </c>
      <c r="AB987">
        <v>0</v>
      </c>
      <c r="AD987" t="b">
        <v>0</v>
      </c>
      <c r="AG987" s="1" t="s">
        <v>57</v>
      </c>
      <c r="AH987" s="1" t="s">
        <v>42</v>
      </c>
      <c r="AI987">
        <v>316</v>
      </c>
      <c r="AJ987">
        <v>28</v>
      </c>
      <c r="AK987" s="106">
        <v>45475.635445775464</v>
      </c>
      <c r="AL987" s="1" t="s">
        <v>4790</v>
      </c>
      <c r="AM987" s="42">
        <f>IFERROR(INDEX('Public procurment'!A:R,MATCH(ListOfExpenditure[[#This Row],[Content.contractId]],'Public procurment'!E:E,0),14),0)</f>
        <v>0</v>
      </c>
      <c r="AN987" s="2">
        <f>IF(AND(ListOfExpenditure[[#This Row],[Contract amount]]&gt;10000,ListOfExpenditure[[#This Row],[Content.declaredAmount]]&gt;2000),1,0)</f>
        <v>0</v>
      </c>
      <c r="AO987">
        <f>IFERROR(INDEX('Public procurment'!A:S,MATCH(ListOfExpenditure[[#This Row],[Content.contractId]],'Public procurment'!E:E,0),19),0)</f>
        <v>0</v>
      </c>
      <c r="AP987">
        <f>IF(ListOfExpenditure[[#This Row],[Numero di volte controllato il contract ]]&gt;0,0,ListOfExpenditure[[#This Row],[IF public procurment &gt;10000;1;0]])</f>
        <v>0</v>
      </c>
    </row>
    <row r="988" spans="1:42" x14ac:dyDescent="0.25">
      <c r="A988">
        <v>170</v>
      </c>
      <c r="B988">
        <v>13</v>
      </c>
      <c r="E988" t="s">
        <v>4786</v>
      </c>
      <c r="F988" t="b">
        <v>0</v>
      </c>
      <c r="I988" t="s">
        <v>5681</v>
      </c>
      <c r="K988" t="s">
        <v>4804</v>
      </c>
      <c r="L988" t="s">
        <v>4877</v>
      </c>
      <c r="M988" t="s">
        <v>4788</v>
      </c>
      <c r="N988" t="s">
        <v>4788</v>
      </c>
      <c r="O988">
        <v>2218.7399999999998</v>
      </c>
      <c r="Q988">
        <v>0</v>
      </c>
      <c r="R988">
        <v>0</v>
      </c>
      <c r="S988">
        <v>1775</v>
      </c>
      <c r="T988" t="s">
        <v>4789</v>
      </c>
      <c r="U988">
        <v>1</v>
      </c>
      <c r="V988">
        <v>1775</v>
      </c>
      <c r="W988" t="s">
        <v>4343</v>
      </c>
      <c r="Y988" t="b">
        <v>1</v>
      </c>
      <c r="Z988" t="b">
        <v>0</v>
      </c>
      <c r="AA988">
        <v>1775</v>
      </c>
      <c r="AB988">
        <v>0</v>
      </c>
      <c r="AD988" t="b">
        <v>0</v>
      </c>
      <c r="AG988" s="1" t="s">
        <v>57</v>
      </c>
      <c r="AH988" s="1" t="s">
        <v>42</v>
      </c>
      <c r="AI988">
        <v>316</v>
      </c>
      <c r="AJ988">
        <v>28</v>
      </c>
      <c r="AK988" s="106">
        <v>45475.635445775464</v>
      </c>
      <c r="AL988" s="1" t="s">
        <v>4790</v>
      </c>
      <c r="AM988" s="42">
        <f>IFERROR(INDEX('Public procurment'!A:R,MATCH(ListOfExpenditure[[#This Row],[Content.contractId]],'Public procurment'!E:E,0),14),0)</f>
        <v>0</v>
      </c>
      <c r="AN988" s="2">
        <f>IF(AND(ListOfExpenditure[[#This Row],[Contract amount]]&gt;10000,ListOfExpenditure[[#This Row],[Content.declaredAmount]]&gt;2000),1,0)</f>
        <v>0</v>
      </c>
      <c r="AO988">
        <f>IFERROR(INDEX('Public procurment'!A:S,MATCH(ListOfExpenditure[[#This Row],[Content.contractId]],'Public procurment'!E:E,0),19),0)</f>
        <v>0</v>
      </c>
      <c r="AP988">
        <f>IF(ListOfExpenditure[[#This Row],[Numero di volte controllato il contract ]]&gt;0,0,ListOfExpenditure[[#This Row],[IF public procurment &gt;10000;1;0]])</f>
        <v>0</v>
      </c>
    </row>
    <row r="989" spans="1:42" x14ac:dyDescent="0.25">
      <c r="A989">
        <v>172</v>
      </c>
      <c r="B989">
        <v>14</v>
      </c>
      <c r="E989" t="s">
        <v>4786</v>
      </c>
      <c r="F989" t="b">
        <v>0</v>
      </c>
      <c r="I989" t="s">
        <v>5683</v>
      </c>
      <c r="K989" t="s">
        <v>4806</v>
      </c>
      <c r="L989" t="s">
        <v>4807</v>
      </c>
      <c r="M989" t="s">
        <v>4788</v>
      </c>
      <c r="N989" t="s">
        <v>4788</v>
      </c>
      <c r="O989">
        <v>2826.85</v>
      </c>
      <c r="Q989">
        <v>0</v>
      </c>
      <c r="R989">
        <v>0</v>
      </c>
      <c r="S989">
        <v>565.37</v>
      </c>
      <c r="T989" t="s">
        <v>4789</v>
      </c>
      <c r="U989">
        <v>1</v>
      </c>
      <c r="V989">
        <v>565.37</v>
      </c>
      <c r="W989" t="s">
        <v>4343</v>
      </c>
      <c r="Y989" t="b">
        <v>1</v>
      </c>
      <c r="Z989" t="b">
        <v>0</v>
      </c>
      <c r="AA989">
        <v>565.37</v>
      </c>
      <c r="AB989">
        <v>0</v>
      </c>
      <c r="AD989" t="b">
        <v>0</v>
      </c>
      <c r="AG989" s="1" t="s">
        <v>57</v>
      </c>
      <c r="AH989" s="1" t="s">
        <v>42</v>
      </c>
      <c r="AI989">
        <v>316</v>
      </c>
      <c r="AJ989">
        <v>28</v>
      </c>
      <c r="AK989" s="106">
        <v>45475.635445775464</v>
      </c>
      <c r="AL989" s="1" t="s">
        <v>4790</v>
      </c>
      <c r="AM989" s="42">
        <f>IFERROR(INDEX('Public procurment'!A:R,MATCH(ListOfExpenditure[[#This Row],[Content.contractId]],'Public procurment'!E:E,0),14),0)</f>
        <v>0</v>
      </c>
      <c r="AN989" s="2">
        <f>IF(AND(ListOfExpenditure[[#This Row],[Contract amount]]&gt;10000,ListOfExpenditure[[#This Row],[Content.declaredAmount]]&gt;2000),1,0)</f>
        <v>0</v>
      </c>
      <c r="AO989">
        <f>IFERROR(INDEX('Public procurment'!A:S,MATCH(ListOfExpenditure[[#This Row],[Content.contractId]],'Public procurment'!E:E,0),19),0)</f>
        <v>0</v>
      </c>
      <c r="AP989">
        <f>IF(ListOfExpenditure[[#This Row],[Numero di volte controllato il contract ]]&gt;0,0,ListOfExpenditure[[#This Row],[IF public procurment &gt;10000;1;0]])</f>
        <v>0</v>
      </c>
    </row>
    <row r="990" spans="1:42" x14ac:dyDescent="0.25">
      <c r="A990">
        <v>173</v>
      </c>
      <c r="B990">
        <v>15</v>
      </c>
      <c r="E990" t="s">
        <v>4786</v>
      </c>
      <c r="F990" t="b">
        <v>0</v>
      </c>
      <c r="I990" t="s">
        <v>5683</v>
      </c>
      <c r="K990" t="s">
        <v>4806</v>
      </c>
      <c r="L990" t="s">
        <v>4807</v>
      </c>
      <c r="M990" t="s">
        <v>4788</v>
      </c>
      <c r="N990" t="s">
        <v>4788</v>
      </c>
      <c r="O990">
        <v>3007.37</v>
      </c>
      <c r="Q990">
        <v>0</v>
      </c>
      <c r="R990">
        <v>0</v>
      </c>
      <c r="S990">
        <v>300.74</v>
      </c>
      <c r="T990" t="s">
        <v>4789</v>
      </c>
      <c r="U990">
        <v>1</v>
      </c>
      <c r="V990">
        <v>300.74</v>
      </c>
      <c r="W990" t="s">
        <v>4343</v>
      </c>
      <c r="Y990" t="b">
        <v>1</v>
      </c>
      <c r="Z990" t="b">
        <v>0</v>
      </c>
      <c r="AA990">
        <v>277.93</v>
      </c>
      <c r="AB990">
        <v>22.81</v>
      </c>
      <c r="AC990">
        <v>14</v>
      </c>
      <c r="AD990" t="b">
        <v>0</v>
      </c>
      <c r="AF990" t="s">
        <v>5682</v>
      </c>
      <c r="AG990" s="1" t="s">
        <v>57</v>
      </c>
      <c r="AH990" s="1" t="s">
        <v>42</v>
      </c>
      <c r="AI990">
        <v>316</v>
      </c>
      <c r="AJ990">
        <v>28</v>
      </c>
      <c r="AK990" s="106">
        <v>45475.635445775464</v>
      </c>
      <c r="AL990" s="1" t="s">
        <v>4790</v>
      </c>
      <c r="AM990" s="42">
        <f>IFERROR(INDEX('Public procurment'!A:R,MATCH(ListOfExpenditure[[#This Row],[Content.contractId]],'Public procurment'!E:E,0),14),0)</f>
        <v>0</v>
      </c>
      <c r="AN990" s="2">
        <f>IF(AND(ListOfExpenditure[[#This Row],[Contract amount]]&gt;10000,ListOfExpenditure[[#This Row],[Content.declaredAmount]]&gt;2000),1,0)</f>
        <v>0</v>
      </c>
      <c r="AO990">
        <f>IFERROR(INDEX('Public procurment'!A:S,MATCH(ListOfExpenditure[[#This Row],[Content.contractId]],'Public procurment'!E:E,0),19),0)</f>
        <v>0</v>
      </c>
      <c r="AP990">
        <f>IF(ListOfExpenditure[[#This Row],[Numero di volte controllato il contract ]]&gt;0,0,ListOfExpenditure[[#This Row],[IF public procurment &gt;10000;1;0]])</f>
        <v>0</v>
      </c>
    </row>
    <row r="991" spans="1:42" x14ac:dyDescent="0.25">
      <c r="A991">
        <v>174</v>
      </c>
      <c r="B991">
        <v>16</v>
      </c>
      <c r="E991" t="s">
        <v>4786</v>
      </c>
      <c r="F991" t="b">
        <v>0</v>
      </c>
      <c r="I991" t="s">
        <v>5683</v>
      </c>
      <c r="K991" t="s">
        <v>4806</v>
      </c>
      <c r="L991" t="s">
        <v>4807</v>
      </c>
      <c r="M991" t="s">
        <v>4788</v>
      </c>
      <c r="N991" t="s">
        <v>4788</v>
      </c>
      <c r="O991">
        <v>4491.54</v>
      </c>
      <c r="Q991">
        <v>0</v>
      </c>
      <c r="R991">
        <v>0</v>
      </c>
      <c r="S991">
        <v>898.31</v>
      </c>
      <c r="T991" t="s">
        <v>4789</v>
      </c>
      <c r="U991">
        <v>1</v>
      </c>
      <c r="V991">
        <v>898.31</v>
      </c>
      <c r="W991" t="s">
        <v>4343</v>
      </c>
      <c r="Y991" t="b">
        <v>1</v>
      </c>
      <c r="Z991" t="b">
        <v>0</v>
      </c>
      <c r="AA991">
        <v>898.31</v>
      </c>
      <c r="AB991">
        <v>0</v>
      </c>
      <c r="AD991" t="b">
        <v>0</v>
      </c>
      <c r="AG991" s="1" t="s">
        <v>57</v>
      </c>
      <c r="AH991" s="1" t="s">
        <v>42</v>
      </c>
      <c r="AI991">
        <v>316</v>
      </c>
      <c r="AJ991">
        <v>28</v>
      </c>
      <c r="AK991" s="106">
        <v>45475.635445775464</v>
      </c>
      <c r="AL991" s="1" t="s">
        <v>4790</v>
      </c>
      <c r="AM991" s="42">
        <f>IFERROR(INDEX('Public procurment'!A:R,MATCH(ListOfExpenditure[[#This Row],[Content.contractId]],'Public procurment'!E:E,0),14),0)</f>
        <v>0</v>
      </c>
      <c r="AN991" s="2">
        <f>IF(AND(ListOfExpenditure[[#This Row],[Contract amount]]&gt;10000,ListOfExpenditure[[#This Row],[Content.declaredAmount]]&gt;2000),1,0)</f>
        <v>0</v>
      </c>
      <c r="AO991">
        <f>IFERROR(INDEX('Public procurment'!A:S,MATCH(ListOfExpenditure[[#This Row],[Content.contractId]],'Public procurment'!E:E,0),19),0)</f>
        <v>0</v>
      </c>
      <c r="AP991">
        <f>IF(ListOfExpenditure[[#This Row],[Numero di volte controllato il contract ]]&gt;0,0,ListOfExpenditure[[#This Row],[IF public procurment &gt;10000;1;0]])</f>
        <v>0</v>
      </c>
    </row>
    <row r="992" spans="1:42" x14ac:dyDescent="0.25">
      <c r="A992">
        <v>175</v>
      </c>
      <c r="B992">
        <v>17</v>
      </c>
      <c r="E992" t="s">
        <v>4786</v>
      </c>
      <c r="F992" t="b">
        <v>0</v>
      </c>
      <c r="I992" t="s">
        <v>5683</v>
      </c>
      <c r="K992" t="s">
        <v>4806</v>
      </c>
      <c r="L992" t="s">
        <v>4807</v>
      </c>
      <c r="M992" t="s">
        <v>4788</v>
      </c>
      <c r="N992" t="s">
        <v>4788</v>
      </c>
      <c r="O992">
        <v>2372.73</v>
      </c>
      <c r="Q992">
        <v>0</v>
      </c>
      <c r="R992">
        <v>0</v>
      </c>
      <c r="S992">
        <v>1898.18</v>
      </c>
      <c r="T992" t="s">
        <v>4789</v>
      </c>
      <c r="U992">
        <v>1</v>
      </c>
      <c r="V992">
        <v>1898.18</v>
      </c>
      <c r="W992" t="s">
        <v>4343</v>
      </c>
      <c r="Y992" t="b">
        <v>1</v>
      </c>
      <c r="Z992" t="b">
        <v>0</v>
      </c>
      <c r="AA992">
        <v>1898.18</v>
      </c>
      <c r="AB992">
        <v>0</v>
      </c>
      <c r="AD992" t="b">
        <v>0</v>
      </c>
      <c r="AG992" s="1" t="s">
        <v>57</v>
      </c>
      <c r="AH992" s="1" t="s">
        <v>42</v>
      </c>
      <c r="AI992">
        <v>316</v>
      </c>
      <c r="AJ992">
        <v>28</v>
      </c>
      <c r="AK992" s="106">
        <v>45475.635445775464</v>
      </c>
      <c r="AL992" s="1" t="s">
        <v>4790</v>
      </c>
      <c r="AM992" s="42">
        <f>IFERROR(INDEX('Public procurment'!A:R,MATCH(ListOfExpenditure[[#This Row],[Content.contractId]],'Public procurment'!E:E,0),14),0)</f>
        <v>0</v>
      </c>
      <c r="AN992" s="2">
        <f>IF(AND(ListOfExpenditure[[#This Row],[Contract amount]]&gt;10000,ListOfExpenditure[[#This Row],[Content.declaredAmount]]&gt;2000),1,0)</f>
        <v>0</v>
      </c>
      <c r="AO992">
        <f>IFERROR(INDEX('Public procurment'!A:S,MATCH(ListOfExpenditure[[#This Row],[Content.contractId]],'Public procurment'!E:E,0),19),0)</f>
        <v>0</v>
      </c>
      <c r="AP992">
        <f>IF(ListOfExpenditure[[#This Row],[Numero di volte controllato il contract ]]&gt;0,0,ListOfExpenditure[[#This Row],[IF public procurment &gt;10000;1;0]])</f>
        <v>0</v>
      </c>
    </row>
    <row r="993" spans="1:42" x14ac:dyDescent="0.25">
      <c r="A993">
        <v>523</v>
      </c>
      <c r="B993">
        <v>18</v>
      </c>
      <c r="E993" t="s">
        <v>4850</v>
      </c>
      <c r="F993" t="b">
        <v>0</v>
      </c>
      <c r="H993">
        <v>11</v>
      </c>
      <c r="I993" t="s">
        <v>5684</v>
      </c>
      <c r="J993" t="s">
        <v>5685</v>
      </c>
      <c r="K993" t="s">
        <v>5432</v>
      </c>
      <c r="L993" t="s">
        <v>4797</v>
      </c>
      <c r="M993" t="s">
        <v>4788</v>
      </c>
      <c r="N993" t="s">
        <v>4788</v>
      </c>
      <c r="O993">
        <v>112850</v>
      </c>
      <c r="P993">
        <v>20350</v>
      </c>
      <c r="Q993">
        <v>0</v>
      </c>
      <c r="R993">
        <v>0</v>
      </c>
      <c r="S993">
        <v>112850</v>
      </c>
      <c r="T993" t="s">
        <v>4789</v>
      </c>
      <c r="U993">
        <v>1</v>
      </c>
      <c r="V993">
        <v>112850</v>
      </c>
      <c r="W993" t="s">
        <v>4343</v>
      </c>
      <c r="Y993" t="b">
        <v>1</v>
      </c>
      <c r="Z993" t="b">
        <v>0</v>
      </c>
      <c r="AA993">
        <v>112850</v>
      </c>
      <c r="AB993">
        <v>0</v>
      </c>
      <c r="AD993" t="b">
        <v>0</v>
      </c>
      <c r="AG993" s="1" t="s">
        <v>57</v>
      </c>
      <c r="AH993" s="1" t="s">
        <v>42</v>
      </c>
      <c r="AI993">
        <v>316</v>
      </c>
      <c r="AJ993">
        <v>28</v>
      </c>
      <c r="AK993" s="106">
        <v>45475.635445775464</v>
      </c>
      <c r="AL993" s="1" t="s">
        <v>4790</v>
      </c>
      <c r="AM993" s="42">
        <f>IFERROR(INDEX('Public procurment'!A:R,MATCH(ListOfExpenditure[[#This Row],[Content.contractId]],'Public procurment'!E:E,0),14),0)</f>
        <v>112850</v>
      </c>
      <c r="AN993" s="2">
        <f>IF(AND(ListOfExpenditure[[#This Row],[Contract amount]]&gt;10000,ListOfExpenditure[[#This Row],[Content.declaredAmount]]&gt;2000),1,0)</f>
        <v>1</v>
      </c>
      <c r="AO993">
        <f>IFERROR(INDEX('Public procurment'!A:S,MATCH(ListOfExpenditure[[#This Row],[Content.contractId]],'Public procurment'!E:E,0),19),0)</f>
        <v>1</v>
      </c>
      <c r="AP993">
        <f>IF(ListOfExpenditure[[#This Row],[Numero di volte controllato il contract ]]&gt;0,0,ListOfExpenditure[[#This Row],[IF public procurment &gt;10000;1;0]])</f>
        <v>0</v>
      </c>
    </row>
    <row r="994" spans="1:42" x14ac:dyDescent="0.25">
      <c r="A994">
        <v>1274</v>
      </c>
      <c r="B994">
        <v>1</v>
      </c>
      <c r="E994" t="s">
        <v>4786</v>
      </c>
      <c r="F994" t="b">
        <v>0</v>
      </c>
      <c r="I994" t="s">
        <v>5848</v>
      </c>
      <c r="K994" t="s">
        <v>4342</v>
      </c>
      <c r="L994" t="s">
        <v>4831</v>
      </c>
      <c r="M994" t="s">
        <v>4788</v>
      </c>
      <c r="N994" t="s">
        <v>4788</v>
      </c>
      <c r="O994">
        <v>3135.49</v>
      </c>
      <c r="Q994">
        <v>0</v>
      </c>
      <c r="R994">
        <v>0</v>
      </c>
      <c r="S994">
        <v>627.1</v>
      </c>
      <c r="T994" t="s">
        <v>4789</v>
      </c>
      <c r="U994">
        <v>1</v>
      </c>
      <c r="V994">
        <v>627.1</v>
      </c>
      <c r="W994" t="s">
        <v>4343</v>
      </c>
      <c r="Y994" t="b">
        <v>1</v>
      </c>
      <c r="Z994" t="b">
        <v>0</v>
      </c>
      <c r="AA994">
        <v>627.1</v>
      </c>
      <c r="AB994">
        <v>0</v>
      </c>
      <c r="AD994" t="b">
        <v>0</v>
      </c>
      <c r="AG994" s="1" t="s">
        <v>57</v>
      </c>
      <c r="AH994" s="1" t="s">
        <v>42</v>
      </c>
      <c r="AI994">
        <v>316</v>
      </c>
      <c r="AJ994">
        <v>283</v>
      </c>
      <c r="AK994" s="106">
        <v>45475.635531793981</v>
      </c>
      <c r="AL994" s="1" t="s">
        <v>4790</v>
      </c>
      <c r="AM994" s="42">
        <f>IFERROR(INDEX('Public procurment'!A:R,MATCH(ListOfExpenditure[[#This Row],[Content.contractId]],'Public procurment'!E:E,0),14),0)</f>
        <v>0</v>
      </c>
      <c r="AN994" s="2">
        <f>IF(AND(ListOfExpenditure[[#This Row],[Contract amount]]&gt;10000,ListOfExpenditure[[#This Row],[Content.declaredAmount]]&gt;2000),1,0)</f>
        <v>0</v>
      </c>
      <c r="AO994">
        <f>IFERROR(INDEX('Public procurment'!A:S,MATCH(ListOfExpenditure[[#This Row],[Content.contractId]],'Public procurment'!E:E,0),19),0)</f>
        <v>0</v>
      </c>
      <c r="AP994">
        <f>IF(ListOfExpenditure[[#This Row],[Numero di volte controllato il contract ]]&gt;0,0,ListOfExpenditure[[#This Row],[IF public procurment &gt;10000;1;0]])</f>
        <v>0</v>
      </c>
    </row>
    <row r="995" spans="1:42" x14ac:dyDescent="0.25">
      <c r="A995">
        <v>1275</v>
      </c>
      <c r="B995">
        <v>2</v>
      </c>
      <c r="E995" t="s">
        <v>4786</v>
      </c>
      <c r="F995" t="b">
        <v>0</v>
      </c>
      <c r="I995" t="s">
        <v>5848</v>
      </c>
      <c r="K995" t="s">
        <v>4342</v>
      </c>
      <c r="L995" t="s">
        <v>4831</v>
      </c>
      <c r="M995" t="s">
        <v>4788</v>
      </c>
      <c r="N995" t="s">
        <v>4788</v>
      </c>
      <c r="O995">
        <v>3176.04</v>
      </c>
      <c r="Q995">
        <v>0</v>
      </c>
      <c r="R995">
        <v>0</v>
      </c>
      <c r="S995">
        <v>317.60000000000002</v>
      </c>
      <c r="T995" t="s">
        <v>4789</v>
      </c>
      <c r="U995">
        <v>1</v>
      </c>
      <c r="V995">
        <v>317.60000000000002</v>
      </c>
      <c r="W995" t="s">
        <v>4343</v>
      </c>
      <c r="Y995" t="b">
        <v>1</v>
      </c>
      <c r="Z995" t="b">
        <v>0</v>
      </c>
      <c r="AA995">
        <v>317.60000000000002</v>
      </c>
      <c r="AB995">
        <v>0</v>
      </c>
      <c r="AD995" t="b">
        <v>0</v>
      </c>
      <c r="AG995" s="1" t="s">
        <v>57</v>
      </c>
      <c r="AH995" s="1" t="s">
        <v>42</v>
      </c>
      <c r="AI995">
        <v>316</v>
      </c>
      <c r="AJ995">
        <v>283</v>
      </c>
      <c r="AK995" s="106">
        <v>45475.635531793981</v>
      </c>
      <c r="AL995" s="1" t="s">
        <v>4790</v>
      </c>
      <c r="AM995" s="42">
        <f>IFERROR(INDEX('Public procurment'!A:R,MATCH(ListOfExpenditure[[#This Row],[Content.contractId]],'Public procurment'!E:E,0),14),0)</f>
        <v>0</v>
      </c>
      <c r="AN995" s="2">
        <f>IF(AND(ListOfExpenditure[[#This Row],[Contract amount]]&gt;10000,ListOfExpenditure[[#This Row],[Content.declaredAmount]]&gt;2000),1,0)</f>
        <v>0</v>
      </c>
      <c r="AO995">
        <f>IFERROR(INDEX('Public procurment'!A:S,MATCH(ListOfExpenditure[[#This Row],[Content.contractId]],'Public procurment'!E:E,0),19),0)</f>
        <v>0</v>
      </c>
      <c r="AP995">
        <f>IF(ListOfExpenditure[[#This Row],[Numero di volte controllato il contract ]]&gt;0,0,ListOfExpenditure[[#This Row],[IF public procurment &gt;10000;1;0]])</f>
        <v>0</v>
      </c>
    </row>
    <row r="996" spans="1:42" x14ac:dyDescent="0.25">
      <c r="A996">
        <v>1276</v>
      </c>
      <c r="B996">
        <v>3</v>
      </c>
      <c r="E996" t="s">
        <v>4786</v>
      </c>
      <c r="F996" t="b">
        <v>0</v>
      </c>
      <c r="I996" t="s">
        <v>5848</v>
      </c>
      <c r="K996" t="s">
        <v>4342</v>
      </c>
      <c r="L996" t="s">
        <v>4831</v>
      </c>
      <c r="M996" t="s">
        <v>4788</v>
      </c>
      <c r="N996" t="s">
        <v>4788</v>
      </c>
      <c r="O996">
        <v>4606.7700000000004</v>
      </c>
      <c r="Q996">
        <v>0</v>
      </c>
      <c r="R996">
        <v>0</v>
      </c>
      <c r="S996">
        <v>921.35</v>
      </c>
      <c r="T996" t="s">
        <v>4789</v>
      </c>
      <c r="U996">
        <v>1</v>
      </c>
      <c r="V996">
        <v>921.35</v>
      </c>
      <c r="W996" t="s">
        <v>4343</v>
      </c>
      <c r="Y996" t="b">
        <v>1</v>
      </c>
      <c r="Z996" t="b">
        <v>0</v>
      </c>
      <c r="AA996">
        <v>921.35</v>
      </c>
      <c r="AB996">
        <v>0</v>
      </c>
      <c r="AD996" t="b">
        <v>0</v>
      </c>
      <c r="AG996" s="1" t="s">
        <v>57</v>
      </c>
      <c r="AH996" s="1" t="s">
        <v>42</v>
      </c>
      <c r="AI996">
        <v>316</v>
      </c>
      <c r="AJ996">
        <v>283</v>
      </c>
      <c r="AK996" s="106">
        <v>45475.635531793981</v>
      </c>
      <c r="AL996" s="1" t="s">
        <v>4790</v>
      </c>
      <c r="AM996" s="42">
        <f>IFERROR(INDEX('Public procurment'!A:R,MATCH(ListOfExpenditure[[#This Row],[Content.contractId]],'Public procurment'!E:E,0),14),0)</f>
        <v>0</v>
      </c>
      <c r="AN996" s="2">
        <f>IF(AND(ListOfExpenditure[[#This Row],[Contract amount]]&gt;10000,ListOfExpenditure[[#This Row],[Content.declaredAmount]]&gt;2000),1,0)</f>
        <v>0</v>
      </c>
      <c r="AO996">
        <f>IFERROR(INDEX('Public procurment'!A:S,MATCH(ListOfExpenditure[[#This Row],[Content.contractId]],'Public procurment'!E:E,0),19),0)</f>
        <v>0</v>
      </c>
      <c r="AP996">
        <f>IF(ListOfExpenditure[[#This Row],[Numero di volte controllato il contract ]]&gt;0,0,ListOfExpenditure[[#This Row],[IF public procurment &gt;10000;1;0]])</f>
        <v>0</v>
      </c>
    </row>
    <row r="997" spans="1:42" x14ac:dyDescent="0.25">
      <c r="A997">
        <v>1277</v>
      </c>
      <c r="B997">
        <v>4</v>
      </c>
      <c r="E997" t="s">
        <v>4786</v>
      </c>
      <c r="F997" t="b">
        <v>0</v>
      </c>
      <c r="I997" t="s">
        <v>5848</v>
      </c>
      <c r="K997" t="s">
        <v>4342</v>
      </c>
      <c r="L997" t="s">
        <v>4831</v>
      </c>
      <c r="M997" t="s">
        <v>4788</v>
      </c>
      <c r="N997" t="s">
        <v>4788</v>
      </c>
      <c r="O997">
        <v>2551.21</v>
      </c>
      <c r="Q997">
        <v>0</v>
      </c>
      <c r="R997">
        <v>0</v>
      </c>
      <c r="S997">
        <v>2040.97</v>
      </c>
      <c r="T997" t="s">
        <v>4789</v>
      </c>
      <c r="U997">
        <v>1</v>
      </c>
      <c r="V997">
        <v>2040.97</v>
      </c>
      <c r="W997" t="s">
        <v>4343</v>
      </c>
      <c r="Y997" t="b">
        <v>1</v>
      </c>
      <c r="Z997" t="b">
        <v>0</v>
      </c>
      <c r="AA997">
        <v>2040.97</v>
      </c>
      <c r="AB997">
        <v>0</v>
      </c>
      <c r="AD997" t="b">
        <v>0</v>
      </c>
      <c r="AG997" s="1" t="s">
        <v>57</v>
      </c>
      <c r="AH997" s="1" t="s">
        <v>42</v>
      </c>
      <c r="AI997">
        <v>316</v>
      </c>
      <c r="AJ997">
        <v>283</v>
      </c>
      <c r="AK997" s="106">
        <v>45475.635531793981</v>
      </c>
      <c r="AL997" s="1" t="s">
        <v>4790</v>
      </c>
      <c r="AM997" s="42">
        <f>IFERROR(INDEX('Public procurment'!A:R,MATCH(ListOfExpenditure[[#This Row],[Content.contractId]],'Public procurment'!E:E,0),14),0)</f>
        <v>0</v>
      </c>
      <c r="AN997" s="2">
        <f>IF(AND(ListOfExpenditure[[#This Row],[Contract amount]]&gt;10000,ListOfExpenditure[[#This Row],[Content.declaredAmount]]&gt;2000),1,0)</f>
        <v>0</v>
      </c>
      <c r="AO997">
        <f>IFERROR(INDEX('Public procurment'!A:S,MATCH(ListOfExpenditure[[#This Row],[Content.contractId]],'Public procurment'!E:E,0),19),0)</f>
        <v>0</v>
      </c>
      <c r="AP997">
        <f>IF(ListOfExpenditure[[#This Row],[Numero di volte controllato il contract ]]&gt;0,0,ListOfExpenditure[[#This Row],[IF public procurment &gt;10000;1;0]])</f>
        <v>0</v>
      </c>
    </row>
    <row r="998" spans="1:42" x14ac:dyDescent="0.25">
      <c r="A998">
        <v>1278</v>
      </c>
      <c r="B998">
        <v>5</v>
      </c>
      <c r="E998" t="s">
        <v>4786</v>
      </c>
      <c r="F998" t="b">
        <v>0</v>
      </c>
      <c r="I998" t="s">
        <v>5849</v>
      </c>
      <c r="K998" t="s">
        <v>4359</v>
      </c>
      <c r="L998" t="s">
        <v>4957</v>
      </c>
      <c r="M998" t="s">
        <v>4788</v>
      </c>
      <c r="N998" t="s">
        <v>4788</v>
      </c>
      <c r="O998">
        <v>2955.25</v>
      </c>
      <c r="Q998">
        <v>0</v>
      </c>
      <c r="R998">
        <v>0</v>
      </c>
      <c r="S998">
        <v>591.04999999999995</v>
      </c>
      <c r="T998" t="s">
        <v>4789</v>
      </c>
      <c r="U998">
        <v>1</v>
      </c>
      <c r="V998">
        <v>591.04999999999995</v>
      </c>
      <c r="W998" t="s">
        <v>4343</v>
      </c>
      <c r="Y998" t="b">
        <v>1</v>
      </c>
      <c r="Z998" t="b">
        <v>0</v>
      </c>
      <c r="AA998">
        <v>591.04999999999995</v>
      </c>
      <c r="AB998">
        <v>0</v>
      </c>
      <c r="AD998" t="b">
        <v>0</v>
      </c>
      <c r="AG998" s="1" t="s">
        <v>57</v>
      </c>
      <c r="AH998" s="1" t="s">
        <v>42</v>
      </c>
      <c r="AI998">
        <v>316</v>
      </c>
      <c r="AJ998">
        <v>283</v>
      </c>
      <c r="AK998" s="106">
        <v>45475.635531793981</v>
      </c>
      <c r="AL998" s="1" t="s">
        <v>4790</v>
      </c>
      <c r="AM998" s="42">
        <f>IFERROR(INDEX('Public procurment'!A:R,MATCH(ListOfExpenditure[[#This Row],[Content.contractId]],'Public procurment'!E:E,0),14),0)</f>
        <v>0</v>
      </c>
      <c r="AN998" s="2">
        <f>IF(AND(ListOfExpenditure[[#This Row],[Contract amount]]&gt;10000,ListOfExpenditure[[#This Row],[Content.declaredAmount]]&gt;2000),1,0)</f>
        <v>0</v>
      </c>
      <c r="AO998">
        <f>IFERROR(INDEX('Public procurment'!A:S,MATCH(ListOfExpenditure[[#This Row],[Content.contractId]],'Public procurment'!E:E,0),19),0)</f>
        <v>0</v>
      </c>
      <c r="AP998">
        <f>IF(ListOfExpenditure[[#This Row],[Numero di volte controllato il contract ]]&gt;0,0,ListOfExpenditure[[#This Row],[IF public procurment &gt;10000;1;0]])</f>
        <v>0</v>
      </c>
    </row>
    <row r="999" spans="1:42" x14ac:dyDescent="0.25">
      <c r="A999">
        <v>1279</v>
      </c>
      <c r="B999">
        <v>6</v>
      </c>
      <c r="E999" t="s">
        <v>4786</v>
      </c>
      <c r="F999" t="b">
        <v>0</v>
      </c>
      <c r="I999" t="s">
        <v>5849</v>
      </c>
      <c r="K999" t="s">
        <v>4359</v>
      </c>
      <c r="L999" t="s">
        <v>4957</v>
      </c>
      <c r="M999" t="s">
        <v>4788</v>
      </c>
      <c r="N999" t="s">
        <v>4788</v>
      </c>
      <c r="O999">
        <v>3083</v>
      </c>
      <c r="Q999">
        <v>0</v>
      </c>
      <c r="R999">
        <v>0</v>
      </c>
      <c r="S999">
        <v>308.3</v>
      </c>
      <c r="T999" t="s">
        <v>4789</v>
      </c>
      <c r="U999">
        <v>1</v>
      </c>
      <c r="V999">
        <v>308.3</v>
      </c>
      <c r="W999" t="s">
        <v>4343</v>
      </c>
      <c r="Y999" t="b">
        <v>1</v>
      </c>
      <c r="Z999" t="b">
        <v>0</v>
      </c>
      <c r="AA999">
        <v>308.3</v>
      </c>
      <c r="AB999">
        <v>0</v>
      </c>
      <c r="AD999" t="b">
        <v>0</v>
      </c>
      <c r="AG999" s="1" t="s">
        <v>57</v>
      </c>
      <c r="AH999" s="1" t="s">
        <v>42</v>
      </c>
      <c r="AI999">
        <v>316</v>
      </c>
      <c r="AJ999">
        <v>283</v>
      </c>
      <c r="AK999" s="106">
        <v>45475.635531793981</v>
      </c>
      <c r="AL999" s="1" t="s">
        <v>4790</v>
      </c>
      <c r="AM999" s="42">
        <f>IFERROR(INDEX('Public procurment'!A:R,MATCH(ListOfExpenditure[[#This Row],[Content.contractId]],'Public procurment'!E:E,0),14),0)</f>
        <v>0</v>
      </c>
      <c r="AN999" s="2">
        <f>IF(AND(ListOfExpenditure[[#This Row],[Contract amount]]&gt;10000,ListOfExpenditure[[#This Row],[Content.declaredAmount]]&gt;2000),1,0)</f>
        <v>0</v>
      </c>
      <c r="AO999">
        <f>IFERROR(INDEX('Public procurment'!A:S,MATCH(ListOfExpenditure[[#This Row],[Content.contractId]],'Public procurment'!E:E,0),19),0)</f>
        <v>0</v>
      </c>
      <c r="AP999">
        <f>IF(ListOfExpenditure[[#This Row],[Numero di volte controllato il contract ]]&gt;0,0,ListOfExpenditure[[#This Row],[IF public procurment &gt;10000;1;0]])</f>
        <v>0</v>
      </c>
    </row>
    <row r="1000" spans="1:42" x14ac:dyDescent="0.25">
      <c r="A1000">
        <v>1280</v>
      </c>
      <c r="B1000">
        <v>7</v>
      </c>
      <c r="E1000" t="s">
        <v>4786</v>
      </c>
      <c r="F1000" t="b">
        <v>0</v>
      </c>
      <c r="I1000" t="s">
        <v>5849</v>
      </c>
      <c r="K1000" t="s">
        <v>4359</v>
      </c>
      <c r="L1000" t="s">
        <v>4957</v>
      </c>
      <c r="M1000" t="s">
        <v>4788</v>
      </c>
      <c r="N1000" t="s">
        <v>4788</v>
      </c>
      <c r="O1000">
        <v>4489.08</v>
      </c>
      <c r="Q1000">
        <v>0</v>
      </c>
      <c r="R1000">
        <v>0</v>
      </c>
      <c r="S1000">
        <v>897.82</v>
      </c>
      <c r="T1000" t="s">
        <v>4789</v>
      </c>
      <c r="U1000">
        <v>1</v>
      </c>
      <c r="V1000">
        <v>897.82</v>
      </c>
      <c r="W1000" t="s">
        <v>4343</v>
      </c>
      <c r="Y1000" t="b">
        <v>1</v>
      </c>
      <c r="Z1000" t="b">
        <v>0</v>
      </c>
      <c r="AA1000">
        <v>897.82</v>
      </c>
      <c r="AB1000">
        <v>0</v>
      </c>
      <c r="AD1000" t="b">
        <v>0</v>
      </c>
      <c r="AG1000" s="1" t="s">
        <v>57</v>
      </c>
      <c r="AH1000" s="1" t="s">
        <v>42</v>
      </c>
      <c r="AI1000">
        <v>316</v>
      </c>
      <c r="AJ1000">
        <v>283</v>
      </c>
      <c r="AK1000" s="106">
        <v>45475.635531793981</v>
      </c>
      <c r="AL1000" s="1" t="s">
        <v>4790</v>
      </c>
      <c r="AM1000" s="42">
        <f>IFERROR(INDEX('Public procurment'!A:R,MATCH(ListOfExpenditure[[#This Row],[Content.contractId]],'Public procurment'!E:E,0),14),0)</f>
        <v>0</v>
      </c>
      <c r="AN1000" s="2">
        <f>IF(AND(ListOfExpenditure[[#This Row],[Contract amount]]&gt;10000,ListOfExpenditure[[#This Row],[Content.declaredAmount]]&gt;2000),1,0)</f>
        <v>0</v>
      </c>
      <c r="AO1000">
        <f>IFERROR(INDEX('Public procurment'!A:S,MATCH(ListOfExpenditure[[#This Row],[Content.contractId]],'Public procurment'!E:E,0),19),0)</f>
        <v>0</v>
      </c>
      <c r="AP1000">
        <f>IF(ListOfExpenditure[[#This Row],[Numero di volte controllato il contract ]]&gt;0,0,ListOfExpenditure[[#This Row],[IF public procurment &gt;10000;1;0]])</f>
        <v>0</v>
      </c>
    </row>
    <row r="1001" spans="1:42" x14ac:dyDescent="0.25">
      <c r="A1001">
        <v>1281</v>
      </c>
      <c r="B1001">
        <v>8</v>
      </c>
      <c r="E1001" t="s">
        <v>4786</v>
      </c>
      <c r="F1001" t="b">
        <v>0</v>
      </c>
      <c r="I1001" t="s">
        <v>5849</v>
      </c>
      <c r="K1001" t="s">
        <v>4359</v>
      </c>
      <c r="L1001" t="s">
        <v>4957</v>
      </c>
      <c r="M1001" t="s">
        <v>4788</v>
      </c>
      <c r="N1001" t="s">
        <v>4788</v>
      </c>
      <c r="O1001">
        <v>2335.62</v>
      </c>
      <c r="Q1001">
        <v>0</v>
      </c>
      <c r="R1001">
        <v>0</v>
      </c>
      <c r="S1001">
        <v>1868.5</v>
      </c>
      <c r="T1001" t="s">
        <v>4789</v>
      </c>
      <c r="U1001">
        <v>1</v>
      </c>
      <c r="V1001">
        <v>1868.5</v>
      </c>
      <c r="W1001" t="s">
        <v>4343</v>
      </c>
      <c r="Y1001" t="b">
        <v>1</v>
      </c>
      <c r="Z1001" t="b">
        <v>0</v>
      </c>
      <c r="AA1001">
        <v>1868.5</v>
      </c>
      <c r="AB1001">
        <v>0</v>
      </c>
      <c r="AD1001" t="b">
        <v>0</v>
      </c>
      <c r="AG1001" s="1" t="s">
        <v>57</v>
      </c>
      <c r="AH1001" s="1" t="s">
        <v>42</v>
      </c>
      <c r="AI1001">
        <v>316</v>
      </c>
      <c r="AJ1001">
        <v>283</v>
      </c>
      <c r="AK1001" s="106">
        <v>45475.635531793981</v>
      </c>
      <c r="AL1001" s="1" t="s">
        <v>4790</v>
      </c>
      <c r="AM1001" s="42">
        <f>IFERROR(INDEX('Public procurment'!A:R,MATCH(ListOfExpenditure[[#This Row],[Content.contractId]],'Public procurment'!E:E,0),14),0)</f>
        <v>0</v>
      </c>
      <c r="AN1001" s="2">
        <f>IF(AND(ListOfExpenditure[[#This Row],[Contract amount]]&gt;10000,ListOfExpenditure[[#This Row],[Content.declaredAmount]]&gt;2000),1,0)</f>
        <v>0</v>
      </c>
      <c r="AO1001">
        <f>IFERROR(INDEX('Public procurment'!A:S,MATCH(ListOfExpenditure[[#This Row],[Content.contractId]],'Public procurment'!E:E,0),19),0)</f>
        <v>0</v>
      </c>
      <c r="AP1001">
        <f>IF(ListOfExpenditure[[#This Row],[Numero di volte controllato il contract ]]&gt;0,0,ListOfExpenditure[[#This Row],[IF public procurment &gt;10000;1;0]])</f>
        <v>0</v>
      </c>
    </row>
    <row r="1002" spans="1:42" x14ac:dyDescent="0.25">
      <c r="A1002">
        <v>1282</v>
      </c>
      <c r="B1002">
        <v>9</v>
      </c>
      <c r="E1002" t="s">
        <v>4786</v>
      </c>
      <c r="F1002" t="b">
        <v>0</v>
      </c>
      <c r="I1002" t="s">
        <v>5850</v>
      </c>
      <c r="K1002" t="s">
        <v>4931</v>
      </c>
      <c r="L1002" t="s">
        <v>4958</v>
      </c>
      <c r="M1002" t="s">
        <v>4788</v>
      </c>
      <c r="N1002" t="s">
        <v>4788</v>
      </c>
      <c r="O1002">
        <v>2868.43</v>
      </c>
      <c r="Q1002">
        <v>0</v>
      </c>
      <c r="R1002">
        <v>0</v>
      </c>
      <c r="S1002">
        <v>573.69000000000005</v>
      </c>
      <c r="T1002" t="s">
        <v>4789</v>
      </c>
      <c r="U1002">
        <v>1</v>
      </c>
      <c r="V1002">
        <v>573.69000000000005</v>
      </c>
      <c r="W1002" t="s">
        <v>4343</v>
      </c>
      <c r="Y1002" t="b">
        <v>1</v>
      </c>
      <c r="Z1002" t="b">
        <v>0</v>
      </c>
      <c r="AA1002">
        <v>573.69000000000005</v>
      </c>
      <c r="AB1002">
        <v>0</v>
      </c>
      <c r="AD1002" t="b">
        <v>0</v>
      </c>
      <c r="AG1002" s="1" t="s">
        <v>57</v>
      </c>
      <c r="AH1002" s="1" t="s">
        <v>42</v>
      </c>
      <c r="AI1002">
        <v>316</v>
      </c>
      <c r="AJ1002">
        <v>283</v>
      </c>
      <c r="AK1002" s="106">
        <v>45475.635531793981</v>
      </c>
      <c r="AL1002" s="1" t="s">
        <v>4790</v>
      </c>
      <c r="AM1002" s="42">
        <f>IFERROR(INDEX('Public procurment'!A:R,MATCH(ListOfExpenditure[[#This Row],[Content.contractId]],'Public procurment'!E:E,0),14),0)</f>
        <v>0</v>
      </c>
      <c r="AN1002" s="2">
        <f>IF(AND(ListOfExpenditure[[#This Row],[Contract amount]]&gt;10000,ListOfExpenditure[[#This Row],[Content.declaredAmount]]&gt;2000),1,0)</f>
        <v>0</v>
      </c>
      <c r="AO1002">
        <f>IFERROR(INDEX('Public procurment'!A:S,MATCH(ListOfExpenditure[[#This Row],[Content.contractId]],'Public procurment'!E:E,0),19),0)</f>
        <v>0</v>
      </c>
      <c r="AP1002">
        <f>IF(ListOfExpenditure[[#This Row],[Numero di volte controllato il contract ]]&gt;0,0,ListOfExpenditure[[#This Row],[IF public procurment &gt;10000;1;0]])</f>
        <v>0</v>
      </c>
    </row>
    <row r="1003" spans="1:42" x14ac:dyDescent="0.25">
      <c r="A1003">
        <v>1283</v>
      </c>
      <c r="B1003">
        <v>10</v>
      </c>
      <c r="E1003" t="s">
        <v>4786</v>
      </c>
      <c r="F1003" t="b">
        <v>0</v>
      </c>
      <c r="I1003" t="s">
        <v>5850</v>
      </c>
      <c r="K1003" t="s">
        <v>4931</v>
      </c>
      <c r="L1003" t="s">
        <v>4958</v>
      </c>
      <c r="M1003" t="s">
        <v>4788</v>
      </c>
      <c r="N1003" t="s">
        <v>4788</v>
      </c>
      <c r="O1003">
        <v>3120.45</v>
      </c>
      <c r="Q1003">
        <v>0</v>
      </c>
      <c r="R1003">
        <v>0</v>
      </c>
      <c r="S1003">
        <v>312.05</v>
      </c>
      <c r="T1003" t="s">
        <v>4789</v>
      </c>
      <c r="U1003">
        <v>1</v>
      </c>
      <c r="V1003">
        <v>312.05</v>
      </c>
      <c r="W1003" t="s">
        <v>4343</v>
      </c>
      <c r="Y1003" t="b">
        <v>1</v>
      </c>
      <c r="Z1003" t="b">
        <v>0</v>
      </c>
      <c r="AA1003">
        <v>312.05</v>
      </c>
      <c r="AB1003">
        <v>0</v>
      </c>
      <c r="AD1003" t="b">
        <v>0</v>
      </c>
      <c r="AG1003" s="1" t="s">
        <v>57</v>
      </c>
      <c r="AH1003" s="1" t="s">
        <v>42</v>
      </c>
      <c r="AI1003">
        <v>316</v>
      </c>
      <c r="AJ1003">
        <v>283</v>
      </c>
      <c r="AK1003" s="106">
        <v>45475.635531793981</v>
      </c>
      <c r="AL1003" s="1" t="s">
        <v>4790</v>
      </c>
      <c r="AM1003" s="42">
        <f>IFERROR(INDEX('Public procurment'!A:R,MATCH(ListOfExpenditure[[#This Row],[Content.contractId]],'Public procurment'!E:E,0),14),0)</f>
        <v>0</v>
      </c>
      <c r="AN1003" s="2">
        <f>IF(AND(ListOfExpenditure[[#This Row],[Contract amount]]&gt;10000,ListOfExpenditure[[#This Row],[Content.declaredAmount]]&gt;2000),1,0)</f>
        <v>0</v>
      </c>
      <c r="AO1003">
        <f>IFERROR(INDEX('Public procurment'!A:S,MATCH(ListOfExpenditure[[#This Row],[Content.contractId]],'Public procurment'!E:E,0),19),0)</f>
        <v>0</v>
      </c>
      <c r="AP1003">
        <f>IF(ListOfExpenditure[[#This Row],[Numero di volte controllato il contract ]]&gt;0,0,ListOfExpenditure[[#This Row],[IF public procurment &gt;10000;1;0]])</f>
        <v>0</v>
      </c>
    </row>
    <row r="1004" spans="1:42" x14ac:dyDescent="0.25">
      <c r="A1004">
        <v>1284</v>
      </c>
      <c r="B1004">
        <v>11</v>
      </c>
      <c r="E1004" t="s">
        <v>4786</v>
      </c>
      <c r="F1004" t="b">
        <v>0</v>
      </c>
      <c r="I1004" t="s">
        <v>5850</v>
      </c>
      <c r="K1004" t="s">
        <v>4931</v>
      </c>
      <c r="L1004" t="s">
        <v>4958</v>
      </c>
      <c r="M1004" t="s">
        <v>4788</v>
      </c>
      <c r="N1004" t="s">
        <v>4788</v>
      </c>
      <c r="O1004">
        <v>4500.82</v>
      </c>
      <c r="Q1004">
        <v>0</v>
      </c>
      <c r="R1004">
        <v>0</v>
      </c>
      <c r="S1004">
        <v>900.16</v>
      </c>
      <c r="T1004" t="s">
        <v>4789</v>
      </c>
      <c r="U1004">
        <v>1</v>
      </c>
      <c r="V1004">
        <v>900.16</v>
      </c>
      <c r="W1004" t="s">
        <v>4343</v>
      </c>
      <c r="Y1004" t="b">
        <v>1</v>
      </c>
      <c r="Z1004" t="b">
        <v>0</v>
      </c>
      <c r="AA1004">
        <v>900.16</v>
      </c>
      <c r="AB1004">
        <v>0</v>
      </c>
      <c r="AD1004" t="b">
        <v>0</v>
      </c>
      <c r="AG1004" s="1" t="s">
        <v>57</v>
      </c>
      <c r="AH1004" s="1" t="s">
        <v>42</v>
      </c>
      <c r="AI1004">
        <v>316</v>
      </c>
      <c r="AJ1004">
        <v>283</v>
      </c>
      <c r="AK1004" s="106">
        <v>45475.635531793981</v>
      </c>
      <c r="AL1004" s="1" t="s">
        <v>4790</v>
      </c>
      <c r="AM1004" s="42">
        <f>IFERROR(INDEX('Public procurment'!A:R,MATCH(ListOfExpenditure[[#This Row],[Content.contractId]],'Public procurment'!E:E,0),14),0)</f>
        <v>0</v>
      </c>
      <c r="AN1004" s="2">
        <f>IF(AND(ListOfExpenditure[[#This Row],[Contract amount]]&gt;10000,ListOfExpenditure[[#This Row],[Content.declaredAmount]]&gt;2000),1,0)</f>
        <v>0</v>
      </c>
      <c r="AO1004">
        <f>IFERROR(INDEX('Public procurment'!A:S,MATCH(ListOfExpenditure[[#This Row],[Content.contractId]],'Public procurment'!E:E,0),19),0)</f>
        <v>0</v>
      </c>
      <c r="AP1004">
        <f>IF(ListOfExpenditure[[#This Row],[Numero di volte controllato il contract ]]&gt;0,0,ListOfExpenditure[[#This Row],[IF public procurment &gt;10000;1;0]])</f>
        <v>0</v>
      </c>
    </row>
    <row r="1005" spans="1:42" x14ac:dyDescent="0.25">
      <c r="A1005">
        <v>1285</v>
      </c>
      <c r="B1005">
        <v>12</v>
      </c>
      <c r="E1005" t="s">
        <v>4786</v>
      </c>
      <c r="F1005" t="b">
        <v>0</v>
      </c>
      <c r="I1005" t="s">
        <v>5850</v>
      </c>
      <c r="K1005" t="s">
        <v>4931</v>
      </c>
      <c r="L1005" t="s">
        <v>4958</v>
      </c>
      <c r="M1005" t="s">
        <v>4788</v>
      </c>
      <c r="N1005" t="s">
        <v>4788</v>
      </c>
      <c r="O1005">
        <v>2414.23</v>
      </c>
      <c r="Q1005">
        <v>0</v>
      </c>
      <c r="R1005">
        <v>0</v>
      </c>
      <c r="S1005">
        <v>1931.39</v>
      </c>
      <c r="T1005" t="s">
        <v>4789</v>
      </c>
      <c r="U1005">
        <v>1</v>
      </c>
      <c r="V1005">
        <v>1931.39</v>
      </c>
      <c r="W1005" t="s">
        <v>4343</v>
      </c>
      <c r="Y1005" t="b">
        <v>1</v>
      </c>
      <c r="Z1005" t="b">
        <v>0</v>
      </c>
      <c r="AA1005">
        <v>1931.39</v>
      </c>
      <c r="AB1005">
        <v>0</v>
      </c>
      <c r="AD1005" t="b">
        <v>0</v>
      </c>
      <c r="AG1005" s="1" t="s">
        <v>57</v>
      </c>
      <c r="AH1005" s="1" t="s">
        <v>42</v>
      </c>
      <c r="AI1005">
        <v>316</v>
      </c>
      <c r="AJ1005">
        <v>283</v>
      </c>
      <c r="AK1005" s="106">
        <v>45475.635531793981</v>
      </c>
      <c r="AL1005" s="1" t="s">
        <v>4790</v>
      </c>
      <c r="AM1005" s="42">
        <f>IFERROR(INDEX('Public procurment'!A:R,MATCH(ListOfExpenditure[[#This Row],[Content.contractId]],'Public procurment'!E:E,0),14),0)</f>
        <v>0</v>
      </c>
      <c r="AN1005" s="2">
        <f>IF(AND(ListOfExpenditure[[#This Row],[Contract amount]]&gt;10000,ListOfExpenditure[[#This Row],[Content.declaredAmount]]&gt;2000),1,0)</f>
        <v>0</v>
      </c>
      <c r="AO1005">
        <f>IFERROR(INDEX('Public procurment'!A:S,MATCH(ListOfExpenditure[[#This Row],[Content.contractId]],'Public procurment'!E:E,0),19),0)</f>
        <v>0</v>
      </c>
      <c r="AP1005">
        <f>IF(ListOfExpenditure[[#This Row],[Numero di volte controllato il contract ]]&gt;0,0,ListOfExpenditure[[#This Row],[IF public procurment &gt;10000;1;0]])</f>
        <v>0</v>
      </c>
    </row>
    <row r="1006" spans="1:42" x14ac:dyDescent="0.25">
      <c r="A1006">
        <v>1286</v>
      </c>
      <c r="B1006">
        <v>13</v>
      </c>
      <c r="E1006" t="s">
        <v>4786</v>
      </c>
      <c r="F1006" t="b">
        <v>0</v>
      </c>
      <c r="I1006" t="s">
        <v>5710</v>
      </c>
      <c r="K1006" t="s">
        <v>4525</v>
      </c>
      <c r="L1006" t="s">
        <v>4959</v>
      </c>
      <c r="M1006" t="s">
        <v>4788</v>
      </c>
      <c r="N1006" t="s">
        <v>4788</v>
      </c>
      <c r="O1006">
        <v>3061.34</v>
      </c>
      <c r="Q1006">
        <v>0</v>
      </c>
      <c r="R1006">
        <v>0</v>
      </c>
      <c r="S1006">
        <v>612.27</v>
      </c>
      <c r="T1006" t="s">
        <v>4789</v>
      </c>
      <c r="U1006">
        <v>1</v>
      </c>
      <c r="V1006">
        <v>612.27</v>
      </c>
      <c r="W1006" t="s">
        <v>4343</v>
      </c>
      <c r="Y1006" t="b">
        <v>1</v>
      </c>
      <c r="Z1006" t="b">
        <v>0</v>
      </c>
      <c r="AA1006">
        <v>612.27</v>
      </c>
      <c r="AB1006">
        <v>0</v>
      </c>
      <c r="AD1006" t="b">
        <v>0</v>
      </c>
      <c r="AG1006" s="1" t="s">
        <v>57</v>
      </c>
      <c r="AH1006" s="1" t="s">
        <v>42</v>
      </c>
      <c r="AI1006">
        <v>316</v>
      </c>
      <c r="AJ1006">
        <v>283</v>
      </c>
      <c r="AK1006" s="106">
        <v>45475.635531793981</v>
      </c>
      <c r="AL1006" s="1" t="s">
        <v>4790</v>
      </c>
      <c r="AM1006" s="42">
        <f>IFERROR(INDEX('Public procurment'!A:R,MATCH(ListOfExpenditure[[#This Row],[Content.contractId]],'Public procurment'!E:E,0),14),0)</f>
        <v>0</v>
      </c>
      <c r="AN1006" s="2">
        <f>IF(AND(ListOfExpenditure[[#This Row],[Contract amount]]&gt;10000,ListOfExpenditure[[#This Row],[Content.declaredAmount]]&gt;2000),1,0)</f>
        <v>0</v>
      </c>
      <c r="AO1006">
        <f>IFERROR(INDEX('Public procurment'!A:S,MATCH(ListOfExpenditure[[#This Row],[Content.contractId]],'Public procurment'!E:E,0),19),0)</f>
        <v>0</v>
      </c>
      <c r="AP1006">
        <f>IF(ListOfExpenditure[[#This Row],[Numero di volte controllato il contract ]]&gt;0,0,ListOfExpenditure[[#This Row],[IF public procurment &gt;10000;1;0]])</f>
        <v>0</v>
      </c>
    </row>
    <row r="1007" spans="1:42" x14ac:dyDescent="0.25">
      <c r="A1007">
        <v>1287</v>
      </c>
      <c r="B1007">
        <v>14</v>
      </c>
      <c r="E1007" t="s">
        <v>4786</v>
      </c>
      <c r="F1007" t="b">
        <v>0</v>
      </c>
      <c r="I1007" t="s">
        <v>5710</v>
      </c>
      <c r="K1007" t="s">
        <v>4525</v>
      </c>
      <c r="L1007" t="s">
        <v>4959</v>
      </c>
      <c r="M1007" t="s">
        <v>4788</v>
      </c>
      <c r="N1007" t="s">
        <v>4788</v>
      </c>
      <c r="O1007">
        <v>3261.55</v>
      </c>
      <c r="Q1007">
        <v>0</v>
      </c>
      <c r="R1007">
        <v>0</v>
      </c>
      <c r="S1007">
        <v>326.14999999999998</v>
      </c>
      <c r="T1007" t="s">
        <v>4789</v>
      </c>
      <c r="U1007">
        <v>1</v>
      </c>
      <c r="V1007">
        <v>326.14999999999998</v>
      </c>
      <c r="W1007" t="s">
        <v>4343</v>
      </c>
      <c r="Y1007" t="b">
        <v>1</v>
      </c>
      <c r="Z1007" t="b">
        <v>0</v>
      </c>
      <c r="AA1007">
        <v>326.14999999999998</v>
      </c>
      <c r="AB1007">
        <v>0</v>
      </c>
      <c r="AD1007" t="b">
        <v>0</v>
      </c>
      <c r="AG1007" s="1" t="s">
        <v>57</v>
      </c>
      <c r="AH1007" s="1" t="s">
        <v>42</v>
      </c>
      <c r="AI1007">
        <v>316</v>
      </c>
      <c r="AJ1007">
        <v>283</v>
      </c>
      <c r="AK1007" s="106">
        <v>45475.635531793981</v>
      </c>
      <c r="AL1007" s="1" t="s">
        <v>4790</v>
      </c>
      <c r="AM1007" s="42">
        <f>IFERROR(INDEX('Public procurment'!A:R,MATCH(ListOfExpenditure[[#This Row],[Content.contractId]],'Public procurment'!E:E,0),14),0)</f>
        <v>0</v>
      </c>
      <c r="AN1007" s="2">
        <f>IF(AND(ListOfExpenditure[[#This Row],[Contract amount]]&gt;10000,ListOfExpenditure[[#This Row],[Content.declaredAmount]]&gt;2000),1,0)</f>
        <v>0</v>
      </c>
      <c r="AO1007">
        <f>IFERROR(INDEX('Public procurment'!A:S,MATCH(ListOfExpenditure[[#This Row],[Content.contractId]],'Public procurment'!E:E,0),19),0)</f>
        <v>0</v>
      </c>
      <c r="AP1007">
        <f>IF(ListOfExpenditure[[#This Row],[Numero di volte controllato il contract ]]&gt;0,0,ListOfExpenditure[[#This Row],[IF public procurment &gt;10000;1;0]])</f>
        <v>0</v>
      </c>
    </row>
    <row r="1008" spans="1:42" x14ac:dyDescent="0.25">
      <c r="A1008">
        <v>1288</v>
      </c>
      <c r="B1008">
        <v>15</v>
      </c>
      <c r="E1008" t="s">
        <v>4786</v>
      </c>
      <c r="F1008" t="b">
        <v>0</v>
      </c>
      <c r="I1008" t="s">
        <v>5710</v>
      </c>
      <c r="K1008" t="s">
        <v>4525</v>
      </c>
      <c r="L1008" t="s">
        <v>4959</v>
      </c>
      <c r="M1008" t="s">
        <v>4788</v>
      </c>
      <c r="N1008" t="s">
        <v>4788</v>
      </c>
      <c r="O1008">
        <v>4560.21</v>
      </c>
      <c r="Q1008">
        <v>0</v>
      </c>
      <c r="R1008">
        <v>0</v>
      </c>
      <c r="S1008">
        <v>912.04</v>
      </c>
      <c r="T1008" t="s">
        <v>4789</v>
      </c>
      <c r="U1008">
        <v>1</v>
      </c>
      <c r="V1008">
        <v>912.04</v>
      </c>
      <c r="W1008" t="s">
        <v>4343</v>
      </c>
      <c r="Y1008" t="b">
        <v>1</v>
      </c>
      <c r="Z1008" t="b">
        <v>0</v>
      </c>
      <c r="AA1008">
        <v>912.04</v>
      </c>
      <c r="AB1008">
        <v>0</v>
      </c>
      <c r="AD1008" t="b">
        <v>0</v>
      </c>
      <c r="AG1008" s="1" t="s">
        <v>57</v>
      </c>
      <c r="AH1008" s="1" t="s">
        <v>42</v>
      </c>
      <c r="AI1008">
        <v>316</v>
      </c>
      <c r="AJ1008">
        <v>283</v>
      </c>
      <c r="AK1008" s="106">
        <v>45475.635531793981</v>
      </c>
      <c r="AL1008" s="1" t="s">
        <v>4790</v>
      </c>
      <c r="AM1008" s="42">
        <f>IFERROR(INDEX('Public procurment'!A:R,MATCH(ListOfExpenditure[[#This Row],[Content.contractId]],'Public procurment'!E:E,0),14),0)</f>
        <v>0</v>
      </c>
      <c r="AN1008" s="2">
        <f>IF(AND(ListOfExpenditure[[#This Row],[Contract amount]]&gt;10000,ListOfExpenditure[[#This Row],[Content.declaredAmount]]&gt;2000),1,0)</f>
        <v>0</v>
      </c>
      <c r="AO1008">
        <f>IFERROR(INDEX('Public procurment'!A:S,MATCH(ListOfExpenditure[[#This Row],[Content.contractId]],'Public procurment'!E:E,0),19),0)</f>
        <v>0</v>
      </c>
      <c r="AP1008">
        <f>IF(ListOfExpenditure[[#This Row],[Numero di volte controllato il contract ]]&gt;0,0,ListOfExpenditure[[#This Row],[IF public procurment &gt;10000;1;0]])</f>
        <v>0</v>
      </c>
    </row>
    <row r="1009" spans="1:42" x14ac:dyDescent="0.25">
      <c r="A1009">
        <v>1289</v>
      </c>
      <c r="B1009">
        <v>16</v>
      </c>
      <c r="E1009" t="s">
        <v>4786</v>
      </c>
      <c r="F1009" t="b">
        <v>0</v>
      </c>
      <c r="I1009" t="s">
        <v>5710</v>
      </c>
      <c r="K1009" t="s">
        <v>4525</v>
      </c>
      <c r="L1009" t="s">
        <v>4959</v>
      </c>
      <c r="M1009" t="s">
        <v>4788</v>
      </c>
      <c r="N1009" t="s">
        <v>4788</v>
      </c>
      <c r="O1009">
        <v>2530.2399999999998</v>
      </c>
      <c r="Q1009">
        <v>0</v>
      </c>
      <c r="R1009">
        <v>0</v>
      </c>
      <c r="S1009">
        <v>2024.19</v>
      </c>
      <c r="T1009" t="s">
        <v>4789</v>
      </c>
      <c r="U1009">
        <v>1</v>
      </c>
      <c r="V1009">
        <v>2024.19</v>
      </c>
      <c r="W1009" t="s">
        <v>4343</v>
      </c>
      <c r="Y1009" t="b">
        <v>1</v>
      </c>
      <c r="Z1009" t="b">
        <v>0</v>
      </c>
      <c r="AA1009">
        <v>2024.19</v>
      </c>
      <c r="AB1009">
        <v>0</v>
      </c>
      <c r="AD1009" t="b">
        <v>0</v>
      </c>
      <c r="AG1009" s="1" t="s">
        <v>57</v>
      </c>
      <c r="AH1009" s="1" t="s">
        <v>42</v>
      </c>
      <c r="AI1009">
        <v>316</v>
      </c>
      <c r="AJ1009">
        <v>283</v>
      </c>
      <c r="AK1009" s="106">
        <v>45475.635531793981</v>
      </c>
      <c r="AL1009" s="1" t="s">
        <v>4790</v>
      </c>
      <c r="AM1009" s="42">
        <f>IFERROR(INDEX('Public procurment'!A:R,MATCH(ListOfExpenditure[[#This Row],[Content.contractId]],'Public procurment'!E:E,0),14),0)</f>
        <v>0</v>
      </c>
      <c r="AN1009" s="2">
        <f>IF(AND(ListOfExpenditure[[#This Row],[Contract amount]]&gt;10000,ListOfExpenditure[[#This Row],[Content.declaredAmount]]&gt;2000),1,0)</f>
        <v>0</v>
      </c>
      <c r="AO1009">
        <f>IFERROR(INDEX('Public procurment'!A:S,MATCH(ListOfExpenditure[[#This Row],[Content.contractId]],'Public procurment'!E:E,0),19),0)</f>
        <v>0</v>
      </c>
      <c r="AP1009">
        <f>IF(ListOfExpenditure[[#This Row],[Numero di volte controllato il contract ]]&gt;0,0,ListOfExpenditure[[#This Row],[IF public procurment &gt;10000;1;0]])</f>
        <v>0</v>
      </c>
    </row>
    <row r="1010" spans="1:42" x14ac:dyDescent="0.25">
      <c r="A1010">
        <v>1290</v>
      </c>
      <c r="B1010">
        <v>17</v>
      </c>
      <c r="E1010" t="s">
        <v>4786</v>
      </c>
      <c r="F1010" t="b">
        <v>0</v>
      </c>
      <c r="I1010" t="s">
        <v>6158</v>
      </c>
      <c r="K1010" t="s">
        <v>4678</v>
      </c>
      <c r="L1010" t="s">
        <v>5480</v>
      </c>
      <c r="M1010" t="s">
        <v>4788</v>
      </c>
      <c r="N1010" t="s">
        <v>4788</v>
      </c>
      <c r="O1010">
        <v>3911.98</v>
      </c>
      <c r="Q1010">
        <v>0</v>
      </c>
      <c r="R1010">
        <v>0</v>
      </c>
      <c r="S1010">
        <v>782.4</v>
      </c>
      <c r="T1010" t="s">
        <v>4789</v>
      </c>
      <c r="U1010">
        <v>1</v>
      </c>
      <c r="V1010">
        <v>782.4</v>
      </c>
      <c r="W1010" t="s">
        <v>4343</v>
      </c>
      <c r="Y1010" t="b">
        <v>1</v>
      </c>
      <c r="Z1010" t="b">
        <v>0</v>
      </c>
      <c r="AA1010">
        <v>761.49</v>
      </c>
      <c r="AB1010">
        <v>20.91</v>
      </c>
      <c r="AC1010">
        <v>14</v>
      </c>
      <c r="AD1010" t="b">
        <v>0</v>
      </c>
      <c r="AF1010" t="s">
        <v>6146</v>
      </c>
      <c r="AG1010" s="1" t="s">
        <v>57</v>
      </c>
      <c r="AH1010" s="1" t="s">
        <v>42</v>
      </c>
      <c r="AI1010">
        <v>316</v>
      </c>
      <c r="AJ1010">
        <v>283</v>
      </c>
      <c r="AK1010" s="106">
        <v>45475.635531793981</v>
      </c>
      <c r="AL1010" s="1" t="s">
        <v>4790</v>
      </c>
      <c r="AM1010" s="42">
        <f>IFERROR(INDEX('Public procurment'!A:R,MATCH(ListOfExpenditure[[#This Row],[Content.contractId]],'Public procurment'!E:E,0),14),0)</f>
        <v>0</v>
      </c>
      <c r="AN1010" s="2">
        <f>IF(AND(ListOfExpenditure[[#This Row],[Contract amount]]&gt;10000,ListOfExpenditure[[#This Row],[Content.declaredAmount]]&gt;2000),1,0)</f>
        <v>0</v>
      </c>
      <c r="AO1010">
        <f>IFERROR(INDEX('Public procurment'!A:S,MATCH(ListOfExpenditure[[#This Row],[Content.contractId]],'Public procurment'!E:E,0),19),0)</f>
        <v>0</v>
      </c>
      <c r="AP1010">
        <f>IF(ListOfExpenditure[[#This Row],[Numero di volte controllato il contract ]]&gt;0,0,ListOfExpenditure[[#This Row],[IF public procurment &gt;10000;1;0]])</f>
        <v>0</v>
      </c>
    </row>
    <row r="1011" spans="1:42" x14ac:dyDescent="0.25">
      <c r="A1011">
        <v>1327</v>
      </c>
      <c r="B1011">
        <v>18</v>
      </c>
      <c r="E1011" t="s">
        <v>4786</v>
      </c>
      <c r="F1011" t="b">
        <v>0</v>
      </c>
      <c r="I1011" t="s">
        <v>6158</v>
      </c>
      <c r="K1011" t="s">
        <v>4678</v>
      </c>
      <c r="L1011" t="s">
        <v>5480</v>
      </c>
      <c r="M1011" t="s">
        <v>4788</v>
      </c>
      <c r="N1011" t="s">
        <v>4788</v>
      </c>
      <c r="O1011">
        <v>3196.42</v>
      </c>
      <c r="Q1011">
        <v>0</v>
      </c>
      <c r="R1011">
        <v>0</v>
      </c>
      <c r="S1011">
        <v>319.64</v>
      </c>
      <c r="T1011" t="s">
        <v>4789</v>
      </c>
      <c r="U1011">
        <v>1</v>
      </c>
      <c r="V1011">
        <v>319.64</v>
      </c>
      <c r="W1011" t="s">
        <v>4343</v>
      </c>
      <c r="Y1011" t="b">
        <v>1</v>
      </c>
      <c r="Z1011" t="b">
        <v>0</v>
      </c>
      <c r="AA1011">
        <v>309.19</v>
      </c>
      <c r="AB1011">
        <v>10.45</v>
      </c>
      <c r="AC1011">
        <v>14</v>
      </c>
      <c r="AD1011" t="b">
        <v>0</v>
      </c>
      <c r="AF1011" t="s">
        <v>6146</v>
      </c>
      <c r="AG1011" s="1" t="s">
        <v>57</v>
      </c>
      <c r="AH1011" s="1" t="s">
        <v>42</v>
      </c>
      <c r="AI1011">
        <v>316</v>
      </c>
      <c r="AJ1011">
        <v>283</v>
      </c>
      <c r="AK1011" s="106">
        <v>45475.635531793981</v>
      </c>
      <c r="AL1011" s="1" t="s">
        <v>4790</v>
      </c>
      <c r="AM1011" s="42">
        <f>IFERROR(INDEX('Public procurment'!A:R,MATCH(ListOfExpenditure[[#This Row],[Content.contractId]],'Public procurment'!E:E,0),14),0)</f>
        <v>0</v>
      </c>
      <c r="AN1011" s="2">
        <f>IF(AND(ListOfExpenditure[[#This Row],[Contract amount]]&gt;10000,ListOfExpenditure[[#This Row],[Content.declaredAmount]]&gt;2000),1,0)</f>
        <v>0</v>
      </c>
      <c r="AO1011">
        <f>IFERROR(INDEX('Public procurment'!A:S,MATCH(ListOfExpenditure[[#This Row],[Content.contractId]],'Public procurment'!E:E,0),19),0)</f>
        <v>0</v>
      </c>
      <c r="AP1011">
        <f>IF(ListOfExpenditure[[#This Row],[Numero di volte controllato il contract ]]&gt;0,0,ListOfExpenditure[[#This Row],[IF public procurment &gt;10000;1;0]])</f>
        <v>0</v>
      </c>
    </row>
    <row r="1012" spans="1:42" x14ac:dyDescent="0.25">
      <c r="A1012">
        <v>1330</v>
      </c>
      <c r="B1012">
        <v>19</v>
      </c>
      <c r="E1012" t="s">
        <v>4786</v>
      </c>
      <c r="F1012" t="b">
        <v>0</v>
      </c>
      <c r="I1012" t="s">
        <v>6158</v>
      </c>
      <c r="K1012" t="s">
        <v>4678</v>
      </c>
      <c r="L1012" t="s">
        <v>5480</v>
      </c>
      <c r="M1012" t="s">
        <v>4788</v>
      </c>
      <c r="N1012" t="s">
        <v>4788</v>
      </c>
      <c r="O1012">
        <v>4518.6400000000003</v>
      </c>
      <c r="Q1012">
        <v>0</v>
      </c>
      <c r="R1012">
        <v>0</v>
      </c>
      <c r="S1012">
        <v>903.73</v>
      </c>
      <c r="T1012" t="s">
        <v>4789</v>
      </c>
      <c r="U1012">
        <v>1</v>
      </c>
      <c r="V1012">
        <v>903.73</v>
      </c>
      <c r="W1012" t="s">
        <v>4343</v>
      </c>
      <c r="Y1012" t="b">
        <v>1</v>
      </c>
      <c r="Z1012" t="b">
        <v>0</v>
      </c>
      <c r="AA1012">
        <v>882.83</v>
      </c>
      <c r="AB1012">
        <v>20.9</v>
      </c>
      <c r="AC1012">
        <v>14</v>
      </c>
      <c r="AD1012" t="b">
        <v>0</v>
      </c>
      <c r="AF1012" t="s">
        <v>6146</v>
      </c>
      <c r="AG1012" s="1" t="s">
        <v>57</v>
      </c>
      <c r="AH1012" s="1" t="s">
        <v>42</v>
      </c>
      <c r="AI1012">
        <v>316</v>
      </c>
      <c r="AJ1012">
        <v>283</v>
      </c>
      <c r="AK1012" s="106">
        <v>45475.635531793981</v>
      </c>
      <c r="AL1012" s="1" t="s">
        <v>4790</v>
      </c>
      <c r="AM1012" s="42">
        <f>IFERROR(INDEX('Public procurment'!A:R,MATCH(ListOfExpenditure[[#This Row],[Content.contractId]],'Public procurment'!E:E,0),14),0)</f>
        <v>0</v>
      </c>
      <c r="AN1012" s="2">
        <f>IF(AND(ListOfExpenditure[[#This Row],[Contract amount]]&gt;10000,ListOfExpenditure[[#This Row],[Content.declaredAmount]]&gt;2000),1,0)</f>
        <v>0</v>
      </c>
      <c r="AO1012">
        <f>IFERROR(INDEX('Public procurment'!A:S,MATCH(ListOfExpenditure[[#This Row],[Content.contractId]],'Public procurment'!E:E,0),19),0)</f>
        <v>0</v>
      </c>
      <c r="AP1012">
        <f>IF(ListOfExpenditure[[#This Row],[Numero di volte controllato il contract ]]&gt;0,0,ListOfExpenditure[[#This Row],[IF public procurment &gt;10000;1;0]])</f>
        <v>0</v>
      </c>
    </row>
    <row r="1013" spans="1:42" x14ac:dyDescent="0.25">
      <c r="A1013">
        <v>1331</v>
      </c>
      <c r="B1013">
        <v>20</v>
      </c>
      <c r="E1013" t="s">
        <v>4786</v>
      </c>
      <c r="F1013" t="b">
        <v>0</v>
      </c>
      <c r="I1013" t="s">
        <v>6158</v>
      </c>
      <c r="K1013" t="s">
        <v>4678</v>
      </c>
      <c r="L1013" t="s">
        <v>5480</v>
      </c>
      <c r="M1013" t="s">
        <v>4788</v>
      </c>
      <c r="N1013" t="s">
        <v>4788</v>
      </c>
      <c r="O1013">
        <v>2396.75</v>
      </c>
      <c r="Q1013">
        <v>0</v>
      </c>
      <c r="R1013">
        <v>0</v>
      </c>
      <c r="S1013">
        <v>1917.4</v>
      </c>
      <c r="T1013" t="s">
        <v>4789</v>
      </c>
      <c r="U1013">
        <v>1</v>
      </c>
      <c r="V1013">
        <v>1917.4</v>
      </c>
      <c r="W1013" t="s">
        <v>4343</v>
      </c>
      <c r="Y1013" t="b">
        <v>1</v>
      </c>
      <c r="Z1013" t="b">
        <v>0</v>
      </c>
      <c r="AA1013">
        <v>1833.79</v>
      </c>
      <c r="AB1013">
        <v>83.61</v>
      </c>
      <c r="AC1013">
        <v>14</v>
      </c>
      <c r="AD1013" t="b">
        <v>0</v>
      </c>
      <c r="AF1013" t="s">
        <v>6146</v>
      </c>
      <c r="AG1013" s="1" t="s">
        <v>57</v>
      </c>
      <c r="AH1013" s="1" t="s">
        <v>42</v>
      </c>
      <c r="AI1013">
        <v>316</v>
      </c>
      <c r="AJ1013">
        <v>283</v>
      </c>
      <c r="AK1013" s="106">
        <v>45475.635531793981</v>
      </c>
      <c r="AL1013" s="1" t="s">
        <v>4790</v>
      </c>
      <c r="AM1013" s="42">
        <f>IFERROR(INDEX('Public procurment'!A:R,MATCH(ListOfExpenditure[[#This Row],[Content.contractId]],'Public procurment'!E:E,0),14),0)</f>
        <v>0</v>
      </c>
      <c r="AN1013" s="2">
        <f>IF(AND(ListOfExpenditure[[#This Row],[Contract amount]]&gt;10000,ListOfExpenditure[[#This Row],[Content.declaredAmount]]&gt;2000),1,0)</f>
        <v>0</v>
      </c>
      <c r="AO1013">
        <f>IFERROR(INDEX('Public procurment'!A:S,MATCH(ListOfExpenditure[[#This Row],[Content.contractId]],'Public procurment'!E:E,0),19),0)</f>
        <v>0</v>
      </c>
      <c r="AP1013">
        <f>IF(ListOfExpenditure[[#This Row],[Numero di volte controllato il contract ]]&gt;0,0,ListOfExpenditure[[#This Row],[IF public procurment &gt;10000;1;0]])</f>
        <v>0</v>
      </c>
    </row>
    <row r="1014" spans="1:42" x14ac:dyDescent="0.25">
      <c r="A1014">
        <v>1069</v>
      </c>
      <c r="B1014">
        <v>1</v>
      </c>
      <c r="E1014" t="s">
        <v>4786</v>
      </c>
      <c r="F1014" t="b">
        <v>0</v>
      </c>
      <c r="I1014" t="s">
        <v>4922</v>
      </c>
      <c r="K1014" t="s">
        <v>4946</v>
      </c>
      <c r="L1014" t="s">
        <v>4946</v>
      </c>
      <c r="M1014" t="s">
        <v>4788</v>
      </c>
      <c r="N1014" t="s">
        <v>4788</v>
      </c>
      <c r="O1014">
        <v>6723.56</v>
      </c>
      <c r="Q1014">
        <v>0</v>
      </c>
      <c r="R1014">
        <v>0</v>
      </c>
      <c r="S1014">
        <v>1008.53</v>
      </c>
      <c r="T1014" t="s">
        <v>4789</v>
      </c>
      <c r="U1014">
        <v>1</v>
      </c>
      <c r="V1014">
        <v>1008.53</v>
      </c>
      <c r="W1014" t="s">
        <v>4343</v>
      </c>
      <c r="Y1014" t="b">
        <v>0</v>
      </c>
      <c r="Z1014" t="b">
        <v>0</v>
      </c>
      <c r="AA1014">
        <v>1008.53</v>
      </c>
      <c r="AB1014">
        <v>0</v>
      </c>
      <c r="AD1014" t="b">
        <v>0</v>
      </c>
      <c r="AG1014" s="1" t="s">
        <v>57</v>
      </c>
      <c r="AH1014" s="1" t="s">
        <v>27</v>
      </c>
      <c r="AI1014">
        <v>309</v>
      </c>
      <c r="AJ1014">
        <v>216</v>
      </c>
      <c r="AK1014" s="106">
        <v>45475.635467094908</v>
      </c>
      <c r="AL1014" s="1" t="s">
        <v>4790</v>
      </c>
      <c r="AM1014" s="42">
        <f>IFERROR(INDEX('Public procurment'!A:R,MATCH(ListOfExpenditure[[#This Row],[Content.contractId]],'Public procurment'!E:E,0),14),0)</f>
        <v>0</v>
      </c>
      <c r="AN1014" s="2">
        <f>IF(AND(ListOfExpenditure[[#This Row],[Contract amount]]&gt;10000,ListOfExpenditure[[#This Row],[Content.declaredAmount]]&gt;2000),1,0)</f>
        <v>0</v>
      </c>
      <c r="AO1014">
        <f>IFERROR(INDEX('Public procurment'!A:S,MATCH(ListOfExpenditure[[#This Row],[Content.contractId]],'Public procurment'!E:E,0),19),0)</f>
        <v>0</v>
      </c>
      <c r="AP1014">
        <f>IF(ListOfExpenditure[[#This Row],[Numero di volte controllato il contract ]]&gt;0,0,ListOfExpenditure[[#This Row],[IF public procurment &gt;10000;1;0]])</f>
        <v>0</v>
      </c>
    </row>
    <row r="1015" spans="1:42" x14ac:dyDescent="0.25">
      <c r="A1015">
        <v>1070</v>
      </c>
      <c r="B1015">
        <v>2</v>
      </c>
      <c r="E1015" t="s">
        <v>4786</v>
      </c>
      <c r="F1015" t="b">
        <v>0</v>
      </c>
      <c r="I1015" t="s">
        <v>4926</v>
      </c>
      <c r="K1015" t="s">
        <v>4939</v>
      </c>
      <c r="L1015" t="s">
        <v>4939</v>
      </c>
      <c r="M1015" t="s">
        <v>4788</v>
      </c>
      <c r="N1015" t="s">
        <v>4788</v>
      </c>
      <c r="O1015">
        <v>6586.76</v>
      </c>
      <c r="Q1015">
        <v>0</v>
      </c>
      <c r="R1015">
        <v>0</v>
      </c>
      <c r="S1015">
        <v>988.01</v>
      </c>
      <c r="T1015" t="s">
        <v>4789</v>
      </c>
      <c r="U1015">
        <v>1</v>
      </c>
      <c r="V1015">
        <v>988.01</v>
      </c>
      <c r="W1015" t="s">
        <v>4343</v>
      </c>
      <c r="Y1015" t="b">
        <v>0</v>
      </c>
      <c r="Z1015" t="b">
        <v>0</v>
      </c>
      <c r="AA1015">
        <v>988.01</v>
      </c>
      <c r="AB1015">
        <v>0</v>
      </c>
      <c r="AD1015" t="b">
        <v>0</v>
      </c>
      <c r="AG1015" s="1" t="s">
        <v>57</v>
      </c>
      <c r="AH1015" s="1" t="s">
        <v>27</v>
      </c>
      <c r="AI1015">
        <v>309</v>
      </c>
      <c r="AJ1015">
        <v>216</v>
      </c>
      <c r="AK1015" s="106">
        <v>45475.635467094908</v>
      </c>
      <c r="AL1015" s="1" t="s">
        <v>4790</v>
      </c>
      <c r="AM1015" s="42">
        <f>IFERROR(INDEX('Public procurment'!A:R,MATCH(ListOfExpenditure[[#This Row],[Content.contractId]],'Public procurment'!E:E,0),14),0)</f>
        <v>0</v>
      </c>
      <c r="AN1015" s="2">
        <f>IF(AND(ListOfExpenditure[[#This Row],[Contract amount]]&gt;10000,ListOfExpenditure[[#This Row],[Content.declaredAmount]]&gt;2000),1,0)</f>
        <v>0</v>
      </c>
      <c r="AO1015">
        <f>IFERROR(INDEX('Public procurment'!A:S,MATCH(ListOfExpenditure[[#This Row],[Content.contractId]],'Public procurment'!E:E,0),19),0)</f>
        <v>0</v>
      </c>
      <c r="AP1015">
        <f>IF(ListOfExpenditure[[#This Row],[Numero di volte controllato il contract ]]&gt;0,0,ListOfExpenditure[[#This Row],[IF public procurment &gt;10000;1;0]])</f>
        <v>0</v>
      </c>
    </row>
    <row r="1016" spans="1:42" x14ac:dyDescent="0.25">
      <c r="A1016">
        <v>1071</v>
      </c>
      <c r="B1016">
        <v>3</v>
      </c>
      <c r="E1016" t="s">
        <v>4786</v>
      </c>
      <c r="F1016" t="b">
        <v>0</v>
      </c>
      <c r="I1016" t="s">
        <v>4929</v>
      </c>
      <c r="K1016" t="s">
        <v>5250</v>
      </c>
      <c r="L1016" t="s">
        <v>5250</v>
      </c>
      <c r="M1016" t="s">
        <v>4788</v>
      </c>
      <c r="N1016" t="s">
        <v>4788</v>
      </c>
      <c r="O1016">
        <v>6712.09</v>
      </c>
      <c r="Q1016">
        <v>0</v>
      </c>
      <c r="R1016">
        <v>0</v>
      </c>
      <c r="S1016">
        <v>1006.83</v>
      </c>
      <c r="T1016" t="s">
        <v>4789</v>
      </c>
      <c r="U1016">
        <v>1</v>
      </c>
      <c r="V1016">
        <v>1006.83</v>
      </c>
      <c r="W1016" t="s">
        <v>4343</v>
      </c>
      <c r="Y1016" t="b">
        <v>0</v>
      </c>
      <c r="Z1016" t="b">
        <v>0</v>
      </c>
      <c r="AA1016">
        <v>1006.83</v>
      </c>
      <c r="AB1016">
        <v>0</v>
      </c>
      <c r="AD1016" t="b">
        <v>0</v>
      </c>
      <c r="AG1016" s="1" t="s">
        <v>57</v>
      </c>
      <c r="AH1016" s="1" t="s">
        <v>27</v>
      </c>
      <c r="AI1016">
        <v>309</v>
      </c>
      <c r="AJ1016">
        <v>216</v>
      </c>
      <c r="AK1016" s="106">
        <v>45475.635467094908</v>
      </c>
      <c r="AL1016" s="1" t="s">
        <v>4790</v>
      </c>
      <c r="AM1016" s="42">
        <f>IFERROR(INDEX('Public procurment'!A:R,MATCH(ListOfExpenditure[[#This Row],[Content.contractId]],'Public procurment'!E:E,0),14),0)</f>
        <v>0</v>
      </c>
      <c r="AN1016" s="2">
        <f>IF(AND(ListOfExpenditure[[#This Row],[Contract amount]]&gt;10000,ListOfExpenditure[[#This Row],[Content.declaredAmount]]&gt;2000),1,0)</f>
        <v>0</v>
      </c>
      <c r="AO1016">
        <f>IFERROR(INDEX('Public procurment'!A:S,MATCH(ListOfExpenditure[[#This Row],[Content.contractId]],'Public procurment'!E:E,0),19),0)</f>
        <v>0</v>
      </c>
      <c r="AP1016">
        <f>IF(ListOfExpenditure[[#This Row],[Numero di volte controllato il contract ]]&gt;0,0,ListOfExpenditure[[#This Row],[IF public procurment &gt;10000;1;0]])</f>
        <v>0</v>
      </c>
    </row>
    <row r="1017" spans="1:42" x14ac:dyDescent="0.25">
      <c r="A1017">
        <v>1072</v>
      </c>
      <c r="B1017">
        <v>4</v>
      </c>
      <c r="E1017" t="s">
        <v>4786</v>
      </c>
      <c r="F1017" t="b">
        <v>0</v>
      </c>
      <c r="I1017" t="s">
        <v>4933</v>
      </c>
      <c r="K1017" t="s">
        <v>4883</v>
      </c>
      <c r="L1017" t="s">
        <v>4883</v>
      </c>
      <c r="M1017" t="s">
        <v>4788</v>
      </c>
      <c r="N1017" t="s">
        <v>4788</v>
      </c>
      <c r="O1017">
        <v>6665.33</v>
      </c>
      <c r="Q1017">
        <v>0</v>
      </c>
      <c r="R1017">
        <v>0</v>
      </c>
      <c r="S1017">
        <v>999.8</v>
      </c>
      <c r="T1017" t="s">
        <v>4789</v>
      </c>
      <c r="U1017">
        <v>1</v>
      </c>
      <c r="V1017">
        <v>999.8</v>
      </c>
      <c r="W1017" t="s">
        <v>4343</v>
      </c>
      <c r="Y1017" t="b">
        <v>0</v>
      </c>
      <c r="Z1017" t="b">
        <v>0</v>
      </c>
      <c r="AA1017">
        <v>999.8</v>
      </c>
      <c r="AB1017">
        <v>0</v>
      </c>
      <c r="AD1017" t="b">
        <v>0</v>
      </c>
      <c r="AG1017" s="1" t="s">
        <v>57</v>
      </c>
      <c r="AH1017" s="1" t="s">
        <v>27</v>
      </c>
      <c r="AI1017">
        <v>309</v>
      </c>
      <c r="AJ1017">
        <v>216</v>
      </c>
      <c r="AK1017" s="106">
        <v>45475.635467094908</v>
      </c>
      <c r="AL1017" s="1" t="s">
        <v>4790</v>
      </c>
      <c r="AM1017" s="42">
        <f>IFERROR(INDEX('Public procurment'!A:R,MATCH(ListOfExpenditure[[#This Row],[Content.contractId]],'Public procurment'!E:E,0),14),0)</f>
        <v>0</v>
      </c>
      <c r="AN1017" s="2">
        <f>IF(AND(ListOfExpenditure[[#This Row],[Contract amount]]&gt;10000,ListOfExpenditure[[#This Row],[Content.declaredAmount]]&gt;2000),1,0)</f>
        <v>0</v>
      </c>
      <c r="AO1017">
        <f>IFERROR(INDEX('Public procurment'!A:S,MATCH(ListOfExpenditure[[#This Row],[Content.contractId]],'Public procurment'!E:E,0),19),0)</f>
        <v>0</v>
      </c>
      <c r="AP1017">
        <f>IF(ListOfExpenditure[[#This Row],[Numero di volte controllato il contract ]]&gt;0,0,ListOfExpenditure[[#This Row],[IF public procurment &gt;10000;1;0]])</f>
        <v>0</v>
      </c>
    </row>
    <row r="1018" spans="1:42" x14ac:dyDescent="0.25">
      <c r="A1018">
        <v>1073</v>
      </c>
      <c r="B1018">
        <v>5</v>
      </c>
      <c r="E1018" t="s">
        <v>4786</v>
      </c>
      <c r="F1018" t="b">
        <v>0</v>
      </c>
      <c r="I1018" t="s">
        <v>4938</v>
      </c>
      <c r="K1018" t="s">
        <v>4974</v>
      </c>
      <c r="L1018" t="s">
        <v>4536</v>
      </c>
      <c r="M1018" t="s">
        <v>4788</v>
      </c>
      <c r="N1018" t="s">
        <v>4788</v>
      </c>
      <c r="O1018">
        <v>6648.78</v>
      </c>
      <c r="Q1018">
        <v>0</v>
      </c>
      <c r="R1018">
        <v>0</v>
      </c>
      <c r="S1018">
        <v>997.32</v>
      </c>
      <c r="T1018" t="s">
        <v>4789</v>
      </c>
      <c r="U1018">
        <v>1</v>
      </c>
      <c r="V1018">
        <v>997.32</v>
      </c>
      <c r="W1018" t="s">
        <v>4343</v>
      </c>
      <c r="Y1018" t="b">
        <v>0</v>
      </c>
      <c r="Z1018" t="b">
        <v>0</v>
      </c>
      <c r="AA1018">
        <v>997.32</v>
      </c>
      <c r="AB1018">
        <v>0</v>
      </c>
      <c r="AD1018" t="b">
        <v>0</v>
      </c>
      <c r="AG1018" s="1" t="s">
        <v>57</v>
      </c>
      <c r="AH1018" s="1" t="s">
        <v>27</v>
      </c>
      <c r="AI1018">
        <v>309</v>
      </c>
      <c r="AJ1018">
        <v>216</v>
      </c>
      <c r="AK1018" s="106">
        <v>45475.635467094908</v>
      </c>
      <c r="AL1018" s="1" t="s">
        <v>4790</v>
      </c>
      <c r="AM1018" s="42">
        <f>IFERROR(INDEX('Public procurment'!A:R,MATCH(ListOfExpenditure[[#This Row],[Content.contractId]],'Public procurment'!E:E,0),14),0)</f>
        <v>0</v>
      </c>
      <c r="AN1018" s="2">
        <f>IF(AND(ListOfExpenditure[[#This Row],[Contract amount]]&gt;10000,ListOfExpenditure[[#This Row],[Content.declaredAmount]]&gt;2000),1,0)</f>
        <v>0</v>
      </c>
      <c r="AO1018">
        <f>IFERROR(INDEX('Public procurment'!A:S,MATCH(ListOfExpenditure[[#This Row],[Content.contractId]],'Public procurment'!E:E,0),19),0)</f>
        <v>0</v>
      </c>
      <c r="AP1018">
        <f>IF(ListOfExpenditure[[#This Row],[Numero di volte controllato il contract ]]&gt;0,0,ListOfExpenditure[[#This Row],[IF public procurment &gt;10000;1;0]])</f>
        <v>0</v>
      </c>
    </row>
    <row r="1019" spans="1:42" x14ac:dyDescent="0.25">
      <c r="A1019">
        <v>1074</v>
      </c>
      <c r="B1019">
        <v>6</v>
      </c>
      <c r="E1019" t="s">
        <v>4786</v>
      </c>
      <c r="F1019" t="b">
        <v>0</v>
      </c>
      <c r="I1019" t="s">
        <v>4940</v>
      </c>
      <c r="K1019" t="s">
        <v>4946</v>
      </c>
      <c r="L1019" t="s">
        <v>4946</v>
      </c>
      <c r="M1019" t="s">
        <v>4788</v>
      </c>
      <c r="N1019" t="s">
        <v>4788</v>
      </c>
      <c r="O1019">
        <v>3473.06</v>
      </c>
      <c r="Q1019">
        <v>0</v>
      </c>
      <c r="R1019">
        <v>0</v>
      </c>
      <c r="S1019">
        <v>2083.83</v>
      </c>
      <c r="T1019" t="s">
        <v>4789</v>
      </c>
      <c r="U1019">
        <v>1</v>
      </c>
      <c r="V1019">
        <v>2083.83</v>
      </c>
      <c r="W1019" t="s">
        <v>4343</v>
      </c>
      <c r="Y1019" t="b">
        <v>0</v>
      </c>
      <c r="Z1019" t="b">
        <v>0</v>
      </c>
      <c r="AA1019">
        <v>2083.83</v>
      </c>
      <c r="AB1019">
        <v>0</v>
      </c>
      <c r="AD1019" t="b">
        <v>0</v>
      </c>
      <c r="AG1019" s="1" t="s">
        <v>57</v>
      </c>
      <c r="AH1019" s="1" t="s">
        <v>27</v>
      </c>
      <c r="AI1019">
        <v>309</v>
      </c>
      <c r="AJ1019">
        <v>216</v>
      </c>
      <c r="AK1019" s="106">
        <v>45475.635467094908</v>
      </c>
      <c r="AL1019" s="1" t="s">
        <v>4790</v>
      </c>
      <c r="AM1019" s="42">
        <f>IFERROR(INDEX('Public procurment'!A:R,MATCH(ListOfExpenditure[[#This Row],[Content.contractId]],'Public procurment'!E:E,0),14),0)</f>
        <v>0</v>
      </c>
      <c r="AN1019" s="2">
        <f>IF(AND(ListOfExpenditure[[#This Row],[Contract amount]]&gt;10000,ListOfExpenditure[[#This Row],[Content.declaredAmount]]&gt;2000),1,0)</f>
        <v>0</v>
      </c>
      <c r="AO1019">
        <f>IFERROR(INDEX('Public procurment'!A:S,MATCH(ListOfExpenditure[[#This Row],[Content.contractId]],'Public procurment'!E:E,0),19),0)</f>
        <v>0</v>
      </c>
      <c r="AP1019">
        <f>IF(ListOfExpenditure[[#This Row],[Numero di volte controllato il contract ]]&gt;0,0,ListOfExpenditure[[#This Row],[IF public procurment &gt;10000;1;0]])</f>
        <v>0</v>
      </c>
    </row>
    <row r="1020" spans="1:42" x14ac:dyDescent="0.25">
      <c r="A1020">
        <v>1075</v>
      </c>
      <c r="B1020">
        <v>7</v>
      </c>
      <c r="E1020" t="s">
        <v>4786</v>
      </c>
      <c r="F1020" t="b">
        <v>0</v>
      </c>
      <c r="I1020" t="s">
        <v>4941</v>
      </c>
      <c r="K1020" t="s">
        <v>4939</v>
      </c>
      <c r="L1020" t="s">
        <v>4939</v>
      </c>
      <c r="M1020" t="s">
        <v>4788</v>
      </c>
      <c r="N1020" t="s">
        <v>4788</v>
      </c>
      <c r="O1020">
        <v>3466.28</v>
      </c>
      <c r="Q1020">
        <v>0</v>
      </c>
      <c r="R1020">
        <v>0</v>
      </c>
      <c r="S1020">
        <v>2079.77</v>
      </c>
      <c r="T1020" t="s">
        <v>4789</v>
      </c>
      <c r="U1020">
        <v>1</v>
      </c>
      <c r="V1020">
        <v>2079.77</v>
      </c>
      <c r="W1020" t="s">
        <v>4343</v>
      </c>
      <c r="Y1020" t="b">
        <v>0</v>
      </c>
      <c r="Z1020" t="b">
        <v>0</v>
      </c>
      <c r="AA1020">
        <v>2079.77</v>
      </c>
      <c r="AB1020">
        <v>0</v>
      </c>
      <c r="AD1020" t="b">
        <v>0</v>
      </c>
      <c r="AG1020" s="1" t="s">
        <v>57</v>
      </c>
      <c r="AH1020" s="1" t="s">
        <v>27</v>
      </c>
      <c r="AI1020">
        <v>309</v>
      </c>
      <c r="AJ1020">
        <v>216</v>
      </c>
      <c r="AK1020" s="106">
        <v>45475.635467094908</v>
      </c>
      <c r="AL1020" s="1" t="s">
        <v>4790</v>
      </c>
      <c r="AM1020" s="42">
        <f>IFERROR(INDEX('Public procurment'!A:R,MATCH(ListOfExpenditure[[#This Row],[Content.contractId]],'Public procurment'!E:E,0),14),0)</f>
        <v>0</v>
      </c>
      <c r="AN1020" s="2">
        <f>IF(AND(ListOfExpenditure[[#This Row],[Contract amount]]&gt;10000,ListOfExpenditure[[#This Row],[Content.declaredAmount]]&gt;2000),1,0)</f>
        <v>0</v>
      </c>
      <c r="AO1020">
        <f>IFERROR(INDEX('Public procurment'!A:S,MATCH(ListOfExpenditure[[#This Row],[Content.contractId]],'Public procurment'!E:E,0),19),0)</f>
        <v>0</v>
      </c>
      <c r="AP1020">
        <f>IF(ListOfExpenditure[[#This Row],[Numero di volte controllato il contract ]]&gt;0,0,ListOfExpenditure[[#This Row],[IF public procurment &gt;10000;1;0]])</f>
        <v>0</v>
      </c>
    </row>
    <row r="1021" spans="1:42" x14ac:dyDescent="0.25">
      <c r="A1021">
        <v>1076</v>
      </c>
      <c r="B1021">
        <v>8</v>
      </c>
      <c r="E1021" t="s">
        <v>4786</v>
      </c>
      <c r="F1021" t="b">
        <v>0</v>
      </c>
      <c r="I1021" t="s">
        <v>4943</v>
      </c>
      <c r="K1021" t="s">
        <v>5250</v>
      </c>
      <c r="L1021" t="s">
        <v>5250</v>
      </c>
      <c r="M1021" t="s">
        <v>4788</v>
      </c>
      <c r="N1021" t="s">
        <v>4788</v>
      </c>
      <c r="O1021">
        <v>3483.91</v>
      </c>
      <c r="Q1021">
        <v>0</v>
      </c>
      <c r="R1021">
        <v>0</v>
      </c>
      <c r="S1021">
        <v>2090.35</v>
      </c>
      <c r="T1021" t="s">
        <v>4789</v>
      </c>
      <c r="U1021">
        <v>1</v>
      </c>
      <c r="V1021">
        <v>2090.35</v>
      </c>
      <c r="W1021" t="s">
        <v>4343</v>
      </c>
      <c r="Y1021" t="b">
        <v>0</v>
      </c>
      <c r="Z1021" t="b">
        <v>0</v>
      </c>
      <c r="AA1021">
        <v>2090.35</v>
      </c>
      <c r="AB1021">
        <v>0</v>
      </c>
      <c r="AD1021" t="b">
        <v>0</v>
      </c>
      <c r="AG1021" s="1" t="s">
        <v>57</v>
      </c>
      <c r="AH1021" s="1" t="s">
        <v>27</v>
      </c>
      <c r="AI1021">
        <v>309</v>
      </c>
      <c r="AJ1021">
        <v>216</v>
      </c>
      <c r="AK1021" s="106">
        <v>45475.635467094908</v>
      </c>
      <c r="AL1021" s="1" t="s">
        <v>4790</v>
      </c>
      <c r="AM1021" s="42">
        <f>IFERROR(INDEX('Public procurment'!A:R,MATCH(ListOfExpenditure[[#This Row],[Content.contractId]],'Public procurment'!E:E,0),14),0)</f>
        <v>0</v>
      </c>
      <c r="AN1021" s="2">
        <f>IF(AND(ListOfExpenditure[[#This Row],[Contract amount]]&gt;10000,ListOfExpenditure[[#This Row],[Content.declaredAmount]]&gt;2000),1,0)</f>
        <v>0</v>
      </c>
      <c r="AO1021">
        <f>IFERROR(INDEX('Public procurment'!A:S,MATCH(ListOfExpenditure[[#This Row],[Content.contractId]],'Public procurment'!E:E,0),19),0)</f>
        <v>0</v>
      </c>
      <c r="AP1021">
        <f>IF(ListOfExpenditure[[#This Row],[Numero di volte controllato il contract ]]&gt;0,0,ListOfExpenditure[[#This Row],[IF public procurment &gt;10000;1;0]])</f>
        <v>0</v>
      </c>
    </row>
    <row r="1022" spans="1:42" x14ac:dyDescent="0.25">
      <c r="A1022">
        <v>1077</v>
      </c>
      <c r="B1022">
        <v>9</v>
      </c>
      <c r="E1022" t="s">
        <v>4786</v>
      </c>
      <c r="F1022" t="b">
        <v>0</v>
      </c>
      <c r="I1022" t="s">
        <v>4944</v>
      </c>
      <c r="K1022" t="s">
        <v>4883</v>
      </c>
      <c r="L1022" t="s">
        <v>4883</v>
      </c>
      <c r="M1022" t="s">
        <v>4788</v>
      </c>
      <c r="N1022" t="s">
        <v>4788</v>
      </c>
      <c r="O1022">
        <v>3512.54</v>
      </c>
      <c r="Q1022">
        <v>0</v>
      </c>
      <c r="R1022">
        <v>0</v>
      </c>
      <c r="S1022">
        <v>2107.5300000000002</v>
      </c>
      <c r="T1022" t="s">
        <v>4789</v>
      </c>
      <c r="U1022">
        <v>1</v>
      </c>
      <c r="V1022">
        <v>2107.5300000000002</v>
      </c>
      <c r="W1022" t="s">
        <v>4343</v>
      </c>
      <c r="Y1022" t="b">
        <v>0</v>
      </c>
      <c r="Z1022" t="b">
        <v>0</v>
      </c>
      <c r="AA1022">
        <v>2107.5300000000002</v>
      </c>
      <c r="AB1022">
        <v>0</v>
      </c>
      <c r="AD1022" t="b">
        <v>0</v>
      </c>
      <c r="AG1022" s="1" t="s">
        <v>57</v>
      </c>
      <c r="AH1022" s="1" t="s">
        <v>27</v>
      </c>
      <c r="AI1022">
        <v>309</v>
      </c>
      <c r="AJ1022">
        <v>216</v>
      </c>
      <c r="AK1022" s="106">
        <v>45475.635467094908</v>
      </c>
      <c r="AL1022" s="1" t="s">
        <v>4790</v>
      </c>
      <c r="AM1022" s="42">
        <f>IFERROR(INDEX('Public procurment'!A:R,MATCH(ListOfExpenditure[[#This Row],[Content.contractId]],'Public procurment'!E:E,0),14),0)</f>
        <v>0</v>
      </c>
      <c r="AN1022" s="2">
        <f>IF(AND(ListOfExpenditure[[#This Row],[Contract amount]]&gt;10000,ListOfExpenditure[[#This Row],[Content.declaredAmount]]&gt;2000),1,0)</f>
        <v>0</v>
      </c>
      <c r="AO1022">
        <f>IFERROR(INDEX('Public procurment'!A:S,MATCH(ListOfExpenditure[[#This Row],[Content.contractId]],'Public procurment'!E:E,0),19),0)</f>
        <v>0</v>
      </c>
      <c r="AP1022">
        <f>IF(ListOfExpenditure[[#This Row],[Numero di volte controllato il contract ]]&gt;0,0,ListOfExpenditure[[#This Row],[IF public procurment &gt;10000;1;0]])</f>
        <v>0</v>
      </c>
    </row>
    <row r="1023" spans="1:42" x14ac:dyDescent="0.25">
      <c r="A1023">
        <v>1078</v>
      </c>
      <c r="B1023">
        <v>10</v>
      </c>
      <c r="E1023" t="s">
        <v>4786</v>
      </c>
      <c r="F1023" t="b">
        <v>0</v>
      </c>
      <c r="I1023" t="s">
        <v>4945</v>
      </c>
      <c r="K1023" t="s">
        <v>4974</v>
      </c>
      <c r="L1023" t="s">
        <v>4974</v>
      </c>
      <c r="M1023" t="s">
        <v>4788</v>
      </c>
      <c r="N1023" t="s">
        <v>4788</v>
      </c>
      <c r="O1023">
        <v>3416.63</v>
      </c>
      <c r="Q1023">
        <v>0</v>
      </c>
      <c r="R1023">
        <v>0</v>
      </c>
      <c r="S1023">
        <v>2049.98</v>
      </c>
      <c r="T1023" t="s">
        <v>4789</v>
      </c>
      <c r="U1023">
        <v>1</v>
      </c>
      <c r="V1023">
        <v>2049.98</v>
      </c>
      <c r="W1023" t="s">
        <v>4343</v>
      </c>
      <c r="Y1023" t="b">
        <v>0</v>
      </c>
      <c r="Z1023" t="b">
        <v>0</v>
      </c>
      <c r="AA1023">
        <v>2049.98</v>
      </c>
      <c r="AB1023">
        <v>0</v>
      </c>
      <c r="AD1023" t="b">
        <v>0</v>
      </c>
      <c r="AG1023" s="1" t="s">
        <v>57</v>
      </c>
      <c r="AH1023" s="1" t="s">
        <v>27</v>
      </c>
      <c r="AI1023">
        <v>309</v>
      </c>
      <c r="AJ1023">
        <v>216</v>
      </c>
      <c r="AK1023" s="106">
        <v>45475.635467094908</v>
      </c>
      <c r="AL1023" s="1" t="s">
        <v>4790</v>
      </c>
      <c r="AM1023" s="42">
        <f>IFERROR(INDEX('Public procurment'!A:R,MATCH(ListOfExpenditure[[#This Row],[Content.contractId]],'Public procurment'!E:E,0),14),0)</f>
        <v>0</v>
      </c>
      <c r="AN1023" s="2">
        <f>IF(AND(ListOfExpenditure[[#This Row],[Contract amount]]&gt;10000,ListOfExpenditure[[#This Row],[Content.declaredAmount]]&gt;2000),1,0)</f>
        <v>0</v>
      </c>
      <c r="AO1023">
        <f>IFERROR(INDEX('Public procurment'!A:S,MATCH(ListOfExpenditure[[#This Row],[Content.contractId]],'Public procurment'!E:E,0),19),0)</f>
        <v>0</v>
      </c>
      <c r="AP1023">
        <f>IF(ListOfExpenditure[[#This Row],[Numero di volte controllato il contract ]]&gt;0,0,ListOfExpenditure[[#This Row],[IF public procurment &gt;10000;1;0]])</f>
        <v>0</v>
      </c>
    </row>
    <row r="1024" spans="1:42" x14ac:dyDescent="0.25">
      <c r="A1024">
        <v>1079</v>
      </c>
      <c r="B1024">
        <v>11</v>
      </c>
      <c r="E1024" t="s">
        <v>4786</v>
      </c>
      <c r="F1024" t="b">
        <v>0</v>
      </c>
      <c r="I1024" t="s">
        <v>4947</v>
      </c>
      <c r="K1024" t="s">
        <v>4946</v>
      </c>
      <c r="L1024" t="s">
        <v>4946</v>
      </c>
      <c r="M1024" t="s">
        <v>4788</v>
      </c>
      <c r="N1024" t="s">
        <v>4788</v>
      </c>
      <c r="O1024">
        <v>2998.18</v>
      </c>
      <c r="Q1024">
        <v>0</v>
      </c>
      <c r="R1024">
        <v>0</v>
      </c>
      <c r="S1024">
        <v>1199.27</v>
      </c>
      <c r="T1024" t="s">
        <v>4789</v>
      </c>
      <c r="U1024">
        <v>1</v>
      </c>
      <c r="V1024">
        <v>1199.27</v>
      </c>
      <c r="W1024" t="s">
        <v>4343</v>
      </c>
      <c r="Y1024" t="b">
        <v>0</v>
      </c>
      <c r="Z1024" t="b">
        <v>0</v>
      </c>
      <c r="AA1024">
        <v>1199.27</v>
      </c>
      <c r="AB1024">
        <v>0</v>
      </c>
      <c r="AD1024" t="b">
        <v>0</v>
      </c>
      <c r="AG1024" s="1" t="s">
        <v>57</v>
      </c>
      <c r="AH1024" s="1" t="s">
        <v>27</v>
      </c>
      <c r="AI1024">
        <v>309</v>
      </c>
      <c r="AJ1024">
        <v>216</v>
      </c>
      <c r="AK1024" s="106">
        <v>45475.635467094908</v>
      </c>
      <c r="AL1024" s="1" t="s">
        <v>4790</v>
      </c>
      <c r="AM1024" s="42">
        <f>IFERROR(INDEX('Public procurment'!A:R,MATCH(ListOfExpenditure[[#This Row],[Content.contractId]],'Public procurment'!E:E,0),14),0)</f>
        <v>0</v>
      </c>
      <c r="AN1024" s="2">
        <f>IF(AND(ListOfExpenditure[[#This Row],[Contract amount]]&gt;10000,ListOfExpenditure[[#This Row],[Content.declaredAmount]]&gt;2000),1,0)</f>
        <v>0</v>
      </c>
      <c r="AO1024">
        <f>IFERROR(INDEX('Public procurment'!A:S,MATCH(ListOfExpenditure[[#This Row],[Content.contractId]],'Public procurment'!E:E,0),19),0)</f>
        <v>0</v>
      </c>
      <c r="AP1024">
        <f>IF(ListOfExpenditure[[#This Row],[Numero di volte controllato il contract ]]&gt;0,0,ListOfExpenditure[[#This Row],[IF public procurment &gt;10000;1;0]])</f>
        <v>0</v>
      </c>
    </row>
    <row r="1025" spans="1:42" x14ac:dyDescent="0.25">
      <c r="A1025">
        <v>1080</v>
      </c>
      <c r="B1025">
        <v>12</v>
      </c>
      <c r="E1025" t="s">
        <v>4786</v>
      </c>
      <c r="F1025" t="b">
        <v>0</v>
      </c>
      <c r="I1025" t="s">
        <v>4948</v>
      </c>
      <c r="K1025" t="s">
        <v>4939</v>
      </c>
      <c r="L1025" t="s">
        <v>4939</v>
      </c>
      <c r="M1025" t="s">
        <v>4788</v>
      </c>
      <c r="N1025" t="s">
        <v>4788</v>
      </c>
      <c r="O1025">
        <v>3036.97</v>
      </c>
      <c r="Q1025">
        <v>0</v>
      </c>
      <c r="R1025">
        <v>0</v>
      </c>
      <c r="S1025">
        <v>1214.79</v>
      </c>
      <c r="T1025" t="s">
        <v>4789</v>
      </c>
      <c r="U1025">
        <v>1</v>
      </c>
      <c r="V1025">
        <v>1214.79</v>
      </c>
      <c r="W1025" t="s">
        <v>4343</v>
      </c>
      <c r="Y1025" t="b">
        <v>0</v>
      </c>
      <c r="Z1025" t="b">
        <v>0</v>
      </c>
      <c r="AA1025">
        <v>1214.79</v>
      </c>
      <c r="AB1025">
        <v>0</v>
      </c>
      <c r="AD1025" t="b">
        <v>0</v>
      </c>
      <c r="AG1025" s="1" t="s">
        <v>57</v>
      </c>
      <c r="AH1025" s="1" t="s">
        <v>27</v>
      </c>
      <c r="AI1025">
        <v>309</v>
      </c>
      <c r="AJ1025">
        <v>216</v>
      </c>
      <c r="AK1025" s="106">
        <v>45475.635467094908</v>
      </c>
      <c r="AL1025" s="1" t="s">
        <v>4790</v>
      </c>
      <c r="AM1025" s="42">
        <f>IFERROR(INDEX('Public procurment'!A:R,MATCH(ListOfExpenditure[[#This Row],[Content.contractId]],'Public procurment'!E:E,0),14),0)</f>
        <v>0</v>
      </c>
      <c r="AN1025" s="2">
        <f>IF(AND(ListOfExpenditure[[#This Row],[Contract amount]]&gt;10000,ListOfExpenditure[[#This Row],[Content.declaredAmount]]&gt;2000),1,0)</f>
        <v>0</v>
      </c>
      <c r="AO1025">
        <f>IFERROR(INDEX('Public procurment'!A:S,MATCH(ListOfExpenditure[[#This Row],[Content.contractId]],'Public procurment'!E:E,0),19),0)</f>
        <v>0</v>
      </c>
      <c r="AP1025">
        <f>IF(ListOfExpenditure[[#This Row],[Numero di volte controllato il contract ]]&gt;0,0,ListOfExpenditure[[#This Row],[IF public procurment &gt;10000;1;0]])</f>
        <v>0</v>
      </c>
    </row>
    <row r="1026" spans="1:42" x14ac:dyDescent="0.25">
      <c r="A1026">
        <v>1081</v>
      </c>
      <c r="B1026">
        <v>13</v>
      </c>
      <c r="E1026" t="s">
        <v>4786</v>
      </c>
      <c r="F1026" t="b">
        <v>0</v>
      </c>
      <c r="I1026" t="s">
        <v>4949</v>
      </c>
      <c r="K1026" t="s">
        <v>5250</v>
      </c>
      <c r="L1026" t="s">
        <v>5250</v>
      </c>
      <c r="M1026" t="s">
        <v>4788</v>
      </c>
      <c r="N1026" t="s">
        <v>4788</v>
      </c>
      <c r="O1026">
        <v>3020.51</v>
      </c>
      <c r="Q1026">
        <v>0</v>
      </c>
      <c r="R1026">
        <v>0</v>
      </c>
      <c r="S1026">
        <v>1208.2</v>
      </c>
      <c r="T1026" t="s">
        <v>4789</v>
      </c>
      <c r="U1026">
        <v>1</v>
      </c>
      <c r="V1026">
        <v>1208.2</v>
      </c>
      <c r="W1026" t="s">
        <v>4343</v>
      </c>
      <c r="Y1026" t="b">
        <v>0</v>
      </c>
      <c r="Z1026" t="b">
        <v>0</v>
      </c>
      <c r="AA1026">
        <v>1208.2</v>
      </c>
      <c r="AB1026">
        <v>0</v>
      </c>
      <c r="AD1026" t="b">
        <v>0</v>
      </c>
      <c r="AG1026" s="1" t="s">
        <v>57</v>
      </c>
      <c r="AH1026" s="1" t="s">
        <v>27</v>
      </c>
      <c r="AI1026">
        <v>309</v>
      </c>
      <c r="AJ1026">
        <v>216</v>
      </c>
      <c r="AK1026" s="106">
        <v>45475.635467094908</v>
      </c>
      <c r="AL1026" s="1" t="s">
        <v>4790</v>
      </c>
      <c r="AM1026" s="42">
        <f>IFERROR(INDEX('Public procurment'!A:R,MATCH(ListOfExpenditure[[#This Row],[Content.contractId]],'Public procurment'!E:E,0),14),0)</f>
        <v>0</v>
      </c>
      <c r="AN1026" s="2">
        <f>IF(AND(ListOfExpenditure[[#This Row],[Contract amount]]&gt;10000,ListOfExpenditure[[#This Row],[Content.declaredAmount]]&gt;2000),1,0)</f>
        <v>0</v>
      </c>
      <c r="AO1026">
        <f>IFERROR(INDEX('Public procurment'!A:S,MATCH(ListOfExpenditure[[#This Row],[Content.contractId]],'Public procurment'!E:E,0),19),0)</f>
        <v>0</v>
      </c>
      <c r="AP1026">
        <f>IF(ListOfExpenditure[[#This Row],[Numero di volte controllato il contract ]]&gt;0,0,ListOfExpenditure[[#This Row],[IF public procurment &gt;10000;1;0]])</f>
        <v>0</v>
      </c>
    </row>
    <row r="1027" spans="1:42" x14ac:dyDescent="0.25">
      <c r="A1027">
        <v>1082</v>
      </c>
      <c r="B1027">
        <v>14</v>
      </c>
      <c r="E1027" t="s">
        <v>4786</v>
      </c>
      <c r="F1027" t="b">
        <v>0</v>
      </c>
      <c r="I1027" t="s">
        <v>4961</v>
      </c>
      <c r="K1027" t="s">
        <v>4883</v>
      </c>
      <c r="L1027" t="s">
        <v>4883</v>
      </c>
      <c r="M1027" t="s">
        <v>4788</v>
      </c>
      <c r="N1027" t="s">
        <v>4788</v>
      </c>
      <c r="O1027">
        <v>2990.22</v>
      </c>
      <c r="Q1027">
        <v>0</v>
      </c>
      <c r="R1027">
        <v>0</v>
      </c>
      <c r="S1027">
        <v>1196.0899999999999</v>
      </c>
      <c r="T1027" t="s">
        <v>4789</v>
      </c>
      <c r="U1027">
        <v>1</v>
      </c>
      <c r="V1027">
        <v>1196.0899999999999</v>
      </c>
      <c r="W1027" t="s">
        <v>4343</v>
      </c>
      <c r="Y1027" t="b">
        <v>0</v>
      </c>
      <c r="Z1027" t="b">
        <v>0</v>
      </c>
      <c r="AA1027">
        <v>1196.0899999999999</v>
      </c>
      <c r="AB1027">
        <v>0</v>
      </c>
      <c r="AD1027" t="b">
        <v>0</v>
      </c>
      <c r="AG1027" s="1" t="s">
        <v>57</v>
      </c>
      <c r="AH1027" s="1" t="s">
        <v>27</v>
      </c>
      <c r="AI1027">
        <v>309</v>
      </c>
      <c r="AJ1027">
        <v>216</v>
      </c>
      <c r="AK1027" s="106">
        <v>45475.635467094908</v>
      </c>
      <c r="AL1027" s="1" t="s">
        <v>4790</v>
      </c>
      <c r="AM1027" s="42">
        <f>IFERROR(INDEX('Public procurment'!A:R,MATCH(ListOfExpenditure[[#This Row],[Content.contractId]],'Public procurment'!E:E,0),14),0)</f>
        <v>0</v>
      </c>
      <c r="AN1027" s="2">
        <f>IF(AND(ListOfExpenditure[[#This Row],[Contract amount]]&gt;10000,ListOfExpenditure[[#This Row],[Content.declaredAmount]]&gt;2000),1,0)</f>
        <v>0</v>
      </c>
      <c r="AO1027">
        <f>IFERROR(INDEX('Public procurment'!A:S,MATCH(ListOfExpenditure[[#This Row],[Content.contractId]],'Public procurment'!E:E,0),19),0)</f>
        <v>0</v>
      </c>
      <c r="AP1027">
        <f>IF(ListOfExpenditure[[#This Row],[Numero di volte controllato il contract ]]&gt;0,0,ListOfExpenditure[[#This Row],[IF public procurment &gt;10000;1;0]])</f>
        <v>0</v>
      </c>
    </row>
    <row r="1028" spans="1:42" x14ac:dyDescent="0.25">
      <c r="A1028">
        <v>1083</v>
      </c>
      <c r="B1028">
        <v>15</v>
      </c>
      <c r="E1028" t="s">
        <v>4786</v>
      </c>
      <c r="F1028" t="b">
        <v>0</v>
      </c>
      <c r="I1028" t="s">
        <v>4962</v>
      </c>
      <c r="K1028" t="s">
        <v>4974</v>
      </c>
      <c r="L1028" t="s">
        <v>4974</v>
      </c>
      <c r="M1028" t="s">
        <v>4788</v>
      </c>
      <c r="N1028" t="s">
        <v>4788</v>
      </c>
      <c r="O1028">
        <v>2895.06</v>
      </c>
      <c r="Q1028">
        <v>0</v>
      </c>
      <c r="R1028">
        <v>0</v>
      </c>
      <c r="S1028">
        <v>1158.02</v>
      </c>
      <c r="T1028" t="s">
        <v>4789</v>
      </c>
      <c r="U1028">
        <v>1</v>
      </c>
      <c r="V1028">
        <v>1158.02</v>
      </c>
      <c r="W1028" t="s">
        <v>4343</v>
      </c>
      <c r="Y1028" t="b">
        <v>0</v>
      </c>
      <c r="Z1028" t="b">
        <v>0</v>
      </c>
      <c r="AA1028">
        <v>1158.02</v>
      </c>
      <c r="AB1028">
        <v>0</v>
      </c>
      <c r="AD1028" t="b">
        <v>0</v>
      </c>
      <c r="AG1028" s="1" t="s">
        <v>57</v>
      </c>
      <c r="AH1028" s="1" t="s">
        <v>27</v>
      </c>
      <c r="AI1028">
        <v>309</v>
      </c>
      <c r="AJ1028">
        <v>216</v>
      </c>
      <c r="AK1028" s="106">
        <v>45475.635467094908</v>
      </c>
      <c r="AL1028" s="1" t="s">
        <v>4790</v>
      </c>
      <c r="AM1028" s="42">
        <f>IFERROR(INDEX('Public procurment'!A:R,MATCH(ListOfExpenditure[[#This Row],[Content.contractId]],'Public procurment'!E:E,0),14),0)</f>
        <v>0</v>
      </c>
      <c r="AN1028" s="2">
        <f>IF(AND(ListOfExpenditure[[#This Row],[Contract amount]]&gt;10000,ListOfExpenditure[[#This Row],[Content.declaredAmount]]&gt;2000),1,0)</f>
        <v>0</v>
      </c>
      <c r="AO1028">
        <f>IFERROR(INDEX('Public procurment'!A:S,MATCH(ListOfExpenditure[[#This Row],[Content.contractId]],'Public procurment'!E:E,0),19),0)</f>
        <v>0</v>
      </c>
      <c r="AP1028">
        <f>IF(ListOfExpenditure[[#This Row],[Numero di volte controllato il contract ]]&gt;0,0,ListOfExpenditure[[#This Row],[IF public procurment &gt;10000;1;0]])</f>
        <v>0</v>
      </c>
    </row>
    <row r="1029" spans="1:42" x14ac:dyDescent="0.25">
      <c r="A1029">
        <v>1084</v>
      </c>
      <c r="B1029">
        <v>16</v>
      </c>
      <c r="E1029" t="s">
        <v>4786</v>
      </c>
      <c r="F1029" t="b">
        <v>0</v>
      </c>
      <c r="I1029" t="s">
        <v>4963</v>
      </c>
      <c r="K1029" t="s">
        <v>4946</v>
      </c>
      <c r="L1029" t="s">
        <v>4946</v>
      </c>
      <c r="M1029" t="s">
        <v>4788</v>
      </c>
      <c r="N1029" t="s">
        <v>4788</v>
      </c>
      <c r="O1029">
        <v>3173.54</v>
      </c>
      <c r="Q1029">
        <v>0</v>
      </c>
      <c r="R1029">
        <v>0</v>
      </c>
      <c r="S1029">
        <v>1586.77</v>
      </c>
      <c r="T1029" t="s">
        <v>4789</v>
      </c>
      <c r="U1029">
        <v>1</v>
      </c>
      <c r="V1029">
        <v>1586.77</v>
      </c>
      <c r="W1029" t="s">
        <v>4343</v>
      </c>
      <c r="Y1029" t="b">
        <v>0</v>
      </c>
      <c r="Z1029" t="b">
        <v>0</v>
      </c>
      <c r="AA1029">
        <v>1586.77</v>
      </c>
      <c r="AB1029">
        <v>0</v>
      </c>
      <c r="AD1029" t="b">
        <v>0</v>
      </c>
      <c r="AG1029" s="1" t="s">
        <v>57</v>
      </c>
      <c r="AH1029" s="1" t="s">
        <v>27</v>
      </c>
      <c r="AI1029">
        <v>309</v>
      </c>
      <c r="AJ1029">
        <v>216</v>
      </c>
      <c r="AK1029" s="106">
        <v>45475.635467094908</v>
      </c>
      <c r="AL1029" s="1" t="s">
        <v>4790</v>
      </c>
      <c r="AM1029" s="42">
        <f>IFERROR(INDEX('Public procurment'!A:R,MATCH(ListOfExpenditure[[#This Row],[Content.contractId]],'Public procurment'!E:E,0),14),0)</f>
        <v>0</v>
      </c>
      <c r="AN1029" s="2">
        <f>IF(AND(ListOfExpenditure[[#This Row],[Contract amount]]&gt;10000,ListOfExpenditure[[#This Row],[Content.declaredAmount]]&gt;2000),1,0)</f>
        <v>0</v>
      </c>
      <c r="AO1029">
        <f>IFERROR(INDEX('Public procurment'!A:S,MATCH(ListOfExpenditure[[#This Row],[Content.contractId]],'Public procurment'!E:E,0),19),0)</f>
        <v>0</v>
      </c>
      <c r="AP1029">
        <f>IF(ListOfExpenditure[[#This Row],[Numero di volte controllato il contract ]]&gt;0,0,ListOfExpenditure[[#This Row],[IF public procurment &gt;10000;1;0]])</f>
        <v>0</v>
      </c>
    </row>
    <row r="1030" spans="1:42" x14ac:dyDescent="0.25">
      <c r="A1030">
        <v>1085</v>
      </c>
      <c r="B1030">
        <v>17</v>
      </c>
      <c r="E1030" t="s">
        <v>4786</v>
      </c>
      <c r="F1030" t="b">
        <v>0</v>
      </c>
      <c r="I1030" t="s">
        <v>4964</v>
      </c>
      <c r="K1030" t="s">
        <v>4939</v>
      </c>
      <c r="L1030" t="s">
        <v>4939</v>
      </c>
      <c r="M1030" t="s">
        <v>4788</v>
      </c>
      <c r="N1030" t="s">
        <v>4788</v>
      </c>
      <c r="O1030">
        <v>3084.93</v>
      </c>
      <c r="Q1030">
        <v>0</v>
      </c>
      <c r="R1030">
        <v>0</v>
      </c>
      <c r="S1030">
        <v>1542.46</v>
      </c>
      <c r="T1030" t="s">
        <v>4789</v>
      </c>
      <c r="U1030">
        <v>1</v>
      </c>
      <c r="V1030">
        <v>1542.46</v>
      </c>
      <c r="W1030" t="s">
        <v>4343</v>
      </c>
      <c r="Y1030" t="b">
        <v>0</v>
      </c>
      <c r="Z1030" t="b">
        <v>0</v>
      </c>
      <c r="AA1030">
        <v>1542.46</v>
      </c>
      <c r="AB1030">
        <v>0</v>
      </c>
      <c r="AD1030" t="b">
        <v>0</v>
      </c>
      <c r="AG1030" s="1" t="s">
        <v>57</v>
      </c>
      <c r="AH1030" s="1" t="s">
        <v>27</v>
      </c>
      <c r="AI1030">
        <v>309</v>
      </c>
      <c r="AJ1030">
        <v>216</v>
      </c>
      <c r="AK1030" s="106">
        <v>45475.635467094908</v>
      </c>
      <c r="AL1030" s="1" t="s">
        <v>4790</v>
      </c>
      <c r="AM1030" s="42">
        <f>IFERROR(INDEX('Public procurment'!A:R,MATCH(ListOfExpenditure[[#This Row],[Content.contractId]],'Public procurment'!E:E,0),14),0)</f>
        <v>0</v>
      </c>
      <c r="AN1030" s="2">
        <f>IF(AND(ListOfExpenditure[[#This Row],[Contract amount]]&gt;10000,ListOfExpenditure[[#This Row],[Content.declaredAmount]]&gt;2000),1,0)</f>
        <v>0</v>
      </c>
      <c r="AO1030">
        <f>IFERROR(INDEX('Public procurment'!A:S,MATCH(ListOfExpenditure[[#This Row],[Content.contractId]],'Public procurment'!E:E,0),19),0)</f>
        <v>0</v>
      </c>
      <c r="AP1030">
        <f>IF(ListOfExpenditure[[#This Row],[Numero di volte controllato il contract ]]&gt;0,0,ListOfExpenditure[[#This Row],[IF public procurment &gt;10000;1;0]])</f>
        <v>0</v>
      </c>
    </row>
    <row r="1031" spans="1:42" x14ac:dyDescent="0.25">
      <c r="A1031">
        <v>1086</v>
      </c>
      <c r="B1031">
        <v>18</v>
      </c>
      <c r="E1031" t="s">
        <v>4786</v>
      </c>
      <c r="F1031" t="b">
        <v>0</v>
      </c>
      <c r="I1031" t="s">
        <v>4965</v>
      </c>
      <c r="K1031" t="s">
        <v>5250</v>
      </c>
      <c r="L1031" t="s">
        <v>5250</v>
      </c>
      <c r="M1031" t="s">
        <v>4788</v>
      </c>
      <c r="N1031" t="s">
        <v>4788</v>
      </c>
      <c r="O1031">
        <v>3121.97</v>
      </c>
      <c r="Q1031">
        <v>0</v>
      </c>
      <c r="R1031">
        <v>0</v>
      </c>
      <c r="S1031">
        <v>1560.99</v>
      </c>
      <c r="T1031" t="s">
        <v>4789</v>
      </c>
      <c r="U1031">
        <v>1</v>
      </c>
      <c r="V1031">
        <v>1560.99</v>
      </c>
      <c r="W1031" t="s">
        <v>4343</v>
      </c>
      <c r="Y1031" t="b">
        <v>0</v>
      </c>
      <c r="Z1031" t="b">
        <v>0</v>
      </c>
      <c r="AA1031">
        <v>1560.99</v>
      </c>
      <c r="AB1031">
        <v>0</v>
      </c>
      <c r="AD1031" t="b">
        <v>0</v>
      </c>
      <c r="AG1031" s="1" t="s">
        <v>57</v>
      </c>
      <c r="AH1031" s="1" t="s">
        <v>27</v>
      </c>
      <c r="AI1031">
        <v>309</v>
      </c>
      <c r="AJ1031">
        <v>216</v>
      </c>
      <c r="AK1031" s="106">
        <v>45475.635467094908</v>
      </c>
      <c r="AL1031" s="1" t="s">
        <v>4790</v>
      </c>
      <c r="AM1031" s="42">
        <f>IFERROR(INDEX('Public procurment'!A:R,MATCH(ListOfExpenditure[[#This Row],[Content.contractId]],'Public procurment'!E:E,0),14),0)</f>
        <v>0</v>
      </c>
      <c r="AN1031" s="2">
        <f>IF(AND(ListOfExpenditure[[#This Row],[Contract amount]]&gt;10000,ListOfExpenditure[[#This Row],[Content.declaredAmount]]&gt;2000),1,0)</f>
        <v>0</v>
      </c>
      <c r="AO1031">
        <f>IFERROR(INDEX('Public procurment'!A:S,MATCH(ListOfExpenditure[[#This Row],[Content.contractId]],'Public procurment'!E:E,0),19),0)</f>
        <v>0</v>
      </c>
      <c r="AP1031">
        <f>IF(ListOfExpenditure[[#This Row],[Numero di volte controllato il contract ]]&gt;0,0,ListOfExpenditure[[#This Row],[IF public procurment &gt;10000;1;0]])</f>
        <v>0</v>
      </c>
    </row>
    <row r="1032" spans="1:42" x14ac:dyDescent="0.25">
      <c r="A1032">
        <v>1087</v>
      </c>
      <c r="B1032">
        <v>19</v>
      </c>
      <c r="E1032" t="s">
        <v>4786</v>
      </c>
      <c r="F1032" t="b">
        <v>0</v>
      </c>
      <c r="I1032" t="s">
        <v>4966</v>
      </c>
      <c r="K1032" t="s">
        <v>4883</v>
      </c>
      <c r="L1032" t="s">
        <v>4883</v>
      </c>
      <c r="M1032" t="s">
        <v>4788</v>
      </c>
      <c r="N1032" t="s">
        <v>4788</v>
      </c>
      <c r="O1032">
        <v>3114.01</v>
      </c>
      <c r="Q1032">
        <v>0</v>
      </c>
      <c r="R1032">
        <v>0</v>
      </c>
      <c r="S1032">
        <v>1557.01</v>
      </c>
      <c r="T1032" t="s">
        <v>4789</v>
      </c>
      <c r="U1032">
        <v>1</v>
      </c>
      <c r="V1032">
        <v>1557.01</v>
      </c>
      <c r="W1032" t="s">
        <v>4343</v>
      </c>
      <c r="Y1032" t="b">
        <v>0</v>
      </c>
      <c r="Z1032" t="b">
        <v>0</v>
      </c>
      <c r="AA1032">
        <v>1557.01</v>
      </c>
      <c r="AB1032">
        <v>0</v>
      </c>
      <c r="AD1032" t="b">
        <v>0</v>
      </c>
      <c r="AG1032" s="1" t="s">
        <v>57</v>
      </c>
      <c r="AH1032" s="1" t="s">
        <v>27</v>
      </c>
      <c r="AI1032">
        <v>309</v>
      </c>
      <c r="AJ1032">
        <v>216</v>
      </c>
      <c r="AK1032" s="106">
        <v>45475.635467094908</v>
      </c>
      <c r="AL1032" s="1" t="s">
        <v>4790</v>
      </c>
      <c r="AM1032" s="42">
        <f>IFERROR(INDEX('Public procurment'!A:R,MATCH(ListOfExpenditure[[#This Row],[Content.contractId]],'Public procurment'!E:E,0),14),0)</f>
        <v>0</v>
      </c>
      <c r="AN1032" s="2">
        <f>IF(AND(ListOfExpenditure[[#This Row],[Contract amount]]&gt;10000,ListOfExpenditure[[#This Row],[Content.declaredAmount]]&gt;2000),1,0)</f>
        <v>0</v>
      </c>
      <c r="AO1032">
        <f>IFERROR(INDEX('Public procurment'!A:S,MATCH(ListOfExpenditure[[#This Row],[Content.contractId]],'Public procurment'!E:E,0),19),0)</f>
        <v>0</v>
      </c>
      <c r="AP1032">
        <f>IF(ListOfExpenditure[[#This Row],[Numero di volte controllato il contract ]]&gt;0,0,ListOfExpenditure[[#This Row],[IF public procurment &gt;10000;1;0]])</f>
        <v>0</v>
      </c>
    </row>
    <row r="1033" spans="1:42" x14ac:dyDescent="0.25">
      <c r="A1033">
        <v>1088</v>
      </c>
      <c r="B1033">
        <v>20</v>
      </c>
      <c r="E1033" t="s">
        <v>4786</v>
      </c>
      <c r="F1033" t="b">
        <v>0</v>
      </c>
      <c r="I1033" t="s">
        <v>4968</v>
      </c>
      <c r="K1033" t="s">
        <v>4974</v>
      </c>
      <c r="L1033" t="s">
        <v>4974</v>
      </c>
      <c r="M1033" t="s">
        <v>4788</v>
      </c>
      <c r="N1033" t="s">
        <v>4788</v>
      </c>
      <c r="O1033">
        <v>3055.76</v>
      </c>
      <c r="Q1033">
        <v>0</v>
      </c>
      <c r="R1033">
        <v>0</v>
      </c>
      <c r="S1033">
        <v>1527.88</v>
      </c>
      <c r="T1033" t="s">
        <v>4789</v>
      </c>
      <c r="U1033">
        <v>1</v>
      </c>
      <c r="V1033">
        <v>1527.88</v>
      </c>
      <c r="W1033" t="s">
        <v>4343</v>
      </c>
      <c r="Y1033" t="b">
        <v>0</v>
      </c>
      <c r="Z1033" t="b">
        <v>0</v>
      </c>
      <c r="AA1033">
        <v>1527.88</v>
      </c>
      <c r="AB1033">
        <v>0</v>
      </c>
      <c r="AD1033" t="b">
        <v>0</v>
      </c>
      <c r="AG1033" s="1" t="s">
        <v>57</v>
      </c>
      <c r="AH1033" s="1" t="s">
        <v>27</v>
      </c>
      <c r="AI1033">
        <v>309</v>
      </c>
      <c r="AJ1033">
        <v>216</v>
      </c>
      <c r="AK1033" s="106">
        <v>45475.635467094908</v>
      </c>
      <c r="AL1033" s="1" t="s">
        <v>4790</v>
      </c>
      <c r="AM1033" s="42">
        <f>IFERROR(INDEX('Public procurment'!A:R,MATCH(ListOfExpenditure[[#This Row],[Content.contractId]],'Public procurment'!E:E,0),14),0)</f>
        <v>0</v>
      </c>
      <c r="AN1033" s="2">
        <f>IF(AND(ListOfExpenditure[[#This Row],[Contract amount]]&gt;10000,ListOfExpenditure[[#This Row],[Content.declaredAmount]]&gt;2000),1,0)</f>
        <v>0</v>
      </c>
      <c r="AO1033">
        <f>IFERROR(INDEX('Public procurment'!A:S,MATCH(ListOfExpenditure[[#This Row],[Content.contractId]],'Public procurment'!E:E,0),19),0)</f>
        <v>0</v>
      </c>
      <c r="AP1033">
        <f>IF(ListOfExpenditure[[#This Row],[Numero di volte controllato il contract ]]&gt;0,0,ListOfExpenditure[[#This Row],[IF public procurment &gt;10000;1;0]])</f>
        <v>0</v>
      </c>
    </row>
    <row r="1034" spans="1:42" x14ac:dyDescent="0.25">
      <c r="A1034">
        <v>1091</v>
      </c>
      <c r="B1034">
        <v>21</v>
      </c>
      <c r="E1034" t="s">
        <v>4798</v>
      </c>
      <c r="F1034" t="b">
        <v>0</v>
      </c>
      <c r="I1034" t="s">
        <v>4970</v>
      </c>
      <c r="J1034" t="s">
        <v>5686</v>
      </c>
      <c r="K1034" t="s">
        <v>5687</v>
      </c>
      <c r="L1034" t="s">
        <v>4885</v>
      </c>
      <c r="M1034" t="s">
        <v>4788</v>
      </c>
      <c r="N1034" t="s">
        <v>4788</v>
      </c>
      <c r="O1034">
        <v>128.1</v>
      </c>
      <c r="P1034">
        <v>23.1</v>
      </c>
      <c r="Q1034">
        <v>0</v>
      </c>
      <c r="R1034">
        <v>0</v>
      </c>
      <c r="S1034">
        <v>128.1</v>
      </c>
      <c r="T1034" t="s">
        <v>4789</v>
      </c>
      <c r="U1034">
        <v>1</v>
      </c>
      <c r="V1034">
        <v>128.1</v>
      </c>
      <c r="W1034" t="s">
        <v>4343</v>
      </c>
      <c r="Y1034" t="b">
        <v>0</v>
      </c>
      <c r="Z1034" t="b">
        <v>0</v>
      </c>
      <c r="AA1034">
        <v>128.1</v>
      </c>
      <c r="AB1034">
        <v>0</v>
      </c>
      <c r="AD1034" t="b">
        <v>0</v>
      </c>
      <c r="AG1034" s="1" t="s">
        <v>57</v>
      </c>
      <c r="AH1034" s="1" t="s">
        <v>27</v>
      </c>
      <c r="AI1034">
        <v>309</v>
      </c>
      <c r="AJ1034">
        <v>216</v>
      </c>
      <c r="AK1034" s="106">
        <v>45475.635467094908</v>
      </c>
      <c r="AL1034" s="1" t="s">
        <v>4790</v>
      </c>
      <c r="AM1034" s="42">
        <f>IFERROR(INDEX('Public procurment'!A:R,MATCH(ListOfExpenditure[[#This Row],[Content.contractId]],'Public procurment'!E:E,0),14),0)</f>
        <v>0</v>
      </c>
      <c r="AN1034" s="2">
        <f>IF(AND(ListOfExpenditure[[#This Row],[Contract amount]]&gt;10000,ListOfExpenditure[[#This Row],[Content.declaredAmount]]&gt;2000),1,0)</f>
        <v>0</v>
      </c>
      <c r="AO1034">
        <f>IFERROR(INDEX('Public procurment'!A:S,MATCH(ListOfExpenditure[[#This Row],[Content.contractId]],'Public procurment'!E:E,0),19),0)</f>
        <v>0</v>
      </c>
      <c r="AP1034">
        <f>IF(ListOfExpenditure[[#This Row],[Numero di volte controllato il contract ]]&gt;0,0,ListOfExpenditure[[#This Row],[IF public procurment &gt;10000;1;0]])</f>
        <v>0</v>
      </c>
    </row>
    <row r="1035" spans="1:42" x14ac:dyDescent="0.25">
      <c r="A1035">
        <v>1094</v>
      </c>
      <c r="B1035">
        <v>22</v>
      </c>
      <c r="E1035" t="s">
        <v>4798</v>
      </c>
      <c r="F1035" t="b">
        <v>0</v>
      </c>
      <c r="I1035" t="s">
        <v>5493</v>
      </c>
      <c r="J1035" t="s">
        <v>5688</v>
      </c>
      <c r="K1035" t="s">
        <v>4885</v>
      </c>
      <c r="L1035" t="s">
        <v>4905</v>
      </c>
      <c r="M1035" t="s">
        <v>4788</v>
      </c>
      <c r="N1035" t="s">
        <v>4788</v>
      </c>
      <c r="O1035">
        <v>8967</v>
      </c>
      <c r="P1035">
        <v>1617</v>
      </c>
      <c r="Q1035">
        <v>0</v>
      </c>
      <c r="R1035">
        <v>0</v>
      </c>
      <c r="S1035">
        <v>8967</v>
      </c>
      <c r="T1035" t="s">
        <v>4789</v>
      </c>
      <c r="U1035">
        <v>1</v>
      </c>
      <c r="V1035">
        <v>8967</v>
      </c>
      <c r="W1035" t="s">
        <v>4343</v>
      </c>
      <c r="Y1035" t="b">
        <v>0</v>
      </c>
      <c r="Z1035" t="b">
        <v>0</v>
      </c>
      <c r="AA1035">
        <v>8967</v>
      </c>
      <c r="AB1035">
        <v>0</v>
      </c>
      <c r="AD1035" t="b">
        <v>0</v>
      </c>
      <c r="AG1035" s="1" t="s">
        <v>57</v>
      </c>
      <c r="AH1035" s="1" t="s">
        <v>27</v>
      </c>
      <c r="AI1035">
        <v>309</v>
      </c>
      <c r="AJ1035">
        <v>216</v>
      </c>
      <c r="AK1035" s="106">
        <v>45475.635467094908</v>
      </c>
      <c r="AL1035" s="1" t="s">
        <v>4790</v>
      </c>
      <c r="AM1035" s="42">
        <f>IFERROR(INDEX('Public procurment'!A:R,MATCH(ListOfExpenditure[[#This Row],[Content.contractId]],'Public procurment'!E:E,0),14),0)</f>
        <v>0</v>
      </c>
      <c r="AN1035" s="2">
        <f>IF(AND(ListOfExpenditure[[#This Row],[Contract amount]]&gt;10000,ListOfExpenditure[[#This Row],[Content.declaredAmount]]&gt;2000),1,0)</f>
        <v>0</v>
      </c>
      <c r="AO1035">
        <f>IFERROR(INDEX('Public procurment'!A:S,MATCH(ListOfExpenditure[[#This Row],[Content.contractId]],'Public procurment'!E:E,0),19),0)</f>
        <v>0</v>
      </c>
      <c r="AP1035">
        <f>IF(ListOfExpenditure[[#This Row],[Numero di volte controllato il contract ]]&gt;0,0,ListOfExpenditure[[#This Row],[IF public procurment &gt;10000;1;0]])</f>
        <v>0</v>
      </c>
    </row>
    <row r="1036" spans="1:42" x14ac:dyDescent="0.25">
      <c r="A1036">
        <v>1097</v>
      </c>
      <c r="B1036">
        <v>23</v>
      </c>
      <c r="E1036" t="s">
        <v>4798</v>
      </c>
      <c r="F1036" t="b">
        <v>0</v>
      </c>
      <c r="I1036" t="s">
        <v>5494</v>
      </c>
      <c r="J1036" t="s">
        <v>5689</v>
      </c>
      <c r="K1036" t="s">
        <v>4582</v>
      </c>
      <c r="L1036" t="s">
        <v>4723</v>
      </c>
      <c r="M1036" t="s">
        <v>4788</v>
      </c>
      <c r="N1036" t="s">
        <v>4788</v>
      </c>
      <c r="O1036">
        <v>1940</v>
      </c>
      <c r="P1036">
        <v>349.84</v>
      </c>
      <c r="Q1036">
        <v>0</v>
      </c>
      <c r="R1036">
        <v>0</v>
      </c>
      <c r="S1036">
        <v>1940</v>
      </c>
      <c r="T1036" t="s">
        <v>4789</v>
      </c>
      <c r="U1036">
        <v>1</v>
      </c>
      <c r="V1036">
        <v>1940</v>
      </c>
      <c r="W1036" t="s">
        <v>4343</v>
      </c>
      <c r="Y1036" t="b">
        <v>0</v>
      </c>
      <c r="Z1036" t="b">
        <v>0</v>
      </c>
      <c r="AA1036">
        <v>1940</v>
      </c>
      <c r="AB1036">
        <v>0</v>
      </c>
      <c r="AD1036" t="b">
        <v>0</v>
      </c>
      <c r="AG1036" s="1" t="s">
        <v>57</v>
      </c>
      <c r="AH1036" s="1" t="s">
        <v>27</v>
      </c>
      <c r="AI1036">
        <v>309</v>
      </c>
      <c r="AJ1036">
        <v>216</v>
      </c>
      <c r="AK1036" s="106">
        <v>45475.635467094908</v>
      </c>
      <c r="AL1036" s="1" t="s">
        <v>4790</v>
      </c>
      <c r="AM1036" s="42">
        <f>IFERROR(INDEX('Public procurment'!A:R,MATCH(ListOfExpenditure[[#This Row],[Content.contractId]],'Public procurment'!E:E,0),14),0)</f>
        <v>0</v>
      </c>
      <c r="AN1036" s="2">
        <f>IF(AND(ListOfExpenditure[[#This Row],[Contract amount]]&gt;10000,ListOfExpenditure[[#This Row],[Content.declaredAmount]]&gt;2000),1,0)</f>
        <v>0</v>
      </c>
      <c r="AO1036">
        <f>IFERROR(INDEX('Public procurment'!A:S,MATCH(ListOfExpenditure[[#This Row],[Content.contractId]],'Public procurment'!E:E,0),19),0)</f>
        <v>0</v>
      </c>
      <c r="AP1036">
        <f>IF(ListOfExpenditure[[#This Row],[Numero di volte controllato il contract ]]&gt;0,0,ListOfExpenditure[[#This Row],[IF public procurment &gt;10000;1;0]])</f>
        <v>0</v>
      </c>
    </row>
    <row r="1037" spans="1:42" x14ac:dyDescent="0.25">
      <c r="A1037">
        <v>81</v>
      </c>
      <c r="B1037">
        <v>1</v>
      </c>
      <c r="E1037" t="s">
        <v>4786</v>
      </c>
      <c r="F1037" t="b">
        <v>0</v>
      </c>
      <c r="I1037" t="s">
        <v>4922</v>
      </c>
      <c r="K1037" t="s">
        <v>5690</v>
      </c>
      <c r="L1037" t="s">
        <v>4845</v>
      </c>
      <c r="M1037" t="s">
        <v>4788</v>
      </c>
      <c r="N1037" t="s">
        <v>4788</v>
      </c>
      <c r="O1037">
        <v>50140.959999999999</v>
      </c>
      <c r="Q1037">
        <v>0</v>
      </c>
      <c r="R1037">
        <v>0</v>
      </c>
      <c r="S1037">
        <v>7707.47</v>
      </c>
      <c r="T1037" t="s">
        <v>4789</v>
      </c>
      <c r="U1037">
        <v>1</v>
      </c>
      <c r="V1037">
        <v>7707.47</v>
      </c>
      <c r="W1037" t="s">
        <v>4343</v>
      </c>
      <c r="Y1037" t="b">
        <v>1</v>
      </c>
      <c r="Z1037" t="b">
        <v>0</v>
      </c>
      <c r="AA1037">
        <v>7707.47</v>
      </c>
      <c r="AB1037">
        <v>0</v>
      </c>
      <c r="AD1037" t="b">
        <v>0</v>
      </c>
      <c r="AG1037" s="1" t="s">
        <v>57</v>
      </c>
      <c r="AH1037" s="1" t="s">
        <v>27</v>
      </c>
      <c r="AI1037">
        <v>309</v>
      </c>
      <c r="AJ1037">
        <v>64</v>
      </c>
      <c r="AK1037" s="106">
        <v>45475.635430879629</v>
      </c>
      <c r="AL1037" s="1" t="s">
        <v>4790</v>
      </c>
      <c r="AM1037" s="42">
        <f>IFERROR(INDEX('Public procurment'!A:R,MATCH(ListOfExpenditure[[#This Row],[Content.contractId]],'Public procurment'!E:E,0),14),0)</f>
        <v>0</v>
      </c>
      <c r="AN1037" s="2">
        <f>IF(AND(ListOfExpenditure[[#This Row],[Contract amount]]&gt;10000,ListOfExpenditure[[#This Row],[Content.declaredAmount]]&gt;2000),1,0)</f>
        <v>0</v>
      </c>
      <c r="AO1037">
        <f>IFERROR(INDEX('Public procurment'!A:S,MATCH(ListOfExpenditure[[#This Row],[Content.contractId]],'Public procurment'!E:E,0),19),0)</f>
        <v>0</v>
      </c>
      <c r="AP1037">
        <f>IF(ListOfExpenditure[[#This Row],[Numero di volte controllato il contract ]]&gt;0,0,ListOfExpenditure[[#This Row],[IF public procurment &gt;10000;1;0]])</f>
        <v>0</v>
      </c>
    </row>
    <row r="1038" spans="1:42" x14ac:dyDescent="0.25">
      <c r="A1038">
        <v>82</v>
      </c>
      <c r="B1038">
        <v>2</v>
      </c>
      <c r="E1038" t="s">
        <v>4786</v>
      </c>
      <c r="F1038" t="b">
        <v>0</v>
      </c>
      <c r="I1038" t="s">
        <v>4926</v>
      </c>
      <c r="K1038" t="s">
        <v>5691</v>
      </c>
      <c r="L1038" t="s">
        <v>4845</v>
      </c>
      <c r="M1038" t="s">
        <v>4788</v>
      </c>
      <c r="N1038" t="s">
        <v>4788</v>
      </c>
      <c r="O1038">
        <v>22057.61</v>
      </c>
      <c r="Q1038">
        <v>0</v>
      </c>
      <c r="R1038">
        <v>0</v>
      </c>
      <c r="S1038">
        <v>13541.41</v>
      </c>
      <c r="T1038" t="s">
        <v>4789</v>
      </c>
      <c r="U1038">
        <v>1</v>
      </c>
      <c r="V1038">
        <v>13541.41</v>
      </c>
      <c r="W1038" t="s">
        <v>4343</v>
      </c>
      <c r="Y1038" t="b">
        <v>1</v>
      </c>
      <c r="Z1038" t="b">
        <v>0</v>
      </c>
      <c r="AA1038">
        <v>13541.41</v>
      </c>
      <c r="AB1038">
        <v>0</v>
      </c>
      <c r="AD1038" t="b">
        <v>0</v>
      </c>
      <c r="AG1038" s="1" t="s">
        <v>57</v>
      </c>
      <c r="AH1038" s="1" t="s">
        <v>27</v>
      </c>
      <c r="AI1038">
        <v>309</v>
      </c>
      <c r="AJ1038">
        <v>64</v>
      </c>
      <c r="AK1038" s="106">
        <v>45475.635430879629</v>
      </c>
      <c r="AL1038" s="1" t="s">
        <v>4790</v>
      </c>
      <c r="AM1038" s="42">
        <f>IFERROR(INDEX('Public procurment'!A:R,MATCH(ListOfExpenditure[[#This Row],[Content.contractId]],'Public procurment'!E:E,0),14),0)</f>
        <v>0</v>
      </c>
      <c r="AN1038" s="2">
        <f>IF(AND(ListOfExpenditure[[#This Row],[Contract amount]]&gt;10000,ListOfExpenditure[[#This Row],[Content.declaredAmount]]&gt;2000),1,0)</f>
        <v>0</v>
      </c>
      <c r="AO1038">
        <f>IFERROR(INDEX('Public procurment'!A:S,MATCH(ListOfExpenditure[[#This Row],[Content.contractId]],'Public procurment'!E:E,0),19),0)</f>
        <v>0</v>
      </c>
      <c r="AP1038">
        <f>IF(ListOfExpenditure[[#This Row],[Numero di volte controllato il contract ]]&gt;0,0,ListOfExpenditure[[#This Row],[IF public procurment &gt;10000;1;0]])</f>
        <v>0</v>
      </c>
    </row>
    <row r="1039" spans="1:42" x14ac:dyDescent="0.25">
      <c r="A1039">
        <v>83</v>
      </c>
      <c r="B1039">
        <v>3</v>
      </c>
      <c r="E1039" t="s">
        <v>4786</v>
      </c>
      <c r="F1039" t="b">
        <v>0</v>
      </c>
      <c r="I1039" t="s">
        <v>4929</v>
      </c>
      <c r="K1039" t="s">
        <v>5690</v>
      </c>
      <c r="L1039" t="s">
        <v>4845</v>
      </c>
      <c r="M1039" t="s">
        <v>4788</v>
      </c>
      <c r="N1039" t="s">
        <v>4788</v>
      </c>
      <c r="O1039">
        <v>21843.51</v>
      </c>
      <c r="Q1039">
        <v>0</v>
      </c>
      <c r="R1039">
        <v>0</v>
      </c>
      <c r="S1039">
        <v>9088.11</v>
      </c>
      <c r="T1039" t="s">
        <v>4789</v>
      </c>
      <c r="U1039">
        <v>1</v>
      </c>
      <c r="V1039">
        <v>9088.11</v>
      </c>
      <c r="W1039" t="s">
        <v>4343</v>
      </c>
      <c r="Y1039" t="b">
        <v>1</v>
      </c>
      <c r="Z1039" t="b">
        <v>0</v>
      </c>
      <c r="AA1039">
        <v>8941.98</v>
      </c>
      <c r="AB1039">
        <v>146.13</v>
      </c>
      <c r="AC1039">
        <v>3</v>
      </c>
      <c r="AD1039" t="b">
        <v>0</v>
      </c>
      <c r="AF1039" t="s">
        <v>5692</v>
      </c>
      <c r="AG1039" s="1" t="s">
        <v>57</v>
      </c>
      <c r="AH1039" s="1" t="s">
        <v>27</v>
      </c>
      <c r="AI1039">
        <v>309</v>
      </c>
      <c r="AJ1039">
        <v>64</v>
      </c>
      <c r="AK1039" s="106">
        <v>45475.635430879629</v>
      </c>
      <c r="AL1039" s="1" t="s">
        <v>4790</v>
      </c>
      <c r="AM1039" s="42">
        <f>IFERROR(INDEX('Public procurment'!A:R,MATCH(ListOfExpenditure[[#This Row],[Content.contractId]],'Public procurment'!E:E,0),14),0)</f>
        <v>0</v>
      </c>
      <c r="AN1039" s="2">
        <f>IF(AND(ListOfExpenditure[[#This Row],[Contract amount]]&gt;10000,ListOfExpenditure[[#This Row],[Content.declaredAmount]]&gt;2000),1,0)</f>
        <v>0</v>
      </c>
      <c r="AO1039">
        <f>IFERROR(INDEX('Public procurment'!A:S,MATCH(ListOfExpenditure[[#This Row],[Content.contractId]],'Public procurment'!E:E,0),19),0)</f>
        <v>0</v>
      </c>
      <c r="AP1039">
        <f>IF(ListOfExpenditure[[#This Row],[Numero di volte controllato il contract ]]&gt;0,0,ListOfExpenditure[[#This Row],[IF public procurment &gt;10000;1;0]])</f>
        <v>0</v>
      </c>
    </row>
    <row r="1040" spans="1:42" x14ac:dyDescent="0.25">
      <c r="A1040">
        <v>84</v>
      </c>
      <c r="B1040">
        <v>4</v>
      </c>
      <c r="E1040" t="s">
        <v>4786</v>
      </c>
      <c r="F1040" t="b">
        <v>0</v>
      </c>
      <c r="I1040" t="s">
        <v>4933</v>
      </c>
      <c r="K1040" t="s">
        <v>5690</v>
      </c>
      <c r="L1040" t="s">
        <v>4845</v>
      </c>
      <c r="M1040" t="s">
        <v>4788</v>
      </c>
      <c r="N1040" t="s">
        <v>4788</v>
      </c>
      <c r="O1040">
        <v>25216.23</v>
      </c>
      <c r="Q1040">
        <v>0</v>
      </c>
      <c r="R1040">
        <v>0</v>
      </c>
      <c r="S1040">
        <v>12973.43</v>
      </c>
      <c r="T1040" t="s">
        <v>4789</v>
      </c>
      <c r="U1040">
        <v>1</v>
      </c>
      <c r="V1040">
        <v>12973.43</v>
      </c>
      <c r="W1040" t="s">
        <v>4343</v>
      </c>
      <c r="Y1040" t="b">
        <v>1</v>
      </c>
      <c r="Z1040" t="b">
        <v>0</v>
      </c>
      <c r="AA1040">
        <v>12973.43</v>
      </c>
      <c r="AB1040">
        <v>0</v>
      </c>
      <c r="AD1040" t="b">
        <v>0</v>
      </c>
      <c r="AG1040" s="1" t="s">
        <v>57</v>
      </c>
      <c r="AH1040" s="1" t="s">
        <v>27</v>
      </c>
      <c r="AI1040">
        <v>309</v>
      </c>
      <c r="AJ1040">
        <v>64</v>
      </c>
      <c r="AK1040" s="106">
        <v>45475.635430879629</v>
      </c>
      <c r="AL1040" s="1" t="s">
        <v>4790</v>
      </c>
      <c r="AM1040" s="42">
        <f>IFERROR(INDEX('Public procurment'!A:R,MATCH(ListOfExpenditure[[#This Row],[Content.contractId]],'Public procurment'!E:E,0),14),0)</f>
        <v>0</v>
      </c>
      <c r="AN1040" s="2">
        <f>IF(AND(ListOfExpenditure[[#This Row],[Contract amount]]&gt;10000,ListOfExpenditure[[#This Row],[Content.declaredAmount]]&gt;2000),1,0)</f>
        <v>0</v>
      </c>
      <c r="AO1040">
        <f>IFERROR(INDEX('Public procurment'!A:S,MATCH(ListOfExpenditure[[#This Row],[Content.contractId]],'Public procurment'!E:E,0),19),0)</f>
        <v>0</v>
      </c>
      <c r="AP1040">
        <f>IF(ListOfExpenditure[[#This Row],[Numero di volte controllato il contract ]]&gt;0,0,ListOfExpenditure[[#This Row],[IF public procurment &gt;10000;1;0]])</f>
        <v>0</v>
      </c>
    </row>
    <row r="1041" spans="1:42" x14ac:dyDescent="0.25">
      <c r="A1041">
        <v>85</v>
      </c>
      <c r="B1041">
        <v>5</v>
      </c>
      <c r="E1041" t="s">
        <v>4850</v>
      </c>
      <c r="F1041" t="b">
        <v>0</v>
      </c>
      <c r="I1041" t="s">
        <v>4938</v>
      </c>
      <c r="J1041" t="s">
        <v>5693</v>
      </c>
      <c r="K1041" t="s">
        <v>5694</v>
      </c>
      <c r="L1041" t="s">
        <v>4813</v>
      </c>
      <c r="M1041" t="s">
        <v>4788</v>
      </c>
      <c r="N1041" t="s">
        <v>4788</v>
      </c>
      <c r="O1041">
        <v>2993.25</v>
      </c>
      <c r="P1041">
        <v>539.76</v>
      </c>
      <c r="Q1041">
        <v>0</v>
      </c>
      <c r="R1041">
        <v>0</v>
      </c>
      <c r="S1041">
        <v>2993.25</v>
      </c>
      <c r="T1041" t="s">
        <v>4789</v>
      </c>
      <c r="U1041">
        <v>1</v>
      </c>
      <c r="V1041">
        <v>2993.25</v>
      </c>
      <c r="W1041" t="s">
        <v>4343</v>
      </c>
      <c r="Y1041" t="b">
        <v>1</v>
      </c>
      <c r="Z1041" t="b">
        <v>0</v>
      </c>
      <c r="AA1041">
        <v>2993.25</v>
      </c>
      <c r="AB1041">
        <v>0</v>
      </c>
      <c r="AD1041" t="b">
        <v>0</v>
      </c>
      <c r="AG1041" s="1" t="s">
        <v>57</v>
      </c>
      <c r="AH1041" s="1" t="s">
        <v>27</v>
      </c>
      <c r="AI1041">
        <v>309</v>
      </c>
      <c r="AJ1041">
        <v>64</v>
      </c>
      <c r="AK1041" s="106">
        <v>45475.635430879629</v>
      </c>
      <c r="AL1041" s="1" t="s">
        <v>4790</v>
      </c>
      <c r="AM1041" s="42">
        <f>IFERROR(INDEX('Public procurment'!A:R,MATCH(ListOfExpenditure[[#This Row],[Content.contractId]],'Public procurment'!E:E,0),14),0)</f>
        <v>0</v>
      </c>
      <c r="AN1041" s="2">
        <f>IF(AND(ListOfExpenditure[[#This Row],[Contract amount]]&gt;10000,ListOfExpenditure[[#This Row],[Content.declaredAmount]]&gt;2000),1,0)</f>
        <v>0</v>
      </c>
      <c r="AO1041">
        <f>IFERROR(INDEX('Public procurment'!A:S,MATCH(ListOfExpenditure[[#This Row],[Content.contractId]],'Public procurment'!E:E,0),19),0)</f>
        <v>0</v>
      </c>
      <c r="AP1041">
        <f>IF(ListOfExpenditure[[#This Row],[Numero di volte controllato il contract ]]&gt;0,0,ListOfExpenditure[[#This Row],[IF public procurment &gt;10000;1;0]])</f>
        <v>0</v>
      </c>
    </row>
    <row r="1042" spans="1:42" x14ac:dyDescent="0.25">
      <c r="A1042">
        <v>1192</v>
      </c>
      <c r="B1042">
        <v>1</v>
      </c>
      <c r="E1042" t="s">
        <v>4798</v>
      </c>
      <c r="F1042" t="b">
        <v>0</v>
      </c>
      <c r="I1042" t="s">
        <v>5695</v>
      </c>
      <c r="J1042" t="s">
        <v>212</v>
      </c>
      <c r="K1042" t="s">
        <v>4817</v>
      </c>
      <c r="L1042" t="s">
        <v>4876</v>
      </c>
      <c r="M1042" t="s">
        <v>4788</v>
      </c>
      <c r="N1042" t="s">
        <v>4788</v>
      </c>
      <c r="O1042">
        <v>30000</v>
      </c>
      <c r="P1042">
        <v>0</v>
      </c>
      <c r="Q1042">
        <v>0</v>
      </c>
      <c r="R1042">
        <v>0</v>
      </c>
      <c r="S1042">
        <v>14399</v>
      </c>
      <c r="T1042" t="s">
        <v>4789</v>
      </c>
      <c r="U1042">
        <v>1</v>
      </c>
      <c r="V1042">
        <v>14399</v>
      </c>
      <c r="W1042" t="s">
        <v>4343</v>
      </c>
      <c r="Y1042" t="b">
        <v>1</v>
      </c>
      <c r="Z1042" t="b">
        <v>0</v>
      </c>
      <c r="AA1042">
        <v>14206.22</v>
      </c>
      <c r="AB1042">
        <v>192.78</v>
      </c>
      <c r="AC1042">
        <v>13</v>
      </c>
      <c r="AD1042" t="b">
        <v>0</v>
      </c>
      <c r="AF1042" t="s">
        <v>5696</v>
      </c>
      <c r="AG1042" s="1" t="s">
        <v>57</v>
      </c>
      <c r="AH1042" s="1" t="s">
        <v>20</v>
      </c>
      <c r="AI1042">
        <v>304</v>
      </c>
      <c r="AJ1042">
        <v>243</v>
      </c>
      <c r="AK1042" s="106">
        <v>45475.635475682873</v>
      </c>
      <c r="AL1042" s="1" t="s">
        <v>4790</v>
      </c>
      <c r="AM1042" s="42">
        <f>IFERROR(INDEX('Public procurment'!A:R,MATCH(ListOfExpenditure[[#This Row],[Content.contractId]],'Public procurment'!E:E,0),14),0)</f>
        <v>0</v>
      </c>
      <c r="AN1042" s="2">
        <f>IF(AND(ListOfExpenditure[[#This Row],[Contract amount]]&gt;10000,ListOfExpenditure[[#This Row],[Content.declaredAmount]]&gt;2000),1,0)</f>
        <v>0</v>
      </c>
      <c r="AO1042">
        <f>IFERROR(INDEX('Public procurment'!A:S,MATCH(ListOfExpenditure[[#This Row],[Content.contractId]],'Public procurment'!E:E,0),19),0)</f>
        <v>0</v>
      </c>
      <c r="AP1042">
        <f>IF(ListOfExpenditure[[#This Row],[Numero di volte controllato il contract ]]&gt;0,0,ListOfExpenditure[[#This Row],[IF public procurment &gt;10000;1;0]])</f>
        <v>0</v>
      </c>
    </row>
    <row r="1043" spans="1:42" x14ac:dyDescent="0.25">
      <c r="A1043">
        <v>72</v>
      </c>
      <c r="B1043">
        <v>1</v>
      </c>
      <c r="E1043" t="s">
        <v>4798</v>
      </c>
      <c r="F1043" t="b">
        <v>0</v>
      </c>
      <c r="H1043">
        <v>17</v>
      </c>
      <c r="I1043" t="s">
        <v>5697</v>
      </c>
      <c r="J1043" t="s">
        <v>5698</v>
      </c>
      <c r="K1043" t="s">
        <v>5699</v>
      </c>
      <c r="L1043" t="s">
        <v>5111</v>
      </c>
      <c r="M1043" t="s">
        <v>4788</v>
      </c>
      <c r="N1043" t="s">
        <v>4788</v>
      </c>
      <c r="O1043">
        <v>305</v>
      </c>
      <c r="P1043">
        <v>55</v>
      </c>
      <c r="Q1043">
        <v>0</v>
      </c>
      <c r="R1043">
        <v>0</v>
      </c>
      <c r="S1043">
        <v>305</v>
      </c>
      <c r="T1043" t="s">
        <v>4789</v>
      </c>
      <c r="U1043">
        <v>1</v>
      </c>
      <c r="V1043">
        <v>305</v>
      </c>
      <c r="W1043" t="s">
        <v>4343</v>
      </c>
      <c r="Y1043" t="b">
        <v>1</v>
      </c>
      <c r="Z1043" t="b">
        <v>0</v>
      </c>
      <c r="AA1043">
        <v>305</v>
      </c>
      <c r="AB1043">
        <v>0</v>
      </c>
      <c r="AD1043" t="b">
        <v>0</v>
      </c>
      <c r="AG1043" s="1" t="s">
        <v>57</v>
      </c>
      <c r="AH1043" s="1" t="s">
        <v>20</v>
      </c>
      <c r="AI1043">
        <v>304</v>
      </c>
      <c r="AJ1043">
        <v>39</v>
      </c>
      <c r="AK1043" s="106">
        <v>45475.635422164349</v>
      </c>
      <c r="AL1043" s="1" t="s">
        <v>4790</v>
      </c>
      <c r="AM1043" s="42">
        <f>IFERROR(INDEX('Public procurment'!A:R,MATCH(ListOfExpenditure[[#This Row],[Content.contractId]],'Public procurment'!E:E,0),14),0)</f>
        <v>250</v>
      </c>
      <c r="AN1043" s="2">
        <f>IF(AND(ListOfExpenditure[[#This Row],[Contract amount]]&gt;10000,ListOfExpenditure[[#This Row],[Content.declaredAmount]]&gt;2000),1,0)</f>
        <v>0</v>
      </c>
      <c r="AO1043">
        <f>IFERROR(INDEX('Public procurment'!A:S,MATCH(ListOfExpenditure[[#This Row],[Content.contractId]],'Public procurment'!E:E,0),19),0)</f>
        <v>1</v>
      </c>
      <c r="AP1043">
        <f>IF(ListOfExpenditure[[#This Row],[Numero di volte controllato il contract ]]&gt;0,0,ListOfExpenditure[[#This Row],[IF public procurment &gt;10000;1;0]])</f>
        <v>0</v>
      </c>
    </row>
    <row r="1044" spans="1:42" x14ac:dyDescent="0.25">
      <c r="A1044">
        <v>73</v>
      </c>
      <c r="B1044">
        <v>2</v>
      </c>
      <c r="E1044" t="s">
        <v>4798</v>
      </c>
      <c r="F1044" t="b">
        <v>0</v>
      </c>
      <c r="I1044" t="s">
        <v>212</v>
      </c>
      <c r="J1044" t="s">
        <v>212</v>
      </c>
      <c r="M1044" t="s">
        <v>4788</v>
      </c>
      <c r="N1044" t="s">
        <v>4788</v>
      </c>
      <c r="O1044">
        <v>0</v>
      </c>
      <c r="P1044">
        <v>0</v>
      </c>
      <c r="Q1044">
        <v>0</v>
      </c>
      <c r="R1044">
        <v>0</v>
      </c>
      <c r="S1044">
        <v>0</v>
      </c>
      <c r="T1044" t="s">
        <v>4789</v>
      </c>
      <c r="U1044">
        <v>1</v>
      </c>
      <c r="V1044">
        <v>0</v>
      </c>
      <c r="Y1044" t="b">
        <v>0</v>
      </c>
      <c r="Z1044" t="b">
        <v>0</v>
      </c>
      <c r="AA1044">
        <v>0</v>
      </c>
      <c r="AB1044">
        <v>0</v>
      </c>
      <c r="AD1044" t="b">
        <v>0</v>
      </c>
      <c r="AG1044" s="1" t="s">
        <v>57</v>
      </c>
      <c r="AH1044" s="1" t="s">
        <v>20</v>
      </c>
      <c r="AI1044">
        <v>304</v>
      </c>
      <c r="AJ1044">
        <v>39</v>
      </c>
      <c r="AK1044" s="106">
        <v>45475.635422164349</v>
      </c>
      <c r="AL1044" s="1" t="s">
        <v>4790</v>
      </c>
      <c r="AM1044" s="42">
        <f>IFERROR(INDEX('Public procurment'!A:R,MATCH(ListOfExpenditure[[#This Row],[Content.contractId]],'Public procurment'!E:E,0),14),0)</f>
        <v>0</v>
      </c>
      <c r="AN1044" s="2">
        <f>IF(AND(ListOfExpenditure[[#This Row],[Contract amount]]&gt;10000,ListOfExpenditure[[#This Row],[Content.declaredAmount]]&gt;2000),1,0)</f>
        <v>0</v>
      </c>
      <c r="AO1044">
        <f>IFERROR(INDEX('Public procurment'!A:S,MATCH(ListOfExpenditure[[#This Row],[Content.contractId]],'Public procurment'!E:E,0),19),0)</f>
        <v>0</v>
      </c>
      <c r="AP1044">
        <f>IF(ListOfExpenditure[[#This Row],[Numero di volte controllato il contract ]]&gt;0,0,ListOfExpenditure[[#This Row],[IF public procurment &gt;10000;1;0]])</f>
        <v>0</v>
      </c>
    </row>
    <row r="1045" spans="1:42" x14ac:dyDescent="0.25">
      <c r="A1045">
        <v>74</v>
      </c>
      <c r="B1045">
        <v>3</v>
      </c>
      <c r="E1045" t="s">
        <v>4798</v>
      </c>
      <c r="F1045" t="b">
        <v>0</v>
      </c>
      <c r="I1045" t="s">
        <v>212</v>
      </c>
      <c r="J1045" t="s">
        <v>212</v>
      </c>
      <c r="M1045" t="s">
        <v>4788</v>
      </c>
      <c r="N1045" t="s">
        <v>4788</v>
      </c>
      <c r="O1045">
        <v>0</v>
      </c>
      <c r="P1045">
        <v>0</v>
      </c>
      <c r="Q1045">
        <v>0</v>
      </c>
      <c r="R1045">
        <v>0</v>
      </c>
      <c r="S1045">
        <v>0</v>
      </c>
      <c r="T1045" t="s">
        <v>4789</v>
      </c>
      <c r="U1045">
        <v>1</v>
      </c>
      <c r="V1045">
        <v>0</v>
      </c>
      <c r="Y1045" t="b">
        <v>0</v>
      </c>
      <c r="Z1045" t="b">
        <v>0</v>
      </c>
      <c r="AA1045">
        <v>0</v>
      </c>
      <c r="AB1045">
        <v>0</v>
      </c>
      <c r="AD1045" t="b">
        <v>0</v>
      </c>
      <c r="AG1045" s="1" t="s">
        <v>57</v>
      </c>
      <c r="AH1045" s="1" t="s">
        <v>20</v>
      </c>
      <c r="AI1045">
        <v>304</v>
      </c>
      <c r="AJ1045">
        <v>39</v>
      </c>
      <c r="AK1045" s="106">
        <v>45475.635422164349</v>
      </c>
      <c r="AL1045" s="1" t="s">
        <v>4790</v>
      </c>
      <c r="AM1045" s="42">
        <f>IFERROR(INDEX('Public procurment'!A:R,MATCH(ListOfExpenditure[[#This Row],[Content.contractId]],'Public procurment'!E:E,0),14),0)</f>
        <v>0</v>
      </c>
      <c r="AN1045" s="2">
        <f>IF(AND(ListOfExpenditure[[#This Row],[Contract amount]]&gt;10000,ListOfExpenditure[[#This Row],[Content.declaredAmount]]&gt;2000),1,0)</f>
        <v>0</v>
      </c>
      <c r="AO1045">
        <f>IFERROR(INDEX('Public procurment'!A:S,MATCH(ListOfExpenditure[[#This Row],[Content.contractId]],'Public procurment'!E:E,0),19),0)</f>
        <v>0</v>
      </c>
      <c r="AP1045">
        <f>IF(ListOfExpenditure[[#This Row],[Numero di volte controllato il contract ]]&gt;0,0,ListOfExpenditure[[#This Row],[IF public procurment &gt;10000;1;0]])</f>
        <v>0</v>
      </c>
    </row>
    <row r="1046" spans="1:42" x14ac:dyDescent="0.25">
      <c r="A1046">
        <v>75</v>
      </c>
      <c r="B1046">
        <v>4</v>
      </c>
      <c r="E1046" t="s">
        <v>4798</v>
      </c>
      <c r="F1046" t="b">
        <v>0</v>
      </c>
      <c r="I1046" t="s">
        <v>212</v>
      </c>
      <c r="J1046" t="s">
        <v>212</v>
      </c>
      <c r="M1046" t="s">
        <v>4788</v>
      </c>
      <c r="N1046" t="s">
        <v>4788</v>
      </c>
      <c r="O1046">
        <v>0</v>
      </c>
      <c r="P1046">
        <v>0</v>
      </c>
      <c r="Q1046">
        <v>0</v>
      </c>
      <c r="R1046">
        <v>0</v>
      </c>
      <c r="S1046">
        <v>0</v>
      </c>
      <c r="T1046" t="s">
        <v>4789</v>
      </c>
      <c r="U1046">
        <v>1</v>
      </c>
      <c r="V1046">
        <v>0</v>
      </c>
      <c r="Y1046" t="b">
        <v>0</v>
      </c>
      <c r="Z1046" t="b">
        <v>0</v>
      </c>
      <c r="AA1046">
        <v>0</v>
      </c>
      <c r="AB1046">
        <v>0</v>
      </c>
      <c r="AD1046" t="b">
        <v>0</v>
      </c>
      <c r="AG1046" s="1" t="s">
        <v>57</v>
      </c>
      <c r="AH1046" s="1" t="s">
        <v>20</v>
      </c>
      <c r="AI1046">
        <v>304</v>
      </c>
      <c r="AJ1046">
        <v>39</v>
      </c>
      <c r="AK1046" s="106">
        <v>45475.635422164349</v>
      </c>
      <c r="AL1046" s="1" t="s">
        <v>4790</v>
      </c>
      <c r="AM1046" s="42">
        <f>IFERROR(INDEX('Public procurment'!A:R,MATCH(ListOfExpenditure[[#This Row],[Content.contractId]],'Public procurment'!E:E,0),14),0)</f>
        <v>0</v>
      </c>
      <c r="AN1046" s="2">
        <f>IF(AND(ListOfExpenditure[[#This Row],[Contract amount]]&gt;10000,ListOfExpenditure[[#This Row],[Content.declaredAmount]]&gt;2000),1,0)</f>
        <v>0</v>
      </c>
      <c r="AO1046">
        <f>IFERROR(INDEX('Public procurment'!A:S,MATCH(ListOfExpenditure[[#This Row],[Content.contractId]],'Public procurment'!E:E,0),19),0)</f>
        <v>0</v>
      </c>
      <c r="AP1046">
        <f>IF(ListOfExpenditure[[#This Row],[Numero di volte controllato il contract ]]&gt;0,0,ListOfExpenditure[[#This Row],[IF public procurment &gt;10000;1;0]])</f>
        <v>0</v>
      </c>
    </row>
    <row r="1047" spans="1:42" x14ac:dyDescent="0.25">
      <c r="A1047">
        <v>76</v>
      </c>
      <c r="B1047">
        <v>5</v>
      </c>
      <c r="E1047" t="s">
        <v>4798</v>
      </c>
      <c r="F1047" t="b">
        <v>0</v>
      </c>
      <c r="I1047" t="s">
        <v>212</v>
      </c>
      <c r="J1047" t="s">
        <v>212</v>
      </c>
      <c r="M1047" t="s">
        <v>4788</v>
      </c>
      <c r="N1047" t="s">
        <v>4788</v>
      </c>
      <c r="O1047">
        <v>0</v>
      </c>
      <c r="P1047">
        <v>0</v>
      </c>
      <c r="Q1047">
        <v>0</v>
      </c>
      <c r="R1047">
        <v>0</v>
      </c>
      <c r="S1047">
        <v>0</v>
      </c>
      <c r="T1047" t="s">
        <v>4789</v>
      </c>
      <c r="U1047">
        <v>1</v>
      </c>
      <c r="V1047">
        <v>0</v>
      </c>
      <c r="Y1047" t="b">
        <v>0</v>
      </c>
      <c r="Z1047" t="b">
        <v>0</v>
      </c>
      <c r="AA1047">
        <v>0</v>
      </c>
      <c r="AB1047">
        <v>0</v>
      </c>
      <c r="AD1047" t="b">
        <v>0</v>
      </c>
      <c r="AG1047" s="1" t="s">
        <v>57</v>
      </c>
      <c r="AH1047" s="1" t="s">
        <v>20</v>
      </c>
      <c r="AI1047">
        <v>304</v>
      </c>
      <c r="AJ1047">
        <v>39</v>
      </c>
      <c r="AK1047" s="106">
        <v>45475.635422164349</v>
      </c>
      <c r="AL1047" s="1" t="s">
        <v>4790</v>
      </c>
      <c r="AM1047" s="42">
        <f>IFERROR(INDEX('Public procurment'!A:R,MATCH(ListOfExpenditure[[#This Row],[Content.contractId]],'Public procurment'!E:E,0),14),0)</f>
        <v>0</v>
      </c>
      <c r="AN1047" s="2">
        <f>IF(AND(ListOfExpenditure[[#This Row],[Contract amount]]&gt;10000,ListOfExpenditure[[#This Row],[Content.declaredAmount]]&gt;2000),1,0)</f>
        <v>0</v>
      </c>
      <c r="AO1047">
        <f>IFERROR(INDEX('Public procurment'!A:S,MATCH(ListOfExpenditure[[#This Row],[Content.contractId]],'Public procurment'!E:E,0),19),0)</f>
        <v>0</v>
      </c>
      <c r="AP1047">
        <f>IF(ListOfExpenditure[[#This Row],[Numero di volte controllato il contract ]]&gt;0,0,ListOfExpenditure[[#This Row],[IF public procurment &gt;10000;1;0]])</f>
        <v>0</v>
      </c>
    </row>
    <row r="1048" spans="1:42" x14ac:dyDescent="0.25">
      <c r="A1048">
        <v>77</v>
      </c>
      <c r="B1048">
        <v>6</v>
      </c>
      <c r="E1048" t="s">
        <v>4798</v>
      </c>
      <c r="F1048" t="b">
        <v>0</v>
      </c>
      <c r="I1048" t="s">
        <v>212</v>
      </c>
      <c r="J1048" t="s">
        <v>212</v>
      </c>
      <c r="M1048" t="s">
        <v>4788</v>
      </c>
      <c r="N1048" t="s">
        <v>4788</v>
      </c>
      <c r="O1048">
        <v>0</v>
      </c>
      <c r="P1048">
        <v>0</v>
      </c>
      <c r="Q1048">
        <v>0</v>
      </c>
      <c r="R1048">
        <v>0</v>
      </c>
      <c r="S1048">
        <v>0</v>
      </c>
      <c r="T1048" t="s">
        <v>4789</v>
      </c>
      <c r="U1048">
        <v>1</v>
      </c>
      <c r="V1048">
        <v>0</v>
      </c>
      <c r="Y1048" t="b">
        <v>0</v>
      </c>
      <c r="Z1048" t="b">
        <v>0</v>
      </c>
      <c r="AA1048">
        <v>0</v>
      </c>
      <c r="AB1048">
        <v>0</v>
      </c>
      <c r="AD1048" t="b">
        <v>0</v>
      </c>
      <c r="AG1048" s="1" t="s">
        <v>57</v>
      </c>
      <c r="AH1048" s="1" t="s">
        <v>20</v>
      </c>
      <c r="AI1048">
        <v>304</v>
      </c>
      <c r="AJ1048">
        <v>39</v>
      </c>
      <c r="AK1048" s="106">
        <v>45475.635422164349</v>
      </c>
      <c r="AL1048" s="1" t="s">
        <v>4790</v>
      </c>
      <c r="AM1048" s="42">
        <f>IFERROR(INDEX('Public procurment'!A:R,MATCH(ListOfExpenditure[[#This Row],[Content.contractId]],'Public procurment'!E:E,0),14),0)</f>
        <v>0</v>
      </c>
      <c r="AN1048" s="2">
        <f>IF(AND(ListOfExpenditure[[#This Row],[Contract amount]]&gt;10000,ListOfExpenditure[[#This Row],[Content.declaredAmount]]&gt;2000),1,0)</f>
        <v>0</v>
      </c>
      <c r="AO1048">
        <f>IFERROR(INDEX('Public procurment'!A:S,MATCH(ListOfExpenditure[[#This Row],[Content.contractId]],'Public procurment'!E:E,0),19),0)</f>
        <v>0</v>
      </c>
      <c r="AP1048">
        <f>IF(ListOfExpenditure[[#This Row],[Numero di volte controllato il contract ]]&gt;0,0,ListOfExpenditure[[#This Row],[IF public procurment &gt;10000;1;0]])</f>
        <v>0</v>
      </c>
    </row>
    <row r="1049" spans="1:42" x14ac:dyDescent="0.25">
      <c r="A1049">
        <v>2087</v>
      </c>
      <c r="B1049">
        <v>1</v>
      </c>
      <c r="E1049" t="s">
        <v>4798</v>
      </c>
      <c r="F1049" t="b">
        <v>0</v>
      </c>
      <c r="G1049">
        <v>515</v>
      </c>
      <c r="I1049" t="s">
        <v>212</v>
      </c>
      <c r="J1049" t="s">
        <v>212</v>
      </c>
      <c r="M1049" t="s">
        <v>4788</v>
      </c>
      <c r="N1049" t="s">
        <v>4788</v>
      </c>
      <c r="O1049">
        <v>0</v>
      </c>
      <c r="P1049">
        <v>0</v>
      </c>
      <c r="Q1049">
        <v>0</v>
      </c>
      <c r="R1049">
        <v>0</v>
      </c>
      <c r="S1049">
        <v>0</v>
      </c>
      <c r="T1049" t="s">
        <v>4789</v>
      </c>
      <c r="U1049">
        <v>1</v>
      </c>
      <c r="V1049">
        <v>0</v>
      </c>
      <c r="Y1049" t="b">
        <v>0</v>
      </c>
      <c r="Z1049" t="b">
        <v>0</v>
      </c>
      <c r="AA1049">
        <v>0</v>
      </c>
      <c r="AB1049">
        <v>0</v>
      </c>
      <c r="AD1049" t="b">
        <v>0</v>
      </c>
      <c r="AG1049" s="1" t="s">
        <v>57</v>
      </c>
      <c r="AH1049" s="1" t="s">
        <v>380</v>
      </c>
      <c r="AI1049">
        <v>307</v>
      </c>
      <c r="AJ1049">
        <v>245</v>
      </c>
      <c r="AK1049" s="106">
        <v>45475.635532418979</v>
      </c>
      <c r="AL1049" s="1" t="s">
        <v>4790</v>
      </c>
      <c r="AM1049" s="42">
        <f>IFERROR(INDEX('Public procurment'!A:R,MATCH(ListOfExpenditure[[#This Row],[Content.contractId]],'Public procurment'!E:E,0),14),0)</f>
        <v>0</v>
      </c>
      <c r="AN1049" s="2">
        <f>IF(AND(ListOfExpenditure[[#This Row],[Contract amount]]&gt;10000,ListOfExpenditure[[#This Row],[Content.declaredAmount]]&gt;2000),1,0)</f>
        <v>0</v>
      </c>
      <c r="AO1049">
        <f>IFERROR(INDEX('Public procurment'!A:S,MATCH(ListOfExpenditure[[#This Row],[Content.contractId]],'Public procurment'!E:E,0),19),0)</f>
        <v>0</v>
      </c>
      <c r="AP1049">
        <f>IF(ListOfExpenditure[[#This Row],[Numero di volte controllato il contract ]]&gt;0,0,ListOfExpenditure[[#This Row],[IF public procurment &gt;10000;1;0]])</f>
        <v>0</v>
      </c>
    </row>
    <row r="1050" spans="1:42" x14ac:dyDescent="0.25">
      <c r="A1050">
        <v>1671</v>
      </c>
      <c r="B1050">
        <v>1</v>
      </c>
      <c r="E1050" t="s">
        <v>4786</v>
      </c>
      <c r="F1050" t="b">
        <v>0</v>
      </c>
      <c r="I1050" t="s">
        <v>212</v>
      </c>
      <c r="K1050" t="s">
        <v>4682</v>
      </c>
      <c r="L1050" t="s">
        <v>4682</v>
      </c>
      <c r="M1050" t="s">
        <v>4788</v>
      </c>
      <c r="N1050" t="s">
        <v>4788</v>
      </c>
      <c r="O1050">
        <v>11451.73</v>
      </c>
      <c r="Q1050">
        <v>0</v>
      </c>
      <c r="R1050">
        <v>0</v>
      </c>
      <c r="S1050">
        <v>11094.42</v>
      </c>
      <c r="T1050" t="s">
        <v>4789</v>
      </c>
      <c r="U1050">
        <v>1</v>
      </c>
      <c r="V1050">
        <v>11094.42</v>
      </c>
      <c r="W1050" t="s">
        <v>4343</v>
      </c>
      <c r="Y1050" t="b">
        <v>1</v>
      </c>
      <c r="Z1050" t="b">
        <v>0</v>
      </c>
      <c r="AA1050">
        <v>10793.59</v>
      </c>
      <c r="AB1050">
        <v>300.83</v>
      </c>
      <c r="AC1050">
        <v>14</v>
      </c>
      <c r="AD1050" t="b">
        <v>0</v>
      </c>
      <c r="AF1050" t="s">
        <v>5700</v>
      </c>
      <c r="AG1050" s="1" t="s">
        <v>57</v>
      </c>
      <c r="AH1050" s="1" t="s">
        <v>50</v>
      </c>
      <c r="AI1050">
        <v>310</v>
      </c>
      <c r="AJ1050">
        <v>210</v>
      </c>
      <c r="AK1050" s="106">
        <v>45475.635518703704</v>
      </c>
      <c r="AL1050" s="1" t="s">
        <v>4790</v>
      </c>
      <c r="AM1050" s="42">
        <f>IFERROR(INDEX('Public procurment'!A:R,MATCH(ListOfExpenditure[[#This Row],[Content.contractId]],'Public procurment'!E:E,0),14),0)</f>
        <v>0</v>
      </c>
      <c r="AN1050" s="2">
        <f>IF(AND(ListOfExpenditure[[#This Row],[Contract amount]]&gt;10000,ListOfExpenditure[[#This Row],[Content.declaredAmount]]&gt;2000),1,0)</f>
        <v>0</v>
      </c>
      <c r="AO1050">
        <f>IFERROR(INDEX('Public procurment'!A:S,MATCH(ListOfExpenditure[[#This Row],[Content.contractId]],'Public procurment'!E:E,0),19),0)</f>
        <v>0</v>
      </c>
      <c r="AP1050">
        <f>IF(ListOfExpenditure[[#This Row],[Numero di volte controllato il contract ]]&gt;0,0,ListOfExpenditure[[#This Row],[IF public procurment &gt;10000;1;0]])</f>
        <v>0</v>
      </c>
    </row>
    <row r="1051" spans="1:42" x14ac:dyDescent="0.25">
      <c r="A1051">
        <v>1672</v>
      </c>
      <c r="B1051">
        <v>2</v>
      </c>
      <c r="E1051" t="s">
        <v>4786</v>
      </c>
      <c r="F1051" t="b">
        <v>0</v>
      </c>
      <c r="I1051" t="s">
        <v>212</v>
      </c>
      <c r="K1051" t="s">
        <v>4682</v>
      </c>
      <c r="L1051" t="s">
        <v>4682</v>
      </c>
      <c r="M1051" t="s">
        <v>4788</v>
      </c>
      <c r="N1051" t="s">
        <v>4788</v>
      </c>
      <c r="O1051">
        <v>9090.2999999999993</v>
      </c>
      <c r="Q1051">
        <v>0</v>
      </c>
      <c r="R1051">
        <v>0</v>
      </c>
      <c r="S1051">
        <v>8896.91</v>
      </c>
      <c r="T1051" t="s">
        <v>4789</v>
      </c>
      <c r="U1051">
        <v>1</v>
      </c>
      <c r="V1051">
        <v>8896.91</v>
      </c>
      <c r="W1051" t="s">
        <v>4343</v>
      </c>
      <c r="Y1051" t="b">
        <v>1</v>
      </c>
      <c r="Z1051" t="b">
        <v>0</v>
      </c>
      <c r="AA1051">
        <v>8896.91</v>
      </c>
      <c r="AB1051">
        <v>0</v>
      </c>
      <c r="AD1051" t="b">
        <v>0</v>
      </c>
      <c r="AG1051" s="1" t="s">
        <v>57</v>
      </c>
      <c r="AH1051" s="1" t="s">
        <v>50</v>
      </c>
      <c r="AI1051">
        <v>310</v>
      </c>
      <c r="AJ1051">
        <v>210</v>
      </c>
      <c r="AK1051" s="106">
        <v>45475.635518703704</v>
      </c>
      <c r="AL1051" s="1" t="s">
        <v>4790</v>
      </c>
      <c r="AM1051" s="42">
        <f>IFERROR(INDEX('Public procurment'!A:R,MATCH(ListOfExpenditure[[#This Row],[Content.contractId]],'Public procurment'!E:E,0),14),0)</f>
        <v>0</v>
      </c>
      <c r="AN1051" s="2">
        <f>IF(AND(ListOfExpenditure[[#This Row],[Contract amount]]&gt;10000,ListOfExpenditure[[#This Row],[Content.declaredAmount]]&gt;2000),1,0)</f>
        <v>0</v>
      </c>
      <c r="AO1051">
        <f>IFERROR(INDEX('Public procurment'!A:S,MATCH(ListOfExpenditure[[#This Row],[Content.contractId]],'Public procurment'!E:E,0),19),0)</f>
        <v>0</v>
      </c>
      <c r="AP1051">
        <f>IF(ListOfExpenditure[[#This Row],[Numero di volte controllato il contract ]]&gt;0,0,ListOfExpenditure[[#This Row],[IF public procurment &gt;10000;1;0]])</f>
        <v>0</v>
      </c>
    </row>
    <row r="1052" spans="1:42" x14ac:dyDescent="0.25">
      <c r="A1052">
        <v>1673</v>
      </c>
      <c r="B1052">
        <v>3</v>
      </c>
      <c r="E1052" t="s">
        <v>4786</v>
      </c>
      <c r="F1052" t="b">
        <v>0</v>
      </c>
      <c r="I1052" t="s">
        <v>212</v>
      </c>
      <c r="K1052" t="s">
        <v>4682</v>
      </c>
      <c r="L1052" t="s">
        <v>4682</v>
      </c>
      <c r="M1052" t="s">
        <v>4788</v>
      </c>
      <c r="N1052" t="s">
        <v>4788</v>
      </c>
      <c r="O1052">
        <v>2512.65</v>
      </c>
      <c r="Q1052">
        <v>0</v>
      </c>
      <c r="R1052">
        <v>0</v>
      </c>
      <c r="S1052">
        <v>2512.65</v>
      </c>
      <c r="T1052" t="s">
        <v>4789</v>
      </c>
      <c r="U1052">
        <v>1</v>
      </c>
      <c r="V1052">
        <v>2512.65</v>
      </c>
      <c r="W1052" t="s">
        <v>4343</v>
      </c>
      <c r="Y1052" t="b">
        <v>1</v>
      </c>
      <c r="Z1052" t="b">
        <v>0</v>
      </c>
      <c r="AA1052">
        <v>2512.65</v>
      </c>
      <c r="AB1052">
        <v>0</v>
      </c>
      <c r="AD1052" t="b">
        <v>0</v>
      </c>
      <c r="AG1052" s="1" t="s">
        <v>57</v>
      </c>
      <c r="AH1052" s="1" t="s">
        <v>50</v>
      </c>
      <c r="AI1052">
        <v>310</v>
      </c>
      <c r="AJ1052">
        <v>210</v>
      </c>
      <c r="AK1052" s="106">
        <v>45475.635518703704</v>
      </c>
      <c r="AL1052" s="1" t="s">
        <v>4790</v>
      </c>
      <c r="AM1052" s="42">
        <f>IFERROR(INDEX('Public procurment'!A:R,MATCH(ListOfExpenditure[[#This Row],[Content.contractId]],'Public procurment'!E:E,0),14),0)</f>
        <v>0</v>
      </c>
      <c r="AN1052" s="2">
        <f>IF(AND(ListOfExpenditure[[#This Row],[Contract amount]]&gt;10000,ListOfExpenditure[[#This Row],[Content.declaredAmount]]&gt;2000),1,0)</f>
        <v>0</v>
      </c>
      <c r="AO1052">
        <f>IFERROR(INDEX('Public procurment'!A:S,MATCH(ListOfExpenditure[[#This Row],[Content.contractId]],'Public procurment'!E:E,0),19),0)</f>
        <v>0</v>
      </c>
      <c r="AP1052">
        <f>IF(ListOfExpenditure[[#This Row],[Numero di volte controllato il contract ]]&gt;0,0,ListOfExpenditure[[#This Row],[IF public procurment &gt;10000;1;0]])</f>
        <v>0</v>
      </c>
    </row>
    <row r="1053" spans="1:42" x14ac:dyDescent="0.25">
      <c r="A1053">
        <v>1680</v>
      </c>
      <c r="B1053">
        <v>4</v>
      </c>
      <c r="E1053" t="s">
        <v>4798</v>
      </c>
      <c r="F1053" t="b">
        <v>0</v>
      </c>
      <c r="H1053">
        <v>244</v>
      </c>
      <c r="I1053" t="s">
        <v>212</v>
      </c>
      <c r="J1053" t="s">
        <v>5701</v>
      </c>
      <c r="K1053" t="s">
        <v>5064</v>
      </c>
      <c r="L1053" t="s">
        <v>4954</v>
      </c>
      <c r="M1053" t="s">
        <v>4788</v>
      </c>
      <c r="N1053" t="s">
        <v>4788</v>
      </c>
      <c r="O1053">
        <v>660</v>
      </c>
      <c r="P1053">
        <v>86.06</v>
      </c>
      <c r="Q1053">
        <v>0</v>
      </c>
      <c r="R1053">
        <v>0</v>
      </c>
      <c r="S1053">
        <v>660</v>
      </c>
      <c r="T1053" t="s">
        <v>4789</v>
      </c>
      <c r="U1053">
        <v>1</v>
      </c>
      <c r="V1053">
        <v>660</v>
      </c>
      <c r="W1053" t="s">
        <v>4343</v>
      </c>
      <c r="Y1053" t="b">
        <v>1</v>
      </c>
      <c r="Z1053" t="b">
        <v>0</v>
      </c>
      <c r="AA1053">
        <v>660</v>
      </c>
      <c r="AB1053">
        <v>0</v>
      </c>
      <c r="AD1053" t="b">
        <v>0</v>
      </c>
      <c r="AG1053" s="1" t="s">
        <v>57</v>
      </c>
      <c r="AH1053" s="1" t="s">
        <v>50</v>
      </c>
      <c r="AI1053">
        <v>310</v>
      </c>
      <c r="AJ1053">
        <v>210</v>
      </c>
      <c r="AK1053" s="106">
        <v>45475.635518703704</v>
      </c>
      <c r="AL1053" s="1" t="s">
        <v>4790</v>
      </c>
      <c r="AM1053" s="42">
        <f>IFERROR(INDEX('Public procurment'!A:R,MATCH(ListOfExpenditure[[#This Row],[Content.contractId]],'Public procurment'!E:E,0),14),0)</f>
        <v>660</v>
      </c>
      <c r="AN1053" s="2">
        <f>IF(AND(ListOfExpenditure[[#This Row],[Contract amount]]&gt;10000,ListOfExpenditure[[#This Row],[Content.declaredAmount]]&gt;2000),1,0)</f>
        <v>0</v>
      </c>
      <c r="AO1053">
        <f>IFERROR(INDEX('Public procurment'!A:S,MATCH(ListOfExpenditure[[#This Row],[Content.contractId]],'Public procurment'!E:E,0),19),0)</f>
        <v>1</v>
      </c>
      <c r="AP1053">
        <f>IF(ListOfExpenditure[[#This Row],[Numero di volte controllato il contract ]]&gt;0,0,ListOfExpenditure[[#This Row],[IF public procurment &gt;10000;1;0]])</f>
        <v>0</v>
      </c>
    </row>
    <row r="1054" spans="1:42" x14ac:dyDescent="0.25">
      <c r="A1054">
        <v>1681</v>
      </c>
      <c r="B1054">
        <v>5</v>
      </c>
      <c r="E1054" t="s">
        <v>4798</v>
      </c>
      <c r="F1054" t="b">
        <v>0</v>
      </c>
      <c r="H1054">
        <v>245</v>
      </c>
      <c r="I1054" t="s">
        <v>212</v>
      </c>
      <c r="J1054" t="s">
        <v>5702</v>
      </c>
      <c r="K1054" t="s">
        <v>5108</v>
      </c>
      <c r="L1054" t="s">
        <v>5112</v>
      </c>
      <c r="M1054" t="s">
        <v>4788</v>
      </c>
      <c r="N1054" t="s">
        <v>4788</v>
      </c>
      <c r="O1054">
        <v>439.2</v>
      </c>
      <c r="P1054">
        <v>79.2</v>
      </c>
      <c r="Q1054">
        <v>0</v>
      </c>
      <c r="R1054">
        <v>0</v>
      </c>
      <c r="S1054">
        <v>439.2</v>
      </c>
      <c r="T1054" t="s">
        <v>4789</v>
      </c>
      <c r="U1054">
        <v>1</v>
      </c>
      <c r="V1054">
        <v>439.2</v>
      </c>
      <c r="W1054" t="s">
        <v>4343</v>
      </c>
      <c r="Y1054" t="b">
        <v>1</v>
      </c>
      <c r="Z1054" t="b">
        <v>0</v>
      </c>
      <c r="AA1054">
        <v>439.2</v>
      </c>
      <c r="AB1054">
        <v>0</v>
      </c>
      <c r="AD1054" t="b">
        <v>0</v>
      </c>
      <c r="AG1054" s="1" t="s">
        <v>57</v>
      </c>
      <c r="AH1054" s="1" t="s">
        <v>50</v>
      </c>
      <c r="AI1054">
        <v>310</v>
      </c>
      <c r="AJ1054">
        <v>210</v>
      </c>
      <c r="AK1054" s="106">
        <v>45475.635518703704</v>
      </c>
      <c r="AL1054" s="1" t="s">
        <v>4790</v>
      </c>
      <c r="AM1054" s="42">
        <f>IFERROR(INDEX('Public procurment'!A:R,MATCH(ListOfExpenditure[[#This Row],[Content.contractId]],'Public procurment'!E:E,0),14),0)</f>
        <v>439.2</v>
      </c>
      <c r="AN1054" s="2">
        <f>IF(AND(ListOfExpenditure[[#This Row],[Contract amount]]&gt;10000,ListOfExpenditure[[#This Row],[Content.declaredAmount]]&gt;2000),1,0)</f>
        <v>0</v>
      </c>
      <c r="AO1054">
        <f>IFERROR(INDEX('Public procurment'!A:S,MATCH(ListOfExpenditure[[#This Row],[Content.contractId]],'Public procurment'!E:E,0),19),0)</f>
        <v>1</v>
      </c>
      <c r="AP1054">
        <f>IF(ListOfExpenditure[[#This Row],[Numero di volte controllato il contract ]]&gt;0,0,ListOfExpenditure[[#This Row],[IF public procurment &gt;10000;1;0]])</f>
        <v>0</v>
      </c>
    </row>
    <row r="1055" spans="1:42" x14ac:dyDescent="0.25">
      <c r="A1055">
        <v>1682</v>
      </c>
      <c r="B1055">
        <v>6</v>
      </c>
      <c r="E1055" t="s">
        <v>4798</v>
      </c>
      <c r="F1055" t="b">
        <v>0</v>
      </c>
      <c r="H1055">
        <v>247</v>
      </c>
      <c r="I1055" t="s">
        <v>212</v>
      </c>
      <c r="J1055" t="s">
        <v>5703</v>
      </c>
      <c r="K1055" t="s">
        <v>5704</v>
      </c>
      <c r="L1055" t="s">
        <v>5234</v>
      </c>
      <c r="M1055" t="s">
        <v>4788</v>
      </c>
      <c r="N1055" t="s">
        <v>4788</v>
      </c>
      <c r="O1055">
        <v>443.48</v>
      </c>
      <c r="P1055">
        <v>38.479999999999997</v>
      </c>
      <c r="Q1055">
        <v>0</v>
      </c>
      <c r="R1055">
        <v>0</v>
      </c>
      <c r="S1055">
        <v>443.48</v>
      </c>
      <c r="T1055" t="s">
        <v>4789</v>
      </c>
      <c r="U1055">
        <v>1</v>
      </c>
      <c r="V1055">
        <v>443.48</v>
      </c>
      <c r="W1055" t="s">
        <v>4343</v>
      </c>
      <c r="Y1055" t="b">
        <v>1</v>
      </c>
      <c r="Z1055" t="b">
        <v>0</v>
      </c>
      <c r="AA1055">
        <v>443.48</v>
      </c>
      <c r="AB1055">
        <v>0</v>
      </c>
      <c r="AD1055" t="b">
        <v>0</v>
      </c>
      <c r="AG1055" s="1" t="s">
        <v>57</v>
      </c>
      <c r="AH1055" s="1" t="s">
        <v>50</v>
      </c>
      <c r="AI1055">
        <v>310</v>
      </c>
      <c r="AJ1055">
        <v>210</v>
      </c>
      <c r="AK1055" s="106">
        <v>45475.635518703704</v>
      </c>
      <c r="AL1055" s="1" t="s">
        <v>4790</v>
      </c>
      <c r="AM1055" s="42">
        <f>IFERROR(INDEX('Public procurment'!A:R,MATCH(ListOfExpenditure[[#This Row],[Content.contractId]],'Public procurment'!E:E,0),14),0)</f>
        <v>4434.4799999999996</v>
      </c>
      <c r="AN1055" s="2">
        <f>IF(AND(ListOfExpenditure[[#This Row],[Contract amount]]&gt;10000,ListOfExpenditure[[#This Row],[Content.declaredAmount]]&gt;2000),1,0)</f>
        <v>0</v>
      </c>
      <c r="AO1055">
        <f>IFERROR(INDEX('Public procurment'!A:S,MATCH(ListOfExpenditure[[#This Row],[Content.contractId]],'Public procurment'!E:E,0),19),0)</f>
        <v>1</v>
      </c>
      <c r="AP1055">
        <f>IF(ListOfExpenditure[[#This Row],[Numero di volte controllato il contract ]]&gt;0,0,ListOfExpenditure[[#This Row],[IF public procurment &gt;10000;1;0]])</f>
        <v>0</v>
      </c>
    </row>
    <row r="1056" spans="1:42" x14ac:dyDescent="0.25">
      <c r="A1056">
        <v>1683</v>
      </c>
      <c r="B1056">
        <v>7</v>
      </c>
      <c r="E1056" t="s">
        <v>4798</v>
      </c>
      <c r="F1056" t="b">
        <v>0</v>
      </c>
      <c r="H1056">
        <v>248</v>
      </c>
      <c r="I1056" t="s">
        <v>212</v>
      </c>
      <c r="J1056" t="s">
        <v>5705</v>
      </c>
      <c r="K1056" t="s">
        <v>5706</v>
      </c>
      <c r="L1056" t="s">
        <v>4478</v>
      </c>
      <c r="M1056" t="s">
        <v>4788</v>
      </c>
      <c r="N1056" t="s">
        <v>4788</v>
      </c>
      <c r="O1056">
        <v>1265.1400000000001</v>
      </c>
      <c r="P1056">
        <v>228.14</v>
      </c>
      <c r="Q1056">
        <v>0</v>
      </c>
      <c r="R1056">
        <v>0</v>
      </c>
      <c r="S1056">
        <v>1265.1400000000001</v>
      </c>
      <c r="T1056" t="s">
        <v>4789</v>
      </c>
      <c r="U1056">
        <v>1</v>
      </c>
      <c r="V1056">
        <v>1265.1400000000001</v>
      </c>
      <c r="W1056" t="s">
        <v>4343</v>
      </c>
      <c r="Y1056" t="b">
        <v>1</v>
      </c>
      <c r="Z1056" t="b">
        <v>0</v>
      </c>
      <c r="AA1056">
        <v>1265.1400000000001</v>
      </c>
      <c r="AB1056">
        <v>0</v>
      </c>
      <c r="AD1056" t="b">
        <v>0</v>
      </c>
      <c r="AG1056" s="1" t="s">
        <v>57</v>
      </c>
      <c r="AH1056" s="1" t="s">
        <v>50</v>
      </c>
      <c r="AI1056">
        <v>310</v>
      </c>
      <c r="AJ1056">
        <v>210</v>
      </c>
      <c r="AK1056" s="106">
        <v>45475.635518703704</v>
      </c>
      <c r="AL1056" s="1" t="s">
        <v>4790</v>
      </c>
      <c r="AM1056" s="42">
        <f>IFERROR(INDEX('Public procurment'!A:R,MATCH(ListOfExpenditure[[#This Row],[Content.contractId]],'Public procurment'!E:E,0),14),0)</f>
        <v>1265.1400000000001</v>
      </c>
      <c r="AN1056" s="2">
        <f>IF(AND(ListOfExpenditure[[#This Row],[Contract amount]]&gt;10000,ListOfExpenditure[[#This Row],[Content.declaredAmount]]&gt;2000),1,0)</f>
        <v>0</v>
      </c>
      <c r="AO1056">
        <f>IFERROR(INDEX('Public procurment'!A:S,MATCH(ListOfExpenditure[[#This Row],[Content.contractId]],'Public procurment'!E:E,0),19),0)</f>
        <v>1</v>
      </c>
      <c r="AP1056">
        <f>IF(ListOfExpenditure[[#This Row],[Numero di volte controllato il contract ]]&gt;0,0,ListOfExpenditure[[#This Row],[IF public procurment &gt;10000;1;0]])</f>
        <v>0</v>
      </c>
    </row>
    <row r="1057" spans="1:42" x14ac:dyDescent="0.25">
      <c r="A1057">
        <v>1684</v>
      </c>
      <c r="B1057">
        <v>8</v>
      </c>
      <c r="E1057" t="s">
        <v>4798</v>
      </c>
      <c r="F1057" t="b">
        <v>0</v>
      </c>
      <c r="I1057" t="s">
        <v>212</v>
      </c>
      <c r="J1057" t="s">
        <v>5707</v>
      </c>
      <c r="K1057" t="s">
        <v>5000</v>
      </c>
      <c r="L1057" t="s">
        <v>4959</v>
      </c>
      <c r="M1057" t="s">
        <v>4788</v>
      </c>
      <c r="N1057" t="s">
        <v>4788</v>
      </c>
      <c r="O1057">
        <v>58.59</v>
      </c>
      <c r="P1057">
        <v>0</v>
      </c>
      <c r="Q1057">
        <v>0</v>
      </c>
      <c r="R1057">
        <v>0</v>
      </c>
      <c r="S1057">
        <v>58.59</v>
      </c>
      <c r="T1057" t="s">
        <v>4789</v>
      </c>
      <c r="U1057">
        <v>1</v>
      </c>
      <c r="V1057">
        <v>58.59</v>
      </c>
      <c r="W1057" t="s">
        <v>4343</v>
      </c>
      <c r="Y1057" t="b">
        <v>1</v>
      </c>
      <c r="Z1057" t="b">
        <v>0</v>
      </c>
      <c r="AA1057">
        <v>0</v>
      </c>
      <c r="AB1057">
        <v>0</v>
      </c>
      <c r="AD1057" t="b">
        <v>1</v>
      </c>
      <c r="AE1057" t="s">
        <v>5708</v>
      </c>
      <c r="AF1057" t="s">
        <v>5709</v>
      </c>
      <c r="AG1057" s="1" t="s">
        <v>57</v>
      </c>
      <c r="AH1057" s="1" t="s">
        <v>50</v>
      </c>
      <c r="AI1057">
        <v>310</v>
      </c>
      <c r="AJ1057">
        <v>210</v>
      </c>
      <c r="AK1057" s="106">
        <v>45475.635518703704</v>
      </c>
      <c r="AL1057" s="1" t="s">
        <v>4790</v>
      </c>
      <c r="AM1057" s="42">
        <f>IFERROR(INDEX('Public procurment'!A:R,MATCH(ListOfExpenditure[[#This Row],[Content.contractId]],'Public procurment'!E:E,0),14),0)</f>
        <v>0</v>
      </c>
      <c r="AN1057" s="2">
        <f>IF(AND(ListOfExpenditure[[#This Row],[Contract amount]]&gt;10000,ListOfExpenditure[[#This Row],[Content.declaredAmount]]&gt;2000),1,0)</f>
        <v>0</v>
      </c>
      <c r="AO1057">
        <f>IFERROR(INDEX('Public procurment'!A:S,MATCH(ListOfExpenditure[[#This Row],[Content.contractId]],'Public procurment'!E:E,0),19),0)</f>
        <v>0</v>
      </c>
      <c r="AP1057">
        <f>IF(ListOfExpenditure[[#This Row],[Numero di volte controllato il contract ]]&gt;0,0,ListOfExpenditure[[#This Row],[IF public procurment &gt;10000;1;0]])</f>
        <v>0</v>
      </c>
    </row>
    <row r="1058" spans="1:42" x14ac:dyDescent="0.25">
      <c r="A1058">
        <v>1685</v>
      </c>
      <c r="B1058">
        <v>9</v>
      </c>
      <c r="E1058" t="s">
        <v>4850</v>
      </c>
      <c r="F1058" t="b">
        <v>0</v>
      </c>
      <c r="H1058">
        <v>251</v>
      </c>
      <c r="I1058" t="s">
        <v>212</v>
      </c>
      <c r="J1058" t="s">
        <v>4966</v>
      </c>
      <c r="K1058" t="s">
        <v>5250</v>
      </c>
      <c r="L1058" t="s">
        <v>4905</v>
      </c>
      <c r="M1058" t="s">
        <v>4788</v>
      </c>
      <c r="N1058" t="s">
        <v>4788</v>
      </c>
      <c r="O1058">
        <v>7917.8</v>
      </c>
      <c r="P1058">
        <v>1427.8</v>
      </c>
      <c r="Q1058">
        <v>0</v>
      </c>
      <c r="R1058">
        <v>0</v>
      </c>
      <c r="S1058">
        <v>7917.8</v>
      </c>
      <c r="T1058" t="s">
        <v>4789</v>
      </c>
      <c r="U1058">
        <v>1</v>
      </c>
      <c r="V1058">
        <v>7917.8</v>
      </c>
      <c r="W1058" t="s">
        <v>4343</v>
      </c>
      <c r="Y1058" t="b">
        <v>1</v>
      </c>
      <c r="Z1058" t="b">
        <v>0</v>
      </c>
      <c r="AA1058">
        <v>7917.8</v>
      </c>
      <c r="AB1058">
        <v>0</v>
      </c>
      <c r="AD1058" t="b">
        <v>0</v>
      </c>
      <c r="AG1058" s="1" t="s">
        <v>57</v>
      </c>
      <c r="AH1058" s="1" t="s">
        <v>50</v>
      </c>
      <c r="AI1058">
        <v>310</v>
      </c>
      <c r="AJ1058">
        <v>210</v>
      </c>
      <c r="AK1058" s="106">
        <v>45475.635518703704</v>
      </c>
      <c r="AL1058" s="1" t="s">
        <v>4790</v>
      </c>
      <c r="AM1058" s="42">
        <f>IFERROR(INDEX('Public procurment'!A:R,MATCH(ListOfExpenditure[[#This Row],[Content.contractId]],'Public procurment'!E:E,0),14),0)</f>
        <v>7917.8</v>
      </c>
      <c r="AN1058" s="2">
        <f>IF(AND(ListOfExpenditure[[#This Row],[Contract amount]]&gt;10000,ListOfExpenditure[[#This Row],[Content.declaredAmount]]&gt;2000),1,0)</f>
        <v>0</v>
      </c>
      <c r="AO1058">
        <f>IFERROR(INDEX('Public procurment'!A:S,MATCH(ListOfExpenditure[[#This Row],[Content.contractId]],'Public procurment'!E:E,0),19),0)</f>
        <v>1</v>
      </c>
      <c r="AP1058">
        <f>IF(ListOfExpenditure[[#This Row],[Numero di volte controllato il contract ]]&gt;0,0,ListOfExpenditure[[#This Row],[IF public procurment &gt;10000;1;0]])</f>
        <v>0</v>
      </c>
    </row>
    <row r="1059" spans="1:42" x14ac:dyDescent="0.25">
      <c r="A1059">
        <v>1694</v>
      </c>
      <c r="B1059">
        <v>10</v>
      </c>
      <c r="E1059" t="s">
        <v>5095</v>
      </c>
      <c r="F1059" t="b">
        <v>0</v>
      </c>
      <c r="G1059">
        <v>432</v>
      </c>
      <c r="H1059">
        <v>243</v>
      </c>
      <c r="I1059" t="s">
        <v>212</v>
      </c>
      <c r="J1059" t="s">
        <v>5710</v>
      </c>
      <c r="K1059" t="s">
        <v>5065</v>
      </c>
      <c r="L1059" t="s">
        <v>5115</v>
      </c>
      <c r="M1059" t="s">
        <v>4788</v>
      </c>
      <c r="N1059" t="s">
        <v>4788</v>
      </c>
      <c r="O1059">
        <v>32609.38</v>
      </c>
      <c r="P1059">
        <v>5880.38</v>
      </c>
      <c r="Q1059">
        <v>0</v>
      </c>
      <c r="R1059">
        <v>0</v>
      </c>
      <c r="S1059">
        <v>32609.38</v>
      </c>
      <c r="T1059" t="s">
        <v>4789</v>
      </c>
      <c r="U1059">
        <v>1</v>
      </c>
      <c r="V1059">
        <v>32609.38</v>
      </c>
      <c r="W1059" t="s">
        <v>4343</v>
      </c>
      <c r="Y1059" t="b">
        <v>1</v>
      </c>
      <c r="Z1059" t="b">
        <v>0</v>
      </c>
      <c r="AA1059">
        <v>32609.38</v>
      </c>
      <c r="AB1059">
        <v>0</v>
      </c>
      <c r="AD1059" t="b">
        <v>0</v>
      </c>
      <c r="AG1059" s="1" t="s">
        <v>57</v>
      </c>
      <c r="AH1059" s="1" t="s">
        <v>50</v>
      </c>
      <c r="AI1059">
        <v>310</v>
      </c>
      <c r="AJ1059">
        <v>210</v>
      </c>
      <c r="AK1059" s="106">
        <v>45475.635518703704</v>
      </c>
      <c r="AL1059" s="1" t="s">
        <v>4790</v>
      </c>
      <c r="AM1059" s="42">
        <f>IFERROR(INDEX('Public procurment'!A:R,MATCH(ListOfExpenditure[[#This Row],[Content.contractId]],'Public procurment'!E:E,0),14),0)</f>
        <v>32609.38</v>
      </c>
      <c r="AN1059" s="2">
        <f>IF(AND(ListOfExpenditure[[#This Row],[Contract amount]]&gt;10000,ListOfExpenditure[[#This Row],[Content.declaredAmount]]&gt;2000),1,0)</f>
        <v>1</v>
      </c>
      <c r="AO1059">
        <f>IFERROR(INDEX('Public procurment'!A:S,MATCH(ListOfExpenditure[[#This Row],[Content.contractId]],'Public procurment'!E:E,0),19),0)</f>
        <v>1</v>
      </c>
      <c r="AP1059">
        <f>IF(ListOfExpenditure[[#This Row],[Numero di volte controllato il contract ]]&gt;0,0,ListOfExpenditure[[#This Row],[IF public procurment &gt;10000;1;0]])</f>
        <v>0</v>
      </c>
    </row>
    <row r="1060" spans="1:42" x14ac:dyDescent="0.25">
      <c r="A1060">
        <v>519</v>
      </c>
      <c r="B1060">
        <v>1</v>
      </c>
      <c r="E1060" t="s">
        <v>4786</v>
      </c>
      <c r="F1060" t="b">
        <v>0</v>
      </c>
      <c r="I1060" t="s">
        <v>212</v>
      </c>
      <c r="K1060" t="s">
        <v>5310</v>
      </c>
      <c r="L1060" t="s">
        <v>5310</v>
      </c>
      <c r="M1060" t="s">
        <v>4788</v>
      </c>
      <c r="N1060" t="s">
        <v>4788</v>
      </c>
      <c r="O1060">
        <v>8990.02</v>
      </c>
      <c r="Q1060">
        <v>0</v>
      </c>
      <c r="R1060">
        <v>0</v>
      </c>
      <c r="S1060">
        <v>8990.02</v>
      </c>
      <c r="T1060" t="s">
        <v>4789</v>
      </c>
      <c r="U1060">
        <v>1</v>
      </c>
      <c r="V1060">
        <v>8990.02</v>
      </c>
      <c r="W1060" t="s">
        <v>4343</v>
      </c>
      <c r="Y1060" t="b">
        <v>1</v>
      </c>
      <c r="Z1060" t="b">
        <v>0</v>
      </c>
      <c r="AA1060">
        <v>8990.02</v>
      </c>
      <c r="AB1060">
        <v>0</v>
      </c>
      <c r="AD1060" t="b">
        <v>0</v>
      </c>
      <c r="AG1060" s="1" t="s">
        <v>57</v>
      </c>
      <c r="AH1060" s="1" t="s">
        <v>50</v>
      </c>
      <c r="AI1060">
        <v>310</v>
      </c>
      <c r="AJ1060">
        <v>70</v>
      </c>
      <c r="AK1060" s="106">
        <v>45475.635461053243</v>
      </c>
      <c r="AL1060" s="1" t="s">
        <v>4790</v>
      </c>
      <c r="AM1060" s="42">
        <f>IFERROR(INDEX('Public procurment'!A:R,MATCH(ListOfExpenditure[[#This Row],[Content.contractId]],'Public procurment'!E:E,0),14),0)</f>
        <v>0</v>
      </c>
      <c r="AN1060" s="2">
        <f>IF(AND(ListOfExpenditure[[#This Row],[Contract amount]]&gt;10000,ListOfExpenditure[[#This Row],[Content.declaredAmount]]&gt;2000),1,0)</f>
        <v>0</v>
      </c>
      <c r="AO1060">
        <f>IFERROR(INDEX('Public procurment'!A:S,MATCH(ListOfExpenditure[[#This Row],[Content.contractId]],'Public procurment'!E:E,0),19),0)</f>
        <v>0</v>
      </c>
      <c r="AP1060">
        <f>IF(ListOfExpenditure[[#This Row],[Numero di volte controllato il contract ]]&gt;0,0,ListOfExpenditure[[#This Row],[IF public procurment &gt;10000;1;0]])</f>
        <v>0</v>
      </c>
    </row>
    <row r="1061" spans="1:42" x14ac:dyDescent="0.25">
      <c r="A1061">
        <v>520</v>
      </c>
      <c r="B1061">
        <v>2</v>
      </c>
      <c r="E1061" t="s">
        <v>4786</v>
      </c>
      <c r="F1061" t="b">
        <v>0</v>
      </c>
      <c r="I1061" t="s">
        <v>212</v>
      </c>
      <c r="K1061" t="s">
        <v>5711</v>
      </c>
      <c r="L1061" t="s">
        <v>5711</v>
      </c>
      <c r="M1061" t="s">
        <v>4788</v>
      </c>
      <c r="N1061" t="s">
        <v>4788</v>
      </c>
      <c r="O1061">
        <v>15420.33</v>
      </c>
      <c r="Q1061">
        <v>0</v>
      </c>
      <c r="R1061">
        <v>0</v>
      </c>
      <c r="S1061">
        <v>13716.27</v>
      </c>
      <c r="T1061" t="s">
        <v>4789</v>
      </c>
      <c r="U1061">
        <v>1</v>
      </c>
      <c r="V1061">
        <v>13716.27</v>
      </c>
      <c r="W1061" t="s">
        <v>4343</v>
      </c>
      <c r="Y1061" t="b">
        <v>1</v>
      </c>
      <c r="Z1061" t="b">
        <v>0</v>
      </c>
      <c r="AA1061">
        <v>13716.27</v>
      </c>
      <c r="AB1061">
        <v>0</v>
      </c>
      <c r="AD1061" t="b">
        <v>0</v>
      </c>
      <c r="AG1061" s="1" t="s">
        <v>57</v>
      </c>
      <c r="AH1061" s="1" t="s">
        <v>50</v>
      </c>
      <c r="AI1061">
        <v>310</v>
      </c>
      <c r="AJ1061">
        <v>70</v>
      </c>
      <c r="AK1061" s="106">
        <v>45475.635461053243</v>
      </c>
      <c r="AL1061" s="1" t="s">
        <v>4790</v>
      </c>
      <c r="AM1061" s="42">
        <f>IFERROR(INDEX('Public procurment'!A:R,MATCH(ListOfExpenditure[[#This Row],[Content.contractId]],'Public procurment'!E:E,0),14),0)</f>
        <v>0</v>
      </c>
      <c r="AN1061" s="2">
        <f>IF(AND(ListOfExpenditure[[#This Row],[Contract amount]]&gt;10000,ListOfExpenditure[[#This Row],[Content.declaredAmount]]&gt;2000),1,0)</f>
        <v>0</v>
      </c>
      <c r="AO1061">
        <f>IFERROR(INDEX('Public procurment'!A:S,MATCH(ListOfExpenditure[[#This Row],[Content.contractId]],'Public procurment'!E:E,0),19),0)</f>
        <v>0</v>
      </c>
      <c r="AP1061">
        <f>IF(ListOfExpenditure[[#This Row],[Numero di volte controllato il contract ]]&gt;0,0,ListOfExpenditure[[#This Row],[IF public procurment &gt;10000;1;0]])</f>
        <v>0</v>
      </c>
    </row>
    <row r="1062" spans="1:42" x14ac:dyDescent="0.25">
      <c r="A1062">
        <v>521</v>
      </c>
      <c r="B1062">
        <v>3</v>
      </c>
      <c r="E1062" t="s">
        <v>4786</v>
      </c>
      <c r="F1062" t="b">
        <v>0</v>
      </c>
      <c r="I1062" t="s">
        <v>212</v>
      </c>
      <c r="K1062" t="s">
        <v>5711</v>
      </c>
      <c r="L1062" t="s">
        <v>5711</v>
      </c>
      <c r="M1062" t="s">
        <v>4788</v>
      </c>
      <c r="N1062" t="s">
        <v>4788</v>
      </c>
      <c r="O1062">
        <v>8537.9699999999993</v>
      </c>
      <c r="Q1062">
        <v>0</v>
      </c>
      <c r="R1062">
        <v>0</v>
      </c>
      <c r="S1062">
        <v>6117.87</v>
      </c>
      <c r="T1062" t="s">
        <v>4789</v>
      </c>
      <c r="U1062">
        <v>1</v>
      </c>
      <c r="V1062">
        <v>6117.87</v>
      </c>
      <c r="W1062" t="s">
        <v>4343</v>
      </c>
      <c r="Y1062" t="b">
        <v>1</v>
      </c>
      <c r="Z1062" t="b">
        <v>0</v>
      </c>
      <c r="AA1062">
        <v>6055.39</v>
      </c>
      <c r="AB1062">
        <v>62.48</v>
      </c>
      <c r="AC1062">
        <v>8</v>
      </c>
      <c r="AD1062" t="b">
        <v>0</v>
      </c>
      <c r="AF1062" t="s">
        <v>5712</v>
      </c>
      <c r="AG1062" s="1" t="s">
        <v>57</v>
      </c>
      <c r="AH1062" s="1" t="s">
        <v>50</v>
      </c>
      <c r="AI1062">
        <v>310</v>
      </c>
      <c r="AJ1062">
        <v>70</v>
      </c>
      <c r="AK1062" s="106">
        <v>45475.635461053243</v>
      </c>
      <c r="AL1062" s="1" t="s">
        <v>4790</v>
      </c>
      <c r="AM1062" s="42">
        <f>IFERROR(INDEX('Public procurment'!A:R,MATCH(ListOfExpenditure[[#This Row],[Content.contractId]],'Public procurment'!E:E,0),14),0)</f>
        <v>0</v>
      </c>
      <c r="AN1062" s="2">
        <f>IF(AND(ListOfExpenditure[[#This Row],[Contract amount]]&gt;10000,ListOfExpenditure[[#This Row],[Content.declaredAmount]]&gt;2000),1,0)</f>
        <v>0</v>
      </c>
      <c r="AO1062">
        <f>IFERROR(INDEX('Public procurment'!A:S,MATCH(ListOfExpenditure[[#This Row],[Content.contractId]],'Public procurment'!E:E,0),19),0)</f>
        <v>0</v>
      </c>
      <c r="AP1062">
        <f>IF(ListOfExpenditure[[#This Row],[Numero di volte controllato il contract ]]&gt;0,0,ListOfExpenditure[[#This Row],[IF public procurment &gt;10000;1;0]])</f>
        <v>0</v>
      </c>
    </row>
    <row r="1063" spans="1:42" x14ac:dyDescent="0.25">
      <c r="A1063">
        <v>522</v>
      </c>
      <c r="B1063">
        <v>4</v>
      </c>
      <c r="E1063" t="s">
        <v>4786</v>
      </c>
      <c r="F1063" t="b">
        <v>0</v>
      </c>
      <c r="I1063" t="s">
        <v>212</v>
      </c>
      <c r="K1063" t="s">
        <v>5711</v>
      </c>
      <c r="L1063" t="s">
        <v>5711</v>
      </c>
      <c r="M1063" t="s">
        <v>4788</v>
      </c>
      <c r="N1063" t="s">
        <v>4788</v>
      </c>
      <c r="O1063">
        <v>1751.3</v>
      </c>
      <c r="Q1063">
        <v>0</v>
      </c>
      <c r="R1063">
        <v>0</v>
      </c>
      <c r="S1063">
        <v>1332.95</v>
      </c>
      <c r="T1063" t="s">
        <v>4789</v>
      </c>
      <c r="U1063">
        <v>1</v>
      </c>
      <c r="V1063">
        <v>1332.95</v>
      </c>
      <c r="W1063" t="s">
        <v>4343</v>
      </c>
      <c r="Y1063" t="b">
        <v>1</v>
      </c>
      <c r="Z1063" t="b">
        <v>0</v>
      </c>
      <c r="AA1063">
        <v>1332.95</v>
      </c>
      <c r="AB1063">
        <v>0</v>
      </c>
      <c r="AD1063" t="b">
        <v>0</v>
      </c>
      <c r="AG1063" s="1" t="s">
        <v>57</v>
      </c>
      <c r="AH1063" s="1" t="s">
        <v>50</v>
      </c>
      <c r="AI1063">
        <v>310</v>
      </c>
      <c r="AJ1063">
        <v>70</v>
      </c>
      <c r="AK1063" s="106">
        <v>45475.635461053243</v>
      </c>
      <c r="AL1063" s="1" t="s">
        <v>4790</v>
      </c>
      <c r="AM1063" s="42">
        <f>IFERROR(INDEX('Public procurment'!A:R,MATCH(ListOfExpenditure[[#This Row],[Content.contractId]],'Public procurment'!E:E,0),14),0)</f>
        <v>0</v>
      </c>
      <c r="AN1063" s="2">
        <f>IF(AND(ListOfExpenditure[[#This Row],[Contract amount]]&gt;10000,ListOfExpenditure[[#This Row],[Content.declaredAmount]]&gt;2000),1,0)</f>
        <v>0</v>
      </c>
      <c r="AO1063">
        <f>IFERROR(INDEX('Public procurment'!A:S,MATCH(ListOfExpenditure[[#This Row],[Content.contractId]],'Public procurment'!E:E,0),19),0)</f>
        <v>0</v>
      </c>
      <c r="AP1063">
        <f>IF(ListOfExpenditure[[#This Row],[Numero di volte controllato il contract ]]&gt;0,0,ListOfExpenditure[[#This Row],[IF public procurment &gt;10000;1;0]])</f>
        <v>0</v>
      </c>
    </row>
    <row r="1064" spans="1:42" x14ac:dyDescent="0.25">
      <c r="A1064">
        <v>1573</v>
      </c>
      <c r="B1064">
        <v>1</v>
      </c>
      <c r="D1064">
        <v>82</v>
      </c>
      <c r="E1064" t="s">
        <v>4786</v>
      </c>
      <c r="F1064" t="b">
        <v>0</v>
      </c>
      <c r="M1064" t="s">
        <v>4788</v>
      </c>
      <c r="N1064" t="s">
        <v>4788</v>
      </c>
      <c r="Q1064">
        <v>84</v>
      </c>
      <c r="R1064">
        <v>27</v>
      </c>
      <c r="S1064">
        <v>2268</v>
      </c>
      <c r="T1064" t="s">
        <v>4789</v>
      </c>
      <c r="U1064">
        <v>1</v>
      </c>
      <c r="V1064">
        <v>2268</v>
      </c>
      <c r="W1064" t="s">
        <v>4343</v>
      </c>
      <c r="Y1064" t="b">
        <v>0</v>
      </c>
      <c r="Z1064" t="b">
        <v>0</v>
      </c>
      <c r="AA1064">
        <v>2268</v>
      </c>
      <c r="AB1064">
        <v>0</v>
      </c>
      <c r="AD1064" t="b">
        <v>0</v>
      </c>
      <c r="AG1064" s="1" t="s">
        <v>57</v>
      </c>
      <c r="AH1064" s="1" t="s">
        <v>39</v>
      </c>
      <c r="AI1064">
        <v>303</v>
      </c>
      <c r="AJ1064">
        <v>217</v>
      </c>
      <c r="AK1064" s="106">
        <v>45475.635515231479</v>
      </c>
      <c r="AL1064" s="1" t="s">
        <v>4790</v>
      </c>
      <c r="AM1064" s="42">
        <f>IFERROR(INDEX('Public procurment'!A:R,MATCH(ListOfExpenditure[[#This Row],[Content.contractId]],'Public procurment'!E:E,0),14),0)</f>
        <v>0</v>
      </c>
      <c r="AN1064" s="2">
        <f>IF(AND(ListOfExpenditure[[#This Row],[Contract amount]]&gt;10000,ListOfExpenditure[[#This Row],[Content.declaredAmount]]&gt;2000),1,0)</f>
        <v>0</v>
      </c>
      <c r="AO1064">
        <f>IFERROR(INDEX('Public procurment'!A:S,MATCH(ListOfExpenditure[[#This Row],[Content.contractId]],'Public procurment'!E:E,0),19),0)</f>
        <v>0</v>
      </c>
      <c r="AP1064">
        <f>IF(ListOfExpenditure[[#This Row],[Numero di volte controllato il contract ]]&gt;0,0,ListOfExpenditure[[#This Row],[IF public procurment &gt;10000;1;0]])</f>
        <v>0</v>
      </c>
    </row>
    <row r="1065" spans="1:42" x14ac:dyDescent="0.25">
      <c r="A1065">
        <v>1574</v>
      </c>
      <c r="B1065">
        <v>2</v>
      </c>
      <c r="D1065">
        <v>82</v>
      </c>
      <c r="E1065" t="s">
        <v>4786</v>
      </c>
      <c r="F1065" t="b">
        <v>0</v>
      </c>
      <c r="M1065" t="s">
        <v>4788</v>
      </c>
      <c r="N1065" t="s">
        <v>4788</v>
      </c>
      <c r="Q1065">
        <v>124</v>
      </c>
      <c r="R1065">
        <v>27</v>
      </c>
      <c r="S1065">
        <v>3348</v>
      </c>
      <c r="T1065" t="s">
        <v>4789</v>
      </c>
      <c r="U1065">
        <v>1</v>
      </c>
      <c r="V1065">
        <v>3348</v>
      </c>
      <c r="W1065" t="s">
        <v>4343</v>
      </c>
      <c r="Y1065" t="b">
        <v>0</v>
      </c>
      <c r="Z1065" t="b">
        <v>0</v>
      </c>
      <c r="AA1065">
        <v>3348</v>
      </c>
      <c r="AB1065">
        <v>0</v>
      </c>
      <c r="AD1065" t="b">
        <v>0</v>
      </c>
      <c r="AG1065" s="1" t="s">
        <v>57</v>
      </c>
      <c r="AH1065" s="1" t="s">
        <v>39</v>
      </c>
      <c r="AI1065">
        <v>303</v>
      </c>
      <c r="AJ1065">
        <v>217</v>
      </c>
      <c r="AK1065" s="106">
        <v>45475.635515231479</v>
      </c>
      <c r="AL1065" s="1" t="s">
        <v>4790</v>
      </c>
      <c r="AM1065" s="42">
        <f>IFERROR(INDEX('Public procurment'!A:R,MATCH(ListOfExpenditure[[#This Row],[Content.contractId]],'Public procurment'!E:E,0),14),0)</f>
        <v>0</v>
      </c>
      <c r="AN1065" s="2">
        <f>IF(AND(ListOfExpenditure[[#This Row],[Contract amount]]&gt;10000,ListOfExpenditure[[#This Row],[Content.declaredAmount]]&gt;2000),1,0)</f>
        <v>0</v>
      </c>
      <c r="AO1065">
        <f>IFERROR(INDEX('Public procurment'!A:S,MATCH(ListOfExpenditure[[#This Row],[Content.contractId]],'Public procurment'!E:E,0),19),0)</f>
        <v>0</v>
      </c>
      <c r="AP1065">
        <f>IF(ListOfExpenditure[[#This Row],[Numero di volte controllato il contract ]]&gt;0,0,ListOfExpenditure[[#This Row],[IF public procurment &gt;10000;1;0]])</f>
        <v>0</v>
      </c>
    </row>
    <row r="1066" spans="1:42" x14ac:dyDescent="0.25">
      <c r="A1066">
        <v>1575</v>
      </c>
      <c r="B1066">
        <v>3</v>
      </c>
      <c r="D1066">
        <v>82</v>
      </c>
      <c r="E1066" t="s">
        <v>4786</v>
      </c>
      <c r="F1066" t="b">
        <v>0</v>
      </c>
      <c r="M1066" t="s">
        <v>4788</v>
      </c>
      <c r="N1066" t="s">
        <v>4788</v>
      </c>
      <c r="Q1066">
        <v>10</v>
      </c>
      <c r="R1066">
        <v>27</v>
      </c>
      <c r="S1066">
        <v>270</v>
      </c>
      <c r="T1066" t="s">
        <v>4789</v>
      </c>
      <c r="U1066">
        <v>1</v>
      </c>
      <c r="V1066">
        <v>270</v>
      </c>
      <c r="W1066" t="s">
        <v>4343</v>
      </c>
      <c r="Y1066" t="b">
        <v>0</v>
      </c>
      <c r="Z1066" t="b">
        <v>0</v>
      </c>
      <c r="AA1066">
        <v>270</v>
      </c>
      <c r="AB1066">
        <v>0</v>
      </c>
      <c r="AD1066" t="b">
        <v>0</v>
      </c>
      <c r="AG1066" s="1" t="s">
        <v>57</v>
      </c>
      <c r="AH1066" s="1" t="s">
        <v>39</v>
      </c>
      <c r="AI1066">
        <v>303</v>
      </c>
      <c r="AJ1066">
        <v>217</v>
      </c>
      <c r="AK1066" s="106">
        <v>45475.635515231479</v>
      </c>
      <c r="AL1066" s="1" t="s">
        <v>4790</v>
      </c>
      <c r="AM1066" s="42">
        <f>IFERROR(INDEX('Public procurment'!A:R,MATCH(ListOfExpenditure[[#This Row],[Content.contractId]],'Public procurment'!E:E,0),14),0)</f>
        <v>0</v>
      </c>
      <c r="AN1066" s="2">
        <f>IF(AND(ListOfExpenditure[[#This Row],[Contract amount]]&gt;10000,ListOfExpenditure[[#This Row],[Content.declaredAmount]]&gt;2000),1,0)</f>
        <v>0</v>
      </c>
      <c r="AO1066">
        <f>IFERROR(INDEX('Public procurment'!A:S,MATCH(ListOfExpenditure[[#This Row],[Content.contractId]],'Public procurment'!E:E,0),19),0)</f>
        <v>0</v>
      </c>
      <c r="AP1066">
        <f>IF(ListOfExpenditure[[#This Row],[Numero di volte controllato il contract ]]&gt;0,0,ListOfExpenditure[[#This Row],[IF public procurment &gt;10000;1;0]])</f>
        <v>0</v>
      </c>
    </row>
    <row r="1067" spans="1:42" x14ac:dyDescent="0.25">
      <c r="A1067">
        <v>1576</v>
      </c>
      <c r="B1067">
        <v>4</v>
      </c>
      <c r="D1067">
        <v>82</v>
      </c>
      <c r="E1067" t="s">
        <v>4786</v>
      </c>
      <c r="F1067" t="b">
        <v>0</v>
      </c>
      <c r="M1067" t="s">
        <v>4788</v>
      </c>
      <c r="N1067" t="s">
        <v>4788</v>
      </c>
      <c r="Q1067">
        <v>144.5</v>
      </c>
      <c r="R1067">
        <v>27</v>
      </c>
      <c r="S1067">
        <v>3901.5</v>
      </c>
      <c r="T1067" t="s">
        <v>4789</v>
      </c>
      <c r="U1067">
        <v>1</v>
      </c>
      <c r="V1067">
        <v>3901.5</v>
      </c>
      <c r="W1067" t="s">
        <v>4343</v>
      </c>
      <c r="Y1067" t="b">
        <v>0</v>
      </c>
      <c r="Z1067" t="b">
        <v>0</v>
      </c>
      <c r="AA1067">
        <v>3901.5</v>
      </c>
      <c r="AB1067">
        <v>0</v>
      </c>
      <c r="AD1067" t="b">
        <v>0</v>
      </c>
      <c r="AG1067" s="1" t="s">
        <v>57</v>
      </c>
      <c r="AH1067" s="1" t="s">
        <v>39</v>
      </c>
      <c r="AI1067">
        <v>303</v>
      </c>
      <c r="AJ1067">
        <v>217</v>
      </c>
      <c r="AK1067" s="106">
        <v>45475.635515231479</v>
      </c>
      <c r="AL1067" s="1" t="s">
        <v>4790</v>
      </c>
      <c r="AM1067" s="42">
        <f>IFERROR(INDEX('Public procurment'!A:R,MATCH(ListOfExpenditure[[#This Row],[Content.contractId]],'Public procurment'!E:E,0),14),0)</f>
        <v>0</v>
      </c>
      <c r="AN1067" s="2">
        <f>IF(AND(ListOfExpenditure[[#This Row],[Contract amount]]&gt;10000,ListOfExpenditure[[#This Row],[Content.declaredAmount]]&gt;2000),1,0)</f>
        <v>0</v>
      </c>
      <c r="AO1067">
        <f>IFERROR(INDEX('Public procurment'!A:S,MATCH(ListOfExpenditure[[#This Row],[Content.contractId]],'Public procurment'!E:E,0),19),0)</f>
        <v>0</v>
      </c>
      <c r="AP1067">
        <f>IF(ListOfExpenditure[[#This Row],[Numero di volte controllato il contract ]]&gt;0,0,ListOfExpenditure[[#This Row],[IF public procurment &gt;10000;1;0]])</f>
        <v>0</v>
      </c>
    </row>
    <row r="1068" spans="1:42" x14ac:dyDescent="0.25">
      <c r="A1068">
        <v>1577</v>
      </c>
      <c r="B1068">
        <v>5</v>
      </c>
      <c r="D1068">
        <v>82</v>
      </c>
      <c r="E1068" t="s">
        <v>4786</v>
      </c>
      <c r="F1068" t="b">
        <v>0</v>
      </c>
      <c r="M1068" t="s">
        <v>4788</v>
      </c>
      <c r="N1068" t="s">
        <v>4788</v>
      </c>
      <c r="Q1068">
        <v>107</v>
      </c>
      <c r="R1068">
        <v>27</v>
      </c>
      <c r="S1068">
        <v>2889</v>
      </c>
      <c r="T1068" t="s">
        <v>4789</v>
      </c>
      <c r="U1068">
        <v>1</v>
      </c>
      <c r="V1068">
        <v>2889</v>
      </c>
      <c r="W1068" t="s">
        <v>4343</v>
      </c>
      <c r="Y1068" t="b">
        <v>0</v>
      </c>
      <c r="Z1068" t="b">
        <v>0</v>
      </c>
      <c r="AA1068">
        <v>2889</v>
      </c>
      <c r="AB1068">
        <v>0</v>
      </c>
      <c r="AD1068" t="b">
        <v>0</v>
      </c>
      <c r="AG1068" s="1" t="s">
        <v>57</v>
      </c>
      <c r="AH1068" s="1" t="s">
        <v>39</v>
      </c>
      <c r="AI1068">
        <v>303</v>
      </c>
      <c r="AJ1068">
        <v>217</v>
      </c>
      <c r="AK1068" s="106">
        <v>45475.635515231479</v>
      </c>
      <c r="AL1068" s="1" t="s">
        <v>4790</v>
      </c>
      <c r="AM1068" s="42">
        <f>IFERROR(INDEX('Public procurment'!A:R,MATCH(ListOfExpenditure[[#This Row],[Content.contractId]],'Public procurment'!E:E,0),14),0)</f>
        <v>0</v>
      </c>
      <c r="AN1068" s="2">
        <f>IF(AND(ListOfExpenditure[[#This Row],[Contract amount]]&gt;10000,ListOfExpenditure[[#This Row],[Content.declaredAmount]]&gt;2000),1,0)</f>
        <v>0</v>
      </c>
      <c r="AO1068">
        <f>IFERROR(INDEX('Public procurment'!A:S,MATCH(ListOfExpenditure[[#This Row],[Content.contractId]],'Public procurment'!E:E,0),19),0)</f>
        <v>0</v>
      </c>
      <c r="AP1068">
        <f>IF(ListOfExpenditure[[#This Row],[Numero di volte controllato il contract ]]&gt;0,0,ListOfExpenditure[[#This Row],[IF public procurment &gt;10000;1;0]])</f>
        <v>0</v>
      </c>
    </row>
    <row r="1069" spans="1:42" x14ac:dyDescent="0.25">
      <c r="A1069">
        <v>1578</v>
      </c>
      <c r="B1069">
        <v>6</v>
      </c>
      <c r="D1069">
        <v>82</v>
      </c>
      <c r="E1069" t="s">
        <v>4786</v>
      </c>
      <c r="F1069" t="b">
        <v>0</v>
      </c>
      <c r="M1069" t="s">
        <v>4788</v>
      </c>
      <c r="N1069" t="s">
        <v>4788</v>
      </c>
      <c r="Q1069">
        <v>36</v>
      </c>
      <c r="R1069">
        <v>27</v>
      </c>
      <c r="S1069">
        <v>972</v>
      </c>
      <c r="T1069" t="s">
        <v>4789</v>
      </c>
      <c r="U1069">
        <v>1</v>
      </c>
      <c r="V1069">
        <v>972</v>
      </c>
      <c r="W1069" t="s">
        <v>4343</v>
      </c>
      <c r="Y1069" t="b">
        <v>0</v>
      </c>
      <c r="Z1069" t="b">
        <v>0</v>
      </c>
      <c r="AA1069">
        <v>972</v>
      </c>
      <c r="AB1069">
        <v>0</v>
      </c>
      <c r="AD1069" t="b">
        <v>0</v>
      </c>
      <c r="AG1069" s="1" t="s">
        <v>57</v>
      </c>
      <c r="AH1069" s="1" t="s">
        <v>39</v>
      </c>
      <c r="AI1069">
        <v>303</v>
      </c>
      <c r="AJ1069">
        <v>217</v>
      </c>
      <c r="AK1069" s="106">
        <v>45475.635515231479</v>
      </c>
      <c r="AL1069" s="1" t="s">
        <v>4790</v>
      </c>
      <c r="AM1069" s="42">
        <f>IFERROR(INDEX('Public procurment'!A:R,MATCH(ListOfExpenditure[[#This Row],[Content.contractId]],'Public procurment'!E:E,0),14),0)</f>
        <v>0</v>
      </c>
      <c r="AN1069" s="2">
        <f>IF(AND(ListOfExpenditure[[#This Row],[Contract amount]]&gt;10000,ListOfExpenditure[[#This Row],[Content.declaredAmount]]&gt;2000),1,0)</f>
        <v>0</v>
      </c>
      <c r="AO1069">
        <f>IFERROR(INDEX('Public procurment'!A:S,MATCH(ListOfExpenditure[[#This Row],[Content.contractId]],'Public procurment'!E:E,0),19),0)</f>
        <v>0</v>
      </c>
      <c r="AP1069">
        <f>IF(ListOfExpenditure[[#This Row],[Numero di volte controllato il contract ]]&gt;0,0,ListOfExpenditure[[#This Row],[IF public procurment &gt;10000;1;0]])</f>
        <v>0</v>
      </c>
    </row>
    <row r="1070" spans="1:42" x14ac:dyDescent="0.25">
      <c r="A1070">
        <v>1579</v>
      </c>
      <c r="B1070">
        <v>7</v>
      </c>
      <c r="E1070" t="s">
        <v>4798</v>
      </c>
      <c r="F1070" t="b">
        <v>0</v>
      </c>
      <c r="H1070">
        <v>154</v>
      </c>
      <c r="I1070" t="s">
        <v>212</v>
      </c>
      <c r="J1070" t="s">
        <v>6355</v>
      </c>
      <c r="K1070" t="s">
        <v>4931</v>
      </c>
      <c r="L1070" t="s">
        <v>4932</v>
      </c>
      <c r="M1070" t="s">
        <v>4788</v>
      </c>
      <c r="N1070" t="s">
        <v>4788</v>
      </c>
      <c r="O1070">
        <v>122</v>
      </c>
      <c r="P1070">
        <v>22</v>
      </c>
      <c r="Q1070">
        <v>0</v>
      </c>
      <c r="R1070">
        <v>0</v>
      </c>
      <c r="S1070">
        <v>122</v>
      </c>
      <c r="T1070" t="s">
        <v>4789</v>
      </c>
      <c r="U1070">
        <v>1</v>
      </c>
      <c r="V1070">
        <v>122</v>
      </c>
      <c r="W1070" t="s">
        <v>4343</v>
      </c>
      <c r="Y1070" t="b">
        <v>0</v>
      </c>
      <c r="Z1070" t="b">
        <v>0</v>
      </c>
      <c r="AA1070">
        <v>122</v>
      </c>
      <c r="AB1070">
        <v>0</v>
      </c>
      <c r="AD1070" t="b">
        <v>0</v>
      </c>
      <c r="AG1070" s="1" t="s">
        <v>57</v>
      </c>
      <c r="AH1070" s="1" t="s">
        <v>39</v>
      </c>
      <c r="AI1070">
        <v>303</v>
      </c>
      <c r="AJ1070">
        <v>217</v>
      </c>
      <c r="AK1070" s="106">
        <v>45475.635515231479</v>
      </c>
      <c r="AL1070" s="1" t="s">
        <v>4790</v>
      </c>
      <c r="AM1070" s="42">
        <f>IFERROR(INDEX('Public procurment'!A:R,MATCH(ListOfExpenditure[[#This Row],[Content.contractId]],'Public procurment'!E:E,0),14),0)</f>
        <v>100</v>
      </c>
      <c r="AN1070" s="2">
        <f>IF(AND(ListOfExpenditure[[#This Row],[Contract amount]]&gt;10000,ListOfExpenditure[[#This Row],[Content.declaredAmount]]&gt;2000),1,0)</f>
        <v>0</v>
      </c>
      <c r="AO1070">
        <f>IFERROR(INDEX('Public procurment'!A:S,MATCH(ListOfExpenditure[[#This Row],[Content.contractId]],'Public procurment'!E:E,0),19),0)</f>
        <v>0</v>
      </c>
      <c r="AP1070">
        <f>IF(ListOfExpenditure[[#This Row],[Numero di volte controllato il contract ]]&gt;0,0,ListOfExpenditure[[#This Row],[IF public procurment &gt;10000;1;0]])</f>
        <v>0</v>
      </c>
    </row>
    <row r="1071" spans="1:42" x14ac:dyDescent="0.25">
      <c r="A1071">
        <v>1580</v>
      </c>
      <c r="B1071">
        <v>8</v>
      </c>
      <c r="E1071" t="s">
        <v>4798</v>
      </c>
      <c r="F1071" t="b">
        <v>0</v>
      </c>
      <c r="H1071">
        <v>153</v>
      </c>
      <c r="I1071" t="s">
        <v>212</v>
      </c>
      <c r="J1071" t="s">
        <v>6356</v>
      </c>
      <c r="K1071" t="s">
        <v>4911</v>
      </c>
      <c r="L1071" t="s">
        <v>4958</v>
      </c>
      <c r="M1071" t="s">
        <v>4788</v>
      </c>
      <c r="N1071" t="s">
        <v>4788</v>
      </c>
      <c r="O1071">
        <v>5802.81</v>
      </c>
      <c r="P1071">
        <v>1046.4100000000001</v>
      </c>
      <c r="Q1071">
        <v>0</v>
      </c>
      <c r="R1071">
        <v>0</v>
      </c>
      <c r="S1071">
        <v>5802.81</v>
      </c>
      <c r="T1071" t="s">
        <v>4789</v>
      </c>
      <c r="U1071">
        <v>1</v>
      </c>
      <c r="V1071">
        <v>5802.81</v>
      </c>
      <c r="W1071" t="s">
        <v>4343</v>
      </c>
      <c r="Y1071" t="b">
        <v>0</v>
      </c>
      <c r="Z1071" t="b">
        <v>0</v>
      </c>
      <c r="AA1071">
        <v>5802.81</v>
      </c>
      <c r="AB1071">
        <v>0</v>
      </c>
      <c r="AD1071" t="b">
        <v>0</v>
      </c>
      <c r="AG1071" s="1" t="s">
        <v>57</v>
      </c>
      <c r="AH1071" s="1" t="s">
        <v>39</v>
      </c>
      <c r="AI1071">
        <v>303</v>
      </c>
      <c r="AJ1071">
        <v>217</v>
      </c>
      <c r="AK1071" s="106">
        <v>45475.635515231479</v>
      </c>
      <c r="AL1071" s="1" t="s">
        <v>4790</v>
      </c>
      <c r="AM1071" s="42">
        <f>IFERROR(INDEX('Public procurment'!A:R,MATCH(ListOfExpenditure[[#This Row],[Content.contractId]],'Public procurment'!E:E,0),14),0)</f>
        <v>4756.3999999999996</v>
      </c>
      <c r="AN1071" s="2">
        <f>IF(AND(ListOfExpenditure[[#This Row],[Contract amount]]&gt;10000,ListOfExpenditure[[#This Row],[Content.declaredAmount]]&gt;2000),1,0)</f>
        <v>0</v>
      </c>
      <c r="AO1071">
        <f>IFERROR(INDEX('Public procurment'!A:S,MATCH(ListOfExpenditure[[#This Row],[Content.contractId]],'Public procurment'!E:E,0),19),0)</f>
        <v>0</v>
      </c>
      <c r="AP1071">
        <f>IF(ListOfExpenditure[[#This Row],[Numero di volte controllato il contract ]]&gt;0,0,ListOfExpenditure[[#This Row],[IF public procurment &gt;10000;1;0]])</f>
        <v>0</v>
      </c>
    </row>
    <row r="1072" spans="1:42" x14ac:dyDescent="0.25">
      <c r="A1072">
        <v>1581</v>
      </c>
      <c r="B1072">
        <v>9</v>
      </c>
      <c r="E1072" t="s">
        <v>4798</v>
      </c>
      <c r="F1072" t="b">
        <v>0</v>
      </c>
      <c r="H1072">
        <v>29</v>
      </c>
      <c r="I1072" t="s">
        <v>212</v>
      </c>
      <c r="J1072" t="s">
        <v>6357</v>
      </c>
      <c r="K1072" t="s">
        <v>4885</v>
      </c>
      <c r="L1072" t="s">
        <v>6358</v>
      </c>
      <c r="M1072" t="s">
        <v>4788</v>
      </c>
      <c r="N1072" t="s">
        <v>4788</v>
      </c>
      <c r="O1072">
        <v>4831.2</v>
      </c>
      <c r="P1072">
        <v>871.2</v>
      </c>
      <c r="Q1072">
        <v>0</v>
      </c>
      <c r="R1072">
        <v>0</v>
      </c>
      <c r="S1072">
        <v>4831.2</v>
      </c>
      <c r="T1072" t="s">
        <v>4789</v>
      </c>
      <c r="U1072">
        <v>1</v>
      </c>
      <c r="V1072">
        <v>4831.2</v>
      </c>
      <c r="W1072" t="s">
        <v>4343</v>
      </c>
      <c r="Y1072" t="b">
        <v>0</v>
      </c>
      <c r="Z1072" t="b">
        <v>0</v>
      </c>
      <c r="AA1072">
        <v>4831.2</v>
      </c>
      <c r="AB1072">
        <v>0</v>
      </c>
      <c r="AD1072" t="b">
        <v>0</v>
      </c>
      <c r="AG1072" s="1" t="s">
        <v>57</v>
      </c>
      <c r="AH1072" s="1" t="s">
        <v>39</v>
      </c>
      <c r="AI1072">
        <v>303</v>
      </c>
      <c r="AJ1072">
        <v>217</v>
      </c>
      <c r="AK1072" s="106">
        <v>45475.635515231479</v>
      </c>
      <c r="AL1072" s="1" t="s">
        <v>4790</v>
      </c>
      <c r="AM1072" s="42">
        <f>IFERROR(INDEX('Public procurment'!A:R,MATCH(ListOfExpenditure[[#This Row],[Content.contractId]],'Public procurment'!E:E,0),14),0)</f>
        <v>26950.82</v>
      </c>
      <c r="AN1072" s="2">
        <f>IF(AND(ListOfExpenditure[[#This Row],[Contract amount]]&gt;10000,ListOfExpenditure[[#This Row],[Content.declaredAmount]]&gt;2000),1,0)</f>
        <v>1</v>
      </c>
      <c r="AO1072">
        <f>IFERROR(INDEX('Public procurment'!A:S,MATCH(ListOfExpenditure[[#This Row],[Content.contractId]],'Public procurment'!E:E,0),19),0)</f>
        <v>0</v>
      </c>
      <c r="AP1072">
        <f>IF(ListOfExpenditure[[#This Row],[Numero di volte controllato il contract ]]&gt;0,0,ListOfExpenditure[[#This Row],[IF public procurment &gt;10000;1;0]])</f>
        <v>1</v>
      </c>
    </row>
    <row r="1073" spans="1:42" x14ac:dyDescent="0.25">
      <c r="A1073">
        <v>457</v>
      </c>
      <c r="B1073">
        <v>1</v>
      </c>
      <c r="C1073">
        <v>58</v>
      </c>
      <c r="E1073" t="s">
        <v>4893</v>
      </c>
      <c r="F1073" t="b">
        <v>0</v>
      </c>
      <c r="M1073" t="s">
        <v>4788</v>
      </c>
      <c r="N1073" t="s">
        <v>4788</v>
      </c>
      <c r="Q1073">
        <v>1</v>
      </c>
      <c r="R1073">
        <v>9000</v>
      </c>
      <c r="S1073">
        <v>9000</v>
      </c>
      <c r="T1073" t="s">
        <v>4789</v>
      </c>
      <c r="U1073">
        <v>1</v>
      </c>
      <c r="V1073">
        <v>9000</v>
      </c>
      <c r="W1073" t="s">
        <v>4343</v>
      </c>
      <c r="Y1073" t="b">
        <v>1</v>
      </c>
      <c r="Z1073" t="b">
        <v>0</v>
      </c>
      <c r="AA1073">
        <v>9000</v>
      </c>
      <c r="AB1073">
        <v>0</v>
      </c>
      <c r="AD1073" t="b">
        <v>0</v>
      </c>
      <c r="AG1073" s="1" t="s">
        <v>57</v>
      </c>
      <c r="AH1073" s="1" t="s">
        <v>39</v>
      </c>
      <c r="AI1073">
        <v>303</v>
      </c>
      <c r="AJ1073">
        <v>87</v>
      </c>
      <c r="AK1073" s="106">
        <v>45475.635442233797</v>
      </c>
      <c r="AL1073" s="1" t="s">
        <v>4790</v>
      </c>
      <c r="AM1073" s="42">
        <f>IFERROR(INDEX('Public procurment'!A:R,MATCH(ListOfExpenditure[[#This Row],[Content.contractId]],'Public procurment'!E:E,0),14),0)</f>
        <v>0</v>
      </c>
      <c r="AN1073" s="2">
        <f>IF(AND(ListOfExpenditure[[#This Row],[Contract amount]]&gt;10000,ListOfExpenditure[[#This Row],[Content.declaredAmount]]&gt;2000),1,0)</f>
        <v>0</v>
      </c>
      <c r="AO1073">
        <f>IFERROR(INDEX('Public procurment'!A:S,MATCH(ListOfExpenditure[[#This Row],[Content.contractId]],'Public procurment'!E:E,0),19),0)</f>
        <v>0</v>
      </c>
      <c r="AP1073">
        <f>IF(ListOfExpenditure[[#This Row],[Numero di volte controllato il contract ]]&gt;0,0,ListOfExpenditure[[#This Row],[IF public procurment &gt;10000;1;0]])</f>
        <v>0</v>
      </c>
    </row>
    <row r="1074" spans="1:42" x14ac:dyDescent="0.25">
      <c r="A1074">
        <v>458</v>
      </c>
      <c r="B1074">
        <v>2</v>
      </c>
      <c r="E1074" t="s">
        <v>4798</v>
      </c>
      <c r="F1074" t="b">
        <v>0</v>
      </c>
      <c r="I1074" t="s">
        <v>212</v>
      </c>
      <c r="J1074" t="s">
        <v>5713</v>
      </c>
      <c r="K1074" t="s">
        <v>5714</v>
      </c>
      <c r="L1074" t="s">
        <v>5715</v>
      </c>
      <c r="M1074" t="s">
        <v>4788</v>
      </c>
      <c r="N1074" t="s">
        <v>4788</v>
      </c>
      <c r="O1074">
        <v>2989</v>
      </c>
      <c r="P1074">
        <v>539</v>
      </c>
      <c r="Q1074">
        <v>0</v>
      </c>
      <c r="R1074">
        <v>0</v>
      </c>
      <c r="S1074">
        <v>2989</v>
      </c>
      <c r="T1074" t="s">
        <v>4789</v>
      </c>
      <c r="U1074">
        <v>1</v>
      </c>
      <c r="V1074">
        <v>2989</v>
      </c>
      <c r="W1074" t="s">
        <v>4343</v>
      </c>
      <c r="Y1074" t="b">
        <v>1</v>
      </c>
      <c r="Z1074" t="b">
        <v>0</v>
      </c>
      <c r="AA1074">
        <v>2989</v>
      </c>
      <c r="AB1074">
        <v>0</v>
      </c>
      <c r="AD1074" t="b">
        <v>0</v>
      </c>
      <c r="AG1074" s="1" t="s">
        <v>57</v>
      </c>
      <c r="AH1074" s="1" t="s">
        <v>39</v>
      </c>
      <c r="AI1074">
        <v>303</v>
      </c>
      <c r="AJ1074">
        <v>87</v>
      </c>
      <c r="AK1074" s="106">
        <v>45475.635442233797</v>
      </c>
      <c r="AL1074" s="1" t="s">
        <v>4790</v>
      </c>
      <c r="AM1074" s="42">
        <f>IFERROR(INDEX('Public procurment'!A:R,MATCH(ListOfExpenditure[[#This Row],[Content.contractId]],'Public procurment'!E:E,0),14),0)</f>
        <v>0</v>
      </c>
      <c r="AN1074" s="2">
        <f>IF(AND(ListOfExpenditure[[#This Row],[Contract amount]]&gt;10000,ListOfExpenditure[[#This Row],[Content.declaredAmount]]&gt;2000),1,0)</f>
        <v>0</v>
      </c>
      <c r="AO1074">
        <f>IFERROR(INDEX('Public procurment'!A:S,MATCH(ListOfExpenditure[[#This Row],[Content.contractId]],'Public procurment'!E:E,0),19),0)</f>
        <v>0</v>
      </c>
      <c r="AP1074">
        <f>IF(ListOfExpenditure[[#This Row],[Numero di volte controllato il contract ]]&gt;0,0,ListOfExpenditure[[#This Row],[IF public procurment &gt;10000;1;0]])</f>
        <v>0</v>
      </c>
    </row>
    <row r="1075" spans="1:42" x14ac:dyDescent="0.25">
      <c r="A1075">
        <v>459</v>
      </c>
      <c r="B1075">
        <v>3</v>
      </c>
      <c r="D1075">
        <v>32</v>
      </c>
      <c r="E1075" t="s">
        <v>4786</v>
      </c>
      <c r="F1075" t="b">
        <v>0</v>
      </c>
      <c r="M1075" t="s">
        <v>4788</v>
      </c>
      <c r="N1075" t="s">
        <v>4788</v>
      </c>
      <c r="Q1075">
        <v>94</v>
      </c>
      <c r="R1075">
        <v>27</v>
      </c>
      <c r="S1075">
        <v>2538</v>
      </c>
      <c r="T1075" t="s">
        <v>4789</v>
      </c>
      <c r="U1075">
        <v>1</v>
      </c>
      <c r="V1075">
        <v>2538</v>
      </c>
      <c r="W1075" t="s">
        <v>4343</v>
      </c>
      <c r="Y1075" t="b">
        <v>1</v>
      </c>
      <c r="Z1075" t="b">
        <v>0</v>
      </c>
      <c r="AA1075">
        <v>2538</v>
      </c>
      <c r="AB1075">
        <v>0</v>
      </c>
      <c r="AD1075" t="b">
        <v>0</v>
      </c>
      <c r="AG1075" s="1" t="s">
        <v>57</v>
      </c>
      <c r="AH1075" s="1" t="s">
        <v>39</v>
      </c>
      <c r="AI1075">
        <v>303</v>
      </c>
      <c r="AJ1075">
        <v>87</v>
      </c>
      <c r="AK1075" s="106">
        <v>45475.635442233797</v>
      </c>
      <c r="AL1075" s="1" t="s">
        <v>4790</v>
      </c>
      <c r="AM1075" s="42">
        <f>IFERROR(INDEX('Public procurment'!A:R,MATCH(ListOfExpenditure[[#This Row],[Content.contractId]],'Public procurment'!E:E,0),14),0)</f>
        <v>0</v>
      </c>
      <c r="AN1075" s="2">
        <f>IF(AND(ListOfExpenditure[[#This Row],[Contract amount]]&gt;10000,ListOfExpenditure[[#This Row],[Content.declaredAmount]]&gt;2000),1,0)</f>
        <v>0</v>
      </c>
      <c r="AO1075">
        <f>IFERROR(INDEX('Public procurment'!A:S,MATCH(ListOfExpenditure[[#This Row],[Content.contractId]],'Public procurment'!E:E,0),19),0)</f>
        <v>0</v>
      </c>
      <c r="AP1075">
        <f>IF(ListOfExpenditure[[#This Row],[Numero di volte controllato il contract ]]&gt;0,0,ListOfExpenditure[[#This Row],[IF public procurment &gt;10000;1;0]])</f>
        <v>0</v>
      </c>
    </row>
    <row r="1076" spans="1:42" x14ac:dyDescent="0.25">
      <c r="A1076">
        <v>497</v>
      </c>
      <c r="B1076">
        <v>4</v>
      </c>
      <c r="D1076">
        <v>32</v>
      </c>
      <c r="E1076" t="s">
        <v>4786</v>
      </c>
      <c r="F1076" t="b">
        <v>0</v>
      </c>
      <c r="M1076" t="s">
        <v>4788</v>
      </c>
      <c r="N1076" t="s">
        <v>4788</v>
      </c>
      <c r="Q1076">
        <v>163</v>
      </c>
      <c r="R1076">
        <v>27</v>
      </c>
      <c r="S1076">
        <v>4401</v>
      </c>
      <c r="T1076" t="s">
        <v>4789</v>
      </c>
      <c r="U1076">
        <v>1</v>
      </c>
      <c r="V1076">
        <v>4401</v>
      </c>
      <c r="W1076" t="s">
        <v>4343</v>
      </c>
      <c r="Y1076" t="b">
        <v>1</v>
      </c>
      <c r="Z1076" t="b">
        <v>0</v>
      </c>
      <c r="AA1076">
        <v>4401</v>
      </c>
      <c r="AB1076">
        <v>0</v>
      </c>
      <c r="AD1076" t="b">
        <v>0</v>
      </c>
      <c r="AG1076" s="1" t="s">
        <v>57</v>
      </c>
      <c r="AH1076" s="1" t="s">
        <v>39</v>
      </c>
      <c r="AI1076">
        <v>303</v>
      </c>
      <c r="AJ1076">
        <v>87</v>
      </c>
      <c r="AK1076" s="106">
        <v>45475.635442233797</v>
      </c>
      <c r="AL1076" s="1" t="s">
        <v>4790</v>
      </c>
      <c r="AM1076" s="42">
        <f>IFERROR(INDEX('Public procurment'!A:R,MATCH(ListOfExpenditure[[#This Row],[Content.contractId]],'Public procurment'!E:E,0),14),0)</f>
        <v>0</v>
      </c>
      <c r="AN1076" s="2">
        <f>IF(AND(ListOfExpenditure[[#This Row],[Contract amount]]&gt;10000,ListOfExpenditure[[#This Row],[Content.declaredAmount]]&gt;2000),1,0)</f>
        <v>0</v>
      </c>
      <c r="AO1076">
        <f>IFERROR(INDEX('Public procurment'!A:S,MATCH(ListOfExpenditure[[#This Row],[Content.contractId]],'Public procurment'!E:E,0),19),0)</f>
        <v>0</v>
      </c>
      <c r="AP1076">
        <f>IF(ListOfExpenditure[[#This Row],[Numero di volte controllato il contract ]]&gt;0,0,ListOfExpenditure[[#This Row],[IF public procurment &gt;10000;1;0]])</f>
        <v>0</v>
      </c>
    </row>
    <row r="1077" spans="1:42" x14ac:dyDescent="0.25">
      <c r="A1077">
        <v>498</v>
      </c>
      <c r="B1077">
        <v>5</v>
      </c>
      <c r="D1077">
        <v>32</v>
      </c>
      <c r="E1077" t="s">
        <v>4786</v>
      </c>
      <c r="F1077" t="b">
        <v>0</v>
      </c>
      <c r="M1077" t="s">
        <v>4788</v>
      </c>
      <c r="N1077" t="s">
        <v>4788</v>
      </c>
      <c r="Q1077">
        <v>408</v>
      </c>
      <c r="R1077">
        <v>27</v>
      </c>
      <c r="S1077">
        <v>11016</v>
      </c>
      <c r="T1077" t="s">
        <v>4789</v>
      </c>
      <c r="U1077">
        <v>1</v>
      </c>
      <c r="V1077">
        <v>11016</v>
      </c>
      <c r="W1077" t="s">
        <v>4343</v>
      </c>
      <c r="Y1077" t="b">
        <v>1</v>
      </c>
      <c r="Z1077" t="b">
        <v>0</v>
      </c>
      <c r="AA1077">
        <v>11016</v>
      </c>
      <c r="AB1077">
        <v>0</v>
      </c>
      <c r="AD1077" t="b">
        <v>0</v>
      </c>
      <c r="AG1077" s="1" t="s">
        <v>57</v>
      </c>
      <c r="AH1077" s="1" t="s">
        <v>39</v>
      </c>
      <c r="AI1077">
        <v>303</v>
      </c>
      <c r="AJ1077">
        <v>87</v>
      </c>
      <c r="AK1077" s="106">
        <v>45475.635442233797</v>
      </c>
      <c r="AL1077" s="1" t="s">
        <v>4790</v>
      </c>
      <c r="AM1077" s="42">
        <f>IFERROR(INDEX('Public procurment'!A:R,MATCH(ListOfExpenditure[[#This Row],[Content.contractId]],'Public procurment'!E:E,0),14),0)</f>
        <v>0</v>
      </c>
      <c r="AN1077" s="2">
        <f>IF(AND(ListOfExpenditure[[#This Row],[Contract amount]]&gt;10000,ListOfExpenditure[[#This Row],[Content.declaredAmount]]&gt;2000),1,0)</f>
        <v>0</v>
      </c>
      <c r="AO1077">
        <f>IFERROR(INDEX('Public procurment'!A:S,MATCH(ListOfExpenditure[[#This Row],[Content.contractId]],'Public procurment'!E:E,0),19),0)</f>
        <v>0</v>
      </c>
      <c r="AP1077">
        <f>IF(ListOfExpenditure[[#This Row],[Numero di volte controllato il contract ]]&gt;0,0,ListOfExpenditure[[#This Row],[IF public procurment &gt;10000;1;0]])</f>
        <v>0</v>
      </c>
    </row>
    <row r="1078" spans="1:42" x14ac:dyDescent="0.25">
      <c r="A1078">
        <v>499</v>
      </c>
      <c r="B1078">
        <v>6</v>
      </c>
      <c r="D1078">
        <v>32</v>
      </c>
      <c r="E1078" t="s">
        <v>4786</v>
      </c>
      <c r="F1078" t="b">
        <v>0</v>
      </c>
      <c r="M1078" t="s">
        <v>4788</v>
      </c>
      <c r="N1078" t="s">
        <v>4788</v>
      </c>
      <c r="Q1078">
        <v>236</v>
      </c>
      <c r="R1078">
        <v>27</v>
      </c>
      <c r="S1078">
        <v>6372</v>
      </c>
      <c r="T1078" t="s">
        <v>4789</v>
      </c>
      <c r="U1078">
        <v>1</v>
      </c>
      <c r="V1078">
        <v>6372</v>
      </c>
      <c r="W1078" t="s">
        <v>4343</v>
      </c>
      <c r="Y1078" t="b">
        <v>1</v>
      </c>
      <c r="Z1078" t="b">
        <v>0</v>
      </c>
      <c r="AA1078">
        <v>6372</v>
      </c>
      <c r="AB1078">
        <v>0</v>
      </c>
      <c r="AD1078" t="b">
        <v>0</v>
      </c>
      <c r="AG1078" s="1" t="s">
        <v>57</v>
      </c>
      <c r="AH1078" s="1" t="s">
        <v>39</v>
      </c>
      <c r="AI1078">
        <v>303</v>
      </c>
      <c r="AJ1078">
        <v>87</v>
      </c>
      <c r="AK1078" s="106">
        <v>45475.635442233797</v>
      </c>
      <c r="AL1078" s="1" t="s">
        <v>4790</v>
      </c>
      <c r="AM1078" s="42">
        <f>IFERROR(INDEX('Public procurment'!A:R,MATCH(ListOfExpenditure[[#This Row],[Content.contractId]],'Public procurment'!E:E,0),14),0)</f>
        <v>0</v>
      </c>
      <c r="AN1078" s="2">
        <f>IF(AND(ListOfExpenditure[[#This Row],[Contract amount]]&gt;10000,ListOfExpenditure[[#This Row],[Content.declaredAmount]]&gt;2000),1,0)</f>
        <v>0</v>
      </c>
      <c r="AO1078">
        <f>IFERROR(INDEX('Public procurment'!A:S,MATCH(ListOfExpenditure[[#This Row],[Content.contractId]],'Public procurment'!E:E,0),19),0)</f>
        <v>0</v>
      </c>
      <c r="AP1078">
        <f>IF(ListOfExpenditure[[#This Row],[Numero di volte controllato il contract ]]&gt;0,0,ListOfExpenditure[[#This Row],[IF public procurment &gt;10000;1;0]])</f>
        <v>0</v>
      </c>
    </row>
    <row r="1079" spans="1:42" x14ac:dyDescent="0.25">
      <c r="A1079">
        <v>235</v>
      </c>
      <c r="B1079">
        <v>1</v>
      </c>
      <c r="D1079">
        <v>25</v>
      </c>
      <c r="E1079" t="s">
        <v>4786</v>
      </c>
      <c r="F1079" t="b">
        <v>0</v>
      </c>
      <c r="M1079" t="s">
        <v>4788</v>
      </c>
      <c r="N1079" t="s">
        <v>4788</v>
      </c>
      <c r="Q1079">
        <v>1204.1600000000001</v>
      </c>
      <c r="R1079">
        <v>18</v>
      </c>
      <c r="S1079">
        <v>21674.880000000001</v>
      </c>
      <c r="T1079" t="s">
        <v>4789</v>
      </c>
      <c r="U1079">
        <v>1</v>
      </c>
      <c r="V1079">
        <v>21674.880000000001</v>
      </c>
      <c r="W1079" t="s">
        <v>4343</v>
      </c>
      <c r="Y1079" t="b">
        <v>1</v>
      </c>
      <c r="Z1079" t="b">
        <v>0</v>
      </c>
      <c r="AA1079">
        <v>21672</v>
      </c>
      <c r="AB1079">
        <v>2.88</v>
      </c>
      <c r="AC1079">
        <v>68</v>
      </c>
      <c r="AD1079" t="b">
        <v>0</v>
      </c>
      <c r="AF1079" t="s">
        <v>5716</v>
      </c>
      <c r="AG1079" s="1" t="s">
        <v>57</v>
      </c>
      <c r="AH1079" s="1" t="s">
        <v>23</v>
      </c>
      <c r="AI1079">
        <v>308</v>
      </c>
      <c r="AJ1079">
        <v>48</v>
      </c>
      <c r="AK1079" s="106">
        <v>45475.635424537038</v>
      </c>
      <c r="AL1079" s="1" t="s">
        <v>4790</v>
      </c>
      <c r="AM1079" s="42">
        <f>IFERROR(INDEX('Public procurment'!A:R,MATCH(ListOfExpenditure[[#This Row],[Content.contractId]],'Public procurment'!E:E,0),14),0)</f>
        <v>0</v>
      </c>
      <c r="AN1079" s="2">
        <f>IF(AND(ListOfExpenditure[[#This Row],[Contract amount]]&gt;10000,ListOfExpenditure[[#This Row],[Content.declaredAmount]]&gt;2000),1,0)</f>
        <v>0</v>
      </c>
      <c r="AO1079">
        <f>IFERROR(INDEX('Public procurment'!A:S,MATCH(ListOfExpenditure[[#This Row],[Content.contractId]],'Public procurment'!E:E,0),19),0)</f>
        <v>0</v>
      </c>
      <c r="AP1079">
        <f>IF(ListOfExpenditure[[#This Row],[Numero di volte controllato il contract ]]&gt;0,0,ListOfExpenditure[[#This Row],[IF public procurment &gt;10000;1;0]])</f>
        <v>0</v>
      </c>
    </row>
    <row r="1080" spans="1:42" x14ac:dyDescent="0.25">
      <c r="A1080">
        <v>236</v>
      </c>
      <c r="B1080">
        <v>2</v>
      </c>
      <c r="D1080">
        <v>24</v>
      </c>
      <c r="E1080" t="s">
        <v>4786</v>
      </c>
      <c r="F1080" t="b">
        <v>0</v>
      </c>
      <c r="M1080" t="s">
        <v>4788</v>
      </c>
      <c r="N1080" t="s">
        <v>4788</v>
      </c>
      <c r="Q1080">
        <v>224</v>
      </c>
      <c r="R1080">
        <v>27</v>
      </c>
      <c r="S1080">
        <v>6048</v>
      </c>
      <c r="T1080" t="s">
        <v>4789</v>
      </c>
      <c r="U1080">
        <v>1</v>
      </c>
      <c r="V1080">
        <v>6048</v>
      </c>
      <c r="W1080" t="s">
        <v>4343</v>
      </c>
      <c r="Y1080" t="b">
        <v>1</v>
      </c>
      <c r="Z1080" t="b">
        <v>0</v>
      </c>
      <c r="AA1080">
        <v>6048</v>
      </c>
      <c r="AB1080">
        <v>0</v>
      </c>
      <c r="AD1080" t="b">
        <v>0</v>
      </c>
      <c r="AG1080" s="1" t="s">
        <v>57</v>
      </c>
      <c r="AH1080" s="1" t="s">
        <v>23</v>
      </c>
      <c r="AI1080">
        <v>308</v>
      </c>
      <c r="AJ1080">
        <v>48</v>
      </c>
      <c r="AK1080" s="106">
        <v>45475.635424537038</v>
      </c>
      <c r="AL1080" s="1" t="s">
        <v>4790</v>
      </c>
      <c r="AM1080" s="42">
        <f>IFERROR(INDEX('Public procurment'!A:R,MATCH(ListOfExpenditure[[#This Row],[Content.contractId]],'Public procurment'!E:E,0),14),0)</f>
        <v>0</v>
      </c>
      <c r="AN1080" s="2">
        <f>IF(AND(ListOfExpenditure[[#This Row],[Contract amount]]&gt;10000,ListOfExpenditure[[#This Row],[Content.declaredAmount]]&gt;2000),1,0)</f>
        <v>0</v>
      </c>
      <c r="AO1080">
        <f>IFERROR(INDEX('Public procurment'!A:S,MATCH(ListOfExpenditure[[#This Row],[Content.contractId]],'Public procurment'!E:E,0),19),0)</f>
        <v>0</v>
      </c>
      <c r="AP1080">
        <f>IF(ListOfExpenditure[[#This Row],[Numero di volte controllato il contract ]]&gt;0,0,ListOfExpenditure[[#This Row],[IF public procurment &gt;10000;1;0]])</f>
        <v>0</v>
      </c>
    </row>
    <row r="1081" spans="1:42" x14ac:dyDescent="0.25">
      <c r="A1081">
        <v>237</v>
      </c>
      <c r="B1081">
        <v>3</v>
      </c>
      <c r="D1081">
        <v>23</v>
      </c>
      <c r="E1081" t="s">
        <v>4786</v>
      </c>
      <c r="F1081" t="b">
        <v>0</v>
      </c>
      <c r="M1081" t="s">
        <v>4788</v>
      </c>
      <c r="N1081" t="s">
        <v>4788</v>
      </c>
      <c r="Q1081">
        <v>66</v>
      </c>
      <c r="R1081">
        <v>38</v>
      </c>
      <c r="S1081">
        <v>2508</v>
      </c>
      <c r="T1081" t="s">
        <v>4789</v>
      </c>
      <c r="U1081">
        <v>1</v>
      </c>
      <c r="V1081">
        <v>2508</v>
      </c>
      <c r="W1081" t="s">
        <v>4343</v>
      </c>
      <c r="Y1081" t="b">
        <v>1</v>
      </c>
      <c r="Z1081" t="b">
        <v>0</v>
      </c>
      <c r="AA1081">
        <v>2508</v>
      </c>
      <c r="AB1081">
        <v>0</v>
      </c>
      <c r="AD1081" t="b">
        <v>0</v>
      </c>
      <c r="AG1081" s="1" t="s">
        <v>57</v>
      </c>
      <c r="AH1081" s="1" t="s">
        <v>23</v>
      </c>
      <c r="AI1081">
        <v>308</v>
      </c>
      <c r="AJ1081">
        <v>48</v>
      </c>
      <c r="AK1081" s="106">
        <v>45475.635424537038</v>
      </c>
      <c r="AL1081" s="1" t="s">
        <v>4790</v>
      </c>
      <c r="AM1081" s="42">
        <f>IFERROR(INDEX('Public procurment'!A:R,MATCH(ListOfExpenditure[[#This Row],[Content.contractId]],'Public procurment'!E:E,0),14),0)</f>
        <v>0</v>
      </c>
      <c r="AN1081" s="2">
        <f>IF(AND(ListOfExpenditure[[#This Row],[Contract amount]]&gt;10000,ListOfExpenditure[[#This Row],[Content.declaredAmount]]&gt;2000),1,0)</f>
        <v>0</v>
      </c>
      <c r="AO1081">
        <f>IFERROR(INDEX('Public procurment'!A:S,MATCH(ListOfExpenditure[[#This Row],[Content.contractId]],'Public procurment'!E:E,0),19),0)</f>
        <v>0</v>
      </c>
      <c r="AP1081">
        <f>IF(ListOfExpenditure[[#This Row],[Numero di volte controllato il contract ]]&gt;0,0,ListOfExpenditure[[#This Row],[IF public procurment &gt;10000;1;0]])</f>
        <v>0</v>
      </c>
    </row>
    <row r="1082" spans="1:42" x14ac:dyDescent="0.25">
      <c r="A1082">
        <v>255</v>
      </c>
      <c r="B1082">
        <v>1</v>
      </c>
      <c r="E1082" t="s">
        <v>4786</v>
      </c>
      <c r="F1082" t="b">
        <v>0</v>
      </c>
      <c r="I1082" t="s">
        <v>5717</v>
      </c>
      <c r="K1082" t="s">
        <v>5718</v>
      </c>
      <c r="L1082" t="s">
        <v>5718</v>
      </c>
      <c r="M1082" t="s">
        <v>4788</v>
      </c>
      <c r="N1082" t="s">
        <v>4788</v>
      </c>
      <c r="O1082">
        <v>4011.29</v>
      </c>
      <c r="Q1082">
        <v>0</v>
      </c>
      <c r="R1082">
        <v>0</v>
      </c>
      <c r="S1082">
        <v>4011.29</v>
      </c>
      <c r="T1082" t="s">
        <v>4789</v>
      </c>
      <c r="U1082">
        <v>1</v>
      </c>
      <c r="V1082">
        <v>4011.29</v>
      </c>
      <c r="W1082" t="s">
        <v>4343</v>
      </c>
      <c r="Y1082" t="b">
        <v>1</v>
      </c>
      <c r="Z1082" t="b">
        <v>0</v>
      </c>
      <c r="AA1082">
        <v>3641.63</v>
      </c>
      <c r="AB1082">
        <v>369.66</v>
      </c>
      <c r="AC1082">
        <v>8</v>
      </c>
      <c r="AD1082" t="b">
        <v>0</v>
      </c>
      <c r="AF1082" t="s">
        <v>5719</v>
      </c>
      <c r="AG1082" s="1" t="s">
        <v>57</v>
      </c>
      <c r="AH1082" s="1" t="s">
        <v>24</v>
      </c>
      <c r="AI1082">
        <v>313</v>
      </c>
      <c r="AJ1082">
        <v>82</v>
      </c>
      <c r="AK1082" s="106">
        <v>45475.635427233799</v>
      </c>
      <c r="AL1082" s="1" t="s">
        <v>4790</v>
      </c>
      <c r="AM1082" s="42">
        <f>IFERROR(INDEX('Public procurment'!A:R,MATCH(ListOfExpenditure[[#This Row],[Content.contractId]],'Public procurment'!E:E,0),14),0)</f>
        <v>0</v>
      </c>
      <c r="AN1082" s="2">
        <f>IF(AND(ListOfExpenditure[[#This Row],[Contract amount]]&gt;10000,ListOfExpenditure[[#This Row],[Content.declaredAmount]]&gt;2000),1,0)</f>
        <v>0</v>
      </c>
      <c r="AO1082">
        <f>IFERROR(INDEX('Public procurment'!A:S,MATCH(ListOfExpenditure[[#This Row],[Content.contractId]],'Public procurment'!E:E,0),19),0)</f>
        <v>0</v>
      </c>
      <c r="AP1082">
        <f>IF(ListOfExpenditure[[#This Row],[Numero di volte controllato il contract ]]&gt;0,0,ListOfExpenditure[[#This Row],[IF public procurment &gt;10000;1;0]])</f>
        <v>0</v>
      </c>
    </row>
    <row r="1083" spans="1:42" x14ac:dyDescent="0.25">
      <c r="A1083">
        <v>257</v>
      </c>
      <c r="B1083">
        <v>2</v>
      </c>
      <c r="E1083" t="s">
        <v>4786</v>
      </c>
      <c r="F1083" t="b">
        <v>0</v>
      </c>
      <c r="I1083" t="s">
        <v>5717</v>
      </c>
      <c r="K1083" t="s">
        <v>5672</v>
      </c>
      <c r="L1083" t="s">
        <v>5672</v>
      </c>
      <c r="M1083" t="s">
        <v>4788</v>
      </c>
      <c r="N1083" t="s">
        <v>4788</v>
      </c>
      <c r="O1083">
        <v>3612.49</v>
      </c>
      <c r="Q1083">
        <v>0</v>
      </c>
      <c r="R1083">
        <v>0</v>
      </c>
      <c r="S1083">
        <v>3612.49</v>
      </c>
      <c r="T1083" t="s">
        <v>4789</v>
      </c>
      <c r="U1083">
        <v>1</v>
      </c>
      <c r="V1083">
        <v>3612.49</v>
      </c>
      <c r="W1083" t="s">
        <v>4343</v>
      </c>
      <c r="Y1083" t="b">
        <v>0</v>
      </c>
      <c r="Z1083" t="b">
        <v>0</v>
      </c>
      <c r="AA1083">
        <v>3612.49</v>
      </c>
      <c r="AB1083">
        <v>0</v>
      </c>
      <c r="AD1083" t="b">
        <v>0</v>
      </c>
      <c r="AG1083" s="1" t="s">
        <v>57</v>
      </c>
      <c r="AH1083" s="1" t="s">
        <v>24</v>
      </c>
      <c r="AI1083">
        <v>313</v>
      </c>
      <c r="AJ1083">
        <v>82</v>
      </c>
      <c r="AK1083" s="106">
        <v>45475.635427233799</v>
      </c>
      <c r="AL1083" s="1" t="s">
        <v>4790</v>
      </c>
      <c r="AM1083" s="42">
        <f>IFERROR(INDEX('Public procurment'!A:R,MATCH(ListOfExpenditure[[#This Row],[Content.contractId]],'Public procurment'!E:E,0),14),0)</f>
        <v>0</v>
      </c>
      <c r="AN1083" s="2">
        <f>IF(AND(ListOfExpenditure[[#This Row],[Contract amount]]&gt;10000,ListOfExpenditure[[#This Row],[Content.declaredAmount]]&gt;2000),1,0)</f>
        <v>0</v>
      </c>
      <c r="AO1083">
        <f>IFERROR(INDEX('Public procurment'!A:S,MATCH(ListOfExpenditure[[#This Row],[Content.contractId]],'Public procurment'!E:E,0),19),0)</f>
        <v>0</v>
      </c>
      <c r="AP1083">
        <f>IF(ListOfExpenditure[[#This Row],[Numero di volte controllato il contract ]]&gt;0,0,ListOfExpenditure[[#This Row],[IF public procurment &gt;10000;1;0]])</f>
        <v>0</v>
      </c>
    </row>
    <row r="1084" spans="1:42" x14ac:dyDescent="0.25">
      <c r="A1084">
        <v>258</v>
      </c>
      <c r="B1084">
        <v>3</v>
      </c>
      <c r="E1084" t="s">
        <v>4786</v>
      </c>
      <c r="F1084" t="b">
        <v>0</v>
      </c>
      <c r="I1084" t="s">
        <v>5717</v>
      </c>
      <c r="K1084" t="s">
        <v>5720</v>
      </c>
      <c r="L1084" t="s">
        <v>5720</v>
      </c>
      <c r="M1084" t="s">
        <v>4788</v>
      </c>
      <c r="N1084" t="s">
        <v>4788</v>
      </c>
      <c r="O1084">
        <v>3568.61</v>
      </c>
      <c r="Q1084">
        <v>0</v>
      </c>
      <c r="R1084">
        <v>0</v>
      </c>
      <c r="S1084">
        <v>3568.61</v>
      </c>
      <c r="T1084" t="s">
        <v>4789</v>
      </c>
      <c r="U1084">
        <v>1</v>
      </c>
      <c r="V1084">
        <v>3568.61</v>
      </c>
      <c r="W1084" t="s">
        <v>4343</v>
      </c>
      <c r="Y1084" t="b">
        <v>0</v>
      </c>
      <c r="Z1084" t="b">
        <v>0</v>
      </c>
      <c r="AA1084">
        <v>3568.61</v>
      </c>
      <c r="AB1084">
        <v>0</v>
      </c>
      <c r="AD1084" t="b">
        <v>0</v>
      </c>
      <c r="AG1084" s="1" t="s">
        <v>57</v>
      </c>
      <c r="AH1084" s="1" t="s">
        <v>24</v>
      </c>
      <c r="AI1084">
        <v>313</v>
      </c>
      <c r="AJ1084">
        <v>82</v>
      </c>
      <c r="AK1084" s="106">
        <v>45475.635427233799</v>
      </c>
      <c r="AL1084" s="1" t="s">
        <v>4790</v>
      </c>
      <c r="AM1084" s="42">
        <f>IFERROR(INDEX('Public procurment'!A:R,MATCH(ListOfExpenditure[[#This Row],[Content.contractId]],'Public procurment'!E:E,0),14),0)</f>
        <v>0</v>
      </c>
      <c r="AN1084" s="2">
        <f>IF(AND(ListOfExpenditure[[#This Row],[Contract amount]]&gt;10000,ListOfExpenditure[[#This Row],[Content.declaredAmount]]&gt;2000),1,0)</f>
        <v>0</v>
      </c>
      <c r="AO1084">
        <f>IFERROR(INDEX('Public procurment'!A:S,MATCH(ListOfExpenditure[[#This Row],[Content.contractId]],'Public procurment'!E:E,0),19),0)</f>
        <v>0</v>
      </c>
      <c r="AP1084">
        <f>IF(ListOfExpenditure[[#This Row],[Numero di volte controllato il contract ]]&gt;0,0,ListOfExpenditure[[#This Row],[IF public procurment &gt;10000;1;0]])</f>
        <v>0</v>
      </c>
    </row>
    <row r="1085" spans="1:42" x14ac:dyDescent="0.25">
      <c r="A1085">
        <v>259</v>
      </c>
      <c r="B1085">
        <v>4</v>
      </c>
      <c r="E1085" t="s">
        <v>4786</v>
      </c>
      <c r="F1085" t="b">
        <v>0</v>
      </c>
      <c r="I1085" t="s">
        <v>5717</v>
      </c>
      <c r="K1085" t="s">
        <v>5309</v>
      </c>
      <c r="L1085" t="s">
        <v>5309</v>
      </c>
      <c r="M1085" t="s">
        <v>4788</v>
      </c>
      <c r="N1085" t="s">
        <v>4788</v>
      </c>
      <c r="O1085">
        <v>3529.64</v>
      </c>
      <c r="Q1085">
        <v>0</v>
      </c>
      <c r="R1085">
        <v>0</v>
      </c>
      <c r="S1085">
        <v>3529.64</v>
      </c>
      <c r="T1085" t="s">
        <v>4789</v>
      </c>
      <c r="U1085">
        <v>1</v>
      </c>
      <c r="V1085">
        <v>3529.64</v>
      </c>
      <c r="W1085" t="s">
        <v>4343</v>
      </c>
      <c r="Y1085" t="b">
        <v>0</v>
      </c>
      <c r="Z1085" t="b">
        <v>0</v>
      </c>
      <c r="AA1085">
        <v>3529.64</v>
      </c>
      <c r="AB1085">
        <v>0</v>
      </c>
      <c r="AD1085" t="b">
        <v>0</v>
      </c>
      <c r="AG1085" s="1" t="s">
        <v>57</v>
      </c>
      <c r="AH1085" s="1" t="s">
        <v>24</v>
      </c>
      <c r="AI1085">
        <v>313</v>
      </c>
      <c r="AJ1085">
        <v>82</v>
      </c>
      <c r="AK1085" s="106">
        <v>45475.635427233799</v>
      </c>
      <c r="AL1085" s="1" t="s">
        <v>4790</v>
      </c>
      <c r="AM1085" s="42">
        <f>IFERROR(INDEX('Public procurment'!A:R,MATCH(ListOfExpenditure[[#This Row],[Content.contractId]],'Public procurment'!E:E,0),14),0)</f>
        <v>0</v>
      </c>
      <c r="AN1085" s="2">
        <f>IF(AND(ListOfExpenditure[[#This Row],[Contract amount]]&gt;10000,ListOfExpenditure[[#This Row],[Content.declaredAmount]]&gt;2000),1,0)</f>
        <v>0</v>
      </c>
      <c r="AO1085">
        <f>IFERROR(INDEX('Public procurment'!A:S,MATCH(ListOfExpenditure[[#This Row],[Content.contractId]],'Public procurment'!E:E,0),19),0)</f>
        <v>0</v>
      </c>
      <c r="AP1085">
        <f>IF(ListOfExpenditure[[#This Row],[Numero di volte controllato il contract ]]&gt;0,0,ListOfExpenditure[[#This Row],[IF public procurment &gt;10000;1;0]])</f>
        <v>0</v>
      </c>
    </row>
    <row r="1086" spans="1:42" x14ac:dyDescent="0.25">
      <c r="A1086">
        <v>260</v>
      </c>
      <c r="B1086">
        <v>5</v>
      </c>
      <c r="E1086" t="s">
        <v>4786</v>
      </c>
      <c r="F1086" t="b">
        <v>0</v>
      </c>
      <c r="I1086" t="s">
        <v>5717</v>
      </c>
      <c r="K1086" t="s">
        <v>5349</v>
      </c>
      <c r="L1086" t="s">
        <v>5349</v>
      </c>
      <c r="M1086" t="s">
        <v>4788</v>
      </c>
      <c r="N1086" t="s">
        <v>4788</v>
      </c>
      <c r="O1086">
        <v>3632.98</v>
      </c>
      <c r="Q1086">
        <v>0</v>
      </c>
      <c r="R1086">
        <v>0</v>
      </c>
      <c r="S1086">
        <v>3632.98</v>
      </c>
      <c r="T1086" t="s">
        <v>4789</v>
      </c>
      <c r="U1086">
        <v>1</v>
      </c>
      <c r="V1086">
        <v>3632.98</v>
      </c>
      <c r="W1086" t="s">
        <v>4343</v>
      </c>
      <c r="Y1086" t="b">
        <v>0</v>
      </c>
      <c r="Z1086" t="b">
        <v>0</v>
      </c>
      <c r="AA1086">
        <v>3632.98</v>
      </c>
      <c r="AB1086">
        <v>0</v>
      </c>
      <c r="AD1086" t="b">
        <v>0</v>
      </c>
      <c r="AG1086" s="1" t="s">
        <v>57</v>
      </c>
      <c r="AH1086" s="1" t="s">
        <v>24</v>
      </c>
      <c r="AI1086">
        <v>313</v>
      </c>
      <c r="AJ1086">
        <v>82</v>
      </c>
      <c r="AK1086" s="106">
        <v>45475.635427233799</v>
      </c>
      <c r="AL1086" s="1" t="s">
        <v>4790</v>
      </c>
      <c r="AM1086" s="42">
        <f>IFERROR(INDEX('Public procurment'!A:R,MATCH(ListOfExpenditure[[#This Row],[Content.contractId]],'Public procurment'!E:E,0),14),0)</f>
        <v>0</v>
      </c>
      <c r="AN1086" s="2">
        <f>IF(AND(ListOfExpenditure[[#This Row],[Contract amount]]&gt;10000,ListOfExpenditure[[#This Row],[Content.declaredAmount]]&gt;2000),1,0)</f>
        <v>0</v>
      </c>
      <c r="AO1086">
        <f>IFERROR(INDEX('Public procurment'!A:S,MATCH(ListOfExpenditure[[#This Row],[Content.contractId]],'Public procurment'!E:E,0),19),0)</f>
        <v>0</v>
      </c>
      <c r="AP1086">
        <f>IF(ListOfExpenditure[[#This Row],[Numero di volte controllato il contract ]]&gt;0,0,ListOfExpenditure[[#This Row],[IF public procurment &gt;10000;1;0]])</f>
        <v>0</v>
      </c>
    </row>
    <row r="1087" spans="1:42" x14ac:dyDescent="0.25">
      <c r="A1087">
        <v>261</v>
      </c>
      <c r="B1087">
        <v>6</v>
      </c>
      <c r="E1087" t="s">
        <v>4786</v>
      </c>
      <c r="F1087" t="b">
        <v>0</v>
      </c>
      <c r="I1087" t="s">
        <v>5717</v>
      </c>
      <c r="K1087" t="s">
        <v>5384</v>
      </c>
      <c r="L1087" t="s">
        <v>5384</v>
      </c>
      <c r="M1087" t="s">
        <v>4788</v>
      </c>
      <c r="N1087" t="s">
        <v>4788</v>
      </c>
      <c r="O1087">
        <v>3655.71</v>
      </c>
      <c r="Q1087">
        <v>0</v>
      </c>
      <c r="R1087">
        <v>0</v>
      </c>
      <c r="S1087">
        <v>3655.71</v>
      </c>
      <c r="T1087" t="s">
        <v>4789</v>
      </c>
      <c r="U1087">
        <v>1</v>
      </c>
      <c r="V1087">
        <v>3655.71</v>
      </c>
      <c r="W1087" t="s">
        <v>4343</v>
      </c>
      <c r="Y1087" t="b">
        <v>0</v>
      </c>
      <c r="Z1087" t="b">
        <v>0</v>
      </c>
      <c r="AA1087">
        <v>3655.71</v>
      </c>
      <c r="AB1087">
        <v>0</v>
      </c>
      <c r="AD1087" t="b">
        <v>0</v>
      </c>
      <c r="AG1087" s="1" t="s">
        <v>57</v>
      </c>
      <c r="AH1087" s="1" t="s">
        <v>24</v>
      </c>
      <c r="AI1087">
        <v>313</v>
      </c>
      <c r="AJ1087">
        <v>82</v>
      </c>
      <c r="AK1087" s="106">
        <v>45475.635427233799</v>
      </c>
      <c r="AL1087" s="1" t="s">
        <v>4790</v>
      </c>
      <c r="AM1087" s="42">
        <f>IFERROR(INDEX('Public procurment'!A:R,MATCH(ListOfExpenditure[[#This Row],[Content.contractId]],'Public procurment'!E:E,0),14),0)</f>
        <v>0</v>
      </c>
      <c r="AN1087" s="2">
        <f>IF(AND(ListOfExpenditure[[#This Row],[Contract amount]]&gt;10000,ListOfExpenditure[[#This Row],[Content.declaredAmount]]&gt;2000),1,0)</f>
        <v>0</v>
      </c>
      <c r="AO1087">
        <f>IFERROR(INDEX('Public procurment'!A:S,MATCH(ListOfExpenditure[[#This Row],[Content.contractId]],'Public procurment'!E:E,0),19),0)</f>
        <v>0</v>
      </c>
      <c r="AP1087">
        <f>IF(ListOfExpenditure[[#This Row],[Numero di volte controllato il contract ]]&gt;0,0,ListOfExpenditure[[#This Row],[IF public procurment &gt;10000;1;0]])</f>
        <v>0</v>
      </c>
    </row>
    <row r="1088" spans="1:42" x14ac:dyDescent="0.25">
      <c r="A1088">
        <v>262</v>
      </c>
      <c r="B1088">
        <v>7</v>
      </c>
      <c r="E1088" t="s">
        <v>4786</v>
      </c>
      <c r="F1088" t="b">
        <v>0</v>
      </c>
      <c r="I1088" t="s">
        <v>5717</v>
      </c>
      <c r="K1088" t="s">
        <v>4877</v>
      </c>
      <c r="L1088" t="s">
        <v>4877</v>
      </c>
      <c r="M1088" t="s">
        <v>4788</v>
      </c>
      <c r="N1088" t="s">
        <v>4788</v>
      </c>
      <c r="O1088">
        <v>3956.64</v>
      </c>
      <c r="Q1088">
        <v>0</v>
      </c>
      <c r="R1088">
        <v>0</v>
      </c>
      <c r="S1088">
        <v>3956.64</v>
      </c>
      <c r="T1088" t="s">
        <v>4789</v>
      </c>
      <c r="U1088">
        <v>1</v>
      </c>
      <c r="V1088">
        <v>3956.64</v>
      </c>
      <c r="W1088" t="s">
        <v>4343</v>
      </c>
      <c r="Y1088" t="b">
        <v>0</v>
      </c>
      <c r="Z1088" t="b">
        <v>0</v>
      </c>
      <c r="AA1088">
        <v>3956.64</v>
      </c>
      <c r="AB1088">
        <v>0</v>
      </c>
      <c r="AD1088" t="b">
        <v>0</v>
      </c>
      <c r="AG1088" s="1" t="s">
        <v>57</v>
      </c>
      <c r="AH1088" s="1" t="s">
        <v>24</v>
      </c>
      <c r="AI1088">
        <v>313</v>
      </c>
      <c r="AJ1088">
        <v>82</v>
      </c>
      <c r="AK1088" s="106">
        <v>45475.635427233799</v>
      </c>
      <c r="AL1088" s="1" t="s">
        <v>4790</v>
      </c>
      <c r="AM1088" s="42">
        <f>IFERROR(INDEX('Public procurment'!A:R,MATCH(ListOfExpenditure[[#This Row],[Content.contractId]],'Public procurment'!E:E,0),14),0)</f>
        <v>0</v>
      </c>
      <c r="AN1088" s="2">
        <f>IF(AND(ListOfExpenditure[[#This Row],[Contract amount]]&gt;10000,ListOfExpenditure[[#This Row],[Content.declaredAmount]]&gt;2000),1,0)</f>
        <v>0</v>
      </c>
      <c r="AO1088">
        <f>IFERROR(INDEX('Public procurment'!A:S,MATCH(ListOfExpenditure[[#This Row],[Content.contractId]],'Public procurment'!E:E,0),19),0)</f>
        <v>0</v>
      </c>
      <c r="AP1088">
        <f>IF(ListOfExpenditure[[#This Row],[Numero di volte controllato il contract ]]&gt;0,0,ListOfExpenditure[[#This Row],[IF public procurment &gt;10000;1;0]])</f>
        <v>0</v>
      </c>
    </row>
    <row r="1089" spans="1:42" x14ac:dyDescent="0.25">
      <c r="A1089">
        <v>274</v>
      </c>
      <c r="B1089">
        <v>8</v>
      </c>
      <c r="E1089" t="s">
        <v>4786</v>
      </c>
      <c r="F1089" t="b">
        <v>0</v>
      </c>
      <c r="I1089" t="s">
        <v>5717</v>
      </c>
      <c r="K1089" t="s">
        <v>4873</v>
      </c>
      <c r="L1089" t="s">
        <v>4873</v>
      </c>
      <c r="M1089" t="s">
        <v>4788</v>
      </c>
      <c r="N1089" t="s">
        <v>4788</v>
      </c>
      <c r="O1089">
        <v>3698.35</v>
      </c>
      <c r="Q1089">
        <v>0</v>
      </c>
      <c r="R1089">
        <v>0</v>
      </c>
      <c r="S1089">
        <v>3698.35</v>
      </c>
      <c r="T1089" t="s">
        <v>4789</v>
      </c>
      <c r="U1089">
        <v>1</v>
      </c>
      <c r="V1089">
        <v>3698.35</v>
      </c>
      <c r="W1089" t="s">
        <v>4343</v>
      </c>
      <c r="Y1089" t="b">
        <v>0</v>
      </c>
      <c r="Z1089" t="b">
        <v>0</v>
      </c>
      <c r="AA1089">
        <v>3698.35</v>
      </c>
      <c r="AB1089">
        <v>0</v>
      </c>
      <c r="AD1089" t="b">
        <v>0</v>
      </c>
      <c r="AG1089" s="1" t="s">
        <v>57</v>
      </c>
      <c r="AH1089" s="1" t="s">
        <v>24</v>
      </c>
      <c r="AI1089">
        <v>313</v>
      </c>
      <c r="AJ1089">
        <v>82</v>
      </c>
      <c r="AK1089" s="106">
        <v>45475.635427233799</v>
      </c>
      <c r="AL1089" s="1" t="s">
        <v>4790</v>
      </c>
      <c r="AM1089" s="42">
        <f>IFERROR(INDEX('Public procurment'!A:R,MATCH(ListOfExpenditure[[#This Row],[Content.contractId]],'Public procurment'!E:E,0),14),0)</f>
        <v>0</v>
      </c>
      <c r="AN1089" s="2">
        <f>IF(AND(ListOfExpenditure[[#This Row],[Contract amount]]&gt;10000,ListOfExpenditure[[#This Row],[Content.declaredAmount]]&gt;2000),1,0)</f>
        <v>0</v>
      </c>
      <c r="AO1089">
        <f>IFERROR(INDEX('Public procurment'!A:S,MATCH(ListOfExpenditure[[#This Row],[Content.contractId]],'Public procurment'!E:E,0),19),0)</f>
        <v>0</v>
      </c>
      <c r="AP1089">
        <f>IF(ListOfExpenditure[[#This Row],[Numero di volte controllato il contract ]]&gt;0,0,ListOfExpenditure[[#This Row],[IF public procurment &gt;10000;1;0]])</f>
        <v>0</v>
      </c>
    </row>
    <row r="1090" spans="1:42" x14ac:dyDescent="0.25">
      <c r="A1090">
        <v>277</v>
      </c>
      <c r="B1090">
        <v>9</v>
      </c>
      <c r="E1090" t="s">
        <v>4786</v>
      </c>
      <c r="F1090" t="b">
        <v>0</v>
      </c>
      <c r="I1090" t="s">
        <v>5717</v>
      </c>
      <c r="K1090" t="s">
        <v>4831</v>
      </c>
      <c r="L1090" t="s">
        <v>4831</v>
      </c>
      <c r="M1090" t="s">
        <v>4788</v>
      </c>
      <c r="N1090" t="s">
        <v>4788</v>
      </c>
      <c r="O1090">
        <v>3800.07</v>
      </c>
      <c r="Q1090">
        <v>0</v>
      </c>
      <c r="R1090">
        <v>0</v>
      </c>
      <c r="S1090">
        <v>3800.07</v>
      </c>
      <c r="T1090" t="s">
        <v>4789</v>
      </c>
      <c r="U1090">
        <v>1</v>
      </c>
      <c r="V1090">
        <v>3800.07</v>
      </c>
      <c r="W1090" t="s">
        <v>4343</v>
      </c>
      <c r="Y1090" t="b">
        <v>1</v>
      </c>
      <c r="Z1090" t="b">
        <v>0</v>
      </c>
      <c r="AA1090">
        <v>0</v>
      </c>
      <c r="AB1090">
        <v>0</v>
      </c>
      <c r="AD1090" t="b">
        <v>1</v>
      </c>
      <c r="AF1090" t="s">
        <v>5489</v>
      </c>
      <c r="AG1090" s="1" t="s">
        <v>57</v>
      </c>
      <c r="AH1090" s="1" t="s">
        <v>24</v>
      </c>
      <c r="AI1090">
        <v>313</v>
      </c>
      <c r="AJ1090">
        <v>82</v>
      </c>
      <c r="AK1090" s="106">
        <v>45475.635427233799</v>
      </c>
      <c r="AL1090" s="1" t="s">
        <v>4790</v>
      </c>
      <c r="AM1090" s="42">
        <f>IFERROR(INDEX('Public procurment'!A:R,MATCH(ListOfExpenditure[[#This Row],[Content.contractId]],'Public procurment'!E:E,0),14),0)</f>
        <v>0</v>
      </c>
      <c r="AN1090" s="2">
        <f>IF(AND(ListOfExpenditure[[#This Row],[Contract amount]]&gt;10000,ListOfExpenditure[[#This Row],[Content.declaredAmount]]&gt;2000),1,0)</f>
        <v>0</v>
      </c>
      <c r="AO1090">
        <f>IFERROR(INDEX('Public procurment'!A:S,MATCH(ListOfExpenditure[[#This Row],[Content.contractId]],'Public procurment'!E:E,0),19),0)</f>
        <v>0</v>
      </c>
      <c r="AP1090">
        <f>IF(ListOfExpenditure[[#This Row],[Numero di volte controllato il contract ]]&gt;0,0,ListOfExpenditure[[#This Row],[IF public procurment &gt;10000;1;0]])</f>
        <v>0</v>
      </c>
    </row>
    <row r="1091" spans="1:42" x14ac:dyDescent="0.25">
      <c r="A1091">
        <v>278</v>
      </c>
      <c r="B1091">
        <v>10</v>
      </c>
      <c r="E1091" t="s">
        <v>4786</v>
      </c>
      <c r="F1091" t="b">
        <v>0</v>
      </c>
      <c r="I1091" t="s">
        <v>5721</v>
      </c>
      <c r="K1091" t="s">
        <v>5718</v>
      </c>
      <c r="L1091" t="s">
        <v>5718</v>
      </c>
      <c r="M1091" t="s">
        <v>4788</v>
      </c>
      <c r="N1091" t="s">
        <v>4788</v>
      </c>
      <c r="O1091">
        <v>205.28</v>
      </c>
      <c r="Q1091">
        <v>0</v>
      </c>
      <c r="R1091">
        <v>0</v>
      </c>
      <c r="S1091">
        <v>205.28</v>
      </c>
      <c r="T1091" t="s">
        <v>4789</v>
      </c>
      <c r="U1091">
        <v>1</v>
      </c>
      <c r="V1091">
        <v>205.28</v>
      </c>
      <c r="W1091" t="s">
        <v>4343</v>
      </c>
      <c r="Y1091" t="b">
        <v>0</v>
      </c>
      <c r="Z1091" t="b">
        <v>0</v>
      </c>
      <c r="AA1091">
        <v>205.28</v>
      </c>
      <c r="AB1091">
        <v>0</v>
      </c>
      <c r="AD1091" t="b">
        <v>0</v>
      </c>
      <c r="AG1091" s="1" t="s">
        <v>57</v>
      </c>
      <c r="AH1091" s="1" t="s">
        <v>24</v>
      </c>
      <c r="AI1091">
        <v>313</v>
      </c>
      <c r="AJ1091">
        <v>82</v>
      </c>
      <c r="AK1091" s="106">
        <v>45475.635427233799</v>
      </c>
      <c r="AL1091" s="1" t="s">
        <v>4790</v>
      </c>
      <c r="AM1091" s="42">
        <f>IFERROR(INDEX('Public procurment'!A:R,MATCH(ListOfExpenditure[[#This Row],[Content.contractId]],'Public procurment'!E:E,0),14),0)</f>
        <v>0</v>
      </c>
      <c r="AN1091" s="2">
        <f>IF(AND(ListOfExpenditure[[#This Row],[Contract amount]]&gt;10000,ListOfExpenditure[[#This Row],[Content.declaredAmount]]&gt;2000),1,0)</f>
        <v>0</v>
      </c>
      <c r="AO1091">
        <f>IFERROR(INDEX('Public procurment'!A:S,MATCH(ListOfExpenditure[[#This Row],[Content.contractId]],'Public procurment'!E:E,0),19),0)</f>
        <v>0</v>
      </c>
      <c r="AP1091">
        <f>IF(ListOfExpenditure[[#This Row],[Numero di volte controllato il contract ]]&gt;0,0,ListOfExpenditure[[#This Row],[IF public procurment &gt;10000;1;0]])</f>
        <v>0</v>
      </c>
    </row>
    <row r="1092" spans="1:42" x14ac:dyDescent="0.25">
      <c r="A1092">
        <v>279</v>
      </c>
      <c r="B1092">
        <v>11</v>
      </c>
      <c r="E1092" t="s">
        <v>4786</v>
      </c>
      <c r="F1092" t="b">
        <v>0</v>
      </c>
      <c r="I1092" t="s">
        <v>5721</v>
      </c>
      <c r="K1092" t="s">
        <v>5672</v>
      </c>
      <c r="L1092" t="s">
        <v>5672</v>
      </c>
      <c r="M1092" t="s">
        <v>4788</v>
      </c>
      <c r="N1092" t="s">
        <v>4788</v>
      </c>
      <c r="O1092">
        <v>177.27</v>
      </c>
      <c r="Q1092">
        <v>0</v>
      </c>
      <c r="R1092">
        <v>0</v>
      </c>
      <c r="S1092">
        <v>177.27</v>
      </c>
      <c r="T1092" t="s">
        <v>4789</v>
      </c>
      <c r="U1092">
        <v>1</v>
      </c>
      <c r="V1092">
        <v>177.27</v>
      </c>
      <c r="W1092" t="s">
        <v>4343</v>
      </c>
      <c r="Y1092" t="b">
        <v>0</v>
      </c>
      <c r="Z1092" t="b">
        <v>0</v>
      </c>
      <c r="AA1092">
        <v>177.27</v>
      </c>
      <c r="AB1092">
        <v>0</v>
      </c>
      <c r="AD1092" t="b">
        <v>0</v>
      </c>
      <c r="AG1092" s="1" t="s">
        <v>57</v>
      </c>
      <c r="AH1092" s="1" t="s">
        <v>24</v>
      </c>
      <c r="AI1092">
        <v>313</v>
      </c>
      <c r="AJ1092">
        <v>82</v>
      </c>
      <c r="AK1092" s="106">
        <v>45475.635427233799</v>
      </c>
      <c r="AL1092" s="1" t="s">
        <v>4790</v>
      </c>
      <c r="AM1092" s="42">
        <f>IFERROR(INDEX('Public procurment'!A:R,MATCH(ListOfExpenditure[[#This Row],[Content.contractId]],'Public procurment'!E:E,0),14),0)</f>
        <v>0</v>
      </c>
      <c r="AN1092" s="2">
        <f>IF(AND(ListOfExpenditure[[#This Row],[Contract amount]]&gt;10000,ListOfExpenditure[[#This Row],[Content.declaredAmount]]&gt;2000),1,0)</f>
        <v>0</v>
      </c>
      <c r="AO1092">
        <f>IFERROR(INDEX('Public procurment'!A:S,MATCH(ListOfExpenditure[[#This Row],[Content.contractId]],'Public procurment'!E:E,0),19),0)</f>
        <v>0</v>
      </c>
      <c r="AP1092">
        <f>IF(ListOfExpenditure[[#This Row],[Numero di volte controllato il contract ]]&gt;0,0,ListOfExpenditure[[#This Row],[IF public procurment &gt;10000;1;0]])</f>
        <v>0</v>
      </c>
    </row>
    <row r="1093" spans="1:42" x14ac:dyDescent="0.25">
      <c r="A1093">
        <v>280</v>
      </c>
      <c r="B1093">
        <v>12</v>
      </c>
      <c r="E1093" t="s">
        <v>4786</v>
      </c>
      <c r="F1093" t="b">
        <v>0</v>
      </c>
      <c r="I1093" t="s">
        <v>5721</v>
      </c>
      <c r="K1093" t="s">
        <v>5720</v>
      </c>
      <c r="L1093" t="s">
        <v>5720</v>
      </c>
      <c r="M1093" t="s">
        <v>4788</v>
      </c>
      <c r="N1093" t="s">
        <v>4788</v>
      </c>
      <c r="O1093">
        <v>177.27</v>
      </c>
      <c r="Q1093">
        <v>0</v>
      </c>
      <c r="R1093">
        <v>0</v>
      </c>
      <c r="S1093">
        <v>177.27</v>
      </c>
      <c r="T1093" t="s">
        <v>4789</v>
      </c>
      <c r="U1093">
        <v>1</v>
      </c>
      <c r="V1093">
        <v>177.27</v>
      </c>
      <c r="W1093" t="s">
        <v>4343</v>
      </c>
      <c r="Y1093" t="b">
        <v>0</v>
      </c>
      <c r="Z1093" t="b">
        <v>0</v>
      </c>
      <c r="AA1093">
        <v>177.27</v>
      </c>
      <c r="AB1093">
        <v>0</v>
      </c>
      <c r="AD1093" t="b">
        <v>0</v>
      </c>
      <c r="AG1093" s="1" t="s">
        <v>57</v>
      </c>
      <c r="AH1093" s="1" t="s">
        <v>24</v>
      </c>
      <c r="AI1093">
        <v>313</v>
      </c>
      <c r="AJ1093">
        <v>82</v>
      </c>
      <c r="AK1093" s="106">
        <v>45475.635427233799</v>
      </c>
      <c r="AL1093" s="1" t="s">
        <v>4790</v>
      </c>
      <c r="AM1093" s="42">
        <f>IFERROR(INDEX('Public procurment'!A:R,MATCH(ListOfExpenditure[[#This Row],[Content.contractId]],'Public procurment'!E:E,0),14),0)</f>
        <v>0</v>
      </c>
      <c r="AN1093" s="2">
        <f>IF(AND(ListOfExpenditure[[#This Row],[Contract amount]]&gt;10000,ListOfExpenditure[[#This Row],[Content.declaredAmount]]&gt;2000),1,0)</f>
        <v>0</v>
      </c>
      <c r="AO1093">
        <f>IFERROR(INDEX('Public procurment'!A:S,MATCH(ListOfExpenditure[[#This Row],[Content.contractId]],'Public procurment'!E:E,0),19),0)</f>
        <v>0</v>
      </c>
      <c r="AP1093">
        <f>IF(ListOfExpenditure[[#This Row],[Numero di volte controllato il contract ]]&gt;0,0,ListOfExpenditure[[#This Row],[IF public procurment &gt;10000;1;0]])</f>
        <v>0</v>
      </c>
    </row>
    <row r="1094" spans="1:42" x14ac:dyDescent="0.25">
      <c r="A1094">
        <v>281</v>
      </c>
      <c r="B1094">
        <v>13</v>
      </c>
      <c r="E1094" t="s">
        <v>4786</v>
      </c>
      <c r="F1094" t="b">
        <v>0</v>
      </c>
      <c r="I1094" t="s">
        <v>5721</v>
      </c>
      <c r="K1094" t="s">
        <v>5309</v>
      </c>
      <c r="L1094" t="s">
        <v>5309</v>
      </c>
      <c r="M1094" t="s">
        <v>4788</v>
      </c>
      <c r="N1094" t="s">
        <v>4788</v>
      </c>
      <c r="O1094">
        <v>184.35</v>
      </c>
      <c r="Q1094">
        <v>0</v>
      </c>
      <c r="R1094">
        <v>0</v>
      </c>
      <c r="S1094">
        <v>184.35</v>
      </c>
      <c r="T1094" t="s">
        <v>4789</v>
      </c>
      <c r="U1094">
        <v>1</v>
      </c>
      <c r="V1094">
        <v>184.35</v>
      </c>
      <c r="W1094" t="s">
        <v>4343</v>
      </c>
      <c r="Y1094" t="b">
        <v>0</v>
      </c>
      <c r="Z1094" t="b">
        <v>0</v>
      </c>
      <c r="AA1094">
        <v>184.35</v>
      </c>
      <c r="AB1094">
        <v>0</v>
      </c>
      <c r="AD1094" t="b">
        <v>0</v>
      </c>
      <c r="AG1094" s="1" t="s">
        <v>57</v>
      </c>
      <c r="AH1094" s="1" t="s">
        <v>24</v>
      </c>
      <c r="AI1094">
        <v>313</v>
      </c>
      <c r="AJ1094">
        <v>82</v>
      </c>
      <c r="AK1094" s="106">
        <v>45475.635427233799</v>
      </c>
      <c r="AL1094" s="1" t="s">
        <v>4790</v>
      </c>
      <c r="AM1094" s="42">
        <f>IFERROR(INDEX('Public procurment'!A:R,MATCH(ListOfExpenditure[[#This Row],[Content.contractId]],'Public procurment'!E:E,0),14),0)</f>
        <v>0</v>
      </c>
      <c r="AN1094" s="2">
        <f>IF(AND(ListOfExpenditure[[#This Row],[Contract amount]]&gt;10000,ListOfExpenditure[[#This Row],[Content.declaredAmount]]&gt;2000),1,0)</f>
        <v>0</v>
      </c>
      <c r="AO1094">
        <f>IFERROR(INDEX('Public procurment'!A:S,MATCH(ListOfExpenditure[[#This Row],[Content.contractId]],'Public procurment'!E:E,0),19),0)</f>
        <v>0</v>
      </c>
      <c r="AP1094">
        <f>IF(ListOfExpenditure[[#This Row],[Numero di volte controllato il contract ]]&gt;0,0,ListOfExpenditure[[#This Row],[IF public procurment &gt;10000;1;0]])</f>
        <v>0</v>
      </c>
    </row>
    <row r="1095" spans="1:42" x14ac:dyDescent="0.25">
      <c r="A1095">
        <v>282</v>
      </c>
      <c r="B1095">
        <v>14</v>
      </c>
      <c r="E1095" t="s">
        <v>4786</v>
      </c>
      <c r="F1095" t="b">
        <v>0</v>
      </c>
      <c r="I1095" t="s">
        <v>5721</v>
      </c>
      <c r="K1095" t="s">
        <v>5349</v>
      </c>
      <c r="L1095" t="s">
        <v>5349</v>
      </c>
      <c r="M1095" t="s">
        <v>4788</v>
      </c>
      <c r="N1095" t="s">
        <v>4788</v>
      </c>
      <c r="O1095">
        <v>179.56</v>
      </c>
      <c r="Q1095">
        <v>0</v>
      </c>
      <c r="R1095">
        <v>0</v>
      </c>
      <c r="S1095">
        <v>179.56</v>
      </c>
      <c r="T1095" t="s">
        <v>4789</v>
      </c>
      <c r="U1095">
        <v>1</v>
      </c>
      <c r="V1095">
        <v>179.56</v>
      </c>
      <c r="W1095" t="s">
        <v>4343</v>
      </c>
      <c r="Y1095" t="b">
        <v>0</v>
      </c>
      <c r="Z1095" t="b">
        <v>0</v>
      </c>
      <c r="AA1095">
        <v>179.56</v>
      </c>
      <c r="AB1095">
        <v>0</v>
      </c>
      <c r="AD1095" t="b">
        <v>0</v>
      </c>
      <c r="AG1095" s="1" t="s">
        <v>57</v>
      </c>
      <c r="AH1095" s="1" t="s">
        <v>24</v>
      </c>
      <c r="AI1095">
        <v>313</v>
      </c>
      <c r="AJ1095">
        <v>82</v>
      </c>
      <c r="AK1095" s="106">
        <v>45475.635427233799</v>
      </c>
      <c r="AL1095" s="1" t="s">
        <v>4790</v>
      </c>
      <c r="AM1095" s="42">
        <f>IFERROR(INDEX('Public procurment'!A:R,MATCH(ListOfExpenditure[[#This Row],[Content.contractId]],'Public procurment'!E:E,0),14),0)</f>
        <v>0</v>
      </c>
      <c r="AN1095" s="2">
        <f>IF(AND(ListOfExpenditure[[#This Row],[Contract amount]]&gt;10000,ListOfExpenditure[[#This Row],[Content.declaredAmount]]&gt;2000),1,0)</f>
        <v>0</v>
      </c>
      <c r="AO1095">
        <f>IFERROR(INDEX('Public procurment'!A:S,MATCH(ListOfExpenditure[[#This Row],[Content.contractId]],'Public procurment'!E:E,0),19),0)</f>
        <v>0</v>
      </c>
      <c r="AP1095">
        <f>IF(ListOfExpenditure[[#This Row],[Numero di volte controllato il contract ]]&gt;0,0,ListOfExpenditure[[#This Row],[IF public procurment &gt;10000;1;0]])</f>
        <v>0</v>
      </c>
    </row>
    <row r="1096" spans="1:42" x14ac:dyDescent="0.25">
      <c r="A1096">
        <v>283</v>
      </c>
      <c r="B1096">
        <v>15</v>
      </c>
      <c r="E1096" t="s">
        <v>4786</v>
      </c>
      <c r="F1096" t="b">
        <v>0</v>
      </c>
      <c r="I1096" t="s">
        <v>5721</v>
      </c>
      <c r="K1096" t="s">
        <v>5384</v>
      </c>
      <c r="L1096" t="s">
        <v>5384</v>
      </c>
      <c r="M1096" t="s">
        <v>4788</v>
      </c>
      <c r="N1096" t="s">
        <v>4788</v>
      </c>
      <c r="O1096">
        <v>179.33</v>
      </c>
      <c r="Q1096">
        <v>0</v>
      </c>
      <c r="R1096">
        <v>0</v>
      </c>
      <c r="S1096">
        <v>179.33</v>
      </c>
      <c r="T1096" t="s">
        <v>4789</v>
      </c>
      <c r="U1096">
        <v>1</v>
      </c>
      <c r="V1096">
        <v>179.33</v>
      </c>
      <c r="W1096" t="s">
        <v>4343</v>
      </c>
      <c r="Y1096" t="b">
        <v>0</v>
      </c>
      <c r="Z1096" t="b">
        <v>0</v>
      </c>
      <c r="AA1096">
        <v>179.33</v>
      </c>
      <c r="AB1096">
        <v>0</v>
      </c>
      <c r="AD1096" t="b">
        <v>0</v>
      </c>
      <c r="AG1096" s="1" t="s">
        <v>57</v>
      </c>
      <c r="AH1096" s="1" t="s">
        <v>24</v>
      </c>
      <c r="AI1096">
        <v>313</v>
      </c>
      <c r="AJ1096">
        <v>82</v>
      </c>
      <c r="AK1096" s="106">
        <v>45475.635427233799</v>
      </c>
      <c r="AL1096" s="1" t="s">
        <v>4790</v>
      </c>
      <c r="AM1096" s="42">
        <f>IFERROR(INDEX('Public procurment'!A:R,MATCH(ListOfExpenditure[[#This Row],[Content.contractId]],'Public procurment'!E:E,0),14),0)</f>
        <v>0</v>
      </c>
      <c r="AN1096" s="2">
        <f>IF(AND(ListOfExpenditure[[#This Row],[Contract amount]]&gt;10000,ListOfExpenditure[[#This Row],[Content.declaredAmount]]&gt;2000),1,0)</f>
        <v>0</v>
      </c>
      <c r="AO1096">
        <f>IFERROR(INDEX('Public procurment'!A:S,MATCH(ListOfExpenditure[[#This Row],[Content.contractId]],'Public procurment'!E:E,0),19),0)</f>
        <v>0</v>
      </c>
      <c r="AP1096">
        <f>IF(ListOfExpenditure[[#This Row],[Numero di volte controllato il contract ]]&gt;0,0,ListOfExpenditure[[#This Row],[IF public procurment &gt;10000;1;0]])</f>
        <v>0</v>
      </c>
    </row>
    <row r="1097" spans="1:42" x14ac:dyDescent="0.25">
      <c r="A1097">
        <v>284</v>
      </c>
      <c r="B1097">
        <v>16</v>
      </c>
      <c r="E1097" t="s">
        <v>4786</v>
      </c>
      <c r="F1097" t="b">
        <v>0</v>
      </c>
      <c r="I1097" t="s">
        <v>5721</v>
      </c>
      <c r="K1097" t="s">
        <v>4877</v>
      </c>
      <c r="L1097" t="s">
        <v>4877</v>
      </c>
      <c r="M1097" t="s">
        <v>4788</v>
      </c>
      <c r="N1097" t="s">
        <v>4788</v>
      </c>
      <c r="O1097">
        <v>184.36</v>
      </c>
      <c r="Q1097">
        <v>0</v>
      </c>
      <c r="R1097">
        <v>0</v>
      </c>
      <c r="S1097">
        <v>184.36</v>
      </c>
      <c r="T1097" t="s">
        <v>4789</v>
      </c>
      <c r="U1097">
        <v>1</v>
      </c>
      <c r="V1097">
        <v>184.36</v>
      </c>
      <c r="W1097" t="s">
        <v>4343</v>
      </c>
      <c r="Y1097" t="b">
        <v>0</v>
      </c>
      <c r="Z1097" t="b">
        <v>0</v>
      </c>
      <c r="AA1097">
        <v>184.36</v>
      </c>
      <c r="AB1097">
        <v>0</v>
      </c>
      <c r="AD1097" t="b">
        <v>0</v>
      </c>
      <c r="AG1097" s="1" t="s">
        <v>57</v>
      </c>
      <c r="AH1097" s="1" t="s">
        <v>24</v>
      </c>
      <c r="AI1097">
        <v>313</v>
      </c>
      <c r="AJ1097">
        <v>82</v>
      </c>
      <c r="AK1097" s="106">
        <v>45475.635427233799</v>
      </c>
      <c r="AL1097" s="1" t="s">
        <v>4790</v>
      </c>
      <c r="AM1097" s="42">
        <f>IFERROR(INDEX('Public procurment'!A:R,MATCH(ListOfExpenditure[[#This Row],[Content.contractId]],'Public procurment'!E:E,0),14),0)</f>
        <v>0</v>
      </c>
      <c r="AN1097" s="2">
        <f>IF(AND(ListOfExpenditure[[#This Row],[Contract amount]]&gt;10000,ListOfExpenditure[[#This Row],[Content.declaredAmount]]&gt;2000),1,0)</f>
        <v>0</v>
      </c>
      <c r="AO1097">
        <f>IFERROR(INDEX('Public procurment'!A:S,MATCH(ListOfExpenditure[[#This Row],[Content.contractId]],'Public procurment'!E:E,0),19),0)</f>
        <v>0</v>
      </c>
      <c r="AP1097">
        <f>IF(ListOfExpenditure[[#This Row],[Numero di volte controllato il contract ]]&gt;0,0,ListOfExpenditure[[#This Row],[IF public procurment &gt;10000;1;0]])</f>
        <v>0</v>
      </c>
    </row>
    <row r="1098" spans="1:42" x14ac:dyDescent="0.25">
      <c r="A1098">
        <v>285</v>
      </c>
      <c r="B1098">
        <v>17</v>
      </c>
      <c r="E1098" t="s">
        <v>4786</v>
      </c>
      <c r="F1098" t="b">
        <v>0</v>
      </c>
      <c r="I1098" t="s">
        <v>5721</v>
      </c>
      <c r="K1098" t="s">
        <v>4873</v>
      </c>
      <c r="L1098" t="s">
        <v>4873</v>
      </c>
      <c r="M1098" t="s">
        <v>4788</v>
      </c>
      <c r="N1098" t="s">
        <v>4788</v>
      </c>
      <c r="O1098">
        <v>184.36</v>
      </c>
      <c r="Q1098">
        <v>0</v>
      </c>
      <c r="R1098">
        <v>0</v>
      </c>
      <c r="S1098">
        <v>184.36</v>
      </c>
      <c r="T1098" t="s">
        <v>4789</v>
      </c>
      <c r="U1098">
        <v>1</v>
      </c>
      <c r="V1098">
        <v>184.36</v>
      </c>
      <c r="W1098" t="s">
        <v>4343</v>
      </c>
      <c r="Y1098" t="b">
        <v>0</v>
      </c>
      <c r="Z1098" t="b">
        <v>0</v>
      </c>
      <c r="AA1098">
        <v>184.36</v>
      </c>
      <c r="AB1098">
        <v>0</v>
      </c>
      <c r="AD1098" t="b">
        <v>0</v>
      </c>
      <c r="AG1098" s="1" t="s">
        <v>57</v>
      </c>
      <c r="AH1098" s="1" t="s">
        <v>24</v>
      </c>
      <c r="AI1098">
        <v>313</v>
      </c>
      <c r="AJ1098">
        <v>82</v>
      </c>
      <c r="AK1098" s="106">
        <v>45475.635427233799</v>
      </c>
      <c r="AL1098" s="1" t="s">
        <v>4790</v>
      </c>
      <c r="AM1098" s="42">
        <f>IFERROR(INDEX('Public procurment'!A:R,MATCH(ListOfExpenditure[[#This Row],[Content.contractId]],'Public procurment'!E:E,0),14),0)</f>
        <v>0</v>
      </c>
      <c r="AN1098" s="2">
        <f>IF(AND(ListOfExpenditure[[#This Row],[Contract amount]]&gt;10000,ListOfExpenditure[[#This Row],[Content.declaredAmount]]&gt;2000),1,0)</f>
        <v>0</v>
      </c>
      <c r="AO1098">
        <f>IFERROR(INDEX('Public procurment'!A:S,MATCH(ListOfExpenditure[[#This Row],[Content.contractId]],'Public procurment'!E:E,0),19),0)</f>
        <v>0</v>
      </c>
      <c r="AP1098">
        <f>IF(ListOfExpenditure[[#This Row],[Numero di volte controllato il contract ]]&gt;0,0,ListOfExpenditure[[#This Row],[IF public procurment &gt;10000;1;0]])</f>
        <v>0</v>
      </c>
    </row>
    <row r="1099" spans="1:42" x14ac:dyDescent="0.25">
      <c r="A1099">
        <v>286</v>
      </c>
      <c r="B1099">
        <v>18</v>
      </c>
      <c r="E1099" t="s">
        <v>4786</v>
      </c>
      <c r="F1099" t="b">
        <v>0</v>
      </c>
      <c r="I1099" t="s">
        <v>5721</v>
      </c>
      <c r="K1099" t="s">
        <v>4831</v>
      </c>
      <c r="L1099" t="s">
        <v>4831</v>
      </c>
      <c r="M1099" t="s">
        <v>4788</v>
      </c>
      <c r="N1099" t="s">
        <v>4788</v>
      </c>
      <c r="O1099">
        <v>184.36</v>
      </c>
      <c r="Q1099">
        <v>0</v>
      </c>
      <c r="R1099">
        <v>0</v>
      </c>
      <c r="S1099">
        <v>184.36</v>
      </c>
      <c r="T1099" t="s">
        <v>4789</v>
      </c>
      <c r="U1099">
        <v>1</v>
      </c>
      <c r="V1099">
        <v>184.36</v>
      </c>
      <c r="W1099" t="s">
        <v>4343</v>
      </c>
      <c r="Y1099" t="b">
        <v>1</v>
      </c>
      <c r="Z1099" t="b">
        <v>0</v>
      </c>
      <c r="AA1099">
        <v>0</v>
      </c>
      <c r="AB1099">
        <v>0</v>
      </c>
      <c r="AD1099" t="b">
        <v>1</v>
      </c>
      <c r="AF1099" t="s">
        <v>5489</v>
      </c>
      <c r="AG1099" s="1" t="s">
        <v>57</v>
      </c>
      <c r="AH1099" s="1" t="s">
        <v>24</v>
      </c>
      <c r="AI1099">
        <v>313</v>
      </c>
      <c r="AJ1099">
        <v>82</v>
      </c>
      <c r="AK1099" s="106">
        <v>45475.635427233799</v>
      </c>
      <c r="AL1099" s="1" t="s">
        <v>4790</v>
      </c>
      <c r="AM1099" s="42">
        <f>IFERROR(INDEX('Public procurment'!A:R,MATCH(ListOfExpenditure[[#This Row],[Content.contractId]],'Public procurment'!E:E,0),14),0)</f>
        <v>0</v>
      </c>
      <c r="AN1099" s="2">
        <f>IF(AND(ListOfExpenditure[[#This Row],[Contract amount]]&gt;10000,ListOfExpenditure[[#This Row],[Content.declaredAmount]]&gt;2000),1,0)</f>
        <v>0</v>
      </c>
      <c r="AO1099">
        <f>IFERROR(INDEX('Public procurment'!A:S,MATCH(ListOfExpenditure[[#This Row],[Content.contractId]],'Public procurment'!E:E,0),19),0)</f>
        <v>0</v>
      </c>
      <c r="AP1099">
        <f>IF(ListOfExpenditure[[#This Row],[Numero di volte controllato il contract ]]&gt;0,0,ListOfExpenditure[[#This Row],[IF public procurment &gt;10000;1;0]])</f>
        <v>0</v>
      </c>
    </row>
    <row r="1100" spans="1:42" x14ac:dyDescent="0.25">
      <c r="A1100">
        <v>288</v>
      </c>
      <c r="B1100">
        <v>19</v>
      </c>
      <c r="E1100" t="s">
        <v>4786</v>
      </c>
      <c r="F1100" t="b">
        <v>0</v>
      </c>
      <c r="I1100" t="s">
        <v>5722</v>
      </c>
      <c r="K1100" t="s">
        <v>5718</v>
      </c>
      <c r="L1100" t="s">
        <v>5718</v>
      </c>
      <c r="M1100" t="s">
        <v>4788</v>
      </c>
      <c r="N1100" t="s">
        <v>4788</v>
      </c>
      <c r="O1100">
        <v>3881.84</v>
      </c>
      <c r="Q1100">
        <v>0</v>
      </c>
      <c r="R1100">
        <v>0</v>
      </c>
      <c r="S1100">
        <v>1164.55</v>
      </c>
      <c r="T1100" t="s">
        <v>4789</v>
      </c>
      <c r="U1100">
        <v>1</v>
      </c>
      <c r="V1100">
        <v>1164.55</v>
      </c>
      <c r="W1100" t="s">
        <v>4343</v>
      </c>
      <c r="Y1100" t="b">
        <v>0</v>
      </c>
      <c r="Z1100" t="b">
        <v>0</v>
      </c>
      <c r="AA1100">
        <v>1164.55</v>
      </c>
      <c r="AB1100">
        <v>0</v>
      </c>
      <c r="AD1100" t="b">
        <v>0</v>
      </c>
      <c r="AG1100" s="1" t="s">
        <v>57</v>
      </c>
      <c r="AH1100" s="1" t="s">
        <v>24</v>
      </c>
      <c r="AI1100">
        <v>313</v>
      </c>
      <c r="AJ1100">
        <v>82</v>
      </c>
      <c r="AK1100" s="106">
        <v>45475.635427233799</v>
      </c>
      <c r="AL1100" s="1" t="s">
        <v>4790</v>
      </c>
      <c r="AM1100" s="42">
        <f>IFERROR(INDEX('Public procurment'!A:R,MATCH(ListOfExpenditure[[#This Row],[Content.contractId]],'Public procurment'!E:E,0),14),0)</f>
        <v>0</v>
      </c>
      <c r="AN1100" s="2">
        <f>IF(AND(ListOfExpenditure[[#This Row],[Contract amount]]&gt;10000,ListOfExpenditure[[#This Row],[Content.declaredAmount]]&gt;2000),1,0)</f>
        <v>0</v>
      </c>
      <c r="AO1100">
        <f>IFERROR(INDEX('Public procurment'!A:S,MATCH(ListOfExpenditure[[#This Row],[Content.contractId]],'Public procurment'!E:E,0),19),0)</f>
        <v>0</v>
      </c>
      <c r="AP1100">
        <f>IF(ListOfExpenditure[[#This Row],[Numero di volte controllato il contract ]]&gt;0,0,ListOfExpenditure[[#This Row],[IF public procurment &gt;10000;1;0]])</f>
        <v>0</v>
      </c>
    </row>
    <row r="1101" spans="1:42" x14ac:dyDescent="0.25">
      <c r="A1101">
        <v>289</v>
      </c>
      <c r="B1101">
        <v>20</v>
      </c>
      <c r="E1101" t="s">
        <v>4786</v>
      </c>
      <c r="F1101" t="b">
        <v>0</v>
      </c>
      <c r="I1101" t="s">
        <v>5722</v>
      </c>
      <c r="K1101" t="s">
        <v>5672</v>
      </c>
      <c r="L1101" t="s">
        <v>5672</v>
      </c>
      <c r="M1101" t="s">
        <v>4788</v>
      </c>
      <c r="N1101" t="s">
        <v>4788</v>
      </c>
      <c r="O1101">
        <v>4320.07</v>
      </c>
      <c r="Q1101">
        <v>0</v>
      </c>
      <c r="R1101">
        <v>0</v>
      </c>
      <c r="S1101">
        <v>1296.02</v>
      </c>
      <c r="T1101" t="s">
        <v>4789</v>
      </c>
      <c r="U1101">
        <v>1</v>
      </c>
      <c r="V1101">
        <v>1296.02</v>
      </c>
      <c r="W1101" t="s">
        <v>4343</v>
      </c>
      <c r="Y1101" t="b">
        <v>1</v>
      </c>
      <c r="Z1101" t="b">
        <v>0</v>
      </c>
      <c r="AA1101">
        <v>1243.3599999999999</v>
      </c>
      <c r="AB1101">
        <v>52.66</v>
      </c>
      <c r="AC1101">
        <v>25</v>
      </c>
      <c r="AD1101" t="b">
        <v>0</v>
      </c>
      <c r="AF1101" t="s">
        <v>5723</v>
      </c>
      <c r="AG1101" s="1" t="s">
        <v>57</v>
      </c>
      <c r="AH1101" s="1" t="s">
        <v>24</v>
      </c>
      <c r="AI1101">
        <v>313</v>
      </c>
      <c r="AJ1101">
        <v>82</v>
      </c>
      <c r="AK1101" s="106">
        <v>45475.635427233799</v>
      </c>
      <c r="AL1101" s="1" t="s">
        <v>4790</v>
      </c>
      <c r="AM1101" s="42">
        <f>IFERROR(INDEX('Public procurment'!A:R,MATCH(ListOfExpenditure[[#This Row],[Content.contractId]],'Public procurment'!E:E,0),14),0)</f>
        <v>0</v>
      </c>
      <c r="AN1101" s="2">
        <f>IF(AND(ListOfExpenditure[[#This Row],[Contract amount]]&gt;10000,ListOfExpenditure[[#This Row],[Content.declaredAmount]]&gt;2000),1,0)</f>
        <v>0</v>
      </c>
      <c r="AO1101">
        <f>IFERROR(INDEX('Public procurment'!A:S,MATCH(ListOfExpenditure[[#This Row],[Content.contractId]],'Public procurment'!E:E,0),19),0)</f>
        <v>0</v>
      </c>
      <c r="AP1101">
        <f>IF(ListOfExpenditure[[#This Row],[Numero di volte controllato il contract ]]&gt;0,0,ListOfExpenditure[[#This Row],[IF public procurment &gt;10000;1;0]])</f>
        <v>0</v>
      </c>
    </row>
    <row r="1102" spans="1:42" x14ac:dyDescent="0.25">
      <c r="A1102">
        <v>290</v>
      </c>
      <c r="B1102">
        <v>21</v>
      </c>
      <c r="E1102" t="s">
        <v>4786</v>
      </c>
      <c r="F1102" t="b">
        <v>0</v>
      </c>
      <c r="I1102" t="s">
        <v>5722</v>
      </c>
      <c r="K1102" t="s">
        <v>5720</v>
      </c>
      <c r="L1102" t="s">
        <v>5720</v>
      </c>
      <c r="M1102" t="s">
        <v>4788</v>
      </c>
      <c r="N1102" t="s">
        <v>4788</v>
      </c>
      <c r="O1102">
        <v>4561</v>
      </c>
      <c r="Q1102">
        <v>0</v>
      </c>
      <c r="R1102">
        <v>0</v>
      </c>
      <c r="S1102">
        <v>1368.3</v>
      </c>
      <c r="T1102" t="s">
        <v>4789</v>
      </c>
      <c r="U1102">
        <v>1</v>
      </c>
      <c r="V1102">
        <v>1368.3</v>
      </c>
      <c r="W1102" t="s">
        <v>4343</v>
      </c>
      <c r="Y1102" t="b">
        <v>1</v>
      </c>
      <c r="Z1102" t="b">
        <v>0</v>
      </c>
      <c r="AA1102">
        <v>1262.98</v>
      </c>
      <c r="AB1102">
        <v>105.32</v>
      </c>
      <c r="AC1102">
        <v>25</v>
      </c>
      <c r="AD1102" t="b">
        <v>0</v>
      </c>
      <c r="AF1102" t="s">
        <v>5723</v>
      </c>
      <c r="AG1102" s="1" t="s">
        <v>57</v>
      </c>
      <c r="AH1102" s="1" t="s">
        <v>24</v>
      </c>
      <c r="AI1102">
        <v>313</v>
      </c>
      <c r="AJ1102">
        <v>82</v>
      </c>
      <c r="AK1102" s="106">
        <v>45475.635427233799</v>
      </c>
      <c r="AL1102" s="1" t="s">
        <v>4790</v>
      </c>
      <c r="AM1102" s="42">
        <f>IFERROR(INDEX('Public procurment'!A:R,MATCH(ListOfExpenditure[[#This Row],[Content.contractId]],'Public procurment'!E:E,0),14),0)</f>
        <v>0</v>
      </c>
      <c r="AN1102" s="2">
        <f>IF(AND(ListOfExpenditure[[#This Row],[Contract amount]]&gt;10000,ListOfExpenditure[[#This Row],[Content.declaredAmount]]&gt;2000),1,0)</f>
        <v>0</v>
      </c>
      <c r="AO1102">
        <f>IFERROR(INDEX('Public procurment'!A:S,MATCH(ListOfExpenditure[[#This Row],[Content.contractId]],'Public procurment'!E:E,0),19),0)</f>
        <v>0</v>
      </c>
      <c r="AP1102">
        <f>IF(ListOfExpenditure[[#This Row],[Numero di volte controllato il contract ]]&gt;0,0,ListOfExpenditure[[#This Row],[IF public procurment &gt;10000;1;0]])</f>
        <v>0</v>
      </c>
    </row>
    <row r="1103" spans="1:42" x14ac:dyDescent="0.25">
      <c r="A1103">
        <v>292</v>
      </c>
      <c r="B1103">
        <v>22</v>
      </c>
      <c r="E1103" t="s">
        <v>4786</v>
      </c>
      <c r="F1103" t="b">
        <v>0</v>
      </c>
      <c r="I1103" t="s">
        <v>5722</v>
      </c>
      <c r="K1103" t="s">
        <v>5309</v>
      </c>
      <c r="L1103" t="s">
        <v>5309</v>
      </c>
      <c r="M1103" t="s">
        <v>4788</v>
      </c>
      <c r="N1103" t="s">
        <v>4788</v>
      </c>
      <c r="O1103">
        <v>5166.6899999999996</v>
      </c>
      <c r="Q1103">
        <v>0</v>
      </c>
      <c r="R1103">
        <v>0</v>
      </c>
      <c r="S1103">
        <v>1550.01</v>
      </c>
      <c r="T1103" t="s">
        <v>4789</v>
      </c>
      <c r="U1103">
        <v>1</v>
      </c>
      <c r="V1103">
        <v>1550.01</v>
      </c>
      <c r="W1103" t="s">
        <v>4343</v>
      </c>
      <c r="Y1103" t="b">
        <v>1</v>
      </c>
      <c r="Z1103" t="b">
        <v>0</v>
      </c>
      <c r="AA1103">
        <v>1495.24</v>
      </c>
      <c r="AB1103">
        <v>54.77</v>
      </c>
      <c r="AC1103">
        <v>25</v>
      </c>
      <c r="AD1103" t="b">
        <v>0</v>
      </c>
      <c r="AF1103" t="s">
        <v>5723</v>
      </c>
      <c r="AG1103" s="1" t="s">
        <v>57</v>
      </c>
      <c r="AH1103" s="1" t="s">
        <v>24</v>
      </c>
      <c r="AI1103">
        <v>313</v>
      </c>
      <c r="AJ1103">
        <v>82</v>
      </c>
      <c r="AK1103" s="106">
        <v>45475.635427233799</v>
      </c>
      <c r="AL1103" s="1" t="s">
        <v>4790</v>
      </c>
      <c r="AM1103" s="42">
        <f>IFERROR(INDEX('Public procurment'!A:R,MATCH(ListOfExpenditure[[#This Row],[Content.contractId]],'Public procurment'!E:E,0),14),0)</f>
        <v>0</v>
      </c>
      <c r="AN1103" s="2">
        <f>IF(AND(ListOfExpenditure[[#This Row],[Contract amount]]&gt;10000,ListOfExpenditure[[#This Row],[Content.declaredAmount]]&gt;2000),1,0)</f>
        <v>0</v>
      </c>
      <c r="AO1103">
        <f>IFERROR(INDEX('Public procurment'!A:S,MATCH(ListOfExpenditure[[#This Row],[Content.contractId]],'Public procurment'!E:E,0),19),0)</f>
        <v>0</v>
      </c>
      <c r="AP1103">
        <f>IF(ListOfExpenditure[[#This Row],[Numero di volte controllato il contract ]]&gt;0,0,ListOfExpenditure[[#This Row],[IF public procurment &gt;10000;1;0]])</f>
        <v>0</v>
      </c>
    </row>
    <row r="1104" spans="1:42" x14ac:dyDescent="0.25">
      <c r="A1104">
        <v>293</v>
      </c>
      <c r="B1104">
        <v>23</v>
      </c>
      <c r="E1104" t="s">
        <v>4786</v>
      </c>
      <c r="F1104" t="b">
        <v>0</v>
      </c>
      <c r="I1104" t="s">
        <v>5722</v>
      </c>
      <c r="K1104" t="s">
        <v>5349</v>
      </c>
      <c r="L1104" t="s">
        <v>5349</v>
      </c>
      <c r="M1104" t="s">
        <v>4788</v>
      </c>
      <c r="N1104" t="s">
        <v>4788</v>
      </c>
      <c r="O1104">
        <v>4521.45</v>
      </c>
      <c r="Q1104">
        <v>0</v>
      </c>
      <c r="R1104">
        <v>0</v>
      </c>
      <c r="S1104">
        <v>1356.43</v>
      </c>
      <c r="T1104" t="s">
        <v>4789</v>
      </c>
      <c r="U1104">
        <v>1</v>
      </c>
      <c r="V1104">
        <v>1356.43</v>
      </c>
      <c r="W1104" t="s">
        <v>4343</v>
      </c>
      <c r="Y1104" t="b">
        <v>1</v>
      </c>
      <c r="Z1104" t="b">
        <v>0</v>
      </c>
      <c r="AA1104">
        <v>1301.67</v>
      </c>
      <c r="AB1104">
        <v>54.76</v>
      </c>
      <c r="AC1104">
        <v>25</v>
      </c>
      <c r="AD1104" t="b">
        <v>0</v>
      </c>
      <c r="AF1104" t="s">
        <v>5723</v>
      </c>
      <c r="AG1104" s="1" t="s">
        <v>57</v>
      </c>
      <c r="AH1104" s="1" t="s">
        <v>24</v>
      </c>
      <c r="AI1104">
        <v>313</v>
      </c>
      <c r="AJ1104">
        <v>82</v>
      </c>
      <c r="AK1104" s="106">
        <v>45475.635427233799</v>
      </c>
      <c r="AL1104" s="1" t="s">
        <v>4790</v>
      </c>
      <c r="AM1104" s="42">
        <f>IFERROR(INDEX('Public procurment'!A:R,MATCH(ListOfExpenditure[[#This Row],[Content.contractId]],'Public procurment'!E:E,0),14),0)</f>
        <v>0</v>
      </c>
      <c r="AN1104" s="2">
        <f>IF(AND(ListOfExpenditure[[#This Row],[Contract amount]]&gt;10000,ListOfExpenditure[[#This Row],[Content.declaredAmount]]&gt;2000),1,0)</f>
        <v>0</v>
      </c>
      <c r="AO1104">
        <f>IFERROR(INDEX('Public procurment'!A:S,MATCH(ListOfExpenditure[[#This Row],[Content.contractId]],'Public procurment'!E:E,0),19),0)</f>
        <v>0</v>
      </c>
      <c r="AP1104">
        <f>IF(ListOfExpenditure[[#This Row],[Numero di volte controllato il contract ]]&gt;0,0,ListOfExpenditure[[#This Row],[IF public procurment &gt;10000;1;0]])</f>
        <v>0</v>
      </c>
    </row>
    <row r="1105" spans="1:42" x14ac:dyDescent="0.25">
      <c r="A1105">
        <v>294</v>
      </c>
      <c r="B1105">
        <v>24</v>
      </c>
      <c r="E1105" t="s">
        <v>4786</v>
      </c>
      <c r="F1105" t="b">
        <v>0</v>
      </c>
      <c r="I1105" t="s">
        <v>5722</v>
      </c>
      <c r="K1105" t="s">
        <v>5384</v>
      </c>
      <c r="L1105" t="s">
        <v>5384</v>
      </c>
      <c r="M1105" t="s">
        <v>4788</v>
      </c>
      <c r="N1105" t="s">
        <v>4788</v>
      </c>
      <c r="O1105">
        <v>4376.55</v>
      </c>
      <c r="Q1105">
        <v>0</v>
      </c>
      <c r="R1105">
        <v>0</v>
      </c>
      <c r="S1105">
        <v>1312.97</v>
      </c>
      <c r="T1105" t="s">
        <v>4789</v>
      </c>
      <c r="U1105">
        <v>1</v>
      </c>
      <c r="V1105">
        <v>1312.97</v>
      </c>
      <c r="W1105" t="s">
        <v>4343</v>
      </c>
      <c r="Y1105" t="b">
        <v>1</v>
      </c>
      <c r="Z1105" t="b">
        <v>0</v>
      </c>
      <c r="AA1105">
        <v>1258.2</v>
      </c>
      <c r="AB1105">
        <v>54.77</v>
      </c>
      <c r="AC1105">
        <v>25</v>
      </c>
      <c r="AD1105" t="b">
        <v>0</v>
      </c>
      <c r="AF1105" t="s">
        <v>5723</v>
      </c>
      <c r="AG1105" s="1" t="s">
        <v>57</v>
      </c>
      <c r="AH1105" s="1" t="s">
        <v>24</v>
      </c>
      <c r="AI1105">
        <v>313</v>
      </c>
      <c r="AJ1105">
        <v>82</v>
      </c>
      <c r="AK1105" s="106">
        <v>45475.635427233799</v>
      </c>
      <c r="AL1105" s="1" t="s">
        <v>4790</v>
      </c>
      <c r="AM1105" s="42">
        <f>IFERROR(INDEX('Public procurment'!A:R,MATCH(ListOfExpenditure[[#This Row],[Content.contractId]],'Public procurment'!E:E,0),14),0)</f>
        <v>0</v>
      </c>
      <c r="AN1105" s="2">
        <f>IF(AND(ListOfExpenditure[[#This Row],[Contract amount]]&gt;10000,ListOfExpenditure[[#This Row],[Content.declaredAmount]]&gt;2000),1,0)</f>
        <v>0</v>
      </c>
      <c r="AO1105">
        <f>IFERROR(INDEX('Public procurment'!A:S,MATCH(ListOfExpenditure[[#This Row],[Content.contractId]],'Public procurment'!E:E,0),19),0)</f>
        <v>0</v>
      </c>
      <c r="AP1105">
        <f>IF(ListOfExpenditure[[#This Row],[Numero di volte controllato il contract ]]&gt;0,0,ListOfExpenditure[[#This Row],[IF public procurment &gt;10000;1;0]])</f>
        <v>0</v>
      </c>
    </row>
    <row r="1106" spans="1:42" x14ac:dyDescent="0.25">
      <c r="A1106">
        <v>295</v>
      </c>
      <c r="B1106">
        <v>25</v>
      </c>
      <c r="E1106" t="s">
        <v>4786</v>
      </c>
      <c r="F1106" t="b">
        <v>0</v>
      </c>
      <c r="I1106" t="s">
        <v>5722</v>
      </c>
      <c r="K1106" t="s">
        <v>4877</v>
      </c>
      <c r="L1106" t="s">
        <v>4877</v>
      </c>
      <c r="M1106" t="s">
        <v>4788</v>
      </c>
      <c r="N1106" t="s">
        <v>4788</v>
      </c>
      <c r="O1106">
        <v>5323.14</v>
      </c>
      <c r="Q1106">
        <v>0</v>
      </c>
      <c r="R1106">
        <v>0</v>
      </c>
      <c r="S1106">
        <v>1596.94</v>
      </c>
      <c r="T1106" t="s">
        <v>4789</v>
      </c>
      <c r="U1106">
        <v>1</v>
      </c>
      <c r="V1106">
        <v>1596.94</v>
      </c>
      <c r="W1106" t="s">
        <v>4343</v>
      </c>
      <c r="Y1106" t="b">
        <v>1</v>
      </c>
      <c r="Z1106" t="b">
        <v>0</v>
      </c>
      <c r="AA1106">
        <v>1542.18</v>
      </c>
      <c r="AB1106">
        <v>54.76</v>
      </c>
      <c r="AC1106">
        <v>25</v>
      </c>
      <c r="AD1106" t="b">
        <v>0</v>
      </c>
      <c r="AF1106" t="s">
        <v>5723</v>
      </c>
      <c r="AG1106" s="1" t="s">
        <v>57</v>
      </c>
      <c r="AH1106" s="1" t="s">
        <v>24</v>
      </c>
      <c r="AI1106">
        <v>313</v>
      </c>
      <c r="AJ1106">
        <v>82</v>
      </c>
      <c r="AK1106" s="106">
        <v>45475.635427233799</v>
      </c>
      <c r="AL1106" s="1" t="s">
        <v>4790</v>
      </c>
      <c r="AM1106" s="42">
        <f>IFERROR(INDEX('Public procurment'!A:R,MATCH(ListOfExpenditure[[#This Row],[Content.contractId]],'Public procurment'!E:E,0),14),0)</f>
        <v>0</v>
      </c>
      <c r="AN1106" s="2">
        <f>IF(AND(ListOfExpenditure[[#This Row],[Contract amount]]&gt;10000,ListOfExpenditure[[#This Row],[Content.declaredAmount]]&gt;2000),1,0)</f>
        <v>0</v>
      </c>
      <c r="AO1106">
        <f>IFERROR(INDEX('Public procurment'!A:S,MATCH(ListOfExpenditure[[#This Row],[Content.contractId]],'Public procurment'!E:E,0),19),0)</f>
        <v>0</v>
      </c>
      <c r="AP1106">
        <f>IF(ListOfExpenditure[[#This Row],[Numero di volte controllato il contract ]]&gt;0,0,ListOfExpenditure[[#This Row],[IF public procurment &gt;10000;1;0]])</f>
        <v>0</v>
      </c>
    </row>
    <row r="1107" spans="1:42" x14ac:dyDescent="0.25">
      <c r="A1107">
        <v>296</v>
      </c>
      <c r="B1107">
        <v>26</v>
      </c>
      <c r="E1107" t="s">
        <v>4786</v>
      </c>
      <c r="F1107" t="b">
        <v>0</v>
      </c>
      <c r="I1107" t="s">
        <v>5722</v>
      </c>
      <c r="K1107" t="s">
        <v>4873</v>
      </c>
      <c r="L1107" t="s">
        <v>4873</v>
      </c>
      <c r="M1107" t="s">
        <v>4788</v>
      </c>
      <c r="N1107" t="s">
        <v>4788</v>
      </c>
      <c r="O1107">
        <v>4565.3599999999997</v>
      </c>
      <c r="Q1107">
        <v>0</v>
      </c>
      <c r="R1107">
        <v>0</v>
      </c>
      <c r="S1107">
        <v>1369.61</v>
      </c>
      <c r="T1107" t="s">
        <v>4789</v>
      </c>
      <c r="U1107">
        <v>1</v>
      </c>
      <c r="V1107">
        <v>1369.61</v>
      </c>
      <c r="W1107" t="s">
        <v>4343</v>
      </c>
      <c r="Y1107" t="b">
        <v>1</v>
      </c>
      <c r="Z1107" t="b">
        <v>0</v>
      </c>
      <c r="AA1107">
        <v>1314.84</v>
      </c>
      <c r="AB1107">
        <v>54.77</v>
      </c>
      <c r="AC1107">
        <v>25</v>
      </c>
      <c r="AD1107" t="b">
        <v>0</v>
      </c>
      <c r="AF1107" t="s">
        <v>5723</v>
      </c>
      <c r="AG1107" s="1" t="s">
        <v>57</v>
      </c>
      <c r="AH1107" s="1" t="s">
        <v>24</v>
      </c>
      <c r="AI1107">
        <v>313</v>
      </c>
      <c r="AJ1107">
        <v>82</v>
      </c>
      <c r="AK1107" s="106">
        <v>45475.635427233799</v>
      </c>
      <c r="AL1107" s="1" t="s">
        <v>4790</v>
      </c>
      <c r="AM1107" s="42">
        <f>IFERROR(INDEX('Public procurment'!A:R,MATCH(ListOfExpenditure[[#This Row],[Content.contractId]],'Public procurment'!E:E,0),14),0)</f>
        <v>0</v>
      </c>
      <c r="AN1107" s="2">
        <f>IF(AND(ListOfExpenditure[[#This Row],[Contract amount]]&gt;10000,ListOfExpenditure[[#This Row],[Content.declaredAmount]]&gt;2000),1,0)</f>
        <v>0</v>
      </c>
      <c r="AO1107">
        <f>IFERROR(INDEX('Public procurment'!A:S,MATCH(ListOfExpenditure[[#This Row],[Content.contractId]],'Public procurment'!E:E,0),19),0)</f>
        <v>0</v>
      </c>
      <c r="AP1107">
        <f>IF(ListOfExpenditure[[#This Row],[Numero di volte controllato il contract ]]&gt;0,0,ListOfExpenditure[[#This Row],[IF public procurment &gt;10000;1;0]])</f>
        <v>0</v>
      </c>
    </row>
    <row r="1108" spans="1:42" x14ac:dyDescent="0.25">
      <c r="A1108">
        <v>297</v>
      </c>
      <c r="B1108">
        <v>27</v>
      </c>
      <c r="E1108" t="s">
        <v>4786</v>
      </c>
      <c r="F1108" t="b">
        <v>0</v>
      </c>
      <c r="I1108" t="s">
        <v>5722</v>
      </c>
      <c r="K1108" t="s">
        <v>4831</v>
      </c>
      <c r="L1108" t="s">
        <v>4831</v>
      </c>
      <c r="M1108" t="s">
        <v>4788</v>
      </c>
      <c r="N1108" t="s">
        <v>4788</v>
      </c>
      <c r="O1108">
        <v>4523.7299999999996</v>
      </c>
      <c r="Q1108">
        <v>0</v>
      </c>
      <c r="R1108">
        <v>0</v>
      </c>
      <c r="S1108">
        <v>1357.12</v>
      </c>
      <c r="T1108" t="s">
        <v>4789</v>
      </c>
      <c r="U1108">
        <v>1</v>
      </c>
      <c r="V1108">
        <v>1357.12</v>
      </c>
      <c r="W1108" t="s">
        <v>4343</v>
      </c>
      <c r="Y1108" t="b">
        <v>1</v>
      </c>
      <c r="Z1108" t="b">
        <v>0</v>
      </c>
      <c r="AA1108">
        <v>0</v>
      </c>
      <c r="AB1108">
        <v>0</v>
      </c>
      <c r="AD1108" t="b">
        <v>1</v>
      </c>
      <c r="AF1108" t="s">
        <v>5489</v>
      </c>
      <c r="AG1108" s="1" t="s">
        <v>57</v>
      </c>
      <c r="AH1108" s="1" t="s">
        <v>24</v>
      </c>
      <c r="AI1108">
        <v>313</v>
      </c>
      <c r="AJ1108">
        <v>82</v>
      </c>
      <c r="AK1108" s="106">
        <v>45475.635427233799</v>
      </c>
      <c r="AL1108" s="1" t="s">
        <v>4790</v>
      </c>
      <c r="AM1108" s="42">
        <f>IFERROR(INDEX('Public procurment'!A:R,MATCH(ListOfExpenditure[[#This Row],[Content.contractId]],'Public procurment'!E:E,0),14),0)</f>
        <v>0</v>
      </c>
      <c r="AN1108" s="2">
        <f>IF(AND(ListOfExpenditure[[#This Row],[Contract amount]]&gt;10000,ListOfExpenditure[[#This Row],[Content.declaredAmount]]&gt;2000),1,0)</f>
        <v>0</v>
      </c>
      <c r="AO1108">
        <f>IFERROR(INDEX('Public procurment'!A:S,MATCH(ListOfExpenditure[[#This Row],[Content.contractId]],'Public procurment'!E:E,0),19),0)</f>
        <v>0</v>
      </c>
      <c r="AP1108">
        <f>IF(ListOfExpenditure[[#This Row],[Numero di volte controllato il contract ]]&gt;0,0,ListOfExpenditure[[#This Row],[IF public procurment &gt;10000;1;0]])</f>
        <v>0</v>
      </c>
    </row>
    <row r="1109" spans="1:42" x14ac:dyDescent="0.25">
      <c r="A1109">
        <v>300</v>
      </c>
      <c r="B1109">
        <v>28</v>
      </c>
      <c r="E1109" t="s">
        <v>4786</v>
      </c>
      <c r="F1109" t="b">
        <v>0</v>
      </c>
      <c r="I1109" t="s">
        <v>5724</v>
      </c>
      <c r="K1109" t="s">
        <v>5718</v>
      </c>
      <c r="L1109" t="s">
        <v>5718</v>
      </c>
      <c r="M1109" t="s">
        <v>4788</v>
      </c>
      <c r="N1109" t="s">
        <v>4788</v>
      </c>
      <c r="O1109">
        <v>5081.91</v>
      </c>
      <c r="Q1109">
        <v>0</v>
      </c>
      <c r="R1109">
        <v>0</v>
      </c>
      <c r="S1109">
        <v>1067.2</v>
      </c>
      <c r="T1109" t="s">
        <v>4789</v>
      </c>
      <c r="U1109">
        <v>1</v>
      </c>
      <c r="V1109">
        <v>1067.2</v>
      </c>
      <c r="W1109" t="s">
        <v>4343</v>
      </c>
      <c r="Y1109" t="b">
        <v>1</v>
      </c>
      <c r="Z1109" t="b">
        <v>0</v>
      </c>
      <c r="AA1109">
        <v>897.48</v>
      </c>
      <c r="AB1109">
        <v>169.72</v>
      </c>
      <c r="AC1109">
        <v>8</v>
      </c>
      <c r="AD1109" t="b">
        <v>0</v>
      </c>
      <c r="AF1109" t="s">
        <v>5719</v>
      </c>
      <c r="AG1109" s="1" t="s">
        <v>57</v>
      </c>
      <c r="AH1109" s="1" t="s">
        <v>24</v>
      </c>
      <c r="AI1109">
        <v>313</v>
      </c>
      <c r="AJ1109">
        <v>82</v>
      </c>
      <c r="AK1109" s="106">
        <v>45475.635427233799</v>
      </c>
      <c r="AL1109" s="1" t="s">
        <v>4790</v>
      </c>
      <c r="AM1109" s="42">
        <f>IFERROR(INDEX('Public procurment'!A:R,MATCH(ListOfExpenditure[[#This Row],[Content.contractId]],'Public procurment'!E:E,0),14),0)</f>
        <v>0</v>
      </c>
      <c r="AN1109" s="2">
        <f>IF(AND(ListOfExpenditure[[#This Row],[Contract amount]]&gt;10000,ListOfExpenditure[[#This Row],[Content.declaredAmount]]&gt;2000),1,0)</f>
        <v>0</v>
      </c>
      <c r="AO1109">
        <f>IFERROR(INDEX('Public procurment'!A:S,MATCH(ListOfExpenditure[[#This Row],[Content.contractId]],'Public procurment'!E:E,0),19),0)</f>
        <v>0</v>
      </c>
      <c r="AP1109">
        <f>IF(ListOfExpenditure[[#This Row],[Numero di volte controllato il contract ]]&gt;0,0,ListOfExpenditure[[#This Row],[IF public procurment &gt;10000;1;0]])</f>
        <v>0</v>
      </c>
    </row>
    <row r="1110" spans="1:42" x14ac:dyDescent="0.25">
      <c r="A1110">
        <v>301</v>
      </c>
      <c r="B1110">
        <v>29</v>
      </c>
      <c r="E1110" t="s">
        <v>4786</v>
      </c>
      <c r="F1110" t="b">
        <v>0</v>
      </c>
      <c r="I1110" t="s">
        <v>5724</v>
      </c>
      <c r="K1110" t="s">
        <v>5672</v>
      </c>
      <c r="L1110" t="s">
        <v>5672</v>
      </c>
      <c r="M1110" t="s">
        <v>4788</v>
      </c>
      <c r="N1110" t="s">
        <v>4788</v>
      </c>
      <c r="O1110">
        <v>4267.8100000000004</v>
      </c>
      <c r="Q1110">
        <v>0</v>
      </c>
      <c r="R1110">
        <v>0</v>
      </c>
      <c r="S1110">
        <v>896.24</v>
      </c>
      <c r="T1110" t="s">
        <v>4789</v>
      </c>
      <c r="U1110">
        <v>1</v>
      </c>
      <c r="V1110">
        <v>896.24</v>
      </c>
      <c r="W1110" t="s">
        <v>4343</v>
      </c>
      <c r="Y1110" t="b">
        <v>0</v>
      </c>
      <c r="Z1110" t="b">
        <v>0</v>
      </c>
      <c r="AA1110">
        <v>896.24</v>
      </c>
      <c r="AB1110">
        <v>0</v>
      </c>
      <c r="AD1110" t="b">
        <v>0</v>
      </c>
      <c r="AG1110" s="1" t="s">
        <v>57</v>
      </c>
      <c r="AH1110" s="1" t="s">
        <v>24</v>
      </c>
      <c r="AI1110">
        <v>313</v>
      </c>
      <c r="AJ1110">
        <v>82</v>
      </c>
      <c r="AK1110" s="106">
        <v>45475.635427233799</v>
      </c>
      <c r="AL1110" s="1" t="s">
        <v>4790</v>
      </c>
      <c r="AM1110" s="42">
        <f>IFERROR(INDEX('Public procurment'!A:R,MATCH(ListOfExpenditure[[#This Row],[Content.contractId]],'Public procurment'!E:E,0),14),0)</f>
        <v>0</v>
      </c>
      <c r="AN1110" s="2">
        <f>IF(AND(ListOfExpenditure[[#This Row],[Contract amount]]&gt;10000,ListOfExpenditure[[#This Row],[Content.declaredAmount]]&gt;2000),1,0)</f>
        <v>0</v>
      </c>
      <c r="AO1110">
        <f>IFERROR(INDEX('Public procurment'!A:S,MATCH(ListOfExpenditure[[#This Row],[Content.contractId]],'Public procurment'!E:E,0),19),0)</f>
        <v>0</v>
      </c>
      <c r="AP1110">
        <f>IF(ListOfExpenditure[[#This Row],[Numero di volte controllato il contract ]]&gt;0,0,ListOfExpenditure[[#This Row],[IF public procurment &gt;10000;1;0]])</f>
        <v>0</v>
      </c>
    </row>
    <row r="1111" spans="1:42" x14ac:dyDescent="0.25">
      <c r="A1111">
        <v>302</v>
      </c>
      <c r="B1111">
        <v>30</v>
      </c>
      <c r="E1111" t="s">
        <v>4786</v>
      </c>
      <c r="F1111" t="b">
        <v>0</v>
      </c>
      <c r="I1111" t="s">
        <v>5724</v>
      </c>
      <c r="K1111" t="s">
        <v>5720</v>
      </c>
      <c r="L1111" t="s">
        <v>5720</v>
      </c>
      <c r="M1111" t="s">
        <v>4788</v>
      </c>
      <c r="N1111" t="s">
        <v>4788</v>
      </c>
      <c r="O1111">
        <v>4324.67</v>
      </c>
      <c r="Q1111">
        <v>0</v>
      </c>
      <c r="R1111">
        <v>0</v>
      </c>
      <c r="S1111">
        <v>908.18</v>
      </c>
      <c r="T1111" t="s">
        <v>4789</v>
      </c>
      <c r="U1111">
        <v>1</v>
      </c>
      <c r="V1111">
        <v>908.18</v>
      </c>
      <c r="W1111" t="s">
        <v>4343</v>
      </c>
      <c r="Y1111" t="b">
        <v>0</v>
      </c>
      <c r="Z1111" t="b">
        <v>0</v>
      </c>
      <c r="AA1111">
        <v>908.18</v>
      </c>
      <c r="AB1111">
        <v>0</v>
      </c>
      <c r="AD1111" t="b">
        <v>0</v>
      </c>
      <c r="AG1111" s="1" t="s">
        <v>57</v>
      </c>
      <c r="AH1111" s="1" t="s">
        <v>24</v>
      </c>
      <c r="AI1111">
        <v>313</v>
      </c>
      <c r="AJ1111">
        <v>82</v>
      </c>
      <c r="AK1111" s="106">
        <v>45475.635427233799</v>
      </c>
      <c r="AL1111" s="1" t="s">
        <v>4790</v>
      </c>
      <c r="AM1111" s="42">
        <f>IFERROR(INDEX('Public procurment'!A:R,MATCH(ListOfExpenditure[[#This Row],[Content.contractId]],'Public procurment'!E:E,0),14),0)</f>
        <v>0</v>
      </c>
      <c r="AN1111" s="2">
        <f>IF(AND(ListOfExpenditure[[#This Row],[Contract amount]]&gt;10000,ListOfExpenditure[[#This Row],[Content.declaredAmount]]&gt;2000),1,0)</f>
        <v>0</v>
      </c>
      <c r="AO1111">
        <f>IFERROR(INDEX('Public procurment'!A:S,MATCH(ListOfExpenditure[[#This Row],[Content.contractId]],'Public procurment'!E:E,0),19),0)</f>
        <v>0</v>
      </c>
      <c r="AP1111">
        <f>IF(ListOfExpenditure[[#This Row],[Numero di volte controllato il contract ]]&gt;0,0,ListOfExpenditure[[#This Row],[IF public procurment &gt;10000;1;0]])</f>
        <v>0</v>
      </c>
    </row>
    <row r="1112" spans="1:42" x14ac:dyDescent="0.25">
      <c r="A1112">
        <v>303</v>
      </c>
      <c r="B1112">
        <v>31</v>
      </c>
      <c r="E1112" t="s">
        <v>4786</v>
      </c>
      <c r="F1112" t="b">
        <v>0</v>
      </c>
      <c r="I1112" t="s">
        <v>5724</v>
      </c>
      <c r="K1112" t="s">
        <v>5309</v>
      </c>
      <c r="L1112" t="s">
        <v>5309</v>
      </c>
      <c r="M1112" t="s">
        <v>4788</v>
      </c>
      <c r="N1112" t="s">
        <v>4788</v>
      </c>
      <c r="O1112">
        <v>6022.59</v>
      </c>
      <c r="Q1112">
        <v>0</v>
      </c>
      <c r="R1112">
        <v>0</v>
      </c>
      <c r="S1112">
        <v>1264.74</v>
      </c>
      <c r="T1112" t="s">
        <v>4789</v>
      </c>
      <c r="U1112">
        <v>1</v>
      </c>
      <c r="V1112">
        <v>1264.74</v>
      </c>
      <c r="W1112" t="s">
        <v>4343</v>
      </c>
      <c r="Y1112" t="b">
        <v>1</v>
      </c>
      <c r="Z1112" t="b">
        <v>0</v>
      </c>
      <c r="AA1112">
        <v>1105.27</v>
      </c>
      <c r="AB1112">
        <v>159.47</v>
      </c>
      <c r="AC1112">
        <v>25</v>
      </c>
      <c r="AD1112" t="b">
        <v>0</v>
      </c>
      <c r="AF1112" t="s">
        <v>5723</v>
      </c>
      <c r="AG1112" s="1" t="s">
        <v>57</v>
      </c>
      <c r="AH1112" s="1" t="s">
        <v>24</v>
      </c>
      <c r="AI1112">
        <v>313</v>
      </c>
      <c r="AJ1112">
        <v>82</v>
      </c>
      <c r="AK1112" s="106">
        <v>45475.635427233799</v>
      </c>
      <c r="AL1112" s="1" t="s">
        <v>4790</v>
      </c>
      <c r="AM1112" s="42">
        <f>IFERROR(INDEX('Public procurment'!A:R,MATCH(ListOfExpenditure[[#This Row],[Content.contractId]],'Public procurment'!E:E,0),14),0)</f>
        <v>0</v>
      </c>
      <c r="AN1112" s="2">
        <f>IF(AND(ListOfExpenditure[[#This Row],[Contract amount]]&gt;10000,ListOfExpenditure[[#This Row],[Content.declaredAmount]]&gt;2000),1,0)</f>
        <v>0</v>
      </c>
      <c r="AO1112">
        <f>IFERROR(INDEX('Public procurment'!A:S,MATCH(ListOfExpenditure[[#This Row],[Content.contractId]],'Public procurment'!E:E,0),19),0)</f>
        <v>0</v>
      </c>
      <c r="AP1112">
        <f>IF(ListOfExpenditure[[#This Row],[Numero di volte controllato il contract ]]&gt;0,0,ListOfExpenditure[[#This Row],[IF public procurment &gt;10000;1;0]])</f>
        <v>0</v>
      </c>
    </row>
    <row r="1113" spans="1:42" x14ac:dyDescent="0.25">
      <c r="A1113">
        <v>304</v>
      </c>
      <c r="B1113">
        <v>32</v>
      </c>
      <c r="E1113" t="s">
        <v>4786</v>
      </c>
      <c r="F1113" t="b">
        <v>0</v>
      </c>
      <c r="I1113" t="s">
        <v>5724</v>
      </c>
      <c r="K1113" t="s">
        <v>5349</v>
      </c>
      <c r="L1113" t="s">
        <v>5349</v>
      </c>
      <c r="M1113" t="s">
        <v>4788</v>
      </c>
      <c r="N1113" t="s">
        <v>4788</v>
      </c>
      <c r="O1113">
        <v>5356.67</v>
      </c>
      <c r="Q1113">
        <v>0</v>
      </c>
      <c r="R1113">
        <v>0</v>
      </c>
      <c r="S1113">
        <v>1124.9000000000001</v>
      </c>
      <c r="T1113" t="s">
        <v>4789</v>
      </c>
      <c r="U1113">
        <v>1</v>
      </c>
      <c r="V1113">
        <v>1124.9000000000001</v>
      </c>
      <c r="W1113" t="s">
        <v>4343</v>
      </c>
      <c r="Y1113" t="b">
        <v>1</v>
      </c>
      <c r="Z1113" t="b">
        <v>0</v>
      </c>
      <c r="AA1113">
        <v>965.42</v>
      </c>
      <c r="AB1113">
        <v>159.47999999999999</v>
      </c>
      <c r="AC1113">
        <v>25</v>
      </c>
      <c r="AD1113" t="b">
        <v>0</v>
      </c>
      <c r="AF1113" t="s">
        <v>5723</v>
      </c>
      <c r="AG1113" s="1" t="s">
        <v>57</v>
      </c>
      <c r="AH1113" s="1" t="s">
        <v>24</v>
      </c>
      <c r="AI1113">
        <v>313</v>
      </c>
      <c r="AJ1113">
        <v>82</v>
      </c>
      <c r="AK1113" s="106">
        <v>45475.635427233799</v>
      </c>
      <c r="AL1113" s="1" t="s">
        <v>4790</v>
      </c>
      <c r="AM1113" s="42">
        <f>IFERROR(INDEX('Public procurment'!A:R,MATCH(ListOfExpenditure[[#This Row],[Content.contractId]],'Public procurment'!E:E,0),14),0)</f>
        <v>0</v>
      </c>
      <c r="AN1113" s="2">
        <f>IF(AND(ListOfExpenditure[[#This Row],[Contract amount]]&gt;10000,ListOfExpenditure[[#This Row],[Content.declaredAmount]]&gt;2000),1,0)</f>
        <v>0</v>
      </c>
      <c r="AO1113">
        <f>IFERROR(INDEX('Public procurment'!A:S,MATCH(ListOfExpenditure[[#This Row],[Content.contractId]],'Public procurment'!E:E,0),19),0)</f>
        <v>0</v>
      </c>
      <c r="AP1113">
        <f>IF(ListOfExpenditure[[#This Row],[Numero di volte controllato il contract ]]&gt;0,0,ListOfExpenditure[[#This Row],[IF public procurment &gt;10000;1;0]])</f>
        <v>0</v>
      </c>
    </row>
    <row r="1114" spans="1:42" x14ac:dyDescent="0.25">
      <c r="A1114">
        <v>305</v>
      </c>
      <c r="B1114">
        <v>33</v>
      </c>
      <c r="E1114" t="s">
        <v>4786</v>
      </c>
      <c r="F1114" t="b">
        <v>0</v>
      </c>
      <c r="I1114" t="s">
        <v>5724</v>
      </c>
      <c r="K1114" t="s">
        <v>5384</v>
      </c>
      <c r="L1114" t="s">
        <v>5384</v>
      </c>
      <c r="M1114" t="s">
        <v>4788</v>
      </c>
      <c r="N1114" t="s">
        <v>4788</v>
      </c>
      <c r="O1114">
        <v>5246.44</v>
      </c>
      <c r="Q1114">
        <v>0</v>
      </c>
      <c r="R1114">
        <v>0</v>
      </c>
      <c r="S1114">
        <v>1101.75</v>
      </c>
      <c r="T1114" t="s">
        <v>4789</v>
      </c>
      <c r="U1114">
        <v>1</v>
      </c>
      <c r="V1114">
        <v>1101.75</v>
      </c>
      <c r="W1114" t="s">
        <v>4343</v>
      </c>
      <c r="Y1114" t="b">
        <v>1</v>
      </c>
      <c r="Z1114" t="b">
        <v>0</v>
      </c>
      <c r="AA1114">
        <v>942.28</v>
      </c>
      <c r="AB1114">
        <v>159.47</v>
      </c>
      <c r="AC1114">
        <v>25</v>
      </c>
      <c r="AD1114" t="b">
        <v>0</v>
      </c>
      <c r="AF1114" t="s">
        <v>5723</v>
      </c>
      <c r="AG1114" s="1" t="s">
        <v>57</v>
      </c>
      <c r="AH1114" s="1" t="s">
        <v>24</v>
      </c>
      <c r="AI1114">
        <v>313</v>
      </c>
      <c r="AJ1114">
        <v>82</v>
      </c>
      <c r="AK1114" s="106">
        <v>45475.635427233799</v>
      </c>
      <c r="AL1114" s="1" t="s">
        <v>4790</v>
      </c>
      <c r="AM1114" s="42">
        <f>IFERROR(INDEX('Public procurment'!A:R,MATCH(ListOfExpenditure[[#This Row],[Content.contractId]],'Public procurment'!E:E,0),14),0)</f>
        <v>0</v>
      </c>
      <c r="AN1114" s="2">
        <f>IF(AND(ListOfExpenditure[[#This Row],[Contract amount]]&gt;10000,ListOfExpenditure[[#This Row],[Content.declaredAmount]]&gt;2000),1,0)</f>
        <v>0</v>
      </c>
      <c r="AO1114">
        <f>IFERROR(INDEX('Public procurment'!A:S,MATCH(ListOfExpenditure[[#This Row],[Content.contractId]],'Public procurment'!E:E,0),19),0)</f>
        <v>0</v>
      </c>
      <c r="AP1114">
        <f>IF(ListOfExpenditure[[#This Row],[Numero di volte controllato il contract ]]&gt;0,0,ListOfExpenditure[[#This Row],[IF public procurment &gt;10000;1;0]])</f>
        <v>0</v>
      </c>
    </row>
    <row r="1115" spans="1:42" x14ac:dyDescent="0.25">
      <c r="A1115">
        <v>306</v>
      </c>
      <c r="B1115">
        <v>34</v>
      </c>
      <c r="E1115" t="s">
        <v>4786</v>
      </c>
      <c r="F1115" t="b">
        <v>0</v>
      </c>
      <c r="I1115" t="s">
        <v>5724</v>
      </c>
      <c r="K1115" t="s">
        <v>4877</v>
      </c>
      <c r="L1115" t="s">
        <v>4877</v>
      </c>
      <c r="M1115" t="s">
        <v>4788</v>
      </c>
      <c r="N1115" t="s">
        <v>4788</v>
      </c>
      <c r="O1115">
        <v>6329.7</v>
      </c>
      <c r="Q1115">
        <v>0</v>
      </c>
      <c r="R1115">
        <v>0</v>
      </c>
      <c r="S1115">
        <v>1329.24</v>
      </c>
      <c r="T1115" t="s">
        <v>4789</v>
      </c>
      <c r="U1115">
        <v>1</v>
      </c>
      <c r="V1115">
        <v>1329.24</v>
      </c>
      <c r="W1115" t="s">
        <v>4343</v>
      </c>
      <c r="Y1115" t="b">
        <v>1</v>
      </c>
      <c r="Z1115" t="b">
        <v>0</v>
      </c>
      <c r="AA1115">
        <v>1169.76</v>
      </c>
      <c r="AB1115">
        <v>159.47999999999999</v>
      </c>
      <c r="AC1115">
        <v>25</v>
      </c>
      <c r="AD1115" t="b">
        <v>0</v>
      </c>
      <c r="AF1115" t="s">
        <v>5723</v>
      </c>
      <c r="AG1115" s="1" t="s">
        <v>57</v>
      </c>
      <c r="AH1115" s="1" t="s">
        <v>24</v>
      </c>
      <c r="AI1115">
        <v>313</v>
      </c>
      <c r="AJ1115">
        <v>82</v>
      </c>
      <c r="AK1115" s="106">
        <v>45475.635427233799</v>
      </c>
      <c r="AL1115" s="1" t="s">
        <v>4790</v>
      </c>
      <c r="AM1115" s="42">
        <f>IFERROR(INDEX('Public procurment'!A:R,MATCH(ListOfExpenditure[[#This Row],[Content.contractId]],'Public procurment'!E:E,0),14),0)</f>
        <v>0</v>
      </c>
      <c r="AN1115" s="2">
        <f>IF(AND(ListOfExpenditure[[#This Row],[Contract amount]]&gt;10000,ListOfExpenditure[[#This Row],[Content.declaredAmount]]&gt;2000),1,0)</f>
        <v>0</v>
      </c>
      <c r="AO1115">
        <f>IFERROR(INDEX('Public procurment'!A:S,MATCH(ListOfExpenditure[[#This Row],[Content.contractId]],'Public procurment'!E:E,0),19),0)</f>
        <v>0</v>
      </c>
      <c r="AP1115">
        <f>IF(ListOfExpenditure[[#This Row],[Numero di volte controllato il contract ]]&gt;0,0,ListOfExpenditure[[#This Row],[IF public procurment &gt;10000;1;0]])</f>
        <v>0</v>
      </c>
    </row>
    <row r="1116" spans="1:42" x14ac:dyDescent="0.25">
      <c r="A1116">
        <v>307</v>
      </c>
      <c r="B1116">
        <v>35</v>
      </c>
      <c r="E1116" t="s">
        <v>4786</v>
      </c>
      <c r="F1116" t="b">
        <v>0</v>
      </c>
      <c r="I1116" t="s">
        <v>5724</v>
      </c>
      <c r="K1116" t="s">
        <v>4873</v>
      </c>
      <c r="L1116" t="s">
        <v>4873</v>
      </c>
      <c r="M1116" t="s">
        <v>4788</v>
      </c>
      <c r="N1116" t="s">
        <v>4788</v>
      </c>
      <c r="O1116">
        <v>5438.05</v>
      </c>
      <c r="Q1116">
        <v>0</v>
      </c>
      <c r="R1116">
        <v>0</v>
      </c>
      <c r="S1116">
        <v>1141.99</v>
      </c>
      <c r="T1116" t="s">
        <v>4789</v>
      </c>
      <c r="U1116">
        <v>1</v>
      </c>
      <c r="V1116">
        <v>1141.99</v>
      </c>
      <c r="W1116" t="s">
        <v>4343</v>
      </c>
      <c r="Y1116" t="b">
        <v>1</v>
      </c>
      <c r="Z1116" t="b">
        <v>0</v>
      </c>
      <c r="AA1116">
        <v>982.51</v>
      </c>
      <c r="AB1116">
        <v>159.47999999999999</v>
      </c>
      <c r="AC1116">
        <v>25</v>
      </c>
      <c r="AD1116" t="b">
        <v>0</v>
      </c>
      <c r="AF1116" t="s">
        <v>5723</v>
      </c>
      <c r="AG1116" s="1" t="s">
        <v>57</v>
      </c>
      <c r="AH1116" s="1" t="s">
        <v>24</v>
      </c>
      <c r="AI1116">
        <v>313</v>
      </c>
      <c r="AJ1116">
        <v>82</v>
      </c>
      <c r="AK1116" s="106">
        <v>45475.635427233799</v>
      </c>
      <c r="AL1116" s="1" t="s">
        <v>4790</v>
      </c>
      <c r="AM1116" s="42">
        <f>IFERROR(INDEX('Public procurment'!A:R,MATCH(ListOfExpenditure[[#This Row],[Content.contractId]],'Public procurment'!E:E,0),14),0)</f>
        <v>0</v>
      </c>
      <c r="AN1116" s="2">
        <f>IF(AND(ListOfExpenditure[[#This Row],[Contract amount]]&gt;10000,ListOfExpenditure[[#This Row],[Content.declaredAmount]]&gt;2000),1,0)</f>
        <v>0</v>
      </c>
      <c r="AO1116">
        <f>IFERROR(INDEX('Public procurment'!A:S,MATCH(ListOfExpenditure[[#This Row],[Content.contractId]],'Public procurment'!E:E,0),19),0)</f>
        <v>0</v>
      </c>
      <c r="AP1116">
        <f>IF(ListOfExpenditure[[#This Row],[Numero di volte controllato il contract ]]&gt;0,0,ListOfExpenditure[[#This Row],[IF public procurment &gt;10000;1;0]])</f>
        <v>0</v>
      </c>
    </row>
    <row r="1117" spans="1:42" x14ac:dyDescent="0.25">
      <c r="A1117">
        <v>308</v>
      </c>
      <c r="B1117">
        <v>36</v>
      </c>
      <c r="E1117" t="s">
        <v>4786</v>
      </c>
      <c r="F1117" t="b">
        <v>0</v>
      </c>
      <c r="I1117" t="s">
        <v>5724</v>
      </c>
      <c r="K1117" t="s">
        <v>4831</v>
      </c>
      <c r="L1117" t="s">
        <v>4831</v>
      </c>
      <c r="M1117" t="s">
        <v>4788</v>
      </c>
      <c r="N1117" t="s">
        <v>4788</v>
      </c>
      <c r="O1117">
        <v>5310.46</v>
      </c>
      <c r="Q1117">
        <v>0</v>
      </c>
      <c r="R1117">
        <v>0</v>
      </c>
      <c r="S1117">
        <v>1115.2</v>
      </c>
      <c r="T1117" t="s">
        <v>4789</v>
      </c>
      <c r="U1117">
        <v>1</v>
      </c>
      <c r="V1117">
        <v>1115.2</v>
      </c>
      <c r="W1117" t="s">
        <v>4343</v>
      </c>
      <c r="Y1117" t="b">
        <v>1</v>
      </c>
      <c r="Z1117" t="b">
        <v>0</v>
      </c>
      <c r="AA1117">
        <v>0</v>
      </c>
      <c r="AB1117">
        <v>0</v>
      </c>
      <c r="AD1117" t="b">
        <v>1</v>
      </c>
      <c r="AF1117" t="s">
        <v>5489</v>
      </c>
      <c r="AG1117" s="1" t="s">
        <v>57</v>
      </c>
      <c r="AH1117" s="1" t="s">
        <v>24</v>
      </c>
      <c r="AI1117">
        <v>313</v>
      </c>
      <c r="AJ1117">
        <v>82</v>
      </c>
      <c r="AK1117" s="106">
        <v>45475.635427233799</v>
      </c>
      <c r="AL1117" s="1" t="s">
        <v>4790</v>
      </c>
      <c r="AM1117" s="42">
        <f>IFERROR(INDEX('Public procurment'!A:R,MATCH(ListOfExpenditure[[#This Row],[Content.contractId]],'Public procurment'!E:E,0),14),0)</f>
        <v>0</v>
      </c>
      <c r="AN1117" s="2">
        <f>IF(AND(ListOfExpenditure[[#This Row],[Contract amount]]&gt;10000,ListOfExpenditure[[#This Row],[Content.declaredAmount]]&gt;2000),1,0)</f>
        <v>0</v>
      </c>
      <c r="AO1117">
        <f>IFERROR(INDEX('Public procurment'!A:S,MATCH(ListOfExpenditure[[#This Row],[Content.contractId]],'Public procurment'!E:E,0),19),0)</f>
        <v>0</v>
      </c>
      <c r="AP1117">
        <f>IF(ListOfExpenditure[[#This Row],[Numero di volte controllato il contract ]]&gt;0,0,ListOfExpenditure[[#This Row],[IF public procurment &gt;10000;1;0]])</f>
        <v>0</v>
      </c>
    </row>
    <row r="1118" spans="1:42" x14ac:dyDescent="0.25">
      <c r="A1118">
        <v>309</v>
      </c>
      <c r="B1118">
        <v>37</v>
      </c>
      <c r="E1118" t="s">
        <v>4786</v>
      </c>
      <c r="F1118" t="b">
        <v>0</v>
      </c>
      <c r="I1118" t="s">
        <v>5725</v>
      </c>
      <c r="K1118" t="s">
        <v>5718</v>
      </c>
      <c r="L1118" t="s">
        <v>5718</v>
      </c>
      <c r="M1118" t="s">
        <v>4788</v>
      </c>
      <c r="N1118" t="s">
        <v>4788</v>
      </c>
      <c r="O1118">
        <v>2734.95</v>
      </c>
      <c r="Q1118">
        <v>0</v>
      </c>
      <c r="R1118">
        <v>0</v>
      </c>
      <c r="S1118">
        <v>328.19</v>
      </c>
      <c r="T1118" t="s">
        <v>4789</v>
      </c>
      <c r="U1118">
        <v>1</v>
      </c>
      <c r="V1118">
        <v>328.19</v>
      </c>
      <c r="W1118" t="s">
        <v>4343</v>
      </c>
      <c r="Y1118" t="b">
        <v>0</v>
      </c>
      <c r="Z1118" t="b">
        <v>0</v>
      </c>
      <c r="AA1118">
        <v>328.19</v>
      </c>
      <c r="AB1118">
        <v>0</v>
      </c>
      <c r="AD1118" t="b">
        <v>0</v>
      </c>
      <c r="AG1118" s="1" t="s">
        <v>57</v>
      </c>
      <c r="AH1118" s="1" t="s">
        <v>24</v>
      </c>
      <c r="AI1118">
        <v>313</v>
      </c>
      <c r="AJ1118">
        <v>82</v>
      </c>
      <c r="AK1118" s="106">
        <v>45475.635427233799</v>
      </c>
      <c r="AL1118" s="1" t="s">
        <v>4790</v>
      </c>
      <c r="AM1118" s="42">
        <f>IFERROR(INDEX('Public procurment'!A:R,MATCH(ListOfExpenditure[[#This Row],[Content.contractId]],'Public procurment'!E:E,0),14),0)</f>
        <v>0</v>
      </c>
      <c r="AN1118" s="2">
        <f>IF(AND(ListOfExpenditure[[#This Row],[Contract amount]]&gt;10000,ListOfExpenditure[[#This Row],[Content.declaredAmount]]&gt;2000),1,0)</f>
        <v>0</v>
      </c>
      <c r="AO1118">
        <f>IFERROR(INDEX('Public procurment'!A:S,MATCH(ListOfExpenditure[[#This Row],[Content.contractId]],'Public procurment'!E:E,0),19),0)</f>
        <v>0</v>
      </c>
      <c r="AP1118">
        <f>IF(ListOfExpenditure[[#This Row],[Numero di volte controllato il contract ]]&gt;0,0,ListOfExpenditure[[#This Row],[IF public procurment &gt;10000;1;0]])</f>
        <v>0</v>
      </c>
    </row>
    <row r="1119" spans="1:42" x14ac:dyDescent="0.25">
      <c r="A1119">
        <v>310</v>
      </c>
      <c r="B1119">
        <v>38</v>
      </c>
      <c r="E1119" t="s">
        <v>4786</v>
      </c>
      <c r="F1119" t="b">
        <v>0</v>
      </c>
      <c r="I1119" t="s">
        <v>5725</v>
      </c>
      <c r="K1119" t="s">
        <v>5672</v>
      </c>
      <c r="L1119" t="s">
        <v>5672</v>
      </c>
      <c r="M1119" t="s">
        <v>4788</v>
      </c>
      <c r="N1119" t="s">
        <v>4788</v>
      </c>
      <c r="O1119">
        <v>2685.39</v>
      </c>
      <c r="Q1119">
        <v>0</v>
      </c>
      <c r="R1119">
        <v>0</v>
      </c>
      <c r="S1119">
        <v>322.25</v>
      </c>
      <c r="T1119" t="s">
        <v>4789</v>
      </c>
      <c r="U1119">
        <v>1</v>
      </c>
      <c r="V1119">
        <v>322.25</v>
      </c>
      <c r="W1119" t="s">
        <v>4343</v>
      </c>
      <c r="Y1119" t="b">
        <v>0</v>
      </c>
      <c r="Z1119" t="b">
        <v>0</v>
      </c>
      <c r="AA1119">
        <v>322.25</v>
      </c>
      <c r="AB1119">
        <v>0</v>
      </c>
      <c r="AD1119" t="b">
        <v>0</v>
      </c>
      <c r="AG1119" s="1" t="s">
        <v>57</v>
      </c>
      <c r="AH1119" s="1" t="s">
        <v>24</v>
      </c>
      <c r="AI1119">
        <v>313</v>
      </c>
      <c r="AJ1119">
        <v>82</v>
      </c>
      <c r="AK1119" s="106">
        <v>45475.635427233799</v>
      </c>
      <c r="AL1119" s="1" t="s">
        <v>4790</v>
      </c>
      <c r="AM1119" s="42">
        <f>IFERROR(INDEX('Public procurment'!A:R,MATCH(ListOfExpenditure[[#This Row],[Content.contractId]],'Public procurment'!E:E,0),14),0)</f>
        <v>0</v>
      </c>
      <c r="AN1119" s="2">
        <f>IF(AND(ListOfExpenditure[[#This Row],[Contract amount]]&gt;10000,ListOfExpenditure[[#This Row],[Content.declaredAmount]]&gt;2000),1,0)</f>
        <v>0</v>
      </c>
      <c r="AO1119">
        <f>IFERROR(INDEX('Public procurment'!A:S,MATCH(ListOfExpenditure[[#This Row],[Content.contractId]],'Public procurment'!E:E,0),19),0)</f>
        <v>0</v>
      </c>
      <c r="AP1119">
        <f>IF(ListOfExpenditure[[#This Row],[Numero di volte controllato il contract ]]&gt;0,0,ListOfExpenditure[[#This Row],[IF public procurment &gt;10000;1;0]])</f>
        <v>0</v>
      </c>
    </row>
    <row r="1120" spans="1:42" x14ac:dyDescent="0.25">
      <c r="A1120">
        <v>311</v>
      </c>
      <c r="B1120">
        <v>39</v>
      </c>
      <c r="E1120" t="s">
        <v>4786</v>
      </c>
      <c r="F1120" t="b">
        <v>0</v>
      </c>
      <c r="I1120" t="s">
        <v>5725</v>
      </c>
      <c r="K1120" t="s">
        <v>5720</v>
      </c>
      <c r="L1120" t="s">
        <v>5720</v>
      </c>
      <c r="M1120" t="s">
        <v>4788</v>
      </c>
      <c r="N1120" t="s">
        <v>4788</v>
      </c>
      <c r="O1120">
        <v>2759.72</v>
      </c>
      <c r="Q1120">
        <v>0</v>
      </c>
      <c r="R1120">
        <v>0</v>
      </c>
      <c r="S1120">
        <v>331.17</v>
      </c>
      <c r="T1120" t="s">
        <v>4789</v>
      </c>
      <c r="U1120">
        <v>1</v>
      </c>
      <c r="V1120">
        <v>331.17</v>
      </c>
      <c r="W1120" t="s">
        <v>4343</v>
      </c>
      <c r="Y1120" t="b">
        <v>0</v>
      </c>
      <c r="Z1120" t="b">
        <v>0</v>
      </c>
      <c r="AA1120">
        <v>331.17</v>
      </c>
      <c r="AB1120">
        <v>0</v>
      </c>
      <c r="AD1120" t="b">
        <v>0</v>
      </c>
      <c r="AG1120" s="1" t="s">
        <v>57</v>
      </c>
      <c r="AH1120" s="1" t="s">
        <v>24</v>
      </c>
      <c r="AI1120">
        <v>313</v>
      </c>
      <c r="AJ1120">
        <v>82</v>
      </c>
      <c r="AK1120" s="106">
        <v>45475.635427233799</v>
      </c>
      <c r="AL1120" s="1" t="s">
        <v>4790</v>
      </c>
      <c r="AM1120" s="42">
        <f>IFERROR(INDEX('Public procurment'!A:R,MATCH(ListOfExpenditure[[#This Row],[Content.contractId]],'Public procurment'!E:E,0),14),0)</f>
        <v>0</v>
      </c>
      <c r="AN1120" s="2">
        <f>IF(AND(ListOfExpenditure[[#This Row],[Contract amount]]&gt;10000,ListOfExpenditure[[#This Row],[Content.declaredAmount]]&gt;2000),1,0)</f>
        <v>0</v>
      </c>
      <c r="AO1120">
        <f>IFERROR(INDEX('Public procurment'!A:S,MATCH(ListOfExpenditure[[#This Row],[Content.contractId]],'Public procurment'!E:E,0),19),0)</f>
        <v>0</v>
      </c>
      <c r="AP1120">
        <f>IF(ListOfExpenditure[[#This Row],[Numero di volte controllato il contract ]]&gt;0,0,ListOfExpenditure[[#This Row],[IF public procurment &gt;10000;1;0]])</f>
        <v>0</v>
      </c>
    </row>
    <row r="1121" spans="1:42" x14ac:dyDescent="0.25">
      <c r="A1121">
        <v>312</v>
      </c>
      <c r="B1121">
        <v>40</v>
      </c>
      <c r="E1121" t="s">
        <v>4786</v>
      </c>
      <c r="F1121" t="b">
        <v>0</v>
      </c>
      <c r="I1121" t="s">
        <v>5725</v>
      </c>
      <c r="K1121" t="s">
        <v>5309</v>
      </c>
      <c r="L1121" t="s">
        <v>5309</v>
      </c>
      <c r="M1121" t="s">
        <v>4788</v>
      </c>
      <c r="N1121" t="s">
        <v>4788</v>
      </c>
      <c r="O1121">
        <v>2766.14</v>
      </c>
      <c r="Q1121">
        <v>0</v>
      </c>
      <c r="R1121">
        <v>0</v>
      </c>
      <c r="S1121">
        <v>331.94</v>
      </c>
      <c r="T1121" t="s">
        <v>4789</v>
      </c>
      <c r="U1121">
        <v>1</v>
      </c>
      <c r="V1121">
        <v>331.94</v>
      </c>
      <c r="W1121" t="s">
        <v>4343</v>
      </c>
      <c r="Y1121" t="b">
        <v>0</v>
      </c>
      <c r="Z1121" t="b">
        <v>0</v>
      </c>
      <c r="AA1121">
        <v>331.94</v>
      </c>
      <c r="AB1121">
        <v>0</v>
      </c>
      <c r="AD1121" t="b">
        <v>0</v>
      </c>
      <c r="AG1121" s="1" t="s">
        <v>57</v>
      </c>
      <c r="AH1121" s="1" t="s">
        <v>24</v>
      </c>
      <c r="AI1121">
        <v>313</v>
      </c>
      <c r="AJ1121">
        <v>82</v>
      </c>
      <c r="AK1121" s="106">
        <v>45475.635427233799</v>
      </c>
      <c r="AL1121" s="1" t="s">
        <v>4790</v>
      </c>
      <c r="AM1121" s="42">
        <f>IFERROR(INDEX('Public procurment'!A:R,MATCH(ListOfExpenditure[[#This Row],[Content.contractId]],'Public procurment'!E:E,0),14),0)</f>
        <v>0</v>
      </c>
      <c r="AN1121" s="2">
        <f>IF(AND(ListOfExpenditure[[#This Row],[Contract amount]]&gt;10000,ListOfExpenditure[[#This Row],[Content.declaredAmount]]&gt;2000),1,0)</f>
        <v>0</v>
      </c>
      <c r="AO1121">
        <f>IFERROR(INDEX('Public procurment'!A:S,MATCH(ListOfExpenditure[[#This Row],[Content.contractId]],'Public procurment'!E:E,0),19),0)</f>
        <v>0</v>
      </c>
      <c r="AP1121">
        <f>IF(ListOfExpenditure[[#This Row],[Numero di volte controllato il contract ]]&gt;0,0,ListOfExpenditure[[#This Row],[IF public procurment &gt;10000;1;0]])</f>
        <v>0</v>
      </c>
    </row>
    <row r="1122" spans="1:42" x14ac:dyDescent="0.25">
      <c r="A1122">
        <v>313</v>
      </c>
      <c r="B1122">
        <v>41</v>
      </c>
      <c r="E1122" t="s">
        <v>4786</v>
      </c>
      <c r="F1122" t="b">
        <v>0</v>
      </c>
      <c r="I1122" t="s">
        <v>5725</v>
      </c>
      <c r="K1122" t="s">
        <v>5349</v>
      </c>
      <c r="L1122" t="s">
        <v>5349</v>
      </c>
      <c r="M1122" t="s">
        <v>4788</v>
      </c>
      <c r="N1122" t="s">
        <v>4788</v>
      </c>
      <c r="O1122">
        <v>2822.34</v>
      </c>
      <c r="Q1122">
        <v>0</v>
      </c>
      <c r="R1122">
        <v>0</v>
      </c>
      <c r="S1122">
        <v>338.68</v>
      </c>
      <c r="T1122" t="s">
        <v>4789</v>
      </c>
      <c r="U1122">
        <v>1</v>
      </c>
      <c r="V1122">
        <v>338.68</v>
      </c>
      <c r="W1122" t="s">
        <v>4343</v>
      </c>
      <c r="Y1122" t="b">
        <v>0</v>
      </c>
      <c r="Z1122" t="b">
        <v>0</v>
      </c>
      <c r="AA1122">
        <v>338.68</v>
      </c>
      <c r="AB1122">
        <v>0</v>
      </c>
      <c r="AD1122" t="b">
        <v>0</v>
      </c>
      <c r="AG1122" s="1" t="s">
        <v>57</v>
      </c>
      <c r="AH1122" s="1" t="s">
        <v>24</v>
      </c>
      <c r="AI1122">
        <v>313</v>
      </c>
      <c r="AJ1122">
        <v>82</v>
      </c>
      <c r="AK1122" s="106">
        <v>45475.635427233799</v>
      </c>
      <c r="AL1122" s="1" t="s">
        <v>4790</v>
      </c>
      <c r="AM1122" s="42">
        <f>IFERROR(INDEX('Public procurment'!A:R,MATCH(ListOfExpenditure[[#This Row],[Content.contractId]],'Public procurment'!E:E,0),14),0)</f>
        <v>0</v>
      </c>
      <c r="AN1122" s="2">
        <f>IF(AND(ListOfExpenditure[[#This Row],[Contract amount]]&gt;10000,ListOfExpenditure[[#This Row],[Content.declaredAmount]]&gt;2000),1,0)</f>
        <v>0</v>
      </c>
      <c r="AO1122">
        <f>IFERROR(INDEX('Public procurment'!A:S,MATCH(ListOfExpenditure[[#This Row],[Content.contractId]],'Public procurment'!E:E,0),19),0)</f>
        <v>0</v>
      </c>
      <c r="AP1122">
        <f>IF(ListOfExpenditure[[#This Row],[Numero di volte controllato il contract ]]&gt;0,0,ListOfExpenditure[[#This Row],[IF public procurment &gt;10000;1;0]])</f>
        <v>0</v>
      </c>
    </row>
    <row r="1123" spans="1:42" x14ac:dyDescent="0.25">
      <c r="A1123">
        <v>314</v>
      </c>
      <c r="B1123">
        <v>42</v>
      </c>
      <c r="E1123" t="s">
        <v>4786</v>
      </c>
      <c r="F1123" t="b">
        <v>0</v>
      </c>
      <c r="I1123" t="s">
        <v>5725</v>
      </c>
      <c r="K1123" t="s">
        <v>5384</v>
      </c>
      <c r="L1123" t="s">
        <v>5384</v>
      </c>
      <c r="M1123" t="s">
        <v>4788</v>
      </c>
      <c r="N1123" t="s">
        <v>4788</v>
      </c>
      <c r="O1123">
        <v>2776.53</v>
      </c>
      <c r="Q1123">
        <v>0</v>
      </c>
      <c r="R1123">
        <v>0</v>
      </c>
      <c r="S1123">
        <v>333.18</v>
      </c>
      <c r="T1123" t="s">
        <v>4789</v>
      </c>
      <c r="U1123">
        <v>1</v>
      </c>
      <c r="V1123">
        <v>333.18</v>
      </c>
      <c r="W1123" t="s">
        <v>4343</v>
      </c>
      <c r="Y1123" t="b">
        <v>0</v>
      </c>
      <c r="Z1123" t="b">
        <v>0</v>
      </c>
      <c r="AA1123">
        <v>333.18</v>
      </c>
      <c r="AB1123">
        <v>0</v>
      </c>
      <c r="AD1123" t="b">
        <v>0</v>
      </c>
      <c r="AG1123" s="1" t="s">
        <v>57</v>
      </c>
      <c r="AH1123" s="1" t="s">
        <v>24</v>
      </c>
      <c r="AI1123">
        <v>313</v>
      </c>
      <c r="AJ1123">
        <v>82</v>
      </c>
      <c r="AK1123" s="106">
        <v>45475.635427233799</v>
      </c>
      <c r="AL1123" s="1" t="s">
        <v>4790</v>
      </c>
      <c r="AM1123" s="42">
        <f>IFERROR(INDEX('Public procurment'!A:R,MATCH(ListOfExpenditure[[#This Row],[Content.contractId]],'Public procurment'!E:E,0),14),0)</f>
        <v>0</v>
      </c>
      <c r="AN1123" s="2">
        <f>IF(AND(ListOfExpenditure[[#This Row],[Contract amount]]&gt;10000,ListOfExpenditure[[#This Row],[Content.declaredAmount]]&gt;2000),1,0)</f>
        <v>0</v>
      </c>
      <c r="AO1123">
        <f>IFERROR(INDEX('Public procurment'!A:S,MATCH(ListOfExpenditure[[#This Row],[Content.contractId]],'Public procurment'!E:E,0),19),0)</f>
        <v>0</v>
      </c>
      <c r="AP1123">
        <f>IF(ListOfExpenditure[[#This Row],[Numero di volte controllato il contract ]]&gt;0,0,ListOfExpenditure[[#This Row],[IF public procurment &gt;10000;1;0]])</f>
        <v>0</v>
      </c>
    </row>
    <row r="1124" spans="1:42" x14ac:dyDescent="0.25">
      <c r="A1124">
        <v>315</v>
      </c>
      <c r="B1124">
        <v>43</v>
      </c>
      <c r="E1124" t="s">
        <v>4786</v>
      </c>
      <c r="F1124" t="b">
        <v>0</v>
      </c>
      <c r="I1124" t="s">
        <v>5725</v>
      </c>
      <c r="K1124" t="s">
        <v>4877</v>
      </c>
      <c r="L1124" t="s">
        <v>4877</v>
      </c>
      <c r="M1124" t="s">
        <v>4788</v>
      </c>
      <c r="N1124" t="s">
        <v>4788</v>
      </c>
      <c r="O1124">
        <v>2837.85</v>
      </c>
      <c r="Q1124">
        <v>0</v>
      </c>
      <c r="R1124">
        <v>0</v>
      </c>
      <c r="S1124">
        <v>340.54</v>
      </c>
      <c r="T1124" t="s">
        <v>4789</v>
      </c>
      <c r="U1124">
        <v>1</v>
      </c>
      <c r="V1124">
        <v>340.54</v>
      </c>
      <c r="W1124" t="s">
        <v>4343</v>
      </c>
      <c r="Y1124" t="b">
        <v>0</v>
      </c>
      <c r="Z1124" t="b">
        <v>0</v>
      </c>
      <c r="AA1124">
        <v>340.54</v>
      </c>
      <c r="AB1124">
        <v>0</v>
      </c>
      <c r="AD1124" t="b">
        <v>0</v>
      </c>
      <c r="AG1124" s="1" t="s">
        <v>57</v>
      </c>
      <c r="AH1124" s="1" t="s">
        <v>24</v>
      </c>
      <c r="AI1124">
        <v>313</v>
      </c>
      <c r="AJ1124">
        <v>82</v>
      </c>
      <c r="AK1124" s="106">
        <v>45475.635427233799</v>
      </c>
      <c r="AL1124" s="1" t="s">
        <v>4790</v>
      </c>
      <c r="AM1124" s="42">
        <f>IFERROR(INDEX('Public procurment'!A:R,MATCH(ListOfExpenditure[[#This Row],[Content.contractId]],'Public procurment'!E:E,0),14),0)</f>
        <v>0</v>
      </c>
      <c r="AN1124" s="2">
        <f>IF(AND(ListOfExpenditure[[#This Row],[Contract amount]]&gt;10000,ListOfExpenditure[[#This Row],[Content.declaredAmount]]&gt;2000),1,0)</f>
        <v>0</v>
      </c>
      <c r="AO1124">
        <f>IFERROR(INDEX('Public procurment'!A:S,MATCH(ListOfExpenditure[[#This Row],[Content.contractId]],'Public procurment'!E:E,0),19),0)</f>
        <v>0</v>
      </c>
      <c r="AP1124">
        <f>IF(ListOfExpenditure[[#This Row],[Numero di volte controllato il contract ]]&gt;0,0,ListOfExpenditure[[#This Row],[IF public procurment &gt;10000;1;0]])</f>
        <v>0</v>
      </c>
    </row>
    <row r="1125" spans="1:42" x14ac:dyDescent="0.25">
      <c r="A1125">
        <v>316</v>
      </c>
      <c r="B1125">
        <v>44</v>
      </c>
      <c r="E1125" t="s">
        <v>4786</v>
      </c>
      <c r="F1125" t="b">
        <v>0</v>
      </c>
      <c r="I1125" t="s">
        <v>5725</v>
      </c>
      <c r="K1125" t="s">
        <v>4873</v>
      </c>
      <c r="L1125" t="s">
        <v>4873</v>
      </c>
      <c r="M1125" t="s">
        <v>4788</v>
      </c>
      <c r="N1125" t="s">
        <v>4788</v>
      </c>
      <c r="O1125">
        <v>2763.05</v>
      </c>
      <c r="Q1125">
        <v>0</v>
      </c>
      <c r="R1125">
        <v>0</v>
      </c>
      <c r="S1125">
        <v>331.57</v>
      </c>
      <c r="T1125" t="s">
        <v>4789</v>
      </c>
      <c r="U1125">
        <v>1</v>
      </c>
      <c r="V1125">
        <v>331.57</v>
      </c>
      <c r="W1125" t="s">
        <v>4343</v>
      </c>
      <c r="Y1125" t="b">
        <v>0</v>
      </c>
      <c r="Z1125" t="b">
        <v>0</v>
      </c>
      <c r="AA1125">
        <v>331.57</v>
      </c>
      <c r="AB1125">
        <v>0</v>
      </c>
      <c r="AD1125" t="b">
        <v>0</v>
      </c>
      <c r="AG1125" s="1" t="s">
        <v>57</v>
      </c>
      <c r="AH1125" s="1" t="s">
        <v>24</v>
      </c>
      <c r="AI1125">
        <v>313</v>
      </c>
      <c r="AJ1125">
        <v>82</v>
      </c>
      <c r="AK1125" s="106">
        <v>45475.635427233799</v>
      </c>
      <c r="AL1125" s="1" t="s">
        <v>4790</v>
      </c>
      <c r="AM1125" s="42">
        <f>IFERROR(INDEX('Public procurment'!A:R,MATCH(ListOfExpenditure[[#This Row],[Content.contractId]],'Public procurment'!E:E,0),14),0)</f>
        <v>0</v>
      </c>
      <c r="AN1125" s="2">
        <f>IF(AND(ListOfExpenditure[[#This Row],[Contract amount]]&gt;10000,ListOfExpenditure[[#This Row],[Content.declaredAmount]]&gt;2000),1,0)</f>
        <v>0</v>
      </c>
      <c r="AO1125">
        <f>IFERROR(INDEX('Public procurment'!A:S,MATCH(ListOfExpenditure[[#This Row],[Content.contractId]],'Public procurment'!E:E,0),19),0)</f>
        <v>0</v>
      </c>
      <c r="AP1125">
        <f>IF(ListOfExpenditure[[#This Row],[Numero di volte controllato il contract ]]&gt;0,0,ListOfExpenditure[[#This Row],[IF public procurment &gt;10000;1;0]])</f>
        <v>0</v>
      </c>
    </row>
    <row r="1126" spans="1:42" x14ac:dyDescent="0.25">
      <c r="A1126">
        <v>317</v>
      </c>
      <c r="B1126">
        <v>45</v>
      </c>
      <c r="E1126" t="s">
        <v>4786</v>
      </c>
      <c r="F1126" t="b">
        <v>0</v>
      </c>
      <c r="I1126" t="s">
        <v>5725</v>
      </c>
      <c r="K1126" t="s">
        <v>4831</v>
      </c>
      <c r="L1126" t="s">
        <v>4831</v>
      </c>
      <c r="M1126" t="s">
        <v>4788</v>
      </c>
      <c r="N1126" t="s">
        <v>4788</v>
      </c>
      <c r="O1126">
        <v>2636.81</v>
      </c>
      <c r="Q1126">
        <v>0</v>
      </c>
      <c r="R1126">
        <v>0</v>
      </c>
      <c r="S1126">
        <v>316.42</v>
      </c>
      <c r="T1126" t="s">
        <v>4789</v>
      </c>
      <c r="U1126">
        <v>1</v>
      </c>
      <c r="V1126">
        <v>316.42</v>
      </c>
      <c r="W1126" t="s">
        <v>4343</v>
      </c>
      <c r="Y1126" t="b">
        <v>1</v>
      </c>
      <c r="Z1126" t="b">
        <v>0</v>
      </c>
      <c r="AA1126">
        <v>0</v>
      </c>
      <c r="AB1126">
        <v>0</v>
      </c>
      <c r="AD1126" t="b">
        <v>1</v>
      </c>
      <c r="AF1126" t="s">
        <v>5489</v>
      </c>
      <c r="AG1126" s="1" t="s">
        <v>57</v>
      </c>
      <c r="AH1126" s="1" t="s">
        <v>24</v>
      </c>
      <c r="AI1126">
        <v>313</v>
      </c>
      <c r="AJ1126">
        <v>82</v>
      </c>
      <c r="AK1126" s="106">
        <v>45475.635427233799</v>
      </c>
      <c r="AL1126" s="1" t="s">
        <v>4790</v>
      </c>
      <c r="AM1126" s="42">
        <f>IFERROR(INDEX('Public procurment'!A:R,MATCH(ListOfExpenditure[[#This Row],[Content.contractId]],'Public procurment'!E:E,0),14),0)</f>
        <v>0</v>
      </c>
      <c r="AN1126" s="2">
        <f>IF(AND(ListOfExpenditure[[#This Row],[Contract amount]]&gt;10000,ListOfExpenditure[[#This Row],[Content.declaredAmount]]&gt;2000),1,0)</f>
        <v>0</v>
      </c>
      <c r="AO1126">
        <f>IFERROR(INDEX('Public procurment'!A:S,MATCH(ListOfExpenditure[[#This Row],[Content.contractId]],'Public procurment'!E:E,0),19),0)</f>
        <v>0</v>
      </c>
      <c r="AP1126">
        <f>IF(ListOfExpenditure[[#This Row],[Numero di volte controllato il contract ]]&gt;0,0,ListOfExpenditure[[#This Row],[IF public procurment &gt;10000;1;0]])</f>
        <v>0</v>
      </c>
    </row>
    <row r="1127" spans="1:42" x14ac:dyDescent="0.25">
      <c r="A1127">
        <v>318</v>
      </c>
      <c r="B1127">
        <v>46</v>
      </c>
      <c r="E1127" t="s">
        <v>4786</v>
      </c>
      <c r="F1127" t="b">
        <v>0</v>
      </c>
      <c r="I1127" t="s">
        <v>5726</v>
      </c>
      <c r="K1127" t="s">
        <v>5718</v>
      </c>
      <c r="L1127" t="s">
        <v>5718</v>
      </c>
      <c r="M1127" t="s">
        <v>4788</v>
      </c>
      <c r="N1127" t="s">
        <v>4788</v>
      </c>
      <c r="O1127">
        <v>2284.77</v>
      </c>
      <c r="Q1127">
        <v>0</v>
      </c>
      <c r="R1127">
        <v>0</v>
      </c>
      <c r="S1127">
        <v>274.17</v>
      </c>
      <c r="T1127" t="s">
        <v>4789</v>
      </c>
      <c r="U1127">
        <v>1</v>
      </c>
      <c r="V1127">
        <v>274.17</v>
      </c>
      <c r="W1127" t="s">
        <v>4343</v>
      </c>
      <c r="Y1127" t="b">
        <v>0</v>
      </c>
      <c r="Z1127" t="b">
        <v>0</v>
      </c>
      <c r="AA1127">
        <v>274.17</v>
      </c>
      <c r="AB1127">
        <v>0</v>
      </c>
      <c r="AD1127" t="b">
        <v>0</v>
      </c>
      <c r="AG1127" s="1" t="s">
        <v>57</v>
      </c>
      <c r="AH1127" s="1" t="s">
        <v>24</v>
      </c>
      <c r="AI1127">
        <v>313</v>
      </c>
      <c r="AJ1127">
        <v>82</v>
      </c>
      <c r="AK1127" s="106">
        <v>45475.635427233799</v>
      </c>
      <c r="AL1127" s="1" t="s">
        <v>4790</v>
      </c>
      <c r="AM1127" s="42">
        <f>IFERROR(INDEX('Public procurment'!A:R,MATCH(ListOfExpenditure[[#This Row],[Content.contractId]],'Public procurment'!E:E,0),14),0)</f>
        <v>0</v>
      </c>
      <c r="AN1127" s="2">
        <f>IF(AND(ListOfExpenditure[[#This Row],[Contract amount]]&gt;10000,ListOfExpenditure[[#This Row],[Content.declaredAmount]]&gt;2000),1,0)</f>
        <v>0</v>
      </c>
      <c r="AO1127">
        <f>IFERROR(INDEX('Public procurment'!A:S,MATCH(ListOfExpenditure[[#This Row],[Content.contractId]],'Public procurment'!E:E,0),19),0)</f>
        <v>0</v>
      </c>
      <c r="AP1127">
        <f>IF(ListOfExpenditure[[#This Row],[Numero di volte controllato il contract ]]&gt;0,0,ListOfExpenditure[[#This Row],[IF public procurment &gt;10000;1;0]])</f>
        <v>0</v>
      </c>
    </row>
    <row r="1128" spans="1:42" x14ac:dyDescent="0.25">
      <c r="A1128">
        <v>319</v>
      </c>
      <c r="B1128">
        <v>47</v>
      </c>
      <c r="E1128" t="s">
        <v>4786</v>
      </c>
      <c r="F1128" t="b">
        <v>0</v>
      </c>
      <c r="I1128" t="s">
        <v>5726</v>
      </c>
      <c r="K1128" t="s">
        <v>5672</v>
      </c>
      <c r="L1128" t="s">
        <v>5672</v>
      </c>
      <c r="M1128" t="s">
        <v>4788</v>
      </c>
      <c r="N1128" t="s">
        <v>4788</v>
      </c>
      <c r="O1128">
        <v>2260.35</v>
      </c>
      <c r="Q1128">
        <v>0</v>
      </c>
      <c r="R1128">
        <v>0</v>
      </c>
      <c r="S1128">
        <v>271.24</v>
      </c>
      <c r="T1128" t="s">
        <v>4789</v>
      </c>
      <c r="U1128">
        <v>1</v>
      </c>
      <c r="V1128">
        <v>271.24</v>
      </c>
      <c r="W1128" t="s">
        <v>4343</v>
      </c>
      <c r="Y1128" t="b">
        <v>0</v>
      </c>
      <c r="Z1128" t="b">
        <v>0</v>
      </c>
      <c r="AA1128">
        <v>271.24</v>
      </c>
      <c r="AB1128">
        <v>0</v>
      </c>
      <c r="AD1128" t="b">
        <v>0</v>
      </c>
      <c r="AG1128" s="1" t="s">
        <v>57</v>
      </c>
      <c r="AH1128" s="1" t="s">
        <v>24</v>
      </c>
      <c r="AI1128">
        <v>313</v>
      </c>
      <c r="AJ1128">
        <v>82</v>
      </c>
      <c r="AK1128" s="106">
        <v>45475.635427233799</v>
      </c>
      <c r="AL1128" s="1" t="s">
        <v>4790</v>
      </c>
      <c r="AM1128" s="42">
        <f>IFERROR(INDEX('Public procurment'!A:R,MATCH(ListOfExpenditure[[#This Row],[Content.contractId]],'Public procurment'!E:E,0),14),0)</f>
        <v>0</v>
      </c>
      <c r="AN1128" s="2">
        <f>IF(AND(ListOfExpenditure[[#This Row],[Contract amount]]&gt;10000,ListOfExpenditure[[#This Row],[Content.declaredAmount]]&gt;2000),1,0)</f>
        <v>0</v>
      </c>
      <c r="AO1128">
        <f>IFERROR(INDEX('Public procurment'!A:S,MATCH(ListOfExpenditure[[#This Row],[Content.contractId]],'Public procurment'!E:E,0),19),0)</f>
        <v>0</v>
      </c>
      <c r="AP1128">
        <f>IF(ListOfExpenditure[[#This Row],[Numero di volte controllato il contract ]]&gt;0,0,ListOfExpenditure[[#This Row],[IF public procurment &gt;10000;1;0]])</f>
        <v>0</v>
      </c>
    </row>
    <row r="1129" spans="1:42" x14ac:dyDescent="0.25">
      <c r="A1129">
        <v>320</v>
      </c>
      <c r="B1129">
        <v>48</v>
      </c>
      <c r="E1129" t="s">
        <v>4786</v>
      </c>
      <c r="F1129" t="b">
        <v>0</v>
      </c>
      <c r="I1129" t="s">
        <v>5726</v>
      </c>
      <c r="K1129" t="s">
        <v>5720</v>
      </c>
      <c r="L1129" t="s">
        <v>5720</v>
      </c>
      <c r="M1129" t="s">
        <v>4788</v>
      </c>
      <c r="N1129" t="s">
        <v>4788</v>
      </c>
      <c r="O1129">
        <v>1941.77</v>
      </c>
      <c r="Q1129">
        <v>0</v>
      </c>
      <c r="R1129">
        <v>0</v>
      </c>
      <c r="S1129">
        <v>233.01</v>
      </c>
      <c r="T1129" t="s">
        <v>4789</v>
      </c>
      <c r="U1129">
        <v>1</v>
      </c>
      <c r="V1129">
        <v>233.01</v>
      </c>
      <c r="W1129" t="s">
        <v>4343</v>
      </c>
      <c r="Y1129" t="b">
        <v>0</v>
      </c>
      <c r="Z1129" t="b">
        <v>0</v>
      </c>
      <c r="AA1129">
        <v>233.01</v>
      </c>
      <c r="AB1129">
        <v>0</v>
      </c>
      <c r="AD1129" t="b">
        <v>0</v>
      </c>
      <c r="AG1129" s="1" t="s">
        <v>57</v>
      </c>
      <c r="AH1129" s="1" t="s">
        <v>24</v>
      </c>
      <c r="AI1129">
        <v>313</v>
      </c>
      <c r="AJ1129">
        <v>82</v>
      </c>
      <c r="AK1129" s="106">
        <v>45475.635427233799</v>
      </c>
      <c r="AL1129" s="1" t="s">
        <v>4790</v>
      </c>
      <c r="AM1129" s="42">
        <f>IFERROR(INDEX('Public procurment'!A:R,MATCH(ListOfExpenditure[[#This Row],[Content.contractId]],'Public procurment'!E:E,0),14),0)</f>
        <v>0</v>
      </c>
      <c r="AN1129" s="2">
        <f>IF(AND(ListOfExpenditure[[#This Row],[Contract amount]]&gt;10000,ListOfExpenditure[[#This Row],[Content.declaredAmount]]&gt;2000),1,0)</f>
        <v>0</v>
      </c>
      <c r="AO1129">
        <f>IFERROR(INDEX('Public procurment'!A:S,MATCH(ListOfExpenditure[[#This Row],[Content.contractId]],'Public procurment'!E:E,0),19),0)</f>
        <v>0</v>
      </c>
      <c r="AP1129">
        <f>IF(ListOfExpenditure[[#This Row],[Numero di volte controllato il contract ]]&gt;0,0,ListOfExpenditure[[#This Row],[IF public procurment &gt;10000;1;0]])</f>
        <v>0</v>
      </c>
    </row>
    <row r="1130" spans="1:42" x14ac:dyDescent="0.25">
      <c r="A1130">
        <v>321</v>
      </c>
      <c r="B1130">
        <v>49</v>
      </c>
      <c r="E1130" t="s">
        <v>4786</v>
      </c>
      <c r="F1130" t="b">
        <v>0</v>
      </c>
      <c r="I1130" t="s">
        <v>5726</v>
      </c>
      <c r="K1130" t="s">
        <v>5309</v>
      </c>
      <c r="L1130" t="s">
        <v>5309</v>
      </c>
      <c r="M1130" t="s">
        <v>4788</v>
      </c>
      <c r="N1130" t="s">
        <v>4788</v>
      </c>
      <c r="O1130">
        <v>2344.14</v>
      </c>
      <c r="Q1130">
        <v>0</v>
      </c>
      <c r="R1130">
        <v>0</v>
      </c>
      <c r="S1130">
        <v>281.3</v>
      </c>
      <c r="T1130" t="s">
        <v>4789</v>
      </c>
      <c r="U1130">
        <v>1</v>
      </c>
      <c r="V1130">
        <v>281.3</v>
      </c>
      <c r="W1130" t="s">
        <v>4343</v>
      </c>
      <c r="Y1130" t="b">
        <v>0</v>
      </c>
      <c r="Z1130" t="b">
        <v>0</v>
      </c>
      <c r="AA1130">
        <v>281.3</v>
      </c>
      <c r="AB1130">
        <v>0</v>
      </c>
      <c r="AD1130" t="b">
        <v>0</v>
      </c>
      <c r="AG1130" s="1" t="s">
        <v>57</v>
      </c>
      <c r="AH1130" s="1" t="s">
        <v>24</v>
      </c>
      <c r="AI1130">
        <v>313</v>
      </c>
      <c r="AJ1130">
        <v>82</v>
      </c>
      <c r="AK1130" s="106">
        <v>45475.635427233799</v>
      </c>
      <c r="AL1130" s="1" t="s">
        <v>4790</v>
      </c>
      <c r="AM1130" s="42">
        <f>IFERROR(INDEX('Public procurment'!A:R,MATCH(ListOfExpenditure[[#This Row],[Content.contractId]],'Public procurment'!E:E,0),14),0)</f>
        <v>0</v>
      </c>
      <c r="AN1130" s="2">
        <f>IF(AND(ListOfExpenditure[[#This Row],[Contract amount]]&gt;10000,ListOfExpenditure[[#This Row],[Content.declaredAmount]]&gt;2000),1,0)</f>
        <v>0</v>
      </c>
      <c r="AO1130">
        <f>IFERROR(INDEX('Public procurment'!A:S,MATCH(ListOfExpenditure[[#This Row],[Content.contractId]],'Public procurment'!E:E,0),19),0)</f>
        <v>0</v>
      </c>
      <c r="AP1130">
        <f>IF(ListOfExpenditure[[#This Row],[Numero di volte controllato il contract ]]&gt;0,0,ListOfExpenditure[[#This Row],[IF public procurment &gt;10000;1;0]])</f>
        <v>0</v>
      </c>
    </row>
    <row r="1131" spans="1:42" x14ac:dyDescent="0.25">
      <c r="A1131">
        <v>322</v>
      </c>
      <c r="B1131">
        <v>50</v>
      </c>
      <c r="E1131" t="s">
        <v>4786</v>
      </c>
      <c r="F1131" t="b">
        <v>0</v>
      </c>
      <c r="I1131" t="s">
        <v>5726</v>
      </c>
      <c r="K1131" t="s">
        <v>5349</v>
      </c>
      <c r="L1131" t="s">
        <v>5349</v>
      </c>
      <c r="M1131" t="s">
        <v>4788</v>
      </c>
      <c r="N1131" t="s">
        <v>4788</v>
      </c>
      <c r="O1131">
        <v>2464.75</v>
      </c>
      <c r="Q1131">
        <v>0</v>
      </c>
      <c r="R1131">
        <v>0</v>
      </c>
      <c r="S1131">
        <v>295.77</v>
      </c>
      <c r="T1131" t="s">
        <v>4789</v>
      </c>
      <c r="U1131">
        <v>1</v>
      </c>
      <c r="V1131">
        <v>295.77</v>
      </c>
      <c r="W1131" t="s">
        <v>4343</v>
      </c>
      <c r="Y1131" t="b">
        <v>0</v>
      </c>
      <c r="Z1131" t="b">
        <v>0</v>
      </c>
      <c r="AA1131">
        <v>295.77</v>
      </c>
      <c r="AB1131">
        <v>0</v>
      </c>
      <c r="AD1131" t="b">
        <v>0</v>
      </c>
      <c r="AG1131" s="1" t="s">
        <v>57</v>
      </c>
      <c r="AH1131" s="1" t="s">
        <v>24</v>
      </c>
      <c r="AI1131">
        <v>313</v>
      </c>
      <c r="AJ1131">
        <v>82</v>
      </c>
      <c r="AK1131" s="106">
        <v>45475.635427233799</v>
      </c>
      <c r="AL1131" s="1" t="s">
        <v>4790</v>
      </c>
      <c r="AM1131" s="42">
        <f>IFERROR(INDEX('Public procurment'!A:R,MATCH(ListOfExpenditure[[#This Row],[Content.contractId]],'Public procurment'!E:E,0),14),0)</f>
        <v>0</v>
      </c>
      <c r="AN1131" s="2">
        <f>IF(AND(ListOfExpenditure[[#This Row],[Contract amount]]&gt;10000,ListOfExpenditure[[#This Row],[Content.declaredAmount]]&gt;2000),1,0)</f>
        <v>0</v>
      </c>
      <c r="AO1131">
        <f>IFERROR(INDEX('Public procurment'!A:S,MATCH(ListOfExpenditure[[#This Row],[Content.contractId]],'Public procurment'!E:E,0),19),0)</f>
        <v>0</v>
      </c>
      <c r="AP1131">
        <f>IF(ListOfExpenditure[[#This Row],[Numero di volte controllato il contract ]]&gt;0,0,ListOfExpenditure[[#This Row],[IF public procurment &gt;10000;1;0]])</f>
        <v>0</v>
      </c>
    </row>
    <row r="1132" spans="1:42" x14ac:dyDescent="0.25">
      <c r="A1132">
        <v>323</v>
      </c>
      <c r="B1132">
        <v>51</v>
      </c>
      <c r="E1132" t="s">
        <v>4786</v>
      </c>
      <c r="F1132" t="b">
        <v>0</v>
      </c>
      <c r="I1132" t="s">
        <v>5726</v>
      </c>
      <c r="K1132" t="s">
        <v>5384</v>
      </c>
      <c r="L1132" t="s">
        <v>5384</v>
      </c>
      <c r="M1132" t="s">
        <v>4788</v>
      </c>
      <c r="N1132" t="s">
        <v>4788</v>
      </c>
      <c r="O1132">
        <v>2467.46</v>
      </c>
      <c r="Q1132">
        <v>0</v>
      </c>
      <c r="R1132">
        <v>0</v>
      </c>
      <c r="S1132">
        <v>296.08999999999997</v>
      </c>
      <c r="T1132" t="s">
        <v>4789</v>
      </c>
      <c r="U1132">
        <v>1</v>
      </c>
      <c r="V1132">
        <v>296.08999999999997</v>
      </c>
      <c r="W1132" t="s">
        <v>4343</v>
      </c>
      <c r="Y1132" t="b">
        <v>0</v>
      </c>
      <c r="Z1132" t="b">
        <v>0</v>
      </c>
      <c r="AA1132">
        <v>296.08999999999997</v>
      </c>
      <c r="AB1132">
        <v>0</v>
      </c>
      <c r="AD1132" t="b">
        <v>0</v>
      </c>
      <c r="AG1132" s="1" t="s">
        <v>57</v>
      </c>
      <c r="AH1132" s="1" t="s">
        <v>24</v>
      </c>
      <c r="AI1132">
        <v>313</v>
      </c>
      <c r="AJ1132">
        <v>82</v>
      </c>
      <c r="AK1132" s="106">
        <v>45475.635427233799</v>
      </c>
      <c r="AL1132" s="1" t="s">
        <v>4790</v>
      </c>
      <c r="AM1132" s="42">
        <f>IFERROR(INDEX('Public procurment'!A:R,MATCH(ListOfExpenditure[[#This Row],[Content.contractId]],'Public procurment'!E:E,0),14),0)</f>
        <v>0</v>
      </c>
      <c r="AN1132" s="2">
        <f>IF(AND(ListOfExpenditure[[#This Row],[Contract amount]]&gt;10000,ListOfExpenditure[[#This Row],[Content.declaredAmount]]&gt;2000),1,0)</f>
        <v>0</v>
      </c>
      <c r="AO1132">
        <f>IFERROR(INDEX('Public procurment'!A:S,MATCH(ListOfExpenditure[[#This Row],[Content.contractId]],'Public procurment'!E:E,0),19),0)</f>
        <v>0</v>
      </c>
      <c r="AP1132">
        <f>IF(ListOfExpenditure[[#This Row],[Numero di volte controllato il contract ]]&gt;0,0,ListOfExpenditure[[#This Row],[IF public procurment &gt;10000;1;0]])</f>
        <v>0</v>
      </c>
    </row>
    <row r="1133" spans="1:42" x14ac:dyDescent="0.25">
      <c r="A1133">
        <v>324</v>
      </c>
      <c r="B1133">
        <v>52</v>
      </c>
      <c r="E1133" t="s">
        <v>4786</v>
      </c>
      <c r="F1133" t="b">
        <v>0</v>
      </c>
      <c r="I1133" t="s">
        <v>5726</v>
      </c>
      <c r="K1133" t="s">
        <v>4877</v>
      </c>
      <c r="L1133" t="s">
        <v>4877</v>
      </c>
      <c r="M1133" t="s">
        <v>4788</v>
      </c>
      <c r="N1133" t="s">
        <v>4788</v>
      </c>
      <c r="O1133">
        <v>2362.29</v>
      </c>
      <c r="Q1133">
        <v>0</v>
      </c>
      <c r="R1133">
        <v>0</v>
      </c>
      <c r="S1133">
        <v>283.47000000000003</v>
      </c>
      <c r="T1133" t="s">
        <v>4789</v>
      </c>
      <c r="U1133">
        <v>1</v>
      </c>
      <c r="V1133">
        <v>283.47000000000003</v>
      </c>
      <c r="W1133" t="s">
        <v>4343</v>
      </c>
      <c r="Y1133" t="b">
        <v>0</v>
      </c>
      <c r="Z1133" t="b">
        <v>0</v>
      </c>
      <c r="AA1133">
        <v>283.47000000000003</v>
      </c>
      <c r="AB1133">
        <v>0</v>
      </c>
      <c r="AD1133" t="b">
        <v>0</v>
      </c>
      <c r="AG1133" s="1" t="s">
        <v>57</v>
      </c>
      <c r="AH1133" s="1" t="s">
        <v>24</v>
      </c>
      <c r="AI1133">
        <v>313</v>
      </c>
      <c r="AJ1133">
        <v>82</v>
      </c>
      <c r="AK1133" s="106">
        <v>45475.635427233799</v>
      </c>
      <c r="AL1133" s="1" t="s">
        <v>4790</v>
      </c>
      <c r="AM1133" s="42">
        <f>IFERROR(INDEX('Public procurment'!A:R,MATCH(ListOfExpenditure[[#This Row],[Content.contractId]],'Public procurment'!E:E,0),14),0)</f>
        <v>0</v>
      </c>
      <c r="AN1133" s="2">
        <f>IF(AND(ListOfExpenditure[[#This Row],[Contract amount]]&gt;10000,ListOfExpenditure[[#This Row],[Content.declaredAmount]]&gt;2000),1,0)</f>
        <v>0</v>
      </c>
      <c r="AO1133">
        <f>IFERROR(INDEX('Public procurment'!A:S,MATCH(ListOfExpenditure[[#This Row],[Content.contractId]],'Public procurment'!E:E,0),19),0)</f>
        <v>0</v>
      </c>
      <c r="AP1133">
        <f>IF(ListOfExpenditure[[#This Row],[Numero di volte controllato il contract ]]&gt;0,0,ListOfExpenditure[[#This Row],[IF public procurment &gt;10000;1;0]])</f>
        <v>0</v>
      </c>
    </row>
    <row r="1134" spans="1:42" x14ac:dyDescent="0.25">
      <c r="A1134">
        <v>325</v>
      </c>
      <c r="B1134">
        <v>53</v>
      </c>
      <c r="E1134" t="s">
        <v>4786</v>
      </c>
      <c r="F1134" t="b">
        <v>0</v>
      </c>
      <c r="I1134" t="s">
        <v>5726</v>
      </c>
      <c r="K1134" t="s">
        <v>4873</v>
      </c>
      <c r="L1134" t="s">
        <v>4873</v>
      </c>
      <c r="M1134" t="s">
        <v>4788</v>
      </c>
      <c r="N1134" t="s">
        <v>4788</v>
      </c>
      <c r="O1134">
        <v>2480.06</v>
      </c>
      <c r="Q1134">
        <v>0</v>
      </c>
      <c r="R1134">
        <v>0</v>
      </c>
      <c r="S1134">
        <v>297.61</v>
      </c>
      <c r="T1134" t="s">
        <v>4789</v>
      </c>
      <c r="U1134">
        <v>1</v>
      </c>
      <c r="V1134">
        <v>297.61</v>
      </c>
      <c r="W1134" t="s">
        <v>4343</v>
      </c>
      <c r="Y1134" t="b">
        <v>0</v>
      </c>
      <c r="Z1134" t="b">
        <v>0</v>
      </c>
      <c r="AA1134">
        <v>297.61</v>
      </c>
      <c r="AB1134">
        <v>0</v>
      </c>
      <c r="AD1134" t="b">
        <v>0</v>
      </c>
      <c r="AG1134" s="1" t="s">
        <v>57</v>
      </c>
      <c r="AH1134" s="1" t="s">
        <v>24</v>
      </c>
      <c r="AI1134">
        <v>313</v>
      </c>
      <c r="AJ1134">
        <v>82</v>
      </c>
      <c r="AK1134" s="106">
        <v>45475.635427233799</v>
      </c>
      <c r="AL1134" s="1" t="s">
        <v>4790</v>
      </c>
      <c r="AM1134" s="42">
        <f>IFERROR(INDEX('Public procurment'!A:R,MATCH(ListOfExpenditure[[#This Row],[Content.contractId]],'Public procurment'!E:E,0),14),0)</f>
        <v>0</v>
      </c>
      <c r="AN1134" s="2">
        <f>IF(AND(ListOfExpenditure[[#This Row],[Contract amount]]&gt;10000,ListOfExpenditure[[#This Row],[Content.declaredAmount]]&gt;2000),1,0)</f>
        <v>0</v>
      </c>
      <c r="AO1134">
        <f>IFERROR(INDEX('Public procurment'!A:S,MATCH(ListOfExpenditure[[#This Row],[Content.contractId]],'Public procurment'!E:E,0),19),0)</f>
        <v>0</v>
      </c>
      <c r="AP1134">
        <f>IF(ListOfExpenditure[[#This Row],[Numero di volte controllato il contract ]]&gt;0,0,ListOfExpenditure[[#This Row],[IF public procurment &gt;10000;1;0]])</f>
        <v>0</v>
      </c>
    </row>
    <row r="1135" spans="1:42" x14ac:dyDescent="0.25">
      <c r="A1135">
        <v>326</v>
      </c>
      <c r="B1135">
        <v>54</v>
      </c>
      <c r="E1135" t="s">
        <v>4786</v>
      </c>
      <c r="F1135" t="b">
        <v>0</v>
      </c>
      <c r="I1135" t="s">
        <v>5726</v>
      </c>
      <c r="K1135" t="s">
        <v>4831</v>
      </c>
      <c r="L1135" t="s">
        <v>4831</v>
      </c>
      <c r="M1135" t="s">
        <v>4788</v>
      </c>
      <c r="N1135" t="s">
        <v>4788</v>
      </c>
      <c r="O1135">
        <v>2475.33</v>
      </c>
      <c r="Q1135">
        <v>0</v>
      </c>
      <c r="R1135">
        <v>0</v>
      </c>
      <c r="S1135">
        <v>297.04000000000002</v>
      </c>
      <c r="T1135" t="s">
        <v>4789</v>
      </c>
      <c r="U1135">
        <v>1</v>
      </c>
      <c r="V1135">
        <v>297.04000000000002</v>
      </c>
      <c r="W1135" t="s">
        <v>4343</v>
      </c>
      <c r="Y1135" t="b">
        <v>1</v>
      </c>
      <c r="Z1135" t="b">
        <v>0</v>
      </c>
      <c r="AA1135">
        <v>0</v>
      </c>
      <c r="AB1135">
        <v>0</v>
      </c>
      <c r="AD1135" t="b">
        <v>1</v>
      </c>
      <c r="AF1135" t="s">
        <v>5489</v>
      </c>
      <c r="AG1135" s="1" t="s">
        <v>57</v>
      </c>
      <c r="AH1135" s="1" t="s">
        <v>24</v>
      </c>
      <c r="AI1135">
        <v>313</v>
      </c>
      <c r="AJ1135">
        <v>82</v>
      </c>
      <c r="AK1135" s="106">
        <v>45475.635427233799</v>
      </c>
      <c r="AL1135" s="1" t="s">
        <v>4790</v>
      </c>
      <c r="AM1135" s="42">
        <f>IFERROR(INDEX('Public procurment'!A:R,MATCH(ListOfExpenditure[[#This Row],[Content.contractId]],'Public procurment'!E:E,0),14),0)</f>
        <v>0</v>
      </c>
      <c r="AN1135" s="2">
        <f>IF(AND(ListOfExpenditure[[#This Row],[Contract amount]]&gt;10000,ListOfExpenditure[[#This Row],[Content.declaredAmount]]&gt;2000),1,0)</f>
        <v>0</v>
      </c>
      <c r="AO1135">
        <f>IFERROR(INDEX('Public procurment'!A:S,MATCH(ListOfExpenditure[[#This Row],[Content.contractId]],'Public procurment'!E:E,0),19),0)</f>
        <v>0</v>
      </c>
      <c r="AP1135">
        <f>IF(ListOfExpenditure[[#This Row],[Numero di volte controllato il contract ]]&gt;0,0,ListOfExpenditure[[#This Row],[IF public procurment &gt;10000;1;0]])</f>
        <v>0</v>
      </c>
    </row>
    <row r="1136" spans="1:42" x14ac:dyDescent="0.25">
      <c r="A1136">
        <v>331</v>
      </c>
      <c r="B1136">
        <v>55</v>
      </c>
      <c r="E1136" t="s">
        <v>4786</v>
      </c>
      <c r="F1136" t="b">
        <v>0</v>
      </c>
      <c r="I1136" t="s">
        <v>5727</v>
      </c>
      <c r="K1136" t="s">
        <v>5718</v>
      </c>
      <c r="L1136" t="s">
        <v>5718</v>
      </c>
      <c r="M1136" t="s">
        <v>4788</v>
      </c>
      <c r="N1136" t="s">
        <v>4788</v>
      </c>
      <c r="O1136">
        <v>2720.97</v>
      </c>
      <c r="Q1136">
        <v>0</v>
      </c>
      <c r="R1136">
        <v>0</v>
      </c>
      <c r="S1136">
        <v>653.03</v>
      </c>
      <c r="T1136" t="s">
        <v>4789</v>
      </c>
      <c r="U1136">
        <v>1</v>
      </c>
      <c r="V1136">
        <v>653.03</v>
      </c>
      <c r="W1136" t="s">
        <v>4343</v>
      </c>
      <c r="Y1136" t="b">
        <v>0</v>
      </c>
      <c r="Z1136" t="b">
        <v>0</v>
      </c>
      <c r="AA1136">
        <v>653.03</v>
      </c>
      <c r="AB1136">
        <v>0</v>
      </c>
      <c r="AD1136" t="b">
        <v>0</v>
      </c>
      <c r="AG1136" s="1" t="s">
        <v>57</v>
      </c>
      <c r="AH1136" s="1" t="s">
        <v>24</v>
      </c>
      <c r="AI1136">
        <v>313</v>
      </c>
      <c r="AJ1136">
        <v>82</v>
      </c>
      <c r="AK1136" s="106">
        <v>45475.635427233799</v>
      </c>
      <c r="AL1136" s="1" t="s">
        <v>4790</v>
      </c>
      <c r="AM1136" s="42">
        <f>IFERROR(INDEX('Public procurment'!A:R,MATCH(ListOfExpenditure[[#This Row],[Content.contractId]],'Public procurment'!E:E,0),14),0)</f>
        <v>0</v>
      </c>
      <c r="AN1136" s="2">
        <f>IF(AND(ListOfExpenditure[[#This Row],[Contract amount]]&gt;10000,ListOfExpenditure[[#This Row],[Content.declaredAmount]]&gt;2000),1,0)</f>
        <v>0</v>
      </c>
      <c r="AO1136">
        <f>IFERROR(INDEX('Public procurment'!A:S,MATCH(ListOfExpenditure[[#This Row],[Content.contractId]],'Public procurment'!E:E,0),19),0)</f>
        <v>0</v>
      </c>
      <c r="AP1136">
        <f>IF(ListOfExpenditure[[#This Row],[Numero di volte controllato il contract ]]&gt;0,0,ListOfExpenditure[[#This Row],[IF public procurment &gt;10000;1;0]])</f>
        <v>0</v>
      </c>
    </row>
    <row r="1137" spans="1:42" x14ac:dyDescent="0.25">
      <c r="A1137">
        <v>332</v>
      </c>
      <c r="B1137">
        <v>56</v>
      </c>
      <c r="E1137" t="s">
        <v>4786</v>
      </c>
      <c r="F1137" t="b">
        <v>0</v>
      </c>
      <c r="I1137" t="s">
        <v>5727</v>
      </c>
      <c r="K1137" t="s">
        <v>5672</v>
      </c>
      <c r="L1137" t="s">
        <v>5672</v>
      </c>
      <c r="M1137" t="s">
        <v>4788</v>
      </c>
      <c r="N1137" t="s">
        <v>4788</v>
      </c>
      <c r="O1137">
        <v>2746.83</v>
      </c>
      <c r="Q1137">
        <v>0</v>
      </c>
      <c r="R1137">
        <v>0</v>
      </c>
      <c r="S1137">
        <v>659.24</v>
      </c>
      <c r="T1137" t="s">
        <v>4789</v>
      </c>
      <c r="U1137">
        <v>1</v>
      </c>
      <c r="V1137">
        <v>659.24</v>
      </c>
      <c r="W1137" t="s">
        <v>4343</v>
      </c>
      <c r="Y1137" t="b">
        <v>0</v>
      </c>
      <c r="Z1137" t="b">
        <v>0</v>
      </c>
      <c r="AA1137">
        <v>659.24</v>
      </c>
      <c r="AB1137">
        <v>0</v>
      </c>
      <c r="AD1137" t="b">
        <v>0</v>
      </c>
      <c r="AG1137" s="1" t="s">
        <v>57</v>
      </c>
      <c r="AH1137" s="1" t="s">
        <v>24</v>
      </c>
      <c r="AI1137">
        <v>313</v>
      </c>
      <c r="AJ1137">
        <v>82</v>
      </c>
      <c r="AK1137" s="106">
        <v>45475.635427233799</v>
      </c>
      <c r="AL1137" s="1" t="s">
        <v>4790</v>
      </c>
      <c r="AM1137" s="42">
        <f>IFERROR(INDEX('Public procurment'!A:R,MATCH(ListOfExpenditure[[#This Row],[Content.contractId]],'Public procurment'!E:E,0),14),0)</f>
        <v>0</v>
      </c>
      <c r="AN1137" s="2">
        <f>IF(AND(ListOfExpenditure[[#This Row],[Contract amount]]&gt;10000,ListOfExpenditure[[#This Row],[Content.declaredAmount]]&gt;2000),1,0)</f>
        <v>0</v>
      </c>
      <c r="AO1137">
        <f>IFERROR(INDEX('Public procurment'!A:S,MATCH(ListOfExpenditure[[#This Row],[Content.contractId]],'Public procurment'!E:E,0),19),0)</f>
        <v>0</v>
      </c>
      <c r="AP1137">
        <f>IF(ListOfExpenditure[[#This Row],[Numero di volte controllato il contract ]]&gt;0,0,ListOfExpenditure[[#This Row],[IF public procurment &gt;10000;1;0]])</f>
        <v>0</v>
      </c>
    </row>
    <row r="1138" spans="1:42" x14ac:dyDescent="0.25">
      <c r="A1138">
        <v>333</v>
      </c>
      <c r="B1138">
        <v>57</v>
      </c>
      <c r="E1138" t="s">
        <v>4786</v>
      </c>
      <c r="F1138" t="b">
        <v>0</v>
      </c>
      <c r="I1138" t="s">
        <v>5727</v>
      </c>
      <c r="K1138" t="s">
        <v>5720</v>
      </c>
      <c r="L1138" t="s">
        <v>5720</v>
      </c>
      <c r="M1138" t="s">
        <v>4788</v>
      </c>
      <c r="N1138" t="s">
        <v>4788</v>
      </c>
      <c r="O1138">
        <v>2370.6999999999998</v>
      </c>
      <c r="Q1138">
        <v>0</v>
      </c>
      <c r="R1138">
        <v>0</v>
      </c>
      <c r="S1138">
        <v>568.97</v>
      </c>
      <c r="T1138" t="s">
        <v>4789</v>
      </c>
      <c r="U1138">
        <v>1</v>
      </c>
      <c r="V1138">
        <v>568.97</v>
      </c>
      <c r="W1138" t="s">
        <v>4343</v>
      </c>
      <c r="Y1138" t="b">
        <v>0</v>
      </c>
      <c r="Z1138" t="b">
        <v>0</v>
      </c>
      <c r="AA1138">
        <v>568.97</v>
      </c>
      <c r="AB1138">
        <v>0</v>
      </c>
      <c r="AD1138" t="b">
        <v>0</v>
      </c>
      <c r="AG1138" s="1" t="s">
        <v>57</v>
      </c>
      <c r="AH1138" s="1" t="s">
        <v>24</v>
      </c>
      <c r="AI1138">
        <v>313</v>
      </c>
      <c r="AJ1138">
        <v>82</v>
      </c>
      <c r="AK1138" s="106">
        <v>45475.635427233799</v>
      </c>
      <c r="AL1138" s="1" t="s">
        <v>4790</v>
      </c>
      <c r="AM1138" s="42">
        <f>IFERROR(INDEX('Public procurment'!A:R,MATCH(ListOfExpenditure[[#This Row],[Content.contractId]],'Public procurment'!E:E,0),14),0)</f>
        <v>0</v>
      </c>
      <c r="AN1138" s="2">
        <f>IF(AND(ListOfExpenditure[[#This Row],[Contract amount]]&gt;10000,ListOfExpenditure[[#This Row],[Content.declaredAmount]]&gt;2000),1,0)</f>
        <v>0</v>
      </c>
      <c r="AO1138">
        <f>IFERROR(INDEX('Public procurment'!A:S,MATCH(ListOfExpenditure[[#This Row],[Content.contractId]],'Public procurment'!E:E,0),19),0)</f>
        <v>0</v>
      </c>
      <c r="AP1138">
        <f>IF(ListOfExpenditure[[#This Row],[Numero di volte controllato il contract ]]&gt;0,0,ListOfExpenditure[[#This Row],[IF public procurment &gt;10000;1;0]])</f>
        <v>0</v>
      </c>
    </row>
    <row r="1139" spans="1:42" x14ac:dyDescent="0.25">
      <c r="A1139">
        <v>334</v>
      </c>
      <c r="B1139">
        <v>58</v>
      </c>
      <c r="E1139" t="s">
        <v>4786</v>
      </c>
      <c r="F1139" t="b">
        <v>0</v>
      </c>
      <c r="I1139" t="s">
        <v>5727</v>
      </c>
      <c r="K1139" t="s">
        <v>5309</v>
      </c>
      <c r="L1139" t="s">
        <v>5309</v>
      </c>
      <c r="M1139" t="s">
        <v>4788</v>
      </c>
      <c r="N1139" t="s">
        <v>4788</v>
      </c>
      <c r="O1139">
        <v>2846.42</v>
      </c>
      <c r="Q1139">
        <v>0</v>
      </c>
      <c r="R1139">
        <v>0</v>
      </c>
      <c r="S1139">
        <v>683.14</v>
      </c>
      <c r="T1139" t="s">
        <v>4789</v>
      </c>
      <c r="U1139">
        <v>1</v>
      </c>
      <c r="V1139">
        <v>683.14</v>
      </c>
      <c r="W1139" t="s">
        <v>4343</v>
      </c>
      <c r="Y1139" t="b">
        <v>0</v>
      </c>
      <c r="Z1139" t="b">
        <v>0</v>
      </c>
      <c r="AA1139">
        <v>683.14</v>
      </c>
      <c r="AB1139">
        <v>0</v>
      </c>
      <c r="AD1139" t="b">
        <v>0</v>
      </c>
      <c r="AG1139" s="1" t="s">
        <v>57</v>
      </c>
      <c r="AH1139" s="1" t="s">
        <v>24</v>
      </c>
      <c r="AI1139">
        <v>313</v>
      </c>
      <c r="AJ1139">
        <v>82</v>
      </c>
      <c r="AK1139" s="106">
        <v>45475.635427233799</v>
      </c>
      <c r="AL1139" s="1" t="s">
        <v>4790</v>
      </c>
      <c r="AM1139" s="42">
        <f>IFERROR(INDEX('Public procurment'!A:R,MATCH(ListOfExpenditure[[#This Row],[Content.contractId]],'Public procurment'!E:E,0),14),0)</f>
        <v>0</v>
      </c>
      <c r="AN1139" s="2">
        <f>IF(AND(ListOfExpenditure[[#This Row],[Contract amount]]&gt;10000,ListOfExpenditure[[#This Row],[Content.declaredAmount]]&gt;2000),1,0)</f>
        <v>0</v>
      </c>
      <c r="AO1139">
        <f>IFERROR(INDEX('Public procurment'!A:S,MATCH(ListOfExpenditure[[#This Row],[Content.contractId]],'Public procurment'!E:E,0),19),0)</f>
        <v>0</v>
      </c>
      <c r="AP1139">
        <f>IF(ListOfExpenditure[[#This Row],[Numero di volte controllato il contract ]]&gt;0,0,ListOfExpenditure[[#This Row],[IF public procurment &gt;10000;1;0]])</f>
        <v>0</v>
      </c>
    </row>
    <row r="1140" spans="1:42" x14ac:dyDescent="0.25">
      <c r="A1140">
        <v>335</v>
      </c>
      <c r="B1140">
        <v>59</v>
      </c>
      <c r="E1140" t="s">
        <v>4786</v>
      </c>
      <c r="F1140" t="b">
        <v>0</v>
      </c>
      <c r="I1140" t="s">
        <v>5727</v>
      </c>
      <c r="K1140" t="s">
        <v>5349</v>
      </c>
      <c r="L1140" t="s">
        <v>5349</v>
      </c>
      <c r="M1140" t="s">
        <v>4788</v>
      </c>
      <c r="N1140" t="s">
        <v>4788</v>
      </c>
      <c r="O1140">
        <v>2672.11</v>
      </c>
      <c r="Q1140">
        <v>0</v>
      </c>
      <c r="R1140">
        <v>0</v>
      </c>
      <c r="S1140">
        <v>641.30999999999995</v>
      </c>
      <c r="T1140" t="s">
        <v>4789</v>
      </c>
      <c r="U1140">
        <v>1</v>
      </c>
      <c r="V1140">
        <v>641.30999999999995</v>
      </c>
      <c r="W1140" t="s">
        <v>4343</v>
      </c>
      <c r="Y1140" t="b">
        <v>0</v>
      </c>
      <c r="Z1140" t="b">
        <v>0</v>
      </c>
      <c r="AA1140">
        <v>641.30999999999995</v>
      </c>
      <c r="AB1140">
        <v>0</v>
      </c>
      <c r="AD1140" t="b">
        <v>0</v>
      </c>
      <c r="AG1140" s="1" t="s">
        <v>57</v>
      </c>
      <c r="AH1140" s="1" t="s">
        <v>24</v>
      </c>
      <c r="AI1140">
        <v>313</v>
      </c>
      <c r="AJ1140">
        <v>82</v>
      </c>
      <c r="AK1140" s="106">
        <v>45475.635427233799</v>
      </c>
      <c r="AL1140" s="1" t="s">
        <v>4790</v>
      </c>
      <c r="AM1140" s="42">
        <f>IFERROR(INDEX('Public procurment'!A:R,MATCH(ListOfExpenditure[[#This Row],[Content.contractId]],'Public procurment'!E:E,0),14),0)</f>
        <v>0</v>
      </c>
      <c r="AN1140" s="2">
        <f>IF(AND(ListOfExpenditure[[#This Row],[Contract amount]]&gt;10000,ListOfExpenditure[[#This Row],[Content.declaredAmount]]&gt;2000),1,0)</f>
        <v>0</v>
      </c>
      <c r="AO1140">
        <f>IFERROR(INDEX('Public procurment'!A:S,MATCH(ListOfExpenditure[[#This Row],[Content.contractId]],'Public procurment'!E:E,0),19),0)</f>
        <v>0</v>
      </c>
      <c r="AP1140">
        <f>IF(ListOfExpenditure[[#This Row],[Numero di volte controllato il contract ]]&gt;0,0,ListOfExpenditure[[#This Row],[IF public procurment &gt;10000;1;0]])</f>
        <v>0</v>
      </c>
    </row>
    <row r="1141" spans="1:42" x14ac:dyDescent="0.25">
      <c r="A1141">
        <v>336</v>
      </c>
      <c r="B1141">
        <v>60</v>
      </c>
      <c r="E1141" t="s">
        <v>4786</v>
      </c>
      <c r="F1141" t="b">
        <v>0</v>
      </c>
      <c r="I1141" t="s">
        <v>5727</v>
      </c>
      <c r="K1141" t="s">
        <v>5384</v>
      </c>
      <c r="L1141" t="s">
        <v>5384</v>
      </c>
      <c r="M1141" t="s">
        <v>4788</v>
      </c>
      <c r="N1141" t="s">
        <v>4788</v>
      </c>
      <c r="O1141">
        <v>2932.02</v>
      </c>
      <c r="Q1141">
        <v>0</v>
      </c>
      <c r="R1141">
        <v>0</v>
      </c>
      <c r="S1141">
        <v>703.69</v>
      </c>
      <c r="T1141" t="s">
        <v>4789</v>
      </c>
      <c r="U1141">
        <v>1</v>
      </c>
      <c r="V1141">
        <v>703.69</v>
      </c>
      <c r="W1141" t="s">
        <v>4343</v>
      </c>
      <c r="Y1141" t="b">
        <v>0</v>
      </c>
      <c r="Z1141" t="b">
        <v>0</v>
      </c>
      <c r="AA1141">
        <v>703.69</v>
      </c>
      <c r="AB1141">
        <v>0</v>
      </c>
      <c r="AD1141" t="b">
        <v>0</v>
      </c>
      <c r="AG1141" s="1" t="s">
        <v>57</v>
      </c>
      <c r="AH1141" s="1" t="s">
        <v>24</v>
      </c>
      <c r="AI1141">
        <v>313</v>
      </c>
      <c r="AJ1141">
        <v>82</v>
      </c>
      <c r="AK1141" s="106">
        <v>45475.635427233799</v>
      </c>
      <c r="AL1141" s="1" t="s">
        <v>4790</v>
      </c>
      <c r="AM1141" s="42">
        <f>IFERROR(INDEX('Public procurment'!A:R,MATCH(ListOfExpenditure[[#This Row],[Content.contractId]],'Public procurment'!E:E,0),14),0)</f>
        <v>0</v>
      </c>
      <c r="AN1141" s="2">
        <f>IF(AND(ListOfExpenditure[[#This Row],[Contract amount]]&gt;10000,ListOfExpenditure[[#This Row],[Content.declaredAmount]]&gt;2000),1,0)</f>
        <v>0</v>
      </c>
      <c r="AO1141">
        <f>IFERROR(INDEX('Public procurment'!A:S,MATCH(ListOfExpenditure[[#This Row],[Content.contractId]],'Public procurment'!E:E,0),19),0)</f>
        <v>0</v>
      </c>
      <c r="AP1141">
        <f>IF(ListOfExpenditure[[#This Row],[Numero di volte controllato il contract ]]&gt;0,0,ListOfExpenditure[[#This Row],[IF public procurment &gt;10000;1;0]])</f>
        <v>0</v>
      </c>
    </row>
    <row r="1142" spans="1:42" x14ac:dyDescent="0.25">
      <c r="A1142">
        <v>337</v>
      </c>
      <c r="B1142">
        <v>61</v>
      </c>
      <c r="E1142" t="s">
        <v>4786</v>
      </c>
      <c r="F1142" t="b">
        <v>0</v>
      </c>
      <c r="I1142" t="s">
        <v>5727</v>
      </c>
      <c r="K1142" t="s">
        <v>4877</v>
      </c>
      <c r="L1142" t="s">
        <v>4877</v>
      </c>
      <c r="M1142" t="s">
        <v>4788</v>
      </c>
      <c r="N1142" t="s">
        <v>4788</v>
      </c>
      <c r="O1142">
        <v>3010.08</v>
      </c>
      <c r="Q1142">
        <v>0</v>
      </c>
      <c r="R1142">
        <v>0</v>
      </c>
      <c r="S1142">
        <v>722.42</v>
      </c>
      <c r="T1142" t="s">
        <v>4789</v>
      </c>
      <c r="U1142">
        <v>1</v>
      </c>
      <c r="V1142">
        <v>722.42</v>
      </c>
      <c r="W1142" t="s">
        <v>4343</v>
      </c>
      <c r="Y1142" t="b">
        <v>0</v>
      </c>
      <c r="Z1142" t="b">
        <v>0</v>
      </c>
      <c r="AA1142">
        <v>722.42</v>
      </c>
      <c r="AB1142">
        <v>0</v>
      </c>
      <c r="AD1142" t="b">
        <v>0</v>
      </c>
      <c r="AG1142" s="1" t="s">
        <v>57</v>
      </c>
      <c r="AH1142" s="1" t="s">
        <v>24</v>
      </c>
      <c r="AI1142">
        <v>313</v>
      </c>
      <c r="AJ1142">
        <v>82</v>
      </c>
      <c r="AK1142" s="106">
        <v>45475.635427233799</v>
      </c>
      <c r="AL1142" s="1" t="s">
        <v>4790</v>
      </c>
      <c r="AM1142" s="42">
        <f>IFERROR(INDEX('Public procurment'!A:R,MATCH(ListOfExpenditure[[#This Row],[Content.contractId]],'Public procurment'!E:E,0),14),0)</f>
        <v>0</v>
      </c>
      <c r="AN1142" s="2">
        <f>IF(AND(ListOfExpenditure[[#This Row],[Contract amount]]&gt;10000,ListOfExpenditure[[#This Row],[Content.declaredAmount]]&gt;2000),1,0)</f>
        <v>0</v>
      </c>
      <c r="AO1142">
        <f>IFERROR(INDEX('Public procurment'!A:S,MATCH(ListOfExpenditure[[#This Row],[Content.contractId]],'Public procurment'!E:E,0),19),0)</f>
        <v>0</v>
      </c>
      <c r="AP1142">
        <f>IF(ListOfExpenditure[[#This Row],[Numero di volte controllato il contract ]]&gt;0,0,ListOfExpenditure[[#This Row],[IF public procurment &gt;10000;1;0]])</f>
        <v>0</v>
      </c>
    </row>
    <row r="1143" spans="1:42" x14ac:dyDescent="0.25">
      <c r="A1143">
        <v>340</v>
      </c>
      <c r="B1143">
        <v>62</v>
      </c>
      <c r="E1143" t="s">
        <v>4786</v>
      </c>
      <c r="F1143" t="b">
        <v>0</v>
      </c>
      <c r="I1143" t="s">
        <v>5727</v>
      </c>
      <c r="K1143" t="s">
        <v>4873</v>
      </c>
      <c r="L1143" t="s">
        <v>4873</v>
      </c>
      <c r="M1143" t="s">
        <v>4788</v>
      </c>
      <c r="N1143" t="s">
        <v>4788</v>
      </c>
      <c r="O1143">
        <v>2877.53</v>
      </c>
      <c r="Q1143">
        <v>0</v>
      </c>
      <c r="R1143">
        <v>0</v>
      </c>
      <c r="S1143">
        <v>690.61</v>
      </c>
      <c r="T1143" t="s">
        <v>4789</v>
      </c>
      <c r="U1143">
        <v>1</v>
      </c>
      <c r="V1143">
        <v>690.61</v>
      </c>
      <c r="W1143" t="s">
        <v>4343</v>
      </c>
      <c r="Y1143" t="b">
        <v>0</v>
      </c>
      <c r="Z1143" t="b">
        <v>0</v>
      </c>
      <c r="AA1143">
        <v>690.61</v>
      </c>
      <c r="AB1143">
        <v>0</v>
      </c>
      <c r="AD1143" t="b">
        <v>0</v>
      </c>
      <c r="AG1143" s="1" t="s">
        <v>57</v>
      </c>
      <c r="AH1143" s="1" t="s">
        <v>24</v>
      </c>
      <c r="AI1143">
        <v>313</v>
      </c>
      <c r="AJ1143">
        <v>82</v>
      </c>
      <c r="AK1143" s="106">
        <v>45475.635427233799</v>
      </c>
      <c r="AL1143" s="1" t="s">
        <v>4790</v>
      </c>
      <c r="AM1143" s="42">
        <f>IFERROR(INDEX('Public procurment'!A:R,MATCH(ListOfExpenditure[[#This Row],[Content.contractId]],'Public procurment'!E:E,0),14),0)</f>
        <v>0</v>
      </c>
      <c r="AN1143" s="2">
        <f>IF(AND(ListOfExpenditure[[#This Row],[Contract amount]]&gt;10000,ListOfExpenditure[[#This Row],[Content.declaredAmount]]&gt;2000),1,0)</f>
        <v>0</v>
      </c>
      <c r="AO1143">
        <f>IFERROR(INDEX('Public procurment'!A:S,MATCH(ListOfExpenditure[[#This Row],[Content.contractId]],'Public procurment'!E:E,0),19),0)</f>
        <v>0</v>
      </c>
      <c r="AP1143">
        <f>IF(ListOfExpenditure[[#This Row],[Numero di volte controllato il contract ]]&gt;0,0,ListOfExpenditure[[#This Row],[IF public procurment &gt;10000;1;0]])</f>
        <v>0</v>
      </c>
    </row>
    <row r="1144" spans="1:42" x14ac:dyDescent="0.25">
      <c r="A1144">
        <v>341</v>
      </c>
      <c r="B1144">
        <v>63</v>
      </c>
      <c r="E1144" t="s">
        <v>4786</v>
      </c>
      <c r="F1144" t="b">
        <v>0</v>
      </c>
      <c r="I1144" t="s">
        <v>5727</v>
      </c>
      <c r="K1144" t="s">
        <v>4831</v>
      </c>
      <c r="L1144" t="s">
        <v>4831</v>
      </c>
      <c r="M1144" t="s">
        <v>4788</v>
      </c>
      <c r="N1144" t="s">
        <v>4788</v>
      </c>
      <c r="O1144">
        <v>2951.75</v>
      </c>
      <c r="Q1144">
        <v>0</v>
      </c>
      <c r="R1144">
        <v>0</v>
      </c>
      <c r="S1144">
        <v>708.42</v>
      </c>
      <c r="T1144" t="s">
        <v>4789</v>
      </c>
      <c r="U1144">
        <v>1</v>
      </c>
      <c r="V1144">
        <v>708.42</v>
      </c>
      <c r="W1144" t="s">
        <v>4343</v>
      </c>
      <c r="Y1144" t="b">
        <v>1</v>
      </c>
      <c r="Z1144" t="b">
        <v>0</v>
      </c>
      <c r="AA1144">
        <v>0</v>
      </c>
      <c r="AB1144">
        <v>0</v>
      </c>
      <c r="AD1144" t="b">
        <v>1</v>
      </c>
      <c r="AF1144" t="s">
        <v>5489</v>
      </c>
      <c r="AG1144" s="1" t="s">
        <v>57</v>
      </c>
      <c r="AH1144" s="1" t="s">
        <v>24</v>
      </c>
      <c r="AI1144">
        <v>313</v>
      </c>
      <c r="AJ1144">
        <v>82</v>
      </c>
      <c r="AK1144" s="106">
        <v>45475.635427233799</v>
      </c>
      <c r="AL1144" s="1" t="s">
        <v>4790</v>
      </c>
      <c r="AM1144" s="42">
        <f>IFERROR(INDEX('Public procurment'!A:R,MATCH(ListOfExpenditure[[#This Row],[Content.contractId]],'Public procurment'!E:E,0),14),0)</f>
        <v>0</v>
      </c>
      <c r="AN1144" s="2">
        <f>IF(AND(ListOfExpenditure[[#This Row],[Contract amount]]&gt;10000,ListOfExpenditure[[#This Row],[Content.declaredAmount]]&gt;2000),1,0)</f>
        <v>0</v>
      </c>
      <c r="AO1144">
        <f>IFERROR(INDEX('Public procurment'!A:S,MATCH(ListOfExpenditure[[#This Row],[Content.contractId]],'Public procurment'!E:E,0),19),0)</f>
        <v>0</v>
      </c>
      <c r="AP1144">
        <f>IF(ListOfExpenditure[[#This Row],[Numero di volte controllato il contract ]]&gt;0,0,ListOfExpenditure[[#This Row],[IF public procurment &gt;10000;1;0]])</f>
        <v>0</v>
      </c>
    </row>
    <row r="1145" spans="1:42" x14ac:dyDescent="0.25">
      <c r="A1145">
        <v>1570</v>
      </c>
      <c r="B1145">
        <v>1</v>
      </c>
      <c r="E1145" t="s">
        <v>4798</v>
      </c>
      <c r="F1145" t="b">
        <v>0</v>
      </c>
      <c r="H1145">
        <v>220</v>
      </c>
      <c r="I1145" t="s">
        <v>4922</v>
      </c>
      <c r="J1145" t="s">
        <v>6359</v>
      </c>
      <c r="K1145" t="s">
        <v>4348</v>
      </c>
      <c r="L1145" t="s">
        <v>4348</v>
      </c>
      <c r="M1145" t="s">
        <v>4788</v>
      </c>
      <c r="N1145" t="s">
        <v>4788</v>
      </c>
      <c r="O1145">
        <v>2440</v>
      </c>
      <c r="P1145">
        <v>440</v>
      </c>
      <c r="Q1145">
        <v>0</v>
      </c>
      <c r="R1145">
        <v>0</v>
      </c>
      <c r="S1145">
        <v>2440</v>
      </c>
      <c r="T1145" t="s">
        <v>4789</v>
      </c>
      <c r="U1145">
        <v>1</v>
      </c>
      <c r="V1145">
        <v>2440</v>
      </c>
      <c r="W1145" t="s">
        <v>4343</v>
      </c>
      <c r="Y1145" t="b">
        <v>0</v>
      </c>
      <c r="Z1145" t="b">
        <v>0</v>
      </c>
      <c r="AA1145">
        <v>2440</v>
      </c>
      <c r="AB1145">
        <v>0</v>
      </c>
      <c r="AD1145" t="b">
        <v>0</v>
      </c>
      <c r="AG1145" s="1" t="s">
        <v>331</v>
      </c>
      <c r="AH1145" s="1" t="s">
        <v>332</v>
      </c>
      <c r="AI1145">
        <v>252</v>
      </c>
      <c r="AJ1145">
        <v>305</v>
      </c>
      <c r="AK1145" s="106">
        <v>45475.635533067129</v>
      </c>
      <c r="AL1145" s="1" t="s">
        <v>4790</v>
      </c>
      <c r="AM1145" s="42">
        <f>IFERROR(INDEX('Public procurment'!A:R,MATCH(ListOfExpenditure[[#This Row],[Content.contractId]],'Public procurment'!E:E,0),14),0)</f>
        <v>10000</v>
      </c>
      <c r="AN1145" s="2">
        <f>IF(AND(ListOfExpenditure[[#This Row],[Contract amount]]&gt;10000,ListOfExpenditure[[#This Row],[Content.declaredAmount]]&gt;2000),1,0)</f>
        <v>0</v>
      </c>
      <c r="AO1145">
        <f>IFERROR(INDEX('Public procurment'!A:S,MATCH(ListOfExpenditure[[#This Row],[Content.contractId]],'Public procurment'!E:E,0),19),0)</f>
        <v>0</v>
      </c>
      <c r="AP1145">
        <f>IF(ListOfExpenditure[[#This Row],[Numero di volte controllato il contract ]]&gt;0,0,ListOfExpenditure[[#This Row],[IF public procurment &gt;10000;1;0]])</f>
        <v>0</v>
      </c>
    </row>
    <row r="1146" spans="1:42" x14ac:dyDescent="0.25">
      <c r="A1146">
        <v>953</v>
      </c>
      <c r="B1146">
        <v>1</v>
      </c>
      <c r="E1146" t="s">
        <v>4786</v>
      </c>
      <c r="F1146" t="b">
        <v>0</v>
      </c>
      <c r="I1146" t="s">
        <v>5728</v>
      </c>
      <c r="K1146" t="s">
        <v>4831</v>
      </c>
      <c r="L1146" t="s">
        <v>4831</v>
      </c>
      <c r="M1146" t="s">
        <v>4788</v>
      </c>
      <c r="N1146" t="s">
        <v>4788</v>
      </c>
      <c r="O1146">
        <v>3795.63</v>
      </c>
      <c r="Q1146">
        <v>0</v>
      </c>
      <c r="R1146">
        <v>0</v>
      </c>
      <c r="S1146">
        <v>1430.85</v>
      </c>
      <c r="T1146" t="s">
        <v>4789</v>
      </c>
      <c r="U1146">
        <v>1</v>
      </c>
      <c r="V1146">
        <v>1430.85</v>
      </c>
      <c r="W1146" t="s">
        <v>4343</v>
      </c>
      <c r="Y1146" t="b">
        <v>1</v>
      </c>
      <c r="Z1146" t="b">
        <v>0</v>
      </c>
      <c r="AA1146">
        <v>1430.85</v>
      </c>
      <c r="AB1146">
        <v>0</v>
      </c>
      <c r="AD1146" t="b">
        <v>0</v>
      </c>
      <c r="AG1146" s="1" t="s">
        <v>331</v>
      </c>
      <c r="AH1146" s="1" t="s">
        <v>333</v>
      </c>
      <c r="AI1146">
        <v>256</v>
      </c>
      <c r="AJ1146">
        <v>247</v>
      </c>
      <c r="AK1146" s="106">
        <v>45475.635478425924</v>
      </c>
      <c r="AL1146" s="1" t="s">
        <v>4790</v>
      </c>
      <c r="AM1146" s="42">
        <f>IFERROR(INDEX('Public procurment'!A:R,MATCH(ListOfExpenditure[[#This Row],[Content.contractId]],'Public procurment'!E:E,0),14),0)</f>
        <v>0</v>
      </c>
      <c r="AN1146" s="2">
        <f>IF(AND(ListOfExpenditure[[#This Row],[Contract amount]]&gt;10000,ListOfExpenditure[[#This Row],[Content.declaredAmount]]&gt;2000),1,0)</f>
        <v>0</v>
      </c>
      <c r="AO1146">
        <f>IFERROR(INDEX('Public procurment'!A:S,MATCH(ListOfExpenditure[[#This Row],[Content.contractId]],'Public procurment'!E:E,0),19),0)</f>
        <v>0</v>
      </c>
      <c r="AP1146">
        <f>IF(ListOfExpenditure[[#This Row],[Numero di volte controllato il contract ]]&gt;0,0,ListOfExpenditure[[#This Row],[IF public procurment &gt;10000;1;0]])</f>
        <v>0</v>
      </c>
    </row>
    <row r="1147" spans="1:42" x14ac:dyDescent="0.25">
      <c r="A1147">
        <v>954</v>
      </c>
      <c r="B1147">
        <v>2</v>
      </c>
      <c r="E1147" t="s">
        <v>4786</v>
      </c>
      <c r="F1147" t="b">
        <v>0</v>
      </c>
      <c r="I1147" t="s">
        <v>5728</v>
      </c>
      <c r="K1147" t="s">
        <v>4831</v>
      </c>
      <c r="L1147" t="s">
        <v>4831</v>
      </c>
      <c r="M1147" t="s">
        <v>4788</v>
      </c>
      <c r="N1147" t="s">
        <v>4788</v>
      </c>
      <c r="O1147">
        <v>3526.55</v>
      </c>
      <c r="Q1147">
        <v>0</v>
      </c>
      <c r="R1147">
        <v>0</v>
      </c>
      <c r="S1147">
        <v>1253.25</v>
      </c>
      <c r="T1147" t="s">
        <v>4789</v>
      </c>
      <c r="U1147">
        <v>1</v>
      </c>
      <c r="V1147">
        <v>1253.25</v>
      </c>
      <c r="W1147" t="s">
        <v>4343</v>
      </c>
      <c r="Y1147" t="b">
        <v>1</v>
      </c>
      <c r="Z1147" t="b">
        <v>0</v>
      </c>
      <c r="AA1147">
        <v>1253.25</v>
      </c>
      <c r="AB1147">
        <v>0</v>
      </c>
      <c r="AD1147" t="b">
        <v>0</v>
      </c>
      <c r="AG1147" s="1" t="s">
        <v>331</v>
      </c>
      <c r="AH1147" s="1" t="s">
        <v>333</v>
      </c>
      <c r="AI1147">
        <v>256</v>
      </c>
      <c r="AJ1147">
        <v>247</v>
      </c>
      <c r="AK1147" s="106">
        <v>45475.635478425924</v>
      </c>
      <c r="AL1147" s="1" t="s">
        <v>4790</v>
      </c>
      <c r="AM1147" s="42">
        <f>IFERROR(INDEX('Public procurment'!A:R,MATCH(ListOfExpenditure[[#This Row],[Content.contractId]],'Public procurment'!E:E,0),14),0)</f>
        <v>0</v>
      </c>
      <c r="AN1147" s="2">
        <f>IF(AND(ListOfExpenditure[[#This Row],[Contract amount]]&gt;10000,ListOfExpenditure[[#This Row],[Content.declaredAmount]]&gt;2000),1,0)</f>
        <v>0</v>
      </c>
      <c r="AO1147">
        <f>IFERROR(INDEX('Public procurment'!A:S,MATCH(ListOfExpenditure[[#This Row],[Content.contractId]],'Public procurment'!E:E,0),19),0)</f>
        <v>0</v>
      </c>
      <c r="AP1147">
        <f>IF(ListOfExpenditure[[#This Row],[Numero di volte controllato il contract ]]&gt;0,0,ListOfExpenditure[[#This Row],[IF public procurment &gt;10000;1;0]])</f>
        <v>0</v>
      </c>
    </row>
    <row r="1148" spans="1:42" x14ac:dyDescent="0.25">
      <c r="A1148">
        <v>955</v>
      </c>
      <c r="B1148">
        <v>3</v>
      </c>
      <c r="E1148" t="s">
        <v>4786</v>
      </c>
      <c r="F1148" t="b">
        <v>0</v>
      </c>
      <c r="I1148" t="s">
        <v>5729</v>
      </c>
      <c r="K1148" t="s">
        <v>4957</v>
      </c>
      <c r="L1148" t="s">
        <v>4957</v>
      </c>
      <c r="M1148" t="s">
        <v>4788</v>
      </c>
      <c r="N1148" t="s">
        <v>4788</v>
      </c>
      <c r="O1148">
        <v>3731.46</v>
      </c>
      <c r="Q1148">
        <v>0</v>
      </c>
      <c r="R1148">
        <v>0</v>
      </c>
      <c r="S1148">
        <v>1484.34</v>
      </c>
      <c r="T1148" t="s">
        <v>4789</v>
      </c>
      <c r="U1148">
        <v>1</v>
      </c>
      <c r="V1148">
        <v>1484.34</v>
      </c>
      <c r="W1148" t="s">
        <v>4343</v>
      </c>
      <c r="Y1148" t="b">
        <v>1</v>
      </c>
      <c r="Z1148" t="b">
        <v>0</v>
      </c>
      <c r="AA1148">
        <v>1484.34</v>
      </c>
      <c r="AB1148">
        <v>0</v>
      </c>
      <c r="AD1148" t="b">
        <v>0</v>
      </c>
      <c r="AG1148" s="1" t="s">
        <v>331</v>
      </c>
      <c r="AH1148" s="1" t="s">
        <v>333</v>
      </c>
      <c r="AI1148">
        <v>256</v>
      </c>
      <c r="AJ1148">
        <v>247</v>
      </c>
      <c r="AK1148" s="106">
        <v>45475.635478425924</v>
      </c>
      <c r="AL1148" s="1" t="s">
        <v>4790</v>
      </c>
      <c r="AM1148" s="42">
        <f>IFERROR(INDEX('Public procurment'!A:R,MATCH(ListOfExpenditure[[#This Row],[Content.contractId]],'Public procurment'!E:E,0),14),0)</f>
        <v>0</v>
      </c>
      <c r="AN1148" s="2">
        <f>IF(AND(ListOfExpenditure[[#This Row],[Contract amount]]&gt;10000,ListOfExpenditure[[#This Row],[Content.declaredAmount]]&gt;2000),1,0)</f>
        <v>0</v>
      </c>
      <c r="AO1148">
        <f>IFERROR(INDEX('Public procurment'!A:S,MATCH(ListOfExpenditure[[#This Row],[Content.contractId]],'Public procurment'!E:E,0),19),0)</f>
        <v>0</v>
      </c>
      <c r="AP1148">
        <f>IF(ListOfExpenditure[[#This Row],[Numero di volte controllato il contract ]]&gt;0,0,ListOfExpenditure[[#This Row],[IF public procurment &gt;10000;1;0]])</f>
        <v>0</v>
      </c>
    </row>
    <row r="1149" spans="1:42" x14ac:dyDescent="0.25">
      <c r="A1149">
        <v>956</v>
      </c>
      <c r="B1149">
        <v>4</v>
      </c>
      <c r="E1149" t="s">
        <v>4786</v>
      </c>
      <c r="F1149" t="b">
        <v>0</v>
      </c>
      <c r="I1149" t="s">
        <v>5729</v>
      </c>
      <c r="K1149" t="s">
        <v>4957</v>
      </c>
      <c r="L1149" t="s">
        <v>4957</v>
      </c>
      <c r="M1149" t="s">
        <v>4788</v>
      </c>
      <c r="N1149" t="s">
        <v>4788</v>
      </c>
      <c r="O1149">
        <v>3200.61</v>
      </c>
      <c r="Q1149">
        <v>0</v>
      </c>
      <c r="R1149">
        <v>0</v>
      </c>
      <c r="S1149">
        <v>1271.99</v>
      </c>
      <c r="T1149" t="s">
        <v>4789</v>
      </c>
      <c r="U1149">
        <v>1</v>
      </c>
      <c r="V1149">
        <v>1271.99</v>
      </c>
      <c r="W1149" t="s">
        <v>4343</v>
      </c>
      <c r="Y1149" t="b">
        <v>1</v>
      </c>
      <c r="Z1149" t="b">
        <v>0</v>
      </c>
      <c r="AA1149">
        <v>1271.99</v>
      </c>
      <c r="AB1149">
        <v>0</v>
      </c>
      <c r="AD1149" t="b">
        <v>0</v>
      </c>
      <c r="AG1149" s="1" t="s">
        <v>331</v>
      </c>
      <c r="AH1149" s="1" t="s">
        <v>333</v>
      </c>
      <c r="AI1149">
        <v>256</v>
      </c>
      <c r="AJ1149">
        <v>247</v>
      </c>
      <c r="AK1149" s="106">
        <v>45475.635478425924</v>
      </c>
      <c r="AL1149" s="1" t="s">
        <v>4790</v>
      </c>
      <c r="AM1149" s="42">
        <f>IFERROR(INDEX('Public procurment'!A:R,MATCH(ListOfExpenditure[[#This Row],[Content.contractId]],'Public procurment'!E:E,0),14),0)</f>
        <v>0</v>
      </c>
      <c r="AN1149" s="2">
        <f>IF(AND(ListOfExpenditure[[#This Row],[Contract amount]]&gt;10000,ListOfExpenditure[[#This Row],[Content.declaredAmount]]&gt;2000),1,0)</f>
        <v>0</v>
      </c>
      <c r="AO1149">
        <f>IFERROR(INDEX('Public procurment'!A:S,MATCH(ListOfExpenditure[[#This Row],[Content.contractId]],'Public procurment'!E:E,0),19),0)</f>
        <v>0</v>
      </c>
      <c r="AP1149">
        <f>IF(ListOfExpenditure[[#This Row],[Numero di volte controllato il contract ]]&gt;0,0,ListOfExpenditure[[#This Row],[IF public procurment &gt;10000;1;0]])</f>
        <v>0</v>
      </c>
    </row>
    <row r="1150" spans="1:42" x14ac:dyDescent="0.25">
      <c r="A1150">
        <v>957</v>
      </c>
      <c r="B1150">
        <v>5</v>
      </c>
      <c r="E1150" t="s">
        <v>4786</v>
      </c>
      <c r="F1150" t="b">
        <v>0</v>
      </c>
      <c r="I1150" t="s">
        <v>5730</v>
      </c>
      <c r="K1150" t="s">
        <v>4914</v>
      </c>
      <c r="L1150" t="s">
        <v>4914</v>
      </c>
      <c r="M1150" t="s">
        <v>4788</v>
      </c>
      <c r="N1150" t="s">
        <v>4788</v>
      </c>
      <c r="O1150">
        <v>3688.77</v>
      </c>
      <c r="Q1150">
        <v>0</v>
      </c>
      <c r="R1150">
        <v>0</v>
      </c>
      <c r="S1150">
        <v>1467.26</v>
      </c>
      <c r="T1150" t="s">
        <v>4789</v>
      </c>
      <c r="U1150">
        <v>1</v>
      </c>
      <c r="V1150">
        <v>1467.26</v>
      </c>
      <c r="W1150" t="s">
        <v>4343</v>
      </c>
      <c r="Y1150" t="b">
        <v>1</v>
      </c>
      <c r="Z1150" t="b">
        <v>0</v>
      </c>
      <c r="AA1150">
        <v>1467.26</v>
      </c>
      <c r="AB1150">
        <v>0</v>
      </c>
      <c r="AD1150" t="b">
        <v>0</v>
      </c>
      <c r="AG1150" s="1" t="s">
        <v>331</v>
      </c>
      <c r="AH1150" s="1" t="s">
        <v>333</v>
      </c>
      <c r="AI1150">
        <v>256</v>
      </c>
      <c r="AJ1150">
        <v>247</v>
      </c>
      <c r="AK1150" s="106">
        <v>45475.635478425924</v>
      </c>
      <c r="AL1150" s="1" t="s">
        <v>4790</v>
      </c>
      <c r="AM1150" s="42">
        <f>IFERROR(INDEX('Public procurment'!A:R,MATCH(ListOfExpenditure[[#This Row],[Content.contractId]],'Public procurment'!E:E,0),14),0)</f>
        <v>0</v>
      </c>
      <c r="AN1150" s="2">
        <f>IF(AND(ListOfExpenditure[[#This Row],[Contract amount]]&gt;10000,ListOfExpenditure[[#This Row],[Content.declaredAmount]]&gt;2000),1,0)</f>
        <v>0</v>
      </c>
      <c r="AO1150">
        <f>IFERROR(INDEX('Public procurment'!A:S,MATCH(ListOfExpenditure[[#This Row],[Content.contractId]],'Public procurment'!E:E,0),19),0)</f>
        <v>0</v>
      </c>
      <c r="AP1150">
        <f>IF(ListOfExpenditure[[#This Row],[Numero di volte controllato il contract ]]&gt;0,0,ListOfExpenditure[[#This Row],[IF public procurment &gt;10000;1;0]])</f>
        <v>0</v>
      </c>
    </row>
    <row r="1151" spans="1:42" x14ac:dyDescent="0.25">
      <c r="A1151">
        <v>958</v>
      </c>
      <c r="B1151">
        <v>6</v>
      </c>
      <c r="E1151" t="s">
        <v>4786</v>
      </c>
      <c r="F1151" t="b">
        <v>0</v>
      </c>
      <c r="I1151" t="s">
        <v>5730</v>
      </c>
      <c r="K1151" t="s">
        <v>4914</v>
      </c>
      <c r="L1151" t="s">
        <v>4914</v>
      </c>
      <c r="M1151" t="s">
        <v>4788</v>
      </c>
      <c r="N1151" t="s">
        <v>4788</v>
      </c>
      <c r="O1151">
        <v>3200.61</v>
      </c>
      <c r="Q1151">
        <v>0</v>
      </c>
      <c r="R1151">
        <v>0</v>
      </c>
      <c r="S1151">
        <v>1271.99</v>
      </c>
      <c r="T1151" t="s">
        <v>4789</v>
      </c>
      <c r="U1151">
        <v>1</v>
      </c>
      <c r="V1151">
        <v>1271.99</v>
      </c>
      <c r="W1151" t="s">
        <v>4343</v>
      </c>
      <c r="Y1151" t="b">
        <v>1</v>
      </c>
      <c r="Z1151" t="b">
        <v>0</v>
      </c>
      <c r="AA1151">
        <v>1271.99</v>
      </c>
      <c r="AB1151">
        <v>0</v>
      </c>
      <c r="AD1151" t="b">
        <v>0</v>
      </c>
      <c r="AG1151" s="1" t="s">
        <v>331</v>
      </c>
      <c r="AH1151" s="1" t="s">
        <v>333</v>
      </c>
      <c r="AI1151">
        <v>256</v>
      </c>
      <c r="AJ1151">
        <v>247</v>
      </c>
      <c r="AK1151" s="106">
        <v>45475.635478425924</v>
      </c>
      <c r="AL1151" s="1" t="s">
        <v>4790</v>
      </c>
      <c r="AM1151" s="42">
        <f>IFERROR(INDEX('Public procurment'!A:R,MATCH(ListOfExpenditure[[#This Row],[Content.contractId]],'Public procurment'!E:E,0),14),0)</f>
        <v>0</v>
      </c>
      <c r="AN1151" s="2">
        <f>IF(AND(ListOfExpenditure[[#This Row],[Contract amount]]&gt;10000,ListOfExpenditure[[#This Row],[Content.declaredAmount]]&gt;2000),1,0)</f>
        <v>0</v>
      </c>
      <c r="AO1151">
        <f>IFERROR(INDEX('Public procurment'!A:S,MATCH(ListOfExpenditure[[#This Row],[Content.contractId]],'Public procurment'!E:E,0),19),0)</f>
        <v>0</v>
      </c>
      <c r="AP1151">
        <f>IF(ListOfExpenditure[[#This Row],[Numero di volte controllato il contract ]]&gt;0,0,ListOfExpenditure[[#This Row],[IF public procurment &gt;10000;1;0]])</f>
        <v>0</v>
      </c>
    </row>
    <row r="1152" spans="1:42" x14ac:dyDescent="0.25">
      <c r="A1152">
        <v>959</v>
      </c>
      <c r="B1152">
        <v>7</v>
      </c>
      <c r="E1152" t="s">
        <v>4786</v>
      </c>
      <c r="F1152" t="b">
        <v>0</v>
      </c>
      <c r="I1152" t="s">
        <v>5731</v>
      </c>
      <c r="K1152" t="s">
        <v>4959</v>
      </c>
      <c r="L1152" t="s">
        <v>4959</v>
      </c>
      <c r="M1152" t="s">
        <v>4788</v>
      </c>
      <c r="N1152" t="s">
        <v>4788</v>
      </c>
      <c r="O1152">
        <v>3813.94</v>
      </c>
      <c r="Q1152">
        <v>0</v>
      </c>
      <c r="R1152">
        <v>0</v>
      </c>
      <c r="S1152">
        <v>1517.33</v>
      </c>
      <c r="T1152" t="s">
        <v>4789</v>
      </c>
      <c r="U1152">
        <v>1</v>
      </c>
      <c r="V1152">
        <v>1517.33</v>
      </c>
      <c r="W1152" t="s">
        <v>4343</v>
      </c>
      <c r="Y1152" t="b">
        <v>1</v>
      </c>
      <c r="Z1152" t="b">
        <v>0</v>
      </c>
      <c r="AA1152">
        <v>1517.33</v>
      </c>
      <c r="AB1152">
        <v>0</v>
      </c>
      <c r="AD1152" t="b">
        <v>0</v>
      </c>
      <c r="AG1152" s="1" t="s">
        <v>331</v>
      </c>
      <c r="AH1152" s="1" t="s">
        <v>333</v>
      </c>
      <c r="AI1152">
        <v>256</v>
      </c>
      <c r="AJ1152">
        <v>247</v>
      </c>
      <c r="AK1152" s="106">
        <v>45475.635478425924</v>
      </c>
      <c r="AL1152" s="1" t="s">
        <v>4790</v>
      </c>
      <c r="AM1152" s="42">
        <f>IFERROR(INDEX('Public procurment'!A:R,MATCH(ListOfExpenditure[[#This Row],[Content.contractId]],'Public procurment'!E:E,0),14),0)</f>
        <v>0</v>
      </c>
      <c r="AN1152" s="2">
        <f>IF(AND(ListOfExpenditure[[#This Row],[Contract amount]]&gt;10000,ListOfExpenditure[[#This Row],[Content.declaredAmount]]&gt;2000),1,0)</f>
        <v>0</v>
      </c>
      <c r="AO1152">
        <f>IFERROR(INDEX('Public procurment'!A:S,MATCH(ListOfExpenditure[[#This Row],[Content.contractId]],'Public procurment'!E:E,0),19),0)</f>
        <v>0</v>
      </c>
      <c r="AP1152">
        <f>IF(ListOfExpenditure[[#This Row],[Numero di volte controllato il contract ]]&gt;0,0,ListOfExpenditure[[#This Row],[IF public procurment &gt;10000;1;0]])</f>
        <v>0</v>
      </c>
    </row>
    <row r="1153" spans="1:42" x14ac:dyDescent="0.25">
      <c r="A1153">
        <v>960</v>
      </c>
      <c r="B1153">
        <v>8</v>
      </c>
      <c r="E1153" t="s">
        <v>4786</v>
      </c>
      <c r="F1153" t="b">
        <v>0</v>
      </c>
      <c r="I1153" t="s">
        <v>5731</v>
      </c>
      <c r="K1153" t="s">
        <v>4959</v>
      </c>
      <c r="L1153" t="s">
        <v>4959</v>
      </c>
      <c r="M1153" t="s">
        <v>4788</v>
      </c>
      <c r="N1153" t="s">
        <v>4788</v>
      </c>
      <c r="O1153">
        <v>3058.56</v>
      </c>
      <c r="Q1153">
        <v>0</v>
      </c>
      <c r="R1153">
        <v>0</v>
      </c>
      <c r="S1153">
        <v>1215.18</v>
      </c>
      <c r="T1153" t="s">
        <v>4789</v>
      </c>
      <c r="U1153">
        <v>1</v>
      </c>
      <c r="V1153">
        <v>1215.18</v>
      </c>
      <c r="W1153" t="s">
        <v>4343</v>
      </c>
      <c r="Y1153" t="b">
        <v>1</v>
      </c>
      <c r="Z1153" t="b">
        <v>0</v>
      </c>
      <c r="AA1153">
        <v>1215.18</v>
      </c>
      <c r="AB1153">
        <v>0</v>
      </c>
      <c r="AD1153" t="b">
        <v>0</v>
      </c>
      <c r="AG1153" s="1" t="s">
        <v>331</v>
      </c>
      <c r="AH1153" s="1" t="s">
        <v>333</v>
      </c>
      <c r="AI1153">
        <v>256</v>
      </c>
      <c r="AJ1153">
        <v>247</v>
      </c>
      <c r="AK1153" s="106">
        <v>45475.635478425924</v>
      </c>
      <c r="AL1153" s="1" t="s">
        <v>4790</v>
      </c>
      <c r="AM1153" s="42">
        <f>IFERROR(INDEX('Public procurment'!A:R,MATCH(ListOfExpenditure[[#This Row],[Content.contractId]],'Public procurment'!E:E,0),14),0)</f>
        <v>0</v>
      </c>
      <c r="AN1153" s="2">
        <f>IF(AND(ListOfExpenditure[[#This Row],[Contract amount]]&gt;10000,ListOfExpenditure[[#This Row],[Content.declaredAmount]]&gt;2000),1,0)</f>
        <v>0</v>
      </c>
      <c r="AO1153">
        <f>IFERROR(INDEX('Public procurment'!A:S,MATCH(ListOfExpenditure[[#This Row],[Content.contractId]],'Public procurment'!E:E,0),19),0)</f>
        <v>0</v>
      </c>
      <c r="AP1153">
        <f>IF(ListOfExpenditure[[#This Row],[Numero di volte controllato il contract ]]&gt;0,0,ListOfExpenditure[[#This Row],[IF public procurment &gt;10000;1;0]])</f>
        <v>0</v>
      </c>
    </row>
    <row r="1154" spans="1:42" x14ac:dyDescent="0.25">
      <c r="A1154">
        <v>993</v>
      </c>
      <c r="B1154">
        <v>9</v>
      </c>
      <c r="E1154" t="s">
        <v>4786</v>
      </c>
      <c r="F1154" t="b">
        <v>0</v>
      </c>
      <c r="I1154" t="s">
        <v>5732</v>
      </c>
      <c r="K1154" t="s">
        <v>4835</v>
      </c>
      <c r="L1154" t="s">
        <v>4835</v>
      </c>
      <c r="M1154" t="s">
        <v>4788</v>
      </c>
      <c r="N1154" t="s">
        <v>4788</v>
      </c>
      <c r="O1154">
        <v>5470.53</v>
      </c>
      <c r="Q1154">
        <v>0</v>
      </c>
      <c r="R1154">
        <v>0</v>
      </c>
      <c r="S1154">
        <v>381.03</v>
      </c>
      <c r="T1154" t="s">
        <v>4789</v>
      </c>
      <c r="U1154">
        <v>1</v>
      </c>
      <c r="V1154">
        <v>381.03</v>
      </c>
      <c r="W1154" t="s">
        <v>4343</v>
      </c>
      <c r="Y1154" t="b">
        <v>1</v>
      </c>
      <c r="Z1154" t="b">
        <v>0</v>
      </c>
      <c r="AA1154">
        <v>381.03</v>
      </c>
      <c r="AB1154">
        <v>0</v>
      </c>
      <c r="AD1154" t="b">
        <v>0</v>
      </c>
      <c r="AG1154" s="1" t="s">
        <v>331</v>
      </c>
      <c r="AH1154" s="1" t="s">
        <v>333</v>
      </c>
      <c r="AI1154">
        <v>256</v>
      </c>
      <c r="AJ1154">
        <v>247</v>
      </c>
      <c r="AK1154" s="106">
        <v>45475.635478425924</v>
      </c>
      <c r="AL1154" s="1" t="s">
        <v>4790</v>
      </c>
      <c r="AM1154" s="42">
        <f>IFERROR(INDEX('Public procurment'!A:R,MATCH(ListOfExpenditure[[#This Row],[Content.contractId]],'Public procurment'!E:E,0),14),0)</f>
        <v>0</v>
      </c>
      <c r="AN1154" s="2">
        <f>IF(AND(ListOfExpenditure[[#This Row],[Contract amount]]&gt;10000,ListOfExpenditure[[#This Row],[Content.declaredAmount]]&gt;2000),1,0)</f>
        <v>0</v>
      </c>
      <c r="AO1154">
        <f>IFERROR(INDEX('Public procurment'!A:S,MATCH(ListOfExpenditure[[#This Row],[Content.contractId]],'Public procurment'!E:E,0),19),0)</f>
        <v>0</v>
      </c>
      <c r="AP1154">
        <f>IF(ListOfExpenditure[[#This Row],[Numero di volte controllato il contract ]]&gt;0,0,ListOfExpenditure[[#This Row],[IF public procurment &gt;10000;1;0]])</f>
        <v>0</v>
      </c>
    </row>
    <row r="1155" spans="1:42" x14ac:dyDescent="0.25">
      <c r="A1155">
        <v>994</v>
      </c>
      <c r="B1155">
        <v>10</v>
      </c>
      <c r="E1155" t="s">
        <v>4786</v>
      </c>
      <c r="F1155" t="b">
        <v>0</v>
      </c>
      <c r="I1155" t="s">
        <v>5732</v>
      </c>
      <c r="K1155" t="s">
        <v>4835</v>
      </c>
      <c r="L1155" t="s">
        <v>4835</v>
      </c>
      <c r="M1155" t="s">
        <v>4788</v>
      </c>
      <c r="N1155" t="s">
        <v>4788</v>
      </c>
      <c r="O1155">
        <v>5443.05</v>
      </c>
      <c r="Q1155">
        <v>0</v>
      </c>
      <c r="R1155">
        <v>0</v>
      </c>
      <c r="S1155">
        <v>345.12</v>
      </c>
      <c r="T1155" t="s">
        <v>4789</v>
      </c>
      <c r="U1155">
        <v>1</v>
      </c>
      <c r="V1155">
        <v>345.12</v>
      </c>
      <c r="W1155" t="s">
        <v>4343</v>
      </c>
      <c r="Y1155" t="b">
        <v>1</v>
      </c>
      <c r="Z1155" t="b">
        <v>0</v>
      </c>
      <c r="AA1155">
        <v>345.12</v>
      </c>
      <c r="AB1155">
        <v>0</v>
      </c>
      <c r="AD1155" t="b">
        <v>0</v>
      </c>
      <c r="AG1155" s="1" t="s">
        <v>331</v>
      </c>
      <c r="AH1155" s="1" t="s">
        <v>333</v>
      </c>
      <c r="AI1155">
        <v>256</v>
      </c>
      <c r="AJ1155">
        <v>247</v>
      </c>
      <c r="AK1155" s="106">
        <v>45475.635478425924</v>
      </c>
      <c r="AL1155" s="1" t="s">
        <v>4790</v>
      </c>
      <c r="AM1155" s="42">
        <f>IFERROR(INDEX('Public procurment'!A:R,MATCH(ListOfExpenditure[[#This Row],[Content.contractId]],'Public procurment'!E:E,0),14),0)</f>
        <v>0</v>
      </c>
      <c r="AN1155" s="2">
        <f>IF(AND(ListOfExpenditure[[#This Row],[Contract amount]]&gt;10000,ListOfExpenditure[[#This Row],[Content.declaredAmount]]&gt;2000),1,0)</f>
        <v>0</v>
      </c>
      <c r="AO1155">
        <f>IFERROR(INDEX('Public procurment'!A:S,MATCH(ListOfExpenditure[[#This Row],[Content.contractId]],'Public procurment'!E:E,0),19),0)</f>
        <v>0</v>
      </c>
      <c r="AP1155">
        <f>IF(ListOfExpenditure[[#This Row],[Numero di volte controllato il contract ]]&gt;0,0,ListOfExpenditure[[#This Row],[IF public procurment &gt;10000;1;0]])</f>
        <v>0</v>
      </c>
    </row>
    <row r="1156" spans="1:42" x14ac:dyDescent="0.25">
      <c r="A1156">
        <v>995</v>
      </c>
      <c r="B1156">
        <v>11</v>
      </c>
      <c r="E1156" t="s">
        <v>4786</v>
      </c>
      <c r="F1156" t="b">
        <v>0</v>
      </c>
      <c r="I1156" t="s">
        <v>5732</v>
      </c>
      <c r="K1156" t="s">
        <v>4835</v>
      </c>
      <c r="L1156" t="s">
        <v>4835</v>
      </c>
      <c r="M1156" t="s">
        <v>4788</v>
      </c>
      <c r="N1156" t="s">
        <v>4788</v>
      </c>
      <c r="O1156">
        <v>5594.96</v>
      </c>
      <c r="Q1156">
        <v>0</v>
      </c>
      <c r="R1156">
        <v>0</v>
      </c>
      <c r="S1156">
        <v>389.96</v>
      </c>
      <c r="T1156" t="s">
        <v>4789</v>
      </c>
      <c r="U1156">
        <v>1</v>
      </c>
      <c r="V1156">
        <v>389.96</v>
      </c>
      <c r="W1156" t="s">
        <v>4343</v>
      </c>
      <c r="Y1156" t="b">
        <v>1</v>
      </c>
      <c r="Z1156" t="b">
        <v>0</v>
      </c>
      <c r="AA1156">
        <v>389.96</v>
      </c>
      <c r="AB1156">
        <v>0</v>
      </c>
      <c r="AD1156" t="b">
        <v>0</v>
      </c>
      <c r="AG1156" s="1" t="s">
        <v>331</v>
      </c>
      <c r="AH1156" s="1" t="s">
        <v>333</v>
      </c>
      <c r="AI1156">
        <v>256</v>
      </c>
      <c r="AJ1156">
        <v>247</v>
      </c>
      <c r="AK1156" s="106">
        <v>45475.635478425924</v>
      </c>
      <c r="AL1156" s="1" t="s">
        <v>4790</v>
      </c>
      <c r="AM1156" s="42">
        <f>IFERROR(INDEX('Public procurment'!A:R,MATCH(ListOfExpenditure[[#This Row],[Content.contractId]],'Public procurment'!E:E,0),14),0)</f>
        <v>0</v>
      </c>
      <c r="AN1156" s="2">
        <f>IF(AND(ListOfExpenditure[[#This Row],[Contract amount]]&gt;10000,ListOfExpenditure[[#This Row],[Content.declaredAmount]]&gt;2000),1,0)</f>
        <v>0</v>
      </c>
      <c r="AO1156">
        <f>IFERROR(INDEX('Public procurment'!A:S,MATCH(ListOfExpenditure[[#This Row],[Content.contractId]],'Public procurment'!E:E,0),19),0)</f>
        <v>0</v>
      </c>
      <c r="AP1156">
        <f>IF(ListOfExpenditure[[#This Row],[Numero di volte controllato il contract ]]&gt;0,0,ListOfExpenditure[[#This Row],[IF public procurment &gt;10000;1;0]])</f>
        <v>0</v>
      </c>
    </row>
    <row r="1157" spans="1:42" x14ac:dyDescent="0.25">
      <c r="A1157">
        <v>996</v>
      </c>
      <c r="B1157">
        <v>12</v>
      </c>
      <c r="E1157" t="s">
        <v>4786</v>
      </c>
      <c r="F1157" t="b">
        <v>0</v>
      </c>
      <c r="I1157" t="s">
        <v>5732</v>
      </c>
      <c r="K1157" t="s">
        <v>4835</v>
      </c>
      <c r="L1157" t="s">
        <v>4835</v>
      </c>
      <c r="M1157" t="s">
        <v>4788</v>
      </c>
      <c r="N1157" t="s">
        <v>4788</v>
      </c>
      <c r="O1157">
        <v>5517.84</v>
      </c>
      <c r="Q1157">
        <v>0</v>
      </c>
      <c r="R1157">
        <v>0</v>
      </c>
      <c r="S1157">
        <v>377.44</v>
      </c>
      <c r="T1157" t="s">
        <v>4789</v>
      </c>
      <c r="U1157">
        <v>1</v>
      </c>
      <c r="V1157">
        <v>377.44</v>
      </c>
      <c r="W1157" t="s">
        <v>4343</v>
      </c>
      <c r="Y1157" t="b">
        <v>1</v>
      </c>
      <c r="Z1157" t="b">
        <v>0</v>
      </c>
      <c r="AA1157">
        <v>377.44</v>
      </c>
      <c r="AB1157">
        <v>0</v>
      </c>
      <c r="AD1157" t="b">
        <v>0</v>
      </c>
      <c r="AG1157" s="1" t="s">
        <v>331</v>
      </c>
      <c r="AH1157" s="1" t="s">
        <v>333</v>
      </c>
      <c r="AI1157">
        <v>256</v>
      </c>
      <c r="AJ1157">
        <v>247</v>
      </c>
      <c r="AK1157" s="106">
        <v>45475.635478425924</v>
      </c>
      <c r="AL1157" s="1" t="s">
        <v>4790</v>
      </c>
      <c r="AM1157" s="42">
        <f>IFERROR(INDEX('Public procurment'!A:R,MATCH(ListOfExpenditure[[#This Row],[Content.contractId]],'Public procurment'!E:E,0),14),0)</f>
        <v>0</v>
      </c>
      <c r="AN1157" s="2">
        <f>IF(AND(ListOfExpenditure[[#This Row],[Contract amount]]&gt;10000,ListOfExpenditure[[#This Row],[Content.declaredAmount]]&gt;2000),1,0)</f>
        <v>0</v>
      </c>
      <c r="AO1157">
        <f>IFERROR(INDEX('Public procurment'!A:S,MATCH(ListOfExpenditure[[#This Row],[Content.contractId]],'Public procurment'!E:E,0),19),0)</f>
        <v>0</v>
      </c>
      <c r="AP1157">
        <f>IF(ListOfExpenditure[[#This Row],[Numero di volte controllato il contract ]]&gt;0,0,ListOfExpenditure[[#This Row],[IF public procurment &gt;10000;1;0]])</f>
        <v>0</v>
      </c>
    </row>
    <row r="1158" spans="1:42" x14ac:dyDescent="0.25">
      <c r="A1158">
        <v>997</v>
      </c>
      <c r="B1158">
        <v>13</v>
      </c>
      <c r="E1158" t="s">
        <v>4786</v>
      </c>
      <c r="F1158" t="b">
        <v>0</v>
      </c>
      <c r="I1158" t="s">
        <v>5732</v>
      </c>
      <c r="K1158" t="s">
        <v>4835</v>
      </c>
      <c r="L1158" t="s">
        <v>4835</v>
      </c>
      <c r="M1158" t="s">
        <v>4788</v>
      </c>
      <c r="N1158" t="s">
        <v>4788</v>
      </c>
      <c r="O1158">
        <v>4557.2</v>
      </c>
      <c r="Q1158">
        <v>0</v>
      </c>
      <c r="R1158">
        <v>0</v>
      </c>
      <c r="S1158">
        <v>317.32</v>
      </c>
      <c r="T1158" t="s">
        <v>4789</v>
      </c>
      <c r="U1158">
        <v>1</v>
      </c>
      <c r="V1158">
        <v>317.32</v>
      </c>
      <c r="W1158" t="s">
        <v>4343</v>
      </c>
      <c r="Y1158" t="b">
        <v>1</v>
      </c>
      <c r="Z1158" t="b">
        <v>0</v>
      </c>
      <c r="AA1158">
        <v>317.32</v>
      </c>
      <c r="AB1158">
        <v>0</v>
      </c>
      <c r="AD1158" t="b">
        <v>0</v>
      </c>
      <c r="AG1158" s="1" t="s">
        <v>331</v>
      </c>
      <c r="AH1158" s="1" t="s">
        <v>333</v>
      </c>
      <c r="AI1158">
        <v>256</v>
      </c>
      <c r="AJ1158">
        <v>247</v>
      </c>
      <c r="AK1158" s="106">
        <v>45475.635478425924</v>
      </c>
      <c r="AL1158" s="1" t="s">
        <v>4790</v>
      </c>
      <c r="AM1158" s="42">
        <f>IFERROR(INDEX('Public procurment'!A:R,MATCH(ListOfExpenditure[[#This Row],[Content.contractId]],'Public procurment'!E:E,0),14),0)</f>
        <v>0</v>
      </c>
      <c r="AN1158" s="2">
        <f>IF(AND(ListOfExpenditure[[#This Row],[Contract amount]]&gt;10000,ListOfExpenditure[[#This Row],[Content.declaredAmount]]&gt;2000),1,0)</f>
        <v>0</v>
      </c>
      <c r="AO1158">
        <f>IFERROR(INDEX('Public procurment'!A:S,MATCH(ListOfExpenditure[[#This Row],[Content.contractId]],'Public procurment'!E:E,0),19),0)</f>
        <v>0</v>
      </c>
      <c r="AP1158">
        <f>IF(ListOfExpenditure[[#This Row],[Numero di volte controllato il contract ]]&gt;0,0,ListOfExpenditure[[#This Row],[IF public procurment &gt;10000;1;0]])</f>
        <v>0</v>
      </c>
    </row>
    <row r="1159" spans="1:42" x14ac:dyDescent="0.25">
      <c r="A1159">
        <v>998</v>
      </c>
      <c r="B1159">
        <v>14</v>
      </c>
      <c r="E1159" t="s">
        <v>4786</v>
      </c>
      <c r="F1159" t="b">
        <v>0</v>
      </c>
      <c r="I1159" t="s">
        <v>5732</v>
      </c>
      <c r="K1159" t="s">
        <v>4835</v>
      </c>
      <c r="L1159" t="s">
        <v>4835</v>
      </c>
      <c r="M1159" t="s">
        <v>4788</v>
      </c>
      <c r="N1159" t="s">
        <v>4788</v>
      </c>
      <c r="O1159">
        <v>3489.83</v>
      </c>
      <c r="Q1159">
        <v>0</v>
      </c>
      <c r="R1159">
        <v>0</v>
      </c>
      <c r="S1159">
        <v>1386.28</v>
      </c>
      <c r="T1159" t="s">
        <v>4789</v>
      </c>
      <c r="U1159">
        <v>1</v>
      </c>
      <c r="V1159">
        <v>1386.28</v>
      </c>
      <c r="W1159" t="s">
        <v>4343</v>
      </c>
      <c r="Y1159" t="b">
        <v>1</v>
      </c>
      <c r="Z1159" t="b">
        <v>0</v>
      </c>
      <c r="AA1159">
        <v>1386.28</v>
      </c>
      <c r="AB1159">
        <v>0</v>
      </c>
      <c r="AD1159" t="b">
        <v>0</v>
      </c>
      <c r="AG1159" s="1" t="s">
        <v>331</v>
      </c>
      <c r="AH1159" s="1" t="s">
        <v>333</v>
      </c>
      <c r="AI1159">
        <v>256</v>
      </c>
      <c r="AJ1159">
        <v>247</v>
      </c>
      <c r="AK1159" s="106">
        <v>45475.635478425924</v>
      </c>
      <c r="AL1159" s="1" t="s">
        <v>4790</v>
      </c>
      <c r="AM1159" s="42">
        <f>IFERROR(INDEX('Public procurment'!A:R,MATCH(ListOfExpenditure[[#This Row],[Content.contractId]],'Public procurment'!E:E,0),14),0)</f>
        <v>0</v>
      </c>
      <c r="AN1159" s="2">
        <f>IF(AND(ListOfExpenditure[[#This Row],[Contract amount]]&gt;10000,ListOfExpenditure[[#This Row],[Content.declaredAmount]]&gt;2000),1,0)</f>
        <v>0</v>
      </c>
      <c r="AO1159">
        <f>IFERROR(INDEX('Public procurment'!A:S,MATCH(ListOfExpenditure[[#This Row],[Content.contractId]],'Public procurment'!E:E,0),19),0)</f>
        <v>0</v>
      </c>
      <c r="AP1159">
        <f>IF(ListOfExpenditure[[#This Row],[Numero di volte controllato il contract ]]&gt;0,0,ListOfExpenditure[[#This Row],[IF public procurment &gt;10000;1;0]])</f>
        <v>0</v>
      </c>
    </row>
    <row r="1160" spans="1:42" x14ac:dyDescent="0.25">
      <c r="A1160">
        <v>999</v>
      </c>
      <c r="B1160">
        <v>15</v>
      </c>
      <c r="E1160" t="s">
        <v>4786</v>
      </c>
      <c r="F1160" t="b">
        <v>0</v>
      </c>
      <c r="I1160" t="s">
        <v>5732</v>
      </c>
      <c r="K1160" t="s">
        <v>4835</v>
      </c>
      <c r="L1160" t="s">
        <v>4835</v>
      </c>
      <c r="M1160" t="s">
        <v>4788</v>
      </c>
      <c r="N1160" t="s">
        <v>4788</v>
      </c>
      <c r="O1160">
        <v>3999.81</v>
      </c>
      <c r="Q1160">
        <v>0</v>
      </c>
      <c r="R1160">
        <v>0</v>
      </c>
      <c r="S1160">
        <v>1590.27</v>
      </c>
      <c r="T1160" t="s">
        <v>4789</v>
      </c>
      <c r="U1160">
        <v>1</v>
      </c>
      <c r="V1160">
        <v>1590.27</v>
      </c>
      <c r="W1160" t="s">
        <v>4343</v>
      </c>
      <c r="Y1160" t="b">
        <v>1</v>
      </c>
      <c r="Z1160" t="b">
        <v>0</v>
      </c>
      <c r="AA1160">
        <v>1590.27</v>
      </c>
      <c r="AB1160">
        <v>0</v>
      </c>
      <c r="AD1160" t="b">
        <v>0</v>
      </c>
      <c r="AG1160" s="1" t="s">
        <v>331</v>
      </c>
      <c r="AH1160" s="1" t="s">
        <v>333</v>
      </c>
      <c r="AI1160">
        <v>256</v>
      </c>
      <c r="AJ1160">
        <v>247</v>
      </c>
      <c r="AK1160" s="106">
        <v>45475.635478425924</v>
      </c>
      <c r="AL1160" s="1" t="s">
        <v>4790</v>
      </c>
      <c r="AM1160" s="42">
        <f>IFERROR(INDEX('Public procurment'!A:R,MATCH(ListOfExpenditure[[#This Row],[Content.contractId]],'Public procurment'!E:E,0),14),0)</f>
        <v>0</v>
      </c>
      <c r="AN1160" s="2">
        <f>IF(AND(ListOfExpenditure[[#This Row],[Contract amount]]&gt;10000,ListOfExpenditure[[#This Row],[Content.declaredAmount]]&gt;2000),1,0)</f>
        <v>0</v>
      </c>
      <c r="AO1160">
        <f>IFERROR(INDEX('Public procurment'!A:S,MATCH(ListOfExpenditure[[#This Row],[Content.contractId]],'Public procurment'!E:E,0),19),0)</f>
        <v>0</v>
      </c>
      <c r="AP1160">
        <f>IF(ListOfExpenditure[[#This Row],[Numero di volte controllato il contract ]]&gt;0,0,ListOfExpenditure[[#This Row],[IF public procurment &gt;10000;1;0]])</f>
        <v>0</v>
      </c>
    </row>
    <row r="1161" spans="1:42" x14ac:dyDescent="0.25">
      <c r="A1161">
        <v>1000</v>
      </c>
      <c r="B1161">
        <v>16</v>
      </c>
      <c r="E1161" t="s">
        <v>4786</v>
      </c>
      <c r="F1161" t="b">
        <v>0</v>
      </c>
      <c r="I1161" t="s">
        <v>5733</v>
      </c>
      <c r="K1161" t="s">
        <v>5734</v>
      </c>
      <c r="L1161" t="s">
        <v>5734</v>
      </c>
      <c r="M1161" t="s">
        <v>4788</v>
      </c>
      <c r="N1161" t="s">
        <v>4788</v>
      </c>
      <c r="O1161">
        <v>6718.57</v>
      </c>
      <c r="Q1161">
        <v>0</v>
      </c>
      <c r="R1161">
        <v>0</v>
      </c>
      <c r="S1161">
        <v>378.79</v>
      </c>
      <c r="T1161" t="s">
        <v>4789</v>
      </c>
      <c r="U1161">
        <v>1</v>
      </c>
      <c r="V1161">
        <v>378.79</v>
      </c>
      <c r="W1161" t="s">
        <v>4343</v>
      </c>
      <c r="Y1161" t="b">
        <v>1</v>
      </c>
      <c r="Z1161" t="b">
        <v>0</v>
      </c>
      <c r="AA1161">
        <v>0</v>
      </c>
      <c r="AB1161">
        <v>378.79</v>
      </c>
      <c r="AC1161">
        <v>14</v>
      </c>
      <c r="AD1161" t="b">
        <v>0</v>
      </c>
      <c r="AF1161" t="s">
        <v>5735</v>
      </c>
      <c r="AG1161" s="1" t="s">
        <v>331</v>
      </c>
      <c r="AH1161" s="1" t="s">
        <v>333</v>
      </c>
      <c r="AI1161">
        <v>256</v>
      </c>
      <c r="AJ1161">
        <v>247</v>
      </c>
      <c r="AK1161" s="106">
        <v>45475.635478425924</v>
      </c>
      <c r="AL1161" s="1" t="s">
        <v>4790</v>
      </c>
      <c r="AM1161" s="42">
        <f>IFERROR(INDEX('Public procurment'!A:R,MATCH(ListOfExpenditure[[#This Row],[Content.contractId]],'Public procurment'!E:E,0),14),0)</f>
        <v>0</v>
      </c>
      <c r="AN1161" s="2">
        <f>IF(AND(ListOfExpenditure[[#This Row],[Contract amount]]&gt;10000,ListOfExpenditure[[#This Row],[Content.declaredAmount]]&gt;2000),1,0)</f>
        <v>0</v>
      </c>
      <c r="AO1161">
        <f>IFERROR(INDEX('Public procurment'!A:S,MATCH(ListOfExpenditure[[#This Row],[Content.contractId]],'Public procurment'!E:E,0),19),0)</f>
        <v>0</v>
      </c>
      <c r="AP1161">
        <f>IF(ListOfExpenditure[[#This Row],[Numero di volte controllato il contract ]]&gt;0,0,ListOfExpenditure[[#This Row],[IF public procurment &gt;10000;1;0]])</f>
        <v>0</v>
      </c>
    </row>
    <row r="1162" spans="1:42" x14ac:dyDescent="0.25">
      <c r="A1162">
        <v>1001</v>
      </c>
      <c r="B1162">
        <v>17</v>
      </c>
      <c r="E1162" t="s">
        <v>4786</v>
      </c>
      <c r="F1162" t="b">
        <v>0</v>
      </c>
      <c r="I1162" t="s">
        <v>5733</v>
      </c>
      <c r="K1162" t="s">
        <v>5734</v>
      </c>
      <c r="L1162" t="s">
        <v>5734</v>
      </c>
      <c r="M1162" t="s">
        <v>4788</v>
      </c>
      <c r="N1162" t="s">
        <v>4788</v>
      </c>
      <c r="O1162">
        <v>6133.87</v>
      </c>
      <c r="Q1162">
        <v>0</v>
      </c>
      <c r="R1162">
        <v>0</v>
      </c>
      <c r="S1162">
        <v>339.91</v>
      </c>
      <c r="T1162" t="s">
        <v>4789</v>
      </c>
      <c r="U1162">
        <v>1</v>
      </c>
      <c r="V1162">
        <v>339.91</v>
      </c>
      <c r="W1162" t="s">
        <v>4343</v>
      </c>
      <c r="Y1162" t="b">
        <v>1</v>
      </c>
      <c r="Z1162" t="b">
        <v>0</v>
      </c>
      <c r="AA1162">
        <v>0</v>
      </c>
      <c r="AB1162">
        <v>339.91</v>
      </c>
      <c r="AC1162">
        <v>14</v>
      </c>
      <c r="AD1162" t="b">
        <v>0</v>
      </c>
      <c r="AF1162" t="s">
        <v>5735</v>
      </c>
      <c r="AG1162" s="1" t="s">
        <v>331</v>
      </c>
      <c r="AH1162" s="1" t="s">
        <v>333</v>
      </c>
      <c r="AI1162">
        <v>256</v>
      </c>
      <c r="AJ1162">
        <v>247</v>
      </c>
      <c r="AK1162" s="106">
        <v>45475.635478425924</v>
      </c>
      <c r="AL1162" s="1" t="s">
        <v>4790</v>
      </c>
      <c r="AM1162" s="42">
        <f>IFERROR(INDEX('Public procurment'!A:R,MATCH(ListOfExpenditure[[#This Row],[Content.contractId]],'Public procurment'!E:E,0),14),0)</f>
        <v>0</v>
      </c>
      <c r="AN1162" s="2">
        <f>IF(AND(ListOfExpenditure[[#This Row],[Contract amount]]&gt;10000,ListOfExpenditure[[#This Row],[Content.declaredAmount]]&gt;2000),1,0)</f>
        <v>0</v>
      </c>
      <c r="AO1162">
        <f>IFERROR(INDEX('Public procurment'!A:S,MATCH(ListOfExpenditure[[#This Row],[Content.contractId]],'Public procurment'!E:E,0),19),0)</f>
        <v>0</v>
      </c>
      <c r="AP1162">
        <f>IF(ListOfExpenditure[[#This Row],[Numero di volte controllato il contract ]]&gt;0,0,ListOfExpenditure[[#This Row],[IF public procurment &gt;10000;1;0]])</f>
        <v>0</v>
      </c>
    </row>
    <row r="1163" spans="1:42" x14ac:dyDescent="0.25">
      <c r="A1163">
        <v>1002</v>
      </c>
      <c r="B1163">
        <v>18</v>
      </c>
      <c r="E1163" t="s">
        <v>4786</v>
      </c>
      <c r="F1163" t="b">
        <v>0</v>
      </c>
      <c r="I1163" t="s">
        <v>5733</v>
      </c>
      <c r="K1163" t="s">
        <v>5734</v>
      </c>
      <c r="L1163" t="s">
        <v>5734</v>
      </c>
      <c r="M1163" t="s">
        <v>4788</v>
      </c>
      <c r="N1163" t="s">
        <v>4788</v>
      </c>
      <c r="O1163">
        <v>6795.63</v>
      </c>
      <c r="Q1163">
        <v>0</v>
      </c>
      <c r="R1163">
        <v>0</v>
      </c>
      <c r="S1163">
        <v>386.23</v>
      </c>
      <c r="T1163" t="s">
        <v>4789</v>
      </c>
      <c r="U1163">
        <v>1</v>
      </c>
      <c r="V1163">
        <v>386.23</v>
      </c>
      <c r="W1163" t="s">
        <v>4343</v>
      </c>
      <c r="Y1163" t="b">
        <v>1</v>
      </c>
      <c r="Z1163" t="b">
        <v>0</v>
      </c>
      <c r="AA1163">
        <v>0</v>
      </c>
      <c r="AB1163">
        <v>386.23</v>
      </c>
      <c r="AC1163">
        <v>14</v>
      </c>
      <c r="AD1163" t="b">
        <v>0</v>
      </c>
      <c r="AF1163" t="s">
        <v>5735</v>
      </c>
      <c r="AG1163" s="1" t="s">
        <v>331</v>
      </c>
      <c r="AH1163" s="1" t="s">
        <v>333</v>
      </c>
      <c r="AI1163">
        <v>256</v>
      </c>
      <c r="AJ1163">
        <v>247</v>
      </c>
      <c r="AK1163" s="106">
        <v>45475.635478425924</v>
      </c>
      <c r="AL1163" s="1" t="s">
        <v>4790</v>
      </c>
      <c r="AM1163" s="42">
        <f>IFERROR(INDEX('Public procurment'!A:R,MATCH(ListOfExpenditure[[#This Row],[Content.contractId]],'Public procurment'!E:E,0),14),0)</f>
        <v>0</v>
      </c>
      <c r="AN1163" s="2">
        <f>IF(AND(ListOfExpenditure[[#This Row],[Contract amount]]&gt;10000,ListOfExpenditure[[#This Row],[Content.declaredAmount]]&gt;2000),1,0)</f>
        <v>0</v>
      </c>
      <c r="AO1163">
        <f>IFERROR(INDEX('Public procurment'!A:S,MATCH(ListOfExpenditure[[#This Row],[Content.contractId]],'Public procurment'!E:E,0),19),0)</f>
        <v>0</v>
      </c>
      <c r="AP1163">
        <f>IF(ListOfExpenditure[[#This Row],[Numero di volte controllato il contract ]]&gt;0,0,ListOfExpenditure[[#This Row],[IF public procurment &gt;10000;1;0]])</f>
        <v>0</v>
      </c>
    </row>
    <row r="1164" spans="1:42" x14ac:dyDescent="0.25">
      <c r="A1164">
        <v>1003</v>
      </c>
      <c r="B1164">
        <v>19</v>
      </c>
      <c r="E1164" t="s">
        <v>4786</v>
      </c>
      <c r="F1164" t="b">
        <v>0</v>
      </c>
      <c r="I1164" t="s">
        <v>5733</v>
      </c>
      <c r="K1164" t="s">
        <v>5734</v>
      </c>
      <c r="L1164" t="s">
        <v>5734</v>
      </c>
      <c r="M1164" t="s">
        <v>4788</v>
      </c>
      <c r="N1164" t="s">
        <v>4788</v>
      </c>
      <c r="O1164">
        <v>6932.81</v>
      </c>
      <c r="Q1164">
        <v>0</v>
      </c>
      <c r="R1164">
        <v>0</v>
      </c>
      <c r="S1164">
        <v>383.46</v>
      </c>
      <c r="T1164" t="s">
        <v>4789</v>
      </c>
      <c r="U1164">
        <v>1</v>
      </c>
      <c r="V1164">
        <v>383.46</v>
      </c>
      <c r="W1164" t="s">
        <v>4343</v>
      </c>
      <c r="Y1164" t="b">
        <v>1</v>
      </c>
      <c r="Z1164" t="b">
        <v>0</v>
      </c>
      <c r="AA1164">
        <v>0</v>
      </c>
      <c r="AB1164">
        <v>383.46</v>
      </c>
      <c r="AC1164">
        <v>14</v>
      </c>
      <c r="AD1164" t="b">
        <v>0</v>
      </c>
      <c r="AF1164" t="s">
        <v>5735</v>
      </c>
      <c r="AG1164" s="1" t="s">
        <v>331</v>
      </c>
      <c r="AH1164" s="1" t="s">
        <v>333</v>
      </c>
      <c r="AI1164">
        <v>256</v>
      </c>
      <c r="AJ1164">
        <v>247</v>
      </c>
      <c r="AK1164" s="106">
        <v>45475.635478425924</v>
      </c>
      <c r="AL1164" s="1" t="s">
        <v>4790</v>
      </c>
      <c r="AM1164" s="42">
        <f>IFERROR(INDEX('Public procurment'!A:R,MATCH(ListOfExpenditure[[#This Row],[Content.contractId]],'Public procurment'!E:E,0),14),0)</f>
        <v>0</v>
      </c>
      <c r="AN1164" s="2">
        <f>IF(AND(ListOfExpenditure[[#This Row],[Contract amount]]&gt;10000,ListOfExpenditure[[#This Row],[Content.declaredAmount]]&gt;2000),1,0)</f>
        <v>0</v>
      </c>
      <c r="AO1164">
        <f>IFERROR(INDEX('Public procurment'!A:S,MATCH(ListOfExpenditure[[#This Row],[Content.contractId]],'Public procurment'!E:E,0),19),0)</f>
        <v>0</v>
      </c>
      <c r="AP1164">
        <f>IF(ListOfExpenditure[[#This Row],[Numero di volte controllato il contract ]]&gt;0,0,ListOfExpenditure[[#This Row],[IF public procurment &gt;10000;1;0]])</f>
        <v>0</v>
      </c>
    </row>
    <row r="1165" spans="1:42" x14ac:dyDescent="0.25">
      <c r="A1165">
        <v>1004</v>
      </c>
      <c r="B1165">
        <v>20</v>
      </c>
      <c r="E1165" t="s">
        <v>4786</v>
      </c>
      <c r="F1165" t="b">
        <v>0</v>
      </c>
      <c r="I1165" t="s">
        <v>5733</v>
      </c>
      <c r="K1165" t="s">
        <v>5734</v>
      </c>
      <c r="L1165" t="s">
        <v>5734</v>
      </c>
      <c r="M1165" t="s">
        <v>4788</v>
      </c>
      <c r="N1165" t="s">
        <v>4788</v>
      </c>
      <c r="O1165">
        <v>5792.13</v>
      </c>
      <c r="Q1165">
        <v>0</v>
      </c>
      <c r="R1165">
        <v>0</v>
      </c>
      <c r="S1165">
        <v>313.22000000000003</v>
      </c>
      <c r="T1165" t="s">
        <v>4789</v>
      </c>
      <c r="U1165">
        <v>1</v>
      </c>
      <c r="V1165">
        <v>313.22000000000003</v>
      </c>
      <c r="W1165" t="s">
        <v>4343</v>
      </c>
      <c r="Y1165" t="b">
        <v>1</v>
      </c>
      <c r="Z1165" t="b">
        <v>0</v>
      </c>
      <c r="AA1165">
        <v>0</v>
      </c>
      <c r="AB1165">
        <v>313.22000000000003</v>
      </c>
      <c r="AC1165">
        <v>14</v>
      </c>
      <c r="AD1165" t="b">
        <v>0</v>
      </c>
      <c r="AF1165" t="s">
        <v>5735</v>
      </c>
      <c r="AG1165" s="1" t="s">
        <v>331</v>
      </c>
      <c r="AH1165" s="1" t="s">
        <v>333</v>
      </c>
      <c r="AI1165">
        <v>256</v>
      </c>
      <c r="AJ1165">
        <v>247</v>
      </c>
      <c r="AK1165" s="106">
        <v>45475.635478425924</v>
      </c>
      <c r="AL1165" s="1" t="s">
        <v>4790</v>
      </c>
      <c r="AM1165" s="42">
        <f>IFERROR(INDEX('Public procurment'!A:R,MATCH(ListOfExpenditure[[#This Row],[Content.contractId]],'Public procurment'!E:E,0),14),0)</f>
        <v>0</v>
      </c>
      <c r="AN1165" s="2">
        <f>IF(AND(ListOfExpenditure[[#This Row],[Contract amount]]&gt;10000,ListOfExpenditure[[#This Row],[Content.declaredAmount]]&gt;2000),1,0)</f>
        <v>0</v>
      </c>
      <c r="AO1165">
        <f>IFERROR(INDEX('Public procurment'!A:S,MATCH(ListOfExpenditure[[#This Row],[Content.contractId]],'Public procurment'!E:E,0),19),0)</f>
        <v>0</v>
      </c>
      <c r="AP1165">
        <f>IF(ListOfExpenditure[[#This Row],[Numero di volte controllato il contract ]]&gt;0,0,ListOfExpenditure[[#This Row],[IF public procurment &gt;10000;1;0]])</f>
        <v>0</v>
      </c>
    </row>
    <row r="1166" spans="1:42" x14ac:dyDescent="0.25">
      <c r="A1166">
        <v>1005</v>
      </c>
      <c r="B1166">
        <v>21</v>
      </c>
      <c r="E1166" t="s">
        <v>4786</v>
      </c>
      <c r="F1166" t="b">
        <v>0</v>
      </c>
      <c r="I1166" t="s">
        <v>5733</v>
      </c>
      <c r="K1166" t="s">
        <v>5734</v>
      </c>
      <c r="L1166" t="s">
        <v>5734</v>
      </c>
      <c r="M1166" t="s">
        <v>4788</v>
      </c>
      <c r="N1166" t="s">
        <v>4788</v>
      </c>
      <c r="O1166">
        <v>4711.43</v>
      </c>
      <c r="Q1166">
        <v>0</v>
      </c>
      <c r="R1166">
        <v>0</v>
      </c>
      <c r="S1166">
        <v>1373.36</v>
      </c>
      <c r="T1166" t="s">
        <v>4789</v>
      </c>
      <c r="U1166">
        <v>1</v>
      </c>
      <c r="V1166">
        <v>1373.36</v>
      </c>
      <c r="W1166" t="s">
        <v>4343</v>
      </c>
      <c r="Y1166" t="b">
        <v>1</v>
      </c>
      <c r="Z1166" t="b">
        <v>0</v>
      </c>
      <c r="AA1166">
        <v>0</v>
      </c>
      <c r="AB1166">
        <v>1373.36</v>
      </c>
      <c r="AC1166">
        <v>14</v>
      </c>
      <c r="AD1166" t="b">
        <v>0</v>
      </c>
      <c r="AF1166" t="s">
        <v>5735</v>
      </c>
      <c r="AG1166" s="1" t="s">
        <v>331</v>
      </c>
      <c r="AH1166" s="1" t="s">
        <v>333</v>
      </c>
      <c r="AI1166">
        <v>256</v>
      </c>
      <c r="AJ1166">
        <v>247</v>
      </c>
      <c r="AK1166" s="106">
        <v>45475.635478425924</v>
      </c>
      <c r="AL1166" s="1" t="s">
        <v>4790</v>
      </c>
      <c r="AM1166" s="42">
        <f>IFERROR(INDEX('Public procurment'!A:R,MATCH(ListOfExpenditure[[#This Row],[Content.contractId]],'Public procurment'!E:E,0),14),0)</f>
        <v>0</v>
      </c>
      <c r="AN1166" s="2">
        <f>IF(AND(ListOfExpenditure[[#This Row],[Contract amount]]&gt;10000,ListOfExpenditure[[#This Row],[Content.declaredAmount]]&gt;2000),1,0)</f>
        <v>0</v>
      </c>
      <c r="AO1166">
        <f>IFERROR(INDEX('Public procurment'!A:S,MATCH(ListOfExpenditure[[#This Row],[Content.contractId]],'Public procurment'!E:E,0),19),0)</f>
        <v>0</v>
      </c>
      <c r="AP1166">
        <f>IF(ListOfExpenditure[[#This Row],[Numero di volte controllato il contract ]]&gt;0,0,ListOfExpenditure[[#This Row],[IF public procurment &gt;10000;1;0]])</f>
        <v>0</v>
      </c>
    </row>
    <row r="1167" spans="1:42" x14ac:dyDescent="0.25">
      <c r="A1167">
        <v>1006</v>
      </c>
      <c r="B1167">
        <v>22</v>
      </c>
      <c r="E1167" t="s">
        <v>4786</v>
      </c>
      <c r="F1167" t="b">
        <v>0</v>
      </c>
      <c r="I1167" t="s">
        <v>5733</v>
      </c>
      <c r="K1167" t="s">
        <v>5734</v>
      </c>
      <c r="L1167" t="s">
        <v>5734</v>
      </c>
      <c r="M1167" t="s">
        <v>4788</v>
      </c>
      <c r="N1167" t="s">
        <v>4788</v>
      </c>
      <c r="O1167">
        <v>5280.02</v>
      </c>
      <c r="Q1167">
        <v>0</v>
      </c>
      <c r="R1167">
        <v>0</v>
      </c>
      <c r="S1167">
        <v>1567.71</v>
      </c>
      <c r="T1167" t="s">
        <v>4789</v>
      </c>
      <c r="U1167">
        <v>1</v>
      </c>
      <c r="V1167">
        <v>1567.71</v>
      </c>
      <c r="W1167" t="s">
        <v>4343</v>
      </c>
      <c r="Y1167" t="b">
        <v>1</v>
      </c>
      <c r="Z1167" t="b">
        <v>0</v>
      </c>
      <c r="AA1167">
        <v>0</v>
      </c>
      <c r="AB1167">
        <v>1567.71</v>
      </c>
      <c r="AC1167">
        <v>14</v>
      </c>
      <c r="AD1167" t="b">
        <v>0</v>
      </c>
      <c r="AF1167" t="s">
        <v>5735</v>
      </c>
      <c r="AG1167" s="1" t="s">
        <v>331</v>
      </c>
      <c r="AH1167" s="1" t="s">
        <v>333</v>
      </c>
      <c r="AI1167">
        <v>256</v>
      </c>
      <c r="AJ1167">
        <v>247</v>
      </c>
      <c r="AK1167" s="106">
        <v>45475.635478425924</v>
      </c>
      <c r="AL1167" s="1" t="s">
        <v>4790</v>
      </c>
      <c r="AM1167" s="42">
        <f>IFERROR(INDEX('Public procurment'!A:R,MATCH(ListOfExpenditure[[#This Row],[Content.contractId]],'Public procurment'!E:E,0),14),0)</f>
        <v>0</v>
      </c>
      <c r="AN1167" s="2">
        <f>IF(AND(ListOfExpenditure[[#This Row],[Contract amount]]&gt;10000,ListOfExpenditure[[#This Row],[Content.declaredAmount]]&gt;2000),1,0)</f>
        <v>0</v>
      </c>
      <c r="AO1167">
        <f>IFERROR(INDEX('Public procurment'!A:S,MATCH(ListOfExpenditure[[#This Row],[Content.contractId]],'Public procurment'!E:E,0),19),0)</f>
        <v>0</v>
      </c>
      <c r="AP1167">
        <f>IF(ListOfExpenditure[[#This Row],[Numero di volte controllato il contract ]]&gt;0,0,ListOfExpenditure[[#This Row],[IF public procurment &gt;10000;1;0]])</f>
        <v>0</v>
      </c>
    </row>
    <row r="1168" spans="1:42" x14ac:dyDescent="0.25">
      <c r="A1168">
        <v>1191</v>
      </c>
      <c r="B1168">
        <v>1</v>
      </c>
      <c r="D1168">
        <v>96</v>
      </c>
      <c r="E1168" t="s">
        <v>4786</v>
      </c>
      <c r="F1168" t="b">
        <v>0</v>
      </c>
      <c r="M1168" t="s">
        <v>4788</v>
      </c>
      <c r="N1168" t="s">
        <v>4788</v>
      </c>
      <c r="Q1168">
        <v>120</v>
      </c>
      <c r="R1168">
        <v>38</v>
      </c>
      <c r="S1168">
        <v>4560</v>
      </c>
      <c r="T1168" t="s">
        <v>4789</v>
      </c>
      <c r="U1168">
        <v>1</v>
      </c>
      <c r="V1168">
        <v>4560</v>
      </c>
      <c r="W1168" t="s">
        <v>4343</v>
      </c>
      <c r="Y1168" t="b">
        <v>1</v>
      </c>
      <c r="Z1168" t="b">
        <v>0</v>
      </c>
      <c r="AA1168">
        <v>4560</v>
      </c>
      <c r="AB1168">
        <v>0</v>
      </c>
      <c r="AD1168" t="b">
        <v>0</v>
      </c>
      <c r="AG1168" s="1" t="s">
        <v>331</v>
      </c>
      <c r="AH1168" s="1" t="s">
        <v>334</v>
      </c>
      <c r="AI1168">
        <v>253</v>
      </c>
      <c r="AJ1168">
        <v>236</v>
      </c>
      <c r="AK1168" s="106">
        <v>45475.635495324073</v>
      </c>
      <c r="AL1168" s="1" t="s">
        <v>4790</v>
      </c>
      <c r="AM1168" s="42">
        <f>IFERROR(INDEX('Public procurment'!A:R,MATCH(ListOfExpenditure[[#This Row],[Content.contractId]],'Public procurment'!E:E,0),14),0)</f>
        <v>0</v>
      </c>
      <c r="AN1168" s="2">
        <f>IF(AND(ListOfExpenditure[[#This Row],[Contract amount]]&gt;10000,ListOfExpenditure[[#This Row],[Content.declaredAmount]]&gt;2000),1,0)</f>
        <v>0</v>
      </c>
      <c r="AO1168">
        <f>IFERROR(INDEX('Public procurment'!A:S,MATCH(ListOfExpenditure[[#This Row],[Content.contractId]],'Public procurment'!E:E,0),19),0)</f>
        <v>0</v>
      </c>
      <c r="AP1168">
        <f>IF(ListOfExpenditure[[#This Row],[Numero di volte controllato il contract ]]&gt;0,0,ListOfExpenditure[[#This Row],[IF public procurment &gt;10000;1;0]])</f>
        <v>0</v>
      </c>
    </row>
    <row r="1169" spans="1:42" x14ac:dyDescent="0.25">
      <c r="A1169">
        <v>1198</v>
      </c>
      <c r="B1169">
        <v>2</v>
      </c>
      <c r="D1169">
        <v>97</v>
      </c>
      <c r="E1169" t="s">
        <v>4786</v>
      </c>
      <c r="F1169" t="b">
        <v>0</v>
      </c>
      <c r="M1169" t="s">
        <v>4788</v>
      </c>
      <c r="N1169" t="s">
        <v>4788</v>
      </c>
      <c r="Q1169">
        <v>118</v>
      </c>
      <c r="R1169">
        <v>27</v>
      </c>
      <c r="S1169">
        <v>3186</v>
      </c>
      <c r="T1169" t="s">
        <v>4789</v>
      </c>
      <c r="U1169">
        <v>1</v>
      </c>
      <c r="V1169">
        <v>3186</v>
      </c>
      <c r="W1169" t="s">
        <v>4343</v>
      </c>
      <c r="Y1169" t="b">
        <v>1</v>
      </c>
      <c r="Z1169" t="b">
        <v>0</v>
      </c>
      <c r="AA1169">
        <v>3150</v>
      </c>
      <c r="AB1169">
        <v>36</v>
      </c>
      <c r="AC1169">
        <v>13</v>
      </c>
      <c r="AD1169" t="b">
        <v>0</v>
      </c>
      <c r="AF1169" t="s">
        <v>5736</v>
      </c>
      <c r="AG1169" s="1" t="s">
        <v>331</v>
      </c>
      <c r="AH1169" s="1" t="s">
        <v>334</v>
      </c>
      <c r="AI1169">
        <v>253</v>
      </c>
      <c r="AJ1169">
        <v>236</v>
      </c>
      <c r="AK1169" s="106">
        <v>45475.635495324073</v>
      </c>
      <c r="AL1169" s="1" t="s">
        <v>4790</v>
      </c>
      <c r="AM1169" s="42">
        <f>IFERROR(INDEX('Public procurment'!A:R,MATCH(ListOfExpenditure[[#This Row],[Content.contractId]],'Public procurment'!E:E,0),14),0)</f>
        <v>0</v>
      </c>
      <c r="AN1169" s="2">
        <f>IF(AND(ListOfExpenditure[[#This Row],[Contract amount]]&gt;10000,ListOfExpenditure[[#This Row],[Content.declaredAmount]]&gt;2000),1,0)</f>
        <v>0</v>
      </c>
      <c r="AO1169">
        <f>IFERROR(INDEX('Public procurment'!A:S,MATCH(ListOfExpenditure[[#This Row],[Content.contractId]],'Public procurment'!E:E,0),19),0)</f>
        <v>0</v>
      </c>
      <c r="AP1169">
        <f>IF(ListOfExpenditure[[#This Row],[Numero di volte controllato il contract ]]&gt;0,0,ListOfExpenditure[[#This Row],[IF public procurment &gt;10000;1;0]])</f>
        <v>0</v>
      </c>
    </row>
    <row r="1170" spans="1:42" x14ac:dyDescent="0.25">
      <c r="A1170">
        <v>1199</v>
      </c>
      <c r="B1170">
        <v>3</v>
      </c>
      <c r="D1170">
        <v>95</v>
      </c>
      <c r="E1170" t="s">
        <v>4786</v>
      </c>
      <c r="F1170" t="b">
        <v>0</v>
      </c>
      <c r="M1170" t="s">
        <v>4788</v>
      </c>
      <c r="N1170" t="s">
        <v>4788</v>
      </c>
      <c r="Q1170">
        <v>310</v>
      </c>
      <c r="R1170">
        <v>18</v>
      </c>
      <c r="S1170">
        <v>5580</v>
      </c>
      <c r="T1170" t="s">
        <v>4789</v>
      </c>
      <c r="U1170">
        <v>1</v>
      </c>
      <c r="V1170">
        <v>5580</v>
      </c>
      <c r="W1170" t="s">
        <v>4343</v>
      </c>
      <c r="Y1170" t="b">
        <v>1</v>
      </c>
      <c r="Z1170" t="b">
        <v>0</v>
      </c>
      <c r="AA1170">
        <v>5334.6</v>
      </c>
      <c r="AB1170">
        <v>245.4</v>
      </c>
      <c r="AC1170">
        <v>13</v>
      </c>
      <c r="AD1170" t="b">
        <v>0</v>
      </c>
      <c r="AF1170" t="s">
        <v>5737</v>
      </c>
      <c r="AG1170" s="1" t="s">
        <v>331</v>
      </c>
      <c r="AH1170" s="1" t="s">
        <v>334</v>
      </c>
      <c r="AI1170">
        <v>253</v>
      </c>
      <c r="AJ1170">
        <v>236</v>
      </c>
      <c r="AK1170" s="106">
        <v>45475.635495324073</v>
      </c>
      <c r="AL1170" s="1" t="s">
        <v>4790</v>
      </c>
      <c r="AM1170" s="42">
        <f>IFERROR(INDEX('Public procurment'!A:R,MATCH(ListOfExpenditure[[#This Row],[Content.contractId]],'Public procurment'!E:E,0),14),0)</f>
        <v>0</v>
      </c>
      <c r="AN1170" s="2">
        <f>IF(AND(ListOfExpenditure[[#This Row],[Contract amount]]&gt;10000,ListOfExpenditure[[#This Row],[Content.declaredAmount]]&gt;2000),1,0)</f>
        <v>0</v>
      </c>
      <c r="AO1170">
        <f>IFERROR(INDEX('Public procurment'!A:S,MATCH(ListOfExpenditure[[#This Row],[Content.contractId]],'Public procurment'!E:E,0),19),0)</f>
        <v>0</v>
      </c>
      <c r="AP1170">
        <f>IF(ListOfExpenditure[[#This Row],[Numero di volte controllato il contract ]]&gt;0,0,ListOfExpenditure[[#This Row],[IF public procurment &gt;10000;1;0]])</f>
        <v>0</v>
      </c>
    </row>
    <row r="1171" spans="1:42" x14ac:dyDescent="0.25">
      <c r="A1171">
        <v>1209</v>
      </c>
      <c r="B1171">
        <v>1</v>
      </c>
      <c r="E1171" t="s">
        <v>4798</v>
      </c>
      <c r="F1171" t="b">
        <v>0</v>
      </c>
      <c r="I1171" t="s">
        <v>212</v>
      </c>
      <c r="J1171" t="s">
        <v>212</v>
      </c>
      <c r="M1171" t="s">
        <v>4788</v>
      </c>
      <c r="N1171" t="s">
        <v>4788</v>
      </c>
      <c r="O1171">
        <v>0</v>
      </c>
      <c r="P1171">
        <v>0</v>
      </c>
      <c r="Q1171">
        <v>0</v>
      </c>
      <c r="R1171">
        <v>0</v>
      </c>
      <c r="S1171">
        <v>0</v>
      </c>
      <c r="T1171" t="s">
        <v>4789</v>
      </c>
      <c r="U1171">
        <v>1</v>
      </c>
      <c r="V1171">
        <v>0</v>
      </c>
      <c r="Y1171" t="b">
        <v>0</v>
      </c>
      <c r="Z1171" t="b">
        <v>0</v>
      </c>
      <c r="AA1171">
        <v>0</v>
      </c>
      <c r="AB1171">
        <v>0</v>
      </c>
      <c r="AD1171" t="b">
        <v>0</v>
      </c>
      <c r="AG1171" s="1" t="s">
        <v>331</v>
      </c>
      <c r="AH1171" s="1" t="s">
        <v>335</v>
      </c>
      <c r="AI1171">
        <v>254</v>
      </c>
      <c r="AJ1171">
        <v>226</v>
      </c>
      <c r="AK1171" s="106">
        <v>45475.635465914354</v>
      </c>
      <c r="AL1171" s="1" t="s">
        <v>4790</v>
      </c>
      <c r="AM1171" s="42">
        <f>IFERROR(INDEX('Public procurment'!A:R,MATCH(ListOfExpenditure[[#This Row],[Content.contractId]],'Public procurment'!E:E,0),14),0)</f>
        <v>0</v>
      </c>
      <c r="AN1171" s="2">
        <f>IF(AND(ListOfExpenditure[[#This Row],[Contract amount]]&gt;10000,ListOfExpenditure[[#This Row],[Content.declaredAmount]]&gt;2000),1,0)</f>
        <v>0</v>
      </c>
      <c r="AO1171">
        <f>IFERROR(INDEX('Public procurment'!A:S,MATCH(ListOfExpenditure[[#This Row],[Content.contractId]],'Public procurment'!E:E,0),19),0)</f>
        <v>0</v>
      </c>
      <c r="AP1171">
        <f>IF(ListOfExpenditure[[#This Row],[Numero di volte controllato il contract ]]&gt;0,0,ListOfExpenditure[[#This Row],[IF public procurment &gt;10000;1;0]])</f>
        <v>0</v>
      </c>
    </row>
    <row r="1172" spans="1:42" x14ac:dyDescent="0.25">
      <c r="A1172">
        <v>1450</v>
      </c>
      <c r="B1172">
        <v>1</v>
      </c>
      <c r="D1172">
        <v>119</v>
      </c>
      <c r="E1172" t="s">
        <v>4786</v>
      </c>
      <c r="F1172" t="b">
        <v>0</v>
      </c>
      <c r="M1172" t="s">
        <v>4788</v>
      </c>
      <c r="N1172" t="s">
        <v>4788</v>
      </c>
      <c r="Q1172">
        <v>53</v>
      </c>
      <c r="R1172">
        <v>38</v>
      </c>
      <c r="S1172">
        <v>2014</v>
      </c>
      <c r="T1172" t="s">
        <v>4789</v>
      </c>
      <c r="U1172">
        <v>1</v>
      </c>
      <c r="V1172">
        <v>2014</v>
      </c>
      <c r="W1172" t="s">
        <v>4343</v>
      </c>
      <c r="Y1172" t="b">
        <v>1</v>
      </c>
      <c r="Z1172" t="b">
        <v>0</v>
      </c>
      <c r="AA1172">
        <v>2014</v>
      </c>
      <c r="AB1172">
        <v>0</v>
      </c>
      <c r="AD1172" t="b">
        <v>0</v>
      </c>
      <c r="AG1172" s="1" t="s">
        <v>331</v>
      </c>
      <c r="AH1172" s="1" t="s">
        <v>336</v>
      </c>
      <c r="AI1172">
        <v>255</v>
      </c>
      <c r="AJ1172">
        <v>294</v>
      </c>
      <c r="AK1172" s="106">
        <v>45475.635505104168</v>
      </c>
      <c r="AL1172" s="1" t="s">
        <v>4790</v>
      </c>
      <c r="AM1172" s="42">
        <f>IFERROR(INDEX('Public procurment'!A:R,MATCH(ListOfExpenditure[[#This Row],[Content.contractId]],'Public procurment'!E:E,0),14),0)</f>
        <v>0</v>
      </c>
      <c r="AN1172" s="2">
        <f>IF(AND(ListOfExpenditure[[#This Row],[Contract amount]]&gt;10000,ListOfExpenditure[[#This Row],[Content.declaredAmount]]&gt;2000),1,0)</f>
        <v>0</v>
      </c>
      <c r="AO1172">
        <f>IFERROR(INDEX('Public procurment'!A:S,MATCH(ListOfExpenditure[[#This Row],[Content.contractId]],'Public procurment'!E:E,0),19),0)</f>
        <v>0</v>
      </c>
      <c r="AP1172">
        <f>IF(ListOfExpenditure[[#This Row],[Numero di volte controllato il contract ]]&gt;0,0,ListOfExpenditure[[#This Row],[IF public procurment &gt;10000;1;0]])</f>
        <v>0</v>
      </c>
    </row>
    <row r="1173" spans="1:42" x14ac:dyDescent="0.25">
      <c r="A1173">
        <v>1451</v>
      </c>
      <c r="B1173">
        <v>2</v>
      </c>
      <c r="D1173">
        <v>118</v>
      </c>
      <c r="E1173" t="s">
        <v>4786</v>
      </c>
      <c r="F1173" t="b">
        <v>0</v>
      </c>
      <c r="M1173" t="s">
        <v>4788</v>
      </c>
      <c r="N1173" t="s">
        <v>4788</v>
      </c>
      <c r="Q1173">
        <v>268</v>
      </c>
      <c r="R1173">
        <v>27</v>
      </c>
      <c r="S1173">
        <v>7236</v>
      </c>
      <c r="T1173" t="s">
        <v>4789</v>
      </c>
      <c r="U1173">
        <v>1</v>
      </c>
      <c r="V1173">
        <v>7236</v>
      </c>
      <c r="W1173" t="s">
        <v>4343</v>
      </c>
      <c r="Y1173" t="b">
        <v>1</v>
      </c>
      <c r="Z1173" t="b">
        <v>0</v>
      </c>
      <c r="AA1173">
        <v>7128</v>
      </c>
      <c r="AB1173">
        <v>108</v>
      </c>
      <c r="AC1173">
        <v>13</v>
      </c>
      <c r="AD1173" t="b">
        <v>0</v>
      </c>
      <c r="AF1173" t="s">
        <v>5738</v>
      </c>
      <c r="AG1173" s="1" t="s">
        <v>331</v>
      </c>
      <c r="AH1173" s="1" t="s">
        <v>336</v>
      </c>
      <c r="AI1173">
        <v>255</v>
      </c>
      <c r="AJ1173">
        <v>294</v>
      </c>
      <c r="AK1173" s="106">
        <v>45475.635505104168</v>
      </c>
      <c r="AL1173" s="1" t="s">
        <v>4790</v>
      </c>
      <c r="AM1173" s="42">
        <f>IFERROR(INDEX('Public procurment'!A:R,MATCH(ListOfExpenditure[[#This Row],[Content.contractId]],'Public procurment'!E:E,0),14),0)</f>
        <v>0</v>
      </c>
      <c r="AN1173" s="2">
        <f>IF(AND(ListOfExpenditure[[#This Row],[Contract amount]]&gt;10000,ListOfExpenditure[[#This Row],[Content.declaredAmount]]&gt;2000),1,0)</f>
        <v>0</v>
      </c>
      <c r="AO1173">
        <f>IFERROR(INDEX('Public procurment'!A:S,MATCH(ListOfExpenditure[[#This Row],[Content.contractId]],'Public procurment'!E:E,0),19),0)</f>
        <v>0</v>
      </c>
      <c r="AP1173">
        <f>IF(ListOfExpenditure[[#This Row],[Numero di volte controllato il contract ]]&gt;0,0,ListOfExpenditure[[#This Row],[IF public procurment &gt;10000;1;0]])</f>
        <v>0</v>
      </c>
    </row>
    <row r="1174" spans="1:42" x14ac:dyDescent="0.25">
      <c r="A1174">
        <v>2127</v>
      </c>
      <c r="B1174">
        <v>1</v>
      </c>
      <c r="C1174">
        <v>280</v>
      </c>
      <c r="E1174" t="s">
        <v>4893</v>
      </c>
      <c r="F1174" t="b">
        <v>0</v>
      </c>
      <c r="M1174" t="s">
        <v>4788</v>
      </c>
      <c r="N1174" t="s">
        <v>4788</v>
      </c>
      <c r="Q1174">
        <v>1</v>
      </c>
      <c r="R1174">
        <v>9000</v>
      </c>
      <c r="S1174">
        <v>9000</v>
      </c>
      <c r="T1174" t="s">
        <v>4789</v>
      </c>
      <c r="U1174">
        <v>1</v>
      </c>
      <c r="V1174">
        <v>9000</v>
      </c>
      <c r="W1174" t="s">
        <v>4343</v>
      </c>
      <c r="Y1174" t="b">
        <v>1</v>
      </c>
      <c r="Z1174" t="b">
        <v>0</v>
      </c>
      <c r="AA1174">
        <v>0</v>
      </c>
      <c r="AB1174">
        <v>0</v>
      </c>
      <c r="AD1174" t="b">
        <v>1</v>
      </c>
      <c r="AE1174" t="s">
        <v>6159</v>
      </c>
      <c r="AF1174" t="s">
        <v>5124</v>
      </c>
      <c r="AG1174" s="1" t="s">
        <v>331</v>
      </c>
      <c r="AH1174" s="1" t="s">
        <v>330</v>
      </c>
      <c r="AI1174">
        <v>189</v>
      </c>
      <c r="AJ1174">
        <v>343</v>
      </c>
      <c r="AK1174" s="106">
        <v>45475.635556863424</v>
      </c>
      <c r="AL1174" s="1" t="s">
        <v>4790</v>
      </c>
      <c r="AM1174" s="42">
        <f>IFERROR(INDEX('Public procurment'!A:R,MATCH(ListOfExpenditure[[#This Row],[Content.contractId]],'Public procurment'!E:E,0),14),0)</f>
        <v>0</v>
      </c>
      <c r="AN1174" s="2">
        <f>IF(AND(ListOfExpenditure[[#This Row],[Contract amount]]&gt;10000,ListOfExpenditure[[#This Row],[Content.declaredAmount]]&gt;2000),1,0)</f>
        <v>0</v>
      </c>
      <c r="AO1174">
        <f>IFERROR(INDEX('Public procurment'!A:S,MATCH(ListOfExpenditure[[#This Row],[Content.contractId]],'Public procurment'!E:E,0),19),0)</f>
        <v>0</v>
      </c>
      <c r="AP1174">
        <f>IF(ListOfExpenditure[[#This Row],[Numero di volte controllato il contract ]]&gt;0,0,ListOfExpenditure[[#This Row],[IF public procurment &gt;10000;1;0]])</f>
        <v>0</v>
      </c>
    </row>
    <row r="1175" spans="1:42" x14ac:dyDescent="0.25">
      <c r="A1175">
        <v>2120</v>
      </c>
      <c r="B1175">
        <v>1</v>
      </c>
      <c r="D1175">
        <v>124</v>
      </c>
      <c r="E1175" t="s">
        <v>4786</v>
      </c>
      <c r="F1175" t="b">
        <v>0</v>
      </c>
      <c r="M1175" t="s">
        <v>4788</v>
      </c>
      <c r="N1175" t="s">
        <v>4788</v>
      </c>
      <c r="Q1175">
        <v>30</v>
      </c>
      <c r="R1175">
        <v>58</v>
      </c>
      <c r="S1175">
        <v>1740</v>
      </c>
      <c r="T1175" t="s">
        <v>4789</v>
      </c>
      <c r="U1175">
        <v>1</v>
      </c>
      <c r="V1175">
        <v>1740</v>
      </c>
      <c r="W1175" t="s">
        <v>4343</v>
      </c>
      <c r="Y1175" t="b">
        <v>0</v>
      </c>
      <c r="Z1175" t="b">
        <v>0</v>
      </c>
      <c r="AA1175">
        <v>1740</v>
      </c>
      <c r="AB1175">
        <v>0</v>
      </c>
      <c r="AD1175" t="b">
        <v>0</v>
      </c>
      <c r="AG1175" s="1" t="s">
        <v>350</v>
      </c>
      <c r="AH1175" s="1" t="s">
        <v>351</v>
      </c>
      <c r="AI1175">
        <v>176</v>
      </c>
      <c r="AJ1175">
        <v>300</v>
      </c>
      <c r="AK1175" s="106">
        <v>45475.635550347222</v>
      </c>
      <c r="AL1175" s="1" t="s">
        <v>4790</v>
      </c>
      <c r="AM1175" s="42">
        <f>IFERROR(INDEX('Public procurment'!A:R,MATCH(ListOfExpenditure[[#This Row],[Content.contractId]],'Public procurment'!E:E,0),14),0)</f>
        <v>0</v>
      </c>
      <c r="AN1175" s="2">
        <f>IF(AND(ListOfExpenditure[[#This Row],[Contract amount]]&gt;10000,ListOfExpenditure[[#This Row],[Content.declaredAmount]]&gt;2000),1,0)</f>
        <v>0</v>
      </c>
      <c r="AO1175">
        <f>IFERROR(INDEX('Public procurment'!A:S,MATCH(ListOfExpenditure[[#This Row],[Content.contractId]],'Public procurment'!E:E,0),19),0)</f>
        <v>0</v>
      </c>
      <c r="AP1175">
        <f>IF(ListOfExpenditure[[#This Row],[Numero di volte controllato il contract ]]&gt;0,0,ListOfExpenditure[[#This Row],[IF public procurment &gt;10000;1;0]])</f>
        <v>0</v>
      </c>
    </row>
    <row r="1176" spans="1:42" x14ac:dyDescent="0.25">
      <c r="A1176">
        <v>2121</v>
      </c>
      <c r="B1176">
        <v>2</v>
      </c>
      <c r="D1176">
        <v>123</v>
      </c>
      <c r="E1176" t="s">
        <v>4786</v>
      </c>
      <c r="F1176" t="b">
        <v>0</v>
      </c>
      <c r="M1176" t="s">
        <v>4788</v>
      </c>
      <c r="N1176" t="s">
        <v>4788</v>
      </c>
      <c r="Q1176">
        <v>117</v>
      </c>
      <c r="R1176">
        <v>27</v>
      </c>
      <c r="S1176">
        <v>3159</v>
      </c>
      <c r="T1176" t="s">
        <v>4789</v>
      </c>
      <c r="U1176">
        <v>1</v>
      </c>
      <c r="V1176">
        <v>3159</v>
      </c>
      <c r="W1176" t="s">
        <v>4343</v>
      </c>
      <c r="Y1176" t="b">
        <v>0</v>
      </c>
      <c r="Z1176" t="b">
        <v>0</v>
      </c>
      <c r="AA1176">
        <v>3159</v>
      </c>
      <c r="AB1176">
        <v>0</v>
      </c>
      <c r="AD1176" t="b">
        <v>0</v>
      </c>
      <c r="AG1176" s="1" t="s">
        <v>350</v>
      </c>
      <c r="AH1176" s="1" t="s">
        <v>351</v>
      </c>
      <c r="AI1176">
        <v>176</v>
      </c>
      <c r="AJ1176">
        <v>300</v>
      </c>
      <c r="AK1176" s="106">
        <v>45475.635550347222</v>
      </c>
      <c r="AL1176" s="1" t="s">
        <v>4790</v>
      </c>
      <c r="AM1176" s="42">
        <f>IFERROR(INDEX('Public procurment'!A:R,MATCH(ListOfExpenditure[[#This Row],[Content.contractId]],'Public procurment'!E:E,0),14),0)</f>
        <v>0</v>
      </c>
      <c r="AN1176" s="2">
        <f>IF(AND(ListOfExpenditure[[#This Row],[Contract amount]]&gt;10000,ListOfExpenditure[[#This Row],[Content.declaredAmount]]&gt;2000),1,0)</f>
        <v>0</v>
      </c>
      <c r="AO1176">
        <f>IFERROR(INDEX('Public procurment'!A:S,MATCH(ListOfExpenditure[[#This Row],[Content.contractId]],'Public procurment'!E:E,0),19),0)</f>
        <v>0</v>
      </c>
      <c r="AP1176">
        <f>IF(ListOfExpenditure[[#This Row],[Numero di volte controllato il contract ]]&gt;0,0,ListOfExpenditure[[#This Row],[IF public procurment &gt;10000;1;0]])</f>
        <v>0</v>
      </c>
    </row>
    <row r="1177" spans="1:42" x14ac:dyDescent="0.25">
      <c r="A1177">
        <v>1428</v>
      </c>
      <c r="B1177">
        <v>1</v>
      </c>
      <c r="E1177" t="s">
        <v>4786</v>
      </c>
      <c r="F1177" t="b">
        <v>0</v>
      </c>
      <c r="I1177" t="s">
        <v>5739</v>
      </c>
      <c r="K1177" t="s">
        <v>4939</v>
      </c>
      <c r="L1177" t="s">
        <v>4939</v>
      </c>
      <c r="M1177" t="s">
        <v>4788</v>
      </c>
      <c r="N1177" t="s">
        <v>4788</v>
      </c>
      <c r="O1177">
        <v>4532.2700000000004</v>
      </c>
      <c r="Q1177">
        <v>0</v>
      </c>
      <c r="R1177">
        <v>0</v>
      </c>
      <c r="S1177">
        <v>1405</v>
      </c>
      <c r="T1177" t="s">
        <v>4789</v>
      </c>
      <c r="U1177">
        <v>1</v>
      </c>
      <c r="V1177">
        <v>1405</v>
      </c>
      <c r="W1177" t="s">
        <v>4343</v>
      </c>
      <c r="Y1177" t="b">
        <v>1</v>
      </c>
      <c r="Z1177" t="b">
        <v>0</v>
      </c>
      <c r="AA1177">
        <v>0</v>
      </c>
      <c r="AB1177">
        <v>0</v>
      </c>
      <c r="AD1177" t="b">
        <v>1</v>
      </c>
      <c r="AE1177" t="s">
        <v>5740</v>
      </c>
      <c r="AF1177" t="s">
        <v>5741</v>
      </c>
      <c r="AG1177" s="1" t="s">
        <v>350</v>
      </c>
      <c r="AH1177" s="1" t="s">
        <v>354</v>
      </c>
      <c r="AI1177">
        <v>194</v>
      </c>
      <c r="AJ1177">
        <v>295</v>
      </c>
      <c r="AK1177" s="106">
        <v>45475.63552019676</v>
      </c>
      <c r="AL1177" s="1" t="s">
        <v>4790</v>
      </c>
      <c r="AM1177" s="42">
        <f>IFERROR(INDEX('Public procurment'!A:R,MATCH(ListOfExpenditure[[#This Row],[Content.contractId]],'Public procurment'!E:E,0),14),0)</f>
        <v>0</v>
      </c>
      <c r="AN1177" s="2">
        <f>IF(AND(ListOfExpenditure[[#This Row],[Contract amount]]&gt;10000,ListOfExpenditure[[#This Row],[Content.declaredAmount]]&gt;2000),1,0)</f>
        <v>0</v>
      </c>
      <c r="AO1177">
        <f>IFERROR(INDEX('Public procurment'!A:S,MATCH(ListOfExpenditure[[#This Row],[Content.contractId]],'Public procurment'!E:E,0),19),0)</f>
        <v>0</v>
      </c>
      <c r="AP1177">
        <f>IF(ListOfExpenditure[[#This Row],[Numero di volte controllato il contract ]]&gt;0,0,ListOfExpenditure[[#This Row],[IF public procurment &gt;10000;1;0]])</f>
        <v>0</v>
      </c>
    </row>
    <row r="1178" spans="1:42" x14ac:dyDescent="0.25">
      <c r="A1178">
        <v>1630</v>
      </c>
      <c r="B1178">
        <v>2</v>
      </c>
      <c r="E1178" t="s">
        <v>4786</v>
      </c>
      <c r="F1178" t="b">
        <v>0</v>
      </c>
      <c r="I1178" t="s">
        <v>5739</v>
      </c>
      <c r="K1178" t="s">
        <v>5250</v>
      </c>
      <c r="L1178" t="s">
        <v>5742</v>
      </c>
      <c r="M1178" t="s">
        <v>4788</v>
      </c>
      <c r="N1178" t="s">
        <v>4788</v>
      </c>
      <c r="O1178">
        <v>6075.34</v>
      </c>
      <c r="Q1178">
        <v>0</v>
      </c>
      <c r="R1178">
        <v>0</v>
      </c>
      <c r="S1178">
        <v>1883.36</v>
      </c>
      <c r="T1178" t="s">
        <v>4789</v>
      </c>
      <c r="U1178">
        <v>1</v>
      </c>
      <c r="V1178">
        <v>1883.36</v>
      </c>
      <c r="W1178" t="s">
        <v>4343</v>
      </c>
      <c r="Y1178" t="b">
        <v>1</v>
      </c>
      <c r="Z1178" t="b">
        <v>0</v>
      </c>
      <c r="AA1178">
        <v>0</v>
      </c>
      <c r="AB1178">
        <v>0</v>
      </c>
      <c r="AD1178" t="b">
        <v>1</v>
      </c>
      <c r="AE1178" t="s">
        <v>5743</v>
      </c>
      <c r="AF1178" t="s">
        <v>5741</v>
      </c>
      <c r="AG1178" s="1" t="s">
        <v>350</v>
      </c>
      <c r="AH1178" s="1" t="s">
        <v>354</v>
      </c>
      <c r="AI1178">
        <v>194</v>
      </c>
      <c r="AJ1178">
        <v>295</v>
      </c>
      <c r="AK1178" s="106">
        <v>45475.63552019676</v>
      </c>
      <c r="AL1178" s="1" t="s">
        <v>4790</v>
      </c>
      <c r="AM1178" s="42">
        <f>IFERROR(INDEX('Public procurment'!A:R,MATCH(ListOfExpenditure[[#This Row],[Content.contractId]],'Public procurment'!E:E,0),14),0)</f>
        <v>0</v>
      </c>
      <c r="AN1178" s="2">
        <f>IF(AND(ListOfExpenditure[[#This Row],[Contract amount]]&gt;10000,ListOfExpenditure[[#This Row],[Content.declaredAmount]]&gt;2000),1,0)</f>
        <v>0</v>
      </c>
      <c r="AO1178">
        <f>IFERROR(INDEX('Public procurment'!A:S,MATCH(ListOfExpenditure[[#This Row],[Content.contractId]],'Public procurment'!E:E,0),19),0)</f>
        <v>0</v>
      </c>
      <c r="AP1178">
        <f>IF(ListOfExpenditure[[#This Row],[Numero di volte controllato il contract ]]&gt;0,0,ListOfExpenditure[[#This Row],[IF public procurment &gt;10000;1;0]])</f>
        <v>0</v>
      </c>
    </row>
    <row r="1179" spans="1:42" x14ac:dyDescent="0.25">
      <c r="A1179">
        <v>1631</v>
      </c>
      <c r="B1179">
        <v>3</v>
      </c>
      <c r="E1179" t="s">
        <v>4786</v>
      </c>
      <c r="F1179" t="b">
        <v>0</v>
      </c>
      <c r="I1179" t="s">
        <v>5739</v>
      </c>
      <c r="K1179" t="s">
        <v>5687</v>
      </c>
      <c r="L1179" t="s">
        <v>5687</v>
      </c>
      <c r="M1179" t="s">
        <v>4788</v>
      </c>
      <c r="N1179" t="s">
        <v>4788</v>
      </c>
      <c r="O1179">
        <v>2322</v>
      </c>
      <c r="Q1179">
        <v>0</v>
      </c>
      <c r="R1179">
        <v>0</v>
      </c>
      <c r="S1179">
        <v>719.82</v>
      </c>
      <c r="T1179" t="s">
        <v>4789</v>
      </c>
      <c r="U1179">
        <v>1</v>
      </c>
      <c r="V1179">
        <v>719.82</v>
      </c>
      <c r="W1179" t="s">
        <v>4343</v>
      </c>
      <c r="Y1179" t="b">
        <v>1</v>
      </c>
      <c r="Z1179" t="b">
        <v>0</v>
      </c>
      <c r="AA1179">
        <v>0</v>
      </c>
      <c r="AB1179">
        <v>0</v>
      </c>
      <c r="AD1179" t="b">
        <v>1</v>
      </c>
      <c r="AE1179" t="s">
        <v>5743</v>
      </c>
      <c r="AF1179" t="s">
        <v>5741</v>
      </c>
      <c r="AG1179" s="1" t="s">
        <v>350</v>
      </c>
      <c r="AH1179" s="1" t="s">
        <v>354</v>
      </c>
      <c r="AI1179">
        <v>194</v>
      </c>
      <c r="AJ1179">
        <v>295</v>
      </c>
      <c r="AK1179" s="106">
        <v>45475.63552019676</v>
      </c>
      <c r="AL1179" s="1" t="s">
        <v>4790</v>
      </c>
      <c r="AM1179" s="42">
        <f>IFERROR(INDEX('Public procurment'!A:R,MATCH(ListOfExpenditure[[#This Row],[Content.contractId]],'Public procurment'!E:E,0),14),0)</f>
        <v>0</v>
      </c>
      <c r="AN1179" s="2">
        <f>IF(AND(ListOfExpenditure[[#This Row],[Contract amount]]&gt;10000,ListOfExpenditure[[#This Row],[Content.declaredAmount]]&gt;2000),1,0)</f>
        <v>0</v>
      </c>
      <c r="AO1179">
        <f>IFERROR(INDEX('Public procurment'!A:S,MATCH(ListOfExpenditure[[#This Row],[Content.contractId]],'Public procurment'!E:E,0),19),0)</f>
        <v>0</v>
      </c>
      <c r="AP1179">
        <f>IF(ListOfExpenditure[[#This Row],[Numero di volte controllato il contract ]]&gt;0,0,ListOfExpenditure[[#This Row],[IF public procurment &gt;10000;1;0]])</f>
        <v>0</v>
      </c>
    </row>
    <row r="1180" spans="1:42" x14ac:dyDescent="0.25">
      <c r="A1180">
        <v>1632</v>
      </c>
      <c r="B1180">
        <v>4</v>
      </c>
      <c r="E1180" t="s">
        <v>4786</v>
      </c>
      <c r="F1180" t="b">
        <v>0</v>
      </c>
      <c r="I1180" t="s">
        <v>5739</v>
      </c>
      <c r="K1180" t="s">
        <v>5744</v>
      </c>
      <c r="L1180" t="s">
        <v>5744</v>
      </c>
      <c r="M1180" t="s">
        <v>4788</v>
      </c>
      <c r="N1180" t="s">
        <v>4788</v>
      </c>
      <c r="O1180">
        <v>5972.7</v>
      </c>
      <c r="Q1180">
        <v>0</v>
      </c>
      <c r="R1180">
        <v>0</v>
      </c>
      <c r="S1180">
        <v>1851.54</v>
      </c>
      <c r="T1180" t="s">
        <v>4789</v>
      </c>
      <c r="U1180">
        <v>1</v>
      </c>
      <c r="V1180">
        <v>1851.54</v>
      </c>
      <c r="W1180" t="s">
        <v>4343</v>
      </c>
      <c r="Y1180" t="b">
        <v>1</v>
      </c>
      <c r="Z1180" t="b">
        <v>0</v>
      </c>
      <c r="AA1180">
        <v>0</v>
      </c>
      <c r="AB1180">
        <v>0</v>
      </c>
      <c r="AD1180" t="b">
        <v>1</v>
      </c>
      <c r="AE1180" t="s">
        <v>5743</v>
      </c>
      <c r="AF1180" t="s">
        <v>5741</v>
      </c>
      <c r="AG1180" s="1" t="s">
        <v>350</v>
      </c>
      <c r="AH1180" s="1" t="s">
        <v>354</v>
      </c>
      <c r="AI1180">
        <v>194</v>
      </c>
      <c r="AJ1180">
        <v>295</v>
      </c>
      <c r="AK1180" s="106">
        <v>45475.63552019676</v>
      </c>
      <c r="AL1180" s="1" t="s">
        <v>4790</v>
      </c>
      <c r="AM1180" s="42">
        <f>IFERROR(INDEX('Public procurment'!A:R,MATCH(ListOfExpenditure[[#This Row],[Content.contractId]],'Public procurment'!E:E,0),14),0)</f>
        <v>0</v>
      </c>
      <c r="AN1180" s="2">
        <f>IF(AND(ListOfExpenditure[[#This Row],[Contract amount]]&gt;10000,ListOfExpenditure[[#This Row],[Content.declaredAmount]]&gt;2000),1,0)</f>
        <v>0</v>
      </c>
      <c r="AO1180">
        <f>IFERROR(INDEX('Public procurment'!A:S,MATCH(ListOfExpenditure[[#This Row],[Content.contractId]],'Public procurment'!E:E,0),19),0)</f>
        <v>0</v>
      </c>
      <c r="AP1180">
        <f>IF(ListOfExpenditure[[#This Row],[Numero di volte controllato il contract ]]&gt;0,0,ListOfExpenditure[[#This Row],[IF public procurment &gt;10000;1;0]])</f>
        <v>0</v>
      </c>
    </row>
    <row r="1181" spans="1:42" x14ac:dyDescent="0.25">
      <c r="A1181">
        <v>1633</v>
      </c>
      <c r="B1181">
        <v>5</v>
      </c>
      <c r="E1181" t="s">
        <v>4786</v>
      </c>
      <c r="F1181" t="b">
        <v>0</v>
      </c>
      <c r="I1181" t="s">
        <v>5739</v>
      </c>
      <c r="K1181" t="s">
        <v>4587</v>
      </c>
      <c r="L1181" t="s">
        <v>4587</v>
      </c>
      <c r="M1181" t="s">
        <v>4788</v>
      </c>
      <c r="N1181" t="s">
        <v>4788</v>
      </c>
      <c r="O1181">
        <v>4021.48</v>
      </c>
      <c r="Q1181">
        <v>0</v>
      </c>
      <c r="R1181">
        <v>0</v>
      </c>
      <c r="S1181">
        <v>1246.6600000000001</v>
      </c>
      <c r="T1181" t="s">
        <v>4789</v>
      </c>
      <c r="U1181">
        <v>1</v>
      </c>
      <c r="V1181">
        <v>1246.6600000000001</v>
      </c>
      <c r="W1181" t="s">
        <v>4343</v>
      </c>
      <c r="Y1181" t="b">
        <v>1</v>
      </c>
      <c r="Z1181" t="b">
        <v>0</v>
      </c>
      <c r="AA1181">
        <v>0</v>
      </c>
      <c r="AB1181">
        <v>0</v>
      </c>
      <c r="AD1181" t="b">
        <v>1</v>
      </c>
      <c r="AE1181" t="s">
        <v>5743</v>
      </c>
      <c r="AF1181" t="s">
        <v>5741</v>
      </c>
      <c r="AG1181" s="1" t="s">
        <v>350</v>
      </c>
      <c r="AH1181" s="1" t="s">
        <v>354</v>
      </c>
      <c r="AI1181">
        <v>194</v>
      </c>
      <c r="AJ1181">
        <v>295</v>
      </c>
      <c r="AK1181" s="106">
        <v>45475.63552019676</v>
      </c>
      <c r="AL1181" s="1" t="s">
        <v>4790</v>
      </c>
      <c r="AM1181" s="42">
        <f>IFERROR(INDEX('Public procurment'!A:R,MATCH(ListOfExpenditure[[#This Row],[Content.contractId]],'Public procurment'!E:E,0),14),0)</f>
        <v>0</v>
      </c>
      <c r="AN1181" s="2">
        <f>IF(AND(ListOfExpenditure[[#This Row],[Contract amount]]&gt;10000,ListOfExpenditure[[#This Row],[Content.declaredAmount]]&gt;2000),1,0)</f>
        <v>0</v>
      </c>
      <c r="AO1181">
        <f>IFERROR(INDEX('Public procurment'!A:S,MATCH(ListOfExpenditure[[#This Row],[Content.contractId]],'Public procurment'!E:E,0),19),0)</f>
        <v>0</v>
      </c>
      <c r="AP1181">
        <f>IF(ListOfExpenditure[[#This Row],[Numero di volte controllato il contract ]]&gt;0,0,ListOfExpenditure[[#This Row],[IF public procurment &gt;10000;1;0]])</f>
        <v>0</v>
      </c>
    </row>
    <row r="1182" spans="1:42" x14ac:dyDescent="0.25">
      <c r="A1182">
        <v>1346</v>
      </c>
      <c r="B1182">
        <v>1</v>
      </c>
      <c r="E1182" t="s">
        <v>4786</v>
      </c>
      <c r="F1182" t="b">
        <v>0</v>
      </c>
      <c r="I1182" t="s">
        <v>5745</v>
      </c>
      <c r="K1182" t="s">
        <v>5040</v>
      </c>
      <c r="L1182" t="s">
        <v>5040</v>
      </c>
      <c r="M1182" t="s">
        <v>4788</v>
      </c>
      <c r="N1182" t="s">
        <v>4788</v>
      </c>
      <c r="O1182">
        <v>674.44</v>
      </c>
      <c r="Q1182">
        <v>0</v>
      </c>
      <c r="R1182">
        <v>0</v>
      </c>
      <c r="S1182">
        <v>674.44</v>
      </c>
      <c r="T1182" t="s">
        <v>4789</v>
      </c>
      <c r="U1182">
        <v>1</v>
      </c>
      <c r="V1182">
        <v>674.44</v>
      </c>
      <c r="W1182" t="s">
        <v>4343</v>
      </c>
      <c r="Y1182" t="b">
        <v>1</v>
      </c>
      <c r="Z1182" t="b">
        <v>0</v>
      </c>
      <c r="AA1182">
        <v>674.44</v>
      </c>
      <c r="AB1182">
        <v>0</v>
      </c>
      <c r="AD1182" t="b">
        <v>0</v>
      </c>
      <c r="AG1182" s="1" t="s">
        <v>350</v>
      </c>
      <c r="AH1182" s="1" t="s">
        <v>355</v>
      </c>
      <c r="AI1182">
        <v>178</v>
      </c>
      <c r="AJ1182">
        <v>279</v>
      </c>
      <c r="AK1182" s="106">
        <v>45475.63549828704</v>
      </c>
      <c r="AL1182" s="1" t="s">
        <v>4790</v>
      </c>
      <c r="AM1182" s="42">
        <f>IFERROR(INDEX('Public procurment'!A:R,MATCH(ListOfExpenditure[[#This Row],[Content.contractId]],'Public procurment'!E:E,0),14),0)</f>
        <v>0</v>
      </c>
      <c r="AN1182" s="2">
        <f>IF(AND(ListOfExpenditure[[#This Row],[Contract amount]]&gt;10000,ListOfExpenditure[[#This Row],[Content.declaredAmount]]&gt;2000),1,0)</f>
        <v>0</v>
      </c>
      <c r="AO1182">
        <f>IFERROR(INDEX('Public procurment'!A:S,MATCH(ListOfExpenditure[[#This Row],[Content.contractId]],'Public procurment'!E:E,0),19),0)</f>
        <v>0</v>
      </c>
      <c r="AP1182">
        <f>IF(ListOfExpenditure[[#This Row],[Numero di volte controllato il contract ]]&gt;0,0,ListOfExpenditure[[#This Row],[IF public procurment &gt;10000;1;0]])</f>
        <v>0</v>
      </c>
    </row>
    <row r="1183" spans="1:42" x14ac:dyDescent="0.25">
      <c r="A1183">
        <v>1384</v>
      </c>
      <c r="B1183">
        <v>2</v>
      </c>
      <c r="E1183" t="s">
        <v>4786</v>
      </c>
      <c r="F1183" t="b">
        <v>0</v>
      </c>
      <c r="I1183" t="s">
        <v>5746</v>
      </c>
      <c r="K1183" t="s">
        <v>5040</v>
      </c>
      <c r="L1183" t="s">
        <v>5040</v>
      </c>
      <c r="M1183" t="s">
        <v>4788</v>
      </c>
      <c r="N1183" t="s">
        <v>4788</v>
      </c>
      <c r="O1183">
        <v>1132.1199999999999</v>
      </c>
      <c r="Q1183">
        <v>0</v>
      </c>
      <c r="R1183">
        <v>0</v>
      </c>
      <c r="S1183">
        <v>1132.1199999999999</v>
      </c>
      <c r="T1183" t="s">
        <v>4789</v>
      </c>
      <c r="U1183">
        <v>1</v>
      </c>
      <c r="V1183">
        <v>1132.1199999999999</v>
      </c>
      <c r="W1183" t="s">
        <v>4343</v>
      </c>
      <c r="Y1183" t="b">
        <v>1</v>
      </c>
      <c r="Z1183" t="b">
        <v>0</v>
      </c>
      <c r="AA1183">
        <v>1132.1199999999999</v>
      </c>
      <c r="AB1183">
        <v>0</v>
      </c>
      <c r="AD1183" t="b">
        <v>0</v>
      </c>
      <c r="AG1183" s="1" t="s">
        <v>350</v>
      </c>
      <c r="AH1183" s="1" t="s">
        <v>355</v>
      </c>
      <c r="AI1183">
        <v>178</v>
      </c>
      <c r="AJ1183">
        <v>279</v>
      </c>
      <c r="AK1183" s="106">
        <v>45475.63549828704</v>
      </c>
      <c r="AL1183" s="1" t="s">
        <v>4790</v>
      </c>
      <c r="AM1183" s="42">
        <f>IFERROR(INDEX('Public procurment'!A:R,MATCH(ListOfExpenditure[[#This Row],[Content.contractId]],'Public procurment'!E:E,0),14),0)</f>
        <v>0</v>
      </c>
      <c r="AN1183" s="2">
        <f>IF(AND(ListOfExpenditure[[#This Row],[Contract amount]]&gt;10000,ListOfExpenditure[[#This Row],[Content.declaredAmount]]&gt;2000),1,0)</f>
        <v>0</v>
      </c>
      <c r="AO1183">
        <f>IFERROR(INDEX('Public procurment'!A:S,MATCH(ListOfExpenditure[[#This Row],[Content.contractId]],'Public procurment'!E:E,0),19),0)</f>
        <v>0</v>
      </c>
      <c r="AP1183">
        <f>IF(ListOfExpenditure[[#This Row],[Numero di volte controllato il contract ]]&gt;0,0,ListOfExpenditure[[#This Row],[IF public procurment &gt;10000;1;0]])</f>
        <v>0</v>
      </c>
    </row>
    <row r="1184" spans="1:42" x14ac:dyDescent="0.25">
      <c r="A1184">
        <v>1386</v>
      </c>
      <c r="B1184">
        <v>3</v>
      </c>
      <c r="E1184" t="s">
        <v>4786</v>
      </c>
      <c r="F1184" t="b">
        <v>0</v>
      </c>
      <c r="I1184" t="s">
        <v>5747</v>
      </c>
      <c r="K1184" t="s">
        <v>5040</v>
      </c>
      <c r="L1184" t="s">
        <v>5040</v>
      </c>
      <c r="M1184" t="s">
        <v>4788</v>
      </c>
      <c r="N1184" t="s">
        <v>4788</v>
      </c>
      <c r="O1184">
        <v>423.93</v>
      </c>
      <c r="Q1184">
        <v>0</v>
      </c>
      <c r="R1184">
        <v>0</v>
      </c>
      <c r="S1184">
        <v>423.93</v>
      </c>
      <c r="T1184" t="s">
        <v>4789</v>
      </c>
      <c r="U1184">
        <v>1</v>
      </c>
      <c r="V1184">
        <v>423.93</v>
      </c>
      <c r="W1184" t="s">
        <v>4343</v>
      </c>
      <c r="Y1184" t="b">
        <v>1</v>
      </c>
      <c r="Z1184" t="b">
        <v>0</v>
      </c>
      <c r="AA1184">
        <v>423.93</v>
      </c>
      <c r="AB1184">
        <v>0</v>
      </c>
      <c r="AD1184" t="b">
        <v>0</v>
      </c>
      <c r="AG1184" s="1" t="s">
        <v>350</v>
      </c>
      <c r="AH1184" s="1" t="s">
        <v>355</v>
      </c>
      <c r="AI1184">
        <v>178</v>
      </c>
      <c r="AJ1184">
        <v>279</v>
      </c>
      <c r="AK1184" s="106">
        <v>45475.63549828704</v>
      </c>
      <c r="AL1184" s="1" t="s">
        <v>4790</v>
      </c>
      <c r="AM1184" s="42">
        <f>IFERROR(INDEX('Public procurment'!A:R,MATCH(ListOfExpenditure[[#This Row],[Content.contractId]],'Public procurment'!E:E,0),14),0)</f>
        <v>0</v>
      </c>
      <c r="AN1184" s="2">
        <f>IF(AND(ListOfExpenditure[[#This Row],[Contract amount]]&gt;10000,ListOfExpenditure[[#This Row],[Content.declaredAmount]]&gt;2000),1,0)</f>
        <v>0</v>
      </c>
      <c r="AO1184">
        <f>IFERROR(INDEX('Public procurment'!A:S,MATCH(ListOfExpenditure[[#This Row],[Content.contractId]],'Public procurment'!E:E,0),19),0)</f>
        <v>0</v>
      </c>
      <c r="AP1184">
        <f>IF(ListOfExpenditure[[#This Row],[Numero di volte controllato il contract ]]&gt;0,0,ListOfExpenditure[[#This Row],[IF public procurment &gt;10000;1;0]])</f>
        <v>0</v>
      </c>
    </row>
    <row r="1185" spans="1:42" x14ac:dyDescent="0.25">
      <c r="A1185">
        <v>1387</v>
      </c>
      <c r="B1185">
        <v>4</v>
      </c>
      <c r="E1185" t="s">
        <v>4786</v>
      </c>
      <c r="F1185" t="b">
        <v>0</v>
      </c>
      <c r="I1185" t="s">
        <v>5748</v>
      </c>
      <c r="K1185" t="s">
        <v>4869</v>
      </c>
      <c r="L1185" t="s">
        <v>4869</v>
      </c>
      <c r="M1185" t="s">
        <v>4788</v>
      </c>
      <c r="N1185" t="s">
        <v>4788</v>
      </c>
      <c r="O1185">
        <v>676.36</v>
      </c>
      <c r="Q1185">
        <v>0</v>
      </c>
      <c r="R1185">
        <v>0</v>
      </c>
      <c r="S1185">
        <v>676.36</v>
      </c>
      <c r="T1185" t="s">
        <v>4789</v>
      </c>
      <c r="U1185">
        <v>1</v>
      </c>
      <c r="V1185">
        <v>676.36</v>
      </c>
      <c r="W1185" t="s">
        <v>4343</v>
      </c>
      <c r="Y1185" t="b">
        <v>1</v>
      </c>
      <c r="Z1185" t="b">
        <v>0</v>
      </c>
      <c r="AA1185">
        <v>676.36</v>
      </c>
      <c r="AB1185">
        <v>0</v>
      </c>
      <c r="AD1185" t="b">
        <v>0</v>
      </c>
      <c r="AG1185" s="1" t="s">
        <v>350</v>
      </c>
      <c r="AH1185" s="1" t="s">
        <v>355</v>
      </c>
      <c r="AI1185">
        <v>178</v>
      </c>
      <c r="AJ1185">
        <v>279</v>
      </c>
      <c r="AK1185" s="106">
        <v>45475.63549828704</v>
      </c>
      <c r="AL1185" s="1" t="s">
        <v>4790</v>
      </c>
      <c r="AM1185" s="42">
        <f>IFERROR(INDEX('Public procurment'!A:R,MATCH(ListOfExpenditure[[#This Row],[Content.contractId]],'Public procurment'!E:E,0),14),0)</f>
        <v>0</v>
      </c>
      <c r="AN1185" s="2">
        <f>IF(AND(ListOfExpenditure[[#This Row],[Contract amount]]&gt;10000,ListOfExpenditure[[#This Row],[Content.declaredAmount]]&gt;2000),1,0)</f>
        <v>0</v>
      </c>
      <c r="AO1185">
        <f>IFERROR(INDEX('Public procurment'!A:S,MATCH(ListOfExpenditure[[#This Row],[Content.contractId]],'Public procurment'!E:E,0),19),0)</f>
        <v>0</v>
      </c>
      <c r="AP1185">
        <f>IF(ListOfExpenditure[[#This Row],[Numero di volte controllato il contract ]]&gt;0,0,ListOfExpenditure[[#This Row],[IF public procurment &gt;10000;1;0]])</f>
        <v>0</v>
      </c>
    </row>
    <row r="1186" spans="1:42" x14ac:dyDescent="0.25">
      <c r="A1186">
        <v>1389</v>
      </c>
      <c r="B1186">
        <v>5</v>
      </c>
      <c r="E1186" t="s">
        <v>4786</v>
      </c>
      <c r="F1186" t="b">
        <v>0</v>
      </c>
      <c r="I1186" t="s">
        <v>5749</v>
      </c>
      <c r="K1186" t="s">
        <v>4869</v>
      </c>
      <c r="L1186" t="s">
        <v>4869</v>
      </c>
      <c r="M1186" t="s">
        <v>4788</v>
      </c>
      <c r="N1186" t="s">
        <v>4788</v>
      </c>
      <c r="O1186">
        <v>2091.83</v>
      </c>
      <c r="Q1186">
        <v>0</v>
      </c>
      <c r="R1186">
        <v>0</v>
      </c>
      <c r="S1186">
        <v>2091.83</v>
      </c>
      <c r="T1186" t="s">
        <v>4789</v>
      </c>
      <c r="U1186">
        <v>1</v>
      </c>
      <c r="V1186">
        <v>2091.83</v>
      </c>
      <c r="W1186" t="s">
        <v>4343</v>
      </c>
      <c r="Y1186" t="b">
        <v>1</v>
      </c>
      <c r="Z1186" t="b">
        <v>0</v>
      </c>
      <c r="AA1186">
        <v>2091.83</v>
      </c>
      <c r="AB1186">
        <v>0</v>
      </c>
      <c r="AD1186" t="b">
        <v>0</v>
      </c>
      <c r="AG1186" s="1" t="s">
        <v>350</v>
      </c>
      <c r="AH1186" s="1" t="s">
        <v>355</v>
      </c>
      <c r="AI1186">
        <v>178</v>
      </c>
      <c r="AJ1186">
        <v>279</v>
      </c>
      <c r="AK1186" s="106">
        <v>45475.63549828704</v>
      </c>
      <c r="AL1186" s="1" t="s">
        <v>4790</v>
      </c>
      <c r="AM1186" s="42">
        <f>IFERROR(INDEX('Public procurment'!A:R,MATCH(ListOfExpenditure[[#This Row],[Content.contractId]],'Public procurment'!E:E,0),14),0)</f>
        <v>0</v>
      </c>
      <c r="AN1186" s="2">
        <f>IF(AND(ListOfExpenditure[[#This Row],[Contract amount]]&gt;10000,ListOfExpenditure[[#This Row],[Content.declaredAmount]]&gt;2000),1,0)</f>
        <v>0</v>
      </c>
      <c r="AO1186">
        <f>IFERROR(INDEX('Public procurment'!A:S,MATCH(ListOfExpenditure[[#This Row],[Content.contractId]],'Public procurment'!E:E,0),19),0)</f>
        <v>0</v>
      </c>
      <c r="AP1186">
        <f>IF(ListOfExpenditure[[#This Row],[Numero di volte controllato il contract ]]&gt;0,0,ListOfExpenditure[[#This Row],[IF public procurment &gt;10000;1;0]])</f>
        <v>0</v>
      </c>
    </row>
    <row r="1187" spans="1:42" x14ac:dyDescent="0.25">
      <c r="A1187">
        <v>1390</v>
      </c>
      <c r="B1187">
        <v>6</v>
      </c>
      <c r="E1187" t="s">
        <v>4786</v>
      </c>
      <c r="F1187" t="b">
        <v>0</v>
      </c>
      <c r="I1187" t="s">
        <v>5750</v>
      </c>
      <c r="K1187" t="s">
        <v>4869</v>
      </c>
      <c r="L1187" t="s">
        <v>4869</v>
      </c>
      <c r="M1187" t="s">
        <v>4788</v>
      </c>
      <c r="N1187" t="s">
        <v>4788</v>
      </c>
      <c r="O1187">
        <v>425.21</v>
      </c>
      <c r="Q1187">
        <v>0</v>
      </c>
      <c r="R1187">
        <v>0</v>
      </c>
      <c r="S1187">
        <v>425.21</v>
      </c>
      <c r="T1187" t="s">
        <v>4789</v>
      </c>
      <c r="U1187">
        <v>1</v>
      </c>
      <c r="V1187">
        <v>425.21</v>
      </c>
      <c r="W1187" t="s">
        <v>4343</v>
      </c>
      <c r="Y1187" t="b">
        <v>1</v>
      </c>
      <c r="Z1187" t="b">
        <v>0</v>
      </c>
      <c r="AA1187">
        <v>425.21</v>
      </c>
      <c r="AB1187">
        <v>0</v>
      </c>
      <c r="AD1187" t="b">
        <v>0</v>
      </c>
      <c r="AG1187" s="1" t="s">
        <v>350</v>
      </c>
      <c r="AH1187" s="1" t="s">
        <v>355</v>
      </c>
      <c r="AI1187">
        <v>178</v>
      </c>
      <c r="AJ1187">
        <v>279</v>
      </c>
      <c r="AK1187" s="106">
        <v>45475.63549828704</v>
      </c>
      <c r="AL1187" s="1" t="s">
        <v>4790</v>
      </c>
      <c r="AM1187" s="42">
        <f>IFERROR(INDEX('Public procurment'!A:R,MATCH(ListOfExpenditure[[#This Row],[Content.contractId]],'Public procurment'!E:E,0),14),0)</f>
        <v>0</v>
      </c>
      <c r="AN1187" s="2">
        <f>IF(AND(ListOfExpenditure[[#This Row],[Contract amount]]&gt;10000,ListOfExpenditure[[#This Row],[Content.declaredAmount]]&gt;2000),1,0)</f>
        <v>0</v>
      </c>
      <c r="AO1187">
        <f>IFERROR(INDEX('Public procurment'!A:S,MATCH(ListOfExpenditure[[#This Row],[Content.contractId]],'Public procurment'!E:E,0),19),0)</f>
        <v>0</v>
      </c>
      <c r="AP1187">
        <f>IF(ListOfExpenditure[[#This Row],[Numero di volte controllato il contract ]]&gt;0,0,ListOfExpenditure[[#This Row],[IF public procurment &gt;10000;1;0]])</f>
        <v>0</v>
      </c>
    </row>
    <row r="1188" spans="1:42" x14ac:dyDescent="0.25">
      <c r="A1188">
        <v>1391</v>
      </c>
      <c r="B1188">
        <v>7</v>
      </c>
      <c r="E1188" t="s">
        <v>4786</v>
      </c>
      <c r="F1188" t="b">
        <v>0</v>
      </c>
      <c r="I1188" t="s">
        <v>5751</v>
      </c>
      <c r="K1188" t="s">
        <v>5044</v>
      </c>
      <c r="L1188" t="s">
        <v>5044</v>
      </c>
      <c r="M1188" t="s">
        <v>4788</v>
      </c>
      <c r="N1188" t="s">
        <v>4788</v>
      </c>
      <c r="O1188">
        <v>669.96</v>
      </c>
      <c r="Q1188">
        <v>0</v>
      </c>
      <c r="R1188">
        <v>0</v>
      </c>
      <c r="S1188">
        <v>669.96</v>
      </c>
      <c r="T1188" t="s">
        <v>4789</v>
      </c>
      <c r="U1188">
        <v>1</v>
      </c>
      <c r="V1188">
        <v>669.96</v>
      </c>
      <c r="W1188" t="s">
        <v>4343</v>
      </c>
      <c r="Y1188" t="b">
        <v>1</v>
      </c>
      <c r="Z1188" t="b">
        <v>0</v>
      </c>
      <c r="AA1188">
        <v>669.96</v>
      </c>
      <c r="AB1188">
        <v>0</v>
      </c>
      <c r="AD1188" t="b">
        <v>0</v>
      </c>
      <c r="AG1188" s="1" t="s">
        <v>350</v>
      </c>
      <c r="AH1188" s="1" t="s">
        <v>355</v>
      </c>
      <c r="AI1188">
        <v>178</v>
      </c>
      <c r="AJ1188">
        <v>279</v>
      </c>
      <c r="AK1188" s="106">
        <v>45475.63549828704</v>
      </c>
      <c r="AL1188" s="1" t="s">
        <v>4790</v>
      </c>
      <c r="AM1188" s="42">
        <f>IFERROR(INDEX('Public procurment'!A:R,MATCH(ListOfExpenditure[[#This Row],[Content.contractId]],'Public procurment'!E:E,0),14),0)</f>
        <v>0</v>
      </c>
      <c r="AN1188" s="2">
        <f>IF(AND(ListOfExpenditure[[#This Row],[Contract amount]]&gt;10000,ListOfExpenditure[[#This Row],[Content.declaredAmount]]&gt;2000),1,0)</f>
        <v>0</v>
      </c>
      <c r="AO1188">
        <f>IFERROR(INDEX('Public procurment'!A:S,MATCH(ListOfExpenditure[[#This Row],[Content.contractId]],'Public procurment'!E:E,0),19),0)</f>
        <v>0</v>
      </c>
      <c r="AP1188">
        <f>IF(ListOfExpenditure[[#This Row],[Numero di volte controllato il contract ]]&gt;0,0,ListOfExpenditure[[#This Row],[IF public procurment &gt;10000;1;0]])</f>
        <v>0</v>
      </c>
    </row>
    <row r="1189" spans="1:42" x14ac:dyDescent="0.25">
      <c r="A1189">
        <v>1392</v>
      </c>
      <c r="B1189">
        <v>8</v>
      </c>
      <c r="E1189" t="s">
        <v>4786</v>
      </c>
      <c r="F1189" t="b">
        <v>0</v>
      </c>
      <c r="I1189" t="s">
        <v>5752</v>
      </c>
      <c r="K1189" t="s">
        <v>5044</v>
      </c>
      <c r="L1189" t="s">
        <v>5044</v>
      </c>
      <c r="M1189" t="s">
        <v>4788</v>
      </c>
      <c r="N1189" t="s">
        <v>4788</v>
      </c>
      <c r="O1189">
        <v>2003.23</v>
      </c>
      <c r="Q1189">
        <v>0</v>
      </c>
      <c r="R1189">
        <v>0</v>
      </c>
      <c r="S1189">
        <v>2003.23</v>
      </c>
      <c r="T1189" t="s">
        <v>4789</v>
      </c>
      <c r="U1189">
        <v>1</v>
      </c>
      <c r="V1189">
        <v>2003.23</v>
      </c>
      <c r="W1189" t="s">
        <v>4343</v>
      </c>
      <c r="Y1189" t="b">
        <v>1</v>
      </c>
      <c r="Z1189" t="b">
        <v>0</v>
      </c>
      <c r="AA1189">
        <v>2003.23</v>
      </c>
      <c r="AB1189">
        <v>0</v>
      </c>
      <c r="AD1189" t="b">
        <v>0</v>
      </c>
      <c r="AG1189" s="1" t="s">
        <v>350</v>
      </c>
      <c r="AH1189" s="1" t="s">
        <v>355</v>
      </c>
      <c r="AI1189">
        <v>178</v>
      </c>
      <c r="AJ1189">
        <v>279</v>
      </c>
      <c r="AK1189" s="106">
        <v>45475.63549828704</v>
      </c>
      <c r="AL1189" s="1" t="s">
        <v>4790</v>
      </c>
      <c r="AM1189" s="42">
        <f>IFERROR(INDEX('Public procurment'!A:R,MATCH(ListOfExpenditure[[#This Row],[Content.contractId]],'Public procurment'!E:E,0),14),0)</f>
        <v>0</v>
      </c>
      <c r="AN1189" s="2">
        <f>IF(AND(ListOfExpenditure[[#This Row],[Contract amount]]&gt;10000,ListOfExpenditure[[#This Row],[Content.declaredAmount]]&gt;2000),1,0)</f>
        <v>0</v>
      </c>
      <c r="AO1189">
        <f>IFERROR(INDEX('Public procurment'!A:S,MATCH(ListOfExpenditure[[#This Row],[Content.contractId]],'Public procurment'!E:E,0),19),0)</f>
        <v>0</v>
      </c>
      <c r="AP1189">
        <f>IF(ListOfExpenditure[[#This Row],[Numero di volte controllato il contract ]]&gt;0,0,ListOfExpenditure[[#This Row],[IF public procurment &gt;10000;1;0]])</f>
        <v>0</v>
      </c>
    </row>
    <row r="1190" spans="1:42" x14ac:dyDescent="0.25">
      <c r="A1190">
        <v>1394</v>
      </c>
      <c r="B1190">
        <v>9</v>
      </c>
      <c r="E1190" t="s">
        <v>4786</v>
      </c>
      <c r="F1190" t="b">
        <v>0</v>
      </c>
      <c r="I1190" t="s">
        <v>5753</v>
      </c>
      <c r="K1190" t="s">
        <v>5044</v>
      </c>
      <c r="L1190" t="s">
        <v>5044</v>
      </c>
      <c r="M1190" t="s">
        <v>4788</v>
      </c>
      <c r="N1190" t="s">
        <v>4788</v>
      </c>
      <c r="O1190">
        <v>425.33</v>
      </c>
      <c r="Q1190">
        <v>0</v>
      </c>
      <c r="R1190">
        <v>0</v>
      </c>
      <c r="S1190">
        <v>425.33</v>
      </c>
      <c r="T1190" t="s">
        <v>4789</v>
      </c>
      <c r="U1190">
        <v>1</v>
      </c>
      <c r="V1190">
        <v>425.33</v>
      </c>
      <c r="W1190" t="s">
        <v>4343</v>
      </c>
      <c r="Y1190" t="b">
        <v>1</v>
      </c>
      <c r="Z1190" t="b">
        <v>0</v>
      </c>
      <c r="AA1190">
        <v>425.33</v>
      </c>
      <c r="AB1190">
        <v>0</v>
      </c>
      <c r="AD1190" t="b">
        <v>0</v>
      </c>
      <c r="AG1190" s="1" t="s">
        <v>350</v>
      </c>
      <c r="AH1190" s="1" t="s">
        <v>355</v>
      </c>
      <c r="AI1190">
        <v>178</v>
      </c>
      <c r="AJ1190">
        <v>279</v>
      </c>
      <c r="AK1190" s="106">
        <v>45475.63549828704</v>
      </c>
      <c r="AL1190" s="1" t="s">
        <v>4790</v>
      </c>
      <c r="AM1190" s="42">
        <f>IFERROR(INDEX('Public procurment'!A:R,MATCH(ListOfExpenditure[[#This Row],[Content.contractId]],'Public procurment'!E:E,0),14),0)</f>
        <v>0</v>
      </c>
      <c r="AN1190" s="2">
        <f>IF(AND(ListOfExpenditure[[#This Row],[Contract amount]]&gt;10000,ListOfExpenditure[[#This Row],[Content.declaredAmount]]&gt;2000),1,0)</f>
        <v>0</v>
      </c>
      <c r="AO1190">
        <f>IFERROR(INDEX('Public procurment'!A:S,MATCH(ListOfExpenditure[[#This Row],[Content.contractId]],'Public procurment'!E:E,0),19),0)</f>
        <v>0</v>
      </c>
      <c r="AP1190">
        <f>IF(ListOfExpenditure[[#This Row],[Numero di volte controllato il contract ]]&gt;0,0,ListOfExpenditure[[#This Row],[IF public procurment &gt;10000;1;0]])</f>
        <v>0</v>
      </c>
    </row>
    <row r="1191" spans="1:42" x14ac:dyDescent="0.25">
      <c r="A1191">
        <v>1396</v>
      </c>
      <c r="B1191">
        <v>10</v>
      </c>
      <c r="E1191" t="s">
        <v>4786</v>
      </c>
      <c r="F1191" t="b">
        <v>0</v>
      </c>
      <c r="I1191" t="s">
        <v>5754</v>
      </c>
      <c r="K1191" t="s">
        <v>5046</v>
      </c>
      <c r="L1191" t="s">
        <v>5046</v>
      </c>
      <c r="M1191" t="s">
        <v>4788</v>
      </c>
      <c r="N1191" t="s">
        <v>4788</v>
      </c>
      <c r="O1191">
        <v>644.69000000000005</v>
      </c>
      <c r="Q1191">
        <v>0</v>
      </c>
      <c r="R1191">
        <v>0</v>
      </c>
      <c r="S1191">
        <v>644.69000000000005</v>
      </c>
      <c r="T1191" t="s">
        <v>4789</v>
      </c>
      <c r="U1191">
        <v>1</v>
      </c>
      <c r="V1191">
        <v>644.69000000000005</v>
      </c>
      <c r="W1191" t="s">
        <v>4343</v>
      </c>
      <c r="Y1191" t="b">
        <v>1</v>
      </c>
      <c r="Z1191" t="b">
        <v>0</v>
      </c>
      <c r="AA1191">
        <v>644.69000000000005</v>
      </c>
      <c r="AB1191">
        <v>0</v>
      </c>
      <c r="AD1191" t="b">
        <v>0</v>
      </c>
      <c r="AG1191" s="1" t="s">
        <v>350</v>
      </c>
      <c r="AH1191" s="1" t="s">
        <v>355</v>
      </c>
      <c r="AI1191">
        <v>178</v>
      </c>
      <c r="AJ1191">
        <v>279</v>
      </c>
      <c r="AK1191" s="106">
        <v>45475.63549828704</v>
      </c>
      <c r="AL1191" s="1" t="s">
        <v>4790</v>
      </c>
      <c r="AM1191" s="42">
        <f>IFERROR(INDEX('Public procurment'!A:R,MATCH(ListOfExpenditure[[#This Row],[Content.contractId]],'Public procurment'!E:E,0),14),0)</f>
        <v>0</v>
      </c>
      <c r="AN1191" s="2">
        <f>IF(AND(ListOfExpenditure[[#This Row],[Contract amount]]&gt;10000,ListOfExpenditure[[#This Row],[Content.declaredAmount]]&gt;2000),1,0)</f>
        <v>0</v>
      </c>
      <c r="AO1191">
        <f>IFERROR(INDEX('Public procurment'!A:S,MATCH(ListOfExpenditure[[#This Row],[Content.contractId]],'Public procurment'!E:E,0),19),0)</f>
        <v>0</v>
      </c>
      <c r="AP1191">
        <f>IF(ListOfExpenditure[[#This Row],[Numero di volte controllato il contract ]]&gt;0,0,ListOfExpenditure[[#This Row],[IF public procurment &gt;10000;1;0]])</f>
        <v>0</v>
      </c>
    </row>
    <row r="1192" spans="1:42" x14ac:dyDescent="0.25">
      <c r="A1192">
        <v>1397</v>
      </c>
      <c r="B1192">
        <v>11</v>
      </c>
      <c r="E1192" t="s">
        <v>4786</v>
      </c>
      <c r="F1192" t="b">
        <v>0</v>
      </c>
      <c r="I1192" t="s">
        <v>5755</v>
      </c>
      <c r="K1192" t="s">
        <v>5046</v>
      </c>
      <c r="L1192" t="s">
        <v>5046</v>
      </c>
      <c r="M1192" t="s">
        <v>4788</v>
      </c>
      <c r="N1192" t="s">
        <v>4788</v>
      </c>
      <c r="O1192">
        <v>2017.52</v>
      </c>
      <c r="Q1192">
        <v>0</v>
      </c>
      <c r="R1192">
        <v>0</v>
      </c>
      <c r="S1192">
        <v>2017.52</v>
      </c>
      <c r="T1192" t="s">
        <v>4789</v>
      </c>
      <c r="U1192">
        <v>1</v>
      </c>
      <c r="V1192">
        <v>2017.52</v>
      </c>
      <c r="W1192" t="s">
        <v>4343</v>
      </c>
      <c r="Y1192" t="b">
        <v>1</v>
      </c>
      <c r="Z1192" t="b">
        <v>0</v>
      </c>
      <c r="AA1192">
        <v>2017.52</v>
      </c>
      <c r="AB1192">
        <v>0</v>
      </c>
      <c r="AD1192" t="b">
        <v>0</v>
      </c>
      <c r="AG1192" s="1" t="s">
        <v>350</v>
      </c>
      <c r="AH1192" s="1" t="s">
        <v>355</v>
      </c>
      <c r="AI1192">
        <v>178</v>
      </c>
      <c r="AJ1192">
        <v>279</v>
      </c>
      <c r="AK1192" s="106">
        <v>45475.63549828704</v>
      </c>
      <c r="AL1192" s="1" t="s">
        <v>4790</v>
      </c>
      <c r="AM1192" s="42">
        <f>IFERROR(INDEX('Public procurment'!A:R,MATCH(ListOfExpenditure[[#This Row],[Content.contractId]],'Public procurment'!E:E,0),14),0)</f>
        <v>0</v>
      </c>
      <c r="AN1192" s="2">
        <f>IF(AND(ListOfExpenditure[[#This Row],[Contract amount]]&gt;10000,ListOfExpenditure[[#This Row],[Content.declaredAmount]]&gt;2000),1,0)</f>
        <v>0</v>
      </c>
      <c r="AO1192">
        <f>IFERROR(INDEX('Public procurment'!A:S,MATCH(ListOfExpenditure[[#This Row],[Content.contractId]],'Public procurment'!E:E,0),19),0)</f>
        <v>0</v>
      </c>
      <c r="AP1192">
        <f>IF(ListOfExpenditure[[#This Row],[Numero di volte controllato il contract ]]&gt;0,0,ListOfExpenditure[[#This Row],[IF public procurment &gt;10000;1;0]])</f>
        <v>0</v>
      </c>
    </row>
    <row r="1193" spans="1:42" x14ac:dyDescent="0.25">
      <c r="A1193">
        <v>1398</v>
      </c>
      <c r="B1193">
        <v>12</v>
      </c>
      <c r="E1193" t="s">
        <v>4786</v>
      </c>
      <c r="F1193" t="b">
        <v>0</v>
      </c>
      <c r="I1193" t="s">
        <v>5756</v>
      </c>
      <c r="K1193" t="s">
        <v>5046</v>
      </c>
      <c r="L1193" t="s">
        <v>5046</v>
      </c>
      <c r="M1193" t="s">
        <v>4788</v>
      </c>
      <c r="N1193" t="s">
        <v>4788</v>
      </c>
      <c r="O1193">
        <v>425.33</v>
      </c>
      <c r="Q1193">
        <v>0</v>
      </c>
      <c r="R1193">
        <v>0</v>
      </c>
      <c r="S1193">
        <v>425.33</v>
      </c>
      <c r="T1193" t="s">
        <v>4789</v>
      </c>
      <c r="U1193">
        <v>1</v>
      </c>
      <c r="V1193">
        <v>425.33</v>
      </c>
      <c r="W1193" t="s">
        <v>4343</v>
      </c>
      <c r="Y1193" t="b">
        <v>1</v>
      </c>
      <c r="Z1193" t="b">
        <v>0</v>
      </c>
      <c r="AA1193">
        <v>425.33</v>
      </c>
      <c r="AB1193">
        <v>0</v>
      </c>
      <c r="AD1193" t="b">
        <v>0</v>
      </c>
      <c r="AG1193" s="1" t="s">
        <v>350</v>
      </c>
      <c r="AH1193" s="1" t="s">
        <v>355</v>
      </c>
      <c r="AI1193">
        <v>178</v>
      </c>
      <c r="AJ1193">
        <v>279</v>
      </c>
      <c r="AK1193" s="106">
        <v>45475.63549828704</v>
      </c>
      <c r="AL1193" s="1" t="s">
        <v>4790</v>
      </c>
      <c r="AM1193" s="42">
        <f>IFERROR(INDEX('Public procurment'!A:R,MATCH(ListOfExpenditure[[#This Row],[Content.contractId]],'Public procurment'!E:E,0),14),0)</f>
        <v>0</v>
      </c>
      <c r="AN1193" s="2">
        <f>IF(AND(ListOfExpenditure[[#This Row],[Contract amount]]&gt;10000,ListOfExpenditure[[#This Row],[Content.declaredAmount]]&gt;2000),1,0)</f>
        <v>0</v>
      </c>
      <c r="AO1193">
        <f>IFERROR(INDEX('Public procurment'!A:S,MATCH(ListOfExpenditure[[#This Row],[Content.contractId]],'Public procurment'!E:E,0),19),0)</f>
        <v>0</v>
      </c>
      <c r="AP1193">
        <f>IF(ListOfExpenditure[[#This Row],[Numero di volte controllato il contract ]]&gt;0,0,ListOfExpenditure[[#This Row],[IF public procurment &gt;10000;1;0]])</f>
        <v>0</v>
      </c>
    </row>
    <row r="1194" spans="1:42" x14ac:dyDescent="0.25">
      <c r="A1194">
        <v>1337</v>
      </c>
      <c r="B1194">
        <v>1</v>
      </c>
      <c r="E1194" t="s">
        <v>4786</v>
      </c>
      <c r="F1194" t="b">
        <v>0</v>
      </c>
      <c r="I1194" t="s">
        <v>4922</v>
      </c>
      <c r="K1194" t="s">
        <v>4957</v>
      </c>
      <c r="L1194" t="s">
        <v>4957</v>
      </c>
      <c r="M1194" t="s">
        <v>4788</v>
      </c>
      <c r="N1194" t="s">
        <v>4788</v>
      </c>
      <c r="O1194">
        <v>2793</v>
      </c>
      <c r="Q1194">
        <v>0</v>
      </c>
      <c r="R1194">
        <v>0</v>
      </c>
      <c r="S1194">
        <v>558.6</v>
      </c>
      <c r="T1194" t="s">
        <v>4789</v>
      </c>
      <c r="U1194">
        <v>1</v>
      </c>
      <c r="V1194">
        <v>558.6</v>
      </c>
      <c r="W1194" t="s">
        <v>4343</v>
      </c>
      <c r="Y1194" t="b">
        <v>1</v>
      </c>
      <c r="Z1194" t="b">
        <v>0</v>
      </c>
      <c r="AA1194">
        <v>558.6</v>
      </c>
      <c r="AB1194">
        <v>0</v>
      </c>
      <c r="AD1194" t="b">
        <v>0</v>
      </c>
      <c r="AG1194" s="1" t="s">
        <v>350</v>
      </c>
      <c r="AH1194" s="1" t="s">
        <v>356</v>
      </c>
      <c r="AI1194">
        <v>219</v>
      </c>
      <c r="AJ1194">
        <v>285</v>
      </c>
      <c r="AK1194" s="106">
        <v>45475.635508344909</v>
      </c>
      <c r="AL1194" s="1" t="s">
        <v>4790</v>
      </c>
      <c r="AM1194" s="42">
        <f>IFERROR(INDEX('Public procurment'!A:R,MATCH(ListOfExpenditure[[#This Row],[Content.contractId]],'Public procurment'!E:E,0),14),0)</f>
        <v>0</v>
      </c>
      <c r="AN1194" s="2">
        <f>IF(AND(ListOfExpenditure[[#This Row],[Contract amount]]&gt;10000,ListOfExpenditure[[#This Row],[Content.declaredAmount]]&gt;2000),1,0)</f>
        <v>0</v>
      </c>
      <c r="AO1194">
        <f>IFERROR(INDEX('Public procurment'!A:S,MATCH(ListOfExpenditure[[#This Row],[Content.contractId]],'Public procurment'!E:E,0),19),0)</f>
        <v>0</v>
      </c>
      <c r="AP1194">
        <f>IF(ListOfExpenditure[[#This Row],[Numero di volte controllato il contract ]]&gt;0,0,ListOfExpenditure[[#This Row],[IF public procurment &gt;10000;1;0]])</f>
        <v>0</v>
      </c>
    </row>
    <row r="1195" spans="1:42" x14ac:dyDescent="0.25">
      <c r="A1195">
        <v>1338</v>
      </c>
      <c r="B1195">
        <v>2</v>
      </c>
      <c r="E1195" t="s">
        <v>4786</v>
      </c>
      <c r="F1195" t="b">
        <v>0</v>
      </c>
      <c r="I1195" t="s">
        <v>4926</v>
      </c>
      <c r="K1195" t="s">
        <v>4914</v>
      </c>
      <c r="L1195" t="s">
        <v>4914</v>
      </c>
      <c r="M1195" t="s">
        <v>4788</v>
      </c>
      <c r="N1195" t="s">
        <v>4788</v>
      </c>
      <c r="O1195">
        <v>2835.33</v>
      </c>
      <c r="Q1195">
        <v>0</v>
      </c>
      <c r="R1195">
        <v>0</v>
      </c>
      <c r="S1195">
        <v>567.07000000000005</v>
      </c>
      <c r="T1195" t="s">
        <v>4789</v>
      </c>
      <c r="U1195">
        <v>1</v>
      </c>
      <c r="V1195">
        <v>567.07000000000005</v>
      </c>
      <c r="W1195" t="s">
        <v>4343</v>
      </c>
      <c r="Y1195" t="b">
        <v>1</v>
      </c>
      <c r="Z1195" t="b">
        <v>0</v>
      </c>
      <c r="AA1195">
        <v>567.07000000000005</v>
      </c>
      <c r="AB1195">
        <v>0</v>
      </c>
      <c r="AD1195" t="b">
        <v>0</v>
      </c>
      <c r="AG1195" s="1" t="s">
        <v>350</v>
      </c>
      <c r="AH1195" s="1" t="s">
        <v>356</v>
      </c>
      <c r="AI1195">
        <v>219</v>
      </c>
      <c r="AJ1195">
        <v>285</v>
      </c>
      <c r="AK1195" s="106">
        <v>45475.635508344909</v>
      </c>
      <c r="AL1195" s="1" t="s">
        <v>4790</v>
      </c>
      <c r="AM1195" s="42">
        <f>IFERROR(INDEX('Public procurment'!A:R,MATCH(ListOfExpenditure[[#This Row],[Content.contractId]],'Public procurment'!E:E,0),14),0)</f>
        <v>0</v>
      </c>
      <c r="AN1195" s="2">
        <f>IF(AND(ListOfExpenditure[[#This Row],[Contract amount]]&gt;10000,ListOfExpenditure[[#This Row],[Content.declaredAmount]]&gt;2000),1,0)</f>
        <v>0</v>
      </c>
      <c r="AO1195">
        <f>IFERROR(INDEX('Public procurment'!A:S,MATCH(ListOfExpenditure[[#This Row],[Content.contractId]],'Public procurment'!E:E,0),19),0)</f>
        <v>0</v>
      </c>
      <c r="AP1195">
        <f>IF(ListOfExpenditure[[#This Row],[Numero di volte controllato il contract ]]&gt;0,0,ListOfExpenditure[[#This Row],[IF public procurment &gt;10000;1;0]])</f>
        <v>0</v>
      </c>
    </row>
    <row r="1196" spans="1:42" x14ac:dyDescent="0.25">
      <c r="A1196">
        <v>1339</v>
      </c>
      <c r="B1196">
        <v>3</v>
      </c>
      <c r="E1196" t="s">
        <v>4786</v>
      </c>
      <c r="F1196" t="b">
        <v>0</v>
      </c>
      <c r="I1196" t="s">
        <v>4929</v>
      </c>
      <c r="K1196" t="s">
        <v>4959</v>
      </c>
      <c r="L1196" t="s">
        <v>4959</v>
      </c>
      <c r="M1196" t="s">
        <v>4788</v>
      </c>
      <c r="N1196" t="s">
        <v>4788</v>
      </c>
      <c r="O1196">
        <v>3350.84</v>
      </c>
      <c r="Q1196">
        <v>0</v>
      </c>
      <c r="R1196">
        <v>0</v>
      </c>
      <c r="S1196">
        <v>670.17</v>
      </c>
      <c r="T1196" t="s">
        <v>4789</v>
      </c>
      <c r="U1196">
        <v>1</v>
      </c>
      <c r="V1196">
        <v>670.17</v>
      </c>
      <c r="W1196" t="s">
        <v>4343</v>
      </c>
      <c r="Y1196" t="b">
        <v>1</v>
      </c>
      <c r="Z1196" t="b">
        <v>0</v>
      </c>
      <c r="AA1196">
        <v>670.17</v>
      </c>
      <c r="AB1196">
        <v>0</v>
      </c>
      <c r="AD1196" t="b">
        <v>0</v>
      </c>
      <c r="AG1196" s="1" t="s">
        <v>350</v>
      </c>
      <c r="AH1196" s="1" t="s">
        <v>356</v>
      </c>
      <c r="AI1196">
        <v>219</v>
      </c>
      <c r="AJ1196">
        <v>285</v>
      </c>
      <c r="AK1196" s="106">
        <v>45475.635508344909</v>
      </c>
      <c r="AL1196" s="1" t="s">
        <v>4790</v>
      </c>
      <c r="AM1196" s="42">
        <f>IFERROR(INDEX('Public procurment'!A:R,MATCH(ListOfExpenditure[[#This Row],[Content.contractId]],'Public procurment'!E:E,0),14),0)</f>
        <v>0</v>
      </c>
      <c r="AN1196" s="2">
        <f>IF(AND(ListOfExpenditure[[#This Row],[Contract amount]]&gt;10000,ListOfExpenditure[[#This Row],[Content.declaredAmount]]&gt;2000),1,0)</f>
        <v>0</v>
      </c>
      <c r="AO1196">
        <f>IFERROR(INDEX('Public procurment'!A:S,MATCH(ListOfExpenditure[[#This Row],[Content.contractId]],'Public procurment'!E:E,0),19),0)</f>
        <v>0</v>
      </c>
      <c r="AP1196">
        <f>IF(ListOfExpenditure[[#This Row],[Numero di volte controllato il contract ]]&gt;0,0,ListOfExpenditure[[#This Row],[IF public procurment &gt;10000;1;0]])</f>
        <v>0</v>
      </c>
    </row>
    <row r="1197" spans="1:42" x14ac:dyDescent="0.25">
      <c r="A1197">
        <v>1340</v>
      </c>
      <c r="B1197">
        <v>4</v>
      </c>
      <c r="E1197" t="s">
        <v>4786</v>
      </c>
      <c r="F1197" t="b">
        <v>0</v>
      </c>
      <c r="I1197" t="s">
        <v>4933</v>
      </c>
      <c r="K1197" t="s">
        <v>4835</v>
      </c>
      <c r="L1197" t="s">
        <v>4835</v>
      </c>
      <c r="M1197" t="s">
        <v>4788</v>
      </c>
      <c r="N1197" t="s">
        <v>4788</v>
      </c>
      <c r="O1197">
        <v>3349.44</v>
      </c>
      <c r="Q1197">
        <v>0</v>
      </c>
      <c r="R1197">
        <v>0</v>
      </c>
      <c r="S1197">
        <v>669.89</v>
      </c>
      <c r="T1197" t="s">
        <v>4789</v>
      </c>
      <c r="U1197">
        <v>1</v>
      </c>
      <c r="V1197">
        <v>669.89</v>
      </c>
      <c r="W1197" t="s">
        <v>4343</v>
      </c>
      <c r="Y1197" t="b">
        <v>1</v>
      </c>
      <c r="Z1197" t="b">
        <v>0</v>
      </c>
      <c r="AA1197">
        <v>669.89</v>
      </c>
      <c r="AB1197">
        <v>0</v>
      </c>
      <c r="AD1197" t="b">
        <v>0</v>
      </c>
      <c r="AG1197" s="1" t="s">
        <v>350</v>
      </c>
      <c r="AH1197" s="1" t="s">
        <v>356</v>
      </c>
      <c r="AI1197">
        <v>219</v>
      </c>
      <c r="AJ1197">
        <v>285</v>
      </c>
      <c r="AK1197" s="106">
        <v>45475.635508344909</v>
      </c>
      <c r="AL1197" s="1" t="s">
        <v>4790</v>
      </c>
      <c r="AM1197" s="42">
        <f>IFERROR(INDEX('Public procurment'!A:R,MATCH(ListOfExpenditure[[#This Row],[Content.contractId]],'Public procurment'!E:E,0),14),0)</f>
        <v>0</v>
      </c>
      <c r="AN1197" s="2">
        <f>IF(AND(ListOfExpenditure[[#This Row],[Contract amount]]&gt;10000,ListOfExpenditure[[#This Row],[Content.declaredAmount]]&gt;2000),1,0)</f>
        <v>0</v>
      </c>
      <c r="AO1197">
        <f>IFERROR(INDEX('Public procurment'!A:S,MATCH(ListOfExpenditure[[#This Row],[Content.contractId]],'Public procurment'!E:E,0),19),0)</f>
        <v>0</v>
      </c>
      <c r="AP1197">
        <f>IF(ListOfExpenditure[[#This Row],[Numero di volte controllato il contract ]]&gt;0,0,ListOfExpenditure[[#This Row],[IF public procurment &gt;10000;1;0]])</f>
        <v>0</v>
      </c>
    </row>
    <row r="1198" spans="1:42" x14ac:dyDescent="0.25">
      <c r="A1198">
        <v>1841</v>
      </c>
      <c r="B1198">
        <v>1</v>
      </c>
      <c r="E1198" t="s">
        <v>4786</v>
      </c>
      <c r="F1198" t="b">
        <v>0</v>
      </c>
      <c r="I1198" t="s">
        <v>4922</v>
      </c>
      <c r="K1198" t="s">
        <v>4525</v>
      </c>
      <c r="L1198" t="s">
        <v>5744</v>
      </c>
      <c r="M1198" t="s">
        <v>4788</v>
      </c>
      <c r="N1198" t="s">
        <v>4788</v>
      </c>
      <c r="O1198">
        <v>3011.04</v>
      </c>
      <c r="Q1198">
        <v>0</v>
      </c>
      <c r="R1198">
        <v>0</v>
      </c>
      <c r="S1198">
        <v>3011.04</v>
      </c>
      <c r="T1198" t="s">
        <v>4789</v>
      </c>
      <c r="U1198">
        <v>1</v>
      </c>
      <c r="V1198">
        <v>3011.04</v>
      </c>
      <c r="W1198" t="s">
        <v>4343</v>
      </c>
      <c r="Y1198" t="b">
        <v>0</v>
      </c>
      <c r="Z1198" t="b">
        <v>0</v>
      </c>
      <c r="AA1198">
        <v>3011.04</v>
      </c>
      <c r="AB1198">
        <v>0</v>
      </c>
      <c r="AD1198" t="b">
        <v>0</v>
      </c>
      <c r="AG1198" s="1" t="s">
        <v>63</v>
      </c>
      <c r="AH1198" s="1" t="s">
        <v>37</v>
      </c>
      <c r="AI1198">
        <v>288</v>
      </c>
      <c r="AJ1198">
        <v>266</v>
      </c>
      <c r="AK1198" s="106">
        <v>45475.635536805552</v>
      </c>
      <c r="AL1198" s="1" t="s">
        <v>4790</v>
      </c>
      <c r="AM1198" s="42">
        <f>IFERROR(INDEX('Public procurment'!A:R,MATCH(ListOfExpenditure[[#This Row],[Content.contractId]],'Public procurment'!E:E,0),14),0)</f>
        <v>0</v>
      </c>
      <c r="AN1198" s="2">
        <f>IF(AND(ListOfExpenditure[[#This Row],[Contract amount]]&gt;10000,ListOfExpenditure[[#This Row],[Content.declaredAmount]]&gt;2000),1,0)</f>
        <v>0</v>
      </c>
      <c r="AO1198">
        <f>IFERROR(INDEX('Public procurment'!A:S,MATCH(ListOfExpenditure[[#This Row],[Content.contractId]],'Public procurment'!E:E,0),19),0)</f>
        <v>0</v>
      </c>
      <c r="AP1198">
        <f>IF(ListOfExpenditure[[#This Row],[Numero di volte controllato il contract ]]&gt;0,0,ListOfExpenditure[[#This Row],[IF public procurment &gt;10000;1;0]])</f>
        <v>0</v>
      </c>
    </row>
    <row r="1199" spans="1:42" x14ac:dyDescent="0.25">
      <c r="A1199">
        <v>1842</v>
      </c>
      <c r="B1199">
        <v>2</v>
      </c>
      <c r="E1199" t="s">
        <v>4786</v>
      </c>
      <c r="F1199" t="b">
        <v>0</v>
      </c>
      <c r="I1199" t="s">
        <v>4926</v>
      </c>
      <c r="K1199" t="s">
        <v>4525</v>
      </c>
      <c r="L1199" t="s">
        <v>5744</v>
      </c>
      <c r="M1199" t="s">
        <v>4788</v>
      </c>
      <c r="N1199" t="s">
        <v>4788</v>
      </c>
      <c r="O1199">
        <v>3475.56</v>
      </c>
      <c r="Q1199">
        <v>0</v>
      </c>
      <c r="R1199">
        <v>0</v>
      </c>
      <c r="S1199">
        <v>3475.56</v>
      </c>
      <c r="T1199" t="s">
        <v>4789</v>
      </c>
      <c r="U1199">
        <v>1</v>
      </c>
      <c r="V1199">
        <v>3475.56</v>
      </c>
      <c r="W1199" t="s">
        <v>4343</v>
      </c>
      <c r="Y1199" t="b">
        <v>0</v>
      </c>
      <c r="Z1199" t="b">
        <v>0</v>
      </c>
      <c r="AA1199">
        <v>3475.56</v>
      </c>
      <c r="AB1199">
        <v>0</v>
      </c>
      <c r="AD1199" t="b">
        <v>0</v>
      </c>
      <c r="AG1199" s="1" t="s">
        <v>63</v>
      </c>
      <c r="AH1199" s="1" t="s">
        <v>37</v>
      </c>
      <c r="AI1199">
        <v>288</v>
      </c>
      <c r="AJ1199">
        <v>266</v>
      </c>
      <c r="AK1199" s="106">
        <v>45475.635536805552</v>
      </c>
      <c r="AL1199" s="1" t="s">
        <v>4790</v>
      </c>
      <c r="AM1199" s="42">
        <f>IFERROR(INDEX('Public procurment'!A:R,MATCH(ListOfExpenditure[[#This Row],[Content.contractId]],'Public procurment'!E:E,0),14),0)</f>
        <v>0</v>
      </c>
      <c r="AN1199" s="2">
        <f>IF(AND(ListOfExpenditure[[#This Row],[Contract amount]]&gt;10000,ListOfExpenditure[[#This Row],[Content.declaredAmount]]&gt;2000),1,0)</f>
        <v>0</v>
      </c>
      <c r="AO1199">
        <f>IFERROR(INDEX('Public procurment'!A:S,MATCH(ListOfExpenditure[[#This Row],[Content.contractId]],'Public procurment'!E:E,0),19),0)</f>
        <v>0</v>
      </c>
      <c r="AP1199">
        <f>IF(ListOfExpenditure[[#This Row],[Numero di volte controllato il contract ]]&gt;0,0,ListOfExpenditure[[#This Row],[IF public procurment &gt;10000;1;0]])</f>
        <v>0</v>
      </c>
    </row>
    <row r="1200" spans="1:42" x14ac:dyDescent="0.25">
      <c r="A1200">
        <v>1845</v>
      </c>
      <c r="B1200">
        <v>3</v>
      </c>
      <c r="E1200" t="s">
        <v>4786</v>
      </c>
      <c r="F1200" t="b">
        <v>0</v>
      </c>
      <c r="I1200" t="s">
        <v>4929</v>
      </c>
      <c r="K1200" t="s">
        <v>4525</v>
      </c>
      <c r="L1200" t="s">
        <v>5744</v>
      </c>
      <c r="M1200" t="s">
        <v>4788</v>
      </c>
      <c r="N1200" t="s">
        <v>4788</v>
      </c>
      <c r="O1200">
        <v>2163.48</v>
      </c>
      <c r="Q1200">
        <v>0</v>
      </c>
      <c r="R1200">
        <v>0</v>
      </c>
      <c r="S1200">
        <v>2163.48</v>
      </c>
      <c r="T1200" t="s">
        <v>4789</v>
      </c>
      <c r="U1200">
        <v>1</v>
      </c>
      <c r="V1200">
        <v>2163.48</v>
      </c>
      <c r="W1200" t="s">
        <v>4343</v>
      </c>
      <c r="Y1200" t="b">
        <v>0</v>
      </c>
      <c r="Z1200" t="b">
        <v>0</v>
      </c>
      <c r="AA1200">
        <v>2163.48</v>
      </c>
      <c r="AB1200">
        <v>0</v>
      </c>
      <c r="AD1200" t="b">
        <v>0</v>
      </c>
      <c r="AG1200" s="1" t="s">
        <v>63</v>
      </c>
      <c r="AH1200" s="1" t="s">
        <v>37</v>
      </c>
      <c r="AI1200">
        <v>288</v>
      </c>
      <c r="AJ1200">
        <v>266</v>
      </c>
      <c r="AK1200" s="106">
        <v>45475.635536805552</v>
      </c>
      <c r="AL1200" s="1" t="s">
        <v>4790</v>
      </c>
      <c r="AM1200" s="42">
        <f>IFERROR(INDEX('Public procurment'!A:R,MATCH(ListOfExpenditure[[#This Row],[Content.contractId]],'Public procurment'!E:E,0),14),0)</f>
        <v>0</v>
      </c>
      <c r="AN1200" s="2">
        <f>IF(AND(ListOfExpenditure[[#This Row],[Contract amount]]&gt;10000,ListOfExpenditure[[#This Row],[Content.declaredAmount]]&gt;2000),1,0)</f>
        <v>0</v>
      </c>
      <c r="AO1200">
        <f>IFERROR(INDEX('Public procurment'!A:S,MATCH(ListOfExpenditure[[#This Row],[Content.contractId]],'Public procurment'!E:E,0),19),0)</f>
        <v>0</v>
      </c>
      <c r="AP1200">
        <f>IF(ListOfExpenditure[[#This Row],[Numero di volte controllato il contract ]]&gt;0,0,ListOfExpenditure[[#This Row],[IF public procurment &gt;10000;1;0]])</f>
        <v>0</v>
      </c>
    </row>
    <row r="1201" spans="1:42" x14ac:dyDescent="0.25">
      <c r="A1201">
        <v>1847</v>
      </c>
      <c r="B1201">
        <v>4</v>
      </c>
      <c r="E1201" t="s">
        <v>4786</v>
      </c>
      <c r="F1201" t="b">
        <v>0</v>
      </c>
      <c r="I1201" t="s">
        <v>4933</v>
      </c>
      <c r="K1201" t="s">
        <v>4525</v>
      </c>
      <c r="L1201" t="s">
        <v>5744</v>
      </c>
      <c r="M1201" t="s">
        <v>4788</v>
      </c>
      <c r="N1201" t="s">
        <v>4788</v>
      </c>
      <c r="O1201">
        <v>1826.86</v>
      </c>
      <c r="Q1201">
        <v>0</v>
      </c>
      <c r="R1201">
        <v>0</v>
      </c>
      <c r="S1201">
        <v>1826.86</v>
      </c>
      <c r="T1201" t="s">
        <v>4789</v>
      </c>
      <c r="U1201">
        <v>1</v>
      </c>
      <c r="V1201">
        <v>1826.86</v>
      </c>
      <c r="W1201" t="s">
        <v>4343</v>
      </c>
      <c r="Y1201" t="b">
        <v>0</v>
      </c>
      <c r="Z1201" t="b">
        <v>0</v>
      </c>
      <c r="AA1201">
        <v>1826.86</v>
      </c>
      <c r="AB1201">
        <v>0</v>
      </c>
      <c r="AD1201" t="b">
        <v>0</v>
      </c>
      <c r="AG1201" s="1" t="s">
        <v>63</v>
      </c>
      <c r="AH1201" s="1" t="s">
        <v>37</v>
      </c>
      <c r="AI1201">
        <v>288</v>
      </c>
      <c r="AJ1201">
        <v>266</v>
      </c>
      <c r="AK1201" s="106">
        <v>45475.635536805552</v>
      </c>
      <c r="AL1201" s="1" t="s">
        <v>4790</v>
      </c>
      <c r="AM1201" s="42">
        <f>IFERROR(INDEX('Public procurment'!A:R,MATCH(ListOfExpenditure[[#This Row],[Content.contractId]],'Public procurment'!E:E,0),14),0)</f>
        <v>0</v>
      </c>
      <c r="AN1201" s="2">
        <f>IF(AND(ListOfExpenditure[[#This Row],[Contract amount]]&gt;10000,ListOfExpenditure[[#This Row],[Content.declaredAmount]]&gt;2000),1,0)</f>
        <v>0</v>
      </c>
      <c r="AO1201">
        <f>IFERROR(INDEX('Public procurment'!A:S,MATCH(ListOfExpenditure[[#This Row],[Content.contractId]],'Public procurment'!E:E,0),19),0)</f>
        <v>0</v>
      </c>
      <c r="AP1201">
        <f>IF(ListOfExpenditure[[#This Row],[Numero di volte controllato il contract ]]&gt;0,0,ListOfExpenditure[[#This Row],[IF public procurment &gt;10000;1;0]])</f>
        <v>0</v>
      </c>
    </row>
    <row r="1202" spans="1:42" x14ac:dyDescent="0.25">
      <c r="A1202">
        <v>464</v>
      </c>
      <c r="B1202">
        <v>1</v>
      </c>
      <c r="E1202" t="s">
        <v>4786</v>
      </c>
      <c r="F1202" t="b">
        <v>0</v>
      </c>
      <c r="I1202" t="s">
        <v>4922</v>
      </c>
      <c r="K1202" t="s">
        <v>4342</v>
      </c>
      <c r="L1202" t="s">
        <v>4342</v>
      </c>
      <c r="M1202" t="s">
        <v>4788</v>
      </c>
      <c r="N1202" t="s">
        <v>4788</v>
      </c>
      <c r="O1202">
        <v>1565.04</v>
      </c>
      <c r="Q1202">
        <v>0</v>
      </c>
      <c r="R1202">
        <v>0</v>
      </c>
      <c r="S1202">
        <v>1565.04</v>
      </c>
      <c r="T1202" t="s">
        <v>4789</v>
      </c>
      <c r="U1202">
        <v>1</v>
      </c>
      <c r="V1202">
        <v>1565.04</v>
      </c>
      <c r="Y1202" t="b">
        <v>1</v>
      </c>
      <c r="Z1202" t="b">
        <v>0</v>
      </c>
      <c r="AA1202">
        <v>1565.04</v>
      </c>
      <c r="AB1202">
        <v>0</v>
      </c>
      <c r="AD1202" t="b">
        <v>0</v>
      </c>
      <c r="AF1202" t="s">
        <v>5757</v>
      </c>
      <c r="AG1202" s="1" t="s">
        <v>63</v>
      </c>
      <c r="AH1202" s="1" t="s">
        <v>37</v>
      </c>
      <c r="AI1202">
        <v>288</v>
      </c>
      <c r="AJ1202">
        <v>49</v>
      </c>
      <c r="AK1202" s="106">
        <v>45475.635440381942</v>
      </c>
      <c r="AL1202" s="1" t="s">
        <v>4790</v>
      </c>
      <c r="AM1202" s="42">
        <f>IFERROR(INDEX('Public procurment'!A:R,MATCH(ListOfExpenditure[[#This Row],[Content.contractId]],'Public procurment'!E:E,0),14),0)</f>
        <v>0</v>
      </c>
      <c r="AN1202" s="2">
        <f>IF(AND(ListOfExpenditure[[#This Row],[Contract amount]]&gt;10000,ListOfExpenditure[[#This Row],[Content.declaredAmount]]&gt;2000),1,0)</f>
        <v>0</v>
      </c>
      <c r="AO1202">
        <f>IFERROR(INDEX('Public procurment'!A:S,MATCH(ListOfExpenditure[[#This Row],[Content.contractId]],'Public procurment'!E:E,0),19),0)</f>
        <v>0</v>
      </c>
      <c r="AP1202">
        <f>IF(ListOfExpenditure[[#This Row],[Numero di volte controllato il contract ]]&gt;0,0,ListOfExpenditure[[#This Row],[IF public procurment &gt;10000;1;0]])</f>
        <v>0</v>
      </c>
    </row>
    <row r="1203" spans="1:42" x14ac:dyDescent="0.25">
      <c r="A1203">
        <v>465</v>
      </c>
      <c r="B1203">
        <v>2</v>
      </c>
      <c r="E1203" t="s">
        <v>4786</v>
      </c>
      <c r="F1203" t="b">
        <v>0</v>
      </c>
      <c r="I1203" t="s">
        <v>4926</v>
      </c>
      <c r="K1203" t="s">
        <v>4342</v>
      </c>
      <c r="L1203" t="s">
        <v>4342</v>
      </c>
      <c r="M1203" t="s">
        <v>4788</v>
      </c>
      <c r="N1203" t="s">
        <v>4788</v>
      </c>
      <c r="O1203">
        <v>2605.62</v>
      </c>
      <c r="Q1203">
        <v>0</v>
      </c>
      <c r="R1203">
        <v>0</v>
      </c>
      <c r="S1203">
        <v>2605.62</v>
      </c>
      <c r="T1203" t="s">
        <v>4789</v>
      </c>
      <c r="U1203">
        <v>1</v>
      </c>
      <c r="V1203">
        <v>2605.62</v>
      </c>
      <c r="Y1203" t="b">
        <v>1</v>
      </c>
      <c r="Z1203" t="b">
        <v>0</v>
      </c>
      <c r="AA1203">
        <v>2605.62</v>
      </c>
      <c r="AB1203">
        <v>0</v>
      </c>
      <c r="AD1203" t="b">
        <v>0</v>
      </c>
      <c r="AF1203" t="s">
        <v>5757</v>
      </c>
      <c r="AG1203" s="1" t="s">
        <v>63</v>
      </c>
      <c r="AH1203" s="1" t="s">
        <v>37</v>
      </c>
      <c r="AI1203">
        <v>288</v>
      </c>
      <c r="AJ1203">
        <v>49</v>
      </c>
      <c r="AK1203" s="106">
        <v>45475.635440381942</v>
      </c>
      <c r="AL1203" s="1" t="s">
        <v>4790</v>
      </c>
      <c r="AM1203" s="42">
        <f>IFERROR(INDEX('Public procurment'!A:R,MATCH(ListOfExpenditure[[#This Row],[Content.contractId]],'Public procurment'!E:E,0),14),0)</f>
        <v>0</v>
      </c>
      <c r="AN1203" s="2">
        <f>IF(AND(ListOfExpenditure[[#This Row],[Contract amount]]&gt;10000,ListOfExpenditure[[#This Row],[Content.declaredAmount]]&gt;2000),1,0)</f>
        <v>0</v>
      </c>
      <c r="AO1203">
        <f>IFERROR(INDEX('Public procurment'!A:S,MATCH(ListOfExpenditure[[#This Row],[Content.contractId]],'Public procurment'!E:E,0),19),0)</f>
        <v>0</v>
      </c>
      <c r="AP1203">
        <f>IF(ListOfExpenditure[[#This Row],[Numero di volte controllato il contract ]]&gt;0,0,ListOfExpenditure[[#This Row],[IF public procurment &gt;10000;1;0]])</f>
        <v>0</v>
      </c>
    </row>
    <row r="1204" spans="1:42" x14ac:dyDescent="0.25">
      <c r="A1204">
        <v>466</v>
      </c>
      <c r="B1204">
        <v>3</v>
      </c>
      <c r="E1204" t="s">
        <v>4786</v>
      </c>
      <c r="F1204" t="b">
        <v>0</v>
      </c>
      <c r="I1204" t="s">
        <v>4929</v>
      </c>
      <c r="K1204" t="s">
        <v>4342</v>
      </c>
      <c r="L1204" t="s">
        <v>4342</v>
      </c>
      <c r="M1204" t="s">
        <v>4788</v>
      </c>
      <c r="N1204" t="s">
        <v>4788</v>
      </c>
      <c r="O1204">
        <v>1082.0999999999999</v>
      </c>
      <c r="Q1204">
        <v>0</v>
      </c>
      <c r="R1204">
        <v>0</v>
      </c>
      <c r="S1204">
        <v>1082.0999999999999</v>
      </c>
      <c r="T1204" t="s">
        <v>4789</v>
      </c>
      <c r="U1204">
        <v>1</v>
      </c>
      <c r="V1204">
        <v>1082.0999999999999</v>
      </c>
      <c r="Y1204" t="b">
        <v>1</v>
      </c>
      <c r="Z1204" t="b">
        <v>0</v>
      </c>
      <c r="AA1204">
        <v>1082.0999999999999</v>
      </c>
      <c r="AB1204">
        <v>0</v>
      </c>
      <c r="AD1204" t="b">
        <v>0</v>
      </c>
      <c r="AF1204" t="s">
        <v>5757</v>
      </c>
      <c r="AG1204" s="1" t="s">
        <v>63</v>
      </c>
      <c r="AH1204" s="1" t="s">
        <v>37</v>
      </c>
      <c r="AI1204">
        <v>288</v>
      </c>
      <c r="AJ1204">
        <v>49</v>
      </c>
      <c r="AK1204" s="106">
        <v>45475.635440381942</v>
      </c>
      <c r="AL1204" s="1" t="s">
        <v>4790</v>
      </c>
      <c r="AM1204" s="42">
        <f>IFERROR(INDEX('Public procurment'!A:R,MATCH(ListOfExpenditure[[#This Row],[Content.contractId]],'Public procurment'!E:E,0),14),0)</f>
        <v>0</v>
      </c>
      <c r="AN1204" s="2">
        <f>IF(AND(ListOfExpenditure[[#This Row],[Contract amount]]&gt;10000,ListOfExpenditure[[#This Row],[Content.declaredAmount]]&gt;2000),1,0)</f>
        <v>0</v>
      </c>
      <c r="AO1204">
        <f>IFERROR(INDEX('Public procurment'!A:S,MATCH(ListOfExpenditure[[#This Row],[Content.contractId]],'Public procurment'!E:E,0),19),0)</f>
        <v>0</v>
      </c>
      <c r="AP1204">
        <f>IF(ListOfExpenditure[[#This Row],[Numero di volte controllato il contract ]]&gt;0,0,ListOfExpenditure[[#This Row],[IF public procurment &gt;10000;1;0]])</f>
        <v>0</v>
      </c>
    </row>
    <row r="1205" spans="1:42" x14ac:dyDescent="0.25">
      <c r="A1205">
        <v>467</v>
      </c>
      <c r="B1205">
        <v>4</v>
      </c>
      <c r="E1205" t="s">
        <v>4786</v>
      </c>
      <c r="F1205" t="b">
        <v>0</v>
      </c>
      <c r="I1205" t="s">
        <v>4933</v>
      </c>
      <c r="K1205" t="s">
        <v>4342</v>
      </c>
      <c r="L1205" t="s">
        <v>4342</v>
      </c>
      <c r="M1205" t="s">
        <v>4788</v>
      </c>
      <c r="N1205" t="s">
        <v>4788</v>
      </c>
      <c r="O1205">
        <v>1666.65</v>
      </c>
      <c r="Q1205">
        <v>0</v>
      </c>
      <c r="R1205">
        <v>0</v>
      </c>
      <c r="S1205">
        <v>1666.65</v>
      </c>
      <c r="T1205" t="s">
        <v>4789</v>
      </c>
      <c r="U1205">
        <v>1</v>
      </c>
      <c r="V1205">
        <v>1666.65</v>
      </c>
      <c r="Y1205" t="b">
        <v>1</v>
      </c>
      <c r="Z1205" t="b">
        <v>0</v>
      </c>
      <c r="AA1205">
        <v>1666.65</v>
      </c>
      <c r="AB1205">
        <v>0</v>
      </c>
      <c r="AD1205" t="b">
        <v>0</v>
      </c>
      <c r="AF1205" t="s">
        <v>5757</v>
      </c>
      <c r="AG1205" s="1" t="s">
        <v>63</v>
      </c>
      <c r="AH1205" s="1" t="s">
        <v>37</v>
      </c>
      <c r="AI1205">
        <v>288</v>
      </c>
      <c r="AJ1205">
        <v>49</v>
      </c>
      <c r="AK1205" s="106">
        <v>45475.635440381942</v>
      </c>
      <c r="AL1205" s="1" t="s">
        <v>4790</v>
      </c>
      <c r="AM1205" s="42">
        <f>IFERROR(INDEX('Public procurment'!A:R,MATCH(ListOfExpenditure[[#This Row],[Content.contractId]],'Public procurment'!E:E,0),14),0)</f>
        <v>0</v>
      </c>
      <c r="AN1205" s="2">
        <f>IF(AND(ListOfExpenditure[[#This Row],[Contract amount]]&gt;10000,ListOfExpenditure[[#This Row],[Content.declaredAmount]]&gt;2000),1,0)</f>
        <v>0</v>
      </c>
      <c r="AO1205">
        <f>IFERROR(INDEX('Public procurment'!A:S,MATCH(ListOfExpenditure[[#This Row],[Content.contractId]],'Public procurment'!E:E,0),19),0)</f>
        <v>0</v>
      </c>
      <c r="AP1205">
        <f>IF(ListOfExpenditure[[#This Row],[Numero di volte controllato il contract ]]&gt;0,0,ListOfExpenditure[[#This Row],[IF public procurment &gt;10000;1;0]])</f>
        <v>0</v>
      </c>
    </row>
    <row r="1206" spans="1:42" x14ac:dyDescent="0.25">
      <c r="A1206">
        <v>2125</v>
      </c>
      <c r="B1206">
        <v>1</v>
      </c>
      <c r="E1206" t="s">
        <v>4786</v>
      </c>
      <c r="F1206" t="b">
        <v>1</v>
      </c>
      <c r="I1206" t="s">
        <v>212</v>
      </c>
      <c r="M1206" t="s">
        <v>4788</v>
      </c>
      <c r="N1206" t="s">
        <v>4788</v>
      </c>
      <c r="O1206">
        <v>0</v>
      </c>
      <c r="Q1206">
        <v>0</v>
      </c>
      <c r="R1206">
        <v>0</v>
      </c>
      <c r="S1206">
        <v>0</v>
      </c>
      <c r="T1206" t="s">
        <v>4789</v>
      </c>
      <c r="U1206">
        <v>1</v>
      </c>
      <c r="V1206">
        <v>0</v>
      </c>
      <c r="Y1206" t="b">
        <v>0</v>
      </c>
      <c r="Z1206" t="b">
        <v>0</v>
      </c>
      <c r="AA1206">
        <v>0</v>
      </c>
      <c r="AB1206">
        <v>0</v>
      </c>
      <c r="AD1206" t="b">
        <v>0</v>
      </c>
      <c r="AG1206" s="1" t="s">
        <v>63</v>
      </c>
      <c r="AH1206" s="1" t="s">
        <v>4548</v>
      </c>
      <c r="AI1206">
        <v>286</v>
      </c>
      <c r="AJ1206">
        <v>45</v>
      </c>
      <c r="AK1206" s="106">
        <v>45475.635551435182</v>
      </c>
      <c r="AL1206" s="1" t="s">
        <v>4790</v>
      </c>
      <c r="AM1206" s="42">
        <f>IFERROR(INDEX('Public procurment'!A:R,MATCH(ListOfExpenditure[[#This Row],[Content.contractId]],'Public procurment'!E:E,0),14),0)</f>
        <v>0</v>
      </c>
      <c r="AN1206" s="2">
        <f>IF(AND(ListOfExpenditure[[#This Row],[Contract amount]]&gt;10000,ListOfExpenditure[[#This Row],[Content.declaredAmount]]&gt;2000),1,0)</f>
        <v>0</v>
      </c>
      <c r="AO1206">
        <f>IFERROR(INDEX('Public procurment'!A:S,MATCH(ListOfExpenditure[[#This Row],[Content.contractId]],'Public procurment'!E:E,0),19),0)</f>
        <v>0</v>
      </c>
      <c r="AP1206">
        <f>IF(ListOfExpenditure[[#This Row],[Numero di volte controllato il contract ]]&gt;0,0,ListOfExpenditure[[#This Row],[IF public procurment &gt;10000;1;0]])</f>
        <v>0</v>
      </c>
    </row>
    <row r="1207" spans="1:42" x14ac:dyDescent="0.25">
      <c r="A1207">
        <v>551</v>
      </c>
      <c r="B1207">
        <v>1</v>
      </c>
      <c r="E1207" t="s">
        <v>4786</v>
      </c>
      <c r="F1207" t="b">
        <v>1</v>
      </c>
      <c r="I1207" t="s">
        <v>212</v>
      </c>
      <c r="M1207" t="s">
        <v>4788</v>
      </c>
      <c r="N1207" t="s">
        <v>4788</v>
      </c>
      <c r="O1207">
        <v>0</v>
      </c>
      <c r="Q1207">
        <v>0</v>
      </c>
      <c r="R1207">
        <v>0</v>
      </c>
      <c r="S1207">
        <v>0</v>
      </c>
      <c r="T1207" t="s">
        <v>4789</v>
      </c>
      <c r="U1207">
        <v>1</v>
      </c>
      <c r="V1207">
        <v>0</v>
      </c>
      <c r="Y1207" t="b">
        <v>0</v>
      </c>
      <c r="Z1207" t="b">
        <v>0</v>
      </c>
      <c r="AA1207">
        <v>0</v>
      </c>
      <c r="AB1207">
        <v>0</v>
      </c>
      <c r="AD1207" t="b">
        <v>0</v>
      </c>
      <c r="AG1207" s="1" t="s">
        <v>63</v>
      </c>
      <c r="AH1207" s="1" t="s">
        <v>4548</v>
      </c>
      <c r="AI1207">
        <v>286</v>
      </c>
      <c r="AJ1207">
        <v>99</v>
      </c>
      <c r="AK1207" s="106">
        <v>45475.635444594911</v>
      </c>
      <c r="AL1207" s="1" t="s">
        <v>4790</v>
      </c>
      <c r="AM1207" s="42">
        <f>IFERROR(INDEX('Public procurment'!A:R,MATCH(ListOfExpenditure[[#This Row],[Content.contractId]],'Public procurment'!E:E,0),14),0)</f>
        <v>0</v>
      </c>
      <c r="AN1207" s="2">
        <f>IF(AND(ListOfExpenditure[[#This Row],[Contract amount]]&gt;10000,ListOfExpenditure[[#This Row],[Content.declaredAmount]]&gt;2000),1,0)</f>
        <v>0</v>
      </c>
      <c r="AO1207">
        <f>IFERROR(INDEX('Public procurment'!A:S,MATCH(ListOfExpenditure[[#This Row],[Content.contractId]],'Public procurment'!E:E,0),19),0)</f>
        <v>0</v>
      </c>
      <c r="AP1207">
        <f>IF(ListOfExpenditure[[#This Row],[Numero di volte controllato il contract ]]&gt;0,0,ListOfExpenditure[[#This Row],[IF public procurment &gt;10000;1;0]])</f>
        <v>0</v>
      </c>
    </row>
    <row r="1208" spans="1:42" x14ac:dyDescent="0.25">
      <c r="A1208">
        <v>1851</v>
      </c>
      <c r="B1208">
        <v>1</v>
      </c>
      <c r="E1208" t="s">
        <v>4786</v>
      </c>
      <c r="F1208" t="b">
        <v>1</v>
      </c>
      <c r="I1208" t="s">
        <v>6160</v>
      </c>
      <c r="K1208" t="s">
        <v>4555</v>
      </c>
      <c r="L1208" t="s">
        <v>4835</v>
      </c>
      <c r="M1208" t="s">
        <v>4788</v>
      </c>
      <c r="N1208" t="s">
        <v>4788</v>
      </c>
      <c r="O1208">
        <v>6077.76</v>
      </c>
      <c r="Q1208">
        <v>0</v>
      </c>
      <c r="R1208">
        <v>0</v>
      </c>
      <c r="S1208">
        <v>1003.18</v>
      </c>
      <c r="T1208" t="s">
        <v>4789</v>
      </c>
      <c r="U1208">
        <v>1</v>
      </c>
      <c r="V1208">
        <v>1003.18</v>
      </c>
      <c r="W1208" t="s">
        <v>4343</v>
      </c>
      <c r="Y1208" t="b">
        <v>1</v>
      </c>
      <c r="Z1208" t="b">
        <v>0</v>
      </c>
      <c r="AA1208">
        <v>1003.18</v>
      </c>
      <c r="AB1208">
        <v>0</v>
      </c>
      <c r="AD1208" t="b">
        <v>0</v>
      </c>
      <c r="AG1208" s="1" t="s">
        <v>63</v>
      </c>
      <c r="AH1208" s="1" t="s">
        <v>51</v>
      </c>
      <c r="AI1208">
        <v>287</v>
      </c>
      <c r="AJ1208">
        <v>326</v>
      </c>
      <c r="AK1208" s="106">
        <v>45475.635549189814</v>
      </c>
      <c r="AL1208" s="1" t="s">
        <v>4790</v>
      </c>
      <c r="AM1208" s="42">
        <f>IFERROR(INDEX('Public procurment'!A:R,MATCH(ListOfExpenditure[[#This Row],[Content.contractId]],'Public procurment'!E:E,0),14),0)</f>
        <v>0</v>
      </c>
      <c r="AN1208" s="2">
        <f>IF(AND(ListOfExpenditure[[#This Row],[Contract amount]]&gt;10000,ListOfExpenditure[[#This Row],[Content.declaredAmount]]&gt;2000),1,0)</f>
        <v>0</v>
      </c>
      <c r="AO1208">
        <f>IFERROR(INDEX('Public procurment'!A:S,MATCH(ListOfExpenditure[[#This Row],[Content.contractId]],'Public procurment'!E:E,0),19),0)</f>
        <v>0</v>
      </c>
      <c r="AP1208">
        <f>IF(ListOfExpenditure[[#This Row],[Numero di volte controllato il contract ]]&gt;0,0,ListOfExpenditure[[#This Row],[IF public procurment &gt;10000;1;0]])</f>
        <v>0</v>
      </c>
    </row>
    <row r="1209" spans="1:42" x14ac:dyDescent="0.25">
      <c r="A1209">
        <v>1852</v>
      </c>
      <c r="B1209">
        <v>2</v>
      </c>
      <c r="E1209" t="s">
        <v>4786</v>
      </c>
      <c r="F1209" t="b">
        <v>1</v>
      </c>
      <c r="I1209" t="s">
        <v>6161</v>
      </c>
      <c r="K1209" t="s">
        <v>6162</v>
      </c>
      <c r="L1209" t="s">
        <v>4977</v>
      </c>
      <c r="M1209" t="s">
        <v>4788</v>
      </c>
      <c r="N1209" t="s">
        <v>4788</v>
      </c>
      <c r="O1209">
        <v>5744.52</v>
      </c>
      <c r="Q1209">
        <v>0</v>
      </c>
      <c r="R1209">
        <v>0</v>
      </c>
      <c r="S1209">
        <v>1003.18</v>
      </c>
      <c r="T1209" t="s">
        <v>4789</v>
      </c>
      <c r="U1209">
        <v>1</v>
      </c>
      <c r="V1209">
        <v>1003.18</v>
      </c>
      <c r="W1209" t="s">
        <v>4343</v>
      </c>
      <c r="Y1209" t="b">
        <v>0</v>
      </c>
      <c r="Z1209" t="b">
        <v>0</v>
      </c>
      <c r="AA1209">
        <v>1003.18</v>
      </c>
      <c r="AB1209">
        <v>0</v>
      </c>
      <c r="AD1209" t="b">
        <v>0</v>
      </c>
      <c r="AG1209" s="1" t="s">
        <v>63</v>
      </c>
      <c r="AH1209" s="1" t="s">
        <v>51</v>
      </c>
      <c r="AI1209">
        <v>287</v>
      </c>
      <c r="AJ1209">
        <v>326</v>
      </c>
      <c r="AK1209" s="106">
        <v>45475.635549189814</v>
      </c>
      <c r="AL1209" s="1" t="s">
        <v>4790</v>
      </c>
      <c r="AM1209" s="42">
        <f>IFERROR(INDEX('Public procurment'!A:R,MATCH(ListOfExpenditure[[#This Row],[Content.contractId]],'Public procurment'!E:E,0),14),0)</f>
        <v>0</v>
      </c>
      <c r="AN1209" s="2">
        <f>IF(AND(ListOfExpenditure[[#This Row],[Contract amount]]&gt;10000,ListOfExpenditure[[#This Row],[Content.declaredAmount]]&gt;2000),1,0)</f>
        <v>0</v>
      </c>
      <c r="AO1209">
        <f>IFERROR(INDEX('Public procurment'!A:S,MATCH(ListOfExpenditure[[#This Row],[Content.contractId]],'Public procurment'!E:E,0),19),0)</f>
        <v>0</v>
      </c>
      <c r="AP1209">
        <f>IF(ListOfExpenditure[[#This Row],[Numero di volte controllato il contract ]]&gt;0,0,ListOfExpenditure[[#This Row],[IF public procurment &gt;10000;1;0]])</f>
        <v>0</v>
      </c>
    </row>
    <row r="1210" spans="1:42" x14ac:dyDescent="0.25">
      <c r="A1210">
        <v>1853</v>
      </c>
      <c r="B1210">
        <v>3</v>
      </c>
      <c r="E1210" t="s">
        <v>4786</v>
      </c>
      <c r="F1210" t="b">
        <v>1</v>
      </c>
      <c r="I1210" t="s">
        <v>6163</v>
      </c>
      <c r="K1210" t="s">
        <v>4955</v>
      </c>
      <c r="L1210" t="s">
        <v>6164</v>
      </c>
      <c r="M1210" t="s">
        <v>4788</v>
      </c>
      <c r="N1210" t="s">
        <v>4788</v>
      </c>
      <c r="O1210">
        <v>6094.42</v>
      </c>
      <c r="Q1210">
        <v>0</v>
      </c>
      <c r="R1210">
        <v>0</v>
      </c>
      <c r="S1210">
        <v>1003.18</v>
      </c>
      <c r="T1210" t="s">
        <v>4789</v>
      </c>
      <c r="U1210">
        <v>1</v>
      </c>
      <c r="V1210">
        <v>1003.18</v>
      </c>
      <c r="W1210" t="s">
        <v>4343</v>
      </c>
      <c r="Y1210" t="b">
        <v>1</v>
      </c>
      <c r="Z1210" t="b">
        <v>0</v>
      </c>
      <c r="AA1210">
        <v>1003.18</v>
      </c>
      <c r="AB1210">
        <v>0</v>
      </c>
      <c r="AD1210" t="b">
        <v>0</v>
      </c>
      <c r="AG1210" s="1" t="s">
        <v>63</v>
      </c>
      <c r="AH1210" s="1" t="s">
        <v>51</v>
      </c>
      <c r="AI1210">
        <v>287</v>
      </c>
      <c r="AJ1210">
        <v>326</v>
      </c>
      <c r="AK1210" s="106">
        <v>45475.635549189814</v>
      </c>
      <c r="AL1210" s="1" t="s">
        <v>4790</v>
      </c>
      <c r="AM1210" s="42">
        <f>IFERROR(INDEX('Public procurment'!A:R,MATCH(ListOfExpenditure[[#This Row],[Content.contractId]],'Public procurment'!E:E,0),14),0)</f>
        <v>0</v>
      </c>
      <c r="AN1210" s="2">
        <f>IF(AND(ListOfExpenditure[[#This Row],[Contract amount]]&gt;10000,ListOfExpenditure[[#This Row],[Content.declaredAmount]]&gt;2000),1,0)</f>
        <v>0</v>
      </c>
      <c r="AO1210">
        <f>IFERROR(INDEX('Public procurment'!A:S,MATCH(ListOfExpenditure[[#This Row],[Content.contractId]],'Public procurment'!E:E,0),19),0)</f>
        <v>0</v>
      </c>
      <c r="AP1210">
        <f>IF(ListOfExpenditure[[#This Row],[Numero di volte controllato il contract ]]&gt;0,0,ListOfExpenditure[[#This Row],[IF public procurment &gt;10000;1;0]])</f>
        <v>0</v>
      </c>
    </row>
    <row r="1211" spans="1:42" x14ac:dyDescent="0.25">
      <c r="A1211">
        <v>1854</v>
      </c>
      <c r="B1211">
        <v>4</v>
      </c>
      <c r="E1211" t="s">
        <v>4786</v>
      </c>
      <c r="F1211" t="b">
        <v>1</v>
      </c>
      <c r="I1211" t="s">
        <v>6165</v>
      </c>
      <c r="K1211" t="s">
        <v>5239</v>
      </c>
      <c r="L1211" t="s">
        <v>5239</v>
      </c>
      <c r="M1211" t="s">
        <v>4788</v>
      </c>
      <c r="N1211" t="s">
        <v>4788</v>
      </c>
      <c r="O1211">
        <v>6076.22</v>
      </c>
      <c r="Q1211">
        <v>0</v>
      </c>
      <c r="R1211">
        <v>0</v>
      </c>
      <c r="S1211">
        <v>1003.18</v>
      </c>
      <c r="T1211" t="s">
        <v>4789</v>
      </c>
      <c r="U1211">
        <v>1</v>
      </c>
      <c r="V1211">
        <v>1003.18</v>
      </c>
      <c r="W1211" t="s">
        <v>4343</v>
      </c>
      <c r="Y1211" t="b">
        <v>0</v>
      </c>
      <c r="Z1211" t="b">
        <v>0</v>
      </c>
      <c r="AA1211">
        <v>1003.18</v>
      </c>
      <c r="AB1211">
        <v>0</v>
      </c>
      <c r="AD1211" t="b">
        <v>0</v>
      </c>
      <c r="AG1211" s="1" t="s">
        <v>63</v>
      </c>
      <c r="AH1211" s="1" t="s">
        <v>51</v>
      </c>
      <c r="AI1211">
        <v>287</v>
      </c>
      <c r="AJ1211">
        <v>326</v>
      </c>
      <c r="AK1211" s="106">
        <v>45475.635549189814</v>
      </c>
      <c r="AL1211" s="1" t="s">
        <v>4790</v>
      </c>
      <c r="AM1211" s="42">
        <f>IFERROR(INDEX('Public procurment'!A:R,MATCH(ListOfExpenditure[[#This Row],[Content.contractId]],'Public procurment'!E:E,0),14),0)</f>
        <v>0</v>
      </c>
      <c r="AN1211" s="2">
        <f>IF(AND(ListOfExpenditure[[#This Row],[Contract amount]]&gt;10000,ListOfExpenditure[[#This Row],[Content.declaredAmount]]&gt;2000),1,0)</f>
        <v>0</v>
      </c>
      <c r="AO1211">
        <f>IFERROR(INDEX('Public procurment'!A:S,MATCH(ListOfExpenditure[[#This Row],[Content.contractId]],'Public procurment'!E:E,0),19),0)</f>
        <v>0</v>
      </c>
      <c r="AP1211">
        <f>IF(ListOfExpenditure[[#This Row],[Numero di volte controllato il contract ]]&gt;0,0,ListOfExpenditure[[#This Row],[IF public procurment &gt;10000;1;0]])</f>
        <v>0</v>
      </c>
    </row>
    <row r="1212" spans="1:42" x14ac:dyDescent="0.25">
      <c r="A1212">
        <v>1855</v>
      </c>
      <c r="B1212">
        <v>5</v>
      </c>
      <c r="E1212" t="s">
        <v>4786</v>
      </c>
      <c r="F1212" t="b">
        <v>1</v>
      </c>
      <c r="I1212" t="s">
        <v>6166</v>
      </c>
      <c r="K1212" t="s">
        <v>4905</v>
      </c>
      <c r="L1212" t="s">
        <v>5130</v>
      </c>
      <c r="M1212" t="s">
        <v>4788</v>
      </c>
      <c r="N1212" t="s">
        <v>4788</v>
      </c>
      <c r="O1212">
        <v>4398.49</v>
      </c>
      <c r="Q1212">
        <v>0</v>
      </c>
      <c r="R1212">
        <v>0</v>
      </c>
      <c r="S1212">
        <v>1003.18</v>
      </c>
      <c r="T1212" t="s">
        <v>4789</v>
      </c>
      <c r="U1212">
        <v>1</v>
      </c>
      <c r="V1212">
        <v>1003.18</v>
      </c>
      <c r="W1212" t="s">
        <v>4343</v>
      </c>
      <c r="Y1212" t="b">
        <v>1</v>
      </c>
      <c r="Z1212" t="b">
        <v>0</v>
      </c>
      <c r="AA1212">
        <v>1003.18</v>
      </c>
      <c r="AB1212">
        <v>0</v>
      </c>
      <c r="AD1212" t="b">
        <v>0</v>
      </c>
      <c r="AG1212" s="1" t="s">
        <v>63</v>
      </c>
      <c r="AH1212" s="1" t="s">
        <v>51</v>
      </c>
      <c r="AI1212">
        <v>287</v>
      </c>
      <c r="AJ1212">
        <v>326</v>
      </c>
      <c r="AK1212" s="106">
        <v>45475.635549189814</v>
      </c>
      <c r="AL1212" s="1" t="s">
        <v>4790</v>
      </c>
      <c r="AM1212" s="42">
        <f>IFERROR(INDEX('Public procurment'!A:R,MATCH(ListOfExpenditure[[#This Row],[Content.contractId]],'Public procurment'!E:E,0),14),0)</f>
        <v>0</v>
      </c>
      <c r="AN1212" s="2">
        <f>IF(AND(ListOfExpenditure[[#This Row],[Contract amount]]&gt;10000,ListOfExpenditure[[#This Row],[Content.declaredAmount]]&gt;2000),1,0)</f>
        <v>0</v>
      </c>
      <c r="AO1212">
        <f>IFERROR(INDEX('Public procurment'!A:S,MATCH(ListOfExpenditure[[#This Row],[Content.contractId]],'Public procurment'!E:E,0),19),0)</f>
        <v>0</v>
      </c>
      <c r="AP1212">
        <f>IF(ListOfExpenditure[[#This Row],[Numero di volte controllato il contract ]]&gt;0,0,ListOfExpenditure[[#This Row],[IF public procurment &gt;10000;1;0]])</f>
        <v>0</v>
      </c>
    </row>
    <row r="1213" spans="1:42" x14ac:dyDescent="0.25">
      <c r="A1213">
        <v>1856</v>
      </c>
      <c r="B1213">
        <v>6</v>
      </c>
      <c r="E1213" t="s">
        <v>4786</v>
      </c>
      <c r="F1213" t="b">
        <v>1</v>
      </c>
      <c r="I1213" t="s">
        <v>6167</v>
      </c>
      <c r="K1213" t="s">
        <v>4555</v>
      </c>
      <c r="L1213" t="s">
        <v>4835</v>
      </c>
      <c r="M1213" t="s">
        <v>4788</v>
      </c>
      <c r="N1213" t="s">
        <v>4788</v>
      </c>
      <c r="O1213">
        <v>2381.71</v>
      </c>
      <c r="Q1213">
        <v>0</v>
      </c>
      <c r="R1213">
        <v>0</v>
      </c>
      <c r="S1213">
        <v>296.02999999999997</v>
      </c>
      <c r="T1213" t="s">
        <v>4789</v>
      </c>
      <c r="U1213">
        <v>1</v>
      </c>
      <c r="V1213">
        <v>296.02999999999997</v>
      </c>
      <c r="W1213" t="s">
        <v>4343</v>
      </c>
      <c r="Y1213" t="b">
        <v>1</v>
      </c>
      <c r="Z1213" t="b">
        <v>0</v>
      </c>
      <c r="AA1213">
        <v>296.02999999999997</v>
      </c>
      <c r="AB1213">
        <v>0</v>
      </c>
      <c r="AD1213" t="b">
        <v>0</v>
      </c>
      <c r="AG1213" s="1" t="s">
        <v>63</v>
      </c>
      <c r="AH1213" s="1" t="s">
        <v>51</v>
      </c>
      <c r="AI1213">
        <v>287</v>
      </c>
      <c r="AJ1213">
        <v>326</v>
      </c>
      <c r="AK1213" s="106">
        <v>45475.635549189814</v>
      </c>
      <c r="AL1213" s="1" t="s">
        <v>4790</v>
      </c>
      <c r="AM1213" s="42">
        <f>IFERROR(INDEX('Public procurment'!A:R,MATCH(ListOfExpenditure[[#This Row],[Content.contractId]],'Public procurment'!E:E,0),14),0)</f>
        <v>0</v>
      </c>
      <c r="AN1213" s="2">
        <f>IF(AND(ListOfExpenditure[[#This Row],[Contract amount]]&gt;10000,ListOfExpenditure[[#This Row],[Content.declaredAmount]]&gt;2000),1,0)</f>
        <v>0</v>
      </c>
      <c r="AO1213">
        <f>IFERROR(INDEX('Public procurment'!A:S,MATCH(ListOfExpenditure[[#This Row],[Content.contractId]],'Public procurment'!E:E,0),19),0)</f>
        <v>0</v>
      </c>
      <c r="AP1213">
        <f>IF(ListOfExpenditure[[#This Row],[Numero di volte controllato il contract ]]&gt;0,0,ListOfExpenditure[[#This Row],[IF public procurment &gt;10000;1;0]])</f>
        <v>0</v>
      </c>
    </row>
    <row r="1214" spans="1:42" x14ac:dyDescent="0.25">
      <c r="A1214">
        <v>1857</v>
      </c>
      <c r="B1214">
        <v>7</v>
      </c>
      <c r="E1214" t="s">
        <v>4786</v>
      </c>
      <c r="F1214" t="b">
        <v>1</v>
      </c>
      <c r="I1214" t="s">
        <v>6168</v>
      </c>
      <c r="K1214" t="s">
        <v>6162</v>
      </c>
      <c r="L1214" t="s">
        <v>4977</v>
      </c>
      <c r="M1214" t="s">
        <v>4788</v>
      </c>
      <c r="N1214" t="s">
        <v>4788</v>
      </c>
      <c r="O1214">
        <v>2162.3200000000002</v>
      </c>
      <c r="Q1214">
        <v>0</v>
      </c>
      <c r="R1214">
        <v>0</v>
      </c>
      <c r="S1214">
        <v>296.02999999999997</v>
      </c>
      <c r="T1214" t="s">
        <v>4789</v>
      </c>
      <c r="U1214">
        <v>1</v>
      </c>
      <c r="V1214">
        <v>296.02999999999997</v>
      </c>
      <c r="W1214" t="s">
        <v>4343</v>
      </c>
      <c r="Y1214" t="b">
        <v>0</v>
      </c>
      <c r="Z1214" t="b">
        <v>0</v>
      </c>
      <c r="AA1214">
        <v>296.02999999999997</v>
      </c>
      <c r="AB1214">
        <v>0</v>
      </c>
      <c r="AD1214" t="b">
        <v>0</v>
      </c>
      <c r="AG1214" s="1" t="s">
        <v>63</v>
      </c>
      <c r="AH1214" s="1" t="s">
        <v>51</v>
      </c>
      <c r="AI1214">
        <v>287</v>
      </c>
      <c r="AJ1214">
        <v>326</v>
      </c>
      <c r="AK1214" s="106">
        <v>45475.635549189814</v>
      </c>
      <c r="AL1214" s="1" t="s">
        <v>4790</v>
      </c>
      <c r="AM1214" s="42">
        <f>IFERROR(INDEX('Public procurment'!A:R,MATCH(ListOfExpenditure[[#This Row],[Content.contractId]],'Public procurment'!E:E,0),14),0)</f>
        <v>0</v>
      </c>
      <c r="AN1214" s="2">
        <f>IF(AND(ListOfExpenditure[[#This Row],[Contract amount]]&gt;10000,ListOfExpenditure[[#This Row],[Content.declaredAmount]]&gt;2000),1,0)</f>
        <v>0</v>
      </c>
      <c r="AO1214">
        <f>IFERROR(INDEX('Public procurment'!A:S,MATCH(ListOfExpenditure[[#This Row],[Content.contractId]],'Public procurment'!E:E,0),19),0)</f>
        <v>0</v>
      </c>
      <c r="AP1214">
        <f>IF(ListOfExpenditure[[#This Row],[Numero di volte controllato il contract ]]&gt;0,0,ListOfExpenditure[[#This Row],[IF public procurment &gt;10000;1;0]])</f>
        <v>0</v>
      </c>
    </row>
    <row r="1215" spans="1:42" x14ac:dyDescent="0.25">
      <c r="A1215">
        <v>1858</v>
      </c>
      <c r="B1215">
        <v>8</v>
      </c>
      <c r="E1215" t="s">
        <v>4786</v>
      </c>
      <c r="F1215" t="b">
        <v>1</v>
      </c>
      <c r="I1215" t="s">
        <v>6169</v>
      </c>
      <c r="K1215" t="s">
        <v>4955</v>
      </c>
      <c r="L1215" t="s">
        <v>6164</v>
      </c>
      <c r="M1215" t="s">
        <v>4788</v>
      </c>
      <c r="N1215" t="s">
        <v>4788</v>
      </c>
      <c r="O1215">
        <v>2143.69</v>
      </c>
      <c r="Q1215">
        <v>0</v>
      </c>
      <c r="R1215">
        <v>0</v>
      </c>
      <c r="S1215">
        <v>296.02999999999997</v>
      </c>
      <c r="T1215" t="s">
        <v>4789</v>
      </c>
      <c r="U1215">
        <v>1</v>
      </c>
      <c r="V1215">
        <v>296.02999999999997</v>
      </c>
      <c r="W1215" t="s">
        <v>4343</v>
      </c>
      <c r="Y1215" t="b">
        <v>0</v>
      </c>
      <c r="Z1215" t="b">
        <v>0</v>
      </c>
      <c r="AA1215">
        <v>296.02999999999997</v>
      </c>
      <c r="AB1215">
        <v>0</v>
      </c>
      <c r="AD1215" t="b">
        <v>0</v>
      </c>
      <c r="AG1215" s="1" t="s">
        <v>63</v>
      </c>
      <c r="AH1215" s="1" t="s">
        <v>51</v>
      </c>
      <c r="AI1215">
        <v>287</v>
      </c>
      <c r="AJ1215">
        <v>326</v>
      </c>
      <c r="AK1215" s="106">
        <v>45475.635549189814</v>
      </c>
      <c r="AL1215" s="1" t="s">
        <v>4790</v>
      </c>
      <c r="AM1215" s="42">
        <f>IFERROR(INDEX('Public procurment'!A:R,MATCH(ListOfExpenditure[[#This Row],[Content.contractId]],'Public procurment'!E:E,0),14),0)</f>
        <v>0</v>
      </c>
      <c r="AN1215" s="2">
        <f>IF(AND(ListOfExpenditure[[#This Row],[Contract amount]]&gt;10000,ListOfExpenditure[[#This Row],[Content.declaredAmount]]&gt;2000),1,0)</f>
        <v>0</v>
      </c>
      <c r="AO1215">
        <f>IFERROR(INDEX('Public procurment'!A:S,MATCH(ListOfExpenditure[[#This Row],[Content.contractId]],'Public procurment'!E:E,0),19),0)</f>
        <v>0</v>
      </c>
      <c r="AP1215">
        <f>IF(ListOfExpenditure[[#This Row],[Numero di volte controllato il contract ]]&gt;0,0,ListOfExpenditure[[#This Row],[IF public procurment &gt;10000;1;0]])</f>
        <v>0</v>
      </c>
    </row>
    <row r="1216" spans="1:42" x14ac:dyDescent="0.25">
      <c r="A1216">
        <v>1859</v>
      </c>
      <c r="B1216">
        <v>9</v>
      </c>
      <c r="E1216" t="s">
        <v>4786</v>
      </c>
      <c r="F1216" t="b">
        <v>1</v>
      </c>
      <c r="I1216" t="s">
        <v>6170</v>
      </c>
      <c r="K1216" t="s">
        <v>5239</v>
      </c>
      <c r="L1216" t="s">
        <v>5239</v>
      </c>
      <c r="M1216" t="s">
        <v>4788</v>
      </c>
      <c r="N1216" t="s">
        <v>4788</v>
      </c>
      <c r="O1216">
        <v>2225.1799999999998</v>
      </c>
      <c r="Q1216">
        <v>0</v>
      </c>
      <c r="R1216">
        <v>0</v>
      </c>
      <c r="S1216">
        <v>296.02999999999997</v>
      </c>
      <c r="T1216" t="s">
        <v>4789</v>
      </c>
      <c r="U1216">
        <v>1</v>
      </c>
      <c r="V1216">
        <v>296.02999999999997</v>
      </c>
      <c r="W1216" t="s">
        <v>4343</v>
      </c>
      <c r="Y1216" t="b">
        <v>0</v>
      </c>
      <c r="Z1216" t="b">
        <v>0</v>
      </c>
      <c r="AA1216">
        <v>296.02999999999997</v>
      </c>
      <c r="AB1216">
        <v>0</v>
      </c>
      <c r="AD1216" t="b">
        <v>0</v>
      </c>
      <c r="AG1216" s="1" t="s">
        <v>63</v>
      </c>
      <c r="AH1216" s="1" t="s">
        <v>51</v>
      </c>
      <c r="AI1216">
        <v>287</v>
      </c>
      <c r="AJ1216">
        <v>326</v>
      </c>
      <c r="AK1216" s="106">
        <v>45475.635549189814</v>
      </c>
      <c r="AL1216" s="1" t="s">
        <v>4790</v>
      </c>
      <c r="AM1216" s="42">
        <f>IFERROR(INDEX('Public procurment'!A:R,MATCH(ListOfExpenditure[[#This Row],[Content.contractId]],'Public procurment'!E:E,0),14),0)</f>
        <v>0</v>
      </c>
      <c r="AN1216" s="2">
        <f>IF(AND(ListOfExpenditure[[#This Row],[Contract amount]]&gt;10000,ListOfExpenditure[[#This Row],[Content.declaredAmount]]&gt;2000),1,0)</f>
        <v>0</v>
      </c>
      <c r="AO1216">
        <f>IFERROR(INDEX('Public procurment'!A:S,MATCH(ListOfExpenditure[[#This Row],[Content.contractId]],'Public procurment'!E:E,0),19),0)</f>
        <v>0</v>
      </c>
      <c r="AP1216">
        <f>IF(ListOfExpenditure[[#This Row],[Numero di volte controllato il contract ]]&gt;0,0,ListOfExpenditure[[#This Row],[IF public procurment &gt;10000;1;0]])</f>
        <v>0</v>
      </c>
    </row>
    <row r="1217" spans="1:42" x14ac:dyDescent="0.25">
      <c r="A1217">
        <v>1860</v>
      </c>
      <c r="B1217">
        <v>10</v>
      </c>
      <c r="E1217" t="s">
        <v>4786</v>
      </c>
      <c r="F1217" t="b">
        <v>1</v>
      </c>
      <c r="I1217" t="s">
        <v>6171</v>
      </c>
      <c r="K1217" t="s">
        <v>4905</v>
      </c>
      <c r="L1217" t="s">
        <v>5130</v>
      </c>
      <c r="M1217" t="s">
        <v>4788</v>
      </c>
      <c r="N1217" t="s">
        <v>4788</v>
      </c>
      <c r="O1217">
        <v>2160.6</v>
      </c>
      <c r="Q1217">
        <v>0</v>
      </c>
      <c r="R1217">
        <v>0</v>
      </c>
      <c r="S1217">
        <v>296.02999999999997</v>
      </c>
      <c r="T1217" t="s">
        <v>4789</v>
      </c>
      <c r="U1217">
        <v>1</v>
      </c>
      <c r="V1217">
        <v>296.02999999999997</v>
      </c>
      <c r="W1217" t="s">
        <v>4343</v>
      </c>
      <c r="Y1217" t="b">
        <v>1</v>
      </c>
      <c r="Z1217" t="b">
        <v>0</v>
      </c>
      <c r="AA1217">
        <v>296.02999999999997</v>
      </c>
      <c r="AB1217">
        <v>0</v>
      </c>
      <c r="AD1217" t="b">
        <v>0</v>
      </c>
      <c r="AG1217" s="1" t="s">
        <v>63</v>
      </c>
      <c r="AH1217" s="1" t="s">
        <v>51</v>
      </c>
      <c r="AI1217">
        <v>287</v>
      </c>
      <c r="AJ1217">
        <v>326</v>
      </c>
      <c r="AK1217" s="106">
        <v>45475.635549189814</v>
      </c>
      <c r="AL1217" s="1" t="s">
        <v>4790</v>
      </c>
      <c r="AM1217" s="42">
        <f>IFERROR(INDEX('Public procurment'!A:R,MATCH(ListOfExpenditure[[#This Row],[Content.contractId]],'Public procurment'!E:E,0),14),0)</f>
        <v>0</v>
      </c>
      <c r="AN1217" s="2">
        <f>IF(AND(ListOfExpenditure[[#This Row],[Contract amount]]&gt;10000,ListOfExpenditure[[#This Row],[Content.declaredAmount]]&gt;2000),1,0)</f>
        <v>0</v>
      </c>
      <c r="AO1217">
        <f>IFERROR(INDEX('Public procurment'!A:S,MATCH(ListOfExpenditure[[#This Row],[Content.contractId]],'Public procurment'!E:E,0),19),0)</f>
        <v>0</v>
      </c>
      <c r="AP1217">
        <f>IF(ListOfExpenditure[[#This Row],[Numero di volte controllato il contract ]]&gt;0,0,ListOfExpenditure[[#This Row],[IF public procurment &gt;10000;1;0]])</f>
        <v>0</v>
      </c>
    </row>
    <row r="1218" spans="1:42" x14ac:dyDescent="0.25">
      <c r="A1218">
        <v>1861</v>
      </c>
      <c r="B1218">
        <v>11</v>
      </c>
      <c r="E1218" t="s">
        <v>4786</v>
      </c>
      <c r="F1218" t="b">
        <v>1</v>
      </c>
      <c r="I1218" t="s">
        <v>6172</v>
      </c>
      <c r="K1218" t="s">
        <v>4555</v>
      </c>
      <c r="L1218" t="s">
        <v>4835</v>
      </c>
      <c r="M1218" t="s">
        <v>4788</v>
      </c>
      <c r="N1218" t="s">
        <v>4788</v>
      </c>
      <c r="O1218">
        <v>4145.32</v>
      </c>
      <c r="Q1218">
        <v>0</v>
      </c>
      <c r="R1218">
        <v>0</v>
      </c>
      <c r="S1218">
        <v>974.61</v>
      </c>
      <c r="T1218" t="s">
        <v>4789</v>
      </c>
      <c r="U1218">
        <v>1</v>
      </c>
      <c r="V1218">
        <v>974.61</v>
      </c>
      <c r="W1218" t="s">
        <v>4343</v>
      </c>
      <c r="Y1218" t="b">
        <v>0</v>
      </c>
      <c r="Z1218" t="b">
        <v>0</v>
      </c>
      <c r="AA1218">
        <v>974.61</v>
      </c>
      <c r="AB1218">
        <v>0</v>
      </c>
      <c r="AD1218" t="b">
        <v>0</v>
      </c>
      <c r="AG1218" s="1" t="s">
        <v>63</v>
      </c>
      <c r="AH1218" s="1" t="s">
        <v>51</v>
      </c>
      <c r="AI1218">
        <v>287</v>
      </c>
      <c r="AJ1218">
        <v>326</v>
      </c>
      <c r="AK1218" s="106">
        <v>45475.635549189814</v>
      </c>
      <c r="AL1218" s="1" t="s">
        <v>4790</v>
      </c>
      <c r="AM1218" s="42">
        <f>IFERROR(INDEX('Public procurment'!A:R,MATCH(ListOfExpenditure[[#This Row],[Content.contractId]],'Public procurment'!E:E,0),14),0)</f>
        <v>0</v>
      </c>
      <c r="AN1218" s="2">
        <f>IF(AND(ListOfExpenditure[[#This Row],[Contract amount]]&gt;10000,ListOfExpenditure[[#This Row],[Content.declaredAmount]]&gt;2000),1,0)</f>
        <v>0</v>
      </c>
      <c r="AO1218">
        <f>IFERROR(INDEX('Public procurment'!A:S,MATCH(ListOfExpenditure[[#This Row],[Content.contractId]],'Public procurment'!E:E,0),19),0)</f>
        <v>0</v>
      </c>
      <c r="AP1218">
        <f>IF(ListOfExpenditure[[#This Row],[Numero di volte controllato il contract ]]&gt;0,0,ListOfExpenditure[[#This Row],[IF public procurment &gt;10000;1;0]])</f>
        <v>0</v>
      </c>
    </row>
    <row r="1219" spans="1:42" x14ac:dyDescent="0.25">
      <c r="A1219">
        <v>1862</v>
      </c>
      <c r="B1219">
        <v>12</v>
      </c>
      <c r="E1219" t="s">
        <v>4786</v>
      </c>
      <c r="F1219" t="b">
        <v>1</v>
      </c>
      <c r="I1219" t="s">
        <v>6173</v>
      </c>
      <c r="K1219" t="s">
        <v>6162</v>
      </c>
      <c r="L1219" t="s">
        <v>4977</v>
      </c>
      <c r="M1219" t="s">
        <v>4788</v>
      </c>
      <c r="N1219" t="s">
        <v>4788</v>
      </c>
      <c r="O1219">
        <v>3997.28</v>
      </c>
      <c r="Q1219">
        <v>0</v>
      </c>
      <c r="R1219">
        <v>0</v>
      </c>
      <c r="S1219">
        <v>974.61</v>
      </c>
      <c r="T1219" t="s">
        <v>4789</v>
      </c>
      <c r="U1219">
        <v>1</v>
      </c>
      <c r="V1219">
        <v>974.61</v>
      </c>
      <c r="W1219" t="s">
        <v>4343</v>
      </c>
      <c r="Y1219" t="b">
        <v>1</v>
      </c>
      <c r="Z1219" t="b">
        <v>0</v>
      </c>
      <c r="AA1219">
        <v>974.61</v>
      </c>
      <c r="AB1219">
        <v>0</v>
      </c>
      <c r="AD1219" t="b">
        <v>0</v>
      </c>
      <c r="AG1219" s="1" t="s">
        <v>63</v>
      </c>
      <c r="AH1219" s="1" t="s">
        <v>51</v>
      </c>
      <c r="AI1219">
        <v>287</v>
      </c>
      <c r="AJ1219">
        <v>326</v>
      </c>
      <c r="AK1219" s="106">
        <v>45475.635549189814</v>
      </c>
      <c r="AL1219" s="1" t="s">
        <v>4790</v>
      </c>
      <c r="AM1219" s="42">
        <f>IFERROR(INDEX('Public procurment'!A:R,MATCH(ListOfExpenditure[[#This Row],[Content.contractId]],'Public procurment'!E:E,0),14),0)</f>
        <v>0</v>
      </c>
      <c r="AN1219" s="2">
        <f>IF(AND(ListOfExpenditure[[#This Row],[Contract amount]]&gt;10000,ListOfExpenditure[[#This Row],[Content.declaredAmount]]&gt;2000),1,0)</f>
        <v>0</v>
      </c>
      <c r="AO1219">
        <f>IFERROR(INDEX('Public procurment'!A:S,MATCH(ListOfExpenditure[[#This Row],[Content.contractId]],'Public procurment'!E:E,0),19),0)</f>
        <v>0</v>
      </c>
      <c r="AP1219">
        <f>IF(ListOfExpenditure[[#This Row],[Numero di volte controllato il contract ]]&gt;0,0,ListOfExpenditure[[#This Row],[IF public procurment &gt;10000;1;0]])</f>
        <v>0</v>
      </c>
    </row>
    <row r="1220" spans="1:42" x14ac:dyDescent="0.25">
      <c r="A1220">
        <v>1863</v>
      </c>
      <c r="B1220">
        <v>13</v>
      </c>
      <c r="E1220" t="s">
        <v>4786</v>
      </c>
      <c r="F1220" t="b">
        <v>1</v>
      </c>
      <c r="I1220" t="s">
        <v>6174</v>
      </c>
      <c r="K1220" t="s">
        <v>4955</v>
      </c>
      <c r="L1220" t="s">
        <v>6164</v>
      </c>
      <c r="M1220" t="s">
        <v>4788</v>
      </c>
      <c r="N1220" t="s">
        <v>4788</v>
      </c>
      <c r="O1220">
        <v>5932.07</v>
      </c>
      <c r="Q1220">
        <v>0</v>
      </c>
      <c r="R1220">
        <v>0</v>
      </c>
      <c r="S1220">
        <v>974.61</v>
      </c>
      <c r="T1220" t="s">
        <v>4789</v>
      </c>
      <c r="U1220">
        <v>1</v>
      </c>
      <c r="V1220">
        <v>974.61</v>
      </c>
      <c r="W1220" t="s">
        <v>4343</v>
      </c>
      <c r="Y1220" t="b">
        <v>0</v>
      </c>
      <c r="Z1220" t="b">
        <v>0</v>
      </c>
      <c r="AA1220">
        <v>974.61</v>
      </c>
      <c r="AB1220">
        <v>0</v>
      </c>
      <c r="AD1220" t="b">
        <v>0</v>
      </c>
      <c r="AG1220" s="1" t="s">
        <v>63</v>
      </c>
      <c r="AH1220" s="1" t="s">
        <v>51</v>
      </c>
      <c r="AI1220">
        <v>287</v>
      </c>
      <c r="AJ1220">
        <v>326</v>
      </c>
      <c r="AK1220" s="106">
        <v>45475.635549189814</v>
      </c>
      <c r="AL1220" s="1" t="s">
        <v>4790</v>
      </c>
      <c r="AM1220" s="42">
        <f>IFERROR(INDEX('Public procurment'!A:R,MATCH(ListOfExpenditure[[#This Row],[Content.contractId]],'Public procurment'!E:E,0),14),0)</f>
        <v>0</v>
      </c>
      <c r="AN1220" s="2">
        <f>IF(AND(ListOfExpenditure[[#This Row],[Contract amount]]&gt;10000,ListOfExpenditure[[#This Row],[Content.declaredAmount]]&gt;2000),1,0)</f>
        <v>0</v>
      </c>
      <c r="AO1220">
        <f>IFERROR(INDEX('Public procurment'!A:S,MATCH(ListOfExpenditure[[#This Row],[Content.contractId]],'Public procurment'!E:E,0),19),0)</f>
        <v>0</v>
      </c>
      <c r="AP1220">
        <f>IF(ListOfExpenditure[[#This Row],[Numero di volte controllato il contract ]]&gt;0,0,ListOfExpenditure[[#This Row],[IF public procurment &gt;10000;1;0]])</f>
        <v>0</v>
      </c>
    </row>
    <row r="1221" spans="1:42" x14ac:dyDescent="0.25">
      <c r="A1221">
        <v>1864</v>
      </c>
      <c r="B1221">
        <v>14</v>
      </c>
      <c r="E1221" t="s">
        <v>4786</v>
      </c>
      <c r="F1221" t="b">
        <v>1</v>
      </c>
      <c r="I1221" t="s">
        <v>6175</v>
      </c>
      <c r="K1221" t="s">
        <v>5239</v>
      </c>
      <c r="L1221" t="s">
        <v>5239</v>
      </c>
      <c r="M1221" t="s">
        <v>4788</v>
      </c>
      <c r="N1221" t="s">
        <v>4788</v>
      </c>
      <c r="O1221">
        <v>4495.75</v>
      </c>
      <c r="Q1221">
        <v>0</v>
      </c>
      <c r="R1221">
        <v>0</v>
      </c>
      <c r="S1221">
        <v>974.61</v>
      </c>
      <c r="T1221" t="s">
        <v>4789</v>
      </c>
      <c r="U1221">
        <v>1</v>
      </c>
      <c r="V1221">
        <v>974.61</v>
      </c>
      <c r="W1221" t="s">
        <v>4343</v>
      </c>
      <c r="Y1221" t="b">
        <v>1</v>
      </c>
      <c r="Z1221" t="b">
        <v>0</v>
      </c>
      <c r="AA1221">
        <v>974.61</v>
      </c>
      <c r="AB1221">
        <v>0</v>
      </c>
      <c r="AD1221" t="b">
        <v>0</v>
      </c>
      <c r="AG1221" s="1" t="s">
        <v>63</v>
      </c>
      <c r="AH1221" s="1" t="s">
        <v>51</v>
      </c>
      <c r="AI1221">
        <v>287</v>
      </c>
      <c r="AJ1221">
        <v>326</v>
      </c>
      <c r="AK1221" s="106">
        <v>45475.635549189814</v>
      </c>
      <c r="AL1221" s="1" t="s">
        <v>4790</v>
      </c>
      <c r="AM1221" s="42">
        <f>IFERROR(INDEX('Public procurment'!A:R,MATCH(ListOfExpenditure[[#This Row],[Content.contractId]],'Public procurment'!E:E,0),14),0)</f>
        <v>0</v>
      </c>
      <c r="AN1221" s="2">
        <f>IF(AND(ListOfExpenditure[[#This Row],[Contract amount]]&gt;10000,ListOfExpenditure[[#This Row],[Content.declaredAmount]]&gt;2000),1,0)</f>
        <v>0</v>
      </c>
      <c r="AO1221">
        <f>IFERROR(INDEX('Public procurment'!A:S,MATCH(ListOfExpenditure[[#This Row],[Content.contractId]],'Public procurment'!E:E,0),19),0)</f>
        <v>0</v>
      </c>
      <c r="AP1221">
        <f>IF(ListOfExpenditure[[#This Row],[Numero di volte controllato il contract ]]&gt;0,0,ListOfExpenditure[[#This Row],[IF public procurment &gt;10000;1;0]])</f>
        <v>0</v>
      </c>
    </row>
    <row r="1222" spans="1:42" x14ac:dyDescent="0.25">
      <c r="A1222">
        <v>1865</v>
      </c>
      <c r="B1222">
        <v>15</v>
      </c>
      <c r="E1222" t="s">
        <v>4786</v>
      </c>
      <c r="F1222" t="b">
        <v>1</v>
      </c>
      <c r="I1222" t="s">
        <v>6176</v>
      </c>
      <c r="K1222" t="s">
        <v>4905</v>
      </c>
      <c r="L1222" t="s">
        <v>5130</v>
      </c>
      <c r="M1222" t="s">
        <v>4788</v>
      </c>
      <c r="N1222" t="s">
        <v>4788</v>
      </c>
      <c r="O1222">
        <v>4104.4399999999996</v>
      </c>
      <c r="Q1222">
        <v>0</v>
      </c>
      <c r="R1222">
        <v>0</v>
      </c>
      <c r="S1222">
        <v>974.61</v>
      </c>
      <c r="T1222" t="s">
        <v>4789</v>
      </c>
      <c r="U1222">
        <v>1</v>
      </c>
      <c r="V1222">
        <v>974.61</v>
      </c>
      <c r="W1222" t="s">
        <v>4343</v>
      </c>
      <c r="Y1222" t="b">
        <v>1</v>
      </c>
      <c r="Z1222" t="b">
        <v>0</v>
      </c>
      <c r="AA1222">
        <v>974.61</v>
      </c>
      <c r="AB1222">
        <v>0</v>
      </c>
      <c r="AD1222" t="b">
        <v>0</v>
      </c>
      <c r="AG1222" s="1" t="s">
        <v>63</v>
      </c>
      <c r="AH1222" s="1" t="s">
        <v>51</v>
      </c>
      <c r="AI1222">
        <v>287</v>
      </c>
      <c r="AJ1222">
        <v>326</v>
      </c>
      <c r="AK1222" s="106">
        <v>45475.635549189814</v>
      </c>
      <c r="AL1222" s="1" t="s">
        <v>4790</v>
      </c>
      <c r="AM1222" s="42">
        <f>IFERROR(INDEX('Public procurment'!A:R,MATCH(ListOfExpenditure[[#This Row],[Content.contractId]],'Public procurment'!E:E,0),14),0)</f>
        <v>0</v>
      </c>
      <c r="AN1222" s="2">
        <f>IF(AND(ListOfExpenditure[[#This Row],[Contract amount]]&gt;10000,ListOfExpenditure[[#This Row],[Content.declaredAmount]]&gt;2000),1,0)</f>
        <v>0</v>
      </c>
      <c r="AO1222">
        <f>IFERROR(INDEX('Public procurment'!A:S,MATCH(ListOfExpenditure[[#This Row],[Content.contractId]],'Public procurment'!E:E,0),19),0)</f>
        <v>0</v>
      </c>
      <c r="AP1222">
        <f>IF(ListOfExpenditure[[#This Row],[Numero di volte controllato il contract ]]&gt;0,0,ListOfExpenditure[[#This Row],[IF public procurment &gt;10000;1;0]])</f>
        <v>0</v>
      </c>
    </row>
    <row r="1223" spans="1:42" x14ac:dyDescent="0.25">
      <c r="A1223">
        <v>1868</v>
      </c>
      <c r="B1223">
        <v>16</v>
      </c>
      <c r="E1223" t="s">
        <v>4786</v>
      </c>
      <c r="F1223" t="b">
        <v>1</v>
      </c>
      <c r="I1223" t="s">
        <v>6177</v>
      </c>
      <c r="K1223" t="s">
        <v>4555</v>
      </c>
      <c r="L1223" t="s">
        <v>4835</v>
      </c>
      <c r="M1223" t="s">
        <v>4788</v>
      </c>
      <c r="N1223" t="s">
        <v>4788</v>
      </c>
      <c r="O1223">
        <v>4000.9</v>
      </c>
      <c r="Q1223">
        <v>0</v>
      </c>
      <c r="R1223">
        <v>0</v>
      </c>
      <c r="S1223">
        <v>1334.19</v>
      </c>
      <c r="T1223" t="s">
        <v>4789</v>
      </c>
      <c r="U1223">
        <v>1</v>
      </c>
      <c r="V1223">
        <v>1334.19</v>
      </c>
      <c r="W1223" t="s">
        <v>4343</v>
      </c>
      <c r="Y1223" t="b">
        <v>1</v>
      </c>
      <c r="Z1223" t="b">
        <v>0</v>
      </c>
      <c r="AA1223">
        <v>1334.19</v>
      </c>
      <c r="AB1223">
        <v>0</v>
      </c>
      <c r="AD1223" t="b">
        <v>0</v>
      </c>
      <c r="AG1223" s="1" t="s">
        <v>63</v>
      </c>
      <c r="AH1223" s="1" t="s">
        <v>51</v>
      </c>
      <c r="AI1223">
        <v>287</v>
      </c>
      <c r="AJ1223">
        <v>326</v>
      </c>
      <c r="AK1223" s="106">
        <v>45475.635549189814</v>
      </c>
      <c r="AL1223" s="1" t="s">
        <v>4790</v>
      </c>
      <c r="AM1223" s="42">
        <f>IFERROR(INDEX('Public procurment'!A:R,MATCH(ListOfExpenditure[[#This Row],[Content.contractId]],'Public procurment'!E:E,0),14),0)</f>
        <v>0</v>
      </c>
      <c r="AN1223" s="2">
        <f>IF(AND(ListOfExpenditure[[#This Row],[Contract amount]]&gt;10000,ListOfExpenditure[[#This Row],[Content.declaredAmount]]&gt;2000),1,0)</f>
        <v>0</v>
      </c>
      <c r="AO1223">
        <f>IFERROR(INDEX('Public procurment'!A:S,MATCH(ListOfExpenditure[[#This Row],[Content.contractId]],'Public procurment'!E:E,0),19),0)</f>
        <v>0</v>
      </c>
      <c r="AP1223">
        <f>IF(ListOfExpenditure[[#This Row],[Numero di volte controllato il contract ]]&gt;0,0,ListOfExpenditure[[#This Row],[IF public procurment &gt;10000;1;0]])</f>
        <v>0</v>
      </c>
    </row>
    <row r="1224" spans="1:42" x14ac:dyDescent="0.25">
      <c r="A1224">
        <v>1869</v>
      </c>
      <c r="B1224">
        <v>17</v>
      </c>
      <c r="E1224" t="s">
        <v>4786</v>
      </c>
      <c r="F1224" t="b">
        <v>1</v>
      </c>
      <c r="I1224" t="s">
        <v>6178</v>
      </c>
      <c r="K1224" t="s">
        <v>6162</v>
      </c>
      <c r="L1224" t="s">
        <v>4977</v>
      </c>
      <c r="M1224" t="s">
        <v>4788</v>
      </c>
      <c r="N1224" t="s">
        <v>4788</v>
      </c>
      <c r="O1224">
        <v>5047.84</v>
      </c>
      <c r="Q1224">
        <v>0</v>
      </c>
      <c r="R1224">
        <v>0</v>
      </c>
      <c r="S1224">
        <v>1334.19</v>
      </c>
      <c r="T1224" t="s">
        <v>4789</v>
      </c>
      <c r="U1224">
        <v>1</v>
      </c>
      <c r="V1224">
        <v>1334.19</v>
      </c>
      <c r="W1224" t="s">
        <v>4343</v>
      </c>
      <c r="Y1224" t="b">
        <v>1</v>
      </c>
      <c r="Z1224" t="b">
        <v>0</v>
      </c>
      <c r="AA1224">
        <v>1334.19</v>
      </c>
      <c r="AB1224">
        <v>0</v>
      </c>
      <c r="AD1224" t="b">
        <v>0</v>
      </c>
      <c r="AG1224" s="1" t="s">
        <v>63</v>
      </c>
      <c r="AH1224" s="1" t="s">
        <v>51</v>
      </c>
      <c r="AI1224">
        <v>287</v>
      </c>
      <c r="AJ1224">
        <v>326</v>
      </c>
      <c r="AK1224" s="106">
        <v>45475.635549189814</v>
      </c>
      <c r="AL1224" s="1" t="s">
        <v>4790</v>
      </c>
      <c r="AM1224" s="42">
        <f>IFERROR(INDEX('Public procurment'!A:R,MATCH(ListOfExpenditure[[#This Row],[Content.contractId]],'Public procurment'!E:E,0),14),0)</f>
        <v>0</v>
      </c>
      <c r="AN1224" s="2">
        <f>IF(AND(ListOfExpenditure[[#This Row],[Contract amount]]&gt;10000,ListOfExpenditure[[#This Row],[Content.declaredAmount]]&gt;2000),1,0)</f>
        <v>0</v>
      </c>
      <c r="AO1224">
        <f>IFERROR(INDEX('Public procurment'!A:S,MATCH(ListOfExpenditure[[#This Row],[Content.contractId]],'Public procurment'!E:E,0),19),0)</f>
        <v>0</v>
      </c>
      <c r="AP1224">
        <f>IF(ListOfExpenditure[[#This Row],[Numero di volte controllato il contract ]]&gt;0,0,ListOfExpenditure[[#This Row],[IF public procurment &gt;10000;1;0]])</f>
        <v>0</v>
      </c>
    </row>
    <row r="1225" spans="1:42" x14ac:dyDescent="0.25">
      <c r="A1225">
        <v>1870</v>
      </c>
      <c r="B1225">
        <v>18</v>
      </c>
      <c r="E1225" t="s">
        <v>4786</v>
      </c>
      <c r="F1225" t="b">
        <v>1</v>
      </c>
      <c r="I1225" t="s">
        <v>6179</v>
      </c>
      <c r="K1225" t="s">
        <v>4955</v>
      </c>
      <c r="L1225" t="s">
        <v>6164</v>
      </c>
      <c r="M1225" t="s">
        <v>4788</v>
      </c>
      <c r="N1225" t="s">
        <v>4788</v>
      </c>
      <c r="O1225">
        <v>4454.97</v>
      </c>
      <c r="Q1225">
        <v>0</v>
      </c>
      <c r="R1225">
        <v>0</v>
      </c>
      <c r="S1225">
        <v>1334.19</v>
      </c>
      <c r="T1225" t="s">
        <v>4789</v>
      </c>
      <c r="U1225">
        <v>1</v>
      </c>
      <c r="V1225">
        <v>1334.19</v>
      </c>
      <c r="W1225" t="s">
        <v>4343</v>
      </c>
      <c r="Y1225" t="b">
        <v>0</v>
      </c>
      <c r="Z1225" t="b">
        <v>0</v>
      </c>
      <c r="AA1225">
        <v>1334.19</v>
      </c>
      <c r="AB1225">
        <v>0</v>
      </c>
      <c r="AD1225" t="b">
        <v>0</v>
      </c>
      <c r="AG1225" s="1" t="s">
        <v>63</v>
      </c>
      <c r="AH1225" s="1" t="s">
        <v>51</v>
      </c>
      <c r="AI1225">
        <v>287</v>
      </c>
      <c r="AJ1225">
        <v>326</v>
      </c>
      <c r="AK1225" s="106">
        <v>45475.635549189814</v>
      </c>
      <c r="AL1225" s="1" t="s">
        <v>4790</v>
      </c>
      <c r="AM1225" s="42">
        <f>IFERROR(INDEX('Public procurment'!A:R,MATCH(ListOfExpenditure[[#This Row],[Content.contractId]],'Public procurment'!E:E,0),14),0)</f>
        <v>0</v>
      </c>
      <c r="AN1225" s="2">
        <f>IF(AND(ListOfExpenditure[[#This Row],[Contract amount]]&gt;10000,ListOfExpenditure[[#This Row],[Content.declaredAmount]]&gt;2000),1,0)</f>
        <v>0</v>
      </c>
      <c r="AO1225">
        <f>IFERROR(INDEX('Public procurment'!A:S,MATCH(ListOfExpenditure[[#This Row],[Content.contractId]],'Public procurment'!E:E,0),19),0)</f>
        <v>0</v>
      </c>
      <c r="AP1225">
        <f>IF(ListOfExpenditure[[#This Row],[Numero di volte controllato il contract ]]&gt;0,0,ListOfExpenditure[[#This Row],[IF public procurment &gt;10000;1;0]])</f>
        <v>0</v>
      </c>
    </row>
    <row r="1226" spans="1:42" x14ac:dyDescent="0.25">
      <c r="A1226">
        <v>1871</v>
      </c>
      <c r="B1226">
        <v>19</v>
      </c>
      <c r="E1226" t="s">
        <v>4786</v>
      </c>
      <c r="F1226" t="b">
        <v>1</v>
      </c>
      <c r="I1226" t="s">
        <v>6180</v>
      </c>
      <c r="K1226" t="s">
        <v>5239</v>
      </c>
      <c r="L1226" t="s">
        <v>5239</v>
      </c>
      <c r="M1226" t="s">
        <v>4788</v>
      </c>
      <c r="N1226" t="s">
        <v>4788</v>
      </c>
      <c r="O1226">
        <v>4967.2</v>
      </c>
      <c r="Q1226">
        <v>0</v>
      </c>
      <c r="R1226">
        <v>0</v>
      </c>
      <c r="S1226">
        <v>1334.19</v>
      </c>
      <c r="T1226" t="s">
        <v>4789</v>
      </c>
      <c r="U1226">
        <v>1</v>
      </c>
      <c r="V1226">
        <v>1334.19</v>
      </c>
      <c r="W1226" t="s">
        <v>4343</v>
      </c>
      <c r="Y1226" t="b">
        <v>1</v>
      </c>
      <c r="Z1226" t="b">
        <v>0</v>
      </c>
      <c r="AA1226">
        <v>1334.19</v>
      </c>
      <c r="AB1226">
        <v>0</v>
      </c>
      <c r="AD1226" t="b">
        <v>0</v>
      </c>
      <c r="AG1226" s="1" t="s">
        <v>63</v>
      </c>
      <c r="AH1226" s="1" t="s">
        <v>51</v>
      </c>
      <c r="AI1226">
        <v>287</v>
      </c>
      <c r="AJ1226">
        <v>326</v>
      </c>
      <c r="AK1226" s="106">
        <v>45475.635549189814</v>
      </c>
      <c r="AL1226" s="1" t="s">
        <v>4790</v>
      </c>
      <c r="AM1226" s="42">
        <f>IFERROR(INDEX('Public procurment'!A:R,MATCH(ListOfExpenditure[[#This Row],[Content.contractId]],'Public procurment'!E:E,0),14),0)</f>
        <v>0</v>
      </c>
      <c r="AN1226" s="2">
        <f>IF(AND(ListOfExpenditure[[#This Row],[Contract amount]]&gt;10000,ListOfExpenditure[[#This Row],[Content.declaredAmount]]&gt;2000),1,0)</f>
        <v>0</v>
      </c>
      <c r="AO1226">
        <f>IFERROR(INDEX('Public procurment'!A:S,MATCH(ListOfExpenditure[[#This Row],[Content.contractId]],'Public procurment'!E:E,0),19),0)</f>
        <v>0</v>
      </c>
      <c r="AP1226">
        <f>IF(ListOfExpenditure[[#This Row],[Numero di volte controllato il contract ]]&gt;0,0,ListOfExpenditure[[#This Row],[IF public procurment &gt;10000;1;0]])</f>
        <v>0</v>
      </c>
    </row>
    <row r="1227" spans="1:42" x14ac:dyDescent="0.25">
      <c r="A1227">
        <v>1872</v>
      </c>
      <c r="B1227">
        <v>20</v>
      </c>
      <c r="E1227" t="s">
        <v>4786</v>
      </c>
      <c r="F1227" t="b">
        <v>1</v>
      </c>
      <c r="I1227" t="s">
        <v>6181</v>
      </c>
      <c r="K1227" t="s">
        <v>4905</v>
      </c>
      <c r="L1227" t="s">
        <v>5130</v>
      </c>
      <c r="M1227" t="s">
        <v>4788</v>
      </c>
      <c r="N1227" t="s">
        <v>4788</v>
      </c>
      <c r="O1227">
        <v>4938.75</v>
      </c>
      <c r="Q1227">
        <v>0</v>
      </c>
      <c r="R1227">
        <v>0</v>
      </c>
      <c r="S1227">
        <v>1334.19</v>
      </c>
      <c r="T1227" t="s">
        <v>4789</v>
      </c>
      <c r="U1227">
        <v>1</v>
      </c>
      <c r="V1227">
        <v>1334.19</v>
      </c>
      <c r="W1227" t="s">
        <v>4343</v>
      </c>
      <c r="Y1227" t="b">
        <v>0</v>
      </c>
      <c r="Z1227" t="b">
        <v>0</v>
      </c>
      <c r="AA1227">
        <v>1334.19</v>
      </c>
      <c r="AB1227">
        <v>0</v>
      </c>
      <c r="AD1227" t="b">
        <v>0</v>
      </c>
      <c r="AG1227" s="1" t="s">
        <v>63</v>
      </c>
      <c r="AH1227" s="1" t="s">
        <v>51</v>
      </c>
      <c r="AI1227">
        <v>287</v>
      </c>
      <c r="AJ1227">
        <v>326</v>
      </c>
      <c r="AK1227" s="106">
        <v>45475.635549189814</v>
      </c>
      <c r="AL1227" s="1" t="s">
        <v>4790</v>
      </c>
      <c r="AM1227" s="42">
        <f>IFERROR(INDEX('Public procurment'!A:R,MATCH(ListOfExpenditure[[#This Row],[Content.contractId]],'Public procurment'!E:E,0),14),0)</f>
        <v>0</v>
      </c>
      <c r="AN1227" s="2">
        <f>IF(AND(ListOfExpenditure[[#This Row],[Contract amount]]&gt;10000,ListOfExpenditure[[#This Row],[Content.declaredAmount]]&gt;2000),1,0)</f>
        <v>0</v>
      </c>
      <c r="AO1227">
        <f>IFERROR(INDEX('Public procurment'!A:S,MATCH(ListOfExpenditure[[#This Row],[Content.contractId]],'Public procurment'!E:E,0),19),0)</f>
        <v>0</v>
      </c>
      <c r="AP1227">
        <f>IF(ListOfExpenditure[[#This Row],[Numero di volte controllato il contract ]]&gt;0,0,ListOfExpenditure[[#This Row],[IF public procurment &gt;10000;1;0]])</f>
        <v>0</v>
      </c>
    </row>
    <row r="1228" spans="1:42" x14ac:dyDescent="0.25">
      <c r="A1228">
        <v>171</v>
      </c>
      <c r="B1228">
        <v>1</v>
      </c>
      <c r="E1228" t="s">
        <v>4786</v>
      </c>
      <c r="F1228" t="b">
        <v>0</v>
      </c>
      <c r="I1228" t="s">
        <v>5758</v>
      </c>
      <c r="K1228" t="s">
        <v>4403</v>
      </c>
      <c r="L1228" t="s">
        <v>4821</v>
      </c>
      <c r="M1228" t="s">
        <v>4788</v>
      </c>
      <c r="N1228" t="s">
        <v>4788</v>
      </c>
      <c r="O1228">
        <v>6156.94</v>
      </c>
      <c r="Q1228">
        <v>0</v>
      </c>
      <c r="R1228">
        <v>0</v>
      </c>
      <c r="S1228">
        <v>1087.43</v>
      </c>
      <c r="T1228" t="s">
        <v>4789</v>
      </c>
      <c r="U1228">
        <v>1</v>
      </c>
      <c r="V1228">
        <v>1087.43</v>
      </c>
      <c r="W1228" t="s">
        <v>4343</v>
      </c>
      <c r="Y1228" t="b">
        <v>1</v>
      </c>
      <c r="Z1228" t="b">
        <v>0</v>
      </c>
      <c r="AA1228">
        <v>1003.18</v>
      </c>
      <c r="AB1228">
        <v>84.25</v>
      </c>
      <c r="AC1228">
        <v>13</v>
      </c>
      <c r="AD1228" t="b">
        <v>0</v>
      </c>
      <c r="AF1228" t="s">
        <v>5759</v>
      </c>
      <c r="AG1228" s="1" t="s">
        <v>63</v>
      </c>
      <c r="AH1228" s="1" t="s">
        <v>51</v>
      </c>
      <c r="AI1228">
        <v>287</v>
      </c>
      <c r="AJ1228">
        <v>62</v>
      </c>
      <c r="AK1228" s="106">
        <v>45475.635461990743</v>
      </c>
      <c r="AL1228" s="1" t="s">
        <v>4790</v>
      </c>
      <c r="AM1228" s="42">
        <f>IFERROR(INDEX('Public procurment'!A:R,MATCH(ListOfExpenditure[[#This Row],[Content.contractId]],'Public procurment'!E:E,0),14),0)</f>
        <v>0</v>
      </c>
      <c r="AN1228" s="2">
        <f>IF(AND(ListOfExpenditure[[#This Row],[Contract amount]]&gt;10000,ListOfExpenditure[[#This Row],[Content.declaredAmount]]&gt;2000),1,0)</f>
        <v>0</v>
      </c>
      <c r="AO1228">
        <f>IFERROR(INDEX('Public procurment'!A:S,MATCH(ListOfExpenditure[[#This Row],[Content.contractId]],'Public procurment'!E:E,0),19),0)</f>
        <v>0</v>
      </c>
      <c r="AP1228">
        <f>IF(ListOfExpenditure[[#This Row],[Numero di volte controllato il contract ]]&gt;0,0,ListOfExpenditure[[#This Row],[IF public procurment &gt;10000;1;0]])</f>
        <v>0</v>
      </c>
    </row>
    <row r="1229" spans="1:42" x14ac:dyDescent="0.25">
      <c r="A1229">
        <v>176</v>
      </c>
      <c r="B1229">
        <v>2</v>
      </c>
      <c r="E1229" t="s">
        <v>4786</v>
      </c>
      <c r="F1229" t="b">
        <v>0</v>
      </c>
      <c r="I1229" t="s">
        <v>5760</v>
      </c>
      <c r="K1229" t="s">
        <v>5761</v>
      </c>
      <c r="L1229" t="s">
        <v>5276</v>
      </c>
      <c r="M1229" t="s">
        <v>4788</v>
      </c>
      <c r="N1229" t="s">
        <v>4788</v>
      </c>
      <c r="O1229">
        <v>5400.34</v>
      </c>
      <c r="Q1229">
        <v>0</v>
      </c>
      <c r="R1229">
        <v>0</v>
      </c>
      <c r="S1229">
        <v>673.17</v>
      </c>
      <c r="T1229" t="s">
        <v>4789</v>
      </c>
      <c r="U1229">
        <v>1</v>
      </c>
      <c r="V1229">
        <v>673.17</v>
      </c>
      <c r="W1229" t="s">
        <v>4343</v>
      </c>
      <c r="Y1229" t="b">
        <v>1</v>
      </c>
      <c r="Z1229" t="b">
        <v>0</v>
      </c>
      <c r="AA1229">
        <v>673.17</v>
      </c>
      <c r="AB1229">
        <v>0</v>
      </c>
      <c r="AD1229" t="b">
        <v>0</v>
      </c>
      <c r="AG1229" s="1" t="s">
        <v>63</v>
      </c>
      <c r="AH1229" s="1" t="s">
        <v>51</v>
      </c>
      <c r="AI1229">
        <v>287</v>
      </c>
      <c r="AJ1229">
        <v>62</v>
      </c>
      <c r="AK1229" s="106">
        <v>45475.635461990743</v>
      </c>
      <c r="AL1229" s="1" t="s">
        <v>4790</v>
      </c>
      <c r="AM1229" s="42">
        <f>IFERROR(INDEX('Public procurment'!A:R,MATCH(ListOfExpenditure[[#This Row],[Content.contractId]],'Public procurment'!E:E,0),14),0)</f>
        <v>0</v>
      </c>
      <c r="AN1229" s="2">
        <f>IF(AND(ListOfExpenditure[[#This Row],[Contract amount]]&gt;10000,ListOfExpenditure[[#This Row],[Content.declaredAmount]]&gt;2000),1,0)</f>
        <v>0</v>
      </c>
      <c r="AO1229">
        <f>IFERROR(INDEX('Public procurment'!A:S,MATCH(ListOfExpenditure[[#This Row],[Content.contractId]],'Public procurment'!E:E,0),19),0)</f>
        <v>0</v>
      </c>
      <c r="AP1229">
        <f>IF(ListOfExpenditure[[#This Row],[Numero di volte controllato il contract ]]&gt;0,0,ListOfExpenditure[[#This Row],[IF public procurment &gt;10000;1;0]])</f>
        <v>0</v>
      </c>
    </row>
    <row r="1230" spans="1:42" x14ac:dyDescent="0.25">
      <c r="A1230">
        <v>177</v>
      </c>
      <c r="B1230">
        <v>3</v>
      </c>
      <c r="E1230" t="s">
        <v>4786</v>
      </c>
      <c r="F1230" t="b">
        <v>0</v>
      </c>
      <c r="I1230" t="s">
        <v>5762</v>
      </c>
      <c r="K1230" t="s">
        <v>5711</v>
      </c>
      <c r="L1230" t="s">
        <v>4946</v>
      </c>
      <c r="M1230" t="s">
        <v>4788</v>
      </c>
      <c r="N1230" t="s">
        <v>4788</v>
      </c>
      <c r="O1230">
        <v>4715.99</v>
      </c>
      <c r="Q1230">
        <v>0</v>
      </c>
      <c r="R1230">
        <v>0</v>
      </c>
      <c r="S1230">
        <v>1087.43</v>
      </c>
      <c r="T1230" t="s">
        <v>4789</v>
      </c>
      <c r="U1230">
        <v>1</v>
      </c>
      <c r="V1230">
        <v>1087.43</v>
      </c>
      <c r="W1230" t="s">
        <v>4343</v>
      </c>
      <c r="Y1230" t="b">
        <v>1</v>
      </c>
      <c r="Z1230" t="b">
        <v>0</v>
      </c>
      <c r="AA1230">
        <v>1003.18</v>
      </c>
      <c r="AB1230">
        <v>84.25</v>
      </c>
      <c r="AC1230">
        <v>13</v>
      </c>
      <c r="AD1230" t="b">
        <v>0</v>
      </c>
      <c r="AF1230" t="s">
        <v>5759</v>
      </c>
      <c r="AG1230" s="1" t="s">
        <v>63</v>
      </c>
      <c r="AH1230" s="1" t="s">
        <v>51</v>
      </c>
      <c r="AI1230">
        <v>287</v>
      </c>
      <c r="AJ1230">
        <v>62</v>
      </c>
      <c r="AK1230" s="106">
        <v>45475.635461990743</v>
      </c>
      <c r="AL1230" s="1" t="s">
        <v>4790</v>
      </c>
      <c r="AM1230" s="42">
        <f>IFERROR(INDEX('Public procurment'!A:R,MATCH(ListOfExpenditure[[#This Row],[Content.contractId]],'Public procurment'!E:E,0),14),0)</f>
        <v>0</v>
      </c>
      <c r="AN1230" s="2">
        <f>IF(AND(ListOfExpenditure[[#This Row],[Contract amount]]&gt;10000,ListOfExpenditure[[#This Row],[Content.declaredAmount]]&gt;2000),1,0)</f>
        <v>0</v>
      </c>
      <c r="AO1230">
        <f>IFERROR(INDEX('Public procurment'!A:S,MATCH(ListOfExpenditure[[#This Row],[Content.contractId]],'Public procurment'!E:E,0),19),0)</f>
        <v>0</v>
      </c>
      <c r="AP1230">
        <f>IF(ListOfExpenditure[[#This Row],[Numero di volte controllato il contract ]]&gt;0,0,ListOfExpenditure[[#This Row],[IF public procurment &gt;10000;1;0]])</f>
        <v>0</v>
      </c>
    </row>
    <row r="1231" spans="1:42" x14ac:dyDescent="0.25">
      <c r="A1231">
        <v>178</v>
      </c>
      <c r="B1231">
        <v>4</v>
      </c>
      <c r="E1231" t="s">
        <v>4786</v>
      </c>
      <c r="F1231" t="b">
        <v>0</v>
      </c>
      <c r="I1231" t="s">
        <v>5763</v>
      </c>
      <c r="K1231" t="s">
        <v>4403</v>
      </c>
      <c r="L1231" t="s">
        <v>4821</v>
      </c>
      <c r="M1231" t="s">
        <v>4788</v>
      </c>
      <c r="N1231" t="s">
        <v>4788</v>
      </c>
      <c r="O1231">
        <v>2143.37</v>
      </c>
      <c r="Q1231">
        <v>0</v>
      </c>
      <c r="R1231">
        <v>0</v>
      </c>
      <c r="S1231">
        <v>312.13</v>
      </c>
      <c r="T1231" t="s">
        <v>4789</v>
      </c>
      <c r="U1231">
        <v>1</v>
      </c>
      <c r="V1231">
        <v>312.13</v>
      </c>
      <c r="W1231" t="s">
        <v>4343</v>
      </c>
      <c r="Y1231" t="b">
        <v>1</v>
      </c>
      <c r="Z1231" t="b">
        <v>0</v>
      </c>
      <c r="AA1231">
        <v>301.39</v>
      </c>
      <c r="AB1231">
        <v>10.74</v>
      </c>
      <c r="AC1231">
        <v>13</v>
      </c>
      <c r="AD1231" t="b">
        <v>0</v>
      </c>
      <c r="AF1231" t="s">
        <v>5764</v>
      </c>
      <c r="AG1231" s="1" t="s">
        <v>63</v>
      </c>
      <c r="AH1231" s="1" t="s">
        <v>51</v>
      </c>
      <c r="AI1231">
        <v>287</v>
      </c>
      <c r="AJ1231">
        <v>62</v>
      </c>
      <c r="AK1231" s="106">
        <v>45475.635461990743</v>
      </c>
      <c r="AL1231" s="1" t="s">
        <v>4790</v>
      </c>
      <c r="AM1231" s="42">
        <f>IFERROR(INDEX('Public procurment'!A:R,MATCH(ListOfExpenditure[[#This Row],[Content.contractId]],'Public procurment'!E:E,0),14),0)</f>
        <v>0</v>
      </c>
      <c r="AN1231" s="2">
        <f>IF(AND(ListOfExpenditure[[#This Row],[Contract amount]]&gt;10000,ListOfExpenditure[[#This Row],[Content.declaredAmount]]&gt;2000),1,0)</f>
        <v>0</v>
      </c>
      <c r="AO1231">
        <f>IFERROR(INDEX('Public procurment'!A:S,MATCH(ListOfExpenditure[[#This Row],[Content.contractId]],'Public procurment'!E:E,0),19),0)</f>
        <v>0</v>
      </c>
      <c r="AP1231">
        <f>IF(ListOfExpenditure[[#This Row],[Numero di volte controllato il contract ]]&gt;0,0,ListOfExpenditure[[#This Row],[IF public procurment &gt;10000;1;0]])</f>
        <v>0</v>
      </c>
    </row>
    <row r="1232" spans="1:42" x14ac:dyDescent="0.25">
      <c r="A1232">
        <v>179</v>
      </c>
      <c r="B1232">
        <v>5</v>
      </c>
      <c r="E1232" t="s">
        <v>4786</v>
      </c>
      <c r="F1232" t="b">
        <v>0</v>
      </c>
      <c r="I1232" t="s">
        <v>5765</v>
      </c>
      <c r="K1232" t="s">
        <v>5761</v>
      </c>
      <c r="L1232" t="s">
        <v>5276</v>
      </c>
      <c r="M1232" t="s">
        <v>4788</v>
      </c>
      <c r="N1232" t="s">
        <v>4788</v>
      </c>
      <c r="O1232">
        <v>2380.23</v>
      </c>
      <c r="Q1232">
        <v>0</v>
      </c>
      <c r="R1232">
        <v>0</v>
      </c>
      <c r="S1232">
        <v>267.54000000000002</v>
      </c>
      <c r="T1232" t="s">
        <v>4789</v>
      </c>
      <c r="U1232">
        <v>1</v>
      </c>
      <c r="V1232">
        <v>267.54000000000002</v>
      </c>
      <c r="W1232" t="s">
        <v>4343</v>
      </c>
      <c r="Y1232" t="b">
        <v>1</v>
      </c>
      <c r="Z1232" t="b">
        <v>0</v>
      </c>
      <c r="AA1232">
        <v>267.54000000000002</v>
      </c>
      <c r="AB1232">
        <v>0</v>
      </c>
      <c r="AD1232" t="b">
        <v>0</v>
      </c>
      <c r="AG1232" s="1" t="s">
        <v>63</v>
      </c>
      <c r="AH1232" s="1" t="s">
        <v>51</v>
      </c>
      <c r="AI1232">
        <v>287</v>
      </c>
      <c r="AJ1232">
        <v>62</v>
      </c>
      <c r="AK1232" s="106">
        <v>45475.635461990743</v>
      </c>
      <c r="AL1232" s="1" t="s">
        <v>4790</v>
      </c>
      <c r="AM1232" s="42">
        <f>IFERROR(INDEX('Public procurment'!A:R,MATCH(ListOfExpenditure[[#This Row],[Content.contractId]],'Public procurment'!E:E,0),14),0)</f>
        <v>0</v>
      </c>
      <c r="AN1232" s="2">
        <f>IF(AND(ListOfExpenditure[[#This Row],[Contract amount]]&gt;10000,ListOfExpenditure[[#This Row],[Content.declaredAmount]]&gt;2000),1,0)</f>
        <v>0</v>
      </c>
      <c r="AO1232">
        <f>IFERROR(INDEX('Public procurment'!A:S,MATCH(ListOfExpenditure[[#This Row],[Content.contractId]],'Public procurment'!E:E,0),19),0)</f>
        <v>0</v>
      </c>
      <c r="AP1232">
        <f>IF(ListOfExpenditure[[#This Row],[Numero di volte controllato il contract ]]&gt;0,0,ListOfExpenditure[[#This Row],[IF public procurment &gt;10000;1;0]])</f>
        <v>0</v>
      </c>
    </row>
    <row r="1233" spans="1:42" x14ac:dyDescent="0.25">
      <c r="A1233">
        <v>180</v>
      </c>
      <c r="B1233">
        <v>6</v>
      </c>
      <c r="E1233" t="s">
        <v>4786</v>
      </c>
      <c r="F1233" t="b">
        <v>0</v>
      </c>
      <c r="I1233" t="s">
        <v>5766</v>
      </c>
      <c r="K1233" t="s">
        <v>5711</v>
      </c>
      <c r="L1233" t="s">
        <v>4946</v>
      </c>
      <c r="M1233" t="s">
        <v>4788</v>
      </c>
      <c r="N1233" t="s">
        <v>4788</v>
      </c>
      <c r="O1233">
        <v>2143.83</v>
      </c>
      <c r="Q1233">
        <v>0</v>
      </c>
      <c r="R1233">
        <v>0</v>
      </c>
      <c r="S1233">
        <v>222.95</v>
      </c>
      <c r="T1233" t="s">
        <v>4789</v>
      </c>
      <c r="U1233">
        <v>1</v>
      </c>
      <c r="V1233">
        <v>222.95</v>
      </c>
      <c r="W1233" t="s">
        <v>4343</v>
      </c>
      <c r="Y1233" t="b">
        <v>1</v>
      </c>
      <c r="Z1233" t="b">
        <v>0</v>
      </c>
      <c r="AA1233">
        <v>222.95</v>
      </c>
      <c r="AB1233">
        <v>0</v>
      </c>
      <c r="AD1233" t="b">
        <v>0</v>
      </c>
      <c r="AG1233" s="1" t="s">
        <v>63</v>
      </c>
      <c r="AH1233" s="1" t="s">
        <v>51</v>
      </c>
      <c r="AI1233">
        <v>287</v>
      </c>
      <c r="AJ1233">
        <v>62</v>
      </c>
      <c r="AK1233" s="106">
        <v>45475.635461990743</v>
      </c>
      <c r="AL1233" s="1" t="s">
        <v>4790</v>
      </c>
      <c r="AM1233" s="42">
        <f>IFERROR(INDEX('Public procurment'!A:R,MATCH(ListOfExpenditure[[#This Row],[Content.contractId]],'Public procurment'!E:E,0),14),0)</f>
        <v>0</v>
      </c>
      <c r="AN1233" s="2">
        <f>IF(AND(ListOfExpenditure[[#This Row],[Contract amount]]&gt;10000,ListOfExpenditure[[#This Row],[Content.declaredAmount]]&gt;2000),1,0)</f>
        <v>0</v>
      </c>
      <c r="AO1233">
        <f>IFERROR(INDEX('Public procurment'!A:S,MATCH(ListOfExpenditure[[#This Row],[Content.contractId]],'Public procurment'!E:E,0),19),0)</f>
        <v>0</v>
      </c>
      <c r="AP1233">
        <f>IF(ListOfExpenditure[[#This Row],[Numero di volte controllato il contract ]]&gt;0,0,ListOfExpenditure[[#This Row],[IF public procurment &gt;10000;1;0]])</f>
        <v>0</v>
      </c>
    </row>
    <row r="1234" spans="1:42" x14ac:dyDescent="0.25">
      <c r="A1234">
        <v>181</v>
      </c>
      <c r="B1234">
        <v>7</v>
      </c>
      <c r="E1234" t="s">
        <v>4786</v>
      </c>
      <c r="F1234" t="b">
        <v>0</v>
      </c>
      <c r="I1234" t="s">
        <v>5767</v>
      </c>
      <c r="K1234" t="s">
        <v>4403</v>
      </c>
      <c r="L1234" t="s">
        <v>4821</v>
      </c>
      <c r="M1234" t="s">
        <v>4788</v>
      </c>
      <c r="N1234" t="s">
        <v>4788</v>
      </c>
      <c r="O1234">
        <v>4000.32</v>
      </c>
      <c r="Q1234">
        <v>0</v>
      </c>
      <c r="R1234">
        <v>0</v>
      </c>
      <c r="S1234">
        <v>1007.08</v>
      </c>
      <c r="T1234" t="s">
        <v>4789</v>
      </c>
      <c r="U1234">
        <v>1</v>
      </c>
      <c r="V1234">
        <v>1007.08</v>
      </c>
      <c r="W1234" t="s">
        <v>4343</v>
      </c>
      <c r="Y1234" t="b">
        <v>1</v>
      </c>
      <c r="Z1234" t="b">
        <v>0</v>
      </c>
      <c r="AA1234">
        <v>974.61</v>
      </c>
      <c r="AB1234">
        <v>32.47</v>
      </c>
      <c r="AC1234">
        <v>13</v>
      </c>
      <c r="AD1234" t="b">
        <v>0</v>
      </c>
      <c r="AF1234" t="s">
        <v>5768</v>
      </c>
      <c r="AG1234" s="1" t="s">
        <v>63</v>
      </c>
      <c r="AH1234" s="1" t="s">
        <v>51</v>
      </c>
      <c r="AI1234">
        <v>287</v>
      </c>
      <c r="AJ1234">
        <v>62</v>
      </c>
      <c r="AK1234" s="106">
        <v>45475.635461990743</v>
      </c>
      <c r="AL1234" s="1" t="s">
        <v>4790</v>
      </c>
      <c r="AM1234" s="42">
        <f>IFERROR(INDEX('Public procurment'!A:R,MATCH(ListOfExpenditure[[#This Row],[Content.contractId]],'Public procurment'!E:E,0),14),0)</f>
        <v>0</v>
      </c>
      <c r="AN1234" s="2">
        <f>IF(AND(ListOfExpenditure[[#This Row],[Contract amount]]&gt;10000,ListOfExpenditure[[#This Row],[Content.declaredAmount]]&gt;2000),1,0)</f>
        <v>0</v>
      </c>
      <c r="AO1234">
        <f>IFERROR(INDEX('Public procurment'!A:S,MATCH(ListOfExpenditure[[#This Row],[Content.contractId]],'Public procurment'!E:E,0),19),0)</f>
        <v>0</v>
      </c>
      <c r="AP1234">
        <f>IF(ListOfExpenditure[[#This Row],[Numero di volte controllato il contract ]]&gt;0,0,ListOfExpenditure[[#This Row],[IF public procurment &gt;10000;1;0]])</f>
        <v>0</v>
      </c>
    </row>
    <row r="1235" spans="1:42" x14ac:dyDescent="0.25">
      <c r="A1235">
        <v>182</v>
      </c>
      <c r="B1235">
        <v>8</v>
      </c>
      <c r="E1235" t="s">
        <v>4786</v>
      </c>
      <c r="F1235" t="b">
        <v>0</v>
      </c>
      <c r="I1235" t="s">
        <v>5769</v>
      </c>
      <c r="K1235" t="s">
        <v>5761</v>
      </c>
      <c r="L1235" t="s">
        <v>5276</v>
      </c>
      <c r="M1235" t="s">
        <v>4788</v>
      </c>
      <c r="N1235" t="s">
        <v>4788</v>
      </c>
      <c r="O1235">
        <v>4952.92</v>
      </c>
      <c r="Q1235">
        <v>0</v>
      </c>
      <c r="R1235">
        <v>0</v>
      </c>
      <c r="S1235">
        <v>863.21</v>
      </c>
      <c r="T1235" t="s">
        <v>4789</v>
      </c>
      <c r="U1235">
        <v>1</v>
      </c>
      <c r="V1235">
        <v>863.21</v>
      </c>
      <c r="W1235" t="s">
        <v>4343</v>
      </c>
      <c r="Y1235" t="b">
        <v>1</v>
      </c>
      <c r="Z1235" t="b">
        <v>0</v>
      </c>
      <c r="AA1235">
        <v>863.21</v>
      </c>
      <c r="AB1235">
        <v>0</v>
      </c>
      <c r="AD1235" t="b">
        <v>0</v>
      </c>
      <c r="AG1235" s="1" t="s">
        <v>63</v>
      </c>
      <c r="AH1235" s="1" t="s">
        <v>51</v>
      </c>
      <c r="AI1235">
        <v>287</v>
      </c>
      <c r="AJ1235">
        <v>62</v>
      </c>
      <c r="AK1235" s="106">
        <v>45475.635461990743</v>
      </c>
      <c r="AL1235" s="1" t="s">
        <v>4790</v>
      </c>
      <c r="AM1235" s="42">
        <f>IFERROR(INDEX('Public procurment'!A:R,MATCH(ListOfExpenditure[[#This Row],[Content.contractId]],'Public procurment'!E:E,0),14),0)</f>
        <v>0</v>
      </c>
      <c r="AN1235" s="2">
        <f>IF(AND(ListOfExpenditure[[#This Row],[Contract amount]]&gt;10000,ListOfExpenditure[[#This Row],[Content.declaredAmount]]&gt;2000),1,0)</f>
        <v>0</v>
      </c>
      <c r="AO1235">
        <f>IFERROR(INDEX('Public procurment'!A:S,MATCH(ListOfExpenditure[[#This Row],[Content.contractId]],'Public procurment'!E:E,0),19),0)</f>
        <v>0</v>
      </c>
      <c r="AP1235">
        <f>IF(ListOfExpenditure[[#This Row],[Numero di volte controllato il contract ]]&gt;0,0,ListOfExpenditure[[#This Row],[IF public procurment &gt;10000;1;0]])</f>
        <v>0</v>
      </c>
    </row>
    <row r="1236" spans="1:42" x14ac:dyDescent="0.25">
      <c r="A1236">
        <v>183</v>
      </c>
      <c r="B1236">
        <v>9</v>
      </c>
      <c r="E1236" t="s">
        <v>4786</v>
      </c>
      <c r="F1236" t="b">
        <v>0</v>
      </c>
      <c r="I1236" t="s">
        <v>5770</v>
      </c>
      <c r="K1236" t="s">
        <v>5711</v>
      </c>
      <c r="L1236" t="s">
        <v>4946</v>
      </c>
      <c r="M1236" t="s">
        <v>4788</v>
      </c>
      <c r="N1236" t="s">
        <v>4788</v>
      </c>
      <c r="O1236">
        <v>4236.8500000000004</v>
      </c>
      <c r="Q1236">
        <v>0</v>
      </c>
      <c r="R1236">
        <v>0</v>
      </c>
      <c r="S1236">
        <v>1007.08</v>
      </c>
      <c r="T1236" t="s">
        <v>4789</v>
      </c>
      <c r="U1236">
        <v>1</v>
      </c>
      <c r="V1236">
        <v>1007.08</v>
      </c>
      <c r="W1236" t="s">
        <v>4343</v>
      </c>
      <c r="Y1236" t="b">
        <v>1</v>
      </c>
      <c r="Z1236" t="b">
        <v>0</v>
      </c>
      <c r="AA1236">
        <v>974.61</v>
      </c>
      <c r="AB1236">
        <v>32.47</v>
      </c>
      <c r="AC1236">
        <v>13</v>
      </c>
      <c r="AD1236" t="b">
        <v>0</v>
      </c>
      <c r="AF1236" t="s">
        <v>5768</v>
      </c>
      <c r="AG1236" s="1" t="s">
        <v>63</v>
      </c>
      <c r="AH1236" s="1" t="s">
        <v>51</v>
      </c>
      <c r="AI1236">
        <v>287</v>
      </c>
      <c r="AJ1236">
        <v>62</v>
      </c>
      <c r="AK1236" s="106">
        <v>45475.635461990743</v>
      </c>
      <c r="AL1236" s="1" t="s">
        <v>4790</v>
      </c>
      <c r="AM1236" s="42">
        <f>IFERROR(INDEX('Public procurment'!A:R,MATCH(ListOfExpenditure[[#This Row],[Content.contractId]],'Public procurment'!E:E,0),14),0)</f>
        <v>0</v>
      </c>
      <c r="AN1236" s="2">
        <f>IF(AND(ListOfExpenditure[[#This Row],[Contract amount]]&gt;10000,ListOfExpenditure[[#This Row],[Content.declaredAmount]]&gt;2000),1,0)</f>
        <v>0</v>
      </c>
      <c r="AO1236">
        <f>IFERROR(INDEX('Public procurment'!A:S,MATCH(ListOfExpenditure[[#This Row],[Content.contractId]],'Public procurment'!E:E,0),19),0)</f>
        <v>0</v>
      </c>
      <c r="AP1236">
        <f>IF(ListOfExpenditure[[#This Row],[Numero di volte controllato il contract ]]&gt;0,0,ListOfExpenditure[[#This Row],[IF public procurment &gt;10000;1;0]])</f>
        <v>0</v>
      </c>
    </row>
    <row r="1237" spans="1:42" x14ac:dyDescent="0.25">
      <c r="A1237">
        <v>560</v>
      </c>
      <c r="B1237">
        <v>10</v>
      </c>
      <c r="E1237" t="s">
        <v>4786</v>
      </c>
      <c r="F1237" t="b">
        <v>0</v>
      </c>
      <c r="I1237" t="s">
        <v>5771</v>
      </c>
      <c r="K1237" t="s">
        <v>4403</v>
      </c>
      <c r="L1237" t="s">
        <v>4821</v>
      </c>
      <c r="M1237" t="s">
        <v>4788</v>
      </c>
      <c r="N1237" t="s">
        <v>4788</v>
      </c>
      <c r="O1237">
        <v>4000.37</v>
      </c>
      <c r="Q1237">
        <v>0</v>
      </c>
      <c r="R1237">
        <v>0</v>
      </c>
      <c r="S1237">
        <v>2272.9299999999998</v>
      </c>
      <c r="T1237" t="s">
        <v>4789</v>
      </c>
      <c r="U1237">
        <v>1</v>
      </c>
      <c r="V1237">
        <v>2272.9299999999998</v>
      </c>
      <c r="W1237" t="s">
        <v>4343</v>
      </c>
      <c r="Y1237" t="b">
        <v>1</v>
      </c>
      <c r="Z1237" t="b">
        <v>0</v>
      </c>
      <c r="AA1237">
        <v>2272.9299999999998</v>
      </c>
      <c r="AB1237">
        <v>0</v>
      </c>
      <c r="AD1237" t="b">
        <v>0</v>
      </c>
      <c r="AG1237" s="1" t="s">
        <v>63</v>
      </c>
      <c r="AH1237" s="1" t="s">
        <v>51</v>
      </c>
      <c r="AI1237">
        <v>287</v>
      </c>
      <c r="AJ1237">
        <v>62</v>
      </c>
      <c r="AK1237" s="106">
        <v>45475.635461990743</v>
      </c>
      <c r="AL1237" s="1" t="s">
        <v>4790</v>
      </c>
      <c r="AM1237" s="42">
        <f>IFERROR(INDEX('Public procurment'!A:R,MATCH(ListOfExpenditure[[#This Row],[Content.contractId]],'Public procurment'!E:E,0),14),0)</f>
        <v>0</v>
      </c>
      <c r="AN1237" s="2">
        <f>IF(AND(ListOfExpenditure[[#This Row],[Contract amount]]&gt;10000,ListOfExpenditure[[#This Row],[Content.declaredAmount]]&gt;2000),1,0)</f>
        <v>0</v>
      </c>
      <c r="AO1237">
        <f>IFERROR(INDEX('Public procurment'!A:S,MATCH(ListOfExpenditure[[#This Row],[Content.contractId]],'Public procurment'!E:E,0),19),0)</f>
        <v>0</v>
      </c>
      <c r="AP1237">
        <f>IF(ListOfExpenditure[[#This Row],[Numero di volte controllato il contract ]]&gt;0,0,ListOfExpenditure[[#This Row],[IF public procurment &gt;10000;1;0]])</f>
        <v>0</v>
      </c>
    </row>
    <row r="1238" spans="1:42" x14ac:dyDescent="0.25">
      <c r="A1238">
        <v>561</v>
      </c>
      <c r="B1238">
        <v>11</v>
      </c>
      <c r="E1238" t="s">
        <v>4786</v>
      </c>
      <c r="F1238" t="b">
        <v>0</v>
      </c>
      <c r="I1238" t="s">
        <v>5772</v>
      </c>
      <c r="K1238" t="s">
        <v>5761</v>
      </c>
      <c r="L1238" t="s">
        <v>5276</v>
      </c>
      <c r="M1238" t="s">
        <v>4788</v>
      </c>
      <c r="N1238" t="s">
        <v>4788</v>
      </c>
      <c r="O1238">
        <v>4000.53</v>
      </c>
      <c r="Q1238">
        <v>0</v>
      </c>
      <c r="R1238">
        <v>0</v>
      </c>
      <c r="S1238">
        <v>2272.9299999999998</v>
      </c>
      <c r="T1238" t="s">
        <v>4789</v>
      </c>
      <c r="U1238">
        <v>1</v>
      </c>
      <c r="V1238">
        <v>2272.9299999999998</v>
      </c>
      <c r="W1238" t="s">
        <v>4343</v>
      </c>
      <c r="Y1238" t="b">
        <v>1</v>
      </c>
      <c r="Z1238" t="b">
        <v>0</v>
      </c>
      <c r="AA1238">
        <v>2272.9299999999998</v>
      </c>
      <c r="AB1238">
        <v>0</v>
      </c>
      <c r="AD1238" t="b">
        <v>0</v>
      </c>
      <c r="AG1238" s="1" t="s">
        <v>63</v>
      </c>
      <c r="AH1238" s="1" t="s">
        <v>51</v>
      </c>
      <c r="AI1238">
        <v>287</v>
      </c>
      <c r="AJ1238">
        <v>62</v>
      </c>
      <c r="AK1238" s="106">
        <v>45475.635461990743</v>
      </c>
      <c r="AL1238" s="1" t="s">
        <v>4790</v>
      </c>
      <c r="AM1238" s="42">
        <f>IFERROR(INDEX('Public procurment'!A:R,MATCH(ListOfExpenditure[[#This Row],[Content.contractId]],'Public procurment'!E:E,0),14),0)</f>
        <v>0</v>
      </c>
      <c r="AN1238" s="2">
        <f>IF(AND(ListOfExpenditure[[#This Row],[Contract amount]]&gt;10000,ListOfExpenditure[[#This Row],[Content.declaredAmount]]&gt;2000),1,0)</f>
        <v>0</v>
      </c>
      <c r="AO1238">
        <f>IFERROR(INDEX('Public procurment'!A:S,MATCH(ListOfExpenditure[[#This Row],[Content.contractId]],'Public procurment'!E:E,0),19),0)</f>
        <v>0</v>
      </c>
      <c r="AP1238">
        <f>IF(ListOfExpenditure[[#This Row],[Numero di volte controllato il contract ]]&gt;0,0,ListOfExpenditure[[#This Row],[IF public procurment &gt;10000;1;0]])</f>
        <v>0</v>
      </c>
    </row>
    <row r="1239" spans="1:42" x14ac:dyDescent="0.25">
      <c r="A1239">
        <v>562</v>
      </c>
      <c r="B1239">
        <v>12</v>
      </c>
      <c r="E1239" t="s">
        <v>4786</v>
      </c>
      <c r="F1239" t="b">
        <v>0</v>
      </c>
      <c r="I1239" t="s">
        <v>5773</v>
      </c>
      <c r="K1239" t="s">
        <v>4831</v>
      </c>
      <c r="L1239" t="s">
        <v>4946</v>
      </c>
      <c r="M1239" t="s">
        <v>4788</v>
      </c>
      <c r="N1239" t="s">
        <v>4788</v>
      </c>
      <c r="O1239">
        <v>4301.6899999999996</v>
      </c>
      <c r="Q1239">
        <v>0</v>
      </c>
      <c r="R1239">
        <v>0</v>
      </c>
      <c r="S1239">
        <v>2272.9299999999998</v>
      </c>
      <c r="T1239" t="s">
        <v>4789</v>
      </c>
      <c r="U1239">
        <v>1</v>
      </c>
      <c r="V1239">
        <v>2272.9299999999998</v>
      </c>
      <c r="W1239" t="s">
        <v>4343</v>
      </c>
      <c r="Y1239" t="b">
        <v>1</v>
      </c>
      <c r="Z1239" t="b">
        <v>0</v>
      </c>
      <c r="AA1239">
        <v>2272.9299999999998</v>
      </c>
      <c r="AB1239">
        <v>0</v>
      </c>
      <c r="AD1239" t="b">
        <v>0</v>
      </c>
      <c r="AG1239" s="1" t="s">
        <v>63</v>
      </c>
      <c r="AH1239" s="1" t="s">
        <v>51</v>
      </c>
      <c r="AI1239">
        <v>287</v>
      </c>
      <c r="AJ1239">
        <v>62</v>
      </c>
      <c r="AK1239" s="106">
        <v>45475.635461990743</v>
      </c>
      <c r="AL1239" s="1" t="s">
        <v>4790</v>
      </c>
      <c r="AM1239" s="42">
        <f>IFERROR(INDEX('Public procurment'!A:R,MATCH(ListOfExpenditure[[#This Row],[Content.contractId]],'Public procurment'!E:E,0),14),0)</f>
        <v>0</v>
      </c>
      <c r="AN1239" s="2">
        <f>IF(AND(ListOfExpenditure[[#This Row],[Contract amount]]&gt;10000,ListOfExpenditure[[#This Row],[Content.declaredAmount]]&gt;2000),1,0)</f>
        <v>0</v>
      </c>
      <c r="AO1239">
        <f>IFERROR(INDEX('Public procurment'!A:S,MATCH(ListOfExpenditure[[#This Row],[Content.contractId]],'Public procurment'!E:E,0),19),0)</f>
        <v>0</v>
      </c>
      <c r="AP1239">
        <f>IF(ListOfExpenditure[[#This Row],[Numero di volte controllato il contract ]]&gt;0,0,ListOfExpenditure[[#This Row],[IF public procurment &gt;10000;1;0]])</f>
        <v>0</v>
      </c>
    </row>
    <row r="1240" spans="1:42" x14ac:dyDescent="0.25">
      <c r="A1240">
        <v>52</v>
      </c>
      <c r="B1240">
        <v>1</v>
      </c>
      <c r="C1240">
        <v>12</v>
      </c>
      <c r="E1240" t="s">
        <v>4893</v>
      </c>
      <c r="F1240" t="b">
        <v>0</v>
      </c>
      <c r="M1240" t="s">
        <v>4788</v>
      </c>
      <c r="N1240" t="s">
        <v>4788</v>
      </c>
      <c r="Q1240">
        <v>1</v>
      </c>
      <c r="R1240">
        <v>9000</v>
      </c>
      <c r="S1240">
        <v>9000</v>
      </c>
      <c r="T1240" t="s">
        <v>4789</v>
      </c>
      <c r="U1240">
        <v>1</v>
      </c>
      <c r="V1240">
        <v>9000</v>
      </c>
      <c r="W1240" t="s">
        <v>4343</v>
      </c>
      <c r="Y1240" t="b">
        <v>1</v>
      </c>
      <c r="Z1240" t="b">
        <v>0</v>
      </c>
      <c r="AA1240">
        <v>9000</v>
      </c>
      <c r="AB1240">
        <v>0</v>
      </c>
      <c r="AD1240" t="b">
        <v>0</v>
      </c>
      <c r="AG1240" s="1" t="s">
        <v>63</v>
      </c>
      <c r="AH1240" s="1" t="s">
        <v>46</v>
      </c>
      <c r="AI1240">
        <v>230</v>
      </c>
      <c r="AJ1240">
        <v>20</v>
      </c>
      <c r="AK1240" s="106">
        <v>45475.635457662036</v>
      </c>
      <c r="AL1240" s="1" t="s">
        <v>4790</v>
      </c>
      <c r="AM1240" s="42">
        <f>IFERROR(INDEX('Public procurment'!A:R,MATCH(ListOfExpenditure[[#This Row],[Content.contractId]],'Public procurment'!E:E,0),14),0)</f>
        <v>0</v>
      </c>
      <c r="AN1240" s="2">
        <f>IF(AND(ListOfExpenditure[[#This Row],[Contract amount]]&gt;10000,ListOfExpenditure[[#This Row],[Content.declaredAmount]]&gt;2000),1,0)</f>
        <v>0</v>
      </c>
      <c r="AO1240">
        <f>IFERROR(INDEX('Public procurment'!A:S,MATCH(ListOfExpenditure[[#This Row],[Content.contractId]],'Public procurment'!E:E,0),19),0)</f>
        <v>0</v>
      </c>
      <c r="AP1240">
        <f>IF(ListOfExpenditure[[#This Row],[Numero di volte controllato il contract ]]&gt;0,0,ListOfExpenditure[[#This Row],[IF public procurment &gt;10000;1;0]])</f>
        <v>0</v>
      </c>
    </row>
    <row r="1241" spans="1:42" x14ac:dyDescent="0.25">
      <c r="A1241">
        <v>53</v>
      </c>
      <c r="B1241">
        <v>2</v>
      </c>
      <c r="E1241" t="s">
        <v>4786</v>
      </c>
      <c r="F1241" t="b">
        <v>1</v>
      </c>
      <c r="I1241" t="s">
        <v>4949</v>
      </c>
      <c r="K1241" t="s">
        <v>4804</v>
      </c>
      <c r="L1241" t="s">
        <v>4877</v>
      </c>
      <c r="M1241" t="s">
        <v>4788</v>
      </c>
      <c r="N1241" t="s">
        <v>4788</v>
      </c>
      <c r="O1241">
        <v>4539.72</v>
      </c>
      <c r="Q1241">
        <v>0</v>
      </c>
      <c r="R1241">
        <v>0</v>
      </c>
      <c r="S1241">
        <v>1361.91</v>
      </c>
      <c r="T1241" t="s">
        <v>4789</v>
      </c>
      <c r="U1241">
        <v>1</v>
      </c>
      <c r="V1241">
        <v>1361.91</v>
      </c>
      <c r="W1241" t="s">
        <v>4343</v>
      </c>
      <c r="Y1241" t="b">
        <v>1</v>
      </c>
      <c r="Z1241" t="b">
        <v>0</v>
      </c>
      <c r="AA1241">
        <v>1330.78</v>
      </c>
      <c r="AB1241">
        <v>31.13</v>
      </c>
      <c r="AC1241">
        <v>14</v>
      </c>
      <c r="AD1241" t="b">
        <v>0</v>
      </c>
      <c r="AF1241" t="s">
        <v>5774</v>
      </c>
      <c r="AG1241" s="1" t="s">
        <v>63</v>
      </c>
      <c r="AH1241" s="1" t="s">
        <v>46</v>
      </c>
      <c r="AI1241">
        <v>230</v>
      </c>
      <c r="AJ1241">
        <v>20</v>
      </c>
      <c r="AK1241" s="106">
        <v>45475.635457662036</v>
      </c>
      <c r="AL1241" s="1" t="s">
        <v>4790</v>
      </c>
      <c r="AM1241" s="42">
        <f>IFERROR(INDEX('Public procurment'!A:R,MATCH(ListOfExpenditure[[#This Row],[Content.contractId]],'Public procurment'!E:E,0),14),0)</f>
        <v>0</v>
      </c>
      <c r="AN1241" s="2">
        <f>IF(AND(ListOfExpenditure[[#This Row],[Contract amount]]&gt;10000,ListOfExpenditure[[#This Row],[Content.declaredAmount]]&gt;2000),1,0)</f>
        <v>0</v>
      </c>
      <c r="AO1241">
        <f>IFERROR(INDEX('Public procurment'!A:S,MATCH(ListOfExpenditure[[#This Row],[Content.contractId]],'Public procurment'!E:E,0),19),0)</f>
        <v>0</v>
      </c>
      <c r="AP1241">
        <f>IF(ListOfExpenditure[[#This Row],[Numero di volte controllato il contract ]]&gt;0,0,ListOfExpenditure[[#This Row],[IF public procurment &gt;10000;1;0]])</f>
        <v>0</v>
      </c>
    </row>
    <row r="1242" spans="1:42" x14ac:dyDescent="0.25">
      <c r="A1242">
        <v>54</v>
      </c>
      <c r="B1242">
        <v>3</v>
      </c>
      <c r="E1242" t="s">
        <v>4786</v>
      </c>
      <c r="F1242" t="b">
        <v>1</v>
      </c>
      <c r="I1242" t="s">
        <v>4949</v>
      </c>
      <c r="K1242" t="s">
        <v>4806</v>
      </c>
      <c r="L1242" t="s">
        <v>4873</v>
      </c>
      <c r="M1242" t="s">
        <v>4788</v>
      </c>
      <c r="N1242" t="s">
        <v>4788</v>
      </c>
      <c r="O1242">
        <v>2805.15</v>
      </c>
      <c r="Q1242">
        <v>0</v>
      </c>
      <c r="R1242">
        <v>0</v>
      </c>
      <c r="S1242">
        <v>841.55</v>
      </c>
      <c r="T1242" t="s">
        <v>4789</v>
      </c>
      <c r="U1242">
        <v>1</v>
      </c>
      <c r="V1242">
        <v>841.55</v>
      </c>
      <c r="W1242" t="s">
        <v>4343</v>
      </c>
      <c r="Y1242" t="b">
        <v>1</v>
      </c>
      <c r="Z1242" t="b">
        <v>0</v>
      </c>
      <c r="AA1242">
        <v>810.41</v>
      </c>
      <c r="AB1242">
        <v>31.14</v>
      </c>
      <c r="AC1242">
        <v>14</v>
      </c>
      <c r="AD1242" t="b">
        <v>0</v>
      </c>
      <c r="AF1242" t="s">
        <v>5774</v>
      </c>
      <c r="AG1242" s="1" t="s">
        <v>63</v>
      </c>
      <c r="AH1242" s="1" t="s">
        <v>46</v>
      </c>
      <c r="AI1242">
        <v>230</v>
      </c>
      <c r="AJ1242">
        <v>20</v>
      </c>
      <c r="AK1242" s="106">
        <v>45475.635457662036</v>
      </c>
      <c r="AL1242" s="1" t="s">
        <v>4790</v>
      </c>
      <c r="AM1242" s="42">
        <f>IFERROR(INDEX('Public procurment'!A:R,MATCH(ListOfExpenditure[[#This Row],[Content.contractId]],'Public procurment'!E:E,0),14),0)</f>
        <v>0</v>
      </c>
      <c r="AN1242" s="2">
        <f>IF(AND(ListOfExpenditure[[#This Row],[Contract amount]]&gt;10000,ListOfExpenditure[[#This Row],[Content.declaredAmount]]&gt;2000),1,0)</f>
        <v>0</v>
      </c>
      <c r="AO1242">
        <f>IFERROR(INDEX('Public procurment'!A:S,MATCH(ListOfExpenditure[[#This Row],[Content.contractId]],'Public procurment'!E:E,0),19),0)</f>
        <v>0</v>
      </c>
      <c r="AP1242">
        <f>IF(ListOfExpenditure[[#This Row],[Numero di volte controllato il contract ]]&gt;0,0,ListOfExpenditure[[#This Row],[IF public procurment &gt;10000;1;0]])</f>
        <v>0</v>
      </c>
    </row>
    <row r="1243" spans="1:42" x14ac:dyDescent="0.25">
      <c r="A1243">
        <v>55</v>
      </c>
      <c r="B1243">
        <v>4</v>
      </c>
      <c r="E1243" t="s">
        <v>4786</v>
      </c>
      <c r="F1243" t="b">
        <v>1</v>
      </c>
      <c r="I1243" t="s">
        <v>4949</v>
      </c>
      <c r="K1243" t="s">
        <v>4342</v>
      </c>
      <c r="L1243" t="s">
        <v>4831</v>
      </c>
      <c r="M1243" t="s">
        <v>4788</v>
      </c>
      <c r="N1243" t="s">
        <v>4788</v>
      </c>
      <c r="O1243">
        <v>4469.7</v>
      </c>
      <c r="Q1243">
        <v>0</v>
      </c>
      <c r="R1243">
        <v>0</v>
      </c>
      <c r="S1243">
        <v>1340.91</v>
      </c>
      <c r="T1243" t="s">
        <v>4789</v>
      </c>
      <c r="U1243">
        <v>1</v>
      </c>
      <c r="V1243">
        <v>1340.91</v>
      </c>
      <c r="W1243" t="s">
        <v>4343</v>
      </c>
      <c r="Y1243" t="b">
        <v>1</v>
      </c>
      <c r="Z1243" t="b">
        <v>0</v>
      </c>
      <c r="AA1243">
        <v>0</v>
      </c>
      <c r="AB1243">
        <v>0</v>
      </c>
      <c r="AD1243" t="b">
        <v>1</v>
      </c>
      <c r="AG1243" s="1" t="s">
        <v>63</v>
      </c>
      <c r="AH1243" s="1" t="s">
        <v>46</v>
      </c>
      <c r="AI1243">
        <v>230</v>
      </c>
      <c r="AJ1243">
        <v>20</v>
      </c>
      <c r="AK1243" s="106">
        <v>45475.635457662036</v>
      </c>
      <c r="AL1243" s="1" t="s">
        <v>4790</v>
      </c>
      <c r="AM1243" s="42">
        <f>IFERROR(INDEX('Public procurment'!A:R,MATCH(ListOfExpenditure[[#This Row],[Content.contractId]],'Public procurment'!E:E,0),14),0)</f>
        <v>0</v>
      </c>
      <c r="AN1243" s="2">
        <f>IF(AND(ListOfExpenditure[[#This Row],[Contract amount]]&gt;10000,ListOfExpenditure[[#This Row],[Content.declaredAmount]]&gt;2000),1,0)</f>
        <v>0</v>
      </c>
      <c r="AO1243">
        <f>IFERROR(INDEX('Public procurment'!A:S,MATCH(ListOfExpenditure[[#This Row],[Content.contractId]],'Public procurment'!E:E,0),19),0)</f>
        <v>0</v>
      </c>
      <c r="AP1243">
        <f>IF(ListOfExpenditure[[#This Row],[Numero di volte controllato il contract ]]&gt;0,0,ListOfExpenditure[[#This Row],[IF public procurment &gt;10000;1;0]])</f>
        <v>0</v>
      </c>
    </row>
    <row r="1244" spans="1:42" x14ac:dyDescent="0.25">
      <c r="A1244">
        <v>57</v>
      </c>
      <c r="B1244">
        <v>5</v>
      </c>
      <c r="E1244" t="s">
        <v>4786</v>
      </c>
      <c r="F1244" t="b">
        <v>1</v>
      </c>
      <c r="I1244" t="s">
        <v>5494</v>
      </c>
      <c r="K1244" t="s">
        <v>4804</v>
      </c>
      <c r="L1244" t="s">
        <v>4877</v>
      </c>
      <c r="M1244" t="s">
        <v>4788</v>
      </c>
      <c r="N1244" t="s">
        <v>4788</v>
      </c>
      <c r="O1244">
        <v>3889.42</v>
      </c>
      <c r="Q1244">
        <v>0</v>
      </c>
      <c r="R1244">
        <v>0</v>
      </c>
      <c r="S1244">
        <v>855.67</v>
      </c>
      <c r="T1244" t="s">
        <v>4789</v>
      </c>
      <c r="U1244">
        <v>1</v>
      </c>
      <c r="V1244">
        <v>855.67</v>
      </c>
      <c r="W1244" t="s">
        <v>4343</v>
      </c>
      <c r="Y1244" t="b">
        <v>1</v>
      </c>
      <c r="Z1244" t="b">
        <v>0</v>
      </c>
      <c r="AA1244">
        <v>833.61</v>
      </c>
      <c r="AB1244">
        <v>22.06</v>
      </c>
      <c r="AC1244">
        <v>14</v>
      </c>
      <c r="AD1244" t="b">
        <v>0</v>
      </c>
      <c r="AF1244" t="s">
        <v>5774</v>
      </c>
      <c r="AG1244" s="1" t="s">
        <v>63</v>
      </c>
      <c r="AH1244" s="1" t="s">
        <v>46</v>
      </c>
      <c r="AI1244">
        <v>230</v>
      </c>
      <c r="AJ1244">
        <v>20</v>
      </c>
      <c r="AK1244" s="106">
        <v>45475.635457662036</v>
      </c>
      <c r="AL1244" s="1" t="s">
        <v>4790</v>
      </c>
      <c r="AM1244" s="42">
        <f>IFERROR(INDEX('Public procurment'!A:R,MATCH(ListOfExpenditure[[#This Row],[Content.contractId]],'Public procurment'!E:E,0),14),0)</f>
        <v>0</v>
      </c>
      <c r="AN1244" s="2">
        <f>IF(AND(ListOfExpenditure[[#This Row],[Contract amount]]&gt;10000,ListOfExpenditure[[#This Row],[Content.declaredAmount]]&gt;2000),1,0)</f>
        <v>0</v>
      </c>
      <c r="AO1244">
        <f>IFERROR(INDEX('Public procurment'!A:S,MATCH(ListOfExpenditure[[#This Row],[Content.contractId]],'Public procurment'!E:E,0),19),0)</f>
        <v>0</v>
      </c>
      <c r="AP1244">
        <f>IF(ListOfExpenditure[[#This Row],[Numero di volte controllato il contract ]]&gt;0,0,ListOfExpenditure[[#This Row],[IF public procurment &gt;10000;1;0]])</f>
        <v>0</v>
      </c>
    </row>
    <row r="1245" spans="1:42" x14ac:dyDescent="0.25">
      <c r="A1245">
        <v>58</v>
      </c>
      <c r="B1245">
        <v>6</v>
      </c>
      <c r="E1245" t="s">
        <v>4786</v>
      </c>
      <c r="F1245" t="b">
        <v>1</v>
      </c>
      <c r="I1245" t="s">
        <v>5494</v>
      </c>
      <c r="K1245" t="s">
        <v>4806</v>
      </c>
      <c r="L1245" t="s">
        <v>4873</v>
      </c>
      <c r="M1245" t="s">
        <v>4788</v>
      </c>
      <c r="N1245" t="s">
        <v>4788</v>
      </c>
      <c r="O1245">
        <v>3931.51</v>
      </c>
      <c r="Q1245">
        <v>0</v>
      </c>
      <c r="R1245">
        <v>0</v>
      </c>
      <c r="S1245">
        <v>864.93</v>
      </c>
      <c r="T1245" t="s">
        <v>4789</v>
      </c>
      <c r="U1245">
        <v>1</v>
      </c>
      <c r="V1245">
        <v>864.93</v>
      </c>
      <c r="W1245" t="s">
        <v>4343</v>
      </c>
      <c r="Y1245" t="b">
        <v>1</v>
      </c>
      <c r="Z1245" t="b">
        <v>0</v>
      </c>
      <c r="AA1245">
        <v>842.87</v>
      </c>
      <c r="AB1245">
        <v>22.06</v>
      </c>
      <c r="AC1245">
        <v>14</v>
      </c>
      <c r="AD1245" t="b">
        <v>0</v>
      </c>
      <c r="AF1245" t="s">
        <v>5774</v>
      </c>
      <c r="AG1245" s="1" t="s">
        <v>63</v>
      </c>
      <c r="AH1245" s="1" t="s">
        <v>46</v>
      </c>
      <c r="AI1245">
        <v>230</v>
      </c>
      <c r="AJ1245">
        <v>20</v>
      </c>
      <c r="AK1245" s="106">
        <v>45475.635457662036</v>
      </c>
      <c r="AL1245" s="1" t="s">
        <v>4790</v>
      </c>
      <c r="AM1245" s="42">
        <f>IFERROR(INDEX('Public procurment'!A:R,MATCH(ListOfExpenditure[[#This Row],[Content.contractId]],'Public procurment'!E:E,0),14),0)</f>
        <v>0</v>
      </c>
      <c r="AN1245" s="2">
        <f>IF(AND(ListOfExpenditure[[#This Row],[Contract amount]]&gt;10000,ListOfExpenditure[[#This Row],[Content.declaredAmount]]&gt;2000),1,0)</f>
        <v>0</v>
      </c>
      <c r="AO1245">
        <f>IFERROR(INDEX('Public procurment'!A:S,MATCH(ListOfExpenditure[[#This Row],[Content.contractId]],'Public procurment'!E:E,0),19),0)</f>
        <v>0</v>
      </c>
      <c r="AP1245">
        <f>IF(ListOfExpenditure[[#This Row],[Numero di volte controllato il contract ]]&gt;0,0,ListOfExpenditure[[#This Row],[IF public procurment &gt;10000;1;0]])</f>
        <v>0</v>
      </c>
    </row>
    <row r="1246" spans="1:42" x14ac:dyDescent="0.25">
      <c r="A1246">
        <v>59</v>
      </c>
      <c r="B1246">
        <v>7</v>
      </c>
      <c r="E1246" t="s">
        <v>4786</v>
      </c>
      <c r="F1246" t="b">
        <v>1</v>
      </c>
      <c r="I1246" t="s">
        <v>5494</v>
      </c>
      <c r="K1246" t="s">
        <v>4342</v>
      </c>
      <c r="L1246" t="s">
        <v>4831</v>
      </c>
      <c r="M1246" t="s">
        <v>4788</v>
      </c>
      <c r="N1246" t="s">
        <v>4788</v>
      </c>
      <c r="O1246">
        <v>3959.58</v>
      </c>
      <c r="Q1246">
        <v>0</v>
      </c>
      <c r="R1246">
        <v>0</v>
      </c>
      <c r="S1246">
        <v>871.11</v>
      </c>
      <c r="T1246" t="s">
        <v>4789</v>
      </c>
      <c r="U1246">
        <v>1</v>
      </c>
      <c r="V1246">
        <v>871.11</v>
      </c>
      <c r="W1246" t="s">
        <v>4343</v>
      </c>
      <c r="Y1246" t="b">
        <v>1</v>
      </c>
      <c r="Z1246" t="b">
        <v>0</v>
      </c>
      <c r="AA1246">
        <v>0</v>
      </c>
      <c r="AB1246">
        <v>0</v>
      </c>
      <c r="AD1246" t="b">
        <v>1</v>
      </c>
      <c r="AG1246" s="1" t="s">
        <v>63</v>
      </c>
      <c r="AH1246" s="1" t="s">
        <v>46</v>
      </c>
      <c r="AI1246">
        <v>230</v>
      </c>
      <c r="AJ1246">
        <v>20</v>
      </c>
      <c r="AK1246" s="106">
        <v>45475.635457662036</v>
      </c>
      <c r="AL1246" s="1" t="s">
        <v>4790</v>
      </c>
      <c r="AM1246" s="42">
        <f>IFERROR(INDEX('Public procurment'!A:R,MATCH(ListOfExpenditure[[#This Row],[Content.contractId]],'Public procurment'!E:E,0),14),0)</f>
        <v>0</v>
      </c>
      <c r="AN1246" s="2">
        <f>IF(AND(ListOfExpenditure[[#This Row],[Contract amount]]&gt;10000,ListOfExpenditure[[#This Row],[Content.declaredAmount]]&gt;2000),1,0)</f>
        <v>0</v>
      </c>
      <c r="AO1246">
        <f>IFERROR(INDEX('Public procurment'!A:S,MATCH(ListOfExpenditure[[#This Row],[Content.contractId]],'Public procurment'!E:E,0),19),0)</f>
        <v>0</v>
      </c>
      <c r="AP1246">
        <f>IF(ListOfExpenditure[[#This Row],[Numero di volte controllato il contract ]]&gt;0,0,ListOfExpenditure[[#This Row],[IF public procurment &gt;10000;1;0]])</f>
        <v>0</v>
      </c>
    </row>
    <row r="1247" spans="1:42" x14ac:dyDescent="0.25">
      <c r="A1247">
        <v>60</v>
      </c>
      <c r="B1247">
        <v>8</v>
      </c>
      <c r="E1247" t="s">
        <v>4786</v>
      </c>
      <c r="F1247" t="b">
        <v>1</v>
      </c>
      <c r="I1247" t="s">
        <v>4944</v>
      </c>
      <c r="K1247" t="s">
        <v>4804</v>
      </c>
      <c r="L1247" t="s">
        <v>4877</v>
      </c>
      <c r="M1247" t="s">
        <v>4788</v>
      </c>
      <c r="N1247" t="s">
        <v>4788</v>
      </c>
      <c r="O1247">
        <v>4855.08</v>
      </c>
      <c r="Q1247">
        <v>0</v>
      </c>
      <c r="R1247">
        <v>0</v>
      </c>
      <c r="S1247">
        <v>1699.28</v>
      </c>
      <c r="T1247" t="s">
        <v>4789</v>
      </c>
      <c r="U1247">
        <v>1</v>
      </c>
      <c r="V1247">
        <v>1699.28</v>
      </c>
      <c r="W1247" t="s">
        <v>4343</v>
      </c>
      <c r="Y1247" t="b">
        <v>1</v>
      </c>
      <c r="Z1247" t="b">
        <v>0</v>
      </c>
      <c r="AA1247">
        <v>1664.18</v>
      </c>
      <c r="AB1247">
        <v>35.1</v>
      </c>
      <c r="AC1247">
        <v>14</v>
      </c>
      <c r="AD1247" t="b">
        <v>0</v>
      </c>
      <c r="AF1247" t="s">
        <v>5774</v>
      </c>
      <c r="AG1247" s="1" t="s">
        <v>63</v>
      </c>
      <c r="AH1247" s="1" t="s">
        <v>46</v>
      </c>
      <c r="AI1247">
        <v>230</v>
      </c>
      <c r="AJ1247">
        <v>20</v>
      </c>
      <c r="AK1247" s="106">
        <v>45475.635457662036</v>
      </c>
      <c r="AL1247" s="1" t="s">
        <v>4790</v>
      </c>
      <c r="AM1247" s="42">
        <f>IFERROR(INDEX('Public procurment'!A:R,MATCH(ListOfExpenditure[[#This Row],[Content.contractId]],'Public procurment'!E:E,0),14),0)</f>
        <v>0</v>
      </c>
      <c r="AN1247" s="2">
        <f>IF(AND(ListOfExpenditure[[#This Row],[Contract amount]]&gt;10000,ListOfExpenditure[[#This Row],[Content.declaredAmount]]&gt;2000),1,0)</f>
        <v>0</v>
      </c>
      <c r="AO1247">
        <f>IFERROR(INDEX('Public procurment'!A:S,MATCH(ListOfExpenditure[[#This Row],[Content.contractId]],'Public procurment'!E:E,0),19),0)</f>
        <v>0</v>
      </c>
      <c r="AP1247">
        <f>IF(ListOfExpenditure[[#This Row],[Numero di volte controllato il contract ]]&gt;0,0,ListOfExpenditure[[#This Row],[IF public procurment &gt;10000;1;0]])</f>
        <v>0</v>
      </c>
    </row>
    <row r="1248" spans="1:42" x14ac:dyDescent="0.25">
      <c r="A1248">
        <v>61</v>
      </c>
      <c r="B1248">
        <v>9</v>
      </c>
      <c r="E1248" t="s">
        <v>4786</v>
      </c>
      <c r="F1248" t="b">
        <v>1</v>
      </c>
      <c r="I1248" t="s">
        <v>4944</v>
      </c>
      <c r="K1248" t="s">
        <v>4806</v>
      </c>
      <c r="L1248" t="s">
        <v>4873</v>
      </c>
      <c r="M1248" t="s">
        <v>4788</v>
      </c>
      <c r="N1248" t="s">
        <v>4788</v>
      </c>
      <c r="O1248">
        <v>4735.99</v>
      </c>
      <c r="Q1248">
        <v>0</v>
      </c>
      <c r="R1248">
        <v>0</v>
      </c>
      <c r="S1248">
        <v>1657.6</v>
      </c>
      <c r="T1248" t="s">
        <v>4789</v>
      </c>
      <c r="U1248">
        <v>1</v>
      </c>
      <c r="V1248">
        <v>1657.6</v>
      </c>
      <c r="W1248" t="s">
        <v>4343</v>
      </c>
      <c r="Y1248" t="b">
        <v>1</v>
      </c>
      <c r="Z1248" t="b">
        <v>0</v>
      </c>
      <c r="AA1248">
        <v>1622.5</v>
      </c>
      <c r="AB1248">
        <v>35.1</v>
      </c>
      <c r="AC1248">
        <v>14</v>
      </c>
      <c r="AD1248" t="b">
        <v>0</v>
      </c>
      <c r="AF1248" t="s">
        <v>5774</v>
      </c>
      <c r="AG1248" s="1" t="s">
        <v>63</v>
      </c>
      <c r="AH1248" s="1" t="s">
        <v>46</v>
      </c>
      <c r="AI1248">
        <v>230</v>
      </c>
      <c r="AJ1248">
        <v>20</v>
      </c>
      <c r="AK1248" s="106">
        <v>45475.635457662036</v>
      </c>
      <c r="AL1248" s="1" t="s">
        <v>4790</v>
      </c>
      <c r="AM1248" s="42">
        <f>IFERROR(INDEX('Public procurment'!A:R,MATCH(ListOfExpenditure[[#This Row],[Content.contractId]],'Public procurment'!E:E,0),14),0)</f>
        <v>0</v>
      </c>
      <c r="AN1248" s="2">
        <f>IF(AND(ListOfExpenditure[[#This Row],[Contract amount]]&gt;10000,ListOfExpenditure[[#This Row],[Content.declaredAmount]]&gt;2000),1,0)</f>
        <v>0</v>
      </c>
      <c r="AO1248">
        <f>IFERROR(INDEX('Public procurment'!A:S,MATCH(ListOfExpenditure[[#This Row],[Content.contractId]],'Public procurment'!E:E,0),19),0)</f>
        <v>0</v>
      </c>
      <c r="AP1248">
        <f>IF(ListOfExpenditure[[#This Row],[Numero di volte controllato il contract ]]&gt;0,0,ListOfExpenditure[[#This Row],[IF public procurment &gt;10000;1;0]])</f>
        <v>0</v>
      </c>
    </row>
    <row r="1249" spans="1:42" x14ac:dyDescent="0.25">
      <c r="A1249">
        <v>62</v>
      </c>
      <c r="B1249">
        <v>10</v>
      </c>
      <c r="E1249" t="s">
        <v>4786</v>
      </c>
      <c r="F1249" t="b">
        <v>1</v>
      </c>
      <c r="I1249" t="s">
        <v>4944</v>
      </c>
      <c r="K1249" t="s">
        <v>4342</v>
      </c>
      <c r="L1249" t="s">
        <v>4831</v>
      </c>
      <c r="M1249" t="s">
        <v>4788</v>
      </c>
      <c r="N1249" t="s">
        <v>4788</v>
      </c>
      <c r="O1249">
        <v>4832.71</v>
      </c>
      <c r="Q1249">
        <v>0</v>
      </c>
      <c r="R1249">
        <v>0</v>
      </c>
      <c r="S1249">
        <v>1691.45</v>
      </c>
      <c r="T1249" t="s">
        <v>4789</v>
      </c>
      <c r="U1249">
        <v>1</v>
      </c>
      <c r="V1249">
        <v>1691.45</v>
      </c>
      <c r="W1249" t="s">
        <v>4343</v>
      </c>
      <c r="Y1249" t="b">
        <v>1</v>
      </c>
      <c r="Z1249" t="b">
        <v>0</v>
      </c>
      <c r="AA1249">
        <v>0</v>
      </c>
      <c r="AB1249">
        <v>0</v>
      </c>
      <c r="AD1249" t="b">
        <v>1</v>
      </c>
      <c r="AG1249" s="1" t="s">
        <v>63</v>
      </c>
      <c r="AH1249" s="1" t="s">
        <v>46</v>
      </c>
      <c r="AI1249">
        <v>230</v>
      </c>
      <c r="AJ1249">
        <v>20</v>
      </c>
      <c r="AK1249" s="106">
        <v>45475.635457662036</v>
      </c>
      <c r="AL1249" s="1" t="s">
        <v>4790</v>
      </c>
      <c r="AM1249" s="42">
        <f>IFERROR(INDEX('Public procurment'!A:R,MATCH(ListOfExpenditure[[#This Row],[Content.contractId]],'Public procurment'!E:E,0),14),0)</f>
        <v>0</v>
      </c>
      <c r="AN1249" s="2">
        <f>IF(AND(ListOfExpenditure[[#This Row],[Contract amount]]&gt;10000,ListOfExpenditure[[#This Row],[Content.declaredAmount]]&gt;2000),1,0)</f>
        <v>0</v>
      </c>
      <c r="AO1249">
        <f>IFERROR(INDEX('Public procurment'!A:S,MATCH(ListOfExpenditure[[#This Row],[Content.contractId]],'Public procurment'!E:E,0),19),0)</f>
        <v>0</v>
      </c>
      <c r="AP1249">
        <f>IF(ListOfExpenditure[[#This Row],[Numero di volte controllato il contract ]]&gt;0,0,ListOfExpenditure[[#This Row],[IF public procurment &gt;10000;1;0]])</f>
        <v>0</v>
      </c>
    </row>
    <row r="1250" spans="1:42" x14ac:dyDescent="0.25">
      <c r="A1250">
        <v>63</v>
      </c>
      <c r="B1250">
        <v>11</v>
      </c>
      <c r="E1250" t="s">
        <v>4786</v>
      </c>
      <c r="F1250" t="b">
        <v>1</v>
      </c>
      <c r="I1250" t="s">
        <v>4933</v>
      </c>
      <c r="K1250" t="s">
        <v>4804</v>
      </c>
      <c r="L1250" t="s">
        <v>4877</v>
      </c>
      <c r="M1250" t="s">
        <v>4788</v>
      </c>
      <c r="N1250" t="s">
        <v>4788</v>
      </c>
      <c r="O1250">
        <v>2953.57</v>
      </c>
      <c r="Q1250">
        <v>0</v>
      </c>
      <c r="R1250">
        <v>0</v>
      </c>
      <c r="S1250">
        <v>1033.75</v>
      </c>
      <c r="T1250" t="s">
        <v>4789</v>
      </c>
      <c r="U1250">
        <v>1</v>
      </c>
      <c r="V1250">
        <v>1033.75</v>
      </c>
      <c r="W1250" t="s">
        <v>4343</v>
      </c>
      <c r="Y1250" t="b">
        <v>1</v>
      </c>
      <c r="Z1250" t="b">
        <v>0</v>
      </c>
      <c r="AA1250">
        <v>945.84</v>
      </c>
      <c r="AB1250">
        <v>87.91</v>
      </c>
      <c r="AC1250">
        <v>14</v>
      </c>
      <c r="AD1250" t="b">
        <v>0</v>
      </c>
      <c r="AF1250" t="s">
        <v>5774</v>
      </c>
      <c r="AG1250" s="1" t="s">
        <v>63</v>
      </c>
      <c r="AH1250" s="1" t="s">
        <v>46</v>
      </c>
      <c r="AI1250">
        <v>230</v>
      </c>
      <c r="AJ1250">
        <v>20</v>
      </c>
      <c r="AK1250" s="106">
        <v>45475.635457662036</v>
      </c>
      <c r="AL1250" s="1" t="s">
        <v>4790</v>
      </c>
      <c r="AM1250" s="42">
        <f>IFERROR(INDEX('Public procurment'!A:R,MATCH(ListOfExpenditure[[#This Row],[Content.contractId]],'Public procurment'!E:E,0),14),0)</f>
        <v>0</v>
      </c>
      <c r="AN1250" s="2">
        <f>IF(AND(ListOfExpenditure[[#This Row],[Contract amount]]&gt;10000,ListOfExpenditure[[#This Row],[Content.declaredAmount]]&gt;2000),1,0)</f>
        <v>0</v>
      </c>
      <c r="AO1250">
        <f>IFERROR(INDEX('Public procurment'!A:S,MATCH(ListOfExpenditure[[#This Row],[Content.contractId]],'Public procurment'!E:E,0),19),0)</f>
        <v>0</v>
      </c>
      <c r="AP1250">
        <f>IF(ListOfExpenditure[[#This Row],[Numero di volte controllato il contract ]]&gt;0,0,ListOfExpenditure[[#This Row],[IF public procurment &gt;10000;1;0]])</f>
        <v>0</v>
      </c>
    </row>
    <row r="1251" spans="1:42" x14ac:dyDescent="0.25">
      <c r="A1251">
        <v>64</v>
      </c>
      <c r="B1251">
        <v>12</v>
      </c>
      <c r="E1251" t="s">
        <v>4786</v>
      </c>
      <c r="F1251" t="b">
        <v>1</v>
      </c>
      <c r="I1251" t="s">
        <v>4933</v>
      </c>
      <c r="K1251" t="s">
        <v>4806</v>
      </c>
      <c r="L1251" t="s">
        <v>4873</v>
      </c>
      <c r="M1251" t="s">
        <v>4788</v>
      </c>
      <c r="N1251" t="s">
        <v>4788</v>
      </c>
      <c r="O1251">
        <v>4132.37</v>
      </c>
      <c r="Q1251">
        <v>0</v>
      </c>
      <c r="R1251">
        <v>0</v>
      </c>
      <c r="S1251">
        <v>1446.33</v>
      </c>
      <c r="T1251" t="s">
        <v>4789</v>
      </c>
      <c r="U1251">
        <v>1</v>
      </c>
      <c r="V1251">
        <v>1446.33</v>
      </c>
      <c r="W1251" t="s">
        <v>4343</v>
      </c>
      <c r="Y1251" t="b">
        <v>1</v>
      </c>
      <c r="Z1251" t="b">
        <v>0</v>
      </c>
      <c r="AA1251">
        <v>1411.23</v>
      </c>
      <c r="AB1251">
        <v>35.1</v>
      </c>
      <c r="AC1251">
        <v>14</v>
      </c>
      <c r="AD1251" t="b">
        <v>0</v>
      </c>
      <c r="AF1251" t="s">
        <v>5774</v>
      </c>
      <c r="AG1251" s="1" t="s">
        <v>63</v>
      </c>
      <c r="AH1251" s="1" t="s">
        <v>46</v>
      </c>
      <c r="AI1251">
        <v>230</v>
      </c>
      <c r="AJ1251">
        <v>20</v>
      </c>
      <c r="AK1251" s="106">
        <v>45475.635457662036</v>
      </c>
      <c r="AL1251" s="1" t="s">
        <v>4790</v>
      </c>
      <c r="AM1251" s="42">
        <f>IFERROR(INDEX('Public procurment'!A:R,MATCH(ListOfExpenditure[[#This Row],[Content.contractId]],'Public procurment'!E:E,0),14),0)</f>
        <v>0</v>
      </c>
      <c r="AN1251" s="2">
        <f>IF(AND(ListOfExpenditure[[#This Row],[Contract amount]]&gt;10000,ListOfExpenditure[[#This Row],[Content.declaredAmount]]&gt;2000),1,0)</f>
        <v>0</v>
      </c>
      <c r="AO1251">
        <f>IFERROR(INDEX('Public procurment'!A:S,MATCH(ListOfExpenditure[[#This Row],[Content.contractId]],'Public procurment'!E:E,0),19),0)</f>
        <v>0</v>
      </c>
      <c r="AP1251">
        <f>IF(ListOfExpenditure[[#This Row],[Numero di volte controllato il contract ]]&gt;0,0,ListOfExpenditure[[#This Row],[IF public procurment &gt;10000;1;0]])</f>
        <v>0</v>
      </c>
    </row>
    <row r="1252" spans="1:42" x14ac:dyDescent="0.25">
      <c r="A1252">
        <v>65</v>
      </c>
      <c r="B1252">
        <v>13</v>
      </c>
      <c r="E1252" t="s">
        <v>4786</v>
      </c>
      <c r="F1252" t="b">
        <v>1</v>
      </c>
      <c r="I1252" t="s">
        <v>4933</v>
      </c>
      <c r="K1252" t="s">
        <v>4342</v>
      </c>
      <c r="L1252" t="s">
        <v>4831</v>
      </c>
      <c r="M1252" t="s">
        <v>4788</v>
      </c>
      <c r="N1252" t="s">
        <v>4788</v>
      </c>
      <c r="O1252">
        <v>4174.8900000000003</v>
      </c>
      <c r="Q1252">
        <v>0</v>
      </c>
      <c r="R1252">
        <v>0</v>
      </c>
      <c r="S1252">
        <v>1461.21</v>
      </c>
      <c r="T1252" t="s">
        <v>4789</v>
      </c>
      <c r="U1252">
        <v>1</v>
      </c>
      <c r="V1252">
        <v>1461.21</v>
      </c>
      <c r="W1252" t="s">
        <v>4343</v>
      </c>
      <c r="Y1252" t="b">
        <v>1</v>
      </c>
      <c r="Z1252" t="b">
        <v>0</v>
      </c>
      <c r="AA1252">
        <v>0</v>
      </c>
      <c r="AB1252">
        <v>0</v>
      </c>
      <c r="AD1252" t="b">
        <v>1</v>
      </c>
      <c r="AG1252" s="1" t="s">
        <v>63</v>
      </c>
      <c r="AH1252" s="1" t="s">
        <v>46</v>
      </c>
      <c r="AI1252">
        <v>230</v>
      </c>
      <c r="AJ1252">
        <v>20</v>
      </c>
      <c r="AK1252" s="106">
        <v>45475.635457662036</v>
      </c>
      <c r="AL1252" s="1" t="s">
        <v>4790</v>
      </c>
      <c r="AM1252" s="42">
        <f>IFERROR(INDEX('Public procurment'!A:R,MATCH(ListOfExpenditure[[#This Row],[Content.contractId]],'Public procurment'!E:E,0),14),0)</f>
        <v>0</v>
      </c>
      <c r="AN1252" s="2">
        <f>IF(AND(ListOfExpenditure[[#This Row],[Contract amount]]&gt;10000,ListOfExpenditure[[#This Row],[Content.declaredAmount]]&gt;2000),1,0)</f>
        <v>0</v>
      </c>
      <c r="AO1252">
        <f>IFERROR(INDEX('Public procurment'!A:S,MATCH(ListOfExpenditure[[#This Row],[Content.contractId]],'Public procurment'!E:E,0),19),0)</f>
        <v>0</v>
      </c>
      <c r="AP1252">
        <f>IF(ListOfExpenditure[[#This Row],[Numero di volte controllato il contract ]]&gt;0,0,ListOfExpenditure[[#This Row],[IF public procurment &gt;10000;1;0]])</f>
        <v>0</v>
      </c>
    </row>
    <row r="1253" spans="1:42" x14ac:dyDescent="0.25">
      <c r="A1253">
        <v>66</v>
      </c>
      <c r="B1253">
        <v>14</v>
      </c>
      <c r="E1253" t="s">
        <v>4786</v>
      </c>
      <c r="F1253" t="b">
        <v>1</v>
      </c>
      <c r="I1253" t="s">
        <v>5775</v>
      </c>
      <c r="K1253" t="s">
        <v>4804</v>
      </c>
      <c r="L1253" t="s">
        <v>4877</v>
      </c>
      <c r="M1253" t="s">
        <v>4788</v>
      </c>
      <c r="N1253" t="s">
        <v>4788</v>
      </c>
      <c r="O1253">
        <v>1094.96</v>
      </c>
      <c r="Q1253">
        <v>0</v>
      </c>
      <c r="R1253">
        <v>0</v>
      </c>
      <c r="S1253">
        <v>218.99</v>
      </c>
      <c r="T1253" t="s">
        <v>4789</v>
      </c>
      <c r="U1253">
        <v>1</v>
      </c>
      <c r="V1253">
        <v>218.99</v>
      </c>
      <c r="W1253" t="s">
        <v>4343</v>
      </c>
      <c r="Y1253" t="b">
        <v>1</v>
      </c>
      <c r="Z1253" t="b">
        <v>0</v>
      </c>
      <c r="AA1253">
        <v>218.99</v>
      </c>
      <c r="AB1253">
        <v>0</v>
      </c>
      <c r="AD1253" t="b">
        <v>0</v>
      </c>
      <c r="AF1253" t="s">
        <v>212</v>
      </c>
      <c r="AG1253" s="1" t="s">
        <v>63</v>
      </c>
      <c r="AH1253" s="1" t="s">
        <v>46</v>
      </c>
      <c r="AI1253">
        <v>230</v>
      </c>
      <c r="AJ1253">
        <v>20</v>
      </c>
      <c r="AK1253" s="106">
        <v>45475.635457662036</v>
      </c>
      <c r="AL1253" s="1" t="s">
        <v>4790</v>
      </c>
      <c r="AM1253" s="42">
        <f>IFERROR(INDEX('Public procurment'!A:R,MATCH(ListOfExpenditure[[#This Row],[Content.contractId]],'Public procurment'!E:E,0),14),0)</f>
        <v>0</v>
      </c>
      <c r="AN1253" s="2">
        <f>IF(AND(ListOfExpenditure[[#This Row],[Contract amount]]&gt;10000,ListOfExpenditure[[#This Row],[Content.declaredAmount]]&gt;2000),1,0)</f>
        <v>0</v>
      </c>
      <c r="AO1253">
        <f>IFERROR(INDEX('Public procurment'!A:S,MATCH(ListOfExpenditure[[#This Row],[Content.contractId]],'Public procurment'!E:E,0),19),0)</f>
        <v>0</v>
      </c>
      <c r="AP1253">
        <f>IF(ListOfExpenditure[[#This Row],[Numero di volte controllato il contract ]]&gt;0,0,ListOfExpenditure[[#This Row],[IF public procurment &gt;10000;1;0]])</f>
        <v>0</v>
      </c>
    </row>
    <row r="1254" spans="1:42" x14ac:dyDescent="0.25">
      <c r="A1254">
        <v>67</v>
      </c>
      <c r="B1254">
        <v>15</v>
      </c>
      <c r="E1254" t="s">
        <v>4786</v>
      </c>
      <c r="F1254" t="b">
        <v>1</v>
      </c>
      <c r="I1254" t="s">
        <v>5775</v>
      </c>
      <c r="K1254" t="s">
        <v>4806</v>
      </c>
      <c r="L1254" t="s">
        <v>4873</v>
      </c>
      <c r="M1254" t="s">
        <v>4788</v>
      </c>
      <c r="N1254" t="s">
        <v>4788</v>
      </c>
      <c r="O1254">
        <v>1097.93</v>
      </c>
      <c r="Q1254">
        <v>0</v>
      </c>
      <c r="R1254">
        <v>0</v>
      </c>
      <c r="S1254">
        <v>219.59</v>
      </c>
      <c r="T1254" t="s">
        <v>4789</v>
      </c>
      <c r="U1254">
        <v>1</v>
      </c>
      <c r="V1254">
        <v>219.59</v>
      </c>
      <c r="W1254" t="s">
        <v>4343</v>
      </c>
      <c r="Y1254" t="b">
        <v>1</v>
      </c>
      <c r="Z1254" t="b">
        <v>0</v>
      </c>
      <c r="AA1254">
        <v>219.59</v>
      </c>
      <c r="AB1254">
        <v>0</v>
      </c>
      <c r="AD1254" t="b">
        <v>0</v>
      </c>
      <c r="AG1254" s="1" t="s">
        <v>63</v>
      </c>
      <c r="AH1254" s="1" t="s">
        <v>46</v>
      </c>
      <c r="AI1254">
        <v>230</v>
      </c>
      <c r="AJ1254">
        <v>20</v>
      </c>
      <c r="AK1254" s="106">
        <v>45475.635457662036</v>
      </c>
      <c r="AL1254" s="1" t="s">
        <v>4790</v>
      </c>
      <c r="AM1254" s="42">
        <f>IFERROR(INDEX('Public procurment'!A:R,MATCH(ListOfExpenditure[[#This Row],[Content.contractId]],'Public procurment'!E:E,0),14),0)</f>
        <v>0</v>
      </c>
      <c r="AN1254" s="2">
        <f>IF(AND(ListOfExpenditure[[#This Row],[Contract amount]]&gt;10000,ListOfExpenditure[[#This Row],[Content.declaredAmount]]&gt;2000),1,0)</f>
        <v>0</v>
      </c>
      <c r="AO1254">
        <f>IFERROR(INDEX('Public procurment'!A:S,MATCH(ListOfExpenditure[[#This Row],[Content.contractId]],'Public procurment'!E:E,0),19),0)</f>
        <v>0</v>
      </c>
      <c r="AP1254">
        <f>IF(ListOfExpenditure[[#This Row],[Numero di volte controllato il contract ]]&gt;0,0,ListOfExpenditure[[#This Row],[IF public procurment &gt;10000;1;0]])</f>
        <v>0</v>
      </c>
    </row>
    <row r="1255" spans="1:42" x14ac:dyDescent="0.25">
      <c r="A1255">
        <v>68</v>
      </c>
      <c r="B1255">
        <v>16</v>
      </c>
      <c r="E1255" t="s">
        <v>4786</v>
      </c>
      <c r="F1255" t="b">
        <v>1</v>
      </c>
      <c r="I1255" t="s">
        <v>5775</v>
      </c>
      <c r="K1255" t="s">
        <v>4342</v>
      </c>
      <c r="L1255" t="s">
        <v>4831</v>
      </c>
      <c r="M1255" t="s">
        <v>4788</v>
      </c>
      <c r="N1255" t="s">
        <v>4788</v>
      </c>
      <c r="O1255">
        <v>1098.26</v>
      </c>
      <c r="Q1255">
        <v>0</v>
      </c>
      <c r="R1255">
        <v>0</v>
      </c>
      <c r="S1255">
        <v>219.65</v>
      </c>
      <c r="T1255" t="s">
        <v>4789</v>
      </c>
      <c r="U1255">
        <v>1</v>
      </c>
      <c r="V1255">
        <v>219.65</v>
      </c>
      <c r="W1255" t="s">
        <v>4343</v>
      </c>
      <c r="Y1255" t="b">
        <v>1</v>
      </c>
      <c r="Z1255" t="b">
        <v>0</v>
      </c>
      <c r="AA1255">
        <v>0</v>
      </c>
      <c r="AB1255">
        <v>0</v>
      </c>
      <c r="AD1255" t="b">
        <v>1</v>
      </c>
      <c r="AG1255" s="1" t="s">
        <v>63</v>
      </c>
      <c r="AH1255" s="1" t="s">
        <v>46</v>
      </c>
      <c r="AI1255">
        <v>230</v>
      </c>
      <c r="AJ1255">
        <v>20</v>
      </c>
      <c r="AK1255" s="106">
        <v>45475.635457662036</v>
      </c>
      <c r="AL1255" s="1" t="s">
        <v>4790</v>
      </c>
      <c r="AM1255" s="42">
        <f>IFERROR(INDEX('Public procurment'!A:R,MATCH(ListOfExpenditure[[#This Row],[Content.contractId]],'Public procurment'!E:E,0),14),0)</f>
        <v>0</v>
      </c>
      <c r="AN1255" s="2">
        <f>IF(AND(ListOfExpenditure[[#This Row],[Contract amount]]&gt;10000,ListOfExpenditure[[#This Row],[Content.declaredAmount]]&gt;2000),1,0)</f>
        <v>0</v>
      </c>
      <c r="AO1255">
        <f>IFERROR(INDEX('Public procurment'!A:S,MATCH(ListOfExpenditure[[#This Row],[Content.contractId]],'Public procurment'!E:E,0),19),0)</f>
        <v>0</v>
      </c>
      <c r="AP1255">
        <f>IF(ListOfExpenditure[[#This Row],[Numero di volte controllato il contract ]]&gt;0,0,ListOfExpenditure[[#This Row],[IF public procurment &gt;10000;1;0]])</f>
        <v>0</v>
      </c>
    </row>
    <row r="1256" spans="1:42" x14ac:dyDescent="0.25">
      <c r="A1256">
        <v>69</v>
      </c>
      <c r="B1256">
        <v>17</v>
      </c>
      <c r="E1256" t="s">
        <v>4786</v>
      </c>
      <c r="F1256" t="b">
        <v>1</v>
      </c>
      <c r="I1256" t="s">
        <v>5776</v>
      </c>
      <c r="K1256" t="s">
        <v>4804</v>
      </c>
      <c r="L1256" t="s">
        <v>4877</v>
      </c>
      <c r="M1256" t="s">
        <v>4788</v>
      </c>
      <c r="N1256" t="s">
        <v>4788</v>
      </c>
      <c r="O1256">
        <v>2823.82</v>
      </c>
      <c r="Q1256">
        <v>0</v>
      </c>
      <c r="R1256">
        <v>0</v>
      </c>
      <c r="S1256">
        <v>847.14</v>
      </c>
      <c r="T1256" t="s">
        <v>4789</v>
      </c>
      <c r="U1256">
        <v>1</v>
      </c>
      <c r="V1256">
        <v>847.14</v>
      </c>
      <c r="W1256" t="s">
        <v>4343</v>
      </c>
      <c r="Y1256" t="b">
        <v>1</v>
      </c>
      <c r="Z1256" t="b">
        <v>0</v>
      </c>
      <c r="AA1256">
        <v>767.47</v>
      </c>
      <c r="AB1256">
        <v>79.67</v>
      </c>
      <c r="AC1256">
        <v>14</v>
      </c>
      <c r="AD1256" t="b">
        <v>0</v>
      </c>
      <c r="AF1256" t="s">
        <v>5774</v>
      </c>
      <c r="AG1256" s="1" t="s">
        <v>63</v>
      </c>
      <c r="AH1256" s="1" t="s">
        <v>46</v>
      </c>
      <c r="AI1256">
        <v>230</v>
      </c>
      <c r="AJ1256">
        <v>20</v>
      </c>
      <c r="AK1256" s="106">
        <v>45475.635457662036</v>
      </c>
      <c r="AL1256" s="1" t="s">
        <v>4790</v>
      </c>
      <c r="AM1256" s="42">
        <f>IFERROR(INDEX('Public procurment'!A:R,MATCH(ListOfExpenditure[[#This Row],[Content.contractId]],'Public procurment'!E:E,0),14),0)</f>
        <v>0</v>
      </c>
      <c r="AN1256" s="2">
        <f>IF(AND(ListOfExpenditure[[#This Row],[Contract amount]]&gt;10000,ListOfExpenditure[[#This Row],[Content.declaredAmount]]&gt;2000),1,0)</f>
        <v>0</v>
      </c>
      <c r="AO1256">
        <f>IFERROR(INDEX('Public procurment'!A:S,MATCH(ListOfExpenditure[[#This Row],[Content.contractId]],'Public procurment'!E:E,0),19),0)</f>
        <v>0</v>
      </c>
      <c r="AP1256">
        <f>IF(ListOfExpenditure[[#This Row],[Numero di volte controllato il contract ]]&gt;0,0,ListOfExpenditure[[#This Row],[IF public procurment &gt;10000;1;0]])</f>
        <v>0</v>
      </c>
    </row>
    <row r="1257" spans="1:42" x14ac:dyDescent="0.25">
      <c r="A1257">
        <v>70</v>
      </c>
      <c r="B1257">
        <v>18</v>
      </c>
      <c r="E1257" t="s">
        <v>4786</v>
      </c>
      <c r="F1257" t="b">
        <v>1</v>
      </c>
      <c r="I1257" t="s">
        <v>5776</v>
      </c>
      <c r="K1257" t="s">
        <v>4806</v>
      </c>
      <c r="L1257" t="s">
        <v>4873</v>
      </c>
      <c r="M1257" t="s">
        <v>4788</v>
      </c>
      <c r="N1257" t="s">
        <v>4788</v>
      </c>
      <c r="O1257">
        <v>2606.19</v>
      </c>
      <c r="Q1257">
        <v>0</v>
      </c>
      <c r="R1257">
        <v>0</v>
      </c>
      <c r="S1257">
        <v>781.86</v>
      </c>
      <c r="T1257" t="s">
        <v>4789</v>
      </c>
      <c r="U1257">
        <v>1</v>
      </c>
      <c r="V1257">
        <v>781.86</v>
      </c>
      <c r="W1257" t="s">
        <v>4343</v>
      </c>
      <c r="Y1257" t="b">
        <v>1</v>
      </c>
      <c r="Z1257" t="b">
        <v>0</v>
      </c>
      <c r="AA1257">
        <v>751.77</v>
      </c>
      <c r="AB1257">
        <v>30.09</v>
      </c>
      <c r="AC1257">
        <v>14</v>
      </c>
      <c r="AD1257" t="b">
        <v>0</v>
      </c>
      <c r="AF1257" t="s">
        <v>5774</v>
      </c>
      <c r="AG1257" s="1" t="s">
        <v>63</v>
      </c>
      <c r="AH1257" s="1" t="s">
        <v>46</v>
      </c>
      <c r="AI1257">
        <v>230</v>
      </c>
      <c r="AJ1257">
        <v>20</v>
      </c>
      <c r="AK1257" s="106">
        <v>45475.635457662036</v>
      </c>
      <c r="AL1257" s="1" t="s">
        <v>4790</v>
      </c>
      <c r="AM1257" s="42">
        <f>IFERROR(INDEX('Public procurment'!A:R,MATCH(ListOfExpenditure[[#This Row],[Content.contractId]],'Public procurment'!E:E,0),14),0)</f>
        <v>0</v>
      </c>
      <c r="AN1257" s="2">
        <f>IF(AND(ListOfExpenditure[[#This Row],[Contract amount]]&gt;10000,ListOfExpenditure[[#This Row],[Content.declaredAmount]]&gt;2000),1,0)</f>
        <v>0</v>
      </c>
      <c r="AO1257">
        <f>IFERROR(INDEX('Public procurment'!A:S,MATCH(ListOfExpenditure[[#This Row],[Content.contractId]],'Public procurment'!E:E,0),19),0)</f>
        <v>0</v>
      </c>
      <c r="AP1257">
        <f>IF(ListOfExpenditure[[#This Row],[Numero di volte controllato il contract ]]&gt;0,0,ListOfExpenditure[[#This Row],[IF public procurment &gt;10000;1;0]])</f>
        <v>0</v>
      </c>
    </row>
    <row r="1258" spans="1:42" x14ac:dyDescent="0.25">
      <c r="A1258">
        <v>71</v>
      </c>
      <c r="B1258">
        <v>19</v>
      </c>
      <c r="E1258" t="s">
        <v>4786</v>
      </c>
      <c r="F1258" t="b">
        <v>1</v>
      </c>
      <c r="I1258" t="s">
        <v>5776</v>
      </c>
      <c r="K1258" t="s">
        <v>4342</v>
      </c>
      <c r="L1258" t="s">
        <v>4831</v>
      </c>
      <c r="M1258" t="s">
        <v>4788</v>
      </c>
      <c r="N1258" t="s">
        <v>4788</v>
      </c>
      <c r="O1258">
        <v>2628.72</v>
      </c>
      <c r="Q1258">
        <v>0</v>
      </c>
      <c r="R1258">
        <v>0</v>
      </c>
      <c r="S1258">
        <v>788.62</v>
      </c>
      <c r="T1258" t="s">
        <v>4789</v>
      </c>
      <c r="U1258">
        <v>1</v>
      </c>
      <c r="V1258">
        <v>788.62</v>
      </c>
      <c r="W1258" t="s">
        <v>4343</v>
      </c>
      <c r="Y1258" t="b">
        <v>1</v>
      </c>
      <c r="Z1258" t="b">
        <v>0</v>
      </c>
      <c r="AA1258">
        <v>0</v>
      </c>
      <c r="AB1258">
        <v>0</v>
      </c>
      <c r="AD1258" t="b">
        <v>1</v>
      </c>
      <c r="AG1258" s="1" t="s">
        <v>63</v>
      </c>
      <c r="AH1258" s="1" t="s">
        <v>46</v>
      </c>
      <c r="AI1258">
        <v>230</v>
      </c>
      <c r="AJ1258">
        <v>20</v>
      </c>
      <c r="AK1258" s="106">
        <v>45475.635457662036</v>
      </c>
      <c r="AL1258" s="1" t="s">
        <v>4790</v>
      </c>
      <c r="AM1258" s="42">
        <f>IFERROR(INDEX('Public procurment'!A:R,MATCH(ListOfExpenditure[[#This Row],[Content.contractId]],'Public procurment'!E:E,0),14),0)</f>
        <v>0</v>
      </c>
      <c r="AN1258" s="2">
        <f>IF(AND(ListOfExpenditure[[#This Row],[Contract amount]]&gt;10000,ListOfExpenditure[[#This Row],[Content.declaredAmount]]&gt;2000),1,0)</f>
        <v>0</v>
      </c>
      <c r="AO1258">
        <f>IFERROR(INDEX('Public procurment'!A:S,MATCH(ListOfExpenditure[[#This Row],[Content.contractId]],'Public procurment'!E:E,0),19),0)</f>
        <v>0</v>
      </c>
      <c r="AP1258">
        <f>IF(ListOfExpenditure[[#This Row],[Numero di volte controllato il contract ]]&gt;0,0,ListOfExpenditure[[#This Row],[IF public procurment &gt;10000;1;0]])</f>
        <v>0</v>
      </c>
    </row>
    <row r="1259" spans="1:42" x14ac:dyDescent="0.25">
      <c r="A1259">
        <v>1042</v>
      </c>
      <c r="B1259">
        <v>0</v>
      </c>
      <c r="E1259" t="s">
        <v>4786</v>
      </c>
      <c r="F1259" t="b">
        <v>1</v>
      </c>
      <c r="I1259" t="s">
        <v>4949</v>
      </c>
      <c r="K1259" t="s">
        <v>4342</v>
      </c>
      <c r="L1259" t="s">
        <v>4831</v>
      </c>
      <c r="M1259" t="s">
        <v>4788</v>
      </c>
      <c r="N1259" t="s">
        <v>4788</v>
      </c>
      <c r="O1259">
        <v>4365.8999999999996</v>
      </c>
      <c r="Q1259">
        <v>0</v>
      </c>
      <c r="R1259">
        <v>0</v>
      </c>
      <c r="S1259">
        <v>1309.77</v>
      </c>
      <c r="T1259" t="s">
        <v>4789</v>
      </c>
      <c r="U1259">
        <v>1</v>
      </c>
      <c r="V1259">
        <v>1309.77</v>
      </c>
      <c r="W1259" t="s">
        <v>4343</v>
      </c>
      <c r="X1259" t="s">
        <v>4343</v>
      </c>
      <c r="Y1259" t="b">
        <v>1</v>
      </c>
      <c r="Z1259" t="b">
        <v>0</v>
      </c>
      <c r="AA1259">
        <v>1309.77</v>
      </c>
      <c r="AB1259">
        <v>0</v>
      </c>
      <c r="AD1259" t="b">
        <v>0</v>
      </c>
      <c r="AG1259" s="1" t="s">
        <v>63</v>
      </c>
      <c r="AH1259" s="1" t="s">
        <v>46</v>
      </c>
      <c r="AI1259">
        <v>230</v>
      </c>
      <c r="AJ1259">
        <v>234</v>
      </c>
      <c r="AK1259" s="106">
        <v>45475.63554599537</v>
      </c>
      <c r="AL1259" s="1" t="s">
        <v>4790</v>
      </c>
      <c r="AM1259" s="42">
        <f>IFERROR(INDEX('Public procurment'!A:R,MATCH(ListOfExpenditure[[#This Row],[Content.contractId]],'Public procurment'!E:E,0),14),0)</f>
        <v>0</v>
      </c>
      <c r="AN1259" s="2">
        <f>IF(AND(ListOfExpenditure[[#This Row],[Contract amount]]&gt;10000,ListOfExpenditure[[#This Row],[Content.declaredAmount]]&gt;2000),1,0)</f>
        <v>0</v>
      </c>
      <c r="AO1259">
        <f>IFERROR(INDEX('Public procurment'!A:S,MATCH(ListOfExpenditure[[#This Row],[Content.contractId]],'Public procurment'!E:E,0),19),0)</f>
        <v>0</v>
      </c>
      <c r="AP1259">
        <f>IF(ListOfExpenditure[[#This Row],[Numero di volte controllato il contract ]]&gt;0,0,ListOfExpenditure[[#This Row],[IF public procurment &gt;10000;1;0]])</f>
        <v>0</v>
      </c>
    </row>
    <row r="1260" spans="1:42" x14ac:dyDescent="0.25">
      <c r="A1260">
        <v>1043</v>
      </c>
      <c r="B1260">
        <v>0</v>
      </c>
      <c r="E1260" t="s">
        <v>4786</v>
      </c>
      <c r="F1260" t="b">
        <v>1</v>
      </c>
      <c r="I1260" t="s">
        <v>5494</v>
      </c>
      <c r="K1260" t="s">
        <v>4342</v>
      </c>
      <c r="L1260" t="s">
        <v>4831</v>
      </c>
      <c r="M1260" t="s">
        <v>4788</v>
      </c>
      <c r="N1260" t="s">
        <v>4788</v>
      </c>
      <c r="O1260">
        <v>3859.3</v>
      </c>
      <c r="Q1260">
        <v>0</v>
      </c>
      <c r="R1260">
        <v>0</v>
      </c>
      <c r="S1260">
        <v>849.05</v>
      </c>
      <c r="T1260" t="s">
        <v>4789</v>
      </c>
      <c r="U1260">
        <v>1</v>
      </c>
      <c r="V1260">
        <v>849.05</v>
      </c>
      <c r="W1260" t="s">
        <v>4343</v>
      </c>
      <c r="X1260" t="s">
        <v>4343</v>
      </c>
      <c r="Y1260" t="b">
        <v>1</v>
      </c>
      <c r="Z1260" t="b">
        <v>0</v>
      </c>
      <c r="AA1260">
        <v>849.05</v>
      </c>
      <c r="AB1260">
        <v>0</v>
      </c>
      <c r="AD1260" t="b">
        <v>0</v>
      </c>
      <c r="AG1260" s="1" t="s">
        <v>63</v>
      </c>
      <c r="AH1260" s="1" t="s">
        <v>46</v>
      </c>
      <c r="AI1260">
        <v>230</v>
      </c>
      <c r="AJ1260">
        <v>234</v>
      </c>
      <c r="AK1260" s="106">
        <v>45475.63554599537</v>
      </c>
      <c r="AL1260" s="1" t="s">
        <v>4790</v>
      </c>
      <c r="AM1260" s="42">
        <f>IFERROR(INDEX('Public procurment'!A:R,MATCH(ListOfExpenditure[[#This Row],[Content.contractId]],'Public procurment'!E:E,0),14),0)</f>
        <v>0</v>
      </c>
      <c r="AN1260" s="2">
        <f>IF(AND(ListOfExpenditure[[#This Row],[Contract amount]]&gt;10000,ListOfExpenditure[[#This Row],[Content.declaredAmount]]&gt;2000),1,0)</f>
        <v>0</v>
      </c>
      <c r="AO1260">
        <f>IFERROR(INDEX('Public procurment'!A:S,MATCH(ListOfExpenditure[[#This Row],[Content.contractId]],'Public procurment'!E:E,0),19),0)</f>
        <v>0</v>
      </c>
      <c r="AP1260">
        <f>IF(ListOfExpenditure[[#This Row],[Numero di volte controllato il contract ]]&gt;0,0,ListOfExpenditure[[#This Row],[IF public procurment &gt;10000;1;0]])</f>
        <v>0</v>
      </c>
    </row>
    <row r="1261" spans="1:42" x14ac:dyDescent="0.25">
      <c r="A1261">
        <v>1044</v>
      </c>
      <c r="B1261">
        <v>0</v>
      </c>
      <c r="E1261" t="s">
        <v>4786</v>
      </c>
      <c r="F1261" t="b">
        <v>1</v>
      </c>
      <c r="I1261" t="s">
        <v>4944</v>
      </c>
      <c r="K1261" t="s">
        <v>4342</v>
      </c>
      <c r="L1261" t="s">
        <v>4831</v>
      </c>
      <c r="M1261" t="s">
        <v>4788</v>
      </c>
      <c r="N1261" t="s">
        <v>4788</v>
      </c>
      <c r="O1261">
        <v>5188.13</v>
      </c>
      <c r="Q1261">
        <v>0</v>
      </c>
      <c r="R1261">
        <v>0</v>
      </c>
      <c r="S1261">
        <v>1815.85</v>
      </c>
      <c r="T1261" t="s">
        <v>4789</v>
      </c>
      <c r="U1261">
        <v>1</v>
      </c>
      <c r="V1261">
        <v>1815.85</v>
      </c>
      <c r="W1261" t="s">
        <v>4343</v>
      </c>
      <c r="X1261" t="s">
        <v>4343</v>
      </c>
      <c r="Y1261" t="b">
        <v>1</v>
      </c>
      <c r="Z1261" t="b">
        <v>0</v>
      </c>
      <c r="AA1261">
        <v>1656.35</v>
      </c>
      <c r="AB1261">
        <v>159.5</v>
      </c>
      <c r="AC1261">
        <v>14</v>
      </c>
      <c r="AD1261" t="b">
        <v>0</v>
      </c>
      <c r="AF1261" t="s">
        <v>6360</v>
      </c>
      <c r="AG1261" s="1" t="s">
        <v>63</v>
      </c>
      <c r="AH1261" s="1" t="s">
        <v>46</v>
      </c>
      <c r="AI1261">
        <v>230</v>
      </c>
      <c r="AJ1261">
        <v>234</v>
      </c>
      <c r="AK1261" s="106">
        <v>45475.63554599537</v>
      </c>
      <c r="AL1261" s="1" t="s">
        <v>4790</v>
      </c>
      <c r="AM1261" s="42">
        <f>IFERROR(INDEX('Public procurment'!A:R,MATCH(ListOfExpenditure[[#This Row],[Content.contractId]],'Public procurment'!E:E,0),14),0)</f>
        <v>0</v>
      </c>
      <c r="AN1261" s="2">
        <f>IF(AND(ListOfExpenditure[[#This Row],[Contract amount]]&gt;10000,ListOfExpenditure[[#This Row],[Content.declaredAmount]]&gt;2000),1,0)</f>
        <v>0</v>
      </c>
      <c r="AO1261">
        <f>IFERROR(INDEX('Public procurment'!A:S,MATCH(ListOfExpenditure[[#This Row],[Content.contractId]],'Public procurment'!E:E,0),19),0)</f>
        <v>0</v>
      </c>
      <c r="AP1261">
        <f>IF(ListOfExpenditure[[#This Row],[Numero di volte controllato il contract ]]&gt;0,0,ListOfExpenditure[[#This Row],[IF public procurment &gt;10000;1;0]])</f>
        <v>0</v>
      </c>
    </row>
    <row r="1262" spans="1:42" x14ac:dyDescent="0.25">
      <c r="A1262">
        <v>1045</v>
      </c>
      <c r="B1262">
        <v>0</v>
      </c>
      <c r="E1262" t="s">
        <v>4786</v>
      </c>
      <c r="F1262" t="b">
        <v>1</v>
      </c>
      <c r="I1262" t="s">
        <v>4933</v>
      </c>
      <c r="K1262" t="s">
        <v>4342</v>
      </c>
      <c r="L1262" t="s">
        <v>4831</v>
      </c>
      <c r="M1262" t="s">
        <v>4788</v>
      </c>
      <c r="N1262" t="s">
        <v>4788</v>
      </c>
      <c r="O1262">
        <v>4074.61</v>
      </c>
      <c r="Q1262">
        <v>0</v>
      </c>
      <c r="R1262">
        <v>0</v>
      </c>
      <c r="S1262">
        <v>1426.11</v>
      </c>
      <c r="T1262" t="s">
        <v>4789</v>
      </c>
      <c r="U1262">
        <v>1</v>
      </c>
      <c r="V1262">
        <v>1426.11</v>
      </c>
      <c r="W1262" t="s">
        <v>4343</v>
      </c>
      <c r="X1262" t="s">
        <v>4343</v>
      </c>
      <c r="Y1262" t="b">
        <v>1</v>
      </c>
      <c r="Z1262" t="b">
        <v>0</v>
      </c>
      <c r="AA1262">
        <v>1426.11</v>
      </c>
      <c r="AB1262">
        <v>0</v>
      </c>
      <c r="AD1262" t="b">
        <v>0</v>
      </c>
      <c r="AG1262" s="1" t="s">
        <v>63</v>
      </c>
      <c r="AH1262" s="1" t="s">
        <v>46</v>
      </c>
      <c r="AI1262">
        <v>230</v>
      </c>
      <c r="AJ1262">
        <v>234</v>
      </c>
      <c r="AK1262" s="106">
        <v>45475.63554599537</v>
      </c>
      <c r="AL1262" s="1" t="s">
        <v>4790</v>
      </c>
      <c r="AM1262" s="42">
        <f>IFERROR(INDEX('Public procurment'!A:R,MATCH(ListOfExpenditure[[#This Row],[Content.contractId]],'Public procurment'!E:E,0),14),0)</f>
        <v>0</v>
      </c>
      <c r="AN1262" s="2">
        <f>IF(AND(ListOfExpenditure[[#This Row],[Contract amount]]&gt;10000,ListOfExpenditure[[#This Row],[Content.declaredAmount]]&gt;2000),1,0)</f>
        <v>0</v>
      </c>
      <c r="AO1262">
        <f>IFERROR(INDEX('Public procurment'!A:S,MATCH(ListOfExpenditure[[#This Row],[Content.contractId]],'Public procurment'!E:E,0),19),0)</f>
        <v>0</v>
      </c>
      <c r="AP1262">
        <f>IF(ListOfExpenditure[[#This Row],[Numero di volte controllato il contract ]]&gt;0,0,ListOfExpenditure[[#This Row],[IF public procurment &gt;10000;1;0]])</f>
        <v>0</v>
      </c>
    </row>
    <row r="1263" spans="1:42" x14ac:dyDescent="0.25">
      <c r="A1263">
        <v>1046</v>
      </c>
      <c r="B1263">
        <v>0</v>
      </c>
      <c r="E1263" t="s">
        <v>4786</v>
      </c>
      <c r="F1263" t="b">
        <v>1</v>
      </c>
      <c r="I1263" t="s">
        <v>5775</v>
      </c>
      <c r="K1263" t="s">
        <v>4342</v>
      </c>
      <c r="L1263" t="s">
        <v>4831</v>
      </c>
      <c r="M1263" t="s">
        <v>4788</v>
      </c>
      <c r="N1263" t="s">
        <v>4788</v>
      </c>
      <c r="O1263">
        <v>1303.8699999999999</v>
      </c>
      <c r="Q1263">
        <v>0</v>
      </c>
      <c r="R1263">
        <v>0</v>
      </c>
      <c r="S1263">
        <v>260.77</v>
      </c>
      <c r="T1263" t="s">
        <v>4789</v>
      </c>
      <c r="U1263">
        <v>1</v>
      </c>
      <c r="V1263">
        <v>260.77</v>
      </c>
      <c r="W1263" t="s">
        <v>4343</v>
      </c>
      <c r="X1263" t="s">
        <v>4343</v>
      </c>
      <c r="Y1263" t="b">
        <v>1</v>
      </c>
      <c r="Z1263" t="b">
        <v>0</v>
      </c>
      <c r="AA1263">
        <v>219.65</v>
      </c>
      <c r="AB1263">
        <v>41.12</v>
      </c>
      <c r="AC1263">
        <v>14</v>
      </c>
      <c r="AD1263" t="b">
        <v>0</v>
      </c>
      <c r="AF1263" t="s">
        <v>6360</v>
      </c>
      <c r="AG1263" s="1" t="s">
        <v>63</v>
      </c>
      <c r="AH1263" s="1" t="s">
        <v>46</v>
      </c>
      <c r="AI1263">
        <v>230</v>
      </c>
      <c r="AJ1263">
        <v>234</v>
      </c>
      <c r="AK1263" s="106">
        <v>45475.63554599537</v>
      </c>
      <c r="AL1263" s="1" t="s">
        <v>4790</v>
      </c>
      <c r="AM1263" s="42">
        <f>IFERROR(INDEX('Public procurment'!A:R,MATCH(ListOfExpenditure[[#This Row],[Content.contractId]],'Public procurment'!E:E,0),14),0)</f>
        <v>0</v>
      </c>
      <c r="AN1263" s="2">
        <f>IF(AND(ListOfExpenditure[[#This Row],[Contract amount]]&gt;10000,ListOfExpenditure[[#This Row],[Content.declaredAmount]]&gt;2000),1,0)</f>
        <v>0</v>
      </c>
      <c r="AO1263">
        <f>IFERROR(INDEX('Public procurment'!A:S,MATCH(ListOfExpenditure[[#This Row],[Content.contractId]],'Public procurment'!E:E,0),19),0)</f>
        <v>0</v>
      </c>
      <c r="AP1263">
        <f>IF(ListOfExpenditure[[#This Row],[Numero di volte controllato il contract ]]&gt;0,0,ListOfExpenditure[[#This Row],[IF public procurment &gt;10000;1;0]])</f>
        <v>0</v>
      </c>
    </row>
    <row r="1264" spans="1:42" x14ac:dyDescent="0.25">
      <c r="A1264">
        <v>1047</v>
      </c>
      <c r="B1264">
        <v>0</v>
      </c>
      <c r="E1264" t="s">
        <v>4786</v>
      </c>
      <c r="F1264" t="b">
        <v>1</v>
      </c>
      <c r="I1264" t="s">
        <v>5776</v>
      </c>
      <c r="K1264" t="s">
        <v>4342</v>
      </c>
      <c r="L1264" t="s">
        <v>4831</v>
      </c>
      <c r="M1264" t="s">
        <v>4788</v>
      </c>
      <c r="N1264" t="s">
        <v>4788</v>
      </c>
      <c r="O1264">
        <v>2528.44</v>
      </c>
      <c r="Q1264">
        <v>0</v>
      </c>
      <c r="R1264">
        <v>0</v>
      </c>
      <c r="S1264">
        <v>758.53</v>
      </c>
      <c r="T1264" t="s">
        <v>4789</v>
      </c>
      <c r="U1264">
        <v>1</v>
      </c>
      <c r="V1264">
        <v>758.53</v>
      </c>
      <c r="W1264" t="s">
        <v>4343</v>
      </c>
      <c r="X1264" t="s">
        <v>4343</v>
      </c>
      <c r="Y1264" t="b">
        <v>1</v>
      </c>
      <c r="Z1264" t="b">
        <v>0</v>
      </c>
      <c r="AA1264">
        <v>758.53</v>
      </c>
      <c r="AB1264">
        <v>0</v>
      </c>
      <c r="AD1264" t="b">
        <v>0</v>
      </c>
      <c r="AG1264" s="1" t="s">
        <v>63</v>
      </c>
      <c r="AH1264" s="1" t="s">
        <v>46</v>
      </c>
      <c r="AI1264">
        <v>230</v>
      </c>
      <c r="AJ1264">
        <v>234</v>
      </c>
      <c r="AK1264" s="106">
        <v>45475.63554599537</v>
      </c>
      <c r="AL1264" s="1" t="s">
        <v>4790</v>
      </c>
      <c r="AM1264" s="42">
        <f>IFERROR(INDEX('Public procurment'!A:R,MATCH(ListOfExpenditure[[#This Row],[Content.contractId]],'Public procurment'!E:E,0),14),0)</f>
        <v>0</v>
      </c>
      <c r="AN1264" s="2">
        <f>IF(AND(ListOfExpenditure[[#This Row],[Contract amount]]&gt;10000,ListOfExpenditure[[#This Row],[Content.declaredAmount]]&gt;2000),1,0)</f>
        <v>0</v>
      </c>
      <c r="AO1264">
        <f>IFERROR(INDEX('Public procurment'!A:S,MATCH(ListOfExpenditure[[#This Row],[Content.contractId]],'Public procurment'!E:E,0),19),0)</f>
        <v>0</v>
      </c>
      <c r="AP1264">
        <f>IF(ListOfExpenditure[[#This Row],[Numero di volte controllato il contract ]]&gt;0,0,ListOfExpenditure[[#This Row],[IF public procurment &gt;10000;1;0]])</f>
        <v>0</v>
      </c>
    </row>
    <row r="1265" spans="1:42" x14ac:dyDescent="0.25">
      <c r="A1265">
        <v>1048</v>
      </c>
      <c r="B1265">
        <v>1</v>
      </c>
      <c r="E1265" t="s">
        <v>4786</v>
      </c>
      <c r="F1265" t="b">
        <v>0</v>
      </c>
      <c r="I1265" t="s">
        <v>4949</v>
      </c>
      <c r="K1265" t="s">
        <v>4957</v>
      </c>
      <c r="L1265" t="s">
        <v>4957</v>
      </c>
      <c r="M1265" t="s">
        <v>4788</v>
      </c>
      <c r="N1265" t="s">
        <v>4788</v>
      </c>
      <c r="O1265">
        <v>4458.38</v>
      </c>
      <c r="Q1265">
        <v>0</v>
      </c>
      <c r="R1265">
        <v>0</v>
      </c>
      <c r="S1265">
        <v>1399.93</v>
      </c>
      <c r="T1265" t="s">
        <v>4789</v>
      </c>
      <c r="U1265">
        <v>1</v>
      </c>
      <c r="V1265">
        <v>1399.93</v>
      </c>
      <c r="W1265" t="s">
        <v>4343</v>
      </c>
      <c r="Y1265" t="b">
        <v>1</v>
      </c>
      <c r="Z1265" t="b">
        <v>0</v>
      </c>
      <c r="AA1265">
        <v>1391.84</v>
      </c>
      <c r="AB1265">
        <v>8.09</v>
      </c>
      <c r="AC1265">
        <v>14</v>
      </c>
      <c r="AD1265" t="b">
        <v>0</v>
      </c>
      <c r="AF1265" t="s">
        <v>6360</v>
      </c>
      <c r="AG1265" s="1" t="s">
        <v>63</v>
      </c>
      <c r="AH1265" s="1" t="s">
        <v>46</v>
      </c>
      <c r="AI1265">
        <v>230</v>
      </c>
      <c r="AJ1265">
        <v>234</v>
      </c>
      <c r="AK1265" s="106">
        <v>45475.63554599537</v>
      </c>
      <c r="AL1265" s="1" t="s">
        <v>4790</v>
      </c>
      <c r="AM1265" s="42">
        <f>IFERROR(INDEX('Public procurment'!A:R,MATCH(ListOfExpenditure[[#This Row],[Content.contractId]],'Public procurment'!E:E,0),14),0)</f>
        <v>0</v>
      </c>
      <c r="AN1265" s="2">
        <f>IF(AND(ListOfExpenditure[[#This Row],[Contract amount]]&gt;10000,ListOfExpenditure[[#This Row],[Content.declaredAmount]]&gt;2000),1,0)</f>
        <v>0</v>
      </c>
      <c r="AO1265">
        <f>IFERROR(INDEX('Public procurment'!A:S,MATCH(ListOfExpenditure[[#This Row],[Content.contractId]],'Public procurment'!E:E,0),19),0)</f>
        <v>0</v>
      </c>
      <c r="AP1265">
        <f>IF(ListOfExpenditure[[#This Row],[Numero di volte controllato il contract ]]&gt;0,0,ListOfExpenditure[[#This Row],[IF public procurment &gt;10000;1;0]])</f>
        <v>0</v>
      </c>
    </row>
    <row r="1266" spans="1:42" x14ac:dyDescent="0.25">
      <c r="A1266">
        <v>1049</v>
      </c>
      <c r="B1266">
        <v>2</v>
      </c>
      <c r="E1266" t="s">
        <v>4786</v>
      </c>
      <c r="F1266" t="b">
        <v>0</v>
      </c>
      <c r="I1266" t="s">
        <v>4949</v>
      </c>
      <c r="K1266" t="s">
        <v>4914</v>
      </c>
      <c r="L1266" t="s">
        <v>4914</v>
      </c>
      <c r="M1266" t="s">
        <v>4788</v>
      </c>
      <c r="N1266" t="s">
        <v>4788</v>
      </c>
      <c r="O1266">
        <v>4456.71</v>
      </c>
      <c r="Q1266">
        <v>0</v>
      </c>
      <c r="R1266">
        <v>0</v>
      </c>
      <c r="S1266">
        <v>1399.41</v>
      </c>
      <c r="T1266" t="s">
        <v>4789</v>
      </c>
      <c r="U1266">
        <v>1</v>
      </c>
      <c r="V1266">
        <v>1399.41</v>
      </c>
      <c r="W1266" t="s">
        <v>4343</v>
      </c>
      <c r="Y1266" t="b">
        <v>1</v>
      </c>
      <c r="Z1266" t="b">
        <v>0</v>
      </c>
      <c r="AA1266">
        <v>1391.31</v>
      </c>
      <c r="AB1266">
        <v>8.1</v>
      </c>
      <c r="AC1266">
        <v>14</v>
      </c>
      <c r="AD1266" t="b">
        <v>0</v>
      </c>
      <c r="AF1266" t="s">
        <v>6360</v>
      </c>
      <c r="AG1266" s="1" t="s">
        <v>63</v>
      </c>
      <c r="AH1266" s="1" t="s">
        <v>46</v>
      </c>
      <c r="AI1266">
        <v>230</v>
      </c>
      <c r="AJ1266">
        <v>234</v>
      </c>
      <c r="AK1266" s="106">
        <v>45475.63554599537</v>
      </c>
      <c r="AL1266" s="1" t="s">
        <v>4790</v>
      </c>
      <c r="AM1266" s="42">
        <f>IFERROR(INDEX('Public procurment'!A:R,MATCH(ListOfExpenditure[[#This Row],[Content.contractId]],'Public procurment'!E:E,0),14),0)</f>
        <v>0</v>
      </c>
      <c r="AN1266" s="2">
        <f>IF(AND(ListOfExpenditure[[#This Row],[Contract amount]]&gt;10000,ListOfExpenditure[[#This Row],[Content.declaredAmount]]&gt;2000),1,0)</f>
        <v>0</v>
      </c>
      <c r="AO1266">
        <f>IFERROR(INDEX('Public procurment'!A:S,MATCH(ListOfExpenditure[[#This Row],[Content.contractId]],'Public procurment'!E:E,0),19),0)</f>
        <v>0</v>
      </c>
      <c r="AP1266">
        <f>IF(ListOfExpenditure[[#This Row],[Numero di volte controllato il contract ]]&gt;0,0,ListOfExpenditure[[#This Row],[IF public procurment &gt;10000;1;0]])</f>
        <v>0</v>
      </c>
    </row>
    <row r="1267" spans="1:42" x14ac:dyDescent="0.25">
      <c r="A1267">
        <v>1050</v>
      </c>
      <c r="B1267">
        <v>3</v>
      </c>
      <c r="E1267" t="s">
        <v>4786</v>
      </c>
      <c r="F1267" t="b">
        <v>0</v>
      </c>
      <c r="I1267" t="s">
        <v>4949</v>
      </c>
      <c r="K1267" t="s">
        <v>4959</v>
      </c>
      <c r="L1267" t="s">
        <v>4959</v>
      </c>
      <c r="M1267" t="s">
        <v>4788</v>
      </c>
      <c r="N1267" t="s">
        <v>4788</v>
      </c>
      <c r="O1267">
        <v>4430.93</v>
      </c>
      <c r="Q1267">
        <v>0</v>
      </c>
      <c r="R1267">
        <v>0</v>
      </c>
      <c r="S1267">
        <v>1391.31</v>
      </c>
      <c r="T1267" t="s">
        <v>4789</v>
      </c>
      <c r="U1267">
        <v>1</v>
      </c>
      <c r="V1267">
        <v>1391.31</v>
      </c>
      <c r="W1267" t="s">
        <v>4343</v>
      </c>
      <c r="Y1267" t="b">
        <v>1</v>
      </c>
      <c r="Z1267" t="b">
        <v>0</v>
      </c>
      <c r="AA1267">
        <v>1383.22</v>
      </c>
      <c r="AB1267">
        <v>8.09</v>
      </c>
      <c r="AC1267">
        <v>14</v>
      </c>
      <c r="AD1267" t="b">
        <v>0</v>
      </c>
      <c r="AF1267" t="s">
        <v>6360</v>
      </c>
      <c r="AG1267" s="1" t="s">
        <v>63</v>
      </c>
      <c r="AH1267" s="1" t="s">
        <v>46</v>
      </c>
      <c r="AI1267">
        <v>230</v>
      </c>
      <c r="AJ1267">
        <v>234</v>
      </c>
      <c r="AK1267" s="106">
        <v>45475.63554599537</v>
      </c>
      <c r="AL1267" s="1" t="s">
        <v>4790</v>
      </c>
      <c r="AM1267" s="42">
        <f>IFERROR(INDEX('Public procurment'!A:R,MATCH(ListOfExpenditure[[#This Row],[Content.contractId]],'Public procurment'!E:E,0),14),0)</f>
        <v>0</v>
      </c>
      <c r="AN1267" s="2">
        <f>IF(AND(ListOfExpenditure[[#This Row],[Contract amount]]&gt;10000,ListOfExpenditure[[#This Row],[Content.declaredAmount]]&gt;2000),1,0)</f>
        <v>0</v>
      </c>
      <c r="AO1267">
        <f>IFERROR(INDEX('Public procurment'!A:S,MATCH(ListOfExpenditure[[#This Row],[Content.contractId]],'Public procurment'!E:E,0),19),0)</f>
        <v>0</v>
      </c>
      <c r="AP1267">
        <f>IF(ListOfExpenditure[[#This Row],[Numero di volte controllato il contract ]]&gt;0,0,ListOfExpenditure[[#This Row],[IF public procurment &gt;10000;1;0]])</f>
        <v>0</v>
      </c>
    </row>
    <row r="1268" spans="1:42" x14ac:dyDescent="0.25">
      <c r="A1268">
        <v>1051</v>
      </c>
      <c r="B1268">
        <v>4</v>
      </c>
      <c r="E1268" t="s">
        <v>4786</v>
      </c>
      <c r="F1268" t="b">
        <v>0</v>
      </c>
      <c r="I1268" t="s">
        <v>4949</v>
      </c>
      <c r="K1268" t="s">
        <v>4921</v>
      </c>
      <c r="L1268" t="s">
        <v>4921</v>
      </c>
      <c r="M1268" t="s">
        <v>4788</v>
      </c>
      <c r="N1268" t="s">
        <v>4788</v>
      </c>
      <c r="O1268">
        <v>4548.3100000000004</v>
      </c>
      <c r="Q1268">
        <v>0</v>
      </c>
      <c r="R1268">
        <v>0</v>
      </c>
      <c r="S1268">
        <v>1428.17</v>
      </c>
      <c r="T1268" t="s">
        <v>4789</v>
      </c>
      <c r="U1268">
        <v>1</v>
      </c>
      <c r="V1268">
        <v>1428.17</v>
      </c>
      <c r="W1268" t="s">
        <v>4343</v>
      </c>
      <c r="Y1268" t="b">
        <v>1</v>
      </c>
      <c r="Z1268" t="b">
        <v>0</v>
      </c>
      <c r="AA1268">
        <v>1398.64</v>
      </c>
      <c r="AB1268">
        <v>29.53</v>
      </c>
      <c r="AC1268">
        <v>14</v>
      </c>
      <c r="AD1268" t="b">
        <v>0</v>
      </c>
      <c r="AF1268" t="s">
        <v>6361</v>
      </c>
      <c r="AG1268" s="1" t="s">
        <v>63</v>
      </c>
      <c r="AH1268" s="1" t="s">
        <v>46</v>
      </c>
      <c r="AI1268">
        <v>230</v>
      </c>
      <c r="AJ1268">
        <v>234</v>
      </c>
      <c r="AK1268" s="106">
        <v>45475.63554599537</v>
      </c>
      <c r="AL1268" s="1" t="s">
        <v>4790</v>
      </c>
      <c r="AM1268" s="42">
        <f>IFERROR(INDEX('Public procurment'!A:R,MATCH(ListOfExpenditure[[#This Row],[Content.contractId]],'Public procurment'!E:E,0),14),0)</f>
        <v>0</v>
      </c>
      <c r="AN1268" s="2">
        <f>IF(AND(ListOfExpenditure[[#This Row],[Contract amount]]&gt;10000,ListOfExpenditure[[#This Row],[Content.declaredAmount]]&gt;2000),1,0)</f>
        <v>0</v>
      </c>
      <c r="AO1268">
        <f>IFERROR(INDEX('Public procurment'!A:S,MATCH(ListOfExpenditure[[#This Row],[Content.contractId]],'Public procurment'!E:E,0),19),0)</f>
        <v>0</v>
      </c>
      <c r="AP1268">
        <f>IF(ListOfExpenditure[[#This Row],[Numero di volte controllato il contract ]]&gt;0,0,ListOfExpenditure[[#This Row],[IF public procurment &gt;10000;1;0]])</f>
        <v>0</v>
      </c>
    </row>
    <row r="1269" spans="1:42" x14ac:dyDescent="0.25">
      <c r="A1269">
        <v>1052</v>
      </c>
      <c r="B1269">
        <v>5</v>
      </c>
      <c r="E1269" t="s">
        <v>4786</v>
      </c>
      <c r="F1269" t="b">
        <v>0</v>
      </c>
      <c r="I1269" t="s">
        <v>5494</v>
      </c>
      <c r="K1269" t="s">
        <v>4957</v>
      </c>
      <c r="L1269" t="s">
        <v>4957</v>
      </c>
      <c r="M1269" t="s">
        <v>4788</v>
      </c>
      <c r="N1269" t="s">
        <v>4788</v>
      </c>
      <c r="O1269">
        <v>4340.95</v>
      </c>
      <c r="Q1269">
        <v>0</v>
      </c>
      <c r="R1269">
        <v>0</v>
      </c>
      <c r="S1269">
        <v>455.8</v>
      </c>
      <c r="T1269" t="s">
        <v>4789</v>
      </c>
      <c r="U1269">
        <v>1</v>
      </c>
      <c r="V1269">
        <v>455.8</v>
      </c>
      <c r="W1269" t="s">
        <v>4343</v>
      </c>
      <c r="Y1269" t="b">
        <v>1</v>
      </c>
      <c r="Z1269" t="b">
        <v>0</v>
      </c>
      <c r="AA1269">
        <v>407.72</v>
      </c>
      <c r="AB1269">
        <v>48.08</v>
      </c>
      <c r="AC1269">
        <v>14</v>
      </c>
      <c r="AD1269" t="b">
        <v>0</v>
      </c>
      <c r="AF1269" t="s">
        <v>6360</v>
      </c>
      <c r="AG1269" s="1" t="s">
        <v>63</v>
      </c>
      <c r="AH1269" s="1" t="s">
        <v>46</v>
      </c>
      <c r="AI1269">
        <v>230</v>
      </c>
      <c r="AJ1269">
        <v>234</v>
      </c>
      <c r="AK1269" s="106">
        <v>45475.63554599537</v>
      </c>
      <c r="AL1269" s="1" t="s">
        <v>4790</v>
      </c>
      <c r="AM1269" s="42">
        <f>IFERROR(INDEX('Public procurment'!A:R,MATCH(ListOfExpenditure[[#This Row],[Content.contractId]],'Public procurment'!E:E,0),14),0)</f>
        <v>0</v>
      </c>
      <c r="AN1269" s="2">
        <f>IF(AND(ListOfExpenditure[[#This Row],[Contract amount]]&gt;10000,ListOfExpenditure[[#This Row],[Content.declaredAmount]]&gt;2000),1,0)</f>
        <v>0</v>
      </c>
      <c r="AO1269">
        <f>IFERROR(INDEX('Public procurment'!A:S,MATCH(ListOfExpenditure[[#This Row],[Content.contractId]],'Public procurment'!E:E,0),19),0)</f>
        <v>0</v>
      </c>
      <c r="AP1269">
        <f>IF(ListOfExpenditure[[#This Row],[Numero di volte controllato il contract ]]&gt;0,0,ListOfExpenditure[[#This Row],[IF public procurment &gt;10000;1;0]])</f>
        <v>0</v>
      </c>
    </row>
    <row r="1270" spans="1:42" x14ac:dyDescent="0.25">
      <c r="A1270">
        <v>1053</v>
      </c>
      <c r="B1270">
        <v>6</v>
      </c>
      <c r="E1270" t="s">
        <v>4786</v>
      </c>
      <c r="F1270" t="b">
        <v>0</v>
      </c>
      <c r="I1270" t="s">
        <v>5494</v>
      </c>
      <c r="K1270" t="s">
        <v>4914</v>
      </c>
      <c r="L1270" t="s">
        <v>4914</v>
      </c>
      <c r="M1270" t="s">
        <v>4788</v>
      </c>
      <c r="N1270" t="s">
        <v>4788</v>
      </c>
      <c r="O1270">
        <v>3916.75</v>
      </c>
      <c r="Q1270">
        <v>0</v>
      </c>
      <c r="R1270">
        <v>0</v>
      </c>
      <c r="S1270">
        <v>411.26</v>
      </c>
      <c r="T1270" t="s">
        <v>4789</v>
      </c>
      <c r="U1270">
        <v>1</v>
      </c>
      <c r="V1270">
        <v>411.26</v>
      </c>
      <c r="W1270" t="s">
        <v>4343</v>
      </c>
      <c r="Y1270" t="b">
        <v>1</v>
      </c>
      <c r="Z1270" t="b">
        <v>0</v>
      </c>
      <c r="AA1270">
        <v>400.01</v>
      </c>
      <c r="AB1270">
        <v>11.25</v>
      </c>
      <c r="AC1270">
        <v>14</v>
      </c>
      <c r="AD1270" t="b">
        <v>0</v>
      </c>
      <c r="AF1270" t="s">
        <v>6360</v>
      </c>
      <c r="AG1270" s="1" t="s">
        <v>63</v>
      </c>
      <c r="AH1270" s="1" t="s">
        <v>46</v>
      </c>
      <c r="AI1270">
        <v>230</v>
      </c>
      <c r="AJ1270">
        <v>234</v>
      </c>
      <c r="AK1270" s="106">
        <v>45475.63554599537</v>
      </c>
      <c r="AL1270" s="1" t="s">
        <v>4790</v>
      </c>
      <c r="AM1270" s="42">
        <f>IFERROR(INDEX('Public procurment'!A:R,MATCH(ListOfExpenditure[[#This Row],[Content.contractId]],'Public procurment'!E:E,0),14),0)</f>
        <v>0</v>
      </c>
      <c r="AN1270" s="2">
        <f>IF(AND(ListOfExpenditure[[#This Row],[Contract amount]]&gt;10000,ListOfExpenditure[[#This Row],[Content.declaredAmount]]&gt;2000),1,0)</f>
        <v>0</v>
      </c>
      <c r="AO1270">
        <f>IFERROR(INDEX('Public procurment'!A:S,MATCH(ListOfExpenditure[[#This Row],[Content.contractId]],'Public procurment'!E:E,0),19),0)</f>
        <v>0</v>
      </c>
      <c r="AP1270">
        <f>IF(ListOfExpenditure[[#This Row],[Numero di volte controllato il contract ]]&gt;0,0,ListOfExpenditure[[#This Row],[IF public procurment &gt;10000;1;0]])</f>
        <v>0</v>
      </c>
    </row>
    <row r="1271" spans="1:42" x14ac:dyDescent="0.25">
      <c r="A1271">
        <v>1054</v>
      </c>
      <c r="B1271">
        <v>7</v>
      </c>
      <c r="E1271" t="s">
        <v>4786</v>
      </c>
      <c r="F1271" t="b">
        <v>0</v>
      </c>
      <c r="I1271" t="s">
        <v>5494</v>
      </c>
      <c r="K1271" t="s">
        <v>4959</v>
      </c>
      <c r="L1271" t="s">
        <v>4959</v>
      </c>
      <c r="M1271" t="s">
        <v>4788</v>
      </c>
      <c r="N1271" t="s">
        <v>4788</v>
      </c>
      <c r="O1271">
        <v>3943.69</v>
      </c>
      <c r="Q1271">
        <v>0</v>
      </c>
      <c r="R1271">
        <v>0</v>
      </c>
      <c r="S1271">
        <v>414.09</v>
      </c>
      <c r="T1271" t="s">
        <v>4789</v>
      </c>
      <c r="U1271">
        <v>1</v>
      </c>
      <c r="V1271">
        <v>414.09</v>
      </c>
      <c r="W1271" t="s">
        <v>4343</v>
      </c>
      <c r="Y1271" t="b">
        <v>1</v>
      </c>
      <c r="Z1271" t="b">
        <v>0</v>
      </c>
      <c r="AA1271">
        <v>402.84</v>
      </c>
      <c r="AB1271">
        <v>11.25</v>
      </c>
      <c r="AC1271">
        <v>14</v>
      </c>
      <c r="AD1271" t="b">
        <v>0</v>
      </c>
      <c r="AF1271" t="s">
        <v>6360</v>
      </c>
      <c r="AG1271" s="1" t="s">
        <v>63</v>
      </c>
      <c r="AH1271" s="1" t="s">
        <v>46</v>
      </c>
      <c r="AI1271">
        <v>230</v>
      </c>
      <c r="AJ1271">
        <v>234</v>
      </c>
      <c r="AK1271" s="106">
        <v>45475.63554599537</v>
      </c>
      <c r="AL1271" s="1" t="s">
        <v>4790</v>
      </c>
      <c r="AM1271" s="42">
        <f>IFERROR(INDEX('Public procurment'!A:R,MATCH(ListOfExpenditure[[#This Row],[Content.contractId]],'Public procurment'!E:E,0),14),0)</f>
        <v>0</v>
      </c>
      <c r="AN1271" s="2">
        <f>IF(AND(ListOfExpenditure[[#This Row],[Contract amount]]&gt;10000,ListOfExpenditure[[#This Row],[Content.declaredAmount]]&gt;2000),1,0)</f>
        <v>0</v>
      </c>
      <c r="AO1271">
        <f>IFERROR(INDEX('Public procurment'!A:S,MATCH(ListOfExpenditure[[#This Row],[Content.contractId]],'Public procurment'!E:E,0),19),0)</f>
        <v>0</v>
      </c>
      <c r="AP1271">
        <f>IF(ListOfExpenditure[[#This Row],[Numero di volte controllato il contract ]]&gt;0,0,ListOfExpenditure[[#This Row],[IF public procurment &gt;10000;1;0]])</f>
        <v>0</v>
      </c>
    </row>
    <row r="1272" spans="1:42" x14ac:dyDescent="0.25">
      <c r="A1272">
        <v>1055</v>
      </c>
      <c r="B1272">
        <v>8</v>
      </c>
      <c r="E1272" t="s">
        <v>4786</v>
      </c>
      <c r="F1272" t="b">
        <v>0</v>
      </c>
      <c r="I1272" t="s">
        <v>5494</v>
      </c>
      <c r="K1272" t="s">
        <v>4921</v>
      </c>
      <c r="L1272" t="s">
        <v>4921</v>
      </c>
      <c r="M1272" t="s">
        <v>4788</v>
      </c>
      <c r="N1272" t="s">
        <v>4788</v>
      </c>
      <c r="O1272">
        <v>3980.49</v>
      </c>
      <c r="Q1272">
        <v>0</v>
      </c>
      <c r="R1272">
        <v>0</v>
      </c>
      <c r="S1272">
        <v>417.95</v>
      </c>
      <c r="T1272" t="s">
        <v>4789</v>
      </c>
      <c r="U1272">
        <v>1</v>
      </c>
      <c r="V1272">
        <v>417.95</v>
      </c>
      <c r="W1272" t="s">
        <v>4343</v>
      </c>
      <c r="Y1272" t="b">
        <v>1</v>
      </c>
      <c r="Z1272" t="b">
        <v>0</v>
      </c>
      <c r="AA1272">
        <v>406.98</v>
      </c>
      <c r="AB1272">
        <v>10.97</v>
      </c>
      <c r="AC1272">
        <v>14</v>
      </c>
      <c r="AD1272" t="b">
        <v>0</v>
      </c>
      <c r="AF1272" t="s">
        <v>6361</v>
      </c>
      <c r="AG1272" s="1" t="s">
        <v>63</v>
      </c>
      <c r="AH1272" s="1" t="s">
        <v>46</v>
      </c>
      <c r="AI1272">
        <v>230</v>
      </c>
      <c r="AJ1272">
        <v>234</v>
      </c>
      <c r="AK1272" s="106">
        <v>45475.63554599537</v>
      </c>
      <c r="AL1272" s="1" t="s">
        <v>4790</v>
      </c>
      <c r="AM1272" s="42">
        <f>IFERROR(INDEX('Public procurment'!A:R,MATCH(ListOfExpenditure[[#This Row],[Content.contractId]],'Public procurment'!E:E,0),14),0)</f>
        <v>0</v>
      </c>
      <c r="AN1272" s="2">
        <f>IF(AND(ListOfExpenditure[[#This Row],[Contract amount]]&gt;10000,ListOfExpenditure[[#This Row],[Content.declaredAmount]]&gt;2000),1,0)</f>
        <v>0</v>
      </c>
      <c r="AO1272">
        <f>IFERROR(INDEX('Public procurment'!A:S,MATCH(ListOfExpenditure[[#This Row],[Content.contractId]],'Public procurment'!E:E,0),19),0)</f>
        <v>0</v>
      </c>
      <c r="AP1272">
        <f>IF(ListOfExpenditure[[#This Row],[Numero di volte controllato il contract ]]&gt;0,0,ListOfExpenditure[[#This Row],[IF public procurment &gt;10000;1;0]])</f>
        <v>0</v>
      </c>
    </row>
    <row r="1273" spans="1:42" x14ac:dyDescent="0.25">
      <c r="A1273">
        <v>1056</v>
      </c>
      <c r="B1273">
        <v>9</v>
      </c>
      <c r="E1273" t="s">
        <v>4786</v>
      </c>
      <c r="F1273" t="b">
        <v>0</v>
      </c>
      <c r="I1273" t="s">
        <v>4944</v>
      </c>
      <c r="K1273" t="s">
        <v>4957</v>
      </c>
      <c r="L1273" t="s">
        <v>4957</v>
      </c>
      <c r="M1273" t="s">
        <v>4788</v>
      </c>
      <c r="N1273" t="s">
        <v>4788</v>
      </c>
      <c r="O1273">
        <v>4819.13</v>
      </c>
      <c r="Q1273">
        <v>0</v>
      </c>
      <c r="R1273">
        <v>0</v>
      </c>
      <c r="S1273">
        <v>1344.54</v>
      </c>
      <c r="T1273" t="s">
        <v>4789</v>
      </c>
      <c r="U1273">
        <v>1</v>
      </c>
      <c r="V1273">
        <v>1344.54</v>
      </c>
      <c r="W1273" t="s">
        <v>4343</v>
      </c>
      <c r="Y1273" t="b">
        <v>1</v>
      </c>
      <c r="Z1273" t="b">
        <v>0</v>
      </c>
      <c r="AA1273">
        <v>1308.82</v>
      </c>
      <c r="AB1273">
        <v>35.72</v>
      </c>
      <c r="AC1273">
        <v>14</v>
      </c>
      <c r="AD1273" t="b">
        <v>0</v>
      </c>
      <c r="AF1273" t="s">
        <v>6360</v>
      </c>
      <c r="AG1273" s="1" t="s">
        <v>63</v>
      </c>
      <c r="AH1273" s="1" t="s">
        <v>46</v>
      </c>
      <c r="AI1273">
        <v>230</v>
      </c>
      <c r="AJ1273">
        <v>234</v>
      </c>
      <c r="AK1273" s="106">
        <v>45475.63554599537</v>
      </c>
      <c r="AL1273" s="1" t="s">
        <v>4790</v>
      </c>
      <c r="AM1273" s="42">
        <f>IFERROR(INDEX('Public procurment'!A:R,MATCH(ListOfExpenditure[[#This Row],[Content.contractId]],'Public procurment'!E:E,0),14),0)</f>
        <v>0</v>
      </c>
      <c r="AN1273" s="2">
        <f>IF(AND(ListOfExpenditure[[#This Row],[Contract amount]]&gt;10000,ListOfExpenditure[[#This Row],[Content.declaredAmount]]&gt;2000),1,0)</f>
        <v>0</v>
      </c>
      <c r="AO1273">
        <f>IFERROR(INDEX('Public procurment'!A:S,MATCH(ListOfExpenditure[[#This Row],[Content.contractId]],'Public procurment'!E:E,0),19),0)</f>
        <v>0</v>
      </c>
      <c r="AP1273">
        <f>IF(ListOfExpenditure[[#This Row],[Numero di volte controllato il contract ]]&gt;0,0,ListOfExpenditure[[#This Row],[IF public procurment &gt;10000;1;0]])</f>
        <v>0</v>
      </c>
    </row>
    <row r="1274" spans="1:42" x14ac:dyDescent="0.25">
      <c r="A1274">
        <v>1057</v>
      </c>
      <c r="B1274">
        <v>10</v>
      </c>
      <c r="E1274" t="s">
        <v>4786</v>
      </c>
      <c r="F1274" t="b">
        <v>0</v>
      </c>
      <c r="I1274" t="s">
        <v>4944</v>
      </c>
      <c r="K1274" t="s">
        <v>4914</v>
      </c>
      <c r="L1274" t="s">
        <v>4914</v>
      </c>
      <c r="M1274" t="s">
        <v>4788</v>
      </c>
      <c r="N1274" t="s">
        <v>4788</v>
      </c>
      <c r="O1274">
        <v>4905.18</v>
      </c>
      <c r="Q1274">
        <v>0</v>
      </c>
      <c r="R1274">
        <v>0</v>
      </c>
      <c r="S1274">
        <v>1368.55</v>
      </c>
      <c r="T1274" t="s">
        <v>4789</v>
      </c>
      <c r="U1274">
        <v>1</v>
      </c>
      <c r="V1274">
        <v>1368.55</v>
      </c>
      <c r="W1274" t="s">
        <v>4343</v>
      </c>
      <c r="Y1274" t="b">
        <v>1</v>
      </c>
      <c r="Z1274" t="b">
        <v>0</v>
      </c>
      <c r="AA1274">
        <v>1332.83</v>
      </c>
      <c r="AB1274">
        <v>35.72</v>
      </c>
      <c r="AC1274">
        <v>14</v>
      </c>
      <c r="AD1274" t="b">
        <v>0</v>
      </c>
      <c r="AF1274" t="s">
        <v>6360</v>
      </c>
      <c r="AG1274" s="1" t="s">
        <v>63</v>
      </c>
      <c r="AH1274" s="1" t="s">
        <v>46</v>
      </c>
      <c r="AI1274">
        <v>230</v>
      </c>
      <c r="AJ1274">
        <v>234</v>
      </c>
      <c r="AK1274" s="106">
        <v>45475.63554599537</v>
      </c>
      <c r="AL1274" s="1" t="s">
        <v>4790</v>
      </c>
      <c r="AM1274" s="42">
        <f>IFERROR(INDEX('Public procurment'!A:R,MATCH(ListOfExpenditure[[#This Row],[Content.contractId]],'Public procurment'!E:E,0),14),0)</f>
        <v>0</v>
      </c>
      <c r="AN1274" s="2">
        <f>IF(AND(ListOfExpenditure[[#This Row],[Contract amount]]&gt;10000,ListOfExpenditure[[#This Row],[Content.declaredAmount]]&gt;2000),1,0)</f>
        <v>0</v>
      </c>
      <c r="AO1274">
        <f>IFERROR(INDEX('Public procurment'!A:S,MATCH(ListOfExpenditure[[#This Row],[Content.contractId]],'Public procurment'!E:E,0),19),0)</f>
        <v>0</v>
      </c>
      <c r="AP1274">
        <f>IF(ListOfExpenditure[[#This Row],[Numero di volte controllato il contract ]]&gt;0,0,ListOfExpenditure[[#This Row],[IF public procurment &gt;10000;1;0]])</f>
        <v>0</v>
      </c>
    </row>
    <row r="1275" spans="1:42" x14ac:dyDescent="0.25">
      <c r="A1275">
        <v>1058</v>
      </c>
      <c r="B1275">
        <v>11</v>
      </c>
      <c r="E1275" t="s">
        <v>4786</v>
      </c>
      <c r="F1275" t="b">
        <v>0</v>
      </c>
      <c r="I1275" t="s">
        <v>4944</v>
      </c>
      <c r="K1275" t="s">
        <v>4959</v>
      </c>
      <c r="L1275" t="s">
        <v>4959</v>
      </c>
      <c r="M1275" t="s">
        <v>4788</v>
      </c>
      <c r="N1275" t="s">
        <v>4788</v>
      </c>
      <c r="O1275">
        <v>4853.3599999999997</v>
      </c>
      <c r="Q1275">
        <v>0</v>
      </c>
      <c r="R1275">
        <v>0</v>
      </c>
      <c r="S1275">
        <v>1354.09</v>
      </c>
      <c r="T1275" t="s">
        <v>4789</v>
      </c>
      <c r="U1275">
        <v>1</v>
      </c>
      <c r="V1275">
        <v>1354.09</v>
      </c>
      <c r="W1275" t="s">
        <v>4343</v>
      </c>
      <c r="Y1275" t="b">
        <v>1</v>
      </c>
      <c r="Z1275" t="b">
        <v>0</v>
      </c>
      <c r="AA1275">
        <v>1318.37</v>
      </c>
      <c r="AB1275">
        <v>35.72</v>
      </c>
      <c r="AC1275">
        <v>14</v>
      </c>
      <c r="AD1275" t="b">
        <v>0</v>
      </c>
      <c r="AF1275" t="s">
        <v>6360</v>
      </c>
      <c r="AG1275" s="1" t="s">
        <v>63</v>
      </c>
      <c r="AH1275" s="1" t="s">
        <v>46</v>
      </c>
      <c r="AI1275">
        <v>230</v>
      </c>
      <c r="AJ1275">
        <v>234</v>
      </c>
      <c r="AK1275" s="106">
        <v>45475.63554599537</v>
      </c>
      <c r="AL1275" s="1" t="s">
        <v>4790</v>
      </c>
      <c r="AM1275" s="42">
        <f>IFERROR(INDEX('Public procurment'!A:R,MATCH(ListOfExpenditure[[#This Row],[Content.contractId]],'Public procurment'!E:E,0),14),0)</f>
        <v>0</v>
      </c>
      <c r="AN1275" s="2">
        <f>IF(AND(ListOfExpenditure[[#This Row],[Contract amount]]&gt;10000,ListOfExpenditure[[#This Row],[Content.declaredAmount]]&gt;2000),1,0)</f>
        <v>0</v>
      </c>
      <c r="AO1275">
        <f>IFERROR(INDEX('Public procurment'!A:S,MATCH(ListOfExpenditure[[#This Row],[Content.contractId]],'Public procurment'!E:E,0),19),0)</f>
        <v>0</v>
      </c>
      <c r="AP1275">
        <f>IF(ListOfExpenditure[[#This Row],[Numero di volte controllato il contract ]]&gt;0,0,ListOfExpenditure[[#This Row],[IF public procurment &gt;10000;1;0]])</f>
        <v>0</v>
      </c>
    </row>
    <row r="1276" spans="1:42" x14ac:dyDescent="0.25">
      <c r="A1276">
        <v>1059</v>
      </c>
      <c r="B1276">
        <v>12</v>
      </c>
      <c r="E1276" t="s">
        <v>4786</v>
      </c>
      <c r="F1276" t="b">
        <v>0</v>
      </c>
      <c r="I1276" t="s">
        <v>4944</v>
      </c>
      <c r="K1276" t="s">
        <v>4921</v>
      </c>
      <c r="L1276" t="s">
        <v>4921</v>
      </c>
      <c r="M1276" t="s">
        <v>4788</v>
      </c>
      <c r="N1276" t="s">
        <v>4788</v>
      </c>
      <c r="O1276">
        <v>4412.58</v>
      </c>
      <c r="Q1276">
        <v>0</v>
      </c>
      <c r="R1276">
        <v>0</v>
      </c>
      <c r="S1276">
        <v>1231.1099999999999</v>
      </c>
      <c r="T1276" t="s">
        <v>4789</v>
      </c>
      <c r="U1276">
        <v>1</v>
      </c>
      <c r="V1276">
        <v>1231.1099999999999</v>
      </c>
      <c r="W1276" t="s">
        <v>4343</v>
      </c>
      <c r="Y1276" t="b">
        <v>1</v>
      </c>
      <c r="Z1276" t="b">
        <v>0</v>
      </c>
      <c r="AA1276">
        <v>1201.96</v>
      </c>
      <c r="AB1276">
        <v>29.15</v>
      </c>
      <c r="AC1276">
        <v>14</v>
      </c>
      <c r="AD1276" t="b">
        <v>0</v>
      </c>
      <c r="AF1276" t="s">
        <v>6361</v>
      </c>
      <c r="AG1276" s="1" t="s">
        <v>63</v>
      </c>
      <c r="AH1276" s="1" t="s">
        <v>46</v>
      </c>
      <c r="AI1276">
        <v>230</v>
      </c>
      <c r="AJ1276">
        <v>234</v>
      </c>
      <c r="AK1276" s="106">
        <v>45475.63554599537</v>
      </c>
      <c r="AL1276" s="1" t="s">
        <v>4790</v>
      </c>
      <c r="AM1276" s="42">
        <f>IFERROR(INDEX('Public procurment'!A:R,MATCH(ListOfExpenditure[[#This Row],[Content.contractId]],'Public procurment'!E:E,0),14),0)</f>
        <v>0</v>
      </c>
      <c r="AN1276" s="2">
        <f>IF(AND(ListOfExpenditure[[#This Row],[Contract amount]]&gt;10000,ListOfExpenditure[[#This Row],[Content.declaredAmount]]&gt;2000),1,0)</f>
        <v>0</v>
      </c>
      <c r="AO1276">
        <f>IFERROR(INDEX('Public procurment'!A:S,MATCH(ListOfExpenditure[[#This Row],[Content.contractId]],'Public procurment'!E:E,0),19),0)</f>
        <v>0</v>
      </c>
      <c r="AP1276">
        <f>IF(ListOfExpenditure[[#This Row],[Numero di volte controllato il contract ]]&gt;0,0,ListOfExpenditure[[#This Row],[IF public procurment &gt;10000;1;0]])</f>
        <v>0</v>
      </c>
    </row>
    <row r="1277" spans="1:42" x14ac:dyDescent="0.25">
      <c r="A1277">
        <v>1060</v>
      </c>
      <c r="B1277">
        <v>13</v>
      </c>
      <c r="E1277" t="s">
        <v>4786</v>
      </c>
      <c r="F1277" t="b">
        <v>0</v>
      </c>
      <c r="I1277" t="s">
        <v>4933</v>
      </c>
      <c r="K1277" t="s">
        <v>4957</v>
      </c>
      <c r="L1277" t="s">
        <v>4957</v>
      </c>
      <c r="M1277" t="s">
        <v>4788</v>
      </c>
      <c r="N1277" t="s">
        <v>4788</v>
      </c>
      <c r="O1277">
        <v>4138.79</v>
      </c>
      <c r="Q1277">
        <v>0</v>
      </c>
      <c r="R1277">
        <v>0</v>
      </c>
      <c r="S1277">
        <v>1535.49</v>
      </c>
      <c r="T1277" t="s">
        <v>4789</v>
      </c>
      <c r="U1277">
        <v>1</v>
      </c>
      <c r="V1277">
        <v>1535.49</v>
      </c>
      <c r="W1277" t="s">
        <v>4343</v>
      </c>
      <c r="Y1277" t="b">
        <v>1</v>
      </c>
      <c r="Z1277" t="b">
        <v>0</v>
      </c>
      <c r="AA1277">
        <v>1500.75</v>
      </c>
      <c r="AB1277">
        <v>34.74</v>
      </c>
      <c r="AC1277">
        <v>14</v>
      </c>
      <c r="AD1277" t="b">
        <v>0</v>
      </c>
      <c r="AF1277" t="s">
        <v>6360</v>
      </c>
      <c r="AG1277" s="1" t="s">
        <v>63</v>
      </c>
      <c r="AH1277" s="1" t="s">
        <v>46</v>
      </c>
      <c r="AI1277">
        <v>230</v>
      </c>
      <c r="AJ1277">
        <v>234</v>
      </c>
      <c r="AK1277" s="106">
        <v>45475.63554599537</v>
      </c>
      <c r="AL1277" s="1" t="s">
        <v>4790</v>
      </c>
      <c r="AM1277" s="42">
        <f>IFERROR(INDEX('Public procurment'!A:R,MATCH(ListOfExpenditure[[#This Row],[Content.contractId]],'Public procurment'!E:E,0),14),0)</f>
        <v>0</v>
      </c>
      <c r="AN1277" s="2">
        <f>IF(AND(ListOfExpenditure[[#This Row],[Contract amount]]&gt;10000,ListOfExpenditure[[#This Row],[Content.declaredAmount]]&gt;2000),1,0)</f>
        <v>0</v>
      </c>
      <c r="AO1277">
        <f>IFERROR(INDEX('Public procurment'!A:S,MATCH(ListOfExpenditure[[#This Row],[Content.contractId]],'Public procurment'!E:E,0),19),0)</f>
        <v>0</v>
      </c>
      <c r="AP1277">
        <f>IF(ListOfExpenditure[[#This Row],[Numero di volte controllato il contract ]]&gt;0,0,ListOfExpenditure[[#This Row],[IF public procurment &gt;10000;1;0]])</f>
        <v>0</v>
      </c>
    </row>
    <row r="1278" spans="1:42" x14ac:dyDescent="0.25">
      <c r="A1278">
        <v>1061</v>
      </c>
      <c r="B1278">
        <v>14</v>
      </c>
      <c r="E1278" t="s">
        <v>4786</v>
      </c>
      <c r="F1278" t="b">
        <v>0</v>
      </c>
      <c r="I1278" t="s">
        <v>4933</v>
      </c>
      <c r="K1278" t="s">
        <v>4914</v>
      </c>
      <c r="L1278" t="s">
        <v>4914</v>
      </c>
      <c r="M1278" t="s">
        <v>4788</v>
      </c>
      <c r="N1278" t="s">
        <v>4788</v>
      </c>
      <c r="O1278">
        <v>4131.41</v>
      </c>
      <c r="Q1278">
        <v>0</v>
      </c>
      <c r="R1278">
        <v>0</v>
      </c>
      <c r="S1278">
        <v>1532.75</v>
      </c>
      <c r="T1278" t="s">
        <v>4789</v>
      </c>
      <c r="U1278">
        <v>1</v>
      </c>
      <c r="V1278">
        <v>1532.75</v>
      </c>
      <c r="W1278" t="s">
        <v>4343</v>
      </c>
      <c r="Y1278" t="b">
        <v>1</v>
      </c>
      <c r="Z1278" t="b">
        <v>0</v>
      </c>
      <c r="AA1278">
        <v>1498.01</v>
      </c>
      <c r="AB1278">
        <v>34.74</v>
      </c>
      <c r="AC1278">
        <v>14</v>
      </c>
      <c r="AD1278" t="b">
        <v>0</v>
      </c>
      <c r="AF1278" t="s">
        <v>6360</v>
      </c>
      <c r="AG1278" s="1" t="s">
        <v>63</v>
      </c>
      <c r="AH1278" s="1" t="s">
        <v>46</v>
      </c>
      <c r="AI1278">
        <v>230</v>
      </c>
      <c r="AJ1278">
        <v>234</v>
      </c>
      <c r="AK1278" s="106">
        <v>45475.63554599537</v>
      </c>
      <c r="AL1278" s="1" t="s">
        <v>4790</v>
      </c>
      <c r="AM1278" s="42">
        <f>IFERROR(INDEX('Public procurment'!A:R,MATCH(ListOfExpenditure[[#This Row],[Content.contractId]],'Public procurment'!E:E,0),14),0)</f>
        <v>0</v>
      </c>
      <c r="AN1278" s="2">
        <f>IF(AND(ListOfExpenditure[[#This Row],[Contract amount]]&gt;10000,ListOfExpenditure[[#This Row],[Content.declaredAmount]]&gt;2000),1,0)</f>
        <v>0</v>
      </c>
      <c r="AO1278">
        <f>IFERROR(INDEX('Public procurment'!A:S,MATCH(ListOfExpenditure[[#This Row],[Content.contractId]],'Public procurment'!E:E,0),19),0)</f>
        <v>0</v>
      </c>
      <c r="AP1278">
        <f>IF(ListOfExpenditure[[#This Row],[Numero di volte controllato il contract ]]&gt;0,0,ListOfExpenditure[[#This Row],[IF public procurment &gt;10000;1;0]])</f>
        <v>0</v>
      </c>
    </row>
    <row r="1279" spans="1:42" x14ac:dyDescent="0.25">
      <c r="A1279">
        <v>1062</v>
      </c>
      <c r="B1279">
        <v>15</v>
      </c>
      <c r="E1279" t="s">
        <v>4786</v>
      </c>
      <c r="F1279" t="b">
        <v>0</v>
      </c>
      <c r="I1279" t="s">
        <v>4933</v>
      </c>
      <c r="K1279" t="s">
        <v>4959</v>
      </c>
      <c r="L1279" t="s">
        <v>4959</v>
      </c>
      <c r="M1279" t="s">
        <v>4788</v>
      </c>
      <c r="N1279" t="s">
        <v>4788</v>
      </c>
      <c r="O1279">
        <v>4217.26</v>
      </c>
      <c r="Q1279">
        <v>0</v>
      </c>
      <c r="R1279">
        <v>0</v>
      </c>
      <c r="S1279">
        <v>1564.6</v>
      </c>
      <c r="T1279" t="s">
        <v>4789</v>
      </c>
      <c r="U1279">
        <v>1</v>
      </c>
      <c r="V1279">
        <v>1564.6</v>
      </c>
      <c r="W1279" t="s">
        <v>4343</v>
      </c>
      <c r="Y1279" t="b">
        <v>1</v>
      </c>
      <c r="Z1279" t="b">
        <v>0</v>
      </c>
      <c r="AA1279">
        <v>1529.86</v>
      </c>
      <c r="AB1279">
        <v>34.74</v>
      </c>
      <c r="AC1279">
        <v>14</v>
      </c>
      <c r="AD1279" t="b">
        <v>0</v>
      </c>
      <c r="AF1279" t="s">
        <v>6360</v>
      </c>
      <c r="AG1279" s="1" t="s">
        <v>63</v>
      </c>
      <c r="AH1279" s="1" t="s">
        <v>46</v>
      </c>
      <c r="AI1279">
        <v>230</v>
      </c>
      <c r="AJ1279">
        <v>234</v>
      </c>
      <c r="AK1279" s="106">
        <v>45475.63554599537</v>
      </c>
      <c r="AL1279" s="1" t="s">
        <v>4790</v>
      </c>
      <c r="AM1279" s="42">
        <f>IFERROR(INDEX('Public procurment'!A:R,MATCH(ListOfExpenditure[[#This Row],[Content.contractId]],'Public procurment'!E:E,0),14),0)</f>
        <v>0</v>
      </c>
      <c r="AN1279" s="2">
        <f>IF(AND(ListOfExpenditure[[#This Row],[Contract amount]]&gt;10000,ListOfExpenditure[[#This Row],[Content.declaredAmount]]&gt;2000),1,0)</f>
        <v>0</v>
      </c>
      <c r="AO1279">
        <f>IFERROR(INDEX('Public procurment'!A:S,MATCH(ListOfExpenditure[[#This Row],[Content.contractId]],'Public procurment'!E:E,0),19),0)</f>
        <v>0</v>
      </c>
      <c r="AP1279">
        <f>IF(ListOfExpenditure[[#This Row],[Numero di volte controllato il contract ]]&gt;0,0,ListOfExpenditure[[#This Row],[IF public procurment &gt;10000;1;0]])</f>
        <v>0</v>
      </c>
    </row>
    <row r="1280" spans="1:42" x14ac:dyDescent="0.25">
      <c r="A1280">
        <v>1063</v>
      </c>
      <c r="B1280">
        <v>16</v>
      </c>
      <c r="E1280" t="s">
        <v>4786</v>
      </c>
      <c r="F1280" t="b">
        <v>0</v>
      </c>
      <c r="I1280" t="s">
        <v>4933</v>
      </c>
      <c r="K1280" t="s">
        <v>4921</v>
      </c>
      <c r="L1280" t="s">
        <v>4921</v>
      </c>
      <c r="M1280" t="s">
        <v>4788</v>
      </c>
      <c r="N1280" t="s">
        <v>4788</v>
      </c>
      <c r="O1280">
        <v>4316.4399999999996</v>
      </c>
      <c r="Q1280">
        <v>0</v>
      </c>
      <c r="R1280">
        <v>0</v>
      </c>
      <c r="S1280">
        <v>1601.4</v>
      </c>
      <c r="T1280" t="s">
        <v>4789</v>
      </c>
      <c r="U1280">
        <v>1</v>
      </c>
      <c r="V1280">
        <v>1601.4</v>
      </c>
      <c r="W1280" t="s">
        <v>4343</v>
      </c>
      <c r="Y1280" t="b">
        <v>1</v>
      </c>
      <c r="Z1280" t="b">
        <v>0</v>
      </c>
      <c r="AA1280">
        <v>1562.63</v>
      </c>
      <c r="AB1280">
        <v>38.770000000000003</v>
      </c>
      <c r="AC1280">
        <v>14</v>
      </c>
      <c r="AD1280" t="b">
        <v>0</v>
      </c>
      <c r="AF1280" t="s">
        <v>6361</v>
      </c>
      <c r="AG1280" s="1" t="s">
        <v>63</v>
      </c>
      <c r="AH1280" s="1" t="s">
        <v>46</v>
      </c>
      <c r="AI1280">
        <v>230</v>
      </c>
      <c r="AJ1280">
        <v>234</v>
      </c>
      <c r="AK1280" s="106">
        <v>45475.63554599537</v>
      </c>
      <c r="AL1280" s="1" t="s">
        <v>4790</v>
      </c>
      <c r="AM1280" s="42">
        <f>IFERROR(INDEX('Public procurment'!A:R,MATCH(ListOfExpenditure[[#This Row],[Content.contractId]],'Public procurment'!E:E,0),14),0)</f>
        <v>0</v>
      </c>
      <c r="AN1280" s="2">
        <f>IF(AND(ListOfExpenditure[[#This Row],[Contract amount]]&gt;10000,ListOfExpenditure[[#This Row],[Content.declaredAmount]]&gt;2000),1,0)</f>
        <v>0</v>
      </c>
      <c r="AO1280">
        <f>IFERROR(INDEX('Public procurment'!A:S,MATCH(ListOfExpenditure[[#This Row],[Content.contractId]],'Public procurment'!E:E,0),19),0)</f>
        <v>0</v>
      </c>
      <c r="AP1280">
        <f>IF(ListOfExpenditure[[#This Row],[Numero di volte controllato il contract ]]&gt;0,0,ListOfExpenditure[[#This Row],[IF public procurment &gt;10000;1;0]])</f>
        <v>0</v>
      </c>
    </row>
    <row r="1281" spans="1:42" x14ac:dyDescent="0.25">
      <c r="A1281">
        <v>1064</v>
      </c>
      <c r="B1281">
        <v>17</v>
      </c>
      <c r="E1281" t="s">
        <v>4786</v>
      </c>
      <c r="F1281" t="b">
        <v>0</v>
      </c>
      <c r="I1281" t="s">
        <v>5775</v>
      </c>
      <c r="K1281" t="s">
        <v>4957</v>
      </c>
      <c r="L1281" t="s">
        <v>4957</v>
      </c>
      <c r="M1281" t="s">
        <v>4788</v>
      </c>
      <c r="N1281" t="s">
        <v>4788</v>
      </c>
      <c r="O1281">
        <v>1155.48</v>
      </c>
      <c r="Q1281">
        <v>0</v>
      </c>
      <c r="R1281">
        <v>0</v>
      </c>
      <c r="S1281">
        <v>1155.48</v>
      </c>
      <c r="T1281" t="s">
        <v>4789</v>
      </c>
      <c r="U1281">
        <v>1</v>
      </c>
      <c r="V1281">
        <v>1155.48</v>
      </c>
      <c r="W1281" t="s">
        <v>4343</v>
      </c>
      <c r="Y1281" t="b">
        <v>1</v>
      </c>
      <c r="Z1281" t="b">
        <v>0</v>
      </c>
      <c r="AA1281">
        <v>1098.27</v>
      </c>
      <c r="AB1281">
        <v>57.21</v>
      </c>
      <c r="AC1281">
        <v>14</v>
      </c>
      <c r="AD1281" t="b">
        <v>0</v>
      </c>
      <c r="AF1281" t="s">
        <v>6360</v>
      </c>
      <c r="AG1281" s="1" t="s">
        <v>63</v>
      </c>
      <c r="AH1281" s="1" t="s">
        <v>46</v>
      </c>
      <c r="AI1281">
        <v>230</v>
      </c>
      <c r="AJ1281">
        <v>234</v>
      </c>
      <c r="AK1281" s="106">
        <v>45475.63554599537</v>
      </c>
      <c r="AL1281" s="1" t="s">
        <v>4790</v>
      </c>
      <c r="AM1281" s="42">
        <f>IFERROR(INDEX('Public procurment'!A:R,MATCH(ListOfExpenditure[[#This Row],[Content.contractId]],'Public procurment'!E:E,0),14),0)</f>
        <v>0</v>
      </c>
      <c r="AN1281" s="2">
        <f>IF(AND(ListOfExpenditure[[#This Row],[Contract amount]]&gt;10000,ListOfExpenditure[[#This Row],[Content.declaredAmount]]&gt;2000),1,0)</f>
        <v>0</v>
      </c>
      <c r="AO1281">
        <f>IFERROR(INDEX('Public procurment'!A:S,MATCH(ListOfExpenditure[[#This Row],[Content.contractId]],'Public procurment'!E:E,0),19),0)</f>
        <v>0</v>
      </c>
      <c r="AP1281">
        <f>IF(ListOfExpenditure[[#This Row],[Numero di volte controllato il contract ]]&gt;0,0,ListOfExpenditure[[#This Row],[IF public procurment &gt;10000;1;0]])</f>
        <v>0</v>
      </c>
    </row>
    <row r="1282" spans="1:42" x14ac:dyDescent="0.25">
      <c r="A1282">
        <v>1065</v>
      </c>
      <c r="B1282">
        <v>18</v>
      </c>
      <c r="E1282" t="s">
        <v>4786</v>
      </c>
      <c r="F1282" t="b">
        <v>0</v>
      </c>
      <c r="I1282" t="s">
        <v>5775</v>
      </c>
      <c r="K1282" t="s">
        <v>4914</v>
      </c>
      <c r="L1282" t="s">
        <v>4914</v>
      </c>
      <c r="M1282" t="s">
        <v>4788</v>
      </c>
      <c r="N1282" t="s">
        <v>4788</v>
      </c>
      <c r="O1282">
        <v>1155.47</v>
      </c>
      <c r="Q1282">
        <v>0</v>
      </c>
      <c r="R1282">
        <v>0</v>
      </c>
      <c r="S1282">
        <v>1155.47</v>
      </c>
      <c r="T1282" t="s">
        <v>4789</v>
      </c>
      <c r="U1282">
        <v>1</v>
      </c>
      <c r="V1282">
        <v>1155.47</v>
      </c>
      <c r="W1282" t="s">
        <v>4343</v>
      </c>
      <c r="Y1282" t="b">
        <v>1</v>
      </c>
      <c r="Z1282" t="b">
        <v>0</v>
      </c>
      <c r="AA1282">
        <v>1098.26</v>
      </c>
      <c r="AB1282">
        <v>57.21</v>
      </c>
      <c r="AC1282">
        <v>14</v>
      </c>
      <c r="AD1282" t="b">
        <v>0</v>
      </c>
      <c r="AF1282" t="s">
        <v>6360</v>
      </c>
      <c r="AG1282" s="1" t="s">
        <v>63</v>
      </c>
      <c r="AH1282" s="1" t="s">
        <v>46</v>
      </c>
      <c r="AI1282">
        <v>230</v>
      </c>
      <c r="AJ1282">
        <v>234</v>
      </c>
      <c r="AK1282" s="106">
        <v>45475.63554599537</v>
      </c>
      <c r="AL1282" s="1" t="s">
        <v>4790</v>
      </c>
      <c r="AM1282" s="42">
        <f>IFERROR(INDEX('Public procurment'!A:R,MATCH(ListOfExpenditure[[#This Row],[Content.contractId]],'Public procurment'!E:E,0),14),0)</f>
        <v>0</v>
      </c>
      <c r="AN1282" s="2">
        <f>IF(AND(ListOfExpenditure[[#This Row],[Contract amount]]&gt;10000,ListOfExpenditure[[#This Row],[Content.declaredAmount]]&gt;2000),1,0)</f>
        <v>0</v>
      </c>
      <c r="AO1282">
        <f>IFERROR(INDEX('Public procurment'!A:S,MATCH(ListOfExpenditure[[#This Row],[Content.contractId]],'Public procurment'!E:E,0),19),0)</f>
        <v>0</v>
      </c>
      <c r="AP1282">
        <f>IF(ListOfExpenditure[[#This Row],[Numero di volte controllato il contract ]]&gt;0,0,ListOfExpenditure[[#This Row],[IF public procurment &gt;10000;1;0]])</f>
        <v>0</v>
      </c>
    </row>
    <row r="1283" spans="1:42" x14ac:dyDescent="0.25">
      <c r="A1283">
        <v>1066</v>
      </c>
      <c r="B1283">
        <v>19</v>
      </c>
      <c r="E1283" t="s">
        <v>4786</v>
      </c>
      <c r="F1283" t="b">
        <v>0</v>
      </c>
      <c r="I1283" t="s">
        <v>5775</v>
      </c>
      <c r="K1283" t="s">
        <v>4959</v>
      </c>
      <c r="L1283" t="s">
        <v>4959</v>
      </c>
      <c r="M1283" t="s">
        <v>4788</v>
      </c>
      <c r="N1283" t="s">
        <v>4788</v>
      </c>
      <c r="O1283">
        <v>1245.07</v>
      </c>
      <c r="Q1283">
        <v>0</v>
      </c>
      <c r="R1283">
        <v>0</v>
      </c>
      <c r="S1283">
        <v>1245.07</v>
      </c>
      <c r="T1283" t="s">
        <v>4789</v>
      </c>
      <c r="U1283">
        <v>1</v>
      </c>
      <c r="V1283">
        <v>1245.07</v>
      </c>
      <c r="W1283" t="s">
        <v>4343</v>
      </c>
      <c r="Y1283" t="b">
        <v>1</v>
      </c>
      <c r="Z1283" t="b">
        <v>0</v>
      </c>
      <c r="AA1283">
        <v>1187.8699999999999</v>
      </c>
      <c r="AB1283">
        <v>57.2</v>
      </c>
      <c r="AC1283">
        <v>14</v>
      </c>
      <c r="AD1283" t="b">
        <v>0</v>
      </c>
      <c r="AF1283" t="s">
        <v>6360</v>
      </c>
      <c r="AG1283" s="1" t="s">
        <v>63</v>
      </c>
      <c r="AH1283" s="1" t="s">
        <v>46</v>
      </c>
      <c r="AI1283">
        <v>230</v>
      </c>
      <c r="AJ1283">
        <v>234</v>
      </c>
      <c r="AK1283" s="106">
        <v>45475.63554599537</v>
      </c>
      <c r="AL1283" s="1" t="s">
        <v>4790</v>
      </c>
      <c r="AM1283" s="42">
        <f>IFERROR(INDEX('Public procurment'!A:R,MATCH(ListOfExpenditure[[#This Row],[Content.contractId]],'Public procurment'!E:E,0),14),0)</f>
        <v>0</v>
      </c>
      <c r="AN1283" s="2">
        <f>IF(AND(ListOfExpenditure[[#This Row],[Contract amount]]&gt;10000,ListOfExpenditure[[#This Row],[Content.declaredAmount]]&gt;2000),1,0)</f>
        <v>0</v>
      </c>
      <c r="AO1283">
        <f>IFERROR(INDEX('Public procurment'!A:S,MATCH(ListOfExpenditure[[#This Row],[Content.contractId]],'Public procurment'!E:E,0),19),0)</f>
        <v>0</v>
      </c>
      <c r="AP1283">
        <f>IF(ListOfExpenditure[[#This Row],[Numero di volte controllato il contract ]]&gt;0,0,ListOfExpenditure[[#This Row],[IF public procurment &gt;10000;1;0]])</f>
        <v>0</v>
      </c>
    </row>
    <row r="1284" spans="1:42" x14ac:dyDescent="0.25">
      <c r="A1284">
        <v>1067</v>
      </c>
      <c r="B1284">
        <v>20</v>
      </c>
      <c r="E1284" t="s">
        <v>4786</v>
      </c>
      <c r="F1284" t="b">
        <v>0</v>
      </c>
      <c r="I1284" t="s">
        <v>5775</v>
      </c>
      <c r="K1284" t="s">
        <v>4921</v>
      </c>
      <c r="L1284" t="s">
        <v>4921</v>
      </c>
      <c r="M1284" t="s">
        <v>4788</v>
      </c>
      <c r="N1284" t="s">
        <v>4788</v>
      </c>
      <c r="O1284">
        <v>1187.8699999999999</v>
      </c>
      <c r="Q1284">
        <v>0</v>
      </c>
      <c r="R1284">
        <v>0</v>
      </c>
      <c r="S1284">
        <v>1187.8699999999999</v>
      </c>
      <c r="T1284" t="s">
        <v>4789</v>
      </c>
      <c r="U1284">
        <v>1</v>
      </c>
      <c r="V1284">
        <v>1187.8699999999999</v>
      </c>
      <c r="W1284" t="s">
        <v>4343</v>
      </c>
      <c r="Y1284" t="b">
        <v>1</v>
      </c>
      <c r="Z1284" t="b">
        <v>0</v>
      </c>
      <c r="AA1284">
        <v>1187.8699999999999</v>
      </c>
      <c r="AB1284">
        <v>0</v>
      </c>
      <c r="AD1284" t="b">
        <v>0</v>
      </c>
      <c r="AG1284" s="1" t="s">
        <v>63</v>
      </c>
      <c r="AH1284" s="1" t="s">
        <v>46</v>
      </c>
      <c r="AI1284">
        <v>230</v>
      </c>
      <c r="AJ1284">
        <v>234</v>
      </c>
      <c r="AK1284" s="106">
        <v>45475.63554599537</v>
      </c>
      <c r="AL1284" s="1" t="s">
        <v>4790</v>
      </c>
      <c r="AM1284" s="42">
        <f>IFERROR(INDEX('Public procurment'!A:R,MATCH(ListOfExpenditure[[#This Row],[Content.contractId]],'Public procurment'!E:E,0),14),0)</f>
        <v>0</v>
      </c>
      <c r="AN1284" s="2">
        <f>IF(AND(ListOfExpenditure[[#This Row],[Contract amount]]&gt;10000,ListOfExpenditure[[#This Row],[Content.declaredAmount]]&gt;2000),1,0)</f>
        <v>0</v>
      </c>
      <c r="AO1284">
        <f>IFERROR(INDEX('Public procurment'!A:S,MATCH(ListOfExpenditure[[#This Row],[Content.contractId]],'Public procurment'!E:E,0),19),0)</f>
        <v>0</v>
      </c>
      <c r="AP1284">
        <f>IF(ListOfExpenditure[[#This Row],[Numero di volte controllato il contract ]]&gt;0,0,ListOfExpenditure[[#This Row],[IF public procurment &gt;10000;1;0]])</f>
        <v>0</v>
      </c>
    </row>
    <row r="1285" spans="1:42" x14ac:dyDescent="0.25">
      <c r="A1285">
        <v>1068</v>
      </c>
      <c r="B1285">
        <v>21</v>
      </c>
      <c r="E1285" t="s">
        <v>4786</v>
      </c>
      <c r="F1285" t="b">
        <v>0</v>
      </c>
      <c r="I1285" t="s">
        <v>5776</v>
      </c>
      <c r="K1285" t="s">
        <v>4959</v>
      </c>
      <c r="L1285" t="s">
        <v>4959</v>
      </c>
      <c r="M1285" t="s">
        <v>4788</v>
      </c>
      <c r="N1285" t="s">
        <v>4788</v>
      </c>
      <c r="O1285">
        <v>810.24</v>
      </c>
      <c r="Q1285">
        <v>0</v>
      </c>
      <c r="R1285">
        <v>0</v>
      </c>
      <c r="S1285">
        <v>89.13</v>
      </c>
      <c r="T1285" t="s">
        <v>4789</v>
      </c>
      <c r="U1285">
        <v>1</v>
      </c>
      <c r="V1285">
        <v>89.13</v>
      </c>
      <c r="W1285" t="s">
        <v>4343</v>
      </c>
      <c r="Y1285" t="b">
        <v>1</v>
      </c>
      <c r="Z1285" t="b">
        <v>0</v>
      </c>
      <c r="AA1285">
        <v>89.13</v>
      </c>
      <c r="AB1285">
        <v>0</v>
      </c>
      <c r="AD1285" t="b">
        <v>0</v>
      </c>
      <c r="AG1285" s="1" t="s">
        <v>63</v>
      </c>
      <c r="AH1285" s="1" t="s">
        <v>46</v>
      </c>
      <c r="AI1285">
        <v>230</v>
      </c>
      <c r="AJ1285">
        <v>234</v>
      </c>
      <c r="AK1285" s="106">
        <v>45475.63554599537</v>
      </c>
      <c r="AL1285" s="1" t="s">
        <v>4790</v>
      </c>
      <c r="AM1285" s="42">
        <f>IFERROR(INDEX('Public procurment'!A:R,MATCH(ListOfExpenditure[[#This Row],[Content.contractId]],'Public procurment'!E:E,0),14),0)</f>
        <v>0</v>
      </c>
      <c r="AN1285" s="2">
        <f>IF(AND(ListOfExpenditure[[#This Row],[Contract amount]]&gt;10000,ListOfExpenditure[[#This Row],[Content.declaredAmount]]&gt;2000),1,0)</f>
        <v>0</v>
      </c>
      <c r="AO1285">
        <f>IFERROR(INDEX('Public procurment'!A:S,MATCH(ListOfExpenditure[[#This Row],[Content.contractId]],'Public procurment'!E:E,0),19),0)</f>
        <v>0</v>
      </c>
      <c r="AP1285">
        <f>IF(ListOfExpenditure[[#This Row],[Numero di volte controllato il contract ]]&gt;0,0,ListOfExpenditure[[#This Row],[IF public procurment &gt;10000;1;0]])</f>
        <v>0</v>
      </c>
    </row>
    <row r="1286" spans="1:42" x14ac:dyDescent="0.25">
      <c r="A1286">
        <v>952</v>
      </c>
      <c r="B1286">
        <v>1</v>
      </c>
      <c r="E1286" t="s">
        <v>4786</v>
      </c>
      <c r="F1286" t="b">
        <v>0</v>
      </c>
      <c r="I1286" t="s">
        <v>5777</v>
      </c>
      <c r="K1286" t="s">
        <v>5024</v>
      </c>
      <c r="L1286" t="s">
        <v>5024</v>
      </c>
      <c r="M1286" t="s">
        <v>4788</v>
      </c>
      <c r="N1286" t="s">
        <v>4788</v>
      </c>
      <c r="O1286">
        <v>2727.75</v>
      </c>
      <c r="Q1286">
        <v>0</v>
      </c>
      <c r="R1286">
        <v>0</v>
      </c>
      <c r="S1286">
        <v>681.94</v>
      </c>
      <c r="T1286" t="s">
        <v>4789</v>
      </c>
      <c r="U1286">
        <v>1</v>
      </c>
      <c r="V1286">
        <v>681.94</v>
      </c>
      <c r="W1286" t="s">
        <v>4343</v>
      </c>
      <c r="Y1286" t="b">
        <v>1</v>
      </c>
      <c r="Z1286" t="b">
        <v>0</v>
      </c>
      <c r="AA1286">
        <v>681.94</v>
      </c>
      <c r="AB1286">
        <v>0</v>
      </c>
      <c r="AD1286" t="b">
        <v>0</v>
      </c>
      <c r="AG1286" s="1" t="s">
        <v>373</v>
      </c>
      <c r="AH1286" s="1" t="s">
        <v>375</v>
      </c>
      <c r="AI1286">
        <v>299</v>
      </c>
      <c r="AJ1286">
        <v>221</v>
      </c>
      <c r="AK1286" s="106">
        <v>45475.635504155092</v>
      </c>
      <c r="AL1286" s="1" t="s">
        <v>4790</v>
      </c>
      <c r="AM1286" s="42">
        <f>IFERROR(INDEX('Public procurment'!A:R,MATCH(ListOfExpenditure[[#This Row],[Content.contractId]],'Public procurment'!E:E,0),14),0)</f>
        <v>0</v>
      </c>
      <c r="AN1286" s="2">
        <f>IF(AND(ListOfExpenditure[[#This Row],[Contract amount]]&gt;10000,ListOfExpenditure[[#This Row],[Content.declaredAmount]]&gt;2000),1,0)</f>
        <v>0</v>
      </c>
      <c r="AO1286">
        <f>IFERROR(INDEX('Public procurment'!A:S,MATCH(ListOfExpenditure[[#This Row],[Content.contractId]],'Public procurment'!E:E,0),19),0)</f>
        <v>0</v>
      </c>
      <c r="AP1286">
        <f>IF(ListOfExpenditure[[#This Row],[Numero di volte controllato il contract ]]&gt;0,0,ListOfExpenditure[[#This Row],[IF public procurment &gt;10000;1;0]])</f>
        <v>0</v>
      </c>
    </row>
    <row r="1287" spans="1:42" x14ac:dyDescent="0.25">
      <c r="A1287">
        <v>1722</v>
      </c>
      <c r="B1287">
        <v>2</v>
      </c>
      <c r="E1287" t="s">
        <v>4786</v>
      </c>
      <c r="F1287" t="b">
        <v>0</v>
      </c>
      <c r="I1287" t="s">
        <v>5778</v>
      </c>
      <c r="K1287" t="s">
        <v>5127</v>
      </c>
      <c r="L1287" t="s">
        <v>5127</v>
      </c>
      <c r="M1287" t="s">
        <v>4788</v>
      </c>
      <c r="N1287" t="s">
        <v>4788</v>
      </c>
      <c r="O1287">
        <v>2864.95</v>
      </c>
      <c r="Q1287">
        <v>0</v>
      </c>
      <c r="R1287">
        <v>0</v>
      </c>
      <c r="S1287">
        <v>716.24</v>
      </c>
      <c r="T1287" t="s">
        <v>4789</v>
      </c>
      <c r="U1287">
        <v>1</v>
      </c>
      <c r="V1287">
        <v>716.24</v>
      </c>
      <c r="W1287" t="s">
        <v>4343</v>
      </c>
      <c r="Y1287" t="b">
        <v>1</v>
      </c>
      <c r="Z1287" t="b">
        <v>0</v>
      </c>
      <c r="AA1287">
        <v>716.24</v>
      </c>
      <c r="AB1287">
        <v>0</v>
      </c>
      <c r="AD1287" t="b">
        <v>0</v>
      </c>
      <c r="AG1287" s="1" t="s">
        <v>373</v>
      </c>
      <c r="AH1287" s="1" t="s">
        <v>375</v>
      </c>
      <c r="AI1287">
        <v>299</v>
      </c>
      <c r="AJ1287">
        <v>221</v>
      </c>
      <c r="AK1287" s="106">
        <v>45475.635504155092</v>
      </c>
      <c r="AL1287" s="1" t="s">
        <v>4790</v>
      </c>
      <c r="AM1287" s="42">
        <f>IFERROR(INDEX('Public procurment'!A:R,MATCH(ListOfExpenditure[[#This Row],[Content.contractId]],'Public procurment'!E:E,0),14),0)</f>
        <v>0</v>
      </c>
      <c r="AN1287" s="2">
        <f>IF(AND(ListOfExpenditure[[#This Row],[Contract amount]]&gt;10000,ListOfExpenditure[[#This Row],[Content.declaredAmount]]&gt;2000),1,0)</f>
        <v>0</v>
      </c>
      <c r="AO1287">
        <f>IFERROR(INDEX('Public procurment'!A:S,MATCH(ListOfExpenditure[[#This Row],[Content.contractId]],'Public procurment'!E:E,0),19),0)</f>
        <v>0</v>
      </c>
      <c r="AP1287">
        <f>IF(ListOfExpenditure[[#This Row],[Numero di volte controllato il contract ]]&gt;0,0,ListOfExpenditure[[#This Row],[IF public procurment &gt;10000;1;0]])</f>
        <v>0</v>
      </c>
    </row>
    <row r="1288" spans="1:42" x14ac:dyDescent="0.25">
      <c r="A1288">
        <v>1723</v>
      </c>
      <c r="B1288">
        <v>3</v>
      </c>
      <c r="E1288" t="s">
        <v>4786</v>
      </c>
      <c r="F1288" t="b">
        <v>0</v>
      </c>
      <c r="I1288" t="s">
        <v>5779</v>
      </c>
      <c r="K1288" t="s">
        <v>5027</v>
      </c>
      <c r="L1288" t="s">
        <v>5027</v>
      </c>
      <c r="M1288" t="s">
        <v>4788</v>
      </c>
      <c r="N1288" t="s">
        <v>4788</v>
      </c>
      <c r="O1288">
        <v>2839.3</v>
      </c>
      <c r="Q1288">
        <v>0</v>
      </c>
      <c r="R1288">
        <v>0</v>
      </c>
      <c r="S1288">
        <v>709.82</v>
      </c>
      <c r="T1288" t="s">
        <v>4789</v>
      </c>
      <c r="U1288">
        <v>1</v>
      </c>
      <c r="V1288">
        <v>709.82</v>
      </c>
      <c r="W1288" t="s">
        <v>4343</v>
      </c>
      <c r="Y1288" t="b">
        <v>1</v>
      </c>
      <c r="Z1288" t="b">
        <v>0</v>
      </c>
      <c r="AA1288">
        <v>709.82</v>
      </c>
      <c r="AB1288">
        <v>0</v>
      </c>
      <c r="AD1288" t="b">
        <v>0</v>
      </c>
      <c r="AG1288" s="1" t="s">
        <v>373</v>
      </c>
      <c r="AH1288" s="1" t="s">
        <v>375</v>
      </c>
      <c r="AI1288">
        <v>299</v>
      </c>
      <c r="AJ1288">
        <v>221</v>
      </c>
      <c r="AK1288" s="106">
        <v>45475.635504155092</v>
      </c>
      <c r="AL1288" s="1" t="s">
        <v>4790</v>
      </c>
      <c r="AM1288" s="42">
        <f>IFERROR(INDEX('Public procurment'!A:R,MATCH(ListOfExpenditure[[#This Row],[Content.contractId]],'Public procurment'!E:E,0),14),0)</f>
        <v>0</v>
      </c>
      <c r="AN1288" s="2">
        <f>IF(AND(ListOfExpenditure[[#This Row],[Contract amount]]&gt;10000,ListOfExpenditure[[#This Row],[Content.declaredAmount]]&gt;2000),1,0)</f>
        <v>0</v>
      </c>
      <c r="AO1288">
        <f>IFERROR(INDEX('Public procurment'!A:S,MATCH(ListOfExpenditure[[#This Row],[Content.contractId]],'Public procurment'!E:E,0),19),0)</f>
        <v>0</v>
      </c>
      <c r="AP1288">
        <f>IF(ListOfExpenditure[[#This Row],[Numero di volte controllato il contract ]]&gt;0,0,ListOfExpenditure[[#This Row],[IF public procurment &gt;10000;1;0]])</f>
        <v>0</v>
      </c>
    </row>
    <row r="1289" spans="1:42" x14ac:dyDescent="0.25">
      <c r="A1289">
        <v>1724</v>
      </c>
      <c r="B1289">
        <v>4</v>
      </c>
      <c r="E1289" t="s">
        <v>4786</v>
      </c>
      <c r="F1289" t="b">
        <v>0</v>
      </c>
      <c r="I1289" t="s">
        <v>5780</v>
      </c>
      <c r="K1289" t="s">
        <v>5029</v>
      </c>
      <c r="L1289" t="s">
        <v>5029</v>
      </c>
      <c r="M1289" t="s">
        <v>4788</v>
      </c>
      <c r="N1289" t="s">
        <v>4788</v>
      </c>
      <c r="O1289">
        <v>2720.27</v>
      </c>
      <c r="Q1289">
        <v>0</v>
      </c>
      <c r="R1289">
        <v>0</v>
      </c>
      <c r="S1289">
        <v>680.07</v>
      </c>
      <c r="T1289" t="s">
        <v>4789</v>
      </c>
      <c r="U1289">
        <v>1</v>
      </c>
      <c r="V1289">
        <v>680.07</v>
      </c>
      <c r="W1289" t="s">
        <v>4343</v>
      </c>
      <c r="Y1289" t="b">
        <v>1</v>
      </c>
      <c r="Z1289" t="b">
        <v>0</v>
      </c>
      <c r="AA1289">
        <v>680.07</v>
      </c>
      <c r="AB1289">
        <v>0</v>
      </c>
      <c r="AD1289" t="b">
        <v>0</v>
      </c>
      <c r="AG1289" s="1" t="s">
        <v>373</v>
      </c>
      <c r="AH1289" s="1" t="s">
        <v>375</v>
      </c>
      <c r="AI1289">
        <v>299</v>
      </c>
      <c r="AJ1289">
        <v>221</v>
      </c>
      <c r="AK1289" s="106">
        <v>45475.635504155092</v>
      </c>
      <c r="AL1289" s="1" t="s">
        <v>4790</v>
      </c>
      <c r="AM1289" s="42">
        <f>IFERROR(INDEX('Public procurment'!A:R,MATCH(ListOfExpenditure[[#This Row],[Content.contractId]],'Public procurment'!E:E,0),14),0)</f>
        <v>0</v>
      </c>
      <c r="AN1289" s="2">
        <f>IF(AND(ListOfExpenditure[[#This Row],[Contract amount]]&gt;10000,ListOfExpenditure[[#This Row],[Content.declaredAmount]]&gt;2000),1,0)</f>
        <v>0</v>
      </c>
      <c r="AO1289">
        <f>IFERROR(INDEX('Public procurment'!A:S,MATCH(ListOfExpenditure[[#This Row],[Content.contractId]],'Public procurment'!E:E,0),19),0)</f>
        <v>0</v>
      </c>
      <c r="AP1289">
        <f>IF(ListOfExpenditure[[#This Row],[Numero di volte controllato il contract ]]&gt;0,0,ListOfExpenditure[[#This Row],[IF public procurment &gt;10000;1;0]])</f>
        <v>0</v>
      </c>
    </row>
    <row r="1290" spans="1:42" x14ac:dyDescent="0.25">
      <c r="A1290">
        <v>1725</v>
      </c>
      <c r="B1290">
        <v>5</v>
      </c>
      <c r="E1290" t="s">
        <v>4786</v>
      </c>
      <c r="F1290" t="b">
        <v>0</v>
      </c>
      <c r="I1290" t="s">
        <v>5781</v>
      </c>
      <c r="K1290" t="s">
        <v>4921</v>
      </c>
      <c r="L1290" t="s">
        <v>4921</v>
      </c>
      <c r="M1290" t="s">
        <v>4788</v>
      </c>
      <c r="N1290" t="s">
        <v>4788</v>
      </c>
      <c r="O1290">
        <v>2990.34</v>
      </c>
      <c r="Q1290">
        <v>0</v>
      </c>
      <c r="R1290">
        <v>0</v>
      </c>
      <c r="S1290">
        <v>747.59</v>
      </c>
      <c r="T1290" t="s">
        <v>4789</v>
      </c>
      <c r="U1290">
        <v>1</v>
      </c>
      <c r="V1290">
        <v>747.59</v>
      </c>
      <c r="W1290" t="s">
        <v>4343</v>
      </c>
      <c r="Y1290" t="b">
        <v>1</v>
      </c>
      <c r="Z1290" t="b">
        <v>0</v>
      </c>
      <c r="AA1290">
        <v>747.59</v>
      </c>
      <c r="AB1290">
        <v>0</v>
      </c>
      <c r="AD1290" t="b">
        <v>0</v>
      </c>
      <c r="AG1290" s="1" t="s">
        <v>373</v>
      </c>
      <c r="AH1290" s="1" t="s">
        <v>375</v>
      </c>
      <c r="AI1290">
        <v>299</v>
      </c>
      <c r="AJ1290">
        <v>221</v>
      </c>
      <c r="AK1290" s="106">
        <v>45475.635504155092</v>
      </c>
      <c r="AL1290" s="1" t="s">
        <v>4790</v>
      </c>
      <c r="AM1290" s="42">
        <f>IFERROR(INDEX('Public procurment'!A:R,MATCH(ListOfExpenditure[[#This Row],[Content.contractId]],'Public procurment'!E:E,0),14),0)</f>
        <v>0</v>
      </c>
      <c r="AN1290" s="2">
        <f>IF(AND(ListOfExpenditure[[#This Row],[Contract amount]]&gt;10000,ListOfExpenditure[[#This Row],[Content.declaredAmount]]&gt;2000),1,0)</f>
        <v>0</v>
      </c>
      <c r="AO1290">
        <f>IFERROR(INDEX('Public procurment'!A:S,MATCH(ListOfExpenditure[[#This Row],[Content.contractId]],'Public procurment'!E:E,0),19),0)</f>
        <v>0</v>
      </c>
      <c r="AP1290">
        <f>IF(ListOfExpenditure[[#This Row],[Numero di volte controllato il contract ]]&gt;0,0,ListOfExpenditure[[#This Row],[IF public procurment &gt;10000;1;0]])</f>
        <v>0</v>
      </c>
    </row>
    <row r="1291" spans="1:42" x14ac:dyDescent="0.25">
      <c r="A1291">
        <v>1726</v>
      </c>
      <c r="B1291">
        <v>6</v>
      </c>
      <c r="E1291" t="s">
        <v>4786</v>
      </c>
      <c r="F1291" t="b">
        <v>0</v>
      </c>
      <c r="I1291" t="s">
        <v>5782</v>
      </c>
      <c r="K1291" t="s">
        <v>5244</v>
      </c>
      <c r="L1291" t="s">
        <v>5244</v>
      </c>
      <c r="M1291" t="s">
        <v>4788</v>
      </c>
      <c r="N1291" t="s">
        <v>4788</v>
      </c>
      <c r="O1291">
        <v>2734.73</v>
      </c>
      <c r="Q1291">
        <v>0</v>
      </c>
      <c r="R1291">
        <v>0</v>
      </c>
      <c r="S1291">
        <v>683.68</v>
      </c>
      <c r="T1291" t="s">
        <v>4789</v>
      </c>
      <c r="U1291">
        <v>1</v>
      </c>
      <c r="V1291">
        <v>683.68</v>
      </c>
      <c r="W1291" t="s">
        <v>4343</v>
      </c>
      <c r="Y1291" t="b">
        <v>1</v>
      </c>
      <c r="Z1291" t="b">
        <v>0</v>
      </c>
      <c r="AA1291">
        <v>0</v>
      </c>
      <c r="AB1291">
        <v>683.68</v>
      </c>
      <c r="AC1291">
        <v>8</v>
      </c>
      <c r="AD1291" t="b">
        <v>0</v>
      </c>
      <c r="AF1291" t="s">
        <v>5783</v>
      </c>
      <c r="AG1291" s="1" t="s">
        <v>373</v>
      </c>
      <c r="AH1291" s="1" t="s">
        <v>375</v>
      </c>
      <c r="AI1291">
        <v>299</v>
      </c>
      <c r="AJ1291">
        <v>221</v>
      </c>
      <c r="AK1291" s="106">
        <v>45475.635504155092</v>
      </c>
      <c r="AL1291" s="1" t="s">
        <v>4790</v>
      </c>
      <c r="AM1291" s="42">
        <f>IFERROR(INDEX('Public procurment'!A:R,MATCH(ListOfExpenditure[[#This Row],[Content.contractId]],'Public procurment'!E:E,0),14),0)</f>
        <v>0</v>
      </c>
      <c r="AN1291" s="2">
        <f>IF(AND(ListOfExpenditure[[#This Row],[Contract amount]]&gt;10000,ListOfExpenditure[[#This Row],[Content.declaredAmount]]&gt;2000),1,0)</f>
        <v>0</v>
      </c>
      <c r="AO1291">
        <f>IFERROR(INDEX('Public procurment'!A:S,MATCH(ListOfExpenditure[[#This Row],[Content.contractId]],'Public procurment'!E:E,0),19),0)</f>
        <v>0</v>
      </c>
      <c r="AP1291">
        <f>IF(ListOfExpenditure[[#This Row],[Numero di volte controllato il contract ]]&gt;0,0,ListOfExpenditure[[#This Row],[IF public procurment &gt;10000;1;0]])</f>
        <v>0</v>
      </c>
    </row>
    <row r="1292" spans="1:42" x14ac:dyDescent="0.25">
      <c r="A1292">
        <v>1727</v>
      </c>
      <c r="B1292">
        <v>7</v>
      </c>
      <c r="E1292" t="s">
        <v>4786</v>
      </c>
      <c r="F1292" t="b">
        <v>0</v>
      </c>
      <c r="I1292" t="s">
        <v>5784</v>
      </c>
      <c r="K1292" t="s">
        <v>5024</v>
      </c>
      <c r="L1292" t="s">
        <v>5024</v>
      </c>
      <c r="M1292" t="s">
        <v>4788</v>
      </c>
      <c r="N1292" t="s">
        <v>4788</v>
      </c>
      <c r="O1292">
        <v>3790.94</v>
      </c>
      <c r="Q1292">
        <v>0</v>
      </c>
      <c r="R1292">
        <v>0</v>
      </c>
      <c r="S1292">
        <v>568.64</v>
      </c>
      <c r="T1292" t="s">
        <v>4789</v>
      </c>
      <c r="U1292">
        <v>1</v>
      </c>
      <c r="V1292">
        <v>568.64</v>
      </c>
      <c r="W1292" t="s">
        <v>4343</v>
      </c>
      <c r="Y1292" t="b">
        <v>1</v>
      </c>
      <c r="Z1292" t="b">
        <v>0</v>
      </c>
      <c r="AA1292">
        <v>568.64</v>
      </c>
      <c r="AB1292">
        <v>0</v>
      </c>
      <c r="AD1292" t="b">
        <v>0</v>
      </c>
      <c r="AG1292" s="1" t="s">
        <v>373</v>
      </c>
      <c r="AH1292" s="1" t="s">
        <v>375</v>
      </c>
      <c r="AI1292">
        <v>299</v>
      </c>
      <c r="AJ1292">
        <v>221</v>
      </c>
      <c r="AK1292" s="106">
        <v>45475.635504155092</v>
      </c>
      <c r="AL1292" s="1" t="s">
        <v>4790</v>
      </c>
      <c r="AM1292" s="42">
        <f>IFERROR(INDEX('Public procurment'!A:R,MATCH(ListOfExpenditure[[#This Row],[Content.contractId]],'Public procurment'!E:E,0),14),0)</f>
        <v>0</v>
      </c>
      <c r="AN1292" s="2">
        <f>IF(AND(ListOfExpenditure[[#This Row],[Contract amount]]&gt;10000,ListOfExpenditure[[#This Row],[Content.declaredAmount]]&gt;2000),1,0)</f>
        <v>0</v>
      </c>
      <c r="AO1292">
        <f>IFERROR(INDEX('Public procurment'!A:S,MATCH(ListOfExpenditure[[#This Row],[Content.contractId]],'Public procurment'!E:E,0),19),0)</f>
        <v>0</v>
      </c>
      <c r="AP1292">
        <f>IF(ListOfExpenditure[[#This Row],[Numero di volte controllato il contract ]]&gt;0,0,ListOfExpenditure[[#This Row],[IF public procurment &gt;10000;1;0]])</f>
        <v>0</v>
      </c>
    </row>
    <row r="1293" spans="1:42" x14ac:dyDescent="0.25">
      <c r="A1293">
        <v>1729</v>
      </c>
      <c r="B1293">
        <v>8</v>
      </c>
      <c r="E1293" t="s">
        <v>4786</v>
      </c>
      <c r="F1293" t="b">
        <v>0</v>
      </c>
      <c r="I1293" t="s">
        <v>5785</v>
      </c>
      <c r="K1293" t="s">
        <v>5127</v>
      </c>
      <c r="L1293" t="s">
        <v>5127</v>
      </c>
      <c r="M1293" t="s">
        <v>4788</v>
      </c>
      <c r="N1293" t="s">
        <v>4788</v>
      </c>
      <c r="O1293">
        <v>5047.01</v>
      </c>
      <c r="Q1293">
        <v>0</v>
      </c>
      <c r="R1293">
        <v>0</v>
      </c>
      <c r="S1293">
        <v>757.05</v>
      </c>
      <c r="T1293" t="s">
        <v>4789</v>
      </c>
      <c r="U1293">
        <v>1</v>
      </c>
      <c r="V1293">
        <v>757.05</v>
      </c>
      <c r="W1293" t="s">
        <v>4343</v>
      </c>
      <c r="Y1293" t="b">
        <v>1</v>
      </c>
      <c r="Z1293" t="b">
        <v>0</v>
      </c>
      <c r="AA1293">
        <v>734.76</v>
      </c>
      <c r="AB1293">
        <v>22.29</v>
      </c>
      <c r="AC1293">
        <v>14</v>
      </c>
      <c r="AD1293" t="b">
        <v>0</v>
      </c>
      <c r="AF1293" t="s">
        <v>5786</v>
      </c>
      <c r="AG1293" s="1" t="s">
        <v>373</v>
      </c>
      <c r="AH1293" s="1" t="s">
        <v>375</v>
      </c>
      <c r="AI1293">
        <v>299</v>
      </c>
      <c r="AJ1293">
        <v>221</v>
      </c>
      <c r="AK1293" s="106">
        <v>45475.635504155092</v>
      </c>
      <c r="AL1293" s="1" t="s">
        <v>4790</v>
      </c>
      <c r="AM1293" s="42">
        <f>IFERROR(INDEX('Public procurment'!A:R,MATCH(ListOfExpenditure[[#This Row],[Content.contractId]],'Public procurment'!E:E,0),14),0)</f>
        <v>0</v>
      </c>
      <c r="AN1293" s="2">
        <f>IF(AND(ListOfExpenditure[[#This Row],[Contract amount]]&gt;10000,ListOfExpenditure[[#This Row],[Content.declaredAmount]]&gt;2000),1,0)</f>
        <v>0</v>
      </c>
      <c r="AO1293">
        <f>IFERROR(INDEX('Public procurment'!A:S,MATCH(ListOfExpenditure[[#This Row],[Content.contractId]],'Public procurment'!E:E,0),19),0)</f>
        <v>0</v>
      </c>
      <c r="AP1293">
        <f>IF(ListOfExpenditure[[#This Row],[Numero di volte controllato il contract ]]&gt;0,0,ListOfExpenditure[[#This Row],[IF public procurment &gt;10000;1;0]])</f>
        <v>0</v>
      </c>
    </row>
    <row r="1294" spans="1:42" x14ac:dyDescent="0.25">
      <c r="A1294">
        <v>1730</v>
      </c>
      <c r="B1294">
        <v>9</v>
      </c>
      <c r="E1294" t="s">
        <v>4786</v>
      </c>
      <c r="F1294" t="b">
        <v>0</v>
      </c>
      <c r="I1294" t="s">
        <v>5787</v>
      </c>
      <c r="K1294" t="s">
        <v>5027</v>
      </c>
      <c r="L1294" t="s">
        <v>5027</v>
      </c>
      <c r="M1294" t="s">
        <v>4788</v>
      </c>
      <c r="N1294" t="s">
        <v>4788</v>
      </c>
      <c r="O1294">
        <v>5184.34</v>
      </c>
      <c r="Q1294">
        <v>0</v>
      </c>
      <c r="R1294">
        <v>0</v>
      </c>
      <c r="S1294">
        <v>777.65</v>
      </c>
      <c r="T1294" t="s">
        <v>4789</v>
      </c>
      <c r="U1294">
        <v>1</v>
      </c>
      <c r="V1294">
        <v>777.65</v>
      </c>
      <c r="W1294" t="s">
        <v>4343</v>
      </c>
      <c r="Y1294" t="b">
        <v>1</v>
      </c>
      <c r="Z1294" t="b">
        <v>0</v>
      </c>
      <c r="AA1294">
        <v>777.65</v>
      </c>
      <c r="AB1294">
        <v>0</v>
      </c>
      <c r="AD1294" t="b">
        <v>0</v>
      </c>
      <c r="AG1294" s="1" t="s">
        <v>373</v>
      </c>
      <c r="AH1294" s="1" t="s">
        <v>375</v>
      </c>
      <c r="AI1294">
        <v>299</v>
      </c>
      <c r="AJ1294">
        <v>221</v>
      </c>
      <c r="AK1294" s="106">
        <v>45475.635504155092</v>
      </c>
      <c r="AL1294" s="1" t="s">
        <v>4790</v>
      </c>
      <c r="AM1294" s="42">
        <f>IFERROR(INDEX('Public procurment'!A:R,MATCH(ListOfExpenditure[[#This Row],[Content.contractId]],'Public procurment'!E:E,0),14),0)</f>
        <v>0</v>
      </c>
      <c r="AN1294" s="2">
        <f>IF(AND(ListOfExpenditure[[#This Row],[Contract amount]]&gt;10000,ListOfExpenditure[[#This Row],[Content.declaredAmount]]&gt;2000),1,0)</f>
        <v>0</v>
      </c>
      <c r="AO1294">
        <f>IFERROR(INDEX('Public procurment'!A:S,MATCH(ListOfExpenditure[[#This Row],[Content.contractId]],'Public procurment'!E:E,0),19),0)</f>
        <v>0</v>
      </c>
      <c r="AP1294">
        <f>IF(ListOfExpenditure[[#This Row],[Numero di volte controllato il contract ]]&gt;0,0,ListOfExpenditure[[#This Row],[IF public procurment &gt;10000;1;0]])</f>
        <v>0</v>
      </c>
    </row>
    <row r="1295" spans="1:42" x14ac:dyDescent="0.25">
      <c r="A1295">
        <v>1731</v>
      </c>
      <c r="B1295">
        <v>10</v>
      </c>
      <c r="E1295" t="s">
        <v>4786</v>
      </c>
      <c r="F1295" t="b">
        <v>0</v>
      </c>
      <c r="I1295" t="s">
        <v>5788</v>
      </c>
      <c r="K1295" t="s">
        <v>5029</v>
      </c>
      <c r="L1295" t="s">
        <v>5029</v>
      </c>
      <c r="M1295" t="s">
        <v>4788</v>
      </c>
      <c r="N1295" t="s">
        <v>4788</v>
      </c>
      <c r="O1295">
        <v>4946.7</v>
      </c>
      <c r="Q1295">
        <v>0</v>
      </c>
      <c r="R1295">
        <v>0</v>
      </c>
      <c r="S1295">
        <v>742.01</v>
      </c>
      <c r="T1295" t="s">
        <v>4789</v>
      </c>
      <c r="U1295">
        <v>1</v>
      </c>
      <c r="V1295">
        <v>742.01</v>
      </c>
      <c r="W1295" t="s">
        <v>4343</v>
      </c>
      <c r="Y1295" t="b">
        <v>1</v>
      </c>
      <c r="Z1295" t="b">
        <v>0</v>
      </c>
      <c r="AA1295">
        <v>742.01</v>
      </c>
      <c r="AB1295">
        <v>0</v>
      </c>
      <c r="AD1295" t="b">
        <v>0</v>
      </c>
      <c r="AG1295" s="1" t="s">
        <v>373</v>
      </c>
      <c r="AH1295" s="1" t="s">
        <v>375</v>
      </c>
      <c r="AI1295">
        <v>299</v>
      </c>
      <c r="AJ1295">
        <v>221</v>
      </c>
      <c r="AK1295" s="106">
        <v>45475.635504155092</v>
      </c>
      <c r="AL1295" s="1" t="s">
        <v>4790</v>
      </c>
      <c r="AM1295" s="42">
        <f>IFERROR(INDEX('Public procurment'!A:R,MATCH(ListOfExpenditure[[#This Row],[Content.contractId]],'Public procurment'!E:E,0),14),0)</f>
        <v>0</v>
      </c>
      <c r="AN1295" s="2">
        <f>IF(AND(ListOfExpenditure[[#This Row],[Contract amount]]&gt;10000,ListOfExpenditure[[#This Row],[Content.declaredAmount]]&gt;2000),1,0)</f>
        <v>0</v>
      </c>
      <c r="AO1295">
        <f>IFERROR(INDEX('Public procurment'!A:S,MATCH(ListOfExpenditure[[#This Row],[Content.contractId]],'Public procurment'!E:E,0),19),0)</f>
        <v>0</v>
      </c>
      <c r="AP1295">
        <f>IF(ListOfExpenditure[[#This Row],[Numero di volte controllato il contract ]]&gt;0,0,ListOfExpenditure[[#This Row],[IF public procurment &gt;10000;1;0]])</f>
        <v>0</v>
      </c>
    </row>
    <row r="1296" spans="1:42" x14ac:dyDescent="0.25">
      <c r="A1296">
        <v>1732</v>
      </c>
      <c r="B1296">
        <v>11</v>
      </c>
      <c r="E1296" t="s">
        <v>4786</v>
      </c>
      <c r="F1296" t="b">
        <v>0</v>
      </c>
      <c r="I1296" t="s">
        <v>5789</v>
      </c>
      <c r="K1296" t="s">
        <v>4921</v>
      </c>
      <c r="L1296" t="s">
        <v>4921</v>
      </c>
      <c r="M1296" t="s">
        <v>4788</v>
      </c>
      <c r="N1296" t="s">
        <v>4788</v>
      </c>
      <c r="O1296">
        <v>5456.13</v>
      </c>
      <c r="Q1296">
        <v>0</v>
      </c>
      <c r="R1296">
        <v>0</v>
      </c>
      <c r="S1296">
        <v>818.42</v>
      </c>
      <c r="T1296" t="s">
        <v>4789</v>
      </c>
      <c r="U1296">
        <v>1</v>
      </c>
      <c r="V1296">
        <v>818.42</v>
      </c>
      <c r="W1296" t="s">
        <v>4343</v>
      </c>
      <c r="Y1296" t="b">
        <v>1</v>
      </c>
      <c r="Z1296" t="b">
        <v>0</v>
      </c>
      <c r="AA1296">
        <v>818.42</v>
      </c>
      <c r="AB1296">
        <v>0</v>
      </c>
      <c r="AD1296" t="b">
        <v>0</v>
      </c>
      <c r="AG1296" s="1" t="s">
        <v>373</v>
      </c>
      <c r="AH1296" s="1" t="s">
        <v>375</v>
      </c>
      <c r="AI1296">
        <v>299</v>
      </c>
      <c r="AJ1296">
        <v>221</v>
      </c>
      <c r="AK1296" s="106">
        <v>45475.635504155092</v>
      </c>
      <c r="AL1296" s="1" t="s">
        <v>4790</v>
      </c>
      <c r="AM1296" s="42">
        <f>IFERROR(INDEX('Public procurment'!A:R,MATCH(ListOfExpenditure[[#This Row],[Content.contractId]],'Public procurment'!E:E,0),14),0)</f>
        <v>0</v>
      </c>
      <c r="AN1296" s="2">
        <f>IF(AND(ListOfExpenditure[[#This Row],[Contract amount]]&gt;10000,ListOfExpenditure[[#This Row],[Content.declaredAmount]]&gt;2000),1,0)</f>
        <v>0</v>
      </c>
      <c r="AO1296">
        <f>IFERROR(INDEX('Public procurment'!A:S,MATCH(ListOfExpenditure[[#This Row],[Content.contractId]],'Public procurment'!E:E,0),19),0)</f>
        <v>0</v>
      </c>
      <c r="AP1296">
        <f>IF(ListOfExpenditure[[#This Row],[Numero di volte controllato il contract ]]&gt;0,0,ListOfExpenditure[[#This Row],[IF public procurment &gt;10000;1;0]])</f>
        <v>0</v>
      </c>
    </row>
    <row r="1297" spans="1:42" x14ac:dyDescent="0.25">
      <c r="A1297">
        <v>1733</v>
      </c>
      <c r="B1297">
        <v>12</v>
      </c>
      <c r="E1297" t="s">
        <v>4786</v>
      </c>
      <c r="F1297" t="b">
        <v>0</v>
      </c>
      <c r="I1297" t="s">
        <v>5790</v>
      </c>
      <c r="K1297" t="s">
        <v>5244</v>
      </c>
      <c r="L1297" t="s">
        <v>5244</v>
      </c>
      <c r="M1297" t="s">
        <v>4788</v>
      </c>
      <c r="N1297" t="s">
        <v>4788</v>
      </c>
      <c r="O1297">
        <v>4997.2299999999996</v>
      </c>
      <c r="Q1297">
        <v>0</v>
      </c>
      <c r="R1297">
        <v>0</v>
      </c>
      <c r="S1297">
        <v>749.59</v>
      </c>
      <c r="T1297" t="s">
        <v>4789</v>
      </c>
      <c r="U1297">
        <v>1</v>
      </c>
      <c r="V1297">
        <v>749.59</v>
      </c>
      <c r="W1297" t="s">
        <v>4343</v>
      </c>
      <c r="Y1297" t="b">
        <v>1</v>
      </c>
      <c r="Z1297" t="b">
        <v>0</v>
      </c>
      <c r="AA1297">
        <v>0</v>
      </c>
      <c r="AB1297">
        <v>749.59</v>
      </c>
      <c r="AC1297">
        <v>8</v>
      </c>
      <c r="AD1297" t="b">
        <v>0</v>
      </c>
      <c r="AF1297" t="s">
        <v>5783</v>
      </c>
      <c r="AG1297" s="1" t="s">
        <v>373</v>
      </c>
      <c r="AH1297" s="1" t="s">
        <v>375</v>
      </c>
      <c r="AI1297">
        <v>299</v>
      </c>
      <c r="AJ1297">
        <v>221</v>
      </c>
      <c r="AK1297" s="106">
        <v>45475.635504155092</v>
      </c>
      <c r="AL1297" s="1" t="s">
        <v>4790</v>
      </c>
      <c r="AM1297" s="42">
        <f>IFERROR(INDEX('Public procurment'!A:R,MATCH(ListOfExpenditure[[#This Row],[Content.contractId]],'Public procurment'!E:E,0),14),0)</f>
        <v>0</v>
      </c>
      <c r="AN1297" s="2">
        <f>IF(AND(ListOfExpenditure[[#This Row],[Contract amount]]&gt;10000,ListOfExpenditure[[#This Row],[Content.declaredAmount]]&gt;2000),1,0)</f>
        <v>0</v>
      </c>
      <c r="AO1297">
        <f>IFERROR(INDEX('Public procurment'!A:S,MATCH(ListOfExpenditure[[#This Row],[Content.contractId]],'Public procurment'!E:E,0),19),0)</f>
        <v>0</v>
      </c>
      <c r="AP1297">
        <f>IF(ListOfExpenditure[[#This Row],[Numero di volte controllato il contract ]]&gt;0,0,ListOfExpenditure[[#This Row],[IF public procurment &gt;10000;1;0]])</f>
        <v>0</v>
      </c>
    </row>
    <row r="1298" spans="1:42" x14ac:dyDescent="0.25">
      <c r="A1298">
        <v>1660</v>
      </c>
      <c r="B1298">
        <v>1</v>
      </c>
      <c r="D1298">
        <v>89</v>
      </c>
      <c r="E1298" t="s">
        <v>4786</v>
      </c>
      <c r="F1298" t="b">
        <v>0</v>
      </c>
      <c r="M1298" t="s">
        <v>4788</v>
      </c>
      <c r="N1298" t="s">
        <v>4788</v>
      </c>
      <c r="Q1298">
        <v>20</v>
      </c>
      <c r="R1298">
        <v>58</v>
      </c>
      <c r="S1298">
        <v>1160</v>
      </c>
      <c r="T1298" t="s">
        <v>4789</v>
      </c>
      <c r="U1298">
        <v>1</v>
      </c>
      <c r="V1298">
        <v>1160</v>
      </c>
      <c r="Y1298" t="b">
        <v>1</v>
      </c>
      <c r="Z1298" t="b">
        <v>0</v>
      </c>
      <c r="AA1298">
        <v>1160</v>
      </c>
      <c r="AB1298">
        <v>0</v>
      </c>
      <c r="AD1298" t="b">
        <v>0</v>
      </c>
      <c r="AF1298" t="s">
        <v>5791</v>
      </c>
      <c r="AG1298" s="1" t="s">
        <v>373</v>
      </c>
      <c r="AH1298" s="1" t="s">
        <v>377</v>
      </c>
      <c r="AI1298">
        <v>302</v>
      </c>
      <c r="AJ1298">
        <v>228</v>
      </c>
      <c r="AK1298" s="106">
        <v>45475.635504583333</v>
      </c>
      <c r="AL1298" s="1" t="s">
        <v>4790</v>
      </c>
      <c r="AM1298" s="42">
        <f>IFERROR(INDEX('Public procurment'!A:R,MATCH(ListOfExpenditure[[#This Row],[Content.contractId]],'Public procurment'!E:E,0),14),0)</f>
        <v>0</v>
      </c>
      <c r="AN1298" s="2">
        <f>IF(AND(ListOfExpenditure[[#This Row],[Contract amount]]&gt;10000,ListOfExpenditure[[#This Row],[Content.declaredAmount]]&gt;2000),1,0)</f>
        <v>0</v>
      </c>
      <c r="AO1298">
        <f>IFERROR(INDEX('Public procurment'!A:S,MATCH(ListOfExpenditure[[#This Row],[Content.contractId]],'Public procurment'!E:E,0),19),0)</f>
        <v>0</v>
      </c>
      <c r="AP1298">
        <f>IF(ListOfExpenditure[[#This Row],[Numero di volte controllato il contract ]]&gt;0,0,ListOfExpenditure[[#This Row],[IF public procurment &gt;10000;1;0]])</f>
        <v>0</v>
      </c>
    </row>
    <row r="1299" spans="1:42" x14ac:dyDescent="0.25">
      <c r="A1299">
        <v>1661</v>
      </c>
      <c r="B1299">
        <v>2</v>
      </c>
      <c r="D1299">
        <v>91</v>
      </c>
      <c r="E1299" t="s">
        <v>4786</v>
      </c>
      <c r="F1299" t="b">
        <v>0</v>
      </c>
      <c r="M1299" t="s">
        <v>4788</v>
      </c>
      <c r="N1299" t="s">
        <v>4788</v>
      </c>
      <c r="Q1299">
        <v>45</v>
      </c>
      <c r="R1299">
        <v>27</v>
      </c>
      <c r="S1299">
        <v>1215</v>
      </c>
      <c r="T1299" t="s">
        <v>4789</v>
      </c>
      <c r="U1299">
        <v>1</v>
      </c>
      <c r="V1299">
        <v>1215</v>
      </c>
      <c r="Y1299" t="b">
        <v>1</v>
      </c>
      <c r="Z1299" t="b">
        <v>0</v>
      </c>
      <c r="AA1299">
        <v>1215</v>
      </c>
      <c r="AB1299">
        <v>0</v>
      </c>
      <c r="AD1299" t="b">
        <v>0</v>
      </c>
      <c r="AF1299" t="s">
        <v>5792</v>
      </c>
      <c r="AG1299" s="1" t="s">
        <v>373</v>
      </c>
      <c r="AH1299" s="1" t="s">
        <v>377</v>
      </c>
      <c r="AI1299">
        <v>302</v>
      </c>
      <c r="AJ1299">
        <v>228</v>
      </c>
      <c r="AK1299" s="106">
        <v>45475.635504583333</v>
      </c>
      <c r="AL1299" s="1" t="s">
        <v>4790</v>
      </c>
      <c r="AM1299" s="42">
        <f>IFERROR(INDEX('Public procurment'!A:R,MATCH(ListOfExpenditure[[#This Row],[Content.contractId]],'Public procurment'!E:E,0),14),0)</f>
        <v>0</v>
      </c>
      <c r="AN1299" s="2">
        <f>IF(AND(ListOfExpenditure[[#This Row],[Contract amount]]&gt;10000,ListOfExpenditure[[#This Row],[Content.declaredAmount]]&gt;2000),1,0)</f>
        <v>0</v>
      </c>
      <c r="AO1299">
        <f>IFERROR(INDEX('Public procurment'!A:S,MATCH(ListOfExpenditure[[#This Row],[Content.contractId]],'Public procurment'!E:E,0),19),0)</f>
        <v>0</v>
      </c>
      <c r="AP1299">
        <f>IF(ListOfExpenditure[[#This Row],[Numero di volte controllato il contract ]]&gt;0,0,ListOfExpenditure[[#This Row],[IF public procurment &gt;10000;1;0]])</f>
        <v>0</v>
      </c>
    </row>
    <row r="1300" spans="1:42" x14ac:dyDescent="0.25">
      <c r="A1300">
        <v>1662</v>
      </c>
      <c r="B1300">
        <v>3</v>
      </c>
      <c r="D1300">
        <v>91</v>
      </c>
      <c r="E1300" t="s">
        <v>4786</v>
      </c>
      <c r="F1300" t="b">
        <v>0</v>
      </c>
      <c r="M1300" t="s">
        <v>4788</v>
      </c>
      <c r="N1300" t="s">
        <v>4788</v>
      </c>
      <c r="Q1300">
        <v>20</v>
      </c>
      <c r="R1300">
        <v>27</v>
      </c>
      <c r="S1300">
        <v>540</v>
      </c>
      <c r="T1300" t="s">
        <v>4789</v>
      </c>
      <c r="U1300">
        <v>1</v>
      </c>
      <c r="V1300">
        <v>540</v>
      </c>
      <c r="Y1300" t="b">
        <v>1</v>
      </c>
      <c r="Z1300" t="b">
        <v>0</v>
      </c>
      <c r="AA1300">
        <v>540</v>
      </c>
      <c r="AB1300">
        <v>0</v>
      </c>
      <c r="AD1300" t="b">
        <v>0</v>
      </c>
      <c r="AF1300" t="s">
        <v>5793</v>
      </c>
      <c r="AG1300" s="1" t="s">
        <v>373</v>
      </c>
      <c r="AH1300" s="1" t="s">
        <v>377</v>
      </c>
      <c r="AI1300">
        <v>302</v>
      </c>
      <c r="AJ1300">
        <v>228</v>
      </c>
      <c r="AK1300" s="106">
        <v>45475.635504583333</v>
      </c>
      <c r="AL1300" s="1" t="s">
        <v>4790</v>
      </c>
      <c r="AM1300" s="42">
        <f>IFERROR(INDEX('Public procurment'!A:R,MATCH(ListOfExpenditure[[#This Row],[Content.contractId]],'Public procurment'!E:E,0),14),0)</f>
        <v>0</v>
      </c>
      <c r="AN1300" s="2">
        <f>IF(AND(ListOfExpenditure[[#This Row],[Contract amount]]&gt;10000,ListOfExpenditure[[#This Row],[Content.declaredAmount]]&gt;2000),1,0)</f>
        <v>0</v>
      </c>
      <c r="AO1300">
        <f>IFERROR(INDEX('Public procurment'!A:S,MATCH(ListOfExpenditure[[#This Row],[Content.contractId]],'Public procurment'!E:E,0),19),0)</f>
        <v>0</v>
      </c>
      <c r="AP1300">
        <f>IF(ListOfExpenditure[[#This Row],[Numero di volte controllato il contract ]]&gt;0,0,ListOfExpenditure[[#This Row],[IF public procurment &gt;10000;1;0]])</f>
        <v>0</v>
      </c>
    </row>
    <row r="1301" spans="1:42" x14ac:dyDescent="0.25">
      <c r="A1301">
        <v>1302</v>
      </c>
      <c r="B1301">
        <v>1</v>
      </c>
      <c r="E1301" t="s">
        <v>4786</v>
      </c>
      <c r="F1301" t="b">
        <v>1</v>
      </c>
      <c r="I1301" t="s">
        <v>4922</v>
      </c>
      <c r="K1301" t="s">
        <v>4476</v>
      </c>
      <c r="L1301" t="s">
        <v>4939</v>
      </c>
      <c r="M1301" t="s">
        <v>4788</v>
      </c>
      <c r="N1301" t="s">
        <v>4788</v>
      </c>
      <c r="O1301">
        <v>2819.98</v>
      </c>
      <c r="Q1301">
        <v>0</v>
      </c>
      <c r="R1301">
        <v>0</v>
      </c>
      <c r="S1301">
        <v>689.18</v>
      </c>
      <c r="T1301" t="s">
        <v>4789</v>
      </c>
      <c r="U1301">
        <v>1</v>
      </c>
      <c r="V1301">
        <v>689.18</v>
      </c>
      <c r="W1301" t="s">
        <v>4343</v>
      </c>
      <c r="Y1301" t="b">
        <v>1</v>
      </c>
      <c r="Z1301" t="b">
        <v>0</v>
      </c>
      <c r="AA1301">
        <v>689.18</v>
      </c>
      <c r="AB1301">
        <v>0</v>
      </c>
      <c r="AD1301" t="b">
        <v>0</v>
      </c>
      <c r="AG1301" s="1" t="s">
        <v>373</v>
      </c>
      <c r="AH1301" s="1" t="s">
        <v>378</v>
      </c>
      <c r="AI1301">
        <v>301</v>
      </c>
      <c r="AJ1301">
        <v>282</v>
      </c>
      <c r="AK1301" s="106">
        <v>45475.635480960649</v>
      </c>
      <c r="AL1301" s="1" t="s">
        <v>4790</v>
      </c>
      <c r="AM1301" s="42">
        <f>IFERROR(INDEX('Public procurment'!A:R,MATCH(ListOfExpenditure[[#This Row],[Content.contractId]],'Public procurment'!E:E,0),14),0)</f>
        <v>0</v>
      </c>
      <c r="AN1301" s="2">
        <f>IF(AND(ListOfExpenditure[[#This Row],[Contract amount]]&gt;10000,ListOfExpenditure[[#This Row],[Content.declaredAmount]]&gt;2000),1,0)</f>
        <v>0</v>
      </c>
      <c r="AO1301">
        <f>IFERROR(INDEX('Public procurment'!A:S,MATCH(ListOfExpenditure[[#This Row],[Content.contractId]],'Public procurment'!E:E,0),19),0)</f>
        <v>0</v>
      </c>
      <c r="AP1301">
        <f>IF(ListOfExpenditure[[#This Row],[Numero di volte controllato il contract ]]&gt;0,0,ListOfExpenditure[[#This Row],[IF public procurment &gt;10000;1;0]])</f>
        <v>0</v>
      </c>
    </row>
    <row r="1302" spans="1:42" x14ac:dyDescent="0.25">
      <c r="A1302">
        <v>1303</v>
      </c>
      <c r="B1302">
        <v>2</v>
      </c>
      <c r="E1302" t="s">
        <v>4786</v>
      </c>
      <c r="F1302" t="b">
        <v>1</v>
      </c>
      <c r="I1302" t="s">
        <v>4926</v>
      </c>
      <c r="K1302" t="s">
        <v>4478</v>
      </c>
      <c r="L1302" t="s">
        <v>4932</v>
      </c>
      <c r="M1302" t="s">
        <v>4788</v>
      </c>
      <c r="N1302" t="s">
        <v>4788</v>
      </c>
      <c r="O1302">
        <v>5684.94</v>
      </c>
      <c r="Q1302">
        <v>0</v>
      </c>
      <c r="R1302">
        <v>0</v>
      </c>
      <c r="S1302">
        <v>689.18</v>
      </c>
      <c r="T1302" t="s">
        <v>4789</v>
      </c>
      <c r="U1302">
        <v>1</v>
      </c>
      <c r="V1302">
        <v>689.18</v>
      </c>
      <c r="W1302" t="s">
        <v>4343</v>
      </c>
      <c r="Y1302" t="b">
        <v>1</v>
      </c>
      <c r="Z1302" t="b">
        <v>0</v>
      </c>
      <c r="AA1302">
        <v>689.18</v>
      </c>
      <c r="AB1302">
        <v>0</v>
      </c>
      <c r="AD1302" t="b">
        <v>0</v>
      </c>
      <c r="AG1302" s="1" t="s">
        <v>373</v>
      </c>
      <c r="AH1302" s="1" t="s">
        <v>378</v>
      </c>
      <c r="AI1302">
        <v>301</v>
      </c>
      <c r="AJ1302">
        <v>282</v>
      </c>
      <c r="AK1302" s="106">
        <v>45475.635480960649</v>
      </c>
      <c r="AL1302" s="1" t="s">
        <v>4790</v>
      </c>
      <c r="AM1302" s="42">
        <f>IFERROR(INDEX('Public procurment'!A:R,MATCH(ListOfExpenditure[[#This Row],[Content.contractId]],'Public procurment'!E:E,0),14),0)</f>
        <v>0</v>
      </c>
      <c r="AN1302" s="2">
        <f>IF(AND(ListOfExpenditure[[#This Row],[Contract amount]]&gt;10000,ListOfExpenditure[[#This Row],[Content.declaredAmount]]&gt;2000),1,0)</f>
        <v>0</v>
      </c>
      <c r="AO1302">
        <f>IFERROR(INDEX('Public procurment'!A:S,MATCH(ListOfExpenditure[[#This Row],[Content.contractId]],'Public procurment'!E:E,0),19),0)</f>
        <v>0</v>
      </c>
      <c r="AP1302">
        <f>IF(ListOfExpenditure[[#This Row],[Numero di volte controllato il contract ]]&gt;0,0,ListOfExpenditure[[#This Row],[IF public procurment &gt;10000;1;0]])</f>
        <v>0</v>
      </c>
    </row>
    <row r="1303" spans="1:42" x14ac:dyDescent="0.25">
      <c r="A1303">
        <v>1304</v>
      </c>
      <c r="B1303">
        <v>3</v>
      </c>
      <c r="E1303" t="s">
        <v>4786</v>
      </c>
      <c r="F1303" t="b">
        <v>1</v>
      </c>
      <c r="I1303" t="s">
        <v>4929</v>
      </c>
      <c r="K1303" t="s">
        <v>4920</v>
      </c>
      <c r="L1303" t="s">
        <v>4942</v>
      </c>
      <c r="M1303" t="s">
        <v>4788</v>
      </c>
      <c r="N1303" t="s">
        <v>4788</v>
      </c>
      <c r="O1303">
        <v>2869.94</v>
      </c>
      <c r="Q1303">
        <v>0</v>
      </c>
      <c r="R1303">
        <v>0</v>
      </c>
      <c r="S1303">
        <v>689.18</v>
      </c>
      <c r="T1303" t="s">
        <v>4789</v>
      </c>
      <c r="U1303">
        <v>1</v>
      </c>
      <c r="V1303">
        <v>689.18</v>
      </c>
      <c r="W1303" t="s">
        <v>4343</v>
      </c>
      <c r="Y1303" t="b">
        <v>1</v>
      </c>
      <c r="Z1303" t="b">
        <v>0</v>
      </c>
      <c r="AA1303">
        <v>689.18</v>
      </c>
      <c r="AB1303">
        <v>0</v>
      </c>
      <c r="AD1303" t="b">
        <v>0</v>
      </c>
      <c r="AG1303" s="1" t="s">
        <v>373</v>
      </c>
      <c r="AH1303" s="1" t="s">
        <v>378</v>
      </c>
      <c r="AI1303">
        <v>301</v>
      </c>
      <c r="AJ1303">
        <v>282</v>
      </c>
      <c r="AK1303" s="106">
        <v>45475.635480960649</v>
      </c>
      <c r="AL1303" s="1" t="s">
        <v>4790</v>
      </c>
      <c r="AM1303" s="42">
        <f>IFERROR(INDEX('Public procurment'!A:R,MATCH(ListOfExpenditure[[#This Row],[Content.contractId]],'Public procurment'!E:E,0),14),0)</f>
        <v>0</v>
      </c>
      <c r="AN1303" s="2">
        <f>IF(AND(ListOfExpenditure[[#This Row],[Contract amount]]&gt;10000,ListOfExpenditure[[#This Row],[Content.declaredAmount]]&gt;2000),1,0)</f>
        <v>0</v>
      </c>
      <c r="AO1303">
        <f>IFERROR(INDEX('Public procurment'!A:S,MATCH(ListOfExpenditure[[#This Row],[Content.contractId]],'Public procurment'!E:E,0),19),0)</f>
        <v>0</v>
      </c>
      <c r="AP1303">
        <f>IF(ListOfExpenditure[[#This Row],[Numero di volte controllato il contract ]]&gt;0,0,ListOfExpenditure[[#This Row],[IF public procurment &gt;10000;1;0]])</f>
        <v>0</v>
      </c>
    </row>
    <row r="1304" spans="1:42" x14ac:dyDescent="0.25">
      <c r="A1304">
        <v>1305</v>
      </c>
      <c r="B1304">
        <v>4</v>
      </c>
      <c r="E1304" t="s">
        <v>4786</v>
      </c>
      <c r="F1304" t="b">
        <v>1</v>
      </c>
      <c r="I1304" t="s">
        <v>4933</v>
      </c>
      <c r="K1304" t="s">
        <v>5794</v>
      </c>
      <c r="L1304" t="s">
        <v>4587</v>
      </c>
      <c r="M1304" t="s">
        <v>4788</v>
      </c>
      <c r="N1304" t="s">
        <v>4788</v>
      </c>
      <c r="O1304">
        <v>3676.19</v>
      </c>
      <c r="Q1304">
        <v>0</v>
      </c>
      <c r="R1304">
        <v>0</v>
      </c>
      <c r="S1304">
        <v>689.18</v>
      </c>
      <c r="T1304" t="s">
        <v>4789</v>
      </c>
      <c r="U1304">
        <v>1</v>
      </c>
      <c r="V1304">
        <v>689.18</v>
      </c>
      <c r="W1304" t="s">
        <v>4343</v>
      </c>
      <c r="Y1304" t="b">
        <v>1</v>
      </c>
      <c r="Z1304" t="b">
        <v>0</v>
      </c>
      <c r="AA1304">
        <v>689.18</v>
      </c>
      <c r="AB1304">
        <v>0</v>
      </c>
      <c r="AD1304" t="b">
        <v>0</v>
      </c>
      <c r="AG1304" s="1" t="s">
        <v>373</v>
      </c>
      <c r="AH1304" s="1" t="s">
        <v>378</v>
      </c>
      <c r="AI1304">
        <v>301</v>
      </c>
      <c r="AJ1304">
        <v>282</v>
      </c>
      <c r="AK1304" s="106">
        <v>45475.635480960649</v>
      </c>
      <c r="AL1304" s="1" t="s">
        <v>4790</v>
      </c>
      <c r="AM1304" s="42">
        <f>IFERROR(INDEX('Public procurment'!A:R,MATCH(ListOfExpenditure[[#This Row],[Content.contractId]],'Public procurment'!E:E,0),14),0)</f>
        <v>0</v>
      </c>
      <c r="AN1304" s="2">
        <f>IF(AND(ListOfExpenditure[[#This Row],[Contract amount]]&gt;10000,ListOfExpenditure[[#This Row],[Content.declaredAmount]]&gt;2000),1,0)</f>
        <v>0</v>
      </c>
      <c r="AO1304">
        <f>IFERROR(INDEX('Public procurment'!A:S,MATCH(ListOfExpenditure[[#This Row],[Content.contractId]],'Public procurment'!E:E,0),19),0)</f>
        <v>0</v>
      </c>
      <c r="AP1304">
        <f>IF(ListOfExpenditure[[#This Row],[Numero di volte controllato il contract ]]&gt;0,0,ListOfExpenditure[[#This Row],[IF public procurment &gt;10000;1;0]])</f>
        <v>0</v>
      </c>
    </row>
    <row r="1305" spans="1:42" x14ac:dyDescent="0.25">
      <c r="A1305">
        <v>1309</v>
      </c>
      <c r="B1305">
        <v>5</v>
      </c>
      <c r="E1305" t="s">
        <v>4786</v>
      </c>
      <c r="F1305" t="b">
        <v>1</v>
      </c>
      <c r="I1305" t="s">
        <v>4938</v>
      </c>
      <c r="K1305" t="s">
        <v>4476</v>
      </c>
      <c r="L1305" t="s">
        <v>4939</v>
      </c>
      <c r="M1305" t="s">
        <v>4788</v>
      </c>
      <c r="N1305" t="s">
        <v>4788</v>
      </c>
      <c r="O1305">
        <v>2013.48</v>
      </c>
      <c r="Q1305">
        <v>0</v>
      </c>
      <c r="R1305">
        <v>0</v>
      </c>
      <c r="S1305">
        <v>284.2</v>
      </c>
      <c r="T1305" t="s">
        <v>4789</v>
      </c>
      <c r="U1305">
        <v>1</v>
      </c>
      <c r="V1305">
        <v>284.2</v>
      </c>
      <c r="W1305" t="s">
        <v>4343</v>
      </c>
      <c r="Y1305" t="b">
        <v>1</v>
      </c>
      <c r="Z1305" t="b">
        <v>0</v>
      </c>
      <c r="AA1305">
        <v>284.2</v>
      </c>
      <c r="AB1305">
        <v>0</v>
      </c>
      <c r="AD1305" t="b">
        <v>0</v>
      </c>
      <c r="AG1305" s="1" t="s">
        <v>373</v>
      </c>
      <c r="AH1305" s="1" t="s">
        <v>378</v>
      </c>
      <c r="AI1305">
        <v>301</v>
      </c>
      <c r="AJ1305">
        <v>282</v>
      </c>
      <c r="AK1305" s="106">
        <v>45475.635480960649</v>
      </c>
      <c r="AL1305" s="1" t="s">
        <v>4790</v>
      </c>
      <c r="AM1305" s="42">
        <f>IFERROR(INDEX('Public procurment'!A:R,MATCH(ListOfExpenditure[[#This Row],[Content.contractId]],'Public procurment'!E:E,0),14),0)</f>
        <v>0</v>
      </c>
      <c r="AN1305" s="2">
        <f>IF(AND(ListOfExpenditure[[#This Row],[Contract amount]]&gt;10000,ListOfExpenditure[[#This Row],[Content.declaredAmount]]&gt;2000),1,0)</f>
        <v>0</v>
      </c>
      <c r="AO1305">
        <f>IFERROR(INDEX('Public procurment'!A:S,MATCH(ListOfExpenditure[[#This Row],[Content.contractId]],'Public procurment'!E:E,0),19),0)</f>
        <v>0</v>
      </c>
      <c r="AP1305">
        <f>IF(ListOfExpenditure[[#This Row],[Numero di volte controllato il contract ]]&gt;0,0,ListOfExpenditure[[#This Row],[IF public procurment &gt;10000;1;0]])</f>
        <v>0</v>
      </c>
    </row>
    <row r="1306" spans="1:42" x14ac:dyDescent="0.25">
      <c r="A1306">
        <v>1310</v>
      </c>
      <c r="B1306">
        <v>6</v>
      </c>
      <c r="E1306" t="s">
        <v>4786</v>
      </c>
      <c r="F1306" t="b">
        <v>1</v>
      </c>
      <c r="I1306" t="s">
        <v>4940</v>
      </c>
      <c r="K1306" t="s">
        <v>4478</v>
      </c>
      <c r="L1306" t="s">
        <v>4932</v>
      </c>
      <c r="M1306" t="s">
        <v>4788</v>
      </c>
      <c r="N1306" t="s">
        <v>4788</v>
      </c>
      <c r="O1306">
        <v>3889.49</v>
      </c>
      <c r="Q1306">
        <v>0</v>
      </c>
      <c r="R1306">
        <v>0</v>
      </c>
      <c r="S1306">
        <v>284.2</v>
      </c>
      <c r="T1306" t="s">
        <v>4789</v>
      </c>
      <c r="U1306">
        <v>1</v>
      </c>
      <c r="V1306">
        <v>284.2</v>
      </c>
      <c r="W1306" t="s">
        <v>4343</v>
      </c>
      <c r="Y1306" t="b">
        <v>1</v>
      </c>
      <c r="Z1306" t="b">
        <v>0</v>
      </c>
      <c r="AA1306">
        <v>284.2</v>
      </c>
      <c r="AB1306">
        <v>0</v>
      </c>
      <c r="AD1306" t="b">
        <v>0</v>
      </c>
      <c r="AG1306" s="1" t="s">
        <v>373</v>
      </c>
      <c r="AH1306" s="1" t="s">
        <v>378</v>
      </c>
      <c r="AI1306">
        <v>301</v>
      </c>
      <c r="AJ1306">
        <v>282</v>
      </c>
      <c r="AK1306" s="106">
        <v>45475.635480960649</v>
      </c>
      <c r="AL1306" s="1" t="s">
        <v>4790</v>
      </c>
      <c r="AM1306" s="42">
        <f>IFERROR(INDEX('Public procurment'!A:R,MATCH(ListOfExpenditure[[#This Row],[Content.contractId]],'Public procurment'!E:E,0),14),0)</f>
        <v>0</v>
      </c>
      <c r="AN1306" s="2">
        <f>IF(AND(ListOfExpenditure[[#This Row],[Contract amount]]&gt;10000,ListOfExpenditure[[#This Row],[Content.declaredAmount]]&gt;2000),1,0)</f>
        <v>0</v>
      </c>
      <c r="AO1306">
        <f>IFERROR(INDEX('Public procurment'!A:S,MATCH(ListOfExpenditure[[#This Row],[Content.contractId]],'Public procurment'!E:E,0),19),0)</f>
        <v>0</v>
      </c>
      <c r="AP1306">
        <f>IF(ListOfExpenditure[[#This Row],[Numero di volte controllato il contract ]]&gt;0,0,ListOfExpenditure[[#This Row],[IF public procurment &gt;10000;1;0]])</f>
        <v>0</v>
      </c>
    </row>
    <row r="1307" spans="1:42" x14ac:dyDescent="0.25">
      <c r="A1307">
        <v>1311</v>
      </c>
      <c r="B1307">
        <v>7</v>
      </c>
      <c r="E1307" t="s">
        <v>4786</v>
      </c>
      <c r="F1307" t="b">
        <v>1</v>
      </c>
      <c r="I1307" t="s">
        <v>4941</v>
      </c>
      <c r="K1307" t="s">
        <v>4920</v>
      </c>
      <c r="L1307" t="s">
        <v>4942</v>
      </c>
      <c r="M1307" t="s">
        <v>4788</v>
      </c>
      <c r="N1307" t="s">
        <v>4788</v>
      </c>
      <c r="O1307">
        <v>1874.4</v>
      </c>
      <c r="Q1307">
        <v>0</v>
      </c>
      <c r="R1307">
        <v>0</v>
      </c>
      <c r="S1307">
        <v>284.2</v>
      </c>
      <c r="T1307" t="s">
        <v>4789</v>
      </c>
      <c r="U1307">
        <v>1</v>
      </c>
      <c r="V1307">
        <v>284.2</v>
      </c>
      <c r="W1307" t="s">
        <v>4343</v>
      </c>
      <c r="Y1307" t="b">
        <v>1</v>
      </c>
      <c r="Z1307" t="b">
        <v>0</v>
      </c>
      <c r="AA1307">
        <v>284.2</v>
      </c>
      <c r="AB1307">
        <v>0</v>
      </c>
      <c r="AD1307" t="b">
        <v>0</v>
      </c>
      <c r="AG1307" s="1" t="s">
        <v>373</v>
      </c>
      <c r="AH1307" s="1" t="s">
        <v>378</v>
      </c>
      <c r="AI1307">
        <v>301</v>
      </c>
      <c r="AJ1307">
        <v>282</v>
      </c>
      <c r="AK1307" s="106">
        <v>45475.635480960649</v>
      </c>
      <c r="AL1307" s="1" t="s">
        <v>4790</v>
      </c>
      <c r="AM1307" s="42">
        <f>IFERROR(INDEX('Public procurment'!A:R,MATCH(ListOfExpenditure[[#This Row],[Content.contractId]],'Public procurment'!E:E,0),14),0)</f>
        <v>0</v>
      </c>
      <c r="AN1307" s="2">
        <f>IF(AND(ListOfExpenditure[[#This Row],[Contract amount]]&gt;10000,ListOfExpenditure[[#This Row],[Content.declaredAmount]]&gt;2000),1,0)</f>
        <v>0</v>
      </c>
      <c r="AO1307">
        <f>IFERROR(INDEX('Public procurment'!A:S,MATCH(ListOfExpenditure[[#This Row],[Content.contractId]],'Public procurment'!E:E,0),19),0)</f>
        <v>0</v>
      </c>
      <c r="AP1307">
        <f>IF(ListOfExpenditure[[#This Row],[Numero di volte controllato il contract ]]&gt;0,0,ListOfExpenditure[[#This Row],[IF public procurment &gt;10000;1;0]])</f>
        <v>0</v>
      </c>
    </row>
    <row r="1308" spans="1:42" x14ac:dyDescent="0.25">
      <c r="A1308">
        <v>1312</v>
      </c>
      <c r="B1308">
        <v>8</v>
      </c>
      <c r="E1308" t="s">
        <v>4786</v>
      </c>
      <c r="F1308" t="b">
        <v>1</v>
      </c>
      <c r="I1308" t="s">
        <v>4943</v>
      </c>
      <c r="K1308" t="s">
        <v>5794</v>
      </c>
      <c r="L1308" t="s">
        <v>4587</v>
      </c>
      <c r="M1308" t="s">
        <v>4788</v>
      </c>
      <c r="N1308" t="s">
        <v>4788</v>
      </c>
      <c r="O1308">
        <v>2497.3000000000002</v>
      </c>
      <c r="Q1308">
        <v>0</v>
      </c>
      <c r="R1308">
        <v>0</v>
      </c>
      <c r="S1308">
        <v>284.2</v>
      </c>
      <c r="T1308" t="s">
        <v>4789</v>
      </c>
      <c r="U1308">
        <v>1</v>
      </c>
      <c r="V1308">
        <v>284.2</v>
      </c>
      <c r="W1308" t="s">
        <v>4343</v>
      </c>
      <c r="Y1308" t="b">
        <v>1</v>
      </c>
      <c r="Z1308" t="b">
        <v>0</v>
      </c>
      <c r="AA1308">
        <v>284.2</v>
      </c>
      <c r="AB1308">
        <v>0</v>
      </c>
      <c r="AD1308" t="b">
        <v>0</v>
      </c>
      <c r="AG1308" s="1" t="s">
        <v>373</v>
      </c>
      <c r="AH1308" s="1" t="s">
        <v>378</v>
      </c>
      <c r="AI1308">
        <v>301</v>
      </c>
      <c r="AJ1308">
        <v>282</v>
      </c>
      <c r="AK1308" s="106">
        <v>45475.635480960649</v>
      </c>
      <c r="AL1308" s="1" t="s">
        <v>4790</v>
      </c>
      <c r="AM1308" s="42">
        <f>IFERROR(INDEX('Public procurment'!A:R,MATCH(ListOfExpenditure[[#This Row],[Content.contractId]],'Public procurment'!E:E,0),14),0)</f>
        <v>0</v>
      </c>
      <c r="AN1308" s="2">
        <f>IF(AND(ListOfExpenditure[[#This Row],[Contract amount]]&gt;10000,ListOfExpenditure[[#This Row],[Content.declaredAmount]]&gt;2000),1,0)</f>
        <v>0</v>
      </c>
      <c r="AO1308">
        <f>IFERROR(INDEX('Public procurment'!A:S,MATCH(ListOfExpenditure[[#This Row],[Content.contractId]],'Public procurment'!E:E,0),19),0)</f>
        <v>0</v>
      </c>
      <c r="AP1308">
        <f>IF(ListOfExpenditure[[#This Row],[Numero di volte controllato il contract ]]&gt;0,0,ListOfExpenditure[[#This Row],[IF public procurment &gt;10000;1;0]])</f>
        <v>0</v>
      </c>
    </row>
    <row r="1309" spans="1:42" x14ac:dyDescent="0.25">
      <c r="A1309">
        <v>1313</v>
      </c>
      <c r="B1309">
        <v>9</v>
      </c>
      <c r="E1309" t="s">
        <v>4786</v>
      </c>
      <c r="F1309" t="b">
        <v>1</v>
      </c>
      <c r="I1309" t="s">
        <v>4944</v>
      </c>
      <c r="K1309" t="s">
        <v>4476</v>
      </c>
      <c r="L1309" t="s">
        <v>4939</v>
      </c>
      <c r="M1309" t="s">
        <v>4788</v>
      </c>
      <c r="N1309" t="s">
        <v>4788</v>
      </c>
      <c r="O1309">
        <v>2368.46</v>
      </c>
      <c r="Q1309">
        <v>0</v>
      </c>
      <c r="R1309">
        <v>0</v>
      </c>
      <c r="S1309">
        <v>149.33000000000001</v>
      </c>
      <c r="T1309" t="s">
        <v>4789</v>
      </c>
      <c r="U1309">
        <v>1</v>
      </c>
      <c r="V1309">
        <v>149.33000000000001</v>
      </c>
      <c r="W1309" t="s">
        <v>4343</v>
      </c>
      <c r="Y1309" t="b">
        <v>1</v>
      </c>
      <c r="Z1309" t="b">
        <v>0</v>
      </c>
      <c r="AA1309">
        <v>149.33000000000001</v>
      </c>
      <c r="AB1309">
        <v>0</v>
      </c>
      <c r="AD1309" t="b">
        <v>0</v>
      </c>
      <c r="AG1309" s="1" t="s">
        <v>373</v>
      </c>
      <c r="AH1309" s="1" t="s">
        <v>378</v>
      </c>
      <c r="AI1309">
        <v>301</v>
      </c>
      <c r="AJ1309">
        <v>282</v>
      </c>
      <c r="AK1309" s="106">
        <v>45475.635480960649</v>
      </c>
      <c r="AL1309" s="1" t="s">
        <v>4790</v>
      </c>
      <c r="AM1309" s="42">
        <f>IFERROR(INDEX('Public procurment'!A:R,MATCH(ListOfExpenditure[[#This Row],[Content.contractId]],'Public procurment'!E:E,0),14),0)</f>
        <v>0</v>
      </c>
      <c r="AN1309" s="2">
        <f>IF(AND(ListOfExpenditure[[#This Row],[Contract amount]]&gt;10000,ListOfExpenditure[[#This Row],[Content.declaredAmount]]&gt;2000),1,0)</f>
        <v>0</v>
      </c>
      <c r="AO1309">
        <f>IFERROR(INDEX('Public procurment'!A:S,MATCH(ListOfExpenditure[[#This Row],[Content.contractId]],'Public procurment'!E:E,0),19),0)</f>
        <v>0</v>
      </c>
      <c r="AP1309">
        <f>IF(ListOfExpenditure[[#This Row],[Numero di volte controllato il contract ]]&gt;0,0,ListOfExpenditure[[#This Row],[IF public procurment &gt;10000;1;0]])</f>
        <v>0</v>
      </c>
    </row>
    <row r="1310" spans="1:42" x14ac:dyDescent="0.25">
      <c r="A1310">
        <v>1314</v>
      </c>
      <c r="B1310">
        <v>10</v>
      </c>
      <c r="E1310" t="s">
        <v>4786</v>
      </c>
      <c r="F1310" t="b">
        <v>1</v>
      </c>
      <c r="I1310" t="s">
        <v>4945</v>
      </c>
      <c r="K1310" t="s">
        <v>4478</v>
      </c>
      <c r="L1310" t="s">
        <v>4932</v>
      </c>
      <c r="M1310" t="s">
        <v>4788</v>
      </c>
      <c r="N1310" t="s">
        <v>4788</v>
      </c>
      <c r="O1310">
        <v>4256.28</v>
      </c>
      <c r="Q1310">
        <v>0</v>
      </c>
      <c r="R1310">
        <v>0</v>
      </c>
      <c r="S1310">
        <v>149.33000000000001</v>
      </c>
      <c r="T1310" t="s">
        <v>4789</v>
      </c>
      <c r="U1310">
        <v>1</v>
      </c>
      <c r="V1310">
        <v>149.33000000000001</v>
      </c>
      <c r="W1310" t="s">
        <v>4343</v>
      </c>
      <c r="Y1310" t="b">
        <v>1</v>
      </c>
      <c r="Z1310" t="b">
        <v>0</v>
      </c>
      <c r="AA1310">
        <v>149.33000000000001</v>
      </c>
      <c r="AB1310">
        <v>0</v>
      </c>
      <c r="AD1310" t="b">
        <v>0</v>
      </c>
      <c r="AG1310" s="1" t="s">
        <v>373</v>
      </c>
      <c r="AH1310" s="1" t="s">
        <v>378</v>
      </c>
      <c r="AI1310">
        <v>301</v>
      </c>
      <c r="AJ1310">
        <v>282</v>
      </c>
      <c r="AK1310" s="106">
        <v>45475.635480960649</v>
      </c>
      <c r="AL1310" s="1" t="s">
        <v>4790</v>
      </c>
      <c r="AM1310" s="42">
        <f>IFERROR(INDEX('Public procurment'!A:R,MATCH(ListOfExpenditure[[#This Row],[Content.contractId]],'Public procurment'!E:E,0),14),0)</f>
        <v>0</v>
      </c>
      <c r="AN1310" s="2">
        <f>IF(AND(ListOfExpenditure[[#This Row],[Contract amount]]&gt;10000,ListOfExpenditure[[#This Row],[Content.declaredAmount]]&gt;2000),1,0)</f>
        <v>0</v>
      </c>
      <c r="AO1310">
        <f>IFERROR(INDEX('Public procurment'!A:S,MATCH(ListOfExpenditure[[#This Row],[Content.contractId]],'Public procurment'!E:E,0),19),0)</f>
        <v>0</v>
      </c>
      <c r="AP1310">
        <f>IF(ListOfExpenditure[[#This Row],[Numero di volte controllato il contract ]]&gt;0,0,ListOfExpenditure[[#This Row],[IF public procurment &gt;10000;1;0]])</f>
        <v>0</v>
      </c>
    </row>
    <row r="1311" spans="1:42" x14ac:dyDescent="0.25">
      <c r="A1311">
        <v>1315</v>
      </c>
      <c r="B1311">
        <v>11</v>
      </c>
      <c r="E1311" t="s">
        <v>4786</v>
      </c>
      <c r="F1311" t="b">
        <v>1</v>
      </c>
      <c r="I1311" t="s">
        <v>4947</v>
      </c>
      <c r="K1311" t="s">
        <v>4920</v>
      </c>
      <c r="L1311" t="s">
        <v>4942</v>
      </c>
      <c r="M1311" t="s">
        <v>4788</v>
      </c>
      <c r="N1311" t="s">
        <v>4788</v>
      </c>
      <c r="O1311">
        <v>2020.54</v>
      </c>
      <c r="Q1311">
        <v>0</v>
      </c>
      <c r="R1311">
        <v>0</v>
      </c>
      <c r="S1311">
        <v>149.33000000000001</v>
      </c>
      <c r="T1311" t="s">
        <v>4789</v>
      </c>
      <c r="U1311">
        <v>1</v>
      </c>
      <c r="V1311">
        <v>149.33000000000001</v>
      </c>
      <c r="W1311" t="s">
        <v>4343</v>
      </c>
      <c r="Y1311" t="b">
        <v>1</v>
      </c>
      <c r="Z1311" t="b">
        <v>0</v>
      </c>
      <c r="AA1311">
        <v>149.33000000000001</v>
      </c>
      <c r="AB1311">
        <v>0</v>
      </c>
      <c r="AD1311" t="b">
        <v>0</v>
      </c>
      <c r="AG1311" s="1" t="s">
        <v>373</v>
      </c>
      <c r="AH1311" s="1" t="s">
        <v>378</v>
      </c>
      <c r="AI1311">
        <v>301</v>
      </c>
      <c r="AJ1311">
        <v>282</v>
      </c>
      <c r="AK1311" s="106">
        <v>45475.635480960649</v>
      </c>
      <c r="AL1311" s="1" t="s">
        <v>4790</v>
      </c>
      <c r="AM1311" s="42">
        <f>IFERROR(INDEX('Public procurment'!A:R,MATCH(ListOfExpenditure[[#This Row],[Content.contractId]],'Public procurment'!E:E,0),14),0)</f>
        <v>0</v>
      </c>
      <c r="AN1311" s="2">
        <f>IF(AND(ListOfExpenditure[[#This Row],[Contract amount]]&gt;10000,ListOfExpenditure[[#This Row],[Content.declaredAmount]]&gt;2000),1,0)</f>
        <v>0</v>
      </c>
      <c r="AO1311">
        <f>IFERROR(INDEX('Public procurment'!A:S,MATCH(ListOfExpenditure[[#This Row],[Content.contractId]],'Public procurment'!E:E,0),19),0)</f>
        <v>0</v>
      </c>
      <c r="AP1311">
        <f>IF(ListOfExpenditure[[#This Row],[Numero di volte controllato il contract ]]&gt;0,0,ListOfExpenditure[[#This Row],[IF public procurment &gt;10000;1;0]])</f>
        <v>0</v>
      </c>
    </row>
    <row r="1312" spans="1:42" x14ac:dyDescent="0.25">
      <c r="A1312">
        <v>1316</v>
      </c>
      <c r="B1312">
        <v>12</v>
      </c>
      <c r="E1312" t="s">
        <v>4786</v>
      </c>
      <c r="F1312" t="b">
        <v>1</v>
      </c>
      <c r="I1312" t="s">
        <v>4948</v>
      </c>
      <c r="K1312" t="s">
        <v>5794</v>
      </c>
      <c r="L1312" t="s">
        <v>4587</v>
      </c>
      <c r="M1312" t="s">
        <v>4788</v>
      </c>
      <c r="N1312" t="s">
        <v>4788</v>
      </c>
      <c r="O1312">
        <v>2314.85</v>
      </c>
      <c r="Q1312">
        <v>0</v>
      </c>
      <c r="R1312">
        <v>0</v>
      </c>
      <c r="S1312">
        <v>149.33000000000001</v>
      </c>
      <c r="T1312" t="s">
        <v>4789</v>
      </c>
      <c r="U1312">
        <v>1</v>
      </c>
      <c r="V1312">
        <v>149.33000000000001</v>
      </c>
      <c r="W1312" t="s">
        <v>4343</v>
      </c>
      <c r="Y1312" t="b">
        <v>1</v>
      </c>
      <c r="Z1312" t="b">
        <v>0</v>
      </c>
      <c r="AA1312">
        <v>149.33000000000001</v>
      </c>
      <c r="AB1312">
        <v>0</v>
      </c>
      <c r="AD1312" t="b">
        <v>0</v>
      </c>
      <c r="AG1312" s="1" t="s">
        <v>373</v>
      </c>
      <c r="AH1312" s="1" t="s">
        <v>378</v>
      </c>
      <c r="AI1312">
        <v>301</v>
      </c>
      <c r="AJ1312">
        <v>282</v>
      </c>
      <c r="AK1312" s="106">
        <v>45475.635480960649</v>
      </c>
      <c r="AL1312" s="1" t="s">
        <v>4790</v>
      </c>
      <c r="AM1312" s="42">
        <f>IFERROR(INDEX('Public procurment'!A:R,MATCH(ListOfExpenditure[[#This Row],[Content.contractId]],'Public procurment'!E:E,0),14),0)</f>
        <v>0</v>
      </c>
      <c r="AN1312" s="2">
        <f>IF(AND(ListOfExpenditure[[#This Row],[Contract amount]]&gt;10000,ListOfExpenditure[[#This Row],[Content.declaredAmount]]&gt;2000),1,0)</f>
        <v>0</v>
      </c>
      <c r="AO1312">
        <f>IFERROR(INDEX('Public procurment'!A:S,MATCH(ListOfExpenditure[[#This Row],[Content.contractId]],'Public procurment'!E:E,0),19),0)</f>
        <v>0</v>
      </c>
      <c r="AP1312">
        <f>IF(ListOfExpenditure[[#This Row],[Numero di volte controllato il contract ]]&gt;0,0,ListOfExpenditure[[#This Row],[IF public procurment &gt;10000;1;0]])</f>
        <v>0</v>
      </c>
    </row>
    <row r="1313" spans="1:42" x14ac:dyDescent="0.25">
      <c r="A1313">
        <v>1301</v>
      </c>
      <c r="B1313">
        <v>1</v>
      </c>
      <c r="E1313" t="s">
        <v>4786</v>
      </c>
      <c r="F1313" t="b">
        <v>0</v>
      </c>
      <c r="I1313" t="s">
        <v>4922</v>
      </c>
      <c r="M1313" t="s">
        <v>4788</v>
      </c>
      <c r="N1313" t="s">
        <v>4788</v>
      </c>
      <c r="O1313">
        <v>0</v>
      </c>
      <c r="Q1313">
        <v>0</v>
      </c>
      <c r="R1313">
        <v>0</v>
      </c>
      <c r="S1313">
        <v>0</v>
      </c>
      <c r="T1313" t="s">
        <v>4789</v>
      </c>
      <c r="U1313">
        <v>1</v>
      </c>
      <c r="V1313">
        <v>0</v>
      </c>
      <c r="Y1313" t="b">
        <v>0</v>
      </c>
      <c r="Z1313" t="b">
        <v>0</v>
      </c>
      <c r="AA1313">
        <v>0</v>
      </c>
      <c r="AB1313">
        <v>0</v>
      </c>
      <c r="AD1313" t="b">
        <v>0</v>
      </c>
      <c r="AG1313" s="1" t="s">
        <v>373</v>
      </c>
      <c r="AH1313" s="1" t="s">
        <v>379</v>
      </c>
      <c r="AI1313">
        <v>300</v>
      </c>
      <c r="AJ1313">
        <v>260</v>
      </c>
      <c r="AK1313" s="106">
        <v>45475.63548704861</v>
      </c>
      <c r="AL1313" s="1" t="s">
        <v>4790</v>
      </c>
      <c r="AM1313" s="42">
        <f>IFERROR(INDEX('Public procurment'!A:R,MATCH(ListOfExpenditure[[#This Row],[Content.contractId]],'Public procurment'!E:E,0),14),0)</f>
        <v>0</v>
      </c>
      <c r="AN1313" s="2">
        <f>IF(AND(ListOfExpenditure[[#This Row],[Contract amount]]&gt;10000,ListOfExpenditure[[#This Row],[Content.declaredAmount]]&gt;2000),1,0)</f>
        <v>0</v>
      </c>
      <c r="AO1313">
        <f>IFERROR(INDEX('Public procurment'!A:S,MATCH(ListOfExpenditure[[#This Row],[Content.contractId]],'Public procurment'!E:E,0),19),0)</f>
        <v>0</v>
      </c>
      <c r="AP1313">
        <f>IF(ListOfExpenditure[[#This Row],[Numero di volte controllato il contract ]]&gt;0,0,ListOfExpenditure[[#This Row],[IF public procurment &gt;10000;1;0]])</f>
        <v>0</v>
      </c>
    </row>
    <row r="1314" spans="1:42" x14ac:dyDescent="0.25">
      <c r="A1314">
        <v>1165</v>
      </c>
      <c r="B1314">
        <v>1</v>
      </c>
      <c r="E1314" t="s">
        <v>4786</v>
      </c>
      <c r="F1314" t="b">
        <v>0</v>
      </c>
      <c r="I1314" t="s">
        <v>5729</v>
      </c>
      <c r="K1314" t="s">
        <v>4911</v>
      </c>
      <c r="L1314" t="s">
        <v>4911</v>
      </c>
      <c r="M1314" t="s">
        <v>4788</v>
      </c>
      <c r="N1314" t="s">
        <v>4788</v>
      </c>
      <c r="O1314">
        <v>13120.02</v>
      </c>
      <c r="Q1314">
        <v>0</v>
      </c>
      <c r="R1314">
        <v>0</v>
      </c>
      <c r="S1314">
        <v>13120.02</v>
      </c>
      <c r="T1314" t="s">
        <v>4789</v>
      </c>
      <c r="U1314">
        <v>1</v>
      </c>
      <c r="V1314">
        <v>13120.02</v>
      </c>
      <c r="W1314" t="s">
        <v>4343</v>
      </c>
      <c r="Y1314" t="b">
        <v>1</v>
      </c>
      <c r="Z1314" t="b">
        <v>0</v>
      </c>
      <c r="AA1314">
        <v>13120.02</v>
      </c>
      <c r="AB1314">
        <v>0</v>
      </c>
      <c r="AD1314" t="b">
        <v>0</v>
      </c>
      <c r="AG1314" s="1" t="s">
        <v>64</v>
      </c>
      <c r="AH1314" s="1" t="s">
        <v>79</v>
      </c>
      <c r="AI1314">
        <v>333</v>
      </c>
      <c r="AJ1314">
        <v>263</v>
      </c>
      <c r="AK1314" s="106">
        <v>45475.635493379632</v>
      </c>
      <c r="AL1314" s="1" t="s">
        <v>4790</v>
      </c>
      <c r="AM1314" s="42">
        <f>IFERROR(INDEX('Public procurment'!A:R,MATCH(ListOfExpenditure[[#This Row],[Content.contractId]],'Public procurment'!E:E,0),14),0)</f>
        <v>0</v>
      </c>
      <c r="AN1314" s="2">
        <f>IF(AND(ListOfExpenditure[[#This Row],[Contract amount]]&gt;10000,ListOfExpenditure[[#This Row],[Content.declaredAmount]]&gt;2000),1,0)</f>
        <v>0</v>
      </c>
      <c r="AO1314">
        <f>IFERROR(INDEX('Public procurment'!A:S,MATCH(ListOfExpenditure[[#This Row],[Content.contractId]],'Public procurment'!E:E,0),19),0)</f>
        <v>0</v>
      </c>
      <c r="AP1314">
        <f>IF(ListOfExpenditure[[#This Row],[Numero di volte controllato il contract ]]&gt;0,0,ListOfExpenditure[[#This Row],[IF public procurment &gt;10000;1;0]])</f>
        <v>0</v>
      </c>
    </row>
    <row r="1315" spans="1:42" x14ac:dyDescent="0.25">
      <c r="A1315">
        <v>1170</v>
      </c>
      <c r="B1315">
        <v>2</v>
      </c>
      <c r="E1315" t="s">
        <v>4786</v>
      </c>
      <c r="F1315" t="b">
        <v>0</v>
      </c>
      <c r="I1315" t="s">
        <v>5730</v>
      </c>
      <c r="K1315" t="s">
        <v>5115</v>
      </c>
      <c r="L1315" t="s">
        <v>5115</v>
      </c>
      <c r="M1315" t="s">
        <v>4788</v>
      </c>
      <c r="N1315" t="s">
        <v>4788</v>
      </c>
      <c r="O1315">
        <v>9830.77</v>
      </c>
      <c r="Q1315">
        <v>0</v>
      </c>
      <c r="R1315">
        <v>0</v>
      </c>
      <c r="S1315">
        <v>9830.77</v>
      </c>
      <c r="T1315" t="s">
        <v>4789</v>
      </c>
      <c r="U1315">
        <v>1</v>
      </c>
      <c r="V1315">
        <v>9830.77</v>
      </c>
      <c r="W1315" t="s">
        <v>4343</v>
      </c>
      <c r="Y1315" t="b">
        <v>1</v>
      </c>
      <c r="Z1315" t="b">
        <v>0</v>
      </c>
      <c r="AA1315">
        <v>9830.77</v>
      </c>
      <c r="AB1315">
        <v>0</v>
      </c>
      <c r="AD1315" t="b">
        <v>0</v>
      </c>
      <c r="AG1315" s="1" t="s">
        <v>64</v>
      </c>
      <c r="AH1315" s="1" t="s">
        <v>79</v>
      </c>
      <c r="AI1315">
        <v>333</v>
      </c>
      <c r="AJ1315">
        <v>263</v>
      </c>
      <c r="AK1315" s="106">
        <v>45475.635493379632</v>
      </c>
      <c r="AL1315" s="1" t="s">
        <v>4790</v>
      </c>
      <c r="AM1315" s="42">
        <f>IFERROR(INDEX('Public procurment'!A:R,MATCH(ListOfExpenditure[[#This Row],[Content.contractId]],'Public procurment'!E:E,0),14),0)</f>
        <v>0</v>
      </c>
      <c r="AN1315" s="2">
        <f>IF(AND(ListOfExpenditure[[#This Row],[Contract amount]]&gt;10000,ListOfExpenditure[[#This Row],[Content.declaredAmount]]&gt;2000),1,0)</f>
        <v>0</v>
      </c>
      <c r="AO1315">
        <f>IFERROR(INDEX('Public procurment'!A:S,MATCH(ListOfExpenditure[[#This Row],[Content.contractId]],'Public procurment'!E:E,0),19),0)</f>
        <v>0</v>
      </c>
      <c r="AP1315">
        <f>IF(ListOfExpenditure[[#This Row],[Numero di volte controllato il contract ]]&gt;0,0,ListOfExpenditure[[#This Row],[IF public procurment &gt;10000;1;0]])</f>
        <v>0</v>
      </c>
    </row>
    <row r="1316" spans="1:42" x14ac:dyDescent="0.25">
      <c r="A1316">
        <v>1172</v>
      </c>
      <c r="B1316">
        <v>3</v>
      </c>
      <c r="E1316" t="s">
        <v>4786</v>
      </c>
      <c r="F1316" t="b">
        <v>0</v>
      </c>
      <c r="I1316" t="s">
        <v>5731</v>
      </c>
      <c r="K1316" t="s">
        <v>5687</v>
      </c>
      <c r="L1316" t="s">
        <v>5687</v>
      </c>
      <c r="M1316" t="s">
        <v>4788</v>
      </c>
      <c r="N1316" t="s">
        <v>4788</v>
      </c>
      <c r="O1316">
        <v>10189.959999999999</v>
      </c>
      <c r="Q1316">
        <v>0</v>
      </c>
      <c r="R1316">
        <v>0</v>
      </c>
      <c r="S1316">
        <v>10189.959999999999</v>
      </c>
      <c r="T1316" t="s">
        <v>4789</v>
      </c>
      <c r="U1316">
        <v>1</v>
      </c>
      <c r="V1316">
        <v>10189.959999999999</v>
      </c>
      <c r="W1316" t="s">
        <v>4343</v>
      </c>
      <c r="Y1316" t="b">
        <v>1</v>
      </c>
      <c r="Z1316" t="b">
        <v>0</v>
      </c>
      <c r="AA1316">
        <v>10189.959999999999</v>
      </c>
      <c r="AB1316">
        <v>0</v>
      </c>
      <c r="AD1316" t="b">
        <v>0</v>
      </c>
      <c r="AG1316" s="1" t="s">
        <v>64</v>
      </c>
      <c r="AH1316" s="1" t="s">
        <v>79</v>
      </c>
      <c r="AI1316">
        <v>333</v>
      </c>
      <c r="AJ1316">
        <v>263</v>
      </c>
      <c r="AK1316" s="106">
        <v>45475.635493379632</v>
      </c>
      <c r="AL1316" s="1" t="s">
        <v>4790</v>
      </c>
      <c r="AM1316" s="42">
        <f>IFERROR(INDEX('Public procurment'!A:R,MATCH(ListOfExpenditure[[#This Row],[Content.contractId]],'Public procurment'!E:E,0),14),0)</f>
        <v>0</v>
      </c>
      <c r="AN1316" s="2">
        <f>IF(AND(ListOfExpenditure[[#This Row],[Contract amount]]&gt;10000,ListOfExpenditure[[#This Row],[Content.declaredAmount]]&gt;2000),1,0)</f>
        <v>0</v>
      </c>
      <c r="AO1316">
        <f>IFERROR(INDEX('Public procurment'!A:S,MATCH(ListOfExpenditure[[#This Row],[Content.contractId]],'Public procurment'!E:E,0),19),0)</f>
        <v>0</v>
      </c>
      <c r="AP1316">
        <f>IF(ListOfExpenditure[[#This Row],[Numero di volte controllato il contract ]]&gt;0,0,ListOfExpenditure[[#This Row],[IF public procurment &gt;10000;1;0]])</f>
        <v>0</v>
      </c>
    </row>
    <row r="1317" spans="1:42" x14ac:dyDescent="0.25">
      <c r="A1317">
        <v>1174</v>
      </c>
      <c r="B1317">
        <v>4</v>
      </c>
      <c r="E1317" t="s">
        <v>4786</v>
      </c>
      <c r="F1317" t="b">
        <v>0</v>
      </c>
      <c r="I1317" t="s">
        <v>5795</v>
      </c>
      <c r="K1317" t="s">
        <v>4886</v>
      </c>
      <c r="L1317" t="s">
        <v>4886</v>
      </c>
      <c r="M1317" t="s">
        <v>4788</v>
      </c>
      <c r="N1317" t="s">
        <v>4788</v>
      </c>
      <c r="O1317">
        <v>13319.8</v>
      </c>
      <c r="Q1317">
        <v>0</v>
      </c>
      <c r="R1317">
        <v>0</v>
      </c>
      <c r="S1317">
        <v>13319.8</v>
      </c>
      <c r="T1317" t="s">
        <v>4789</v>
      </c>
      <c r="U1317">
        <v>1</v>
      </c>
      <c r="V1317">
        <v>13319.8</v>
      </c>
      <c r="W1317" t="s">
        <v>4343</v>
      </c>
      <c r="Y1317" t="b">
        <v>1</v>
      </c>
      <c r="Z1317" t="b">
        <v>0</v>
      </c>
      <c r="AA1317">
        <v>13319.8</v>
      </c>
      <c r="AB1317">
        <v>0</v>
      </c>
      <c r="AD1317" t="b">
        <v>0</v>
      </c>
      <c r="AG1317" s="1" t="s">
        <v>64</v>
      </c>
      <c r="AH1317" s="1" t="s">
        <v>79</v>
      </c>
      <c r="AI1317">
        <v>333</v>
      </c>
      <c r="AJ1317">
        <v>263</v>
      </c>
      <c r="AK1317" s="106">
        <v>45475.635493379632</v>
      </c>
      <c r="AL1317" s="1" t="s">
        <v>4790</v>
      </c>
      <c r="AM1317" s="42">
        <f>IFERROR(INDEX('Public procurment'!A:R,MATCH(ListOfExpenditure[[#This Row],[Content.contractId]],'Public procurment'!E:E,0),14),0)</f>
        <v>0</v>
      </c>
      <c r="AN1317" s="2">
        <f>IF(AND(ListOfExpenditure[[#This Row],[Contract amount]]&gt;10000,ListOfExpenditure[[#This Row],[Content.declaredAmount]]&gt;2000),1,0)</f>
        <v>0</v>
      </c>
      <c r="AO1317">
        <f>IFERROR(INDEX('Public procurment'!A:S,MATCH(ListOfExpenditure[[#This Row],[Content.contractId]],'Public procurment'!E:E,0),19),0)</f>
        <v>0</v>
      </c>
      <c r="AP1317">
        <f>IF(ListOfExpenditure[[#This Row],[Numero di volte controllato il contract ]]&gt;0,0,ListOfExpenditure[[#This Row],[IF public procurment &gt;10000;1;0]])</f>
        <v>0</v>
      </c>
    </row>
    <row r="1318" spans="1:42" x14ac:dyDescent="0.25">
      <c r="A1318">
        <v>1457</v>
      </c>
      <c r="B1318">
        <v>5</v>
      </c>
      <c r="E1318" t="s">
        <v>4786</v>
      </c>
      <c r="F1318" t="b">
        <v>0</v>
      </c>
      <c r="I1318" t="s">
        <v>5796</v>
      </c>
      <c r="K1318" t="s">
        <v>4364</v>
      </c>
      <c r="L1318" t="s">
        <v>4364</v>
      </c>
      <c r="M1318" t="s">
        <v>4788</v>
      </c>
      <c r="N1318" t="s">
        <v>4788</v>
      </c>
      <c r="O1318">
        <v>13319.8</v>
      </c>
      <c r="Q1318">
        <v>0</v>
      </c>
      <c r="R1318">
        <v>0</v>
      </c>
      <c r="S1318">
        <v>13319.8</v>
      </c>
      <c r="T1318" t="s">
        <v>4789</v>
      </c>
      <c r="U1318">
        <v>1</v>
      </c>
      <c r="V1318">
        <v>13319.8</v>
      </c>
      <c r="W1318" t="s">
        <v>4343</v>
      </c>
      <c r="Y1318" t="b">
        <v>1</v>
      </c>
      <c r="Z1318" t="b">
        <v>0</v>
      </c>
      <c r="AA1318">
        <v>13319.8</v>
      </c>
      <c r="AB1318">
        <v>0</v>
      </c>
      <c r="AD1318" t="b">
        <v>0</v>
      </c>
      <c r="AG1318" s="1" t="s">
        <v>64</v>
      </c>
      <c r="AH1318" s="1" t="s">
        <v>79</v>
      </c>
      <c r="AI1318">
        <v>333</v>
      </c>
      <c r="AJ1318">
        <v>263</v>
      </c>
      <c r="AK1318" s="106">
        <v>45475.635493379632</v>
      </c>
      <c r="AL1318" s="1" t="s">
        <v>4790</v>
      </c>
      <c r="AM1318" s="42">
        <f>IFERROR(INDEX('Public procurment'!A:R,MATCH(ListOfExpenditure[[#This Row],[Content.contractId]],'Public procurment'!E:E,0),14),0)</f>
        <v>0</v>
      </c>
      <c r="AN1318" s="2">
        <f>IF(AND(ListOfExpenditure[[#This Row],[Contract amount]]&gt;10000,ListOfExpenditure[[#This Row],[Content.declaredAmount]]&gt;2000),1,0)</f>
        <v>0</v>
      </c>
      <c r="AO1318">
        <f>IFERROR(INDEX('Public procurment'!A:S,MATCH(ListOfExpenditure[[#This Row],[Content.contractId]],'Public procurment'!E:E,0),19),0)</f>
        <v>0</v>
      </c>
      <c r="AP1318">
        <f>IF(ListOfExpenditure[[#This Row],[Numero di volte controllato il contract ]]&gt;0,0,ListOfExpenditure[[#This Row],[IF public procurment &gt;10000;1;0]])</f>
        <v>0</v>
      </c>
    </row>
    <row r="1319" spans="1:42" x14ac:dyDescent="0.25">
      <c r="A1319">
        <v>386</v>
      </c>
      <c r="B1319">
        <v>1</v>
      </c>
      <c r="E1319" t="s">
        <v>4798</v>
      </c>
      <c r="F1319" t="b">
        <v>0</v>
      </c>
      <c r="H1319">
        <v>70</v>
      </c>
      <c r="I1319" t="s">
        <v>5797</v>
      </c>
      <c r="J1319" t="s">
        <v>5705</v>
      </c>
      <c r="K1319" t="s">
        <v>5571</v>
      </c>
      <c r="L1319" t="s">
        <v>5798</v>
      </c>
      <c r="M1319" t="s">
        <v>4788</v>
      </c>
      <c r="N1319" t="s">
        <v>4788</v>
      </c>
      <c r="O1319">
        <v>2745</v>
      </c>
      <c r="P1319">
        <v>495</v>
      </c>
      <c r="Q1319">
        <v>0</v>
      </c>
      <c r="R1319">
        <v>0</v>
      </c>
      <c r="S1319">
        <v>2745</v>
      </c>
      <c r="T1319" t="s">
        <v>4789</v>
      </c>
      <c r="U1319">
        <v>1</v>
      </c>
      <c r="V1319">
        <v>2745</v>
      </c>
      <c r="W1319" t="s">
        <v>4343</v>
      </c>
      <c r="Y1319" t="b">
        <v>1</v>
      </c>
      <c r="Z1319" t="b">
        <v>0</v>
      </c>
      <c r="AA1319">
        <v>2745</v>
      </c>
      <c r="AB1319">
        <v>0</v>
      </c>
      <c r="AD1319" t="b">
        <v>0</v>
      </c>
      <c r="AG1319" s="1" t="s">
        <v>64</v>
      </c>
      <c r="AH1319" s="1" t="s">
        <v>79</v>
      </c>
      <c r="AI1319">
        <v>333</v>
      </c>
      <c r="AJ1319">
        <v>80</v>
      </c>
      <c r="AK1319" s="106">
        <v>45475.635449305555</v>
      </c>
      <c r="AL1319" s="1" t="s">
        <v>4790</v>
      </c>
      <c r="AM1319" s="42">
        <f>IFERROR(INDEX('Public procurment'!A:R,MATCH(ListOfExpenditure[[#This Row],[Content.contractId]],'Public procurment'!E:E,0),14),0)</f>
        <v>2250</v>
      </c>
      <c r="AN1319" s="2">
        <f>IF(AND(ListOfExpenditure[[#This Row],[Contract amount]]&gt;10000,ListOfExpenditure[[#This Row],[Content.declaredAmount]]&gt;2000),1,0)</f>
        <v>0</v>
      </c>
      <c r="AO1319">
        <f>IFERROR(INDEX('Public procurment'!A:S,MATCH(ListOfExpenditure[[#This Row],[Content.contractId]],'Public procurment'!E:E,0),19),0)</f>
        <v>1</v>
      </c>
      <c r="AP1319">
        <f>IF(ListOfExpenditure[[#This Row],[Numero di volte controllato il contract ]]&gt;0,0,ListOfExpenditure[[#This Row],[IF public procurment &gt;10000;1;0]])</f>
        <v>0</v>
      </c>
    </row>
    <row r="1320" spans="1:42" x14ac:dyDescent="0.25">
      <c r="A1320">
        <v>387</v>
      </c>
      <c r="B1320">
        <v>2</v>
      </c>
      <c r="E1320" t="s">
        <v>4798</v>
      </c>
      <c r="F1320" t="b">
        <v>0</v>
      </c>
      <c r="H1320">
        <v>71</v>
      </c>
      <c r="I1320" t="s">
        <v>5799</v>
      </c>
      <c r="J1320" t="s">
        <v>5800</v>
      </c>
      <c r="K1320" t="s">
        <v>4860</v>
      </c>
      <c r="L1320" t="s">
        <v>5798</v>
      </c>
      <c r="M1320" t="s">
        <v>4788</v>
      </c>
      <c r="N1320" t="s">
        <v>4788</v>
      </c>
      <c r="O1320">
        <v>934.4</v>
      </c>
      <c r="P1320">
        <v>168.5</v>
      </c>
      <c r="Q1320">
        <v>0</v>
      </c>
      <c r="R1320">
        <v>0</v>
      </c>
      <c r="S1320">
        <v>934.4</v>
      </c>
      <c r="T1320" t="s">
        <v>4789</v>
      </c>
      <c r="U1320">
        <v>1</v>
      </c>
      <c r="V1320">
        <v>934.4</v>
      </c>
      <c r="W1320" t="s">
        <v>4343</v>
      </c>
      <c r="Y1320" t="b">
        <v>1</v>
      </c>
      <c r="Z1320" t="b">
        <v>0</v>
      </c>
      <c r="AA1320">
        <v>934.4</v>
      </c>
      <c r="AB1320">
        <v>0</v>
      </c>
      <c r="AD1320" t="b">
        <v>0</v>
      </c>
      <c r="AG1320" s="1" t="s">
        <v>64</v>
      </c>
      <c r="AH1320" s="1" t="s">
        <v>79</v>
      </c>
      <c r="AI1320">
        <v>333</v>
      </c>
      <c r="AJ1320">
        <v>80</v>
      </c>
      <c r="AK1320" s="106">
        <v>45475.635449305555</v>
      </c>
      <c r="AL1320" s="1" t="s">
        <v>4790</v>
      </c>
      <c r="AM1320" s="42">
        <f>IFERROR(INDEX('Public procurment'!A:R,MATCH(ListOfExpenditure[[#This Row],[Content.contractId]],'Public procurment'!E:E,0),14),0)</f>
        <v>765.9</v>
      </c>
      <c r="AN1320" s="2">
        <f>IF(AND(ListOfExpenditure[[#This Row],[Contract amount]]&gt;10000,ListOfExpenditure[[#This Row],[Content.declaredAmount]]&gt;2000),1,0)</f>
        <v>0</v>
      </c>
      <c r="AO1320">
        <f>IFERROR(INDEX('Public procurment'!A:S,MATCH(ListOfExpenditure[[#This Row],[Content.contractId]],'Public procurment'!E:E,0),19),0)</f>
        <v>1</v>
      </c>
      <c r="AP1320">
        <f>IF(ListOfExpenditure[[#This Row],[Numero di volte controllato il contract ]]&gt;0,0,ListOfExpenditure[[#This Row],[IF public procurment &gt;10000;1;0]])</f>
        <v>0</v>
      </c>
    </row>
    <row r="1321" spans="1:42" x14ac:dyDescent="0.25">
      <c r="A1321">
        <v>388</v>
      </c>
      <c r="B1321">
        <v>3</v>
      </c>
      <c r="E1321" t="s">
        <v>4798</v>
      </c>
      <c r="F1321" t="b">
        <v>0</v>
      </c>
      <c r="H1321">
        <v>72</v>
      </c>
      <c r="I1321" t="s">
        <v>5801</v>
      </c>
      <c r="J1321" t="s">
        <v>5802</v>
      </c>
      <c r="K1321" t="s">
        <v>5798</v>
      </c>
      <c r="L1321" t="s">
        <v>4880</v>
      </c>
      <c r="M1321" t="s">
        <v>4788</v>
      </c>
      <c r="N1321" t="s">
        <v>4788</v>
      </c>
      <c r="O1321">
        <v>3416</v>
      </c>
      <c r="P1321">
        <v>616</v>
      </c>
      <c r="Q1321">
        <v>0</v>
      </c>
      <c r="R1321">
        <v>0</v>
      </c>
      <c r="S1321">
        <v>3416</v>
      </c>
      <c r="T1321" t="s">
        <v>4789</v>
      </c>
      <c r="U1321">
        <v>1</v>
      </c>
      <c r="V1321">
        <v>3416</v>
      </c>
      <c r="W1321" t="s">
        <v>4343</v>
      </c>
      <c r="Y1321" t="b">
        <v>1</v>
      </c>
      <c r="Z1321" t="b">
        <v>0</v>
      </c>
      <c r="AA1321">
        <v>3416</v>
      </c>
      <c r="AB1321">
        <v>0</v>
      </c>
      <c r="AD1321" t="b">
        <v>0</v>
      </c>
      <c r="AG1321" s="1" t="s">
        <v>64</v>
      </c>
      <c r="AH1321" s="1" t="s">
        <v>79</v>
      </c>
      <c r="AI1321">
        <v>333</v>
      </c>
      <c r="AJ1321">
        <v>80</v>
      </c>
      <c r="AK1321" s="106">
        <v>45475.635449305555</v>
      </c>
      <c r="AL1321" s="1" t="s">
        <v>4790</v>
      </c>
      <c r="AM1321" s="42">
        <f>IFERROR(INDEX('Public procurment'!A:R,MATCH(ListOfExpenditure[[#This Row],[Content.contractId]],'Public procurment'!E:E,0),14),0)</f>
        <v>7400</v>
      </c>
      <c r="AN1321" s="2">
        <f>IF(AND(ListOfExpenditure[[#This Row],[Contract amount]]&gt;10000,ListOfExpenditure[[#This Row],[Content.declaredAmount]]&gt;2000),1,0)</f>
        <v>0</v>
      </c>
      <c r="AO1321">
        <f>IFERROR(INDEX('Public procurment'!A:S,MATCH(ListOfExpenditure[[#This Row],[Content.contractId]],'Public procurment'!E:E,0),19),0)</f>
        <v>1</v>
      </c>
      <c r="AP1321">
        <f>IF(ListOfExpenditure[[#This Row],[Numero di volte controllato il contract ]]&gt;0,0,ListOfExpenditure[[#This Row],[IF public procurment &gt;10000;1;0]])</f>
        <v>0</v>
      </c>
    </row>
    <row r="1322" spans="1:42" x14ac:dyDescent="0.25">
      <c r="A1322">
        <v>389</v>
      </c>
      <c r="B1322">
        <v>4</v>
      </c>
      <c r="E1322" t="s">
        <v>4798</v>
      </c>
      <c r="F1322" t="b">
        <v>0</v>
      </c>
      <c r="H1322">
        <v>73</v>
      </c>
      <c r="I1322" t="s">
        <v>5803</v>
      </c>
      <c r="J1322" t="s">
        <v>5804</v>
      </c>
      <c r="K1322" t="s">
        <v>5805</v>
      </c>
      <c r="L1322" t="s">
        <v>5806</v>
      </c>
      <c r="M1322" t="s">
        <v>4788</v>
      </c>
      <c r="N1322" t="s">
        <v>4788</v>
      </c>
      <c r="O1322">
        <v>2358.2600000000002</v>
      </c>
      <c r="P1322">
        <v>0</v>
      </c>
      <c r="Q1322">
        <v>0</v>
      </c>
      <c r="R1322">
        <v>0</v>
      </c>
      <c r="S1322">
        <v>2358.2600000000002</v>
      </c>
      <c r="T1322" t="s">
        <v>4789</v>
      </c>
      <c r="U1322">
        <v>1</v>
      </c>
      <c r="V1322">
        <v>2358.2600000000002</v>
      </c>
      <c r="W1322" t="s">
        <v>4343</v>
      </c>
      <c r="Y1322" t="b">
        <v>1</v>
      </c>
      <c r="Z1322" t="b">
        <v>0</v>
      </c>
      <c r="AA1322">
        <v>2358.2600000000002</v>
      </c>
      <c r="AB1322">
        <v>0</v>
      </c>
      <c r="AD1322" t="b">
        <v>0</v>
      </c>
      <c r="AG1322" s="1" t="s">
        <v>64</v>
      </c>
      <c r="AH1322" s="1" t="s">
        <v>79</v>
      </c>
      <c r="AI1322">
        <v>333</v>
      </c>
      <c r="AJ1322">
        <v>80</v>
      </c>
      <c r="AK1322" s="106">
        <v>45475.635449305555</v>
      </c>
      <c r="AL1322" s="1" t="s">
        <v>4790</v>
      </c>
      <c r="AM1322" s="42">
        <f>IFERROR(INDEX('Public procurment'!A:R,MATCH(ListOfExpenditure[[#This Row],[Content.contractId]],'Public procurment'!E:E,0),14),0)</f>
        <v>1933</v>
      </c>
      <c r="AN1322" s="2">
        <f>IF(AND(ListOfExpenditure[[#This Row],[Contract amount]]&gt;10000,ListOfExpenditure[[#This Row],[Content.declaredAmount]]&gt;2000),1,0)</f>
        <v>0</v>
      </c>
      <c r="AO1322">
        <f>IFERROR(INDEX('Public procurment'!A:S,MATCH(ListOfExpenditure[[#This Row],[Content.contractId]],'Public procurment'!E:E,0),19),0)</f>
        <v>1</v>
      </c>
      <c r="AP1322">
        <f>IF(ListOfExpenditure[[#This Row],[Numero di volte controllato il contract ]]&gt;0,0,ListOfExpenditure[[#This Row],[IF public procurment &gt;10000;1;0]])</f>
        <v>0</v>
      </c>
    </row>
    <row r="1323" spans="1:42" x14ac:dyDescent="0.25">
      <c r="A1323">
        <v>399</v>
      </c>
      <c r="B1323">
        <v>5</v>
      </c>
      <c r="E1323" t="s">
        <v>4786</v>
      </c>
      <c r="F1323" t="b">
        <v>0</v>
      </c>
      <c r="I1323" t="s">
        <v>5807</v>
      </c>
      <c r="K1323" t="s">
        <v>5808</v>
      </c>
      <c r="L1323" t="s">
        <v>5808</v>
      </c>
      <c r="M1323" t="s">
        <v>4788</v>
      </c>
      <c r="N1323" t="s">
        <v>4788</v>
      </c>
      <c r="O1323">
        <v>3120.61</v>
      </c>
      <c r="Q1323">
        <v>0</v>
      </c>
      <c r="R1323">
        <v>0</v>
      </c>
      <c r="S1323">
        <v>3120.61</v>
      </c>
      <c r="T1323" t="s">
        <v>4789</v>
      </c>
      <c r="U1323">
        <v>1</v>
      </c>
      <c r="V1323">
        <v>3120.61</v>
      </c>
      <c r="W1323" t="s">
        <v>4343</v>
      </c>
      <c r="Y1323" t="b">
        <v>1</v>
      </c>
      <c r="Z1323" t="b">
        <v>0</v>
      </c>
      <c r="AA1323">
        <v>3120.61</v>
      </c>
      <c r="AB1323">
        <v>0</v>
      </c>
      <c r="AD1323" t="b">
        <v>0</v>
      </c>
      <c r="AG1323" s="1" t="s">
        <v>64</v>
      </c>
      <c r="AH1323" s="1" t="s">
        <v>79</v>
      </c>
      <c r="AI1323">
        <v>333</v>
      </c>
      <c r="AJ1323">
        <v>80</v>
      </c>
      <c r="AK1323" s="106">
        <v>45475.635449305555</v>
      </c>
      <c r="AL1323" s="1" t="s">
        <v>4790</v>
      </c>
      <c r="AM1323" s="42">
        <f>IFERROR(INDEX('Public procurment'!A:R,MATCH(ListOfExpenditure[[#This Row],[Content.contractId]],'Public procurment'!E:E,0),14),0)</f>
        <v>0</v>
      </c>
      <c r="AN1323" s="2">
        <f>IF(AND(ListOfExpenditure[[#This Row],[Contract amount]]&gt;10000,ListOfExpenditure[[#This Row],[Content.declaredAmount]]&gt;2000),1,0)</f>
        <v>0</v>
      </c>
      <c r="AO1323">
        <f>IFERROR(INDEX('Public procurment'!A:S,MATCH(ListOfExpenditure[[#This Row],[Content.contractId]],'Public procurment'!E:E,0),19),0)</f>
        <v>0</v>
      </c>
      <c r="AP1323">
        <f>IF(ListOfExpenditure[[#This Row],[Numero di volte controllato il contract ]]&gt;0,0,ListOfExpenditure[[#This Row],[IF public procurment &gt;10000;1;0]])</f>
        <v>0</v>
      </c>
    </row>
    <row r="1324" spans="1:42" x14ac:dyDescent="0.25">
      <c r="A1324">
        <v>406</v>
      </c>
      <c r="B1324">
        <v>6</v>
      </c>
      <c r="E1324" t="s">
        <v>4786</v>
      </c>
      <c r="F1324" t="b">
        <v>0</v>
      </c>
      <c r="I1324" t="s">
        <v>5809</v>
      </c>
      <c r="K1324" t="s">
        <v>5808</v>
      </c>
      <c r="L1324" t="s">
        <v>5808</v>
      </c>
      <c r="M1324" t="s">
        <v>4788</v>
      </c>
      <c r="N1324" t="s">
        <v>4788</v>
      </c>
      <c r="O1324">
        <v>3156.36</v>
      </c>
      <c r="Q1324">
        <v>0</v>
      </c>
      <c r="R1324">
        <v>0</v>
      </c>
      <c r="S1324">
        <v>3156.36</v>
      </c>
      <c r="T1324" t="s">
        <v>4789</v>
      </c>
      <c r="U1324">
        <v>1</v>
      </c>
      <c r="V1324">
        <v>3156.36</v>
      </c>
      <c r="W1324" t="s">
        <v>4343</v>
      </c>
      <c r="Y1324" t="b">
        <v>1</v>
      </c>
      <c r="Z1324" t="b">
        <v>0</v>
      </c>
      <c r="AA1324">
        <v>3156.36</v>
      </c>
      <c r="AB1324">
        <v>0</v>
      </c>
      <c r="AD1324" t="b">
        <v>0</v>
      </c>
      <c r="AG1324" s="1" t="s">
        <v>64</v>
      </c>
      <c r="AH1324" s="1" t="s">
        <v>79</v>
      </c>
      <c r="AI1324">
        <v>333</v>
      </c>
      <c r="AJ1324">
        <v>80</v>
      </c>
      <c r="AK1324" s="106">
        <v>45475.635449305555</v>
      </c>
      <c r="AL1324" s="1" t="s">
        <v>4790</v>
      </c>
      <c r="AM1324" s="42">
        <f>IFERROR(INDEX('Public procurment'!A:R,MATCH(ListOfExpenditure[[#This Row],[Content.contractId]],'Public procurment'!E:E,0),14),0)</f>
        <v>0</v>
      </c>
      <c r="AN1324" s="2">
        <f>IF(AND(ListOfExpenditure[[#This Row],[Contract amount]]&gt;10000,ListOfExpenditure[[#This Row],[Content.declaredAmount]]&gt;2000),1,0)</f>
        <v>0</v>
      </c>
      <c r="AO1324">
        <f>IFERROR(INDEX('Public procurment'!A:S,MATCH(ListOfExpenditure[[#This Row],[Content.contractId]],'Public procurment'!E:E,0),19),0)</f>
        <v>0</v>
      </c>
      <c r="AP1324">
        <f>IF(ListOfExpenditure[[#This Row],[Numero di volte controllato il contract ]]&gt;0,0,ListOfExpenditure[[#This Row],[IF public procurment &gt;10000;1;0]])</f>
        <v>0</v>
      </c>
    </row>
    <row r="1325" spans="1:42" x14ac:dyDescent="0.25">
      <c r="A1325">
        <v>407</v>
      </c>
      <c r="B1325">
        <v>7</v>
      </c>
      <c r="E1325" t="s">
        <v>4786</v>
      </c>
      <c r="F1325" t="b">
        <v>0</v>
      </c>
      <c r="I1325" t="s">
        <v>5810</v>
      </c>
      <c r="K1325" t="s">
        <v>5808</v>
      </c>
      <c r="L1325" t="s">
        <v>5808</v>
      </c>
      <c r="M1325" t="s">
        <v>4788</v>
      </c>
      <c r="N1325" t="s">
        <v>4788</v>
      </c>
      <c r="O1325">
        <v>3156.36</v>
      </c>
      <c r="Q1325">
        <v>0</v>
      </c>
      <c r="R1325">
        <v>0</v>
      </c>
      <c r="S1325">
        <v>3156.36</v>
      </c>
      <c r="T1325" t="s">
        <v>4789</v>
      </c>
      <c r="U1325">
        <v>1</v>
      </c>
      <c r="V1325">
        <v>3156.36</v>
      </c>
      <c r="W1325" t="s">
        <v>4343</v>
      </c>
      <c r="Y1325" t="b">
        <v>1</v>
      </c>
      <c r="Z1325" t="b">
        <v>0</v>
      </c>
      <c r="AA1325">
        <v>3156.36</v>
      </c>
      <c r="AB1325">
        <v>0</v>
      </c>
      <c r="AD1325" t="b">
        <v>0</v>
      </c>
      <c r="AG1325" s="1" t="s">
        <v>64</v>
      </c>
      <c r="AH1325" s="1" t="s">
        <v>79</v>
      </c>
      <c r="AI1325">
        <v>333</v>
      </c>
      <c r="AJ1325">
        <v>80</v>
      </c>
      <c r="AK1325" s="106">
        <v>45475.635449305555</v>
      </c>
      <c r="AL1325" s="1" t="s">
        <v>4790</v>
      </c>
      <c r="AM1325" s="42">
        <f>IFERROR(INDEX('Public procurment'!A:R,MATCH(ListOfExpenditure[[#This Row],[Content.contractId]],'Public procurment'!E:E,0),14),0)</f>
        <v>0</v>
      </c>
      <c r="AN1325" s="2">
        <f>IF(AND(ListOfExpenditure[[#This Row],[Contract amount]]&gt;10000,ListOfExpenditure[[#This Row],[Content.declaredAmount]]&gt;2000),1,0)</f>
        <v>0</v>
      </c>
      <c r="AO1325">
        <f>IFERROR(INDEX('Public procurment'!A:S,MATCH(ListOfExpenditure[[#This Row],[Content.contractId]],'Public procurment'!E:E,0),19),0)</f>
        <v>0</v>
      </c>
      <c r="AP1325">
        <f>IF(ListOfExpenditure[[#This Row],[Numero di volte controllato il contract ]]&gt;0,0,ListOfExpenditure[[#This Row],[IF public procurment &gt;10000;1;0]])</f>
        <v>0</v>
      </c>
    </row>
    <row r="1326" spans="1:42" x14ac:dyDescent="0.25">
      <c r="A1326">
        <v>408</v>
      </c>
      <c r="B1326">
        <v>8</v>
      </c>
      <c r="E1326" t="s">
        <v>4786</v>
      </c>
      <c r="F1326" t="b">
        <v>0</v>
      </c>
      <c r="I1326" t="s">
        <v>5807</v>
      </c>
      <c r="K1326" t="s">
        <v>5422</v>
      </c>
      <c r="L1326" t="s">
        <v>5422</v>
      </c>
      <c r="M1326" t="s">
        <v>4788</v>
      </c>
      <c r="N1326" t="s">
        <v>4788</v>
      </c>
      <c r="O1326">
        <v>3120.61</v>
      </c>
      <c r="Q1326">
        <v>0</v>
      </c>
      <c r="R1326">
        <v>0</v>
      </c>
      <c r="S1326">
        <v>3120.61</v>
      </c>
      <c r="T1326" t="s">
        <v>4789</v>
      </c>
      <c r="U1326">
        <v>1</v>
      </c>
      <c r="V1326">
        <v>3120.61</v>
      </c>
      <c r="W1326" t="s">
        <v>4343</v>
      </c>
      <c r="Y1326" t="b">
        <v>1</v>
      </c>
      <c r="Z1326" t="b">
        <v>0</v>
      </c>
      <c r="AA1326">
        <v>3120.61</v>
      </c>
      <c r="AB1326">
        <v>0</v>
      </c>
      <c r="AD1326" t="b">
        <v>0</v>
      </c>
      <c r="AG1326" s="1" t="s">
        <v>64</v>
      </c>
      <c r="AH1326" s="1" t="s">
        <v>79</v>
      </c>
      <c r="AI1326">
        <v>333</v>
      </c>
      <c r="AJ1326">
        <v>80</v>
      </c>
      <c r="AK1326" s="106">
        <v>45475.635449305555</v>
      </c>
      <c r="AL1326" s="1" t="s">
        <v>4790</v>
      </c>
      <c r="AM1326" s="42">
        <f>IFERROR(INDEX('Public procurment'!A:R,MATCH(ListOfExpenditure[[#This Row],[Content.contractId]],'Public procurment'!E:E,0),14),0)</f>
        <v>0</v>
      </c>
      <c r="AN1326" s="2">
        <f>IF(AND(ListOfExpenditure[[#This Row],[Contract amount]]&gt;10000,ListOfExpenditure[[#This Row],[Content.declaredAmount]]&gt;2000),1,0)</f>
        <v>0</v>
      </c>
      <c r="AO1326">
        <f>IFERROR(INDEX('Public procurment'!A:S,MATCH(ListOfExpenditure[[#This Row],[Content.contractId]],'Public procurment'!E:E,0),19),0)</f>
        <v>0</v>
      </c>
      <c r="AP1326">
        <f>IF(ListOfExpenditure[[#This Row],[Numero di volte controllato il contract ]]&gt;0,0,ListOfExpenditure[[#This Row],[IF public procurment &gt;10000;1;0]])</f>
        <v>0</v>
      </c>
    </row>
    <row r="1327" spans="1:42" x14ac:dyDescent="0.25">
      <c r="A1327">
        <v>409</v>
      </c>
      <c r="B1327">
        <v>9</v>
      </c>
      <c r="E1327" t="s">
        <v>4786</v>
      </c>
      <c r="F1327" t="b">
        <v>0</v>
      </c>
      <c r="I1327" t="s">
        <v>5811</v>
      </c>
      <c r="K1327" t="s">
        <v>5422</v>
      </c>
      <c r="L1327" t="s">
        <v>5422</v>
      </c>
      <c r="M1327" t="s">
        <v>4788</v>
      </c>
      <c r="N1327" t="s">
        <v>4788</v>
      </c>
      <c r="O1327">
        <v>3156.36</v>
      </c>
      <c r="Q1327">
        <v>0</v>
      </c>
      <c r="R1327">
        <v>0</v>
      </c>
      <c r="S1327">
        <v>3156.36</v>
      </c>
      <c r="T1327" t="s">
        <v>4789</v>
      </c>
      <c r="U1327">
        <v>1</v>
      </c>
      <c r="V1327">
        <v>3156.36</v>
      </c>
      <c r="W1327" t="s">
        <v>4343</v>
      </c>
      <c r="Y1327" t="b">
        <v>1</v>
      </c>
      <c r="Z1327" t="b">
        <v>0</v>
      </c>
      <c r="AA1327">
        <v>3156.36</v>
      </c>
      <c r="AB1327">
        <v>0</v>
      </c>
      <c r="AD1327" t="b">
        <v>0</v>
      </c>
      <c r="AG1327" s="1" t="s">
        <v>64</v>
      </c>
      <c r="AH1327" s="1" t="s">
        <v>79</v>
      </c>
      <c r="AI1327">
        <v>333</v>
      </c>
      <c r="AJ1327">
        <v>80</v>
      </c>
      <c r="AK1327" s="106">
        <v>45475.635449305555</v>
      </c>
      <c r="AL1327" s="1" t="s">
        <v>4790</v>
      </c>
      <c r="AM1327" s="42">
        <f>IFERROR(INDEX('Public procurment'!A:R,MATCH(ListOfExpenditure[[#This Row],[Content.contractId]],'Public procurment'!E:E,0),14),0)</f>
        <v>0</v>
      </c>
      <c r="AN1327" s="2">
        <f>IF(AND(ListOfExpenditure[[#This Row],[Contract amount]]&gt;10000,ListOfExpenditure[[#This Row],[Content.declaredAmount]]&gt;2000),1,0)</f>
        <v>0</v>
      </c>
      <c r="AO1327">
        <f>IFERROR(INDEX('Public procurment'!A:S,MATCH(ListOfExpenditure[[#This Row],[Content.contractId]],'Public procurment'!E:E,0),19),0)</f>
        <v>0</v>
      </c>
      <c r="AP1327">
        <f>IF(ListOfExpenditure[[#This Row],[Numero di volte controllato il contract ]]&gt;0,0,ListOfExpenditure[[#This Row],[IF public procurment &gt;10000;1;0]])</f>
        <v>0</v>
      </c>
    </row>
    <row r="1328" spans="1:42" x14ac:dyDescent="0.25">
      <c r="A1328">
        <v>410</v>
      </c>
      <c r="B1328">
        <v>10</v>
      </c>
      <c r="E1328" t="s">
        <v>4786</v>
      </c>
      <c r="F1328" t="b">
        <v>0</v>
      </c>
      <c r="I1328" t="s">
        <v>5812</v>
      </c>
      <c r="K1328" t="s">
        <v>5422</v>
      </c>
      <c r="L1328" t="s">
        <v>5422</v>
      </c>
      <c r="M1328" t="s">
        <v>4788</v>
      </c>
      <c r="N1328" t="s">
        <v>4788</v>
      </c>
      <c r="O1328">
        <v>3156.36</v>
      </c>
      <c r="Q1328">
        <v>0</v>
      </c>
      <c r="R1328">
        <v>0</v>
      </c>
      <c r="S1328">
        <v>3156.36</v>
      </c>
      <c r="T1328" t="s">
        <v>4789</v>
      </c>
      <c r="U1328">
        <v>1</v>
      </c>
      <c r="V1328">
        <v>3156.36</v>
      </c>
      <c r="W1328" t="s">
        <v>4343</v>
      </c>
      <c r="Y1328" t="b">
        <v>1</v>
      </c>
      <c r="Z1328" t="b">
        <v>0</v>
      </c>
      <c r="AA1328">
        <v>3156.36</v>
      </c>
      <c r="AB1328">
        <v>0</v>
      </c>
      <c r="AD1328" t="b">
        <v>0</v>
      </c>
      <c r="AG1328" s="1" t="s">
        <v>64</v>
      </c>
      <c r="AH1328" s="1" t="s">
        <v>79</v>
      </c>
      <c r="AI1328">
        <v>333</v>
      </c>
      <c r="AJ1328">
        <v>80</v>
      </c>
      <c r="AK1328" s="106">
        <v>45475.635449305555</v>
      </c>
      <c r="AL1328" s="1" t="s">
        <v>4790</v>
      </c>
      <c r="AM1328" s="42">
        <f>IFERROR(INDEX('Public procurment'!A:R,MATCH(ListOfExpenditure[[#This Row],[Content.contractId]],'Public procurment'!E:E,0),14),0)</f>
        <v>0</v>
      </c>
      <c r="AN1328" s="2">
        <f>IF(AND(ListOfExpenditure[[#This Row],[Contract amount]]&gt;10000,ListOfExpenditure[[#This Row],[Content.declaredAmount]]&gt;2000),1,0)</f>
        <v>0</v>
      </c>
      <c r="AO1328">
        <f>IFERROR(INDEX('Public procurment'!A:S,MATCH(ListOfExpenditure[[#This Row],[Content.contractId]],'Public procurment'!E:E,0),19),0)</f>
        <v>0</v>
      </c>
      <c r="AP1328">
        <f>IF(ListOfExpenditure[[#This Row],[Numero di volte controllato il contract ]]&gt;0,0,ListOfExpenditure[[#This Row],[IF public procurment &gt;10000;1;0]])</f>
        <v>0</v>
      </c>
    </row>
    <row r="1329" spans="1:42" x14ac:dyDescent="0.25">
      <c r="A1329">
        <v>411</v>
      </c>
      <c r="B1329">
        <v>11</v>
      </c>
      <c r="E1329" t="s">
        <v>4786</v>
      </c>
      <c r="F1329" t="b">
        <v>0</v>
      </c>
      <c r="I1329" t="s">
        <v>5813</v>
      </c>
      <c r="K1329" t="s">
        <v>5422</v>
      </c>
      <c r="L1329" t="s">
        <v>5422</v>
      </c>
      <c r="M1329" t="s">
        <v>4788</v>
      </c>
      <c r="N1329" t="s">
        <v>4788</v>
      </c>
      <c r="O1329">
        <v>3156.36</v>
      </c>
      <c r="Q1329">
        <v>0</v>
      </c>
      <c r="R1329">
        <v>0</v>
      </c>
      <c r="S1329">
        <v>3156.36</v>
      </c>
      <c r="T1329" t="s">
        <v>4789</v>
      </c>
      <c r="U1329">
        <v>1</v>
      </c>
      <c r="V1329">
        <v>3156.36</v>
      </c>
      <c r="W1329" t="s">
        <v>4343</v>
      </c>
      <c r="Y1329" t="b">
        <v>1</v>
      </c>
      <c r="Z1329" t="b">
        <v>0</v>
      </c>
      <c r="AA1329">
        <v>3156.36</v>
      </c>
      <c r="AB1329">
        <v>0</v>
      </c>
      <c r="AD1329" t="b">
        <v>0</v>
      </c>
      <c r="AG1329" s="1" t="s">
        <v>64</v>
      </c>
      <c r="AH1329" s="1" t="s">
        <v>79</v>
      </c>
      <c r="AI1329">
        <v>333</v>
      </c>
      <c r="AJ1329">
        <v>80</v>
      </c>
      <c r="AK1329" s="106">
        <v>45475.635449305555</v>
      </c>
      <c r="AL1329" s="1" t="s">
        <v>4790</v>
      </c>
      <c r="AM1329" s="42">
        <f>IFERROR(INDEX('Public procurment'!A:R,MATCH(ListOfExpenditure[[#This Row],[Content.contractId]],'Public procurment'!E:E,0),14),0)</f>
        <v>0</v>
      </c>
      <c r="AN1329" s="2">
        <f>IF(AND(ListOfExpenditure[[#This Row],[Contract amount]]&gt;10000,ListOfExpenditure[[#This Row],[Content.declaredAmount]]&gt;2000),1,0)</f>
        <v>0</v>
      </c>
      <c r="AO1329">
        <f>IFERROR(INDEX('Public procurment'!A:S,MATCH(ListOfExpenditure[[#This Row],[Content.contractId]],'Public procurment'!E:E,0),19),0)</f>
        <v>0</v>
      </c>
      <c r="AP1329">
        <f>IF(ListOfExpenditure[[#This Row],[Numero di volte controllato il contract ]]&gt;0,0,ListOfExpenditure[[#This Row],[IF public procurment &gt;10000;1;0]])</f>
        <v>0</v>
      </c>
    </row>
    <row r="1330" spans="1:42" x14ac:dyDescent="0.25">
      <c r="A1330">
        <v>412</v>
      </c>
      <c r="B1330">
        <v>12</v>
      </c>
      <c r="E1330" t="s">
        <v>4786</v>
      </c>
      <c r="F1330" t="b">
        <v>0</v>
      </c>
      <c r="I1330" t="s">
        <v>5814</v>
      </c>
      <c r="K1330" t="s">
        <v>5425</v>
      </c>
      <c r="L1330" t="s">
        <v>5425</v>
      </c>
      <c r="M1330" t="s">
        <v>4788</v>
      </c>
      <c r="N1330" t="s">
        <v>4788</v>
      </c>
      <c r="O1330">
        <v>3120.61</v>
      </c>
      <c r="Q1330">
        <v>0</v>
      </c>
      <c r="R1330">
        <v>0</v>
      </c>
      <c r="S1330">
        <v>3120.61</v>
      </c>
      <c r="T1330" t="s">
        <v>4789</v>
      </c>
      <c r="U1330">
        <v>1</v>
      </c>
      <c r="V1330">
        <v>3120.61</v>
      </c>
      <c r="W1330" t="s">
        <v>4343</v>
      </c>
      <c r="Y1330" t="b">
        <v>1</v>
      </c>
      <c r="Z1330" t="b">
        <v>0</v>
      </c>
      <c r="AA1330">
        <v>3120.61</v>
      </c>
      <c r="AB1330">
        <v>0</v>
      </c>
      <c r="AD1330" t="b">
        <v>0</v>
      </c>
      <c r="AG1330" s="1" t="s">
        <v>64</v>
      </c>
      <c r="AH1330" s="1" t="s">
        <v>79</v>
      </c>
      <c r="AI1330">
        <v>333</v>
      </c>
      <c r="AJ1330">
        <v>80</v>
      </c>
      <c r="AK1330" s="106">
        <v>45475.635449305555</v>
      </c>
      <c r="AL1330" s="1" t="s">
        <v>4790</v>
      </c>
      <c r="AM1330" s="42">
        <f>IFERROR(INDEX('Public procurment'!A:R,MATCH(ListOfExpenditure[[#This Row],[Content.contractId]],'Public procurment'!E:E,0),14),0)</f>
        <v>0</v>
      </c>
      <c r="AN1330" s="2">
        <f>IF(AND(ListOfExpenditure[[#This Row],[Contract amount]]&gt;10000,ListOfExpenditure[[#This Row],[Content.declaredAmount]]&gt;2000),1,0)</f>
        <v>0</v>
      </c>
      <c r="AO1330">
        <f>IFERROR(INDEX('Public procurment'!A:S,MATCH(ListOfExpenditure[[#This Row],[Content.contractId]],'Public procurment'!E:E,0),19),0)</f>
        <v>0</v>
      </c>
      <c r="AP1330">
        <f>IF(ListOfExpenditure[[#This Row],[Numero di volte controllato il contract ]]&gt;0,0,ListOfExpenditure[[#This Row],[IF public procurment &gt;10000;1;0]])</f>
        <v>0</v>
      </c>
    </row>
    <row r="1331" spans="1:42" x14ac:dyDescent="0.25">
      <c r="A1331">
        <v>413</v>
      </c>
      <c r="B1331">
        <v>13</v>
      </c>
      <c r="E1331" t="s">
        <v>4786</v>
      </c>
      <c r="F1331" t="b">
        <v>0</v>
      </c>
      <c r="I1331" t="s">
        <v>5815</v>
      </c>
      <c r="K1331" t="s">
        <v>5425</v>
      </c>
      <c r="L1331" t="s">
        <v>5425</v>
      </c>
      <c r="M1331" t="s">
        <v>4788</v>
      </c>
      <c r="N1331" t="s">
        <v>4788</v>
      </c>
      <c r="O1331">
        <v>3156.36</v>
      </c>
      <c r="Q1331">
        <v>0</v>
      </c>
      <c r="R1331">
        <v>0</v>
      </c>
      <c r="S1331">
        <v>3156.36</v>
      </c>
      <c r="T1331" t="s">
        <v>4789</v>
      </c>
      <c r="U1331">
        <v>1</v>
      </c>
      <c r="V1331">
        <v>3156.36</v>
      </c>
      <c r="W1331" t="s">
        <v>4343</v>
      </c>
      <c r="Y1331" t="b">
        <v>1</v>
      </c>
      <c r="Z1331" t="b">
        <v>0</v>
      </c>
      <c r="AA1331">
        <v>3156.36</v>
      </c>
      <c r="AB1331">
        <v>0</v>
      </c>
      <c r="AD1331" t="b">
        <v>0</v>
      </c>
      <c r="AG1331" s="1" t="s">
        <v>64</v>
      </c>
      <c r="AH1331" s="1" t="s">
        <v>79</v>
      </c>
      <c r="AI1331">
        <v>333</v>
      </c>
      <c r="AJ1331">
        <v>80</v>
      </c>
      <c r="AK1331" s="106">
        <v>45475.635449305555</v>
      </c>
      <c r="AL1331" s="1" t="s">
        <v>4790</v>
      </c>
      <c r="AM1331" s="42">
        <f>IFERROR(INDEX('Public procurment'!A:R,MATCH(ListOfExpenditure[[#This Row],[Content.contractId]],'Public procurment'!E:E,0),14),0)</f>
        <v>0</v>
      </c>
      <c r="AN1331" s="2">
        <f>IF(AND(ListOfExpenditure[[#This Row],[Contract amount]]&gt;10000,ListOfExpenditure[[#This Row],[Content.declaredAmount]]&gt;2000),1,0)</f>
        <v>0</v>
      </c>
      <c r="AO1331">
        <f>IFERROR(INDEX('Public procurment'!A:S,MATCH(ListOfExpenditure[[#This Row],[Content.contractId]],'Public procurment'!E:E,0),19),0)</f>
        <v>0</v>
      </c>
      <c r="AP1331">
        <f>IF(ListOfExpenditure[[#This Row],[Numero di volte controllato il contract ]]&gt;0,0,ListOfExpenditure[[#This Row],[IF public procurment &gt;10000;1;0]])</f>
        <v>0</v>
      </c>
    </row>
    <row r="1332" spans="1:42" x14ac:dyDescent="0.25">
      <c r="A1332">
        <v>414</v>
      </c>
      <c r="B1332">
        <v>14</v>
      </c>
      <c r="E1332" t="s">
        <v>4786</v>
      </c>
      <c r="F1332" t="b">
        <v>0</v>
      </c>
      <c r="I1332" t="s">
        <v>5816</v>
      </c>
      <c r="K1332" t="s">
        <v>5425</v>
      </c>
      <c r="L1332" t="s">
        <v>5425</v>
      </c>
      <c r="M1332" t="s">
        <v>4788</v>
      </c>
      <c r="N1332" t="s">
        <v>4788</v>
      </c>
      <c r="O1332">
        <v>3156.36</v>
      </c>
      <c r="Q1332">
        <v>0</v>
      </c>
      <c r="R1332">
        <v>0</v>
      </c>
      <c r="S1332">
        <v>3156.36</v>
      </c>
      <c r="T1332" t="s">
        <v>4789</v>
      </c>
      <c r="U1332">
        <v>1</v>
      </c>
      <c r="V1332">
        <v>3156.36</v>
      </c>
      <c r="W1332" t="s">
        <v>4343</v>
      </c>
      <c r="Y1332" t="b">
        <v>1</v>
      </c>
      <c r="Z1332" t="b">
        <v>0</v>
      </c>
      <c r="AA1332">
        <v>3156.36</v>
      </c>
      <c r="AB1332">
        <v>0</v>
      </c>
      <c r="AD1332" t="b">
        <v>0</v>
      </c>
      <c r="AG1332" s="1" t="s">
        <v>64</v>
      </c>
      <c r="AH1332" s="1" t="s">
        <v>79</v>
      </c>
      <c r="AI1332">
        <v>333</v>
      </c>
      <c r="AJ1332">
        <v>80</v>
      </c>
      <c r="AK1332" s="106">
        <v>45475.635449305555</v>
      </c>
      <c r="AL1332" s="1" t="s">
        <v>4790</v>
      </c>
      <c r="AM1332" s="42">
        <f>IFERROR(INDEX('Public procurment'!A:R,MATCH(ListOfExpenditure[[#This Row],[Content.contractId]],'Public procurment'!E:E,0),14),0)</f>
        <v>0</v>
      </c>
      <c r="AN1332" s="2">
        <f>IF(AND(ListOfExpenditure[[#This Row],[Contract amount]]&gt;10000,ListOfExpenditure[[#This Row],[Content.declaredAmount]]&gt;2000),1,0)</f>
        <v>0</v>
      </c>
      <c r="AO1332">
        <f>IFERROR(INDEX('Public procurment'!A:S,MATCH(ListOfExpenditure[[#This Row],[Content.contractId]],'Public procurment'!E:E,0),19),0)</f>
        <v>0</v>
      </c>
      <c r="AP1332">
        <f>IF(ListOfExpenditure[[#This Row],[Numero di volte controllato il contract ]]&gt;0,0,ListOfExpenditure[[#This Row],[IF public procurment &gt;10000;1;0]])</f>
        <v>0</v>
      </c>
    </row>
    <row r="1333" spans="1:42" x14ac:dyDescent="0.25">
      <c r="A1333">
        <v>415</v>
      </c>
      <c r="B1333">
        <v>15</v>
      </c>
      <c r="E1333" t="s">
        <v>4786</v>
      </c>
      <c r="F1333" t="b">
        <v>0</v>
      </c>
      <c r="I1333" t="s">
        <v>5817</v>
      </c>
      <c r="K1333" t="s">
        <v>5425</v>
      </c>
      <c r="L1333" t="s">
        <v>5425</v>
      </c>
      <c r="M1333" t="s">
        <v>4788</v>
      </c>
      <c r="N1333" t="s">
        <v>4788</v>
      </c>
      <c r="O1333">
        <v>3156.36</v>
      </c>
      <c r="Q1333">
        <v>0</v>
      </c>
      <c r="R1333">
        <v>0</v>
      </c>
      <c r="S1333">
        <v>3156.36</v>
      </c>
      <c r="T1333" t="s">
        <v>4789</v>
      </c>
      <c r="U1333">
        <v>1</v>
      </c>
      <c r="V1333">
        <v>3156.36</v>
      </c>
      <c r="W1333" t="s">
        <v>4343</v>
      </c>
      <c r="Y1333" t="b">
        <v>1</v>
      </c>
      <c r="Z1333" t="b">
        <v>0</v>
      </c>
      <c r="AA1333">
        <v>3156.36</v>
      </c>
      <c r="AB1333">
        <v>0</v>
      </c>
      <c r="AD1333" t="b">
        <v>0</v>
      </c>
      <c r="AG1333" s="1" t="s">
        <v>64</v>
      </c>
      <c r="AH1333" s="1" t="s">
        <v>79</v>
      </c>
      <c r="AI1333">
        <v>333</v>
      </c>
      <c r="AJ1333">
        <v>80</v>
      </c>
      <c r="AK1333" s="106">
        <v>45475.635449305555</v>
      </c>
      <c r="AL1333" s="1" t="s">
        <v>4790</v>
      </c>
      <c r="AM1333" s="42">
        <f>IFERROR(INDEX('Public procurment'!A:R,MATCH(ListOfExpenditure[[#This Row],[Content.contractId]],'Public procurment'!E:E,0),14),0)</f>
        <v>0</v>
      </c>
      <c r="AN1333" s="2">
        <f>IF(AND(ListOfExpenditure[[#This Row],[Contract amount]]&gt;10000,ListOfExpenditure[[#This Row],[Content.declaredAmount]]&gt;2000),1,0)</f>
        <v>0</v>
      </c>
      <c r="AO1333">
        <f>IFERROR(INDEX('Public procurment'!A:S,MATCH(ListOfExpenditure[[#This Row],[Content.contractId]],'Public procurment'!E:E,0),19),0)</f>
        <v>0</v>
      </c>
      <c r="AP1333">
        <f>IF(ListOfExpenditure[[#This Row],[Numero di volte controllato il contract ]]&gt;0,0,ListOfExpenditure[[#This Row],[IF public procurment &gt;10000;1;0]])</f>
        <v>0</v>
      </c>
    </row>
    <row r="1334" spans="1:42" x14ac:dyDescent="0.25">
      <c r="A1334">
        <v>416</v>
      </c>
      <c r="B1334">
        <v>16</v>
      </c>
      <c r="E1334" t="s">
        <v>4786</v>
      </c>
      <c r="F1334" t="b">
        <v>0</v>
      </c>
      <c r="I1334" t="s">
        <v>5818</v>
      </c>
      <c r="K1334" t="s">
        <v>5428</v>
      </c>
      <c r="L1334" t="s">
        <v>5428</v>
      </c>
      <c r="M1334" t="s">
        <v>4788</v>
      </c>
      <c r="N1334" t="s">
        <v>4788</v>
      </c>
      <c r="O1334">
        <v>3120.61</v>
      </c>
      <c r="Q1334">
        <v>0</v>
      </c>
      <c r="R1334">
        <v>0</v>
      </c>
      <c r="S1334">
        <v>3120.61</v>
      </c>
      <c r="T1334" t="s">
        <v>4789</v>
      </c>
      <c r="U1334">
        <v>1</v>
      </c>
      <c r="V1334">
        <v>3120.61</v>
      </c>
      <c r="W1334" t="s">
        <v>4343</v>
      </c>
      <c r="Y1334" t="b">
        <v>1</v>
      </c>
      <c r="Z1334" t="b">
        <v>0</v>
      </c>
      <c r="AA1334">
        <v>3120.61</v>
      </c>
      <c r="AB1334">
        <v>0</v>
      </c>
      <c r="AD1334" t="b">
        <v>0</v>
      </c>
      <c r="AG1334" s="1" t="s">
        <v>64</v>
      </c>
      <c r="AH1334" s="1" t="s">
        <v>79</v>
      </c>
      <c r="AI1334">
        <v>333</v>
      </c>
      <c r="AJ1334">
        <v>80</v>
      </c>
      <c r="AK1334" s="106">
        <v>45475.635449305555</v>
      </c>
      <c r="AL1334" s="1" t="s">
        <v>4790</v>
      </c>
      <c r="AM1334" s="42">
        <f>IFERROR(INDEX('Public procurment'!A:R,MATCH(ListOfExpenditure[[#This Row],[Content.contractId]],'Public procurment'!E:E,0),14),0)</f>
        <v>0</v>
      </c>
      <c r="AN1334" s="2">
        <f>IF(AND(ListOfExpenditure[[#This Row],[Contract amount]]&gt;10000,ListOfExpenditure[[#This Row],[Content.declaredAmount]]&gt;2000),1,0)</f>
        <v>0</v>
      </c>
      <c r="AO1334">
        <f>IFERROR(INDEX('Public procurment'!A:S,MATCH(ListOfExpenditure[[#This Row],[Content.contractId]],'Public procurment'!E:E,0),19),0)</f>
        <v>0</v>
      </c>
      <c r="AP1334">
        <f>IF(ListOfExpenditure[[#This Row],[Numero di volte controllato il contract ]]&gt;0,0,ListOfExpenditure[[#This Row],[IF public procurment &gt;10000;1;0]])</f>
        <v>0</v>
      </c>
    </row>
    <row r="1335" spans="1:42" x14ac:dyDescent="0.25">
      <c r="A1335">
        <v>417</v>
      </c>
      <c r="B1335">
        <v>17</v>
      </c>
      <c r="E1335" t="s">
        <v>4786</v>
      </c>
      <c r="F1335" t="b">
        <v>0</v>
      </c>
      <c r="I1335" t="s">
        <v>5819</v>
      </c>
      <c r="K1335" t="s">
        <v>5428</v>
      </c>
      <c r="L1335" t="s">
        <v>5428</v>
      </c>
      <c r="M1335" t="s">
        <v>4788</v>
      </c>
      <c r="N1335" t="s">
        <v>4788</v>
      </c>
      <c r="O1335">
        <v>3156.36</v>
      </c>
      <c r="Q1335">
        <v>0</v>
      </c>
      <c r="R1335">
        <v>0</v>
      </c>
      <c r="S1335">
        <v>3156.36</v>
      </c>
      <c r="T1335" t="s">
        <v>4789</v>
      </c>
      <c r="U1335">
        <v>1</v>
      </c>
      <c r="V1335">
        <v>3156.36</v>
      </c>
      <c r="W1335" t="s">
        <v>4343</v>
      </c>
      <c r="Y1335" t="b">
        <v>1</v>
      </c>
      <c r="Z1335" t="b">
        <v>0</v>
      </c>
      <c r="AA1335">
        <v>3156.36</v>
      </c>
      <c r="AB1335">
        <v>0</v>
      </c>
      <c r="AD1335" t="b">
        <v>0</v>
      </c>
      <c r="AG1335" s="1" t="s">
        <v>64</v>
      </c>
      <c r="AH1335" s="1" t="s">
        <v>79</v>
      </c>
      <c r="AI1335">
        <v>333</v>
      </c>
      <c r="AJ1335">
        <v>80</v>
      </c>
      <c r="AK1335" s="106">
        <v>45475.635449305555</v>
      </c>
      <c r="AL1335" s="1" t="s">
        <v>4790</v>
      </c>
      <c r="AM1335" s="42">
        <f>IFERROR(INDEX('Public procurment'!A:R,MATCH(ListOfExpenditure[[#This Row],[Content.contractId]],'Public procurment'!E:E,0),14),0)</f>
        <v>0</v>
      </c>
      <c r="AN1335" s="2">
        <f>IF(AND(ListOfExpenditure[[#This Row],[Contract amount]]&gt;10000,ListOfExpenditure[[#This Row],[Content.declaredAmount]]&gt;2000),1,0)</f>
        <v>0</v>
      </c>
      <c r="AO1335">
        <f>IFERROR(INDEX('Public procurment'!A:S,MATCH(ListOfExpenditure[[#This Row],[Content.contractId]],'Public procurment'!E:E,0),19),0)</f>
        <v>0</v>
      </c>
      <c r="AP1335">
        <f>IF(ListOfExpenditure[[#This Row],[Numero di volte controllato il contract ]]&gt;0,0,ListOfExpenditure[[#This Row],[IF public procurment &gt;10000;1;0]])</f>
        <v>0</v>
      </c>
    </row>
    <row r="1336" spans="1:42" x14ac:dyDescent="0.25">
      <c r="A1336">
        <v>418</v>
      </c>
      <c r="B1336">
        <v>18</v>
      </c>
      <c r="E1336" t="s">
        <v>4786</v>
      </c>
      <c r="F1336" t="b">
        <v>0</v>
      </c>
      <c r="I1336" t="s">
        <v>5820</v>
      </c>
      <c r="K1336" t="s">
        <v>5428</v>
      </c>
      <c r="L1336" t="s">
        <v>5428</v>
      </c>
      <c r="M1336" t="s">
        <v>4788</v>
      </c>
      <c r="N1336" t="s">
        <v>4788</v>
      </c>
      <c r="O1336">
        <v>3156.36</v>
      </c>
      <c r="Q1336">
        <v>0</v>
      </c>
      <c r="R1336">
        <v>0</v>
      </c>
      <c r="S1336">
        <v>3156.36</v>
      </c>
      <c r="T1336" t="s">
        <v>4789</v>
      </c>
      <c r="U1336">
        <v>1</v>
      </c>
      <c r="V1336">
        <v>3156.36</v>
      </c>
      <c r="W1336" t="s">
        <v>4343</v>
      </c>
      <c r="Y1336" t="b">
        <v>1</v>
      </c>
      <c r="Z1336" t="b">
        <v>0</v>
      </c>
      <c r="AA1336">
        <v>3156.36</v>
      </c>
      <c r="AB1336">
        <v>0</v>
      </c>
      <c r="AD1336" t="b">
        <v>0</v>
      </c>
      <c r="AG1336" s="1" t="s">
        <v>64</v>
      </c>
      <c r="AH1336" s="1" t="s">
        <v>79</v>
      </c>
      <c r="AI1336">
        <v>333</v>
      </c>
      <c r="AJ1336">
        <v>80</v>
      </c>
      <c r="AK1336" s="106">
        <v>45475.635449305555</v>
      </c>
      <c r="AL1336" s="1" t="s">
        <v>4790</v>
      </c>
      <c r="AM1336" s="42">
        <f>IFERROR(INDEX('Public procurment'!A:R,MATCH(ListOfExpenditure[[#This Row],[Content.contractId]],'Public procurment'!E:E,0),14),0)</f>
        <v>0</v>
      </c>
      <c r="AN1336" s="2">
        <f>IF(AND(ListOfExpenditure[[#This Row],[Contract amount]]&gt;10000,ListOfExpenditure[[#This Row],[Content.declaredAmount]]&gt;2000),1,0)</f>
        <v>0</v>
      </c>
      <c r="AO1336">
        <f>IFERROR(INDEX('Public procurment'!A:S,MATCH(ListOfExpenditure[[#This Row],[Content.contractId]],'Public procurment'!E:E,0),19),0)</f>
        <v>0</v>
      </c>
      <c r="AP1336">
        <f>IF(ListOfExpenditure[[#This Row],[Numero di volte controllato il contract ]]&gt;0,0,ListOfExpenditure[[#This Row],[IF public procurment &gt;10000;1;0]])</f>
        <v>0</v>
      </c>
    </row>
    <row r="1337" spans="1:42" x14ac:dyDescent="0.25">
      <c r="A1337">
        <v>419</v>
      </c>
      <c r="B1337">
        <v>19</v>
      </c>
      <c r="E1337" t="s">
        <v>4786</v>
      </c>
      <c r="F1337" t="b">
        <v>0</v>
      </c>
      <c r="I1337" t="s">
        <v>5821</v>
      </c>
      <c r="K1337" t="s">
        <v>5428</v>
      </c>
      <c r="L1337" t="s">
        <v>5428</v>
      </c>
      <c r="M1337" t="s">
        <v>4788</v>
      </c>
      <c r="N1337" t="s">
        <v>4788</v>
      </c>
      <c r="O1337">
        <v>3156.36</v>
      </c>
      <c r="Q1337">
        <v>0</v>
      </c>
      <c r="R1337">
        <v>0</v>
      </c>
      <c r="S1337">
        <v>3156.36</v>
      </c>
      <c r="T1337" t="s">
        <v>4789</v>
      </c>
      <c r="U1337">
        <v>1</v>
      </c>
      <c r="V1337">
        <v>3156.36</v>
      </c>
      <c r="W1337" t="s">
        <v>4343</v>
      </c>
      <c r="Y1337" t="b">
        <v>1</v>
      </c>
      <c r="Z1337" t="b">
        <v>0</v>
      </c>
      <c r="AA1337">
        <v>3156.36</v>
      </c>
      <c r="AB1337">
        <v>0</v>
      </c>
      <c r="AD1337" t="b">
        <v>0</v>
      </c>
      <c r="AG1337" s="1" t="s">
        <v>64</v>
      </c>
      <c r="AH1337" s="1" t="s">
        <v>79</v>
      </c>
      <c r="AI1337">
        <v>333</v>
      </c>
      <c r="AJ1337">
        <v>80</v>
      </c>
      <c r="AK1337" s="106">
        <v>45475.635449305555</v>
      </c>
      <c r="AL1337" s="1" t="s">
        <v>4790</v>
      </c>
      <c r="AM1337" s="42">
        <f>IFERROR(INDEX('Public procurment'!A:R,MATCH(ListOfExpenditure[[#This Row],[Content.contractId]],'Public procurment'!E:E,0),14),0)</f>
        <v>0</v>
      </c>
      <c r="AN1337" s="2">
        <f>IF(AND(ListOfExpenditure[[#This Row],[Contract amount]]&gt;10000,ListOfExpenditure[[#This Row],[Content.declaredAmount]]&gt;2000),1,0)</f>
        <v>0</v>
      </c>
      <c r="AO1337">
        <f>IFERROR(INDEX('Public procurment'!A:S,MATCH(ListOfExpenditure[[#This Row],[Content.contractId]],'Public procurment'!E:E,0),19),0)</f>
        <v>0</v>
      </c>
      <c r="AP1337">
        <f>IF(ListOfExpenditure[[#This Row],[Numero di volte controllato il contract ]]&gt;0,0,ListOfExpenditure[[#This Row],[IF public procurment &gt;10000;1;0]])</f>
        <v>0</v>
      </c>
    </row>
    <row r="1338" spans="1:42" x14ac:dyDescent="0.25">
      <c r="A1338">
        <v>460</v>
      </c>
      <c r="B1338">
        <v>20</v>
      </c>
      <c r="E1338" t="s">
        <v>4786</v>
      </c>
      <c r="F1338" t="b">
        <v>0</v>
      </c>
      <c r="I1338" t="s">
        <v>5822</v>
      </c>
      <c r="K1338" t="s">
        <v>5315</v>
      </c>
      <c r="L1338" t="s">
        <v>5315</v>
      </c>
      <c r="M1338" t="s">
        <v>4788</v>
      </c>
      <c r="N1338" t="s">
        <v>4788</v>
      </c>
      <c r="O1338">
        <v>3120.61</v>
      </c>
      <c r="Q1338">
        <v>0</v>
      </c>
      <c r="R1338">
        <v>0</v>
      </c>
      <c r="S1338">
        <v>3120.61</v>
      </c>
      <c r="T1338" t="s">
        <v>4789</v>
      </c>
      <c r="U1338">
        <v>1</v>
      </c>
      <c r="V1338">
        <v>3120.61</v>
      </c>
      <c r="W1338" t="s">
        <v>4343</v>
      </c>
      <c r="Y1338" t="b">
        <v>1</v>
      </c>
      <c r="Z1338" t="b">
        <v>0</v>
      </c>
      <c r="AA1338">
        <v>3120.61</v>
      </c>
      <c r="AB1338">
        <v>0</v>
      </c>
      <c r="AD1338" t="b">
        <v>0</v>
      </c>
      <c r="AG1338" s="1" t="s">
        <v>64</v>
      </c>
      <c r="AH1338" s="1" t="s">
        <v>79</v>
      </c>
      <c r="AI1338">
        <v>333</v>
      </c>
      <c r="AJ1338">
        <v>80</v>
      </c>
      <c r="AK1338" s="106">
        <v>45475.635449305555</v>
      </c>
      <c r="AL1338" s="1" t="s">
        <v>4790</v>
      </c>
      <c r="AM1338" s="42">
        <f>IFERROR(INDEX('Public procurment'!A:R,MATCH(ListOfExpenditure[[#This Row],[Content.contractId]],'Public procurment'!E:E,0),14),0)</f>
        <v>0</v>
      </c>
      <c r="AN1338" s="2">
        <f>IF(AND(ListOfExpenditure[[#This Row],[Contract amount]]&gt;10000,ListOfExpenditure[[#This Row],[Content.declaredAmount]]&gt;2000),1,0)</f>
        <v>0</v>
      </c>
      <c r="AO1338">
        <f>IFERROR(INDEX('Public procurment'!A:S,MATCH(ListOfExpenditure[[#This Row],[Content.contractId]],'Public procurment'!E:E,0),19),0)</f>
        <v>0</v>
      </c>
      <c r="AP1338">
        <f>IF(ListOfExpenditure[[#This Row],[Numero di volte controllato il contract ]]&gt;0,0,ListOfExpenditure[[#This Row],[IF public procurment &gt;10000;1;0]])</f>
        <v>0</v>
      </c>
    </row>
    <row r="1339" spans="1:42" x14ac:dyDescent="0.25">
      <c r="A1339">
        <v>461</v>
      </c>
      <c r="B1339">
        <v>21</v>
      </c>
      <c r="E1339" t="s">
        <v>4786</v>
      </c>
      <c r="F1339" t="b">
        <v>0</v>
      </c>
      <c r="I1339" t="s">
        <v>5823</v>
      </c>
      <c r="K1339" t="s">
        <v>5315</v>
      </c>
      <c r="L1339" t="s">
        <v>5315</v>
      </c>
      <c r="M1339" t="s">
        <v>4788</v>
      </c>
      <c r="N1339" t="s">
        <v>4788</v>
      </c>
      <c r="O1339">
        <v>3156.36</v>
      </c>
      <c r="Q1339">
        <v>0</v>
      </c>
      <c r="R1339">
        <v>0</v>
      </c>
      <c r="S1339">
        <v>3156.36</v>
      </c>
      <c r="T1339" t="s">
        <v>4789</v>
      </c>
      <c r="U1339">
        <v>1</v>
      </c>
      <c r="V1339">
        <v>3156.36</v>
      </c>
      <c r="W1339" t="s">
        <v>4343</v>
      </c>
      <c r="Y1339" t="b">
        <v>1</v>
      </c>
      <c r="Z1339" t="b">
        <v>0</v>
      </c>
      <c r="AA1339">
        <v>3156.36</v>
      </c>
      <c r="AB1339">
        <v>0</v>
      </c>
      <c r="AD1339" t="b">
        <v>0</v>
      </c>
      <c r="AG1339" s="1" t="s">
        <v>64</v>
      </c>
      <c r="AH1339" s="1" t="s">
        <v>79</v>
      </c>
      <c r="AI1339">
        <v>333</v>
      </c>
      <c r="AJ1339">
        <v>80</v>
      </c>
      <c r="AK1339" s="106">
        <v>45475.635449305555</v>
      </c>
      <c r="AL1339" s="1" t="s">
        <v>4790</v>
      </c>
      <c r="AM1339" s="42">
        <f>IFERROR(INDEX('Public procurment'!A:R,MATCH(ListOfExpenditure[[#This Row],[Content.contractId]],'Public procurment'!E:E,0),14),0)</f>
        <v>0</v>
      </c>
      <c r="AN1339" s="2">
        <f>IF(AND(ListOfExpenditure[[#This Row],[Contract amount]]&gt;10000,ListOfExpenditure[[#This Row],[Content.declaredAmount]]&gt;2000),1,0)</f>
        <v>0</v>
      </c>
      <c r="AO1339">
        <f>IFERROR(INDEX('Public procurment'!A:S,MATCH(ListOfExpenditure[[#This Row],[Content.contractId]],'Public procurment'!E:E,0),19),0)</f>
        <v>0</v>
      </c>
      <c r="AP1339">
        <f>IF(ListOfExpenditure[[#This Row],[Numero di volte controllato il contract ]]&gt;0,0,ListOfExpenditure[[#This Row],[IF public procurment &gt;10000;1;0]])</f>
        <v>0</v>
      </c>
    </row>
    <row r="1340" spans="1:42" x14ac:dyDescent="0.25">
      <c r="A1340">
        <v>462</v>
      </c>
      <c r="B1340">
        <v>22</v>
      </c>
      <c r="E1340" t="s">
        <v>4786</v>
      </c>
      <c r="F1340" t="b">
        <v>0</v>
      </c>
      <c r="I1340" t="s">
        <v>5824</v>
      </c>
      <c r="K1340" t="s">
        <v>5315</v>
      </c>
      <c r="L1340" t="s">
        <v>5315</v>
      </c>
      <c r="M1340" t="s">
        <v>4788</v>
      </c>
      <c r="N1340" t="s">
        <v>4788</v>
      </c>
      <c r="O1340">
        <v>3156.36</v>
      </c>
      <c r="Q1340">
        <v>0</v>
      </c>
      <c r="R1340">
        <v>0</v>
      </c>
      <c r="S1340">
        <v>3156.36</v>
      </c>
      <c r="T1340" t="s">
        <v>4789</v>
      </c>
      <c r="U1340">
        <v>1</v>
      </c>
      <c r="V1340">
        <v>3156.36</v>
      </c>
      <c r="W1340" t="s">
        <v>4343</v>
      </c>
      <c r="Y1340" t="b">
        <v>1</v>
      </c>
      <c r="Z1340" t="b">
        <v>0</v>
      </c>
      <c r="AA1340">
        <v>3156.36</v>
      </c>
      <c r="AB1340">
        <v>0</v>
      </c>
      <c r="AD1340" t="b">
        <v>0</v>
      </c>
      <c r="AG1340" s="1" t="s">
        <v>64</v>
      </c>
      <c r="AH1340" s="1" t="s">
        <v>79</v>
      </c>
      <c r="AI1340">
        <v>333</v>
      </c>
      <c r="AJ1340">
        <v>80</v>
      </c>
      <c r="AK1340" s="106">
        <v>45475.635449305555</v>
      </c>
      <c r="AL1340" s="1" t="s">
        <v>4790</v>
      </c>
      <c r="AM1340" s="42">
        <f>IFERROR(INDEX('Public procurment'!A:R,MATCH(ListOfExpenditure[[#This Row],[Content.contractId]],'Public procurment'!E:E,0),14),0)</f>
        <v>0</v>
      </c>
      <c r="AN1340" s="2">
        <f>IF(AND(ListOfExpenditure[[#This Row],[Contract amount]]&gt;10000,ListOfExpenditure[[#This Row],[Content.declaredAmount]]&gt;2000),1,0)</f>
        <v>0</v>
      </c>
      <c r="AO1340">
        <f>IFERROR(INDEX('Public procurment'!A:S,MATCH(ListOfExpenditure[[#This Row],[Content.contractId]],'Public procurment'!E:E,0),19),0)</f>
        <v>0</v>
      </c>
      <c r="AP1340">
        <f>IF(ListOfExpenditure[[#This Row],[Numero di volte controllato il contract ]]&gt;0,0,ListOfExpenditure[[#This Row],[IF public procurment &gt;10000;1;0]])</f>
        <v>0</v>
      </c>
    </row>
    <row r="1341" spans="1:42" x14ac:dyDescent="0.25">
      <c r="A1341">
        <v>463</v>
      </c>
      <c r="B1341">
        <v>23</v>
      </c>
      <c r="E1341" t="s">
        <v>4786</v>
      </c>
      <c r="F1341" t="b">
        <v>0</v>
      </c>
      <c r="I1341" t="s">
        <v>5825</v>
      </c>
      <c r="K1341" t="s">
        <v>5315</v>
      </c>
      <c r="L1341" t="s">
        <v>5315</v>
      </c>
      <c r="M1341" t="s">
        <v>4788</v>
      </c>
      <c r="N1341" t="s">
        <v>4788</v>
      </c>
      <c r="O1341">
        <v>3156.36</v>
      </c>
      <c r="Q1341">
        <v>0</v>
      </c>
      <c r="R1341">
        <v>0</v>
      </c>
      <c r="S1341">
        <v>3156.36</v>
      </c>
      <c r="T1341" t="s">
        <v>4789</v>
      </c>
      <c r="U1341">
        <v>1</v>
      </c>
      <c r="V1341">
        <v>3156.36</v>
      </c>
      <c r="W1341" t="s">
        <v>4343</v>
      </c>
      <c r="Y1341" t="b">
        <v>1</v>
      </c>
      <c r="Z1341" t="b">
        <v>0</v>
      </c>
      <c r="AA1341">
        <v>3156.36</v>
      </c>
      <c r="AB1341">
        <v>0</v>
      </c>
      <c r="AD1341" t="b">
        <v>0</v>
      </c>
      <c r="AG1341" s="1" t="s">
        <v>64</v>
      </c>
      <c r="AH1341" s="1" t="s">
        <v>79</v>
      </c>
      <c r="AI1341">
        <v>333</v>
      </c>
      <c r="AJ1341">
        <v>80</v>
      </c>
      <c r="AK1341" s="106">
        <v>45475.635449305555</v>
      </c>
      <c r="AL1341" s="1" t="s">
        <v>4790</v>
      </c>
      <c r="AM1341" s="42">
        <f>IFERROR(INDEX('Public procurment'!A:R,MATCH(ListOfExpenditure[[#This Row],[Content.contractId]],'Public procurment'!E:E,0),14),0)</f>
        <v>0</v>
      </c>
      <c r="AN1341" s="2">
        <f>IF(AND(ListOfExpenditure[[#This Row],[Contract amount]]&gt;10000,ListOfExpenditure[[#This Row],[Content.declaredAmount]]&gt;2000),1,0)</f>
        <v>0</v>
      </c>
      <c r="AO1341">
        <f>IFERROR(INDEX('Public procurment'!A:S,MATCH(ListOfExpenditure[[#This Row],[Content.contractId]],'Public procurment'!E:E,0),19),0)</f>
        <v>0</v>
      </c>
      <c r="AP1341">
        <f>IF(ListOfExpenditure[[#This Row],[Numero di volte controllato il contract ]]&gt;0,0,ListOfExpenditure[[#This Row],[IF public procurment &gt;10000;1;0]])</f>
        <v>0</v>
      </c>
    </row>
    <row r="1342" spans="1:42" x14ac:dyDescent="0.25">
      <c r="A1342">
        <v>468</v>
      </c>
      <c r="B1342">
        <v>24</v>
      </c>
      <c r="E1342" t="s">
        <v>4786</v>
      </c>
      <c r="F1342" t="b">
        <v>0</v>
      </c>
      <c r="I1342" t="s">
        <v>5826</v>
      </c>
      <c r="K1342" t="s">
        <v>5360</v>
      </c>
      <c r="L1342" t="s">
        <v>5360</v>
      </c>
      <c r="M1342" t="s">
        <v>4788</v>
      </c>
      <c r="N1342" t="s">
        <v>4788</v>
      </c>
      <c r="O1342">
        <v>3120.61</v>
      </c>
      <c r="Q1342">
        <v>0</v>
      </c>
      <c r="R1342">
        <v>0</v>
      </c>
      <c r="S1342">
        <v>3120.61</v>
      </c>
      <c r="T1342" t="s">
        <v>4789</v>
      </c>
      <c r="U1342">
        <v>1</v>
      </c>
      <c r="V1342">
        <v>3120.61</v>
      </c>
      <c r="W1342" t="s">
        <v>4343</v>
      </c>
      <c r="Y1342" t="b">
        <v>1</v>
      </c>
      <c r="Z1342" t="b">
        <v>0</v>
      </c>
      <c r="AA1342">
        <v>3120.61</v>
      </c>
      <c r="AB1342">
        <v>0</v>
      </c>
      <c r="AD1342" t="b">
        <v>0</v>
      </c>
      <c r="AG1342" s="1" t="s">
        <v>64</v>
      </c>
      <c r="AH1342" s="1" t="s">
        <v>79</v>
      </c>
      <c r="AI1342">
        <v>333</v>
      </c>
      <c r="AJ1342">
        <v>80</v>
      </c>
      <c r="AK1342" s="106">
        <v>45475.635449305555</v>
      </c>
      <c r="AL1342" s="1" t="s">
        <v>4790</v>
      </c>
      <c r="AM1342" s="42">
        <f>IFERROR(INDEX('Public procurment'!A:R,MATCH(ListOfExpenditure[[#This Row],[Content.contractId]],'Public procurment'!E:E,0),14),0)</f>
        <v>0</v>
      </c>
      <c r="AN1342" s="2">
        <f>IF(AND(ListOfExpenditure[[#This Row],[Contract amount]]&gt;10000,ListOfExpenditure[[#This Row],[Content.declaredAmount]]&gt;2000),1,0)</f>
        <v>0</v>
      </c>
      <c r="AO1342">
        <f>IFERROR(INDEX('Public procurment'!A:S,MATCH(ListOfExpenditure[[#This Row],[Content.contractId]],'Public procurment'!E:E,0),19),0)</f>
        <v>0</v>
      </c>
      <c r="AP1342">
        <f>IF(ListOfExpenditure[[#This Row],[Numero di volte controllato il contract ]]&gt;0,0,ListOfExpenditure[[#This Row],[IF public procurment &gt;10000;1;0]])</f>
        <v>0</v>
      </c>
    </row>
    <row r="1343" spans="1:42" x14ac:dyDescent="0.25">
      <c r="A1343">
        <v>469</v>
      </c>
      <c r="B1343">
        <v>25</v>
      </c>
      <c r="E1343" t="s">
        <v>4786</v>
      </c>
      <c r="F1343" t="b">
        <v>0</v>
      </c>
      <c r="I1343" t="s">
        <v>5827</v>
      </c>
      <c r="K1343" t="s">
        <v>5360</v>
      </c>
      <c r="L1343" t="s">
        <v>5360</v>
      </c>
      <c r="M1343" t="s">
        <v>4788</v>
      </c>
      <c r="N1343" t="s">
        <v>4788</v>
      </c>
      <c r="O1343">
        <v>3156.36</v>
      </c>
      <c r="Q1343">
        <v>0</v>
      </c>
      <c r="R1343">
        <v>0</v>
      </c>
      <c r="S1343">
        <v>3156.36</v>
      </c>
      <c r="T1343" t="s">
        <v>4789</v>
      </c>
      <c r="U1343">
        <v>1</v>
      </c>
      <c r="V1343">
        <v>3156.36</v>
      </c>
      <c r="W1343" t="s">
        <v>4343</v>
      </c>
      <c r="Y1343" t="b">
        <v>1</v>
      </c>
      <c r="Z1343" t="b">
        <v>0</v>
      </c>
      <c r="AA1343">
        <v>3156.36</v>
      </c>
      <c r="AB1343">
        <v>0</v>
      </c>
      <c r="AD1343" t="b">
        <v>0</v>
      </c>
      <c r="AG1343" s="1" t="s">
        <v>64</v>
      </c>
      <c r="AH1343" s="1" t="s">
        <v>79</v>
      </c>
      <c r="AI1343">
        <v>333</v>
      </c>
      <c r="AJ1343">
        <v>80</v>
      </c>
      <c r="AK1343" s="106">
        <v>45475.635449305555</v>
      </c>
      <c r="AL1343" s="1" t="s">
        <v>4790</v>
      </c>
      <c r="AM1343" s="42">
        <f>IFERROR(INDEX('Public procurment'!A:R,MATCH(ListOfExpenditure[[#This Row],[Content.contractId]],'Public procurment'!E:E,0),14),0)</f>
        <v>0</v>
      </c>
      <c r="AN1343" s="2">
        <f>IF(AND(ListOfExpenditure[[#This Row],[Contract amount]]&gt;10000,ListOfExpenditure[[#This Row],[Content.declaredAmount]]&gt;2000),1,0)</f>
        <v>0</v>
      </c>
      <c r="AO1343">
        <f>IFERROR(INDEX('Public procurment'!A:S,MATCH(ListOfExpenditure[[#This Row],[Content.contractId]],'Public procurment'!E:E,0),19),0)</f>
        <v>0</v>
      </c>
      <c r="AP1343">
        <f>IF(ListOfExpenditure[[#This Row],[Numero di volte controllato il contract ]]&gt;0,0,ListOfExpenditure[[#This Row],[IF public procurment &gt;10000;1;0]])</f>
        <v>0</v>
      </c>
    </row>
    <row r="1344" spans="1:42" x14ac:dyDescent="0.25">
      <c r="A1344">
        <v>470</v>
      </c>
      <c r="B1344">
        <v>26</v>
      </c>
      <c r="E1344" t="s">
        <v>4786</v>
      </c>
      <c r="F1344" t="b">
        <v>0</v>
      </c>
      <c r="I1344" t="s">
        <v>5828</v>
      </c>
      <c r="K1344" t="s">
        <v>5360</v>
      </c>
      <c r="L1344" t="s">
        <v>5360</v>
      </c>
      <c r="M1344" t="s">
        <v>4788</v>
      </c>
      <c r="N1344" t="s">
        <v>4788</v>
      </c>
      <c r="O1344">
        <v>3156.36</v>
      </c>
      <c r="Q1344">
        <v>0</v>
      </c>
      <c r="R1344">
        <v>0</v>
      </c>
      <c r="S1344">
        <v>3156.36</v>
      </c>
      <c r="T1344" t="s">
        <v>4789</v>
      </c>
      <c r="U1344">
        <v>1</v>
      </c>
      <c r="V1344">
        <v>3156.36</v>
      </c>
      <c r="W1344" t="s">
        <v>4343</v>
      </c>
      <c r="Y1344" t="b">
        <v>1</v>
      </c>
      <c r="Z1344" t="b">
        <v>0</v>
      </c>
      <c r="AA1344">
        <v>3156.36</v>
      </c>
      <c r="AB1344">
        <v>0</v>
      </c>
      <c r="AD1344" t="b">
        <v>0</v>
      </c>
      <c r="AG1344" s="1" t="s">
        <v>64</v>
      </c>
      <c r="AH1344" s="1" t="s">
        <v>79</v>
      </c>
      <c r="AI1344">
        <v>333</v>
      </c>
      <c r="AJ1344">
        <v>80</v>
      </c>
      <c r="AK1344" s="106">
        <v>45475.635449305555</v>
      </c>
      <c r="AL1344" s="1" t="s">
        <v>4790</v>
      </c>
      <c r="AM1344" s="42">
        <f>IFERROR(INDEX('Public procurment'!A:R,MATCH(ListOfExpenditure[[#This Row],[Content.contractId]],'Public procurment'!E:E,0),14),0)</f>
        <v>0</v>
      </c>
      <c r="AN1344" s="2">
        <f>IF(AND(ListOfExpenditure[[#This Row],[Contract amount]]&gt;10000,ListOfExpenditure[[#This Row],[Content.declaredAmount]]&gt;2000),1,0)</f>
        <v>0</v>
      </c>
      <c r="AO1344">
        <f>IFERROR(INDEX('Public procurment'!A:S,MATCH(ListOfExpenditure[[#This Row],[Content.contractId]],'Public procurment'!E:E,0),19),0)</f>
        <v>0</v>
      </c>
      <c r="AP1344">
        <f>IF(ListOfExpenditure[[#This Row],[Numero di volte controllato il contract ]]&gt;0,0,ListOfExpenditure[[#This Row],[IF public procurment &gt;10000;1;0]])</f>
        <v>0</v>
      </c>
    </row>
    <row r="1345" spans="1:42" x14ac:dyDescent="0.25">
      <c r="A1345">
        <v>471</v>
      </c>
      <c r="B1345">
        <v>27</v>
      </c>
      <c r="E1345" t="s">
        <v>4786</v>
      </c>
      <c r="F1345" t="b">
        <v>0</v>
      </c>
      <c r="I1345" t="s">
        <v>5829</v>
      </c>
      <c r="K1345" t="s">
        <v>5360</v>
      </c>
      <c r="L1345" t="s">
        <v>5360</v>
      </c>
      <c r="M1345" t="s">
        <v>4788</v>
      </c>
      <c r="N1345" t="s">
        <v>4788</v>
      </c>
      <c r="O1345">
        <v>3156.36</v>
      </c>
      <c r="Q1345">
        <v>0</v>
      </c>
      <c r="R1345">
        <v>0</v>
      </c>
      <c r="S1345">
        <v>3156.36</v>
      </c>
      <c r="T1345" t="s">
        <v>4789</v>
      </c>
      <c r="U1345">
        <v>1</v>
      </c>
      <c r="V1345">
        <v>3156.36</v>
      </c>
      <c r="W1345" t="s">
        <v>4343</v>
      </c>
      <c r="Y1345" t="b">
        <v>1</v>
      </c>
      <c r="Z1345" t="b">
        <v>0</v>
      </c>
      <c r="AA1345">
        <v>3156.36</v>
      </c>
      <c r="AB1345">
        <v>0</v>
      </c>
      <c r="AD1345" t="b">
        <v>0</v>
      </c>
      <c r="AG1345" s="1" t="s">
        <v>64</v>
      </c>
      <c r="AH1345" s="1" t="s">
        <v>79</v>
      </c>
      <c r="AI1345">
        <v>333</v>
      </c>
      <c r="AJ1345">
        <v>80</v>
      </c>
      <c r="AK1345" s="106">
        <v>45475.635449305555</v>
      </c>
      <c r="AL1345" s="1" t="s">
        <v>4790</v>
      </c>
      <c r="AM1345" s="42">
        <f>IFERROR(INDEX('Public procurment'!A:R,MATCH(ListOfExpenditure[[#This Row],[Content.contractId]],'Public procurment'!E:E,0),14),0)</f>
        <v>0</v>
      </c>
      <c r="AN1345" s="2">
        <f>IF(AND(ListOfExpenditure[[#This Row],[Contract amount]]&gt;10000,ListOfExpenditure[[#This Row],[Content.declaredAmount]]&gt;2000),1,0)</f>
        <v>0</v>
      </c>
      <c r="AO1345">
        <f>IFERROR(INDEX('Public procurment'!A:S,MATCH(ListOfExpenditure[[#This Row],[Content.contractId]],'Public procurment'!E:E,0),19),0)</f>
        <v>0</v>
      </c>
      <c r="AP1345">
        <f>IF(ListOfExpenditure[[#This Row],[Numero di volte controllato il contract ]]&gt;0,0,ListOfExpenditure[[#This Row],[IF public procurment &gt;10000;1;0]])</f>
        <v>0</v>
      </c>
    </row>
    <row r="1346" spans="1:42" x14ac:dyDescent="0.25">
      <c r="A1346">
        <v>472</v>
      </c>
      <c r="B1346">
        <v>28</v>
      </c>
      <c r="E1346" t="s">
        <v>4786</v>
      </c>
      <c r="F1346" t="b">
        <v>0</v>
      </c>
      <c r="I1346" t="s">
        <v>5830</v>
      </c>
      <c r="K1346" t="s">
        <v>4817</v>
      </c>
      <c r="L1346" t="s">
        <v>4817</v>
      </c>
      <c r="M1346" t="s">
        <v>4788</v>
      </c>
      <c r="N1346" t="s">
        <v>4788</v>
      </c>
      <c r="O1346">
        <v>3120.61</v>
      </c>
      <c r="Q1346">
        <v>0</v>
      </c>
      <c r="R1346">
        <v>0</v>
      </c>
      <c r="S1346">
        <v>3120.61</v>
      </c>
      <c r="T1346" t="s">
        <v>4789</v>
      </c>
      <c r="U1346">
        <v>1</v>
      </c>
      <c r="V1346">
        <v>3120.61</v>
      </c>
      <c r="W1346" t="s">
        <v>4343</v>
      </c>
      <c r="Y1346" t="b">
        <v>1</v>
      </c>
      <c r="Z1346" t="b">
        <v>0</v>
      </c>
      <c r="AA1346">
        <v>3120.61</v>
      </c>
      <c r="AB1346">
        <v>0</v>
      </c>
      <c r="AD1346" t="b">
        <v>0</v>
      </c>
      <c r="AG1346" s="1" t="s">
        <v>64</v>
      </c>
      <c r="AH1346" s="1" t="s">
        <v>79</v>
      </c>
      <c r="AI1346">
        <v>333</v>
      </c>
      <c r="AJ1346">
        <v>80</v>
      </c>
      <c r="AK1346" s="106">
        <v>45475.635449305555</v>
      </c>
      <c r="AL1346" s="1" t="s">
        <v>4790</v>
      </c>
      <c r="AM1346" s="42">
        <f>IFERROR(INDEX('Public procurment'!A:R,MATCH(ListOfExpenditure[[#This Row],[Content.contractId]],'Public procurment'!E:E,0),14),0)</f>
        <v>0</v>
      </c>
      <c r="AN1346" s="2">
        <f>IF(AND(ListOfExpenditure[[#This Row],[Contract amount]]&gt;10000,ListOfExpenditure[[#This Row],[Content.declaredAmount]]&gt;2000),1,0)</f>
        <v>0</v>
      </c>
      <c r="AO1346">
        <f>IFERROR(INDEX('Public procurment'!A:S,MATCH(ListOfExpenditure[[#This Row],[Content.contractId]],'Public procurment'!E:E,0),19),0)</f>
        <v>0</v>
      </c>
      <c r="AP1346">
        <f>IF(ListOfExpenditure[[#This Row],[Numero di volte controllato il contract ]]&gt;0,0,ListOfExpenditure[[#This Row],[IF public procurment &gt;10000;1;0]])</f>
        <v>0</v>
      </c>
    </row>
    <row r="1347" spans="1:42" x14ac:dyDescent="0.25">
      <c r="A1347">
        <v>473</v>
      </c>
      <c r="B1347">
        <v>29</v>
      </c>
      <c r="E1347" t="s">
        <v>4786</v>
      </c>
      <c r="F1347" t="b">
        <v>0</v>
      </c>
      <c r="I1347" t="s">
        <v>5831</v>
      </c>
      <c r="K1347" t="s">
        <v>4817</v>
      </c>
      <c r="L1347" t="s">
        <v>4817</v>
      </c>
      <c r="M1347" t="s">
        <v>4788</v>
      </c>
      <c r="N1347" t="s">
        <v>4788</v>
      </c>
      <c r="O1347">
        <v>3156.36</v>
      </c>
      <c r="Q1347">
        <v>0</v>
      </c>
      <c r="R1347">
        <v>0</v>
      </c>
      <c r="S1347">
        <v>3156.36</v>
      </c>
      <c r="T1347" t="s">
        <v>4789</v>
      </c>
      <c r="U1347">
        <v>1</v>
      </c>
      <c r="V1347">
        <v>3156.36</v>
      </c>
      <c r="W1347" t="s">
        <v>4343</v>
      </c>
      <c r="Y1347" t="b">
        <v>1</v>
      </c>
      <c r="Z1347" t="b">
        <v>0</v>
      </c>
      <c r="AA1347">
        <v>3156.36</v>
      </c>
      <c r="AB1347">
        <v>0</v>
      </c>
      <c r="AD1347" t="b">
        <v>0</v>
      </c>
      <c r="AG1347" s="1" t="s">
        <v>64</v>
      </c>
      <c r="AH1347" s="1" t="s">
        <v>79</v>
      </c>
      <c r="AI1347">
        <v>333</v>
      </c>
      <c r="AJ1347">
        <v>80</v>
      </c>
      <c r="AK1347" s="106">
        <v>45475.635449305555</v>
      </c>
      <c r="AL1347" s="1" t="s">
        <v>4790</v>
      </c>
      <c r="AM1347" s="42">
        <f>IFERROR(INDEX('Public procurment'!A:R,MATCH(ListOfExpenditure[[#This Row],[Content.contractId]],'Public procurment'!E:E,0),14),0)</f>
        <v>0</v>
      </c>
      <c r="AN1347" s="2">
        <f>IF(AND(ListOfExpenditure[[#This Row],[Contract amount]]&gt;10000,ListOfExpenditure[[#This Row],[Content.declaredAmount]]&gt;2000),1,0)</f>
        <v>0</v>
      </c>
      <c r="AO1347">
        <f>IFERROR(INDEX('Public procurment'!A:S,MATCH(ListOfExpenditure[[#This Row],[Content.contractId]],'Public procurment'!E:E,0),19),0)</f>
        <v>0</v>
      </c>
      <c r="AP1347">
        <f>IF(ListOfExpenditure[[#This Row],[Numero di volte controllato il contract ]]&gt;0,0,ListOfExpenditure[[#This Row],[IF public procurment &gt;10000;1;0]])</f>
        <v>0</v>
      </c>
    </row>
    <row r="1348" spans="1:42" x14ac:dyDescent="0.25">
      <c r="A1348">
        <v>474</v>
      </c>
      <c r="B1348">
        <v>30</v>
      </c>
      <c r="E1348" t="s">
        <v>4786</v>
      </c>
      <c r="F1348" t="b">
        <v>0</v>
      </c>
      <c r="I1348" t="s">
        <v>5832</v>
      </c>
      <c r="K1348" t="s">
        <v>4817</v>
      </c>
      <c r="L1348" t="s">
        <v>4817</v>
      </c>
      <c r="M1348" t="s">
        <v>4788</v>
      </c>
      <c r="N1348" t="s">
        <v>4788</v>
      </c>
      <c r="O1348">
        <v>3156.36</v>
      </c>
      <c r="Q1348">
        <v>0</v>
      </c>
      <c r="R1348">
        <v>0</v>
      </c>
      <c r="S1348">
        <v>3156.36</v>
      </c>
      <c r="T1348" t="s">
        <v>4789</v>
      </c>
      <c r="U1348">
        <v>1</v>
      </c>
      <c r="V1348">
        <v>3156.36</v>
      </c>
      <c r="W1348" t="s">
        <v>4343</v>
      </c>
      <c r="Y1348" t="b">
        <v>1</v>
      </c>
      <c r="Z1348" t="b">
        <v>0</v>
      </c>
      <c r="AA1348">
        <v>3156.36</v>
      </c>
      <c r="AB1348">
        <v>0</v>
      </c>
      <c r="AD1348" t="b">
        <v>0</v>
      </c>
      <c r="AG1348" s="1" t="s">
        <v>64</v>
      </c>
      <c r="AH1348" s="1" t="s">
        <v>79</v>
      </c>
      <c r="AI1348">
        <v>333</v>
      </c>
      <c r="AJ1348">
        <v>80</v>
      </c>
      <c r="AK1348" s="106">
        <v>45475.635449305555</v>
      </c>
      <c r="AL1348" s="1" t="s">
        <v>4790</v>
      </c>
      <c r="AM1348" s="42">
        <f>IFERROR(INDEX('Public procurment'!A:R,MATCH(ListOfExpenditure[[#This Row],[Content.contractId]],'Public procurment'!E:E,0),14),0)</f>
        <v>0</v>
      </c>
      <c r="AN1348" s="2">
        <f>IF(AND(ListOfExpenditure[[#This Row],[Contract amount]]&gt;10000,ListOfExpenditure[[#This Row],[Content.declaredAmount]]&gt;2000),1,0)</f>
        <v>0</v>
      </c>
      <c r="AO1348">
        <f>IFERROR(INDEX('Public procurment'!A:S,MATCH(ListOfExpenditure[[#This Row],[Content.contractId]],'Public procurment'!E:E,0),19),0)</f>
        <v>0</v>
      </c>
      <c r="AP1348">
        <f>IF(ListOfExpenditure[[#This Row],[Numero di volte controllato il contract ]]&gt;0,0,ListOfExpenditure[[#This Row],[IF public procurment &gt;10000;1;0]])</f>
        <v>0</v>
      </c>
    </row>
    <row r="1349" spans="1:42" x14ac:dyDescent="0.25">
      <c r="A1349">
        <v>475</v>
      </c>
      <c r="B1349">
        <v>31</v>
      </c>
      <c r="E1349" t="s">
        <v>4786</v>
      </c>
      <c r="F1349" t="b">
        <v>0</v>
      </c>
      <c r="I1349" t="s">
        <v>5833</v>
      </c>
      <c r="K1349" t="s">
        <v>4817</v>
      </c>
      <c r="L1349" t="s">
        <v>4817</v>
      </c>
      <c r="M1349" t="s">
        <v>4788</v>
      </c>
      <c r="N1349" t="s">
        <v>4788</v>
      </c>
      <c r="O1349">
        <v>3156.36</v>
      </c>
      <c r="Q1349">
        <v>0</v>
      </c>
      <c r="R1349">
        <v>0</v>
      </c>
      <c r="S1349">
        <v>3156.36</v>
      </c>
      <c r="T1349" t="s">
        <v>4789</v>
      </c>
      <c r="U1349">
        <v>1</v>
      </c>
      <c r="V1349">
        <v>3156.36</v>
      </c>
      <c r="W1349" t="s">
        <v>4343</v>
      </c>
      <c r="Y1349" t="b">
        <v>1</v>
      </c>
      <c r="Z1349" t="b">
        <v>0</v>
      </c>
      <c r="AA1349">
        <v>3156.36</v>
      </c>
      <c r="AB1349">
        <v>0</v>
      </c>
      <c r="AD1349" t="b">
        <v>0</v>
      </c>
      <c r="AG1349" s="1" t="s">
        <v>64</v>
      </c>
      <c r="AH1349" s="1" t="s">
        <v>79</v>
      </c>
      <c r="AI1349">
        <v>333</v>
      </c>
      <c r="AJ1349">
        <v>80</v>
      </c>
      <c r="AK1349" s="106">
        <v>45475.635449305555</v>
      </c>
      <c r="AL1349" s="1" t="s">
        <v>4790</v>
      </c>
      <c r="AM1349" s="42">
        <f>IFERROR(INDEX('Public procurment'!A:R,MATCH(ListOfExpenditure[[#This Row],[Content.contractId]],'Public procurment'!E:E,0),14),0)</f>
        <v>0</v>
      </c>
      <c r="AN1349" s="2">
        <f>IF(AND(ListOfExpenditure[[#This Row],[Contract amount]]&gt;10000,ListOfExpenditure[[#This Row],[Content.declaredAmount]]&gt;2000),1,0)</f>
        <v>0</v>
      </c>
      <c r="AO1349">
        <f>IFERROR(INDEX('Public procurment'!A:S,MATCH(ListOfExpenditure[[#This Row],[Content.contractId]],'Public procurment'!E:E,0),19),0)</f>
        <v>0</v>
      </c>
      <c r="AP1349">
        <f>IF(ListOfExpenditure[[#This Row],[Numero di volte controllato il contract ]]&gt;0,0,ListOfExpenditure[[#This Row],[IF public procurment &gt;10000;1;0]])</f>
        <v>0</v>
      </c>
    </row>
    <row r="1350" spans="1:42" x14ac:dyDescent="0.25">
      <c r="A1350">
        <v>476</v>
      </c>
      <c r="B1350">
        <v>32</v>
      </c>
      <c r="E1350" t="s">
        <v>4786</v>
      </c>
      <c r="F1350" t="b">
        <v>0</v>
      </c>
      <c r="I1350" t="s">
        <v>5834</v>
      </c>
      <c r="K1350" t="s">
        <v>4950</v>
      </c>
      <c r="L1350" t="s">
        <v>4950</v>
      </c>
      <c r="M1350" t="s">
        <v>4788</v>
      </c>
      <c r="N1350" t="s">
        <v>4788</v>
      </c>
      <c r="O1350">
        <v>3252.27</v>
      </c>
      <c r="Q1350">
        <v>0</v>
      </c>
      <c r="R1350">
        <v>0</v>
      </c>
      <c r="S1350">
        <v>3252.27</v>
      </c>
      <c r="T1350" t="s">
        <v>4789</v>
      </c>
      <c r="U1350">
        <v>1</v>
      </c>
      <c r="V1350">
        <v>3252.27</v>
      </c>
      <c r="W1350" t="s">
        <v>4343</v>
      </c>
      <c r="Y1350" t="b">
        <v>1</v>
      </c>
      <c r="Z1350" t="b">
        <v>0</v>
      </c>
      <c r="AA1350">
        <v>3252.27</v>
      </c>
      <c r="AB1350">
        <v>0</v>
      </c>
      <c r="AD1350" t="b">
        <v>0</v>
      </c>
      <c r="AG1350" s="1" t="s">
        <v>64</v>
      </c>
      <c r="AH1350" s="1" t="s">
        <v>79</v>
      </c>
      <c r="AI1350">
        <v>333</v>
      </c>
      <c r="AJ1350">
        <v>80</v>
      </c>
      <c r="AK1350" s="106">
        <v>45475.635449305555</v>
      </c>
      <c r="AL1350" s="1" t="s">
        <v>4790</v>
      </c>
      <c r="AM1350" s="42">
        <f>IFERROR(INDEX('Public procurment'!A:R,MATCH(ListOfExpenditure[[#This Row],[Content.contractId]],'Public procurment'!E:E,0),14),0)</f>
        <v>0</v>
      </c>
      <c r="AN1350" s="2">
        <f>IF(AND(ListOfExpenditure[[#This Row],[Contract amount]]&gt;10000,ListOfExpenditure[[#This Row],[Content.declaredAmount]]&gt;2000),1,0)</f>
        <v>0</v>
      </c>
      <c r="AO1350">
        <f>IFERROR(INDEX('Public procurment'!A:S,MATCH(ListOfExpenditure[[#This Row],[Content.contractId]],'Public procurment'!E:E,0),19),0)</f>
        <v>0</v>
      </c>
      <c r="AP1350">
        <f>IF(ListOfExpenditure[[#This Row],[Numero di volte controllato il contract ]]&gt;0,0,ListOfExpenditure[[#This Row],[IF public procurment &gt;10000;1;0]])</f>
        <v>0</v>
      </c>
    </row>
    <row r="1351" spans="1:42" x14ac:dyDescent="0.25">
      <c r="A1351">
        <v>477</v>
      </c>
      <c r="B1351">
        <v>33</v>
      </c>
      <c r="E1351" t="s">
        <v>4786</v>
      </c>
      <c r="F1351" t="b">
        <v>0</v>
      </c>
      <c r="I1351" t="s">
        <v>5835</v>
      </c>
      <c r="K1351" t="s">
        <v>4950</v>
      </c>
      <c r="L1351" t="s">
        <v>4950</v>
      </c>
      <c r="M1351" t="s">
        <v>4788</v>
      </c>
      <c r="N1351" t="s">
        <v>4788</v>
      </c>
      <c r="O1351">
        <v>3289.25</v>
      </c>
      <c r="Q1351">
        <v>0</v>
      </c>
      <c r="R1351">
        <v>0</v>
      </c>
      <c r="S1351">
        <v>3289.25</v>
      </c>
      <c r="T1351" t="s">
        <v>4789</v>
      </c>
      <c r="U1351">
        <v>1</v>
      </c>
      <c r="V1351">
        <v>3289.25</v>
      </c>
      <c r="W1351" t="s">
        <v>4343</v>
      </c>
      <c r="Y1351" t="b">
        <v>1</v>
      </c>
      <c r="Z1351" t="b">
        <v>0</v>
      </c>
      <c r="AA1351">
        <v>3289.25</v>
      </c>
      <c r="AB1351">
        <v>0</v>
      </c>
      <c r="AD1351" t="b">
        <v>0</v>
      </c>
      <c r="AG1351" s="1" t="s">
        <v>64</v>
      </c>
      <c r="AH1351" s="1" t="s">
        <v>79</v>
      </c>
      <c r="AI1351">
        <v>333</v>
      </c>
      <c r="AJ1351">
        <v>80</v>
      </c>
      <c r="AK1351" s="106">
        <v>45475.635449305555</v>
      </c>
      <c r="AL1351" s="1" t="s">
        <v>4790</v>
      </c>
      <c r="AM1351" s="42">
        <f>IFERROR(INDEX('Public procurment'!A:R,MATCH(ListOfExpenditure[[#This Row],[Content.contractId]],'Public procurment'!E:E,0),14),0)</f>
        <v>0</v>
      </c>
      <c r="AN1351" s="2">
        <f>IF(AND(ListOfExpenditure[[#This Row],[Contract amount]]&gt;10000,ListOfExpenditure[[#This Row],[Content.declaredAmount]]&gt;2000),1,0)</f>
        <v>0</v>
      </c>
      <c r="AO1351">
        <f>IFERROR(INDEX('Public procurment'!A:S,MATCH(ListOfExpenditure[[#This Row],[Content.contractId]],'Public procurment'!E:E,0),19),0)</f>
        <v>0</v>
      </c>
      <c r="AP1351">
        <f>IF(ListOfExpenditure[[#This Row],[Numero di volte controllato il contract ]]&gt;0,0,ListOfExpenditure[[#This Row],[IF public procurment &gt;10000;1;0]])</f>
        <v>0</v>
      </c>
    </row>
    <row r="1352" spans="1:42" x14ac:dyDescent="0.25">
      <c r="A1352">
        <v>478</v>
      </c>
      <c r="B1352">
        <v>34</v>
      </c>
      <c r="E1352" t="s">
        <v>4786</v>
      </c>
      <c r="F1352" t="b">
        <v>0</v>
      </c>
      <c r="I1352" t="s">
        <v>5836</v>
      </c>
      <c r="K1352" t="s">
        <v>4950</v>
      </c>
      <c r="L1352" t="s">
        <v>4950</v>
      </c>
      <c r="M1352" t="s">
        <v>4788</v>
      </c>
      <c r="N1352" t="s">
        <v>4788</v>
      </c>
      <c r="O1352">
        <v>3289.25</v>
      </c>
      <c r="Q1352">
        <v>0</v>
      </c>
      <c r="R1352">
        <v>0</v>
      </c>
      <c r="S1352">
        <v>3289.25</v>
      </c>
      <c r="T1352" t="s">
        <v>4789</v>
      </c>
      <c r="U1352">
        <v>1</v>
      </c>
      <c r="V1352">
        <v>3289.25</v>
      </c>
      <c r="W1352" t="s">
        <v>4343</v>
      </c>
      <c r="Y1352" t="b">
        <v>1</v>
      </c>
      <c r="Z1352" t="b">
        <v>0</v>
      </c>
      <c r="AA1352">
        <v>3289.25</v>
      </c>
      <c r="AB1352">
        <v>0</v>
      </c>
      <c r="AD1352" t="b">
        <v>0</v>
      </c>
      <c r="AG1352" s="1" t="s">
        <v>64</v>
      </c>
      <c r="AH1352" s="1" t="s">
        <v>79</v>
      </c>
      <c r="AI1352">
        <v>333</v>
      </c>
      <c r="AJ1352">
        <v>80</v>
      </c>
      <c r="AK1352" s="106">
        <v>45475.635449305555</v>
      </c>
      <c r="AL1352" s="1" t="s">
        <v>4790</v>
      </c>
      <c r="AM1352" s="42">
        <f>IFERROR(INDEX('Public procurment'!A:R,MATCH(ListOfExpenditure[[#This Row],[Content.contractId]],'Public procurment'!E:E,0),14),0)</f>
        <v>0</v>
      </c>
      <c r="AN1352" s="2">
        <f>IF(AND(ListOfExpenditure[[#This Row],[Contract amount]]&gt;10000,ListOfExpenditure[[#This Row],[Content.declaredAmount]]&gt;2000),1,0)</f>
        <v>0</v>
      </c>
      <c r="AO1352">
        <f>IFERROR(INDEX('Public procurment'!A:S,MATCH(ListOfExpenditure[[#This Row],[Content.contractId]],'Public procurment'!E:E,0),19),0)</f>
        <v>0</v>
      </c>
      <c r="AP1352">
        <f>IF(ListOfExpenditure[[#This Row],[Numero di volte controllato il contract ]]&gt;0,0,ListOfExpenditure[[#This Row],[IF public procurment &gt;10000;1;0]])</f>
        <v>0</v>
      </c>
    </row>
    <row r="1353" spans="1:42" x14ac:dyDescent="0.25">
      <c r="A1353">
        <v>479</v>
      </c>
      <c r="B1353">
        <v>35</v>
      </c>
      <c r="E1353" t="s">
        <v>4786</v>
      </c>
      <c r="F1353" t="b">
        <v>0</v>
      </c>
      <c r="I1353" t="s">
        <v>5837</v>
      </c>
      <c r="K1353" t="s">
        <v>4950</v>
      </c>
      <c r="L1353" t="s">
        <v>4950</v>
      </c>
      <c r="M1353" t="s">
        <v>4788</v>
      </c>
      <c r="N1353" t="s">
        <v>4788</v>
      </c>
      <c r="O1353">
        <v>3289.25</v>
      </c>
      <c r="Q1353">
        <v>0</v>
      </c>
      <c r="R1353">
        <v>0</v>
      </c>
      <c r="S1353">
        <v>3289.25</v>
      </c>
      <c r="T1353" t="s">
        <v>4789</v>
      </c>
      <c r="U1353">
        <v>1</v>
      </c>
      <c r="V1353">
        <v>3289.25</v>
      </c>
      <c r="W1353" t="s">
        <v>4343</v>
      </c>
      <c r="Y1353" t="b">
        <v>1</v>
      </c>
      <c r="Z1353" t="b">
        <v>0</v>
      </c>
      <c r="AA1353">
        <v>3289.25</v>
      </c>
      <c r="AB1353">
        <v>0</v>
      </c>
      <c r="AD1353" t="b">
        <v>0</v>
      </c>
      <c r="AG1353" s="1" t="s">
        <v>64</v>
      </c>
      <c r="AH1353" s="1" t="s">
        <v>79</v>
      </c>
      <c r="AI1353">
        <v>333</v>
      </c>
      <c r="AJ1353">
        <v>80</v>
      </c>
      <c r="AK1353" s="106">
        <v>45475.635449305555</v>
      </c>
      <c r="AL1353" s="1" t="s">
        <v>4790</v>
      </c>
      <c r="AM1353" s="42">
        <f>IFERROR(INDEX('Public procurment'!A:R,MATCH(ListOfExpenditure[[#This Row],[Content.contractId]],'Public procurment'!E:E,0),14),0)</f>
        <v>0</v>
      </c>
      <c r="AN1353" s="2">
        <f>IF(AND(ListOfExpenditure[[#This Row],[Contract amount]]&gt;10000,ListOfExpenditure[[#This Row],[Content.declaredAmount]]&gt;2000),1,0)</f>
        <v>0</v>
      </c>
      <c r="AO1353">
        <f>IFERROR(INDEX('Public procurment'!A:S,MATCH(ListOfExpenditure[[#This Row],[Content.contractId]],'Public procurment'!E:E,0),19),0)</f>
        <v>0</v>
      </c>
      <c r="AP1353">
        <f>IF(ListOfExpenditure[[#This Row],[Numero di volte controllato il contract ]]&gt;0,0,ListOfExpenditure[[#This Row],[IF public procurment &gt;10000;1;0]])</f>
        <v>0</v>
      </c>
    </row>
    <row r="1354" spans="1:42" x14ac:dyDescent="0.25">
      <c r="A1354">
        <v>480</v>
      </c>
      <c r="B1354">
        <v>36</v>
      </c>
      <c r="E1354" t="s">
        <v>4786</v>
      </c>
      <c r="F1354" t="b">
        <v>0</v>
      </c>
      <c r="I1354" t="s">
        <v>5838</v>
      </c>
      <c r="K1354" t="s">
        <v>5064</v>
      </c>
      <c r="L1354" t="s">
        <v>5064</v>
      </c>
      <c r="M1354" t="s">
        <v>4788</v>
      </c>
      <c r="N1354" t="s">
        <v>4788</v>
      </c>
      <c r="O1354">
        <v>3252.27</v>
      </c>
      <c r="Q1354">
        <v>0</v>
      </c>
      <c r="R1354">
        <v>0</v>
      </c>
      <c r="S1354">
        <v>3252.27</v>
      </c>
      <c r="T1354" t="s">
        <v>4789</v>
      </c>
      <c r="U1354">
        <v>1</v>
      </c>
      <c r="V1354">
        <v>3252.27</v>
      </c>
      <c r="W1354" t="s">
        <v>4343</v>
      </c>
      <c r="Y1354" t="b">
        <v>1</v>
      </c>
      <c r="Z1354" t="b">
        <v>0</v>
      </c>
      <c r="AA1354">
        <v>3252.27</v>
      </c>
      <c r="AB1354">
        <v>0</v>
      </c>
      <c r="AD1354" t="b">
        <v>0</v>
      </c>
      <c r="AG1354" s="1" t="s">
        <v>64</v>
      </c>
      <c r="AH1354" s="1" t="s">
        <v>79</v>
      </c>
      <c r="AI1354">
        <v>333</v>
      </c>
      <c r="AJ1354">
        <v>80</v>
      </c>
      <c r="AK1354" s="106">
        <v>45475.635449305555</v>
      </c>
      <c r="AL1354" s="1" t="s">
        <v>4790</v>
      </c>
      <c r="AM1354" s="42">
        <f>IFERROR(INDEX('Public procurment'!A:R,MATCH(ListOfExpenditure[[#This Row],[Content.contractId]],'Public procurment'!E:E,0),14),0)</f>
        <v>0</v>
      </c>
      <c r="AN1354" s="2">
        <f>IF(AND(ListOfExpenditure[[#This Row],[Contract amount]]&gt;10000,ListOfExpenditure[[#This Row],[Content.declaredAmount]]&gt;2000),1,0)</f>
        <v>0</v>
      </c>
      <c r="AO1354">
        <f>IFERROR(INDEX('Public procurment'!A:S,MATCH(ListOfExpenditure[[#This Row],[Content.contractId]],'Public procurment'!E:E,0),19),0)</f>
        <v>0</v>
      </c>
      <c r="AP1354">
        <f>IF(ListOfExpenditure[[#This Row],[Numero di volte controllato il contract ]]&gt;0,0,ListOfExpenditure[[#This Row],[IF public procurment &gt;10000;1;0]])</f>
        <v>0</v>
      </c>
    </row>
    <row r="1355" spans="1:42" x14ac:dyDescent="0.25">
      <c r="A1355">
        <v>481</v>
      </c>
      <c r="B1355">
        <v>37</v>
      </c>
      <c r="E1355" t="s">
        <v>4786</v>
      </c>
      <c r="F1355" t="b">
        <v>0</v>
      </c>
      <c r="I1355" t="s">
        <v>5839</v>
      </c>
      <c r="K1355" t="s">
        <v>5064</v>
      </c>
      <c r="L1355" t="s">
        <v>5064</v>
      </c>
      <c r="M1355" t="s">
        <v>4788</v>
      </c>
      <c r="N1355" t="s">
        <v>4788</v>
      </c>
      <c r="O1355">
        <v>3289.25</v>
      </c>
      <c r="Q1355">
        <v>0</v>
      </c>
      <c r="R1355">
        <v>0</v>
      </c>
      <c r="S1355">
        <v>3289.25</v>
      </c>
      <c r="T1355" t="s">
        <v>4789</v>
      </c>
      <c r="U1355">
        <v>1</v>
      </c>
      <c r="V1355">
        <v>3289.25</v>
      </c>
      <c r="W1355" t="s">
        <v>4343</v>
      </c>
      <c r="Y1355" t="b">
        <v>1</v>
      </c>
      <c r="Z1355" t="b">
        <v>0</v>
      </c>
      <c r="AA1355">
        <v>3289.25</v>
      </c>
      <c r="AB1355">
        <v>0</v>
      </c>
      <c r="AD1355" t="b">
        <v>0</v>
      </c>
      <c r="AG1355" s="1" t="s">
        <v>64</v>
      </c>
      <c r="AH1355" s="1" t="s">
        <v>79</v>
      </c>
      <c r="AI1355">
        <v>333</v>
      </c>
      <c r="AJ1355">
        <v>80</v>
      </c>
      <c r="AK1355" s="106">
        <v>45475.635449305555</v>
      </c>
      <c r="AL1355" s="1" t="s">
        <v>4790</v>
      </c>
      <c r="AM1355" s="42">
        <f>IFERROR(INDEX('Public procurment'!A:R,MATCH(ListOfExpenditure[[#This Row],[Content.contractId]],'Public procurment'!E:E,0),14),0)</f>
        <v>0</v>
      </c>
      <c r="AN1355" s="2">
        <f>IF(AND(ListOfExpenditure[[#This Row],[Contract amount]]&gt;10000,ListOfExpenditure[[#This Row],[Content.declaredAmount]]&gt;2000),1,0)</f>
        <v>0</v>
      </c>
      <c r="AO1355">
        <f>IFERROR(INDEX('Public procurment'!A:S,MATCH(ListOfExpenditure[[#This Row],[Content.contractId]],'Public procurment'!E:E,0),19),0)</f>
        <v>0</v>
      </c>
      <c r="AP1355">
        <f>IF(ListOfExpenditure[[#This Row],[Numero di volte controllato il contract ]]&gt;0,0,ListOfExpenditure[[#This Row],[IF public procurment &gt;10000;1;0]])</f>
        <v>0</v>
      </c>
    </row>
    <row r="1356" spans="1:42" x14ac:dyDescent="0.25">
      <c r="A1356">
        <v>482</v>
      </c>
      <c r="B1356">
        <v>38</v>
      </c>
      <c r="E1356" t="s">
        <v>4786</v>
      </c>
      <c r="F1356" t="b">
        <v>0</v>
      </c>
      <c r="I1356" t="s">
        <v>5840</v>
      </c>
      <c r="K1356" t="s">
        <v>5064</v>
      </c>
      <c r="L1356" t="s">
        <v>5064</v>
      </c>
      <c r="M1356" t="s">
        <v>4788</v>
      </c>
      <c r="N1356" t="s">
        <v>4788</v>
      </c>
      <c r="O1356">
        <v>3289.25</v>
      </c>
      <c r="Q1356">
        <v>0</v>
      </c>
      <c r="R1356">
        <v>0</v>
      </c>
      <c r="S1356">
        <v>3289.25</v>
      </c>
      <c r="T1356" t="s">
        <v>4789</v>
      </c>
      <c r="U1356">
        <v>1</v>
      </c>
      <c r="V1356">
        <v>3289.25</v>
      </c>
      <c r="W1356" t="s">
        <v>4343</v>
      </c>
      <c r="Y1356" t="b">
        <v>1</v>
      </c>
      <c r="Z1356" t="b">
        <v>0</v>
      </c>
      <c r="AA1356">
        <v>3289.25</v>
      </c>
      <c r="AB1356">
        <v>0</v>
      </c>
      <c r="AD1356" t="b">
        <v>0</v>
      </c>
      <c r="AG1356" s="1" t="s">
        <v>64</v>
      </c>
      <c r="AH1356" s="1" t="s">
        <v>79</v>
      </c>
      <c r="AI1356">
        <v>333</v>
      </c>
      <c r="AJ1356">
        <v>80</v>
      </c>
      <c r="AK1356" s="106">
        <v>45475.635449305555</v>
      </c>
      <c r="AL1356" s="1" t="s">
        <v>4790</v>
      </c>
      <c r="AM1356" s="42">
        <f>IFERROR(INDEX('Public procurment'!A:R,MATCH(ListOfExpenditure[[#This Row],[Content.contractId]],'Public procurment'!E:E,0),14),0)</f>
        <v>0</v>
      </c>
      <c r="AN1356" s="2">
        <f>IF(AND(ListOfExpenditure[[#This Row],[Contract amount]]&gt;10000,ListOfExpenditure[[#This Row],[Content.declaredAmount]]&gt;2000),1,0)</f>
        <v>0</v>
      </c>
      <c r="AO1356">
        <f>IFERROR(INDEX('Public procurment'!A:S,MATCH(ListOfExpenditure[[#This Row],[Content.contractId]],'Public procurment'!E:E,0),19),0)</f>
        <v>0</v>
      </c>
      <c r="AP1356">
        <f>IF(ListOfExpenditure[[#This Row],[Numero di volte controllato il contract ]]&gt;0,0,ListOfExpenditure[[#This Row],[IF public procurment &gt;10000;1;0]])</f>
        <v>0</v>
      </c>
    </row>
    <row r="1357" spans="1:42" x14ac:dyDescent="0.25">
      <c r="A1357">
        <v>483</v>
      </c>
      <c r="B1357">
        <v>39</v>
      </c>
      <c r="E1357" t="s">
        <v>4786</v>
      </c>
      <c r="F1357" t="b">
        <v>0</v>
      </c>
      <c r="I1357" t="s">
        <v>5841</v>
      </c>
      <c r="K1357" t="s">
        <v>5064</v>
      </c>
      <c r="L1357" t="s">
        <v>5064</v>
      </c>
      <c r="M1357" t="s">
        <v>4788</v>
      </c>
      <c r="N1357" t="s">
        <v>4788</v>
      </c>
      <c r="O1357">
        <v>3289.25</v>
      </c>
      <c r="Q1357">
        <v>0</v>
      </c>
      <c r="R1357">
        <v>0</v>
      </c>
      <c r="S1357">
        <v>3289.25</v>
      </c>
      <c r="T1357" t="s">
        <v>4789</v>
      </c>
      <c r="U1357">
        <v>1</v>
      </c>
      <c r="V1357">
        <v>3289.25</v>
      </c>
      <c r="W1357" t="s">
        <v>4343</v>
      </c>
      <c r="Y1357" t="b">
        <v>1</v>
      </c>
      <c r="Z1357" t="b">
        <v>0</v>
      </c>
      <c r="AA1357">
        <v>3289.25</v>
      </c>
      <c r="AB1357">
        <v>0</v>
      </c>
      <c r="AD1357" t="b">
        <v>0</v>
      </c>
      <c r="AG1357" s="1" t="s">
        <v>64</v>
      </c>
      <c r="AH1357" s="1" t="s">
        <v>79</v>
      </c>
      <c r="AI1357">
        <v>333</v>
      </c>
      <c r="AJ1357">
        <v>80</v>
      </c>
      <c r="AK1357" s="106">
        <v>45475.635449305555</v>
      </c>
      <c r="AL1357" s="1" t="s">
        <v>4790</v>
      </c>
      <c r="AM1357" s="42">
        <f>IFERROR(INDEX('Public procurment'!A:R,MATCH(ListOfExpenditure[[#This Row],[Content.contractId]],'Public procurment'!E:E,0),14),0)</f>
        <v>0</v>
      </c>
      <c r="AN1357" s="2">
        <f>IF(AND(ListOfExpenditure[[#This Row],[Contract amount]]&gt;10000,ListOfExpenditure[[#This Row],[Content.declaredAmount]]&gt;2000),1,0)</f>
        <v>0</v>
      </c>
      <c r="AO1357">
        <f>IFERROR(INDEX('Public procurment'!A:S,MATCH(ListOfExpenditure[[#This Row],[Content.contractId]],'Public procurment'!E:E,0),19),0)</f>
        <v>0</v>
      </c>
      <c r="AP1357">
        <f>IF(ListOfExpenditure[[#This Row],[Numero di volte controllato il contract ]]&gt;0,0,ListOfExpenditure[[#This Row],[IF public procurment &gt;10000;1;0]])</f>
        <v>0</v>
      </c>
    </row>
    <row r="1358" spans="1:42" x14ac:dyDescent="0.25">
      <c r="A1358">
        <v>484</v>
      </c>
      <c r="B1358">
        <v>40</v>
      </c>
      <c r="E1358" t="s">
        <v>4786</v>
      </c>
      <c r="F1358" t="b">
        <v>0</v>
      </c>
      <c r="I1358" t="s">
        <v>5842</v>
      </c>
      <c r="K1358" t="s">
        <v>4911</v>
      </c>
      <c r="L1358" t="s">
        <v>4911</v>
      </c>
      <c r="M1358" t="s">
        <v>4788</v>
      </c>
      <c r="N1358" t="s">
        <v>4788</v>
      </c>
      <c r="O1358">
        <v>3252.27</v>
      </c>
      <c r="Q1358">
        <v>0</v>
      </c>
      <c r="R1358">
        <v>0</v>
      </c>
      <c r="S1358">
        <v>3252.27</v>
      </c>
      <c r="T1358" t="s">
        <v>4789</v>
      </c>
      <c r="U1358">
        <v>1</v>
      </c>
      <c r="V1358">
        <v>3252.27</v>
      </c>
      <c r="W1358" t="s">
        <v>4343</v>
      </c>
      <c r="Y1358" t="b">
        <v>1</v>
      </c>
      <c r="Z1358" t="b">
        <v>0</v>
      </c>
      <c r="AA1358">
        <v>0</v>
      </c>
      <c r="AB1358">
        <v>3252.27</v>
      </c>
      <c r="AC1358">
        <v>8</v>
      </c>
      <c r="AD1358" t="b">
        <v>0</v>
      </c>
      <c r="AF1358" t="s">
        <v>5843</v>
      </c>
      <c r="AG1358" s="1" t="s">
        <v>64</v>
      </c>
      <c r="AH1358" s="1" t="s">
        <v>79</v>
      </c>
      <c r="AI1358">
        <v>333</v>
      </c>
      <c r="AJ1358">
        <v>80</v>
      </c>
      <c r="AK1358" s="106">
        <v>45475.635449305555</v>
      </c>
      <c r="AL1358" s="1" t="s">
        <v>4790</v>
      </c>
      <c r="AM1358" s="42">
        <f>IFERROR(INDEX('Public procurment'!A:R,MATCH(ListOfExpenditure[[#This Row],[Content.contractId]],'Public procurment'!E:E,0),14),0)</f>
        <v>0</v>
      </c>
      <c r="AN1358" s="2">
        <f>IF(AND(ListOfExpenditure[[#This Row],[Contract amount]]&gt;10000,ListOfExpenditure[[#This Row],[Content.declaredAmount]]&gt;2000),1,0)</f>
        <v>0</v>
      </c>
      <c r="AO1358">
        <f>IFERROR(INDEX('Public procurment'!A:S,MATCH(ListOfExpenditure[[#This Row],[Content.contractId]],'Public procurment'!E:E,0),19),0)</f>
        <v>0</v>
      </c>
      <c r="AP1358">
        <f>IF(ListOfExpenditure[[#This Row],[Numero di volte controllato il contract ]]&gt;0,0,ListOfExpenditure[[#This Row],[IF public procurment &gt;10000;1;0]])</f>
        <v>0</v>
      </c>
    </row>
    <row r="1359" spans="1:42" x14ac:dyDescent="0.25">
      <c r="A1359">
        <v>485</v>
      </c>
      <c r="B1359">
        <v>41</v>
      </c>
      <c r="E1359" t="s">
        <v>4786</v>
      </c>
      <c r="F1359" t="b">
        <v>0</v>
      </c>
      <c r="I1359" t="s">
        <v>5844</v>
      </c>
      <c r="K1359" t="s">
        <v>4911</v>
      </c>
      <c r="L1359" t="s">
        <v>4911</v>
      </c>
      <c r="M1359" t="s">
        <v>4788</v>
      </c>
      <c r="N1359" t="s">
        <v>4788</v>
      </c>
      <c r="O1359">
        <v>3289.25</v>
      </c>
      <c r="Q1359">
        <v>0</v>
      </c>
      <c r="R1359">
        <v>0</v>
      </c>
      <c r="S1359">
        <v>3289.25</v>
      </c>
      <c r="T1359" t="s">
        <v>4789</v>
      </c>
      <c r="U1359">
        <v>1</v>
      </c>
      <c r="V1359">
        <v>3289.25</v>
      </c>
      <c r="W1359" t="s">
        <v>4343</v>
      </c>
      <c r="Y1359" t="b">
        <v>1</v>
      </c>
      <c r="Z1359" t="b">
        <v>0</v>
      </c>
      <c r="AA1359">
        <v>0</v>
      </c>
      <c r="AB1359">
        <v>3289.25</v>
      </c>
      <c r="AC1359">
        <v>8</v>
      </c>
      <c r="AD1359" t="b">
        <v>0</v>
      </c>
      <c r="AF1359" t="s">
        <v>5843</v>
      </c>
      <c r="AG1359" s="1" t="s">
        <v>64</v>
      </c>
      <c r="AH1359" s="1" t="s">
        <v>79</v>
      </c>
      <c r="AI1359">
        <v>333</v>
      </c>
      <c r="AJ1359">
        <v>80</v>
      </c>
      <c r="AK1359" s="106">
        <v>45475.635449305555</v>
      </c>
      <c r="AL1359" s="1" t="s">
        <v>4790</v>
      </c>
      <c r="AM1359" s="42">
        <f>IFERROR(INDEX('Public procurment'!A:R,MATCH(ListOfExpenditure[[#This Row],[Content.contractId]],'Public procurment'!E:E,0),14),0)</f>
        <v>0</v>
      </c>
      <c r="AN1359" s="2">
        <f>IF(AND(ListOfExpenditure[[#This Row],[Contract amount]]&gt;10000,ListOfExpenditure[[#This Row],[Content.declaredAmount]]&gt;2000),1,0)</f>
        <v>0</v>
      </c>
      <c r="AO1359">
        <f>IFERROR(INDEX('Public procurment'!A:S,MATCH(ListOfExpenditure[[#This Row],[Content.contractId]],'Public procurment'!E:E,0),19),0)</f>
        <v>0</v>
      </c>
      <c r="AP1359">
        <f>IF(ListOfExpenditure[[#This Row],[Numero di volte controllato il contract ]]&gt;0,0,ListOfExpenditure[[#This Row],[IF public procurment &gt;10000;1;0]])</f>
        <v>0</v>
      </c>
    </row>
    <row r="1360" spans="1:42" x14ac:dyDescent="0.25">
      <c r="A1360">
        <v>486</v>
      </c>
      <c r="B1360">
        <v>42</v>
      </c>
      <c r="E1360" t="s">
        <v>4786</v>
      </c>
      <c r="F1360" t="b">
        <v>0</v>
      </c>
      <c r="I1360" t="s">
        <v>5845</v>
      </c>
      <c r="K1360" t="s">
        <v>4911</v>
      </c>
      <c r="L1360" t="s">
        <v>4911</v>
      </c>
      <c r="M1360" t="s">
        <v>4788</v>
      </c>
      <c r="N1360" t="s">
        <v>4788</v>
      </c>
      <c r="O1360">
        <v>3289.25</v>
      </c>
      <c r="Q1360">
        <v>0</v>
      </c>
      <c r="R1360">
        <v>0</v>
      </c>
      <c r="S1360">
        <v>3289.25</v>
      </c>
      <c r="T1360" t="s">
        <v>4789</v>
      </c>
      <c r="U1360">
        <v>1</v>
      </c>
      <c r="V1360">
        <v>3289.25</v>
      </c>
      <c r="W1360" t="s">
        <v>4343</v>
      </c>
      <c r="Y1360" t="b">
        <v>1</v>
      </c>
      <c r="Z1360" t="b">
        <v>0</v>
      </c>
      <c r="AA1360">
        <v>0</v>
      </c>
      <c r="AB1360">
        <v>3289.25</v>
      </c>
      <c r="AC1360">
        <v>8</v>
      </c>
      <c r="AD1360" t="b">
        <v>0</v>
      </c>
      <c r="AF1360" t="s">
        <v>5843</v>
      </c>
      <c r="AG1360" s="1" t="s">
        <v>64</v>
      </c>
      <c r="AH1360" s="1" t="s">
        <v>79</v>
      </c>
      <c r="AI1360">
        <v>333</v>
      </c>
      <c r="AJ1360">
        <v>80</v>
      </c>
      <c r="AK1360" s="106">
        <v>45475.635449305555</v>
      </c>
      <c r="AL1360" s="1" t="s">
        <v>4790</v>
      </c>
      <c r="AM1360" s="42">
        <f>IFERROR(INDEX('Public procurment'!A:R,MATCH(ListOfExpenditure[[#This Row],[Content.contractId]],'Public procurment'!E:E,0),14),0)</f>
        <v>0</v>
      </c>
      <c r="AN1360" s="2">
        <f>IF(AND(ListOfExpenditure[[#This Row],[Contract amount]]&gt;10000,ListOfExpenditure[[#This Row],[Content.declaredAmount]]&gt;2000),1,0)</f>
        <v>0</v>
      </c>
      <c r="AO1360">
        <f>IFERROR(INDEX('Public procurment'!A:S,MATCH(ListOfExpenditure[[#This Row],[Content.contractId]],'Public procurment'!E:E,0),19),0)</f>
        <v>0</v>
      </c>
      <c r="AP1360">
        <f>IF(ListOfExpenditure[[#This Row],[Numero di volte controllato il contract ]]&gt;0,0,ListOfExpenditure[[#This Row],[IF public procurment &gt;10000;1;0]])</f>
        <v>0</v>
      </c>
    </row>
    <row r="1361" spans="1:42" x14ac:dyDescent="0.25">
      <c r="A1361">
        <v>487</v>
      </c>
      <c r="B1361">
        <v>43</v>
      </c>
      <c r="E1361" t="s">
        <v>4786</v>
      </c>
      <c r="F1361" t="b">
        <v>0</v>
      </c>
      <c r="I1361" t="s">
        <v>5846</v>
      </c>
      <c r="K1361" t="s">
        <v>4911</v>
      </c>
      <c r="L1361" t="s">
        <v>4911</v>
      </c>
      <c r="M1361" t="s">
        <v>4788</v>
      </c>
      <c r="N1361" t="s">
        <v>4788</v>
      </c>
      <c r="O1361">
        <v>3289.25</v>
      </c>
      <c r="Q1361">
        <v>0</v>
      </c>
      <c r="R1361">
        <v>0</v>
      </c>
      <c r="S1361">
        <v>3289.25</v>
      </c>
      <c r="T1361" t="s">
        <v>4789</v>
      </c>
      <c r="U1361">
        <v>1</v>
      </c>
      <c r="V1361">
        <v>3289.25</v>
      </c>
      <c r="W1361" t="s">
        <v>4343</v>
      </c>
      <c r="Y1361" t="b">
        <v>1</v>
      </c>
      <c r="Z1361" t="b">
        <v>0</v>
      </c>
      <c r="AA1361">
        <v>0</v>
      </c>
      <c r="AB1361">
        <v>3289.25</v>
      </c>
      <c r="AC1361">
        <v>8</v>
      </c>
      <c r="AD1361" t="b">
        <v>0</v>
      </c>
      <c r="AF1361" t="s">
        <v>5843</v>
      </c>
      <c r="AG1361" s="1" t="s">
        <v>64</v>
      </c>
      <c r="AH1361" s="1" t="s">
        <v>79</v>
      </c>
      <c r="AI1361">
        <v>333</v>
      </c>
      <c r="AJ1361">
        <v>80</v>
      </c>
      <c r="AK1361" s="106">
        <v>45475.635449305555</v>
      </c>
      <c r="AL1361" s="1" t="s">
        <v>4790</v>
      </c>
      <c r="AM1361" s="42">
        <f>IFERROR(INDEX('Public procurment'!A:R,MATCH(ListOfExpenditure[[#This Row],[Content.contractId]],'Public procurment'!E:E,0),14),0)</f>
        <v>0</v>
      </c>
      <c r="AN1361" s="2">
        <f>IF(AND(ListOfExpenditure[[#This Row],[Contract amount]]&gt;10000,ListOfExpenditure[[#This Row],[Content.declaredAmount]]&gt;2000),1,0)</f>
        <v>0</v>
      </c>
      <c r="AO1361">
        <f>IFERROR(INDEX('Public procurment'!A:S,MATCH(ListOfExpenditure[[#This Row],[Content.contractId]],'Public procurment'!E:E,0),19),0)</f>
        <v>0</v>
      </c>
      <c r="AP1361">
        <f>IF(ListOfExpenditure[[#This Row],[Numero di volte controllato il contract ]]&gt;0,0,ListOfExpenditure[[#This Row],[IF public procurment &gt;10000;1;0]])</f>
        <v>0</v>
      </c>
    </row>
    <row r="1362" spans="1:42" x14ac:dyDescent="0.25">
      <c r="A1362">
        <v>1892</v>
      </c>
      <c r="B1362">
        <v>1</v>
      </c>
      <c r="E1362" t="s">
        <v>4798</v>
      </c>
      <c r="F1362" t="b">
        <v>0</v>
      </c>
      <c r="I1362" t="s">
        <v>212</v>
      </c>
      <c r="J1362" t="s">
        <v>212</v>
      </c>
      <c r="K1362" t="s">
        <v>4885</v>
      </c>
      <c r="M1362" t="s">
        <v>4788</v>
      </c>
      <c r="N1362" t="s">
        <v>4788</v>
      </c>
      <c r="O1362">
        <v>0</v>
      </c>
      <c r="P1362">
        <v>0</v>
      </c>
      <c r="Q1362">
        <v>0</v>
      </c>
      <c r="R1362">
        <v>0</v>
      </c>
      <c r="S1362">
        <v>0</v>
      </c>
      <c r="T1362" t="s">
        <v>4789</v>
      </c>
      <c r="U1362">
        <v>1</v>
      </c>
      <c r="V1362">
        <v>0</v>
      </c>
      <c r="Y1362" t="b">
        <v>0</v>
      </c>
      <c r="Z1362" t="b">
        <v>0</v>
      </c>
      <c r="AA1362">
        <v>0</v>
      </c>
      <c r="AB1362">
        <v>0</v>
      </c>
      <c r="AD1362" t="b">
        <v>0</v>
      </c>
      <c r="AG1362" s="1" t="s">
        <v>60</v>
      </c>
      <c r="AH1362" s="1" t="s">
        <v>328</v>
      </c>
      <c r="AI1362">
        <v>138</v>
      </c>
      <c r="AJ1362">
        <v>318</v>
      </c>
      <c r="AK1362" s="106">
        <v>45475.635527812497</v>
      </c>
      <c r="AL1362" s="1" t="s">
        <v>4790</v>
      </c>
      <c r="AM1362" s="42">
        <f>IFERROR(INDEX('Public procurment'!A:R,MATCH(ListOfExpenditure[[#This Row],[Content.contractId]],'Public procurment'!E:E,0),14),0)</f>
        <v>0</v>
      </c>
      <c r="AN1362" s="2">
        <f>IF(AND(ListOfExpenditure[[#This Row],[Contract amount]]&gt;10000,ListOfExpenditure[[#This Row],[Content.declaredAmount]]&gt;2000),1,0)</f>
        <v>0</v>
      </c>
      <c r="AO1362">
        <f>IFERROR(INDEX('Public procurment'!A:S,MATCH(ListOfExpenditure[[#This Row],[Content.contractId]],'Public procurment'!E:E,0),19),0)</f>
        <v>0</v>
      </c>
      <c r="AP1362">
        <f>IF(ListOfExpenditure[[#This Row],[Numero di volte controllato il contract ]]&gt;0,0,ListOfExpenditure[[#This Row],[IF public procurment &gt;10000;1;0]])</f>
        <v>0</v>
      </c>
    </row>
    <row r="1363" spans="1:42" x14ac:dyDescent="0.25">
      <c r="A1363">
        <v>253</v>
      </c>
      <c r="B1363">
        <v>1</v>
      </c>
      <c r="E1363" t="s">
        <v>4798</v>
      </c>
      <c r="F1363" t="b">
        <v>0</v>
      </c>
      <c r="I1363" t="s">
        <v>6143</v>
      </c>
      <c r="J1363" t="s">
        <v>6143</v>
      </c>
      <c r="K1363" t="s">
        <v>4845</v>
      </c>
      <c r="L1363" t="s">
        <v>4939</v>
      </c>
      <c r="M1363" t="s">
        <v>4788</v>
      </c>
      <c r="N1363" t="s">
        <v>4788</v>
      </c>
      <c r="O1363">
        <v>0</v>
      </c>
      <c r="P1363">
        <v>0</v>
      </c>
      <c r="Q1363">
        <v>0</v>
      </c>
      <c r="R1363">
        <v>0</v>
      </c>
      <c r="S1363">
        <v>0</v>
      </c>
      <c r="T1363" t="s">
        <v>4789</v>
      </c>
      <c r="U1363">
        <v>1</v>
      </c>
      <c r="V1363">
        <v>0</v>
      </c>
      <c r="Y1363" t="b">
        <v>0</v>
      </c>
      <c r="Z1363" t="b">
        <v>0</v>
      </c>
      <c r="AA1363">
        <v>0</v>
      </c>
      <c r="AB1363">
        <v>0</v>
      </c>
      <c r="AD1363" t="b">
        <v>0</v>
      </c>
      <c r="AG1363" s="1" t="s">
        <v>60</v>
      </c>
      <c r="AH1363" s="1" t="s">
        <v>328</v>
      </c>
      <c r="AI1363">
        <v>138</v>
      </c>
      <c r="AJ1363">
        <v>77</v>
      </c>
      <c r="AK1363" s="106">
        <v>45475.635430115741</v>
      </c>
      <c r="AL1363" s="1" t="s">
        <v>4790</v>
      </c>
      <c r="AM1363" s="42">
        <f>IFERROR(INDEX('Public procurment'!A:R,MATCH(ListOfExpenditure[[#This Row],[Content.contractId]],'Public procurment'!E:E,0),14),0)</f>
        <v>0</v>
      </c>
      <c r="AN1363" s="2">
        <f>IF(AND(ListOfExpenditure[[#This Row],[Contract amount]]&gt;10000,ListOfExpenditure[[#This Row],[Content.declaredAmount]]&gt;2000),1,0)</f>
        <v>0</v>
      </c>
      <c r="AO1363">
        <f>IFERROR(INDEX('Public procurment'!A:S,MATCH(ListOfExpenditure[[#This Row],[Content.contractId]],'Public procurment'!E:E,0),19),0)</f>
        <v>0</v>
      </c>
      <c r="AP1363">
        <f>IF(ListOfExpenditure[[#This Row],[Numero di volte controllato il contract ]]&gt;0,0,ListOfExpenditure[[#This Row],[IF public procurment &gt;10000;1;0]])</f>
        <v>0</v>
      </c>
    </row>
    <row r="1364" spans="1:42" x14ac:dyDescent="0.25">
      <c r="A1364">
        <v>86</v>
      </c>
      <c r="B1364">
        <v>1</v>
      </c>
      <c r="C1364">
        <v>19</v>
      </c>
      <c r="E1364" t="s">
        <v>4893</v>
      </c>
      <c r="F1364" t="b">
        <v>0</v>
      </c>
      <c r="M1364" t="s">
        <v>4788</v>
      </c>
      <c r="N1364" t="s">
        <v>4788</v>
      </c>
      <c r="Q1364">
        <v>1</v>
      </c>
      <c r="R1364">
        <v>9000</v>
      </c>
      <c r="S1364">
        <v>9000</v>
      </c>
      <c r="T1364" t="s">
        <v>4789</v>
      </c>
      <c r="U1364">
        <v>1</v>
      </c>
      <c r="V1364">
        <v>9000</v>
      </c>
      <c r="Y1364" t="b">
        <v>1</v>
      </c>
      <c r="Z1364" t="b">
        <v>0</v>
      </c>
      <c r="AA1364">
        <v>0</v>
      </c>
      <c r="AB1364">
        <v>0</v>
      </c>
      <c r="AD1364" t="b">
        <v>1</v>
      </c>
      <c r="AF1364" t="s">
        <v>5847</v>
      </c>
      <c r="AG1364" s="1" t="s">
        <v>60</v>
      </c>
      <c r="AH1364" s="1" t="s">
        <v>68</v>
      </c>
      <c r="AI1364">
        <v>94</v>
      </c>
      <c r="AJ1364">
        <v>30</v>
      </c>
      <c r="AK1364" s="106">
        <v>45475.635428993053</v>
      </c>
      <c r="AL1364" s="1" t="s">
        <v>4790</v>
      </c>
      <c r="AM1364" s="42">
        <f>IFERROR(INDEX('Public procurment'!A:R,MATCH(ListOfExpenditure[[#This Row],[Content.contractId]],'Public procurment'!E:E,0),14),0)</f>
        <v>0</v>
      </c>
      <c r="AN1364" s="2">
        <f>IF(AND(ListOfExpenditure[[#This Row],[Contract amount]]&gt;10000,ListOfExpenditure[[#This Row],[Content.declaredAmount]]&gt;2000),1,0)</f>
        <v>0</v>
      </c>
      <c r="AO1364">
        <f>IFERROR(INDEX('Public procurment'!A:S,MATCH(ListOfExpenditure[[#This Row],[Content.contractId]],'Public procurment'!E:E,0),19),0)</f>
        <v>0</v>
      </c>
      <c r="AP1364">
        <f>IF(ListOfExpenditure[[#This Row],[Numero di volte controllato il contract ]]&gt;0,0,ListOfExpenditure[[#This Row],[IF public procurment &gt;10000;1;0]])</f>
        <v>0</v>
      </c>
    </row>
    <row r="1365" spans="1:42" x14ac:dyDescent="0.25">
      <c r="A1365">
        <v>1849</v>
      </c>
      <c r="B1365">
        <v>1</v>
      </c>
      <c r="E1365" t="s">
        <v>4798</v>
      </c>
      <c r="F1365" t="b">
        <v>0</v>
      </c>
      <c r="I1365" t="s">
        <v>212</v>
      </c>
      <c r="J1365" t="s">
        <v>212</v>
      </c>
      <c r="M1365" t="s">
        <v>4788</v>
      </c>
      <c r="N1365" t="s">
        <v>4788</v>
      </c>
      <c r="O1365">
        <v>0</v>
      </c>
      <c r="P1365">
        <v>0</v>
      </c>
      <c r="Q1365">
        <v>0</v>
      </c>
      <c r="R1365">
        <v>0</v>
      </c>
      <c r="S1365">
        <v>0</v>
      </c>
      <c r="T1365" t="s">
        <v>4789</v>
      </c>
      <c r="U1365">
        <v>1</v>
      </c>
      <c r="V1365">
        <v>0</v>
      </c>
      <c r="Y1365" t="b">
        <v>0</v>
      </c>
      <c r="Z1365" t="b">
        <v>0</v>
      </c>
      <c r="AA1365">
        <v>0</v>
      </c>
      <c r="AB1365">
        <v>0</v>
      </c>
      <c r="AD1365" t="b">
        <v>0</v>
      </c>
      <c r="AG1365" s="1" t="s">
        <v>60</v>
      </c>
      <c r="AH1365" s="1" t="s">
        <v>329</v>
      </c>
      <c r="AI1365">
        <v>173</v>
      </c>
      <c r="AJ1365">
        <v>276</v>
      </c>
      <c r="AK1365" s="106">
        <v>45475.635511134256</v>
      </c>
      <c r="AL1365" s="1" t="s">
        <v>4790</v>
      </c>
      <c r="AM1365" s="42">
        <f>IFERROR(INDEX('Public procurment'!A:R,MATCH(ListOfExpenditure[[#This Row],[Content.contractId]],'Public procurment'!E:E,0),14),0)</f>
        <v>0</v>
      </c>
      <c r="AN1365" s="2">
        <f>IF(AND(ListOfExpenditure[[#This Row],[Contract amount]]&gt;10000,ListOfExpenditure[[#This Row],[Content.declaredAmount]]&gt;2000),1,0)</f>
        <v>0</v>
      </c>
      <c r="AO1365">
        <f>IFERROR(INDEX('Public procurment'!A:S,MATCH(ListOfExpenditure[[#This Row],[Content.contractId]],'Public procurment'!E:E,0),19),0)</f>
        <v>0</v>
      </c>
      <c r="AP1365">
        <f>IF(ListOfExpenditure[[#This Row],[Numero di volte controllato il contract ]]&gt;0,0,ListOfExpenditure[[#This Row],[IF public procurment &gt;10000;1;0]])</f>
        <v>0</v>
      </c>
    </row>
    <row r="1366" spans="1:42" x14ac:dyDescent="0.25">
      <c r="A1366">
        <v>252</v>
      </c>
      <c r="B1366">
        <v>1</v>
      </c>
      <c r="E1366" t="s">
        <v>4798</v>
      </c>
      <c r="F1366" t="b">
        <v>0</v>
      </c>
      <c r="I1366" t="s">
        <v>6143</v>
      </c>
      <c r="J1366" t="s">
        <v>6143</v>
      </c>
      <c r="M1366" t="s">
        <v>4788</v>
      </c>
      <c r="N1366" t="s">
        <v>4788</v>
      </c>
      <c r="O1366">
        <v>0</v>
      </c>
      <c r="P1366">
        <v>0</v>
      </c>
      <c r="Q1366">
        <v>0</v>
      </c>
      <c r="R1366">
        <v>0</v>
      </c>
      <c r="S1366">
        <v>0</v>
      </c>
      <c r="T1366" t="s">
        <v>4789</v>
      </c>
      <c r="U1366">
        <v>1</v>
      </c>
      <c r="V1366">
        <v>0</v>
      </c>
      <c r="Y1366" t="b">
        <v>0</v>
      </c>
      <c r="Z1366" t="b">
        <v>0</v>
      </c>
      <c r="AA1366">
        <v>0</v>
      </c>
      <c r="AB1366">
        <v>0</v>
      </c>
      <c r="AD1366" t="b">
        <v>0</v>
      </c>
      <c r="AG1366" s="1" t="s">
        <v>60</v>
      </c>
      <c r="AH1366" s="1" t="s">
        <v>329</v>
      </c>
      <c r="AI1366">
        <v>173</v>
      </c>
      <c r="AJ1366">
        <v>78</v>
      </c>
      <c r="AK1366" s="106">
        <v>45475.635428414353</v>
      </c>
      <c r="AL1366" s="1" t="s">
        <v>4790</v>
      </c>
      <c r="AM1366" s="42">
        <f>IFERROR(INDEX('Public procurment'!A:R,MATCH(ListOfExpenditure[[#This Row],[Content.contractId]],'Public procurment'!E:E,0),14),0)</f>
        <v>0</v>
      </c>
      <c r="AN1366" s="2">
        <f>IF(AND(ListOfExpenditure[[#This Row],[Contract amount]]&gt;10000,ListOfExpenditure[[#This Row],[Content.declaredAmount]]&gt;2000),1,0)</f>
        <v>0</v>
      </c>
      <c r="AO1366">
        <f>IFERROR(INDEX('Public procurment'!A:S,MATCH(ListOfExpenditure[[#This Row],[Content.contractId]],'Public procurment'!E:E,0),19),0)</f>
        <v>0</v>
      </c>
      <c r="AP1366">
        <f>IF(ListOfExpenditure[[#This Row],[Numero di volte controllato il contract ]]&gt;0,0,ListOfExpenditure[[#This Row],[IF public procurment &gt;10000;1;0]])</f>
        <v>0</v>
      </c>
    </row>
    <row r="1367" spans="1:42" x14ac:dyDescent="0.25">
      <c r="A1367">
        <v>1332</v>
      </c>
      <c r="B1367">
        <v>1</v>
      </c>
      <c r="E1367" t="s">
        <v>4786</v>
      </c>
      <c r="F1367" t="b">
        <v>0</v>
      </c>
      <c r="I1367" t="s">
        <v>5848</v>
      </c>
      <c r="L1367" t="s">
        <v>4831</v>
      </c>
      <c r="M1367" t="s">
        <v>4788</v>
      </c>
      <c r="N1367" t="s">
        <v>4788</v>
      </c>
      <c r="O1367">
        <v>2242.5700000000002</v>
      </c>
      <c r="Q1367">
        <v>0</v>
      </c>
      <c r="R1367">
        <v>0</v>
      </c>
      <c r="S1367">
        <v>2242.5700000000002</v>
      </c>
      <c r="T1367" t="s">
        <v>4789</v>
      </c>
      <c r="U1367">
        <v>1</v>
      </c>
      <c r="V1367">
        <v>2242.5700000000002</v>
      </c>
      <c r="W1367" t="s">
        <v>4343</v>
      </c>
      <c r="Y1367" t="b">
        <v>1</v>
      </c>
      <c r="Z1367" t="b">
        <v>0</v>
      </c>
      <c r="AA1367">
        <v>2242.5700000000002</v>
      </c>
      <c r="AB1367">
        <v>0</v>
      </c>
      <c r="AD1367" t="b">
        <v>0</v>
      </c>
      <c r="AG1367" s="1" t="s">
        <v>60</v>
      </c>
      <c r="AH1367" s="1" t="s">
        <v>35</v>
      </c>
      <c r="AI1367">
        <v>95</v>
      </c>
      <c r="AJ1367">
        <v>258</v>
      </c>
      <c r="AK1367" s="106">
        <v>45475.635494907408</v>
      </c>
      <c r="AL1367" s="1" t="s">
        <v>4790</v>
      </c>
      <c r="AM1367" s="42">
        <f>IFERROR(INDEX('Public procurment'!A:R,MATCH(ListOfExpenditure[[#This Row],[Content.contractId]],'Public procurment'!E:E,0),14),0)</f>
        <v>0</v>
      </c>
      <c r="AN1367" s="2">
        <f>IF(AND(ListOfExpenditure[[#This Row],[Contract amount]]&gt;10000,ListOfExpenditure[[#This Row],[Content.declaredAmount]]&gt;2000),1,0)</f>
        <v>0</v>
      </c>
      <c r="AO1367">
        <f>IFERROR(INDEX('Public procurment'!A:S,MATCH(ListOfExpenditure[[#This Row],[Content.contractId]],'Public procurment'!E:E,0),19),0)</f>
        <v>0</v>
      </c>
      <c r="AP1367">
        <f>IF(ListOfExpenditure[[#This Row],[Numero di volte controllato il contract ]]&gt;0,0,ListOfExpenditure[[#This Row],[IF public procurment &gt;10000;1;0]])</f>
        <v>0</v>
      </c>
    </row>
    <row r="1368" spans="1:42" x14ac:dyDescent="0.25">
      <c r="A1368">
        <v>1333</v>
      </c>
      <c r="B1368">
        <v>2</v>
      </c>
      <c r="E1368" t="s">
        <v>4786</v>
      </c>
      <c r="F1368" t="b">
        <v>0</v>
      </c>
      <c r="I1368" t="s">
        <v>5849</v>
      </c>
      <c r="L1368" t="s">
        <v>4957</v>
      </c>
      <c r="M1368" t="s">
        <v>4788</v>
      </c>
      <c r="N1368" t="s">
        <v>4788</v>
      </c>
      <c r="O1368">
        <v>2266.5700000000002</v>
      </c>
      <c r="Q1368">
        <v>0</v>
      </c>
      <c r="R1368">
        <v>0</v>
      </c>
      <c r="S1368">
        <v>2266.5700000000002</v>
      </c>
      <c r="T1368" t="s">
        <v>4789</v>
      </c>
      <c r="U1368">
        <v>1</v>
      </c>
      <c r="V1368">
        <v>2266.5700000000002</v>
      </c>
      <c r="W1368" t="s">
        <v>4343</v>
      </c>
      <c r="Y1368" t="b">
        <v>1</v>
      </c>
      <c r="Z1368" t="b">
        <v>0</v>
      </c>
      <c r="AA1368">
        <v>2266.5700000000002</v>
      </c>
      <c r="AB1368">
        <v>0</v>
      </c>
      <c r="AD1368" t="b">
        <v>0</v>
      </c>
      <c r="AG1368" s="1" t="s">
        <v>60</v>
      </c>
      <c r="AH1368" s="1" t="s">
        <v>35</v>
      </c>
      <c r="AI1368">
        <v>95</v>
      </c>
      <c r="AJ1368">
        <v>258</v>
      </c>
      <c r="AK1368" s="106">
        <v>45475.635494907408</v>
      </c>
      <c r="AL1368" s="1" t="s">
        <v>4790</v>
      </c>
      <c r="AM1368" s="42">
        <f>IFERROR(INDEX('Public procurment'!A:R,MATCH(ListOfExpenditure[[#This Row],[Content.contractId]],'Public procurment'!E:E,0),14),0)</f>
        <v>0</v>
      </c>
      <c r="AN1368" s="2">
        <f>IF(AND(ListOfExpenditure[[#This Row],[Contract amount]]&gt;10000,ListOfExpenditure[[#This Row],[Content.declaredAmount]]&gt;2000),1,0)</f>
        <v>0</v>
      </c>
      <c r="AO1368">
        <f>IFERROR(INDEX('Public procurment'!A:S,MATCH(ListOfExpenditure[[#This Row],[Content.contractId]],'Public procurment'!E:E,0),19),0)</f>
        <v>0</v>
      </c>
      <c r="AP1368">
        <f>IF(ListOfExpenditure[[#This Row],[Numero di volte controllato il contract ]]&gt;0,0,ListOfExpenditure[[#This Row],[IF public procurment &gt;10000;1;0]])</f>
        <v>0</v>
      </c>
    </row>
    <row r="1369" spans="1:42" x14ac:dyDescent="0.25">
      <c r="A1369">
        <v>1334</v>
      </c>
      <c r="B1369">
        <v>3</v>
      </c>
      <c r="E1369" t="s">
        <v>4786</v>
      </c>
      <c r="F1369" t="b">
        <v>0</v>
      </c>
      <c r="I1369" t="s">
        <v>5850</v>
      </c>
      <c r="L1369" t="s">
        <v>4914</v>
      </c>
      <c r="M1369" t="s">
        <v>4788</v>
      </c>
      <c r="N1369" t="s">
        <v>4788</v>
      </c>
      <c r="O1369">
        <v>2273.61</v>
      </c>
      <c r="Q1369">
        <v>0</v>
      </c>
      <c r="R1369">
        <v>0</v>
      </c>
      <c r="S1369">
        <v>2273.61</v>
      </c>
      <c r="T1369" t="s">
        <v>4789</v>
      </c>
      <c r="U1369">
        <v>1</v>
      </c>
      <c r="V1369">
        <v>2273.61</v>
      </c>
      <c r="W1369" t="s">
        <v>4343</v>
      </c>
      <c r="Y1369" t="b">
        <v>1</v>
      </c>
      <c r="Z1369" t="b">
        <v>0</v>
      </c>
      <c r="AA1369">
        <v>2273.61</v>
      </c>
      <c r="AB1369">
        <v>0</v>
      </c>
      <c r="AD1369" t="b">
        <v>0</v>
      </c>
      <c r="AG1369" s="1" t="s">
        <v>60</v>
      </c>
      <c r="AH1369" s="1" t="s">
        <v>35</v>
      </c>
      <c r="AI1369">
        <v>95</v>
      </c>
      <c r="AJ1369">
        <v>258</v>
      </c>
      <c r="AK1369" s="106">
        <v>45475.635494907408</v>
      </c>
      <c r="AL1369" s="1" t="s">
        <v>4790</v>
      </c>
      <c r="AM1369" s="42">
        <f>IFERROR(INDEX('Public procurment'!A:R,MATCH(ListOfExpenditure[[#This Row],[Content.contractId]],'Public procurment'!E:E,0),14),0)</f>
        <v>0</v>
      </c>
      <c r="AN1369" s="2">
        <f>IF(AND(ListOfExpenditure[[#This Row],[Contract amount]]&gt;10000,ListOfExpenditure[[#This Row],[Content.declaredAmount]]&gt;2000),1,0)</f>
        <v>0</v>
      </c>
      <c r="AO1369">
        <f>IFERROR(INDEX('Public procurment'!A:S,MATCH(ListOfExpenditure[[#This Row],[Content.contractId]],'Public procurment'!E:E,0),19),0)</f>
        <v>0</v>
      </c>
      <c r="AP1369">
        <f>IF(ListOfExpenditure[[#This Row],[Numero di volte controllato il contract ]]&gt;0,0,ListOfExpenditure[[#This Row],[IF public procurment &gt;10000;1;0]])</f>
        <v>0</v>
      </c>
    </row>
    <row r="1370" spans="1:42" x14ac:dyDescent="0.25">
      <c r="A1370">
        <v>1335</v>
      </c>
      <c r="B1370">
        <v>4</v>
      </c>
      <c r="E1370" t="s">
        <v>4786</v>
      </c>
      <c r="F1370" t="b">
        <v>0</v>
      </c>
      <c r="I1370" t="s">
        <v>5710</v>
      </c>
      <c r="L1370" t="s">
        <v>4959</v>
      </c>
      <c r="M1370" t="s">
        <v>4788</v>
      </c>
      <c r="N1370" t="s">
        <v>4788</v>
      </c>
      <c r="O1370">
        <v>2175.96</v>
      </c>
      <c r="Q1370">
        <v>0</v>
      </c>
      <c r="R1370">
        <v>0</v>
      </c>
      <c r="S1370">
        <v>2175.96</v>
      </c>
      <c r="T1370" t="s">
        <v>4789</v>
      </c>
      <c r="U1370">
        <v>1</v>
      </c>
      <c r="V1370">
        <v>2175.96</v>
      </c>
      <c r="W1370" t="s">
        <v>4343</v>
      </c>
      <c r="Y1370" t="b">
        <v>1</v>
      </c>
      <c r="Z1370" t="b">
        <v>0</v>
      </c>
      <c r="AA1370">
        <v>2175.96</v>
      </c>
      <c r="AB1370">
        <v>0</v>
      </c>
      <c r="AD1370" t="b">
        <v>0</v>
      </c>
      <c r="AG1370" s="1" t="s">
        <v>60</v>
      </c>
      <c r="AH1370" s="1" t="s">
        <v>35</v>
      </c>
      <c r="AI1370">
        <v>95</v>
      </c>
      <c r="AJ1370">
        <v>258</v>
      </c>
      <c r="AK1370" s="106">
        <v>45475.635494907408</v>
      </c>
      <c r="AL1370" s="1" t="s">
        <v>4790</v>
      </c>
      <c r="AM1370" s="42">
        <f>IFERROR(INDEX('Public procurment'!A:R,MATCH(ListOfExpenditure[[#This Row],[Content.contractId]],'Public procurment'!E:E,0),14),0)</f>
        <v>0</v>
      </c>
      <c r="AN1370" s="2">
        <f>IF(AND(ListOfExpenditure[[#This Row],[Contract amount]]&gt;10000,ListOfExpenditure[[#This Row],[Content.declaredAmount]]&gt;2000),1,0)</f>
        <v>0</v>
      </c>
      <c r="AO1370">
        <f>IFERROR(INDEX('Public procurment'!A:S,MATCH(ListOfExpenditure[[#This Row],[Content.contractId]],'Public procurment'!E:E,0),19),0)</f>
        <v>0</v>
      </c>
      <c r="AP1370">
        <f>IF(ListOfExpenditure[[#This Row],[Numero di volte controllato il contract ]]&gt;0,0,ListOfExpenditure[[#This Row],[IF public procurment &gt;10000;1;0]])</f>
        <v>0</v>
      </c>
    </row>
    <row r="1371" spans="1:42" x14ac:dyDescent="0.25">
      <c r="A1371">
        <v>1336</v>
      </c>
      <c r="B1371">
        <v>5</v>
      </c>
      <c r="E1371" t="s">
        <v>4786</v>
      </c>
      <c r="F1371" t="b">
        <v>0</v>
      </c>
      <c r="I1371" t="s">
        <v>5851</v>
      </c>
      <c r="L1371" t="s">
        <v>4835</v>
      </c>
      <c r="M1371" t="s">
        <v>4788</v>
      </c>
      <c r="N1371" t="s">
        <v>4788</v>
      </c>
      <c r="O1371">
        <v>2174.3000000000002</v>
      </c>
      <c r="Q1371">
        <v>0</v>
      </c>
      <c r="R1371">
        <v>0</v>
      </c>
      <c r="S1371">
        <v>2174.3000000000002</v>
      </c>
      <c r="T1371" t="s">
        <v>4789</v>
      </c>
      <c r="U1371">
        <v>1</v>
      </c>
      <c r="V1371">
        <v>2174.3000000000002</v>
      </c>
      <c r="W1371" t="s">
        <v>4343</v>
      </c>
      <c r="Y1371" t="b">
        <v>1</v>
      </c>
      <c r="Z1371" t="b">
        <v>0</v>
      </c>
      <c r="AA1371">
        <v>2174.3000000000002</v>
      </c>
      <c r="AB1371">
        <v>0</v>
      </c>
      <c r="AD1371" t="b">
        <v>0</v>
      </c>
      <c r="AG1371" s="1" t="s">
        <v>60</v>
      </c>
      <c r="AH1371" s="1" t="s">
        <v>35</v>
      </c>
      <c r="AI1371">
        <v>95</v>
      </c>
      <c r="AJ1371">
        <v>258</v>
      </c>
      <c r="AK1371" s="106">
        <v>45475.635494907408</v>
      </c>
      <c r="AL1371" s="1" t="s">
        <v>4790</v>
      </c>
      <c r="AM1371" s="42">
        <f>IFERROR(INDEX('Public procurment'!A:R,MATCH(ListOfExpenditure[[#This Row],[Content.contractId]],'Public procurment'!E:E,0),14),0)</f>
        <v>0</v>
      </c>
      <c r="AN1371" s="2">
        <f>IF(AND(ListOfExpenditure[[#This Row],[Contract amount]]&gt;10000,ListOfExpenditure[[#This Row],[Content.declaredAmount]]&gt;2000),1,0)</f>
        <v>0</v>
      </c>
      <c r="AO1371">
        <f>IFERROR(INDEX('Public procurment'!A:S,MATCH(ListOfExpenditure[[#This Row],[Content.contractId]],'Public procurment'!E:E,0),19),0)</f>
        <v>0</v>
      </c>
      <c r="AP1371">
        <f>IF(ListOfExpenditure[[#This Row],[Numero di volte controllato il contract ]]&gt;0,0,ListOfExpenditure[[#This Row],[IF public procurment &gt;10000;1;0]])</f>
        <v>0</v>
      </c>
    </row>
    <row r="1372" spans="1:42" x14ac:dyDescent="0.25">
      <c r="A1372">
        <v>1355</v>
      </c>
      <c r="B1372">
        <v>6</v>
      </c>
      <c r="E1372" t="s">
        <v>4798</v>
      </c>
      <c r="F1372" t="b">
        <v>0</v>
      </c>
      <c r="I1372" t="s">
        <v>5852</v>
      </c>
      <c r="J1372" t="s">
        <v>5853</v>
      </c>
      <c r="K1372" t="s">
        <v>4885</v>
      </c>
      <c r="L1372" t="s">
        <v>4936</v>
      </c>
      <c r="M1372" t="s">
        <v>4788</v>
      </c>
      <c r="N1372" t="s">
        <v>4788</v>
      </c>
      <c r="O1372">
        <v>2055.1999999999998</v>
      </c>
      <c r="P1372">
        <v>0</v>
      </c>
      <c r="Q1372">
        <v>0</v>
      </c>
      <c r="R1372">
        <v>0</v>
      </c>
      <c r="S1372">
        <v>2055.1999999999998</v>
      </c>
      <c r="T1372" t="s">
        <v>4789</v>
      </c>
      <c r="U1372">
        <v>1</v>
      </c>
      <c r="V1372">
        <v>2055.1999999999998</v>
      </c>
      <c r="W1372" t="s">
        <v>4343</v>
      </c>
      <c r="Y1372" t="b">
        <v>1</v>
      </c>
      <c r="Z1372" t="b">
        <v>0</v>
      </c>
      <c r="AA1372">
        <v>2055.1999999999998</v>
      </c>
      <c r="AB1372">
        <v>0</v>
      </c>
      <c r="AD1372" t="b">
        <v>0</v>
      </c>
      <c r="AG1372" s="1" t="s">
        <v>60</v>
      </c>
      <c r="AH1372" s="1" t="s">
        <v>35</v>
      </c>
      <c r="AI1372">
        <v>95</v>
      </c>
      <c r="AJ1372">
        <v>258</v>
      </c>
      <c r="AK1372" s="106">
        <v>45475.635494907408</v>
      </c>
      <c r="AL1372" s="1" t="s">
        <v>4790</v>
      </c>
      <c r="AM1372" s="42">
        <f>IFERROR(INDEX('Public procurment'!A:R,MATCH(ListOfExpenditure[[#This Row],[Content.contractId]],'Public procurment'!E:E,0),14),0)</f>
        <v>0</v>
      </c>
      <c r="AN1372" s="2">
        <f>IF(AND(ListOfExpenditure[[#This Row],[Contract amount]]&gt;10000,ListOfExpenditure[[#This Row],[Content.declaredAmount]]&gt;2000),1,0)</f>
        <v>0</v>
      </c>
      <c r="AO1372">
        <f>IFERROR(INDEX('Public procurment'!A:S,MATCH(ListOfExpenditure[[#This Row],[Content.contractId]],'Public procurment'!E:E,0),19),0)</f>
        <v>0</v>
      </c>
      <c r="AP1372">
        <f>IF(ListOfExpenditure[[#This Row],[Numero di volte controllato il contract ]]&gt;0,0,ListOfExpenditure[[#This Row],[IF public procurment &gt;10000;1;0]])</f>
        <v>0</v>
      </c>
    </row>
    <row r="1373" spans="1:42" x14ac:dyDescent="0.25">
      <c r="A1373">
        <v>142</v>
      </c>
      <c r="B1373">
        <v>1</v>
      </c>
      <c r="E1373" t="s">
        <v>4786</v>
      </c>
      <c r="F1373" t="b">
        <v>0</v>
      </c>
      <c r="I1373" t="s">
        <v>5854</v>
      </c>
      <c r="L1373" t="s">
        <v>5384</v>
      </c>
      <c r="M1373" t="s">
        <v>4788</v>
      </c>
      <c r="N1373" t="s">
        <v>4788</v>
      </c>
      <c r="O1373">
        <v>3113.4</v>
      </c>
      <c r="Q1373">
        <v>0</v>
      </c>
      <c r="R1373">
        <v>0</v>
      </c>
      <c r="S1373">
        <v>3113.4</v>
      </c>
      <c r="T1373" t="s">
        <v>4789</v>
      </c>
      <c r="U1373">
        <v>1</v>
      </c>
      <c r="V1373">
        <v>3113.4</v>
      </c>
      <c r="W1373" t="s">
        <v>4343</v>
      </c>
      <c r="Y1373" t="b">
        <v>1</v>
      </c>
      <c r="Z1373" t="b">
        <v>0</v>
      </c>
      <c r="AA1373">
        <v>2858.15</v>
      </c>
      <c r="AB1373">
        <v>255.25</v>
      </c>
      <c r="AC1373">
        <v>14</v>
      </c>
      <c r="AD1373" t="b">
        <v>0</v>
      </c>
      <c r="AF1373" t="s">
        <v>5855</v>
      </c>
      <c r="AG1373" s="1" t="s">
        <v>60</v>
      </c>
      <c r="AH1373" s="1" t="s">
        <v>35</v>
      </c>
      <c r="AI1373">
        <v>95</v>
      </c>
      <c r="AJ1373">
        <v>42</v>
      </c>
      <c r="AK1373" s="106">
        <v>45475.635438206016</v>
      </c>
      <c r="AL1373" s="1" t="s">
        <v>4790</v>
      </c>
      <c r="AM1373" s="42">
        <f>IFERROR(INDEX('Public procurment'!A:R,MATCH(ListOfExpenditure[[#This Row],[Content.contractId]],'Public procurment'!E:E,0),14),0)</f>
        <v>0</v>
      </c>
      <c r="AN1373" s="2">
        <f>IF(AND(ListOfExpenditure[[#This Row],[Contract amount]]&gt;10000,ListOfExpenditure[[#This Row],[Content.declaredAmount]]&gt;2000),1,0)</f>
        <v>0</v>
      </c>
      <c r="AO1373">
        <f>IFERROR(INDEX('Public procurment'!A:S,MATCH(ListOfExpenditure[[#This Row],[Content.contractId]],'Public procurment'!E:E,0),19),0)</f>
        <v>0</v>
      </c>
      <c r="AP1373">
        <f>IF(ListOfExpenditure[[#This Row],[Numero di volte controllato il contract ]]&gt;0,0,ListOfExpenditure[[#This Row],[IF public procurment &gt;10000;1;0]])</f>
        <v>0</v>
      </c>
    </row>
    <row r="1374" spans="1:42" x14ac:dyDescent="0.25">
      <c r="A1374">
        <v>143</v>
      </c>
      <c r="B1374">
        <v>2</v>
      </c>
      <c r="E1374" t="s">
        <v>4786</v>
      </c>
      <c r="F1374" t="b">
        <v>0</v>
      </c>
      <c r="I1374" t="s">
        <v>5856</v>
      </c>
      <c r="L1374" t="s">
        <v>4877</v>
      </c>
      <c r="M1374" t="s">
        <v>4788</v>
      </c>
      <c r="N1374" t="s">
        <v>4788</v>
      </c>
      <c r="O1374">
        <v>3036.59</v>
      </c>
      <c r="Q1374">
        <v>0</v>
      </c>
      <c r="R1374">
        <v>0</v>
      </c>
      <c r="S1374">
        <v>3036.59</v>
      </c>
      <c r="T1374" t="s">
        <v>4789</v>
      </c>
      <c r="U1374">
        <v>1</v>
      </c>
      <c r="V1374">
        <v>3036.59</v>
      </c>
      <c r="W1374" t="s">
        <v>4343</v>
      </c>
      <c r="Y1374" t="b">
        <v>1</v>
      </c>
      <c r="Z1374" t="b">
        <v>0</v>
      </c>
      <c r="AA1374">
        <v>2860.98</v>
      </c>
      <c r="AB1374">
        <v>175.61</v>
      </c>
      <c r="AC1374">
        <v>14</v>
      </c>
      <c r="AD1374" t="b">
        <v>0</v>
      </c>
      <c r="AF1374" t="s">
        <v>5855</v>
      </c>
      <c r="AG1374" s="1" t="s">
        <v>60</v>
      </c>
      <c r="AH1374" s="1" t="s">
        <v>35</v>
      </c>
      <c r="AI1374">
        <v>95</v>
      </c>
      <c r="AJ1374">
        <v>42</v>
      </c>
      <c r="AK1374" s="106">
        <v>45475.635438206016</v>
      </c>
      <c r="AL1374" s="1" t="s">
        <v>4790</v>
      </c>
      <c r="AM1374" s="42">
        <f>IFERROR(INDEX('Public procurment'!A:R,MATCH(ListOfExpenditure[[#This Row],[Content.contractId]],'Public procurment'!E:E,0),14),0)</f>
        <v>0</v>
      </c>
      <c r="AN1374" s="2">
        <f>IF(AND(ListOfExpenditure[[#This Row],[Contract amount]]&gt;10000,ListOfExpenditure[[#This Row],[Content.declaredAmount]]&gt;2000),1,0)</f>
        <v>0</v>
      </c>
      <c r="AO1374">
        <f>IFERROR(INDEX('Public procurment'!A:S,MATCH(ListOfExpenditure[[#This Row],[Content.contractId]],'Public procurment'!E:E,0),19),0)</f>
        <v>0</v>
      </c>
      <c r="AP1374">
        <f>IF(ListOfExpenditure[[#This Row],[Numero di volte controllato il contract ]]&gt;0,0,ListOfExpenditure[[#This Row],[IF public procurment &gt;10000;1;0]])</f>
        <v>0</v>
      </c>
    </row>
    <row r="1375" spans="1:42" x14ac:dyDescent="0.25">
      <c r="A1375">
        <v>144</v>
      </c>
      <c r="B1375">
        <v>3</v>
      </c>
      <c r="E1375" t="s">
        <v>4786</v>
      </c>
      <c r="F1375" t="b">
        <v>0</v>
      </c>
      <c r="I1375" t="s">
        <v>5857</v>
      </c>
      <c r="L1375" t="s">
        <v>5324</v>
      </c>
      <c r="M1375" t="s">
        <v>4788</v>
      </c>
      <c r="N1375" t="s">
        <v>4788</v>
      </c>
      <c r="O1375">
        <v>1203.3599999999999</v>
      </c>
      <c r="Q1375">
        <v>0</v>
      </c>
      <c r="R1375">
        <v>0</v>
      </c>
      <c r="S1375">
        <v>1203.3599999999999</v>
      </c>
      <c r="T1375" t="s">
        <v>4789</v>
      </c>
      <c r="U1375">
        <v>1</v>
      </c>
      <c r="V1375">
        <v>1203.3599999999999</v>
      </c>
      <c r="W1375" t="s">
        <v>4343</v>
      </c>
      <c r="Y1375" t="b">
        <v>1</v>
      </c>
      <c r="Z1375" t="b">
        <v>0</v>
      </c>
      <c r="AA1375">
        <v>0</v>
      </c>
      <c r="AB1375">
        <v>1203.3599999999999</v>
      </c>
      <c r="AC1375">
        <v>14</v>
      </c>
      <c r="AD1375" t="b">
        <v>0</v>
      </c>
      <c r="AF1375" t="s">
        <v>5858</v>
      </c>
      <c r="AG1375" s="1" t="s">
        <v>60</v>
      </c>
      <c r="AH1375" s="1" t="s">
        <v>35</v>
      </c>
      <c r="AI1375">
        <v>95</v>
      </c>
      <c r="AJ1375">
        <v>42</v>
      </c>
      <c r="AK1375" s="106">
        <v>45475.635438206016</v>
      </c>
      <c r="AL1375" s="1" t="s">
        <v>4790</v>
      </c>
      <c r="AM1375" s="42">
        <f>IFERROR(INDEX('Public procurment'!A:R,MATCH(ListOfExpenditure[[#This Row],[Content.contractId]],'Public procurment'!E:E,0),14),0)</f>
        <v>0</v>
      </c>
      <c r="AN1375" s="2">
        <f>IF(AND(ListOfExpenditure[[#This Row],[Contract amount]]&gt;10000,ListOfExpenditure[[#This Row],[Content.declaredAmount]]&gt;2000),1,0)</f>
        <v>0</v>
      </c>
      <c r="AO1375">
        <f>IFERROR(INDEX('Public procurment'!A:S,MATCH(ListOfExpenditure[[#This Row],[Content.contractId]],'Public procurment'!E:E,0),19),0)</f>
        <v>0</v>
      </c>
      <c r="AP1375">
        <f>IF(ListOfExpenditure[[#This Row],[Numero di volte controllato il contract ]]&gt;0,0,ListOfExpenditure[[#This Row],[IF public procurment &gt;10000;1;0]])</f>
        <v>0</v>
      </c>
    </row>
    <row r="1376" spans="1:42" x14ac:dyDescent="0.25">
      <c r="A1376">
        <v>145</v>
      </c>
      <c r="B1376">
        <v>4</v>
      </c>
      <c r="E1376" t="s">
        <v>4786</v>
      </c>
      <c r="F1376" t="b">
        <v>0</v>
      </c>
      <c r="I1376" t="s">
        <v>5859</v>
      </c>
      <c r="L1376" t="s">
        <v>4873</v>
      </c>
      <c r="M1376" t="s">
        <v>4788</v>
      </c>
      <c r="N1376" t="s">
        <v>4788</v>
      </c>
      <c r="O1376">
        <v>2111.23</v>
      </c>
      <c r="Q1376">
        <v>0</v>
      </c>
      <c r="R1376">
        <v>0</v>
      </c>
      <c r="S1376">
        <v>2111.23</v>
      </c>
      <c r="T1376" t="s">
        <v>4789</v>
      </c>
      <c r="U1376">
        <v>1</v>
      </c>
      <c r="V1376">
        <v>2111.23</v>
      </c>
      <c r="W1376" t="s">
        <v>4343</v>
      </c>
      <c r="Y1376" t="b">
        <v>0</v>
      </c>
      <c r="Z1376" t="b">
        <v>0</v>
      </c>
      <c r="AA1376">
        <v>2111.23</v>
      </c>
      <c r="AB1376">
        <v>0</v>
      </c>
      <c r="AD1376" t="b">
        <v>0</v>
      </c>
      <c r="AF1376" t="s">
        <v>5860</v>
      </c>
      <c r="AG1376" s="1" t="s">
        <v>60</v>
      </c>
      <c r="AH1376" s="1" t="s">
        <v>35</v>
      </c>
      <c r="AI1376">
        <v>95</v>
      </c>
      <c r="AJ1376">
        <v>42</v>
      </c>
      <c r="AK1376" s="106">
        <v>45475.635438206016</v>
      </c>
      <c r="AL1376" s="1" t="s">
        <v>4790</v>
      </c>
      <c r="AM1376" s="42">
        <f>IFERROR(INDEX('Public procurment'!A:R,MATCH(ListOfExpenditure[[#This Row],[Content.contractId]],'Public procurment'!E:E,0),14),0)</f>
        <v>0</v>
      </c>
      <c r="AN1376" s="2">
        <f>IF(AND(ListOfExpenditure[[#This Row],[Contract amount]]&gt;10000,ListOfExpenditure[[#This Row],[Content.declaredAmount]]&gt;2000),1,0)</f>
        <v>0</v>
      </c>
      <c r="AO1376">
        <f>IFERROR(INDEX('Public procurment'!A:S,MATCH(ListOfExpenditure[[#This Row],[Content.contractId]],'Public procurment'!E:E,0),19),0)</f>
        <v>0</v>
      </c>
      <c r="AP1376">
        <f>IF(ListOfExpenditure[[#This Row],[Numero di volte controllato il contract ]]&gt;0,0,ListOfExpenditure[[#This Row],[IF public procurment &gt;10000;1;0]])</f>
        <v>0</v>
      </c>
    </row>
    <row r="1377" spans="1:42" x14ac:dyDescent="0.25">
      <c r="A1377">
        <v>146</v>
      </c>
      <c r="B1377">
        <v>5</v>
      </c>
      <c r="E1377" t="s">
        <v>4786</v>
      </c>
      <c r="F1377" t="b">
        <v>0</v>
      </c>
      <c r="I1377" t="s">
        <v>5857</v>
      </c>
      <c r="L1377" t="s">
        <v>4873</v>
      </c>
      <c r="M1377" t="s">
        <v>4788</v>
      </c>
      <c r="N1377" t="s">
        <v>4788</v>
      </c>
      <c r="O1377">
        <v>501.4</v>
      </c>
      <c r="Q1377">
        <v>0</v>
      </c>
      <c r="R1377">
        <v>0</v>
      </c>
      <c r="S1377">
        <v>501.4</v>
      </c>
      <c r="T1377" t="s">
        <v>4789</v>
      </c>
      <c r="U1377">
        <v>1</v>
      </c>
      <c r="V1377">
        <v>501.4</v>
      </c>
      <c r="W1377" t="s">
        <v>4343</v>
      </c>
      <c r="Y1377" t="b">
        <v>1</v>
      </c>
      <c r="Z1377" t="b">
        <v>0</v>
      </c>
      <c r="AA1377">
        <v>0</v>
      </c>
      <c r="AB1377">
        <v>501.4</v>
      </c>
      <c r="AC1377">
        <v>14</v>
      </c>
      <c r="AD1377" t="b">
        <v>0</v>
      </c>
      <c r="AF1377" t="s">
        <v>5861</v>
      </c>
      <c r="AG1377" s="1" t="s">
        <v>60</v>
      </c>
      <c r="AH1377" s="1" t="s">
        <v>35</v>
      </c>
      <c r="AI1377">
        <v>95</v>
      </c>
      <c r="AJ1377">
        <v>42</v>
      </c>
      <c r="AK1377" s="106">
        <v>45475.635438206016</v>
      </c>
      <c r="AL1377" s="1" t="s">
        <v>4790</v>
      </c>
      <c r="AM1377" s="42">
        <f>IFERROR(INDEX('Public procurment'!A:R,MATCH(ListOfExpenditure[[#This Row],[Content.contractId]],'Public procurment'!E:E,0),14),0)</f>
        <v>0</v>
      </c>
      <c r="AN1377" s="2">
        <f>IF(AND(ListOfExpenditure[[#This Row],[Contract amount]]&gt;10000,ListOfExpenditure[[#This Row],[Content.declaredAmount]]&gt;2000),1,0)</f>
        <v>0</v>
      </c>
      <c r="AO1377">
        <f>IFERROR(INDEX('Public procurment'!A:S,MATCH(ListOfExpenditure[[#This Row],[Content.contractId]],'Public procurment'!E:E,0),19),0)</f>
        <v>0</v>
      </c>
      <c r="AP1377">
        <f>IF(ListOfExpenditure[[#This Row],[Numero di volte controllato il contract ]]&gt;0,0,ListOfExpenditure[[#This Row],[IF public procurment &gt;10000;1;0]])</f>
        <v>0</v>
      </c>
    </row>
    <row r="1378" spans="1:42" x14ac:dyDescent="0.25">
      <c r="A1378">
        <v>1231</v>
      </c>
      <c r="B1378">
        <v>1</v>
      </c>
      <c r="E1378" t="s">
        <v>4798</v>
      </c>
      <c r="F1378" t="b">
        <v>0</v>
      </c>
      <c r="H1378">
        <v>194</v>
      </c>
      <c r="I1378" t="s">
        <v>5862</v>
      </c>
      <c r="J1378" t="s">
        <v>5863</v>
      </c>
      <c r="K1378" t="s">
        <v>4342</v>
      </c>
      <c r="L1378" t="s">
        <v>4946</v>
      </c>
      <c r="M1378" t="s">
        <v>4788</v>
      </c>
      <c r="N1378" t="s">
        <v>4788</v>
      </c>
      <c r="O1378">
        <v>204</v>
      </c>
      <c r="P1378">
        <v>17.7</v>
      </c>
      <c r="Q1378">
        <v>0</v>
      </c>
      <c r="R1378">
        <v>0</v>
      </c>
      <c r="S1378">
        <v>204</v>
      </c>
      <c r="T1378" t="s">
        <v>4789</v>
      </c>
      <c r="U1378">
        <v>1</v>
      </c>
      <c r="V1378">
        <v>204</v>
      </c>
      <c r="W1378" t="s">
        <v>4343</v>
      </c>
      <c r="Y1378" t="b">
        <v>1</v>
      </c>
      <c r="Z1378" t="b">
        <v>0</v>
      </c>
      <c r="AA1378">
        <v>204</v>
      </c>
      <c r="AB1378">
        <v>0</v>
      </c>
      <c r="AD1378" t="b">
        <v>0</v>
      </c>
      <c r="AG1378" s="1" t="s">
        <v>60</v>
      </c>
      <c r="AH1378" s="1" t="s">
        <v>26</v>
      </c>
      <c r="AI1378">
        <v>172</v>
      </c>
      <c r="AJ1378">
        <v>251</v>
      </c>
      <c r="AK1378" s="106">
        <v>45475.635519456016</v>
      </c>
      <c r="AL1378" s="1" t="s">
        <v>4790</v>
      </c>
      <c r="AM1378" s="42">
        <f>IFERROR(INDEX('Public procurment'!A:R,MATCH(ListOfExpenditure[[#This Row],[Content.contractId]],'Public procurment'!E:E,0),14),0)</f>
        <v>204</v>
      </c>
      <c r="AN1378" s="2">
        <f>IF(AND(ListOfExpenditure[[#This Row],[Contract amount]]&gt;10000,ListOfExpenditure[[#This Row],[Content.declaredAmount]]&gt;2000),1,0)</f>
        <v>0</v>
      </c>
      <c r="AO1378">
        <f>IFERROR(INDEX('Public procurment'!A:S,MATCH(ListOfExpenditure[[#This Row],[Content.contractId]],'Public procurment'!E:E,0),19),0)</f>
        <v>1</v>
      </c>
      <c r="AP1378">
        <f>IF(ListOfExpenditure[[#This Row],[Numero di volte controllato il contract ]]&gt;0,0,ListOfExpenditure[[#This Row],[IF public procurment &gt;10000;1;0]])</f>
        <v>0</v>
      </c>
    </row>
    <row r="1379" spans="1:42" x14ac:dyDescent="0.25">
      <c r="A1379">
        <v>1233</v>
      </c>
      <c r="B1379">
        <v>2</v>
      </c>
      <c r="E1379" t="s">
        <v>4786</v>
      </c>
      <c r="F1379" t="b">
        <v>0</v>
      </c>
      <c r="I1379" t="s">
        <v>5864</v>
      </c>
      <c r="K1379" t="s">
        <v>4831</v>
      </c>
      <c r="L1379" t="s">
        <v>4831</v>
      </c>
      <c r="M1379" t="s">
        <v>4788</v>
      </c>
      <c r="N1379" t="s">
        <v>4788</v>
      </c>
      <c r="O1379">
        <v>1903.64</v>
      </c>
      <c r="Q1379">
        <v>0</v>
      </c>
      <c r="R1379">
        <v>0</v>
      </c>
      <c r="S1379">
        <v>1903.64</v>
      </c>
      <c r="T1379" t="s">
        <v>4789</v>
      </c>
      <c r="U1379">
        <v>1</v>
      </c>
      <c r="V1379">
        <v>1903.64</v>
      </c>
      <c r="W1379" t="s">
        <v>4343</v>
      </c>
      <c r="Y1379" t="b">
        <v>1</v>
      </c>
      <c r="Z1379" t="b">
        <v>0</v>
      </c>
      <c r="AA1379">
        <v>1903.64</v>
      </c>
      <c r="AB1379">
        <v>0</v>
      </c>
      <c r="AD1379" t="b">
        <v>0</v>
      </c>
      <c r="AG1379" s="1" t="s">
        <v>60</v>
      </c>
      <c r="AH1379" s="1" t="s">
        <v>26</v>
      </c>
      <c r="AI1379">
        <v>172</v>
      </c>
      <c r="AJ1379">
        <v>251</v>
      </c>
      <c r="AK1379" s="106">
        <v>45475.635519456016</v>
      </c>
      <c r="AL1379" s="1" t="s">
        <v>4790</v>
      </c>
      <c r="AM1379" s="42">
        <f>IFERROR(INDEX('Public procurment'!A:R,MATCH(ListOfExpenditure[[#This Row],[Content.contractId]],'Public procurment'!E:E,0),14),0)</f>
        <v>0</v>
      </c>
      <c r="AN1379" s="2">
        <f>IF(AND(ListOfExpenditure[[#This Row],[Contract amount]]&gt;10000,ListOfExpenditure[[#This Row],[Content.declaredAmount]]&gt;2000),1,0)</f>
        <v>0</v>
      </c>
      <c r="AO1379">
        <f>IFERROR(INDEX('Public procurment'!A:S,MATCH(ListOfExpenditure[[#This Row],[Content.contractId]],'Public procurment'!E:E,0),19),0)</f>
        <v>0</v>
      </c>
      <c r="AP1379">
        <f>IF(ListOfExpenditure[[#This Row],[Numero di volte controllato il contract ]]&gt;0,0,ListOfExpenditure[[#This Row],[IF public procurment &gt;10000;1;0]])</f>
        <v>0</v>
      </c>
    </row>
    <row r="1380" spans="1:42" x14ac:dyDescent="0.25">
      <c r="A1380">
        <v>1234</v>
      </c>
      <c r="B1380">
        <v>3</v>
      </c>
      <c r="E1380" t="s">
        <v>4786</v>
      </c>
      <c r="F1380" t="b">
        <v>0</v>
      </c>
      <c r="I1380" t="s">
        <v>5865</v>
      </c>
      <c r="K1380" t="s">
        <v>4831</v>
      </c>
      <c r="L1380" t="s">
        <v>4831</v>
      </c>
      <c r="M1380" t="s">
        <v>4788</v>
      </c>
      <c r="N1380" t="s">
        <v>4788</v>
      </c>
      <c r="O1380">
        <v>1084.33</v>
      </c>
      <c r="Q1380">
        <v>0</v>
      </c>
      <c r="R1380">
        <v>0</v>
      </c>
      <c r="S1380">
        <v>1084.33</v>
      </c>
      <c r="T1380" t="s">
        <v>4789</v>
      </c>
      <c r="U1380">
        <v>1</v>
      </c>
      <c r="V1380">
        <v>1084.33</v>
      </c>
      <c r="W1380" t="s">
        <v>4343</v>
      </c>
      <c r="Y1380" t="b">
        <v>0</v>
      </c>
      <c r="Z1380" t="b">
        <v>0</v>
      </c>
      <c r="AA1380">
        <v>1084.33</v>
      </c>
      <c r="AB1380">
        <v>0</v>
      </c>
      <c r="AD1380" t="b">
        <v>0</v>
      </c>
      <c r="AG1380" s="1" t="s">
        <v>60</v>
      </c>
      <c r="AH1380" s="1" t="s">
        <v>26</v>
      </c>
      <c r="AI1380">
        <v>172</v>
      </c>
      <c r="AJ1380">
        <v>251</v>
      </c>
      <c r="AK1380" s="106">
        <v>45475.635519456016</v>
      </c>
      <c r="AL1380" s="1" t="s">
        <v>4790</v>
      </c>
      <c r="AM1380" s="42">
        <f>IFERROR(INDEX('Public procurment'!A:R,MATCH(ListOfExpenditure[[#This Row],[Content.contractId]],'Public procurment'!E:E,0),14),0)</f>
        <v>0</v>
      </c>
      <c r="AN1380" s="2">
        <f>IF(AND(ListOfExpenditure[[#This Row],[Contract amount]]&gt;10000,ListOfExpenditure[[#This Row],[Content.declaredAmount]]&gt;2000),1,0)</f>
        <v>0</v>
      </c>
      <c r="AO1380">
        <f>IFERROR(INDEX('Public procurment'!A:S,MATCH(ListOfExpenditure[[#This Row],[Content.contractId]],'Public procurment'!E:E,0),19),0)</f>
        <v>0</v>
      </c>
      <c r="AP1380">
        <f>IF(ListOfExpenditure[[#This Row],[Numero di volte controllato il contract ]]&gt;0,0,ListOfExpenditure[[#This Row],[IF public procurment &gt;10000;1;0]])</f>
        <v>0</v>
      </c>
    </row>
    <row r="1381" spans="1:42" x14ac:dyDescent="0.25">
      <c r="A1381">
        <v>1235</v>
      </c>
      <c r="B1381">
        <v>4</v>
      </c>
      <c r="E1381" t="s">
        <v>4786</v>
      </c>
      <c r="F1381" t="b">
        <v>0</v>
      </c>
      <c r="I1381" t="s">
        <v>5866</v>
      </c>
      <c r="K1381" t="s">
        <v>4957</v>
      </c>
      <c r="L1381" t="s">
        <v>4957</v>
      </c>
      <c r="M1381" t="s">
        <v>4788</v>
      </c>
      <c r="N1381" t="s">
        <v>4788</v>
      </c>
      <c r="O1381">
        <v>1823.38</v>
      </c>
      <c r="Q1381">
        <v>0</v>
      </c>
      <c r="R1381">
        <v>0</v>
      </c>
      <c r="S1381">
        <v>1823.38</v>
      </c>
      <c r="T1381" t="s">
        <v>4789</v>
      </c>
      <c r="U1381">
        <v>1</v>
      </c>
      <c r="V1381">
        <v>1823.38</v>
      </c>
      <c r="W1381" t="s">
        <v>4343</v>
      </c>
      <c r="Y1381" t="b">
        <v>0</v>
      </c>
      <c r="Z1381" t="b">
        <v>0</v>
      </c>
      <c r="AA1381">
        <v>1823.38</v>
      </c>
      <c r="AB1381">
        <v>0</v>
      </c>
      <c r="AD1381" t="b">
        <v>0</v>
      </c>
      <c r="AG1381" s="1" t="s">
        <v>60</v>
      </c>
      <c r="AH1381" s="1" t="s">
        <v>26</v>
      </c>
      <c r="AI1381">
        <v>172</v>
      </c>
      <c r="AJ1381">
        <v>251</v>
      </c>
      <c r="AK1381" s="106">
        <v>45475.635519456016</v>
      </c>
      <c r="AL1381" s="1" t="s">
        <v>4790</v>
      </c>
      <c r="AM1381" s="42">
        <f>IFERROR(INDEX('Public procurment'!A:R,MATCH(ListOfExpenditure[[#This Row],[Content.contractId]],'Public procurment'!E:E,0),14),0)</f>
        <v>0</v>
      </c>
      <c r="AN1381" s="2">
        <f>IF(AND(ListOfExpenditure[[#This Row],[Contract amount]]&gt;10000,ListOfExpenditure[[#This Row],[Content.declaredAmount]]&gt;2000),1,0)</f>
        <v>0</v>
      </c>
      <c r="AO1381">
        <f>IFERROR(INDEX('Public procurment'!A:S,MATCH(ListOfExpenditure[[#This Row],[Content.contractId]],'Public procurment'!E:E,0),19),0)</f>
        <v>0</v>
      </c>
      <c r="AP1381">
        <f>IF(ListOfExpenditure[[#This Row],[Numero di volte controllato il contract ]]&gt;0,0,ListOfExpenditure[[#This Row],[IF public procurment &gt;10000;1;0]])</f>
        <v>0</v>
      </c>
    </row>
    <row r="1382" spans="1:42" x14ac:dyDescent="0.25">
      <c r="A1382">
        <v>1236</v>
      </c>
      <c r="B1382">
        <v>5</v>
      </c>
      <c r="E1382" t="s">
        <v>4786</v>
      </c>
      <c r="F1382" t="b">
        <v>0</v>
      </c>
      <c r="I1382" t="s">
        <v>5867</v>
      </c>
      <c r="K1382" t="s">
        <v>4957</v>
      </c>
      <c r="L1382" t="s">
        <v>4957</v>
      </c>
      <c r="M1382" t="s">
        <v>4788</v>
      </c>
      <c r="N1382" t="s">
        <v>4788</v>
      </c>
      <c r="O1382">
        <v>1073.33</v>
      </c>
      <c r="Q1382">
        <v>0</v>
      </c>
      <c r="R1382">
        <v>0</v>
      </c>
      <c r="S1382">
        <v>1073.33</v>
      </c>
      <c r="T1382" t="s">
        <v>4789</v>
      </c>
      <c r="U1382">
        <v>1</v>
      </c>
      <c r="V1382">
        <v>1073.33</v>
      </c>
      <c r="W1382" t="s">
        <v>4343</v>
      </c>
      <c r="Y1382" t="b">
        <v>0</v>
      </c>
      <c r="Z1382" t="b">
        <v>0</v>
      </c>
      <c r="AA1382">
        <v>1073.33</v>
      </c>
      <c r="AB1382">
        <v>0</v>
      </c>
      <c r="AD1382" t="b">
        <v>0</v>
      </c>
      <c r="AG1382" s="1" t="s">
        <v>60</v>
      </c>
      <c r="AH1382" s="1" t="s">
        <v>26</v>
      </c>
      <c r="AI1382">
        <v>172</v>
      </c>
      <c r="AJ1382">
        <v>251</v>
      </c>
      <c r="AK1382" s="106">
        <v>45475.635519456016</v>
      </c>
      <c r="AL1382" s="1" t="s">
        <v>4790</v>
      </c>
      <c r="AM1382" s="42">
        <f>IFERROR(INDEX('Public procurment'!A:R,MATCH(ListOfExpenditure[[#This Row],[Content.contractId]],'Public procurment'!E:E,0),14),0)</f>
        <v>0</v>
      </c>
      <c r="AN1382" s="2">
        <f>IF(AND(ListOfExpenditure[[#This Row],[Contract amount]]&gt;10000,ListOfExpenditure[[#This Row],[Content.declaredAmount]]&gt;2000),1,0)</f>
        <v>0</v>
      </c>
      <c r="AO1382">
        <f>IFERROR(INDEX('Public procurment'!A:S,MATCH(ListOfExpenditure[[#This Row],[Content.contractId]],'Public procurment'!E:E,0),19),0)</f>
        <v>0</v>
      </c>
      <c r="AP1382">
        <f>IF(ListOfExpenditure[[#This Row],[Numero di volte controllato il contract ]]&gt;0,0,ListOfExpenditure[[#This Row],[IF public procurment &gt;10000;1;0]])</f>
        <v>0</v>
      </c>
    </row>
    <row r="1383" spans="1:42" x14ac:dyDescent="0.25">
      <c r="A1383">
        <v>1237</v>
      </c>
      <c r="B1383">
        <v>6</v>
      </c>
      <c r="E1383" t="s">
        <v>4786</v>
      </c>
      <c r="F1383" t="b">
        <v>0</v>
      </c>
      <c r="I1383" t="s">
        <v>5868</v>
      </c>
      <c r="K1383" t="s">
        <v>4914</v>
      </c>
      <c r="L1383" t="s">
        <v>4914</v>
      </c>
      <c r="M1383" t="s">
        <v>4788</v>
      </c>
      <c r="N1383" t="s">
        <v>4788</v>
      </c>
      <c r="O1383">
        <v>1893.11</v>
      </c>
      <c r="Q1383">
        <v>0</v>
      </c>
      <c r="R1383">
        <v>0</v>
      </c>
      <c r="S1383">
        <v>1893.11</v>
      </c>
      <c r="T1383" t="s">
        <v>4789</v>
      </c>
      <c r="U1383">
        <v>1</v>
      </c>
      <c r="V1383">
        <v>1893.11</v>
      </c>
      <c r="W1383" t="s">
        <v>4343</v>
      </c>
      <c r="Y1383" t="b">
        <v>1</v>
      </c>
      <c r="Z1383" t="b">
        <v>0</v>
      </c>
      <c r="AA1383">
        <v>1893.11</v>
      </c>
      <c r="AB1383">
        <v>0</v>
      </c>
      <c r="AD1383" t="b">
        <v>0</v>
      </c>
      <c r="AG1383" s="1" t="s">
        <v>60</v>
      </c>
      <c r="AH1383" s="1" t="s">
        <v>26</v>
      </c>
      <c r="AI1383">
        <v>172</v>
      </c>
      <c r="AJ1383">
        <v>251</v>
      </c>
      <c r="AK1383" s="106">
        <v>45475.635519456016</v>
      </c>
      <c r="AL1383" s="1" t="s">
        <v>4790</v>
      </c>
      <c r="AM1383" s="42">
        <f>IFERROR(INDEX('Public procurment'!A:R,MATCH(ListOfExpenditure[[#This Row],[Content.contractId]],'Public procurment'!E:E,0),14),0)</f>
        <v>0</v>
      </c>
      <c r="AN1383" s="2">
        <f>IF(AND(ListOfExpenditure[[#This Row],[Contract amount]]&gt;10000,ListOfExpenditure[[#This Row],[Content.declaredAmount]]&gt;2000),1,0)</f>
        <v>0</v>
      </c>
      <c r="AO1383">
        <f>IFERROR(INDEX('Public procurment'!A:S,MATCH(ListOfExpenditure[[#This Row],[Content.contractId]],'Public procurment'!E:E,0),19),0)</f>
        <v>0</v>
      </c>
      <c r="AP1383">
        <f>IF(ListOfExpenditure[[#This Row],[Numero di volte controllato il contract ]]&gt;0,0,ListOfExpenditure[[#This Row],[IF public procurment &gt;10000;1;0]])</f>
        <v>0</v>
      </c>
    </row>
    <row r="1384" spans="1:42" x14ac:dyDescent="0.25">
      <c r="A1384">
        <v>1238</v>
      </c>
      <c r="B1384">
        <v>7</v>
      </c>
      <c r="E1384" t="s">
        <v>4786</v>
      </c>
      <c r="F1384" t="b">
        <v>0</v>
      </c>
      <c r="I1384" t="s">
        <v>5869</v>
      </c>
      <c r="K1384" t="s">
        <v>4914</v>
      </c>
      <c r="L1384" t="s">
        <v>4914</v>
      </c>
      <c r="M1384" t="s">
        <v>4788</v>
      </c>
      <c r="N1384" t="s">
        <v>4788</v>
      </c>
      <c r="O1384">
        <v>1045.3699999999999</v>
      </c>
      <c r="Q1384">
        <v>0</v>
      </c>
      <c r="R1384">
        <v>0</v>
      </c>
      <c r="S1384">
        <v>1045.3699999999999</v>
      </c>
      <c r="T1384" t="s">
        <v>4789</v>
      </c>
      <c r="U1384">
        <v>1</v>
      </c>
      <c r="V1384">
        <v>1045.3699999999999</v>
      </c>
      <c r="W1384" t="s">
        <v>4343</v>
      </c>
      <c r="Y1384" t="b">
        <v>0</v>
      </c>
      <c r="Z1384" t="b">
        <v>0</v>
      </c>
      <c r="AA1384">
        <v>1045.3699999999999</v>
      </c>
      <c r="AB1384">
        <v>0</v>
      </c>
      <c r="AD1384" t="b">
        <v>0</v>
      </c>
      <c r="AG1384" s="1" t="s">
        <v>60</v>
      </c>
      <c r="AH1384" s="1" t="s">
        <v>26</v>
      </c>
      <c r="AI1384">
        <v>172</v>
      </c>
      <c r="AJ1384">
        <v>251</v>
      </c>
      <c r="AK1384" s="106">
        <v>45475.635519456016</v>
      </c>
      <c r="AL1384" s="1" t="s">
        <v>4790</v>
      </c>
      <c r="AM1384" s="42">
        <f>IFERROR(INDEX('Public procurment'!A:R,MATCH(ListOfExpenditure[[#This Row],[Content.contractId]],'Public procurment'!E:E,0),14),0)</f>
        <v>0</v>
      </c>
      <c r="AN1384" s="2">
        <f>IF(AND(ListOfExpenditure[[#This Row],[Contract amount]]&gt;10000,ListOfExpenditure[[#This Row],[Content.declaredAmount]]&gt;2000),1,0)</f>
        <v>0</v>
      </c>
      <c r="AO1384">
        <f>IFERROR(INDEX('Public procurment'!A:S,MATCH(ListOfExpenditure[[#This Row],[Content.contractId]],'Public procurment'!E:E,0),19),0)</f>
        <v>0</v>
      </c>
      <c r="AP1384">
        <f>IF(ListOfExpenditure[[#This Row],[Numero di volte controllato il contract ]]&gt;0,0,ListOfExpenditure[[#This Row],[IF public procurment &gt;10000;1;0]])</f>
        <v>0</v>
      </c>
    </row>
    <row r="1385" spans="1:42" x14ac:dyDescent="0.25">
      <c r="A1385">
        <v>1239</v>
      </c>
      <c r="B1385">
        <v>8</v>
      </c>
      <c r="E1385" t="s">
        <v>4786</v>
      </c>
      <c r="F1385" t="b">
        <v>0</v>
      </c>
      <c r="I1385" t="s">
        <v>5870</v>
      </c>
      <c r="K1385" t="s">
        <v>4959</v>
      </c>
      <c r="L1385" t="s">
        <v>4959</v>
      </c>
      <c r="M1385" t="s">
        <v>4788</v>
      </c>
      <c r="N1385" t="s">
        <v>4788</v>
      </c>
      <c r="O1385">
        <v>1898.73</v>
      </c>
      <c r="Q1385">
        <v>0</v>
      </c>
      <c r="R1385">
        <v>0</v>
      </c>
      <c r="S1385">
        <v>1898.73</v>
      </c>
      <c r="T1385" t="s">
        <v>4789</v>
      </c>
      <c r="U1385">
        <v>1</v>
      </c>
      <c r="V1385">
        <v>1898.73</v>
      </c>
      <c r="W1385" t="s">
        <v>4343</v>
      </c>
      <c r="Y1385" t="b">
        <v>1</v>
      </c>
      <c r="Z1385" t="b">
        <v>0</v>
      </c>
      <c r="AA1385">
        <v>1898.73</v>
      </c>
      <c r="AB1385">
        <v>0</v>
      </c>
      <c r="AD1385" t="b">
        <v>0</v>
      </c>
      <c r="AG1385" s="1" t="s">
        <v>60</v>
      </c>
      <c r="AH1385" s="1" t="s">
        <v>26</v>
      </c>
      <c r="AI1385">
        <v>172</v>
      </c>
      <c r="AJ1385">
        <v>251</v>
      </c>
      <c r="AK1385" s="106">
        <v>45475.635519456016</v>
      </c>
      <c r="AL1385" s="1" t="s">
        <v>4790</v>
      </c>
      <c r="AM1385" s="42">
        <f>IFERROR(INDEX('Public procurment'!A:R,MATCH(ListOfExpenditure[[#This Row],[Content.contractId]],'Public procurment'!E:E,0),14),0)</f>
        <v>0</v>
      </c>
      <c r="AN1385" s="2">
        <f>IF(AND(ListOfExpenditure[[#This Row],[Contract amount]]&gt;10000,ListOfExpenditure[[#This Row],[Content.declaredAmount]]&gt;2000),1,0)</f>
        <v>0</v>
      </c>
      <c r="AO1385">
        <f>IFERROR(INDEX('Public procurment'!A:S,MATCH(ListOfExpenditure[[#This Row],[Content.contractId]],'Public procurment'!E:E,0),19),0)</f>
        <v>0</v>
      </c>
      <c r="AP1385">
        <f>IF(ListOfExpenditure[[#This Row],[Numero di volte controllato il contract ]]&gt;0,0,ListOfExpenditure[[#This Row],[IF public procurment &gt;10000;1;0]])</f>
        <v>0</v>
      </c>
    </row>
    <row r="1386" spans="1:42" x14ac:dyDescent="0.25">
      <c r="A1386">
        <v>1240</v>
      </c>
      <c r="B1386">
        <v>9</v>
      </c>
      <c r="E1386" t="s">
        <v>4786</v>
      </c>
      <c r="F1386" t="b">
        <v>0</v>
      </c>
      <c r="I1386" t="s">
        <v>5871</v>
      </c>
      <c r="K1386" t="s">
        <v>4959</v>
      </c>
      <c r="L1386" t="s">
        <v>4959</v>
      </c>
      <c r="M1386" t="s">
        <v>4788</v>
      </c>
      <c r="N1386" t="s">
        <v>4788</v>
      </c>
      <c r="O1386">
        <v>1053.3699999999999</v>
      </c>
      <c r="Q1386">
        <v>0</v>
      </c>
      <c r="R1386">
        <v>0</v>
      </c>
      <c r="S1386">
        <v>1053.3699999999999</v>
      </c>
      <c r="T1386" t="s">
        <v>4789</v>
      </c>
      <c r="U1386">
        <v>1</v>
      </c>
      <c r="V1386">
        <v>1053.3699999999999</v>
      </c>
      <c r="W1386" t="s">
        <v>4343</v>
      </c>
      <c r="Y1386" t="b">
        <v>0</v>
      </c>
      <c r="Z1386" t="b">
        <v>0</v>
      </c>
      <c r="AA1386">
        <v>1053.3699999999999</v>
      </c>
      <c r="AB1386">
        <v>0</v>
      </c>
      <c r="AD1386" t="b">
        <v>0</v>
      </c>
      <c r="AG1386" s="1" t="s">
        <v>60</v>
      </c>
      <c r="AH1386" s="1" t="s">
        <v>26</v>
      </c>
      <c r="AI1386">
        <v>172</v>
      </c>
      <c r="AJ1386">
        <v>251</v>
      </c>
      <c r="AK1386" s="106">
        <v>45475.635519456016</v>
      </c>
      <c r="AL1386" s="1" t="s">
        <v>4790</v>
      </c>
      <c r="AM1386" s="42">
        <f>IFERROR(INDEX('Public procurment'!A:R,MATCH(ListOfExpenditure[[#This Row],[Content.contractId]],'Public procurment'!E:E,0),14),0)</f>
        <v>0</v>
      </c>
      <c r="AN1386" s="2">
        <f>IF(AND(ListOfExpenditure[[#This Row],[Contract amount]]&gt;10000,ListOfExpenditure[[#This Row],[Content.declaredAmount]]&gt;2000),1,0)</f>
        <v>0</v>
      </c>
      <c r="AO1386">
        <f>IFERROR(INDEX('Public procurment'!A:S,MATCH(ListOfExpenditure[[#This Row],[Content.contractId]],'Public procurment'!E:E,0),19),0)</f>
        <v>0</v>
      </c>
      <c r="AP1386">
        <f>IF(ListOfExpenditure[[#This Row],[Numero di volte controllato il contract ]]&gt;0,0,ListOfExpenditure[[#This Row],[IF public procurment &gt;10000;1;0]])</f>
        <v>0</v>
      </c>
    </row>
    <row r="1387" spans="1:42" x14ac:dyDescent="0.25">
      <c r="A1387">
        <v>1241</v>
      </c>
      <c r="B1387">
        <v>10</v>
      </c>
      <c r="E1387" t="s">
        <v>4786</v>
      </c>
      <c r="F1387" t="b">
        <v>0</v>
      </c>
      <c r="I1387" t="s">
        <v>5872</v>
      </c>
      <c r="K1387" t="s">
        <v>5480</v>
      </c>
      <c r="L1387" t="s">
        <v>5480</v>
      </c>
      <c r="M1387" t="s">
        <v>4788</v>
      </c>
      <c r="N1387" t="s">
        <v>4788</v>
      </c>
      <c r="O1387">
        <v>2039.14</v>
      </c>
      <c r="Q1387">
        <v>0</v>
      </c>
      <c r="R1387">
        <v>0</v>
      </c>
      <c r="S1387">
        <v>2039.14</v>
      </c>
      <c r="T1387" t="s">
        <v>4789</v>
      </c>
      <c r="U1387">
        <v>1</v>
      </c>
      <c r="V1387">
        <v>2039.14</v>
      </c>
      <c r="W1387" t="s">
        <v>4343</v>
      </c>
      <c r="Y1387" t="b">
        <v>1</v>
      </c>
      <c r="Z1387" t="b">
        <v>0</v>
      </c>
      <c r="AA1387">
        <v>2039.14</v>
      </c>
      <c r="AB1387">
        <v>0</v>
      </c>
      <c r="AD1387" t="b">
        <v>0</v>
      </c>
      <c r="AG1387" s="1" t="s">
        <v>60</v>
      </c>
      <c r="AH1387" s="1" t="s">
        <v>26</v>
      </c>
      <c r="AI1387">
        <v>172</v>
      </c>
      <c r="AJ1387">
        <v>251</v>
      </c>
      <c r="AK1387" s="106">
        <v>45475.635519456016</v>
      </c>
      <c r="AL1387" s="1" t="s">
        <v>4790</v>
      </c>
      <c r="AM1387" s="42">
        <f>IFERROR(INDEX('Public procurment'!A:R,MATCH(ListOfExpenditure[[#This Row],[Content.contractId]],'Public procurment'!E:E,0),14),0)</f>
        <v>0</v>
      </c>
      <c r="AN1387" s="2">
        <f>IF(AND(ListOfExpenditure[[#This Row],[Contract amount]]&gt;10000,ListOfExpenditure[[#This Row],[Content.declaredAmount]]&gt;2000),1,0)</f>
        <v>0</v>
      </c>
      <c r="AO1387">
        <f>IFERROR(INDEX('Public procurment'!A:S,MATCH(ListOfExpenditure[[#This Row],[Content.contractId]],'Public procurment'!E:E,0),19),0)</f>
        <v>0</v>
      </c>
      <c r="AP1387">
        <f>IF(ListOfExpenditure[[#This Row],[Numero di volte controllato il contract ]]&gt;0,0,ListOfExpenditure[[#This Row],[IF public procurment &gt;10000;1;0]])</f>
        <v>0</v>
      </c>
    </row>
    <row r="1388" spans="1:42" x14ac:dyDescent="0.25">
      <c r="A1388">
        <v>1242</v>
      </c>
      <c r="B1388">
        <v>11</v>
      </c>
      <c r="E1388" t="s">
        <v>4786</v>
      </c>
      <c r="F1388" t="b">
        <v>0</v>
      </c>
      <c r="I1388" t="s">
        <v>5873</v>
      </c>
      <c r="K1388" t="s">
        <v>5480</v>
      </c>
      <c r="L1388" t="s">
        <v>5480</v>
      </c>
      <c r="M1388" t="s">
        <v>4788</v>
      </c>
      <c r="N1388" t="s">
        <v>4788</v>
      </c>
      <c r="O1388">
        <v>1282.51</v>
      </c>
      <c r="Q1388">
        <v>0</v>
      </c>
      <c r="R1388">
        <v>0</v>
      </c>
      <c r="S1388">
        <v>1282.51</v>
      </c>
      <c r="T1388" t="s">
        <v>4789</v>
      </c>
      <c r="U1388">
        <v>1</v>
      </c>
      <c r="V1388">
        <v>1282.51</v>
      </c>
      <c r="W1388" t="s">
        <v>4343</v>
      </c>
      <c r="Y1388" t="b">
        <v>1</v>
      </c>
      <c r="Z1388" t="b">
        <v>0</v>
      </c>
      <c r="AA1388">
        <v>1282.51</v>
      </c>
      <c r="AB1388">
        <v>0</v>
      </c>
      <c r="AD1388" t="b">
        <v>0</v>
      </c>
      <c r="AG1388" s="1" t="s">
        <v>60</v>
      </c>
      <c r="AH1388" s="1" t="s">
        <v>26</v>
      </c>
      <c r="AI1388">
        <v>172</v>
      </c>
      <c r="AJ1388">
        <v>251</v>
      </c>
      <c r="AK1388" s="106">
        <v>45475.635519456016</v>
      </c>
      <c r="AL1388" s="1" t="s">
        <v>4790</v>
      </c>
      <c r="AM1388" s="42">
        <f>IFERROR(INDEX('Public procurment'!A:R,MATCH(ListOfExpenditure[[#This Row],[Content.contractId]],'Public procurment'!E:E,0),14),0)</f>
        <v>0</v>
      </c>
      <c r="AN1388" s="2">
        <f>IF(AND(ListOfExpenditure[[#This Row],[Contract amount]]&gt;10000,ListOfExpenditure[[#This Row],[Content.declaredAmount]]&gt;2000),1,0)</f>
        <v>0</v>
      </c>
      <c r="AO1388">
        <f>IFERROR(INDEX('Public procurment'!A:S,MATCH(ListOfExpenditure[[#This Row],[Content.contractId]],'Public procurment'!E:E,0),19),0)</f>
        <v>0</v>
      </c>
      <c r="AP1388">
        <f>IF(ListOfExpenditure[[#This Row],[Numero di volte controllato il contract ]]&gt;0,0,ListOfExpenditure[[#This Row],[IF public procurment &gt;10000;1;0]])</f>
        <v>0</v>
      </c>
    </row>
    <row r="1389" spans="1:42" x14ac:dyDescent="0.25">
      <c r="A1389">
        <v>266</v>
      </c>
      <c r="B1389">
        <v>1</v>
      </c>
      <c r="E1389" t="s">
        <v>4786</v>
      </c>
      <c r="F1389" t="b">
        <v>0</v>
      </c>
      <c r="I1389" t="s">
        <v>5874</v>
      </c>
      <c r="K1389" t="s">
        <v>4873</v>
      </c>
      <c r="L1389" t="s">
        <v>4873</v>
      </c>
      <c r="M1389" t="s">
        <v>4788</v>
      </c>
      <c r="N1389" t="s">
        <v>4788</v>
      </c>
      <c r="O1389">
        <v>5529.67</v>
      </c>
      <c r="Q1389">
        <v>0</v>
      </c>
      <c r="R1389">
        <v>0</v>
      </c>
      <c r="S1389">
        <v>5529.67</v>
      </c>
      <c r="T1389" t="s">
        <v>4789</v>
      </c>
      <c r="U1389">
        <v>1</v>
      </c>
      <c r="V1389">
        <v>5529.67</v>
      </c>
      <c r="W1389" t="s">
        <v>4343</v>
      </c>
      <c r="Y1389" t="b">
        <v>1</v>
      </c>
      <c r="Z1389" t="b">
        <v>0</v>
      </c>
      <c r="AA1389">
        <v>5334.67</v>
      </c>
      <c r="AB1389">
        <v>195</v>
      </c>
      <c r="AC1389">
        <v>8</v>
      </c>
      <c r="AD1389" t="b">
        <v>0</v>
      </c>
      <c r="AF1389" t="s">
        <v>5875</v>
      </c>
      <c r="AG1389" s="1" t="s">
        <v>60</v>
      </c>
      <c r="AH1389" s="1" t="s">
        <v>26</v>
      </c>
      <c r="AI1389">
        <v>172</v>
      </c>
      <c r="AJ1389">
        <v>43</v>
      </c>
      <c r="AK1389" s="106">
        <v>45475.635429594906</v>
      </c>
      <c r="AL1389" s="1" t="s">
        <v>4790</v>
      </c>
      <c r="AM1389" s="42">
        <f>IFERROR(INDEX('Public procurment'!A:R,MATCH(ListOfExpenditure[[#This Row],[Content.contractId]],'Public procurment'!E:E,0),14),0)</f>
        <v>0</v>
      </c>
      <c r="AN1389" s="2">
        <f>IF(AND(ListOfExpenditure[[#This Row],[Contract amount]]&gt;10000,ListOfExpenditure[[#This Row],[Content.declaredAmount]]&gt;2000),1,0)</f>
        <v>0</v>
      </c>
      <c r="AO1389">
        <f>IFERROR(INDEX('Public procurment'!A:S,MATCH(ListOfExpenditure[[#This Row],[Content.contractId]],'Public procurment'!E:E,0),19),0)</f>
        <v>0</v>
      </c>
      <c r="AP1389">
        <f>IF(ListOfExpenditure[[#This Row],[Numero di volte controllato il contract ]]&gt;0,0,ListOfExpenditure[[#This Row],[IF public procurment &gt;10000;1;0]])</f>
        <v>0</v>
      </c>
    </row>
    <row r="1390" spans="1:42" x14ac:dyDescent="0.25">
      <c r="A1390">
        <v>267</v>
      </c>
      <c r="B1390">
        <v>2</v>
      </c>
      <c r="E1390" t="s">
        <v>4786</v>
      </c>
      <c r="F1390" t="b">
        <v>0</v>
      </c>
      <c r="I1390" t="s">
        <v>5876</v>
      </c>
      <c r="K1390" t="s">
        <v>4873</v>
      </c>
      <c r="L1390" t="s">
        <v>4873</v>
      </c>
      <c r="M1390" t="s">
        <v>4788</v>
      </c>
      <c r="N1390" t="s">
        <v>4788</v>
      </c>
      <c r="O1390">
        <v>3742.62</v>
      </c>
      <c r="Q1390">
        <v>0</v>
      </c>
      <c r="R1390">
        <v>0</v>
      </c>
      <c r="S1390">
        <v>3742.62</v>
      </c>
      <c r="T1390" t="s">
        <v>4789</v>
      </c>
      <c r="U1390">
        <v>1</v>
      </c>
      <c r="V1390">
        <v>3742.62</v>
      </c>
      <c r="W1390" t="s">
        <v>4343</v>
      </c>
      <c r="Y1390" t="b">
        <v>1</v>
      </c>
      <c r="Z1390" t="b">
        <v>0</v>
      </c>
      <c r="AA1390">
        <v>3167.23</v>
      </c>
      <c r="AB1390">
        <v>575.39</v>
      </c>
      <c r="AC1390">
        <v>8</v>
      </c>
      <c r="AD1390" t="b">
        <v>0</v>
      </c>
      <c r="AF1390" t="s">
        <v>5877</v>
      </c>
      <c r="AG1390" s="1" t="s">
        <v>60</v>
      </c>
      <c r="AH1390" s="1" t="s">
        <v>26</v>
      </c>
      <c r="AI1390">
        <v>172</v>
      </c>
      <c r="AJ1390">
        <v>43</v>
      </c>
      <c r="AK1390" s="106">
        <v>45475.635429594906</v>
      </c>
      <c r="AL1390" s="1" t="s">
        <v>4790</v>
      </c>
      <c r="AM1390" s="42">
        <f>IFERROR(INDEX('Public procurment'!A:R,MATCH(ListOfExpenditure[[#This Row],[Content.contractId]],'Public procurment'!E:E,0),14),0)</f>
        <v>0</v>
      </c>
      <c r="AN1390" s="2">
        <f>IF(AND(ListOfExpenditure[[#This Row],[Contract amount]]&gt;10000,ListOfExpenditure[[#This Row],[Content.declaredAmount]]&gt;2000),1,0)</f>
        <v>0</v>
      </c>
      <c r="AO1390">
        <f>IFERROR(INDEX('Public procurment'!A:S,MATCH(ListOfExpenditure[[#This Row],[Content.contractId]],'Public procurment'!E:E,0),19),0)</f>
        <v>0</v>
      </c>
      <c r="AP1390">
        <f>IF(ListOfExpenditure[[#This Row],[Numero di volte controllato il contract ]]&gt;0,0,ListOfExpenditure[[#This Row],[IF public procurment &gt;10000;1;0]])</f>
        <v>0</v>
      </c>
    </row>
    <row r="1391" spans="1:42" x14ac:dyDescent="0.25">
      <c r="A1391">
        <v>272</v>
      </c>
      <c r="B1391">
        <v>3</v>
      </c>
      <c r="E1391" t="s">
        <v>4798</v>
      </c>
      <c r="F1391" t="b">
        <v>0</v>
      </c>
      <c r="H1391">
        <v>36</v>
      </c>
      <c r="I1391" t="s">
        <v>5878</v>
      </c>
      <c r="J1391" t="s">
        <v>5879</v>
      </c>
      <c r="K1391" t="s">
        <v>5108</v>
      </c>
      <c r="L1391" t="s">
        <v>5108</v>
      </c>
      <c r="M1391" t="s">
        <v>4788</v>
      </c>
      <c r="N1391" t="s">
        <v>4788</v>
      </c>
      <c r="O1391">
        <v>9.7799999999999994</v>
      </c>
      <c r="P1391">
        <v>0.64</v>
      </c>
      <c r="Q1391">
        <v>0</v>
      </c>
      <c r="R1391">
        <v>0</v>
      </c>
      <c r="S1391">
        <v>9.7799999999999994</v>
      </c>
      <c r="T1391" t="s">
        <v>4789</v>
      </c>
      <c r="U1391">
        <v>1</v>
      </c>
      <c r="V1391">
        <v>9.7799999999999994</v>
      </c>
      <c r="W1391" t="s">
        <v>4343</v>
      </c>
      <c r="Y1391" t="b">
        <v>1</v>
      </c>
      <c r="Z1391" t="b">
        <v>0</v>
      </c>
      <c r="AA1391">
        <v>9.7799999999999994</v>
      </c>
      <c r="AB1391">
        <v>0</v>
      </c>
      <c r="AD1391" t="b">
        <v>0</v>
      </c>
      <c r="AG1391" s="1" t="s">
        <v>60</v>
      </c>
      <c r="AH1391" s="1" t="s">
        <v>26</v>
      </c>
      <c r="AI1391">
        <v>172</v>
      </c>
      <c r="AJ1391">
        <v>43</v>
      </c>
      <c r="AK1391" s="106">
        <v>45475.635429594906</v>
      </c>
      <c r="AL1391" s="1" t="s">
        <v>4790</v>
      </c>
      <c r="AM1391" s="42">
        <f>IFERROR(INDEX('Public procurment'!A:R,MATCH(ListOfExpenditure[[#This Row],[Content.contractId]],'Public procurment'!E:E,0),14),0)</f>
        <v>9.7799999999999994</v>
      </c>
      <c r="AN1391" s="2">
        <f>IF(AND(ListOfExpenditure[[#This Row],[Contract amount]]&gt;10000,ListOfExpenditure[[#This Row],[Content.declaredAmount]]&gt;2000),1,0)</f>
        <v>0</v>
      </c>
      <c r="AO1391">
        <f>IFERROR(INDEX('Public procurment'!A:S,MATCH(ListOfExpenditure[[#This Row],[Content.contractId]],'Public procurment'!E:E,0),19),0)</f>
        <v>1</v>
      </c>
      <c r="AP1391">
        <f>IF(ListOfExpenditure[[#This Row],[Numero di volte controllato il contract ]]&gt;0,0,ListOfExpenditure[[#This Row],[IF public procurment &gt;10000;1;0]])</f>
        <v>0</v>
      </c>
    </row>
    <row r="1392" spans="1:42" x14ac:dyDescent="0.25">
      <c r="A1392">
        <v>552</v>
      </c>
      <c r="B1392">
        <v>1</v>
      </c>
      <c r="E1392" t="s">
        <v>4798</v>
      </c>
      <c r="F1392" t="b">
        <v>0</v>
      </c>
      <c r="I1392" t="s">
        <v>6143</v>
      </c>
      <c r="J1392" t="s">
        <v>6143</v>
      </c>
      <c r="K1392" t="s">
        <v>5239</v>
      </c>
      <c r="L1392" t="s">
        <v>5239</v>
      </c>
      <c r="M1392" t="s">
        <v>4788</v>
      </c>
      <c r="N1392" t="s">
        <v>4788</v>
      </c>
      <c r="O1392">
        <v>0</v>
      </c>
      <c r="P1392">
        <v>0</v>
      </c>
      <c r="Q1392">
        <v>0</v>
      </c>
      <c r="R1392">
        <v>0</v>
      </c>
      <c r="S1392">
        <v>0</v>
      </c>
      <c r="T1392" t="s">
        <v>4789</v>
      </c>
      <c r="U1392">
        <v>1</v>
      </c>
      <c r="V1392">
        <v>0</v>
      </c>
      <c r="Y1392" t="b">
        <v>0</v>
      </c>
      <c r="Z1392" t="b">
        <v>0</v>
      </c>
      <c r="AA1392">
        <v>0</v>
      </c>
      <c r="AB1392">
        <v>0</v>
      </c>
      <c r="AD1392" t="b">
        <v>0</v>
      </c>
      <c r="AG1392" s="1" t="s">
        <v>60</v>
      </c>
      <c r="AH1392" s="1" t="s">
        <v>330</v>
      </c>
      <c r="AI1392">
        <v>137</v>
      </c>
      <c r="AJ1392">
        <v>104</v>
      </c>
      <c r="AK1392" s="106">
        <v>45475.635446388886</v>
      </c>
      <c r="AL1392" s="1" t="s">
        <v>4790</v>
      </c>
      <c r="AM1392" s="42">
        <f>IFERROR(INDEX('Public procurment'!A:R,MATCH(ListOfExpenditure[[#This Row],[Content.contractId]],'Public procurment'!E:E,0),14),0)</f>
        <v>0</v>
      </c>
      <c r="AN1392" s="2">
        <f>IF(AND(ListOfExpenditure[[#This Row],[Contract amount]]&gt;10000,ListOfExpenditure[[#This Row],[Content.declaredAmount]]&gt;2000),1,0)</f>
        <v>0</v>
      </c>
      <c r="AO1392">
        <f>IFERROR(INDEX('Public procurment'!A:S,MATCH(ListOfExpenditure[[#This Row],[Content.contractId]],'Public procurment'!E:E,0),19),0)</f>
        <v>0</v>
      </c>
      <c r="AP1392">
        <f>IF(ListOfExpenditure[[#This Row],[Numero di volte controllato il contract ]]&gt;0,0,ListOfExpenditure[[#This Row],[IF public procurment &gt;10000;1;0]])</f>
        <v>0</v>
      </c>
    </row>
    <row r="1393" spans="1:42" x14ac:dyDescent="0.25">
      <c r="A1393">
        <v>2102</v>
      </c>
      <c r="B1393">
        <v>1</v>
      </c>
      <c r="E1393" t="s">
        <v>4798</v>
      </c>
      <c r="F1393" t="b">
        <v>0</v>
      </c>
      <c r="I1393" t="s">
        <v>6143</v>
      </c>
      <c r="J1393" t="s">
        <v>6143</v>
      </c>
      <c r="K1393" t="s">
        <v>4348</v>
      </c>
      <c r="L1393" t="s">
        <v>4348</v>
      </c>
      <c r="M1393" t="s">
        <v>4788</v>
      </c>
      <c r="N1393" t="s">
        <v>4788</v>
      </c>
      <c r="O1393">
        <v>0</v>
      </c>
      <c r="P1393">
        <v>0</v>
      </c>
      <c r="Q1393">
        <v>0</v>
      </c>
      <c r="R1393">
        <v>0</v>
      </c>
      <c r="S1393">
        <v>0</v>
      </c>
      <c r="T1393" t="s">
        <v>4789</v>
      </c>
      <c r="U1393">
        <v>1</v>
      </c>
      <c r="V1393">
        <v>0</v>
      </c>
      <c r="Y1393" t="b">
        <v>0</v>
      </c>
      <c r="Z1393" t="b">
        <v>0</v>
      </c>
      <c r="AA1393">
        <v>0</v>
      </c>
      <c r="AB1393">
        <v>0</v>
      </c>
      <c r="AD1393" t="b">
        <v>0</v>
      </c>
      <c r="AG1393" s="1" t="s">
        <v>60</v>
      </c>
      <c r="AH1393" s="1" t="s">
        <v>330</v>
      </c>
      <c r="AI1393">
        <v>137</v>
      </c>
      <c r="AJ1393">
        <v>337</v>
      </c>
      <c r="AK1393" s="106">
        <v>45475.635540289353</v>
      </c>
      <c r="AL1393" s="1" t="s">
        <v>4790</v>
      </c>
      <c r="AM1393" s="42">
        <f>IFERROR(INDEX('Public procurment'!A:R,MATCH(ListOfExpenditure[[#This Row],[Content.contractId]],'Public procurment'!E:E,0),14),0)</f>
        <v>0</v>
      </c>
      <c r="AN1393" s="2">
        <f>IF(AND(ListOfExpenditure[[#This Row],[Contract amount]]&gt;10000,ListOfExpenditure[[#This Row],[Content.declaredAmount]]&gt;2000),1,0)</f>
        <v>0</v>
      </c>
      <c r="AO1393">
        <f>IFERROR(INDEX('Public procurment'!A:S,MATCH(ListOfExpenditure[[#This Row],[Content.contractId]],'Public procurment'!E:E,0),19),0)</f>
        <v>0</v>
      </c>
      <c r="AP1393">
        <f>IF(ListOfExpenditure[[#This Row],[Numero di volte controllato il contract ]]&gt;0,0,ListOfExpenditure[[#This Row],[IF public procurment &gt;10000;1;0]])</f>
        <v>0</v>
      </c>
    </row>
    <row r="1394" spans="1:42" x14ac:dyDescent="0.25">
      <c r="A1394">
        <v>1515</v>
      </c>
      <c r="B1394">
        <v>1</v>
      </c>
      <c r="D1394">
        <v>67</v>
      </c>
      <c r="E1394" t="s">
        <v>4786</v>
      </c>
      <c r="F1394" t="b">
        <v>0</v>
      </c>
      <c r="M1394" t="s">
        <v>4788</v>
      </c>
      <c r="N1394" t="s">
        <v>4788</v>
      </c>
      <c r="Q1394">
        <v>21</v>
      </c>
      <c r="R1394">
        <v>58</v>
      </c>
      <c r="S1394">
        <v>1218</v>
      </c>
      <c r="T1394" t="s">
        <v>4789</v>
      </c>
      <c r="U1394">
        <v>1</v>
      </c>
      <c r="V1394">
        <v>1218</v>
      </c>
      <c r="W1394" t="s">
        <v>4343</v>
      </c>
      <c r="Y1394" t="b">
        <v>1</v>
      </c>
      <c r="Z1394" t="b">
        <v>0</v>
      </c>
      <c r="AA1394">
        <v>1218</v>
      </c>
      <c r="AB1394">
        <v>0</v>
      </c>
      <c r="AD1394" t="b">
        <v>0</v>
      </c>
      <c r="AG1394" s="1" t="s">
        <v>67</v>
      </c>
      <c r="AH1394" s="1" t="s">
        <v>323</v>
      </c>
      <c r="AI1394">
        <v>169</v>
      </c>
      <c r="AJ1394">
        <v>174</v>
      </c>
      <c r="AK1394" s="106">
        <v>45475.635505706021</v>
      </c>
      <c r="AL1394" s="1" t="s">
        <v>4790</v>
      </c>
      <c r="AM1394" s="42">
        <f>IFERROR(INDEX('Public procurment'!A:R,MATCH(ListOfExpenditure[[#This Row],[Content.contractId]],'Public procurment'!E:E,0),14),0)</f>
        <v>0</v>
      </c>
      <c r="AN1394" s="2">
        <f>IF(AND(ListOfExpenditure[[#This Row],[Contract amount]]&gt;10000,ListOfExpenditure[[#This Row],[Content.declaredAmount]]&gt;2000),1,0)</f>
        <v>0</v>
      </c>
      <c r="AO1394">
        <f>IFERROR(INDEX('Public procurment'!A:S,MATCH(ListOfExpenditure[[#This Row],[Content.contractId]],'Public procurment'!E:E,0),19),0)</f>
        <v>0</v>
      </c>
      <c r="AP1394">
        <f>IF(ListOfExpenditure[[#This Row],[Numero di volte controllato il contract ]]&gt;0,0,ListOfExpenditure[[#This Row],[IF public procurment &gt;10000;1;0]])</f>
        <v>0</v>
      </c>
    </row>
    <row r="1395" spans="1:42" x14ac:dyDescent="0.25">
      <c r="A1395">
        <v>1516</v>
      </c>
      <c r="B1395">
        <v>2</v>
      </c>
      <c r="D1395">
        <v>69</v>
      </c>
      <c r="E1395" t="s">
        <v>4786</v>
      </c>
      <c r="F1395" t="b">
        <v>0</v>
      </c>
      <c r="M1395" t="s">
        <v>4788</v>
      </c>
      <c r="N1395" t="s">
        <v>4788</v>
      </c>
      <c r="Q1395">
        <v>7</v>
      </c>
      <c r="R1395">
        <v>38</v>
      </c>
      <c r="S1395">
        <v>266</v>
      </c>
      <c r="T1395" t="s">
        <v>4789</v>
      </c>
      <c r="U1395">
        <v>1</v>
      </c>
      <c r="V1395">
        <v>266</v>
      </c>
      <c r="W1395" t="s">
        <v>4343</v>
      </c>
      <c r="Y1395" t="b">
        <v>1</v>
      </c>
      <c r="Z1395" t="b">
        <v>0</v>
      </c>
      <c r="AA1395">
        <v>266</v>
      </c>
      <c r="AB1395">
        <v>0</v>
      </c>
      <c r="AD1395" t="b">
        <v>0</v>
      </c>
      <c r="AG1395" s="1" t="s">
        <v>67</v>
      </c>
      <c r="AH1395" s="1" t="s">
        <v>323</v>
      </c>
      <c r="AI1395">
        <v>169</v>
      </c>
      <c r="AJ1395">
        <v>174</v>
      </c>
      <c r="AK1395" s="106">
        <v>45475.635505706021</v>
      </c>
      <c r="AL1395" s="1" t="s">
        <v>4790</v>
      </c>
      <c r="AM1395" s="42">
        <f>IFERROR(INDEX('Public procurment'!A:R,MATCH(ListOfExpenditure[[#This Row],[Content.contractId]],'Public procurment'!E:E,0),14),0)</f>
        <v>0</v>
      </c>
      <c r="AN1395" s="2">
        <f>IF(AND(ListOfExpenditure[[#This Row],[Contract amount]]&gt;10000,ListOfExpenditure[[#This Row],[Content.declaredAmount]]&gt;2000),1,0)</f>
        <v>0</v>
      </c>
      <c r="AO1395">
        <f>IFERROR(INDEX('Public procurment'!A:S,MATCH(ListOfExpenditure[[#This Row],[Content.contractId]],'Public procurment'!E:E,0),19),0)</f>
        <v>0</v>
      </c>
      <c r="AP1395">
        <f>IF(ListOfExpenditure[[#This Row],[Numero di volte controllato il contract ]]&gt;0,0,ListOfExpenditure[[#This Row],[IF public procurment &gt;10000;1;0]])</f>
        <v>0</v>
      </c>
    </row>
    <row r="1396" spans="1:42" x14ac:dyDescent="0.25">
      <c r="A1396">
        <v>1517</v>
      </c>
      <c r="B1396">
        <v>3</v>
      </c>
      <c r="D1396">
        <v>66</v>
      </c>
      <c r="E1396" t="s">
        <v>4786</v>
      </c>
      <c r="F1396" t="b">
        <v>0</v>
      </c>
      <c r="M1396" t="s">
        <v>4788</v>
      </c>
      <c r="N1396" t="s">
        <v>4788</v>
      </c>
      <c r="Q1396">
        <v>103.5</v>
      </c>
      <c r="R1396">
        <v>27</v>
      </c>
      <c r="S1396">
        <v>2794.5</v>
      </c>
      <c r="T1396" t="s">
        <v>4789</v>
      </c>
      <c r="U1396">
        <v>1</v>
      </c>
      <c r="V1396">
        <v>2794.5</v>
      </c>
      <c r="W1396" t="s">
        <v>4343</v>
      </c>
      <c r="Y1396" t="b">
        <v>1</v>
      </c>
      <c r="Z1396" t="b">
        <v>0</v>
      </c>
      <c r="AA1396">
        <v>2794.5</v>
      </c>
      <c r="AB1396">
        <v>0</v>
      </c>
      <c r="AD1396" t="b">
        <v>0</v>
      </c>
      <c r="AG1396" s="1" t="s">
        <v>67</v>
      </c>
      <c r="AH1396" s="1" t="s">
        <v>323</v>
      </c>
      <c r="AI1396">
        <v>169</v>
      </c>
      <c r="AJ1396">
        <v>174</v>
      </c>
      <c r="AK1396" s="106">
        <v>45475.635505706021</v>
      </c>
      <c r="AL1396" s="1" t="s">
        <v>4790</v>
      </c>
      <c r="AM1396" s="42">
        <f>IFERROR(INDEX('Public procurment'!A:R,MATCH(ListOfExpenditure[[#This Row],[Content.contractId]],'Public procurment'!E:E,0),14),0)</f>
        <v>0</v>
      </c>
      <c r="AN1396" s="2">
        <f>IF(AND(ListOfExpenditure[[#This Row],[Contract amount]]&gt;10000,ListOfExpenditure[[#This Row],[Content.declaredAmount]]&gt;2000),1,0)</f>
        <v>0</v>
      </c>
      <c r="AO1396">
        <f>IFERROR(INDEX('Public procurment'!A:S,MATCH(ListOfExpenditure[[#This Row],[Content.contractId]],'Public procurment'!E:E,0),19),0)</f>
        <v>0</v>
      </c>
      <c r="AP1396">
        <f>IF(ListOfExpenditure[[#This Row],[Numero di volte controllato il contract ]]&gt;0,0,ListOfExpenditure[[#This Row],[IF public procurment &gt;10000;1;0]])</f>
        <v>0</v>
      </c>
    </row>
    <row r="1397" spans="1:42" x14ac:dyDescent="0.25">
      <c r="A1397">
        <v>1687</v>
      </c>
      <c r="B1397">
        <v>4</v>
      </c>
      <c r="D1397">
        <v>66</v>
      </c>
      <c r="E1397" t="s">
        <v>4786</v>
      </c>
      <c r="F1397" t="b">
        <v>0</v>
      </c>
      <c r="M1397" t="s">
        <v>4788</v>
      </c>
      <c r="N1397" t="s">
        <v>4788</v>
      </c>
      <c r="Q1397">
        <v>100.2</v>
      </c>
      <c r="R1397">
        <v>27</v>
      </c>
      <c r="S1397">
        <v>2705.4</v>
      </c>
      <c r="T1397" t="s">
        <v>4789</v>
      </c>
      <c r="U1397">
        <v>1</v>
      </c>
      <c r="V1397">
        <v>2705.4</v>
      </c>
      <c r="W1397" t="s">
        <v>4343</v>
      </c>
      <c r="Y1397" t="b">
        <v>1</v>
      </c>
      <c r="Z1397" t="b">
        <v>0</v>
      </c>
      <c r="AA1397">
        <v>2705.4</v>
      </c>
      <c r="AB1397">
        <v>0</v>
      </c>
      <c r="AD1397" t="b">
        <v>0</v>
      </c>
      <c r="AG1397" s="1" t="s">
        <v>67</v>
      </c>
      <c r="AH1397" s="1" t="s">
        <v>323</v>
      </c>
      <c r="AI1397">
        <v>169</v>
      </c>
      <c r="AJ1397">
        <v>174</v>
      </c>
      <c r="AK1397" s="106">
        <v>45475.635505706021</v>
      </c>
      <c r="AL1397" s="1" t="s">
        <v>4790</v>
      </c>
      <c r="AM1397" s="42">
        <f>IFERROR(INDEX('Public procurment'!A:R,MATCH(ListOfExpenditure[[#This Row],[Content.contractId]],'Public procurment'!E:E,0),14),0)</f>
        <v>0</v>
      </c>
      <c r="AN1397" s="2">
        <f>IF(AND(ListOfExpenditure[[#This Row],[Contract amount]]&gt;10000,ListOfExpenditure[[#This Row],[Content.declaredAmount]]&gt;2000),1,0)</f>
        <v>0</v>
      </c>
      <c r="AO1397">
        <f>IFERROR(INDEX('Public procurment'!A:S,MATCH(ListOfExpenditure[[#This Row],[Content.contractId]],'Public procurment'!E:E,0),19),0)</f>
        <v>0</v>
      </c>
      <c r="AP1397">
        <f>IF(ListOfExpenditure[[#This Row],[Numero di volte controllato il contract ]]&gt;0,0,ListOfExpenditure[[#This Row],[IF public procurment &gt;10000;1;0]])</f>
        <v>0</v>
      </c>
    </row>
    <row r="1398" spans="1:42" x14ac:dyDescent="0.25">
      <c r="A1398">
        <v>1688</v>
      </c>
      <c r="B1398">
        <v>5</v>
      </c>
      <c r="D1398">
        <v>66</v>
      </c>
      <c r="E1398" t="s">
        <v>4786</v>
      </c>
      <c r="F1398" t="b">
        <v>0</v>
      </c>
      <c r="M1398" t="s">
        <v>4788</v>
      </c>
      <c r="N1398" t="s">
        <v>4788</v>
      </c>
      <c r="Q1398">
        <v>75</v>
      </c>
      <c r="R1398">
        <v>27</v>
      </c>
      <c r="S1398">
        <v>2025</v>
      </c>
      <c r="T1398" t="s">
        <v>4789</v>
      </c>
      <c r="U1398">
        <v>1</v>
      </c>
      <c r="V1398">
        <v>2025</v>
      </c>
      <c r="W1398" t="s">
        <v>4343</v>
      </c>
      <c r="Y1398" t="b">
        <v>1</v>
      </c>
      <c r="Z1398" t="b">
        <v>0</v>
      </c>
      <c r="AA1398">
        <v>2025</v>
      </c>
      <c r="AB1398">
        <v>0</v>
      </c>
      <c r="AD1398" t="b">
        <v>0</v>
      </c>
      <c r="AG1398" s="1" t="s">
        <v>67</v>
      </c>
      <c r="AH1398" s="1" t="s">
        <v>323</v>
      </c>
      <c r="AI1398">
        <v>169</v>
      </c>
      <c r="AJ1398">
        <v>174</v>
      </c>
      <c r="AK1398" s="106">
        <v>45475.635505706021</v>
      </c>
      <c r="AL1398" s="1" t="s">
        <v>4790</v>
      </c>
      <c r="AM1398" s="42">
        <f>IFERROR(INDEX('Public procurment'!A:R,MATCH(ListOfExpenditure[[#This Row],[Content.contractId]],'Public procurment'!E:E,0),14),0)</f>
        <v>0</v>
      </c>
      <c r="AN1398" s="2">
        <f>IF(AND(ListOfExpenditure[[#This Row],[Contract amount]]&gt;10000,ListOfExpenditure[[#This Row],[Content.declaredAmount]]&gt;2000),1,0)</f>
        <v>0</v>
      </c>
      <c r="AO1398">
        <f>IFERROR(INDEX('Public procurment'!A:S,MATCH(ListOfExpenditure[[#This Row],[Content.contractId]],'Public procurment'!E:E,0),19),0)</f>
        <v>0</v>
      </c>
      <c r="AP1398">
        <f>IF(ListOfExpenditure[[#This Row],[Numero di volte controllato il contract ]]&gt;0,0,ListOfExpenditure[[#This Row],[IF public procurment &gt;10000;1;0]])</f>
        <v>0</v>
      </c>
    </row>
    <row r="1399" spans="1:42" x14ac:dyDescent="0.25">
      <c r="A1399">
        <v>573</v>
      </c>
      <c r="B1399">
        <v>1</v>
      </c>
      <c r="D1399">
        <v>50</v>
      </c>
      <c r="E1399" t="s">
        <v>4786</v>
      </c>
      <c r="F1399" t="b">
        <v>0</v>
      </c>
      <c r="M1399" t="s">
        <v>4788</v>
      </c>
      <c r="N1399" t="s">
        <v>4788</v>
      </c>
      <c r="Q1399">
        <v>270</v>
      </c>
      <c r="R1399">
        <v>27</v>
      </c>
      <c r="S1399">
        <v>7290</v>
      </c>
      <c r="T1399" t="s">
        <v>4789</v>
      </c>
      <c r="U1399">
        <v>1</v>
      </c>
      <c r="V1399">
        <v>7290</v>
      </c>
      <c r="W1399" t="s">
        <v>4343</v>
      </c>
      <c r="Y1399" t="b">
        <v>1</v>
      </c>
      <c r="Z1399" t="b">
        <v>0</v>
      </c>
      <c r="AA1399">
        <v>7290</v>
      </c>
      <c r="AB1399">
        <v>0</v>
      </c>
      <c r="AD1399" t="b">
        <v>0</v>
      </c>
      <c r="AG1399" s="1" t="s">
        <v>67</v>
      </c>
      <c r="AH1399" s="1" t="s">
        <v>324</v>
      </c>
      <c r="AI1399">
        <v>166</v>
      </c>
      <c r="AJ1399">
        <v>148</v>
      </c>
      <c r="AK1399" s="106">
        <v>45475.63548005787</v>
      </c>
      <c r="AL1399" s="1" t="s">
        <v>4790</v>
      </c>
      <c r="AM1399" s="42">
        <f>IFERROR(INDEX('Public procurment'!A:R,MATCH(ListOfExpenditure[[#This Row],[Content.contractId]],'Public procurment'!E:E,0),14),0)</f>
        <v>0</v>
      </c>
      <c r="AN1399" s="2">
        <f>IF(AND(ListOfExpenditure[[#This Row],[Contract amount]]&gt;10000,ListOfExpenditure[[#This Row],[Content.declaredAmount]]&gt;2000),1,0)</f>
        <v>0</v>
      </c>
      <c r="AO1399">
        <f>IFERROR(INDEX('Public procurment'!A:S,MATCH(ListOfExpenditure[[#This Row],[Content.contractId]],'Public procurment'!E:E,0),19),0)</f>
        <v>0</v>
      </c>
      <c r="AP1399">
        <f>IF(ListOfExpenditure[[#This Row],[Numero di volte controllato il contract ]]&gt;0,0,ListOfExpenditure[[#This Row],[IF public procurment &gt;10000;1;0]])</f>
        <v>0</v>
      </c>
    </row>
    <row r="1400" spans="1:42" x14ac:dyDescent="0.25">
      <c r="A1400">
        <v>574</v>
      </c>
      <c r="B1400">
        <v>2</v>
      </c>
      <c r="D1400">
        <v>50</v>
      </c>
      <c r="E1400" t="s">
        <v>4786</v>
      </c>
      <c r="F1400" t="b">
        <v>0</v>
      </c>
      <c r="M1400" t="s">
        <v>4788</v>
      </c>
      <c r="N1400" t="s">
        <v>4788</v>
      </c>
      <c r="Q1400">
        <v>150</v>
      </c>
      <c r="R1400">
        <v>27</v>
      </c>
      <c r="S1400">
        <v>4050</v>
      </c>
      <c r="T1400" t="s">
        <v>4789</v>
      </c>
      <c r="U1400">
        <v>1</v>
      </c>
      <c r="V1400">
        <v>4050</v>
      </c>
      <c r="W1400" t="s">
        <v>4343</v>
      </c>
      <c r="Y1400" t="b">
        <v>1</v>
      </c>
      <c r="Z1400" t="b">
        <v>0</v>
      </c>
      <c r="AA1400">
        <v>4050</v>
      </c>
      <c r="AB1400">
        <v>0</v>
      </c>
      <c r="AD1400" t="b">
        <v>0</v>
      </c>
      <c r="AG1400" s="1" t="s">
        <v>67</v>
      </c>
      <c r="AH1400" s="1" t="s">
        <v>324</v>
      </c>
      <c r="AI1400">
        <v>166</v>
      </c>
      <c r="AJ1400">
        <v>148</v>
      </c>
      <c r="AK1400" s="106">
        <v>45475.63548005787</v>
      </c>
      <c r="AL1400" s="1" t="s">
        <v>4790</v>
      </c>
      <c r="AM1400" s="42">
        <f>IFERROR(INDEX('Public procurment'!A:R,MATCH(ListOfExpenditure[[#This Row],[Content.contractId]],'Public procurment'!E:E,0),14),0)</f>
        <v>0</v>
      </c>
      <c r="AN1400" s="2">
        <f>IF(AND(ListOfExpenditure[[#This Row],[Contract amount]]&gt;10000,ListOfExpenditure[[#This Row],[Content.declaredAmount]]&gt;2000),1,0)</f>
        <v>0</v>
      </c>
      <c r="AO1400">
        <f>IFERROR(INDEX('Public procurment'!A:S,MATCH(ListOfExpenditure[[#This Row],[Content.contractId]],'Public procurment'!E:E,0),19),0)</f>
        <v>0</v>
      </c>
      <c r="AP1400">
        <f>IF(ListOfExpenditure[[#This Row],[Numero di volte controllato il contract ]]&gt;0,0,ListOfExpenditure[[#This Row],[IF public procurment &gt;10000;1;0]])</f>
        <v>0</v>
      </c>
    </row>
    <row r="1401" spans="1:42" x14ac:dyDescent="0.25">
      <c r="A1401">
        <v>575</v>
      </c>
      <c r="B1401">
        <v>3</v>
      </c>
      <c r="D1401">
        <v>50</v>
      </c>
      <c r="E1401" t="s">
        <v>4786</v>
      </c>
      <c r="F1401" t="b">
        <v>0</v>
      </c>
      <c r="M1401" t="s">
        <v>4788</v>
      </c>
      <c r="N1401" t="s">
        <v>4788</v>
      </c>
      <c r="Q1401">
        <v>200</v>
      </c>
      <c r="R1401">
        <v>27</v>
      </c>
      <c r="S1401">
        <v>5400</v>
      </c>
      <c r="T1401" t="s">
        <v>4789</v>
      </c>
      <c r="U1401">
        <v>1</v>
      </c>
      <c r="V1401">
        <v>5400</v>
      </c>
      <c r="W1401" t="s">
        <v>4343</v>
      </c>
      <c r="Y1401" t="b">
        <v>1</v>
      </c>
      <c r="Z1401" t="b">
        <v>0</v>
      </c>
      <c r="AA1401">
        <v>5400</v>
      </c>
      <c r="AB1401">
        <v>0</v>
      </c>
      <c r="AD1401" t="b">
        <v>0</v>
      </c>
      <c r="AG1401" s="1" t="s">
        <v>67</v>
      </c>
      <c r="AH1401" s="1" t="s">
        <v>324</v>
      </c>
      <c r="AI1401">
        <v>166</v>
      </c>
      <c r="AJ1401">
        <v>148</v>
      </c>
      <c r="AK1401" s="106">
        <v>45475.63548005787</v>
      </c>
      <c r="AL1401" s="1" t="s">
        <v>4790</v>
      </c>
      <c r="AM1401" s="42">
        <f>IFERROR(INDEX('Public procurment'!A:R,MATCH(ListOfExpenditure[[#This Row],[Content.contractId]],'Public procurment'!E:E,0),14),0)</f>
        <v>0</v>
      </c>
      <c r="AN1401" s="2">
        <f>IF(AND(ListOfExpenditure[[#This Row],[Contract amount]]&gt;10000,ListOfExpenditure[[#This Row],[Content.declaredAmount]]&gt;2000),1,0)</f>
        <v>0</v>
      </c>
      <c r="AO1401">
        <f>IFERROR(INDEX('Public procurment'!A:S,MATCH(ListOfExpenditure[[#This Row],[Content.contractId]],'Public procurment'!E:E,0),19),0)</f>
        <v>0</v>
      </c>
      <c r="AP1401">
        <f>IF(ListOfExpenditure[[#This Row],[Numero di volte controllato il contract ]]&gt;0,0,ListOfExpenditure[[#This Row],[IF public procurment &gt;10000;1;0]])</f>
        <v>0</v>
      </c>
    </row>
    <row r="1402" spans="1:42" x14ac:dyDescent="0.25">
      <c r="A1402">
        <v>576</v>
      </c>
      <c r="B1402">
        <v>4</v>
      </c>
      <c r="D1402">
        <v>50</v>
      </c>
      <c r="E1402" t="s">
        <v>4786</v>
      </c>
      <c r="F1402" t="b">
        <v>0</v>
      </c>
      <c r="M1402" t="s">
        <v>4788</v>
      </c>
      <c r="N1402" t="s">
        <v>4788</v>
      </c>
      <c r="Q1402">
        <v>42</v>
      </c>
      <c r="R1402">
        <v>27</v>
      </c>
      <c r="S1402">
        <v>1134</v>
      </c>
      <c r="T1402" t="s">
        <v>4789</v>
      </c>
      <c r="U1402">
        <v>1</v>
      </c>
      <c r="V1402">
        <v>1134</v>
      </c>
      <c r="W1402" t="s">
        <v>4343</v>
      </c>
      <c r="Y1402" t="b">
        <v>1</v>
      </c>
      <c r="Z1402" t="b">
        <v>0</v>
      </c>
      <c r="AA1402">
        <v>1134</v>
      </c>
      <c r="AB1402">
        <v>0</v>
      </c>
      <c r="AD1402" t="b">
        <v>0</v>
      </c>
      <c r="AG1402" s="1" t="s">
        <v>67</v>
      </c>
      <c r="AH1402" s="1" t="s">
        <v>324</v>
      </c>
      <c r="AI1402">
        <v>166</v>
      </c>
      <c r="AJ1402">
        <v>148</v>
      </c>
      <c r="AK1402" s="106">
        <v>45475.63548005787</v>
      </c>
      <c r="AL1402" s="1" t="s">
        <v>4790</v>
      </c>
      <c r="AM1402" s="42">
        <f>IFERROR(INDEX('Public procurment'!A:R,MATCH(ListOfExpenditure[[#This Row],[Content.contractId]],'Public procurment'!E:E,0),14),0)</f>
        <v>0</v>
      </c>
      <c r="AN1402" s="2">
        <f>IF(AND(ListOfExpenditure[[#This Row],[Contract amount]]&gt;10000,ListOfExpenditure[[#This Row],[Content.declaredAmount]]&gt;2000),1,0)</f>
        <v>0</v>
      </c>
      <c r="AO1402">
        <f>IFERROR(INDEX('Public procurment'!A:S,MATCH(ListOfExpenditure[[#This Row],[Content.contractId]],'Public procurment'!E:E,0),19),0)</f>
        <v>0</v>
      </c>
      <c r="AP1402">
        <f>IF(ListOfExpenditure[[#This Row],[Numero di volte controllato il contract ]]&gt;0,0,ListOfExpenditure[[#This Row],[IF public procurment &gt;10000;1;0]])</f>
        <v>0</v>
      </c>
    </row>
    <row r="1403" spans="1:42" x14ac:dyDescent="0.25">
      <c r="A1403">
        <v>1155</v>
      </c>
      <c r="B1403">
        <v>1</v>
      </c>
      <c r="E1403" t="s">
        <v>4786</v>
      </c>
      <c r="F1403" t="b">
        <v>0</v>
      </c>
      <c r="I1403" t="s">
        <v>5880</v>
      </c>
      <c r="K1403" t="s">
        <v>4835</v>
      </c>
      <c r="L1403" t="s">
        <v>4835</v>
      </c>
      <c r="M1403" t="s">
        <v>4788</v>
      </c>
      <c r="N1403" t="s">
        <v>4788</v>
      </c>
      <c r="O1403">
        <v>3132.29</v>
      </c>
      <c r="Q1403">
        <v>0</v>
      </c>
      <c r="R1403">
        <v>0</v>
      </c>
      <c r="S1403">
        <v>783.07</v>
      </c>
      <c r="T1403" t="s">
        <v>4789</v>
      </c>
      <c r="U1403">
        <v>1</v>
      </c>
      <c r="V1403">
        <v>783.07</v>
      </c>
      <c r="W1403" t="s">
        <v>4343</v>
      </c>
      <c r="Y1403" t="b">
        <v>1</v>
      </c>
      <c r="Z1403" t="b">
        <v>0</v>
      </c>
      <c r="AA1403">
        <v>783.07</v>
      </c>
      <c r="AB1403">
        <v>0</v>
      </c>
      <c r="AD1403" t="b">
        <v>0</v>
      </c>
      <c r="AG1403" s="1" t="s">
        <v>67</v>
      </c>
      <c r="AH1403" s="1" t="s">
        <v>56</v>
      </c>
      <c r="AI1403">
        <v>165</v>
      </c>
      <c r="AJ1403">
        <v>121</v>
      </c>
      <c r="AK1403" s="106">
        <v>45475.635482569443</v>
      </c>
      <c r="AL1403" s="1" t="s">
        <v>4790</v>
      </c>
      <c r="AM1403" s="42">
        <f>IFERROR(INDEX('Public procurment'!A:R,MATCH(ListOfExpenditure[[#This Row],[Content.contractId]],'Public procurment'!E:E,0),14),0)</f>
        <v>0</v>
      </c>
      <c r="AN1403" s="2">
        <f>IF(AND(ListOfExpenditure[[#This Row],[Contract amount]]&gt;10000,ListOfExpenditure[[#This Row],[Content.declaredAmount]]&gt;2000),1,0)</f>
        <v>0</v>
      </c>
      <c r="AO1403">
        <f>IFERROR(INDEX('Public procurment'!A:S,MATCH(ListOfExpenditure[[#This Row],[Content.contractId]],'Public procurment'!E:E,0),19),0)</f>
        <v>0</v>
      </c>
      <c r="AP1403">
        <f>IF(ListOfExpenditure[[#This Row],[Numero di volte controllato il contract ]]&gt;0,0,ListOfExpenditure[[#This Row],[IF public procurment &gt;10000;1;0]])</f>
        <v>0</v>
      </c>
    </row>
    <row r="1404" spans="1:42" x14ac:dyDescent="0.25">
      <c r="A1404">
        <v>1156</v>
      </c>
      <c r="B1404">
        <v>2</v>
      </c>
      <c r="E1404" t="s">
        <v>4786</v>
      </c>
      <c r="F1404" t="b">
        <v>0</v>
      </c>
      <c r="I1404" t="s">
        <v>5881</v>
      </c>
      <c r="K1404" t="s">
        <v>4835</v>
      </c>
      <c r="L1404" t="s">
        <v>4835</v>
      </c>
      <c r="M1404" t="s">
        <v>4788</v>
      </c>
      <c r="N1404" t="s">
        <v>4788</v>
      </c>
      <c r="O1404">
        <v>3898.97</v>
      </c>
      <c r="Q1404">
        <v>0</v>
      </c>
      <c r="R1404">
        <v>0</v>
      </c>
      <c r="S1404">
        <v>857.77</v>
      </c>
      <c r="T1404" t="s">
        <v>4789</v>
      </c>
      <c r="U1404">
        <v>1</v>
      </c>
      <c r="V1404">
        <v>857.77</v>
      </c>
      <c r="W1404" t="s">
        <v>4343</v>
      </c>
      <c r="Y1404" t="b">
        <v>1</v>
      </c>
      <c r="Z1404" t="b">
        <v>0</v>
      </c>
      <c r="AA1404">
        <v>857.77</v>
      </c>
      <c r="AB1404">
        <v>0</v>
      </c>
      <c r="AD1404" t="b">
        <v>0</v>
      </c>
      <c r="AG1404" s="1" t="s">
        <v>67</v>
      </c>
      <c r="AH1404" s="1" t="s">
        <v>56</v>
      </c>
      <c r="AI1404">
        <v>165</v>
      </c>
      <c r="AJ1404">
        <v>121</v>
      </c>
      <c r="AK1404" s="106">
        <v>45475.635482569443</v>
      </c>
      <c r="AL1404" s="1" t="s">
        <v>4790</v>
      </c>
      <c r="AM1404" s="42">
        <f>IFERROR(INDEX('Public procurment'!A:R,MATCH(ListOfExpenditure[[#This Row],[Content.contractId]],'Public procurment'!E:E,0),14),0)</f>
        <v>0</v>
      </c>
      <c r="AN1404" s="2">
        <f>IF(AND(ListOfExpenditure[[#This Row],[Contract amount]]&gt;10000,ListOfExpenditure[[#This Row],[Content.declaredAmount]]&gt;2000),1,0)</f>
        <v>0</v>
      </c>
      <c r="AO1404">
        <f>IFERROR(INDEX('Public procurment'!A:S,MATCH(ListOfExpenditure[[#This Row],[Content.contractId]],'Public procurment'!E:E,0),19),0)</f>
        <v>0</v>
      </c>
      <c r="AP1404">
        <f>IF(ListOfExpenditure[[#This Row],[Numero di volte controllato il contract ]]&gt;0,0,ListOfExpenditure[[#This Row],[IF public procurment &gt;10000;1;0]])</f>
        <v>0</v>
      </c>
    </row>
    <row r="1405" spans="1:42" x14ac:dyDescent="0.25">
      <c r="A1405">
        <v>1157</v>
      </c>
      <c r="B1405">
        <v>3</v>
      </c>
      <c r="E1405" t="s">
        <v>4786</v>
      </c>
      <c r="F1405" t="b">
        <v>0</v>
      </c>
      <c r="I1405" t="s">
        <v>5882</v>
      </c>
      <c r="K1405" t="s">
        <v>4835</v>
      </c>
      <c r="L1405" t="s">
        <v>4835</v>
      </c>
      <c r="M1405" t="s">
        <v>4788</v>
      </c>
      <c r="N1405" t="s">
        <v>4788</v>
      </c>
      <c r="O1405">
        <v>6387.38</v>
      </c>
      <c r="Q1405">
        <v>0</v>
      </c>
      <c r="R1405">
        <v>0</v>
      </c>
      <c r="S1405">
        <v>510.99</v>
      </c>
      <c r="T1405" t="s">
        <v>4789</v>
      </c>
      <c r="U1405">
        <v>1</v>
      </c>
      <c r="V1405">
        <v>510.99</v>
      </c>
      <c r="W1405" t="s">
        <v>4343</v>
      </c>
      <c r="Y1405" t="b">
        <v>1</v>
      </c>
      <c r="Z1405" t="b">
        <v>0</v>
      </c>
      <c r="AA1405">
        <v>510.99</v>
      </c>
      <c r="AB1405">
        <v>0</v>
      </c>
      <c r="AD1405" t="b">
        <v>0</v>
      </c>
      <c r="AG1405" s="1" t="s">
        <v>67</v>
      </c>
      <c r="AH1405" s="1" t="s">
        <v>56</v>
      </c>
      <c r="AI1405">
        <v>165</v>
      </c>
      <c r="AJ1405">
        <v>121</v>
      </c>
      <c r="AK1405" s="106">
        <v>45475.635482569443</v>
      </c>
      <c r="AL1405" s="1" t="s">
        <v>4790</v>
      </c>
      <c r="AM1405" s="42">
        <f>IFERROR(INDEX('Public procurment'!A:R,MATCH(ListOfExpenditure[[#This Row],[Content.contractId]],'Public procurment'!E:E,0),14),0)</f>
        <v>0</v>
      </c>
      <c r="AN1405" s="2">
        <f>IF(AND(ListOfExpenditure[[#This Row],[Contract amount]]&gt;10000,ListOfExpenditure[[#This Row],[Content.declaredAmount]]&gt;2000),1,0)</f>
        <v>0</v>
      </c>
      <c r="AO1405">
        <f>IFERROR(INDEX('Public procurment'!A:S,MATCH(ListOfExpenditure[[#This Row],[Content.contractId]],'Public procurment'!E:E,0),19),0)</f>
        <v>0</v>
      </c>
      <c r="AP1405">
        <f>IF(ListOfExpenditure[[#This Row],[Numero di volte controllato il contract ]]&gt;0,0,ListOfExpenditure[[#This Row],[IF public procurment &gt;10000;1;0]])</f>
        <v>0</v>
      </c>
    </row>
    <row r="1406" spans="1:42" x14ac:dyDescent="0.25">
      <c r="A1406">
        <v>1158</v>
      </c>
      <c r="B1406">
        <v>4</v>
      </c>
      <c r="E1406" t="s">
        <v>4786</v>
      </c>
      <c r="F1406" t="b">
        <v>0</v>
      </c>
      <c r="I1406" t="s">
        <v>5883</v>
      </c>
      <c r="K1406" t="s">
        <v>4835</v>
      </c>
      <c r="L1406" t="s">
        <v>4835</v>
      </c>
      <c r="M1406" t="s">
        <v>4788</v>
      </c>
      <c r="N1406" t="s">
        <v>4788</v>
      </c>
      <c r="O1406">
        <v>3509.77</v>
      </c>
      <c r="Q1406">
        <v>0</v>
      </c>
      <c r="R1406">
        <v>0</v>
      </c>
      <c r="S1406">
        <v>315.88</v>
      </c>
      <c r="T1406" t="s">
        <v>4789</v>
      </c>
      <c r="U1406">
        <v>1</v>
      </c>
      <c r="V1406">
        <v>315.88</v>
      </c>
      <c r="W1406" t="s">
        <v>4343</v>
      </c>
      <c r="Y1406" t="b">
        <v>1</v>
      </c>
      <c r="Z1406" t="b">
        <v>0</v>
      </c>
      <c r="AA1406">
        <v>315.88</v>
      </c>
      <c r="AB1406">
        <v>0</v>
      </c>
      <c r="AD1406" t="b">
        <v>0</v>
      </c>
      <c r="AG1406" s="1" t="s">
        <v>67</v>
      </c>
      <c r="AH1406" s="1" t="s">
        <v>56</v>
      </c>
      <c r="AI1406">
        <v>165</v>
      </c>
      <c r="AJ1406">
        <v>121</v>
      </c>
      <c r="AK1406" s="106">
        <v>45475.635482569443</v>
      </c>
      <c r="AL1406" s="1" t="s">
        <v>4790</v>
      </c>
      <c r="AM1406" s="42">
        <f>IFERROR(INDEX('Public procurment'!A:R,MATCH(ListOfExpenditure[[#This Row],[Content.contractId]],'Public procurment'!E:E,0),14),0)</f>
        <v>0</v>
      </c>
      <c r="AN1406" s="2">
        <f>IF(AND(ListOfExpenditure[[#This Row],[Contract amount]]&gt;10000,ListOfExpenditure[[#This Row],[Content.declaredAmount]]&gt;2000),1,0)</f>
        <v>0</v>
      </c>
      <c r="AO1406">
        <f>IFERROR(INDEX('Public procurment'!A:S,MATCH(ListOfExpenditure[[#This Row],[Content.contractId]],'Public procurment'!E:E,0),19),0)</f>
        <v>0</v>
      </c>
      <c r="AP1406">
        <f>IF(ListOfExpenditure[[#This Row],[Numero di volte controllato il contract ]]&gt;0,0,ListOfExpenditure[[#This Row],[IF public procurment &gt;10000;1;0]])</f>
        <v>0</v>
      </c>
    </row>
    <row r="1407" spans="1:42" x14ac:dyDescent="0.25">
      <c r="A1407">
        <v>1160</v>
      </c>
      <c r="B1407">
        <v>5</v>
      </c>
      <c r="E1407" t="s">
        <v>4786</v>
      </c>
      <c r="F1407" t="b">
        <v>0</v>
      </c>
      <c r="I1407" t="s">
        <v>5884</v>
      </c>
      <c r="K1407" t="s">
        <v>4835</v>
      </c>
      <c r="L1407" t="s">
        <v>4835</v>
      </c>
      <c r="M1407" t="s">
        <v>4788</v>
      </c>
      <c r="N1407" t="s">
        <v>4788</v>
      </c>
      <c r="O1407">
        <v>6206.01</v>
      </c>
      <c r="Q1407">
        <v>0</v>
      </c>
      <c r="R1407">
        <v>0</v>
      </c>
      <c r="S1407">
        <v>310.3</v>
      </c>
      <c r="T1407" t="s">
        <v>4789</v>
      </c>
      <c r="U1407">
        <v>1</v>
      </c>
      <c r="V1407">
        <v>310.3</v>
      </c>
      <c r="W1407" t="s">
        <v>4343</v>
      </c>
      <c r="Y1407" t="b">
        <v>1</v>
      </c>
      <c r="Z1407" t="b">
        <v>0</v>
      </c>
      <c r="AA1407">
        <v>310.3</v>
      </c>
      <c r="AB1407">
        <v>0</v>
      </c>
      <c r="AD1407" t="b">
        <v>0</v>
      </c>
      <c r="AG1407" s="1" t="s">
        <v>67</v>
      </c>
      <c r="AH1407" s="1" t="s">
        <v>56</v>
      </c>
      <c r="AI1407">
        <v>165</v>
      </c>
      <c r="AJ1407">
        <v>121</v>
      </c>
      <c r="AK1407" s="106">
        <v>45475.635482569443</v>
      </c>
      <c r="AL1407" s="1" t="s">
        <v>4790</v>
      </c>
      <c r="AM1407" s="42">
        <f>IFERROR(INDEX('Public procurment'!A:R,MATCH(ListOfExpenditure[[#This Row],[Content.contractId]],'Public procurment'!E:E,0),14),0)</f>
        <v>0</v>
      </c>
      <c r="AN1407" s="2">
        <f>IF(AND(ListOfExpenditure[[#This Row],[Contract amount]]&gt;10000,ListOfExpenditure[[#This Row],[Content.declaredAmount]]&gt;2000),1,0)</f>
        <v>0</v>
      </c>
      <c r="AO1407">
        <f>IFERROR(INDEX('Public procurment'!A:S,MATCH(ListOfExpenditure[[#This Row],[Content.contractId]],'Public procurment'!E:E,0),19),0)</f>
        <v>0</v>
      </c>
      <c r="AP1407">
        <f>IF(ListOfExpenditure[[#This Row],[Numero di volte controllato il contract ]]&gt;0,0,ListOfExpenditure[[#This Row],[IF public procurment &gt;10000;1;0]])</f>
        <v>0</v>
      </c>
    </row>
    <row r="1408" spans="1:42" x14ac:dyDescent="0.25">
      <c r="A1408">
        <v>1161</v>
      </c>
      <c r="B1408">
        <v>6</v>
      </c>
      <c r="E1408" t="s">
        <v>4786</v>
      </c>
      <c r="F1408" t="b">
        <v>0</v>
      </c>
      <c r="I1408" t="s">
        <v>5885</v>
      </c>
      <c r="K1408" t="s">
        <v>4835</v>
      </c>
      <c r="L1408" t="s">
        <v>4835</v>
      </c>
      <c r="M1408" t="s">
        <v>4788</v>
      </c>
      <c r="N1408" t="s">
        <v>4788</v>
      </c>
      <c r="O1408">
        <v>5287.23</v>
      </c>
      <c r="Q1408">
        <v>0</v>
      </c>
      <c r="R1408">
        <v>0</v>
      </c>
      <c r="S1408">
        <v>158.62</v>
      </c>
      <c r="T1408" t="s">
        <v>4789</v>
      </c>
      <c r="U1408">
        <v>1</v>
      </c>
      <c r="V1408">
        <v>158.62</v>
      </c>
      <c r="W1408" t="s">
        <v>4343</v>
      </c>
      <c r="Y1408" t="b">
        <v>1</v>
      </c>
      <c r="Z1408" t="b">
        <v>0</v>
      </c>
      <c r="AA1408">
        <v>158.62</v>
      </c>
      <c r="AB1408">
        <v>0</v>
      </c>
      <c r="AD1408" t="b">
        <v>0</v>
      </c>
      <c r="AG1408" s="1" t="s">
        <v>67</v>
      </c>
      <c r="AH1408" s="1" t="s">
        <v>56</v>
      </c>
      <c r="AI1408">
        <v>165</v>
      </c>
      <c r="AJ1408">
        <v>121</v>
      </c>
      <c r="AK1408" s="106">
        <v>45475.635482569443</v>
      </c>
      <c r="AL1408" s="1" t="s">
        <v>4790</v>
      </c>
      <c r="AM1408" s="42">
        <f>IFERROR(INDEX('Public procurment'!A:R,MATCH(ListOfExpenditure[[#This Row],[Content.contractId]],'Public procurment'!E:E,0),14),0)</f>
        <v>0</v>
      </c>
      <c r="AN1408" s="2">
        <f>IF(AND(ListOfExpenditure[[#This Row],[Contract amount]]&gt;10000,ListOfExpenditure[[#This Row],[Content.declaredAmount]]&gt;2000),1,0)</f>
        <v>0</v>
      </c>
      <c r="AO1408">
        <f>IFERROR(INDEX('Public procurment'!A:S,MATCH(ListOfExpenditure[[#This Row],[Content.contractId]],'Public procurment'!E:E,0),19),0)</f>
        <v>0</v>
      </c>
      <c r="AP1408">
        <f>IF(ListOfExpenditure[[#This Row],[Numero di volte controllato il contract ]]&gt;0,0,ListOfExpenditure[[#This Row],[IF public procurment &gt;10000;1;0]])</f>
        <v>0</v>
      </c>
    </row>
    <row r="1409" spans="1:42" x14ac:dyDescent="0.25">
      <c r="A1409">
        <v>1162</v>
      </c>
      <c r="B1409">
        <v>7</v>
      </c>
      <c r="E1409" t="s">
        <v>4786</v>
      </c>
      <c r="F1409" t="b">
        <v>0</v>
      </c>
      <c r="I1409" t="s">
        <v>5886</v>
      </c>
      <c r="K1409" t="s">
        <v>4835</v>
      </c>
      <c r="L1409" t="s">
        <v>4835</v>
      </c>
      <c r="M1409" t="s">
        <v>4788</v>
      </c>
      <c r="N1409" t="s">
        <v>4788</v>
      </c>
      <c r="O1409">
        <v>2896.85</v>
      </c>
      <c r="Q1409">
        <v>0</v>
      </c>
      <c r="R1409">
        <v>0</v>
      </c>
      <c r="S1409">
        <v>231.75</v>
      </c>
      <c r="T1409" t="s">
        <v>4789</v>
      </c>
      <c r="U1409">
        <v>1</v>
      </c>
      <c r="V1409">
        <v>231.75</v>
      </c>
      <c r="W1409" t="s">
        <v>4343</v>
      </c>
      <c r="Y1409" t="b">
        <v>1</v>
      </c>
      <c r="Z1409" t="b">
        <v>0</v>
      </c>
      <c r="AA1409">
        <v>231.75</v>
      </c>
      <c r="AB1409">
        <v>0</v>
      </c>
      <c r="AD1409" t="b">
        <v>0</v>
      </c>
      <c r="AG1409" s="1" t="s">
        <v>67</v>
      </c>
      <c r="AH1409" s="1" t="s">
        <v>56</v>
      </c>
      <c r="AI1409">
        <v>165</v>
      </c>
      <c r="AJ1409">
        <v>121</v>
      </c>
      <c r="AK1409" s="106">
        <v>45475.635482569443</v>
      </c>
      <c r="AL1409" s="1" t="s">
        <v>4790</v>
      </c>
      <c r="AM1409" s="42">
        <f>IFERROR(INDEX('Public procurment'!A:R,MATCH(ListOfExpenditure[[#This Row],[Content.contractId]],'Public procurment'!E:E,0),14),0)</f>
        <v>0</v>
      </c>
      <c r="AN1409" s="2">
        <f>IF(AND(ListOfExpenditure[[#This Row],[Contract amount]]&gt;10000,ListOfExpenditure[[#This Row],[Content.declaredAmount]]&gt;2000),1,0)</f>
        <v>0</v>
      </c>
      <c r="AO1409">
        <f>IFERROR(INDEX('Public procurment'!A:S,MATCH(ListOfExpenditure[[#This Row],[Content.contractId]],'Public procurment'!E:E,0),19),0)</f>
        <v>0</v>
      </c>
      <c r="AP1409">
        <f>IF(ListOfExpenditure[[#This Row],[Numero di volte controllato il contract ]]&gt;0,0,ListOfExpenditure[[#This Row],[IF public procurment &gt;10000;1;0]])</f>
        <v>0</v>
      </c>
    </row>
    <row r="1410" spans="1:42" x14ac:dyDescent="0.25">
      <c r="A1410">
        <v>1163</v>
      </c>
      <c r="B1410">
        <v>8</v>
      </c>
      <c r="E1410" t="s">
        <v>4786</v>
      </c>
      <c r="F1410" t="b">
        <v>0</v>
      </c>
      <c r="I1410" t="s">
        <v>5887</v>
      </c>
      <c r="K1410" t="s">
        <v>4835</v>
      </c>
      <c r="L1410" t="s">
        <v>4835</v>
      </c>
      <c r="M1410" t="s">
        <v>4788</v>
      </c>
      <c r="N1410" t="s">
        <v>4788</v>
      </c>
      <c r="O1410">
        <v>2553.9899999999998</v>
      </c>
      <c r="Q1410">
        <v>0</v>
      </c>
      <c r="R1410">
        <v>0</v>
      </c>
      <c r="S1410">
        <v>204.32</v>
      </c>
      <c r="T1410" t="s">
        <v>4789</v>
      </c>
      <c r="U1410">
        <v>1</v>
      </c>
      <c r="V1410">
        <v>204.32</v>
      </c>
      <c r="W1410" t="s">
        <v>4343</v>
      </c>
      <c r="Y1410" t="b">
        <v>1</v>
      </c>
      <c r="Z1410" t="b">
        <v>0</v>
      </c>
      <c r="AA1410">
        <v>204.32</v>
      </c>
      <c r="AB1410">
        <v>0</v>
      </c>
      <c r="AD1410" t="b">
        <v>0</v>
      </c>
      <c r="AG1410" s="1" t="s">
        <v>67</v>
      </c>
      <c r="AH1410" s="1" t="s">
        <v>56</v>
      </c>
      <c r="AI1410">
        <v>165</v>
      </c>
      <c r="AJ1410">
        <v>121</v>
      </c>
      <c r="AK1410" s="106">
        <v>45475.635482569443</v>
      </c>
      <c r="AL1410" s="1" t="s">
        <v>4790</v>
      </c>
      <c r="AM1410" s="42">
        <f>IFERROR(INDEX('Public procurment'!A:R,MATCH(ListOfExpenditure[[#This Row],[Content.contractId]],'Public procurment'!E:E,0),14),0)</f>
        <v>0</v>
      </c>
      <c r="AN1410" s="2">
        <f>IF(AND(ListOfExpenditure[[#This Row],[Contract amount]]&gt;10000,ListOfExpenditure[[#This Row],[Content.declaredAmount]]&gt;2000),1,0)</f>
        <v>0</v>
      </c>
      <c r="AO1410">
        <f>IFERROR(INDEX('Public procurment'!A:S,MATCH(ListOfExpenditure[[#This Row],[Content.contractId]],'Public procurment'!E:E,0),19),0)</f>
        <v>0</v>
      </c>
      <c r="AP1410">
        <f>IF(ListOfExpenditure[[#This Row],[Numero di volte controllato il contract ]]&gt;0,0,ListOfExpenditure[[#This Row],[IF public procurment &gt;10000;1;0]])</f>
        <v>0</v>
      </c>
    </row>
    <row r="1411" spans="1:42" x14ac:dyDescent="0.25">
      <c r="A1411">
        <v>567</v>
      </c>
      <c r="B1411">
        <v>1</v>
      </c>
      <c r="C1411">
        <v>81</v>
      </c>
      <c r="E1411" t="s">
        <v>4893</v>
      </c>
      <c r="F1411" t="b">
        <v>0</v>
      </c>
      <c r="M1411" t="s">
        <v>4788</v>
      </c>
      <c r="N1411" t="s">
        <v>4788</v>
      </c>
      <c r="Q1411">
        <v>1</v>
      </c>
      <c r="R1411">
        <v>9000</v>
      </c>
      <c r="S1411">
        <v>9000</v>
      </c>
      <c r="T1411" t="s">
        <v>4789</v>
      </c>
      <c r="U1411">
        <v>1</v>
      </c>
      <c r="V1411">
        <v>9000</v>
      </c>
      <c r="Y1411" t="b">
        <v>1</v>
      </c>
      <c r="Z1411" t="b">
        <v>0</v>
      </c>
      <c r="AA1411">
        <v>9000</v>
      </c>
      <c r="AB1411">
        <v>0</v>
      </c>
      <c r="AD1411" t="b">
        <v>0</v>
      </c>
      <c r="AF1411" t="s">
        <v>5888</v>
      </c>
      <c r="AG1411" s="1" t="s">
        <v>67</v>
      </c>
      <c r="AH1411" s="1" t="s">
        <v>325</v>
      </c>
      <c r="AI1411">
        <v>162</v>
      </c>
      <c r="AJ1411">
        <v>115</v>
      </c>
      <c r="AK1411" s="106">
        <v>45475.635492476853</v>
      </c>
      <c r="AL1411" s="1" t="s">
        <v>4790</v>
      </c>
      <c r="AM1411" s="42">
        <f>IFERROR(INDEX('Public procurment'!A:R,MATCH(ListOfExpenditure[[#This Row],[Content.contractId]],'Public procurment'!E:E,0),14),0)</f>
        <v>0</v>
      </c>
      <c r="AN1411" s="2">
        <f>IF(AND(ListOfExpenditure[[#This Row],[Contract amount]]&gt;10000,ListOfExpenditure[[#This Row],[Content.declaredAmount]]&gt;2000),1,0)</f>
        <v>0</v>
      </c>
      <c r="AO1411">
        <f>IFERROR(INDEX('Public procurment'!A:S,MATCH(ListOfExpenditure[[#This Row],[Content.contractId]],'Public procurment'!E:E,0),19),0)</f>
        <v>0</v>
      </c>
      <c r="AP1411">
        <f>IF(ListOfExpenditure[[#This Row],[Numero di volte controllato il contract ]]&gt;0,0,ListOfExpenditure[[#This Row],[IF public procurment &gt;10000;1;0]])</f>
        <v>0</v>
      </c>
    </row>
    <row r="1412" spans="1:42" x14ac:dyDescent="0.25">
      <c r="A1412">
        <v>568</v>
      </c>
      <c r="B1412">
        <v>2</v>
      </c>
      <c r="D1412">
        <v>43</v>
      </c>
      <c r="E1412" t="s">
        <v>4786</v>
      </c>
      <c r="F1412" t="b">
        <v>0</v>
      </c>
      <c r="M1412" t="s">
        <v>4788</v>
      </c>
      <c r="N1412" t="s">
        <v>4788</v>
      </c>
      <c r="Q1412">
        <v>257</v>
      </c>
      <c r="R1412">
        <v>27</v>
      </c>
      <c r="S1412">
        <v>6939</v>
      </c>
      <c r="T1412" t="s">
        <v>4789</v>
      </c>
      <c r="U1412">
        <v>1</v>
      </c>
      <c r="V1412">
        <v>6939</v>
      </c>
      <c r="W1412" t="s">
        <v>4343</v>
      </c>
      <c r="Y1412" t="b">
        <v>1</v>
      </c>
      <c r="Z1412" t="b">
        <v>0</v>
      </c>
      <c r="AA1412">
        <v>6939</v>
      </c>
      <c r="AB1412">
        <v>0</v>
      </c>
      <c r="AD1412" t="b">
        <v>0</v>
      </c>
      <c r="AG1412" s="1" t="s">
        <v>67</v>
      </c>
      <c r="AH1412" s="1" t="s">
        <v>325</v>
      </c>
      <c r="AI1412">
        <v>162</v>
      </c>
      <c r="AJ1412">
        <v>115</v>
      </c>
      <c r="AK1412" s="106">
        <v>45475.635492476853</v>
      </c>
      <c r="AL1412" s="1" t="s">
        <v>4790</v>
      </c>
      <c r="AM1412" s="42">
        <f>IFERROR(INDEX('Public procurment'!A:R,MATCH(ListOfExpenditure[[#This Row],[Content.contractId]],'Public procurment'!E:E,0),14),0)</f>
        <v>0</v>
      </c>
      <c r="AN1412" s="2">
        <f>IF(AND(ListOfExpenditure[[#This Row],[Contract amount]]&gt;10000,ListOfExpenditure[[#This Row],[Content.declaredAmount]]&gt;2000),1,0)</f>
        <v>0</v>
      </c>
      <c r="AO1412">
        <f>IFERROR(INDEX('Public procurment'!A:S,MATCH(ListOfExpenditure[[#This Row],[Content.contractId]],'Public procurment'!E:E,0),19),0)</f>
        <v>0</v>
      </c>
      <c r="AP1412">
        <f>IF(ListOfExpenditure[[#This Row],[Numero di volte controllato il contract ]]&gt;0,0,ListOfExpenditure[[#This Row],[IF public procurment &gt;10000;1;0]])</f>
        <v>0</v>
      </c>
    </row>
    <row r="1413" spans="1:42" x14ac:dyDescent="0.25">
      <c r="A1413">
        <v>986</v>
      </c>
      <c r="B1413">
        <v>3</v>
      </c>
      <c r="D1413">
        <v>43</v>
      </c>
      <c r="E1413" t="s">
        <v>4786</v>
      </c>
      <c r="F1413" t="b">
        <v>0</v>
      </c>
      <c r="M1413" t="s">
        <v>4788</v>
      </c>
      <c r="N1413" t="s">
        <v>4788</v>
      </c>
      <c r="Q1413">
        <v>172</v>
      </c>
      <c r="R1413">
        <v>27</v>
      </c>
      <c r="S1413">
        <v>4644</v>
      </c>
      <c r="T1413" t="s">
        <v>4789</v>
      </c>
      <c r="U1413">
        <v>1</v>
      </c>
      <c r="V1413">
        <v>4644</v>
      </c>
      <c r="W1413" t="s">
        <v>4343</v>
      </c>
      <c r="Y1413" t="b">
        <v>1</v>
      </c>
      <c r="Z1413" t="b">
        <v>0</v>
      </c>
      <c r="AA1413">
        <v>4644</v>
      </c>
      <c r="AB1413">
        <v>0</v>
      </c>
      <c r="AD1413" t="b">
        <v>0</v>
      </c>
      <c r="AG1413" s="1" t="s">
        <v>67</v>
      </c>
      <c r="AH1413" s="1" t="s">
        <v>325</v>
      </c>
      <c r="AI1413">
        <v>162</v>
      </c>
      <c r="AJ1413">
        <v>115</v>
      </c>
      <c r="AK1413" s="106">
        <v>45475.635492476853</v>
      </c>
      <c r="AL1413" s="1" t="s">
        <v>4790</v>
      </c>
      <c r="AM1413" s="42">
        <f>IFERROR(INDEX('Public procurment'!A:R,MATCH(ListOfExpenditure[[#This Row],[Content.contractId]],'Public procurment'!E:E,0),14),0)</f>
        <v>0</v>
      </c>
      <c r="AN1413" s="2">
        <f>IF(AND(ListOfExpenditure[[#This Row],[Contract amount]]&gt;10000,ListOfExpenditure[[#This Row],[Content.declaredAmount]]&gt;2000),1,0)</f>
        <v>0</v>
      </c>
      <c r="AO1413">
        <f>IFERROR(INDEX('Public procurment'!A:S,MATCH(ListOfExpenditure[[#This Row],[Content.contractId]],'Public procurment'!E:E,0),19),0)</f>
        <v>0</v>
      </c>
      <c r="AP1413">
        <f>IF(ListOfExpenditure[[#This Row],[Numero di volte controllato il contract ]]&gt;0,0,ListOfExpenditure[[#This Row],[IF public procurment &gt;10000;1;0]])</f>
        <v>0</v>
      </c>
    </row>
    <row r="1414" spans="1:42" x14ac:dyDescent="0.25">
      <c r="A1414">
        <v>987</v>
      </c>
      <c r="B1414">
        <v>4</v>
      </c>
      <c r="D1414">
        <v>43</v>
      </c>
      <c r="E1414" t="s">
        <v>4786</v>
      </c>
      <c r="F1414" t="b">
        <v>0</v>
      </c>
      <c r="M1414" t="s">
        <v>4788</v>
      </c>
      <c r="N1414" t="s">
        <v>4788</v>
      </c>
      <c r="Q1414">
        <v>172</v>
      </c>
      <c r="R1414">
        <v>27</v>
      </c>
      <c r="S1414">
        <v>4644</v>
      </c>
      <c r="T1414" t="s">
        <v>4789</v>
      </c>
      <c r="U1414">
        <v>1</v>
      </c>
      <c r="V1414">
        <v>4644</v>
      </c>
      <c r="W1414" t="s">
        <v>4343</v>
      </c>
      <c r="Y1414" t="b">
        <v>1</v>
      </c>
      <c r="Z1414" t="b">
        <v>0</v>
      </c>
      <c r="AA1414">
        <v>4644</v>
      </c>
      <c r="AB1414">
        <v>0</v>
      </c>
      <c r="AD1414" t="b">
        <v>0</v>
      </c>
      <c r="AG1414" s="1" t="s">
        <v>67</v>
      </c>
      <c r="AH1414" s="1" t="s">
        <v>325</v>
      </c>
      <c r="AI1414">
        <v>162</v>
      </c>
      <c r="AJ1414">
        <v>115</v>
      </c>
      <c r="AK1414" s="106">
        <v>45475.635492476853</v>
      </c>
      <c r="AL1414" s="1" t="s">
        <v>4790</v>
      </c>
      <c r="AM1414" s="42">
        <f>IFERROR(INDEX('Public procurment'!A:R,MATCH(ListOfExpenditure[[#This Row],[Content.contractId]],'Public procurment'!E:E,0),14),0)</f>
        <v>0</v>
      </c>
      <c r="AN1414" s="2">
        <f>IF(AND(ListOfExpenditure[[#This Row],[Contract amount]]&gt;10000,ListOfExpenditure[[#This Row],[Content.declaredAmount]]&gt;2000),1,0)</f>
        <v>0</v>
      </c>
      <c r="AO1414">
        <f>IFERROR(INDEX('Public procurment'!A:S,MATCH(ListOfExpenditure[[#This Row],[Content.contractId]],'Public procurment'!E:E,0),19),0)</f>
        <v>0</v>
      </c>
      <c r="AP1414">
        <f>IF(ListOfExpenditure[[#This Row],[Numero di volte controllato il contract ]]&gt;0,0,ListOfExpenditure[[#This Row],[IF public procurment &gt;10000;1;0]])</f>
        <v>0</v>
      </c>
    </row>
    <row r="1415" spans="1:42" x14ac:dyDescent="0.25">
      <c r="A1415">
        <v>988</v>
      </c>
      <c r="B1415">
        <v>5</v>
      </c>
      <c r="D1415">
        <v>43</v>
      </c>
      <c r="E1415" t="s">
        <v>4786</v>
      </c>
      <c r="F1415" t="b">
        <v>0</v>
      </c>
      <c r="M1415" t="s">
        <v>4788</v>
      </c>
      <c r="N1415" t="s">
        <v>4788</v>
      </c>
      <c r="Q1415">
        <v>189</v>
      </c>
      <c r="R1415">
        <v>27</v>
      </c>
      <c r="S1415">
        <v>5103</v>
      </c>
      <c r="T1415" t="s">
        <v>4789</v>
      </c>
      <c r="U1415">
        <v>1</v>
      </c>
      <c r="V1415">
        <v>5103</v>
      </c>
      <c r="W1415" t="s">
        <v>4343</v>
      </c>
      <c r="Y1415" t="b">
        <v>1</v>
      </c>
      <c r="Z1415" t="b">
        <v>0</v>
      </c>
      <c r="AA1415">
        <v>5103</v>
      </c>
      <c r="AB1415">
        <v>0</v>
      </c>
      <c r="AD1415" t="b">
        <v>0</v>
      </c>
      <c r="AG1415" s="1" t="s">
        <v>67</v>
      </c>
      <c r="AH1415" s="1" t="s">
        <v>325</v>
      </c>
      <c r="AI1415">
        <v>162</v>
      </c>
      <c r="AJ1415">
        <v>115</v>
      </c>
      <c r="AK1415" s="106">
        <v>45475.635492476853</v>
      </c>
      <c r="AL1415" s="1" t="s">
        <v>4790</v>
      </c>
      <c r="AM1415" s="42">
        <f>IFERROR(INDEX('Public procurment'!A:R,MATCH(ListOfExpenditure[[#This Row],[Content.contractId]],'Public procurment'!E:E,0),14),0)</f>
        <v>0</v>
      </c>
      <c r="AN1415" s="2">
        <f>IF(AND(ListOfExpenditure[[#This Row],[Contract amount]]&gt;10000,ListOfExpenditure[[#This Row],[Content.declaredAmount]]&gt;2000),1,0)</f>
        <v>0</v>
      </c>
      <c r="AO1415">
        <f>IFERROR(INDEX('Public procurment'!A:S,MATCH(ListOfExpenditure[[#This Row],[Content.contractId]],'Public procurment'!E:E,0),19),0)</f>
        <v>0</v>
      </c>
      <c r="AP1415">
        <f>IF(ListOfExpenditure[[#This Row],[Numero di volte controllato il contract ]]&gt;0,0,ListOfExpenditure[[#This Row],[IF public procurment &gt;10000;1;0]])</f>
        <v>0</v>
      </c>
    </row>
    <row r="1416" spans="1:42" x14ac:dyDescent="0.25">
      <c r="A1416">
        <v>1520</v>
      </c>
      <c r="B1416">
        <v>1</v>
      </c>
      <c r="E1416" t="s">
        <v>4786</v>
      </c>
      <c r="F1416" t="b">
        <v>0</v>
      </c>
      <c r="I1416" t="s">
        <v>5889</v>
      </c>
      <c r="M1416" t="s">
        <v>4788</v>
      </c>
      <c r="N1416" t="s">
        <v>4788</v>
      </c>
      <c r="O1416">
        <v>9804</v>
      </c>
      <c r="Q1416">
        <v>0</v>
      </c>
      <c r="R1416">
        <v>0</v>
      </c>
      <c r="S1416">
        <v>9804</v>
      </c>
      <c r="T1416" t="s">
        <v>4789</v>
      </c>
      <c r="U1416">
        <v>1</v>
      </c>
      <c r="V1416">
        <v>9804</v>
      </c>
      <c r="W1416" t="s">
        <v>4343</v>
      </c>
      <c r="Y1416" t="b">
        <v>1</v>
      </c>
      <c r="Z1416" t="b">
        <v>0</v>
      </c>
      <c r="AA1416">
        <v>9804</v>
      </c>
      <c r="AB1416">
        <v>0</v>
      </c>
      <c r="AD1416" t="b">
        <v>0</v>
      </c>
      <c r="AG1416" s="1" t="s">
        <v>67</v>
      </c>
      <c r="AH1416" s="1" t="s">
        <v>326</v>
      </c>
      <c r="AI1416">
        <v>164</v>
      </c>
      <c r="AJ1416">
        <v>116</v>
      </c>
      <c r="AK1416" s="106">
        <v>45475.635486782405</v>
      </c>
      <c r="AL1416" s="1" t="s">
        <v>4790</v>
      </c>
      <c r="AM1416" s="42">
        <f>IFERROR(INDEX('Public procurment'!A:R,MATCH(ListOfExpenditure[[#This Row],[Content.contractId]],'Public procurment'!E:E,0),14),0)</f>
        <v>0</v>
      </c>
      <c r="AN1416" s="2">
        <f>IF(AND(ListOfExpenditure[[#This Row],[Contract amount]]&gt;10000,ListOfExpenditure[[#This Row],[Content.declaredAmount]]&gt;2000),1,0)</f>
        <v>0</v>
      </c>
      <c r="AO1416">
        <f>IFERROR(INDEX('Public procurment'!A:S,MATCH(ListOfExpenditure[[#This Row],[Content.contractId]],'Public procurment'!E:E,0),19),0)</f>
        <v>0</v>
      </c>
      <c r="AP1416">
        <f>IF(ListOfExpenditure[[#This Row],[Numero di volte controllato il contract ]]&gt;0,0,ListOfExpenditure[[#This Row],[IF public procurment &gt;10000;1;0]])</f>
        <v>0</v>
      </c>
    </row>
    <row r="1417" spans="1:42" x14ac:dyDescent="0.25">
      <c r="A1417">
        <v>1584</v>
      </c>
      <c r="B1417">
        <v>2</v>
      </c>
      <c r="E1417" t="s">
        <v>4786</v>
      </c>
      <c r="F1417" t="b">
        <v>0</v>
      </c>
      <c r="I1417" t="s">
        <v>5890</v>
      </c>
      <c r="M1417" t="s">
        <v>4788</v>
      </c>
      <c r="N1417" t="s">
        <v>4788</v>
      </c>
      <c r="O1417">
        <v>6966</v>
      </c>
      <c r="Q1417">
        <v>0</v>
      </c>
      <c r="R1417">
        <v>0</v>
      </c>
      <c r="S1417">
        <v>6966</v>
      </c>
      <c r="T1417" t="s">
        <v>4789</v>
      </c>
      <c r="U1417">
        <v>1</v>
      </c>
      <c r="V1417">
        <v>6966</v>
      </c>
      <c r="W1417" t="s">
        <v>4343</v>
      </c>
      <c r="Y1417" t="b">
        <v>1</v>
      </c>
      <c r="Z1417" t="b">
        <v>0</v>
      </c>
      <c r="AA1417">
        <v>6966</v>
      </c>
      <c r="AB1417">
        <v>0</v>
      </c>
      <c r="AD1417" t="b">
        <v>0</v>
      </c>
      <c r="AG1417" s="1" t="s">
        <v>67</v>
      </c>
      <c r="AH1417" s="1" t="s">
        <v>326</v>
      </c>
      <c r="AI1417">
        <v>164</v>
      </c>
      <c r="AJ1417">
        <v>116</v>
      </c>
      <c r="AK1417" s="106">
        <v>45475.635486782405</v>
      </c>
      <c r="AL1417" s="1" t="s">
        <v>4790</v>
      </c>
      <c r="AM1417" s="42">
        <f>IFERROR(INDEX('Public procurment'!A:R,MATCH(ListOfExpenditure[[#This Row],[Content.contractId]],'Public procurment'!E:E,0),14),0)</f>
        <v>0</v>
      </c>
      <c r="AN1417" s="2">
        <f>IF(AND(ListOfExpenditure[[#This Row],[Contract amount]]&gt;10000,ListOfExpenditure[[#This Row],[Content.declaredAmount]]&gt;2000),1,0)</f>
        <v>0</v>
      </c>
      <c r="AO1417">
        <f>IFERROR(INDEX('Public procurment'!A:S,MATCH(ListOfExpenditure[[#This Row],[Content.contractId]],'Public procurment'!E:E,0),19),0)</f>
        <v>0</v>
      </c>
      <c r="AP1417">
        <f>IF(ListOfExpenditure[[#This Row],[Numero di volte controllato il contract ]]&gt;0,0,ListOfExpenditure[[#This Row],[IF public procurment &gt;10000;1;0]])</f>
        <v>0</v>
      </c>
    </row>
    <row r="1418" spans="1:42" x14ac:dyDescent="0.25">
      <c r="A1418">
        <v>705</v>
      </c>
      <c r="B1418">
        <v>1</v>
      </c>
      <c r="E1418" t="s">
        <v>4786</v>
      </c>
      <c r="F1418" t="b">
        <v>0</v>
      </c>
      <c r="I1418" t="s">
        <v>5891</v>
      </c>
      <c r="K1418" t="s">
        <v>4678</v>
      </c>
      <c r="L1418" t="s">
        <v>4835</v>
      </c>
      <c r="M1418" t="s">
        <v>4788</v>
      </c>
      <c r="N1418" t="s">
        <v>4788</v>
      </c>
      <c r="O1418">
        <v>1067.1600000000001</v>
      </c>
      <c r="Q1418">
        <v>0</v>
      </c>
      <c r="R1418">
        <v>0</v>
      </c>
      <c r="S1418">
        <v>1067.1600000000001</v>
      </c>
      <c r="T1418" t="s">
        <v>4789</v>
      </c>
      <c r="U1418">
        <v>1</v>
      </c>
      <c r="V1418">
        <v>1067.1600000000001</v>
      </c>
      <c r="W1418" t="s">
        <v>4343</v>
      </c>
      <c r="Y1418" t="b">
        <v>1</v>
      </c>
      <c r="Z1418" t="b">
        <v>0</v>
      </c>
      <c r="AA1418">
        <v>1067.1600000000001</v>
      </c>
      <c r="AB1418">
        <v>0</v>
      </c>
      <c r="AD1418" t="b">
        <v>0</v>
      </c>
      <c r="AG1418" s="1" t="s">
        <v>67</v>
      </c>
      <c r="AH1418" s="1" t="s">
        <v>327</v>
      </c>
      <c r="AI1418">
        <v>168</v>
      </c>
      <c r="AJ1418">
        <v>117</v>
      </c>
      <c r="AK1418" s="106">
        <v>45475.635488599539</v>
      </c>
      <c r="AL1418" s="1" t="s">
        <v>4790</v>
      </c>
      <c r="AM1418" s="42">
        <f>IFERROR(INDEX('Public procurment'!A:R,MATCH(ListOfExpenditure[[#This Row],[Content.contractId]],'Public procurment'!E:E,0),14),0)</f>
        <v>0</v>
      </c>
      <c r="AN1418" s="2">
        <f>IF(AND(ListOfExpenditure[[#This Row],[Contract amount]]&gt;10000,ListOfExpenditure[[#This Row],[Content.declaredAmount]]&gt;2000),1,0)</f>
        <v>0</v>
      </c>
      <c r="AO1418">
        <f>IFERROR(INDEX('Public procurment'!A:S,MATCH(ListOfExpenditure[[#This Row],[Content.contractId]],'Public procurment'!E:E,0),19),0)</f>
        <v>0</v>
      </c>
      <c r="AP1418">
        <f>IF(ListOfExpenditure[[#This Row],[Numero di volte controllato il contract ]]&gt;0,0,ListOfExpenditure[[#This Row],[IF public procurment &gt;10000;1;0]])</f>
        <v>0</v>
      </c>
    </row>
    <row r="1419" spans="1:42" x14ac:dyDescent="0.25">
      <c r="A1419">
        <v>706</v>
      </c>
      <c r="B1419">
        <v>2</v>
      </c>
      <c r="E1419" t="s">
        <v>4786</v>
      </c>
      <c r="F1419" t="b">
        <v>0</v>
      </c>
      <c r="I1419" t="s">
        <v>5892</v>
      </c>
      <c r="K1419" t="s">
        <v>4342</v>
      </c>
      <c r="L1419" t="s">
        <v>4831</v>
      </c>
      <c r="M1419" t="s">
        <v>4788</v>
      </c>
      <c r="N1419" t="s">
        <v>4788</v>
      </c>
      <c r="O1419">
        <v>1083.3699999999999</v>
      </c>
      <c r="Q1419">
        <v>0</v>
      </c>
      <c r="R1419">
        <v>0</v>
      </c>
      <c r="S1419">
        <v>1083.3699999999999</v>
      </c>
      <c r="T1419" t="s">
        <v>4789</v>
      </c>
      <c r="U1419">
        <v>1</v>
      </c>
      <c r="V1419">
        <v>1083.3699999999999</v>
      </c>
      <c r="W1419" t="s">
        <v>4343</v>
      </c>
      <c r="Y1419" t="b">
        <v>1</v>
      </c>
      <c r="Z1419" t="b">
        <v>0</v>
      </c>
      <c r="AA1419">
        <v>1083.3699999999999</v>
      </c>
      <c r="AB1419">
        <v>0</v>
      </c>
      <c r="AD1419" t="b">
        <v>0</v>
      </c>
      <c r="AG1419" s="1" t="s">
        <v>67</v>
      </c>
      <c r="AH1419" s="1" t="s">
        <v>327</v>
      </c>
      <c r="AI1419">
        <v>168</v>
      </c>
      <c r="AJ1419">
        <v>117</v>
      </c>
      <c r="AK1419" s="106">
        <v>45475.635488599539</v>
      </c>
      <c r="AL1419" s="1" t="s">
        <v>4790</v>
      </c>
      <c r="AM1419" s="42">
        <f>IFERROR(INDEX('Public procurment'!A:R,MATCH(ListOfExpenditure[[#This Row],[Content.contractId]],'Public procurment'!E:E,0),14),0)</f>
        <v>0</v>
      </c>
      <c r="AN1419" s="2">
        <f>IF(AND(ListOfExpenditure[[#This Row],[Contract amount]]&gt;10000,ListOfExpenditure[[#This Row],[Content.declaredAmount]]&gt;2000),1,0)</f>
        <v>0</v>
      </c>
      <c r="AO1419">
        <f>IFERROR(INDEX('Public procurment'!A:S,MATCH(ListOfExpenditure[[#This Row],[Content.contractId]],'Public procurment'!E:E,0),19),0)</f>
        <v>0</v>
      </c>
      <c r="AP1419">
        <f>IF(ListOfExpenditure[[#This Row],[Numero di volte controllato il contract ]]&gt;0,0,ListOfExpenditure[[#This Row],[IF public procurment &gt;10000;1;0]])</f>
        <v>0</v>
      </c>
    </row>
    <row r="1420" spans="1:42" x14ac:dyDescent="0.25">
      <c r="A1420">
        <v>707</v>
      </c>
      <c r="B1420">
        <v>3</v>
      </c>
      <c r="E1420" t="s">
        <v>4786</v>
      </c>
      <c r="F1420" t="b">
        <v>0</v>
      </c>
      <c r="I1420" t="s">
        <v>5893</v>
      </c>
      <c r="K1420" t="s">
        <v>4359</v>
      </c>
      <c r="L1420" t="s">
        <v>4957</v>
      </c>
      <c r="M1420" t="s">
        <v>4788</v>
      </c>
      <c r="N1420" t="s">
        <v>4788</v>
      </c>
      <c r="O1420">
        <v>1101.94</v>
      </c>
      <c r="Q1420">
        <v>0</v>
      </c>
      <c r="R1420">
        <v>0</v>
      </c>
      <c r="S1420">
        <v>1101.94</v>
      </c>
      <c r="T1420" t="s">
        <v>4789</v>
      </c>
      <c r="U1420">
        <v>1</v>
      </c>
      <c r="V1420">
        <v>1101.94</v>
      </c>
      <c r="W1420" t="s">
        <v>4343</v>
      </c>
      <c r="Y1420" t="b">
        <v>1</v>
      </c>
      <c r="Z1420" t="b">
        <v>0</v>
      </c>
      <c r="AA1420">
        <v>1101.94</v>
      </c>
      <c r="AB1420">
        <v>0</v>
      </c>
      <c r="AD1420" t="b">
        <v>0</v>
      </c>
      <c r="AG1420" s="1" t="s">
        <v>67</v>
      </c>
      <c r="AH1420" s="1" t="s">
        <v>327</v>
      </c>
      <c r="AI1420">
        <v>168</v>
      </c>
      <c r="AJ1420">
        <v>117</v>
      </c>
      <c r="AK1420" s="106">
        <v>45475.635488599539</v>
      </c>
      <c r="AL1420" s="1" t="s">
        <v>4790</v>
      </c>
      <c r="AM1420" s="42">
        <f>IFERROR(INDEX('Public procurment'!A:R,MATCH(ListOfExpenditure[[#This Row],[Content.contractId]],'Public procurment'!E:E,0),14),0)</f>
        <v>0</v>
      </c>
      <c r="AN1420" s="2">
        <f>IF(AND(ListOfExpenditure[[#This Row],[Contract amount]]&gt;10000,ListOfExpenditure[[#This Row],[Content.declaredAmount]]&gt;2000),1,0)</f>
        <v>0</v>
      </c>
      <c r="AO1420">
        <f>IFERROR(INDEX('Public procurment'!A:S,MATCH(ListOfExpenditure[[#This Row],[Content.contractId]],'Public procurment'!E:E,0),19),0)</f>
        <v>0</v>
      </c>
      <c r="AP1420">
        <f>IF(ListOfExpenditure[[#This Row],[Numero di volte controllato il contract ]]&gt;0,0,ListOfExpenditure[[#This Row],[IF public procurment &gt;10000;1;0]])</f>
        <v>0</v>
      </c>
    </row>
    <row r="1421" spans="1:42" x14ac:dyDescent="0.25">
      <c r="A1421">
        <v>708</v>
      </c>
      <c r="B1421">
        <v>4</v>
      </c>
      <c r="E1421" t="s">
        <v>4786</v>
      </c>
      <c r="F1421" t="b">
        <v>0</v>
      </c>
      <c r="I1421" t="s">
        <v>5894</v>
      </c>
      <c r="K1421" t="s">
        <v>4931</v>
      </c>
      <c r="L1421" t="s">
        <v>4914</v>
      </c>
      <c r="M1421" t="s">
        <v>4788</v>
      </c>
      <c r="N1421" t="s">
        <v>4788</v>
      </c>
      <c r="O1421">
        <v>1109.1600000000001</v>
      </c>
      <c r="Q1421">
        <v>0</v>
      </c>
      <c r="R1421">
        <v>0</v>
      </c>
      <c r="S1421">
        <v>1109.1600000000001</v>
      </c>
      <c r="T1421" t="s">
        <v>4789</v>
      </c>
      <c r="U1421">
        <v>1</v>
      </c>
      <c r="V1421">
        <v>1109.1600000000001</v>
      </c>
      <c r="W1421" t="s">
        <v>4343</v>
      </c>
      <c r="Y1421" t="b">
        <v>1</v>
      </c>
      <c r="Z1421" t="b">
        <v>0</v>
      </c>
      <c r="AA1421">
        <v>1109.1600000000001</v>
      </c>
      <c r="AB1421">
        <v>0</v>
      </c>
      <c r="AD1421" t="b">
        <v>0</v>
      </c>
      <c r="AG1421" s="1" t="s">
        <v>67</v>
      </c>
      <c r="AH1421" s="1" t="s">
        <v>327</v>
      </c>
      <c r="AI1421">
        <v>168</v>
      </c>
      <c r="AJ1421">
        <v>117</v>
      </c>
      <c r="AK1421" s="106">
        <v>45475.635488599539</v>
      </c>
      <c r="AL1421" s="1" t="s">
        <v>4790</v>
      </c>
      <c r="AM1421" s="42">
        <f>IFERROR(INDEX('Public procurment'!A:R,MATCH(ListOfExpenditure[[#This Row],[Content.contractId]],'Public procurment'!E:E,0),14),0)</f>
        <v>0</v>
      </c>
      <c r="AN1421" s="2">
        <f>IF(AND(ListOfExpenditure[[#This Row],[Contract amount]]&gt;10000,ListOfExpenditure[[#This Row],[Content.declaredAmount]]&gt;2000),1,0)</f>
        <v>0</v>
      </c>
      <c r="AO1421">
        <f>IFERROR(INDEX('Public procurment'!A:S,MATCH(ListOfExpenditure[[#This Row],[Content.contractId]],'Public procurment'!E:E,0),19),0)</f>
        <v>0</v>
      </c>
      <c r="AP1421">
        <f>IF(ListOfExpenditure[[#This Row],[Numero di volte controllato il contract ]]&gt;0,0,ListOfExpenditure[[#This Row],[IF public procurment &gt;10000;1;0]])</f>
        <v>0</v>
      </c>
    </row>
    <row r="1422" spans="1:42" x14ac:dyDescent="0.25">
      <c r="A1422">
        <v>709</v>
      </c>
      <c r="B1422">
        <v>5</v>
      </c>
      <c r="E1422" t="s">
        <v>4786</v>
      </c>
      <c r="F1422" t="b">
        <v>0</v>
      </c>
      <c r="I1422" t="s">
        <v>5895</v>
      </c>
      <c r="K1422" t="s">
        <v>4525</v>
      </c>
      <c r="L1422" t="s">
        <v>4413</v>
      </c>
      <c r="M1422" t="s">
        <v>4788</v>
      </c>
      <c r="N1422" t="s">
        <v>4788</v>
      </c>
      <c r="O1422">
        <v>1187.3</v>
      </c>
      <c r="Q1422">
        <v>0</v>
      </c>
      <c r="R1422">
        <v>0</v>
      </c>
      <c r="S1422">
        <v>1187.3</v>
      </c>
      <c r="T1422" t="s">
        <v>4789</v>
      </c>
      <c r="U1422">
        <v>1</v>
      </c>
      <c r="V1422">
        <v>1187.3</v>
      </c>
      <c r="W1422" t="s">
        <v>4343</v>
      </c>
      <c r="Y1422" t="b">
        <v>1</v>
      </c>
      <c r="Z1422" t="b">
        <v>0</v>
      </c>
      <c r="AA1422">
        <v>1187.3</v>
      </c>
      <c r="AB1422">
        <v>0</v>
      </c>
      <c r="AD1422" t="b">
        <v>0</v>
      </c>
      <c r="AG1422" s="1" t="s">
        <v>67</v>
      </c>
      <c r="AH1422" s="1" t="s">
        <v>327</v>
      </c>
      <c r="AI1422">
        <v>168</v>
      </c>
      <c r="AJ1422">
        <v>117</v>
      </c>
      <c r="AK1422" s="106">
        <v>45475.635488599539</v>
      </c>
      <c r="AL1422" s="1" t="s">
        <v>4790</v>
      </c>
      <c r="AM1422" s="42">
        <f>IFERROR(INDEX('Public procurment'!A:R,MATCH(ListOfExpenditure[[#This Row],[Content.contractId]],'Public procurment'!E:E,0),14),0)</f>
        <v>0</v>
      </c>
      <c r="AN1422" s="2">
        <f>IF(AND(ListOfExpenditure[[#This Row],[Contract amount]]&gt;10000,ListOfExpenditure[[#This Row],[Content.declaredAmount]]&gt;2000),1,0)</f>
        <v>0</v>
      </c>
      <c r="AO1422">
        <f>IFERROR(INDEX('Public procurment'!A:S,MATCH(ListOfExpenditure[[#This Row],[Content.contractId]],'Public procurment'!E:E,0),19),0)</f>
        <v>0</v>
      </c>
      <c r="AP1422">
        <f>IF(ListOfExpenditure[[#This Row],[Numero di volte controllato il contract ]]&gt;0,0,ListOfExpenditure[[#This Row],[IF public procurment &gt;10000;1;0]])</f>
        <v>0</v>
      </c>
    </row>
    <row r="1423" spans="1:42" x14ac:dyDescent="0.25">
      <c r="A1423">
        <v>826</v>
      </c>
      <c r="B1423">
        <v>6</v>
      </c>
      <c r="E1423" t="s">
        <v>4786</v>
      </c>
      <c r="F1423" t="b">
        <v>0</v>
      </c>
      <c r="I1423" t="s">
        <v>5896</v>
      </c>
      <c r="K1423" t="s">
        <v>4678</v>
      </c>
      <c r="L1423" t="s">
        <v>4835</v>
      </c>
      <c r="M1423" t="s">
        <v>4788</v>
      </c>
      <c r="N1423" t="s">
        <v>4788</v>
      </c>
      <c r="O1423">
        <v>252.88</v>
      </c>
      <c r="Q1423">
        <v>0</v>
      </c>
      <c r="R1423">
        <v>0</v>
      </c>
      <c r="S1423">
        <v>252.88</v>
      </c>
      <c r="T1423" t="s">
        <v>4789</v>
      </c>
      <c r="U1423">
        <v>1</v>
      </c>
      <c r="V1423">
        <v>252.88</v>
      </c>
      <c r="W1423" t="s">
        <v>4343</v>
      </c>
      <c r="Y1423" t="b">
        <v>1</v>
      </c>
      <c r="Z1423" t="b">
        <v>0</v>
      </c>
      <c r="AA1423">
        <v>252.88</v>
      </c>
      <c r="AB1423">
        <v>0</v>
      </c>
      <c r="AD1423" t="b">
        <v>0</v>
      </c>
      <c r="AG1423" s="1" t="s">
        <v>67</v>
      </c>
      <c r="AH1423" s="1" t="s">
        <v>327</v>
      </c>
      <c r="AI1423">
        <v>168</v>
      </c>
      <c r="AJ1423">
        <v>117</v>
      </c>
      <c r="AK1423" s="106">
        <v>45475.635488599539</v>
      </c>
      <c r="AL1423" s="1" t="s">
        <v>4790</v>
      </c>
      <c r="AM1423" s="42">
        <f>IFERROR(INDEX('Public procurment'!A:R,MATCH(ListOfExpenditure[[#This Row],[Content.contractId]],'Public procurment'!E:E,0),14),0)</f>
        <v>0</v>
      </c>
      <c r="AN1423" s="2">
        <f>IF(AND(ListOfExpenditure[[#This Row],[Contract amount]]&gt;10000,ListOfExpenditure[[#This Row],[Content.declaredAmount]]&gt;2000),1,0)</f>
        <v>0</v>
      </c>
      <c r="AO1423">
        <f>IFERROR(INDEX('Public procurment'!A:S,MATCH(ListOfExpenditure[[#This Row],[Content.contractId]],'Public procurment'!E:E,0),19),0)</f>
        <v>0</v>
      </c>
      <c r="AP1423">
        <f>IF(ListOfExpenditure[[#This Row],[Numero di volte controllato il contract ]]&gt;0,0,ListOfExpenditure[[#This Row],[IF public procurment &gt;10000;1;0]])</f>
        <v>0</v>
      </c>
    </row>
    <row r="1424" spans="1:42" x14ac:dyDescent="0.25">
      <c r="A1424">
        <v>827</v>
      </c>
      <c r="B1424">
        <v>7</v>
      </c>
      <c r="E1424" t="s">
        <v>4786</v>
      </c>
      <c r="F1424" t="b">
        <v>0</v>
      </c>
      <c r="I1424" t="s">
        <v>5897</v>
      </c>
      <c r="K1424" t="s">
        <v>4342</v>
      </c>
      <c r="L1424" t="s">
        <v>4831</v>
      </c>
      <c r="M1424" t="s">
        <v>4788</v>
      </c>
      <c r="N1424" t="s">
        <v>4788</v>
      </c>
      <c r="O1424">
        <v>263.18</v>
      </c>
      <c r="Q1424">
        <v>0</v>
      </c>
      <c r="R1424">
        <v>0</v>
      </c>
      <c r="S1424">
        <v>263.18</v>
      </c>
      <c r="T1424" t="s">
        <v>4789</v>
      </c>
      <c r="U1424">
        <v>1</v>
      </c>
      <c r="V1424">
        <v>263.18</v>
      </c>
      <c r="W1424" t="s">
        <v>4343</v>
      </c>
      <c r="Y1424" t="b">
        <v>1</v>
      </c>
      <c r="Z1424" t="b">
        <v>0</v>
      </c>
      <c r="AA1424">
        <v>263.18</v>
      </c>
      <c r="AB1424">
        <v>0</v>
      </c>
      <c r="AD1424" t="b">
        <v>0</v>
      </c>
      <c r="AG1424" s="1" t="s">
        <v>67</v>
      </c>
      <c r="AH1424" s="1" t="s">
        <v>327</v>
      </c>
      <c r="AI1424">
        <v>168</v>
      </c>
      <c r="AJ1424">
        <v>117</v>
      </c>
      <c r="AK1424" s="106">
        <v>45475.635488599539</v>
      </c>
      <c r="AL1424" s="1" t="s">
        <v>4790</v>
      </c>
      <c r="AM1424" s="42">
        <f>IFERROR(INDEX('Public procurment'!A:R,MATCH(ListOfExpenditure[[#This Row],[Content.contractId]],'Public procurment'!E:E,0),14),0)</f>
        <v>0</v>
      </c>
      <c r="AN1424" s="2">
        <f>IF(AND(ListOfExpenditure[[#This Row],[Contract amount]]&gt;10000,ListOfExpenditure[[#This Row],[Content.declaredAmount]]&gt;2000),1,0)</f>
        <v>0</v>
      </c>
      <c r="AO1424">
        <f>IFERROR(INDEX('Public procurment'!A:S,MATCH(ListOfExpenditure[[#This Row],[Content.contractId]],'Public procurment'!E:E,0),19),0)</f>
        <v>0</v>
      </c>
      <c r="AP1424">
        <f>IF(ListOfExpenditure[[#This Row],[Numero di volte controllato il contract ]]&gt;0,0,ListOfExpenditure[[#This Row],[IF public procurment &gt;10000;1;0]])</f>
        <v>0</v>
      </c>
    </row>
    <row r="1425" spans="1:42" x14ac:dyDescent="0.25">
      <c r="A1425">
        <v>828</v>
      </c>
      <c r="B1425">
        <v>8</v>
      </c>
      <c r="E1425" t="s">
        <v>4786</v>
      </c>
      <c r="F1425" t="b">
        <v>0</v>
      </c>
      <c r="I1425" t="s">
        <v>5898</v>
      </c>
      <c r="K1425" t="s">
        <v>4359</v>
      </c>
      <c r="L1425" t="s">
        <v>4957</v>
      </c>
      <c r="M1425" t="s">
        <v>4788</v>
      </c>
      <c r="N1425" t="s">
        <v>4788</v>
      </c>
      <c r="O1425">
        <v>263.05</v>
      </c>
      <c r="Q1425">
        <v>0</v>
      </c>
      <c r="R1425">
        <v>0</v>
      </c>
      <c r="S1425">
        <v>263.05</v>
      </c>
      <c r="T1425" t="s">
        <v>4789</v>
      </c>
      <c r="U1425">
        <v>1</v>
      </c>
      <c r="V1425">
        <v>263.05</v>
      </c>
      <c r="W1425" t="s">
        <v>4343</v>
      </c>
      <c r="Y1425" t="b">
        <v>1</v>
      </c>
      <c r="Z1425" t="b">
        <v>0</v>
      </c>
      <c r="AA1425">
        <v>263.05</v>
      </c>
      <c r="AB1425">
        <v>0</v>
      </c>
      <c r="AD1425" t="b">
        <v>0</v>
      </c>
      <c r="AG1425" s="1" t="s">
        <v>67</v>
      </c>
      <c r="AH1425" s="1" t="s">
        <v>327</v>
      </c>
      <c r="AI1425">
        <v>168</v>
      </c>
      <c r="AJ1425">
        <v>117</v>
      </c>
      <c r="AK1425" s="106">
        <v>45475.635488599539</v>
      </c>
      <c r="AL1425" s="1" t="s">
        <v>4790</v>
      </c>
      <c r="AM1425" s="42">
        <f>IFERROR(INDEX('Public procurment'!A:R,MATCH(ListOfExpenditure[[#This Row],[Content.contractId]],'Public procurment'!E:E,0),14),0)</f>
        <v>0</v>
      </c>
      <c r="AN1425" s="2">
        <f>IF(AND(ListOfExpenditure[[#This Row],[Contract amount]]&gt;10000,ListOfExpenditure[[#This Row],[Content.declaredAmount]]&gt;2000),1,0)</f>
        <v>0</v>
      </c>
      <c r="AO1425">
        <f>IFERROR(INDEX('Public procurment'!A:S,MATCH(ListOfExpenditure[[#This Row],[Content.contractId]],'Public procurment'!E:E,0),19),0)</f>
        <v>0</v>
      </c>
      <c r="AP1425">
        <f>IF(ListOfExpenditure[[#This Row],[Numero di volte controllato il contract ]]&gt;0,0,ListOfExpenditure[[#This Row],[IF public procurment &gt;10000;1;0]])</f>
        <v>0</v>
      </c>
    </row>
    <row r="1426" spans="1:42" x14ac:dyDescent="0.25">
      <c r="A1426">
        <v>829</v>
      </c>
      <c r="B1426">
        <v>9</v>
      </c>
      <c r="E1426" t="s">
        <v>4786</v>
      </c>
      <c r="F1426" t="b">
        <v>0</v>
      </c>
      <c r="I1426" t="s">
        <v>5899</v>
      </c>
      <c r="K1426" t="s">
        <v>4931</v>
      </c>
      <c r="L1426" t="s">
        <v>4914</v>
      </c>
      <c r="M1426" t="s">
        <v>4788</v>
      </c>
      <c r="N1426" t="s">
        <v>4788</v>
      </c>
      <c r="O1426">
        <v>257.91000000000003</v>
      </c>
      <c r="Q1426">
        <v>0</v>
      </c>
      <c r="R1426">
        <v>0</v>
      </c>
      <c r="S1426">
        <v>257.91000000000003</v>
      </c>
      <c r="T1426" t="s">
        <v>4789</v>
      </c>
      <c r="U1426">
        <v>1</v>
      </c>
      <c r="V1426">
        <v>257.91000000000003</v>
      </c>
      <c r="W1426" t="s">
        <v>4343</v>
      </c>
      <c r="Y1426" t="b">
        <v>1</v>
      </c>
      <c r="Z1426" t="b">
        <v>0</v>
      </c>
      <c r="AA1426">
        <v>257.91000000000003</v>
      </c>
      <c r="AB1426">
        <v>0</v>
      </c>
      <c r="AD1426" t="b">
        <v>0</v>
      </c>
      <c r="AG1426" s="1" t="s">
        <v>67</v>
      </c>
      <c r="AH1426" s="1" t="s">
        <v>327</v>
      </c>
      <c r="AI1426">
        <v>168</v>
      </c>
      <c r="AJ1426">
        <v>117</v>
      </c>
      <c r="AK1426" s="106">
        <v>45475.635488599539</v>
      </c>
      <c r="AL1426" s="1" t="s">
        <v>4790</v>
      </c>
      <c r="AM1426" s="42">
        <f>IFERROR(INDEX('Public procurment'!A:R,MATCH(ListOfExpenditure[[#This Row],[Content.contractId]],'Public procurment'!E:E,0),14),0)</f>
        <v>0</v>
      </c>
      <c r="AN1426" s="2">
        <f>IF(AND(ListOfExpenditure[[#This Row],[Contract amount]]&gt;10000,ListOfExpenditure[[#This Row],[Content.declaredAmount]]&gt;2000),1,0)</f>
        <v>0</v>
      </c>
      <c r="AO1426">
        <f>IFERROR(INDEX('Public procurment'!A:S,MATCH(ListOfExpenditure[[#This Row],[Content.contractId]],'Public procurment'!E:E,0),19),0)</f>
        <v>0</v>
      </c>
      <c r="AP1426">
        <f>IF(ListOfExpenditure[[#This Row],[Numero di volte controllato il contract ]]&gt;0,0,ListOfExpenditure[[#This Row],[IF public procurment &gt;10000;1;0]])</f>
        <v>0</v>
      </c>
    </row>
    <row r="1427" spans="1:42" x14ac:dyDescent="0.25">
      <c r="A1427">
        <v>830</v>
      </c>
      <c r="B1427">
        <v>10</v>
      </c>
      <c r="E1427" t="s">
        <v>4786</v>
      </c>
      <c r="F1427" t="b">
        <v>0</v>
      </c>
      <c r="I1427" t="s">
        <v>5900</v>
      </c>
      <c r="K1427" t="s">
        <v>4525</v>
      </c>
      <c r="L1427" t="s">
        <v>4959</v>
      </c>
      <c r="M1427" t="s">
        <v>4788</v>
      </c>
      <c r="N1427" t="s">
        <v>4788</v>
      </c>
      <c r="O1427">
        <v>268.89</v>
      </c>
      <c r="Q1427">
        <v>0</v>
      </c>
      <c r="R1427">
        <v>0</v>
      </c>
      <c r="S1427">
        <v>268.89</v>
      </c>
      <c r="T1427" t="s">
        <v>4789</v>
      </c>
      <c r="U1427">
        <v>1</v>
      </c>
      <c r="V1427">
        <v>268.89</v>
      </c>
      <c r="W1427" t="s">
        <v>4343</v>
      </c>
      <c r="Y1427" t="b">
        <v>1</v>
      </c>
      <c r="Z1427" t="b">
        <v>0</v>
      </c>
      <c r="AA1427">
        <v>266.12</v>
      </c>
      <c r="AB1427">
        <v>2.77</v>
      </c>
      <c r="AC1427">
        <v>14</v>
      </c>
      <c r="AD1427" t="b">
        <v>0</v>
      </c>
      <c r="AF1427" t="s">
        <v>5901</v>
      </c>
      <c r="AG1427" s="1" t="s">
        <v>67</v>
      </c>
      <c r="AH1427" s="1" t="s">
        <v>327</v>
      </c>
      <c r="AI1427">
        <v>168</v>
      </c>
      <c r="AJ1427">
        <v>117</v>
      </c>
      <c r="AK1427" s="106">
        <v>45475.635488599539</v>
      </c>
      <c r="AL1427" s="1" t="s">
        <v>4790</v>
      </c>
      <c r="AM1427" s="42">
        <f>IFERROR(INDEX('Public procurment'!A:R,MATCH(ListOfExpenditure[[#This Row],[Content.contractId]],'Public procurment'!E:E,0),14),0)</f>
        <v>0</v>
      </c>
      <c r="AN1427" s="2">
        <f>IF(AND(ListOfExpenditure[[#This Row],[Contract amount]]&gt;10000,ListOfExpenditure[[#This Row],[Content.declaredAmount]]&gt;2000),1,0)</f>
        <v>0</v>
      </c>
      <c r="AO1427">
        <f>IFERROR(INDEX('Public procurment'!A:S,MATCH(ListOfExpenditure[[#This Row],[Content.contractId]],'Public procurment'!E:E,0),19),0)</f>
        <v>0</v>
      </c>
      <c r="AP1427">
        <f>IF(ListOfExpenditure[[#This Row],[Numero di volte controllato il contract ]]&gt;0,0,ListOfExpenditure[[#This Row],[IF public procurment &gt;10000;1;0]])</f>
        <v>0</v>
      </c>
    </row>
    <row r="1428" spans="1:42" x14ac:dyDescent="0.25">
      <c r="A1428">
        <v>831</v>
      </c>
      <c r="B1428">
        <v>11</v>
      </c>
      <c r="E1428" t="s">
        <v>4786</v>
      </c>
      <c r="F1428" t="b">
        <v>0</v>
      </c>
      <c r="I1428" t="s">
        <v>5902</v>
      </c>
      <c r="K1428" t="s">
        <v>4678</v>
      </c>
      <c r="L1428" t="s">
        <v>4835</v>
      </c>
      <c r="M1428" t="s">
        <v>4788</v>
      </c>
      <c r="N1428" t="s">
        <v>4788</v>
      </c>
      <c r="O1428">
        <v>346.22</v>
      </c>
      <c r="Q1428">
        <v>0</v>
      </c>
      <c r="R1428">
        <v>0</v>
      </c>
      <c r="S1428">
        <v>346.22</v>
      </c>
      <c r="T1428" t="s">
        <v>4789</v>
      </c>
      <c r="U1428">
        <v>1</v>
      </c>
      <c r="V1428">
        <v>346.22</v>
      </c>
      <c r="W1428" t="s">
        <v>4343</v>
      </c>
      <c r="Y1428" t="b">
        <v>1</v>
      </c>
      <c r="Z1428" t="b">
        <v>0</v>
      </c>
      <c r="AA1428">
        <v>346.22</v>
      </c>
      <c r="AB1428">
        <v>0</v>
      </c>
      <c r="AD1428" t="b">
        <v>0</v>
      </c>
      <c r="AG1428" s="1" t="s">
        <v>67</v>
      </c>
      <c r="AH1428" s="1" t="s">
        <v>327</v>
      </c>
      <c r="AI1428">
        <v>168</v>
      </c>
      <c r="AJ1428">
        <v>117</v>
      </c>
      <c r="AK1428" s="106">
        <v>45475.635488599539</v>
      </c>
      <c r="AL1428" s="1" t="s">
        <v>4790</v>
      </c>
      <c r="AM1428" s="42">
        <f>IFERROR(INDEX('Public procurment'!A:R,MATCH(ListOfExpenditure[[#This Row],[Content.contractId]],'Public procurment'!E:E,0),14),0)</f>
        <v>0</v>
      </c>
      <c r="AN1428" s="2">
        <f>IF(AND(ListOfExpenditure[[#This Row],[Contract amount]]&gt;10000,ListOfExpenditure[[#This Row],[Content.declaredAmount]]&gt;2000),1,0)</f>
        <v>0</v>
      </c>
      <c r="AO1428">
        <f>IFERROR(INDEX('Public procurment'!A:S,MATCH(ListOfExpenditure[[#This Row],[Content.contractId]],'Public procurment'!E:E,0),19),0)</f>
        <v>0</v>
      </c>
      <c r="AP1428">
        <f>IF(ListOfExpenditure[[#This Row],[Numero di volte controllato il contract ]]&gt;0,0,ListOfExpenditure[[#This Row],[IF public procurment &gt;10000;1;0]])</f>
        <v>0</v>
      </c>
    </row>
    <row r="1429" spans="1:42" x14ac:dyDescent="0.25">
      <c r="A1429">
        <v>832</v>
      </c>
      <c r="B1429">
        <v>12</v>
      </c>
      <c r="E1429" t="s">
        <v>4786</v>
      </c>
      <c r="F1429" t="b">
        <v>0</v>
      </c>
      <c r="I1429" t="s">
        <v>5903</v>
      </c>
      <c r="K1429" t="s">
        <v>4342</v>
      </c>
      <c r="L1429" t="s">
        <v>4831</v>
      </c>
      <c r="M1429" t="s">
        <v>4788</v>
      </c>
      <c r="N1429" t="s">
        <v>4788</v>
      </c>
      <c r="O1429">
        <v>348.55</v>
      </c>
      <c r="Q1429">
        <v>0</v>
      </c>
      <c r="R1429">
        <v>0</v>
      </c>
      <c r="S1429">
        <v>348.55</v>
      </c>
      <c r="T1429" t="s">
        <v>4789</v>
      </c>
      <c r="U1429">
        <v>1</v>
      </c>
      <c r="V1429">
        <v>348.55</v>
      </c>
      <c r="W1429" t="s">
        <v>4343</v>
      </c>
      <c r="Y1429" t="b">
        <v>1</v>
      </c>
      <c r="Z1429" t="b">
        <v>0</v>
      </c>
      <c r="AA1429">
        <v>348.55</v>
      </c>
      <c r="AB1429">
        <v>0</v>
      </c>
      <c r="AD1429" t="b">
        <v>0</v>
      </c>
      <c r="AG1429" s="1" t="s">
        <v>67</v>
      </c>
      <c r="AH1429" s="1" t="s">
        <v>327</v>
      </c>
      <c r="AI1429">
        <v>168</v>
      </c>
      <c r="AJ1429">
        <v>117</v>
      </c>
      <c r="AK1429" s="106">
        <v>45475.635488599539</v>
      </c>
      <c r="AL1429" s="1" t="s">
        <v>4790</v>
      </c>
      <c r="AM1429" s="42">
        <f>IFERROR(INDEX('Public procurment'!A:R,MATCH(ListOfExpenditure[[#This Row],[Content.contractId]],'Public procurment'!E:E,0),14),0)</f>
        <v>0</v>
      </c>
      <c r="AN1429" s="2">
        <f>IF(AND(ListOfExpenditure[[#This Row],[Contract amount]]&gt;10000,ListOfExpenditure[[#This Row],[Content.declaredAmount]]&gt;2000),1,0)</f>
        <v>0</v>
      </c>
      <c r="AO1429">
        <f>IFERROR(INDEX('Public procurment'!A:S,MATCH(ListOfExpenditure[[#This Row],[Content.contractId]],'Public procurment'!E:E,0),19),0)</f>
        <v>0</v>
      </c>
      <c r="AP1429">
        <f>IF(ListOfExpenditure[[#This Row],[Numero di volte controllato il contract ]]&gt;0,0,ListOfExpenditure[[#This Row],[IF public procurment &gt;10000;1;0]])</f>
        <v>0</v>
      </c>
    </row>
    <row r="1430" spans="1:42" x14ac:dyDescent="0.25">
      <c r="A1430">
        <v>833</v>
      </c>
      <c r="B1430">
        <v>13</v>
      </c>
      <c r="E1430" t="s">
        <v>4786</v>
      </c>
      <c r="F1430" t="b">
        <v>0</v>
      </c>
      <c r="I1430" t="s">
        <v>5904</v>
      </c>
      <c r="K1430" t="s">
        <v>4359</v>
      </c>
      <c r="L1430" t="s">
        <v>4957</v>
      </c>
      <c r="M1430" t="s">
        <v>4788</v>
      </c>
      <c r="N1430" t="s">
        <v>4788</v>
      </c>
      <c r="O1430">
        <v>340.26</v>
      </c>
      <c r="Q1430">
        <v>0</v>
      </c>
      <c r="R1430">
        <v>0</v>
      </c>
      <c r="S1430">
        <v>340.26</v>
      </c>
      <c r="T1430" t="s">
        <v>4789</v>
      </c>
      <c r="U1430">
        <v>1</v>
      </c>
      <c r="V1430">
        <v>340.26</v>
      </c>
      <c r="W1430" t="s">
        <v>4343</v>
      </c>
      <c r="Y1430" t="b">
        <v>1</v>
      </c>
      <c r="Z1430" t="b">
        <v>0</v>
      </c>
      <c r="AA1430">
        <v>340.26</v>
      </c>
      <c r="AB1430">
        <v>0</v>
      </c>
      <c r="AD1430" t="b">
        <v>0</v>
      </c>
      <c r="AG1430" s="1" t="s">
        <v>67</v>
      </c>
      <c r="AH1430" s="1" t="s">
        <v>327</v>
      </c>
      <c r="AI1430">
        <v>168</v>
      </c>
      <c r="AJ1430">
        <v>117</v>
      </c>
      <c r="AK1430" s="106">
        <v>45475.635488599539</v>
      </c>
      <c r="AL1430" s="1" t="s">
        <v>4790</v>
      </c>
      <c r="AM1430" s="42">
        <f>IFERROR(INDEX('Public procurment'!A:R,MATCH(ListOfExpenditure[[#This Row],[Content.contractId]],'Public procurment'!E:E,0),14),0)</f>
        <v>0</v>
      </c>
      <c r="AN1430" s="2">
        <f>IF(AND(ListOfExpenditure[[#This Row],[Contract amount]]&gt;10000,ListOfExpenditure[[#This Row],[Content.declaredAmount]]&gt;2000),1,0)</f>
        <v>0</v>
      </c>
      <c r="AO1430">
        <f>IFERROR(INDEX('Public procurment'!A:S,MATCH(ListOfExpenditure[[#This Row],[Content.contractId]],'Public procurment'!E:E,0),19),0)</f>
        <v>0</v>
      </c>
      <c r="AP1430">
        <f>IF(ListOfExpenditure[[#This Row],[Numero di volte controllato il contract ]]&gt;0,0,ListOfExpenditure[[#This Row],[IF public procurment &gt;10000;1;0]])</f>
        <v>0</v>
      </c>
    </row>
    <row r="1431" spans="1:42" x14ac:dyDescent="0.25">
      <c r="A1431">
        <v>834</v>
      </c>
      <c r="B1431">
        <v>14</v>
      </c>
      <c r="E1431" t="s">
        <v>4786</v>
      </c>
      <c r="F1431" t="b">
        <v>0</v>
      </c>
      <c r="I1431" t="s">
        <v>5905</v>
      </c>
      <c r="K1431" t="s">
        <v>4931</v>
      </c>
      <c r="L1431" t="s">
        <v>4914</v>
      </c>
      <c r="M1431" t="s">
        <v>4788</v>
      </c>
      <c r="N1431" t="s">
        <v>4788</v>
      </c>
      <c r="O1431">
        <v>374.54</v>
      </c>
      <c r="Q1431">
        <v>0</v>
      </c>
      <c r="R1431">
        <v>0</v>
      </c>
      <c r="S1431">
        <v>374.54</v>
      </c>
      <c r="T1431" t="s">
        <v>4789</v>
      </c>
      <c r="U1431">
        <v>1</v>
      </c>
      <c r="V1431">
        <v>374.54</v>
      </c>
      <c r="W1431" t="s">
        <v>4343</v>
      </c>
      <c r="Y1431" t="b">
        <v>1</v>
      </c>
      <c r="Z1431" t="b">
        <v>0</v>
      </c>
      <c r="AA1431">
        <v>374.54</v>
      </c>
      <c r="AB1431">
        <v>0</v>
      </c>
      <c r="AD1431" t="b">
        <v>0</v>
      </c>
      <c r="AG1431" s="1" t="s">
        <v>67</v>
      </c>
      <c r="AH1431" s="1" t="s">
        <v>327</v>
      </c>
      <c r="AI1431">
        <v>168</v>
      </c>
      <c r="AJ1431">
        <v>117</v>
      </c>
      <c r="AK1431" s="106">
        <v>45475.635488599539</v>
      </c>
      <c r="AL1431" s="1" t="s">
        <v>4790</v>
      </c>
      <c r="AM1431" s="42">
        <f>IFERROR(INDEX('Public procurment'!A:R,MATCH(ListOfExpenditure[[#This Row],[Content.contractId]],'Public procurment'!E:E,0),14),0)</f>
        <v>0</v>
      </c>
      <c r="AN1431" s="2">
        <f>IF(AND(ListOfExpenditure[[#This Row],[Contract amount]]&gt;10000,ListOfExpenditure[[#This Row],[Content.declaredAmount]]&gt;2000),1,0)</f>
        <v>0</v>
      </c>
      <c r="AO1431">
        <f>IFERROR(INDEX('Public procurment'!A:S,MATCH(ListOfExpenditure[[#This Row],[Content.contractId]],'Public procurment'!E:E,0),19),0)</f>
        <v>0</v>
      </c>
      <c r="AP1431">
        <f>IF(ListOfExpenditure[[#This Row],[Numero di volte controllato il contract ]]&gt;0,0,ListOfExpenditure[[#This Row],[IF public procurment &gt;10000;1;0]])</f>
        <v>0</v>
      </c>
    </row>
    <row r="1432" spans="1:42" x14ac:dyDescent="0.25">
      <c r="A1432">
        <v>835</v>
      </c>
      <c r="B1432">
        <v>15</v>
      </c>
      <c r="E1432" t="s">
        <v>4786</v>
      </c>
      <c r="F1432" t="b">
        <v>0</v>
      </c>
      <c r="I1432" t="s">
        <v>5906</v>
      </c>
      <c r="K1432" t="s">
        <v>4525</v>
      </c>
      <c r="L1432" t="s">
        <v>4959</v>
      </c>
      <c r="M1432" t="s">
        <v>4788</v>
      </c>
      <c r="N1432" t="s">
        <v>4788</v>
      </c>
      <c r="O1432">
        <v>369.42</v>
      </c>
      <c r="Q1432">
        <v>0</v>
      </c>
      <c r="R1432">
        <v>0</v>
      </c>
      <c r="S1432">
        <v>369.42</v>
      </c>
      <c r="T1432" t="s">
        <v>4789</v>
      </c>
      <c r="U1432">
        <v>1</v>
      </c>
      <c r="V1432">
        <v>369.42</v>
      </c>
      <c r="W1432" t="s">
        <v>4343</v>
      </c>
      <c r="Y1432" t="b">
        <v>1</v>
      </c>
      <c r="Z1432" t="b">
        <v>0</v>
      </c>
      <c r="AA1432">
        <v>369.42</v>
      </c>
      <c r="AB1432">
        <v>0</v>
      </c>
      <c r="AD1432" t="b">
        <v>0</v>
      </c>
      <c r="AG1432" s="1" t="s">
        <v>67</v>
      </c>
      <c r="AH1432" s="1" t="s">
        <v>327</v>
      </c>
      <c r="AI1432">
        <v>168</v>
      </c>
      <c r="AJ1432">
        <v>117</v>
      </c>
      <c r="AK1432" s="106">
        <v>45475.635488599539</v>
      </c>
      <c r="AL1432" s="1" t="s">
        <v>4790</v>
      </c>
      <c r="AM1432" s="42">
        <f>IFERROR(INDEX('Public procurment'!A:R,MATCH(ListOfExpenditure[[#This Row],[Content.contractId]],'Public procurment'!E:E,0),14),0)</f>
        <v>0</v>
      </c>
      <c r="AN1432" s="2">
        <f>IF(AND(ListOfExpenditure[[#This Row],[Contract amount]]&gt;10000,ListOfExpenditure[[#This Row],[Content.declaredAmount]]&gt;2000),1,0)</f>
        <v>0</v>
      </c>
      <c r="AO1432">
        <f>IFERROR(INDEX('Public procurment'!A:S,MATCH(ListOfExpenditure[[#This Row],[Content.contractId]],'Public procurment'!E:E,0),19),0)</f>
        <v>0</v>
      </c>
      <c r="AP1432">
        <f>IF(ListOfExpenditure[[#This Row],[Numero di volte controllato il contract ]]&gt;0,0,ListOfExpenditure[[#This Row],[IF public procurment &gt;10000;1;0]])</f>
        <v>0</v>
      </c>
    </row>
    <row r="1433" spans="1:42" x14ac:dyDescent="0.25">
      <c r="A1433">
        <v>836</v>
      </c>
      <c r="B1433">
        <v>16</v>
      </c>
      <c r="E1433" t="s">
        <v>4786</v>
      </c>
      <c r="F1433" t="b">
        <v>0</v>
      </c>
      <c r="I1433" t="s">
        <v>5907</v>
      </c>
      <c r="K1433" t="s">
        <v>4678</v>
      </c>
      <c r="L1433" t="s">
        <v>4835</v>
      </c>
      <c r="M1433" t="s">
        <v>4788</v>
      </c>
      <c r="N1433" t="s">
        <v>4788</v>
      </c>
      <c r="O1433">
        <v>1338.18</v>
      </c>
      <c r="Q1433">
        <v>0</v>
      </c>
      <c r="R1433">
        <v>0</v>
      </c>
      <c r="S1433">
        <v>1338.18</v>
      </c>
      <c r="T1433" t="s">
        <v>4789</v>
      </c>
      <c r="U1433">
        <v>1</v>
      </c>
      <c r="V1433">
        <v>1338.18</v>
      </c>
      <c r="W1433" t="s">
        <v>4343</v>
      </c>
      <c r="Y1433" t="b">
        <v>1</v>
      </c>
      <c r="Z1433" t="b">
        <v>0</v>
      </c>
      <c r="AA1433">
        <v>1338.18</v>
      </c>
      <c r="AB1433">
        <v>0</v>
      </c>
      <c r="AD1433" t="b">
        <v>0</v>
      </c>
      <c r="AG1433" s="1" t="s">
        <v>67</v>
      </c>
      <c r="AH1433" s="1" t="s">
        <v>327</v>
      </c>
      <c r="AI1433">
        <v>168</v>
      </c>
      <c r="AJ1433">
        <v>117</v>
      </c>
      <c r="AK1433" s="106">
        <v>45475.635488599539</v>
      </c>
      <c r="AL1433" s="1" t="s">
        <v>4790</v>
      </c>
      <c r="AM1433" s="42">
        <f>IFERROR(INDEX('Public procurment'!A:R,MATCH(ListOfExpenditure[[#This Row],[Content.contractId]],'Public procurment'!E:E,0),14),0)</f>
        <v>0</v>
      </c>
      <c r="AN1433" s="2">
        <f>IF(AND(ListOfExpenditure[[#This Row],[Contract amount]]&gt;10000,ListOfExpenditure[[#This Row],[Content.declaredAmount]]&gt;2000),1,0)</f>
        <v>0</v>
      </c>
      <c r="AO1433">
        <f>IFERROR(INDEX('Public procurment'!A:S,MATCH(ListOfExpenditure[[#This Row],[Content.contractId]],'Public procurment'!E:E,0),19),0)</f>
        <v>0</v>
      </c>
      <c r="AP1433">
        <f>IF(ListOfExpenditure[[#This Row],[Numero di volte controllato il contract ]]&gt;0,0,ListOfExpenditure[[#This Row],[IF public procurment &gt;10000;1;0]])</f>
        <v>0</v>
      </c>
    </row>
    <row r="1434" spans="1:42" x14ac:dyDescent="0.25">
      <c r="A1434">
        <v>837</v>
      </c>
      <c r="B1434">
        <v>17</v>
      </c>
      <c r="E1434" t="s">
        <v>4786</v>
      </c>
      <c r="F1434" t="b">
        <v>0</v>
      </c>
      <c r="I1434" t="s">
        <v>5908</v>
      </c>
      <c r="K1434" t="s">
        <v>4342</v>
      </c>
      <c r="L1434" t="s">
        <v>4831</v>
      </c>
      <c r="M1434" t="s">
        <v>4788</v>
      </c>
      <c r="N1434" t="s">
        <v>4788</v>
      </c>
      <c r="O1434">
        <v>1310.25</v>
      </c>
      <c r="Q1434">
        <v>0</v>
      </c>
      <c r="R1434">
        <v>0</v>
      </c>
      <c r="S1434">
        <v>1310.25</v>
      </c>
      <c r="T1434" t="s">
        <v>4789</v>
      </c>
      <c r="U1434">
        <v>1</v>
      </c>
      <c r="V1434">
        <v>1310.25</v>
      </c>
      <c r="W1434" t="s">
        <v>4343</v>
      </c>
      <c r="Y1434" t="b">
        <v>1</v>
      </c>
      <c r="Z1434" t="b">
        <v>0</v>
      </c>
      <c r="AA1434">
        <v>1310.25</v>
      </c>
      <c r="AB1434">
        <v>0</v>
      </c>
      <c r="AD1434" t="b">
        <v>0</v>
      </c>
      <c r="AG1434" s="1" t="s">
        <v>67</v>
      </c>
      <c r="AH1434" s="1" t="s">
        <v>327</v>
      </c>
      <c r="AI1434">
        <v>168</v>
      </c>
      <c r="AJ1434">
        <v>117</v>
      </c>
      <c r="AK1434" s="106">
        <v>45475.635488599539</v>
      </c>
      <c r="AL1434" s="1" t="s">
        <v>4790</v>
      </c>
      <c r="AM1434" s="42">
        <f>IFERROR(INDEX('Public procurment'!A:R,MATCH(ListOfExpenditure[[#This Row],[Content.contractId]],'Public procurment'!E:E,0),14),0)</f>
        <v>0</v>
      </c>
      <c r="AN1434" s="2">
        <f>IF(AND(ListOfExpenditure[[#This Row],[Contract amount]]&gt;10000,ListOfExpenditure[[#This Row],[Content.declaredAmount]]&gt;2000),1,0)</f>
        <v>0</v>
      </c>
      <c r="AO1434">
        <f>IFERROR(INDEX('Public procurment'!A:S,MATCH(ListOfExpenditure[[#This Row],[Content.contractId]],'Public procurment'!E:E,0),19),0)</f>
        <v>0</v>
      </c>
      <c r="AP1434">
        <f>IF(ListOfExpenditure[[#This Row],[Numero di volte controllato il contract ]]&gt;0,0,ListOfExpenditure[[#This Row],[IF public procurment &gt;10000;1;0]])</f>
        <v>0</v>
      </c>
    </row>
    <row r="1435" spans="1:42" x14ac:dyDescent="0.25">
      <c r="A1435">
        <v>838</v>
      </c>
      <c r="B1435">
        <v>18</v>
      </c>
      <c r="E1435" t="s">
        <v>4786</v>
      </c>
      <c r="F1435" t="b">
        <v>0</v>
      </c>
      <c r="I1435" t="s">
        <v>5909</v>
      </c>
      <c r="K1435" t="s">
        <v>4359</v>
      </c>
      <c r="L1435" t="s">
        <v>4957</v>
      </c>
      <c r="M1435" t="s">
        <v>4788</v>
      </c>
      <c r="N1435" t="s">
        <v>4788</v>
      </c>
      <c r="O1435">
        <v>1336.5</v>
      </c>
      <c r="Q1435">
        <v>0</v>
      </c>
      <c r="R1435">
        <v>0</v>
      </c>
      <c r="S1435">
        <v>1336.5</v>
      </c>
      <c r="T1435" t="s">
        <v>4789</v>
      </c>
      <c r="U1435">
        <v>1</v>
      </c>
      <c r="V1435">
        <v>1336.5</v>
      </c>
      <c r="W1435" t="s">
        <v>4343</v>
      </c>
      <c r="Y1435" t="b">
        <v>1</v>
      </c>
      <c r="Z1435" t="b">
        <v>0</v>
      </c>
      <c r="AA1435">
        <v>1336.5</v>
      </c>
      <c r="AB1435">
        <v>0</v>
      </c>
      <c r="AD1435" t="b">
        <v>0</v>
      </c>
      <c r="AG1435" s="1" t="s">
        <v>67</v>
      </c>
      <c r="AH1435" s="1" t="s">
        <v>327</v>
      </c>
      <c r="AI1435">
        <v>168</v>
      </c>
      <c r="AJ1435">
        <v>117</v>
      </c>
      <c r="AK1435" s="106">
        <v>45475.635488599539</v>
      </c>
      <c r="AL1435" s="1" t="s">
        <v>4790</v>
      </c>
      <c r="AM1435" s="42">
        <f>IFERROR(INDEX('Public procurment'!A:R,MATCH(ListOfExpenditure[[#This Row],[Content.contractId]],'Public procurment'!E:E,0),14),0)</f>
        <v>0</v>
      </c>
      <c r="AN1435" s="2">
        <f>IF(AND(ListOfExpenditure[[#This Row],[Contract amount]]&gt;10000,ListOfExpenditure[[#This Row],[Content.declaredAmount]]&gt;2000),1,0)</f>
        <v>0</v>
      </c>
      <c r="AO1435">
        <f>IFERROR(INDEX('Public procurment'!A:S,MATCH(ListOfExpenditure[[#This Row],[Content.contractId]],'Public procurment'!E:E,0),19),0)</f>
        <v>0</v>
      </c>
      <c r="AP1435">
        <f>IF(ListOfExpenditure[[#This Row],[Numero di volte controllato il contract ]]&gt;0,0,ListOfExpenditure[[#This Row],[IF public procurment &gt;10000;1;0]])</f>
        <v>0</v>
      </c>
    </row>
    <row r="1436" spans="1:42" x14ac:dyDescent="0.25">
      <c r="A1436">
        <v>839</v>
      </c>
      <c r="B1436">
        <v>19</v>
      </c>
      <c r="E1436" t="s">
        <v>4786</v>
      </c>
      <c r="F1436" t="b">
        <v>0</v>
      </c>
      <c r="I1436" t="s">
        <v>5910</v>
      </c>
      <c r="K1436" t="s">
        <v>4931</v>
      </c>
      <c r="L1436" t="s">
        <v>4914</v>
      </c>
      <c r="M1436" t="s">
        <v>4788</v>
      </c>
      <c r="N1436" t="s">
        <v>4788</v>
      </c>
      <c r="O1436">
        <v>1344.04</v>
      </c>
      <c r="Q1436">
        <v>0</v>
      </c>
      <c r="R1436">
        <v>0</v>
      </c>
      <c r="S1436">
        <v>1344.04</v>
      </c>
      <c r="T1436" t="s">
        <v>4789</v>
      </c>
      <c r="U1436">
        <v>1</v>
      </c>
      <c r="V1436">
        <v>1344.04</v>
      </c>
      <c r="W1436" t="s">
        <v>4343</v>
      </c>
      <c r="Y1436" t="b">
        <v>1</v>
      </c>
      <c r="Z1436" t="b">
        <v>0</v>
      </c>
      <c r="AA1436">
        <v>1344.04</v>
      </c>
      <c r="AB1436">
        <v>0</v>
      </c>
      <c r="AD1436" t="b">
        <v>0</v>
      </c>
      <c r="AG1436" s="1" t="s">
        <v>67</v>
      </c>
      <c r="AH1436" s="1" t="s">
        <v>327</v>
      </c>
      <c r="AI1436">
        <v>168</v>
      </c>
      <c r="AJ1436">
        <v>117</v>
      </c>
      <c r="AK1436" s="106">
        <v>45475.635488599539</v>
      </c>
      <c r="AL1436" s="1" t="s">
        <v>4790</v>
      </c>
      <c r="AM1436" s="42">
        <f>IFERROR(INDEX('Public procurment'!A:R,MATCH(ListOfExpenditure[[#This Row],[Content.contractId]],'Public procurment'!E:E,0),14),0)</f>
        <v>0</v>
      </c>
      <c r="AN1436" s="2">
        <f>IF(AND(ListOfExpenditure[[#This Row],[Contract amount]]&gt;10000,ListOfExpenditure[[#This Row],[Content.declaredAmount]]&gt;2000),1,0)</f>
        <v>0</v>
      </c>
      <c r="AO1436">
        <f>IFERROR(INDEX('Public procurment'!A:S,MATCH(ListOfExpenditure[[#This Row],[Content.contractId]],'Public procurment'!E:E,0),19),0)</f>
        <v>0</v>
      </c>
      <c r="AP1436">
        <f>IF(ListOfExpenditure[[#This Row],[Numero di volte controllato il contract ]]&gt;0,0,ListOfExpenditure[[#This Row],[IF public procurment &gt;10000;1;0]])</f>
        <v>0</v>
      </c>
    </row>
    <row r="1437" spans="1:42" x14ac:dyDescent="0.25">
      <c r="A1437">
        <v>840</v>
      </c>
      <c r="B1437">
        <v>20</v>
      </c>
      <c r="E1437" t="s">
        <v>4786</v>
      </c>
      <c r="F1437" t="b">
        <v>0</v>
      </c>
      <c r="I1437" t="s">
        <v>5911</v>
      </c>
      <c r="K1437" t="s">
        <v>4525</v>
      </c>
      <c r="L1437" t="s">
        <v>4959</v>
      </c>
      <c r="M1437" t="s">
        <v>4788</v>
      </c>
      <c r="N1437" t="s">
        <v>4788</v>
      </c>
      <c r="O1437">
        <v>1477.86</v>
      </c>
      <c r="Q1437">
        <v>0</v>
      </c>
      <c r="R1437">
        <v>0</v>
      </c>
      <c r="S1437">
        <v>1477.86</v>
      </c>
      <c r="T1437" t="s">
        <v>4789</v>
      </c>
      <c r="U1437">
        <v>1</v>
      </c>
      <c r="V1437">
        <v>1477.86</v>
      </c>
      <c r="W1437" t="s">
        <v>4343</v>
      </c>
      <c r="Y1437" t="b">
        <v>1</v>
      </c>
      <c r="Z1437" t="b">
        <v>0</v>
      </c>
      <c r="AA1437">
        <v>1477.86</v>
      </c>
      <c r="AB1437">
        <v>0</v>
      </c>
      <c r="AD1437" t="b">
        <v>0</v>
      </c>
      <c r="AG1437" s="1" t="s">
        <v>67</v>
      </c>
      <c r="AH1437" s="1" t="s">
        <v>327</v>
      </c>
      <c r="AI1437">
        <v>168</v>
      </c>
      <c r="AJ1437">
        <v>117</v>
      </c>
      <c r="AK1437" s="106">
        <v>45475.635488599539</v>
      </c>
      <c r="AL1437" s="1" t="s">
        <v>4790</v>
      </c>
      <c r="AM1437" s="42">
        <f>IFERROR(INDEX('Public procurment'!A:R,MATCH(ListOfExpenditure[[#This Row],[Content.contractId]],'Public procurment'!E:E,0),14),0)</f>
        <v>0</v>
      </c>
      <c r="AN1437" s="2">
        <f>IF(AND(ListOfExpenditure[[#This Row],[Contract amount]]&gt;10000,ListOfExpenditure[[#This Row],[Content.declaredAmount]]&gt;2000),1,0)</f>
        <v>0</v>
      </c>
      <c r="AO1437">
        <f>IFERROR(INDEX('Public procurment'!A:S,MATCH(ListOfExpenditure[[#This Row],[Content.contractId]],'Public procurment'!E:E,0),19),0)</f>
        <v>0</v>
      </c>
      <c r="AP1437">
        <f>IF(ListOfExpenditure[[#This Row],[Numero di volte controllato il contract ]]&gt;0,0,ListOfExpenditure[[#This Row],[IF public procurment &gt;10000;1;0]])</f>
        <v>0</v>
      </c>
    </row>
    <row r="1438" spans="1:42" x14ac:dyDescent="0.25">
      <c r="A1438">
        <v>2128</v>
      </c>
      <c r="B1438">
        <v>1</v>
      </c>
      <c r="E1438" t="s">
        <v>4798</v>
      </c>
      <c r="F1438" t="b">
        <v>0</v>
      </c>
      <c r="I1438" t="s">
        <v>212</v>
      </c>
      <c r="J1438" t="s">
        <v>212</v>
      </c>
      <c r="M1438" t="s">
        <v>4788</v>
      </c>
      <c r="N1438" t="s">
        <v>4788</v>
      </c>
      <c r="O1438">
        <v>0</v>
      </c>
      <c r="P1438">
        <v>0</v>
      </c>
      <c r="Q1438">
        <v>0</v>
      </c>
      <c r="R1438">
        <v>0</v>
      </c>
      <c r="S1438">
        <v>0</v>
      </c>
      <c r="T1438" t="s">
        <v>4789</v>
      </c>
      <c r="U1438">
        <v>1</v>
      </c>
      <c r="V1438">
        <v>0</v>
      </c>
      <c r="Y1438" t="b">
        <v>0</v>
      </c>
      <c r="Z1438" t="b">
        <v>0</v>
      </c>
      <c r="AA1438">
        <v>0</v>
      </c>
      <c r="AB1438">
        <v>0</v>
      </c>
      <c r="AD1438" t="b">
        <v>0</v>
      </c>
      <c r="AG1438" s="1" t="s">
        <v>66</v>
      </c>
      <c r="AH1438" s="1" t="s">
        <v>371</v>
      </c>
      <c r="AI1438">
        <v>262</v>
      </c>
      <c r="AJ1438">
        <v>302</v>
      </c>
      <c r="AK1438" s="106">
        <v>45475.635554988425</v>
      </c>
      <c r="AL1438" s="1" t="s">
        <v>4790</v>
      </c>
      <c r="AM1438" s="42">
        <f>IFERROR(INDEX('Public procurment'!A:R,MATCH(ListOfExpenditure[[#This Row],[Content.contractId]],'Public procurment'!E:E,0),14),0)</f>
        <v>0</v>
      </c>
      <c r="AN1438" s="2">
        <f>IF(AND(ListOfExpenditure[[#This Row],[Contract amount]]&gt;10000,ListOfExpenditure[[#This Row],[Content.declaredAmount]]&gt;2000),1,0)</f>
        <v>0</v>
      </c>
      <c r="AO1438">
        <f>IFERROR(INDEX('Public procurment'!A:S,MATCH(ListOfExpenditure[[#This Row],[Content.contractId]],'Public procurment'!E:E,0),19),0)</f>
        <v>0</v>
      </c>
      <c r="AP1438">
        <f>IF(ListOfExpenditure[[#This Row],[Numero di volte controllato il contract ]]&gt;0,0,ListOfExpenditure[[#This Row],[IF public procurment &gt;10000;1;0]])</f>
        <v>0</v>
      </c>
    </row>
    <row r="1439" spans="1:42" x14ac:dyDescent="0.25">
      <c r="A1439">
        <v>495</v>
      </c>
      <c r="B1439">
        <v>1</v>
      </c>
      <c r="E1439" t="s">
        <v>4786</v>
      </c>
      <c r="F1439" t="b">
        <v>0</v>
      </c>
      <c r="I1439" t="s">
        <v>5912</v>
      </c>
      <c r="K1439" t="s">
        <v>5027</v>
      </c>
      <c r="L1439" t="s">
        <v>4686</v>
      </c>
      <c r="M1439" t="s">
        <v>4788</v>
      </c>
      <c r="N1439" t="s">
        <v>4788</v>
      </c>
      <c r="O1439">
        <v>13416.56</v>
      </c>
      <c r="Q1439">
        <v>0</v>
      </c>
      <c r="R1439">
        <v>0</v>
      </c>
      <c r="S1439">
        <v>4024.97</v>
      </c>
      <c r="T1439" t="s">
        <v>4789</v>
      </c>
      <c r="U1439">
        <v>1</v>
      </c>
      <c r="V1439">
        <v>4024.97</v>
      </c>
      <c r="W1439" t="s">
        <v>4343</v>
      </c>
      <c r="Y1439" t="b">
        <v>1</v>
      </c>
      <c r="Z1439" t="b">
        <v>0</v>
      </c>
      <c r="AA1439">
        <v>3897.47</v>
      </c>
      <c r="AB1439">
        <v>127.5</v>
      </c>
      <c r="AC1439">
        <v>14</v>
      </c>
      <c r="AD1439" t="b">
        <v>0</v>
      </c>
      <c r="AF1439" t="s">
        <v>5913</v>
      </c>
      <c r="AG1439" s="1" t="s">
        <v>66</v>
      </c>
      <c r="AH1439" s="1" t="s">
        <v>55</v>
      </c>
      <c r="AI1439">
        <v>259</v>
      </c>
      <c r="AJ1439">
        <v>100</v>
      </c>
      <c r="AK1439" s="106">
        <v>45475.635476435185</v>
      </c>
      <c r="AL1439" s="1" t="s">
        <v>4790</v>
      </c>
      <c r="AM1439" s="42">
        <f>IFERROR(INDEX('Public procurment'!A:R,MATCH(ListOfExpenditure[[#This Row],[Content.contractId]],'Public procurment'!E:E,0),14),0)</f>
        <v>0</v>
      </c>
      <c r="AN1439" s="2">
        <f>IF(AND(ListOfExpenditure[[#This Row],[Contract amount]]&gt;10000,ListOfExpenditure[[#This Row],[Content.declaredAmount]]&gt;2000),1,0)</f>
        <v>0</v>
      </c>
      <c r="AO1439">
        <f>IFERROR(INDEX('Public procurment'!A:S,MATCH(ListOfExpenditure[[#This Row],[Content.contractId]],'Public procurment'!E:E,0),19),0)</f>
        <v>0</v>
      </c>
      <c r="AP1439">
        <f>IF(ListOfExpenditure[[#This Row],[Numero di volte controllato il contract ]]&gt;0,0,ListOfExpenditure[[#This Row],[IF public procurment &gt;10000;1;0]])</f>
        <v>0</v>
      </c>
    </row>
    <row r="1440" spans="1:42" x14ac:dyDescent="0.25">
      <c r="A1440">
        <v>496</v>
      </c>
      <c r="B1440">
        <v>2</v>
      </c>
      <c r="E1440" t="s">
        <v>4786</v>
      </c>
      <c r="F1440" t="b">
        <v>0</v>
      </c>
      <c r="I1440" t="s">
        <v>5914</v>
      </c>
      <c r="K1440" t="s">
        <v>5027</v>
      </c>
      <c r="L1440" t="s">
        <v>4686</v>
      </c>
      <c r="M1440" t="s">
        <v>4788</v>
      </c>
      <c r="N1440" t="s">
        <v>4788</v>
      </c>
      <c r="O1440">
        <v>11245.24</v>
      </c>
      <c r="Q1440">
        <v>0</v>
      </c>
      <c r="R1440">
        <v>0</v>
      </c>
      <c r="S1440">
        <v>4498.1000000000004</v>
      </c>
      <c r="T1440" t="s">
        <v>4789</v>
      </c>
      <c r="U1440">
        <v>1</v>
      </c>
      <c r="V1440">
        <v>4498.1000000000004</v>
      </c>
      <c r="W1440" t="s">
        <v>4343</v>
      </c>
      <c r="Y1440" t="b">
        <v>1</v>
      </c>
      <c r="Z1440" t="b">
        <v>0</v>
      </c>
      <c r="AA1440">
        <v>4328.09</v>
      </c>
      <c r="AB1440">
        <v>170.01</v>
      </c>
      <c r="AC1440">
        <v>14</v>
      </c>
      <c r="AD1440" t="b">
        <v>0</v>
      </c>
      <c r="AF1440" t="s">
        <v>5913</v>
      </c>
      <c r="AG1440" s="1" t="s">
        <v>66</v>
      </c>
      <c r="AH1440" s="1" t="s">
        <v>55</v>
      </c>
      <c r="AI1440">
        <v>259</v>
      </c>
      <c r="AJ1440">
        <v>100</v>
      </c>
      <c r="AK1440" s="106">
        <v>45475.635476435185</v>
      </c>
      <c r="AL1440" s="1" t="s">
        <v>4790</v>
      </c>
      <c r="AM1440" s="42">
        <f>IFERROR(INDEX('Public procurment'!A:R,MATCH(ListOfExpenditure[[#This Row],[Content.contractId]],'Public procurment'!E:E,0),14),0)</f>
        <v>0</v>
      </c>
      <c r="AN1440" s="2">
        <f>IF(AND(ListOfExpenditure[[#This Row],[Contract amount]]&gt;10000,ListOfExpenditure[[#This Row],[Content.declaredAmount]]&gt;2000),1,0)</f>
        <v>0</v>
      </c>
      <c r="AO1440">
        <f>IFERROR(INDEX('Public procurment'!A:S,MATCH(ListOfExpenditure[[#This Row],[Content.contractId]],'Public procurment'!E:E,0),19),0)</f>
        <v>0</v>
      </c>
      <c r="AP1440">
        <f>IF(ListOfExpenditure[[#This Row],[Numero di volte controllato il contract ]]&gt;0,0,ListOfExpenditure[[#This Row],[IF public procurment &gt;10000;1;0]])</f>
        <v>0</v>
      </c>
    </row>
    <row r="1441" spans="1:42" x14ac:dyDescent="0.25">
      <c r="A1441">
        <v>564</v>
      </c>
      <c r="B1441">
        <v>3</v>
      </c>
      <c r="E1441" t="s">
        <v>4786</v>
      </c>
      <c r="F1441" t="b">
        <v>0</v>
      </c>
      <c r="I1441" t="s">
        <v>5915</v>
      </c>
      <c r="K1441" t="s">
        <v>5027</v>
      </c>
      <c r="L1441" t="s">
        <v>4686</v>
      </c>
      <c r="M1441" t="s">
        <v>4788</v>
      </c>
      <c r="N1441" t="s">
        <v>4788</v>
      </c>
      <c r="O1441">
        <v>10530.47</v>
      </c>
      <c r="Q1441">
        <v>0</v>
      </c>
      <c r="R1441">
        <v>0</v>
      </c>
      <c r="S1441">
        <v>4212.1899999999996</v>
      </c>
      <c r="T1441" t="s">
        <v>4789</v>
      </c>
      <c r="U1441">
        <v>1</v>
      </c>
      <c r="V1441">
        <v>4212.1899999999996</v>
      </c>
      <c r="W1441" t="s">
        <v>4343</v>
      </c>
      <c r="Y1441" t="b">
        <v>1</v>
      </c>
      <c r="Z1441" t="b">
        <v>0</v>
      </c>
      <c r="AA1441">
        <v>4042.19</v>
      </c>
      <c r="AB1441">
        <v>170</v>
      </c>
      <c r="AC1441">
        <v>14</v>
      </c>
      <c r="AD1441" t="b">
        <v>0</v>
      </c>
      <c r="AF1441" t="s">
        <v>5913</v>
      </c>
      <c r="AG1441" s="1" t="s">
        <v>66</v>
      </c>
      <c r="AH1441" s="1" t="s">
        <v>55</v>
      </c>
      <c r="AI1441">
        <v>259</v>
      </c>
      <c r="AJ1441">
        <v>100</v>
      </c>
      <c r="AK1441" s="106">
        <v>45475.635476435185</v>
      </c>
      <c r="AL1441" s="1" t="s">
        <v>4790</v>
      </c>
      <c r="AM1441" s="42">
        <f>IFERROR(INDEX('Public procurment'!A:R,MATCH(ListOfExpenditure[[#This Row],[Content.contractId]],'Public procurment'!E:E,0),14),0)</f>
        <v>0</v>
      </c>
      <c r="AN1441" s="2">
        <f>IF(AND(ListOfExpenditure[[#This Row],[Contract amount]]&gt;10000,ListOfExpenditure[[#This Row],[Content.declaredAmount]]&gt;2000),1,0)</f>
        <v>0</v>
      </c>
      <c r="AO1441">
        <f>IFERROR(INDEX('Public procurment'!A:S,MATCH(ListOfExpenditure[[#This Row],[Content.contractId]],'Public procurment'!E:E,0),19),0)</f>
        <v>0</v>
      </c>
      <c r="AP1441">
        <f>IF(ListOfExpenditure[[#This Row],[Numero di volte controllato il contract ]]&gt;0,0,ListOfExpenditure[[#This Row],[IF public procurment &gt;10000;1;0]])</f>
        <v>0</v>
      </c>
    </row>
    <row r="1442" spans="1:42" x14ac:dyDescent="0.25">
      <c r="A1442">
        <v>565</v>
      </c>
      <c r="B1442">
        <v>4</v>
      </c>
      <c r="E1442" t="s">
        <v>4786</v>
      </c>
      <c r="F1442" t="b">
        <v>0</v>
      </c>
      <c r="I1442" t="s">
        <v>5916</v>
      </c>
      <c r="K1442" t="s">
        <v>5027</v>
      </c>
      <c r="L1442" t="s">
        <v>4686</v>
      </c>
      <c r="M1442" t="s">
        <v>4788</v>
      </c>
      <c r="N1442" t="s">
        <v>4788</v>
      </c>
      <c r="O1442">
        <v>10847.87</v>
      </c>
      <c r="Q1442">
        <v>0</v>
      </c>
      <c r="R1442">
        <v>0</v>
      </c>
      <c r="S1442">
        <v>5423.94</v>
      </c>
      <c r="T1442" t="s">
        <v>4789</v>
      </c>
      <c r="U1442">
        <v>1</v>
      </c>
      <c r="V1442">
        <v>5423.94</v>
      </c>
      <c r="W1442" t="s">
        <v>4343</v>
      </c>
      <c r="Y1442" t="b">
        <v>1</v>
      </c>
      <c r="Z1442" t="b">
        <v>0</v>
      </c>
      <c r="AA1442">
        <v>5211.42</v>
      </c>
      <c r="AB1442">
        <v>212.52</v>
      </c>
      <c r="AC1442">
        <v>14</v>
      </c>
      <c r="AD1442" t="b">
        <v>0</v>
      </c>
      <c r="AF1442" t="s">
        <v>5913</v>
      </c>
      <c r="AG1442" s="1" t="s">
        <v>66</v>
      </c>
      <c r="AH1442" s="1" t="s">
        <v>55</v>
      </c>
      <c r="AI1442">
        <v>259</v>
      </c>
      <c r="AJ1442">
        <v>100</v>
      </c>
      <c r="AK1442" s="106">
        <v>45475.635476435185</v>
      </c>
      <c r="AL1442" s="1" t="s">
        <v>4790</v>
      </c>
      <c r="AM1442" s="42">
        <f>IFERROR(INDEX('Public procurment'!A:R,MATCH(ListOfExpenditure[[#This Row],[Content.contractId]],'Public procurment'!E:E,0),14),0)</f>
        <v>0</v>
      </c>
      <c r="AN1442" s="2">
        <f>IF(AND(ListOfExpenditure[[#This Row],[Contract amount]]&gt;10000,ListOfExpenditure[[#This Row],[Content.declaredAmount]]&gt;2000),1,0)</f>
        <v>0</v>
      </c>
      <c r="AO1442">
        <f>IFERROR(INDEX('Public procurment'!A:S,MATCH(ListOfExpenditure[[#This Row],[Content.contractId]],'Public procurment'!E:E,0),19),0)</f>
        <v>0</v>
      </c>
      <c r="AP1442">
        <f>IF(ListOfExpenditure[[#This Row],[Numero di volte controllato il contract ]]&gt;0,0,ListOfExpenditure[[#This Row],[IF public procurment &gt;10000;1;0]])</f>
        <v>0</v>
      </c>
    </row>
    <row r="1443" spans="1:42" x14ac:dyDescent="0.25">
      <c r="A1443">
        <v>566</v>
      </c>
      <c r="B1443">
        <v>5</v>
      </c>
      <c r="E1443" t="s">
        <v>4786</v>
      </c>
      <c r="F1443" t="b">
        <v>0</v>
      </c>
      <c r="I1443" t="s">
        <v>5917</v>
      </c>
      <c r="K1443" t="s">
        <v>5027</v>
      </c>
      <c r="L1443" t="s">
        <v>4686</v>
      </c>
      <c r="M1443" t="s">
        <v>4788</v>
      </c>
      <c r="N1443" t="s">
        <v>4788</v>
      </c>
      <c r="O1443">
        <v>10134.98</v>
      </c>
      <c r="Q1443">
        <v>0</v>
      </c>
      <c r="R1443">
        <v>0</v>
      </c>
      <c r="S1443">
        <v>4053.99</v>
      </c>
      <c r="T1443" t="s">
        <v>4789</v>
      </c>
      <c r="U1443">
        <v>1</v>
      </c>
      <c r="V1443">
        <v>4053.99</v>
      </c>
      <c r="W1443" t="s">
        <v>4343</v>
      </c>
      <c r="Y1443" t="b">
        <v>1</v>
      </c>
      <c r="Z1443" t="b">
        <v>0</v>
      </c>
      <c r="AA1443">
        <v>3883.99</v>
      </c>
      <c r="AB1443">
        <v>170</v>
      </c>
      <c r="AC1443">
        <v>14</v>
      </c>
      <c r="AD1443" t="b">
        <v>0</v>
      </c>
      <c r="AF1443" t="s">
        <v>5913</v>
      </c>
      <c r="AG1443" s="1" t="s">
        <v>66</v>
      </c>
      <c r="AH1443" s="1" t="s">
        <v>55</v>
      </c>
      <c r="AI1443">
        <v>259</v>
      </c>
      <c r="AJ1443">
        <v>100</v>
      </c>
      <c r="AK1443" s="106">
        <v>45475.635476435185</v>
      </c>
      <c r="AL1443" s="1" t="s">
        <v>4790</v>
      </c>
      <c r="AM1443" s="42">
        <f>IFERROR(INDEX('Public procurment'!A:R,MATCH(ListOfExpenditure[[#This Row],[Content.contractId]],'Public procurment'!E:E,0),14),0)</f>
        <v>0</v>
      </c>
      <c r="AN1443" s="2">
        <f>IF(AND(ListOfExpenditure[[#This Row],[Contract amount]]&gt;10000,ListOfExpenditure[[#This Row],[Content.declaredAmount]]&gt;2000),1,0)</f>
        <v>0</v>
      </c>
      <c r="AO1443">
        <f>IFERROR(INDEX('Public procurment'!A:S,MATCH(ListOfExpenditure[[#This Row],[Content.contractId]],'Public procurment'!E:E,0),19),0)</f>
        <v>0</v>
      </c>
      <c r="AP1443">
        <f>IF(ListOfExpenditure[[#This Row],[Numero di volte controllato il contract ]]&gt;0,0,ListOfExpenditure[[#This Row],[IF public procurment &gt;10000;1;0]])</f>
        <v>0</v>
      </c>
    </row>
    <row r="1444" spans="1:42" x14ac:dyDescent="0.25">
      <c r="A1444">
        <v>2090</v>
      </c>
      <c r="B1444">
        <v>1</v>
      </c>
      <c r="E1444" t="s">
        <v>4798</v>
      </c>
      <c r="F1444" t="b">
        <v>0</v>
      </c>
      <c r="I1444" t="s">
        <v>212</v>
      </c>
      <c r="J1444" t="s">
        <v>212</v>
      </c>
      <c r="M1444" t="s">
        <v>4788</v>
      </c>
      <c r="N1444" t="s">
        <v>4788</v>
      </c>
      <c r="O1444">
        <v>0</v>
      </c>
      <c r="P1444">
        <v>0</v>
      </c>
      <c r="Q1444">
        <v>0</v>
      </c>
      <c r="R1444">
        <v>0</v>
      </c>
      <c r="S1444">
        <v>0</v>
      </c>
      <c r="T1444" t="s">
        <v>4789</v>
      </c>
      <c r="U1444">
        <v>1</v>
      </c>
      <c r="V1444">
        <v>0</v>
      </c>
      <c r="Y1444" t="b">
        <v>0</v>
      </c>
      <c r="Z1444" t="b">
        <v>0</v>
      </c>
      <c r="AA1444">
        <v>0</v>
      </c>
      <c r="AB1444">
        <v>0</v>
      </c>
      <c r="AD1444" t="b">
        <v>0</v>
      </c>
      <c r="AG1444" s="1" t="s">
        <v>66</v>
      </c>
      <c r="AH1444" s="1" t="s">
        <v>372</v>
      </c>
      <c r="AI1444">
        <v>261</v>
      </c>
      <c r="AJ1444">
        <v>215</v>
      </c>
      <c r="AK1444" s="106">
        <v>45475.635538773146</v>
      </c>
      <c r="AL1444" s="1" t="s">
        <v>4790</v>
      </c>
      <c r="AM1444" s="42">
        <f>IFERROR(INDEX('Public procurment'!A:R,MATCH(ListOfExpenditure[[#This Row],[Content.contractId]],'Public procurment'!E:E,0),14),0)</f>
        <v>0</v>
      </c>
      <c r="AN1444" s="2">
        <f>IF(AND(ListOfExpenditure[[#This Row],[Contract amount]]&gt;10000,ListOfExpenditure[[#This Row],[Content.declaredAmount]]&gt;2000),1,0)</f>
        <v>0</v>
      </c>
      <c r="AO1444">
        <f>IFERROR(INDEX('Public procurment'!A:S,MATCH(ListOfExpenditure[[#This Row],[Content.contractId]],'Public procurment'!E:E,0),19),0)</f>
        <v>0</v>
      </c>
      <c r="AP1444">
        <f>IF(ListOfExpenditure[[#This Row],[Numero di volte controllato il contract ]]&gt;0,0,ListOfExpenditure[[#This Row],[IF public procurment &gt;10000;1;0]])</f>
        <v>0</v>
      </c>
    </row>
    <row r="1445" spans="1:42" x14ac:dyDescent="0.25">
      <c r="A1445">
        <v>584</v>
      </c>
      <c r="B1445">
        <v>1</v>
      </c>
      <c r="C1445">
        <v>123</v>
      </c>
      <c r="E1445" t="s">
        <v>4893</v>
      </c>
      <c r="F1445" t="b">
        <v>0</v>
      </c>
      <c r="M1445" t="s">
        <v>4788</v>
      </c>
      <c r="N1445" t="s">
        <v>4788</v>
      </c>
      <c r="Q1445">
        <v>1</v>
      </c>
      <c r="R1445">
        <v>9000</v>
      </c>
      <c r="S1445">
        <v>9000</v>
      </c>
      <c r="T1445" t="s">
        <v>4789</v>
      </c>
      <c r="U1445">
        <v>1</v>
      </c>
      <c r="V1445">
        <v>9000</v>
      </c>
      <c r="Y1445" t="b">
        <v>1</v>
      </c>
      <c r="Z1445" t="b">
        <v>0</v>
      </c>
      <c r="AA1445">
        <v>9000</v>
      </c>
      <c r="AB1445">
        <v>0</v>
      </c>
      <c r="AD1445" t="b">
        <v>0</v>
      </c>
      <c r="AF1445" t="s">
        <v>5270</v>
      </c>
      <c r="AG1445" s="1" t="s">
        <v>66</v>
      </c>
      <c r="AH1445" s="1" t="s">
        <v>21</v>
      </c>
      <c r="AI1445">
        <v>258</v>
      </c>
      <c r="AJ1445">
        <v>161</v>
      </c>
      <c r="AK1445" s="106">
        <v>45475.635487500003</v>
      </c>
      <c r="AL1445" s="1" t="s">
        <v>4790</v>
      </c>
      <c r="AM1445" s="42">
        <f>IFERROR(INDEX('Public procurment'!A:R,MATCH(ListOfExpenditure[[#This Row],[Content.contractId]],'Public procurment'!E:E,0),14),0)</f>
        <v>0</v>
      </c>
      <c r="AN1445" s="2">
        <f>IF(AND(ListOfExpenditure[[#This Row],[Contract amount]]&gt;10000,ListOfExpenditure[[#This Row],[Content.declaredAmount]]&gt;2000),1,0)</f>
        <v>0</v>
      </c>
      <c r="AO1445">
        <f>IFERROR(INDEX('Public procurment'!A:S,MATCH(ListOfExpenditure[[#This Row],[Content.contractId]],'Public procurment'!E:E,0),19),0)</f>
        <v>0</v>
      </c>
      <c r="AP1445">
        <f>IF(ListOfExpenditure[[#This Row],[Numero di volte controllato il contract ]]&gt;0,0,ListOfExpenditure[[#This Row],[IF public procurment &gt;10000;1;0]])</f>
        <v>0</v>
      </c>
    </row>
    <row r="1446" spans="1:42" x14ac:dyDescent="0.25">
      <c r="A1446">
        <v>585</v>
      </c>
      <c r="B1446">
        <v>2</v>
      </c>
      <c r="E1446" t="s">
        <v>4798</v>
      </c>
      <c r="F1446" t="b">
        <v>0</v>
      </c>
      <c r="H1446">
        <v>100</v>
      </c>
      <c r="I1446" t="s">
        <v>212</v>
      </c>
      <c r="J1446" t="s">
        <v>5726</v>
      </c>
      <c r="K1446" t="s">
        <v>5037</v>
      </c>
      <c r="L1446" t="s">
        <v>5239</v>
      </c>
      <c r="M1446" t="s">
        <v>4788</v>
      </c>
      <c r="N1446" t="s">
        <v>4788</v>
      </c>
      <c r="O1446">
        <v>1708</v>
      </c>
      <c r="P1446">
        <v>308</v>
      </c>
      <c r="Q1446">
        <v>0</v>
      </c>
      <c r="R1446">
        <v>0</v>
      </c>
      <c r="S1446">
        <v>1708</v>
      </c>
      <c r="T1446" t="s">
        <v>4789</v>
      </c>
      <c r="U1446">
        <v>1</v>
      </c>
      <c r="V1446">
        <v>1708</v>
      </c>
      <c r="W1446" t="s">
        <v>4343</v>
      </c>
      <c r="Y1446" t="b">
        <v>1</v>
      </c>
      <c r="Z1446" t="b">
        <v>0</v>
      </c>
      <c r="AA1446">
        <v>1708</v>
      </c>
      <c r="AB1446">
        <v>0</v>
      </c>
      <c r="AD1446" t="b">
        <v>0</v>
      </c>
      <c r="AF1446" t="s">
        <v>5270</v>
      </c>
      <c r="AG1446" s="1" t="s">
        <v>66</v>
      </c>
      <c r="AH1446" s="1" t="s">
        <v>21</v>
      </c>
      <c r="AI1446">
        <v>258</v>
      </c>
      <c r="AJ1446">
        <v>161</v>
      </c>
      <c r="AK1446" s="106">
        <v>45475.635487500003</v>
      </c>
      <c r="AL1446" s="1" t="s">
        <v>4790</v>
      </c>
      <c r="AM1446" s="42">
        <f>IFERROR(INDEX('Public procurment'!A:R,MATCH(ListOfExpenditure[[#This Row],[Content.contractId]],'Public procurment'!E:E,0),14),0)</f>
        <v>1400</v>
      </c>
      <c r="AN1446" s="2">
        <f>IF(AND(ListOfExpenditure[[#This Row],[Contract amount]]&gt;10000,ListOfExpenditure[[#This Row],[Content.declaredAmount]]&gt;2000),1,0)</f>
        <v>0</v>
      </c>
      <c r="AO1446">
        <f>IFERROR(INDEX('Public procurment'!A:S,MATCH(ListOfExpenditure[[#This Row],[Content.contractId]],'Public procurment'!E:E,0),19),0)</f>
        <v>1</v>
      </c>
      <c r="AP1446">
        <f>IF(ListOfExpenditure[[#This Row],[Numero di volte controllato il contract ]]&gt;0,0,ListOfExpenditure[[#This Row],[IF public procurment &gt;10000;1;0]])</f>
        <v>0</v>
      </c>
    </row>
    <row r="1447" spans="1:42" x14ac:dyDescent="0.25">
      <c r="A1447">
        <v>586</v>
      </c>
      <c r="B1447">
        <v>3</v>
      </c>
      <c r="E1447" t="s">
        <v>4798</v>
      </c>
      <c r="F1447" t="b">
        <v>0</v>
      </c>
      <c r="H1447">
        <v>99</v>
      </c>
      <c r="I1447" t="s">
        <v>212</v>
      </c>
      <c r="J1447" t="s">
        <v>5918</v>
      </c>
      <c r="K1447" t="s">
        <v>4359</v>
      </c>
      <c r="L1447" t="s">
        <v>4883</v>
      </c>
      <c r="M1447" t="s">
        <v>4788</v>
      </c>
      <c r="N1447" t="s">
        <v>4788</v>
      </c>
      <c r="O1447">
        <v>2416.91</v>
      </c>
      <c r="P1447">
        <v>61.49</v>
      </c>
      <c r="Q1447">
        <v>0</v>
      </c>
      <c r="R1447">
        <v>0</v>
      </c>
      <c r="S1447">
        <v>2416.91</v>
      </c>
      <c r="T1447" t="s">
        <v>4789</v>
      </c>
      <c r="U1447">
        <v>1</v>
      </c>
      <c r="V1447">
        <v>2416.91</v>
      </c>
      <c r="W1447" t="s">
        <v>4343</v>
      </c>
      <c r="Y1447" t="b">
        <v>1</v>
      </c>
      <c r="Z1447" t="b">
        <v>0</v>
      </c>
      <c r="AA1447">
        <v>2416.91</v>
      </c>
      <c r="AB1447">
        <v>0</v>
      </c>
      <c r="AD1447" t="b">
        <v>0</v>
      </c>
      <c r="AF1447" t="s">
        <v>5270</v>
      </c>
      <c r="AG1447" s="1" t="s">
        <v>66</v>
      </c>
      <c r="AH1447" s="1" t="s">
        <v>21</v>
      </c>
      <c r="AI1447">
        <v>258</v>
      </c>
      <c r="AJ1447">
        <v>161</v>
      </c>
      <c r="AK1447" s="106">
        <v>45475.635487500003</v>
      </c>
      <c r="AL1447" s="1" t="s">
        <v>4790</v>
      </c>
      <c r="AM1447" s="42">
        <f>IFERROR(INDEX('Public procurment'!A:R,MATCH(ListOfExpenditure[[#This Row],[Content.contractId]],'Public procurment'!E:E,0),14),0)</f>
        <v>31500</v>
      </c>
      <c r="AN1447" s="2">
        <f>IF(AND(ListOfExpenditure[[#This Row],[Contract amount]]&gt;10000,ListOfExpenditure[[#This Row],[Content.declaredAmount]]&gt;2000),1,0)</f>
        <v>1</v>
      </c>
      <c r="AO1447">
        <f>IFERROR(INDEX('Public procurment'!A:S,MATCH(ListOfExpenditure[[#This Row],[Content.contractId]],'Public procurment'!E:E,0),19),0)</f>
        <v>1</v>
      </c>
      <c r="AP1447">
        <f>IF(ListOfExpenditure[[#This Row],[Numero di volte controllato il contract ]]&gt;0,0,ListOfExpenditure[[#This Row],[IF public procurment &gt;10000;1;0]])</f>
        <v>0</v>
      </c>
    </row>
    <row r="1448" spans="1:42" x14ac:dyDescent="0.25">
      <c r="A1448">
        <v>600</v>
      </c>
      <c r="B1448">
        <v>4</v>
      </c>
      <c r="E1448" t="s">
        <v>4798</v>
      </c>
      <c r="F1448" t="b">
        <v>0</v>
      </c>
      <c r="H1448">
        <v>101</v>
      </c>
      <c r="I1448" t="s">
        <v>212</v>
      </c>
      <c r="J1448" t="s">
        <v>5919</v>
      </c>
      <c r="K1448" t="s">
        <v>4525</v>
      </c>
      <c r="L1448" t="s">
        <v>4723</v>
      </c>
      <c r="M1448" t="s">
        <v>4788</v>
      </c>
      <c r="N1448" t="s">
        <v>4788</v>
      </c>
      <c r="O1448">
        <v>4392</v>
      </c>
      <c r="P1448">
        <v>792</v>
      </c>
      <c r="Q1448">
        <v>0</v>
      </c>
      <c r="R1448">
        <v>0</v>
      </c>
      <c r="S1448">
        <v>4392</v>
      </c>
      <c r="T1448" t="s">
        <v>4789</v>
      </c>
      <c r="U1448">
        <v>1</v>
      </c>
      <c r="V1448">
        <v>4392</v>
      </c>
      <c r="W1448" t="s">
        <v>4343</v>
      </c>
      <c r="Y1448" t="b">
        <v>0</v>
      </c>
      <c r="Z1448" t="b">
        <v>0</v>
      </c>
      <c r="AA1448">
        <v>4392</v>
      </c>
      <c r="AB1448">
        <v>0</v>
      </c>
      <c r="AD1448" t="b">
        <v>0</v>
      </c>
      <c r="AG1448" s="1" t="s">
        <v>66</v>
      </c>
      <c r="AH1448" s="1" t="s">
        <v>21</v>
      </c>
      <c r="AI1448">
        <v>258</v>
      </c>
      <c r="AJ1448">
        <v>161</v>
      </c>
      <c r="AK1448" s="106">
        <v>45475.635487500003</v>
      </c>
      <c r="AL1448" s="1" t="s">
        <v>4790</v>
      </c>
      <c r="AM1448" s="42">
        <f>IFERROR(INDEX('Public procurment'!A:R,MATCH(ListOfExpenditure[[#This Row],[Content.contractId]],'Public procurment'!E:E,0),14),0)</f>
        <v>10434.59</v>
      </c>
      <c r="AN1448" s="2">
        <f>IF(AND(ListOfExpenditure[[#This Row],[Contract amount]]&gt;10000,ListOfExpenditure[[#This Row],[Content.declaredAmount]]&gt;2000),1,0)</f>
        <v>1</v>
      </c>
      <c r="AO1448">
        <f>IFERROR(INDEX('Public procurment'!A:S,MATCH(ListOfExpenditure[[#This Row],[Content.contractId]],'Public procurment'!E:E,0),19),0)</f>
        <v>0</v>
      </c>
      <c r="AP1448">
        <f>IF(ListOfExpenditure[[#This Row],[Numero di volte controllato il contract ]]&gt;0,0,ListOfExpenditure[[#This Row],[IF public procurment &gt;10000;1;0]])</f>
        <v>1</v>
      </c>
    </row>
    <row r="1449" spans="1:42" x14ac:dyDescent="0.25">
      <c r="A1449">
        <v>601</v>
      </c>
      <c r="B1449">
        <v>5</v>
      </c>
      <c r="E1449" t="s">
        <v>4798</v>
      </c>
      <c r="F1449" t="b">
        <v>0</v>
      </c>
      <c r="H1449">
        <v>102</v>
      </c>
      <c r="I1449" t="s">
        <v>212</v>
      </c>
      <c r="J1449" t="s">
        <v>5920</v>
      </c>
      <c r="K1449" t="s">
        <v>4678</v>
      </c>
      <c r="L1449" t="s">
        <v>4723</v>
      </c>
      <c r="M1449" t="s">
        <v>4788</v>
      </c>
      <c r="N1449" t="s">
        <v>4788</v>
      </c>
      <c r="O1449">
        <v>702.72</v>
      </c>
      <c r="P1449">
        <v>126.72</v>
      </c>
      <c r="Q1449">
        <v>0</v>
      </c>
      <c r="R1449">
        <v>0</v>
      </c>
      <c r="S1449">
        <v>702.72</v>
      </c>
      <c r="T1449" t="s">
        <v>4789</v>
      </c>
      <c r="U1449">
        <v>1</v>
      </c>
      <c r="V1449">
        <v>702.72</v>
      </c>
      <c r="W1449" t="s">
        <v>4343</v>
      </c>
      <c r="Y1449" t="b">
        <v>1</v>
      </c>
      <c r="Z1449" t="b">
        <v>0</v>
      </c>
      <c r="AA1449">
        <v>702.72</v>
      </c>
      <c r="AB1449">
        <v>0</v>
      </c>
      <c r="AD1449" t="b">
        <v>0</v>
      </c>
      <c r="AF1449" t="s">
        <v>5270</v>
      </c>
      <c r="AG1449" s="1" t="s">
        <v>66</v>
      </c>
      <c r="AH1449" s="1" t="s">
        <v>21</v>
      </c>
      <c r="AI1449">
        <v>258</v>
      </c>
      <c r="AJ1449">
        <v>161</v>
      </c>
      <c r="AK1449" s="106">
        <v>45475.635487500003</v>
      </c>
      <c r="AL1449" s="1" t="s">
        <v>4790</v>
      </c>
      <c r="AM1449" s="42">
        <f>IFERROR(INDEX('Public procurment'!A:R,MATCH(ListOfExpenditure[[#This Row],[Content.contractId]],'Public procurment'!E:E,0),14),0)</f>
        <v>576</v>
      </c>
      <c r="AN1449" s="2">
        <f>IF(AND(ListOfExpenditure[[#This Row],[Contract amount]]&gt;10000,ListOfExpenditure[[#This Row],[Content.declaredAmount]]&gt;2000),1,0)</f>
        <v>0</v>
      </c>
      <c r="AO1449">
        <f>IFERROR(INDEX('Public procurment'!A:S,MATCH(ListOfExpenditure[[#This Row],[Content.contractId]],'Public procurment'!E:E,0),19),0)</f>
        <v>1</v>
      </c>
      <c r="AP1449">
        <f>IF(ListOfExpenditure[[#This Row],[Numero di volte controllato il contract ]]&gt;0,0,ListOfExpenditure[[#This Row],[IF public procurment &gt;10000;1;0]])</f>
        <v>0</v>
      </c>
    </row>
    <row r="1450" spans="1:42" x14ac:dyDescent="0.25">
      <c r="A1450">
        <v>656</v>
      </c>
      <c r="B1450">
        <v>1</v>
      </c>
      <c r="E1450" t="s">
        <v>4798</v>
      </c>
      <c r="F1450" t="b">
        <v>0</v>
      </c>
      <c r="I1450" t="s">
        <v>212</v>
      </c>
      <c r="J1450" t="s">
        <v>212</v>
      </c>
      <c r="M1450" t="s">
        <v>4788</v>
      </c>
      <c r="N1450" t="s">
        <v>4788</v>
      </c>
      <c r="O1450">
        <v>0</v>
      </c>
      <c r="P1450">
        <v>0</v>
      </c>
      <c r="Q1450">
        <v>0</v>
      </c>
      <c r="R1450">
        <v>0</v>
      </c>
      <c r="S1450">
        <v>0</v>
      </c>
      <c r="T1450" t="s">
        <v>4789</v>
      </c>
      <c r="U1450">
        <v>1</v>
      </c>
      <c r="V1450">
        <v>0</v>
      </c>
      <c r="Y1450" t="b">
        <v>0</v>
      </c>
      <c r="Z1450" t="b">
        <v>0</v>
      </c>
      <c r="AA1450">
        <v>0</v>
      </c>
      <c r="AB1450">
        <v>0</v>
      </c>
      <c r="AD1450" t="b">
        <v>0</v>
      </c>
      <c r="AG1450" s="1" t="s">
        <v>277</v>
      </c>
      <c r="AH1450" s="1" t="s">
        <v>278</v>
      </c>
      <c r="AI1450">
        <v>233</v>
      </c>
      <c r="AJ1450">
        <v>179</v>
      </c>
      <c r="AK1450" s="106">
        <v>45475.635553993059</v>
      </c>
      <c r="AL1450" s="1" t="s">
        <v>4790</v>
      </c>
      <c r="AM1450" s="42">
        <f>IFERROR(INDEX('Public procurment'!A:R,MATCH(ListOfExpenditure[[#This Row],[Content.contractId]],'Public procurment'!E:E,0),14),0)</f>
        <v>0</v>
      </c>
      <c r="AN1450" s="2">
        <f>IF(AND(ListOfExpenditure[[#This Row],[Contract amount]]&gt;10000,ListOfExpenditure[[#This Row],[Content.declaredAmount]]&gt;2000),1,0)</f>
        <v>0</v>
      </c>
      <c r="AO1450">
        <f>IFERROR(INDEX('Public procurment'!A:S,MATCH(ListOfExpenditure[[#This Row],[Content.contractId]],'Public procurment'!E:E,0),19),0)</f>
        <v>0</v>
      </c>
      <c r="AP1450">
        <f>IF(ListOfExpenditure[[#This Row],[Numero di volte controllato il contract ]]&gt;0,0,ListOfExpenditure[[#This Row],[IF public procurment &gt;10000;1;0]])</f>
        <v>0</v>
      </c>
    </row>
    <row r="1451" spans="1:42" x14ac:dyDescent="0.25">
      <c r="A1451">
        <v>655</v>
      </c>
      <c r="B1451">
        <v>1</v>
      </c>
      <c r="E1451" t="s">
        <v>4786</v>
      </c>
      <c r="F1451" t="b">
        <v>0</v>
      </c>
      <c r="I1451" t="s">
        <v>6362</v>
      </c>
      <c r="K1451" t="s">
        <v>4582</v>
      </c>
      <c r="L1451" t="s">
        <v>4582</v>
      </c>
      <c r="M1451" t="s">
        <v>4788</v>
      </c>
      <c r="N1451" t="s">
        <v>4788</v>
      </c>
      <c r="O1451">
        <v>2189.85</v>
      </c>
      <c r="Q1451">
        <v>0</v>
      </c>
      <c r="R1451">
        <v>0</v>
      </c>
      <c r="S1451">
        <v>2189.85</v>
      </c>
      <c r="T1451" t="s">
        <v>4789</v>
      </c>
      <c r="U1451">
        <v>1</v>
      </c>
      <c r="V1451">
        <v>2189.85</v>
      </c>
      <c r="W1451" t="s">
        <v>4343</v>
      </c>
      <c r="Y1451" t="b">
        <v>1</v>
      </c>
      <c r="Z1451" t="b">
        <v>0</v>
      </c>
      <c r="AA1451">
        <v>2189.85</v>
      </c>
      <c r="AB1451">
        <v>0</v>
      </c>
      <c r="AD1451" t="b">
        <v>0</v>
      </c>
      <c r="AF1451" t="s">
        <v>6363</v>
      </c>
      <c r="AG1451" s="1" t="s">
        <v>277</v>
      </c>
      <c r="AH1451" s="1" t="s">
        <v>279</v>
      </c>
      <c r="AI1451">
        <v>120</v>
      </c>
      <c r="AJ1451">
        <v>177</v>
      </c>
      <c r="AK1451" s="106">
        <v>45475.635554513887</v>
      </c>
      <c r="AL1451" s="1" t="s">
        <v>4790</v>
      </c>
      <c r="AM1451" s="42">
        <f>IFERROR(INDEX('Public procurment'!A:R,MATCH(ListOfExpenditure[[#This Row],[Content.contractId]],'Public procurment'!E:E,0),14),0)</f>
        <v>0</v>
      </c>
      <c r="AN1451" s="2">
        <f>IF(AND(ListOfExpenditure[[#This Row],[Contract amount]]&gt;10000,ListOfExpenditure[[#This Row],[Content.declaredAmount]]&gt;2000),1,0)</f>
        <v>0</v>
      </c>
      <c r="AO1451">
        <f>IFERROR(INDEX('Public procurment'!A:S,MATCH(ListOfExpenditure[[#This Row],[Content.contractId]],'Public procurment'!E:E,0),19),0)</f>
        <v>0</v>
      </c>
      <c r="AP1451">
        <f>IF(ListOfExpenditure[[#This Row],[Numero di volte controllato il contract ]]&gt;0,0,ListOfExpenditure[[#This Row],[IF public procurment &gt;10000;1;0]])</f>
        <v>0</v>
      </c>
    </row>
    <row r="1452" spans="1:42" x14ac:dyDescent="0.25">
      <c r="A1452">
        <v>803</v>
      </c>
      <c r="B1452">
        <v>2</v>
      </c>
      <c r="E1452" t="s">
        <v>4786</v>
      </c>
      <c r="F1452" t="b">
        <v>0</v>
      </c>
      <c r="I1452" t="s">
        <v>6364</v>
      </c>
      <c r="K1452" t="s">
        <v>4686</v>
      </c>
      <c r="L1452" t="s">
        <v>4686</v>
      </c>
      <c r="M1452" t="s">
        <v>4788</v>
      </c>
      <c r="N1452" t="s">
        <v>4788</v>
      </c>
      <c r="O1452">
        <v>17353.919999999998</v>
      </c>
      <c r="Q1452">
        <v>0</v>
      </c>
      <c r="R1452">
        <v>0</v>
      </c>
      <c r="S1452">
        <v>756.71</v>
      </c>
      <c r="T1452" t="s">
        <v>4789</v>
      </c>
      <c r="U1452">
        <v>1</v>
      </c>
      <c r="V1452">
        <v>756.71</v>
      </c>
      <c r="W1452" t="s">
        <v>4343</v>
      </c>
      <c r="Y1452" t="b">
        <v>1</v>
      </c>
      <c r="Z1452" t="b">
        <v>0</v>
      </c>
      <c r="AA1452">
        <v>756.71</v>
      </c>
      <c r="AB1452">
        <v>0</v>
      </c>
      <c r="AD1452" t="b">
        <v>0</v>
      </c>
      <c r="AF1452" t="s">
        <v>6365</v>
      </c>
      <c r="AG1452" s="1" t="s">
        <v>277</v>
      </c>
      <c r="AH1452" s="1" t="s">
        <v>279</v>
      </c>
      <c r="AI1452">
        <v>120</v>
      </c>
      <c r="AJ1452">
        <v>177</v>
      </c>
      <c r="AK1452" s="106">
        <v>45475.635554513887</v>
      </c>
      <c r="AL1452" s="1" t="s">
        <v>4790</v>
      </c>
      <c r="AM1452" s="42">
        <f>IFERROR(INDEX('Public procurment'!A:R,MATCH(ListOfExpenditure[[#This Row],[Content.contractId]],'Public procurment'!E:E,0),14),0)</f>
        <v>0</v>
      </c>
      <c r="AN1452" s="2">
        <f>IF(AND(ListOfExpenditure[[#This Row],[Contract amount]]&gt;10000,ListOfExpenditure[[#This Row],[Content.declaredAmount]]&gt;2000),1,0)</f>
        <v>0</v>
      </c>
      <c r="AO1452">
        <f>IFERROR(INDEX('Public procurment'!A:S,MATCH(ListOfExpenditure[[#This Row],[Content.contractId]],'Public procurment'!E:E,0),19),0)</f>
        <v>0</v>
      </c>
      <c r="AP1452">
        <f>IF(ListOfExpenditure[[#This Row],[Numero di volte controllato il contract ]]&gt;0,0,ListOfExpenditure[[#This Row],[IF public procurment &gt;10000;1;0]])</f>
        <v>0</v>
      </c>
    </row>
    <row r="1453" spans="1:42" x14ac:dyDescent="0.25">
      <c r="A1453">
        <v>804</v>
      </c>
      <c r="B1453">
        <v>3</v>
      </c>
      <c r="E1453" t="s">
        <v>4786</v>
      </c>
      <c r="F1453" t="b">
        <v>0</v>
      </c>
      <c r="I1453" t="s">
        <v>6366</v>
      </c>
      <c r="K1453" t="s">
        <v>4686</v>
      </c>
      <c r="L1453" t="s">
        <v>4686</v>
      </c>
      <c r="M1453" t="s">
        <v>4788</v>
      </c>
      <c r="N1453" t="s">
        <v>4788</v>
      </c>
      <c r="O1453">
        <v>61927.98</v>
      </c>
      <c r="Q1453">
        <v>0</v>
      </c>
      <c r="R1453">
        <v>0</v>
      </c>
      <c r="S1453">
        <v>1080.1300000000001</v>
      </c>
      <c r="T1453" t="s">
        <v>4789</v>
      </c>
      <c r="U1453">
        <v>1</v>
      </c>
      <c r="V1453">
        <v>1080.1300000000001</v>
      </c>
      <c r="W1453" t="s">
        <v>4343</v>
      </c>
      <c r="Y1453" t="b">
        <v>1</v>
      </c>
      <c r="Z1453" t="b">
        <v>0</v>
      </c>
      <c r="AA1453">
        <v>1077.55</v>
      </c>
      <c r="AB1453">
        <v>2.58</v>
      </c>
      <c r="AC1453">
        <v>13</v>
      </c>
      <c r="AD1453" t="b">
        <v>0</v>
      </c>
      <c r="AF1453" t="s">
        <v>6367</v>
      </c>
      <c r="AG1453" s="1" t="s">
        <v>277</v>
      </c>
      <c r="AH1453" s="1" t="s">
        <v>279</v>
      </c>
      <c r="AI1453">
        <v>120</v>
      </c>
      <c r="AJ1453">
        <v>177</v>
      </c>
      <c r="AK1453" s="106">
        <v>45475.635554513887</v>
      </c>
      <c r="AL1453" s="1" t="s">
        <v>4790</v>
      </c>
      <c r="AM1453" s="42">
        <f>IFERROR(INDEX('Public procurment'!A:R,MATCH(ListOfExpenditure[[#This Row],[Content.contractId]],'Public procurment'!E:E,0),14),0)</f>
        <v>0</v>
      </c>
      <c r="AN1453" s="2">
        <f>IF(AND(ListOfExpenditure[[#This Row],[Contract amount]]&gt;10000,ListOfExpenditure[[#This Row],[Content.declaredAmount]]&gt;2000),1,0)</f>
        <v>0</v>
      </c>
      <c r="AO1453">
        <f>IFERROR(INDEX('Public procurment'!A:S,MATCH(ListOfExpenditure[[#This Row],[Content.contractId]],'Public procurment'!E:E,0),19),0)</f>
        <v>0</v>
      </c>
      <c r="AP1453">
        <f>IF(ListOfExpenditure[[#This Row],[Numero di volte controllato il contract ]]&gt;0,0,ListOfExpenditure[[#This Row],[IF public procurment &gt;10000;1;0]])</f>
        <v>0</v>
      </c>
    </row>
    <row r="1454" spans="1:42" x14ac:dyDescent="0.25">
      <c r="A1454">
        <v>805</v>
      </c>
      <c r="B1454">
        <v>4</v>
      </c>
      <c r="E1454" t="s">
        <v>4786</v>
      </c>
      <c r="F1454" t="b">
        <v>0</v>
      </c>
      <c r="I1454" t="s">
        <v>6368</v>
      </c>
      <c r="K1454" t="s">
        <v>4686</v>
      </c>
      <c r="L1454" t="s">
        <v>4686</v>
      </c>
      <c r="M1454" t="s">
        <v>4788</v>
      </c>
      <c r="N1454" t="s">
        <v>4788</v>
      </c>
      <c r="O1454">
        <v>52956.51</v>
      </c>
      <c r="Q1454">
        <v>0</v>
      </c>
      <c r="R1454">
        <v>0</v>
      </c>
      <c r="S1454">
        <v>5295.65</v>
      </c>
      <c r="T1454" t="s">
        <v>4789</v>
      </c>
      <c r="U1454">
        <v>1</v>
      </c>
      <c r="V1454">
        <v>5295.65</v>
      </c>
      <c r="W1454" t="s">
        <v>4343</v>
      </c>
      <c r="Y1454" t="b">
        <v>1</v>
      </c>
      <c r="Z1454" t="b">
        <v>0</v>
      </c>
      <c r="AA1454">
        <v>5295.65</v>
      </c>
      <c r="AB1454">
        <v>0</v>
      </c>
      <c r="AD1454" t="b">
        <v>0</v>
      </c>
      <c r="AF1454" t="s">
        <v>6369</v>
      </c>
      <c r="AG1454" s="1" t="s">
        <v>277</v>
      </c>
      <c r="AH1454" s="1" t="s">
        <v>279</v>
      </c>
      <c r="AI1454">
        <v>120</v>
      </c>
      <c r="AJ1454">
        <v>177</v>
      </c>
      <c r="AK1454" s="106">
        <v>45475.635554513887</v>
      </c>
      <c r="AL1454" s="1" t="s">
        <v>4790</v>
      </c>
      <c r="AM1454" s="42">
        <f>IFERROR(INDEX('Public procurment'!A:R,MATCH(ListOfExpenditure[[#This Row],[Content.contractId]],'Public procurment'!E:E,0),14),0)</f>
        <v>0</v>
      </c>
      <c r="AN1454" s="2">
        <f>IF(AND(ListOfExpenditure[[#This Row],[Contract amount]]&gt;10000,ListOfExpenditure[[#This Row],[Content.declaredAmount]]&gt;2000),1,0)</f>
        <v>0</v>
      </c>
      <c r="AO1454">
        <f>IFERROR(INDEX('Public procurment'!A:S,MATCH(ListOfExpenditure[[#This Row],[Content.contractId]],'Public procurment'!E:E,0),19),0)</f>
        <v>0</v>
      </c>
      <c r="AP1454">
        <f>IF(ListOfExpenditure[[#This Row],[Numero di volte controllato il contract ]]&gt;0,0,ListOfExpenditure[[#This Row],[IF public procurment &gt;10000;1;0]])</f>
        <v>0</v>
      </c>
    </row>
    <row r="1455" spans="1:42" x14ac:dyDescent="0.25">
      <c r="A1455">
        <v>1970</v>
      </c>
      <c r="B1455">
        <v>1</v>
      </c>
      <c r="E1455" t="s">
        <v>4798</v>
      </c>
      <c r="F1455" t="b">
        <v>0</v>
      </c>
      <c r="I1455" t="s">
        <v>212</v>
      </c>
      <c r="J1455" t="s">
        <v>212</v>
      </c>
      <c r="M1455" t="s">
        <v>4788</v>
      </c>
      <c r="N1455" t="s">
        <v>4788</v>
      </c>
      <c r="O1455">
        <v>0</v>
      </c>
      <c r="P1455">
        <v>0</v>
      </c>
      <c r="Q1455">
        <v>0</v>
      </c>
      <c r="R1455">
        <v>0</v>
      </c>
      <c r="S1455">
        <v>0</v>
      </c>
      <c r="T1455" t="s">
        <v>4789</v>
      </c>
      <c r="U1455">
        <v>1</v>
      </c>
      <c r="V1455">
        <v>0</v>
      </c>
      <c r="Y1455" t="b">
        <v>0</v>
      </c>
      <c r="Z1455" t="b">
        <v>0</v>
      </c>
      <c r="AA1455">
        <v>0</v>
      </c>
      <c r="AB1455">
        <v>0</v>
      </c>
      <c r="AD1455" t="b">
        <v>0</v>
      </c>
      <c r="AG1455" s="1" t="s">
        <v>277</v>
      </c>
      <c r="AH1455" s="1" t="s">
        <v>280</v>
      </c>
      <c r="AI1455">
        <v>118</v>
      </c>
      <c r="AJ1455">
        <v>155</v>
      </c>
      <c r="AK1455" s="106">
        <v>45475.63553053241</v>
      </c>
      <c r="AL1455" s="1" t="s">
        <v>4790</v>
      </c>
      <c r="AM1455" s="42">
        <f>IFERROR(INDEX('Public procurment'!A:R,MATCH(ListOfExpenditure[[#This Row],[Content.contractId]],'Public procurment'!E:E,0),14),0)</f>
        <v>0</v>
      </c>
      <c r="AN1455" s="2">
        <f>IF(AND(ListOfExpenditure[[#This Row],[Contract amount]]&gt;10000,ListOfExpenditure[[#This Row],[Content.declaredAmount]]&gt;2000),1,0)</f>
        <v>0</v>
      </c>
      <c r="AO1455">
        <f>IFERROR(INDEX('Public procurment'!A:S,MATCH(ListOfExpenditure[[#This Row],[Content.contractId]],'Public procurment'!E:E,0),19),0)</f>
        <v>0</v>
      </c>
      <c r="AP1455">
        <f>IF(ListOfExpenditure[[#This Row],[Numero di volte controllato il contract ]]&gt;0,0,ListOfExpenditure[[#This Row],[IF public procurment &gt;10000;1;0]])</f>
        <v>0</v>
      </c>
    </row>
    <row r="1456" spans="1:42" x14ac:dyDescent="0.25">
      <c r="A1456">
        <v>2080</v>
      </c>
      <c r="B1456">
        <v>1</v>
      </c>
      <c r="E1456" t="s">
        <v>4798</v>
      </c>
      <c r="F1456" t="b">
        <v>0</v>
      </c>
      <c r="H1456">
        <v>272</v>
      </c>
      <c r="I1456" t="s">
        <v>6370</v>
      </c>
      <c r="J1456" t="s">
        <v>6371</v>
      </c>
      <c r="K1456" t="s">
        <v>4348</v>
      </c>
      <c r="L1456" t="s">
        <v>4348</v>
      </c>
      <c r="M1456" t="s">
        <v>4788</v>
      </c>
      <c r="N1456" t="s">
        <v>4788</v>
      </c>
      <c r="O1456">
        <v>19947</v>
      </c>
      <c r="P1456">
        <v>3597</v>
      </c>
      <c r="Q1456">
        <v>0</v>
      </c>
      <c r="R1456">
        <v>0</v>
      </c>
      <c r="S1456">
        <v>19947</v>
      </c>
      <c r="T1456" t="s">
        <v>4789</v>
      </c>
      <c r="U1456">
        <v>1</v>
      </c>
      <c r="V1456">
        <v>19947</v>
      </c>
      <c r="W1456" t="s">
        <v>4343</v>
      </c>
      <c r="Y1456" t="b">
        <v>1</v>
      </c>
      <c r="Z1456" t="b">
        <v>0</v>
      </c>
      <c r="AA1456">
        <v>19947</v>
      </c>
      <c r="AB1456">
        <v>0</v>
      </c>
      <c r="AD1456" t="b">
        <v>0</v>
      </c>
      <c r="AG1456" s="1" t="s">
        <v>277</v>
      </c>
      <c r="AH1456" s="1" t="s">
        <v>275</v>
      </c>
      <c r="AI1456">
        <v>119</v>
      </c>
      <c r="AJ1456">
        <v>272</v>
      </c>
      <c r="AK1456" s="106">
        <v>45475.635550914354</v>
      </c>
      <c r="AL1456" s="1" t="s">
        <v>4790</v>
      </c>
      <c r="AM1456" s="42">
        <f>IFERROR(INDEX('Public procurment'!A:R,MATCH(ListOfExpenditure[[#This Row],[Content.contractId]],'Public procurment'!E:E,0),14),0)</f>
        <v>19947</v>
      </c>
      <c r="AN1456" s="2">
        <f>IF(AND(ListOfExpenditure[[#This Row],[Contract amount]]&gt;10000,ListOfExpenditure[[#This Row],[Content.declaredAmount]]&gt;2000),1,0)</f>
        <v>1</v>
      </c>
      <c r="AO1456">
        <f>IFERROR(INDEX('Public procurment'!A:S,MATCH(ListOfExpenditure[[#This Row],[Content.contractId]],'Public procurment'!E:E,0),19),0)</f>
        <v>1</v>
      </c>
      <c r="AP1456">
        <f>IF(ListOfExpenditure[[#This Row],[Numero di volte controllato il contract ]]&gt;0,0,ListOfExpenditure[[#This Row],[IF public procurment &gt;10000;1;0]])</f>
        <v>0</v>
      </c>
    </row>
    <row r="1457" spans="1:42" x14ac:dyDescent="0.25">
      <c r="A1457">
        <v>1034</v>
      </c>
      <c r="B1457">
        <v>1</v>
      </c>
      <c r="E1457" t="s">
        <v>4798</v>
      </c>
      <c r="F1457" t="b">
        <v>0</v>
      </c>
      <c r="H1457">
        <v>160</v>
      </c>
      <c r="I1457" t="s">
        <v>212</v>
      </c>
      <c r="J1457" t="s">
        <v>6372</v>
      </c>
      <c r="K1457" t="s">
        <v>4730</v>
      </c>
      <c r="L1457" t="s">
        <v>4348</v>
      </c>
      <c r="M1457" t="s">
        <v>4788</v>
      </c>
      <c r="N1457" t="s">
        <v>4788</v>
      </c>
      <c r="O1457">
        <v>4862.5</v>
      </c>
      <c r="P1457">
        <v>0</v>
      </c>
      <c r="Q1457">
        <v>0</v>
      </c>
      <c r="R1457">
        <v>0</v>
      </c>
      <c r="S1457">
        <v>4862.5</v>
      </c>
      <c r="T1457" t="s">
        <v>4789</v>
      </c>
      <c r="U1457">
        <v>1</v>
      </c>
      <c r="V1457">
        <v>4862.5</v>
      </c>
      <c r="W1457" t="s">
        <v>4343</v>
      </c>
      <c r="Y1457" t="b">
        <v>1</v>
      </c>
      <c r="Z1457" t="b">
        <v>0</v>
      </c>
      <c r="AA1457">
        <v>4862.5</v>
      </c>
      <c r="AB1457">
        <v>0</v>
      </c>
      <c r="AD1457" t="b">
        <v>0</v>
      </c>
      <c r="AG1457" s="1" t="s">
        <v>277</v>
      </c>
      <c r="AH1457" s="1" t="s">
        <v>281</v>
      </c>
      <c r="AI1457">
        <v>93</v>
      </c>
      <c r="AJ1457">
        <v>145</v>
      </c>
      <c r="AK1457" s="106">
        <v>45475.635542083335</v>
      </c>
      <c r="AL1457" s="1" t="s">
        <v>4790</v>
      </c>
      <c r="AM1457" s="42">
        <f>IFERROR(INDEX('Public procurment'!A:R,MATCH(ListOfExpenditure[[#This Row],[Content.contractId]],'Public procurment'!E:E,0),14),0)</f>
        <v>23729</v>
      </c>
      <c r="AN1457" s="2">
        <f>IF(AND(ListOfExpenditure[[#This Row],[Contract amount]]&gt;10000,ListOfExpenditure[[#This Row],[Content.declaredAmount]]&gt;2000),1,0)</f>
        <v>1</v>
      </c>
      <c r="AO1457">
        <f>IFERROR(INDEX('Public procurment'!A:S,MATCH(ListOfExpenditure[[#This Row],[Content.contractId]],'Public procurment'!E:E,0),19),0)</f>
        <v>2</v>
      </c>
      <c r="AP1457">
        <f>IF(ListOfExpenditure[[#This Row],[Numero di volte controllato il contract ]]&gt;0,0,ListOfExpenditure[[#This Row],[IF public procurment &gt;10000;1;0]])</f>
        <v>0</v>
      </c>
    </row>
    <row r="1458" spans="1:42" x14ac:dyDescent="0.25">
      <c r="A1458">
        <v>1116</v>
      </c>
      <c r="B1458">
        <v>2</v>
      </c>
      <c r="E1458" t="s">
        <v>4798</v>
      </c>
      <c r="F1458" t="b">
        <v>0</v>
      </c>
      <c r="H1458">
        <v>160</v>
      </c>
      <c r="I1458" t="s">
        <v>212</v>
      </c>
      <c r="J1458" t="s">
        <v>6373</v>
      </c>
      <c r="K1458" t="s">
        <v>4691</v>
      </c>
      <c r="L1458" t="s">
        <v>4691</v>
      </c>
      <c r="M1458" t="s">
        <v>4788</v>
      </c>
      <c r="N1458" t="s">
        <v>4788</v>
      </c>
      <c r="O1458">
        <v>0</v>
      </c>
      <c r="P1458">
        <v>1069.75</v>
      </c>
      <c r="Q1458">
        <v>0</v>
      </c>
      <c r="R1458">
        <v>0</v>
      </c>
      <c r="S1458">
        <v>1069.75</v>
      </c>
      <c r="T1458" t="s">
        <v>4789</v>
      </c>
      <c r="U1458">
        <v>1</v>
      </c>
      <c r="V1458">
        <v>1069.75</v>
      </c>
      <c r="W1458" t="s">
        <v>4343</v>
      </c>
      <c r="Y1458" t="b">
        <v>1</v>
      </c>
      <c r="Z1458" t="b">
        <v>0</v>
      </c>
      <c r="AA1458">
        <v>1069.75</v>
      </c>
      <c r="AB1458">
        <v>0</v>
      </c>
      <c r="AD1458" t="b">
        <v>0</v>
      </c>
      <c r="AG1458" s="1" t="s">
        <v>277</v>
      </c>
      <c r="AH1458" s="1" t="s">
        <v>281</v>
      </c>
      <c r="AI1458">
        <v>93</v>
      </c>
      <c r="AJ1458">
        <v>145</v>
      </c>
      <c r="AK1458" s="106">
        <v>45475.635542083335</v>
      </c>
      <c r="AL1458" s="1" t="s">
        <v>4790</v>
      </c>
      <c r="AM1458" s="42">
        <f>IFERROR(INDEX('Public procurment'!A:R,MATCH(ListOfExpenditure[[#This Row],[Content.contractId]],'Public procurment'!E:E,0),14),0)</f>
        <v>23729</v>
      </c>
      <c r="AN1458" s="2">
        <f>IF(AND(ListOfExpenditure[[#This Row],[Contract amount]]&gt;10000,ListOfExpenditure[[#This Row],[Content.declaredAmount]]&gt;2000),1,0)</f>
        <v>0</v>
      </c>
      <c r="AO1458">
        <f>IFERROR(INDEX('Public procurment'!A:S,MATCH(ListOfExpenditure[[#This Row],[Content.contractId]],'Public procurment'!E:E,0),19),0)</f>
        <v>2</v>
      </c>
      <c r="AP1458">
        <f>IF(ListOfExpenditure[[#This Row],[Numero di volte controllato il contract ]]&gt;0,0,ListOfExpenditure[[#This Row],[IF public procurment &gt;10000;1;0]])</f>
        <v>0</v>
      </c>
    </row>
    <row r="1459" spans="1:42" x14ac:dyDescent="0.25">
      <c r="A1459">
        <v>1153</v>
      </c>
      <c r="B1459">
        <v>3</v>
      </c>
      <c r="E1459" t="s">
        <v>4798</v>
      </c>
      <c r="F1459" t="b">
        <v>0</v>
      </c>
      <c r="I1459" t="s">
        <v>6374</v>
      </c>
      <c r="J1459" t="s">
        <v>6375</v>
      </c>
      <c r="K1459" t="s">
        <v>4831</v>
      </c>
      <c r="L1459" t="s">
        <v>4957</v>
      </c>
      <c r="M1459" t="s">
        <v>4788</v>
      </c>
      <c r="N1459" t="s">
        <v>4788</v>
      </c>
      <c r="O1459">
        <v>615</v>
      </c>
      <c r="P1459">
        <v>0</v>
      </c>
      <c r="Q1459">
        <v>0</v>
      </c>
      <c r="R1459">
        <v>0</v>
      </c>
      <c r="S1459">
        <v>615</v>
      </c>
      <c r="T1459" t="s">
        <v>4789</v>
      </c>
      <c r="U1459">
        <v>1</v>
      </c>
      <c r="V1459">
        <v>615</v>
      </c>
      <c r="W1459" t="s">
        <v>4343</v>
      </c>
      <c r="Y1459" t="b">
        <v>1</v>
      </c>
      <c r="Z1459" t="b">
        <v>0</v>
      </c>
      <c r="AA1459">
        <v>0</v>
      </c>
      <c r="AB1459">
        <v>0</v>
      </c>
      <c r="AD1459" t="b">
        <v>1</v>
      </c>
      <c r="AE1459" t="s">
        <v>6376</v>
      </c>
      <c r="AF1459" t="s">
        <v>6377</v>
      </c>
      <c r="AG1459" s="1" t="s">
        <v>277</v>
      </c>
      <c r="AH1459" s="1" t="s">
        <v>281</v>
      </c>
      <c r="AI1459">
        <v>93</v>
      </c>
      <c r="AJ1459">
        <v>145</v>
      </c>
      <c r="AK1459" s="106">
        <v>45475.635542083335</v>
      </c>
      <c r="AL1459" s="1" t="s">
        <v>4790</v>
      </c>
      <c r="AM1459" s="42">
        <f>IFERROR(INDEX('Public procurment'!A:R,MATCH(ListOfExpenditure[[#This Row],[Content.contractId]],'Public procurment'!E:E,0),14),0)</f>
        <v>0</v>
      </c>
      <c r="AN1459" s="2">
        <f>IF(AND(ListOfExpenditure[[#This Row],[Contract amount]]&gt;10000,ListOfExpenditure[[#This Row],[Content.declaredAmount]]&gt;2000),1,0)</f>
        <v>0</v>
      </c>
      <c r="AO1459">
        <f>IFERROR(INDEX('Public procurment'!A:S,MATCH(ListOfExpenditure[[#This Row],[Content.contractId]],'Public procurment'!E:E,0),19),0)</f>
        <v>0</v>
      </c>
      <c r="AP1459">
        <f>IF(ListOfExpenditure[[#This Row],[Numero di volte controllato il contract ]]&gt;0,0,ListOfExpenditure[[#This Row],[IF public procurment &gt;10000;1;0]])</f>
        <v>0</v>
      </c>
    </row>
    <row r="1460" spans="1:42" x14ac:dyDescent="0.25">
      <c r="A1460">
        <v>1154</v>
      </c>
      <c r="B1460">
        <v>4</v>
      </c>
      <c r="E1460" t="s">
        <v>4798</v>
      </c>
      <c r="F1460" t="b">
        <v>0</v>
      </c>
      <c r="I1460" t="s">
        <v>6378</v>
      </c>
      <c r="J1460" t="s">
        <v>6379</v>
      </c>
      <c r="K1460" t="s">
        <v>4904</v>
      </c>
      <c r="L1460" t="s">
        <v>4905</v>
      </c>
      <c r="M1460" t="s">
        <v>4788</v>
      </c>
      <c r="N1460" t="s">
        <v>4788</v>
      </c>
      <c r="O1460">
        <v>4200</v>
      </c>
      <c r="P1460">
        <v>757.38</v>
      </c>
      <c r="Q1460">
        <v>0</v>
      </c>
      <c r="R1460">
        <v>0</v>
      </c>
      <c r="S1460">
        <v>4200</v>
      </c>
      <c r="T1460" t="s">
        <v>4789</v>
      </c>
      <c r="U1460">
        <v>1</v>
      </c>
      <c r="V1460">
        <v>4200</v>
      </c>
      <c r="W1460" t="s">
        <v>4343</v>
      </c>
      <c r="Y1460" t="b">
        <v>1</v>
      </c>
      <c r="Z1460" t="b">
        <v>0</v>
      </c>
      <c r="AA1460">
        <v>4200</v>
      </c>
      <c r="AB1460">
        <v>0</v>
      </c>
      <c r="AD1460" t="b">
        <v>0</v>
      </c>
      <c r="AG1460" s="1" t="s">
        <v>277</v>
      </c>
      <c r="AH1460" s="1" t="s">
        <v>281</v>
      </c>
      <c r="AI1460">
        <v>93</v>
      </c>
      <c r="AJ1460">
        <v>145</v>
      </c>
      <c r="AK1460" s="106">
        <v>45475.635542083335</v>
      </c>
      <c r="AL1460" s="1" t="s">
        <v>4790</v>
      </c>
      <c r="AM1460" s="42">
        <f>IFERROR(INDEX('Public procurment'!A:R,MATCH(ListOfExpenditure[[#This Row],[Content.contractId]],'Public procurment'!E:E,0),14),0)</f>
        <v>0</v>
      </c>
      <c r="AN1460" s="2">
        <f>IF(AND(ListOfExpenditure[[#This Row],[Contract amount]]&gt;10000,ListOfExpenditure[[#This Row],[Content.declaredAmount]]&gt;2000),1,0)</f>
        <v>0</v>
      </c>
      <c r="AO1460">
        <f>IFERROR(INDEX('Public procurment'!A:S,MATCH(ListOfExpenditure[[#This Row],[Content.contractId]],'Public procurment'!E:E,0),19),0)</f>
        <v>0</v>
      </c>
      <c r="AP1460">
        <f>IF(ListOfExpenditure[[#This Row],[Numero di volte controllato il contract ]]&gt;0,0,ListOfExpenditure[[#This Row],[IF public procurment &gt;10000;1;0]])</f>
        <v>0</v>
      </c>
    </row>
    <row r="1461" spans="1:42" x14ac:dyDescent="0.25">
      <c r="A1461">
        <v>1159</v>
      </c>
      <c r="B1461">
        <v>5</v>
      </c>
      <c r="E1461" t="s">
        <v>4798</v>
      </c>
      <c r="F1461" t="b">
        <v>0</v>
      </c>
      <c r="I1461" t="s">
        <v>6380</v>
      </c>
      <c r="J1461" t="s">
        <v>6381</v>
      </c>
      <c r="K1461" t="s">
        <v>4924</v>
      </c>
      <c r="L1461" t="s">
        <v>5687</v>
      </c>
      <c r="M1461" t="s">
        <v>4788</v>
      </c>
      <c r="N1461" t="s">
        <v>4788</v>
      </c>
      <c r="O1461">
        <v>597.79999999999995</v>
      </c>
      <c r="P1461">
        <v>107.8</v>
      </c>
      <c r="Q1461">
        <v>0</v>
      </c>
      <c r="R1461">
        <v>0</v>
      </c>
      <c r="S1461">
        <v>597.79999999999995</v>
      </c>
      <c r="T1461" t="s">
        <v>4789</v>
      </c>
      <c r="U1461">
        <v>1</v>
      </c>
      <c r="V1461">
        <v>597.79999999999995</v>
      </c>
      <c r="W1461" t="s">
        <v>4343</v>
      </c>
      <c r="Y1461" t="b">
        <v>1</v>
      </c>
      <c r="Z1461" t="b">
        <v>0</v>
      </c>
      <c r="AA1461">
        <v>597.79999999999995</v>
      </c>
      <c r="AB1461">
        <v>0</v>
      </c>
      <c r="AD1461" t="b">
        <v>0</v>
      </c>
      <c r="AG1461" s="1" t="s">
        <v>277</v>
      </c>
      <c r="AH1461" s="1" t="s">
        <v>281</v>
      </c>
      <c r="AI1461">
        <v>93</v>
      </c>
      <c r="AJ1461">
        <v>145</v>
      </c>
      <c r="AK1461" s="106">
        <v>45475.635542083335</v>
      </c>
      <c r="AL1461" s="1" t="s">
        <v>4790</v>
      </c>
      <c r="AM1461" s="42">
        <f>IFERROR(INDEX('Public procurment'!A:R,MATCH(ListOfExpenditure[[#This Row],[Content.contractId]],'Public procurment'!E:E,0),14),0)</f>
        <v>0</v>
      </c>
      <c r="AN1461" s="2">
        <f>IF(AND(ListOfExpenditure[[#This Row],[Contract amount]]&gt;10000,ListOfExpenditure[[#This Row],[Content.declaredAmount]]&gt;2000),1,0)</f>
        <v>0</v>
      </c>
      <c r="AO1461">
        <f>IFERROR(INDEX('Public procurment'!A:S,MATCH(ListOfExpenditure[[#This Row],[Content.contractId]],'Public procurment'!E:E,0),19),0)</f>
        <v>0</v>
      </c>
      <c r="AP1461">
        <f>IF(ListOfExpenditure[[#This Row],[Numero di volte controllato il contract ]]&gt;0,0,ListOfExpenditure[[#This Row],[IF public procurment &gt;10000;1;0]])</f>
        <v>0</v>
      </c>
    </row>
    <row r="1462" spans="1:42" x14ac:dyDescent="0.25">
      <c r="A1462">
        <v>1166</v>
      </c>
      <c r="B1462">
        <v>6</v>
      </c>
      <c r="E1462" t="s">
        <v>4798</v>
      </c>
      <c r="F1462" t="b">
        <v>0</v>
      </c>
      <c r="I1462" t="s">
        <v>6382</v>
      </c>
      <c r="J1462" t="s">
        <v>6383</v>
      </c>
      <c r="K1462" t="s">
        <v>4904</v>
      </c>
      <c r="L1462" t="s">
        <v>4905</v>
      </c>
      <c r="M1462" t="s">
        <v>4788</v>
      </c>
      <c r="N1462" t="s">
        <v>4788</v>
      </c>
      <c r="O1462">
        <v>2735.85</v>
      </c>
      <c r="P1462">
        <v>493.35</v>
      </c>
      <c r="Q1462">
        <v>0</v>
      </c>
      <c r="R1462">
        <v>0</v>
      </c>
      <c r="S1462">
        <v>2735.85</v>
      </c>
      <c r="T1462" t="s">
        <v>4789</v>
      </c>
      <c r="U1462">
        <v>1</v>
      </c>
      <c r="V1462">
        <v>2735.85</v>
      </c>
      <c r="W1462" t="s">
        <v>4343</v>
      </c>
      <c r="Y1462" t="b">
        <v>1</v>
      </c>
      <c r="Z1462" t="b">
        <v>0</v>
      </c>
      <c r="AA1462">
        <v>2735.85</v>
      </c>
      <c r="AB1462">
        <v>0</v>
      </c>
      <c r="AD1462" t="b">
        <v>0</v>
      </c>
      <c r="AG1462" s="1" t="s">
        <v>277</v>
      </c>
      <c r="AH1462" s="1" t="s">
        <v>281</v>
      </c>
      <c r="AI1462">
        <v>93</v>
      </c>
      <c r="AJ1462">
        <v>145</v>
      </c>
      <c r="AK1462" s="106">
        <v>45475.635542083335</v>
      </c>
      <c r="AL1462" s="1" t="s">
        <v>4790</v>
      </c>
      <c r="AM1462" s="42">
        <f>IFERROR(INDEX('Public procurment'!A:R,MATCH(ListOfExpenditure[[#This Row],[Content.contractId]],'Public procurment'!E:E,0),14),0)</f>
        <v>0</v>
      </c>
      <c r="AN1462" s="2">
        <f>IF(AND(ListOfExpenditure[[#This Row],[Contract amount]]&gt;10000,ListOfExpenditure[[#This Row],[Content.declaredAmount]]&gt;2000),1,0)</f>
        <v>0</v>
      </c>
      <c r="AO1462">
        <f>IFERROR(INDEX('Public procurment'!A:S,MATCH(ListOfExpenditure[[#This Row],[Content.contractId]],'Public procurment'!E:E,0),19),0)</f>
        <v>0</v>
      </c>
      <c r="AP1462">
        <f>IF(ListOfExpenditure[[#This Row],[Numero di volte controllato il contract ]]&gt;0,0,ListOfExpenditure[[#This Row],[IF public procurment &gt;10000;1;0]])</f>
        <v>0</v>
      </c>
    </row>
    <row r="1463" spans="1:42" x14ac:dyDescent="0.25">
      <c r="A1463">
        <v>1797</v>
      </c>
      <c r="B1463">
        <v>7</v>
      </c>
      <c r="C1463">
        <v>110</v>
      </c>
      <c r="E1463" t="s">
        <v>4893</v>
      </c>
      <c r="F1463" t="b">
        <v>0</v>
      </c>
      <c r="M1463" t="s">
        <v>4788</v>
      </c>
      <c r="N1463" t="s">
        <v>4788</v>
      </c>
      <c r="Q1463">
        <v>1</v>
      </c>
      <c r="R1463">
        <v>9000</v>
      </c>
      <c r="S1463">
        <v>9000</v>
      </c>
      <c r="T1463" t="s">
        <v>4789</v>
      </c>
      <c r="U1463">
        <v>1</v>
      </c>
      <c r="V1463">
        <v>9000</v>
      </c>
      <c r="Y1463" t="b">
        <v>1</v>
      </c>
      <c r="Z1463" t="b">
        <v>0</v>
      </c>
      <c r="AA1463">
        <v>9000</v>
      </c>
      <c r="AB1463">
        <v>0</v>
      </c>
      <c r="AD1463" t="b">
        <v>0</v>
      </c>
      <c r="AG1463" s="1" t="s">
        <v>277</v>
      </c>
      <c r="AH1463" s="1" t="s">
        <v>281</v>
      </c>
      <c r="AI1463">
        <v>93</v>
      </c>
      <c r="AJ1463">
        <v>145</v>
      </c>
      <c r="AK1463" s="106">
        <v>45475.635542083335</v>
      </c>
      <c r="AL1463" s="1" t="s">
        <v>4790</v>
      </c>
      <c r="AM1463" s="42">
        <f>IFERROR(INDEX('Public procurment'!A:R,MATCH(ListOfExpenditure[[#This Row],[Content.contractId]],'Public procurment'!E:E,0),14),0)</f>
        <v>0</v>
      </c>
      <c r="AN1463" s="2">
        <f>IF(AND(ListOfExpenditure[[#This Row],[Contract amount]]&gt;10000,ListOfExpenditure[[#This Row],[Content.declaredAmount]]&gt;2000),1,0)</f>
        <v>0</v>
      </c>
      <c r="AO1463">
        <f>IFERROR(INDEX('Public procurment'!A:S,MATCH(ListOfExpenditure[[#This Row],[Content.contractId]],'Public procurment'!E:E,0),19),0)</f>
        <v>0</v>
      </c>
      <c r="AP1463">
        <f>IF(ListOfExpenditure[[#This Row],[Numero di volte controllato il contract ]]&gt;0,0,ListOfExpenditure[[#This Row],[IF public procurment &gt;10000;1;0]])</f>
        <v>0</v>
      </c>
    </row>
    <row r="1464" spans="1:42" x14ac:dyDescent="0.25">
      <c r="A1464">
        <v>1947</v>
      </c>
      <c r="B1464">
        <v>8</v>
      </c>
      <c r="E1464" t="s">
        <v>4798</v>
      </c>
      <c r="F1464" t="b">
        <v>0</v>
      </c>
      <c r="I1464" t="s">
        <v>6384</v>
      </c>
      <c r="J1464" t="s">
        <v>6385</v>
      </c>
      <c r="K1464" t="s">
        <v>4931</v>
      </c>
      <c r="L1464" t="s">
        <v>4905</v>
      </c>
      <c r="M1464" t="s">
        <v>4788</v>
      </c>
      <c r="N1464" t="s">
        <v>4788</v>
      </c>
      <c r="O1464">
        <v>320</v>
      </c>
      <c r="P1464">
        <v>0</v>
      </c>
      <c r="Q1464">
        <v>0</v>
      </c>
      <c r="R1464">
        <v>0</v>
      </c>
      <c r="S1464">
        <v>320</v>
      </c>
      <c r="T1464" t="s">
        <v>4789</v>
      </c>
      <c r="U1464">
        <v>1</v>
      </c>
      <c r="V1464">
        <v>320</v>
      </c>
      <c r="W1464" t="s">
        <v>4343</v>
      </c>
      <c r="Y1464" t="b">
        <v>1</v>
      </c>
      <c r="Z1464" t="b">
        <v>0</v>
      </c>
      <c r="AA1464">
        <v>320</v>
      </c>
      <c r="AB1464">
        <v>0</v>
      </c>
      <c r="AD1464" t="b">
        <v>0</v>
      </c>
      <c r="AG1464" s="1" t="s">
        <v>277</v>
      </c>
      <c r="AH1464" s="1" t="s">
        <v>281</v>
      </c>
      <c r="AI1464">
        <v>93</v>
      </c>
      <c r="AJ1464">
        <v>145</v>
      </c>
      <c r="AK1464" s="106">
        <v>45475.635542083335</v>
      </c>
      <c r="AL1464" s="1" t="s">
        <v>4790</v>
      </c>
      <c r="AM1464" s="42">
        <f>IFERROR(INDEX('Public procurment'!A:R,MATCH(ListOfExpenditure[[#This Row],[Content.contractId]],'Public procurment'!E:E,0),14),0)</f>
        <v>0</v>
      </c>
      <c r="AN1464" s="2">
        <f>IF(AND(ListOfExpenditure[[#This Row],[Contract amount]]&gt;10000,ListOfExpenditure[[#This Row],[Content.declaredAmount]]&gt;2000),1,0)</f>
        <v>0</v>
      </c>
      <c r="AO1464">
        <f>IFERROR(INDEX('Public procurment'!A:S,MATCH(ListOfExpenditure[[#This Row],[Content.contractId]],'Public procurment'!E:E,0),19),0)</f>
        <v>0</v>
      </c>
      <c r="AP1464">
        <f>IF(ListOfExpenditure[[#This Row],[Numero di volte controllato il contract ]]&gt;0,0,ListOfExpenditure[[#This Row],[IF public procurment &gt;10000;1;0]])</f>
        <v>0</v>
      </c>
    </row>
    <row r="1465" spans="1:42" x14ac:dyDescent="0.25">
      <c r="A1465">
        <v>699</v>
      </c>
      <c r="B1465">
        <v>1</v>
      </c>
      <c r="D1465">
        <v>79</v>
      </c>
      <c r="E1465" t="s">
        <v>4786</v>
      </c>
      <c r="F1465" t="b">
        <v>0</v>
      </c>
      <c r="M1465" t="s">
        <v>4788</v>
      </c>
      <c r="N1465" t="s">
        <v>4788</v>
      </c>
      <c r="Q1465">
        <v>30</v>
      </c>
      <c r="R1465">
        <v>58</v>
      </c>
      <c r="S1465">
        <v>1740</v>
      </c>
      <c r="T1465" t="s">
        <v>4789</v>
      </c>
      <c r="U1465">
        <v>1</v>
      </c>
      <c r="V1465">
        <v>1740</v>
      </c>
      <c r="W1465" t="s">
        <v>4343</v>
      </c>
      <c r="Y1465" t="b">
        <v>0</v>
      </c>
      <c r="Z1465" t="b">
        <v>0</v>
      </c>
      <c r="AA1465">
        <v>1740</v>
      </c>
      <c r="AB1465">
        <v>0</v>
      </c>
      <c r="AD1465" t="b">
        <v>0</v>
      </c>
      <c r="AG1465" s="1" t="s">
        <v>310</v>
      </c>
      <c r="AH1465" s="1" t="s">
        <v>311</v>
      </c>
      <c r="AI1465">
        <v>181</v>
      </c>
      <c r="AJ1465">
        <v>192</v>
      </c>
      <c r="AK1465" s="106">
        <v>45475.635561134259</v>
      </c>
      <c r="AL1465" s="1" t="s">
        <v>4790</v>
      </c>
      <c r="AM1465" s="42">
        <f>IFERROR(INDEX('Public procurment'!A:R,MATCH(ListOfExpenditure[[#This Row],[Content.contractId]],'Public procurment'!E:E,0),14),0)</f>
        <v>0</v>
      </c>
      <c r="AN1465" s="2">
        <f>IF(AND(ListOfExpenditure[[#This Row],[Contract amount]]&gt;10000,ListOfExpenditure[[#This Row],[Content.declaredAmount]]&gt;2000),1,0)</f>
        <v>0</v>
      </c>
      <c r="AO1465">
        <f>IFERROR(INDEX('Public procurment'!A:S,MATCH(ListOfExpenditure[[#This Row],[Content.contractId]],'Public procurment'!E:E,0),19),0)</f>
        <v>0</v>
      </c>
      <c r="AP1465">
        <f>IF(ListOfExpenditure[[#This Row],[Numero di volte controllato il contract ]]&gt;0,0,ListOfExpenditure[[#This Row],[IF public procurment &gt;10000;1;0]])</f>
        <v>0</v>
      </c>
    </row>
    <row r="1466" spans="1:42" x14ac:dyDescent="0.25">
      <c r="A1466">
        <v>700</v>
      </c>
      <c r="B1466">
        <v>2</v>
      </c>
      <c r="D1466">
        <v>78</v>
      </c>
      <c r="E1466" t="s">
        <v>4786</v>
      </c>
      <c r="F1466" t="b">
        <v>0</v>
      </c>
      <c r="M1466" t="s">
        <v>4788</v>
      </c>
      <c r="N1466" t="s">
        <v>4788</v>
      </c>
      <c r="Q1466">
        <v>82</v>
      </c>
      <c r="R1466">
        <v>27</v>
      </c>
      <c r="S1466">
        <v>2214</v>
      </c>
      <c r="T1466" t="s">
        <v>4789</v>
      </c>
      <c r="U1466">
        <v>1</v>
      </c>
      <c r="V1466">
        <v>2214</v>
      </c>
      <c r="W1466" t="s">
        <v>4343</v>
      </c>
      <c r="Y1466" t="b">
        <v>0</v>
      </c>
      <c r="Z1466" t="b">
        <v>0</v>
      </c>
      <c r="AA1466">
        <v>2214</v>
      </c>
      <c r="AB1466">
        <v>0</v>
      </c>
      <c r="AD1466" t="b">
        <v>0</v>
      </c>
      <c r="AG1466" s="1" t="s">
        <v>310</v>
      </c>
      <c r="AH1466" s="1" t="s">
        <v>311</v>
      </c>
      <c r="AI1466">
        <v>181</v>
      </c>
      <c r="AJ1466">
        <v>192</v>
      </c>
      <c r="AK1466" s="106">
        <v>45475.635561134259</v>
      </c>
      <c r="AL1466" s="1" t="s">
        <v>4790</v>
      </c>
      <c r="AM1466" s="42">
        <f>IFERROR(INDEX('Public procurment'!A:R,MATCH(ListOfExpenditure[[#This Row],[Content.contractId]],'Public procurment'!E:E,0),14),0)</f>
        <v>0</v>
      </c>
      <c r="AN1466" s="2">
        <f>IF(AND(ListOfExpenditure[[#This Row],[Contract amount]]&gt;10000,ListOfExpenditure[[#This Row],[Content.declaredAmount]]&gt;2000),1,0)</f>
        <v>0</v>
      </c>
      <c r="AO1466">
        <f>IFERROR(INDEX('Public procurment'!A:S,MATCH(ListOfExpenditure[[#This Row],[Content.contractId]],'Public procurment'!E:E,0),19),0)</f>
        <v>0</v>
      </c>
      <c r="AP1466">
        <f>IF(ListOfExpenditure[[#This Row],[Numero di volte controllato il contract ]]&gt;0,0,ListOfExpenditure[[#This Row],[IF public procurment &gt;10000;1;0]])</f>
        <v>0</v>
      </c>
    </row>
    <row r="1467" spans="1:42" x14ac:dyDescent="0.25">
      <c r="A1467">
        <v>2085</v>
      </c>
      <c r="B1467">
        <v>1</v>
      </c>
      <c r="E1467" t="s">
        <v>4798</v>
      </c>
      <c r="F1467" t="b">
        <v>0</v>
      </c>
      <c r="H1467">
        <v>273</v>
      </c>
      <c r="I1467" t="s">
        <v>6386</v>
      </c>
      <c r="J1467" t="s">
        <v>6387</v>
      </c>
      <c r="K1467" t="s">
        <v>4444</v>
      </c>
      <c r="L1467" t="s">
        <v>6388</v>
      </c>
      <c r="M1467" t="s">
        <v>4788</v>
      </c>
      <c r="N1467" t="s">
        <v>4788</v>
      </c>
      <c r="O1467">
        <v>178.75</v>
      </c>
      <c r="P1467">
        <v>16.25</v>
      </c>
      <c r="Q1467">
        <v>0</v>
      </c>
      <c r="R1467">
        <v>0</v>
      </c>
      <c r="S1467">
        <v>178.75</v>
      </c>
      <c r="T1467" t="s">
        <v>4789</v>
      </c>
      <c r="U1467">
        <v>1</v>
      </c>
      <c r="V1467">
        <v>178.75</v>
      </c>
      <c r="W1467" t="s">
        <v>4343</v>
      </c>
      <c r="Y1467" t="b">
        <v>0</v>
      </c>
      <c r="Z1467" t="b">
        <v>0</v>
      </c>
      <c r="AA1467">
        <v>178.75</v>
      </c>
      <c r="AB1467">
        <v>0</v>
      </c>
      <c r="AD1467" t="b">
        <v>0</v>
      </c>
      <c r="AG1467" s="1" t="s">
        <v>310</v>
      </c>
      <c r="AH1467" s="1" t="s">
        <v>32</v>
      </c>
      <c r="AI1467">
        <v>80</v>
      </c>
      <c r="AJ1467">
        <v>338</v>
      </c>
      <c r="AK1467" s="106">
        <v>45475.635547800928</v>
      </c>
      <c r="AL1467" s="1" t="s">
        <v>4790</v>
      </c>
      <c r="AM1467" s="42">
        <f>IFERROR(INDEX('Public procurment'!A:R,MATCH(ListOfExpenditure[[#This Row],[Content.contractId]],'Public procurment'!E:E,0),14),0)</f>
        <v>162.5</v>
      </c>
      <c r="AN1467" s="2">
        <f>IF(AND(ListOfExpenditure[[#This Row],[Contract amount]]&gt;10000,ListOfExpenditure[[#This Row],[Content.declaredAmount]]&gt;2000),1,0)</f>
        <v>0</v>
      </c>
      <c r="AO1467">
        <f>IFERROR(INDEX('Public procurment'!A:S,MATCH(ListOfExpenditure[[#This Row],[Content.contractId]],'Public procurment'!E:E,0),19),0)</f>
        <v>0</v>
      </c>
      <c r="AP1467">
        <f>IF(ListOfExpenditure[[#This Row],[Numero di volte controllato il contract ]]&gt;0,0,ListOfExpenditure[[#This Row],[IF public procurment &gt;10000;1;0]])</f>
        <v>0</v>
      </c>
    </row>
    <row r="1468" spans="1:42" x14ac:dyDescent="0.25">
      <c r="A1468">
        <v>2086</v>
      </c>
      <c r="B1468">
        <v>2</v>
      </c>
      <c r="D1468">
        <v>142</v>
      </c>
      <c r="E1468" t="s">
        <v>4786</v>
      </c>
      <c r="F1468" t="b">
        <v>0</v>
      </c>
      <c r="M1468" t="s">
        <v>4788</v>
      </c>
      <c r="N1468" t="s">
        <v>4788</v>
      </c>
      <c r="Q1468">
        <v>106</v>
      </c>
      <c r="R1468">
        <v>27</v>
      </c>
      <c r="S1468">
        <v>2862</v>
      </c>
      <c r="T1468" t="s">
        <v>4789</v>
      </c>
      <c r="U1468">
        <v>1</v>
      </c>
      <c r="V1468">
        <v>2862</v>
      </c>
      <c r="W1468" t="s">
        <v>4343</v>
      </c>
      <c r="Y1468" t="b">
        <v>0</v>
      </c>
      <c r="Z1468" t="b">
        <v>0</v>
      </c>
      <c r="AA1468">
        <v>2862</v>
      </c>
      <c r="AB1468">
        <v>0</v>
      </c>
      <c r="AD1468" t="b">
        <v>0</v>
      </c>
      <c r="AG1468" s="1" t="s">
        <v>310</v>
      </c>
      <c r="AH1468" s="1" t="s">
        <v>32</v>
      </c>
      <c r="AI1468">
        <v>80</v>
      </c>
      <c r="AJ1468">
        <v>338</v>
      </c>
      <c r="AK1468" s="106">
        <v>45475.635547800928</v>
      </c>
      <c r="AL1468" s="1" t="s">
        <v>4790</v>
      </c>
      <c r="AM1468" s="42">
        <f>IFERROR(INDEX('Public procurment'!A:R,MATCH(ListOfExpenditure[[#This Row],[Content.contractId]],'Public procurment'!E:E,0),14),0)</f>
        <v>0</v>
      </c>
      <c r="AN1468" s="2">
        <f>IF(AND(ListOfExpenditure[[#This Row],[Contract amount]]&gt;10000,ListOfExpenditure[[#This Row],[Content.declaredAmount]]&gt;2000),1,0)</f>
        <v>0</v>
      </c>
      <c r="AO1468">
        <f>IFERROR(INDEX('Public procurment'!A:S,MATCH(ListOfExpenditure[[#This Row],[Content.contractId]],'Public procurment'!E:E,0),19),0)</f>
        <v>0</v>
      </c>
      <c r="AP1468">
        <f>IF(ListOfExpenditure[[#This Row],[Numero di volte controllato il contract ]]&gt;0,0,ListOfExpenditure[[#This Row],[IF public procurment &gt;10000;1;0]])</f>
        <v>0</v>
      </c>
    </row>
    <row r="1469" spans="1:42" x14ac:dyDescent="0.25">
      <c r="A1469">
        <v>2115</v>
      </c>
      <c r="B1469">
        <v>3</v>
      </c>
      <c r="D1469">
        <v>144</v>
      </c>
      <c r="E1469" t="s">
        <v>4786</v>
      </c>
      <c r="F1469" t="b">
        <v>0</v>
      </c>
      <c r="M1469" t="s">
        <v>4788</v>
      </c>
      <c r="N1469" t="s">
        <v>4788</v>
      </c>
      <c r="Q1469">
        <v>35</v>
      </c>
      <c r="R1469">
        <v>38</v>
      </c>
      <c r="S1469">
        <v>1330</v>
      </c>
      <c r="T1469" t="s">
        <v>4789</v>
      </c>
      <c r="U1469">
        <v>1</v>
      </c>
      <c r="V1469">
        <v>1330</v>
      </c>
      <c r="W1469" t="s">
        <v>4343</v>
      </c>
      <c r="Y1469" t="b">
        <v>0</v>
      </c>
      <c r="Z1469" t="b">
        <v>0</v>
      </c>
      <c r="AA1469">
        <v>1330</v>
      </c>
      <c r="AB1469">
        <v>0</v>
      </c>
      <c r="AD1469" t="b">
        <v>0</v>
      </c>
      <c r="AG1469" s="1" t="s">
        <v>310</v>
      </c>
      <c r="AH1469" s="1" t="s">
        <v>32</v>
      </c>
      <c r="AI1469">
        <v>80</v>
      </c>
      <c r="AJ1469">
        <v>338</v>
      </c>
      <c r="AK1469" s="106">
        <v>45475.635547800928</v>
      </c>
      <c r="AL1469" s="1" t="s">
        <v>4790</v>
      </c>
      <c r="AM1469" s="42">
        <f>IFERROR(INDEX('Public procurment'!A:R,MATCH(ListOfExpenditure[[#This Row],[Content.contractId]],'Public procurment'!E:E,0),14),0)</f>
        <v>0</v>
      </c>
      <c r="AN1469" s="2">
        <f>IF(AND(ListOfExpenditure[[#This Row],[Contract amount]]&gt;10000,ListOfExpenditure[[#This Row],[Content.declaredAmount]]&gt;2000),1,0)</f>
        <v>0</v>
      </c>
      <c r="AO1469">
        <f>IFERROR(INDEX('Public procurment'!A:S,MATCH(ListOfExpenditure[[#This Row],[Content.contractId]],'Public procurment'!E:E,0),19),0)</f>
        <v>0</v>
      </c>
      <c r="AP1469">
        <f>IF(ListOfExpenditure[[#This Row],[Numero di volte controllato il contract ]]&gt;0,0,ListOfExpenditure[[#This Row],[IF public procurment &gt;10000;1;0]])</f>
        <v>0</v>
      </c>
    </row>
    <row r="1470" spans="1:42" x14ac:dyDescent="0.25">
      <c r="A1470">
        <v>2116</v>
      </c>
      <c r="B1470">
        <v>4</v>
      </c>
      <c r="D1470">
        <v>142</v>
      </c>
      <c r="E1470" t="s">
        <v>4786</v>
      </c>
      <c r="F1470" t="b">
        <v>0</v>
      </c>
      <c r="M1470" t="s">
        <v>4788</v>
      </c>
      <c r="N1470" t="s">
        <v>4788</v>
      </c>
      <c r="Q1470">
        <v>104</v>
      </c>
      <c r="R1470">
        <v>27</v>
      </c>
      <c r="S1470">
        <v>2808</v>
      </c>
      <c r="T1470" t="s">
        <v>4789</v>
      </c>
      <c r="U1470">
        <v>1</v>
      </c>
      <c r="V1470">
        <v>2808</v>
      </c>
      <c r="W1470" t="s">
        <v>4343</v>
      </c>
      <c r="Y1470" t="b">
        <v>0</v>
      </c>
      <c r="Z1470" t="b">
        <v>0</v>
      </c>
      <c r="AA1470">
        <v>2808</v>
      </c>
      <c r="AB1470">
        <v>0</v>
      </c>
      <c r="AD1470" t="b">
        <v>0</v>
      </c>
      <c r="AG1470" s="1" t="s">
        <v>310</v>
      </c>
      <c r="AH1470" s="1" t="s">
        <v>32</v>
      </c>
      <c r="AI1470">
        <v>80</v>
      </c>
      <c r="AJ1470">
        <v>338</v>
      </c>
      <c r="AK1470" s="106">
        <v>45475.635547800928</v>
      </c>
      <c r="AL1470" s="1" t="s">
        <v>4790</v>
      </c>
      <c r="AM1470" s="42">
        <f>IFERROR(INDEX('Public procurment'!A:R,MATCH(ListOfExpenditure[[#This Row],[Content.contractId]],'Public procurment'!E:E,0),14),0)</f>
        <v>0</v>
      </c>
      <c r="AN1470" s="2">
        <f>IF(AND(ListOfExpenditure[[#This Row],[Contract amount]]&gt;10000,ListOfExpenditure[[#This Row],[Content.declaredAmount]]&gt;2000),1,0)</f>
        <v>0</v>
      </c>
      <c r="AO1470">
        <f>IFERROR(INDEX('Public procurment'!A:S,MATCH(ListOfExpenditure[[#This Row],[Content.contractId]],'Public procurment'!E:E,0),19),0)</f>
        <v>0</v>
      </c>
      <c r="AP1470">
        <f>IF(ListOfExpenditure[[#This Row],[Numero di volte controllato il contract ]]&gt;0,0,ListOfExpenditure[[#This Row],[IF public procurment &gt;10000;1;0]])</f>
        <v>0</v>
      </c>
    </row>
    <row r="1471" spans="1:42" x14ac:dyDescent="0.25">
      <c r="A1471">
        <v>2117</v>
      </c>
      <c r="B1471">
        <v>5</v>
      </c>
      <c r="D1471">
        <v>143</v>
      </c>
      <c r="E1471" t="s">
        <v>4786</v>
      </c>
      <c r="F1471" t="b">
        <v>0</v>
      </c>
      <c r="M1471" t="s">
        <v>4788</v>
      </c>
      <c r="N1471" t="s">
        <v>4788</v>
      </c>
      <c r="Q1471">
        <v>156</v>
      </c>
      <c r="R1471">
        <v>18</v>
      </c>
      <c r="S1471">
        <v>2808</v>
      </c>
      <c r="T1471" t="s">
        <v>4789</v>
      </c>
      <c r="U1471">
        <v>1</v>
      </c>
      <c r="V1471">
        <v>2808</v>
      </c>
      <c r="W1471" t="s">
        <v>4343</v>
      </c>
      <c r="Y1471" t="b">
        <v>0</v>
      </c>
      <c r="Z1471" t="b">
        <v>0</v>
      </c>
      <c r="AA1471">
        <v>2808</v>
      </c>
      <c r="AB1471">
        <v>0</v>
      </c>
      <c r="AD1471" t="b">
        <v>0</v>
      </c>
      <c r="AG1471" s="1" t="s">
        <v>310</v>
      </c>
      <c r="AH1471" s="1" t="s">
        <v>32</v>
      </c>
      <c r="AI1471">
        <v>80</v>
      </c>
      <c r="AJ1471">
        <v>338</v>
      </c>
      <c r="AK1471" s="106">
        <v>45475.635547800928</v>
      </c>
      <c r="AL1471" s="1" t="s">
        <v>4790</v>
      </c>
      <c r="AM1471" s="42">
        <f>IFERROR(INDEX('Public procurment'!A:R,MATCH(ListOfExpenditure[[#This Row],[Content.contractId]],'Public procurment'!E:E,0),14),0)</f>
        <v>0</v>
      </c>
      <c r="AN1471" s="2">
        <f>IF(AND(ListOfExpenditure[[#This Row],[Contract amount]]&gt;10000,ListOfExpenditure[[#This Row],[Content.declaredAmount]]&gt;2000),1,0)</f>
        <v>0</v>
      </c>
      <c r="AO1471">
        <f>IFERROR(INDEX('Public procurment'!A:S,MATCH(ListOfExpenditure[[#This Row],[Content.contractId]],'Public procurment'!E:E,0),19),0)</f>
        <v>0</v>
      </c>
      <c r="AP1471">
        <f>IF(ListOfExpenditure[[#This Row],[Numero di volte controllato il contract ]]&gt;0,0,ListOfExpenditure[[#This Row],[IF public procurment &gt;10000;1;0]])</f>
        <v>0</v>
      </c>
    </row>
    <row r="1472" spans="1:42" x14ac:dyDescent="0.25">
      <c r="A1472">
        <v>2118</v>
      </c>
      <c r="B1472">
        <v>6</v>
      </c>
      <c r="D1472">
        <v>143</v>
      </c>
      <c r="E1472" t="s">
        <v>4786</v>
      </c>
      <c r="F1472" t="b">
        <v>0</v>
      </c>
      <c r="M1472" t="s">
        <v>4788</v>
      </c>
      <c r="N1472" t="s">
        <v>4788</v>
      </c>
      <c r="Q1472">
        <v>279</v>
      </c>
      <c r="R1472">
        <v>18</v>
      </c>
      <c r="S1472">
        <v>5022</v>
      </c>
      <c r="T1472" t="s">
        <v>4789</v>
      </c>
      <c r="U1472">
        <v>1</v>
      </c>
      <c r="V1472">
        <v>5022</v>
      </c>
      <c r="W1472" t="s">
        <v>4343</v>
      </c>
      <c r="Y1472" t="b">
        <v>0</v>
      </c>
      <c r="Z1472" t="b">
        <v>0</v>
      </c>
      <c r="AA1472">
        <v>5022</v>
      </c>
      <c r="AB1472">
        <v>0</v>
      </c>
      <c r="AD1472" t="b">
        <v>0</v>
      </c>
      <c r="AG1472" s="1" t="s">
        <v>310</v>
      </c>
      <c r="AH1472" s="1" t="s">
        <v>32</v>
      </c>
      <c r="AI1472">
        <v>80</v>
      </c>
      <c r="AJ1472">
        <v>338</v>
      </c>
      <c r="AK1472" s="106">
        <v>45475.635547800928</v>
      </c>
      <c r="AL1472" s="1" t="s">
        <v>4790</v>
      </c>
      <c r="AM1472" s="42">
        <f>IFERROR(INDEX('Public procurment'!A:R,MATCH(ListOfExpenditure[[#This Row],[Content.contractId]],'Public procurment'!E:E,0),14),0)</f>
        <v>0</v>
      </c>
      <c r="AN1472" s="2">
        <f>IF(AND(ListOfExpenditure[[#This Row],[Contract amount]]&gt;10000,ListOfExpenditure[[#This Row],[Content.declaredAmount]]&gt;2000),1,0)</f>
        <v>0</v>
      </c>
      <c r="AO1472">
        <f>IFERROR(INDEX('Public procurment'!A:S,MATCH(ListOfExpenditure[[#This Row],[Content.contractId]],'Public procurment'!E:E,0),19),0)</f>
        <v>0</v>
      </c>
      <c r="AP1472">
        <f>IF(ListOfExpenditure[[#This Row],[Numero di volte controllato il contract ]]&gt;0,0,ListOfExpenditure[[#This Row],[IF public procurment &gt;10000;1;0]])</f>
        <v>0</v>
      </c>
    </row>
    <row r="1473" spans="1:42" x14ac:dyDescent="0.25">
      <c r="A1473">
        <v>254</v>
      </c>
      <c r="B1473">
        <v>1</v>
      </c>
      <c r="D1473">
        <v>31</v>
      </c>
      <c r="E1473" t="s">
        <v>4786</v>
      </c>
      <c r="F1473" t="b">
        <v>0</v>
      </c>
      <c r="M1473" t="s">
        <v>4788</v>
      </c>
      <c r="N1473" t="s">
        <v>4788</v>
      </c>
      <c r="Q1473">
        <v>100</v>
      </c>
      <c r="R1473">
        <v>27</v>
      </c>
      <c r="S1473">
        <v>2700</v>
      </c>
      <c r="T1473" t="s">
        <v>4789</v>
      </c>
      <c r="U1473">
        <v>1</v>
      </c>
      <c r="V1473">
        <v>2700</v>
      </c>
      <c r="W1473" t="s">
        <v>4343</v>
      </c>
      <c r="Y1473" t="b">
        <v>1</v>
      </c>
      <c r="Z1473" t="b">
        <v>0</v>
      </c>
      <c r="AA1473">
        <v>2700</v>
      </c>
      <c r="AB1473">
        <v>0</v>
      </c>
      <c r="AD1473" t="b">
        <v>0</v>
      </c>
      <c r="AG1473" s="1" t="s">
        <v>310</v>
      </c>
      <c r="AH1473" s="1" t="s">
        <v>32</v>
      </c>
      <c r="AI1473">
        <v>80</v>
      </c>
      <c r="AJ1473">
        <v>86</v>
      </c>
      <c r="AK1473" s="106">
        <v>45475.63543574074</v>
      </c>
      <c r="AL1473" s="1" t="s">
        <v>4790</v>
      </c>
      <c r="AM1473" s="42">
        <f>IFERROR(INDEX('Public procurment'!A:R,MATCH(ListOfExpenditure[[#This Row],[Content.contractId]],'Public procurment'!E:E,0),14),0)</f>
        <v>0</v>
      </c>
      <c r="AN1473" s="2">
        <f>IF(AND(ListOfExpenditure[[#This Row],[Contract amount]]&gt;10000,ListOfExpenditure[[#This Row],[Content.declaredAmount]]&gt;2000),1,0)</f>
        <v>0</v>
      </c>
      <c r="AO1473">
        <f>IFERROR(INDEX('Public procurment'!A:S,MATCH(ListOfExpenditure[[#This Row],[Content.contractId]],'Public procurment'!E:E,0),19),0)</f>
        <v>0</v>
      </c>
      <c r="AP1473">
        <f>IF(ListOfExpenditure[[#This Row],[Numero di volte controllato il contract ]]&gt;0,0,ListOfExpenditure[[#This Row],[IF public procurment &gt;10000;1;0]])</f>
        <v>0</v>
      </c>
    </row>
    <row r="1474" spans="1:42" x14ac:dyDescent="0.25">
      <c r="A1474">
        <v>263</v>
      </c>
      <c r="B1474">
        <v>2</v>
      </c>
      <c r="D1474">
        <v>30</v>
      </c>
      <c r="E1474" t="s">
        <v>4786</v>
      </c>
      <c r="F1474" t="b">
        <v>0</v>
      </c>
      <c r="M1474" t="s">
        <v>4788</v>
      </c>
      <c r="N1474" t="s">
        <v>4788</v>
      </c>
      <c r="Q1474">
        <v>32</v>
      </c>
      <c r="R1474">
        <v>38</v>
      </c>
      <c r="S1474">
        <v>1216</v>
      </c>
      <c r="T1474" t="s">
        <v>4789</v>
      </c>
      <c r="U1474">
        <v>1</v>
      </c>
      <c r="V1474">
        <v>1216</v>
      </c>
      <c r="W1474" t="s">
        <v>4343</v>
      </c>
      <c r="Y1474" t="b">
        <v>1</v>
      </c>
      <c r="Z1474" t="b">
        <v>0</v>
      </c>
      <c r="AA1474">
        <v>1216</v>
      </c>
      <c r="AB1474">
        <v>0</v>
      </c>
      <c r="AD1474" t="b">
        <v>0</v>
      </c>
      <c r="AG1474" s="1" t="s">
        <v>310</v>
      </c>
      <c r="AH1474" s="1" t="s">
        <v>32</v>
      </c>
      <c r="AI1474">
        <v>80</v>
      </c>
      <c r="AJ1474">
        <v>86</v>
      </c>
      <c r="AK1474" s="106">
        <v>45475.63543574074</v>
      </c>
      <c r="AL1474" s="1" t="s">
        <v>4790</v>
      </c>
      <c r="AM1474" s="42">
        <f>IFERROR(INDEX('Public procurment'!A:R,MATCH(ListOfExpenditure[[#This Row],[Content.contractId]],'Public procurment'!E:E,0),14),0)</f>
        <v>0</v>
      </c>
      <c r="AN1474" s="2">
        <f>IF(AND(ListOfExpenditure[[#This Row],[Contract amount]]&gt;10000,ListOfExpenditure[[#This Row],[Content.declaredAmount]]&gt;2000),1,0)</f>
        <v>0</v>
      </c>
      <c r="AO1474">
        <f>IFERROR(INDEX('Public procurment'!A:S,MATCH(ListOfExpenditure[[#This Row],[Content.contractId]],'Public procurment'!E:E,0),19),0)</f>
        <v>0</v>
      </c>
      <c r="AP1474">
        <f>IF(ListOfExpenditure[[#This Row],[Numero di volte controllato il contract ]]&gt;0,0,ListOfExpenditure[[#This Row],[IF public procurment &gt;10000;1;0]])</f>
        <v>0</v>
      </c>
    </row>
    <row r="1475" spans="1:42" x14ac:dyDescent="0.25">
      <c r="A1475">
        <v>264</v>
      </c>
      <c r="B1475">
        <v>3</v>
      </c>
      <c r="D1475">
        <v>29</v>
      </c>
      <c r="E1475" t="s">
        <v>4786</v>
      </c>
      <c r="F1475" t="b">
        <v>0</v>
      </c>
      <c r="M1475" t="s">
        <v>4788</v>
      </c>
      <c r="N1475" t="s">
        <v>4788</v>
      </c>
      <c r="Q1475">
        <v>152</v>
      </c>
      <c r="R1475">
        <v>18</v>
      </c>
      <c r="S1475">
        <v>2736</v>
      </c>
      <c r="T1475" t="s">
        <v>4789</v>
      </c>
      <c r="U1475">
        <v>1</v>
      </c>
      <c r="V1475">
        <v>2736</v>
      </c>
      <c r="W1475" t="s">
        <v>4343</v>
      </c>
      <c r="Y1475" t="b">
        <v>1</v>
      </c>
      <c r="Z1475" t="b">
        <v>0</v>
      </c>
      <c r="AA1475">
        <v>2736</v>
      </c>
      <c r="AB1475">
        <v>0</v>
      </c>
      <c r="AD1475" t="b">
        <v>0</v>
      </c>
      <c r="AG1475" s="1" t="s">
        <v>310</v>
      </c>
      <c r="AH1475" s="1" t="s">
        <v>32</v>
      </c>
      <c r="AI1475">
        <v>80</v>
      </c>
      <c r="AJ1475">
        <v>86</v>
      </c>
      <c r="AK1475" s="106">
        <v>45475.63543574074</v>
      </c>
      <c r="AL1475" s="1" t="s">
        <v>4790</v>
      </c>
      <c r="AM1475" s="42">
        <f>IFERROR(INDEX('Public procurment'!A:R,MATCH(ListOfExpenditure[[#This Row],[Content.contractId]],'Public procurment'!E:E,0),14),0)</f>
        <v>0</v>
      </c>
      <c r="AN1475" s="2">
        <f>IF(AND(ListOfExpenditure[[#This Row],[Contract amount]]&gt;10000,ListOfExpenditure[[#This Row],[Content.declaredAmount]]&gt;2000),1,0)</f>
        <v>0</v>
      </c>
      <c r="AO1475">
        <f>IFERROR(INDEX('Public procurment'!A:S,MATCH(ListOfExpenditure[[#This Row],[Content.contractId]],'Public procurment'!E:E,0),19),0)</f>
        <v>0</v>
      </c>
      <c r="AP1475">
        <f>IF(ListOfExpenditure[[#This Row],[Numero di volte controllato il contract ]]&gt;0,0,ListOfExpenditure[[#This Row],[IF public procurment &gt;10000;1;0]])</f>
        <v>0</v>
      </c>
    </row>
    <row r="1476" spans="1:42" x14ac:dyDescent="0.25">
      <c r="A1476">
        <v>265</v>
      </c>
      <c r="B1476">
        <v>4</v>
      </c>
      <c r="D1476">
        <v>31</v>
      </c>
      <c r="E1476" t="s">
        <v>4786</v>
      </c>
      <c r="F1476" t="b">
        <v>0</v>
      </c>
      <c r="M1476" t="s">
        <v>4788</v>
      </c>
      <c r="N1476" t="s">
        <v>4788</v>
      </c>
      <c r="Q1476">
        <v>100</v>
      </c>
      <c r="R1476">
        <v>27</v>
      </c>
      <c r="S1476">
        <v>2700</v>
      </c>
      <c r="T1476" t="s">
        <v>4789</v>
      </c>
      <c r="U1476">
        <v>1</v>
      </c>
      <c r="V1476">
        <v>2700</v>
      </c>
      <c r="W1476" t="s">
        <v>4343</v>
      </c>
      <c r="Y1476" t="b">
        <v>1</v>
      </c>
      <c r="Z1476" t="b">
        <v>0</v>
      </c>
      <c r="AA1476">
        <v>2700</v>
      </c>
      <c r="AB1476">
        <v>0</v>
      </c>
      <c r="AD1476" t="b">
        <v>0</v>
      </c>
      <c r="AG1476" s="1" t="s">
        <v>310</v>
      </c>
      <c r="AH1476" s="1" t="s">
        <v>32</v>
      </c>
      <c r="AI1476">
        <v>80</v>
      </c>
      <c r="AJ1476">
        <v>86</v>
      </c>
      <c r="AK1476" s="106">
        <v>45475.63543574074</v>
      </c>
      <c r="AL1476" s="1" t="s">
        <v>4790</v>
      </c>
      <c r="AM1476" s="42">
        <f>IFERROR(INDEX('Public procurment'!A:R,MATCH(ListOfExpenditure[[#This Row],[Content.contractId]],'Public procurment'!E:E,0),14),0)</f>
        <v>0</v>
      </c>
      <c r="AN1476" s="2">
        <f>IF(AND(ListOfExpenditure[[#This Row],[Contract amount]]&gt;10000,ListOfExpenditure[[#This Row],[Content.declaredAmount]]&gt;2000),1,0)</f>
        <v>0</v>
      </c>
      <c r="AO1476">
        <f>IFERROR(INDEX('Public procurment'!A:S,MATCH(ListOfExpenditure[[#This Row],[Content.contractId]],'Public procurment'!E:E,0),19),0)</f>
        <v>0</v>
      </c>
      <c r="AP1476">
        <f>IF(ListOfExpenditure[[#This Row],[Numero di volte controllato il contract ]]&gt;0,0,ListOfExpenditure[[#This Row],[IF public procurment &gt;10000;1;0]])</f>
        <v>0</v>
      </c>
    </row>
    <row r="1477" spans="1:42" x14ac:dyDescent="0.25">
      <c r="A1477">
        <v>623</v>
      </c>
      <c r="B1477">
        <v>1</v>
      </c>
      <c r="E1477" t="s">
        <v>4786</v>
      </c>
      <c r="F1477" t="b">
        <v>1</v>
      </c>
      <c r="I1477" t="s">
        <v>4922</v>
      </c>
      <c r="K1477" t="s">
        <v>4831</v>
      </c>
      <c r="L1477" t="s">
        <v>4831</v>
      </c>
      <c r="M1477" t="s">
        <v>4788</v>
      </c>
      <c r="N1477" t="s">
        <v>4788</v>
      </c>
      <c r="O1477">
        <v>1238.08</v>
      </c>
      <c r="Q1477">
        <v>0</v>
      </c>
      <c r="R1477">
        <v>0</v>
      </c>
      <c r="S1477">
        <v>1238.08</v>
      </c>
      <c r="T1477" t="s">
        <v>4789</v>
      </c>
      <c r="U1477">
        <v>1</v>
      </c>
      <c r="V1477">
        <v>1238.08</v>
      </c>
      <c r="W1477" t="s">
        <v>4343</v>
      </c>
      <c r="Y1477" t="b">
        <v>1</v>
      </c>
      <c r="Z1477" t="b">
        <v>0</v>
      </c>
      <c r="AA1477">
        <v>1238.08</v>
      </c>
      <c r="AB1477">
        <v>0</v>
      </c>
      <c r="AD1477" t="b">
        <v>0</v>
      </c>
      <c r="AG1477" s="1" t="s">
        <v>310</v>
      </c>
      <c r="AH1477" s="1" t="s">
        <v>38</v>
      </c>
      <c r="AI1477">
        <v>182</v>
      </c>
      <c r="AJ1477">
        <v>154</v>
      </c>
      <c r="AK1477" s="106">
        <v>45475.635560613424</v>
      </c>
      <c r="AL1477" s="1" t="s">
        <v>4790</v>
      </c>
      <c r="AM1477" s="42">
        <f>IFERROR(INDEX('Public procurment'!A:R,MATCH(ListOfExpenditure[[#This Row],[Content.contractId]],'Public procurment'!E:E,0),14),0)</f>
        <v>0</v>
      </c>
      <c r="AN1477" s="2">
        <f>IF(AND(ListOfExpenditure[[#This Row],[Contract amount]]&gt;10000,ListOfExpenditure[[#This Row],[Content.declaredAmount]]&gt;2000),1,0)</f>
        <v>0</v>
      </c>
      <c r="AO1477">
        <f>IFERROR(INDEX('Public procurment'!A:S,MATCH(ListOfExpenditure[[#This Row],[Content.contractId]],'Public procurment'!E:E,0),19),0)</f>
        <v>0</v>
      </c>
      <c r="AP1477">
        <f>IF(ListOfExpenditure[[#This Row],[Numero di volte controllato il contract ]]&gt;0,0,ListOfExpenditure[[#This Row],[IF public procurment &gt;10000;1;0]])</f>
        <v>0</v>
      </c>
    </row>
    <row r="1478" spans="1:42" x14ac:dyDescent="0.25">
      <c r="A1478">
        <v>624</v>
      </c>
      <c r="B1478">
        <v>2</v>
      </c>
      <c r="E1478" t="s">
        <v>4786</v>
      </c>
      <c r="F1478" t="b">
        <v>1</v>
      </c>
      <c r="I1478" t="s">
        <v>4926</v>
      </c>
      <c r="K1478" t="s">
        <v>4957</v>
      </c>
      <c r="L1478" t="s">
        <v>4957</v>
      </c>
      <c r="M1478" t="s">
        <v>4788</v>
      </c>
      <c r="N1478" t="s">
        <v>4788</v>
      </c>
      <c r="O1478">
        <v>1315.07</v>
      </c>
      <c r="Q1478">
        <v>0</v>
      </c>
      <c r="R1478">
        <v>0</v>
      </c>
      <c r="S1478">
        <v>1315.07</v>
      </c>
      <c r="T1478" t="s">
        <v>4789</v>
      </c>
      <c r="U1478">
        <v>1</v>
      </c>
      <c r="V1478">
        <v>1315.07</v>
      </c>
      <c r="W1478" t="s">
        <v>4343</v>
      </c>
      <c r="Y1478" t="b">
        <v>1</v>
      </c>
      <c r="Z1478" t="b">
        <v>0</v>
      </c>
      <c r="AA1478">
        <v>1315.07</v>
      </c>
      <c r="AB1478">
        <v>0</v>
      </c>
      <c r="AD1478" t="b">
        <v>0</v>
      </c>
      <c r="AG1478" s="1" t="s">
        <v>310</v>
      </c>
      <c r="AH1478" s="1" t="s">
        <v>38</v>
      </c>
      <c r="AI1478">
        <v>182</v>
      </c>
      <c r="AJ1478">
        <v>154</v>
      </c>
      <c r="AK1478" s="106">
        <v>45475.635560613424</v>
      </c>
      <c r="AL1478" s="1" t="s">
        <v>4790</v>
      </c>
      <c r="AM1478" s="42">
        <f>IFERROR(INDEX('Public procurment'!A:R,MATCH(ListOfExpenditure[[#This Row],[Content.contractId]],'Public procurment'!E:E,0),14),0)</f>
        <v>0</v>
      </c>
      <c r="AN1478" s="2">
        <f>IF(AND(ListOfExpenditure[[#This Row],[Contract amount]]&gt;10000,ListOfExpenditure[[#This Row],[Content.declaredAmount]]&gt;2000),1,0)</f>
        <v>0</v>
      </c>
      <c r="AO1478">
        <f>IFERROR(INDEX('Public procurment'!A:S,MATCH(ListOfExpenditure[[#This Row],[Content.contractId]],'Public procurment'!E:E,0),19),0)</f>
        <v>0</v>
      </c>
      <c r="AP1478">
        <f>IF(ListOfExpenditure[[#This Row],[Numero di volte controllato il contract ]]&gt;0,0,ListOfExpenditure[[#This Row],[IF public procurment &gt;10000;1;0]])</f>
        <v>0</v>
      </c>
    </row>
    <row r="1479" spans="1:42" x14ac:dyDescent="0.25">
      <c r="A1479">
        <v>625</v>
      </c>
      <c r="B1479">
        <v>3</v>
      </c>
      <c r="E1479" t="s">
        <v>4786</v>
      </c>
      <c r="F1479" t="b">
        <v>1</v>
      </c>
      <c r="I1479" t="s">
        <v>4929</v>
      </c>
      <c r="K1479" t="s">
        <v>4958</v>
      </c>
      <c r="L1479" t="s">
        <v>4958</v>
      </c>
      <c r="M1479" t="s">
        <v>4788</v>
      </c>
      <c r="N1479" t="s">
        <v>4788</v>
      </c>
      <c r="O1479">
        <v>1794.86</v>
      </c>
      <c r="Q1479">
        <v>0</v>
      </c>
      <c r="R1479">
        <v>0</v>
      </c>
      <c r="S1479">
        <v>1794.86</v>
      </c>
      <c r="T1479" t="s">
        <v>4789</v>
      </c>
      <c r="U1479">
        <v>1</v>
      </c>
      <c r="V1479">
        <v>1794.86</v>
      </c>
      <c r="W1479" t="s">
        <v>4343</v>
      </c>
      <c r="Y1479" t="b">
        <v>1</v>
      </c>
      <c r="Z1479" t="b">
        <v>0</v>
      </c>
      <c r="AA1479">
        <v>1794.86</v>
      </c>
      <c r="AB1479">
        <v>0</v>
      </c>
      <c r="AD1479" t="b">
        <v>0</v>
      </c>
      <c r="AG1479" s="1" t="s">
        <v>310</v>
      </c>
      <c r="AH1479" s="1" t="s">
        <v>38</v>
      </c>
      <c r="AI1479">
        <v>182</v>
      </c>
      <c r="AJ1479">
        <v>154</v>
      </c>
      <c r="AK1479" s="106">
        <v>45475.635560613424</v>
      </c>
      <c r="AL1479" s="1" t="s">
        <v>4790</v>
      </c>
      <c r="AM1479" s="42">
        <f>IFERROR(INDEX('Public procurment'!A:R,MATCH(ListOfExpenditure[[#This Row],[Content.contractId]],'Public procurment'!E:E,0),14),0)</f>
        <v>0</v>
      </c>
      <c r="AN1479" s="2">
        <f>IF(AND(ListOfExpenditure[[#This Row],[Contract amount]]&gt;10000,ListOfExpenditure[[#This Row],[Content.declaredAmount]]&gt;2000),1,0)</f>
        <v>0</v>
      </c>
      <c r="AO1479">
        <f>IFERROR(INDEX('Public procurment'!A:S,MATCH(ListOfExpenditure[[#This Row],[Content.contractId]],'Public procurment'!E:E,0),19),0)</f>
        <v>0</v>
      </c>
      <c r="AP1479">
        <f>IF(ListOfExpenditure[[#This Row],[Numero di volte controllato il contract ]]&gt;0,0,ListOfExpenditure[[#This Row],[IF public procurment &gt;10000;1;0]])</f>
        <v>0</v>
      </c>
    </row>
    <row r="1480" spans="1:42" x14ac:dyDescent="0.25">
      <c r="A1480">
        <v>626</v>
      </c>
      <c r="B1480">
        <v>4</v>
      </c>
      <c r="E1480" t="s">
        <v>4786</v>
      </c>
      <c r="F1480" t="b">
        <v>1</v>
      </c>
      <c r="I1480" t="s">
        <v>4933</v>
      </c>
      <c r="K1480" t="s">
        <v>4959</v>
      </c>
      <c r="L1480" t="s">
        <v>4959</v>
      </c>
      <c r="M1480" t="s">
        <v>4788</v>
      </c>
      <c r="N1480" t="s">
        <v>4788</v>
      </c>
      <c r="O1480">
        <v>816.87</v>
      </c>
      <c r="Q1480">
        <v>0</v>
      </c>
      <c r="R1480">
        <v>0</v>
      </c>
      <c r="S1480">
        <v>816.87</v>
      </c>
      <c r="T1480" t="s">
        <v>4789</v>
      </c>
      <c r="U1480">
        <v>1</v>
      </c>
      <c r="V1480">
        <v>816.87</v>
      </c>
      <c r="W1480" t="s">
        <v>4343</v>
      </c>
      <c r="Y1480" t="b">
        <v>1</v>
      </c>
      <c r="Z1480" t="b">
        <v>0</v>
      </c>
      <c r="AA1480">
        <v>816.87</v>
      </c>
      <c r="AB1480">
        <v>0</v>
      </c>
      <c r="AD1480" t="b">
        <v>0</v>
      </c>
      <c r="AG1480" s="1" t="s">
        <v>310</v>
      </c>
      <c r="AH1480" s="1" t="s">
        <v>38</v>
      </c>
      <c r="AI1480">
        <v>182</v>
      </c>
      <c r="AJ1480">
        <v>154</v>
      </c>
      <c r="AK1480" s="106">
        <v>45475.635560613424</v>
      </c>
      <c r="AL1480" s="1" t="s">
        <v>4790</v>
      </c>
      <c r="AM1480" s="42">
        <f>IFERROR(INDEX('Public procurment'!A:R,MATCH(ListOfExpenditure[[#This Row],[Content.contractId]],'Public procurment'!E:E,0),14),0)</f>
        <v>0</v>
      </c>
      <c r="AN1480" s="2">
        <f>IF(AND(ListOfExpenditure[[#This Row],[Contract amount]]&gt;10000,ListOfExpenditure[[#This Row],[Content.declaredAmount]]&gt;2000),1,0)</f>
        <v>0</v>
      </c>
      <c r="AO1480">
        <f>IFERROR(INDEX('Public procurment'!A:S,MATCH(ListOfExpenditure[[#This Row],[Content.contractId]],'Public procurment'!E:E,0),19),0)</f>
        <v>0</v>
      </c>
      <c r="AP1480">
        <f>IF(ListOfExpenditure[[#This Row],[Numero di volte controllato il contract ]]&gt;0,0,ListOfExpenditure[[#This Row],[IF public procurment &gt;10000;1;0]])</f>
        <v>0</v>
      </c>
    </row>
    <row r="1481" spans="1:42" x14ac:dyDescent="0.25">
      <c r="A1481">
        <v>627</v>
      </c>
      <c r="B1481">
        <v>5</v>
      </c>
      <c r="E1481" t="s">
        <v>4786</v>
      </c>
      <c r="F1481" t="b">
        <v>1</v>
      </c>
      <c r="I1481" t="s">
        <v>4938</v>
      </c>
      <c r="K1481" t="s">
        <v>4835</v>
      </c>
      <c r="L1481" t="s">
        <v>4835</v>
      </c>
      <c r="M1481" t="s">
        <v>4788</v>
      </c>
      <c r="N1481" t="s">
        <v>4788</v>
      </c>
      <c r="O1481">
        <v>851.53</v>
      </c>
      <c r="Q1481">
        <v>0</v>
      </c>
      <c r="R1481">
        <v>0</v>
      </c>
      <c r="S1481">
        <v>851.53</v>
      </c>
      <c r="T1481" t="s">
        <v>4789</v>
      </c>
      <c r="U1481">
        <v>1</v>
      </c>
      <c r="V1481">
        <v>851.53</v>
      </c>
      <c r="W1481" t="s">
        <v>4343</v>
      </c>
      <c r="Y1481" t="b">
        <v>1</v>
      </c>
      <c r="Z1481" t="b">
        <v>0</v>
      </c>
      <c r="AA1481">
        <v>841.61</v>
      </c>
      <c r="AB1481">
        <v>9.92</v>
      </c>
      <c r="AC1481">
        <v>14</v>
      </c>
      <c r="AD1481" t="b">
        <v>0</v>
      </c>
      <c r="AF1481" t="s">
        <v>4960</v>
      </c>
      <c r="AG1481" s="1" t="s">
        <v>310</v>
      </c>
      <c r="AH1481" s="1" t="s">
        <v>38</v>
      </c>
      <c r="AI1481">
        <v>182</v>
      </c>
      <c r="AJ1481">
        <v>154</v>
      </c>
      <c r="AK1481" s="106">
        <v>45475.635560613424</v>
      </c>
      <c r="AL1481" s="1" t="s">
        <v>4790</v>
      </c>
      <c r="AM1481" s="42">
        <f>IFERROR(INDEX('Public procurment'!A:R,MATCH(ListOfExpenditure[[#This Row],[Content.contractId]],'Public procurment'!E:E,0),14),0)</f>
        <v>0</v>
      </c>
      <c r="AN1481" s="2">
        <f>IF(AND(ListOfExpenditure[[#This Row],[Contract amount]]&gt;10000,ListOfExpenditure[[#This Row],[Content.declaredAmount]]&gt;2000),1,0)</f>
        <v>0</v>
      </c>
      <c r="AO1481">
        <f>IFERROR(INDEX('Public procurment'!A:S,MATCH(ListOfExpenditure[[#This Row],[Content.contractId]],'Public procurment'!E:E,0),19),0)</f>
        <v>0</v>
      </c>
      <c r="AP1481">
        <f>IF(ListOfExpenditure[[#This Row],[Numero di volte controllato il contract ]]&gt;0,0,ListOfExpenditure[[#This Row],[IF public procurment &gt;10000;1;0]])</f>
        <v>0</v>
      </c>
    </row>
    <row r="1482" spans="1:42" x14ac:dyDescent="0.25">
      <c r="A1482">
        <v>628</v>
      </c>
      <c r="B1482">
        <v>6</v>
      </c>
      <c r="E1482" t="s">
        <v>4786</v>
      </c>
      <c r="F1482" t="b">
        <v>1</v>
      </c>
      <c r="I1482" t="s">
        <v>4940</v>
      </c>
      <c r="K1482" t="s">
        <v>4831</v>
      </c>
      <c r="L1482" t="s">
        <v>4831</v>
      </c>
      <c r="M1482" t="s">
        <v>4788</v>
      </c>
      <c r="N1482" t="s">
        <v>4788</v>
      </c>
      <c r="O1482">
        <v>1072.57</v>
      </c>
      <c r="Q1482">
        <v>0</v>
      </c>
      <c r="R1482">
        <v>0</v>
      </c>
      <c r="S1482">
        <v>1072.57</v>
      </c>
      <c r="T1482" t="s">
        <v>4789</v>
      </c>
      <c r="U1482">
        <v>1</v>
      </c>
      <c r="V1482">
        <v>1072.57</v>
      </c>
      <c r="W1482" t="s">
        <v>4343</v>
      </c>
      <c r="Y1482" t="b">
        <v>1</v>
      </c>
      <c r="Z1482" t="b">
        <v>0</v>
      </c>
      <c r="AA1482">
        <v>1072.57</v>
      </c>
      <c r="AB1482">
        <v>0</v>
      </c>
      <c r="AD1482" t="b">
        <v>0</v>
      </c>
      <c r="AG1482" s="1" t="s">
        <v>310</v>
      </c>
      <c r="AH1482" s="1" t="s">
        <v>38</v>
      </c>
      <c r="AI1482">
        <v>182</v>
      </c>
      <c r="AJ1482">
        <v>154</v>
      </c>
      <c r="AK1482" s="106">
        <v>45475.635560613424</v>
      </c>
      <c r="AL1482" s="1" t="s">
        <v>4790</v>
      </c>
      <c r="AM1482" s="42">
        <f>IFERROR(INDEX('Public procurment'!A:R,MATCH(ListOfExpenditure[[#This Row],[Content.contractId]],'Public procurment'!E:E,0),14),0)</f>
        <v>0</v>
      </c>
      <c r="AN1482" s="2">
        <f>IF(AND(ListOfExpenditure[[#This Row],[Contract amount]]&gt;10000,ListOfExpenditure[[#This Row],[Content.declaredAmount]]&gt;2000),1,0)</f>
        <v>0</v>
      </c>
      <c r="AO1482">
        <f>IFERROR(INDEX('Public procurment'!A:S,MATCH(ListOfExpenditure[[#This Row],[Content.contractId]],'Public procurment'!E:E,0),19),0)</f>
        <v>0</v>
      </c>
      <c r="AP1482">
        <f>IF(ListOfExpenditure[[#This Row],[Numero di volte controllato il contract ]]&gt;0,0,ListOfExpenditure[[#This Row],[IF public procurment &gt;10000;1;0]])</f>
        <v>0</v>
      </c>
    </row>
    <row r="1483" spans="1:42" x14ac:dyDescent="0.25">
      <c r="A1483">
        <v>629</v>
      </c>
      <c r="B1483">
        <v>7</v>
      </c>
      <c r="E1483" t="s">
        <v>4786</v>
      </c>
      <c r="F1483" t="b">
        <v>1</v>
      </c>
      <c r="I1483" t="s">
        <v>4941</v>
      </c>
      <c r="K1483" t="s">
        <v>4957</v>
      </c>
      <c r="L1483" t="s">
        <v>4957</v>
      </c>
      <c r="M1483" t="s">
        <v>4788</v>
      </c>
      <c r="N1483" t="s">
        <v>4788</v>
      </c>
      <c r="O1483">
        <v>1094.73</v>
      </c>
      <c r="Q1483">
        <v>0</v>
      </c>
      <c r="R1483">
        <v>0</v>
      </c>
      <c r="S1483">
        <v>1094.73</v>
      </c>
      <c r="T1483" t="s">
        <v>4789</v>
      </c>
      <c r="U1483">
        <v>1</v>
      </c>
      <c r="V1483">
        <v>1094.73</v>
      </c>
      <c r="W1483" t="s">
        <v>4343</v>
      </c>
      <c r="Y1483" t="b">
        <v>1</v>
      </c>
      <c r="Z1483" t="b">
        <v>0</v>
      </c>
      <c r="AA1483">
        <v>1094.73</v>
      </c>
      <c r="AB1483">
        <v>0</v>
      </c>
      <c r="AD1483" t="b">
        <v>0</v>
      </c>
      <c r="AG1483" s="1" t="s">
        <v>310</v>
      </c>
      <c r="AH1483" s="1" t="s">
        <v>38</v>
      </c>
      <c r="AI1483">
        <v>182</v>
      </c>
      <c r="AJ1483">
        <v>154</v>
      </c>
      <c r="AK1483" s="106">
        <v>45475.635560613424</v>
      </c>
      <c r="AL1483" s="1" t="s">
        <v>4790</v>
      </c>
      <c r="AM1483" s="42">
        <f>IFERROR(INDEX('Public procurment'!A:R,MATCH(ListOfExpenditure[[#This Row],[Content.contractId]],'Public procurment'!E:E,0),14),0)</f>
        <v>0</v>
      </c>
      <c r="AN1483" s="2">
        <f>IF(AND(ListOfExpenditure[[#This Row],[Contract amount]]&gt;10000,ListOfExpenditure[[#This Row],[Content.declaredAmount]]&gt;2000),1,0)</f>
        <v>0</v>
      </c>
      <c r="AO1483">
        <f>IFERROR(INDEX('Public procurment'!A:S,MATCH(ListOfExpenditure[[#This Row],[Content.contractId]],'Public procurment'!E:E,0),19),0)</f>
        <v>0</v>
      </c>
      <c r="AP1483">
        <f>IF(ListOfExpenditure[[#This Row],[Numero di volte controllato il contract ]]&gt;0,0,ListOfExpenditure[[#This Row],[IF public procurment &gt;10000;1;0]])</f>
        <v>0</v>
      </c>
    </row>
    <row r="1484" spans="1:42" x14ac:dyDescent="0.25">
      <c r="A1484">
        <v>630</v>
      </c>
      <c r="B1484">
        <v>8</v>
      </c>
      <c r="E1484" t="s">
        <v>4786</v>
      </c>
      <c r="F1484" t="b">
        <v>1</v>
      </c>
      <c r="I1484" t="s">
        <v>4943</v>
      </c>
      <c r="K1484" t="s">
        <v>4958</v>
      </c>
      <c r="L1484" t="s">
        <v>4958</v>
      </c>
      <c r="M1484" t="s">
        <v>4788</v>
      </c>
      <c r="N1484" t="s">
        <v>4788</v>
      </c>
      <c r="O1484">
        <v>1097.3</v>
      </c>
      <c r="Q1484">
        <v>0</v>
      </c>
      <c r="R1484">
        <v>0</v>
      </c>
      <c r="S1484">
        <v>1097.3</v>
      </c>
      <c r="T1484" t="s">
        <v>4789</v>
      </c>
      <c r="U1484">
        <v>1</v>
      </c>
      <c r="V1484">
        <v>1097.3</v>
      </c>
      <c r="W1484" t="s">
        <v>4343</v>
      </c>
      <c r="Y1484" t="b">
        <v>1</v>
      </c>
      <c r="Z1484" t="b">
        <v>0</v>
      </c>
      <c r="AA1484">
        <v>1097.3</v>
      </c>
      <c r="AB1484">
        <v>0</v>
      </c>
      <c r="AD1484" t="b">
        <v>0</v>
      </c>
      <c r="AG1484" s="1" t="s">
        <v>310</v>
      </c>
      <c r="AH1484" s="1" t="s">
        <v>38</v>
      </c>
      <c r="AI1484">
        <v>182</v>
      </c>
      <c r="AJ1484">
        <v>154</v>
      </c>
      <c r="AK1484" s="106">
        <v>45475.635560613424</v>
      </c>
      <c r="AL1484" s="1" t="s">
        <v>4790</v>
      </c>
      <c r="AM1484" s="42">
        <f>IFERROR(INDEX('Public procurment'!A:R,MATCH(ListOfExpenditure[[#This Row],[Content.contractId]],'Public procurment'!E:E,0),14),0)</f>
        <v>0</v>
      </c>
      <c r="AN1484" s="2">
        <f>IF(AND(ListOfExpenditure[[#This Row],[Contract amount]]&gt;10000,ListOfExpenditure[[#This Row],[Content.declaredAmount]]&gt;2000),1,0)</f>
        <v>0</v>
      </c>
      <c r="AO1484">
        <f>IFERROR(INDEX('Public procurment'!A:S,MATCH(ListOfExpenditure[[#This Row],[Content.contractId]],'Public procurment'!E:E,0),19),0)</f>
        <v>0</v>
      </c>
      <c r="AP1484">
        <f>IF(ListOfExpenditure[[#This Row],[Numero di volte controllato il contract ]]&gt;0,0,ListOfExpenditure[[#This Row],[IF public procurment &gt;10000;1;0]])</f>
        <v>0</v>
      </c>
    </row>
    <row r="1485" spans="1:42" x14ac:dyDescent="0.25">
      <c r="A1485">
        <v>631</v>
      </c>
      <c r="B1485">
        <v>9</v>
      </c>
      <c r="E1485" t="s">
        <v>4786</v>
      </c>
      <c r="F1485" t="b">
        <v>1</v>
      </c>
      <c r="I1485" t="s">
        <v>4944</v>
      </c>
      <c r="K1485" t="s">
        <v>4959</v>
      </c>
      <c r="L1485" t="s">
        <v>4959</v>
      </c>
      <c r="M1485" t="s">
        <v>4788</v>
      </c>
      <c r="N1485" t="s">
        <v>4788</v>
      </c>
      <c r="O1485">
        <v>1096.56</v>
      </c>
      <c r="Q1485">
        <v>0</v>
      </c>
      <c r="R1485">
        <v>0</v>
      </c>
      <c r="S1485">
        <v>1096.56</v>
      </c>
      <c r="T1485" t="s">
        <v>4789</v>
      </c>
      <c r="U1485">
        <v>1</v>
      </c>
      <c r="V1485">
        <v>1096.56</v>
      </c>
      <c r="W1485" t="s">
        <v>4343</v>
      </c>
      <c r="Y1485" t="b">
        <v>1</v>
      </c>
      <c r="Z1485" t="b">
        <v>0</v>
      </c>
      <c r="AA1485">
        <v>1096.56</v>
      </c>
      <c r="AB1485">
        <v>0</v>
      </c>
      <c r="AD1485" t="b">
        <v>0</v>
      </c>
      <c r="AG1485" s="1" t="s">
        <v>310</v>
      </c>
      <c r="AH1485" s="1" t="s">
        <v>38</v>
      </c>
      <c r="AI1485">
        <v>182</v>
      </c>
      <c r="AJ1485">
        <v>154</v>
      </c>
      <c r="AK1485" s="106">
        <v>45475.635560613424</v>
      </c>
      <c r="AL1485" s="1" t="s">
        <v>4790</v>
      </c>
      <c r="AM1485" s="42">
        <f>IFERROR(INDEX('Public procurment'!A:R,MATCH(ListOfExpenditure[[#This Row],[Content.contractId]],'Public procurment'!E:E,0),14),0)</f>
        <v>0</v>
      </c>
      <c r="AN1485" s="2">
        <f>IF(AND(ListOfExpenditure[[#This Row],[Contract amount]]&gt;10000,ListOfExpenditure[[#This Row],[Content.declaredAmount]]&gt;2000),1,0)</f>
        <v>0</v>
      </c>
      <c r="AO1485">
        <f>IFERROR(INDEX('Public procurment'!A:S,MATCH(ListOfExpenditure[[#This Row],[Content.contractId]],'Public procurment'!E:E,0),19),0)</f>
        <v>0</v>
      </c>
      <c r="AP1485">
        <f>IF(ListOfExpenditure[[#This Row],[Numero di volte controllato il contract ]]&gt;0,0,ListOfExpenditure[[#This Row],[IF public procurment &gt;10000;1;0]])</f>
        <v>0</v>
      </c>
    </row>
    <row r="1486" spans="1:42" x14ac:dyDescent="0.25">
      <c r="A1486">
        <v>632</v>
      </c>
      <c r="B1486">
        <v>10</v>
      </c>
      <c r="E1486" t="s">
        <v>4786</v>
      </c>
      <c r="F1486" t="b">
        <v>1</v>
      </c>
      <c r="I1486" t="s">
        <v>4945</v>
      </c>
      <c r="K1486" t="s">
        <v>4835</v>
      </c>
      <c r="L1486" t="s">
        <v>4835</v>
      </c>
      <c r="M1486" t="s">
        <v>4788</v>
      </c>
      <c r="N1486" t="s">
        <v>4788</v>
      </c>
      <c r="O1486">
        <v>651.46</v>
      </c>
      <c r="Q1486">
        <v>0</v>
      </c>
      <c r="R1486">
        <v>0</v>
      </c>
      <c r="S1486">
        <v>651.46</v>
      </c>
      <c r="T1486" t="s">
        <v>4789</v>
      </c>
      <c r="U1486">
        <v>1</v>
      </c>
      <c r="V1486">
        <v>651.46</v>
      </c>
      <c r="W1486" t="s">
        <v>4343</v>
      </c>
      <c r="Y1486" t="b">
        <v>1</v>
      </c>
      <c r="Z1486" t="b">
        <v>0</v>
      </c>
      <c r="AA1486">
        <v>641.54</v>
      </c>
      <c r="AB1486">
        <v>9.92</v>
      </c>
      <c r="AC1486">
        <v>14</v>
      </c>
      <c r="AD1486" t="b">
        <v>0</v>
      </c>
      <c r="AF1486" t="s">
        <v>4960</v>
      </c>
      <c r="AG1486" s="1" t="s">
        <v>310</v>
      </c>
      <c r="AH1486" s="1" t="s">
        <v>38</v>
      </c>
      <c r="AI1486">
        <v>182</v>
      </c>
      <c r="AJ1486">
        <v>154</v>
      </c>
      <c r="AK1486" s="106">
        <v>45475.635560613424</v>
      </c>
      <c r="AL1486" s="1" t="s">
        <v>4790</v>
      </c>
      <c r="AM1486" s="42">
        <f>IFERROR(INDEX('Public procurment'!A:R,MATCH(ListOfExpenditure[[#This Row],[Content.contractId]],'Public procurment'!E:E,0),14),0)</f>
        <v>0</v>
      </c>
      <c r="AN1486" s="2">
        <f>IF(AND(ListOfExpenditure[[#This Row],[Contract amount]]&gt;10000,ListOfExpenditure[[#This Row],[Content.declaredAmount]]&gt;2000),1,0)</f>
        <v>0</v>
      </c>
      <c r="AO1486">
        <f>IFERROR(INDEX('Public procurment'!A:S,MATCH(ListOfExpenditure[[#This Row],[Content.contractId]],'Public procurment'!E:E,0),19),0)</f>
        <v>0</v>
      </c>
      <c r="AP1486">
        <f>IF(ListOfExpenditure[[#This Row],[Numero di volte controllato il contract ]]&gt;0,0,ListOfExpenditure[[#This Row],[IF public procurment &gt;10000;1;0]])</f>
        <v>0</v>
      </c>
    </row>
    <row r="1487" spans="1:42" x14ac:dyDescent="0.25">
      <c r="A1487">
        <v>633</v>
      </c>
      <c r="B1487">
        <v>11</v>
      </c>
      <c r="E1487" t="s">
        <v>4786</v>
      </c>
      <c r="F1487" t="b">
        <v>1</v>
      </c>
      <c r="I1487" t="s">
        <v>4947</v>
      </c>
      <c r="K1487" t="s">
        <v>4831</v>
      </c>
      <c r="L1487" t="s">
        <v>4831</v>
      </c>
      <c r="M1487" t="s">
        <v>4788</v>
      </c>
      <c r="N1487" t="s">
        <v>4788</v>
      </c>
      <c r="O1487">
        <v>990.47</v>
      </c>
      <c r="Q1487">
        <v>0</v>
      </c>
      <c r="R1487">
        <v>0</v>
      </c>
      <c r="S1487">
        <v>990.47</v>
      </c>
      <c r="T1487" t="s">
        <v>4789</v>
      </c>
      <c r="U1487">
        <v>1</v>
      </c>
      <c r="V1487">
        <v>990.47</v>
      </c>
      <c r="W1487" t="s">
        <v>4343</v>
      </c>
      <c r="Y1487" t="b">
        <v>1</v>
      </c>
      <c r="Z1487" t="b">
        <v>0</v>
      </c>
      <c r="AA1487">
        <v>990.47</v>
      </c>
      <c r="AB1487">
        <v>0</v>
      </c>
      <c r="AD1487" t="b">
        <v>0</v>
      </c>
      <c r="AG1487" s="1" t="s">
        <v>310</v>
      </c>
      <c r="AH1487" s="1" t="s">
        <v>38</v>
      </c>
      <c r="AI1487">
        <v>182</v>
      </c>
      <c r="AJ1487">
        <v>154</v>
      </c>
      <c r="AK1487" s="106">
        <v>45475.635560613424</v>
      </c>
      <c r="AL1487" s="1" t="s">
        <v>4790</v>
      </c>
      <c r="AM1487" s="42">
        <f>IFERROR(INDEX('Public procurment'!A:R,MATCH(ListOfExpenditure[[#This Row],[Content.contractId]],'Public procurment'!E:E,0),14),0)</f>
        <v>0</v>
      </c>
      <c r="AN1487" s="2">
        <f>IF(AND(ListOfExpenditure[[#This Row],[Contract amount]]&gt;10000,ListOfExpenditure[[#This Row],[Content.declaredAmount]]&gt;2000),1,0)</f>
        <v>0</v>
      </c>
      <c r="AO1487">
        <f>IFERROR(INDEX('Public procurment'!A:S,MATCH(ListOfExpenditure[[#This Row],[Content.contractId]],'Public procurment'!E:E,0),19),0)</f>
        <v>0</v>
      </c>
      <c r="AP1487">
        <f>IF(ListOfExpenditure[[#This Row],[Numero di volte controllato il contract ]]&gt;0,0,ListOfExpenditure[[#This Row],[IF public procurment &gt;10000;1;0]])</f>
        <v>0</v>
      </c>
    </row>
    <row r="1488" spans="1:42" x14ac:dyDescent="0.25">
      <c r="A1488">
        <v>634</v>
      </c>
      <c r="B1488">
        <v>12</v>
      </c>
      <c r="E1488" t="s">
        <v>4786</v>
      </c>
      <c r="F1488" t="b">
        <v>1</v>
      </c>
      <c r="I1488" t="s">
        <v>4948</v>
      </c>
      <c r="K1488" t="s">
        <v>4957</v>
      </c>
      <c r="L1488" t="s">
        <v>4957</v>
      </c>
      <c r="M1488" t="s">
        <v>4788</v>
      </c>
      <c r="N1488" t="s">
        <v>4788</v>
      </c>
      <c r="O1488">
        <v>1198.21</v>
      </c>
      <c r="Q1488">
        <v>0</v>
      </c>
      <c r="R1488">
        <v>0</v>
      </c>
      <c r="S1488">
        <v>1198.21</v>
      </c>
      <c r="T1488" t="s">
        <v>4789</v>
      </c>
      <c r="U1488">
        <v>1</v>
      </c>
      <c r="V1488">
        <v>1198.21</v>
      </c>
      <c r="W1488" t="s">
        <v>4343</v>
      </c>
      <c r="Y1488" t="b">
        <v>1</v>
      </c>
      <c r="Z1488" t="b">
        <v>0</v>
      </c>
      <c r="AA1488">
        <v>967.23</v>
      </c>
      <c r="AB1488">
        <v>230.98</v>
      </c>
      <c r="AC1488">
        <v>14</v>
      </c>
      <c r="AD1488" t="b">
        <v>0</v>
      </c>
      <c r="AF1488" t="s">
        <v>6389</v>
      </c>
      <c r="AG1488" s="1" t="s">
        <v>310</v>
      </c>
      <c r="AH1488" s="1" t="s">
        <v>38</v>
      </c>
      <c r="AI1488">
        <v>182</v>
      </c>
      <c r="AJ1488">
        <v>154</v>
      </c>
      <c r="AK1488" s="106">
        <v>45475.635560613424</v>
      </c>
      <c r="AL1488" s="1" t="s">
        <v>4790</v>
      </c>
      <c r="AM1488" s="42">
        <f>IFERROR(INDEX('Public procurment'!A:R,MATCH(ListOfExpenditure[[#This Row],[Content.contractId]],'Public procurment'!E:E,0),14),0)</f>
        <v>0</v>
      </c>
      <c r="AN1488" s="2">
        <f>IF(AND(ListOfExpenditure[[#This Row],[Contract amount]]&gt;10000,ListOfExpenditure[[#This Row],[Content.declaredAmount]]&gt;2000),1,0)</f>
        <v>0</v>
      </c>
      <c r="AO1488">
        <f>IFERROR(INDEX('Public procurment'!A:S,MATCH(ListOfExpenditure[[#This Row],[Content.contractId]],'Public procurment'!E:E,0),19),0)</f>
        <v>0</v>
      </c>
      <c r="AP1488">
        <f>IF(ListOfExpenditure[[#This Row],[Numero di volte controllato il contract ]]&gt;0,0,ListOfExpenditure[[#This Row],[IF public procurment &gt;10000;1;0]])</f>
        <v>0</v>
      </c>
    </row>
    <row r="1489" spans="1:42" x14ac:dyDescent="0.25">
      <c r="A1489">
        <v>635</v>
      </c>
      <c r="B1489">
        <v>13</v>
      </c>
      <c r="E1489" t="s">
        <v>4786</v>
      </c>
      <c r="F1489" t="b">
        <v>1</v>
      </c>
      <c r="I1489" t="s">
        <v>4949</v>
      </c>
      <c r="K1489" t="s">
        <v>4958</v>
      </c>
      <c r="L1489" t="s">
        <v>4958</v>
      </c>
      <c r="M1489" t="s">
        <v>4788</v>
      </c>
      <c r="N1489" t="s">
        <v>4788</v>
      </c>
      <c r="O1489">
        <v>996.42</v>
      </c>
      <c r="Q1489">
        <v>0</v>
      </c>
      <c r="R1489">
        <v>0</v>
      </c>
      <c r="S1489">
        <v>996.42</v>
      </c>
      <c r="T1489" t="s">
        <v>4789</v>
      </c>
      <c r="U1489">
        <v>1</v>
      </c>
      <c r="V1489">
        <v>996.42</v>
      </c>
      <c r="W1489" t="s">
        <v>4343</v>
      </c>
      <c r="Y1489" t="b">
        <v>1</v>
      </c>
      <c r="Z1489" t="b">
        <v>0</v>
      </c>
      <c r="AA1489">
        <v>996.42</v>
      </c>
      <c r="AB1489">
        <v>0</v>
      </c>
      <c r="AD1489" t="b">
        <v>0</v>
      </c>
      <c r="AG1489" s="1" t="s">
        <v>310</v>
      </c>
      <c r="AH1489" s="1" t="s">
        <v>38</v>
      </c>
      <c r="AI1489">
        <v>182</v>
      </c>
      <c r="AJ1489">
        <v>154</v>
      </c>
      <c r="AK1489" s="106">
        <v>45475.635560613424</v>
      </c>
      <c r="AL1489" s="1" t="s">
        <v>4790</v>
      </c>
      <c r="AM1489" s="42">
        <f>IFERROR(INDEX('Public procurment'!A:R,MATCH(ListOfExpenditure[[#This Row],[Content.contractId]],'Public procurment'!E:E,0),14),0)</f>
        <v>0</v>
      </c>
      <c r="AN1489" s="2">
        <f>IF(AND(ListOfExpenditure[[#This Row],[Contract amount]]&gt;10000,ListOfExpenditure[[#This Row],[Content.declaredAmount]]&gt;2000),1,0)</f>
        <v>0</v>
      </c>
      <c r="AO1489">
        <f>IFERROR(INDEX('Public procurment'!A:S,MATCH(ListOfExpenditure[[#This Row],[Content.contractId]],'Public procurment'!E:E,0),19),0)</f>
        <v>0</v>
      </c>
      <c r="AP1489">
        <f>IF(ListOfExpenditure[[#This Row],[Numero di volte controllato il contract ]]&gt;0,0,ListOfExpenditure[[#This Row],[IF public procurment &gt;10000;1;0]])</f>
        <v>0</v>
      </c>
    </row>
    <row r="1490" spans="1:42" x14ac:dyDescent="0.25">
      <c r="A1490">
        <v>636</v>
      </c>
      <c r="B1490">
        <v>14</v>
      </c>
      <c r="E1490" t="s">
        <v>4786</v>
      </c>
      <c r="F1490" t="b">
        <v>1</v>
      </c>
      <c r="I1490" t="s">
        <v>4961</v>
      </c>
      <c r="K1490" t="s">
        <v>4959</v>
      </c>
      <c r="L1490" t="s">
        <v>4959</v>
      </c>
      <c r="M1490" t="s">
        <v>4788</v>
      </c>
      <c r="N1490" t="s">
        <v>4788</v>
      </c>
      <c r="O1490">
        <v>978.47</v>
      </c>
      <c r="Q1490">
        <v>0</v>
      </c>
      <c r="R1490">
        <v>0</v>
      </c>
      <c r="S1490">
        <v>978.47</v>
      </c>
      <c r="T1490" t="s">
        <v>4789</v>
      </c>
      <c r="U1490">
        <v>1</v>
      </c>
      <c r="V1490">
        <v>978.47</v>
      </c>
      <c r="W1490" t="s">
        <v>4343</v>
      </c>
      <c r="Y1490" t="b">
        <v>1</v>
      </c>
      <c r="Z1490" t="b">
        <v>0</v>
      </c>
      <c r="AA1490">
        <v>978.47</v>
      </c>
      <c r="AB1490">
        <v>0</v>
      </c>
      <c r="AD1490" t="b">
        <v>0</v>
      </c>
      <c r="AG1490" s="1" t="s">
        <v>310</v>
      </c>
      <c r="AH1490" s="1" t="s">
        <v>38</v>
      </c>
      <c r="AI1490">
        <v>182</v>
      </c>
      <c r="AJ1490">
        <v>154</v>
      </c>
      <c r="AK1490" s="106">
        <v>45475.635560613424</v>
      </c>
      <c r="AL1490" s="1" t="s">
        <v>4790</v>
      </c>
      <c r="AM1490" s="42">
        <f>IFERROR(INDEX('Public procurment'!A:R,MATCH(ListOfExpenditure[[#This Row],[Content.contractId]],'Public procurment'!E:E,0),14),0)</f>
        <v>0</v>
      </c>
      <c r="AN1490" s="2">
        <f>IF(AND(ListOfExpenditure[[#This Row],[Contract amount]]&gt;10000,ListOfExpenditure[[#This Row],[Content.declaredAmount]]&gt;2000),1,0)</f>
        <v>0</v>
      </c>
      <c r="AO1490">
        <f>IFERROR(INDEX('Public procurment'!A:S,MATCH(ListOfExpenditure[[#This Row],[Content.contractId]],'Public procurment'!E:E,0),19),0)</f>
        <v>0</v>
      </c>
      <c r="AP1490">
        <f>IF(ListOfExpenditure[[#This Row],[Numero di volte controllato il contract ]]&gt;0,0,ListOfExpenditure[[#This Row],[IF public procurment &gt;10000;1;0]])</f>
        <v>0</v>
      </c>
    </row>
    <row r="1491" spans="1:42" x14ac:dyDescent="0.25">
      <c r="A1491">
        <v>637</v>
      </c>
      <c r="B1491">
        <v>15</v>
      </c>
      <c r="E1491" t="s">
        <v>4786</v>
      </c>
      <c r="F1491" t="b">
        <v>1</v>
      </c>
      <c r="I1491" t="s">
        <v>4962</v>
      </c>
      <c r="K1491" t="s">
        <v>4835</v>
      </c>
      <c r="L1491" t="s">
        <v>4835</v>
      </c>
      <c r="M1491" t="s">
        <v>4788</v>
      </c>
      <c r="N1491" t="s">
        <v>4788</v>
      </c>
      <c r="O1491">
        <v>551</v>
      </c>
      <c r="Q1491">
        <v>0</v>
      </c>
      <c r="R1491">
        <v>0</v>
      </c>
      <c r="S1491">
        <v>551</v>
      </c>
      <c r="T1491" t="s">
        <v>4789</v>
      </c>
      <c r="U1491">
        <v>1</v>
      </c>
      <c r="V1491">
        <v>551</v>
      </c>
      <c r="W1491" t="s">
        <v>4343</v>
      </c>
      <c r="Y1491" t="b">
        <v>1</v>
      </c>
      <c r="Z1491" t="b">
        <v>0</v>
      </c>
      <c r="AA1491">
        <v>541.07000000000005</v>
      </c>
      <c r="AB1491">
        <v>9.93</v>
      </c>
      <c r="AC1491">
        <v>14</v>
      </c>
      <c r="AD1491" t="b">
        <v>0</v>
      </c>
      <c r="AF1491" t="s">
        <v>4960</v>
      </c>
      <c r="AG1491" s="1" t="s">
        <v>310</v>
      </c>
      <c r="AH1491" s="1" t="s">
        <v>38</v>
      </c>
      <c r="AI1491">
        <v>182</v>
      </c>
      <c r="AJ1491">
        <v>154</v>
      </c>
      <c r="AK1491" s="106">
        <v>45475.635560613424</v>
      </c>
      <c r="AL1491" s="1" t="s">
        <v>4790</v>
      </c>
      <c r="AM1491" s="42">
        <f>IFERROR(INDEX('Public procurment'!A:R,MATCH(ListOfExpenditure[[#This Row],[Content.contractId]],'Public procurment'!E:E,0),14),0)</f>
        <v>0</v>
      </c>
      <c r="AN1491" s="2">
        <f>IF(AND(ListOfExpenditure[[#This Row],[Contract amount]]&gt;10000,ListOfExpenditure[[#This Row],[Content.declaredAmount]]&gt;2000),1,0)</f>
        <v>0</v>
      </c>
      <c r="AO1491">
        <f>IFERROR(INDEX('Public procurment'!A:S,MATCH(ListOfExpenditure[[#This Row],[Content.contractId]],'Public procurment'!E:E,0),19),0)</f>
        <v>0</v>
      </c>
      <c r="AP1491">
        <f>IF(ListOfExpenditure[[#This Row],[Numero di volte controllato il contract ]]&gt;0,0,ListOfExpenditure[[#This Row],[IF public procurment &gt;10000;1;0]])</f>
        <v>0</v>
      </c>
    </row>
    <row r="1492" spans="1:42" x14ac:dyDescent="0.25">
      <c r="A1492">
        <v>638</v>
      </c>
      <c r="B1492">
        <v>16</v>
      </c>
      <c r="E1492" t="s">
        <v>4786</v>
      </c>
      <c r="F1492" t="b">
        <v>1</v>
      </c>
      <c r="I1492" t="s">
        <v>4963</v>
      </c>
      <c r="K1492" t="s">
        <v>4831</v>
      </c>
      <c r="L1492" t="s">
        <v>4831</v>
      </c>
      <c r="M1492" t="s">
        <v>4788</v>
      </c>
      <c r="N1492" t="s">
        <v>4788</v>
      </c>
      <c r="O1492">
        <v>533.91999999999996</v>
      </c>
      <c r="Q1492">
        <v>0</v>
      </c>
      <c r="R1492">
        <v>0</v>
      </c>
      <c r="S1492">
        <v>533.91999999999996</v>
      </c>
      <c r="T1492" t="s">
        <v>4789</v>
      </c>
      <c r="U1492">
        <v>1</v>
      </c>
      <c r="V1492">
        <v>533.91999999999996</v>
      </c>
      <c r="W1492" t="s">
        <v>4343</v>
      </c>
      <c r="Y1492" t="b">
        <v>1</v>
      </c>
      <c r="Z1492" t="b">
        <v>0</v>
      </c>
      <c r="AA1492">
        <v>533.91999999999996</v>
      </c>
      <c r="AB1492">
        <v>0</v>
      </c>
      <c r="AD1492" t="b">
        <v>0</v>
      </c>
      <c r="AG1492" s="1" t="s">
        <v>310</v>
      </c>
      <c r="AH1492" s="1" t="s">
        <v>38</v>
      </c>
      <c r="AI1492">
        <v>182</v>
      </c>
      <c r="AJ1492">
        <v>154</v>
      </c>
      <c r="AK1492" s="106">
        <v>45475.635560613424</v>
      </c>
      <c r="AL1492" s="1" t="s">
        <v>4790</v>
      </c>
      <c r="AM1492" s="42">
        <f>IFERROR(INDEX('Public procurment'!A:R,MATCH(ListOfExpenditure[[#This Row],[Content.contractId]],'Public procurment'!E:E,0),14),0)</f>
        <v>0</v>
      </c>
      <c r="AN1492" s="2">
        <f>IF(AND(ListOfExpenditure[[#This Row],[Contract amount]]&gt;10000,ListOfExpenditure[[#This Row],[Content.declaredAmount]]&gt;2000),1,0)</f>
        <v>0</v>
      </c>
      <c r="AO1492">
        <f>IFERROR(INDEX('Public procurment'!A:S,MATCH(ListOfExpenditure[[#This Row],[Content.contractId]],'Public procurment'!E:E,0),19),0)</f>
        <v>0</v>
      </c>
      <c r="AP1492">
        <f>IF(ListOfExpenditure[[#This Row],[Numero di volte controllato il contract ]]&gt;0,0,ListOfExpenditure[[#This Row],[IF public procurment &gt;10000;1;0]])</f>
        <v>0</v>
      </c>
    </row>
    <row r="1493" spans="1:42" x14ac:dyDescent="0.25">
      <c r="A1493">
        <v>639</v>
      </c>
      <c r="B1493">
        <v>17</v>
      </c>
      <c r="E1493" t="s">
        <v>4786</v>
      </c>
      <c r="F1493" t="b">
        <v>1</v>
      </c>
      <c r="I1493" t="s">
        <v>4964</v>
      </c>
      <c r="K1493" t="s">
        <v>4957</v>
      </c>
      <c r="L1493" t="s">
        <v>4957</v>
      </c>
      <c r="M1493" t="s">
        <v>4788</v>
      </c>
      <c r="N1493" t="s">
        <v>4788</v>
      </c>
      <c r="O1493">
        <v>513.77</v>
      </c>
      <c r="Q1493">
        <v>0</v>
      </c>
      <c r="R1493">
        <v>0</v>
      </c>
      <c r="S1493">
        <v>513.77</v>
      </c>
      <c r="T1493" t="s">
        <v>4789</v>
      </c>
      <c r="U1493">
        <v>1</v>
      </c>
      <c r="V1493">
        <v>513.77</v>
      </c>
      <c r="W1493" t="s">
        <v>4343</v>
      </c>
      <c r="Y1493" t="b">
        <v>1</v>
      </c>
      <c r="Z1493" t="b">
        <v>0</v>
      </c>
      <c r="AA1493">
        <v>513.77</v>
      </c>
      <c r="AB1493">
        <v>0</v>
      </c>
      <c r="AD1493" t="b">
        <v>0</v>
      </c>
      <c r="AG1493" s="1" t="s">
        <v>310</v>
      </c>
      <c r="AH1493" s="1" t="s">
        <v>38</v>
      </c>
      <c r="AI1493">
        <v>182</v>
      </c>
      <c r="AJ1493">
        <v>154</v>
      </c>
      <c r="AK1493" s="106">
        <v>45475.635560613424</v>
      </c>
      <c r="AL1493" s="1" t="s">
        <v>4790</v>
      </c>
      <c r="AM1493" s="42">
        <f>IFERROR(INDEX('Public procurment'!A:R,MATCH(ListOfExpenditure[[#This Row],[Content.contractId]],'Public procurment'!E:E,0),14),0)</f>
        <v>0</v>
      </c>
      <c r="AN1493" s="2">
        <f>IF(AND(ListOfExpenditure[[#This Row],[Contract amount]]&gt;10000,ListOfExpenditure[[#This Row],[Content.declaredAmount]]&gt;2000),1,0)</f>
        <v>0</v>
      </c>
      <c r="AO1493">
        <f>IFERROR(INDEX('Public procurment'!A:S,MATCH(ListOfExpenditure[[#This Row],[Content.contractId]],'Public procurment'!E:E,0),19),0)</f>
        <v>0</v>
      </c>
      <c r="AP1493">
        <f>IF(ListOfExpenditure[[#This Row],[Numero di volte controllato il contract ]]&gt;0,0,ListOfExpenditure[[#This Row],[IF public procurment &gt;10000;1;0]])</f>
        <v>0</v>
      </c>
    </row>
    <row r="1494" spans="1:42" x14ac:dyDescent="0.25">
      <c r="A1494">
        <v>640</v>
      </c>
      <c r="B1494">
        <v>18</v>
      </c>
      <c r="E1494" t="s">
        <v>4786</v>
      </c>
      <c r="F1494" t="b">
        <v>1</v>
      </c>
      <c r="I1494" t="s">
        <v>4965</v>
      </c>
      <c r="K1494" t="s">
        <v>4958</v>
      </c>
      <c r="L1494" t="s">
        <v>4958</v>
      </c>
      <c r="M1494" t="s">
        <v>4788</v>
      </c>
      <c r="N1494" t="s">
        <v>4788</v>
      </c>
      <c r="O1494">
        <v>295.55</v>
      </c>
      <c r="Q1494">
        <v>0</v>
      </c>
      <c r="R1494">
        <v>0</v>
      </c>
      <c r="S1494">
        <v>295.55</v>
      </c>
      <c r="T1494" t="s">
        <v>4789</v>
      </c>
      <c r="U1494">
        <v>1</v>
      </c>
      <c r="V1494">
        <v>295.55</v>
      </c>
      <c r="W1494" t="s">
        <v>4343</v>
      </c>
      <c r="Y1494" t="b">
        <v>1</v>
      </c>
      <c r="Z1494" t="b">
        <v>0</v>
      </c>
      <c r="AA1494">
        <v>295.55</v>
      </c>
      <c r="AB1494">
        <v>0</v>
      </c>
      <c r="AD1494" t="b">
        <v>0</v>
      </c>
      <c r="AG1494" s="1" t="s">
        <v>310</v>
      </c>
      <c r="AH1494" s="1" t="s">
        <v>38</v>
      </c>
      <c r="AI1494">
        <v>182</v>
      </c>
      <c r="AJ1494">
        <v>154</v>
      </c>
      <c r="AK1494" s="106">
        <v>45475.635560613424</v>
      </c>
      <c r="AL1494" s="1" t="s">
        <v>4790</v>
      </c>
      <c r="AM1494" s="42">
        <f>IFERROR(INDEX('Public procurment'!A:R,MATCH(ListOfExpenditure[[#This Row],[Content.contractId]],'Public procurment'!E:E,0),14),0)</f>
        <v>0</v>
      </c>
      <c r="AN1494" s="2">
        <f>IF(AND(ListOfExpenditure[[#This Row],[Contract amount]]&gt;10000,ListOfExpenditure[[#This Row],[Content.declaredAmount]]&gt;2000),1,0)</f>
        <v>0</v>
      </c>
      <c r="AO1494">
        <f>IFERROR(INDEX('Public procurment'!A:S,MATCH(ListOfExpenditure[[#This Row],[Content.contractId]],'Public procurment'!E:E,0),19),0)</f>
        <v>0</v>
      </c>
      <c r="AP1494">
        <f>IF(ListOfExpenditure[[#This Row],[Numero di volte controllato il contract ]]&gt;0,0,ListOfExpenditure[[#This Row],[IF public procurment &gt;10000;1;0]])</f>
        <v>0</v>
      </c>
    </row>
    <row r="1495" spans="1:42" x14ac:dyDescent="0.25">
      <c r="A1495">
        <v>641</v>
      </c>
      <c r="B1495">
        <v>19</v>
      </c>
      <c r="E1495" t="s">
        <v>4786</v>
      </c>
      <c r="F1495" t="b">
        <v>1</v>
      </c>
      <c r="I1495" t="s">
        <v>4966</v>
      </c>
      <c r="K1495" t="s">
        <v>4959</v>
      </c>
      <c r="L1495" t="s">
        <v>4959</v>
      </c>
      <c r="M1495" t="s">
        <v>4788</v>
      </c>
      <c r="N1495" t="s">
        <v>4788</v>
      </c>
      <c r="O1495">
        <v>565.32000000000005</v>
      </c>
      <c r="Q1495">
        <v>0</v>
      </c>
      <c r="R1495">
        <v>0</v>
      </c>
      <c r="S1495">
        <v>565.32000000000005</v>
      </c>
      <c r="T1495" t="s">
        <v>4789</v>
      </c>
      <c r="U1495">
        <v>1</v>
      </c>
      <c r="V1495">
        <v>565.32000000000005</v>
      </c>
      <c r="W1495" t="s">
        <v>4343</v>
      </c>
      <c r="Y1495" t="b">
        <v>1</v>
      </c>
      <c r="Z1495" t="b">
        <v>0</v>
      </c>
      <c r="AA1495">
        <v>565.32000000000005</v>
      </c>
      <c r="AB1495">
        <v>0</v>
      </c>
      <c r="AD1495" t="b">
        <v>0</v>
      </c>
      <c r="AG1495" s="1" t="s">
        <v>310</v>
      </c>
      <c r="AH1495" s="1" t="s">
        <v>38</v>
      </c>
      <c r="AI1495">
        <v>182</v>
      </c>
      <c r="AJ1495">
        <v>154</v>
      </c>
      <c r="AK1495" s="106">
        <v>45475.635560613424</v>
      </c>
      <c r="AL1495" s="1" t="s">
        <v>4790</v>
      </c>
      <c r="AM1495" s="42">
        <f>IFERROR(INDEX('Public procurment'!A:R,MATCH(ListOfExpenditure[[#This Row],[Content.contractId]],'Public procurment'!E:E,0),14),0)</f>
        <v>0</v>
      </c>
      <c r="AN1495" s="2">
        <f>IF(AND(ListOfExpenditure[[#This Row],[Contract amount]]&gt;10000,ListOfExpenditure[[#This Row],[Content.declaredAmount]]&gt;2000),1,0)</f>
        <v>0</v>
      </c>
      <c r="AO1495">
        <f>IFERROR(INDEX('Public procurment'!A:S,MATCH(ListOfExpenditure[[#This Row],[Content.contractId]],'Public procurment'!E:E,0),19),0)</f>
        <v>0</v>
      </c>
      <c r="AP1495">
        <f>IF(ListOfExpenditure[[#This Row],[Numero di volte controllato il contract ]]&gt;0,0,ListOfExpenditure[[#This Row],[IF public procurment &gt;10000;1;0]])</f>
        <v>0</v>
      </c>
    </row>
    <row r="1496" spans="1:42" x14ac:dyDescent="0.25">
      <c r="A1496">
        <v>642</v>
      </c>
      <c r="B1496">
        <v>20</v>
      </c>
      <c r="E1496" t="s">
        <v>4786</v>
      </c>
      <c r="F1496" t="b">
        <v>1</v>
      </c>
      <c r="I1496" t="s">
        <v>4968</v>
      </c>
      <c r="K1496" t="s">
        <v>4835</v>
      </c>
      <c r="L1496" t="s">
        <v>4835</v>
      </c>
      <c r="M1496" t="s">
        <v>4788</v>
      </c>
      <c r="N1496" t="s">
        <v>4788</v>
      </c>
      <c r="O1496">
        <v>337.72</v>
      </c>
      <c r="Q1496">
        <v>0</v>
      </c>
      <c r="R1496">
        <v>0</v>
      </c>
      <c r="S1496">
        <v>337.72</v>
      </c>
      <c r="T1496" t="s">
        <v>4789</v>
      </c>
      <c r="U1496">
        <v>1</v>
      </c>
      <c r="V1496">
        <v>337.72</v>
      </c>
      <c r="W1496" t="s">
        <v>4343</v>
      </c>
      <c r="Y1496" t="b">
        <v>1</v>
      </c>
      <c r="Z1496" t="b">
        <v>0</v>
      </c>
      <c r="AA1496">
        <v>0</v>
      </c>
      <c r="AB1496">
        <v>337.72</v>
      </c>
      <c r="AC1496">
        <v>14</v>
      </c>
      <c r="AD1496" t="b">
        <v>0</v>
      </c>
      <c r="AF1496" t="s">
        <v>6390</v>
      </c>
      <c r="AG1496" s="1" t="s">
        <v>310</v>
      </c>
      <c r="AH1496" s="1" t="s">
        <v>38</v>
      </c>
      <c r="AI1496">
        <v>182</v>
      </c>
      <c r="AJ1496">
        <v>154</v>
      </c>
      <c r="AK1496" s="106">
        <v>45475.635560613424</v>
      </c>
      <c r="AL1496" s="1" t="s">
        <v>4790</v>
      </c>
      <c r="AM1496" s="42">
        <f>IFERROR(INDEX('Public procurment'!A:R,MATCH(ListOfExpenditure[[#This Row],[Content.contractId]],'Public procurment'!E:E,0),14),0)</f>
        <v>0</v>
      </c>
      <c r="AN1496" s="2">
        <f>IF(AND(ListOfExpenditure[[#This Row],[Contract amount]]&gt;10000,ListOfExpenditure[[#This Row],[Content.declaredAmount]]&gt;2000),1,0)</f>
        <v>0</v>
      </c>
      <c r="AO1496">
        <f>IFERROR(INDEX('Public procurment'!A:S,MATCH(ListOfExpenditure[[#This Row],[Content.contractId]],'Public procurment'!E:E,0),19),0)</f>
        <v>0</v>
      </c>
      <c r="AP1496">
        <f>IF(ListOfExpenditure[[#This Row],[Numero di volte controllato il contract ]]&gt;0,0,ListOfExpenditure[[#This Row],[IF public procurment &gt;10000;1;0]])</f>
        <v>0</v>
      </c>
    </row>
    <row r="1497" spans="1:42" x14ac:dyDescent="0.25">
      <c r="A1497">
        <v>643</v>
      </c>
      <c r="B1497">
        <v>21</v>
      </c>
      <c r="E1497" t="s">
        <v>4786</v>
      </c>
      <c r="F1497" t="b">
        <v>1</v>
      </c>
      <c r="I1497" t="s">
        <v>4970</v>
      </c>
      <c r="K1497" t="s">
        <v>4957</v>
      </c>
      <c r="L1497" t="s">
        <v>4957</v>
      </c>
      <c r="M1497" t="s">
        <v>4788</v>
      </c>
      <c r="N1497" t="s">
        <v>4788</v>
      </c>
      <c r="O1497">
        <v>1117.6199999999999</v>
      </c>
      <c r="Q1497">
        <v>0</v>
      </c>
      <c r="R1497">
        <v>0</v>
      </c>
      <c r="S1497">
        <v>1117.6199999999999</v>
      </c>
      <c r="T1497" t="s">
        <v>4789</v>
      </c>
      <c r="U1497">
        <v>1</v>
      </c>
      <c r="V1497">
        <v>1117.6199999999999</v>
      </c>
      <c r="W1497" t="s">
        <v>4343</v>
      </c>
      <c r="Y1497" t="b">
        <v>1</v>
      </c>
      <c r="Z1497" t="b">
        <v>0</v>
      </c>
      <c r="AA1497">
        <v>1117.6199999999999</v>
      </c>
      <c r="AB1497">
        <v>0</v>
      </c>
      <c r="AD1497" t="b">
        <v>0</v>
      </c>
      <c r="AG1497" s="1" t="s">
        <v>310</v>
      </c>
      <c r="AH1497" s="1" t="s">
        <v>38</v>
      </c>
      <c r="AI1497">
        <v>182</v>
      </c>
      <c r="AJ1497">
        <v>154</v>
      </c>
      <c r="AK1497" s="106">
        <v>45475.635560613424</v>
      </c>
      <c r="AL1497" s="1" t="s">
        <v>4790</v>
      </c>
      <c r="AM1497" s="42">
        <f>IFERROR(INDEX('Public procurment'!A:R,MATCH(ListOfExpenditure[[#This Row],[Content.contractId]],'Public procurment'!E:E,0),14),0)</f>
        <v>0</v>
      </c>
      <c r="AN1497" s="2">
        <f>IF(AND(ListOfExpenditure[[#This Row],[Contract amount]]&gt;10000,ListOfExpenditure[[#This Row],[Content.declaredAmount]]&gt;2000),1,0)</f>
        <v>0</v>
      </c>
      <c r="AO1497">
        <f>IFERROR(INDEX('Public procurment'!A:S,MATCH(ListOfExpenditure[[#This Row],[Content.contractId]],'Public procurment'!E:E,0),19),0)</f>
        <v>0</v>
      </c>
      <c r="AP1497">
        <f>IF(ListOfExpenditure[[#This Row],[Numero di volte controllato il contract ]]&gt;0,0,ListOfExpenditure[[#This Row],[IF public procurment &gt;10000;1;0]])</f>
        <v>0</v>
      </c>
    </row>
    <row r="1498" spans="1:42" x14ac:dyDescent="0.25">
      <c r="A1498">
        <v>644</v>
      </c>
      <c r="B1498">
        <v>22</v>
      </c>
      <c r="E1498" t="s">
        <v>4786</v>
      </c>
      <c r="F1498" t="b">
        <v>1</v>
      </c>
      <c r="I1498" t="s">
        <v>5493</v>
      </c>
      <c r="K1498" t="s">
        <v>4958</v>
      </c>
      <c r="L1498" t="s">
        <v>4958</v>
      </c>
      <c r="M1498" t="s">
        <v>4788</v>
      </c>
      <c r="N1498" t="s">
        <v>4788</v>
      </c>
      <c r="O1498">
        <v>1117.6300000000001</v>
      </c>
      <c r="Q1498">
        <v>0</v>
      </c>
      <c r="R1498">
        <v>0</v>
      </c>
      <c r="S1498">
        <v>1117.6300000000001</v>
      </c>
      <c r="T1498" t="s">
        <v>4789</v>
      </c>
      <c r="U1498">
        <v>1</v>
      </c>
      <c r="V1498">
        <v>1117.6300000000001</v>
      </c>
      <c r="W1498" t="s">
        <v>4343</v>
      </c>
      <c r="Y1498" t="b">
        <v>1</v>
      </c>
      <c r="Z1498" t="b">
        <v>0</v>
      </c>
      <c r="AA1498">
        <v>1117.6300000000001</v>
      </c>
      <c r="AB1498">
        <v>0</v>
      </c>
      <c r="AD1498" t="b">
        <v>0</v>
      </c>
      <c r="AG1498" s="1" t="s">
        <v>310</v>
      </c>
      <c r="AH1498" s="1" t="s">
        <v>38</v>
      </c>
      <c r="AI1498">
        <v>182</v>
      </c>
      <c r="AJ1498">
        <v>154</v>
      </c>
      <c r="AK1498" s="106">
        <v>45475.635560613424</v>
      </c>
      <c r="AL1498" s="1" t="s">
        <v>4790</v>
      </c>
      <c r="AM1498" s="42">
        <f>IFERROR(INDEX('Public procurment'!A:R,MATCH(ListOfExpenditure[[#This Row],[Content.contractId]],'Public procurment'!E:E,0),14),0)</f>
        <v>0</v>
      </c>
      <c r="AN1498" s="2">
        <f>IF(AND(ListOfExpenditure[[#This Row],[Contract amount]]&gt;10000,ListOfExpenditure[[#This Row],[Content.declaredAmount]]&gt;2000),1,0)</f>
        <v>0</v>
      </c>
      <c r="AO1498">
        <f>IFERROR(INDEX('Public procurment'!A:S,MATCH(ListOfExpenditure[[#This Row],[Content.contractId]],'Public procurment'!E:E,0),19),0)</f>
        <v>0</v>
      </c>
      <c r="AP1498">
        <f>IF(ListOfExpenditure[[#This Row],[Numero di volte controllato il contract ]]&gt;0,0,ListOfExpenditure[[#This Row],[IF public procurment &gt;10000;1;0]])</f>
        <v>0</v>
      </c>
    </row>
    <row r="1499" spans="1:42" x14ac:dyDescent="0.25">
      <c r="A1499">
        <v>645</v>
      </c>
      <c r="B1499">
        <v>23</v>
      </c>
      <c r="E1499" t="s">
        <v>4786</v>
      </c>
      <c r="F1499" t="b">
        <v>1</v>
      </c>
      <c r="I1499" t="s">
        <v>5494</v>
      </c>
      <c r="K1499" t="s">
        <v>4959</v>
      </c>
      <c r="L1499" t="s">
        <v>4959</v>
      </c>
      <c r="M1499" t="s">
        <v>4788</v>
      </c>
      <c r="N1499" t="s">
        <v>4788</v>
      </c>
      <c r="O1499">
        <v>1050.8800000000001</v>
      </c>
      <c r="Q1499">
        <v>0</v>
      </c>
      <c r="R1499">
        <v>0</v>
      </c>
      <c r="S1499">
        <v>1050.8800000000001</v>
      </c>
      <c r="T1499" t="s">
        <v>4789</v>
      </c>
      <c r="U1499">
        <v>1</v>
      </c>
      <c r="V1499">
        <v>1050.8800000000001</v>
      </c>
      <c r="W1499" t="s">
        <v>4343</v>
      </c>
      <c r="Y1499" t="b">
        <v>1</v>
      </c>
      <c r="Z1499" t="b">
        <v>0</v>
      </c>
      <c r="AA1499">
        <v>1050.8800000000001</v>
      </c>
      <c r="AB1499">
        <v>0</v>
      </c>
      <c r="AD1499" t="b">
        <v>0</v>
      </c>
      <c r="AG1499" s="1" t="s">
        <v>310</v>
      </c>
      <c r="AH1499" s="1" t="s">
        <v>38</v>
      </c>
      <c r="AI1499">
        <v>182</v>
      </c>
      <c r="AJ1499">
        <v>154</v>
      </c>
      <c r="AK1499" s="106">
        <v>45475.635560613424</v>
      </c>
      <c r="AL1499" s="1" t="s">
        <v>4790</v>
      </c>
      <c r="AM1499" s="42">
        <f>IFERROR(INDEX('Public procurment'!A:R,MATCH(ListOfExpenditure[[#This Row],[Content.contractId]],'Public procurment'!E:E,0),14),0)</f>
        <v>0</v>
      </c>
      <c r="AN1499" s="2">
        <f>IF(AND(ListOfExpenditure[[#This Row],[Contract amount]]&gt;10000,ListOfExpenditure[[#This Row],[Content.declaredAmount]]&gt;2000),1,0)</f>
        <v>0</v>
      </c>
      <c r="AO1499">
        <f>IFERROR(INDEX('Public procurment'!A:S,MATCH(ListOfExpenditure[[#This Row],[Content.contractId]],'Public procurment'!E:E,0),19),0)</f>
        <v>0</v>
      </c>
      <c r="AP1499">
        <f>IF(ListOfExpenditure[[#This Row],[Numero di volte controllato il contract ]]&gt;0,0,ListOfExpenditure[[#This Row],[IF public procurment &gt;10000;1;0]])</f>
        <v>0</v>
      </c>
    </row>
    <row r="1500" spans="1:42" x14ac:dyDescent="0.25">
      <c r="A1500">
        <v>646</v>
      </c>
      <c r="B1500">
        <v>24</v>
      </c>
      <c r="E1500" t="s">
        <v>4786</v>
      </c>
      <c r="F1500" t="b">
        <v>1</v>
      </c>
      <c r="I1500" t="s">
        <v>5495</v>
      </c>
      <c r="K1500" t="s">
        <v>4835</v>
      </c>
      <c r="L1500" t="s">
        <v>4835</v>
      </c>
      <c r="M1500" t="s">
        <v>4788</v>
      </c>
      <c r="N1500" t="s">
        <v>4788</v>
      </c>
      <c r="O1500">
        <v>1200.96</v>
      </c>
      <c r="Q1500">
        <v>0</v>
      </c>
      <c r="R1500">
        <v>0</v>
      </c>
      <c r="S1500">
        <v>1200.96</v>
      </c>
      <c r="T1500" t="s">
        <v>4789</v>
      </c>
      <c r="U1500">
        <v>1</v>
      </c>
      <c r="V1500">
        <v>1200.96</v>
      </c>
      <c r="W1500" t="s">
        <v>4343</v>
      </c>
      <c r="Y1500" t="b">
        <v>1</v>
      </c>
      <c r="Z1500" t="b">
        <v>0</v>
      </c>
      <c r="AA1500">
        <v>1148.72</v>
      </c>
      <c r="AB1500">
        <v>52.24</v>
      </c>
      <c r="AC1500">
        <v>14</v>
      </c>
      <c r="AD1500" t="b">
        <v>0</v>
      </c>
      <c r="AF1500" t="s">
        <v>4960</v>
      </c>
      <c r="AG1500" s="1" t="s">
        <v>310</v>
      </c>
      <c r="AH1500" s="1" t="s">
        <v>38</v>
      </c>
      <c r="AI1500">
        <v>182</v>
      </c>
      <c r="AJ1500">
        <v>154</v>
      </c>
      <c r="AK1500" s="106">
        <v>45475.635560613424</v>
      </c>
      <c r="AL1500" s="1" t="s">
        <v>4790</v>
      </c>
      <c r="AM1500" s="42">
        <f>IFERROR(INDEX('Public procurment'!A:R,MATCH(ListOfExpenditure[[#This Row],[Content.contractId]],'Public procurment'!E:E,0),14),0)</f>
        <v>0</v>
      </c>
      <c r="AN1500" s="2">
        <f>IF(AND(ListOfExpenditure[[#This Row],[Contract amount]]&gt;10000,ListOfExpenditure[[#This Row],[Content.declaredAmount]]&gt;2000),1,0)</f>
        <v>0</v>
      </c>
      <c r="AO1500">
        <f>IFERROR(INDEX('Public procurment'!A:S,MATCH(ListOfExpenditure[[#This Row],[Content.contractId]],'Public procurment'!E:E,0),19),0)</f>
        <v>0</v>
      </c>
      <c r="AP1500">
        <f>IF(ListOfExpenditure[[#This Row],[Numero di volte controllato il contract ]]&gt;0,0,ListOfExpenditure[[#This Row],[IF public procurment &gt;10000;1;0]])</f>
        <v>0</v>
      </c>
    </row>
    <row r="1501" spans="1:42" x14ac:dyDescent="0.25">
      <c r="A1501">
        <v>647</v>
      </c>
      <c r="B1501">
        <v>25</v>
      </c>
      <c r="E1501" t="s">
        <v>4786</v>
      </c>
      <c r="F1501" t="b">
        <v>1</v>
      </c>
      <c r="I1501" t="s">
        <v>5496</v>
      </c>
      <c r="K1501" t="s">
        <v>4831</v>
      </c>
      <c r="L1501" t="s">
        <v>4831</v>
      </c>
      <c r="M1501" t="s">
        <v>4788</v>
      </c>
      <c r="N1501" t="s">
        <v>4788</v>
      </c>
      <c r="O1501">
        <v>1285.72</v>
      </c>
      <c r="Q1501">
        <v>0</v>
      </c>
      <c r="R1501">
        <v>0</v>
      </c>
      <c r="S1501">
        <v>1285.72</v>
      </c>
      <c r="T1501" t="s">
        <v>4789</v>
      </c>
      <c r="U1501">
        <v>1</v>
      </c>
      <c r="V1501">
        <v>1285.72</v>
      </c>
      <c r="W1501" t="s">
        <v>4343</v>
      </c>
      <c r="Y1501" t="b">
        <v>1</v>
      </c>
      <c r="Z1501" t="b">
        <v>0</v>
      </c>
      <c r="AA1501">
        <v>1285.72</v>
      </c>
      <c r="AB1501">
        <v>0</v>
      </c>
      <c r="AD1501" t="b">
        <v>0</v>
      </c>
      <c r="AG1501" s="1" t="s">
        <v>310</v>
      </c>
      <c r="AH1501" s="1" t="s">
        <v>38</v>
      </c>
      <c r="AI1501">
        <v>182</v>
      </c>
      <c r="AJ1501">
        <v>154</v>
      </c>
      <c r="AK1501" s="106">
        <v>45475.635560613424</v>
      </c>
      <c r="AL1501" s="1" t="s">
        <v>4790</v>
      </c>
      <c r="AM1501" s="42">
        <f>IFERROR(INDEX('Public procurment'!A:R,MATCH(ListOfExpenditure[[#This Row],[Content.contractId]],'Public procurment'!E:E,0),14),0)</f>
        <v>0</v>
      </c>
      <c r="AN1501" s="2">
        <f>IF(AND(ListOfExpenditure[[#This Row],[Contract amount]]&gt;10000,ListOfExpenditure[[#This Row],[Content.declaredAmount]]&gt;2000),1,0)</f>
        <v>0</v>
      </c>
      <c r="AO1501">
        <f>IFERROR(INDEX('Public procurment'!A:S,MATCH(ListOfExpenditure[[#This Row],[Content.contractId]],'Public procurment'!E:E,0),19),0)</f>
        <v>0</v>
      </c>
      <c r="AP1501">
        <f>IF(ListOfExpenditure[[#This Row],[Numero di volte controllato il contract ]]&gt;0,0,ListOfExpenditure[[#This Row],[IF public procurment &gt;10000;1;0]])</f>
        <v>0</v>
      </c>
    </row>
    <row r="1502" spans="1:42" x14ac:dyDescent="0.25">
      <c r="A1502">
        <v>648</v>
      </c>
      <c r="B1502">
        <v>26</v>
      </c>
      <c r="E1502" t="s">
        <v>4850</v>
      </c>
      <c r="F1502" t="b">
        <v>0</v>
      </c>
      <c r="G1502">
        <v>360</v>
      </c>
      <c r="H1502">
        <v>113</v>
      </c>
      <c r="I1502" t="s">
        <v>5497</v>
      </c>
      <c r="J1502" t="s">
        <v>6391</v>
      </c>
      <c r="K1502" t="s">
        <v>4682</v>
      </c>
      <c r="L1502" t="s">
        <v>4577</v>
      </c>
      <c r="M1502" t="s">
        <v>4788</v>
      </c>
      <c r="N1502" t="s">
        <v>4788</v>
      </c>
      <c r="O1502">
        <v>14442.3</v>
      </c>
      <c r="P1502">
        <v>2604.35</v>
      </c>
      <c r="Q1502">
        <v>0</v>
      </c>
      <c r="R1502">
        <v>0</v>
      </c>
      <c r="S1502">
        <v>14442.3</v>
      </c>
      <c r="T1502" t="s">
        <v>4789</v>
      </c>
      <c r="U1502">
        <v>1</v>
      </c>
      <c r="V1502">
        <v>14442.3</v>
      </c>
      <c r="W1502" t="s">
        <v>4343</v>
      </c>
      <c r="Y1502" t="b">
        <v>1</v>
      </c>
      <c r="Z1502" t="b">
        <v>0</v>
      </c>
      <c r="AA1502">
        <v>14442.3</v>
      </c>
      <c r="AB1502">
        <v>0</v>
      </c>
      <c r="AD1502" t="b">
        <v>0</v>
      </c>
      <c r="AG1502" s="1" t="s">
        <v>310</v>
      </c>
      <c r="AH1502" s="1" t="s">
        <v>38</v>
      </c>
      <c r="AI1502">
        <v>182</v>
      </c>
      <c r="AJ1502">
        <v>154</v>
      </c>
      <c r="AK1502" s="106">
        <v>45475.635560613424</v>
      </c>
      <c r="AL1502" s="1" t="s">
        <v>4790</v>
      </c>
      <c r="AM1502" s="42">
        <f>IFERROR(INDEX('Public procurment'!A:R,MATCH(ListOfExpenditure[[#This Row],[Content.contractId]],'Public procurment'!E:E,0),14),0)</f>
        <v>14442.3</v>
      </c>
      <c r="AN1502" s="2">
        <f>IF(AND(ListOfExpenditure[[#This Row],[Contract amount]]&gt;10000,ListOfExpenditure[[#This Row],[Content.declaredAmount]]&gt;2000),1,0)</f>
        <v>1</v>
      </c>
      <c r="AO1502">
        <f>IFERROR(INDEX('Public procurment'!A:S,MATCH(ListOfExpenditure[[#This Row],[Content.contractId]],'Public procurment'!E:E,0),19),0)</f>
        <v>1</v>
      </c>
      <c r="AP1502">
        <f>IF(ListOfExpenditure[[#This Row],[Numero di volte controllato il contract ]]&gt;0,0,ListOfExpenditure[[#This Row],[IF public procurment &gt;10000;1;0]])</f>
        <v>0</v>
      </c>
    </row>
    <row r="1503" spans="1:42" x14ac:dyDescent="0.25">
      <c r="A1503">
        <v>649</v>
      </c>
      <c r="B1503">
        <v>27</v>
      </c>
      <c r="E1503" t="s">
        <v>4850</v>
      </c>
      <c r="F1503" t="b">
        <v>0</v>
      </c>
      <c r="G1503">
        <v>360</v>
      </c>
      <c r="H1503">
        <v>96</v>
      </c>
      <c r="I1503" t="s">
        <v>6392</v>
      </c>
      <c r="J1503" t="s">
        <v>6393</v>
      </c>
      <c r="K1503" t="s">
        <v>6394</v>
      </c>
      <c r="L1503" t="s">
        <v>4939</v>
      </c>
      <c r="M1503" t="s">
        <v>4788</v>
      </c>
      <c r="N1503" t="s">
        <v>4788</v>
      </c>
      <c r="O1503">
        <v>16305.3</v>
      </c>
      <c r="P1503">
        <v>2940.3</v>
      </c>
      <c r="Q1503">
        <v>0</v>
      </c>
      <c r="R1503">
        <v>0</v>
      </c>
      <c r="S1503">
        <v>16305.3</v>
      </c>
      <c r="T1503" t="s">
        <v>4789</v>
      </c>
      <c r="U1503">
        <v>1</v>
      </c>
      <c r="V1503">
        <v>16305.3</v>
      </c>
      <c r="W1503" t="s">
        <v>4343</v>
      </c>
      <c r="Y1503" t="b">
        <v>1</v>
      </c>
      <c r="Z1503" t="b">
        <v>0</v>
      </c>
      <c r="AA1503">
        <v>16305.3</v>
      </c>
      <c r="AB1503">
        <v>0</v>
      </c>
      <c r="AD1503" t="b">
        <v>0</v>
      </c>
      <c r="AG1503" s="1" t="s">
        <v>310</v>
      </c>
      <c r="AH1503" s="1" t="s">
        <v>38</v>
      </c>
      <c r="AI1503">
        <v>182</v>
      </c>
      <c r="AJ1503">
        <v>154</v>
      </c>
      <c r="AK1503" s="106">
        <v>45475.635560613424</v>
      </c>
      <c r="AL1503" s="1" t="s">
        <v>4790</v>
      </c>
      <c r="AM1503" s="42">
        <f>IFERROR(INDEX('Public procurment'!A:R,MATCH(ListOfExpenditure[[#This Row],[Content.contractId]],'Public procurment'!E:E,0),14),0)</f>
        <v>16305.3</v>
      </c>
      <c r="AN1503" s="2">
        <f>IF(AND(ListOfExpenditure[[#This Row],[Contract amount]]&gt;10000,ListOfExpenditure[[#This Row],[Content.declaredAmount]]&gt;2000),1,0)</f>
        <v>1</v>
      </c>
      <c r="AO1503">
        <f>IFERROR(INDEX('Public procurment'!A:S,MATCH(ListOfExpenditure[[#This Row],[Content.contractId]],'Public procurment'!E:E,0),19),0)</f>
        <v>2</v>
      </c>
      <c r="AP1503">
        <f>IF(ListOfExpenditure[[#This Row],[Numero di volte controllato il contract ]]&gt;0,0,ListOfExpenditure[[#This Row],[IF public procurment &gt;10000;1;0]])</f>
        <v>0</v>
      </c>
    </row>
    <row r="1504" spans="1:42" x14ac:dyDescent="0.25">
      <c r="A1504">
        <v>650</v>
      </c>
      <c r="B1504">
        <v>28</v>
      </c>
      <c r="E1504" t="s">
        <v>4850</v>
      </c>
      <c r="F1504" t="b">
        <v>0</v>
      </c>
      <c r="G1504">
        <v>360</v>
      </c>
      <c r="H1504">
        <v>96</v>
      </c>
      <c r="I1504" t="s">
        <v>6395</v>
      </c>
      <c r="J1504" t="s">
        <v>6396</v>
      </c>
      <c r="K1504" t="s">
        <v>4967</v>
      </c>
      <c r="L1504" t="s">
        <v>4691</v>
      </c>
      <c r="M1504" t="s">
        <v>4788</v>
      </c>
      <c r="N1504" t="s">
        <v>4788</v>
      </c>
      <c r="O1504">
        <v>270.39999999999998</v>
      </c>
      <c r="P1504">
        <v>37.4</v>
      </c>
      <c r="Q1504">
        <v>0</v>
      </c>
      <c r="R1504">
        <v>0</v>
      </c>
      <c r="S1504">
        <v>270.39999999999998</v>
      </c>
      <c r="T1504" t="s">
        <v>4789</v>
      </c>
      <c r="U1504">
        <v>1</v>
      </c>
      <c r="V1504">
        <v>270.39999999999998</v>
      </c>
      <c r="W1504" t="s">
        <v>4343</v>
      </c>
      <c r="Y1504" t="b">
        <v>1</v>
      </c>
      <c r="Z1504" t="b">
        <v>0</v>
      </c>
      <c r="AA1504">
        <v>0</v>
      </c>
      <c r="AB1504">
        <v>270.39999999999998</v>
      </c>
      <c r="AC1504">
        <v>14</v>
      </c>
      <c r="AD1504" t="b">
        <v>0</v>
      </c>
      <c r="AF1504" t="s">
        <v>6397</v>
      </c>
      <c r="AG1504" s="1" t="s">
        <v>310</v>
      </c>
      <c r="AH1504" s="1" t="s">
        <v>38</v>
      </c>
      <c r="AI1504">
        <v>182</v>
      </c>
      <c r="AJ1504">
        <v>154</v>
      </c>
      <c r="AK1504" s="106">
        <v>45475.635560613424</v>
      </c>
      <c r="AL1504" s="1" t="s">
        <v>4790</v>
      </c>
      <c r="AM1504" s="42">
        <f>IFERROR(INDEX('Public procurment'!A:R,MATCH(ListOfExpenditure[[#This Row],[Content.contractId]],'Public procurment'!E:E,0),14),0)</f>
        <v>16305.3</v>
      </c>
      <c r="AN1504" s="2">
        <f>IF(AND(ListOfExpenditure[[#This Row],[Contract amount]]&gt;10000,ListOfExpenditure[[#This Row],[Content.declaredAmount]]&gt;2000),1,0)</f>
        <v>0</v>
      </c>
      <c r="AO1504">
        <f>IFERROR(INDEX('Public procurment'!A:S,MATCH(ListOfExpenditure[[#This Row],[Content.contractId]],'Public procurment'!E:E,0),19),0)</f>
        <v>2</v>
      </c>
      <c r="AP1504">
        <f>IF(ListOfExpenditure[[#This Row],[Numero di volte controllato il contract ]]&gt;0,0,ListOfExpenditure[[#This Row],[IF public procurment &gt;10000;1;0]])</f>
        <v>0</v>
      </c>
    </row>
    <row r="1505" spans="1:42" x14ac:dyDescent="0.25">
      <c r="A1505">
        <v>651</v>
      </c>
      <c r="B1505">
        <v>29</v>
      </c>
      <c r="E1505" t="s">
        <v>4850</v>
      </c>
      <c r="F1505" t="b">
        <v>0</v>
      </c>
      <c r="G1505">
        <v>360</v>
      </c>
      <c r="H1505">
        <v>98</v>
      </c>
      <c r="I1505" t="s">
        <v>6398</v>
      </c>
      <c r="J1505" t="s">
        <v>6399</v>
      </c>
      <c r="K1505" t="s">
        <v>4932</v>
      </c>
      <c r="L1505" t="s">
        <v>4942</v>
      </c>
      <c r="M1505" t="s">
        <v>4788</v>
      </c>
      <c r="N1505" t="s">
        <v>4788</v>
      </c>
      <c r="O1505">
        <v>1866.6</v>
      </c>
      <c r="P1505">
        <v>336.6</v>
      </c>
      <c r="Q1505">
        <v>0</v>
      </c>
      <c r="R1505">
        <v>0</v>
      </c>
      <c r="S1505">
        <v>1866.6</v>
      </c>
      <c r="T1505" t="s">
        <v>4789</v>
      </c>
      <c r="U1505">
        <v>1</v>
      </c>
      <c r="V1505">
        <v>1866.6</v>
      </c>
      <c r="W1505" t="s">
        <v>4343</v>
      </c>
      <c r="Y1505" t="b">
        <v>1</v>
      </c>
      <c r="Z1505" t="b">
        <v>0</v>
      </c>
      <c r="AA1505">
        <v>1866.6</v>
      </c>
      <c r="AB1505">
        <v>0</v>
      </c>
      <c r="AD1505" t="b">
        <v>0</v>
      </c>
      <c r="AG1505" s="1" t="s">
        <v>310</v>
      </c>
      <c r="AH1505" s="1" t="s">
        <v>38</v>
      </c>
      <c r="AI1505">
        <v>182</v>
      </c>
      <c r="AJ1505">
        <v>154</v>
      </c>
      <c r="AK1505" s="106">
        <v>45475.635560613424</v>
      </c>
      <c r="AL1505" s="1" t="s">
        <v>4790</v>
      </c>
      <c r="AM1505" s="42">
        <f>IFERROR(INDEX('Public procurment'!A:R,MATCH(ListOfExpenditure[[#This Row],[Content.contractId]],'Public procurment'!E:E,0),14),0)</f>
        <v>1866.6</v>
      </c>
      <c r="AN1505" s="2">
        <f>IF(AND(ListOfExpenditure[[#This Row],[Contract amount]]&gt;10000,ListOfExpenditure[[#This Row],[Content.declaredAmount]]&gt;2000),1,0)</f>
        <v>0</v>
      </c>
      <c r="AO1505">
        <f>IFERROR(INDEX('Public procurment'!A:S,MATCH(ListOfExpenditure[[#This Row],[Content.contractId]],'Public procurment'!E:E,0),19),0)</f>
        <v>1</v>
      </c>
      <c r="AP1505">
        <f>IF(ListOfExpenditure[[#This Row],[Numero di volte controllato il contract ]]&gt;0,0,ListOfExpenditure[[#This Row],[IF public procurment &gt;10000;1;0]])</f>
        <v>0</v>
      </c>
    </row>
    <row r="1506" spans="1:42" x14ac:dyDescent="0.25">
      <c r="A1506">
        <v>652</v>
      </c>
      <c r="B1506">
        <v>30</v>
      </c>
      <c r="E1506" t="s">
        <v>4798</v>
      </c>
      <c r="F1506" t="b">
        <v>0</v>
      </c>
      <c r="I1506" t="s">
        <v>6400</v>
      </c>
      <c r="J1506" t="s">
        <v>6401</v>
      </c>
      <c r="K1506" t="s">
        <v>4478</v>
      </c>
      <c r="L1506" t="s">
        <v>5092</v>
      </c>
      <c r="M1506" t="s">
        <v>4788</v>
      </c>
      <c r="N1506" t="s">
        <v>4788</v>
      </c>
      <c r="O1506">
        <v>42.19</v>
      </c>
      <c r="P1506">
        <v>7.61</v>
      </c>
      <c r="Q1506">
        <v>0</v>
      </c>
      <c r="R1506">
        <v>0</v>
      </c>
      <c r="S1506">
        <v>42.19</v>
      </c>
      <c r="T1506" t="s">
        <v>4789</v>
      </c>
      <c r="U1506">
        <v>1</v>
      </c>
      <c r="V1506">
        <v>42.19</v>
      </c>
      <c r="W1506" t="s">
        <v>4343</v>
      </c>
      <c r="Y1506" t="b">
        <v>1</v>
      </c>
      <c r="Z1506" t="b">
        <v>0</v>
      </c>
      <c r="AA1506">
        <v>42.19</v>
      </c>
      <c r="AB1506">
        <v>0</v>
      </c>
      <c r="AD1506" t="b">
        <v>0</v>
      </c>
      <c r="AG1506" s="1" t="s">
        <v>310</v>
      </c>
      <c r="AH1506" s="1" t="s">
        <v>38</v>
      </c>
      <c r="AI1506">
        <v>182</v>
      </c>
      <c r="AJ1506">
        <v>154</v>
      </c>
      <c r="AK1506" s="106">
        <v>45475.635560613424</v>
      </c>
      <c r="AL1506" s="1" t="s">
        <v>4790</v>
      </c>
      <c r="AM1506" s="42">
        <f>IFERROR(INDEX('Public procurment'!A:R,MATCH(ListOfExpenditure[[#This Row],[Content.contractId]],'Public procurment'!E:E,0),14),0)</f>
        <v>0</v>
      </c>
      <c r="AN1506" s="2">
        <f>IF(AND(ListOfExpenditure[[#This Row],[Contract amount]]&gt;10000,ListOfExpenditure[[#This Row],[Content.declaredAmount]]&gt;2000),1,0)</f>
        <v>0</v>
      </c>
      <c r="AO1506">
        <f>IFERROR(INDEX('Public procurment'!A:S,MATCH(ListOfExpenditure[[#This Row],[Content.contractId]],'Public procurment'!E:E,0),19),0)</f>
        <v>0</v>
      </c>
      <c r="AP1506">
        <f>IF(ListOfExpenditure[[#This Row],[Numero di volte controllato il contract ]]&gt;0,0,ListOfExpenditure[[#This Row],[IF public procurment &gt;10000;1;0]])</f>
        <v>0</v>
      </c>
    </row>
    <row r="1507" spans="1:42" x14ac:dyDescent="0.25">
      <c r="A1507">
        <v>27</v>
      </c>
      <c r="B1507">
        <v>1</v>
      </c>
      <c r="E1507" t="s">
        <v>4786</v>
      </c>
      <c r="F1507" t="b">
        <v>1</v>
      </c>
      <c r="I1507" t="s">
        <v>4922</v>
      </c>
      <c r="K1507" t="s">
        <v>5384</v>
      </c>
      <c r="L1507" t="s">
        <v>5384</v>
      </c>
      <c r="M1507" t="s">
        <v>4788</v>
      </c>
      <c r="N1507" t="s">
        <v>4788</v>
      </c>
      <c r="O1507">
        <v>7646.71</v>
      </c>
      <c r="Q1507">
        <v>0</v>
      </c>
      <c r="R1507">
        <v>0</v>
      </c>
      <c r="S1507">
        <v>726.44</v>
      </c>
      <c r="T1507" t="s">
        <v>4789</v>
      </c>
      <c r="U1507">
        <v>1</v>
      </c>
      <c r="V1507">
        <v>726.44</v>
      </c>
      <c r="W1507" t="s">
        <v>4343</v>
      </c>
      <c r="Y1507" t="b">
        <v>1</v>
      </c>
      <c r="Z1507" t="b">
        <v>0</v>
      </c>
      <c r="AA1507">
        <v>726.44</v>
      </c>
      <c r="AB1507">
        <v>0</v>
      </c>
      <c r="AD1507" t="b">
        <v>0</v>
      </c>
      <c r="AG1507" s="1" t="s">
        <v>310</v>
      </c>
      <c r="AH1507" s="1" t="s">
        <v>38</v>
      </c>
      <c r="AI1507">
        <v>182</v>
      </c>
      <c r="AJ1507">
        <v>44</v>
      </c>
      <c r="AK1507" s="106">
        <v>45475.635441412036</v>
      </c>
      <c r="AL1507" s="1" t="s">
        <v>4790</v>
      </c>
      <c r="AM1507" s="42">
        <f>IFERROR(INDEX('Public procurment'!A:R,MATCH(ListOfExpenditure[[#This Row],[Content.contractId]],'Public procurment'!E:E,0),14),0)</f>
        <v>0</v>
      </c>
      <c r="AN1507" s="2">
        <f>IF(AND(ListOfExpenditure[[#This Row],[Contract amount]]&gt;10000,ListOfExpenditure[[#This Row],[Content.declaredAmount]]&gt;2000),1,0)</f>
        <v>0</v>
      </c>
      <c r="AO1507">
        <f>IFERROR(INDEX('Public procurment'!A:S,MATCH(ListOfExpenditure[[#This Row],[Content.contractId]],'Public procurment'!E:E,0),19),0)</f>
        <v>0</v>
      </c>
      <c r="AP1507">
        <f>IF(ListOfExpenditure[[#This Row],[Numero di volte controllato il contract ]]&gt;0,0,ListOfExpenditure[[#This Row],[IF public procurment &gt;10000;1;0]])</f>
        <v>0</v>
      </c>
    </row>
    <row r="1508" spans="1:42" x14ac:dyDescent="0.25">
      <c r="A1508">
        <v>32</v>
      </c>
      <c r="B1508">
        <v>2</v>
      </c>
      <c r="E1508" t="s">
        <v>4786</v>
      </c>
      <c r="F1508" t="b">
        <v>1</v>
      </c>
      <c r="I1508" t="s">
        <v>4926</v>
      </c>
      <c r="K1508" t="s">
        <v>4877</v>
      </c>
      <c r="L1508" t="s">
        <v>4877</v>
      </c>
      <c r="M1508" t="s">
        <v>4788</v>
      </c>
      <c r="N1508" t="s">
        <v>4788</v>
      </c>
      <c r="O1508">
        <v>8841.0300000000007</v>
      </c>
      <c r="Q1508">
        <v>0</v>
      </c>
      <c r="R1508">
        <v>0</v>
      </c>
      <c r="S1508">
        <v>1310.18</v>
      </c>
      <c r="T1508" t="s">
        <v>4789</v>
      </c>
      <c r="U1508">
        <v>1</v>
      </c>
      <c r="V1508">
        <v>1310.18</v>
      </c>
      <c r="W1508" t="s">
        <v>4343</v>
      </c>
      <c r="Y1508" t="b">
        <v>1</v>
      </c>
      <c r="Z1508" t="b">
        <v>0</v>
      </c>
      <c r="AA1508">
        <v>1259.31</v>
      </c>
      <c r="AB1508">
        <v>50.87</v>
      </c>
      <c r="AC1508">
        <v>8</v>
      </c>
      <c r="AD1508" t="b">
        <v>0</v>
      </c>
      <c r="AF1508" t="s">
        <v>5921</v>
      </c>
      <c r="AG1508" s="1" t="s">
        <v>310</v>
      </c>
      <c r="AH1508" s="1" t="s">
        <v>38</v>
      </c>
      <c r="AI1508">
        <v>182</v>
      </c>
      <c r="AJ1508">
        <v>44</v>
      </c>
      <c r="AK1508" s="106">
        <v>45475.635441412036</v>
      </c>
      <c r="AL1508" s="1" t="s">
        <v>4790</v>
      </c>
      <c r="AM1508" s="42">
        <f>IFERROR(INDEX('Public procurment'!A:R,MATCH(ListOfExpenditure[[#This Row],[Content.contractId]],'Public procurment'!E:E,0),14),0)</f>
        <v>0</v>
      </c>
      <c r="AN1508" s="2">
        <f>IF(AND(ListOfExpenditure[[#This Row],[Contract amount]]&gt;10000,ListOfExpenditure[[#This Row],[Content.declaredAmount]]&gt;2000),1,0)</f>
        <v>0</v>
      </c>
      <c r="AO1508">
        <f>IFERROR(INDEX('Public procurment'!A:S,MATCH(ListOfExpenditure[[#This Row],[Content.contractId]],'Public procurment'!E:E,0),19),0)</f>
        <v>0</v>
      </c>
      <c r="AP1508">
        <f>IF(ListOfExpenditure[[#This Row],[Numero di volte controllato il contract ]]&gt;0,0,ListOfExpenditure[[#This Row],[IF public procurment &gt;10000;1;0]])</f>
        <v>0</v>
      </c>
    </row>
    <row r="1509" spans="1:42" x14ac:dyDescent="0.25">
      <c r="A1509">
        <v>33</v>
      </c>
      <c r="B1509">
        <v>3</v>
      </c>
      <c r="E1509" t="s">
        <v>4786</v>
      </c>
      <c r="F1509" t="b">
        <v>1</v>
      </c>
      <c r="I1509" t="s">
        <v>4929</v>
      </c>
      <c r="K1509" t="s">
        <v>4807</v>
      </c>
      <c r="L1509" t="s">
        <v>4807</v>
      </c>
      <c r="M1509" t="s">
        <v>4788</v>
      </c>
      <c r="N1509" t="s">
        <v>4788</v>
      </c>
      <c r="O1509">
        <v>8807.6</v>
      </c>
      <c r="Q1509">
        <v>0</v>
      </c>
      <c r="R1509">
        <v>0</v>
      </c>
      <c r="S1509">
        <v>1307</v>
      </c>
      <c r="T1509" t="s">
        <v>4789</v>
      </c>
      <c r="U1509">
        <v>1</v>
      </c>
      <c r="V1509">
        <v>1307</v>
      </c>
      <c r="W1509" t="s">
        <v>4343</v>
      </c>
      <c r="Y1509" t="b">
        <v>1</v>
      </c>
      <c r="Z1509" t="b">
        <v>0</v>
      </c>
      <c r="AA1509">
        <v>1307</v>
      </c>
      <c r="AB1509">
        <v>0</v>
      </c>
      <c r="AD1509" t="b">
        <v>0</v>
      </c>
      <c r="AG1509" s="1" t="s">
        <v>310</v>
      </c>
      <c r="AH1509" s="1" t="s">
        <v>38</v>
      </c>
      <c r="AI1509">
        <v>182</v>
      </c>
      <c r="AJ1509">
        <v>44</v>
      </c>
      <c r="AK1509" s="106">
        <v>45475.635441412036</v>
      </c>
      <c r="AL1509" s="1" t="s">
        <v>4790</v>
      </c>
      <c r="AM1509" s="42">
        <f>IFERROR(INDEX('Public procurment'!A:R,MATCH(ListOfExpenditure[[#This Row],[Content.contractId]],'Public procurment'!E:E,0),14),0)</f>
        <v>0</v>
      </c>
      <c r="AN1509" s="2">
        <f>IF(AND(ListOfExpenditure[[#This Row],[Contract amount]]&gt;10000,ListOfExpenditure[[#This Row],[Content.declaredAmount]]&gt;2000),1,0)</f>
        <v>0</v>
      </c>
      <c r="AO1509">
        <f>IFERROR(INDEX('Public procurment'!A:S,MATCH(ListOfExpenditure[[#This Row],[Content.contractId]],'Public procurment'!E:E,0),19),0)</f>
        <v>0</v>
      </c>
      <c r="AP1509">
        <f>IF(ListOfExpenditure[[#This Row],[Numero di volte controllato il contract ]]&gt;0,0,ListOfExpenditure[[#This Row],[IF public procurment &gt;10000;1;0]])</f>
        <v>0</v>
      </c>
    </row>
    <row r="1510" spans="1:42" x14ac:dyDescent="0.25">
      <c r="A1510">
        <v>34</v>
      </c>
      <c r="B1510">
        <v>4</v>
      </c>
      <c r="E1510" t="s">
        <v>4786</v>
      </c>
      <c r="F1510" t="b">
        <v>1</v>
      </c>
      <c r="I1510" t="s">
        <v>4933</v>
      </c>
      <c r="K1510" t="s">
        <v>5384</v>
      </c>
      <c r="L1510" t="s">
        <v>5384</v>
      </c>
      <c r="M1510" t="s">
        <v>4788</v>
      </c>
      <c r="N1510" t="s">
        <v>4788</v>
      </c>
      <c r="O1510">
        <v>6710.34</v>
      </c>
      <c r="Q1510">
        <v>0</v>
      </c>
      <c r="R1510">
        <v>0</v>
      </c>
      <c r="S1510">
        <v>1089.68</v>
      </c>
      <c r="T1510" t="s">
        <v>4789</v>
      </c>
      <c r="U1510">
        <v>1</v>
      </c>
      <c r="V1510">
        <v>1089.68</v>
      </c>
      <c r="W1510" t="s">
        <v>4343</v>
      </c>
      <c r="Y1510" t="b">
        <v>1</v>
      </c>
      <c r="Z1510" t="b">
        <v>0</v>
      </c>
      <c r="AA1510">
        <v>1089.68</v>
      </c>
      <c r="AB1510">
        <v>0</v>
      </c>
      <c r="AD1510" t="b">
        <v>0</v>
      </c>
      <c r="AG1510" s="1" t="s">
        <v>310</v>
      </c>
      <c r="AH1510" s="1" t="s">
        <v>38</v>
      </c>
      <c r="AI1510">
        <v>182</v>
      </c>
      <c r="AJ1510">
        <v>44</v>
      </c>
      <c r="AK1510" s="106">
        <v>45475.635441412036</v>
      </c>
      <c r="AL1510" s="1" t="s">
        <v>4790</v>
      </c>
      <c r="AM1510" s="42">
        <f>IFERROR(INDEX('Public procurment'!A:R,MATCH(ListOfExpenditure[[#This Row],[Content.contractId]],'Public procurment'!E:E,0),14),0)</f>
        <v>0</v>
      </c>
      <c r="AN1510" s="2">
        <f>IF(AND(ListOfExpenditure[[#This Row],[Contract amount]]&gt;10000,ListOfExpenditure[[#This Row],[Content.declaredAmount]]&gt;2000),1,0)</f>
        <v>0</v>
      </c>
      <c r="AO1510">
        <f>IFERROR(INDEX('Public procurment'!A:S,MATCH(ListOfExpenditure[[#This Row],[Content.contractId]],'Public procurment'!E:E,0),19),0)</f>
        <v>0</v>
      </c>
      <c r="AP1510">
        <f>IF(ListOfExpenditure[[#This Row],[Numero di volte controllato il contract ]]&gt;0,0,ListOfExpenditure[[#This Row],[IF public procurment &gt;10000;1;0]])</f>
        <v>0</v>
      </c>
    </row>
    <row r="1511" spans="1:42" x14ac:dyDescent="0.25">
      <c r="A1511">
        <v>35</v>
      </c>
      <c r="B1511">
        <v>5</v>
      </c>
      <c r="E1511" t="s">
        <v>4786</v>
      </c>
      <c r="F1511" t="b">
        <v>1</v>
      </c>
      <c r="I1511" t="s">
        <v>4938</v>
      </c>
      <c r="K1511" t="s">
        <v>4877</v>
      </c>
      <c r="L1511" t="s">
        <v>4877</v>
      </c>
      <c r="M1511" t="s">
        <v>4788</v>
      </c>
      <c r="N1511" t="s">
        <v>4788</v>
      </c>
      <c r="O1511">
        <v>7165.23</v>
      </c>
      <c r="Q1511">
        <v>0</v>
      </c>
      <c r="R1511">
        <v>0</v>
      </c>
      <c r="S1511">
        <v>680.7</v>
      </c>
      <c r="T1511" t="s">
        <v>4789</v>
      </c>
      <c r="U1511">
        <v>1</v>
      </c>
      <c r="V1511">
        <v>680.7</v>
      </c>
      <c r="W1511" t="s">
        <v>4343</v>
      </c>
      <c r="Y1511" t="b">
        <v>1</v>
      </c>
      <c r="Z1511" t="b">
        <v>0</v>
      </c>
      <c r="AA1511">
        <v>631.63</v>
      </c>
      <c r="AB1511">
        <v>49.07</v>
      </c>
      <c r="AC1511">
        <v>8</v>
      </c>
      <c r="AD1511" t="b">
        <v>0</v>
      </c>
      <c r="AF1511" t="s">
        <v>5921</v>
      </c>
      <c r="AG1511" s="1" t="s">
        <v>310</v>
      </c>
      <c r="AH1511" s="1" t="s">
        <v>38</v>
      </c>
      <c r="AI1511">
        <v>182</v>
      </c>
      <c r="AJ1511">
        <v>44</v>
      </c>
      <c r="AK1511" s="106">
        <v>45475.635441412036</v>
      </c>
      <c r="AL1511" s="1" t="s">
        <v>4790</v>
      </c>
      <c r="AM1511" s="42">
        <f>IFERROR(INDEX('Public procurment'!A:R,MATCH(ListOfExpenditure[[#This Row],[Content.contractId]],'Public procurment'!E:E,0),14),0)</f>
        <v>0</v>
      </c>
      <c r="AN1511" s="2">
        <f>IF(AND(ListOfExpenditure[[#This Row],[Contract amount]]&gt;10000,ListOfExpenditure[[#This Row],[Content.declaredAmount]]&gt;2000),1,0)</f>
        <v>0</v>
      </c>
      <c r="AO1511">
        <f>IFERROR(INDEX('Public procurment'!A:S,MATCH(ListOfExpenditure[[#This Row],[Content.contractId]],'Public procurment'!E:E,0),19),0)</f>
        <v>0</v>
      </c>
      <c r="AP1511">
        <f>IF(ListOfExpenditure[[#This Row],[Numero di volte controllato il contract ]]&gt;0,0,ListOfExpenditure[[#This Row],[IF public procurment &gt;10000;1;0]])</f>
        <v>0</v>
      </c>
    </row>
    <row r="1512" spans="1:42" x14ac:dyDescent="0.25">
      <c r="A1512">
        <v>36</v>
      </c>
      <c r="B1512">
        <v>6</v>
      </c>
      <c r="E1512" t="s">
        <v>4786</v>
      </c>
      <c r="F1512" t="b">
        <v>1</v>
      </c>
      <c r="I1512" t="s">
        <v>4940</v>
      </c>
      <c r="K1512" t="s">
        <v>4807</v>
      </c>
      <c r="L1512" t="s">
        <v>4807</v>
      </c>
      <c r="M1512" t="s">
        <v>4788</v>
      </c>
      <c r="N1512" t="s">
        <v>4788</v>
      </c>
      <c r="O1512">
        <v>6483.03</v>
      </c>
      <c r="Q1512">
        <v>0</v>
      </c>
      <c r="R1512">
        <v>0</v>
      </c>
      <c r="S1512">
        <v>1068.08</v>
      </c>
      <c r="T1512" t="s">
        <v>4789</v>
      </c>
      <c r="U1512">
        <v>1</v>
      </c>
      <c r="V1512">
        <v>1068.08</v>
      </c>
      <c r="W1512" t="s">
        <v>4343</v>
      </c>
      <c r="Y1512" t="b">
        <v>1</v>
      </c>
      <c r="Z1512" t="b">
        <v>0</v>
      </c>
      <c r="AA1512">
        <v>1068.08</v>
      </c>
      <c r="AB1512">
        <v>0</v>
      </c>
      <c r="AD1512" t="b">
        <v>0</v>
      </c>
      <c r="AG1512" s="1" t="s">
        <v>310</v>
      </c>
      <c r="AH1512" s="1" t="s">
        <v>38</v>
      </c>
      <c r="AI1512">
        <v>182</v>
      </c>
      <c r="AJ1512">
        <v>44</v>
      </c>
      <c r="AK1512" s="106">
        <v>45475.635441412036</v>
      </c>
      <c r="AL1512" s="1" t="s">
        <v>4790</v>
      </c>
      <c r="AM1512" s="42">
        <f>IFERROR(INDEX('Public procurment'!A:R,MATCH(ListOfExpenditure[[#This Row],[Content.contractId]],'Public procurment'!E:E,0),14),0)</f>
        <v>0</v>
      </c>
      <c r="AN1512" s="2">
        <f>IF(AND(ListOfExpenditure[[#This Row],[Contract amount]]&gt;10000,ListOfExpenditure[[#This Row],[Content.declaredAmount]]&gt;2000),1,0)</f>
        <v>0</v>
      </c>
      <c r="AO1512">
        <f>IFERROR(INDEX('Public procurment'!A:S,MATCH(ListOfExpenditure[[#This Row],[Content.contractId]],'Public procurment'!E:E,0),19),0)</f>
        <v>0</v>
      </c>
      <c r="AP1512">
        <f>IF(ListOfExpenditure[[#This Row],[Numero di volte controllato il contract ]]&gt;0,0,ListOfExpenditure[[#This Row],[IF public procurment &gt;10000;1;0]])</f>
        <v>0</v>
      </c>
    </row>
    <row r="1513" spans="1:42" x14ac:dyDescent="0.25">
      <c r="A1513">
        <v>37</v>
      </c>
      <c r="B1513">
        <v>7</v>
      </c>
      <c r="E1513" t="s">
        <v>4786</v>
      </c>
      <c r="F1513" t="b">
        <v>1</v>
      </c>
      <c r="I1513" t="s">
        <v>4941</v>
      </c>
      <c r="K1513" t="s">
        <v>4877</v>
      </c>
      <c r="L1513" t="s">
        <v>4877</v>
      </c>
      <c r="M1513" t="s">
        <v>4788</v>
      </c>
      <c r="N1513" t="s">
        <v>4788</v>
      </c>
      <c r="O1513">
        <v>6543.95</v>
      </c>
      <c r="Q1513">
        <v>0</v>
      </c>
      <c r="R1513">
        <v>0</v>
      </c>
      <c r="S1513">
        <v>1039.75</v>
      </c>
      <c r="T1513" t="s">
        <v>4789</v>
      </c>
      <c r="U1513">
        <v>1</v>
      </c>
      <c r="V1513">
        <v>1039.75</v>
      </c>
      <c r="W1513" t="s">
        <v>4343</v>
      </c>
      <c r="Y1513" t="b">
        <v>1</v>
      </c>
      <c r="Z1513" t="b">
        <v>0</v>
      </c>
      <c r="AA1513">
        <v>994.83</v>
      </c>
      <c r="AB1513">
        <v>44.92</v>
      </c>
      <c r="AC1513">
        <v>8</v>
      </c>
      <c r="AD1513" t="b">
        <v>0</v>
      </c>
      <c r="AF1513" t="s">
        <v>5922</v>
      </c>
      <c r="AG1513" s="1" t="s">
        <v>310</v>
      </c>
      <c r="AH1513" s="1" t="s">
        <v>38</v>
      </c>
      <c r="AI1513">
        <v>182</v>
      </c>
      <c r="AJ1513">
        <v>44</v>
      </c>
      <c r="AK1513" s="106">
        <v>45475.635441412036</v>
      </c>
      <c r="AL1513" s="1" t="s">
        <v>4790</v>
      </c>
      <c r="AM1513" s="42">
        <f>IFERROR(INDEX('Public procurment'!A:R,MATCH(ListOfExpenditure[[#This Row],[Content.contractId]],'Public procurment'!E:E,0),14),0)</f>
        <v>0</v>
      </c>
      <c r="AN1513" s="2">
        <f>IF(AND(ListOfExpenditure[[#This Row],[Contract amount]]&gt;10000,ListOfExpenditure[[#This Row],[Content.declaredAmount]]&gt;2000),1,0)</f>
        <v>0</v>
      </c>
      <c r="AO1513">
        <f>IFERROR(INDEX('Public procurment'!A:S,MATCH(ListOfExpenditure[[#This Row],[Content.contractId]],'Public procurment'!E:E,0),19),0)</f>
        <v>0</v>
      </c>
      <c r="AP1513">
        <f>IF(ListOfExpenditure[[#This Row],[Numero di volte controllato il contract ]]&gt;0,0,ListOfExpenditure[[#This Row],[IF public procurment &gt;10000;1;0]])</f>
        <v>0</v>
      </c>
    </row>
    <row r="1514" spans="1:42" x14ac:dyDescent="0.25">
      <c r="A1514">
        <v>38</v>
      </c>
      <c r="B1514">
        <v>8</v>
      </c>
      <c r="E1514" t="s">
        <v>4786</v>
      </c>
      <c r="F1514" t="b">
        <v>1</v>
      </c>
      <c r="I1514" t="s">
        <v>4943</v>
      </c>
      <c r="K1514" t="s">
        <v>4807</v>
      </c>
      <c r="L1514" t="s">
        <v>4807</v>
      </c>
      <c r="M1514" t="s">
        <v>4788</v>
      </c>
      <c r="N1514" t="s">
        <v>4788</v>
      </c>
      <c r="O1514">
        <v>6093.6</v>
      </c>
      <c r="Q1514">
        <v>0</v>
      </c>
      <c r="R1514">
        <v>0</v>
      </c>
      <c r="S1514">
        <v>996.97</v>
      </c>
      <c r="T1514" t="s">
        <v>4789</v>
      </c>
      <c r="U1514">
        <v>1</v>
      </c>
      <c r="V1514">
        <v>996.97</v>
      </c>
      <c r="W1514" t="s">
        <v>4343</v>
      </c>
      <c r="Y1514" t="b">
        <v>1</v>
      </c>
      <c r="Z1514" t="b">
        <v>0</v>
      </c>
      <c r="AA1514">
        <v>996.97</v>
      </c>
      <c r="AB1514">
        <v>0</v>
      </c>
      <c r="AD1514" t="b">
        <v>0</v>
      </c>
      <c r="AG1514" s="1" t="s">
        <v>310</v>
      </c>
      <c r="AH1514" s="1" t="s">
        <v>38</v>
      </c>
      <c r="AI1514">
        <v>182</v>
      </c>
      <c r="AJ1514">
        <v>44</v>
      </c>
      <c r="AK1514" s="106">
        <v>45475.635441412036</v>
      </c>
      <c r="AL1514" s="1" t="s">
        <v>4790</v>
      </c>
      <c r="AM1514" s="42">
        <f>IFERROR(INDEX('Public procurment'!A:R,MATCH(ListOfExpenditure[[#This Row],[Content.contractId]],'Public procurment'!E:E,0),14),0)</f>
        <v>0</v>
      </c>
      <c r="AN1514" s="2">
        <f>IF(AND(ListOfExpenditure[[#This Row],[Contract amount]]&gt;10000,ListOfExpenditure[[#This Row],[Content.declaredAmount]]&gt;2000),1,0)</f>
        <v>0</v>
      </c>
      <c r="AO1514">
        <f>IFERROR(INDEX('Public procurment'!A:S,MATCH(ListOfExpenditure[[#This Row],[Content.contractId]],'Public procurment'!E:E,0),19),0)</f>
        <v>0</v>
      </c>
      <c r="AP1514">
        <f>IF(ListOfExpenditure[[#This Row],[Numero di volte controllato il contract ]]&gt;0,0,ListOfExpenditure[[#This Row],[IF public procurment &gt;10000;1;0]])</f>
        <v>0</v>
      </c>
    </row>
    <row r="1515" spans="1:42" x14ac:dyDescent="0.25">
      <c r="A1515">
        <v>39</v>
      </c>
      <c r="B1515">
        <v>9</v>
      </c>
      <c r="E1515" t="s">
        <v>4786</v>
      </c>
      <c r="F1515" t="b">
        <v>1</v>
      </c>
      <c r="I1515" t="s">
        <v>4944</v>
      </c>
      <c r="K1515" t="s">
        <v>4877</v>
      </c>
      <c r="L1515" t="s">
        <v>4877</v>
      </c>
      <c r="M1515" t="s">
        <v>4788</v>
      </c>
      <c r="N1515" t="s">
        <v>4788</v>
      </c>
      <c r="O1515">
        <v>2776.98</v>
      </c>
      <c r="Q1515">
        <v>0</v>
      </c>
      <c r="R1515">
        <v>0</v>
      </c>
      <c r="S1515">
        <v>1388.49</v>
      </c>
      <c r="T1515" t="s">
        <v>4789</v>
      </c>
      <c r="U1515">
        <v>1</v>
      </c>
      <c r="V1515">
        <v>1388.49</v>
      </c>
      <c r="W1515" t="s">
        <v>4343</v>
      </c>
      <c r="Y1515" t="b">
        <v>1</v>
      </c>
      <c r="Z1515" t="b">
        <v>0</v>
      </c>
      <c r="AA1515">
        <v>1259.42</v>
      </c>
      <c r="AB1515">
        <v>129.07</v>
      </c>
      <c r="AC1515">
        <v>8</v>
      </c>
      <c r="AD1515" t="b">
        <v>0</v>
      </c>
      <c r="AF1515" t="s">
        <v>5922</v>
      </c>
      <c r="AG1515" s="1" t="s">
        <v>310</v>
      </c>
      <c r="AH1515" s="1" t="s">
        <v>38</v>
      </c>
      <c r="AI1515">
        <v>182</v>
      </c>
      <c r="AJ1515">
        <v>44</v>
      </c>
      <c r="AK1515" s="106">
        <v>45475.635441412036</v>
      </c>
      <c r="AL1515" s="1" t="s">
        <v>4790</v>
      </c>
      <c r="AM1515" s="42">
        <f>IFERROR(INDEX('Public procurment'!A:R,MATCH(ListOfExpenditure[[#This Row],[Content.contractId]],'Public procurment'!E:E,0),14),0)</f>
        <v>0</v>
      </c>
      <c r="AN1515" s="2">
        <f>IF(AND(ListOfExpenditure[[#This Row],[Contract amount]]&gt;10000,ListOfExpenditure[[#This Row],[Content.declaredAmount]]&gt;2000),1,0)</f>
        <v>0</v>
      </c>
      <c r="AO1515">
        <f>IFERROR(INDEX('Public procurment'!A:S,MATCH(ListOfExpenditure[[#This Row],[Content.contractId]],'Public procurment'!E:E,0),19),0)</f>
        <v>0</v>
      </c>
      <c r="AP1515">
        <f>IF(ListOfExpenditure[[#This Row],[Numero di volte controllato il contract ]]&gt;0,0,ListOfExpenditure[[#This Row],[IF public procurment &gt;10000;1;0]])</f>
        <v>0</v>
      </c>
    </row>
    <row r="1516" spans="1:42" x14ac:dyDescent="0.25">
      <c r="A1516">
        <v>40</v>
      </c>
      <c r="B1516">
        <v>10</v>
      </c>
      <c r="E1516" t="s">
        <v>4786</v>
      </c>
      <c r="F1516" t="b">
        <v>1</v>
      </c>
      <c r="I1516" t="s">
        <v>4945</v>
      </c>
      <c r="K1516" t="s">
        <v>4807</v>
      </c>
      <c r="L1516" t="s">
        <v>4807</v>
      </c>
      <c r="M1516" t="s">
        <v>4788</v>
      </c>
      <c r="N1516" t="s">
        <v>4788</v>
      </c>
      <c r="O1516">
        <v>2499.02</v>
      </c>
      <c r="Q1516">
        <v>0</v>
      </c>
      <c r="R1516">
        <v>0</v>
      </c>
      <c r="S1516">
        <v>1249.51</v>
      </c>
      <c r="T1516" t="s">
        <v>4789</v>
      </c>
      <c r="U1516">
        <v>1</v>
      </c>
      <c r="V1516">
        <v>1249.51</v>
      </c>
      <c r="W1516" t="s">
        <v>4343</v>
      </c>
      <c r="Y1516" t="b">
        <v>1</v>
      </c>
      <c r="Z1516" t="b">
        <v>0</v>
      </c>
      <c r="AA1516">
        <v>1249.51</v>
      </c>
      <c r="AB1516">
        <v>0</v>
      </c>
      <c r="AD1516" t="b">
        <v>0</v>
      </c>
      <c r="AG1516" s="1" t="s">
        <v>310</v>
      </c>
      <c r="AH1516" s="1" t="s">
        <v>38</v>
      </c>
      <c r="AI1516">
        <v>182</v>
      </c>
      <c r="AJ1516">
        <v>44</v>
      </c>
      <c r="AK1516" s="106">
        <v>45475.635441412036</v>
      </c>
      <c r="AL1516" s="1" t="s">
        <v>4790</v>
      </c>
      <c r="AM1516" s="42">
        <f>IFERROR(INDEX('Public procurment'!A:R,MATCH(ListOfExpenditure[[#This Row],[Content.contractId]],'Public procurment'!E:E,0),14),0)</f>
        <v>0</v>
      </c>
      <c r="AN1516" s="2">
        <f>IF(AND(ListOfExpenditure[[#This Row],[Contract amount]]&gt;10000,ListOfExpenditure[[#This Row],[Content.declaredAmount]]&gt;2000),1,0)</f>
        <v>0</v>
      </c>
      <c r="AO1516">
        <f>IFERROR(INDEX('Public procurment'!A:S,MATCH(ListOfExpenditure[[#This Row],[Content.contractId]],'Public procurment'!E:E,0),19),0)</f>
        <v>0</v>
      </c>
      <c r="AP1516">
        <f>IF(ListOfExpenditure[[#This Row],[Numero di volte controllato il contract ]]&gt;0,0,ListOfExpenditure[[#This Row],[IF public procurment &gt;10000;1;0]])</f>
        <v>0</v>
      </c>
    </row>
    <row r="1517" spans="1:42" x14ac:dyDescent="0.25">
      <c r="A1517">
        <v>41</v>
      </c>
      <c r="B1517">
        <v>11</v>
      </c>
      <c r="E1517" t="s">
        <v>4786</v>
      </c>
      <c r="F1517" t="b">
        <v>1</v>
      </c>
      <c r="I1517" t="s">
        <v>4947</v>
      </c>
      <c r="K1517" t="s">
        <v>4877</v>
      </c>
      <c r="L1517" t="s">
        <v>4877</v>
      </c>
      <c r="M1517" t="s">
        <v>4788</v>
      </c>
      <c r="N1517" t="s">
        <v>4788</v>
      </c>
      <c r="O1517">
        <v>3169.57</v>
      </c>
      <c r="Q1517">
        <v>0</v>
      </c>
      <c r="R1517">
        <v>0</v>
      </c>
      <c r="S1517">
        <v>301.11</v>
      </c>
      <c r="T1517" t="s">
        <v>4789</v>
      </c>
      <c r="U1517">
        <v>1</v>
      </c>
      <c r="V1517">
        <v>301.11</v>
      </c>
      <c r="W1517" t="s">
        <v>4343</v>
      </c>
      <c r="Y1517" t="b">
        <v>1</v>
      </c>
      <c r="Z1517" t="b">
        <v>0</v>
      </c>
      <c r="AA1517">
        <v>271.88</v>
      </c>
      <c r="AB1517">
        <v>29.23</v>
      </c>
      <c r="AC1517">
        <v>8</v>
      </c>
      <c r="AD1517" t="b">
        <v>0</v>
      </c>
      <c r="AF1517" t="s">
        <v>5922</v>
      </c>
      <c r="AG1517" s="1" t="s">
        <v>310</v>
      </c>
      <c r="AH1517" s="1" t="s">
        <v>38</v>
      </c>
      <c r="AI1517">
        <v>182</v>
      </c>
      <c r="AJ1517">
        <v>44</v>
      </c>
      <c r="AK1517" s="106">
        <v>45475.635441412036</v>
      </c>
      <c r="AL1517" s="1" t="s">
        <v>4790</v>
      </c>
      <c r="AM1517" s="42">
        <f>IFERROR(INDEX('Public procurment'!A:R,MATCH(ListOfExpenditure[[#This Row],[Content.contractId]],'Public procurment'!E:E,0),14),0)</f>
        <v>0</v>
      </c>
      <c r="AN1517" s="2">
        <f>IF(AND(ListOfExpenditure[[#This Row],[Contract amount]]&gt;10000,ListOfExpenditure[[#This Row],[Content.declaredAmount]]&gt;2000),1,0)</f>
        <v>0</v>
      </c>
      <c r="AO1517">
        <f>IFERROR(INDEX('Public procurment'!A:S,MATCH(ListOfExpenditure[[#This Row],[Content.contractId]],'Public procurment'!E:E,0),19),0)</f>
        <v>0</v>
      </c>
      <c r="AP1517">
        <f>IF(ListOfExpenditure[[#This Row],[Numero di volte controllato il contract ]]&gt;0,0,ListOfExpenditure[[#This Row],[IF public procurment &gt;10000;1;0]])</f>
        <v>0</v>
      </c>
    </row>
    <row r="1518" spans="1:42" x14ac:dyDescent="0.25">
      <c r="A1518">
        <v>42</v>
      </c>
      <c r="B1518">
        <v>12</v>
      </c>
      <c r="E1518" t="s">
        <v>4786</v>
      </c>
      <c r="F1518" t="b">
        <v>1</v>
      </c>
      <c r="I1518" t="s">
        <v>4948</v>
      </c>
      <c r="K1518" t="s">
        <v>4807</v>
      </c>
      <c r="L1518" t="s">
        <v>4807</v>
      </c>
      <c r="M1518" t="s">
        <v>4788</v>
      </c>
      <c r="N1518" t="s">
        <v>4788</v>
      </c>
      <c r="O1518">
        <v>3280.49</v>
      </c>
      <c r="Q1518">
        <v>0</v>
      </c>
      <c r="R1518">
        <v>0</v>
      </c>
      <c r="S1518">
        <v>526.28</v>
      </c>
      <c r="T1518" t="s">
        <v>4789</v>
      </c>
      <c r="U1518">
        <v>1</v>
      </c>
      <c r="V1518">
        <v>526.28</v>
      </c>
      <c r="W1518" t="s">
        <v>4343</v>
      </c>
      <c r="Y1518" t="b">
        <v>1</v>
      </c>
      <c r="Z1518" t="b">
        <v>0</v>
      </c>
      <c r="AA1518">
        <v>526.28</v>
      </c>
      <c r="AB1518">
        <v>0</v>
      </c>
      <c r="AD1518" t="b">
        <v>0</v>
      </c>
      <c r="AG1518" s="1" t="s">
        <v>310</v>
      </c>
      <c r="AH1518" s="1" t="s">
        <v>38</v>
      </c>
      <c r="AI1518">
        <v>182</v>
      </c>
      <c r="AJ1518">
        <v>44</v>
      </c>
      <c r="AK1518" s="106">
        <v>45475.635441412036</v>
      </c>
      <c r="AL1518" s="1" t="s">
        <v>4790</v>
      </c>
      <c r="AM1518" s="42">
        <f>IFERROR(INDEX('Public procurment'!A:R,MATCH(ListOfExpenditure[[#This Row],[Content.contractId]],'Public procurment'!E:E,0),14),0)</f>
        <v>0</v>
      </c>
      <c r="AN1518" s="2">
        <f>IF(AND(ListOfExpenditure[[#This Row],[Contract amount]]&gt;10000,ListOfExpenditure[[#This Row],[Content.declaredAmount]]&gt;2000),1,0)</f>
        <v>0</v>
      </c>
      <c r="AO1518">
        <f>IFERROR(INDEX('Public procurment'!A:S,MATCH(ListOfExpenditure[[#This Row],[Content.contractId]],'Public procurment'!E:E,0),19),0)</f>
        <v>0</v>
      </c>
      <c r="AP1518">
        <f>IF(ListOfExpenditure[[#This Row],[Numero di volte controllato il contract ]]&gt;0,0,ListOfExpenditure[[#This Row],[IF public procurment &gt;10000;1;0]])</f>
        <v>0</v>
      </c>
    </row>
    <row r="1519" spans="1:42" x14ac:dyDescent="0.25">
      <c r="A1519">
        <v>43</v>
      </c>
      <c r="B1519">
        <v>13</v>
      </c>
      <c r="E1519" t="s">
        <v>4786</v>
      </c>
      <c r="F1519" t="b">
        <v>1</v>
      </c>
      <c r="I1519" t="s">
        <v>4949</v>
      </c>
      <c r="K1519" t="s">
        <v>4807</v>
      </c>
      <c r="L1519" t="s">
        <v>4807</v>
      </c>
      <c r="M1519" t="s">
        <v>4788</v>
      </c>
      <c r="N1519" t="s">
        <v>4788</v>
      </c>
      <c r="O1519">
        <v>3711.11</v>
      </c>
      <c r="Q1519">
        <v>0</v>
      </c>
      <c r="R1519">
        <v>0</v>
      </c>
      <c r="S1519">
        <v>1093.05</v>
      </c>
      <c r="T1519" t="s">
        <v>4789</v>
      </c>
      <c r="U1519">
        <v>1</v>
      </c>
      <c r="V1519">
        <v>1093.05</v>
      </c>
      <c r="W1519" t="s">
        <v>4343</v>
      </c>
      <c r="Y1519" t="b">
        <v>1</v>
      </c>
      <c r="Z1519" t="b">
        <v>0</v>
      </c>
      <c r="AA1519">
        <v>634.46</v>
      </c>
      <c r="AB1519">
        <v>458.59</v>
      </c>
      <c r="AC1519">
        <v>14</v>
      </c>
      <c r="AD1519" t="b">
        <v>0</v>
      </c>
      <c r="AF1519" t="s">
        <v>5923</v>
      </c>
      <c r="AG1519" s="1" t="s">
        <v>310</v>
      </c>
      <c r="AH1519" s="1" t="s">
        <v>38</v>
      </c>
      <c r="AI1519">
        <v>182</v>
      </c>
      <c r="AJ1519">
        <v>44</v>
      </c>
      <c r="AK1519" s="106">
        <v>45475.635441412036</v>
      </c>
      <c r="AL1519" s="1" t="s">
        <v>4790</v>
      </c>
      <c r="AM1519" s="42">
        <f>IFERROR(INDEX('Public procurment'!A:R,MATCH(ListOfExpenditure[[#This Row],[Content.contractId]],'Public procurment'!E:E,0),14),0)</f>
        <v>0</v>
      </c>
      <c r="AN1519" s="2">
        <f>IF(AND(ListOfExpenditure[[#This Row],[Contract amount]]&gt;10000,ListOfExpenditure[[#This Row],[Content.declaredAmount]]&gt;2000),1,0)</f>
        <v>0</v>
      </c>
      <c r="AO1519">
        <f>IFERROR(INDEX('Public procurment'!A:S,MATCH(ListOfExpenditure[[#This Row],[Content.contractId]],'Public procurment'!E:E,0),19),0)</f>
        <v>0</v>
      </c>
      <c r="AP1519">
        <f>IF(ListOfExpenditure[[#This Row],[Numero di volte controllato il contract ]]&gt;0,0,ListOfExpenditure[[#This Row],[IF public procurment &gt;10000;1;0]])</f>
        <v>0</v>
      </c>
    </row>
    <row r="1520" spans="1:42" x14ac:dyDescent="0.25">
      <c r="A1520">
        <v>724</v>
      </c>
      <c r="B1520">
        <v>1</v>
      </c>
      <c r="E1520" t="s">
        <v>4798</v>
      </c>
      <c r="F1520" t="b">
        <v>0</v>
      </c>
      <c r="H1520">
        <v>124</v>
      </c>
      <c r="I1520" t="s">
        <v>5924</v>
      </c>
      <c r="J1520" t="s">
        <v>5925</v>
      </c>
      <c r="K1520" t="s">
        <v>5926</v>
      </c>
      <c r="L1520" t="s">
        <v>5033</v>
      </c>
      <c r="M1520" t="s">
        <v>4788</v>
      </c>
      <c r="N1520" t="s">
        <v>4788</v>
      </c>
      <c r="O1520">
        <v>53</v>
      </c>
      <c r="P1520">
        <v>4.5999999999999996</v>
      </c>
      <c r="Q1520">
        <v>0</v>
      </c>
      <c r="R1520">
        <v>0</v>
      </c>
      <c r="S1520">
        <v>52.86</v>
      </c>
      <c r="T1520" t="s">
        <v>4789</v>
      </c>
      <c r="U1520">
        <v>1</v>
      </c>
      <c r="V1520">
        <v>52.86</v>
      </c>
      <c r="W1520" t="s">
        <v>4343</v>
      </c>
      <c r="Y1520" t="b">
        <v>1</v>
      </c>
      <c r="Z1520" t="b">
        <v>0</v>
      </c>
      <c r="AA1520">
        <v>52.86</v>
      </c>
      <c r="AB1520">
        <v>0</v>
      </c>
      <c r="AD1520" t="b">
        <v>0</v>
      </c>
      <c r="AG1520" s="1" t="s">
        <v>310</v>
      </c>
      <c r="AH1520" s="1" t="s">
        <v>46</v>
      </c>
      <c r="AI1520">
        <v>86</v>
      </c>
      <c r="AJ1520">
        <v>213</v>
      </c>
      <c r="AK1520" s="106">
        <v>45475.635474432871</v>
      </c>
      <c r="AL1520" s="1" t="s">
        <v>4790</v>
      </c>
      <c r="AM1520" s="42">
        <f>IFERROR(INDEX('Public procurment'!A:R,MATCH(ListOfExpenditure[[#This Row],[Content.contractId]],'Public procurment'!E:E,0),14),0)</f>
        <v>53</v>
      </c>
      <c r="AN1520" s="2">
        <f>IF(AND(ListOfExpenditure[[#This Row],[Contract amount]]&gt;10000,ListOfExpenditure[[#This Row],[Content.declaredAmount]]&gt;2000),1,0)</f>
        <v>0</v>
      </c>
      <c r="AO1520">
        <f>IFERROR(INDEX('Public procurment'!A:S,MATCH(ListOfExpenditure[[#This Row],[Content.contractId]],'Public procurment'!E:E,0),19),0)</f>
        <v>1</v>
      </c>
      <c r="AP1520">
        <f>IF(ListOfExpenditure[[#This Row],[Numero di volte controllato il contract ]]&gt;0,0,ListOfExpenditure[[#This Row],[IF public procurment &gt;10000;1;0]])</f>
        <v>0</v>
      </c>
    </row>
    <row r="1521" spans="1:42" x14ac:dyDescent="0.25">
      <c r="A1521">
        <v>725</v>
      </c>
      <c r="B1521">
        <v>2</v>
      </c>
      <c r="E1521" t="s">
        <v>4798</v>
      </c>
      <c r="F1521" t="b">
        <v>0</v>
      </c>
      <c r="H1521">
        <v>125</v>
      </c>
      <c r="I1521" t="s">
        <v>5927</v>
      </c>
      <c r="J1521" t="s">
        <v>5928</v>
      </c>
      <c r="K1521" t="s">
        <v>5929</v>
      </c>
      <c r="L1521" t="s">
        <v>5033</v>
      </c>
      <c r="M1521" t="s">
        <v>4788</v>
      </c>
      <c r="N1521" t="s">
        <v>4788</v>
      </c>
      <c r="O1521">
        <v>63</v>
      </c>
      <c r="P1521">
        <v>0</v>
      </c>
      <c r="Q1521">
        <v>0</v>
      </c>
      <c r="R1521">
        <v>0</v>
      </c>
      <c r="S1521">
        <v>63</v>
      </c>
      <c r="T1521" t="s">
        <v>4789</v>
      </c>
      <c r="U1521">
        <v>1</v>
      </c>
      <c r="V1521">
        <v>63</v>
      </c>
      <c r="W1521" t="s">
        <v>4343</v>
      </c>
      <c r="Y1521" t="b">
        <v>1</v>
      </c>
      <c r="Z1521" t="b">
        <v>0</v>
      </c>
      <c r="AA1521">
        <v>63</v>
      </c>
      <c r="AB1521">
        <v>0</v>
      </c>
      <c r="AD1521" t="b">
        <v>0</v>
      </c>
      <c r="AG1521" s="1" t="s">
        <v>310</v>
      </c>
      <c r="AH1521" s="1" t="s">
        <v>46</v>
      </c>
      <c r="AI1521">
        <v>86</v>
      </c>
      <c r="AJ1521">
        <v>213</v>
      </c>
      <c r="AK1521" s="106">
        <v>45475.635474432871</v>
      </c>
      <c r="AL1521" s="1" t="s">
        <v>4790</v>
      </c>
      <c r="AM1521" s="42">
        <f>IFERROR(INDEX('Public procurment'!A:R,MATCH(ListOfExpenditure[[#This Row],[Content.contractId]],'Public procurment'!E:E,0),14),0)</f>
        <v>63</v>
      </c>
      <c r="AN1521" s="2">
        <f>IF(AND(ListOfExpenditure[[#This Row],[Contract amount]]&gt;10000,ListOfExpenditure[[#This Row],[Content.declaredAmount]]&gt;2000),1,0)</f>
        <v>0</v>
      </c>
      <c r="AO1521">
        <f>IFERROR(INDEX('Public procurment'!A:S,MATCH(ListOfExpenditure[[#This Row],[Content.contractId]],'Public procurment'!E:E,0),19),0)</f>
        <v>1</v>
      </c>
      <c r="AP1521">
        <f>IF(ListOfExpenditure[[#This Row],[Numero di volte controllato il contract ]]&gt;0,0,ListOfExpenditure[[#This Row],[IF public procurment &gt;10000;1;0]])</f>
        <v>0</v>
      </c>
    </row>
    <row r="1522" spans="1:42" x14ac:dyDescent="0.25">
      <c r="A1522">
        <v>726</v>
      </c>
      <c r="B1522">
        <v>3</v>
      </c>
      <c r="E1522" t="s">
        <v>4798</v>
      </c>
      <c r="F1522" t="b">
        <v>0</v>
      </c>
      <c r="H1522">
        <v>126</v>
      </c>
      <c r="I1522" t="s">
        <v>5930</v>
      </c>
      <c r="J1522" t="s">
        <v>5931</v>
      </c>
      <c r="K1522" t="s">
        <v>5929</v>
      </c>
      <c r="L1522" t="s">
        <v>5033</v>
      </c>
      <c r="M1522" t="s">
        <v>4788</v>
      </c>
      <c r="N1522" t="s">
        <v>4788</v>
      </c>
      <c r="O1522">
        <v>63</v>
      </c>
      <c r="P1522">
        <v>0</v>
      </c>
      <c r="Q1522">
        <v>0</v>
      </c>
      <c r="R1522">
        <v>0</v>
      </c>
      <c r="S1522">
        <v>63</v>
      </c>
      <c r="T1522" t="s">
        <v>4789</v>
      </c>
      <c r="U1522">
        <v>1</v>
      </c>
      <c r="V1522">
        <v>63</v>
      </c>
      <c r="W1522" t="s">
        <v>4343</v>
      </c>
      <c r="Y1522" t="b">
        <v>1</v>
      </c>
      <c r="Z1522" t="b">
        <v>0</v>
      </c>
      <c r="AA1522">
        <v>63</v>
      </c>
      <c r="AB1522">
        <v>0</v>
      </c>
      <c r="AD1522" t="b">
        <v>0</v>
      </c>
      <c r="AG1522" s="1" t="s">
        <v>310</v>
      </c>
      <c r="AH1522" s="1" t="s">
        <v>46</v>
      </c>
      <c r="AI1522">
        <v>86</v>
      </c>
      <c r="AJ1522">
        <v>213</v>
      </c>
      <c r="AK1522" s="106">
        <v>45475.635474432871</v>
      </c>
      <c r="AL1522" s="1" t="s">
        <v>4790</v>
      </c>
      <c r="AM1522" s="42">
        <f>IFERROR(INDEX('Public procurment'!A:R,MATCH(ListOfExpenditure[[#This Row],[Content.contractId]],'Public procurment'!E:E,0),14),0)</f>
        <v>63</v>
      </c>
      <c r="AN1522" s="2">
        <f>IF(AND(ListOfExpenditure[[#This Row],[Contract amount]]&gt;10000,ListOfExpenditure[[#This Row],[Content.declaredAmount]]&gt;2000),1,0)</f>
        <v>0</v>
      </c>
      <c r="AO1522">
        <f>IFERROR(INDEX('Public procurment'!A:S,MATCH(ListOfExpenditure[[#This Row],[Content.contractId]],'Public procurment'!E:E,0),19),0)</f>
        <v>1</v>
      </c>
      <c r="AP1522">
        <f>IF(ListOfExpenditure[[#This Row],[Numero di volte controllato il contract ]]&gt;0,0,ListOfExpenditure[[#This Row],[IF public procurment &gt;10000;1;0]])</f>
        <v>0</v>
      </c>
    </row>
    <row r="1523" spans="1:42" x14ac:dyDescent="0.25">
      <c r="A1523">
        <v>727</v>
      </c>
      <c r="B1523">
        <v>4</v>
      </c>
      <c r="E1523" t="s">
        <v>4798</v>
      </c>
      <c r="F1523" t="b">
        <v>0</v>
      </c>
      <c r="H1523">
        <v>128</v>
      </c>
      <c r="I1523" t="s">
        <v>5932</v>
      </c>
      <c r="J1523" t="s">
        <v>5933</v>
      </c>
      <c r="K1523" t="s">
        <v>4935</v>
      </c>
      <c r="L1523" t="s">
        <v>4925</v>
      </c>
      <c r="M1523" t="s">
        <v>4788</v>
      </c>
      <c r="N1523" t="s">
        <v>4788</v>
      </c>
      <c r="O1523">
        <v>76</v>
      </c>
      <c r="P1523">
        <v>0</v>
      </c>
      <c r="Q1523">
        <v>0</v>
      </c>
      <c r="R1523">
        <v>0</v>
      </c>
      <c r="S1523">
        <v>76</v>
      </c>
      <c r="T1523" t="s">
        <v>4789</v>
      </c>
      <c r="U1523">
        <v>1</v>
      </c>
      <c r="V1523">
        <v>76</v>
      </c>
      <c r="W1523" t="s">
        <v>4343</v>
      </c>
      <c r="Y1523" t="b">
        <v>1</v>
      </c>
      <c r="Z1523" t="b">
        <v>0</v>
      </c>
      <c r="AA1523">
        <v>76</v>
      </c>
      <c r="AB1523">
        <v>0</v>
      </c>
      <c r="AD1523" t="b">
        <v>0</v>
      </c>
      <c r="AG1523" s="1" t="s">
        <v>310</v>
      </c>
      <c r="AH1523" s="1" t="s">
        <v>46</v>
      </c>
      <c r="AI1523">
        <v>86</v>
      </c>
      <c r="AJ1523">
        <v>213</v>
      </c>
      <c r="AK1523" s="106">
        <v>45475.635474432871</v>
      </c>
      <c r="AL1523" s="1" t="s">
        <v>4790</v>
      </c>
      <c r="AM1523" s="42">
        <f>IFERROR(INDEX('Public procurment'!A:R,MATCH(ListOfExpenditure[[#This Row],[Content.contractId]],'Public procurment'!E:E,0),14),0)</f>
        <v>76</v>
      </c>
      <c r="AN1523" s="2">
        <f>IF(AND(ListOfExpenditure[[#This Row],[Contract amount]]&gt;10000,ListOfExpenditure[[#This Row],[Content.declaredAmount]]&gt;2000),1,0)</f>
        <v>0</v>
      </c>
      <c r="AO1523">
        <f>IFERROR(INDEX('Public procurment'!A:S,MATCH(ListOfExpenditure[[#This Row],[Content.contractId]],'Public procurment'!E:E,0),19),0)</f>
        <v>1</v>
      </c>
      <c r="AP1523">
        <f>IF(ListOfExpenditure[[#This Row],[Numero di volte controllato il contract ]]&gt;0,0,ListOfExpenditure[[#This Row],[IF public procurment &gt;10000;1;0]])</f>
        <v>0</v>
      </c>
    </row>
    <row r="1524" spans="1:42" x14ac:dyDescent="0.25">
      <c r="A1524">
        <v>728</v>
      </c>
      <c r="B1524">
        <v>5</v>
      </c>
      <c r="E1524" t="s">
        <v>4798</v>
      </c>
      <c r="F1524" t="b">
        <v>0</v>
      </c>
      <c r="H1524">
        <v>129</v>
      </c>
      <c r="I1524" t="s">
        <v>5934</v>
      </c>
      <c r="J1524" t="s">
        <v>5935</v>
      </c>
      <c r="K1524" t="s">
        <v>4935</v>
      </c>
      <c r="L1524" t="s">
        <v>4925</v>
      </c>
      <c r="M1524" t="s">
        <v>4788</v>
      </c>
      <c r="N1524" t="s">
        <v>4788</v>
      </c>
      <c r="O1524">
        <v>38</v>
      </c>
      <c r="P1524">
        <v>0</v>
      </c>
      <c r="Q1524">
        <v>0</v>
      </c>
      <c r="R1524">
        <v>0</v>
      </c>
      <c r="S1524">
        <v>38</v>
      </c>
      <c r="T1524" t="s">
        <v>4789</v>
      </c>
      <c r="U1524">
        <v>1</v>
      </c>
      <c r="V1524">
        <v>38</v>
      </c>
      <c r="W1524" t="s">
        <v>4343</v>
      </c>
      <c r="Y1524" t="b">
        <v>1</v>
      </c>
      <c r="Z1524" t="b">
        <v>0</v>
      </c>
      <c r="AA1524">
        <v>38</v>
      </c>
      <c r="AB1524">
        <v>0</v>
      </c>
      <c r="AD1524" t="b">
        <v>0</v>
      </c>
      <c r="AG1524" s="1" t="s">
        <v>310</v>
      </c>
      <c r="AH1524" s="1" t="s">
        <v>46</v>
      </c>
      <c r="AI1524">
        <v>86</v>
      </c>
      <c r="AJ1524">
        <v>213</v>
      </c>
      <c r="AK1524" s="106">
        <v>45475.635474432871</v>
      </c>
      <c r="AL1524" s="1" t="s">
        <v>4790</v>
      </c>
      <c r="AM1524" s="42">
        <f>IFERROR(INDEX('Public procurment'!A:R,MATCH(ListOfExpenditure[[#This Row],[Content.contractId]],'Public procurment'!E:E,0),14),0)</f>
        <v>38</v>
      </c>
      <c r="AN1524" s="2">
        <f>IF(AND(ListOfExpenditure[[#This Row],[Contract amount]]&gt;10000,ListOfExpenditure[[#This Row],[Content.declaredAmount]]&gt;2000),1,0)</f>
        <v>0</v>
      </c>
      <c r="AO1524">
        <f>IFERROR(INDEX('Public procurment'!A:S,MATCH(ListOfExpenditure[[#This Row],[Content.contractId]],'Public procurment'!E:E,0),19),0)</f>
        <v>1</v>
      </c>
      <c r="AP1524">
        <f>IF(ListOfExpenditure[[#This Row],[Numero di volte controllato il contract ]]&gt;0,0,ListOfExpenditure[[#This Row],[IF public procurment &gt;10000;1;0]])</f>
        <v>0</v>
      </c>
    </row>
    <row r="1525" spans="1:42" x14ac:dyDescent="0.25">
      <c r="A1525">
        <v>729</v>
      </c>
      <c r="B1525">
        <v>6</v>
      </c>
      <c r="E1525" t="s">
        <v>4798</v>
      </c>
      <c r="F1525" t="b">
        <v>0</v>
      </c>
      <c r="H1525">
        <v>127</v>
      </c>
      <c r="I1525" t="s">
        <v>5936</v>
      </c>
      <c r="J1525" t="s">
        <v>5937</v>
      </c>
      <c r="K1525" t="s">
        <v>5127</v>
      </c>
      <c r="L1525" t="s">
        <v>5027</v>
      </c>
      <c r="M1525" t="s">
        <v>4788</v>
      </c>
      <c r="N1525" t="s">
        <v>4788</v>
      </c>
      <c r="O1525">
        <v>103.09</v>
      </c>
      <c r="P1525">
        <v>18.59</v>
      </c>
      <c r="Q1525">
        <v>0</v>
      </c>
      <c r="R1525">
        <v>0</v>
      </c>
      <c r="S1525">
        <v>102.53</v>
      </c>
      <c r="T1525" t="s">
        <v>4789</v>
      </c>
      <c r="U1525">
        <v>1</v>
      </c>
      <c r="V1525">
        <v>102.53</v>
      </c>
      <c r="W1525" t="s">
        <v>4343</v>
      </c>
      <c r="Y1525" t="b">
        <v>1</v>
      </c>
      <c r="Z1525" t="b">
        <v>0</v>
      </c>
      <c r="AA1525">
        <v>102.53</v>
      </c>
      <c r="AB1525">
        <v>0</v>
      </c>
      <c r="AD1525" t="b">
        <v>0</v>
      </c>
      <c r="AG1525" s="1" t="s">
        <v>310</v>
      </c>
      <c r="AH1525" s="1" t="s">
        <v>46</v>
      </c>
      <c r="AI1525">
        <v>86</v>
      </c>
      <c r="AJ1525">
        <v>213</v>
      </c>
      <c r="AK1525" s="106">
        <v>45475.635474432871</v>
      </c>
      <c r="AL1525" s="1" t="s">
        <v>4790</v>
      </c>
      <c r="AM1525" s="42">
        <f>IFERROR(INDEX('Public procurment'!A:R,MATCH(ListOfExpenditure[[#This Row],[Content.contractId]],'Public procurment'!E:E,0),14),0)</f>
        <v>103.09</v>
      </c>
      <c r="AN1525" s="2">
        <f>IF(AND(ListOfExpenditure[[#This Row],[Contract amount]]&gt;10000,ListOfExpenditure[[#This Row],[Content.declaredAmount]]&gt;2000),1,0)</f>
        <v>0</v>
      </c>
      <c r="AO1525">
        <f>IFERROR(INDEX('Public procurment'!A:S,MATCH(ListOfExpenditure[[#This Row],[Content.contractId]],'Public procurment'!E:E,0),19),0)</f>
        <v>1</v>
      </c>
      <c r="AP1525">
        <f>IF(ListOfExpenditure[[#This Row],[Numero di volte controllato il contract ]]&gt;0,0,ListOfExpenditure[[#This Row],[IF public procurment &gt;10000;1;0]])</f>
        <v>0</v>
      </c>
    </row>
    <row r="1526" spans="1:42" x14ac:dyDescent="0.25">
      <c r="A1526">
        <v>730</v>
      </c>
      <c r="B1526">
        <v>7</v>
      </c>
      <c r="E1526" t="s">
        <v>4798</v>
      </c>
      <c r="F1526" t="b">
        <v>0</v>
      </c>
      <c r="H1526">
        <v>130</v>
      </c>
      <c r="I1526" t="s">
        <v>5938</v>
      </c>
      <c r="J1526" t="s">
        <v>5939</v>
      </c>
      <c r="K1526" t="s">
        <v>4932</v>
      </c>
      <c r="L1526" t="s">
        <v>4925</v>
      </c>
      <c r="M1526" t="s">
        <v>4788</v>
      </c>
      <c r="N1526" t="s">
        <v>4788</v>
      </c>
      <c r="O1526">
        <v>562.5</v>
      </c>
      <c r="P1526">
        <v>48.8</v>
      </c>
      <c r="Q1526">
        <v>0</v>
      </c>
      <c r="R1526">
        <v>0</v>
      </c>
      <c r="S1526">
        <v>562.5</v>
      </c>
      <c r="T1526" t="s">
        <v>4789</v>
      </c>
      <c r="U1526">
        <v>1</v>
      </c>
      <c r="V1526">
        <v>562.5</v>
      </c>
      <c r="W1526" t="s">
        <v>4343</v>
      </c>
      <c r="Y1526" t="b">
        <v>1</v>
      </c>
      <c r="Z1526" t="b">
        <v>0</v>
      </c>
      <c r="AA1526">
        <v>562.5</v>
      </c>
      <c r="AB1526">
        <v>0</v>
      </c>
      <c r="AD1526" t="b">
        <v>0</v>
      </c>
      <c r="AG1526" s="1" t="s">
        <v>310</v>
      </c>
      <c r="AH1526" s="1" t="s">
        <v>46</v>
      </c>
      <c r="AI1526">
        <v>86</v>
      </c>
      <c r="AJ1526">
        <v>213</v>
      </c>
      <c r="AK1526" s="106">
        <v>45475.635474432871</v>
      </c>
      <c r="AL1526" s="1" t="s">
        <v>4790</v>
      </c>
      <c r="AM1526" s="42">
        <f>IFERROR(INDEX('Public procurment'!A:R,MATCH(ListOfExpenditure[[#This Row],[Content.contractId]],'Public procurment'!E:E,0),14),0)</f>
        <v>562.5</v>
      </c>
      <c r="AN1526" s="2">
        <f>IF(AND(ListOfExpenditure[[#This Row],[Contract amount]]&gt;10000,ListOfExpenditure[[#This Row],[Content.declaredAmount]]&gt;2000),1,0)</f>
        <v>0</v>
      </c>
      <c r="AO1526">
        <f>IFERROR(INDEX('Public procurment'!A:S,MATCH(ListOfExpenditure[[#This Row],[Content.contractId]],'Public procurment'!E:E,0),19),0)</f>
        <v>1</v>
      </c>
      <c r="AP1526">
        <f>IF(ListOfExpenditure[[#This Row],[Numero di volte controllato il contract ]]&gt;0,0,ListOfExpenditure[[#This Row],[IF public procurment &gt;10000;1;0]])</f>
        <v>0</v>
      </c>
    </row>
    <row r="1527" spans="1:42" x14ac:dyDescent="0.25">
      <c r="A1527">
        <v>731</v>
      </c>
      <c r="B1527">
        <v>8</v>
      </c>
      <c r="E1527" t="s">
        <v>4798</v>
      </c>
      <c r="F1527" t="b">
        <v>0</v>
      </c>
      <c r="H1527">
        <v>131</v>
      </c>
      <c r="I1527" t="s">
        <v>5940</v>
      </c>
      <c r="J1527" t="s">
        <v>212</v>
      </c>
      <c r="K1527" t="s">
        <v>5941</v>
      </c>
      <c r="L1527" t="s">
        <v>5033</v>
      </c>
      <c r="M1527" t="s">
        <v>4788</v>
      </c>
      <c r="N1527" t="s">
        <v>4788</v>
      </c>
      <c r="O1527">
        <v>2683.07</v>
      </c>
      <c r="P1527">
        <v>0</v>
      </c>
      <c r="Q1527">
        <v>0</v>
      </c>
      <c r="R1527">
        <v>0</v>
      </c>
      <c r="S1527">
        <v>2000</v>
      </c>
      <c r="T1527" t="s">
        <v>4789</v>
      </c>
      <c r="U1527">
        <v>1</v>
      </c>
      <c r="V1527">
        <v>2000</v>
      </c>
      <c r="W1527" t="s">
        <v>4343</v>
      </c>
      <c r="Y1527" t="b">
        <v>1</v>
      </c>
      <c r="Z1527" t="b">
        <v>0</v>
      </c>
      <c r="AA1527">
        <v>2000</v>
      </c>
      <c r="AB1527">
        <v>0</v>
      </c>
      <c r="AD1527" t="b">
        <v>0</v>
      </c>
      <c r="AG1527" s="1" t="s">
        <v>310</v>
      </c>
      <c r="AH1527" s="1" t="s">
        <v>46</v>
      </c>
      <c r="AI1527">
        <v>86</v>
      </c>
      <c r="AJ1527">
        <v>213</v>
      </c>
      <c r="AK1527" s="106">
        <v>45475.635474432871</v>
      </c>
      <c r="AL1527" s="1" t="s">
        <v>4790</v>
      </c>
      <c r="AM1527" s="42">
        <f>IFERROR(INDEX('Public procurment'!A:R,MATCH(ListOfExpenditure[[#This Row],[Content.contractId]],'Public procurment'!E:E,0),14),0)</f>
        <v>2000</v>
      </c>
      <c r="AN1527" s="2">
        <f>IF(AND(ListOfExpenditure[[#This Row],[Contract amount]]&gt;10000,ListOfExpenditure[[#This Row],[Content.declaredAmount]]&gt;2000),1,0)</f>
        <v>0</v>
      </c>
      <c r="AO1527">
        <f>IFERROR(INDEX('Public procurment'!A:S,MATCH(ListOfExpenditure[[#This Row],[Content.contractId]],'Public procurment'!E:E,0),19),0)</f>
        <v>1</v>
      </c>
      <c r="AP1527">
        <f>IF(ListOfExpenditure[[#This Row],[Numero di volte controllato il contract ]]&gt;0,0,ListOfExpenditure[[#This Row],[IF public procurment &gt;10000;1;0]])</f>
        <v>0</v>
      </c>
    </row>
    <row r="1528" spans="1:42" x14ac:dyDescent="0.25">
      <c r="A1528">
        <v>732</v>
      </c>
      <c r="B1528">
        <v>9</v>
      </c>
      <c r="E1528" t="s">
        <v>4798</v>
      </c>
      <c r="F1528" t="b">
        <v>0</v>
      </c>
      <c r="H1528">
        <v>132</v>
      </c>
      <c r="I1528" t="s">
        <v>5942</v>
      </c>
      <c r="J1528" t="s">
        <v>212</v>
      </c>
      <c r="K1528" t="s">
        <v>5943</v>
      </c>
      <c r="L1528" t="s">
        <v>5033</v>
      </c>
      <c r="M1528" t="s">
        <v>4788</v>
      </c>
      <c r="N1528" t="s">
        <v>4788</v>
      </c>
      <c r="O1528">
        <v>2683.07</v>
      </c>
      <c r="P1528">
        <v>0</v>
      </c>
      <c r="Q1528">
        <v>0</v>
      </c>
      <c r="R1528">
        <v>0</v>
      </c>
      <c r="S1528">
        <v>2000</v>
      </c>
      <c r="T1528" t="s">
        <v>4789</v>
      </c>
      <c r="U1528">
        <v>1</v>
      </c>
      <c r="V1528">
        <v>2000</v>
      </c>
      <c r="W1528" t="s">
        <v>4343</v>
      </c>
      <c r="Y1528" t="b">
        <v>1</v>
      </c>
      <c r="Z1528" t="b">
        <v>0</v>
      </c>
      <c r="AA1528">
        <v>2000</v>
      </c>
      <c r="AB1528">
        <v>0</v>
      </c>
      <c r="AD1528" t="b">
        <v>0</v>
      </c>
      <c r="AG1528" s="1" t="s">
        <v>310</v>
      </c>
      <c r="AH1528" s="1" t="s">
        <v>46</v>
      </c>
      <c r="AI1528">
        <v>86</v>
      </c>
      <c r="AJ1528">
        <v>213</v>
      </c>
      <c r="AK1528" s="106">
        <v>45475.635474432871</v>
      </c>
      <c r="AL1528" s="1" t="s">
        <v>4790</v>
      </c>
      <c r="AM1528" s="42">
        <f>IFERROR(INDEX('Public procurment'!A:R,MATCH(ListOfExpenditure[[#This Row],[Content.contractId]],'Public procurment'!E:E,0),14),0)</f>
        <v>2000</v>
      </c>
      <c r="AN1528" s="2">
        <f>IF(AND(ListOfExpenditure[[#This Row],[Contract amount]]&gt;10000,ListOfExpenditure[[#This Row],[Content.declaredAmount]]&gt;2000),1,0)</f>
        <v>0</v>
      </c>
      <c r="AO1528">
        <f>IFERROR(INDEX('Public procurment'!A:S,MATCH(ListOfExpenditure[[#This Row],[Content.contractId]],'Public procurment'!E:E,0),19),0)</f>
        <v>1</v>
      </c>
      <c r="AP1528">
        <f>IF(ListOfExpenditure[[#This Row],[Numero di volte controllato il contract ]]&gt;0,0,ListOfExpenditure[[#This Row],[IF public procurment &gt;10000;1;0]])</f>
        <v>0</v>
      </c>
    </row>
    <row r="1529" spans="1:42" x14ac:dyDescent="0.25">
      <c r="A1529">
        <v>733</v>
      </c>
      <c r="B1529">
        <v>10</v>
      </c>
      <c r="E1529" t="s">
        <v>4798</v>
      </c>
      <c r="F1529" t="b">
        <v>0</v>
      </c>
      <c r="H1529">
        <v>133</v>
      </c>
      <c r="I1529" t="s">
        <v>5944</v>
      </c>
      <c r="J1529" t="s">
        <v>212</v>
      </c>
      <c r="K1529" t="s">
        <v>5945</v>
      </c>
      <c r="L1529" t="s">
        <v>5033</v>
      </c>
      <c r="M1529" t="s">
        <v>4788</v>
      </c>
      <c r="N1529" t="s">
        <v>4788</v>
      </c>
      <c r="O1529">
        <v>2683.07</v>
      </c>
      <c r="P1529">
        <v>0</v>
      </c>
      <c r="Q1529">
        <v>0</v>
      </c>
      <c r="R1529">
        <v>0</v>
      </c>
      <c r="S1529">
        <v>2000</v>
      </c>
      <c r="T1529" t="s">
        <v>4789</v>
      </c>
      <c r="U1529">
        <v>1</v>
      </c>
      <c r="V1529">
        <v>2000</v>
      </c>
      <c r="W1529" t="s">
        <v>4343</v>
      </c>
      <c r="Y1529" t="b">
        <v>1</v>
      </c>
      <c r="Z1529" t="b">
        <v>0</v>
      </c>
      <c r="AA1529">
        <v>2000</v>
      </c>
      <c r="AB1529">
        <v>0</v>
      </c>
      <c r="AD1529" t="b">
        <v>0</v>
      </c>
      <c r="AG1529" s="1" t="s">
        <v>310</v>
      </c>
      <c r="AH1529" s="1" t="s">
        <v>46</v>
      </c>
      <c r="AI1529">
        <v>86</v>
      </c>
      <c r="AJ1529">
        <v>213</v>
      </c>
      <c r="AK1529" s="106">
        <v>45475.635474432871</v>
      </c>
      <c r="AL1529" s="1" t="s">
        <v>4790</v>
      </c>
      <c r="AM1529" s="42">
        <f>IFERROR(INDEX('Public procurment'!A:R,MATCH(ListOfExpenditure[[#This Row],[Content.contractId]],'Public procurment'!E:E,0),14),0)</f>
        <v>2000</v>
      </c>
      <c r="AN1529" s="2">
        <f>IF(AND(ListOfExpenditure[[#This Row],[Contract amount]]&gt;10000,ListOfExpenditure[[#This Row],[Content.declaredAmount]]&gt;2000),1,0)</f>
        <v>0</v>
      </c>
      <c r="AO1529">
        <f>IFERROR(INDEX('Public procurment'!A:S,MATCH(ListOfExpenditure[[#This Row],[Content.contractId]],'Public procurment'!E:E,0),19),0)</f>
        <v>1</v>
      </c>
      <c r="AP1529">
        <f>IF(ListOfExpenditure[[#This Row],[Numero di volte controllato il contract ]]&gt;0,0,ListOfExpenditure[[#This Row],[IF public procurment &gt;10000;1;0]])</f>
        <v>0</v>
      </c>
    </row>
    <row r="1530" spans="1:42" x14ac:dyDescent="0.25">
      <c r="A1530">
        <v>734</v>
      </c>
      <c r="B1530">
        <v>11</v>
      </c>
      <c r="E1530" t="s">
        <v>4798</v>
      </c>
      <c r="F1530" t="b">
        <v>0</v>
      </c>
      <c r="H1530">
        <v>134</v>
      </c>
      <c r="I1530" t="s">
        <v>5946</v>
      </c>
      <c r="J1530" t="s">
        <v>212</v>
      </c>
      <c r="K1530" t="s">
        <v>5941</v>
      </c>
      <c r="L1530" t="s">
        <v>5033</v>
      </c>
      <c r="M1530" t="s">
        <v>4788</v>
      </c>
      <c r="N1530" t="s">
        <v>4788</v>
      </c>
      <c r="O1530">
        <v>2683.07</v>
      </c>
      <c r="P1530">
        <v>0</v>
      </c>
      <c r="Q1530">
        <v>0</v>
      </c>
      <c r="R1530">
        <v>0</v>
      </c>
      <c r="S1530">
        <v>2000</v>
      </c>
      <c r="T1530" t="s">
        <v>4789</v>
      </c>
      <c r="U1530">
        <v>1</v>
      </c>
      <c r="V1530">
        <v>2000</v>
      </c>
      <c r="W1530" t="s">
        <v>4343</v>
      </c>
      <c r="Y1530" t="b">
        <v>1</v>
      </c>
      <c r="Z1530" t="b">
        <v>0</v>
      </c>
      <c r="AA1530">
        <v>2000</v>
      </c>
      <c r="AB1530">
        <v>0</v>
      </c>
      <c r="AD1530" t="b">
        <v>0</v>
      </c>
      <c r="AG1530" s="1" t="s">
        <v>310</v>
      </c>
      <c r="AH1530" s="1" t="s">
        <v>46</v>
      </c>
      <c r="AI1530">
        <v>86</v>
      </c>
      <c r="AJ1530">
        <v>213</v>
      </c>
      <c r="AK1530" s="106">
        <v>45475.635474432871</v>
      </c>
      <c r="AL1530" s="1" t="s">
        <v>4790</v>
      </c>
      <c r="AM1530" s="42">
        <f>IFERROR(INDEX('Public procurment'!A:R,MATCH(ListOfExpenditure[[#This Row],[Content.contractId]],'Public procurment'!E:E,0),14),0)</f>
        <v>2000</v>
      </c>
      <c r="AN1530" s="2">
        <f>IF(AND(ListOfExpenditure[[#This Row],[Contract amount]]&gt;10000,ListOfExpenditure[[#This Row],[Content.declaredAmount]]&gt;2000),1,0)</f>
        <v>0</v>
      </c>
      <c r="AO1530">
        <f>IFERROR(INDEX('Public procurment'!A:S,MATCH(ListOfExpenditure[[#This Row],[Content.contractId]],'Public procurment'!E:E,0),19),0)</f>
        <v>1</v>
      </c>
      <c r="AP1530">
        <f>IF(ListOfExpenditure[[#This Row],[Numero di volte controllato il contract ]]&gt;0,0,ListOfExpenditure[[#This Row],[IF public procurment &gt;10000;1;0]])</f>
        <v>0</v>
      </c>
    </row>
    <row r="1531" spans="1:42" x14ac:dyDescent="0.25">
      <c r="A1531">
        <v>735</v>
      </c>
      <c r="B1531">
        <v>12</v>
      </c>
      <c r="E1531" t="s">
        <v>4798</v>
      </c>
      <c r="F1531" t="b">
        <v>0</v>
      </c>
      <c r="H1531">
        <v>135</v>
      </c>
      <c r="I1531" t="s">
        <v>5947</v>
      </c>
      <c r="J1531" t="s">
        <v>212</v>
      </c>
      <c r="K1531" t="s">
        <v>5941</v>
      </c>
      <c r="L1531" t="s">
        <v>5033</v>
      </c>
      <c r="M1531" t="s">
        <v>4788</v>
      </c>
      <c r="N1531" t="s">
        <v>4788</v>
      </c>
      <c r="O1531">
        <v>2683.07</v>
      </c>
      <c r="P1531">
        <v>0</v>
      </c>
      <c r="Q1531">
        <v>0</v>
      </c>
      <c r="R1531">
        <v>0</v>
      </c>
      <c r="S1531">
        <v>2000</v>
      </c>
      <c r="T1531" t="s">
        <v>4789</v>
      </c>
      <c r="U1531">
        <v>1</v>
      </c>
      <c r="V1531">
        <v>2000</v>
      </c>
      <c r="W1531" t="s">
        <v>4343</v>
      </c>
      <c r="Y1531" t="b">
        <v>1</v>
      </c>
      <c r="Z1531" t="b">
        <v>0</v>
      </c>
      <c r="AA1531">
        <v>2000</v>
      </c>
      <c r="AB1531">
        <v>0</v>
      </c>
      <c r="AD1531" t="b">
        <v>0</v>
      </c>
      <c r="AG1531" s="1" t="s">
        <v>310</v>
      </c>
      <c r="AH1531" s="1" t="s">
        <v>46</v>
      </c>
      <c r="AI1531">
        <v>86</v>
      </c>
      <c r="AJ1531">
        <v>213</v>
      </c>
      <c r="AK1531" s="106">
        <v>45475.635474432871</v>
      </c>
      <c r="AL1531" s="1" t="s">
        <v>4790</v>
      </c>
      <c r="AM1531" s="42">
        <f>IFERROR(INDEX('Public procurment'!A:R,MATCH(ListOfExpenditure[[#This Row],[Content.contractId]],'Public procurment'!E:E,0),14),0)</f>
        <v>2000</v>
      </c>
      <c r="AN1531" s="2">
        <f>IF(AND(ListOfExpenditure[[#This Row],[Contract amount]]&gt;10000,ListOfExpenditure[[#This Row],[Content.declaredAmount]]&gt;2000),1,0)</f>
        <v>0</v>
      </c>
      <c r="AO1531">
        <f>IFERROR(INDEX('Public procurment'!A:S,MATCH(ListOfExpenditure[[#This Row],[Content.contractId]],'Public procurment'!E:E,0),19),0)</f>
        <v>1</v>
      </c>
      <c r="AP1531">
        <f>IF(ListOfExpenditure[[#This Row],[Numero di volte controllato il contract ]]&gt;0,0,ListOfExpenditure[[#This Row],[IF public procurment &gt;10000;1;0]])</f>
        <v>0</v>
      </c>
    </row>
    <row r="1532" spans="1:42" x14ac:dyDescent="0.25">
      <c r="A1532">
        <v>736</v>
      </c>
      <c r="B1532">
        <v>13</v>
      </c>
      <c r="E1532" t="s">
        <v>4798</v>
      </c>
      <c r="F1532" t="b">
        <v>0</v>
      </c>
      <c r="H1532">
        <v>136</v>
      </c>
      <c r="I1532" t="s">
        <v>5948</v>
      </c>
      <c r="J1532" t="s">
        <v>212</v>
      </c>
      <c r="K1532" t="s">
        <v>5941</v>
      </c>
      <c r="L1532" t="s">
        <v>5033</v>
      </c>
      <c r="M1532" t="s">
        <v>4788</v>
      </c>
      <c r="N1532" t="s">
        <v>4788</v>
      </c>
      <c r="O1532">
        <v>2683.07</v>
      </c>
      <c r="P1532">
        <v>0</v>
      </c>
      <c r="Q1532">
        <v>0</v>
      </c>
      <c r="R1532">
        <v>0</v>
      </c>
      <c r="S1532">
        <v>2000</v>
      </c>
      <c r="T1532" t="s">
        <v>4789</v>
      </c>
      <c r="U1532">
        <v>1</v>
      </c>
      <c r="V1532">
        <v>2000</v>
      </c>
      <c r="W1532" t="s">
        <v>4343</v>
      </c>
      <c r="Y1532" t="b">
        <v>1</v>
      </c>
      <c r="Z1532" t="b">
        <v>0</v>
      </c>
      <c r="AA1532">
        <v>2000</v>
      </c>
      <c r="AB1532">
        <v>0</v>
      </c>
      <c r="AD1532" t="b">
        <v>0</v>
      </c>
      <c r="AG1532" s="1" t="s">
        <v>310</v>
      </c>
      <c r="AH1532" s="1" t="s">
        <v>46</v>
      </c>
      <c r="AI1532">
        <v>86</v>
      </c>
      <c r="AJ1532">
        <v>213</v>
      </c>
      <c r="AK1532" s="106">
        <v>45475.635474432871</v>
      </c>
      <c r="AL1532" s="1" t="s">
        <v>4790</v>
      </c>
      <c r="AM1532" s="42">
        <f>IFERROR(INDEX('Public procurment'!A:R,MATCH(ListOfExpenditure[[#This Row],[Content.contractId]],'Public procurment'!E:E,0),14),0)</f>
        <v>2000</v>
      </c>
      <c r="AN1532" s="2">
        <f>IF(AND(ListOfExpenditure[[#This Row],[Contract amount]]&gt;10000,ListOfExpenditure[[#This Row],[Content.declaredAmount]]&gt;2000),1,0)</f>
        <v>0</v>
      </c>
      <c r="AO1532">
        <f>IFERROR(INDEX('Public procurment'!A:S,MATCH(ListOfExpenditure[[#This Row],[Content.contractId]],'Public procurment'!E:E,0),19),0)</f>
        <v>1</v>
      </c>
      <c r="AP1532">
        <f>IF(ListOfExpenditure[[#This Row],[Numero di volte controllato il contract ]]&gt;0,0,ListOfExpenditure[[#This Row],[IF public procurment &gt;10000;1;0]])</f>
        <v>0</v>
      </c>
    </row>
    <row r="1533" spans="1:42" x14ac:dyDescent="0.25">
      <c r="A1533">
        <v>737</v>
      </c>
      <c r="B1533">
        <v>14</v>
      </c>
      <c r="E1533" t="s">
        <v>4798</v>
      </c>
      <c r="F1533" t="b">
        <v>0</v>
      </c>
      <c r="H1533">
        <v>137</v>
      </c>
      <c r="I1533" t="s">
        <v>5949</v>
      </c>
      <c r="J1533" t="s">
        <v>212</v>
      </c>
      <c r="K1533" t="s">
        <v>5945</v>
      </c>
      <c r="L1533" t="s">
        <v>5033</v>
      </c>
      <c r="M1533" t="s">
        <v>4788</v>
      </c>
      <c r="N1533" t="s">
        <v>4788</v>
      </c>
      <c r="O1533">
        <v>2683.07</v>
      </c>
      <c r="P1533">
        <v>0</v>
      </c>
      <c r="Q1533">
        <v>0</v>
      </c>
      <c r="R1533">
        <v>0</v>
      </c>
      <c r="S1533">
        <v>2000</v>
      </c>
      <c r="T1533" t="s">
        <v>4789</v>
      </c>
      <c r="U1533">
        <v>1</v>
      </c>
      <c r="V1533">
        <v>2000</v>
      </c>
      <c r="W1533" t="s">
        <v>4343</v>
      </c>
      <c r="Y1533" t="b">
        <v>1</v>
      </c>
      <c r="Z1533" t="b">
        <v>0</v>
      </c>
      <c r="AA1533">
        <v>2000</v>
      </c>
      <c r="AB1533">
        <v>0</v>
      </c>
      <c r="AD1533" t="b">
        <v>0</v>
      </c>
      <c r="AG1533" s="1" t="s">
        <v>310</v>
      </c>
      <c r="AH1533" s="1" t="s">
        <v>46</v>
      </c>
      <c r="AI1533">
        <v>86</v>
      </c>
      <c r="AJ1533">
        <v>213</v>
      </c>
      <c r="AK1533" s="106">
        <v>45475.635474432871</v>
      </c>
      <c r="AL1533" s="1" t="s">
        <v>4790</v>
      </c>
      <c r="AM1533" s="42">
        <f>IFERROR(INDEX('Public procurment'!A:R,MATCH(ListOfExpenditure[[#This Row],[Content.contractId]],'Public procurment'!E:E,0),14),0)</f>
        <v>2000</v>
      </c>
      <c r="AN1533" s="2">
        <f>IF(AND(ListOfExpenditure[[#This Row],[Contract amount]]&gt;10000,ListOfExpenditure[[#This Row],[Content.declaredAmount]]&gt;2000),1,0)</f>
        <v>0</v>
      </c>
      <c r="AO1533">
        <f>IFERROR(INDEX('Public procurment'!A:S,MATCH(ListOfExpenditure[[#This Row],[Content.contractId]],'Public procurment'!E:E,0),19),0)</f>
        <v>1</v>
      </c>
      <c r="AP1533">
        <f>IF(ListOfExpenditure[[#This Row],[Numero di volte controllato il contract ]]&gt;0,0,ListOfExpenditure[[#This Row],[IF public procurment &gt;10000;1;0]])</f>
        <v>0</v>
      </c>
    </row>
    <row r="1534" spans="1:42" x14ac:dyDescent="0.25">
      <c r="A1534">
        <v>738</v>
      </c>
      <c r="B1534">
        <v>15</v>
      </c>
      <c r="E1534" t="s">
        <v>4798</v>
      </c>
      <c r="F1534" t="b">
        <v>0</v>
      </c>
      <c r="H1534">
        <v>138</v>
      </c>
      <c r="I1534" t="s">
        <v>5950</v>
      </c>
      <c r="J1534" t="s">
        <v>212</v>
      </c>
      <c r="K1534" t="s">
        <v>5943</v>
      </c>
      <c r="L1534" t="s">
        <v>5033</v>
      </c>
      <c r="M1534" t="s">
        <v>4788</v>
      </c>
      <c r="N1534" t="s">
        <v>4788</v>
      </c>
      <c r="O1534">
        <v>2683.07</v>
      </c>
      <c r="P1534">
        <v>0</v>
      </c>
      <c r="Q1534">
        <v>0</v>
      </c>
      <c r="R1534">
        <v>0</v>
      </c>
      <c r="S1534">
        <v>2000</v>
      </c>
      <c r="T1534" t="s">
        <v>4789</v>
      </c>
      <c r="U1534">
        <v>1</v>
      </c>
      <c r="V1534">
        <v>2000</v>
      </c>
      <c r="W1534" t="s">
        <v>4343</v>
      </c>
      <c r="Y1534" t="b">
        <v>1</v>
      </c>
      <c r="Z1534" t="b">
        <v>0</v>
      </c>
      <c r="AA1534">
        <v>2000</v>
      </c>
      <c r="AB1534">
        <v>0</v>
      </c>
      <c r="AD1534" t="b">
        <v>0</v>
      </c>
      <c r="AG1534" s="1" t="s">
        <v>310</v>
      </c>
      <c r="AH1534" s="1" t="s">
        <v>46</v>
      </c>
      <c r="AI1534">
        <v>86</v>
      </c>
      <c r="AJ1534">
        <v>213</v>
      </c>
      <c r="AK1534" s="106">
        <v>45475.635474432871</v>
      </c>
      <c r="AL1534" s="1" t="s">
        <v>4790</v>
      </c>
      <c r="AM1534" s="42">
        <f>IFERROR(INDEX('Public procurment'!A:R,MATCH(ListOfExpenditure[[#This Row],[Content.contractId]],'Public procurment'!E:E,0),14),0)</f>
        <v>2000</v>
      </c>
      <c r="AN1534" s="2">
        <f>IF(AND(ListOfExpenditure[[#This Row],[Contract amount]]&gt;10000,ListOfExpenditure[[#This Row],[Content.declaredAmount]]&gt;2000),1,0)</f>
        <v>0</v>
      </c>
      <c r="AO1534">
        <f>IFERROR(INDEX('Public procurment'!A:S,MATCH(ListOfExpenditure[[#This Row],[Content.contractId]],'Public procurment'!E:E,0),19),0)</f>
        <v>1</v>
      </c>
      <c r="AP1534">
        <f>IF(ListOfExpenditure[[#This Row],[Numero di volte controllato il contract ]]&gt;0,0,ListOfExpenditure[[#This Row],[IF public procurment &gt;10000;1;0]])</f>
        <v>0</v>
      </c>
    </row>
    <row r="1535" spans="1:42" x14ac:dyDescent="0.25">
      <c r="A1535">
        <v>739</v>
      </c>
      <c r="B1535">
        <v>16</v>
      </c>
      <c r="E1535" t="s">
        <v>4798</v>
      </c>
      <c r="F1535" t="b">
        <v>0</v>
      </c>
      <c r="H1535">
        <v>139</v>
      </c>
      <c r="I1535" t="s">
        <v>5951</v>
      </c>
      <c r="J1535" t="s">
        <v>212</v>
      </c>
      <c r="K1535" t="s">
        <v>5941</v>
      </c>
      <c r="L1535" t="s">
        <v>5033</v>
      </c>
      <c r="M1535" t="s">
        <v>4788</v>
      </c>
      <c r="N1535" t="s">
        <v>4788</v>
      </c>
      <c r="O1535">
        <v>2683.07</v>
      </c>
      <c r="P1535">
        <v>0</v>
      </c>
      <c r="Q1535">
        <v>0</v>
      </c>
      <c r="R1535">
        <v>0</v>
      </c>
      <c r="S1535">
        <v>2000</v>
      </c>
      <c r="T1535" t="s">
        <v>4789</v>
      </c>
      <c r="U1535">
        <v>1</v>
      </c>
      <c r="V1535">
        <v>2000</v>
      </c>
      <c r="W1535" t="s">
        <v>4343</v>
      </c>
      <c r="Y1535" t="b">
        <v>1</v>
      </c>
      <c r="Z1535" t="b">
        <v>0</v>
      </c>
      <c r="AA1535">
        <v>2000</v>
      </c>
      <c r="AB1535">
        <v>0</v>
      </c>
      <c r="AD1535" t="b">
        <v>0</v>
      </c>
      <c r="AG1535" s="1" t="s">
        <v>310</v>
      </c>
      <c r="AH1535" s="1" t="s">
        <v>46</v>
      </c>
      <c r="AI1535">
        <v>86</v>
      </c>
      <c r="AJ1535">
        <v>213</v>
      </c>
      <c r="AK1535" s="106">
        <v>45475.635474432871</v>
      </c>
      <c r="AL1535" s="1" t="s">
        <v>4790</v>
      </c>
      <c r="AM1535" s="42">
        <f>IFERROR(INDEX('Public procurment'!A:R,MATCH(ListOfExpenditure[[#This Row],[Content.contractId]],'Public procurment'!E:E,0),14),0)</f>
        <v>0</v>
      </c>
      <c r="AN1535" s="2">
        <f>IF(AND(ListOfExpenditure[[#This Row],[Contract amount]]&gt;10000,ListOfExpenditure[[#This Row],[Content.declaredAmount]]&gt;2000),1,0)</f>
        <v>0</v>
      </c>
      <c r="AO1535">
        <f>IFERROR(INDEX('Public procurment'!A:S,MATCH(ListOfExpenditure[[#This Row],[Content.contractId]],'Public procurment'!E:E,0),19),0)</f>
        <v>0</v>
      </c>
      <c r="AP1535">
        <f>IF(ListOfExpenditure[[#This Row],[Numero di volte controllato il contract ]]&gt;0,0,ListOfExpenditure[[#This Row],[IF public procurment &gt;10000;1;0]])</f>
        <v>0</v>
      </c>
    </row>
    <row r="1536" spans="1:42" x14ac:dyDescent="0.25">
      <c r="A1536">
        <v>740</v>
      </c>
      <c r="B1536">
        <v>17</v>
      </c>
      <c r="E1536" t="s">
        <v>4798</v>
      </c>
      <c r="F1536" t="b">
        <v>0</v>
      </c>
      <c r="H1536">
        <v>140</v>
      </c>
      <c r="I1536" t="s">
        <v>5952</v>
      </c>
      <c r="J1536" t="s">
        <v>212</v>
      </c>
      <c r="K1536" t="s">
        <v>5941</v>
      </c>
      <c r="L1536" t="s">
        <v>5033</v>
      </c>
      <c r="M1536" t="s">
        <v>4788</v>
      </c>
      <c r="N1536" t="s">
        <v>4788</v>
      </c>
      <c r="O1536">
        <v>2683.07</v>
      </c>
      <c r="P1536">
        <v>0</v>
      </c>
      <c r="Q1536">
        <v>0</v>
      </c>
      <c r="R1536">
        <v>0</v>
      </c>
      <c r="S1536">
        <v>2000</v>
      </c>
      <c r="T1536" t="s">
        <v>4789</v>
      </c>
      <c r="U1536">
        <v>1</v>
      </c>
      <c r="V1536">
        <v>2000</v>
      </c>
      <c r="W1536" t="s">
        <v>4343</v>
      </c>
      <c r="Y1536" t="b">
        <v>1</v>
      </c>
      <c r="Z1536" t="b">
        <v>0</v>
      </c>
      <c r="AA1536">
        <v>2000</v>
      </c>
      <c r="AB1536">
        <v>0</v>
      </c>
      <c r="AD1536" t="b">
        <v>0</v>
      </c>
      <c r="AG1536" s="1" t="s">
        <v>310</v>
      </c>
      <c r="AH1536" s="1" t="s">
        <v>46</v>
      </c>
      <c r="AI1536">
        <v>86</v>
      </c>
      <c r="AJ1536">
        <v>213</v>
      </c>
      <c r="AK1536" s="106">
        <v>45475.635474432871</v>
      </c>
      <c r="AL1536" s="1" t="s">
        <v>4790</v>
      </c>
      <c r="AM1536" s="42">
        <f>IFERROR(INDEX('Public procurment'!A:R,MATCH(ListOfExpenditure[[#This Row],[Content.contractId]],'Public procurment'!E:E,0),14),0)</f>
        <v>0</v>
      </c>
      <c r="AN1536" s="2">
        <f>IF(AND(ListOfExpenditure[[#This Row],[Contract amount]]&gt;10000,ListOfExpenditure[[#This Row],[Content.declaredAmount]]&gt;2000),1,0)</f>
        <v>0</v>
      </c>
      <c r="AO1536">
        <f>IFERROR(INDEX('Public procurment'!A:S,MATCH(ListOfExpenditure[[#This Row],[Content.contractId]],'Public procurment'!E:E,0),19),0)</f>
        <v>0</v>
      </c>
      <c r="AP1536">
        <f>IF(ListOfExpenditure[[#This Row],[Numero di volte controllato il contract ]]&gt;0,0,ListOfExpenditure[[#This Row],[IF public procurment &gt;10000;1;0]])</f>
        <v>0</v>
      </c>
    </row>
    <row r="1537" spans="1:42" x14ac:dyDescent="0.25">
      <c r="A1537">
        <v>854</v>
      </c>
      <c r="B1537">
        <v>0</v>
      </c>
      <c r="E1537" t="s">
        <v>4786</v>
      </c>
      <c r="F1537" t="b">
        <v>0</v>
      </c>
      <c r="I1537" t="s">
        <v>5953</v>
      </c>
      <c r="K1537" t="s">
        <v>4831</v>
      </c>
      <c r="L1537" t="s">
        <v>4831</v>
      </c>
      <c r="M1537" t="s">
        <v>4788</v>
      </c>
      <c r="N1537" t="s">
        <v>4788</v>
      </c>
      <c r="O1537">
        <v>2286.48</v>
      </c>
      <c r="Q1537">
        <v>0</v>
      </c>
      <c r="R1537">
        <v>0</v>
      </c>
      <c r="S1537">
        <v>342.97</v>
      </c>
      <c r="T1537" t="s">
        <v>4789</v>
      </c>
      <c r="U1537">
        <v>1</v>
      </c>
      <c r="V1537">
        <v>342.97</v>
      </c>
      <c r="W1537" t="s">
        <v>4343</v>
      </c>
      <c r="X1537" t="s">
        <v>4343</v>
      </c>
      <c r="Y1537" t="b">
        <v>1</v>
      </c>
      <c r="Z1537" t="b">
        <v>0</v>
      </c>
      <c r="AA1537">
        <v>342.97</v>
      </c>
      <c r="AB1537">
        <v>0</v>
      </c>
      <c r="AD1537" t="b">
        <v>0</v>
      </c>
      <c r="AG1537" s="1" t="s">
        <v>310</v>
      </c>
      <c r="AH1537" s="1" t="s">
        <v>46</v>
      </c>
      <c r="AI1537">
        <v>86</v>
      </c>
      <c r="AJ1537">
        <v>213</v>
      </c>
      <c r="AK1537" s="106">
        <v>45475.635474432871</v>
      </c>
      <c r="AL1537" s="1" t="s">
        <v>4790</v>
      </c>
      <c r="AM1537" s="42">
        <f>IFERROR(INDEX('Public procurment'!A:R,MATCH(ListOfExpenditure[[#This Row],[Content.contractId]],'Public procurment'!E:E,0),14),0)</f>
        <v>0</v>
      </c>
      <c r="AN1537" s="2">
        <f>IF(AND(ListOfExpenditure[[#This Row],[Contract amount]]&gt;10000,ListOfExpenditure[[#This Row],[Content.declaredAmount]]&gt;2000),1,0)</f>
        <v>0</v>
      </c>
      <c r="AO1537">
        <f>IFERROR(INDEX('Public procurment'!A:S,MATCH(ListOfExpenditure[[#This Row],[Content.contractId]],'Public procurment'!E:E,0),19),0)</f>
        <v>0</v>
      </c>
      <c r="AP1537">
        <f>IF(ListOfExpenditure[[#This Row],[Numero di volte controllato il contract ]]&gt;0,0,ListOfExpenditure[[#This Row],[IF public procurment &gt;10000;1;0]])</f>
        <v>0</v>
      </c>
    </row>
    <row r="1538" spans="1:42" x14ac:dyDescent="0.25">
      <c r="A1538">
        <v>855</v>
      </c>
      <c r="B1538">
        <v>18</v>
      </c>
      <c r="E1538" t="s">
        <v>4786</v>
      </c>
      <c r="F1538" t="b">
        <v>0</v>
      </c>
      <c r="I1538" t="s">
        <v>5953</v>
      </c>
      <c r="K1538" t="s">
        <v>4957</v>
      </c>
      <c r="L1538" t="s">
        <v>4957</v>
      </c>
      <c r="M1538" t="s">
        <v>4788</v>
      </c>
      <c r="N1538" t="s">
        <v>4788</v>
      </c>
      <c r="O1538">
        <v>2008.93</v>
      </c>
      <c r="Q1538">
        <v>0</v>
      </c>
      <c r="R1538">
        <v>0</v>
      </c>
      <c r="S1538">
        <v>301.33999999999997</v>
      </c>
      <c r="T1538" t="s">
        <v>4789</v>
      </c>
      <c r="U1538">
        <v>1</v>
      </c>
      <c r="V1538">
        <v>301.33999999999997</v>
      </c>
      <c r="W1538" t="s">
        <v>4343</v>
      </c>
      <c r="Y1538" t="b">
        <v>1</v>
      </c>
      <c r="Z1538" t="b">
        <v>0</v>
      </c>
      <c r="AA1538">
        <v>301.33999999999997</v>
      </c>
      <c r="AB1538">
        <v>0</v>
      </c>
      <c r="AD1538" t="b">
        <v>0</v>
      </c>
      <c r="AG1538" s="1" t="s">
        <v>310</v>
      </c>
      <c r="AH1538" s="1" t="s">
        <v>46</v>
      </c>
      <c r="AI1538">
        <v>86</v>
      </c>
      <c r="AJ1538">
        <v>213</v>
      </c>
      <c r="AK1538" s="106">
        <v>45475.635474432871</v>
      </c>
      <c r="AL1538" s="1" t="s">
        <v>4790</v>
      </c>
      <c r="AM1538" s="42">
        <f>IFERROR(INDEX('Public procurment'!A:R,MATCH(ListOfExpenditure[[#This Row],[Content.contractId]],'Public procurment'!E:E,0),14),0)</f>
        <v>0</v>
      </c>
      <c r="AN1538" s="2">
        <f>IF(AND(ListOfExpenditure[[#This Row],[Contract amount]]&gt;10000,ListOfExpenditure[[#This Row],[Content.declaredAmount]]&gt;2000),1,0)</f>
        <v>0</v>
      </c>
      <c r="AO1538">
        <f>IFERROR(INDEX('Public procurment'!A:S,MATCH(ListOfExpenditure[[#This Row],[Content.contractId]],'Public procurment'!E:E,0),19),0)</f>
        <v>0</v>
      </c>
      <c r="AP1538">
        <f>IF(ListOfExpenditure[[#This Row],[Numero di volte controllato il contract ]]&gt;0,0,ListOfExpenditure[[#This Row],[IF public procurment &gt;10000;1;0]])</f>
        <v>0</v>
      </c>
    </row>
    <row r="1539" spans="1:42" x14ac:dyDescent="0.25">
      <c r="A1539">
        <v>856</v>
      </c>
      <c r="B1539">
        <v>19</v>
      </c>
      <c r="E1539" t="s">
        <v>4786</v>
      </c>
      <c r="F1539" t="b">
        <v>0</v>
      </c>
      <c r="I1539" t="s">
        <v>5953</v>
      </c>
      <c r="K1539" t="s">
        <v>4914</v>
      </c>
      <c r="L1539" t="s">
        <v>4914</v>
      </c>
      <c r="M1539" t="s">
        <v>4788</v>
      </c>
      <c r="N1539" t="s">
        <v>4788</v>
      </c>
      <c r="O1539">
        <v>2233.62</v>
      </c>
      <c r="Q1539">
        <v>0</v>
      </c>
      <c r="R1539">
        <v>0</v>
      </c>
      <c r="S1539">
        <v>335.04</v>
      </c>
      <c r="T1539" t="s">
        <v>4789</v>
      </c>
      <c r="U1539">
        <v>1</v>
      </c>
      <c r="V1539">
        <v>335.04</v>
      </c>
      <c r="W1539" t="s">
        <v>4343</v>
      </c>
      <c r="Y1539" t="b">
        <v>1</v>
      </c>
      <c r="Z1539" t="b">
        <v>0</v>
      </c>
      <c r="AA1539">
        <v>335.04</v>
      </c>
      <c r="AB1539">
        <v>0</v>
      </c>
      <c r="AD1539" t="b">
        <v>0</v>
      </c>
      <c r="AG1539" s="1" t="s">
        <v>310</v>
      </c>
      <c r="AH1539" s="1" t="s">
        <v>46</v>
      </c>
      <c r="AI1539">
        <v>86</v>
      </c>
      <c r="AJ1539">
        <v>213</v>
      </c>
      <c r="AK1539" s="106">
        <v>45475.635474432871</v>
      </c>
      <c r="AL1539" s="1" t="s">
        <v>4790</v>
      </c>
      <c r="AM1539" s="42">
        <f>IFERROR(INDEX('Public procurment'!A:R,MATCH(ListOfExpenditure[[#This Row],[Content.contractId]],'Public procurment'!E:E,0),14),0)</f>
        <v>0</v>
      </c>
      <c r="AN1539" s="2">
        <f>IF(AND(ListOfExpenditure[[#This Row],[Contract amount]]&gt;10000,ListOfExpenditure[[#This Row],[Content.declaredAmount]]&gt;2000),1,0)</f>
        <v>0</v>
      </c>
      <c r="AO1539">
        <f>IFERROR(INDEX('Public procurment'!A:S,MATCH(ListOfExpenditure[[#This Row],[Content.contractId]],'Public procurment'!E:E,0),19),0)</f>
        <v>0</v>
      </c>
      <c r="AP1539">
        <f>IF(ListOfExpenditure[[#This Row],[Numero di volte controllato il contract ]]&gt;0,0,ListOfExpenditure[[#This Row],[IF public procurment &gt;10000;1;0]])</f>
        <v>0</v>
      </c>
    </row>
    <row r="1540" spans="1:42" x14ac:dyDescent="0.25">
      <c r="A1540">
        <v>857</v>
      </c>
      <c r="B1540">
        <v>20</v>
      </c>
      <c r="E1540" t="s">
        <v>4786</v>
      </c>
      <c r="F1540" t="b">
        <v>0</v>
      </c>
      <c r="I1540" t="s">
        <v>5953</v>
      </c>
      <c r="K1540" t="s">
        <v>4959</v>
      </c>
      <c r="L1540" t="s">
        <v>4959</v>
      </c>
      <c r="M1540" t="s">
        <v>4788</v>
      </c>
      <c r="N1540" t="s">
        <v>4788</v>
      </c>
      <c r="O1540">
        <v>2233.77</v>
      </c>
      <c r="Q1540">
        <v>0</v>
      </c>
      <c r="R1540">
        <v>0</v>
      </c>
      <c r="S1540">
        <v>335.07</v>
      </c>
      <c r="T1540" t="s">
        <v>4789</v>
      </c>
      <c r="U1540">
        <v>1</v>
      </c>
      <c r="V1540">
        <v>335.07</v>
      </c>
      <c r="W1540" t="s">
        <v>4343</v>
      </c>
      <c r="Y1540" t="b">
        <v>1</v>
      </c>
      <c r="Z1540" t="b">
        <v>0</v>
      </c>
      <c r="AA1540">
        <v>335.07</v>
      </c>
      <c r="AB1540">
        <v>0</v>
      </c>
      <c r="AD1540" t="b">
        <v>0</v>
      </c>
      <c r="AG1540" s="1" t="s">
        <v>310</v>
      </c>
      <c r="AH1540" s="1" t="s">
        <v>46</v>
      </c>
      <c r="AI1540">
        <v>86</v>
      </c>
      <c r="AJ1540">
        <v>213</v>
      </c>
      <c r="AK1540" s="106">
        <v>45475.635474432871</v>
      </c>
      <c r="AL1540" s="1" t="s">
        <v>4790</v>
      </c>
      <c r="AM1540" s="42">
        <f>IFERROR(INDEX('Public procurment'!A:R,MATCH(ListOfExpenditure[[#This Row],[Content.contractId]],'Public procurment'!E:E,0),14),0)</f>
        <v>0</v>
      </c>
      <c r="AN1540" s="2">
        <f>IF(AND(ListOfExpenditure[[#This Row],[Contract amount]]&gt;10000,ListOfExpenditure[[#This Row],[Content.declaredAmount]]&gt;2000),1,0)</f>
        <v>0</v>
      </c>
      <c r="AO1540">
        <f>IFERROR(INDEX('Public procurment'!A:S,MATCH(ListOfExpenditure[[#This Row],[Content.contractId]],'Public procurment'!E:E,0),19),0)</f>
        <v>0</v>
      </c>
      <c r="AP1540">
        <f>IF(ListOfExpenditure[[#This Row],[Numero di volte controllato il contract ]]&gt;0,0,ListOfExpenditure[[#This Row],[IF public procurment &gt;10000;1;0]])</f>
        <v>0</v>
      </c>
    </row>
    <row r="1541" spans="1:42" x14ac:dyDescent="0.25">
      <c r="A1541">
        <v>858</v>
      </c>
      <c r="B1541">
        <v>21</v>
      </c>
      <c r="E1541" t="s">
        <v>4786</v>
      </c>
      <c r="F1541" t="b">
        <v>0</v>
      </c>
      <c r="I1541" t="s">
        <v>5953</v>
      </c>
      <c r="K1541" t="s">
        <v>4921</v>
      </c>
      <c r="L1541" t="s">
        <v>4921</v>
      </c>
      <c r="M1541" t="s">
        <v>4788</v>
      </c>
      <c r="N1541" t="s">
        <v>4788</v>
      </c>
      <c r="O1541">
        <v>2668.34</v>
      </c>
      <c r="Q1541">
        <v>0</v>
      </c>
      <c r="R1541">
        <v>0</v>
      </c>
      <c r="S1541">
        <v>400.25</v>
      </c>
      <c r="T1541" t="s">
        <v>4789</v>
      </c>
      <c r="U1541">
        <v>1</v>
      </c>
      <c r="V1541">
        <v>400.25</v>
      </c>
      <c r="W1541" t="s">
        <v>4343</v>
      </c>
      <c r="Y1541" t="b">
        <v>1</v>
      </c>
      <c r="Z1541" t="b">
        <v>0</v>
      </c>
      <c r="AA1541">
        <v>384.58</v>
      </c>
      <c r="AB1541">
        <v>15.67</v>
      </c>
      <c r="AC1541">
        <v>14</v>
      </c>
      <c r="AD1541" t="b">
        <v>0</v>
      </c>
      <c r="AF1541" t="s">
        <v>5954</v>
      </c>
      <c r="AG1541" s="1" t="s">
        <v>310</v>
      </c>
      <c r="AH1541" s="1" t="s">
        <v>46</v>
      </c>
      <c r="AI1541">
        <v>86</v>
      </c>
      <c r="AJ1541">
        <v>213</v>
      </c>
      <c r="AK1541" s="106">
        <v>45475.635474432871</v>
      </c>
      <c r="AL1541" s="1" t="s">
        <v>4790</v>
      </c>
      <c r="AM1541" s="42">
        <f>IFERROR(INDEX('Public procurment'!A:R,MATCH(ListOfExpenditure[[#This Row],[Content.contractId]],'Public procurment'!E:E,0),14),0)</f>
        <v>0</v>
      </c>
      <c r="AN1541" s="2">
        <f>IF(AND(ListOfExpenditure[[#This Row],[Contract amount]]&gt;10000,ListOfExpenditure[[#This Row],[Content.declaredAmount]]&gt;2000),1,0)</f>
        <v>0</v>
      </c>
      <c r="AO1541">
        <f>IFERROR(INDEX('Public procurment'!A:S,MATCH(ListOfExpenditure[[#This Row],[Content.contractId]],'Public procurment'!E:E,0),19),0)</f>
        <v>0</v>
      </c>
      <c r="AP1541">
        <f>IF(ListOfExpenditure[[#This Row],[Numero di volte controllato il contract ]]&gt;0,0,ListOfExpenditure[[#This Row],[IF public procurment &gt;10000;1;0]])</f>
        <v>0</v>
      </c>
    </row>
    <row r="1542" spans="1:42" x14ac:dyDescent="0.25">
      <c r="A1542">
        <v>859</v>
      </c>
      <c r="B1542">
        <v>0</v>
      </c>
      <c r="E1542" t="s">
        <v>4786</v>
      </c>
      <c r="F1542" t="b">
        <v>0</v>
      </c>
      <c r="I1542" t="s">
        <v>5604</v>
      </c>
      <c r="K1542" t="s">
        <v>4831</v>
      </c>
      <c r="L1542" t="s">
        <v>4831</v>
      </c>
      <c r="M1542" t="s">
        <v>4788</v>
      </c>
      <c r="N1542" t="s">
        <v>4788</v>
      </c>
      <c r="O1542">
        <v>2639.9</v>
      </c>
      <c r="Q1542">
        <v>0</v>
      </c>
      <c r="R1542">
        <v>0</v>
      </c>
      <c r="S1542">
        <v>395.98</v>
      </c>
      <c r="T1542" t="s">
        <v>4789</v>
      </c>
      <c r="U1542">
        <v>1</v>
      </c>
      <c r="V1542">
        <v>395.98</v>
      </c>
      <c r="W1542" t="s">
        <v>4343</v>
      </c>
      <c r="X1542" t="s">
        <v>4343</v>
      </c>
      <c r="Y1542" t="b">
        <v>1</v>
      </c>
      <c r="Z1542" t="b">
        <v>0</v>
      </c>
      <c r="AA1542">
        <v>395.98</v>
      </c>
      <c r="AB1542">
        <v>0</v>
      </c>
      <c r="AD1542" t="b">
        <v>0</v>
      </c>
      <c r="AG1542" s="1" t="s">
        <v>310</v>
      </c>
      <c r="AH1542" s="1" t="s">
        <v>46</v>
      </c>
      <c r="AI1542">
        <v>86</v>
      </c>
      <c r="AJ1542">
        <v>213</v>
      </c>
      <c r="AK1542" s="106">
        <v>45475.635474432871</v>
      </c>
      <c r="AL1542" s="1" t="s">
        <v>4790</v>
      </c>
      <c r="AM1542" s="42">
        <f>IFERROR(INDEX('Public procurment'!A:R,MATCH(ListOfExpenditure[[#This Row],[Content.contractId]],'Public procurment'!E:E,0),14),0)</f>
        <v>0</v>
      </c>
      <c r="AN1542" s="2">
        <f>IF(AND(ListOfExpenditure[[#This Row],[Contract amount]]&gt;10000,ListOfExpenditure[[#This Row],[Content.declaredAmount]]&gt;2000),1,0)</f>
        <v>0</v>
      </c>
      <c r="AO1542">
        <f>IFERROR(INDEX('Public procurment'!A:S,MATCH(ListOfExpenditure[[#This Row],[Content.contractId]],'Public procurment'!E:E,0),19),0)</f>
        <v>0</v>
      </c>
      <c r="AP1542">
        <f>IF(ListOfExpenditure[[#This Row],[Numero di volte controllato il contract ]]&gt;0,0,ListOfExpenditure[[#This Row],[IF public procurment &gt;10000;1;0]])</f>
        <v>0</v>
      </c>
    </row>
    <row r="1543" spans="1:42" x14ac:dyDescent="0.25">
      <c r="A1543">
        <v>860</v>
      </c>
      <c r="B1543">
        <v>22</v>
      </c>
      <c r="E1543" t="s">
        <v>4786</v>
      </c>
      <c r="F1543" t="b">
        <v>0</v>
      </c>
      <c r="I1543" t="s">
        <v>5604</v>
      </c>
      <c r="K1543" t="s">
        <v>4957</v>
      </c>
      <c r="L1543" t="s">
        <v>4957</v>
      </c>
      <c r="M1543" t="s">
        <v>4788</v>
      </c>
      <c r="N1543" t="s">
        <v>4788</v>
      </c>
      <c r="O1543">
        <v>2750.49</v>
      </c>
      <c r="Q1543">
        <v>0</v>
      </c>
      <c r="R1543">
        <v>0</v>
      </c>
      <c r="S1543">
        <v>412.57</v>
      </c>
      <c r="T1543" t="s">
        <v>4789</v>
      </c>
      <c r="U1543">
        <v>1</v>
      </c>
      <c r="V1543">
        <v>412.57</v>
      </c>
      <c r="W1543" t="s">
        <v>4343</v>
      </c>
      <c r="Y1543" t="b">
        <v>1</v>
      </c>
      <c r="Z1543" t="b">
        <v>0</v>
      </c>
      <c r="AA1543">
        <v>412.57</v>
      </c>
      <c r="AB1543">
        <v>0</v>
      </c>
      <c r="AD1543" t="b">
        <v>0</v>
      </c>
      <c r="AG1543" s="1" t="s">
        <v>310</v>
      </c>
      <c r="AH1543" s="1" t="s">
        <v>46</v>
      </c>
      <c r="AI1543">
        <v>86</v>
      </c>
      <c r="AJ1543">
        <v>213</v>
      </c>
      <c r="AK1543" s="106">
        <v>45475.635474432871</v>
      </c>
      <c r="AL1543" s="1" t="s">
        <v>4790</v>
      </c>
      <c r="AM1543" s="42">
        <f>IFERROR(INDEX('Public procurment'!A:R,MATCH(ListOfExpenditure[[#This Row],[Content.contractId]],'Public procurment'!E:E,0),14),0)</f>
        <v>0</v>
      </c>
      <c r="AN1543" s="2">
        <f>IF(AND(ListOfExpenditure[[#This Row],[Contract amount]]&gt;10000,ListOfExpenditure[[#This Row],[Content.declaredAmount]]&gt;2000),1,0)</f>
        <v>0</v>
      </c>
      <c r="AO1543">
        <f>IFERROR(INDEX('Public procurment'!A:S,MATCH(ListOfExpenditure[[#This Row],[Content.contractId]],'Public procurment'!E:E,0),19),0)</f>
        <v>0</v>
      </c>
      <c r="AP1543">
        <f>IF(ListOfExpenditure[[#This Row],[Numero di volte controllato il contract ]]&gt;0,0,ListOfExpenditure[[#This Row],[IF public procurment &gt;10000;1;0]])</f>
        <v>0</v>
      </c>
    </row>
    <row r="1544" spans="1:42" x14ac:dyDescent="0.25">
      <c r="A1544">
        <v>861</v>
      </c>
      <c r="B1544">
        <v>23</v>
      </c>
      <c r="E1544" t="s">
        <v>4786</v>
      </c>
      <c r="F1544" t="b">
        <v>0</v>
      </c>
      <c r="I1544" t="s">
        <v>5604</v>
      </c>
      <c r="K1544" t="s">
        <v>4914</v>
      </c>
      <c r="L1544" t="s">
        <v>4914</v>
      </c>
      <c r="M1544" t="s">
        <v>4788</v>
      </c>
      <c r="N1544" t="s">
        <v>4788</v>
      </c>
      <c r="O1544">
        <v>2969.64</v>
      </c>
      <c r="Q1544">
        <v>0</v>
      </c>
      <c r="R1544">
        <v>0</v>
      </c>
      <c r="S1544">
        <v>445.45</v>
      </c>
      <c r="T1544" t="s">
        <v>4789</v>
      </c>
      <c r="U1544">
        <v>1</v>
      </c>
      <c r="V1544">
        <v>445.45</v>
      </c>
      <c r="W1544" t="s">
        <v>4343</v>
      </c>
      <c r="Y1544" t="b">
        <v>1</v>
      </c>
      <c r="Z1544" t="b">
        <v>0</v>
      </c>
      <c r="AA1544">
        <v>445.45</v>
      </c>
      <c r="AB1544">
        <v>0</v>
      </c>
      <c r="AD1544" t="b">
        <v>0</v>
      </c>
      <c r="AG1544" s="1" t="s">
        <v>310</v>
      </c>
      <c r="AH1544" s="1" t="s">
        <v>46</v>
      </c>
      <c r="AI1544">
        <v>86</v>
      </c>
      <c r="AJ1544">
        <v>213</v>
      </c>
      <c r="AK1544" s="106">
        <v>45475.635474432871</v>
      </c>
      <c r="AL1544" s="1" t="s">
        <v>4790</v>
      </c>
      <c r="AM1544" s="42">
        <f>IFERROR(INDEX('Public procurment'!A:R,MATCH(ListOfExpenditure[[#This Row],[Content.contractId]],'Public procurment'!E:E,0),14),0)</f>
        <v>0</v>
      </c>
      <c r="AN1544" s="2">
        <f>IF(AND(ListOfExpenditure[[#This Row],[Contract amount]]&gt;10000,ListOfExpenditure[[#This Row],[Content.declaredAmount]]&gt;2000),1,0)</f>
        <v>0</v>
      </c>
      <c r="AO1544">
        <f>IFERROR(INDEX('Public procurment'!A:S,MATCH(ListOfExpenditure[[#This Row],[Content.contractId]],'Public procurment'!E:E,0),19),0)</f>
        <v>0</v>
      </c>
      <c r="AP1544">
        <f>IF(ListOfExpenditure[[#This Row],[Numero di volte controllato il contract ]]&gt;0,0,ListOfExpenditure[[#This Row],[IF public procurment &gt;10000;1;0]])</f>
        <v>0</v>
      </c>
    </row>
    <row r="1545" spans="1:42" x14ac:dyDescent="0.25">
      <c r="A1545">
        <v>862</v>
      </c>
      <c r="B1545">
        <v>24</v>
      </c>
      <c r="E1545" t="s">
        <v>4786</v>
      </c>
      <c r="F1545" t="b">
        <v>0</v>
      </c>
      <c r="I1545" t="s">
        <v>5604</v>
      </c>
      <c r="K1545" t="s">
        <v>4959</v>
      </c>
      <c r="L1545" t="s">
        <v>4959</v>
      </c>
      <c r="M1545" t="s">
        <v>4788</v>
      </c>
      <c r="N1545" t="s">
        <v>4788</v>
      </c>
      <c r="O1545">
        <v>2704.4</v>
      </c>
      <c r="Q1545">
        <v>0</v>
      </c>
      <c r="R1545">
        <v>0</v>
      </c>
      <c r="S1545">
        <v>405.66</v>
      </c>
      <c r="T1545" t="s">
        <v>4789</v>
      </c>
      <c r="U1545">
        <v>1</v>
      </c>
      <c r="V1545">
        <v>405.66</v>
      </c>
      <c r="W1545" t="s">
        <v>4343</v>
      </c>
      <c r="Y1545" t="b">
        <v>1</v>
      </c>
      <c r="Z1545" t="b">
        <v>0</v>
      </c>
      <c r="AA1545">
        <v>405.66</v>
      </c>
      <c r="AB1545">
        <v>0</v>
      </c>
      <c r="AD1545" t="b">
        <v>0</v>
      </c>
      <c r="AG1545" s="1" t="s">
        <v>310</v>
      </c>
      <c r="AH1545" s="1" t="s">
        <v>46</v>
      </c>
      <c r="AI1545">
        <v>86</v>
      </c>
      <c r="AJ1545">
        <v>213</v>
      </c>
      <c r="AK1545" s="106">
        <v>45475.635474432871</v>
      </c>
      <c r="AL1545" s="1" t="s">
        <v>4790</v>
      </c>
      <c r="AM1545" s="42">
        <f>IFERROR(INDEX('Public procurment'!A:R,MATCH(ListOfExpenditure[[#This Row],[Content.contractId]],'Public procurment'!E:E,0),14),0)</f>
        <v>0</v>
      </c>
      <c r="AN1545" s="2">
        <f>IF(AND(ListOfExpenditure[[#This Row],[Contract amount]]&gt;10000,ListOfExpenditure[[#This Row],[Content.declaredAmount]]&gt;2000),1,0)</f>
        <v>0</v>
      </c>
      <c r="AO1545">
        <f>IFERROR(INDEX('Public procurment'!A:S,MATCH(ListOfExpenditure[[#This Row],[Content.contractId]],'Public procurment'!E:E,0),19),0)</f>
        <v>0</v>
      </c>
      <c r="AP1545">
        <f>IF(ListOfExpenditure[[#This Row],[Numero di volte controllato il contract ]]&gt;0,0,ListOfExpenditure[[#This Row],[IF public procurment &gt;10000;1;0]])</f>
        <v>0</v>
      </c>
    </row>
    <row r="1546" spans="1:42" x14ac:dyDescent="0.25">
      <c r="A1546">
        <v>863</v>
      </c>
      <c r="B1546">
        <v>25</v>
      </c>
      <c r="E1546" t="s">
        <v>4786</v>
      </c>
      <c r="F1546" t="b">
        <v>0</v>
      </c>
      <c r="I1546" t="s">
        <v>5604</v>
      </c>
      <c r="K1546" t="s">
        <v>4921</v>
      </c>
      <c r="L1546" t="s">
        <v>4921</v>
      </c>
      <c r="M1546" t="s">
        <v>4788</v>
      </c>
      <c r="N1546" t="s">
        <v>4788</v>
      </c>
      <c r="O1546">
        <v>2668.75</v>
      </c>
      <c r="Q1546">
        <v>0</v>
      </c>
      <c r="R1546">
        <v>0</v>
      </c>
      <c r="S1546">
        <v>400.31</v>
      </c>
      <c r="T1546" t="s">
        <v>4789</v>
      </c>
      <c r="U1546">
        <v>1</v>
      </c>
      <c r="V1546">
        <v>400.31</v>
      </c>
      <c r="W1546" t="s">
        <v>4343</v>
      </c>
      <c r="Y1546" t="b">
        <v>1</v>
      </c>
      <c r="Z1546" t="b">
        <v>0</v>
      </c>
      <c r="AA1546">
        <v>384.64</v>
      </c>
      <c r="AB1546">
        <v>15.67</v>
      </c>
      <c r="AC1546">
        <v>14</v>
      </c>
      <c r="AD1546" t="b">
        <v>0</v>
      </c>
      <c r="AF1546" t="s">
        <v>5954</v>
      </c>
      <c r="AG1546" s="1" t="s">
        <v>310</v>
      </c>
      <c r="AH1546" s="1" t="s">
        <v>46</v>
      </c>
      <c r="AI1546">
        <v>86</v>
      </c>
      <c r="AJ1546">
        <v>213</v>
      </c>
      <c r="AK1546" s="106">
        <v>45475.635474432871</v>
      </c>
      <c r="AL1546" s="1" t="s">
        <v>4790</v>
      </c>
      <c r="AM1546" s="42">
        <f>IFERROR(INDEX('Public procurment'!A:R,MATCH(ListOfExpenditure[[#This Row],[Content.contractId]],'Public procurment'!E:E,0),14),0)</f>
        <v>0</v>
      </c>
      <c r="AN1546" s="2">
        <f>IF(AND(ListOfExpenditure[[#This Row],[Contract amount]]&gt;10000,ListOfExpenditure[[#This Row],[Content.declaredAmount]]&gt;2000),1,0)</f>
        <v>0</v>
      </c>
      <c r="AO1546">
        <f>IFERROR(INDEX('Public procurment'!A:S,MATCH(ListOfExpenditure[[#This Row],[Content.contractId]],'Public procurment'!E:E,0),19),0)</f>
        <v>0</v>
      </c>
      <c r="AP1546">
        <f>IF(ListOfExpenditure[[#This Row],[Numero di volte controllato il contract ]]&gt;0,0,ListOfExpenditure[[#This Row],[IF public procurment &gt;10000;1;0]])</f>
        <v>0</v>
      </c>
    </row>
    <row r="1547" spans="1:42" x14ac:dyDescent="0.25">
      <c r="A1547">
        <v>864</v>
      </c>
      <c r="B1547">
        <v>0</v>
      </c>
      <c r="E1547" t="s">
        <v>4786</v>
      </c>
      <c r="F1547" t="b">
        <v>0</v>
      </c>
      <c r="I1547" t="s">
        <v>5955</v>
      </c>
      <c r="K1547" t="s">
        <v>4831</v>
      </c>
      <c r="L1547" t="s">
        <v>4831</v>
      </c>
      <c r="M1547" t="s">
        <v>4788</v>
      </c>
      <c r="N1547" t="s">
        <v>4788</v>
      </c>
      <c r="O1547">
        <v>4283.3900000000003</v>
      </c>
      <c r="Q1547">
        <v>0</v>
      </c>
      <c r="R1547">
        <v>0</v>
      </c>
      <c r="S1547">
        <v>642.51</v>
      </c>
      <c r="T1547" t="s">
        <v>4789</v>
      </c>
      <c r="U1547">
        <v>1</v>
      </c>
      <c r="V1547">
        <v>642.51</v>
      </c>
      <c r="W1547" t="s">
        <v>4343</v>
      </c>
      <c r="X1547" t="s">
        <v>4343</v>
      </c>
      <c r="Y1547" t="b">
        <v>1</v>
      </c>
      <c r="Z1547" t="b">
        <v>0</v>
      </c>
      <c r="AA1547">
        <v>642.51</v>
      </c>
      <c r="AB1547">
        <v>0</v>
      </c>
      <c r="AD1547" t="b">
        <v>0</v>
      </c>
      <c r="AG1547" s="1" t="s">
        <v>310</v>
      </c>
      <c r="AH1547" s="1" t="s">
        <v>46</v>
      </c>
      <c r="AI1547">
        <v>86</v>
      </c>
      <c r="AJ1547">
        <v>213</v>
      </c>
      <c r="AK1547" s="106">
        <v>45475.635474432871</v>
      </c>
      <c r="AL1547" s="1" t="s">
        <v>4790</v>
      </c>
      <c r="AM1547" s="42">
        <f>IFERROR(INDEX('Public procurment'!A:R,MATCH(ListOfExpenditure[[#This Row],[Content.contractId]],'Public procurment'!E:E,0),14),0)</f>
        <v>0</v>
      </c>
      <c r="AN1547" s="2">
        <f>IF(AND(ListOfExpenditure[[#This Row],[Contract amount]]&gt;10000,ListOfExpenditure[[#This Row],[Content.declaredAmount]]&gt;2000),1,0)</f>
        <v>0</v>
      </c>
      <c r="AO1547">
        <f>IFERROR(INDEX('Public procurment'!A:S,MATCH(ListOfExpenditure[[#This Row],[Content.contractId]],'Public procurment'!E:E,0),19),0)</f>
        <v>0</v>
      </c>
      <c r="AP1547">
        <f>IF(ListOfExpenditure[[#This Row],[Numero di volte controllato il contract ]]&gt;0,0,ListOfExpenditure[[#This Row],[IF public procurment &gt;10000;1;0]])</f>
        <v>0</v>
      </c>
    </row>
    <row r="1548" spans="1:42" x14ac:dyDescent="0.25">
      <c r="A1548">
        <v>865</v>
      </c>
      <c r="B1548">
        <v>26</v>
      </c>
      <c r="E1548" t="s">
        <v>4786</v>
      </c>
      <c r="F1548" t="b">
        <v>0</v>
      </c>
      <c r="I1548" t="s">
        <v>5955</v>
      </c>
      <c r="K1548" t="s">
        <v>4957</v>
      </c>
      <c r="L1548" t="s">
        <v>4957</v>
      </c>
      <c r="M1548" t="s">
        <v>4788</v>
      </c>
      <c r="N1548" t="s">
        <v>4788</v>
      </c>
      <c r="O1548">
        <v>4661.7</v>
      </c>
      <c r="Q1548">
        <v>0</v>
      </c>
      <c r="R1548">
        <v>0</v>
      </c>
      <c r="S1548">
        <v>1269.3800000000001</v>
      </c>
      <c r="T1548" t="s">
        <v>4789</v>
      </c>
      <c r="U1548">
        <v>1</v>
      </c>
      <c r="V1548">
        <v>1269.3800000000001</v>
      </c>
      <c r="W1548" t="s">
        <v>4343</v>
      </c>
      <c r="Y1548" t="b">
        <v>1</v>
      </c>
      <c r="Z1548" t="b">
        <v>0</v>
      </c>
      <c r="AA1548">
        <v>1269.3800000000001</v>
      </c>
      <c r="AB1548">
        <v>0</v>
      </c>
      <c r="AD1548" t="b">
        <v>0</v>
      </c>
      <c r="AG1548" s="1" t="s">
        <v>310</v>
      </c>
      <c r="AH1548" s="1" t="s">
        <v>46</v>
      </c>
      <c r="AI1548">
        <v>86</v>
      </c>
      <c r="AJ1548">
        <v>213</v>
      </c>
      <c r="AK1548" s="106">
        <v>45475.635474432871</v>
      </c>
      <c r="AL1548" s="1" t="s">
        <v>4790</v>
      </c>
      <c r="AM1548" s="42">
        <f>IFERROR(INDEX('Public procurment'!A:R,MATCH(ListOfExpenditure[[#This Row],[Content.contractId]],'Public procurment'!E:E,0),14),0)</f>
        <v>0</v>
      </c>
      <c r="AN1548" s="2">
        <f>IF(AND(ListOfExpenditure[[#This Row],[Contract amount]]&gt;10000,ListOfExpenditure[[#This Row],[Content.declaredAmount]]&gt;2000),1,0)</f>
        <v>0</v>
      </c>
      <c r="AO1548">
        <f>IFERROR(INDEX('Public procurment'!A:S,MATCH(ListOfExpenditure[[#This Row],[Content.contractId]],'Public procurment'!E:E,0),19),0)</f>
        <v>0</v>
      </c>
      <c r="AP1548">
        <f>IF(ListOfExpenditure[[#This Row],[Numero di volte controllato il contract ]]&gt;0,0,ListOfExpenditure[[#This Row],[IF public procurment &gt;10000;1;0]])</f>
        <v>0</v>
      </c>
    </row>
    <row r="1549" spans="1:42" x14ac:dyDescent="0.25">
      <c r="A1549">
        <v>866</v>
      </c>
      <c r="B1549">
        <v>27</v>
      </c>
      <c r="E1549" t="s">
        <v>4786</v>
      </c>
      <c r="F1549" t="b">
        <v>0</v>
      </c>
      <c r="I1549" t="s">
        <v>5955</v>
      </c>
      <c r="K1549" t="s">
        <v>4914</v>
      </c>
      <c r="L1549" t="s">
        <v>4914</v>
      </c>
      <c r="M1549" t="s">
        <v>4788</v>
      </c>
      <c r="N1549" t="s">
        <v>4788</v>
      </c>
      <c r="O1549">
        <v>5463</v>
      </c>
      <c r="Q1549">
        <v>0</v>
      </c>
      <c r="R1549">
        <v>0</v>
      </c>
      <c r="S1549">
        <v>1487.58</v>
      </c>
      <c r="T1549" t="s">
        <v>4789</v>
      </c>
      <c r="U1549">
        <v>1</v>
      </c>
      <c r="V1549">
        <v>1487.58</v>
      </c>
      <c r="W1549" t="s">
        <v>4343</v>
      </c>
      <c r="Y1549" t="b">
        <v>1</v>
      </c>
      <c r="Z1549" t="b">
        <v>0</v>
      </c>
      <c r="AA1549">
        <v>1487.58</v>
      </c>
      <c r="AB1549">
        <v>0</v>
      </c>
      <c r="AD1549" t="b">
        <v>0</v>
      </c>
      <c r="AG1549" s="1" t="s">
        <v>310</v>
      </c>
      <c r="AH1549" s="1" t="s">
        <v>46</v>
      </c>
      <c r="AI1549">
        <v>86</v>
      </c>
      <c r="AJ1549">
        <v>213</v>
      </c>
      <c r="AK1549" s="106">
        <v>45475.635474432871</v>
      </c>
      <c r="AL1549" s="1" t="s">
        <v>4790</v>
      </c>
      <c r="AM1549" s="42">
        <f>IFERROR(INDEX('Public procurment'!A:R,MATCH(ListOfExpenditure[[#This Row],[Content.contractId]],'Public procurment'!E:E,0),14),0)</f>
        <v>0</v>
      </c>
      <c r="AN1549" s="2">
        <f>IF(AND(ListOfExpenditure[[#This Row],[Contract amount]]&gt;10000,ListOfExpenditure[[#This Row],[Content.declaredAmount]]&gt;2000),1,0)</f>
        <v>0</v>
      </c>
      <c r="AO1549">
        <f>IFERROR(INDEX('Public procurment'!A:S,MATCH(ListOfExpenditure[[#This Row],[Content.contractId]],'Public procurment'!E:E,0),19),0)</f>
        <v>0</v>
      </c>
      <c r="AP1549">
        <f>IF(ListOfExpenditure[[#This Row],[Numero di volte controllato il contract ]]&gt;0,0,ListOfExpenditure[[#This Row],[IF public procurment &gt;10000;1;0]])</f>
        <v>0</v>
      </c>
    </row>
    <row r="1550" spans="1:42" x14ac:dyDescent="0.25">
      <c r="A1550">
        <v>867</v>
      </c>
      <c r="B1550">
        <v>28</v>
      </c>
      <c r="E1550" t="s">
        <v>4786</v>
      </c>
      <c r="F1550" t="b">
        <v>0</v>
      </c>
      <c r="I1550" t="s">
        <v>5955</v>
      </c>
      <c r="K1550" t="s">
        <v>4959</v>
      </c>
      <c r="L1550" t="s">
        <v>4959</v>
      </c>
      <c r="M1550" t="s">
        <v>4788</v>
      </c>
      <c r="N1550" t="s">
        <v>4788</v>
      </c>
      <c r="O1550">
        <v>4779.18</v>
      </c>
      <c r="Q1550">
        <v>0</v>
      </c>
      <c r="R1550">
        <v>0</v>
      </c>
      <c r="S1550">
        <v>1301.3699999999999</v>
      </c>
      <c r="T1550" t="s">
        <v>4789</v>
      </c>
      <c r="U1550">
        <v>1</v>
      </c>
      <c r="V1550">
        <v>1301.3699999999999</v>
      </c>
      <c r="W1550" t="s">
        <v>4343</v>
      </c>
      <c r="Y1550" t="b">
        <v>1</v>
      </c>
      <c r="Z1550" t="b">
        <v>0</v>
      </c>
      <c r="AA1550">
        <v>1301.3699999999999</v>
      </c>
      <c r="AB1550">
        <v>0</v>
      </c>
      <c r="AD1550" t="b">
        <v>0</v>
      </c>
      <c r="AG1550" s="1" t="s">
        <v>310</v>
      </c>
      <c r="AH1550" s="1" t="s">
        <v>46</v>
      </c>
      <c r="AI1550">
        <v>86</v>
      </c>
      <c r="AJ1550">
        <v>213</v>
      </c>
      <c r="AK1550" s="106">
        <v>45475.635474432871</v>
      </c>
      <c r="AL1550" s="1" t="s">
        <v>4790</v>
      </c>
      <c r="AM1550" s="42">
        <f>IFERROR(INDEX('Public procurment'!A:R,MATCH(ListOfExpenditure[[#This Row],[Content.contractId]],'Public procurment'!E:E,0),14),0)</f>
        <v>0</v>
      </c>
      <c r="AN1550" s="2">
        <f>IF(AND(ListOfExpenditure[[#This Row],[Contract amount]]&gt;10000,ListOfExpenditure[[#This Row],[Content.declaredAmount]]&gt;2000),1,0)</f>
        <v>0</v>
      </c>
      <c r="AO1550">
        <f>IFERROR(INDEX('Public procurment'!A:S,MATCH(ListOfExpenditure[[#This Row],[Content.contractId]],'Public procurment'!E:E,0),19),0)</f>
        <v>0</v>
      </c>
      <c r="AP1550">
        <f>IF(ListOfExpenditure[[#This Row],[Numero di volte controllato il contract ]]&gt;0,0,ListOfExpenditure[[#This Row],[IF public procurment &gt;10000;1;0]])</f>
        <v>0</v>
      </c>
    </row>
    <row r="1551" spans="1:42" x14ac:dyDescent="0.25">
      <c r="A1551">
        <v>868</v>
      </c>
      <c r="B1551">
        <v>29</v>
      </c>
      <c r="E1551" t="s">
        <v>4786</v>
      </c>
      <c r="F1551" t="b">
        <v>0</v>
      </c>
      <c r="I1551" t="s">
        <v>5955</v>
      </c>
      <c r="K1551" t="s">
        <v>4921</v>
      </c>
      <c r="L1551" t="s">
        <v>4921</v>
      </c>
      <c r="M1551" t="s">
        <v>4788</v>
      </c>
      <c r="N1551" t="s">
        <v>4788</v>
      </c>
      <c r="O1551">
        <v>4473.04</v>
      </c>
      <c r="Q1551">
        <v>0</v>
      </c>
      <c r="R1551">
        <v>0</v>
      </c>
      <c r="S1551">
        <v>1218.01</v>
      </c>
      <c r="T1551" t="s">
        <v>4789</v>
      </c>
      <c r="U1551">
        <v>1</v>
      </c>
      <c r="V1551">
        <v>1218.01</v>
      </c>
      <c r="W1551" t="s">
        <v>4343</v>
      </c>
      <c r="Y1551" t="b">
        <v>1</v>
      </c>
      <c r="Z1551" t="b">
        <v>0</v>
      </c>
      <c r="AA1551">
        <v>1189.56</v>
      </c>
      <c r="AB1551">
        <v>28.45</v>
      </c>
      <c r="AC1551">
        <v>14</v>
      </c>
      <c r="AD1551" t="b">
        <v>0</v>
      </c>
      <c r="AF1551" t="s">
        <v>5954</v>
      </c>
      <c r="AG1551" s="1" t="s">
        <v>310</v>
      </c>
      <c r="AH1551" s="1" t="s">
        <v>46</v>
      </c>
      <c r="AI1551">
        <v>86</v>
      </c>
      <c r="AJ1551">
        <v>213</v>
      </c>
      <c r="AK1551" s="106">
        <v>45475.635474432871</v>
      </c>
      <c r="AL1551" s="1" t="s">
        <v>4790</v>
      </c>
      <c r="AM1551" s="42">
        <f>IFERROR(INDEX('Public procurment'!A:R,MATCH(ListOfExpenditure[[#This Row],[Content.contractId]],'Public procurment'!E:E,0),14),0)</f>
        <v>0</v>
      </c>
      <c r="AN1551" s="2">
        <f>IF(AND(ListOfExpenditure[[#This Row],[Contract amount]]&gt;10000,ListOfExpenditure[[#This Row],[Content.declaredAmount]]&gt;2000),1,0)</f>
        <v>0</v>
      </c>
      <c r="AO1551">
        <f>IFERROR(INDEX('Public procurment'!A:S,MATCH(ListOfExpenditure[[#This Row],[Content.contractId]],'Public procurment'!E:E,0),19),0)</f>
        <v>0</v>
      </c>
      <c r="AP1551">
        <f>IF(ListOfExpenditure[[#This Row],[Numero di volte controllato il contract ]]&gt;0,0,ListOfExpenditure[[#This Row],[IF public procurment &gt;10000;1;0]])</f>
        <v>0</v>
      </c>
    </row>
    <row r="1552" spans="1:42" x14ac:dyDescent="0.25">
      <c r="A1552">
        <v>869</v>
      </c>
      <c r="B1552">
        <v>0</v>
      </c>
      <c r="E1552" t="s">
        <v>4786</v>
      </c>
      <c r="F1552" t="b">
        <v>0</v>
      </c>
      <c r="I1552" t="s">
        <v>5956</v>
      </c>
      <c r="K1552" t="s">
        <v>4831</v>
      </c>
      <c r="L1552" t="s">
        <v>4831</v>
      </c>
      <c r="M1552" t="s">
        <v>4788</v>
      </c>
      <c r="N1552" t="s">
        <v>4788</v>
      </c>
      <c r="O1552">
        <v>1118.05</v>
      </c>
      <c r="Q1552">
        <v>0</v>
      </c>
      <c r="R1552">
        <v>0</v>
      </c>
      <c r="S1552">
        <v>111.81</v>
      </c>
      <c r="T1552" t="s">
        <v>4789</v>
      </c>
      <c r="U1552">
        <v>1</v>
      </c>
      <c r="V1552">
        <v>111.81</v>
      </c>
      <c r="W1552" t="s">
        <v>4343</v>
      </c>
      <c r="X1552" t="s">
        <v>4343</v>
      </c>
      <c r="Y1552" t="b">
        <v>1</v>
      </c>
      <c r="Z1552" t="b">
        <v>0</v>
      </c>
      <c r="AA1552">
        <v>111.81</v>
      </c>
      <c r="AB1552">
        <v>0</v>
      </c>
      <c r="AD1552" t="b">
        <v>0</v>
      </c>
      <c r="AG1552" s="1" t="s">
        <v>310</v>
      </c>
      <c r="AH1552" s="1" t="s">
        <v>46</v>
      </c>
      <c r="AI1552">
        <v>86</v>
      </c>
      <c r="AJ1552">
        <v>213</v>
      </c>
      <c r="AK1552" s="106">
        <v>45475.635474432871</v>
      </c>
      <c r="AL1552" s="1" t="s">
        <v>4790</v>
      </c>
      <c r="AM1552" s="42">
        <f>IFERROR(INDEX('Public procurment'!A:R,MATCH(ListOfExpenditure[[#This Row],[Content.contractId]],'Public procurment'!E:E,0),14),0)</f>
        <v>0</v>
      </c>
      <c r="AN1552" s="2">
        <f>IF(AND(ListOfExpenditure[[#This Row],[Contract amount]]&gt;10000,ListOfExpenditure[[#This Row],[Content.declaredAmount]]&gt;2000),1,0)</f>
        <v>0</v>
      </c>
      <c r="AO1552">
        <f>IFERROR(INDEX('Public procurment'!A:S,MATCH(ListOfExpenditure[[#This Row],[Content.contractId]],'Public procurment'!E:E,0),19),0)</f>
        <v>0</v>
      </c>
      <c r="AP1552">
        <f>IF(ListOfExpenditure[[#This Row],[Numero di volte controllato il contract ]]&gt;0,0,ListOfExpenditure[[#This Row],[IF public procurment &gt;10000;1;0]])</f>
        <v>0</v>
      </c>
    </row>
    <row r="1553" spans="1:42" x14ac:dyDescent="0.25">
      <c r="A1553">
        <v>870</v>
      </c>
      <c r="B1553">
        <v>30</v>
      </c>
      <c r="E1553" t="s">
        <v>4786</v>
      </c>
      <c r="F1553" t="b">
        <v>0</v>
      </c>
      <c r="I1553" t="s">
        <v>5956</v>
      </c>
      <c r="K1553" t="s">
        <v>4957</v>
      </c>
      <c r="L1553" t="s">
        <v>4957</v>
      </c>
      <c r="M1553" t="s">
        <v>4788</v>
      </c>
      <c r="N1553" t="s">
        <v>4788</v>
      </c>
      <c r="O1553">
        <v>1087.56</v>
      </c>
      <c r="Q1553">
        <v>0</v>
      </c>
      <c r="R1553">
        <v>0</v>
      </c>
      <c r="S1553">
        <v>543.78</v>
      </c>
      <c r="T1553" t="s">
        <v>4789</v>
      </c>
      <c r="U1553">
        <v>1</v>
      </c>
      <c r="V1553">
        <v>543.78</v>
      </c>
      <c r="W1553" t="s">
        <v>4343</v>
      </c>
      <c r="Y1553" t="b">
        <v>1</v>
      </c>
      <c r="Z1553" t="b">
        <v>0</v>
      </c>
      <c r="AA1553">
        <v>543.78</v>
      </c>
      <c r="AB1553">
        <v>0</v>
      </c>
      <c r="AD1553" t="b">
        <v>0</v>
      </c>
      <c r="AG1553" s="1" t="s">
        <v>310</v>
      </c>
      <c r="AH1553" s="1" t="s">
        <v>46</v>
      </c>
      <c r="AI1553">
        <v>86</v>
      </c>
      <c r="AJ1553">
        <v>213</v>
      </c>
      <c r="AK1553" s="106">
        <v>45475.635474432871</v>
      </c>
      <c r="AL1553" s="1" t="s">
        <v>4790</v>
      </c>
      <c r="AM1553" s="42">
        <f>IFERROR(INDEX('Public procurment'!A:R,MATCH(ListOfExpenditure[[#This Row],[Content.contractId]],'Public procurment'!E:E,0),14),0)</f>
        <v>0</v>
      </c>
      <c r="AN1553" s="2">
        <f>IF(AND(ListOfExpenditure[[#This Row],[Contract amount]]&gt;10000,ListOfExpenditure[[#This Row],[Content.declaredAmount]]&gt;2000),1,0)</f>
        <v>0</v>
      </c>
      <c r="AO1553">
        <f>IFERROR(INDEX('Public procurment'!A:S,MATCH(ListOfExpenditure[[#This Row],[Content.contractId]],'Public procurment'!E:E,0),19),0)</f>
        <v>0</v>
      </c>
      <c r="AP1553">
        <f>IF(ListOfExpenditure[[#This Row],[Numero di volte controllato il contract ]]&gt;0,0,ListOfExpenditure[[#This Row],[IF public procurment &gt;10000;1;0]])</f>
        <v>0</v>
      </c>
    </row>
    <row r="1554" spans="1:42" x14ac:dyDescent="0.25">
      <c r="A1554">
        <v>871</v>
      </c>
      <c r="B1554">
        <v>31</v>
      </c>
      <c r="E1554" t="s">
        <v>4786</v>
      </c>
      <c r="F1554" t="b">
        <v>0</v>
      </c>
      <c r="I1554" t="s">
        <v>5956</v>
      </c>
      <c r="K1554" t="s">
        <v>4914</v>
      </c>
      <c r="L1554" t="s">
        <v>4914</v>
      </c>
      <c r="M1554" t="s">
        <v>4788</v>
      </c>
      <c r="N1554" t="s">
        <v>4788</v>
      </c>
      <c r="O1554">
        <v>1118.04</v>
      </c>
      <c r="Q1554">
        <v>0</v>
      </c>
      <c r="R1554">
        <v>0</v>
      </c>
      <c r="S1554">
        <v>559.02</v>
      </c>
      <c r="T1554" t="s">
        <v>4789</v>
      </c>
      <c r="U1554">
        <v>1</v>
      </c>
      <c r="V1554">
        <v>559.02</v>
      </c>
      <c r="W1554" t="s">
        <v>4343</v>
      </c>
      <c r="Y1554" t="b">
        <v>1</v>
      </c>
      <c r="Z1554" t="b">
        <v>0</v>
      </c>
      <c r="AA1554">
        <v>559.02</v>
      </c>
      <c r="AB1554">
        <v>0</v>
      </c>
      <c r="AD1554" t="b">
        <v>0</v>
      </c>
      <c r="AG1554" s="1" t="s">
        <v>310</v>
      </c>
      <c r="AH1554" s="1" t="s">
        <v>46</v>
      </c>
      <c r="AI1554">
        <v>86</v>
      </c>
      <c r="AJ1554">
        <v>213</v>
      </c>
      <c r="AK1554" s="106">
        <v>45475.635474432871</v>
      </c>
      <c r="AL1554" s="1" t="s">
        <v>4790</v>
      </c>
      <c r="AM1554" s="42">
        <f>IFERROR(INDEX('Public procurment'!A:R,MATCH(ListOfExpenditure[[#This Row],[Content.contractId]],'Public procurment'!E:E,0),14),0)</f>
        <v>0</v>
      </c>
      <c r="AN1554" s="2">
        <f>IF(AND(ListOfExpenditure[[#This Row],[Contract amount]]&gt;10000,ListOfExpenditure[[#This Row],[Content.declaredAmount]]&gt;2000),1,0)</f>
        <v>0</v>
      </c>
      <c r="AO1554">
        <f>IFERROR(INDEX('Public procurment'!A:S,MATCH(ListOfExpenditure[[#This Row],[Content.contractId]],'Public procurment'!E:E,0),19),0)</f>
        <v>0</v>
      </c>
      <c r="AP1554">
        <f>IF(ListOfExpenditure[[#This Row],[Numero di volte controllato il contract ]]&gt;0,0,ListOfExpenditure[[#This Row],[IF public procurment &gt;10000;1;0]])</f>
        <v>0</v>
      </c>
    </row>
    <row r="1555" spans="1:42" x14ac:dyDescent="0.25">
      <c r="A1555">
        <v>872</v>
      </c>
      <c r="B1555">
        <v>32</v>
      </c>
      <c r="E1555" t="s">
        <v>4786</v>
      </c>
      <c r="F1555" t="b">
        <v>0</v>
      </c>
      <c r="I1555" t="s">
        <v>5956</v>
      </c>
      <c r="K1555" t="s">
        <v>4959</v>
      </c>
      <c r="L1555" t="s">
        <v>4959</v>
      </c>
      <c r="M1555" t="s">
        <v>4788</v>
      </c>
      <c r="N1555" t="s">
        <v>4788</v>
      </c>
      <c r="O1555">
        <v>1118.04</v>
      </c>
      <c r="Q1555">
        <v>0</v>
      </c>
      <c r="R1555">
        <v>0</v>
      </c>
      <c r="S1555">
        <v>559.02</v>
      </c>
      <c r="T1555" t="s">
        <v>4789</v>
      </c>
      <c r="U1555">
        <v>1</v>
      </c>
      <c r="V1555">
        <v>559.02</v>
      </c>
      <c r="W1555" t="s">
        <v>4343</v>
      </c>
      <c r="Y1555" t="b">
        <v>1</v>
      </c>
      <c r="Z1555" t="b">
        <v>0</v>
      </c>
      <c r="AA1555">
        <v>559.02</v>
      </c>
      <c r="AB1555">
        <v>0</v>
      </c>
      <c r="AD1555" t="b">
        <v>0</v>
      </c>
      <c r="AG1555" s="1" t="s">
        <v>310</v>
      </c>
      <c r="AH1555" s="1" t="s">
        <v>46</v>
      </c>
      <c r="AI1555">
        <v>86</v>
      </c>
      <c r="AJ1555">
        <v>213</v>
      </c>
      <c r="AK1555" s="106">
        <v>45475.635474432871</v>
      </c>
      <c r="AL1555" s="1" t="s">
        <v>4790</v>
      </c>
      <c r="AM1555" s="42">
        <f>IFERROR(INDEX('Public procurment'!A:R,MATCH(ListOfExpenditure[[#This Row],[Content.contractId]],'Public procurment'!E:E,0),14),0)</f>
        <v>0</v>
      </c>
      <c r="AN1555" s="2">
        <f>IF(AND(ListOfExpenditure[[#This Row],[Contract amount]]&gt;10000,ListOfExpenditure[[#This Row],[Content.declaredAmount]]&gt;2000),1,0)</f>
        <v>0</v>
      </c>
      <c r="AO1555">
        <f>IFERROR(INDEX('Public procurment'!A:S,MATCH(ListOfExpenditure[[#This Row],[Content.contractId]],'Public procurment'!E:E,0),19),0)</f>
        <v>0</v>
      </c>
      <c r="AP1555">
        <f>IF(ListOfExpenditure[[#This Row],[Numero di volte controllato il contract ]]&gt;0,0,ListOfExpenditure[[#This Row],[IF public procurment &gt;10000;1;0]])</f>
        <v>0</v>
      </c>
    </row>
    <row r="1556" spans="1:42" x14ac:dyDescent="0.25">
      <c r="A1556">
        <v>873</v>
      </c>
      <c r="B1556">
        <v>33</v>
      </c>
      <c r="E1556" t="s">
        <v>4786</v>
      </c>
      <c r="F1556" t="b">
        <v>0</v>
      </c>
      <c r="I1556" t="s">
        <v>5956</v>
      </c>
      <c r="K1556" t="s">
        <v>4921</v>
      </c>
      <c r="L1556" t="s">
        <v>4921</v>
      </c>
      <c r="M1556" t="s">
        <v>4788</v>
      </c>
      <c r="N1556" t="s">
        <v>4788</v>
      </c>
      <c r="O1556">
        <v>1329.33</v>
      </c>
      <c r="Q1556">
        <v>0</v>
      </c>
      <c r="R1556">
        <v>0</v>
      </c>
      <c r="S1556">
        <v>664.67</v>
      </c>
      <c r="T1556" t="s">
        <v>4789</v>
      </c>
      <c r="U1556">
        <v>1</v>
      </c>
      <c r="V1556">
        <v>664.67</v>
      </c>
      <c r="W1556" t="s">
        <v>4343</v>
      </c>
      <c r="Y1556" t="b">
        <v>1</v>
      </c>
      <c r="Z1556" t="b">
        <v>0</v>
      </c>
      <c r="AA1556">
        <v>664.67</v>
      </c>
      <c r="AB1556">
        <v>0</v>
      </c>
      <c r="AD1556" t="b">
        <v>0</v>
      </c>
      <c r="AF1556" t="s">
        <v>5957</v>
      </c>
      <c r="AG1556" s="1" t="s">
        <v>310</v>
      </c>
      <c r="AH1556" s="1" t="s">
        <v>46</v>
      </c>
      <c r="AI1556">
        <v>86</v>
      </c>
      <c r="AJ1556">
        <v>213</v>
      </c>
      <c r="AK1556" s="106">
        <v>45475.635474432871</v>
      </c>
      <c r="AL1556" s="1" t="s">
        <v>4790</v>
      </c>
      <c r="AM1556" s="42">
        <f>IFERROR(INDEX('Public procurment'!A:R,MATCH(ListOfExpenditure[[#This Row],[Content.contractId]],'Public procurment'!E:E,0),14),0)</f>
        <v>0</v>
      </c>
      <c r="AN1556" s="2">
        <f>IF(AND(ListOfExpenditure[[#This Row],[Contract amount]]&gt;10000,ListOfExpenditure[[#This Row],[Content.declaredAmount]]&gt;2000),1,0)</f>
        <v>0</v>
      </c>
      <c r="AO1556">
        <f>IFERROR(INDEX('Public procurment'!A:S,MATCH(ListOfExpenditure[[#This Row],[Content.contractId]],'Public procurment'!E:E,0),19),0)</f>
        <v>0</v>
      </c>
      <c r="AP1556">
        <f>IF(ListOfExpenditure[[#This Row],[Numero di volte controllato il contract ]]&gt;0,0,ListOfExpenditure[[#This Row],[IF public procurment &gt;10000;1;0]])</f>
        <v>0</v>
      </c>
    </row>
    <row r="1557" spans="1:42" x14ac:dyDescent="0.25">
      <c r="A1557">
        <v>874</v>
      </c>
      <c r="B1557">
        <v>0</v>
      </c>
      <c r="E1557" t="s">
        <v>4786</v>
      </c>
      <c r="F1557" t="b">
        <v>0</v>
      </c>
      <c r="I1557" t="s">
        <v>5958</v>
      </c>
      <c r="K1557" t="s">
        <v>4831</v>
      </c>
      <c r="L1557" t="s">
        <v>4831</v>
      </c>
      <c r="M1557" t="s">
        <v>4788</v>
      </c>
      <c r="N1557" t="s">
        <v>4788</v>
      </c>
      <c r="O1557">
        <v>3936.2</v>
      </c>
      <c r="Q1557">
        <v>0</v>
      </c>
      <c r="R1557">
        <v>0</v>
      </c>
      <c r="S1557">
        <v>590.42999999999995</v>
      </c>
      <c r="T1557" t="s">
        <v>4789</v>
      </c>
      <c r="U1557">
        <v>1</v>
      </c>
      <c r="V1557">
        <v>590.42999999999995</v>
      </c>
      <c r="W1557" t="s">
        <v>4343</v>
      </c>
      <c r="X1557" t="s">
        <v>4343</v>
      </c>
      <c r="Y1557" t="b">
        <v>1</v>
      </c>
      <c r="Z1557" t="b">
        <v>0</v>
      </c>
      <c r="AA1557">
        <v>590.42999999999995</v>
      </c>
      <c r="AB1557">
        <v>0</v>
      </c>
      <c r="AD1557" t="b">
        <v>0</v>
      </c>
      <c r="AG1557" s="1" t="s">
        <v>310</v>
      </c>
      <c r="AH1557" s="1" t="s">
        <v>46</v>
      </c>
      <c r="AI1557">
        <v>86</v>
      </c>
      <c r="AJ1557">
        <v>213</v>
      </c>
      <c r="AK1557" s="106">
        <v>45475.635474432871</v>
      </c>
      <c r="AL1557" s="1" t="s">
        <v>4790</v>
      </c>
      <c r="AM1557" s="42">
        <f>IFERROR(INDEX('Public procurment'!A:R,MATCH(ListOfExpenditure[[#This Row],[Content.contractId]],'Public procurment'!E:E,0),14),0)</f>
        <v>0</v>
      </c>
      <c r="AN1557" s="2">
        <f>IF(AND(ListOfExpenditure[[#This Row],[Contract amount]]&gt;10000,ListOfExpenditure[[#This Row],[Content.declaredAmount]]&gt;2000),1,0)</f>
        <v>0</v>
      </c>
      <c r="AO1557">
        <f>IFERROR(INDEX('Public procurment'!A:S,MATCH(ListOfExpenditure[[#This Row],[Content.contractId]],'Public procurment'!E:E,0),19),0)</f>
        <v>0</v>
      </c>
      <c r="AP1557">
        <f>IF(ListOfExpenditure[[#This Row],[Numero di volte controllato il contract ]]&gt;0,0,ListOfExpenditure[[#This Row],[IF public procurment &gt;10000;1;0]])</f>
        <v>0</v>
      </c>
    </row>
    <row r="1558" spans="1:42" x14ac:dyDescent="0.25">
      <c r="A1558">
        <v>875</v>
      </c>
      <c r="B1558">
        <v>34</v>
      </c>
      <c r="E1558" t="s">
        <v>4786</v>
      </c>
      <c r="F1558" t="b">
        <v>0</v>
      </c>
      <c r="I1558" t="s">
        <v>5958</v>
      </c>
      <c r="K1558" t="s">
        <v>4957</v>
      </c>
      <c r="L1558" t="s">
        <v>4957</v>
      </c>
      <c r="M1558" t="s">
        <v>4788</v>
      </c>
      <c r="N1558" t="s">
        <v>4788</v>
      </c>
      <c r="O1558">
        <v>4217.62</v>
      </c>
      <c r="Q1558">
        <v>0</v>
      </c>
      <c r="R1558">
        <v>0</v>
      </c>
      <c r="S1558">
        <v>801.35</v>
      </c>
      <c r="T1558" t="s">
        <v>4789</v>
      </c>
      <c r="U1558">
        <v>1</v>
      </c>
      <c r="V1558">
        <v>801.35</v>
      </c>
      <c r="W1558" t="s">
        <v>4343</v>
      </c>
      <c r="Y1558" t="b">
        <v>1</v>
      </c>
      <c r="Z1558" t="b">
        <v>0</v>
      </c>
      <c r="AA1558">
        <v>801.35</v>
      </c>
      <c r="AB1558">
        <v>0</v>
      </c>
      <c r="AD1558" t="b">
        <v>0</v>
      </c>
      <c r="AG1558" s="1" t="s">
        <v>310</v>
      </c>
      <c r="AH1558" s="1" t="s">
        <v>46</v>
      </c>
      <c r="AI1558">
        <v>86</v>
      </c>
      <c r="AJ1558">
        <v>213</v>
      </c>
      <c r="AK1558" s="106">
        <v>45475.635474432871</v>
      </c>
      <c r="AL1558" s="1" t="s">
        <v>4790</v>
      </c>
      <c r="AM1558" s="42">
        <f>IFERROR(INDEX('Public procurment'!A:R,MATCH(ListOfExpenditure[[#This Row],[Content.contractId]],'Public procurment'!E:E,0),14),0)</f>
        <v>0</v>
      </c>
      <c r="AN1558" s="2">
        <f>IF(AND(ListOfExpenditure[[#This Row],[Contract amount]]&gt;10000,ListOfExpenditure[[#This Row],[Content.declaredAmount]]&gt;2000),1,0)</f>
        <v>0</v>
      </c>
      <c r="AO1558">
        <f>IFERROR(INDEX('Public procurment'!A:S,MATCH(ListOfExpenditure[[#This Row],[Content.contractId]],'Public procurment'!E:E,0),19),0)</f>
        <v>0</v>
      </c>
      <c r="AP1558">
        <f>IF(ListOfExpenditure[[#This Row],[Numero di volte controllato il contract ]]&gt;0,0,ListOfExpenditure[[#This Row],[IF public procurment &gt;10000;1;0]])</f>
        <v>0</v>
      </c>
    </row>
    <row r="1559" spans="1:42" x14ac:dyDescent="0.25">
      <c r="A1559">
        <v>876</v>
      </c>
      <c r="B1559">
        <v>35</v>
      </c>
      <c r="E1559" t="s">
        <v>4786</v>
      </c>
      <c r="F1559" t="b">
        <v>0</v>
      </c>
      <c r="I1559" t="s">
        <v>5958</v>
      </c>
      <c r="K1559" t="s">
        <v>4914</v>
      </c>
      <c r="L1559" t="s">
        <v>4914</v>
      </c>
      <c r="M1559" t="s">
        <v>4788</v>
      </c>
      <c r="N1559" t="s">
        <v>4788</v>
      </c>
      <c r="O1559">
        <v>4829.67</v>
      </c>
      <c r="Q1559">
        <v>0</v>
      </c>
      <c r="R1559">
        <v>0</v>
      </c>
      <c r="S1559">
        <v>917.64</v>
      </c>
      <c r="T1559" t="s">
        <v>4789</v>
      </c>
      <c r="U1559">
        <v>1</v>
      </c>
      <c r="V1559">
        <v>917.64</v>
      </c>
      <c r="W1559" t="s">
        <v>4343</v>
      </c>
      <c r="Y1559" t="b">
        <v>1</v>
      </c>
      <c r="Z1559" t="b">
        <v>0</v>
      </c>
      <c r="AA1559">
        <v>917.64</v>
      </c>
      <c r="AB1559">
        <v>0</v>
      </c>
      <c r="AD1559" t="b">
        <v>0</v>
      </c>
      <c r="AG1559" s="1" t="s">
        <v>310</v>
      </c>
      <c r="AH1559" s="1" t="s">
        <v>46</v>
      </c>
      <c r="AI1559">
        <v>86</v>
      </c>
      <c r="AJ1559">
        <v>213</v>
      </c>
      <c r="AK1559" s="106">
        <v>45475.635474432871</v>
      </c>
      <c r="AL1559" s="1" t="s">
        <v>4790</v>
      </c>
      <c r="AM1559" s="42">
        <f>IFERROR(INDEX('Public procurment'!A:R,MATCH(ListOfExpenditure[[#This Row],[Content.contractId]],'Public procurment'!E:E,0),14),0)</f>
        <v>0</v>
      </c>
      <c r="AN1559" s="2">
        <f>IF(AND(ListOfExpenditure[[#This Row],[Contract amount]]&gt;10000,ListOfExpenditure[[#This Row],[Content.declaredAmount]]&gt;2000),1,0)</f>
        <v>0</v>
      </c>
      <c r="AO1559">
        <f>IFERROR(INDEX('Public procurment'!A:S,MATCH(ListOfExpenditure[[#This Row],[Content.contractId]],'Public procurment'!E:E,0),19),0)</f>
        <v>0</v>
      </c>
      <c r="AP1559">
        <f>IF(ListOfExpenditure[[#This Row],[Numero di volte controllato il contract ]]&gt;0,0,ListOfExpenditure[[#This Row],[IF public procurment &gt;10000;1;0]])</f>
        <v>0</v>
      </c>
    </row>
    <row r="1560" spans="1:42" x14ac:dyDescent="0.25">
      <c r="A1560">
        <v>877</v>
      </c>
      <c r="B1560">
        <v>36</v>
      </c>
      <c r="E1560" t="s">
        <v>4786</v>
      </c>
      <c r="F1560" t="b">
        <v>0</v>
      </c>
      <c r="I1560" t="s">
        <v>5958</v>
      </c>
      <c r="K1560" t="s">
        <v>4959</v>
      </c>
      <c r="L1560" t="s">
        <v>5959</v>
      </c>
      <c r="M1560" t="s">
        <v>4788</v>
      </c>
      <c r="N1560" t="s">
        <v>4788</v>
      </c>
      <c r="O1560">
        <v>4233.13</v>
      </c>
      <c r="Q1560">
        <v>0</v>
      </c>
      <c r="R1560">
        <v>0</v>
      </c>
      <c r="S1560">
        <v>804.29</v>
      </c>
      <c r="T1560" t="s">
        <v>4789</v>
      </c>
      <c r="U1560">
        <v>1</v>
      </c>
      <c r="V1560">
        <v>804.29</v>
      </c>
      <c r="W1560" t="s">
        <v>4343</v>
      </c>
      <c r="Y1560" t="b">
        <v>1</v>
      </c>
      <c r="Z1560" t="b">
        <v>0</v>
      </c>
      <c r="AA1560">
        <v>804.29</v>
      </c>
      <c r="AB1560">
        <v>0</v>
      </c>
      <c r="AD1560" t="b">
        <v>0</v>
      </c>
      <c r="AG1560" s="1" t="s">
        <v>310</v>
      </c>
      <c r="AH1560" s="1" t="s">
        <v>46</v>
      </c>
      <c r="AI1560">
        <v>86</v>
      </c>
      <c r="AJ1560">
        <v>213</v>
      </c>
      <c r="AK1560" s="106">
        <v>45475.635474432871</v>
      </c>
      <c r="AL1560" s="1" t="s">
        <v>4790</v>
      </c>
      <c r="AM1560" s="42">
        <f>IFERROR(INDEX('Public procurment'!A:R,MATCH(ListOfExpenditure[[#This Row],[Content.contractId]],'Public procurment'!E:E,0),14),0)</f>
        <v>0</v>
      </c>
      <c r="AN1560" s="2">
        <f>IF(AND(ListOfExpenditure[[#This Row],[Contract amount]]&gt;10000,ListOfExpenditure[[#This Row],[Content.declaredAmount]]&gt;2000),1,0)</f>
        <v>0</v>
      </c>
      <c r="AO1560">
        <f>IFERROR(INDEX('Public procurment'!A:S,MATCH(ListOfExpenditure[[#This Row],[Content.contractId]],'Public procurment'!E:E,0),19),0)</f>
        <v>0</v>
      </c>
      <c r="AP1560">
        <f>IF(ListOfExpenditure[[#This Row],[Numero di volte controllato il contract ]]&gt;0,0,ListOfExpenditure[[#This Row],[IF public procurment &gt;10000;1;0]])</f>
        <v>0</v>
      </c>
    </row>
    <row r="1561" spans="1:42" x14ac:dyDescent="0.25">
      <c r="A1561">
        <v>878</v>
      </c>
      <c r="B1561">
        <v>37</v>
      </c>
      <c r="E1561" t="s">
        <v>4786</v>
      </c>
      <c r="F1561" t="b">
        <v>0</v>
      </c>
      <c r="I1561" t="s">
        <v>5958</v>
      </c>
      <c r="K1561" t="s">
        <v>4921</v>
      </c>
      <c r="L1561" t="s">
        <v>4921</v>
      </c>
      <c r="M1561" t="s">
        <v>4788</v>
      </c>
      <c r="N1561" t="s">
        <v>4788</v>
      </c>
      <c r="O1561">
        <v>4174.76</v>
      </c>
      <c r="Q1561">
        <v>0</v>
      </c>
      <c r="R1561">
        <v>0</v>
      </c>
      <c r="S1561">
        <v>793.2</v>
      </c>
      <c r="T1561" t="s">
        <v>4789</v>
      </c>
      <c r="U1561">
        <v>1</v>
      </c>
      <c r="V1561">
        <v>793.2</v>
      </c>
      <c r="W1561" t="s">
        <v>4343</v>
      </c>
      <c r="Y1561" t="b">
        <v>1</v>
      </c>
      <c r="Z1561" t="b">
        <v>0</v>
      </c>
      <c r="AA1561">
        <v>773.35</v>
      </c>
      <c r="AB1561">
        <v>19.850000000000001</v>
      </c>
      <c r="AC1561">
        <v>14</v>
      </c>
      <c r="AD1561" t="b">
        <v>0</v>
      </c>
      <c r="AF1561" t="s">
        <v>5954</v>
      </c>
      <c r="AG1561" s="1" t="s">
        <v>310</v>
      </c>
      <c r="AH1561" s="1" t="s">
        <v>46</v>
      </c>
      <c r="AI1561">
        <v>86</v>
      </c>
      <c r="AJ1561">
        <v>213</v>
      </c>
      <c r="AK1561" s="106">
        <v>45475.635474432871</v>
      </c>
      <c r="AL1561" s="1" t="s">
        <v>4790</v>
      </c>
      <c r="AM1561" s="42">
        <f>IFERROR(INDEX('Public procurment'!A:R,MATCH(ListOfExpenditure[[#This Row],[Content.contractId]],'Public procurment'!E:E,0),14),0)</f>
        <v>0</v>
      </c>
      <c r="AN1561" s="2">
        <f>IF(AND(ListOfExpenditure[[#This Row],[Contract amount]]&gt;10000,ListOfExpenditure[[#This Row],[Content.declaredAmount]]&gt;2000),1,0)</f>
        <v>0</v>
      </c>
      <c r="AO1561">
        <f>IFERROR(INDEX('Public procurment'!A:S,MATCH(ListOfExpenditure[[#This Row],[Content.contractId]],'Public procurment'!E:E,0),19),0)</f>
        <v>0</v>
      </c>
      <c r="AP1561">
        <f>IF(ListOfExpenditure[[#This Row],[Numero di volte controllato il contract ]]&gt;0,0,ListOfExpenditure[[#This Row],[IF public procurment &gt;10000;1;0]])</f>
        <v>0</v>
      </c>
    </row>
    <row r="1562" spans="1:42" x14ac:dyDescent="0.25">
      <c r="A1562">
        <v>879</v>
      </c>
      <c r="B1562">
        <v>0</v>
      </c>
      <c r="E1562" t="s">
        <v>4786</v>
      </c>
      <c r="F1562" t="b">
        <v>0</v>
      </c>
      <c r="I1562" t="s">
        <v>5960</v>
      </c>
      <c r="K1562" t="s">
        <v>4831</v>
      </c>
      <c r="L1562" t="s">
        <v>4831</v>
      </c>
      <c r="M1562" t="s">
        <v>4788</v>
      </c>
      <c r="N1562" t="s">
        <v>4788</v>
      </c>
      <c r="O1562">
        <v>5744.45</v>
      </c>
      <c r="Q1562">
        <v>0</v>
      </c>
      <c r="R1562">
        <v>0</v>
      </c>
      <c r="S1562">
        <v>861.67</v>
      </c>
      <c r="T1562" t="s">
        <v>4789</v>
      </c>
      <c r="U1562">
        <v>1</v>
      </c>
      <c r="V1562">
        <v>861.67</v>
      </c>
      <c r="W1562" t="s">
        <v>4343</v>
      </c>
      <c r="X1562" t="s">
        <v>4343</v>
      </c>
      <c r="Y1562" t="b">
        <v>1</v>
      </c>
      <c r="Z1562" t="b">
        <v>0</v>
      </c>
      <c r="AA1562">
        <v>861.67</v>
      </c>
      <c r="AB1562">
        <v>0</v>
      </c>
      <c r="AD1562" t="b">
        <v>0</v>
      </c>
      <c r="AG1562" s="1" t="s">
        <v>310</v>
      </c>
      <c r="AH1562" s="1" t="s">
        <v>46</v>
      </c>
      <c r="AI1562">
        <v>86</v>
      </c>
      <c r="AJ1562">
        <v>213</v>
      </c>
      <c r="AK1562" s="106">
        <v>45475.635474432871</v>
      </c>
      <c r="AL1562" s="1" t="s">
        <v>4790</v>
      </c>
      <c r="AM1562" s="42">
        <f>IFERROR(INDEX('Public procurment'!A:R,MATCH(ListOfExpenditure[[#This Row],[Content.contractId]],'Public procurment'!E:E,0),14),0)</f>
        <v>0</v>
      </c>
      <c r="AN1562" s="2">
        <f>IF(AND(ListOfExpenditure[[#This Row],[Contract amount]]&gt;10000,ListOfExpenditure[[#This Row],[Content.declaredAmount]]&gt;2000),1,0)</f>
        <v>0</v>
      </c>
      <c r="AO1562">
        <f>IFERROR(INDEX('Public procurment'!A:S,MATCH(ListOfExpenditure[[#This Row],[Content.contractId]],'Public procurment'!E:E,0),19),0)</f>
        <v>0</v>
      </c>
      <c r="AP1562">
        <f>IF(ListOfExpenditure[[#This Row],[Numero di volte controllato il contract ]]&gt;0,0,ListOfExpenditure[[#This Row],[IF public procurment &gt;10000;1;0]])</f>
        <v>0</v>
      </c>
    </row>
    <row r="1563" spans="1:42" x14ac:dyDescent="0.25">
      <c r="A1563">
        <v>880</v>
      </c>
      <c r="B1563">
        <v>38</v>
      </c>
      <c r="E1563" t="s">
        <v>4786</v>
      </c>
      <c r="F1563" t="b">
        <v>0</v>
      </c>
      <c r="I1563" t="s">
        <v>5960</v>
      </c>
      <c r="K1563" t="s">
        <v>4957</v>
      </c>
      <c r="L1563" t="s">
        <v>4957</v>
      </c>
      <c r="M1563" t="s">
        <v>4788</v>
      </c>
      <c r="N1563" t="s">
        <v>4788</v>
      </c>
      <c r="O1563">
        <v>6080.84</v>
      </c>
      <c r="Q1563">
        <v>0</v>
      </c>
      <c r="R1563">
        <v>0</v>
      </c>
      <c r="S1563">
        <v>930.37</v>
      </c>
      <c r="T1563" t="s">
        <v>4789</v>
      </c>
      <c r="U1563">
        <v>1</v>
      </c>
      <c r="V1563">
        <v>930.37</v>
      </c>
      <c r="W1563" t="s">
        <v>4343</v>
      </c>
      <c r="Y1563" t="b">
        <v>1</v>
      </c>
      <c r="Z1563" t="b">
        <v>0</v>
      </c>
      <c r="AA1563">
        <v>930.37</v>
      </c>
      <c r="AB1563">
        <v>0</v>
      </c>
      <c r="AD1563" t="b">
        <v>0</v>
      </c>
      <c r="AG1563" s="1" t="s">
        <v>310</v>
      </c>
      <c r="AH1563" s="1" t="s">
        <v>46</v>
      </c>
      <c r="AI1563">
        <v>86</v>
      </c>
      <c r="AJ1563">
        <v>213</v>
      </c>
      <c r="AK1563" s="106">
        <v>45475.635474432871</v>
      </c>
      <c r="AL1563" s="1" t="s">
        <v>4790</v>
      </c>
      <c r="AM1563" s="42">
        <f>IFERROR(INDEX('Public procurment'!A:R,MATCH(ListOfExpenditure[[#This Row],[Content.contractId]],'Public procurment'!E:E,0),14),0)</f>
        <v>0</v>
      </c>
      <c r="AN1563" s="2">
        <f>IF(AND(ListOfExpenditure[[#This Row],[Contract amount]]&gt;10000,ListOfExpenditure[[#This Row],[Content.declaredAmount]]&gt;2000),1,0)</f>
        <v>0</v>
      </c>
      <c r="AO1563">
        <f>IFERROR(INDEX('Public procurment'!A:S,MATCH(ListOfExpenditure[[#This Row],[Content.contractId]],'Public procurment'!E:E,0),19),0)</f>
        <v>0</v>
      </c>
      <c r="AP1563">
        <f>IF(ListOfExpenditure[[#This Row],[Numero di volte controllato il contract ]]&gt;0,0,ListOfExpenditure[[#This Row],[IF public procurment &gt;10000;1;0]])</f>
        <v>0</v>
      </c>
    </row>
    <row r="1564" spans="1:42" x14ac:dyDescent="0.25">
      <c r="A1564">
        <v>881</v>
      </c>
      <c r="B1564">
        <v>39</v>
      </c>
      <c r="E1564" t="s">
        <v>4786</v>
      </c>
      <c r="F1564" t="b">
        <v>0</v>
      </c>
      <c r="I1564" t="s">
        <v>5960</v>
      </c>
      <c r="K1564" t="s">
        <v>4914</v>
      </c>
      <c r="L1564" t="s">
        <v>4914</v>
      </c>
      <c r="M1564" t="s">
        <v>4788</v>
      </c>
      <c r="N1564" t="s">
        <v>4788</v>
      </c>
      <c r="O1564">
        <v>7156.89</v>
      </c>
      <c r="Q1564">
        <v>0</v>
      </c>
      <c r="R1564">
        <v>0</v>
      </c>
      <c r="S1564">
        <v>1095</v>
      </c>
      <c r="T1564" t="s">
        <v>4789</v>
      </c>
      <c r="U1564">
        <v>1</v>
      </c>
      <c r="V1564">
        <v>1095</v>
      </c>
      <c r="W1564" t="s">
        <v>4343</v>
      </c>
      <c r="Y1564" t="b">
        <v>1</v>
      </c>
      <c r="Z1564" t="b">
        <v>0</v>
      </c>
      <c r="AA1564">
        <v>1095</v>
      </c>
      <c r="AB1564">
        <v>0</v>
      </c>
      <c r="AD1564" t="b">
        <v>0</v>
      </c>
      <c r="AG1564" s="1" t="s">
        <v>310</v>
      </c>
      <c r="AH1564" s="1" t="s">
        <v>46</v>
      </c>
      <c r="AI1564">
        <v>86</v>
      </c>
      <c r="AJ1564">
        <v>213</v>
      </c>
      <c r="AK1564" s="106">
        <v>45475.635474432871</v>
      </c>
      <c r="AL1564" s="1" t="s">
        <v>4790</v>
      </c>
      <c r="AM1564" s="42">
        <f>IFERROR(INDEX('Public procurment'!A:R,MATCH(ListOfExpenditure[[#This Row],[Content.contractId]],'Public procurment'!E:E,0),14),0)</f>
        <v>0</v>
      </c>
      <c r="AN1564" s="2">
        <f>IF(AND(ListOfExpenditure[[#This Row],[Contract amount]]&gt;10000,ListOfExpenditure[[#This Row],[Content.declaredAmount]]&gt;2000),1,0)</f>
        <v>0</v>
      </c>
      <c r="AO1564">
        <f>IFERROR(INDEX('Public procurment'!A:S,MATCH(ListOfExpenditure[[#This Row],[Content.contractId]],'Public procurment'!E:E,0),19),0)</f>
        <v>0</v>
      </c>
      <c r="AP1564">
        <f>IF(ListOfExpenditure[[#This Row],[Numero di volte controllato il contract ]]&gt;0,0,ListOfExpenditure[[#This Row],[IF public procurment &gt;10000;1;0]])</f>
        <v>0</v>
      </c>
    </row>
    <row r="1565" spans="1:42" x14ac:dyDescent="0.25">
      <c r="A1565">
        <v>882</v>
      </c>
      <c r="B1565">
        <v>40</v>
      </c>
      <c r="E1565" t="s">
        <v>4786</v>
      </c>
      <c r="F1565" t="b">
        <v>0</v>
      </c>
      <c r="I1565" t="s">
        <v>5960</v>
      </c>
      <c r="K1565" t="s">
        <v>4959</v>
      </c>
      <c r="L1565" t="s">
        <v>4959</v>
      </c>
      <c r="M1565" t="s">
        <v>4788</v>
      </c>
      <c r="N1565" t="s">
        <v>4788</v>
      </c>
      <c r="O1565">
        <v>6352.16</v>
      </c>
      <c r="Q1565">
        <v>0</v>
      </c>
      <c r="R1565">
        <v>0</v>
      </c>
      <c r="S1565">
        <v>971.88</v>
      </c>
      <c r="T1565" t="s">
        <v>4789</v>
      </c>
      <c r="U1565">
        <v>1</v>
      </c>
      <c r="V1565">
        <v>971.88</v>
      </c>
      <c r="W1565" t="s">
        <v>4343</v>
      </c>
      <c r="Y1565" t="b">
        <v>1</v>
      </c>
      <c r="Z1565" t="b">
        <v>0</v>
      </c>
      <c r="AA1565">
        <v>971.88</v>
      </c>
      <c r="AB1565">
        <v>0</v>
      </c>
      <c r="AD1565" t="b">
        <v>0</v>
      </c>
      <c r="AG1565" s="1" t="s">
        <v>310</v>
      </c>
      <c r="AH1565" s="1" t="s">
        <v>46</v>
      </c>
      <c r="AI1565">
        <v>86</v>
      </c>
      <c r="AJ1565">
        <v>213</v>
      </c>
      <c r="AK1565" s="106">
        <v>45475.635474432871</v>
      </c>
      <c r="AL1565" s="1" t="s">
        <v>4790</v>
      </c>
      <c r="AM1565" s="42">
        <f>IFERROR(INDEX('Public procurment'!A:R,MATCH(ListOfExpenditure[[#This Row],[Content.contractId]],'Public procurment'!E:E,0),14),0)</f>
        <v>0</v>
      </c>
      <c r="AN1565" s="2">
        <f>IF(AND(ListOfExpenditure[[#This Row],[Contract amount]]&gt;10000,ListOfExpenditure[[#This Row],[Content.declaredAmount]]&gt;2000),1,0)</f>
        <v>0</v>
      </c>
      <c r="AO1565">
        <f>IFERROR(INDEX('Public procurment'!A:S,MATCH(ListOfExpenditure[[#This Row],[Content.contractId]],'Public procurment'!E:E,0),19),0)</f>
        <v>0</v>
      </c>
      <c r="AP1565">
        <f>IF(ListOfExpenditure[[#This Row],[Numero di volte controllato il contract ]]&gt;0,0,ListOfExpenditure[[#This Row],[IF public procurment &gt;10000;1;0]])</f>
        <v>0</v>
      </c>
    </row>
    <row r="1566" spans="1:42" x14ac:dyDescent="0.25">
      <c r="A1566">
        <v>883</v>
      </c>
      <c r="B1566">
        <v>41</v>
      </c>
      <c r="E1566" t="s">
        <v>4786</v>
      </c>
      <c r="F1566" t="b">
        <v>0</v>
      </c>
      <c r="I1566" t="s">
        <v>5960</v>
      </c>
      <c r="K1566" t="s">
        <v>4921</v>
      </c>
      <c r="L1566" t="s">
        <v>4921</v>
      </c>
      <c r="M1566" t="s">
        <v>4788</v>
      </c>
      <c r="N1566" t="s">
        <v>4788</v>
      </c>
      <c r="O1566">
        <v>6768.79</v>
      </c>
      <c r="Q1566">
        <v>0</v>
      </c>
      <c r="R1566">
        <v>0</v>
      </c>
      <c r="S1566">
        <v>1035.6300000000001</v>
      </c>
      <c r="T1566" t="s">
        <v>4789</v>
      </c>
      <c r="U1566">
        <v>1</v>
      </c>
      <c r="V1566">
        <v>1035.6300000000001</v>
      </c>
      <c r="W1566" t="s">
        <v>4343</v>
      </c>
      <c r="Y1566" t="b">
        <v>1</v>
      </c>
      <c r="Z1566" t="b">
        <v>0</v>
      </c>
      <c r="AA1566">
        <v>1019.64</v>
      </c>
      <c r="AB1566">
        <v>15.99</v>
      </c>
      <c r="AC1566">
        <v>14</v>
      </c>
      <c r="AD1566" t="b">
        <v>0</v>
      </c>
      <c r="AF1566" t="s">
        <v>5954</v>
      </c>
      <c r="AG1566" s="1" t="s">
        <v>310</v>
      </c>
      <c r="AH1566" s="1" t="s">
        <v>46</v>
      </c>
      <c r="AI1566">
        <v>86</v>
      </c>
      <c r="AJ1566">
        <v>213</v>
      </c>
      <c r="AK1566" s="106">
        <v>45475.635474432871</v>
      </c>
      <c r="AL1566" s="1" t="s">
        <v>4790</v>
      </c>
      <c r="AM1566" s="42">
        <f>IFERROR(INDEX('Public procurment'!A:R,MATCH(ListOfExpenditure[[#This Row],[Content.contractId]],'Public procurment'!E:E,0),14),0)</f>
        <v>0</v>
      </c>
      <c r="AN1566" s="2">
        <f>IF(AND(ListOfExpenditure[[#This Row],[Contract amount]]&gt;10000,ListOfExpenditure[[#This Row],[Content.declaredAmount]]&gt;2000),1,0)</f>
        <v>0</v>
      </c>
      <c r="AO1566">
        <f>IFERROR(INDEX('Public procurment'!A:S,MATCH(ListOfExpenditure[[#This Row],[Content.contractId]],'Public procurment'!E:E,0),19),0)</f>
        <v>0</v>
      </c>
      <c r="AP1566">
        <f>IF(ListOfExpenditure[[#This Row],[Numero di volte controllato il contract ]]&gt;0,0,ListOfExpenditure[[#This Row],[IF public procurment &gt;10000;1;0]])</f>
        <v>0</v>
      </c>
    </row>
    <row r="1567" spans="1:42" x14ac:dyDescent="0.25">
      <c r="A1567">
        <v>884</v>
      </c>
      <c r="B1567">
        <v>0</v>
      </c>
      <c r="E1567" t="s">
        <v>4786</v>
      </c>
      <c r="F1567" t="b">
        <v>0</v>
      </c>
      <c r="I1567" t="s">
        <v>5961</v>
      </c>
      <c r="K1567" t="s">
        <v>4831</v>
      </c>
      <c r="L1567" t="s">
        <v>4831</v>
      </c>
      <c r="M1567" t="s">
        <v>4788</v>
      </c>
      <c r="N1567" t="s">
        <v>4788</v>
      </c>
      <c r="O1567">
        <v>2641.66</v>
      </c>
      <c r="Q1567">
        <v>0</v>
      </c>
      <c r="R1567">
        <v>0</v>
      </c>
      <c r="S1567">
        <v>396.25</v>
      </c>
      <c r="T1567" t="s">
        <v>4789</v>
      </c>
      <c r="U1567">
        <v>1</v>
      </c>
      <c r="V1567">
        <v>396.25</v>
      </c>
      <c r="W1567" t="s">
        <v>4343</v>
      </c>
      <c r="X1567" t="s">
        <v>4343</v>
      </c>
      <c r="Y1567" t="b">
        <v>1</v>
      </c>
      <c r="Z1567" t="b">
        <v>0</v>
      </c>
      <c r="AA1567">
        <v>396.25</v>
      </c>
      <c r="AB1567">
        <v>0</v>
      </c>
      <c r="AD1567" t="b">
        <v>0</v>
      </c>
      <c r="AG1567" s="1" t="s">
        <v>310</v>
      </c>
      <c r="AH1567" s="1" t="s">
        <v>46</v>
      </c>
      <c r="AI1567">
        <v>86</v>
      </c>
      <c r="AJ1567">
        <v>213</v>
      </c>
      <c r="AK1567" s="106">
        <v>45475.635474432871</v>
      </c>
      <c r="AL1567" s="1" t="s">
        <v>4790</v>
      </c>
      <c r="AM1567" s="42">
        <f>IFERROR(INDEX('Public procurment'!A:R,MATCH(ListOfExpenditure[[#This Row],[Content.contractId]],'Public procurment'!E:E,0),14),0)</f>
        <v>0</v>
      </c>
      <c r="AN1567" s="2">
        <f>IF(AND(ListOfExpenditure[[#This Row],[Contract amount]]&gt;10000,ListOfExpenditure[[#This Row],[Content.declaredAmount]]&gt;2000),1,0)</f>
        <v>0</v>
      </c>
      <c r="AO1567">
        <f>IFERROR(INDEX('Public procurment'!A:S,MATCH(ListOfExpenditure[[#This Row],[Content.contractId]],'Public procurment'!E:E,0),19),0)</f>
        <v>0</v>
      </c>
      <c r="AP1567">
        <f>IF(ListOfExpenditure[[#This Row],[Numero di volte controllato il contract ]]&gt;0,0,ListOfExpenditure[[#This Row],[IF public procurment &gt;10000;1;0]])</f>
        <v>0</v>
      </c>
    </row>
    <row r="1568" spans="1:42" x14ac:dyDescent="0.25">
      <c r="A1568">
        <v>885</v>
      </c>
      <c r="B1568">
        <v>42</v>
      </c>
      <c r="E1568" t="s">
        <v>4786</v>
      </c>
      <c r="F1568" t="b">
        <v>0</v>
      </c>
      <c r="I1568" t="s">
        <v>5961</v>
      </c>
      <c r="K1568" t="s">
        <v>4957</v>
      </c>
      <c r="L1568" t="s">
        <v>4957</v>
      </c>
      <c r="M1568" t="s">
        <v>4788</v>
      </c>
      <c r="N1568" t="s">
        <v>4788</v>
      </c>
      <c r="O1568">
        <v>2510.96</v>
      </c>
      <c r="Q1568">
        <v>0</v>
      </c>
      <c r="R1568">
        <v>0</v>
      </c>
      <c r="S1568">
        <v>376.64</v>
      </c>
      <c r="T1568" t="s">
        <v>4789</v>
      </c>
      <c r="U1568">
        <v>1</v>
      </c>
      <c r="V1568">
        <v>376.64</v>
      </c>
      <c r="W1568" t="s">
        <v>4343</v>
      </c>
      <c r="Y1568" t="b">
        <v>1</v>
      </c>
      <c r="Z1568" t="b">
        <v>0</v>
      </c>
      <c r="AA1568">
        <v>376.64</v>
      </c>
      <c r="AB1568">
        <v>0</v>
      </c>
      <c r="AD1568" t="b">
        <v>0</v>
      </c>
      <c r="AG1568" s="1" t="s">
        <v>310</v>
      </c>
      <c r="AH1568" s="1" t="s">
        <v>46</v>
      </c>
      <c r="AI1568">
        <v>86</v>
      </c>
      <c r="AJ1568">
        <v>213</v>
      </c>
      <c r="AK1568" s="106">
        <v>45475.635474432871</v>
      </c>
      <c r="AL1568" s="1" t="s">
        <v>4790</v>
      </c>
      <c r="AM1568" s="42">
        <f>IFERROR(INDEX('Public procurment'!A:R,MATCH(ListOfExpenditure[[#This Row],[Content.contractId]],'Public procurment'!E:E,0),14),0)</f>
        <v>0</v>
      </c>
      <c r="AN1568" s="2">
        <f>IF(AND(ListOfExpenditure[[#This Row],[Contract amount]]&gt;10000,ListOfExpenditure[[#This Row],[Content.declaredAmount]]&gt;2000),1,0)</f>
        <v>0</v>
      </c>
      <c r="AO1568">
        <f>IFERROR(INDEX('Public procurment'!A:S,MATCH(ListOfExpenditure[[#This Row],[Content.contractId]],'Public procurment'!E:E,0),19),0)</f>
        <v>0</v>
      </c>
      <c r="AP1568">
        <f>IF(ListOfExpenditure[[#This Row],[Numero di volte controllato il contract ]]&gt;0,0,ListOfExpenditure[[#This Row],[IF public procurment &gt;10000;1;0]])</f>
        <v>0</v>
      </c>
    </row>
    <row r="1569" spans="1:42" x14ac:dyDescent="0.25">
      <c r="A1569">
        <v>886</v>
      </c>
      <c r="B1569">
        <v>43</v>
      </c>
      <c r="E1569" t="s">
        <v>4786</v>
      </c>
      <c r="F1569" t="b">
        <v>0</v>
      </c>
      <c r="I1569" t="s">
        <v>5961</v>
      </c>
      <c r="K1569" t="s">
        <v>4914</v>
      </c>
      <c r="L1569" t="s">
        <v>4914</v>
      </c>
      <c r="M1569" t="s">
        <v>4788</v>
      </c>
      <c r="N1569" t="s">
        <v>4788</v>
      </c>
      <c r="O1569">
        <v>2798.12</v>
      </c>
      <c r="Q1569">
        <v>0</v>
      </c>
      <c r="R1569">
        <v>0</v>
      </c>
      <c r="S1569">
        <v>419.72</v>
      </c>
      <c r="T1569" t="s">
        <v>4789</v>
      </c>
      <c r="U1569">
        <v>1</v>
      </c>
      <c r="V1569">
        <v>419.72</v>
      </c>
      <c r="W1569" t="s">
        <v>4343</v>
      </c>
      <c r="Y1569" t="b">
        <v>1</v>
      </c>
      <c r="Z1569" t="b">
        <v>0</v>
      </c>
      <c r="AA1569">
        <v>419.72</v>
      </c>
      <c r="AB1569">
        <v>0</v>
      </c>
      <c r="AD1569" t="b">
        <v>0</v>
      </c>
      <c r="AG1569" s="1" t="s">
        <v>310</v>
      </c>
      <c r="AH1569" s="1" t="s">
        <v>46</v>
      </c>
      <c r="AI1569">
        <v>86</v>
      </c>
      <c r="AJ1569">
        <v>213</v>
      </c>
      <c r="AK1569" s="106">
        <v>45475.635474432871</v>
      </c>
      <c r="AL1569" s="1" t="s">
        <v>4790</v>
      </c>
      <c r="AM1569" s="42">
        <f>IFERROR(INDEX('Public procurment'!A:R,MATCH(ListOfExpenditure[[#This Row],[Content.contractId]],'Public procurment'!E:E,0),14),0)</f>
        <v>0</v>
      </c>
      <c r="AN1569" s="2">
        <f>IF(AND(ListOfExpenditure[[#This Row],[Contract amount]]&gt;10000,ListOfExpenditure[[#This Row],[Content.declaredAmount]]&gt;2000),1,0)</f>
        <v>0</v>
      </c>
      <c r="AO1569">
        <f>IFERROR(INDEX('Public procurment'!A:S,MATCH(ListOfExpenditure[[#This Row],[Content.contractId]],'Public procurment'!E:E,0),19),0)</f>
        <v>0</v>
      </c>
      <c r="AP1569">
        <f>IF(ListOfExpenditure[[#This Row],[Numero di volte controllato il contract ]]&gt;0,0,ListOfExpenditure[[#This Row],[IF public procurment &gt;10000;1;0]])</f>
        <v>0</v>
      </c>
    </row>
    <row r="1570" spans="1:42" x14ac:dyDescent="0.25">
      <c r="A1570">
        <v>887</v>
      </c>
      <c r="B1570">
        <v>44</v>
      </c>
      <c r="E1570" t="s">
        <v>4786</v>
      </c>
      <c r="F1570" t="b">
        <v>0</v>
      </c>
      <c r="I1570" t="s">
        <v>5961</v>
      </c>
      <c r="K1570" t="s">
        <v>4959</v>
      </c>
      <c r="L1570" t="s">
        <v>4959</v>
      </c>
      <c r="M1570" t="s">
        <v>4788</v>
      </c>
      <c r="N1570" t="s">
        <v>4788</v>
      </c>
      <c r="O1570">
        <v>2671.46</v>
      </c>
      <c r="Q1570">
        <v>0</v>
      </c>
      <c r="R1570">
        <v>0</v>
      </c>
      <c r="S1570">
        <v>400.72</v>
      </c>
      <c r="T1570" t="s">
        <v>4789</v>
      </c>
      <c r="U1570">
        <v>1</v>
      </c>
      <c r="V1570">
        <v>400.72</v>
      </c>
      <c r="W1570" t="s">
        <v>4343</v>
      </c>
      <c r="Y1570" t="b">
        <v>1</v>
      </c>
      <c r="Z1570" t="b">
        <v>0</v>
      </c>
      <c r="AA1570">
        <v>400.72</v>
      </c>
      <c r="AB1570">
        <v>0</v>
      </c>
      <c r="AD1570" t="b">
        <v>0</v>
      </c>
      <c r="AG1570" s="1" t="s">
        <v>310</v>
      </c>
      <c r="AH1570" s="1" t="s">
        <v>46</v>
      </c>
      <c r="AI1570">
        <v>86</v>
      </c>
      <c r="AJ1570">
        <v>213</v>
      </c>
      <c r="AK1570" s="106">
        <v>45475.635474432871</v>
      </c>
      <c r="AL1570" s="1" t="s">
        <v>4790</v>
      </c>
      <c r="AM1570" s="42">
        <f>IFERROR(INDEX('Public procurment'!A:R,MATCH(ListOfExpenditure[[#This Row],[Content.contractId]],'Public procurment'!E:E,0),14),0)</f>
        <v>0</v>
      </c>
      <c r="AN1570" s="2">
        <f>IF(AND(ListOfExpenditure[[#This Row],[Contract amount]]&gt;10000,ListOfExpenditure[[#This Row],[Content.declaredAmount]]&gt;2000),1,0)</f>
        <v>0</v>
      </c>
      <c r="AO1570">
        <f>IFERROR(INDEX('Public procurment'!A:S,MATCH(ListOfExpenditure[[#This Row],[Content.contractId]],'Public procurment'!E:E,0),19),0)</f>
        <v>0</v>
      </c>
      <c r="AP1570">
        <f>IF(ListOfExpenditure[[#This Row],[Numero di volte controllato il contract ]]&gt;0,0,ListOfExpenditure[[#This Row],[IF public procurment &gt;10000;1;0]])</f>
        <v>0</v>
      </c>
    </row>
    <row r="1571" spans="1:42" x14ac:dyDescent="0.25">
      <c r="A1571">
        <v>888</v>
      </c>
      <c r="B1571">
        <v>45</v>
      </c>
      <c r="E1571" t="s">
        <v>4786</v>
      </c>
      <c r="F1571" t="b">
        <v>0</v>
      </c>
      <c r="I1571" t="s">
        <v>5961</v>
      </c>
      <c r="K1571" t="s">
        <v>4921</v>
      </c>
      <c r="L1571" t="s">
        <v>4921</v>
      </c>
      <c r="M1571" t="s">
        <v>4788</v>
      </c>
      <c r="N1571" t="s">
        <v>4788</v>
      </c>
      <c r="O1571">
        <v>2980.28</v>
      </c>
      <c r="Q1571">
        <v>0</v>
      </c>
      <c r="R1571">
        <v>0</v>
      </c>
      <c r="S1571">
        <v>447.04</v>
      </c>
      <c r="T1571" t="s">
        <v>4789</v>
      </c>
      <c r="U1571">
        <v>1</v>
      </c>
      <c r="V1571">
        <v>447.04</v>
      </c>
      <c r="W1571" t="s">
        <v>4343</v>
      </c>
      <c r="Y1571" t="b">
        <v>1</v>
      </c>
      <c r="Z1571" t="b">
        <v>0</v>
      </c>
      <c r="AA1571">
        <v>431.37</v>
      </c>
      <c r="AB1571">
        <v>15.67</v>
      </c>
      <c r="AC1571">
        <v>14</v>
      </c>
      <c r="AD1571" t="b">
        <v>0</v>
      </c>
      <c r="AF1571" t="s">
        <v>5954</v>
      </c>
      <c r="AG1571" s="1" t="s">
        <v>310</v>
      </c>
      <c r="AH1571" s="1" t="s">
        <v>46</v>
      </c>
      <c r="AI1571">
        <v>86</v>
      </c>
      <c r="AJ1571">
        <v>213</v>
      </c>
      <c r="AK1571" s="106">
        <v>45475.635474432871</v>
      </c>
      <c r="AL1571" s="1" t="s">
        <v>4790</v>
      </c>
      <c r="AM1571" s="42">
        <f>IFERROR(INDEX('Public procurment'!A:R,MATCH(ListOfExpenditure[[#This Row],[Content.contractId]],'Public procurment'!E:E,0),14),0)</f>
        <v>0</v>
      </c>
      <c r="AN1571" s="2">
        <f>IF(AND(ListOfExpenditure[[#This Row],[Contract amount]]&gt;10000,ListOfExpenditure[[#This Row],[Content.declaredAmount]]&gt;2000),1,0)</f>
        <v>0</v>
      </c>
      <c r="AO1571">
        <f>IFERROR(INDEX('Public procurment'!A:S,MATCH(ListOfExpenditure[[#This Row],[Content.contractId]],'Public procurment'!E:E,0),19),0)</f>
        <v>0</v>
      </c>
      <c r="AP1571">
        <f>IF(ListOfExpenditure[[#This Row],[Numero di volte controllato il contract ]]&gt;0,0,ListOfExpenditure[[#This Row],[IF public procurment &gt;10000;1;0]])</f>
        <v>0</v>
      </c>
    </row>
    <row r="1572" spans="1:42" x14ac:dyDescent="0.25">
      <c r="A1572">
        <v>889</v>
      </c>
      <c r="B1572">
        <v>0</v>
      </c>
      <c r="E1572" t="s">
        <v>4786</v>
      </c>
      <c r="F1572" t="b">
        <v>0</v>
      </c>
      <c r="I1572" t="s">
        <v>4979</v>
      </c>
      <c r="K1572" t="s">
        <v>4831</v>
      </c>
      <c r="L1572" t="s">
        <v>4831</v>
      </c>
      <c r="M1572" t="s">
        <v>4788</v>
      </c>
      <c r="N1572" t="s">
        <v>4788</v>
      </c>
      <c r="O1572">
        <v>2244.63</v>
      </c>
      <c r="Q1572">
        <v>0</v>
      </c>
      <c r="R1572">
        <v>0</v>
      </c>
      <c r="S1572">
        <v>336.69</v>
      </c>
      <c r="T1572" t="s">
        <v>4789</v>
      </c>
      <c r="U1572">
        <v>1</v>
      </c>
      <c r="V1572">
        <v>336.69</v>
      </c>
      <c r="W1572" t="s">
        <v>4343</v>
      </c>
      <c r="X1572" t="s">
        <v>4343</v>
      </c>
      <c r="Y1572" t="b">
        <v>1</v>
      </c>
      <c r="Z1572" t="b">
        <v>0</v>
      </c>
      <c r="AA1572">
        <v>336.69</v>
      </c>
      <c r="AB1572">
        <v>0</v>
      </c>
      <c r="AD1572" t="b">
        <v>0</v>
      </c>
      <c r="AG1572" s="1" t="s">
        <v>310</v>
      </c>
      <c r="AH1572" s="1" t="s">
        <v>46</v>
      </c>
      <c r="AI1572">
        <v>86</v>
      </c>
      <c r="AJ1572">
        <v>213</v>
      </c>
      <c r="AK1572" s="106">
        <v>45475.635474432871</v>
      </c>
      <c r="AL1572" s="1" t="s">
        <v>4790</v>
      </c>
      <c r="AM1572" s="42">
        <f>IFERROR(INDEX('Public procurment'!A:R,MATCH(ListOfExpenditure[[#This Row],[Content.contractId]],'Public procurment'!E:E,0),14),0)</f>
        <v>0</v>
      </c>
      <c r="AN1572" s="2">
        <f>IF(AND(ListOfExpenditure[[#This Row],[Contract amount]]&gt;10000,ListOfExpenditure[[#This Row],[Content.declaredAmount]]&gt;2000),1,0)</f>
        <v>0</v>
      </c>
      <c r="AO1572">
        <f>IFERROR(INDEX('Public procurment'!A:S,MATCH(ListOfExpenditure[[#This Row],[Content.contractId]],'Public procurment'!E:E,0),19),0)</f>
        <v>0</v>
      </c>
      <c r="AP1572">
        <f>IF(ListOfExpenditure[[#This Row],[Numero di volte controllato il contract ]]&gt;0,0,ListOfExpenditure[[#This Row],[IF public procurment &gt;10000;1;0]])</f>
        <v>0</v>
      </c>
    </row>
    <row r="1573" spans="1:42" x14ac:dyDescent="0.25">
      <c r="A1573">
        <v>890</v>
      </c>
      <c r="B1573">
        <v>46</v>
      </c>
      <c r="E1573" t="s">
        <v>4786</v>
      </c>
      <c r="F1573" t="b">
        <v>0</v>
      </c>
      <c r="I1573" t="s">
        <v>4979</v>
      </c>
      <c r="K1573" t="s">
        <v>4957</v>
      </c>
      <c r="L1573" t="s">
        <v>4957</v>
      </c>
      <c r="M1573" t="s">
        <v>4788</v>
      </c>
      <c r="N1573" t="s">
        <v>4788</v>
      </c>
      <c r="O1573">
        <v>2323.02</v>
      </c>
      <c r="Q1573">
        <v>0</v>
      </c>
      <c r="R1573">
        <v>0</v>
      </c>
      <c r="S1573">
        <v>348.45</v>
      </c>
      <c r="T1573" t="s">
        <v>4789</v>
      </c>
      <c r="U1573">
        <v>1</v>
      </c>
      <c r="V1573">
        <v>348.45</v>
      </c>
      <c r="W1573" t="s">
        <v>4343</v>
      </c>
      <c r="Y1573" t="b">
        <v>1</v>
      </c>
      <c r="Z1573" t="b">
        <v>0</v>
      </c>
      <c r="AA1573">
        <v>348.45</v>
      </c>
      <c r="AB1573">
        <v>0</v>
      </c>
      <c r="AD1573" t="b">
        <v>0</v>
      </c>
      <c r="AG1573" s="1" t="s">
        <v>310</v>
      </c>
      <c r="AH1573" s="1" t="s">
        <v>46</v>
      </c>
      <c r="AI1573">
        <v>86</v>
      </c>
      <c r="AJ1573">
        <v>213</v>
      </c>
      <c r="AK1573" s="106">
        <v>45475.635474432871</v>
      </c>
      <c r="AL1573" s="1" t="s">
        <v>4790</v>
      </c>
      <c r="AM1573" s="42">
        <f>IFERROR(INDEX('Public procurment'!A:R,MATCH(ListOfExpenditure[[#This Row],[Content.contractId]],'Public procurment'!E:E,0),14),0)</f>
        <v>0</v>
      </c>
      <c r="AN1573" s="2">
        <f>IF(AND(ListOfExpenditure[[#This Row],[Contract amount]]&gt;10000,ListOfExpenditure[[#This Row],[Content.declaredAmount]]&gt;2000),1,0)</f>
        <v>0</v>
      </c>
      <c r="AO1573">
        <f>IFERROR(INDEX('Public procurment'!A:S,MATCH(ListOfExpenditure[[#This Row],[Content.contractId]],'Public procurment'!E:E,0),19),0)</f>
        <v>0</v>
      </c>
      <c r="AP1573">
        <f>IF(ListOfExpenditure[[#This Row],[Numero di volte controllato il contract ]]&gt;0,0,ListOfExpenditure[[#This Row],[IF public procurment &gt;10000;1;0]])</f>
        <v>0</v>
      </c>
    </row>
    <row r="1574" spans="1:42" x14ac:dyDescent="0.25">
      <c r="A1574">
        <v>891</v>
      </c>
      <c r="B1574">
        <v>47</v>
      </c>
      <c r="E1574" t="s">
        <v>4786</v>
      </c>
      <c r="F1574" t="b">
        <v>0</v>
      </c>
      <c r="I1574" t="s">
        <v>4979</v>
      </c>
      <c r="K1574" t="s">
        <v>4914</v>
      </c>
      <c r="L1574" t="s">
        <v>4914</v>
      </c>
      <c r="M1574" t="s">
        <v>4788</v>
      </c>
      <c r="N1574" t="s">
        <v>4788</v>
      </c>
      <c r="O1574">
        <v>2273.41</v>
      </c>
      <c r="Q1574">
        <v>0</v>
      </c>
      <c r="R1574">
        <v>0</v>
      </c>
      <c r="S1574">
        <v>341.01</v>
      </c>
      <c r="T1574" t="s">
        <v>4789</v>
      </c>
      <c r="U1574">
        <v>1</v>
      </c>
      <c r="V1574">
        <v>341.01</v>
      </c>
      <c r="W1574" t="s">
        <v>4343</v>
      </c>
      <c r="Y1574" t="b">
        <v>1</v>
      </c>
      <c r="Z1574" t="b">
        <v>0</v>
      </c>
      <c r="AA1574">
        <v>341.01</v>
      </c>
      <c r="AB1574">
        <v>0</v>
      </c>
      <c r="AD1574" t="b">
        <v>0</v>
      </c>
      <c r="AG1574" s="1" t="s">
        <v>310</v>
      </c>
      <c r="AH1574" s="1" t="s">
        <v>46</v>
      </c>
      <c r="AI1574">
        <v>86</v>
      </c>
      <c r="AJ1574">
        <v>213</v>
      </c>
      <c r="AK1574" s="106">
        <v>45475.635474432871</v>
      </c>
      <c r="AL1574" s="1" t="s">
        <v>4790</v>
      </c>
      <c r="AM1574" s="42">
        <f>IFERROR(INDEX('Public procurment'!A:R,MATCH(ListOfExpenditure[[#This Row],[Content.contractId]],'Public procurment'!E:E,0),14),0)</f>
        <v>0</v>
      </c>
      <c r="AN1574" s="2">
        <f>IF(AND(ListOfExpenditure[[#This Row],[Contract amount]]&gt;10000,ListOfExpenditure[[#This Row],[Content.declaredAmount]]&gt;2000),1,0)</f>
        <v>0</v>
      </c>
      <c r="AO1574">
        <f>IFERROR(INDEX('Public procurment'!A:S,MATCH(ListOfExpenditure[[#This Row],[Content.contractId]],'Public procurment'!E:E,0),19),0)</f>
        <v>0</v>
      </c>
      <c r="AP1574">
        <f>IF(ListOfExpenditure[[#This Row],[Numero di volte controllato il contract ]]&gt;0,0,ListOfExpenditure[[#This Row],[IF public procurment &gt;10000;1;0]])</f>
        <v>0</v>
      </c>
    </row>
    <row r="1575" spans="1:42" x14ac:dyDescent="0.25">
      <c r="A1575">
        <v>892</v>
      </c>
      <c r="B1575">
        <v>48</v>
      </c>
      <c r="E1575" t="s">
        <v>4786</v>
      </c>
      <c r="F1575" t="b">
        <v>0</v>
      </c>
      <c r="I1575" t="s">
        <v>4979</v>
      </c>
      <c r="K1575" t="s">
        <v>4959</v>
      </c>
      <c r="L1575" t="s">
        <v>4959</v>
      </c>
      <c r="M1575" t="s">
        <v>4788</v>
      </c>
      <c r="N1575" t="s">
        <v>4788</v>
      </c>
      <c r="O1575">
        <v>2259.59</v>
      </c>
      <c r="Q1575">
        <v>0</v>
      </c>
      <c r="R1575">
        <v>0</v>
      </c>
      <c r="S1575">
        <v>338.94</v>
      </c>
      <c r="T1575" t="s">
        <v>4789</v>
      </c>
      <c r="U1575">
        <v>1</v>
      </c>
      <c r="V1575">
        <v>338.94</v>
      </c>
      <c r="W1575" t="s">
        <v>4343</v>
      </c>
      <c r="Y1575" t="b">
        <v>1</v>
      </c>
      <c r="Z1575" t="b">
        <v>0</v>
      </c>
      <c r="AA1575">
        <v>338.94</v>
      </c>
      <c r="AB1575">
        <v>0</v>
      </c>
      <c r="AD1575" t="b">
        <v>0</v>
      </c>
      <c r="AG1575" s="1" t="s">
        <v>310</v>
      </c>
      <c r="AH1575" s="1" t="s">
        <v>46</v>
      </c>
      <c r="AI1575">
        <v>86</v>
      </c>
      <c r="AJ1575">
        <v>213</v>
      </c>
      <c r="AK1575" s="106">
        <v>45475.635474432871</v>
      </c>
      <c r="AL1575" s="1" t="s">
        <v>4790</v>
      </c>
      <c r="AM1575" s="42">
        <f>IFERROR(INDEX('Public procurment'!A:R,MATCH(ListOfExpenditure[[#This Row],[Content.contractId]],'Public procurment'!E:E,0),14),0)</f>
        <v>0</v>
      </c>
      <c r="AN1575" s="2">
        <f>IF(AND(ListOfExpenditure[[#This Row],[Contract amount]]&gt;10000,ListOfExpenditure[[#This Row],[Content.declaredAmount]]&gt;2000),1,0)</f>
        <v>0</v>
      </c>
      <c r="AO1575">
        <f>IFERROR(INDEX('Public procurment'!A:S,MATCH(ListOfExpenditure[[#This Row],[Content.contractId]],'Public procurment'!E:E,0),19),0)</f>
        <v>0</v>
      </c>
      <c r="AP1575">
        <f>IF(ListOfExpenditure[[#This Row],[Numero di volte controllato il contract ]]&gt;0,0,ListOfExpenditure[[#This Row],[IF public procurment &gt;10000;1;0]])</f>
        <v>0</v>
      </c>
    </row>
    <row r="1576" spans="1:42" x14ac:dyDescent="0.25">
      <c r="A1576">
        <v>893</v>
      </c>
      <c r="B1576">
        <v>49</v>
      </c>
      <c r="E1576" t="s">
        <v>4786</v>
      </c>
      <c r="F1576" t="b">
        <v>0</v>
      </c>
      <c r="I1576" t="s">
        <v>4979</v>
      </c>
      <c r="K1576" t="s">
        <v>4921</v>
      </c>
      <c r="L1576" t="s">
        <v>4921</v>
      </c>
      <c r="M1576" t="s">
        <v>4788</v>
      </c>
      <c r="N1576" t="s">
        <v>4788</v>
      </c>
      <c r="O1576">
        <v>2508.54</v>
      </c>
      <c r="Q1576">
        <v>0</v>
      </c>
      <c r="R1576">
        <v>0</v>
      </c>
      <c r="S1576">
        <v>376.28</v>
      </c>
      <c r="T1576" t="s">
        <v>4789</v>
      </c>
      <c r="U1576">
        <v>1</v>
      </c>
      <c r="V1576">
        <v>376.28</v>
      </c>
      <c r="W1576" t="s">
        <v>4343</v>
      </c>
      <c r="Y1576" t="b">
        <v>1</v>
      </c>
      <c r="Z1576" t="b">
        <v>0</v>
      </c>
      <c r="AA1576">
        <v>360.61</v>
      </c>
      <c r="AB1576">
        <v>15.67</v>
      </c>
      <c r="AC1576">
        <v>14</v>
      </c>
      <c r="AD1576" t="b">
        <v>0</v>
      </c>
      <c r="AF1576" t="s">
        <v>5954</v>
      </c>
      <c r="AG1576" s="1" t="s">
        <v>310</v>
      </c>
      <c r="AH1576" s="1" t="s">
        <v>46</v>
      </c>
      <c r="AI1576">
        <v>86</v>
      </c>
      <c r="AJ1576">
        <v>213</v>
      </c>
      <c r="AK1576" s="106">
        <v>45475.635474432871</v>
      </c>
      <c r="AL1576" s="1" t="s">
        <v>4790</v>
      </c>
      <c r="AM1576" s="42">
        <f>IFERROR(INDEX('Public procurment'!A:R,MATCH(ListOfExpenditure[[#This Row],[Content.contractId]],'Public procurment'!E:E,0),14),0)</f>
        <v>0</v>
      </c>
      <c r="AN1576" s="2">
        <f>IF(AND(ListOfExpenditure[[#This Row],[Contract amount]]&gt;10000,ListOfExpenditure[[#This Row],[Content.declaredAmount]]&gt;2000),1,0)</f>
        <v>0</v>
      </c>
      <c r="AO1576">
        <f>IFERROR(INDEX('Public procurment'!A:S,MATCH(ListOfExpenditure[[#This Row],[Content.contractId]],'Public procurment'!E:E,0),19),0)</f>
        <v>0</v>
      </c>
      <c r="AP1576">
        <f>IF(ListOfExpenditure[[#This Row],[Numero di volte controllato il contract ]]&gt;0,0,ListOfExpenditure[[#This Row],[IF public procurment &gt;10000;1;0]])</f>
        <v>0</v>
      </c>
    </row>
    <row r="1577" spans="1:42" x14ac:dyDescent="0.25">
      <c r="A1577">
        <v>894</v>
      </c>
      <c r="B1577">
        <v>0</v>
      </c>
      <c r="E1577" t="s">
        <v>4786</v>
      </c>
      <c r="F1577" t="b">
        <v>0</v>
      </c>
      <c r="I1577" t="s">
        <v>5962</v>
      </c>
      <c r="K1577" t="s">
        <v>4831</v>
      </c>
      <c r="L1577" t="s">
        <v>4831</v>
      </c>
      <c r="M1577" t="s">
        <v>4788</v>
      </c>
      <c r="N1577" t="s">
        <v>4788</v>
      </c>
      <c r="O1577">
        <v>3389.66</v>
      </c>
      <c r="Q1577">
        <v>0</v>
      </c>
      <c r="R1577">
        <v>0</v>
      </c>
      <c r="S1577">
        <v>338.97</v>
      </c>
      <c r="T1577" t="s">
        <v>4789</v>
      </c>
      <c r="U1577">
        <v>1</v>
      </c>
      <c r="V1577">
        <v>338.97</v>
      </c>
      <c r="W1577" t="s">
        <v>4343</v>
      </c>
      <c r="X1577" t="s">
        <v>4343</v>
      </c>
      <c r="Y1577" t="b">
        <v>1</v>
      </c>
      <c r="Z1577" t="b">
        <v>0</v>
      </c>
      <c r="AA1577">
        <v>338.97</v>
      </c>
      <c r="AB1577">
        <v>0</v>
      </c>
      <c r="AD1577" t="b">
        <v>0</v>
      </c>
      <c r="AG1577" s="1" t="s">
        <v>310</v>
      </c>
      <c r="AH1577" s="1" t="s">
        <v>46</v>
      </c>
      <c r="AI1577">
        <v>86</v>
      </c>
      <c r="AJ1577">
        <v>213</v>
      </c>
      <c r="AK1577" s="106">
        <v>45475.635474432871</v>
      </c>
      <c r="AL1577" s="1" t="s">
        <v>4790</v>
      </c>
      <c r="AM1577" s="42">
        <f>IFERROR(INDEX('Public procurment'!A:R,MATCH(ListOfExpenditure[[#This Row],[Content.contractId]],'Public procurment'!E:E,0),14),0)</f>
        <v>0</v>
      </c>
      <c r="AN1577" s="2">
        <f>IF(AND(ListOfExpenditure[[#This Row],[Contract amount]]&gt;10000,ListOfExpenditure[[#This Row],[Content.declaredAmount]]&gt;2000),1,0)</f>
        <v>0</v>
      </c>
      <c r="AO1577">
        <f>IFERROR(INDEX('Public procurment'!A:S,MATCH(ListOfExpenditure[[#This Row],[Content.contractId]],'Public procurment'!E:E,0),19),0)</f>
        <v>0</v>
      </c>
      <c r="AP1577">
        <f>IF(ListOfExpenditure[[#This Row],[Numero di volte controllato il contract ]]&gt;0,0,ListOfExpenditure[[#This Row],[IF public procurment &gt;10000;1;0]])</f>
        <v>0</v>
      </c>
    </row>
    <row r="1578" spans="1:42" x14ac:dyDescent="0.25">
      <c r="A1578">
        <v>895</v>
      </c>
      <c r="B1578">
        <v>50</v>
      </c>
      <c r="E1578" t="s">
        <v>4786</v>
      </c>
      <c r="F1578" t="b">
        <v>0</v>
      </c>
      <c r="I1578" t="s">
        <v>5962</v>
      </c>
      <c r="K1578" t="s">
        <v>4957</v>
      </c>
      <c r="L1578" t="s">
        <v>4957</v>
      </c>
      <c r="M1578" t="s">
        <v>4788</v>
      </c>
      <c r="N1578" t="s">
        <v>4788</v>
      </c>
      <c r="O1578">
        <v>3671.17</v>
      </c>
      <c r="Q1578">
        <v>0</v>
      </c>
      <c r="R1578">
        <v>0</v>
      </c>
      <c r="S1578">
        <v>367.12</v>
      </c>
      <c r="T1578" t="s">
        <v>4789</v>
      </c>
      <c r="U1578">
        <v>1</v>
      </c>
      <c r="V1578">
        <v>367.12</v>
      </c>
      <c r="W1578" t="s">
        <v>4343</v>
      </c>
      <c r="Y1578" t="b">
        <v>1</v>
      </c>
      <c r="Z1578" t="b">
        <v>0</v>
      </c>
      <c r="AA1578">
        <v>367.12</v>
      </c>
      <c r="AB1578">
        <v>0</v>
      </c>
      <c r="AD1578" t="b">
        <v>0</v>
      </c>
      <c r="AG1578" s="1" t="s">
        <v>310</v>
      </c>
      <c r="AH1578" s="1" t="s">
        <v>46</v>
      </c>
      <c r="AI1578">
        <v>86</v>
      </c>
      <c r="AJ1578">
        <v>213</v>
      </c>
      <c r="AK1578" s="106">
        <v>45475.635474432871</v>
      </c>
      <c r="AL1578" s="1" t="s">
        <v>4790</v>
      </c>
      <c r="AM1578" s="42">
        <f>IFERROR(INDEX('Public procurment'!A:R,MATCH(ListOfExpenditure[[#This Row],[Content.contractId]],'Public procurment'!E:E,0),14),0)</f>
        <v>0</v>
      </c>
      <c r="AN1578" s="2">
        <f>IF(AND(ListOfExpenditure[[#This Row],[Contract amount]]&gt;10000,ListOfExpenditure[[#This Row],[Content.declaredAmount]]&gt;2000),1,0)</f>
        <v>0</v>
      </c>
      <c r="AO1578">
        <f>IFERROR(INDEX('Public procurment'!A:S,MATCH(ListOfExpenditure[[#This Row],[Content.contractId]],'Public procurment'!E:E,0),19),0)</f>
        <v>0</v>
      </c>
      <c r="AP1578">
        <f>IF(ListOfExpenditure[[#This Row],[Numero di volte controllato il contract ]]&gt;0,0,ListOfExpenditure[[#This Row],[IF public procurment &gt;10000;1;0]])</f>
        <v>0</v>
      </c>
    </row>
    <row r="1579" spans="1:42" x14ac:dyDescent="0.25">
      <c r="A1579">
        <v>896</v>
      </c>
      <c r="B1579">
        <v>51</v>
      </c>
      <c r="E1579" t="s">
        <v>4786</v>
      </c>
      <c r="F1579" t="b">
        <v>0</v>
      </c>
      <c r="I1579" t="s">
        <v>5962</v>
      </c>
      <c r="K1579" t="s">
        <v>4914</v>
      </c>
      <c r="L1579" t="s">
        <v>4914</v>
      </c>
      <c r="M1579" t="s">
        <v>4788</v>
      </c>
      <c r="N1579" t="s">
        <v>4788</v>
      </c>
      <c r="O1579">
        <v>3702.15</v>
      </c>
      <c r="Q1579">
        <v>0</v>
      </c>
      <c r="R1579">
        <v>0</v>
      </c>
      <c r="S1579">
        <v>370.22</v>
      </c>
      <c r="T1579" t="s">
        <v>4789</v>
      </c>
      <c r="U1579">
        <v>1</v>
      </c>
      <c r="V1579">
        <v>370.22</v>
      </c>
      <c r="W1579" t="s">
        <v>4343</v>
      </c>
      <c r="Y1579" t="b">
        <v>1</v>
      </c>
      <c r="Z1579" t="b">
        <v>0</v>
      </c>
      <c r="AA1579">
        <v>370.22</v>
      </c>
      <c r="AB1579">
        <v>0</v>
      </c>
      <c r="AD1579" t="b">
        <v>0</v>
      </c>
      <c r="AG1579" s="1" t="s">
        <v>310</v>
      </c>
      <c r="AH1579" s="1" t="s">
        <v>46</v>
      </c>
      <c r="AI1579">
        <v>86</v>
      </c>
      <c r="AJ1579">
        <v>213</v>
      </c>
      <c r="AK1579" s="106">
        <v>45475.635474432871</v>
      </c>
      <c r="AL1579" s="1" t="s">
        <v>4790</v>
      </c>
      <c r="AM1579" s="42">
        <f>IFERROR(INDEX('Public procurment'!A:R,MATCH(ListOfExpenditure[[#This Row],[Content.contractId]],'Public procurment'!E:E,0),14),0)</f>
        <v>0</v>
      </c>
      <c r="AN1579" s="2">
        <f>IF(AND(ListOfExpenditure[[#This Row],[Contract amount]]&gt;10000,ListOfExpenditure[[#This Row],[Content.declaredAmount]]&gt;2000),1,0)</f>
        <v>0</v>
      </c>
      <c r="AO1579">
        <f>IFERROR(INDEX('Public procurment'!A:S,MATCH(ListOfExpenditure[[#This Row],[Content.contractId]],'Public procurment'!E:E,0),19),0)</f>
        <v>0</v>
      </c>
      <c r="AP1579">
        <f>IF(ListOfExpenditure[[#This Row],[Numero di volte controllato il contract ]]&gt;0,0,ListOfExpenditure[[#This Row],[IF public procurment &gt;10000;1;0]])</f>
        <v>0</v>
      </c>
    </row>
    <row r="1580" spans="1:42" x14ac:dyDescent="0.25">
      <c r="A1580">
        <v>897</v>
      </c>
      <c r="B1580">
        <v>52</v>
      </c>
      <c r="E1580" t="s">
        <v>4786</v>
      </c>
      <c r="F1580" t="b">
        <v>0</v>
      </c>
      <c r="I1580" t="s">
        <v>5962</v>
      </c>
      <c r="K1580" t="s">
        <v>4959</v>
      </c>
      <c r="L1580" t="s">
        <v>4959</v>
      </c>
      <c r="M1580" t="s">
        <v>4788</v>
      </c>
      <c r="N1580" t="s">
        <v>4788</v>
      </c>
      <c r="O1580">
        <v>3544.62</v>
      </c>
      <c r="Q1580">
        <v>0</v>
      </c>
      <c r="R1580">
        <v>0</v>
      </c>
      <c r="S1580">
        <v>354.46</v>
      </c>
      <c r="T1580" t="s">
        <v>4789</v>
      </c>
      <c r="U1580">
        <v>1</v>
      </c>
      <c r="V1580">
        <v>354.46</v>
      </c>
      <c r="W1580" t="s">
        <v>4343</v>
      </c>
      <c r="Y1580" t="b">
        <v>1</v>
      </c>
      <c r="Z1580" t="b">
        <v>0</v>
      </c>
      <c r="AA1580">
        <v>354.46</v>
      </c>
      <c r="AB1580">
        <v>0</v>
      </c>
      <c r="AD1580" t="b">
        <v>0</v>
      </c>
      <c r="AG1580" s="1" t="s">
        <v>310</v>
      </c>
      <c r="AH1580" s="1" t="s">
        <v>46</v>
      </c>
      <c r="AI1580">
        <v>86</v>
      </c>
      <c r="AJ1580">
        <v>213</v>
      </c>
      <c r="AK1580" s="106">
        <v>45475.635474432871</v>
      </c>
      <c r="AL1580" s="1" t="s">
        <v>4790</v>
      </c>
      <c r="AM1580" s="42">
        <f>IFERROR(INDEX('Public procurment'!A:R,MATCH(ListOfExpenditure[[#This Row],[Content.contractId]],'Public procurment'!E:E,0),14),0)</f>
        <v>0</v>
      </c>
      <c r="AN1580" s="2">
        <f>IF(AND(ListOfExpenditure[[#This Row],[Contract amount]]&gt;10000,ListOfExpenditure[[#This Row],[Content.declaredAmount]]&gt;2000),1,0)</f>
        <v>0</v>
      </c>
      <c r="AO1580">
        <f>IFERROR(INDEX('Public procurment'!A:S,MATCH(ListOfExpenditure[[#This Row],[Content.contractId]],'Public procurment'!E:E,0),19),0)</f>
        <v>0</v>
      </c>
      <c r="AP1580">
        <f>IF(ListOfExpenditure[[#This Row],[Numero di volte controllato il contract ]]&gt;0,0,ListOfExpenditure[[#This Row],[IF public procurment &gt;10000;1;0]])</f>
        <v>0</v>
      </c>
    </row>
    <row r="1581" spans="1:42" x14ac:dyDescent="0.25">
      <c r="A1581">
        <v>898</v>
      </c>
      <c r="B1581">
        <v>53</v>
      </c>
      <c r="E1581" t="s">
        <v>4786</v>
      </c>
      <c r="F1581" t="b">
        <v>0</v>
      </c>
      <c r="I1581" t="s">
        <v>5962</v>
      </c>
      <c r="K1581" t="s">
        <v>4921</v>
      </c>
      <c r="L1581" t="s">
        <v>4921</v>
      </c>
      <c r="M1581" t="s">
        <v>4788</v>
      </c>
      <c r="N1581" t="s">
        <v>4788</v>
      </c>
      <c r="O1581">
        <v>4145.5</v>
      </c>
      <c r="Q1581">
        <v>0</v>
      </c>
      <c r="R1581">
        <v>0</v>
      </c>
      <c r="S1581">
        <v>414.55</v>
      </c>
      <c r="T1581" t="s">
        <v>4789</v>
      </c>
      <c r="U1581">
        <v>1</v>
      </c>
      <c r="V1581">
        <v>414.55</v>
      </c>
      <c r="W1581" t="s">
        <v>4343</v>
      </c>
      <c r="Y1581" t="b">
        <v>1</v>
      </c>
      <c r="Z1581" t="b">
        <v>0</v>
      </c>
      <c r="AA1581">
        <v>404.1</v>
      </c>
      <c r="AB1581">
        <v>10.45</v>
      </c>
      <c r="AC1581">
        <v>14</v>
      </c>
      <c r="AD1581" t="b">
        <v>0</v>
      </c>
      <c r="AF1581" t="s">
        <v>5954</v>
      </c>
      <c r="AG1581" s="1" t="s">
        <v>310</v>
      </c>
      <c r="AH1581" s="1" t="s">
        <v>46</v>
      </c>
      <c r="AI1581">
        <v>86</v>
      </c>
      <c r="AJ1581">
        <v>213</v>
      </c>
      <c r="AK1581" s="106">
        <v>45475.635474432871</v>
      </c>
      <c r="AL1581" s="1" t="s">
        <v>4790</v>
      </c>
      <c r="AM1581" s="42">
        <f>IFERROR(INDEX('Public procurment'!A:R,MATCH(ListOfExpenditure[[#This Row],[Content.contractId]],'Public procurment'!E:E,0),14),0)</f>
        <v>0</v>
      </c>
      <c r="AN1581" s="2">
        <f>IF(AND(ListOfExpenditure[[#This Row],[Contract amount]]&gt;10000,ListOfExpenditure[[#This Row],[Content.declaredAmount]]&gt;2000),1,0)</f>
        <v>0</v>
      </c>
      <c r="AO1581">
        <f>IFERROR(INDEX('Public procurment'!A:S,MATCH(ListOfExpenditure[[#This Row],[Content.contractId]],'Public procurment'!E:E,0),19),0)</f>
        <v>0</v>
      </c>
      <c r="AP1581">
        <f>IF(ListOfExpenditure[[#This Row],[Numero di volte controllato il contract ]]&gt;0,0,ListOfExpenditure[[#This Row],[IF public procurment &gt;10000;1;0]])</f>
        <v>0</v>
      </c>
    </row>
    <row r="1582" spans="1:42" x14ac:dyDescent="0.25">
      <c r="A1582">
        <v>899</v>
      </c>
      <c r="B1582">
        <v>0</v>
      </c>
      <c r="E1582" t="s">
        <v>4786</v>
      </c>
      <c r="F1582" t="b">
        <v>0</v>
      </c>
      <c r="I1582" t="s">
        <v>5963</v>
      </c>
      <c r="K1582" t="s">
        <v>4831</v>
      </c>
      <c r="L1582" t="s">
        <v>4831</v>
      </c>
      <c r="M1582" t="s">
        <v>4788</v>
      </c>
      <c r="N1582" t="s">
        <v>4788</v>
      </c>
      <c r="O1582">
        <v>2373.6799999999998</v>
      </c>
      <c r="Q1582">
        <v>0</v>
      </c>
      <c r="R1582">
        <v>0</v>
      </c>
      <c r="S1582">
        <v>474.74</v>
      </c>
      <c r="T1582" t="s">
        <v>4789</v>
      </c>
      <c r="U1582">
        <v>1</v>
      </c>
      <c r="V1582">
        <v>474.74</v>
      </c>
      <c r="W1582" t="s">
        <v>4343</v>
      </c>
      <c r="X1582" t="s">
        <v>4343</v>
      </c>
      <c r="Y1582" t="b">
        <v>1</v>
      </c>
      <c r="Z1582" t="b">
        <v>0</v>
      </c>
      <c r="AA1582">
        <v>474.74</v>
      </c>
      <c r="AB1582">
        <v>0</v>
      </c>
      <c r="AD1582" t="b">
        <v>0</v>
      </c>
      <c r="AG1582" s="1" t="s">
        <v>310</v>
      </c>
      <c r="AH1582" s="1" t="s">
        <v>46</v>
      </c>
      <c r="AI1582">
        <v>86</v>
      </c>
      <c r="AJ1582">
        <v>213</v>
      </c>
      <c r="AK1582" s="106">
        <v>45475.635474432871</v>
      </c>
      <c r="AL1582" s="1" t="s">
        <v>4790</v>
      </c>
      <c r="AM1582" s="42">
        <f>IFERROR(INDEX('Public procurment'!A:R,MATCH(ListOfExpenditure[[#This Row],[Content.contractId]],'Public procurment'!E:E,0),14),0)</f>
        <v>0</v>
      </c>
      <c r="AN1582" s="2">
        <f>IF(AND(ListOfExpenditure[[#This Row],[Contract amount]]&gt;10000,ListOfExpenditure[[#This Row],[Content.declaredAmount]]&gt;2000),1,0)</f>
        <v>0</v>
      </c>
      <c r="AO1582">
        <f>IFERROR(INDEX('Public procurment'!A:S,MATCH(ListOfExpenditure[[#This Row],[Content.contractId]],'Public procurment'!E:E,0),19),0)</f>
        <v>0</v>
      </c>
      <c r="AP1582">
        <f>IF(ListOfExpenditure[[#This Row],[Numero di volte controllato il contract ]]&gt;0,0,ListOfExpenditure[[#This Row],[IF public procurment &gt;10000;1;0]])</f>
        <v>0</v>
      </c>
    </row>
    <row r="1583" spans="1:42" x14ac:dyDescent="0.25">
      <c r="A1583">
        <v>900</v>
      </c>
      <c r="B1583">
        <v>54</v>
      </c>
      <c r="E1583" t="s">
        <v>4786</v>
      </c>
      <c r="F1583" t="b">
        <v>0</v>
      </c>
      <c r="I1583" t="s">
        <v>5963</v>
      </c>
      <c r="K1583" t="s">
        <v>4957</v>
      </c>
      <c r="L1583" t="s">
        <v>4957</v>
      </c>
      <c r="M1583" t="s">
        <v>4788</v>
      </c>
      <c r="N1583" t="s">
        <v>4788</v>
      </c>
      <c r="O1583">
        <v>1915.27</v>
      </c>
      <c r="Q1583">
        <v>0</v>
      </c>
      <c r="R1583">
        <v>0</v>
      </c>
      <c r="S1583">
        <v>287.29000000000002</v>
      </c>
      <c r="T1583" t="s">
        <v>4789</v>
      </c>
      <c r="U1583">
        <v>1</v>
      </c>
      <c r="V1583">
        <v>287.29000000000002</v>
      </c>
      <c r="W1583" t="s">
        <v>4343</v>
      </c>
      <c r="Y1583" t="b">
        <v>1</v>
      </c>
      <c r="Z1583" t="b">
        <v>0</v>
      </c>
      <c r="AA1583">
        <v>287.29000000000002</v>
      </c>
      <c r="AB1583">
        <v>0</v>
      </c>
      <c r="AD1583" t="b">
        <v>0</v>
      </c>
      <c r="AG1583" s="1" t="s">
        <v>310</v>
      </c>
      <c r="AH1583" s="1" t="s">
        <v>46</v>
      </c>
      <c r="AI1583">
        <v>86</v>
      </c>
      <c r="AJ1583">
        <v>213</v>
      </c>
      <c r="AK1583" s="106">
        <v>45475.635474432871</v>
      </c>
      <c r="AL1583" s="1" t="s">
        <v>4790</v>
      </c>
      <c r="AM1583" s="42">
        <f>IFERROR(INDEX('Public procurment'!A:R,MATCH(ListOfExpenditure[[#This Row],[Content.contractId]],'Public procurment'!E:E,0),14),0)</f>
        <v>0</v>
      </c>
      <c r="AN1583" s="2">
        <f>IF(AND(ListOfExpenditure[[#This Row],[Contract amount]]&gt;10000,ListOfExpenditure[[#This Row],[Content.declaredAmount]]&gt;2000),1,0)</f>
        <v>0</v>
      </c>
      <c r="AO1583">
        <f>IFERROR(INDEX('Public procurment'!A:S,MATCH(ListOfExpenditure[[#This Row],[Content.contractId]],'Public procurment'!E:E,0),19),0)</f>
        <v>0</v>
      </c>
      <c r="AP1583">
        <f>IF(ListOfExpenditure[[#This Row],[Numero di volte controllato il contract ]]&gt;0,0,ListOfExpenditure[[#This Row],[IF public procurment &gt;10000;1;0]])</f>
        <v>0</v>
      </c>
    </row>
    <row r="1584" spans="1:42" x14ac:dyDescent="0.25">
      <c r="A1584">
        <v>901</v>
      </c>
      <c r="B1584">
        <v>55</v>
      </c>
      <c r="E1584" t="s">
        <v>4786</v>
      </c>
      <c r="F1584" t="b">
        <v>0</v>
      </c>
      <c r="I1584" t="s">
        <v>5963</v>
      </c>
      <c r="K1584" t="s">
        <v>4914</v>
      </c>
      <c r="L1584" t="s">
        <v>4914</v>
      </c>
      <c r="M1584" t="s">
        <v>4788</v>
      </c>
      <c r="N1584" t="s">
        <v>4788</v>
      </c>
      <c r="O1584">
        <v>1959.69</v>
      </c>
      <c r="Q1584">
        <v>0</v>
      </c>
      <c r="R1584">
        <v>0</v>
      </c>
      <c r="S1584">
        <v>293.95</v>
      </c>
      <c r="T1584" t="s">
        <v>4789</v>
      </c>
      <c r="U1584">
        <v>1</v>
      </c>
      <c r="V1584">
        <v>293.95</v>
      </c>
      <c r="W1584" t="s">
        <v>4343</v>
      </c>
      <c r="Y1584" t="b">
        <v>1</v>
      </c>
      <c r="Z1584" t="b">
        <v>0</v>
      </c>
      <c r="AA1584">
        <v>293.95</v>
      </c>
      <c r="AB1584">
        <v>0</v>
      </c>
      <c r="AD1584" t="b">
        <v>0</v>
      </c>
      <c r="AG1584" s="1" t="s">
        <v>310</v>
      </c>
      <c r="AH1584" s="1" t="s">
        <v>46</v>
      </c>
      <c r="AI1584">
        <v>86</v>
      </c>
      <c r="AJ1584">
        <v>213</v>
      </c>
      <c r="AK1584" s="106">
        <v>45475.635474432871</v>
      </c>
      <c r="AL1584" s="1" t="s">
        <v>4790</v>
      </c>
      <c r="AM1584" s="42">
        <f>IFERROR(INDEX('Public procurment'!A:R,MATCH(ListOfExpenditure[[#This Row],[Content.contractId]],'Public procurment'!E:E,0),14),0)</f>
        <v>0</v>
      </c>
      <c r="AN1584" s="2">
        <f>IF(AND(ListOfExpenditure[[#This Row],[Contract amount]]&gt;10000,ListOfExpenditure[[#This Row],[Content.declaredAmount]]&gt;2000),1,0)</f>
        <v>0</v>
      </c>
      <c r="AO1584">
        <f>IFERROR(INDEX('Public procurment'!A:S,MATCH(ListOfExpenditure[[#This Row],[Content.contractId]],'Public procurment'!E:E,0),19),0)</f>
        <v>0</v>
      </c>
      <c r="AP1584">
        <f>IF(ListOfExpenditure[[#This Row],[Numero di volte controllato il contract ]]&gt;0,0,ListOfExpenditure[[#This Row],[IF public procurment &gt;10000;1;0]])</f>
        <v>0</v>
      </c>
    </row>
    <row r="1585" spans="1:42" x14ac:dyDescent="0.25">
      <c r="A1585">
        <v>902</v>
      </c>
      <c r="B1585">
        <v>56</v>
      </c>
      <c r="E1585" t="s">
        <v>4786</v>
      </c>
      <c r="F1585" t="b">
        <v>0</v>
      </c>
      <c r="I1585" t="s">
        <v>5963</v>
      </c>
      <c r="K1585" t="s">
        <v>4959</v>
      </c>
      <c r="L1585" t="s">
        <v>4959</v>
      </c>
      <c r="M1585" t="s">
        <v>4788</v>
      </c>
      <c r="N1585" t="s">
        <v>4788</v>
      </c>
      <c r="O1585">
        <v>2220.7399999999998</v>
      </c>
      <c r="Q1585">
        <v>0</v>
      </c>
      <c r="R1585">
        <v>0</v>
      </c>
      <c r="S1585">
        <v>333.11</v>
      </c>
      <c r="T1585" t="s">
        <v>4789</v>
      </c>
      <c r="U1585">
        <v>1</v>
      </c>
      <c r="V1585">
        <v>333.11</v>
      </c>
      <c r="W1585" t="s">
        <v>4343</v>
      </c>
      <c r="Y1585" t="b">
        <v>1</v>
      </c>
      <c r="Z1585" t="b">
        <v>0</v>
      </c>
      <c r="AA1585">
        <v>333.11</v>
      </c>
      <c r="AB1585">
        <v>0</v>
      </c>
      <c r="AD1585" t="b">
        <v>0</v>
      </c>
      <c r="AG1585" s="1" t="s">
        <v>310</v>
      </c>
      <c r="AH1585" s="1" t="s">
        <v>46</v>
      </c>
      <c r="AI1585">
        <v>86</v>
      </c>
      <c r="AJ1585">
        <v>213</v>
      </c>
      <c r="AK1585" s="106">
        <v>45475.635474432871</v>
      </c>
      <c r="AL1585" s="1" t="s">
        <v>4790</v>
      </c>
      <c r="AM1585" s="42">
        <f>IFERROR(INDEX('Public procurment'!A:R,MATCH(ListOfExpenditure[[#This Row],[Content.contractId]],'Public procurment'!E:E,0),14),0)</f>
        <v>0</v>
      </c>
      <c r="AN1585" s="2">
        <f>IF(AND(ListOfExpenditure[[#This Row],[Contract amount]]&gt;10000,ListOfExpenditure[[#This Row],[Content.declaredAmount]]&gt;2000),1,0)</f>
        <v>0</v>
      </c>
      <c r="AO1585">
        <f>IFERROR(INDEX('Public procurment'!A:S,MATCH(ListOfExpenditure[[#This Row],[Content.contractId]],'Public procurment'!E:E,0),19),0)</f>
        <v>0</v>
      </c>
      <c r="AP1585">
        <f>IF(ListOfExpenditure[[#This Row],[Numero di volte controllato il contract ]]&gt;0,0,ListOfExpenditure[[#This Row],[IF public procurment &gt;10000;1;0]])</f>
        <v>0</v>
      </c>
    </row>
    <row r="1586" spans="1:42" x14ac:dyDescent="0.25">
      <c r="A1586">
        <v>903</v>
      </c>
      <c r="B1586">
        <v>57</v>
      </c>
      <c r="E1586" t="s">
        <v>4786</v>
      </c>
      <c r="F1586" t="b">
        <v>0</v>
      </c>
      <c r="I1586" t="s">
        <v>5963</v>
      </c>
      <c r="K1586" t="s">
        <v>4921</v>
      </c>
      <c r="L1586" t="s">
        <v>4921</v>
      </c>
      <c r="M1586" t="s">
        <v>4788</v>
      </c>
      <c r="N1586" t="s">
        <v>4788</v>
      </c>
      <c r="O1586">
        <v>2211.56</v>
      </c>
      <c r="Q1586">
        <v>0</v>
      </c>
      <c r="R1586">
        <v>0</v>
      </c>
      <c r="S1586">
        <v>331.73</v>
      </c>
      <c r="T1586" t="s">
        <v>4789</v>
      </c>
      <c r="U1586">
        <v>1</v>
      </c>
      <c r="V1586">
        <v>331.73</v>
      </c>
      <c r="W1586" t="s">
        <v>4343</v>
      </c>
      <c r="Y1586" t="b">
        <v>1</v>
      </c>
      <c r="Z1586" t="b">
        <v>0</v>
      </c>
      <c r="AA1586">
        <v>316.06</v>
      </c>
      <c r="AB1586">
        <v>15.67</v>
      </c>
      <c r="AC1586">
        <v>14</v>
      </c>
      <c r="AD1586" t="b">
        <v>0</v>
      </c>
      <c r="AF1586" t="s">
        <v>5954</v>
      </c>
      <c r="AG1586" s="1" t="s">
        <v>310</v>
      </c>
      <c r="AH1586" s="1" t="s">
        <v>46</v>
      </c>
      <c r="AI1586">
        <v>86</v>
      </c>
      <c r="AJ1586">
        <v>213</v>
      </c>
      <c r="AK1586" s="106">
        <v>45475.635474432871</v>
      </c>
      <c r="AL1586" s="1" t="s">
        <v>4790</v>
      </c>
      <c r="AM1586" s="42">
        <f>IFERROR(INDEX('Public procurment'!A:R,MATCH(ListOfExpenditure[[#This Row],[Content.contractId]],'Public procurment'!E:E,0),14),0)</f>
        <v>0</v>
      </c>
      <c r="AN1586" s="2">
        <f>IF(AND(ListOfExpenditure[[#This Row],[Contract amount]]&gt;10000,ListOfExpenditure[[#This Row],[Content.declaredAmount]]&gt;2000),1,0)</f>
        <v>0</v>
      </c>
      <c r="AO1586">
        <f>IFERROR(INDEX('Public procurment'!A:S,MATCH(ListOfExpenditure[[#This Row],[Content.contractId]],'Public procurment'!E:E,0),19),0)</f>
        <v>0</v>
      </c>
      <c r="AP1586">
        <f>IF(ListOfExpenditure[[#This Row],[Numero di volte controllato il contract ]]&gt;0,0,ListOfExpenditure[[#This Row],[IF public procurment &gt;10000;1;0]])</f>
        <v>0</v>
      </c>
    </row>
    <row r="1587" spans="1:42" x14ac:dyDescent="0.25">
      <c r="A1587">
        <v>914</v>
      </c>
      <c r="B1587">
        <v>58</v>
      </c>
      <c r="E1587" t="s">
        <v>4798</v>
      </c>
      <c r="F1587" t="b">
        <v>0</v>
      </c>
      <c r="H1587">
        <v>152</v>
      </c>
      <c r="I1587" t="s">
        <v>212</v>
      </c>
      <c r="J1587" t="s">
        <v>212</v>
      </c>
      <c r="K1587" t="s">
        <v>5130</v>
      </c>
      <c r="L1587" t="s">
        <v>5130</v>
      </c>
      <c r="M1587" t="s">
        <v>4788</v>
      </c>
      <c r="N1587" t="s">
        <v>4788</v>
      </c>
      <c r="O1587">
        <v>1500</v>
      </c>
      <c r="P1587">
        <v>0</v>
      </c>
      <c r="Q1587">
        <v>0</v>
      </c>
      <c r="R1587">
        <v>0</v>
      </c>
      <c r="S1587">
        <v>1500</v>
      </c>
      <c r="T1587" t="s">
        <v>4789</v>
      </c>
      <c r="U1587">
        <v>1</v>
      </c>
      <c r="V1587">
        <v>1500</v>
      </c>
      <c r="W1587" t="s">
        <v>4343</v>
      </c>
      <c r="Y1587" t="b">
        <v>1</v>
      </c>
      <c r="Z1587" t="b">
        <v>0</v>
      </c>
      <c r="AA1587">
        <v>1500</v>
      </c>
      <c r="AB1587">
        <v>0</v>
      </c>
      <c r="AD1587" t="b">
        <v>0</v>
      </c>
      <c r="AG1587" s="1" t="s">
        <v>310</v>
      </c>
      <c r="AH1587" s="1" t="s">
        <v>46</v>
      </c>
      <c r="AI1587">
        <v>86</v>
      </c>
      <c r="AJ1587">
        <v>213</v>
      </c>
      <c r="AK1587" s="106">
        <v>45475.635474432871</v>
      </c>
      <c r="AL1587" s="1" t="s">
        <v>4790</v>
      </c>
      <c r="AM1587" s="42">
        <f>IFERROR(INDEX('Public procurment'!A:R,MATCH(ListOfExpenditure[[#This Row],[Content.contractId]],'Public procurment'!E:E,0),14),0)</f>
        <v>0</v>
      </c>
      <c r="AN1587" s="2">
        <f>IF(AND(ListOfExpenditure[[#This Row],[Contract amount]]&gt;10000,ListOfExpenditure[[#This Row],[Content.declaredAmount]]&gt;2000),1,0)</f>
        <v>0</v>
      </c>
      <c r="AO1587">
        <f>IFERROR(INDEX('Public procurment'!A:S,MATCH(ListOfExpenditure[[#This Row],[Content.contractId]],'Public procurment'!E:E,0),19),0)</f>
        <v>0</v>
      </c>
      <c r="AP1587">
        <f>IF(ListOfExpenditure[[#This Row],[Numero di volte controllato il contract ]]&gt;0,0,ListOfExpenditure[[#This Row],[IF public procurment &gt;10000;1;0]])</f>
        <v>0</v>
      </c>
    </row>
    <row r="1588" spans="1:42" x14ac:dyDescent="0.25">
      <c r="A1588">
        <v>21</v>
      </c>
      <c r="B1588">
        <v>1</v>
      </c>
      <c r="E1588" t="s">
        <v>4850</v>
      </c>
      <c r="F1588" t="b">
        <v>0</v>
      </c>
      <c r="H1588">
        <v>12</v>
      </c>
      <c r="I1588" t="s">
        <v>5964</v>
      </c>
      <c r="J1588" t="s">
        <v>5965</v>
      </c>
      <c r="K1588" t="s">
        <v>5623</v>
      </c>
      <c r="L1588" t="s">
        <v>5966</v>
      </c>
      <c r="M1588" t="s">
        <v>4788</v>
      </c>
      <c r="N1588" t="s">
        <v>4788</v>
      </c>
      <c r="O1588">
        <v>2641</v>
      </c>
      <c r="P1588">
        <v>476.25</v>
      </c>
      <c r="Q1588">
        <v>0</v>
      </c>
      <c r="R1588">
        <v>0</v>
      </c>
      <c r="S1588">
        <v>2641</v>
      </c>
      <c r="T1588" t="s">
        <v>4789</v>
      </c>
      <c r="U1588">
        <v>1</v>
      </c>
      <c r="V1588">
        <v>2641</v>
      </c>
      <c r="W1588" t="s">
        <v>4343</v>
      </c>
      <c r="Y1588" t="b">
        <v>1</v>
      </c>
      <c r="Z1588" t="b">
        <v>0</v>
      </c>
      <c r="AA1588">
        <v>2641</v>
      </c>
      <c r="AB1588">
        <v>0</v>
      </c>
      <c r="AD1588" t="b">
        <v>0</v>
      </c>
      <c r="AG1588" s="1" t="s">
        <v>310</v>
      </c>
      <c r="AH1588" s="1" t="s">
        <v>46</v>
      </c>
      <c r="AI1588">
        <v>86</v>
      </c>
      <c r="AJ1588">
        <v>33</v>
      </c>
      <c r="AK1588" s="106">
        <v>45475.635454560186</v>
      </c>
      <c r="AL1588" s="1" t="s">
        <v>4790</v>
      </c>
      <c r="AM1588" s="42">
        <f>IFERROR(INDEX('Public procurment'!A:R,MATCH(ListOfExpenditure[[#This Row],[Content.contractId]],'Public procurment'!E:E,0),14),0)</f>
        <v>2641</v>
      </c>
      <c r="AN1588" s="2">
        <f>IF(AND(ListOfExpenditure[[#This Row],[Contract amount]]&gt;10000,ListOfExpenditure[[#This Row],[Content.declaredAmount]]&gt;2000),1,0)</f>
        <v>0</v>
      </c>
      <c r="AO1588">
        <f>IFERROR(INDEX('Public procurment'!A:S,MATCH(ListOfExpenditure[[#This Row],[Content.contractId]],'Public procurment'!E:E,0),19),0)</f>
        <v>1</v>
      </c>
      <c r="AP1588">
        <f>IF(ListOfExpenditure[[#This Row],[Numero di volte controllato il contract ]]&gt;0,0,ListOfExpenditure[[#This Row],[IF public procurment &gt;10000;1;0]])</f>
        <v>0</v>
      </c>
    </row>
    <row r="1589" spans="1:42" x14ac:dyDescent="0.25">
      <c r="A1589">
        <v>186</v>
      </c>
      <c r="B1589">
        <v>2</v>
      </c>
      <c r="E1589" t="s">
        <v>4786</v>
      </c>
      <c r="F1589" t="b">
        <v>0</v>
      </c>
      <c r="I1589" t="s">
        <v>5953</v>
      </c>
      <c r="K1589" t="s">
        <v>5384</v>
      </c>
      <c r="L1589" t="s">
        <v>5384</v>
      </c>
      <c r="M1589" t="s">
        <v>4788</v>
      </c>
      <c r="N1589" t="s">
        <v>4788</v>
      </c>
      <c r="O1589">
        <v>1946.82</v>
      </c>
      <c r="Q1589">
        <v>0</v>
      </c>
      <c r="R1589">
        <v>0</v>
      </c>
      <c r="S1589">
        <v>292.02</v>
      </c>
      <c r="T1589" t="s">
        <v>4789</v>
      </c>
      <c r="U1589">
        <v>1</v>
      </c>
      <c r="V1589">
        <v>292.02</v>
      </c>
      <c r="W1589" t="s">
        <v>4343</v>
      </c>
      <c r="Y1589" t="b">
        <v>1</v>
      </c>
      <c r="Z1589" t="b">
        <v>0</v>
      </c>
      <c r="AA1589">
        <v>283.48</v>
      </c>
      <c r="AB1589">
        <v>8.5399999999999991</v>
      </c>
      <c r="AC1589">
        <v>1</v>
      </c>
      <c r="AD1589" t="b">
        <v>0</v>
      </c>
      <c r="AF1589" t="s">
        <v>5967</v>
      </c>
      <c r="AG1589" s="1" t="s">
        <v>310</v>
      </c>
      <c r="AH1589" s="1" t="s">
        <v>46</v>
      </c>
      <c r="AI1589">
        <v>86</v>
      </c>
      <c r="AJ1589">
        <v>33</v>
      </c>
      <c r="AK1589" s="106">
        <v>45475.635454560186</v>
      </c>
      <c r="AL1589" s="1" t="s">
        <v>4790</v>
      </c>
      <c r="AM1589" s="42">
        <f>IFERROR(INDEX('Public procurment'!A:R,MATCH(ListOfExpenditure[[#This Row],[Content.contractId]],'Public procurment'!E:E,0),14),0)</f>
        <v>0</v>
      </c>
      <c r="AN1589" s="2">
        <f>IF(AND(ListOfExpenditure[[#This Row],[Contract amount]]&gt;10000,ListOfExpenditure[[#This Row],[Content.declaredAmount]]&gt;2000),1,0)</f>
        <v>0</v>
      </c>
      <c r="AO1589">
        <f>IFERROR(INDEX('Public procurment'!A:S,MATCH(ListOfExpenditure[[#This Row],[Content.contractId]],'Public procurment'!E:E,0),19),0)</f>
        <v>0</v>
      </c>
      <c r="AP1589">
        <f>IF(ListOfExpenditure[[#This Row],[Numero di volte controllato il contract ]]&gt;0,0,ListOfExpenditure[[#This Row],[IF public procurment &gt;10000;1;0]])</f>
        <v>0</v>
      </c>
    </row>
    <row r="1590" spans="1:42" x14ac:dyDescent="0.25">
      <c r="A1590">
        <v>187</v>
      </c>
      <c r="B1590">
        <v>3</v>
      </c>
      <c r="E1590" t="s">
        <v>4786</v>
      </c>
      <c r="F1590" t="b">
        <v>0</v>
      </c>
      <c r="I1590" t="s">
        <v>5953</v>
      </c>
      <c r="K1590" t="s">
        <v>4877</v>
      </c>
      <c r="L1590" t="s">
        <v>4877</v>
      </c>
      <c r="M1590" t="s">
        <v>4788</v>
      </c>
      <c r="N1590" t="s">
        <v>4788</v>
      </c>
      <c r="O1590">
        <v>2282.06</v>
      </c>
      <c r="Q1590">
        <v>0</v>
      </c>
      <c r="R1590">
        <v>0</v>
      </c>
      <c r="S1590">
        <v>342.31</v>
      </c>
      <c r="T1590" t="s">
        <v>4789</v>
      </c>
      <c r="U1590">
        <v>1</v>
      </c>
      <c r="V1590">
        <v>342.31</v>
      </c>
      <c r="W1590" t="s">
        <v>4343</v>
      </c>
      <c r="Y1590" t="b">
        <v>1</v>
      </c>
      <c r="Z1590" t="b">
        <v>0</v>
      </c>
      <c r="AA1590">
        <v>329.24</v>
      </c>
      <c r="AB1590">
        <v>13.07</v>
      </c>
      <c r="AC1590">
        <v>27</v>
      </c>
      <c r="AD1590" t="b">
        <v>0</v>
      </c>
      <c r="AF1590" t="s">
        <v>5968</v>
      </c>
      <c r="AG1590" s="1" t="s">
        <v>310</v>
      </c>
      <c r="AH1590" s="1" t="s">
        <v>46</v>
      </c>
      <c r="AI1590">
        <v>86</v>
      </c>
      <c r="AJ1590">
        <v>33</v>
      </c>
      <c r="AK1590" s="106">
        <v>45475.635454560186</v>
      </c>
      <c r="AL1590" s="1" t="s">
        <v>4790</v>
      </c>
      <c r="AM1590" s="42">
        <f>IFERROR(INDEX('Public procurment'!A:R,MATCH(ListOfExpenditure[[#This Row],[Content.contractId]],'Public procurment'!E:E,0),14),0)</f>
        <v>0</v>
      </c>
      <c r="AN1590" s="2">
        <f>IF(AND(ListOfExpenditure[[#This Row],[Contract amount]]&gt;10000,ListOfExpenditure[[#This Row],[Content.declaredAmount]]&gt;2000),1,0)</f>
        <v>0</v>
      </c>
      <c r="AO1590">
        <f>IFERROR(INDEX('Public procurment'!A:S,MATCH(ListOfExpenditure[[#This Row],[Content.contractId]],'Public procurment'!E:E,0),19),0)</f>
        <v>0</v>
      </c>
      <c r="AP1590">
        <f>IF(ListOfExpenditure[[#This Row],[Numero di volte controllato il contract ]]&gt;0,0,ListOfExpenditure[[#This Row],[IF public procurment &gt;10000;1;0]])</f>
        <v>0</v>
      </c>
    </row>
    <row r="1591" spans="1:42" x14ac:dyDescent="0.25">
      <c r="A1591">
        <v>188</v>
      </c>
      <c r="B1591">
        <v>4</v>
      </c>
      <c r="E1591" t="s">
        <v>4786</v>
      </c>
      <c r="F1591" t="b">
        <v>0</v>
      </c>
      <c r="I1591" t="s">
        <v>5953</v>
      </c>
      <c r="K1591" t="s">
        <v>4873</v>
      </c>
      <c r="L1591" t="s">
        <v>4873</v>
      </c>
      <c r="M1591" t="s">
        <v>4788</v>
      </c>
      <c r="N1591" t="s">
        <v>4788</v>
      </c>
      <c r="O1591">
        <v>2224.1799999999998</v>
      </c>
      <c r="Q1591">
        <v>0</v>
      </c>
      <c r="R1591">
        <v>0</v>
      </c>
      <c r="S1591">
        <v>333.63</v>
      </c>
      <c r="T1591" t="s">
        <v>4789</v>
      </c>
      <c r="U1591">
        <v>1</v>
      </c>
      <c r="V1591">
        <v>333.63</v>
      </c>
      <c r="W1591" t="s">
        <v>4343</v>
      </c>
      <c r="Y1591" t="b">
        <v>1</v>
      </c>
      <c r="Z1591" t="b">
        <v>0</v>
      </c>
      <c r="AA1591">
        <v>333.63</v>
      </c>
      <c r="AB1591">
        <v>0</v>
      </c>
      <c r="AD1591" t="b">
        <v>0</v>
      </c>
      <c r="AG1591" s="1" t="s">
        <v>310</v>
      </c>
      <c r="AH1591" s="1" t="s">
        <v>46</v>
      </c>
      <c r="AI1591">
        <v>86</v>
      </c>
      <c r="AJ1591">
        <v>33</v>
      </c>
      <c r="AK1591" s="106">
        <v>45475.635454560186</v>
      </c>
      <c r="AL1591" s="1" t="s">
        <v>4790</v>
      </c>
      <c r="AM1591" s="42">
        <f>IFERROR(INDEX('Public procurment'!A:R,MATCH(ListOfExpenditure[[#This Row],[Content.contractId]],'Public procurment'!E:E,0),14),0)</f>
        <v>0</v>
      </c>
      <c r="AN1591" s="2">
        <f>IF(AND(ListOfExpenditure[[#This Row],[Contract amount]]&gt;10000,ListOfExpenditure[[#This Row],[Content.declaredAmount]]&gt;2000),1,0)</f>
        <v>0</v>
      </c>
      <c r="AO1591">
        <f>IFERROR(INDEX('Public procurment'!A:S,MATCH(ListOfExpenditure[[#This Row],[Content.contractId]],'Public procurment'!E:E,0),19),0)</f>
        <v>0</v>
      </c>
      <c r="AP1591">
        <f>IF(ListOfExpenditure[[#This Row],[Numero di volte controllato il contract ]]&gt;0,0,ListOfExpenditure[[#This Row],[IF public procurment &gt;10000;1;0]])</f>
        <v>0</v>
      </c>
    </row>
    <row r="1592" spans="1:42" x14ac:dyDescent="0.25">
      <c r="A1592">
        <v>189</v>
      </c>
      <c r="B1592">
        <v>5</v>
      </c>
      <c r="E1592" t="s">
        <v>4786</v>
      </c>
      <c r="F1592" t="b">
        <v>0</v>
      </c>
      <c r="I1592" t="s">
        <v>5953</v>
      </c>
      <c r="K1592" t="s">
        <v>4831</v>
      </c>
      <c r="L1592" t="s">
        <v>4831</v>
      </c>
      <c r="M1592" t="s">
        <v>4788</v>
      </c>
      <c r="N1592" t="s">
        <v>4788</v>
      </c>
      <c r="O1592">
        <v>3251.37</v>
      </c>
      <c r="Q1592">
        <v>0</v>
      </c>
      <c r="R1592">
        <v>0</v>
      </c>
      <c r="S1592">
        <v>487.71</v>
      </c>
      <c r="T1592" t="s">
        <v>4789</v>
      </c>
      <c r="U1592">
        <v>1</v>
      </c>
      <c r="V1592">
        <v>487.71</v>
      </c>
      <c r="W1592" t="s">
        <v>4343</v>
      </c>
      <c r="Y1592" t="b">
        <v>1</v>
      </c>
      <c r="Z1592" t="b">
        <v>0</v>
      </c>
      <c r="AA1592">
        <v>0</v>
      </c>
      <c r="AB1592">
        <v>0</v>
      </c>
      <c r="AD1592" t="b">
        <v>1</v>
      </c>
      <c r="AG1592" s="1" t="s">
        <v>310</v>
      </c>
      <c r="AH1592" s="1" t="s">
        <v>46</v>
      </c>
      <c r="AI1592">
        <v>86</v>
      </c>
      <c r="AJ1592">
        <v>33</v>
      </c>
      <c r="AK1592" s="106">
        <v>45475.635454560186</v>
      </c>
      <c r="AL1592" s="1" t="s">
        <v>4790</v>
      </c>
      <c r="AM1592" s="42">
        <f>IFERROR(INDEX('Public procurment'!A:R,MATCH(ListOfExpenditure[[#This Row],[Content.contractId]],'Public procurment'!E:E,0),14),0)</f>
        <v>0</v>
      </c>
      <c r="AN1592" s="2">
        <f>IF(AND(ListOfExpenditure[[#This Row],[Contract amount]]&gt;10000,ListOfExpenditure[[#This Row],[Content.declaredAmount]]&gt;2000),1,0)</f>
        <v>0</v>
      </c>
      <c r="AO1592">
        <f>IFERROR(INDEX('Public procurment'!A:S,MATCH(ListOfExpenditure[[#This Row],[Content.contractId]],'Public procurment'!E:E,0),19),0)</f>
        <v>0</v>
      </c>
      <c r="AP1592">
        <f>IF(ListOfExpenditure[[#This Row],[Numero di volte controllato il contract ]]&gt;0,0,ListOfExpenditure[[#This Row],[IF public procurment &gt;10000;1;0]])</f>
        <v>0</v>
      </c>
    </row>
    <row r="1593" spans="1:42" x14ac:dyDescent="0.25">
      <c r="A1593">
        <v>190</v>
      </c>
      <c r="B1593">
        <v>6</v>
      </c>
      <c r="E1593" t="s">
        <v>4786</v>
      </c>
      <c r="F1593" t="b">
        <v>0</v>
      </c>
      <c r="I1593" t="s">
        <v>5604</v>
      </c>
      <c r="K1593" t="s">
        <v>5384</v>
      </c>
      <c r="L1593" t="s">
        <v>5384</v>
      </c>
      <c r="M1593" t="s">
        <v>4788</v>
      </c>
      <c r="N1593" t="s">
        <v>4788</v>
      </c>
      <c r="O1593">
        <v>2647.27</v>
      </c>
      <c r="Q1593">
        <v>0</v>
      </c>
      <c r="R1593">
        <v>0</v>
      </c>
      <c r="S1593">
        <v>397.09</v>
      </c>
      <c r="T1593" t="s">
        <v>4789</v>
      </c>
      <c r="U1593">
        <v>1</v>
      </c>
      <c r="V1593">
        <v>397.09</v>
      </c>
      <c r="W1593" t="s">
        <v>4343</v>
      </c>
      <c r="Y1593" t="b">
        <v>1</v>
      </c>
      <c r="Z1593" t="b">
        <v>0</v>
      </c>
      <c r="AA1593">
        <v>397.09</v>
      </c>
      <c r="AB1593">
        <v>0</v>
      </c>
      <c r="AD1593" t="b">
        <v>0</v>
      </c>
      <c r="AG1593" s="1" t="s">
        <v>310</v>
      </c>
      <c r="AH1593" s="1" t="s">
        <v>46</v>
      </c>
      <c r="AI1593">
        <v>86</v>
      </c>
      <c r="AJ1593">
        <v>33</v>
      </c>
      <c r="AK1593" s="106">
        <v>45475.635454560186</v>
      </c>
      <c r="AL1593" s="1" t="s">
        <v>4790</v>
      </c>
      <c r="AM1593" s="42">
        <f>IFERROR(INDEX('Public procurment'!A:R,MATCH(ListOfExpenditure[[#This Row],[Content.contractId]],'Public procurment'!E:E,0),14),0)</f>
        <v>0</v>
      </c>
      <c r="AN1593" s="2">
        <f>IF(AND(ListOfExpenditure[[#This Row],[Contract amount]]&gt;10000,ListOfExpenditure[[#This Row],[Content.declaredAmount]]&gt;2000),1,0)</f>
        <v>0</v>
      </c>
      <c r="AO1593">
        <f>IFERROR(INDEX('Public procurment'!A:S,MATCH(ListOfExpenditure[[#This Row],[Content.contractId]],'Public procurment'!E:E,0),19),0)</f>
        <v>0</v>
      </c>
      <c r="AP1593">
        <f>IF(ListOfExpenditure[[#This Row],[Numero di volte controllato il contract ]]&gt;0,0,ListOfExpenditure[[#This Row],[IF public procurment &gt;10000;1;0]])</f>
        <v>0</v>
      </c>
    </row>
    <row r="1594" spans="1:42" x14ac:dyDescent="0.25">
      <c r="A1594">
        <v>191</v>
      </c>
      <c r="B1594">
        <v>7</v>
      </c>
      <c r="E1594" t="s">
        <v>4786</v>
      </c>
      <c r="F1594" t="b">
        <v>0</v>
      </c>
      <c r="I1594" t="s">
        <v>5604</v>
      </c>
      <c r="K1594" t="s">
        <v>4877</v>
      </c>
      <c r="L1594" t="s">
        <v>4877</v>
      </c>
      <c r="M1594" t="s">
        <v>4788</v>
      </c>
      <c r="N1594" t="s">
        <v>4788</v>
      </c>
      <c r="O1594">
        <v>2735.8</v>
      </c>
      <c r="Q1594">
        <v>0</v>
      </c>
      <c r="R1594">
        <v>0</v>
      </c>
      <c r="S1594">
        <v>410.37</v>
      </c>
      <c r="T1594" t="s">
        <v>4789</v>
      </c>
      <c r="U1594">
        <v>1</v>
      </c>
      <c r="V1594">
        <v>410.37</v>
      </c>
      <c r="W1594" t="s">
        <v>4343</v>
      </c>
      <c r="Y1594" t="b">
        <v>1</v>
      </c>
      <c r="Z1594" t="b">
        <v>0</v>
      </c>
      <c r="AA1594">
        <v>392.8</v>
      </c>
      <c r="AB1594">
        <v>17.57</v>
      </c>
      <c r="AC1594">
        <v>27</v>
      </c>
      <c r="AD1594" t="b">
        <v>0</v>
      </c>
      <c r="AF1594" t="s">
        <v>5968</v>
      </c>
      <c r="AG1594" s="1" t="s">
        <v>310</v>
      </c>
      <c r="AH1594" s="1" t="s">
        <v>46</v>
      </c>
      <c r="AI1594">
        <v>86</v>
      </c>
      <c r="AJ1594">
        <v>33</v>
      </c>
      <c r="AK1594" s="106">
        <v>45475.635454560186</v>
      </c>
      <c r="AL1594" s="1" t="s">
        <v>4790</v>
      </c>
      <c r="AM1594" s="42">
        <f>IFERROR(INDEX('Public procurment'!A:R,MATCH(ListOfExpenditure[[#This Row],[Content.contractId]],'Public procurment'!E:E,0),14),0)</f>
        <v>0</v>
      </c>
      <c r="AN1594" s="2">
        <f>IF(AND(ListOfExpenditure[[#This Row],[Contract amount]]&gt;10000,ListOfExpenditure[[#This Row],[Content.declaredAmount]]&gt;2000),1,0)</f>
        <v>0</v>
      </c>
      <c r="AO1594">
        <f>IFERROR(INDEX('Public procurment'!A:S,MATCH(ListOfExpenditure[[#This Row],[Content.contractId]],'Public procurment'!E:E,0),19),0)</f>
        <v>0</v>
      </c>
      <c r="AP1594">
        <f>IF(ListOfExpenditure[[#This Row],[Numero di volte controllato il contract ]]&gt;0,0,ListOfExpenditure[[#This Row],[IF public procurment &gt;10000;1;0]])</f>
        <v>0</v>
      </c>
    </row>
    <row r="1595" spans="1:42" x14ac:dyDescent="0.25">
      <c r="A1595">
        <v>192</v>
      </c>
      <c r="B1595">
        <v>8</v>
      </c>
      <c r="E1595" t="s">
        <v>4786</v>
      </c>
      <c r="F1595" t="b">
        <v>0</v>
      </c>
      <c r="I1595" t="s">
        <v>5604</v>
      </c>
      <c r="K1595" t="s">
        <v>4873</v>
      </c>
      <c r="L1595" t="s">
        <v>4873</v>
      </c>
      <c r="M1595" t="s">
        <v>4788</v>
      </c>
      <c r="N1595" t="s">
        <v>4788</v>
      </c>
      <c r="O1595">
        <v>2662.45</v>
      </c>
      <c r="Q1595">
        <v>0</v>
      </c>
      <c r="R1595">
        <v>0</v>
      </c>
      <c r="S1595">
        <v>399.37</v>
      </c>
      <c r="T1595" t="s">
        <v>4789</v>
      </c>
      <c r="U1595">
        <v>1</v>
      </c>
      <c r="V1595">
        <v>399.37</v>
      </c>
      <c r="W1595" t="s">
        <v>4343</v>
      </c>
      <c r="Y1595" t="b">
        <v>1</v>
      </c>
      <c r="Z1595" t="b">
        <v>0</v>
      </c>
      <c r="AA1595">
        <v>399.37</v>
      </c>
      <c r="AB1595">
        <v>0</v>
      </c>
      <c r="AD1595" t="b">
        <v>0</v>
      </c>
      <c r="AG1595" s="1" t="s">
        <v>310</v>
      </c>
      <c r="AH1595" s="1" t="s">
        <v>46</v>
      </c>
      <c r="AI1595">
        <v>86</v>
      </c>
      <c r="AJ1595">
        <v>33</v>
      </c>
      <c r="AK1595" s="106">
        <v>45475.635454560186</v>
      </c>
      <c r="AL1595" s="1" t="s">
        <v>4790</v>
      </c>
      <c r="AM1595" s="42">
        <f>IFERROR(INDEX('Public procurment'!A:R,MATCH(ListOfExpenditure[[#This Row],[Content.contractId]],'Public procurment'!E:E,0),14),0)</f>
        <v>0</v>
      </c>
      <c r="AN1595" s="2">
        <f>IF(AND(ListOfExpenditure[[#This Row],[Contract amount]]&gt;10000,ListOfExpenditure[[#This Row],[Content.declaredAmount]]&gt;2000),1,0)</f>
        <v>0</v>
      </c>
      <c r="AO1595">
        <f>IFERROR(INDEX('Public procurment'!A:S,MATCH(ListOfExpenditure[[#This Row],[Content.contractId]],'Public procurment'!E:E,0),19),0)</f>
        <v>0</v>
      </c>
      <c r="AP1595">
        <f>IF(ListOfExpenditure[[#This Row],[Numero di volte controllato il contract ]]&gt;0,0,ListOfExpenditure[[#This Row],[IF public procurment &gt;10000;1;0]])</f>
        <v>0</v>
      </c>
    </row>
    <row r="1596" spans="1:42" x14ac:dyDescent="0.25">
      <c r="A1596">
        <v>193</v>
      </c>
      <c r="B1596">
        <v>9</v>
      </c>
      <c r="E1596" t="s">
        <v>4786</v>
      </c>
      <c r="F1596" t="b">
        <v>0</v>
      </c>
      <c r="I1596" t="s">
        <v>5604</v>
      </c>
      <c r="K1596" t="s">
        <v>4831</v>
      </c>
      <c r="L1596" t="s">
        <v>4831</v>
      </c>
      <c r="M1596" t="s">
        <v>4788</v>
      </c>
      <c r="N1596" t="s">
        <v>4788</v>
      </c>
      <c r="O1596">
        <v>3677.82</v>
      </c>
      <c r="Q1596">
        <v>0</v>
      </c>
      <c r="R1596">
        <v>0</v>
      </c>
      <c r="S1596">
        <v>551.66999999999996</v>
      </c>
      <c r="T1596" t="s">
        <v>4789</v>
      </c>
      <c r="U1596">
        <v>1</v>
      </c>
      <c r="V1596">
        <v>551.66999999999996</v>
      </c>
      <c r="W1596" t="s">
        <v>4343</v>
      </c>
      <c r="Y1596" t="b">
        <v>1</v>
      </c>
      <c r="Z1596" t="b">
        <v>0</v>
      </c>
      <c r="AA1596">
        <v>0</v>
      </c>
      <c r="AB1596">
        <v>0</v>
      </c>
      <c r="AD1596" t="b">
        <v>1</v>
      </c>
      <c r="AF1596" t="s">
        <v>5969</v>
      </c>
      <c r="AG1596" s="1" t="s">
        <v>310</v>
      </c>
      <c r="AH1596" s="1" t="s">
        <v>46</v>
      </c>
      <c r="AI1596">
        <v>86</v>
      </c>
      <c r="AJ1596">
        <v>33</v>
      </c>
      <c r="AK1596" s="106">
        <v>45475.635454560186</v>
      </c>
      <c r="AL1596" s="1" t="s">
        <v>4790</v>
      </c>
      <c r="AM1596" s="42">
        <f>IFERROR(INDEX('Public procurment'!A:R,MATCH(ListOfExpenditure[[#This Row],[Content.contractId]],'Public procurment'!E:E,0),14),0)</f>
        <v>0</v>
      </c>
      <c r="AN1596" s="2">
        <f>IF(AND(ListOfExpenditure[[#This Row],[Contract amount]]&gt;10000,ListOfExpenditure[[#This Row],[Content.declaredAmount]]&gt;2000),1,0)</f>
        <v>0</v>
      </c>
      <c r="AO1596">
        <f>IFERROR(INDEX('Public procurment'!A:S,MATCH(ListOfExpenditure[[#This Row],[Content.contractId]],'Public procurment'!E:E,0),19),0)</f>
        <v>0</v>
      </c>
      <c r="AP1596">
        <f>IF(ListOfExpenditure[[#This Row],[Numero di volte controllato il contract ]]&gt;0,0,ListOfExpenditure[[#This Row],[IF public procurment &gt;10000;1;0]])</f>
        <v>0</v>
      </c>
    </row>
    <row r="1597" spans="1:42" x14ac:dyDescent="0.25">
      <c r="A1597">
        <v>194</v>
      </c>
      <c r="B1597">
        <v>10</v>
      </c>
      <c r="E1597" t="s">
        <v>4786</v>
      </c>
      <c r="F1597" t="b">
        <v>0</v>
      </c>
      <c r="I1597" t="s">
        <v>5955</v>
      </c>
      <c r="K1597" t="s">
        <v>5384</v>
      </c>
      <c r="L1597" t="s">
        <v>5384</v>
      </c>
      <c r="M1597" t="s">
        <v>4788</v>
      </c>
      <c r="N1597" t="s">
        <v>4788</v>
      </c>
      <c r="O1597">
        <v>5304.63</v>
      </c>
      <c r="Q1597">
        <v>0</v>
      </c>
      <c r="R1597">
        <v>0</v>
      </c>
      <c r="S1597">
        <v>795.69</v>
      </c>
      <c r="T1597" t="s">
        <v>4789</v>
      </c>
      <c r="U1597">
        <v>1</v>
      </c>
      <c r="V1597">
        <v>795.69</v>
      </c>
      <c r="W1597" t="s">
        <v>4343</v>
      </c>
      <c r="Y1597" t="b">
        <v>1</v>
      </c>
      <c r="Z1597" t="b">
        <v>0</v>
      </c>
      <c r="AA1597">
        <v>662.89</v>
      </c>
      <c r="AB1597">
        <v>132.80000000000001</v>
      </c>
      <c r="AC1597">
        <v>27</v>
      </c>
      <c r="AD1597" t="b">
        <v>0</v>
      </c>
      <c r="AF1597" t="s">
        <v>5970</v>
      </c>
      <c r="AG1597" s="1" t="s">
        <v>310</v>
      </c>
      <c r="AH1597" s="1" t="s">
        <v>46</v>
      </c>
      <c r="AI1597">
        <v>86</v>
      </c>
      <c r="AJ1597">
        <v>33</v>
      </c>
      <c r="AK1597" s="106">
        <v>45475.635454560186</v>
      </c>
      <c r="AL1597" s="1" t="s">
        <v>4790</v>
      </c>
      <c r="AM1597" s="42">
        <f>IFERROR(INDEX('Public procurment'!A:R,MATCH(ListOfExpenditure[[#This Row],[Content.contractId]],'Public procurment'!E:E,0),14),0)</f>
        <v>0</v>
      </c>
      <c r="AN1597" s="2">
        <f>IF(AND(ListOfExpenditure[[#This Row],[Contract amount]]&gt;10000,ListOfExpenditure[[#This Row],[Content.declaredAmount]]&gt;2000),1,0)</f>
        <v>0</v>
      </c>
      <c r="AO1597">
        <f>IFERROR(INDEX('Public procurment'!A:S,MATCH(ListOfExpenditure[[#This Row],[Content.contractId]],'Public procurment'!E:E,0),19),0)</f>
        <v>0</v>
      </c>
      <c r="AP1597">
        <f>IF(ListOfExpenditure[[#This Row],[Numero di volte controllato il contract ]]&gt;0,0,ListOfExpenditure[[#This Row],[IF public procurment &gt;10000;1;0]])</f>
        <v>0</v>
      </c>
    </row>
    <row r="1598" spans="1:42" x14ac:dyDescent="0.25">
      <c r="A1598">
        <v>195</v>
      </c>
      <c r="B1598">
        <v>11</v>
      </c>
      <c r="E1598" t="s">
        <v>4786</v>
      </c>
      <c r="F1598" t="b">
        <v>0</v>
      </c>
      <c r="I1598" t="s">
        <v>5955</v>
      </c>
      <c r="K1598" t="s">
        <v>4877</v>
      </c>
      <c r="L1598" t="s">
        <v>4877</v>
      </c>
      <c r="M1598" t="s">
        <v>4788</v>
      </c>
      <c r="N1598" t="s">
        <v>4788</v>
      </c>
      <c r="O1598">
        <v>6146.49</v>
      </c>
      <c r="Q1598">
        <v>0</v>
      </c>
      <c r="R1598">
        <v>0</v>
      </c>
      <c r="S1598">
        <v>921.97</v>
      </c>
      <c r="T1598" t="s">
        <v>4789</v>
      </c>
      <c r="U1598">
        <v>1</v>
      </c>
      <c r="V1598">
        <v>921.97</v>
      </c>
      <c r="W1598" t="s">
        <v>4343</v>
      </c>
      <c r="Y1598" t="b">
        <v>1</v>
      </c>
      <c r="Z1598" t="b">
        <v>0</v>
      </c>
      <c r="AA1598">
        <v>708.94</v>
      </c>
      <c r="AB1598">
        <v>213.03</v>
      </c>
      <c r="AC1598">
        <v>27</v>
      </c>
      <c r="AD1598" t="b">
        <v>0</v>
      </c>
      <c r="AF1598" t="s">
        <v>5970</v>
      </c>
      <c r="AG1598" s="1" t="s">
        <v>310</v>
      </c>
      <c r="AH1598" s="1" t="s">
        <v>46</v>
      </c>
      <c r="AI1598">
        <v>86</v>
      </c>
      <c r="AJ1598">
        <v>33</v>
      </c>
      <c r="AK1598" s="106">
        <v>45475.635454560186</v>
      </c>
      <c r="AL1598" s="1" t="s">
        <v>4790</v>
      </c>
      <c r="AM1598" s="42">
        <f>IFERROR(INDEX('Public procurment'!A:R,MATCH(ListOfExpenditure[[#This Row],[Content.contractId]],'Public procurment'!E:E,0),14),0)</f>
        <v>0</v>
      </c>
      <c r="AN1598" s="2">
        <f>IF(AND(ListOfExpenditure[[#This Row],[Contract amount]]&gt;10000,ListOfExpenditure[[#This Row],[Content.declaredAmount]]&gt;2000),1,0)</f>
        <v>0</v>
      </c>
      <c r="AO1598">
        <f>IFERROR(INDEX('Public procurment'!A:S,MATCH(ListOfExpenditure[[#This Row],[Content.contractId]],'Public procurment'!E:E,0),19),0)</f>
        <v>0</v>
      </c>
      <c r="AP1598">
        <f>IF(ListOfExpenditure[[#This Row],[Numero di volte controllato il contract ]]&gt;0,0,ListOfExpenditure[[#This Row],[IF public procurment &gt;10000;1;0]])</f>
        <v>0</v>
      </c>
    </row>
    <row r="1599" spans="1:42" x14ac:dyDescent="0.25">
      <c r="A1599">
        <v>196</v>
      </c>
      <c r="B1599">
        <v>12</v>
      </c>
      <c r="E1599" t="s">
        <v>4786</v>
      </c>
      <c r="F1599" t="b">
        <v>0</v>
      </c>
      <c r="I1599" t="s">
        <v>5955</v>
      </c>
      <c r="K1599" t="s">
        <v>4873</v>
      </c>
      <c r="L1599" t="s">
        <v>4873</v>
      </c>
      <c r="M1599" t="s">
        <v>4788</v>
      </c>
      <c r="N1599" t="s">
        <v>4788</v>
      </c>
      <c r="O1599">
        <v>5399.33</v>
      </c>
      <c r="Q1599">
        <v>0</v>
      </c>
      <c r="R1599">
        <v>0</v>
      </c>
      <c r="S1599">
        <v>809.9</v>
      </c>
      <c r="T1599" t="s">
        <v>4789</v>
      </c>
      <c r="U1599">
        <v>1</v>
      </c>
      <c r="V1599">
        <v>809.9</v>
      </c>
      <c r="W1599" t="s">
        <v>4343</v>
      </c>
      <c r="Y1599" t="b">
        <v>1</v>
      </c>
      <c r="Z1599" t="b">
        <v>0</v>
      </c>
      <c r="AA1599">
        <v>677.1</v>
      </c>
      <c r="AB1599">
        <v>132.80000000000001</v>
      </c>
      <c r="AC1599">
        <v>27</v>
      </c>
      <c r="AD1599" t="b">
        <v>0</v>
      </c>
      <c r="AF1599" t="s">
        <v>5970</v>
      </c>
      <c r="AG1599" s="1" t="s">
        <v>310</v>
      </c>
      <c r="AH1599" s="1" t="s">
        <v>46</v>
      </c>
      <c r="AI1599">
        <v>86</v>
      </c>
      <c r="AJ1599">
        <v>33</v>
      </c>
      <c r="AK1599" s="106">
        <v>45475.635454560186</v>
      </c>
      <c r="AL1599" s="1" t="s">
        <v>4790</v>
      </c>
      <c r="AM1599" s="42">
        <f>IFERROR(INDEX('Public procurment'!A:R,MATCH(ListOfExpenditure[[#This Row],[Content.contractId]],'Public procurment'!E:E,0),14),0)</f>
        <v>0</v>
      </c>
      <c r="AN1599" s="2">
        <f>IF(AND(ListOfExpenditure[[#This Row],[Contract amount]]&gt;10000,ListOfExpenditure[[#This Row],[Content.declaredAmount]]&gt;2000),1,0)</f>
        <v>0</v>
      </c>
      <c r="AO1599">
        <f>IFERROR(INDEX('Public procurment'!A:S,MATCH(ListOfExpenditure[[#This Row],[Content.contractId]],'Public procurment'!E:E,0),19),0)</f>
        <v>0</v>
      </c>
      <c r="AP1599">
        <f>IF(ListOfExpenditure[[#This Row],[Numero di volte controllato il contract ]]&gt;0,0,ListOfExpenditure[[#This Row],[IF public procurment &gt;10000;1;0]])</f>
        <v>0</v>
      </c>
    </row>
    <row r="1600" spans="1:42" x14ac:dyDescent="0.25">
      <c r="A1600">
        <v>197</v>
      </c>
      <c r="B1600">
        <v>13</v>
      </c>
      <c r="E1600" t="s">
        <v>4786</v>
      </c>
      <c r="F1600" t="b">
        <v>0</v>
      </c>
      <c r="I1600" t="s">
        <v>5955</v>
      </c>
      <c r="K1600" t="s">
        <v>4831</v>
      </c>
      <c r="L1600" t="s">
        <v>4831</v>
      </c>
      <c r="M1600" t="s">
        <v>4788</v>
      </c>
      <c r="N1600" t="s">
        <v>4788</v>
      </c>
      <c r="O1600">
        <v>6183.78</v>
      </c>
      <c r="Q1600">
        <v>0</v>
      </c>
      <c r="R1600">
        <v>0</v>
      </c>
      <c r="S1600">
        <v>927.57</v>
      </c>
      <c r="T1600" t="s">
        <v>4789</v>
      </c>
      <c r="U1600">
        <v>1</v>
      </c>
      <c r="V1600">
        <v>927.57</v>
      </c>
      <c r="W1600" t="s">
        <v>4343</v>
      </c>
      <c r="Y1600" t="b">
        <v>1</v>
      </c>
      <c r="Z1600" t="b">
        <v>0</v>
      </c>
      <c r="AA1600">
        <v>0</v>
      </c>
      <c r="AB1600">
        <v>0</v>
      </c>
      <c r="AD1600" t="b">
        <v>1</v>
      </c>
      <c r="AF1600" t="s">
        <v>5971</v>
      </c>
      <c r="AG1600" s="1" t="s">
        <v>310</v>
      </c>
      <c r="AH1600" s="1" t="s">
        <v>46</v>
      </c>
      <c r="AI1600">
        <v>86</v>
      </c>
      <c r="AJ1600">
        <v>33</v>
      </c>
      <c r="AK1600" s="106">
        <v>45475.635454560186</v>
      </c>
      <c r="AL1600" s="1" t="s">
        <v>4790</v>
      </c>
      <c r="AM1600" s="42">
        <f>IFERROR(INDEX('Public procurment'!A:R,MATCH(ListOfExpenditure[[#This Row],[Content.contractId]],'Public procurment'!E:E,0),14),0)</f>
        <v>0</v>
      </c>
      <c r="AN1600" s="2">
        <f>IF(AND(ListOfExpenditure[[#This Row],[Contract amount]]&gt;10000,ListOfExpenditure[[#This Row],[Content.declaredAmount]]&gt;2000),1,0)</f>
        <v>0</v>
      </c>
      <c r="AO1600">
        <f>IFERROR(INDEX('Public procurment'!A:S,MATCH(ListOfExpenditure[[#This Row],[Content.contractId]],'Public procurment'!E:E,0),19),0)</f>
        <v>0</v>
      </c>
      <c r="AP1600">
        <f>IF(ListOfExpenditure[[#This Row],[Numero di volte controllato il contract ]]&gt;0,0,ListOfExpenditure[[#This Row],[IF public procurment &gt;10000;1;0]])</f>
        <v>0</v>
      </c>
    </row>
    <row r="1601" spans="1:42" x14ac:dyDescent="0.25">
      <c r="A1601">
        <v>198</v>
      </c>
      <c r="B1601">
        <v>14</v>
      </c>
      <c r="E1601" t="s">
        <v>4786</v>
      </c>
      <c r="F1601" t="b">
        <v>0</v>
      </c>
      <c r="I1601" t="s">
        <v>5956</v>
      </c>
      <c r="K1601" t="s">
        <v>5384</v>
      </c>
      <c r="L1601" t="s">
        <v>5384</v>
      </c>
      <c r="M1601" t="s">
        <v>4788</v>
      </c>
      <c r="N1601" t="s">
        <v>4788</v>
      </c>
      <c r="O1601">
        <v>1114.75</v>
      </c>
      <c r="Q1601">
        <v>0</v>
      </c>
      <c r="R1601">
        <v>0</v>
      </c>
      <c r="S1601">
        <v>111.47</v>
      </c>
      <c r="T1601" t="s">
        <v>4789</v>
      </c>
      <c r="U1601">
        <v>1</v>
      </c>
      <c r="V1601">
        <v>111.47</v>
      </c>
      <c r="W1601" t="s">
        <v>4343</v>
      </c>
      <c r="Y1601" t="b">
        <v>1</v>
      </c>
      <c r="Z1601" t="b">
        <v>0</v>
      </c>
      <c r="AA1601">
        <v>111.47</v>
      </c>
      <c r="AB1601">
        <v>0</v>
      </c>
      <c r="AD1601" t="b">
        <v>0</v>
      </c>
      <c r="AG1601" s="1" t="s">
        <v>310</v>
      </c>
      <c r="AH1601" s="1" t="s">
        <v>46</v>
      </c>
      <c r="AI1601">
        <v>86</v>
      </c>
      <c r="AJ1601">
        <v>33</v>
      </c>
      <c r="AK1601" s="106">
        <v>45475.635454560186</v>
      </c>
      <c r="AL1601" s="1" t="s">
        <v>4790</v>
      </c>
      <c r="AM1601" s="42">
        <f>IFERROR(INDEX('Public procurment'!A:R,MATCH(ListOfExpenditure[[#This Row],[Content.contractId]],'Public procurment'!E:E,0),14),0)</f>
        <v>0</v>
      </c>
      <c r="AN1601" s="2">
        <f>IF(AND(ListOfExpenditure[[#This Row],[Contract amount]]&gt;10000,ListOfExpenditure[[#This Row],[Content.declaredAmount]]&gt;2000),1,0)</f>
        <v>0</v>
      </c>
      <c r="AO1601">
        <f>IFERROR(INDEX('Public procurment'!A:S,MATCH(ListOfExpenditure[[#This Row],[Content.contractId]],'Public procurment'!E:E,0),19),0)</f>
        <v>0</v>
      </c>
      <c r="AP1601">
        <f>IF(ListOfExpenditure[[#This Row],[Numero di volte controllato il contract ]]&gt;0,0,ListOfExpenditure[[#This Row],[IF public procurment &gt;10000;1;0]])</f>
        <v>0</v>
      </c>
    </row>
    <row r="1602" spans="1:42" x14ac:dyDescent="0.25">
      <c r="A1602">
        <v>199</v>
      </c>
      <c r="B1602">
        <v>15</v>
      </c>
      <c r="E1602" t="s">
        <v>4786</v>
      </c>
      <c r="F1602" t="b">
        <v>0</v>
      </c>
      <c r="I1602" t="s">
        <v>5956</v>
      </c>
      <c r="K1602" t="s">
        <v>4877</v>
      </c>
      <c r="L1602" t="s">
        <v>4877</v>
      </c>
      <c r="M1602" t="s">
        <v>4788</v>
      </c>
      <c r="N1602" t="s">
        <v>4788</v>
      </c>
      <c r="O1602">
        <v>1114.75</v>
      </c>
      <c r="Q1602">
        <v>0</v>
      </c>
      <c r="R1602">
        <v>0</v>
      </c>
      <c r="S1602">
        <v>111.47</v>
      </c>
      <c r="T1602" t="s">
        <v>4789</v>
      </c>
      <c r="U1602">
        <v>1</v>
      </c>
      <c r="V1602">
        <v>111.47</v>
      </c>
      <c r="W1602" t="s">
        <v>4343</v>
      </c>
      <c r="Y1602" t="b">
        <v>1</v>
      </c>
      <c r="Z1602" t="b">
        <v>0</v>
      </c>
      <c r="AA1602">
        <v>111.47</v>
      </c>
      <c r="AB1602">
        <v>0</v>
      </c>
      <c r="AD1602" t="b">
        <v>0</v>
      </c>
      <c r="AG1602" s="1" t="s">
        <v>310</v>
      </c>
      <c r="AH1602" s="1" t="s">
        <v>46</v>
      </c>
      <c r="AI1602">
        <v>86</v>
      </c>
      <c r="AJ1602">
        <v>33</v>
      </c>
      <c r="AK1602" s="106">
        <v>45475.635454560186</v>
      </c>
      <c r="AL1602" s="1" t="s">
        <v>4790</v>
      </c>
      <c r="AM1602" s="42">
        <f>IFERROR(INDEX('Public procurment'!A:R,MATCH(ListOfExpenditure[[#This Row],[Content.contractId]],'Public procurment'!E:E,0),14),0)</f>
        <v>0</v>
      </c>
      <c r="AN1602" s="2">
        <f>IF(AND(ListOfExpenditure[[#This Row],[Contract amount]]&gt;10000,ListOfExpenditure[[#This Row],[Content.declaredAmount]]&gt;2000),1,0)</f>
        <v>0</v>
      </c>
      <c r="AO1602">
        <f>IFERROR(INDEX('Public procurment'!A:S,MATCH(ListOfExpenditure[[#This Row],[Content.contractId]],'Public procurment'!E:E,0),19),0)</f>
        <v>0</v>
      </c>
      <c r="AP1602">
        <f>IF(ListOfExpenditure[[#This Row],[Numero di volte controllato il contract ]]&gt;0,0,ListOfExpenditure[[#This Row],[IF public procurment &gt;10000;1;0]])</f>
        <v>0</v>
      </c>
    </row>
    <row r="1603" spans="1:42" x14ac:dyDescent="0.25">
      <c r="A1603">
        <v>200</v>
      </c>
      <c r="B1603">
        <v>16</v>
      </c>
      <c r="E1603" t="s">
        <v>4786</v>
      </c>
      <c r="F1603" t="b">
        <v>0</v>
      </c>
      <c r="I1603" t="s">
        <v>5956</v>
      </c>
      <c r="K1603" t="s">
        <v>4873</v>
      </c>
      <c r="L1603" t="s">
        <v>4873</v>
      </c>
      <c r="M1603" t="s">
        <v>4788</v>
      </c>
      <c r="N1603" t="s">
        <v>4788</v>
      </c>
      <c r="O1603">
        <v>1114.75</v>
      </c>
      <c r="Q1603">
        <v>0</v>
      </c>
      <c r="R1603">
        <v>0</v>
      </c>
      <c r="S1603">
        <v>111.48</v>
      </c>
      <c r="T1603" t="s">
        <v>4789</v>
      </c>
      <c r="U1603">
        <v>1</v>
      </c>
      <c r="V1603">
        <v>111.48</v>
      </c>
      <c r="W1603" t="s">
        <v>4343</v>
      </c>
      <c r="Y1603" t="b">
        <v>1</v>
      </c>
      <c r="Z1603" t="b">
        <v>0</v>
      </c>
      <c r="AA1603">
        <v>111.48</v>
      </c>
      <c r="AB1603">
        <v>0</v>
      </c>
      <c r="AD1603" t="b">
        <v>0</v>
      </c>
      <c r="AG1603" s="1" t="s">
        <v>310</v>
      </c>
      <c r="AH1603" s="1" t="s">
        <v>46</v>
      </c>
      <c r="AI1603">
        <v>86</v>
      </c>
      <c r="AJ1603">
        <v>33</v>
      </c>
      <c r="AK1603" s="106">
        <v>45475.635454560186</v>
      </c>
      <c r="AL1603" s="1" t="s">
        <v>4790</v>
      </c>
      <c r="AM1603" s="42">
        <f>IFERROR(INDEX('Public procurment'!A:R,MATCH(ListOfExpenditure[[#This Row],[Content.contractId]],'Public procurment'!E:E,0),14),0)</f>
        <v>0</v>
      </c>
      <c r="AN1603" s="2">
        <f>IF(AND(ListOfExpenditure[[#This Row],[Contract amount]]&gt;10000,ListOfExpenditure[[#This Row],[Content.declaredAmount]]&gt;2000),1,0)</f>
        <v>0</v>
      </c>
      <c r="AO1603">
        <f>IFERROR(INDEX('Public procurment'!A:S,MATCH(ListOfExpenditure[[#This Row],[Content.contractId]],'Public procurment'!E:E,0),19),0)</f>
        <v>0</v>
      </c>
      <c r="AP1603">
        <f>IF(ListOfExpenditure[[#This Row],[Numero di volte controllato il contract ]]&gt;0,0,ListOfExpenditure[[#This Row],[IF public procurment &gt;10000;1;0]])</f>
        <v>0</v>
      </c>
    </row>
    <row r="1604" spans="1:42" x14ac:dyDescent="0.25">
      <c r="A1604">
        <v>201</v>
      </c>
      <c r="B1604">
        <v>17</v>
      </c>
      <c r="E1604" t="s">
        <v>4786</v>
      </c>
      <c r="F1604" t="b">
        <v>0</v>
      </c>
      <c r="I1604" t="s">
        <v>5956</v>
      </c>
      <c r="K1604" t="s">
        <v>4831</v>
      </c>
      <c r="L1604" t="s">
        <v>4831</v>
      </c>
      <c r="M1604" t="s">
        <v>4788</v>
      </c>
      <c r="N1604" t="s">
        <v>4788</v>
      </c>
      <c r="O1604">
        <v>1118.05</v>
      </c>
      <c r="Q1604">
        <v>0</v>
      </c>
      <c r="R1604">
        <v>0</v>
      </c>
      <c r="S1604">
        <v>111.81</v>
      </c>
      <c r="T1604" t="s">
        <v>4789</v>
      </c>
      <c r="U1604">
        <v>1</v>
      </c>
      <c r="V1604">
        <v>111.81</v>
      </c>
      <c r="W1604" t="s">
        <v>4343</v>
      </c>
      <c r="Y1604" t="b">
        <v>1</v>
      </c>
      <c r="Z1604" t="b">
        <v>0</v>
      </c>
      <c r="AA1604">
        <v>0</v>
      </c>
      <c r="AB1604">
        <v>0</v>
      </c>
      <c r="AD1604" t="b">
        <v>1</v>
      </c>
      <c r="AG1604" s="1" t="s">
        <v>310</v>
      </c>
      <c r="AH1604" s="1" t="s">
        <v>46</v>
      </c>
      <c r="AI1604">
        <v>86</v>
      </c>
      <c r="AJ1604">
        <v>33</v>
      </c>
      <c r="AK1604" s="106">
        <v>45475.635454560186</v>
      </c>
      <c r="AL1604" s="1" t="s">
        <v>4790</v>
      </c>
      <c r="AM1604" s="42">
        <f>IFERROR(INDEX('Public procurment'!A:R,MATCH(ListOfExpenditure[[#This Row],[Content.contractId]],'Public procurment'!E:E,0),14),0)</f>
        <v>0</v>
      </c>
      <c r="AN1604" s="2">
        <f>IF(AND(ListOfExpenditure[[#This Row],[Contract amount]]&gt;10000,ListOfExpenditure[[#This Row],[Content.declaredAmount]]&gt;2000),1,0)</f>
        <v>0</v>
      </c>
      <c r="AO1604">
        <f>IFERROR(INDEX('Public procurment'!A:S,MATCH(ListOfExpenditure[[#This Row],[Content.contractId]],'Public procurment'!E:E,0),19),0)</f>
        <v>0</v>
      </c>
      <c r="AP1604">
        <f>IF(ListOfExpenditure[[#This Row],[Numero di volte controllato il contract ]]&gt;0,0,ListOfExpenditure[[#This Row],[IF public procurment &gt;10000;1;0]])</f>
        <v>0</v>
      </c>
    </row>
    <row r="1605" spans="1:42" x14ac:dyDescent="0.25">
      <c r="A1605">
        <v>202</v>
      </c>
      <c r="B1605">
        <v>18</v>
      </c>
      <c r="E1605" t="s">
        <v>4786</v>
      </c>
      <c r="F1605" t="b">
        <v>0</v>
      </c>
      <c r="I1605" t="s">
        <v>5958</v>
      </c>
      <c r="K1605" t="s">
        <v>5384</v>
      </c>
      <c r="L1605" t="s">
        <v>5384</v>
      </c>
      <c r="M1605" t="s">
        <v>4788</v>
      </c>
      <c r="N1605" t="s">
        <v>4788</v>
      </c>
      <c r="O1605">
        <v>4581.76</v>
      </c>
      <c r="Q1605">
        <v>0</v>
      </c>
      <c r="R1605">
        <v>0</v>
      </c>
      <c r="S1605">
        <v>687.26</v>
      </c>
      <c r="T1605" t="s">
        <v>4789</v>
      </c>
      <c r="U1605">
        <v>1</v>
      </c>
      <c r="V1605">
        <v>687.26</v>
      </c>
      <c r="W1605" t="s">
        <v>4343</v>
      </c>
      <c r="Y1605" t="b">
        <v>1</v>
      </c>
      <c r="Z1605" t="b">
        <v>0</v>
      </c>
      <c r="AA1605">
        <v>586</v>
      </c>
      <c r="AB1605">
        <v>101.26</v>
      </c>
      <c r="AC1605">
        <v>27</v>
      </c>
      <c r="AD1605" t="b">
        <v>0</v>
      </c>
      <c r="AF1605" t="s">
        <v>5972</v>
      </c>
      <c r="AG1605" s="1" t="s">
        <v>310</v>
      </c>
      <c r="AH1605" s="1" t="s">
        <v>46</v>
      </c>
      <c r="AI1605">
        <v>86</v>
      </c>
      <c r="AJ1605">
        <v>33</v>
      </c>
      <c r="AK1605" s="106">
        <v>45475.635454560186</v>
      </c>
      <c r="AL1605" s="1" t="s">
        <v>4790</v>
      </c>
      <c r="AM1605" s="42">
        <f>IFERROR(INDEX('Public procurment'!A:R,MATCH(ListOfExpenditure[[#This Row],[Content.contractId]],'Public procurment'!E:E,0),14),0)</f>
        <v>0</v>
      </c>
      <c r="AN1605" s="2">
        <f>IF(AND(ListOfExpenditure[[#This Row],[Contract amount]]&gt;10000,ListOfExpenditure[[#This Row],[Content.declaredAmount]]&gt;2000),1,0)</f>
        <v>0</v>
      </c>
      <c r="AO1605">
        <f>IFERROR(INDEX('Public procurment'!A:S,MATCH(ListOfExpenditure[[#This Row],[Content.contractId]],'Public procurment'!E:E,0),19),0)</f>
        <v>0</v>
      </c>
      <c r="AP1605">
        <f>IF(ListOfExpenditure[[#This Row],[Numero di volte controllato il contract ]]&gt;0,0,ListOfExpenditure[[#This Row],[IF public procurment &gt;10000;1;0]])</f>
        <v>0</v>
      </c>
    </row>
    <row r="1606" spans="1:42" x14ac:dyDescent="0.25">
      <c r="A1606">
        <v>203</v>
      </c>
      <c r="B1606">
        <v>19</v>
      </c>
      <c r="E1606" t="s">
        <v>4786</v>
      </c>
      <c r="F1606" t="b">
        <v>0</v>
      </c>
      <c r="I1606" t="s">
        <v>5958</v>
      </c>
      <c r="K1606" t="s">
        <v>4877</v>
      </c>
      <c r="L1606" t="s">
        <v>4877</v>
      </c>
      <c r="M1606" t="s">
        <v>4788</v>
      </c>
      <c r="N1606" t="s">
        <v>4788</v>
      </c>
      <c r="O1606">
        <v>5643.78</v>
      </c>
      <c r="Q1606">
        <v>0</v>
      </c>
      <c r="R1606">
        <v>0</v>
      </c>
      <c r="S1606">
        <v>846.57</v>
      </c>
      <c r="T1606" t="s">
        <v>4789</v>
      </c>
      <c r="U1606">
        <v>1</v>
      </c>
      <c r="V1606">
        <v>846.57</v>
      </c>
      <c r="W1606" t="s">
        <v>4343</v>
      </c>
      <c r="Y1606" t="b">
        <v>1</v>
      </c>
      <c r="Z1606" t="b">
        <v>0</v>
      </c>
      <c r="AA1606">
        <v>644.42999999999995</v>
      </c>
      <c r="AB1606">
        <v>202.14</v>
      </c>
      <c r="AC1606">
        <v>27</v>
      </c>
      <c r="AD1606" t="b">
        <v>0</v>
      </c>
      <c r="AF1606" t="s">
        <v>5972</v>
      </c>
      <c r="AG1606" s="1" t="s">
        <v>310</v>
      </c>
      <c r="AH1606" s="1" t="s">
        <v>46</v>
      </c>
      <c r="AI1606">
        <v>86</v>
      </c>
      <c r="AJ1606">
        <v>33</v>
      </c>
      <c r="AK1606" s="106">
        <v>45475.635454560186</v>
      </c>
      <c r="AL1606" s="1" t="s">
        <v>4790</v>
      </c>
      <c r="AM1606" s="42">
        <f>IFERROR(INDEX('Public procurment'!A:R,MATCH(ListOfExpenditure[[#This Row],[Content.contractId]],'Public procurment'!E:E,0),14),0)</f>
        <v>0</v>
      </c>
      <c r="AN1606" s="2">
        <f>IF(AND(ListOfExpenditure[[#This Row],[Contract amount]]&gt;10000,ListOfExpenditure[[#This Row],[Content.declaredAmount]]&gt;2000),1,0)</f>
        <v>0</v>
      </c>
      <c r="AO1606">
        <f>IFERROR(INDEX('Public procurment'!A:S,MATCH(ListOfExpenditure[[#This Row],[Content.contractId]],'Public procurment'!E:E,0),19),0)</f>
        <v>0</v>
      </c>
      <c r="AP1606">
        <f>IF(ListOfExpenditure[[#This Row],[Numero di volte controllato il contract ]]&gt;0,0,ListOfExpenditure[[#This Row],[IF public procurment &gt;10000;1;0]])</f>
        <v>0</v>
      </c>
    </row>
    <row r="1607" spans="1:42" x14ac:dyDescent="0.25">
      <c r="A1607">
        <v>204</v>
      </c>
      <c r="B1607">
        <v>20</v>
      </c>
      <c r="E1607" t="s">
        <v>4786</v>
      </c>
      <c r="F1607" t="b">
        <v>0</v>
      </c>
      <c r="I1607" t="s">
        <v>5958</v>
      </c>
      <c r="K1607" t="s">
        <v>4873</v>
      </c>
      <c r="L1607" t="s">
        <v>4873</v>
      </c>
      <c r="M1607" t="s">
        <v>4788</v>
      </c>
      <c r="N1607" t="s">
        <v>4788</v>
      </c>
      <c r="O1607">
        <v>3847.73</v>
      </c>
      <c r="Q1607">
        <v>0</v>
      </c>
      <c r="R1607">
        <v>0</v>
      </c>
      <c r="S1607">
        <v>577.16</v>
      </c>
      <c r="T1607" t="s">
        <v>4789</v>
      </c>
      <c r="U1607">
        <v>1</v>
      </c>
      <c r="V1607">
        <v>577.16</v>
      </c>
      <c r="W1607" t="s">
        <v>4343</v>
      </c>
      <c r="Y1607" t="b">
        <v>1</v>
      </c>
      <c r="Z1607" t="b">
        <v>0</v>
      </c>
      <c r="AA1607">
        <v>577.16</v>
      </c>
      <c r="AB1607">
        <v>0</v>
      </c>
      <c r="AD1607" t="b">
        <v>0</v>
      </c>
      <c r="AG1607" s="1" t="s">
        <v>310</v>
      </c>
      <c r="AH1607" s="1" t="s">
        <v>46</v>
      </c>
      <c r="AI1607">
        <v>86</v>
      </c>
      <c r="AJ1607">
        <v>33</v>
      </c>
      <c r="AK1607" s="106">
        <v>45475.635454560186</v>
      </c>
      <c r="AL1607" s="1" t="s">
        <v>4790</v>
      </c>
      <c r="AM1607" s="42">
        <f>IFERROR(INDEX('Public procurment'!A:R,MATCH(ListOfExpenditure[[#This Row],[Content.contractId]],'Public procurment'!E:E,0),14),0)</f>
        <v>0</v>
      </c>
      <c r="AN1607" s="2">
        <f>IF(AND(ListOfExpenditure[[#This Row],[Contract amount]]&gt;10000,ListOfExpenditure[[#This Row],[Content.declaredAmount]]&gt;2000),1,0)</f>
        <v>0</v>
      </c>
      <c r="AO1607">
        <f>IFERROR(INDEX('Public procurment'!A:S,MATCH(ListOfExpenditure[[#This Row],[Content.contractId]],'Public procurment'!E:E,0),19),0)</f>
        <v>0</v>
      </c>
      <c r="AP1607">
        <f>IF(ListOfExpenditure[[#This Row],[Numero di volte controllato il contract ]]&gt;0,0,ListOfExpenditure[[#This Row],[IF public procurment &gt;10000;1;0]])</f>
        <v>0</v>
      </c>
    </row>
    <row r="1608" spans="1:42" x14ac:dyDescent="0.25">
      <c r="A1608">
        <v>205</v>
      </c>
      <c r="B1608">
        <v>21</v>
      </c>
      <c r="E1608" t="s">
        <v>4786</v>
      </c>
      <c r="F1608" t="b">
        <v>0</v>
      </c>
      <c r="I1608" t="s">
        <v>5958</v>
      </c>
      <c r="K1608" t="s">
        <v>4831</v>
      </c>
      <c r="L1608" t="s">
        <v>4831</v>
      </c>
      <c r="M1608" t="s">
        <v>4788</v>
      </c>
      <c r="N1608" t="s">
        <v>4788</v>
      </c>
      <c r="O1608">
        <v>5495.63</v>
      </c>
      <c r="Q1608">
        <v>0</v>
      </c>
      <c r="R1608">
        <v>0</v>
      </c>
      <c r="S1608">
        <v>824.35</v>
      </c>
      <c r="T1608" t="s">
        <v>4789</v>
      </c>
      <c r="U1608">
        <v>1</v>
      </c>
      <c r="V1608">
        <v>824.35</v>
      </c>
      <c r="W1608" t="s">
        <v>4343</v>
      </c>
      <c r="Y1608" t="b">
        <v>1</v>
      </c>
      <c r="Z1608" t="b">
        <v>0</v>
      </c>
      <c r="AA1608">
        <v>0</v>
      </c>
      <c r="AB1608">
        <v>0</v>
      </c>
      <c r="AD1608" t="b">
        <v>1</v>
      </c>
      <c r="AF1608" t="s">
        <v>5973</v>
      </c>
      <c r="AG1608" s="1" t="s">
        <v>310</v>
      </c>
      <c r="AH1608" s="1" t="s">
        <v>46</v>
      </c>
      <c r="AI1608">
        <v>86</v>
      </c>
      <c r="AJ1608">
        <v>33</v>
      </c>
      <c r="AK1608" s="106">
        <v>45475.635454560186</v>
      </c>
      <c r="AL1608" s="1" t="s">
        <v>4790</v>
      </c>
      <c r="AM1608" s="42">
        <f>IFERROR(INDEX('Public procurment'!A:R,MATCH(ListOfExpenditure[[#This Row],[Content.contractId]],'Public procurment'!E:E,0),14),0)</f>
        <v>0</v>
      </c>
      <c r="AN1608" s="2">
        <f>IF(AND(ListOfExpenditure[[#This Row],[Contract amount]]&gt;10000,ListOfExpenditure[[#This Row],[Content.declaredAmount]]&gt;2000),1,0)</f>
        <v>0</v>
      </c>
      <c r="AO1608">
        <f>IFERROR(INDEX('Public procurment'!A:S,MATCH(ListOfExpenditure[[#This Row],[Content.contractId]],'Public procurment'!E:E,0),19),0)</f>
        <v>0</v>
      </c>
      <c r="AP1608">
        <f>IF(ListOfExpenditure[[#This Row],[Numero di volte controllato il contract ]]&gt;0,0,ListOfExpenditure[[#This Row],[IF public procurment &gt;10000;1;0]])</f>
        <v>0</v>
      </c>
    </row>
    <row r="1609" spans="1:42" x14ac:dyDescent="0.25">
      <c r="A1609">
        <v>206</v>
      </c>
      <c r="B1609">
        <v>22</v>
      </c>
      <c r="E1609" t="s">
        <v>4786</v>
      </c>
      <c r="F1609" t="b">
        <v>0</v>
      </c>
      <c r="I1609" t="s">
        <v>5960</v>
      </c>
      <c r="K1609" t="s">
        <v>5384</v>
      </c>
      <c r="L1609" t="s">
        <v>5384</v>
      </c>
      <c r="M1609" t="s">
        <v>4788</v>
      </c>
      <c r="N1609" t="s">
        <v>4788</v>
      </c>
      <c r="O1609">
        <v>7339.1</v>
      </c>
      <c r="Q1609">
        <v>0</v>
      </c>
      <c r="R1609">
        <v>0</v>
      </c>
      <c r="S1609">
        <v>1100.8599999999999</v>
      </c>
      <c r="T1609" t="s">
        <v>4789</v>
      </c>
      <c r="U1609">
        <v>1</v>
      </c>
      <c r="V1609">
        <v>1100.8599999999999</v>
      </c>
      <c r="W1609" t="s">
        <v>4343</v>
      </c>
      <c r="Y1609" t="b">
        <v>1</v>
      </c>
      <c r="Z1609" t="b">
        <v>0</v>
      </c>
      <c r="AA1609">
        <v>884.85</v>
      </c>
      <c r="AB1609">
        <v>216.01</v>
      </c>
      <c r="AC1609">
        <v>27</v>
      </c>
      <c r="AD1609" t="b">
        <v>0</v>
      </c>
      <c r="AF1609" t="s">
        <v>5974</v>
      </c>
      <c r="AG1609" s="1" t="s">
        <v>310</v>
      </c>
      <c r="AH1609" s="1" t="s">
        <v>46</v>
      </c>
      <c r="AI1609">
        <v>86</v>
      </c>
      <c r="AJ1609">
        <v>33</v>
      </c>
      <c r="AK1609" s="106">
        <v>45475.635454560186</v>
      </c>
      <c r="AL1609" s="1" t="s">
        <v>4790</v>
      </c>
      <c r="AM1609" s="42">
        <f>IFERROR(INDEX('Public procurment'!A:R,MATCH(ListOfExpenditure[[#This Row],[Content.contractId]],'Public procurment'!E:E,0),14),0)</f>
        <v>0</v>
      </c>
      <c r="AN1609" s="2">
        <f>IF(AND(ListOfExpenditure[[#This Row],[Contract amount]]&gt;10000,ListOfExpenditure[[#This Row],[Content.declaredAmount]]&gt;2000),1,0)</f>
        <v>0</v>
      </c>
      <c r="AO1609">
        <f>IFERROR(INDEX('Public procurment'!A:S,MATCH(ListOfExpenditure[[#This Row],[Content.contractId]],'Public procurment'!E:E,0),19),0)</f>
        <v>0</v>
      </c>
      <c r="AP1609">
        <f>IF(ListOfExpenditure[[#This Row],[Numero di volte controllato il contract ]]&gt;0,0,ListOfExpenditure[[#This Row],[IF public procurment &gt;10000;1;0]])</f>
        <v>0</v>
      </c>
    </row>
    <row r="1610" spans="1:42" x14ac:dyDescent="0.25">
      <c r="A1610">
        <v>207</v>
      </c>
      <c r="B1610">
        <v>23</v>
      </c>
      <c r="E1610" t="s">
        <v>4786</v>
      </c>
      <c r="F1610" t="b">
        <v>0</v>
      </c>
      <c r="I1610" t="s">
        <v>5960</v>
      </c>
      <c r="K1610" t="s">
        <v>4877</v>
      </c>
      <c r="L1610" t="s">
        <v>4877</v>
      </c>
      <c r="M1610" t="s">
        <v>4788</v>
      </c>
      <c r="N1610" t="s">
        <v>4788</v>
      </c>
      <c r="O1610">
        <v>8414.2000000000007</v>
      </c>
      <c r="Q1610">
        <v>0</v>
      </c>
      <c r="R1610">
        <v>0</v>
      </c>
      <c r="S1610">
        <v>1262.1300000000001</v>
      </c>
      <c r="T1610" t="s">
        <v>4789</v>
      </c>
      <c r="U1610">
        <v>1</v>
      </c>
      <c r="V1610">
        <v>1262.1300000000001</v>
      </c>
      <c r="W1610" t="s">
        <v>4343</v>
      </c>
      <c r="Y1610" t="b">
        <v>1</v>
      </c>
      <c r="Z1610" t="b">
        <v>0</v>
      </c>
      <c r="AA1610">
        <v>959.38</v>
      </c>
      <c r="AB1610">
        <v>302.75</v>
      </c>
      <c r="AC1610">
        <v>27</v>
      </c>
      <c r="AD1610" t="b">
        <v>0</v>
      </c>
      <c r="AF1610" t="s">
        <v>5974</v>
      </c>
      <c r="AG1610" s="1" t="s">
        <v>310</v>
      </c>
      <c r="AH1610" s="1" t="s">
        <v>46</v>
      </c>
      <c r="AI1610">
        <v>86</v>
      </c>
      <c r="AJ1610">
        <v>33</v>
      </c>
      <c r="AK1610" s="106">
        <v>45475.635454560186</v>
      </c>
      <c r="AL1610" s="1" t="s">
        <v>4790</v>
      </c>
      <c r="AM1610" s="42">
        <f>IFERROR(INDEX('Public procurment'!A:R,MATCH(ListOfExpenditure[[#This Row],[Content.contractId]],'Public procurment'!E:E,0),14),0)</f>
        <v>0</v>
      </c>
      <c r="AN1610" s="2">
        <f>IF(AND(ListOfExpenditure[[#This Row],[Contract amount]]&gt;10000,ListOfExpenditure[[#This Row],[Content.declaredAmount]]&gt;2000),1,0)</f>
        <v>0</v>
      </c>
      <c r="AO1610">
        <f>IFERROR(INDEX('Public procurment'!A:S,MATCH(ListOfExpenditure[[#This Row],[Content.contractId]],'Public procurment'!E:E,0),19),0)</f>
        <v>0</v>
      </c>
      <c r="AP1610">
        <f>IF(ListOfExpenditure[[#This Row],[Numero di volte controllato il contract ]]&gt;0,0,ListOfExpenditure[[#This Row],[IF public procurment &gt;10000;1;0]])</f>
        <v>0</v>
      </c>
    </row>
    <row r="1611" spans="1:42" x14ac:dyDescent="0.25">
      <c r="A1611">
        <v>208</v>
      </c>
      <c r="B1611">
        <v>24</v>
      </c>
      <c r="E1611" t="s">
        <v>4786</v>
      </c>
      <c r="F1611" t="b">
        <v>0</v>
      </c>
      <c r="I1611" t="s">
        <v>5960</v>
      </c>
      <c r="K1611" t="s">
        <v>4873</v>
      </c>
      <c r="L1611" t="s">
        <v>4873</v>
      </c>
      <c r="M1611" t="s">
        <v>4788</v>
      </c>
      <c r="N1611" t="s">
        <v>4788</v>
      </c>
      <c r="O1611">
        <v>6187.96</v>
      </c>
      <c r="Q1611">
        <v>0</v>
      </c>
      <c r="R1611">
        <v>0</v>
      </c>
      <c r="S1611">
        <v>928.19</v>
      </c>
      <c r="T1611" t="s">
        <v>4789</v>
      </c>
      <c r="U1611">
        <v>1</v>
      </c>
      <c r="V1611">
        <v>928.19</v>
      </c>
      <c r="W1611" t="s">
        <v>4343</v>
      </c>
      <c r="Y1611" t="b">
        <v>1</v>
      </c>
      <c r="Z1611" t="b">
        <v>0</v>
      </c>
      <c r="AA1611">
        <v>869.54</v>
      </c>
      <c r="AB1611">
        <v>58.65</v>
      </c>
      <c r="AC1611">
        <v>27</v>
      </c>
      <c r="AD1611" t="b">
        <v>0</v>
      </c>
      <c r="AF1611" t="s">
        <v>5975</v>
      </c>
      <c r="AG1611" s="1" t="s">
        <v>310</v>
      </c>
      <c r="AH1611" s="1" t="s">
        <v>46</v>
      </c>
      <c r="AI1611">
        <v>86</v>
      </c>
      <c r="AJ1611">
        <v>33</v>
      </c>
      <c r="AK1611" s="106">
        <v>45475.635454560186</v>
      </c>
      <c r="AL1611" s="1" t="s">
        <v>4790</v>
      </c>
      <c r="AM1611" s="42">
        <f>IFERROR(INDEX('Public procurment'!A:R,MATCH(ListOfExpenditure[[#This Row],[Content.contractId]],'Public procurment'!E:E,0),14),0)</f>
        <v>0</v>
      </c>
      <c r="AN1611" s="2">
        <f>IF(AND(ListOfExpenditure[[#This Row],[Contract amount]]&gt;10000,ListOfExpenditure[[#This Row],[Content.declaredAmount]]&gt;2000),1,0)</f>
        <v>0</v>
      </c>
      <c r="AO1611">
        <f>IFERROR(INDEX('Public procurment'!A:S,MATCH(ListOfExpenditure[[#This Row],[Content.contractId]],'Public procurment'!E:E,0),19),0)</f>
        <v>0</v>
      </c>
      <c r="AP1611">
        <f>IF(ListOfExpenditure[[#This Row],[Numero di volte controllato il contract ]]&gt;0,0,ListOfExpenditure[[#This Row],[IF public procurment &gt;10000;1;0]])</f>
        <v>0</v>
      </c>
    </row>
    <row r="1612" spans="1:42" x14ac:dyDescent="0.25">
      <c r="A1612">
        <v>209</v>
      </c>
      <c r="B1612">
        <v>25</v>
      </c>
      <c r="E1612" t="s">
        <v>4786</v>
      </c>
      <c r="F1612" t="b">
        <v>0</v>
      </c>
      <c r="I1612" t="s">
        <v>5960</v>
      </c>
      <c r="K1612" t="s">
        <v>4831</v>
      </c>
      <c r="L1612" t="s">
        <v>4831</v>
      </c>
      <c r="M1612" t="s">
        <v>4788</v>
      </c>
      <c r="N1612" t="s">
        <v>4788</v>
      </c>
      <c r="O1612">
        <v>8595.92</v>
      </c>
      <c r="Q1612">
        <v>0</v>
      </c>
      <c r="R1612">
        <v>0</v>
      </c>
      <c r="S1612">
        <v>1289.3900000000001</v>
      </c>
      <c r="T1612" t="s">
        <v>4789</v>
      </c>
      <c r="U1612">
        <v>1</v>
      </c>
      <c r="V1612">
        <v>1289.3900000000001</v>
      </c>
      <c r="W1612" t="s">
        <v>4343</v>
      </c>
      <c r="Y1612" t="b">
        <v>1</v>
      </c>
      <c r="Z1612" t="b">
        <v>0</v>
      </c>
      <c r="AA1612">
        <v>0</v>
      </c>
      <c r="AB1612">
        <v>0</v>
      </c>
      <c r="AD1612" t="b">
        <v>1</v>
      </c>
      <c r="AF1612" t="s">
        <v>5976</v>
      </c>
      <c r="AG1612" s="1" t="s">
        <v>310</v>
      </c>
      <c r="AH1612" s="1" t="s">
        <v>46</v>
      </c>
      <c r="AI1612">
        <v>86</v>
      </c>
      <c r="AJ1612">
        <v>33</v>
      </c>
      <c r="AK1612" s="106">
        <v>45475.635454560186</v>
      </c>
      <c r="AL1612" s="1" t="s">
        <v>4790</v>
      </c>
      <c r="AM1612" s="42">
        <f>IFERROR(INDEX('Public procurment'!A:R,MATCH(ListOfExpenditure[[#This Row],[Content.contractId]],'Public procurment'!E:E,0),14),0)</f>
        <v>0</v>
      </c>
      <c r="AN1612" s="2">
        <f>IF(AND(ListOfExpenditure[[#This Row],[Contract amount]]&gt;10000,ListOfExpenditure[[#This Row],[Content.declaredAmount]]&gt;2000),1,0)</f>
        <v>0</v>
      </c>
      <c r="AO1612">
        <f>IFERROR(INDEX('Public procurment'!A:S,MATCH(ListOfExpenditure[[#This Row],[Content.contractId]],'Public procurment'!E:E,0),19),0)</f>
        <v>0</v>
      </c>
      <c r="AP1612">
        <f>IF(ListOfExpenditure[[#This Row],[Numero di volte controllato il contract ]]&gt;0,0,ListOfExpenditure[[#This Row],[IF public procurment &gt;10000;1;0]])</f>
        <v>0</v>
      </c>
    </row>
    <row r="1613" spans="1:42" x14ac:dyDescent="0.25">
      <c r="A1613">
        <v>210</v>
      </c>
      <c r="B1613">
        <v>26</v>
      </c>
      <c r="E1613" t="s">
        <v>4786</v>
      </c>
      <c r="F1613" t="b">
        <v>0</v>
      </c>
      <c r="I1613" t="s">
        <v>5961</v>
      </c>
      <c r="K1613" t="s">
        <v>5384</v>
      </c>
      <c r="L1613" t="s">
        <v>5384</v>
      </c>
      <c r="M1613" t="s">
        <v>4788</v>
      </c>
      <c r="N1613" t="s">
        <v>4788</v>
      </c>
      <c r="O1613">
        <v>2470.59</v>
      </c>
      <c r="Q1613">
        <v>0</v>
      </c>
      <c r="R1613">
        <v>0</v>
      </c>
      <c r="S1613">
        <v>370.59</v>
      </c>
      <c r="T1613" t="s">
        <v>4789</v>
      </c>
      <c r="U1613">
        <v>1</v>
      </c>
      <c r="V1613">
        <v>370.59</v>
      </c>
      <c r="W1613" t="s">
        <v>4343</v>
      </c>
      <c r="Y1613" t="b">
        <v>1</v>
      </c>
      <c r="Z1613" t="b">
        <v>0</v>
      </c>
      <c r="AA1613">
        <v>370.59</v>
      </c>
      <c r="AB1613">
        <v>0</v>
      </c>
      <c r="AD1613" t="b">
        <v>0</v>
      </c>
      <c r="AG1613" s="1" t="s">
        <v>310</v>
      </c>
      <c r="AH1613" s="1" t="s">
        <v>46</v>
      </c>
      <c r="AI1613">
        <v>86</v>
      </c>
      <c r="AJ1613">
        <v>33</v>
      </c>
      <c r="AK1613" s="106">
        <v>45475.635454560186</v>
      </c>
      <c r="AL1613" s="1" t="s">
        <v>4790</v>
      </c>
      <c r="AM1613" s="42">
        <f>IFERROR(INDEX('Public procurment'!A:R,MATCH(ListOfExpenditure[[#This Row],[Content.contractId]],'Public procurment'!E:E,0),14),0)</f>
        <v>0</v>
      </c>
      <c r="AN1613" s="2">
        <f>IF(AND(ListOfExpenditure[[#This Row],[Contract amount]]&gt;10000,ListOfExpenditure[[#This Row],[Content.declaredAmount]]&gt;2000),1,0)</f>
        <v>0</v>
      </c>
      <c r="AO1613">
        <f>IFERROR(INDEX('Public procurment'!A:S,MATCH(ListOfExpenditure[[#This Row],[Content.contractId]],'Public procurment'!E:E,0),19),0)</f>
        <v>0</v>
      </c>
      <c r="AP1613">
        <f>IF(ListOfExpenditure[[#This Row],[Numero di volte controllato il contract ]]&gt;0,0,ListOfExpenditure[[#This Row],[IF public procurment &gt;10000;1;0]])</f>
        <v>0</v>
      </c>
    </row>
    <row r="1614" spans="1:42" x14ac:dyDescent="0.25">
      <c r="A1614">
        <v>211</v>
      </c>
      <c r="B1614">
        <v>27</v>
      </c>
      <c r="E1614" t="s">
        <v>4786</v>
      </c>
      <c r="F1614" t="b">
        <v>0</v>
      </c>
      <c r="I1614" t="s">
        <v>5961</v>
      </c>
      <c r="K1614" t="s">
        <v>4877</v>
      </c>
      <c r="L1614" t="s">
        <v>4877</v>
      </c>
      <c r="M1614" t="s">
        <v>4788</v>
      </c>
      <c r="N1614" t="s">
        <v>4788</v>
      </c>
      <c r="O1614">
        <v>2663.77</v>
      </c>
      <c r="Q1614">
        <v>0</v>
      </c>
      <c r="R1614">
        <v>0</v>
      </c>
      <c r="S1614">
        <v>399.56</v>
      </c>
      <c r="T1614" t="s">
        <v>4789</v>
      </c>
      <c r="U1614">
        <v>1</v>
      </c>
      <c r="V1614">
        <v>399.56</v>
      </c>
      <c r="W1614" t="s">
        <v>4343</v>
      </c>
      <c r="Y1614" t="b">
        <v>1</v>
      </c>
      <c r="Z1614" t="b">
        <v>0</v>
      </c>
      <c r="AA1614">
        <v>380.49</v>
      </c>
      <c r="AB1614">
        <v>19.07</v>
      </c>
      <c r="AC1614">
        <v>27</v>
      </c>
      <c r="AD1614" t="b">
        <v>0</v>
      </c>
      <c r="AF1614" t="s">
        <v>5977</v>
      </c>
      <c r="AG1614" s="1" t="s">
        <v>310</v>
      </c>
      <c r="AH1614" s="1" t="s">
        <v>46</v>
      </c>
      <c r="AI1614">
        <v>86</v>
      </c>
      <c r="AJ1614">
        <v>33</v>
      </c>
      <c r="AK1614" s="106">
        <v>45475.635454560186</v>
      </c>
      <c r="AL1614" s="1" t="s">
        <v>4790</v>
      </c>
      <c r="AM1614" s="42">
        <f>IFERROR(INDEX('Public procurment'!A:R,MATCH(ListOfExpenditure[[#This Row],[Content.contractId]],'Public procurment'!E:E,0),14),0)</f>
        <v>0</v>
      </c>
      <c r="AN1614" s="2">
        <f>IF(AND(ListOfExpenditure[[#This Row],[Contract amount]]&gt;10000,ListOfExpenditure[[#This Row],[Content.declaredAmount]]&gt;2000),1,0)</f>
        <v>0</v>
      </c>
      <c r="AO1614">
        <f>IFERROR(INDEX('Public procurment'!A:S,MATCH(ListOfExpenditure[[#This Row],[Content.contractId]],'Public procurment'!E:E,0),19),0)</f>
        <v>0</v>
      </c>
      <c r="AP1614">
        <f>IF(ListOfExpenditure[[#This Row],[Numero di volte controllato il contract ]]&gt;0,0,ListOfExpenditure[[#This Row],[IF public procurment &gt;10000;1;0]])</f>
        <v>0</v>
      </c>
    </row>
    <row r="1615" spans="1:42" x14ac:dyDescent="0.25">
      <c r="A1615">
        <v>212</v>
      </c>
      <c r="B1615">
        <v>28</v>
      </c>
      <c r="E1615" t="s">
        <v>4786</v>
      </c>
      <c r="F1615" t="b">
        <v>0</v>
      </c>
      <c r="I1615" t="s">
        <v>5961</v>
      </c>
      <c r="K1615" t="s">
        <v>4873</v>
      </c>
      <c r="L1615" t="s">
        <v>4873</v>
      </c>
      <c r="M1615" t="s">
        <v>4788</v>
      </c>
      <c r="N1615" t="s">
        <v>4788</v>
      </c>
      <c r="O1615">
        <v>2478.3200000000002</v>
      </c>
      <c r="Q1615">
        <v>0</v>
      </c>
      <c r="R1615">
        <v>0</v>
      </c>
      <c r="S1615">
        <v>371.75</v>
      </c>
      <c r="T1615" t="s">
        <v>4789</v>
      </c>
      <c r="U1615">
        <v>1</v>
      </c>
      <c r="V1615">
        <v>371.75</v>
      </c>
      <c r="W1615" t="s">
        <v>4343</v>
      </c>
      <c r="Y1615" t="b">
        <v>1</v>
      </c>
      <c r="Z1615" t="b">
        <v>0</v>
      </c>
      <c r="AA1615">
        <v>371.75</v>
      </c>
      <c r="AB1615">
        <v>0</v>
      </c>
      <c r="AD1615" t="b">
        <v>0</v>
      </c>
      <c r="AG1615" s="1" t="s">
        <v>310</v>
      </c>
      <c r="AH1615" s="1" t="s">
        <v>46</v>
      </c>
      <c r="AI1615">
        <v>86</v>
      </c>
      <c r="AJ1615">
        <v>33</v>
      </c>
      <c r="AK1615" s="106">
        <v>45475.635454560186</v>
      </c>
      <c r="AL1615" s="1" t="s">
        <v>4790</v>
      </c>
      <c r="AM1615" s="42">
        <f>IFERROR(INDEX('Public procurment'!A:R,MATCH(ListOfExpenditure[[#This Row],[Content.contractId]],'Public procurment'!E:E,0),14),0)</f>
        <v>0</v>
      </c>
      <c r="AN1615" s="2">
        <f>IF(AND(ListOfExpenditure[[#This Row],[Contract amount]]&gt;10000,ListOfExpenditure[[#This Row],[Content.declaredAmount]]&gt;2000),1,0)</f>
        <v>0</v>
      </c>
      <c r="AO1615">
        <f>IFERROR(INDEX('Public procurment'!A:S,MATCH(ListOfExpenditure[[#This Row],[Content.contractId]],'Public procurment'!E:E,0),19),0)</f>
        <v>0</v>
      </c>
      <c r="AP1615">
        <f>IF(ListOfExpenditure[[#This Row],[Numero di volte controllato il contract ]]&gt;0,0,ListOfExpenditure[[#This Row],[IF public procurment &gt;10000;1;0]])</f>
        <v>0</v>
      </c>
    </row>
    <row r="1616" spans="1:42" x14ac:dyDescent="0.25">
      <c r="A1616">
        <v>213</v>
      </c>
      <c r="B1616">
        <v>29</v>
      </c>
      <c r="E1616" t="s">
        <v>4786</v>
      </c>
      <c r="F1616" t="b">
        <v>0</v>
      </c>
      <c r="I1616" t="s">
        <v>5961</v>
      </c>
      <c r="K1616" t="s">
        <v>4831</v>
      </c>
      <c r="L1616" t="s">
        <v>4831</v>
      </c>
      <c r="M1616" t="s">
        <v>4788</v>
      </c>
      <c r="N1616" t="s">
        <v>4788</v>
      </c>
      <c r="O1616">
        <v>3600.48</v>
      </c>
      <c r="Q1616">
        <v>0</v>
      </c>
      <c r="R1616">
        <v>0</v>
      </c>
      <c r="S1616">
        <v>540.07000000000005</v>
      </c>
      <c r="T1616" t="s">
        <v>4789</v>
      </c>
      <c r="U1616">
        <v>1</v>
      </c>
      <c r="V1616">
        <v>540.07000000000005</v>
      </c>
      <c r="W1616" t="s">
        <v>4343</v>
      </c>
      <c r="Y1616" t="b">
        <v>1</v>
      </c>
      <c r="Z1616" t="b">
        <v>0</v>
      </c>
      <c r="AA1616">
        <v>0</v>
      </c>
      <c r="AB1616">
        <v>0</v>
      </c>
      <c r="AD1616" t="b">
        <v>1</v>
      </c>
      <c r="AF1616" t="s">
        <v>5972</v>
      </c>
      <c r="AG1616" s="1" t="s">
        <v>310</v>
      </c>
      <c r="AH1616" s="1" t="s">
        <v>46</v>
      </c>
      <c r="AI1616">
        <v>86</v>
      </c>
      <c r="AJ1616">
        <v>33</v>
      </c>
      <c r="AK1616" s="106">
        <v>45475.635454560186</v>
      </c>
      <c r="AL1616" s="1" t="s">
        <v>4790</v>
      </c>
      <c r="AM1616" s="42">
        <f>IFERROR(INDEX('Public procurment'!A:R,MATCH(ListOfExpenditure[[#This Row],[Content.contractId]],'Public procurment'!E:E,0),14),0)</f>
        <v>0</v>
      </c>
      <c r="AN1616" s="2">
        <f>IF(AND(ListOfExpenditure[[#This Row],[Contract amount]]&gt;10000,ListOfExpenditure[[#This Row],[Content.declaredAmount]]&gt;2000),1,0)</f>
        <v>0</v>
      </c>
      <c r="AO1616">
        <f>IFERROR(INDEX('Public procurment'!A:S,MATCH(ListOfExpenditure[[#This Row],[Content.contractId]],'Public procurment'!E:E,0),19),0)</f>
        <v>0</v>
      </c>
      <c r="AP1616">
        <f>IF(ListOfExpenditure[[#This Row],[Numero di volte controllato il contract ]]&gt;0,0,ListOfExpenditure[[#This Row],[IF public procurment &gt;10000;1;0]])</f>
        <v>0</v>
      </c>
    </row>
    <row r="1617" spans="1:42" x14ac:dyDescent="0.25">
      <c r="A1617">
        <v>215</v>
      </c>
      <c r="B1617">
        <v>30</v>
      </c>
      <c r="E1617" t="s">
        <v>4786</v>
      </c>
      <c r="F1617" t="b">
        <v>0</v>
      </c>
      <c r="I1617" t="s">
        <v>4979</v>
      </c>
      <c r="K1617" t="s">
        <v>5384</v>
      </c>
      <c r="L1617" t="s">
        <v>5384</v>
      </c>
      <c r="M1617" t="s">
        <v>4788</v>
      </c>
      <c r="N1617" t="s">
        <v>4788</v>
      </c>
      <c r="O1617">
        <v>2274.58</v>
      </c>
      <c r="Q1617">
        <v>0</v>
      </c>
      <c r="R1617">
        <v>0</v>
      </c>
      <c r="S1617">
        <v>341.19</v>
      </c>
      <c r="T1617" t="s">
        <v>4789</v>
      </c>
      <c r="U1617">
        <v>1</v>
      </c>
      <c r="V1617">
        <v>341.19</v>
      </c>
      <c r="W1617" t="s">
        <v>4343</v>
      </c>
      <c r="Y1617" t="b">
        <v>1</v>
      </c>
      <c r="Z1617" t="b">
        <v>0</v>
      </c>
      <c r="AA1617">
        <v>341.19</v>
      </c>
      <c r="AB1617">
        <v>0</v>
      </c>
      <c r="AD1617" t="b">
        <v>0</v>
      </c>
      <c r="AF1617" t="s">
        <v>212</v>
      </c>
      <c r="AG1617" s="1" t="s">
        <v>310</v>
      </c>
      <c r="AH1617" s="1" t="s">
        <v>46</v>
      </c>
      <c r="AI1617">
        <v>86</v>
      </c>
      <c r="AJ1617">
        <v>33</v>
      </c>
      <c r="AK1617" s="106">
        <v>45475.635454560186</v>
      </c>
      <c r="AL1617" s="1" t="s">
        <v>4790</v>
      </c>
      <c r="AM1617" s="42">
        <f>IFERROR(INDEX('Public procurment'!A:R,MATCH(ListOfExpenditure[[#This Row],[Content.contractId]],'Public procurment'!E:E,0),14),0)</f>
        <v>0</v>
      </c>
      <c r="AN1617" s="2">
        <f>IF(AND(ListOfExpenditure[[#This Row],[Contract amount]]&gt;10000,ListOfExpenditure[[#This Row],[Content.declaredAmount]]&gt;2000),1,0)</f>
        <v>0</v>
      </c>
      <c r="AO1617">
        <f>IFERROR(INDEX('Public procurment'!A:S,MATCH(ListOfExpenditure[[#This Row],[Content.contractId]],'Public procurment'!E:E,0),19),0)</f>
        <v>0</v>
      </c>
      <c r="AP1617">
        <f>IF(ListOfExpenditure[[#This Row],[Numero di volte controllato il contract ]]&gt;0,0,ListOfExpenditure[[#This Row],[IF public procurment &gt;10000;1;0]])</f>
        <v>0</v>
      </c>
    </row>
    <row r="1618" spans="1:42" x14ac:dyDescent="0.25">
      <c r="A1618">
        <v>216</v>
      </c>
      <c r="B1618">
        <v>31</v>
      </c>
      <c r="E1618" t="s">
        <v>4786</v>
      </c>
      <c r="F1618" t="b">
        <v>0</v>
      </c>
      <c r="I1618" t="s">
        <v>4979</v>
      </c>
      <c r="K1618" t="s">
        <v>4877</v>
      </c>
      <c r="L1618" t="s">
        <v>4877</v>
      </c>
      <c r="M1618" t="s">
        <v>4788</v>
      </c>
      <c r="N1618" t="s">
        <v>4788</v>
      </c>
      <c r="O1618">
        <v>2440.4299999999998</v>
      </c>
      <c r="Q1618">
        <v>0</v>
      </c>
      <c r="R1618">
        <v>0</v>
      </c>
      <c r="S1618">
        <v>366.06</v>
      </c>
      <c r="T1618" t="s">
        <v>4789</v>
      </c>
      <c r="U1618">
        <v>1</v>
      </c>
      <c r="V1618">
        <v>366.06</v>
      </c>
      <c r="W1618" t="s">
        <v>4343</v>
      </c>
      <c r="Y1618" t="b">
        <v>1</v>
      </c>
      <c r="Z1618" t="b">
        <v>0</v>
      </c>
      <c r="AA1618">
        <v>348.72</v>
      </c>
      <c r="AB1618">
        <v>17.34</v>
      </c>
      <c r="AC1618">
        <v>27</v>
      </c>
      <c r="AD1618" t="b">
        <v>0</v>
      </c>
      <c r="AF1618" t="s">
        <v>5977</v>
      </c>
      <c r="AG1618" s="1" t="s">
        <v>310</v>
      </c>
      <c r="AH1618" s="1" t="s">
        <v>46</v>
      </c>
      <c r="AI1618">
        <v>86</v>
      </c>
      <c r="AJ1618">
        <v>33</v>
      </c>
      <c r="AK1618" s="106">
        <v>45475.635454560186</v>
      </c>
      <c r="AL1618" s="1" t="s">
        <v>4790</v>
      </c>
      <c r="AM1618" s="42">
        <f>IFERROR(INDEX('Public procurment'!A:R,MATCH(ListOfExpenditure[[#This Row],[Content.contractId]],'Public procurment'!E:E,0),14),0)</f>
        <v>0</v>
      </c>
      <c r="AN1618" s="2">
        <f>IF(AND(ListOfExpenditure[[#This Row],[Contract amount]]&gt;10000,ListOfExpenditure[[#This Row],[Content.declaredAmount]]&gt;2000),1,0)</f>
        <v>0</v>
      </c>
      <c r="AO1618">
        <f>IFERROR(INDEX('Public procurment'!A:S,MATCH(ListOfExpenditure[[#This Row],[Content.contractId]],'Public procurment'!E:E,0),19),0)</f>
        <v>0</v>
      </c>
      <c r="AP1618">
        <f>IF(ListOfExpenditure[[#This Row],[Numero di volte controllato il contract ]]&gt;0,0,ListOfExpenditure[[#This Row],[IF public procurment &gt;10000;1;0]])</f>
        <v>0</v>
      </c>
    </row>
    <row r="1619" spans="1:42" x14ac:dyDescent="0.25">
      <c r="A1619">
        <v>217</v>
      </c>
      <c r="B1619">
        <v>32</v>
      </c>
      <c r="E1619" t="s">
        <v>4786</v>
      </c>
      <c r="F1619" t="b">
        <v>0</v>
      </c>
      <c r="I1619" t="s">
        <v>4979</v>
      </c>
      <c r="K1619" t="s">
        <v>4873</v>
      </c>
      <c r="L1619" t="s">
        <v>4873</v>
      </c>
      <c r="M1619" t="s">
        <v>4788</v>
      </c>
      <c r="N1619" t="s">
        <v>4788</v>
      </c>
      <c r="O1619">
        <v>2218.6</v>
      </c>
      <c r="Q1619">
        <v>0</v>
      </c>
      <c r="R1619">
        <v>0</v>
      </c>
      <c r="S1619">
        <v>332.79</v>
      </c>
      <c r="T1619" t="s">
        <v>4789</v>
      </c>
      <c r="U1619">
        <v>1</v>
      </c>
      <c r="V1619">
        <v>332.79</v>
      </c>
      <c r="W1619" t="s">
        <v>4343</v>
      </c>
      <c r="Y1619" t="b">
        <v>1</v>
      </c>
      <c r="Z1619" t="b">
        <v>0</v>
      </c>
      <c r="AA1619">
        <v>332.79</v>
      </c>
      <c r="AB1619">
        <v>0</v>
      </c>
      <c r="AD1619" t="b">
        <v>0</v>
      </c>
      <c r="AG1619" s="1" t="s">
        <v>310</v>
      </c>
      <c r="AH1619" s="1" t="s">
        <v>46</v>
      </c>
      <c r="AI1619">
        <v>86</v>
      </c>
      <c r="AJ1619">
        <v>33</v>
      </c>
      <c r="AK1619" s="106">
        <v>45475.635454560186</v>
      </c>
      <c r="AL1619" s="1" t="s">
        <v>4790</v>
      </c>
      <c r="AM1619" s="42">
        <f>IFERROR(INDEX('Public procurment'!A:R,MATCH(ListOfExpenditure[[#This Row],[Content.contractId]],'Public procurment'!E:E,0),14),0)</f>
        <v>0</v>
      </c>
      <c r="AN1619" s="2">
        <f>IF(AND(ListOfExpenditure[[#This Row],[Contract amount]]&gt;10000,ListOfExpenditure[[#This Row],[Content.declaredAmount]]&gt;2000),1,0)</f>
        <v>0</v>
      </c>
      <c r="AO1619">
        <f>IFERROR(INDEX('Public procurment'!A:S,MATCH(ListOfExpenditure[[#This Row],[Content.contractId]],'Public procurment'!E:E,0),19),0)</f>
        <v>0</v>
      </c>
      <c r="AP1619">
        <f>IF(ListOfExpenditure[[#This Row],[Numero di volte controllato il contract ]]&gt;0,0,ListOfExpenditure[[#This Row],[IF public procurment &gt;10000;1;0]])</f>
        <v>0</v>
      </c>
    </row>
    <row r="1620" spans="1:42" x14ac:dyDescent="0.25">
      <c r="A1620">
        <v>218</v>
      </c>
      <c r="B1620">
        <v>33</v>
      </c>
      <c r="E1620" t="s">
        <v>4786</v>
      </c>
      <c r="F1620" t="b">
        <v>0</v>
      </c>
      <c r="I1620" t="s">
        <v>4979</v>
      </c>
      <c r="K1620" t="s">
        <v>4831</v>
      </c>
      <c r="L1620" t="s">
        <v>4831</v>
      </c>
      <c r="M1620" t="s">
        <v>4788</v>
      </c>
      <c r="N1620" t="s">
        <v>4788</v>
      </c>
      <c r="O1620">
        <v>3134.08</v>
      </c>
      <c r="Q1620">
        <v>0</v>
      </c>
      <c r="R1620">
        <v>0</v>
      </c>
      <c r="S1620">
        <v>470.11</v>
      </c>
      <c r="T1620" t="s">
        <v>4789</v>
      </c>
      <c r="U1620">
        <v>1</v>
      </c>
      <c r="V1620">
        <v>470.11</v>
      </c>
      <c r="W1620" t="s">
        <v>4343</v>
      </c>
      <c r="Y1620" t="b">
        <v>1</v>
      </c>
      <c r="Z1620" t="b">
        <v>0</v>
      </c>
      <c r="AA1620">
        <v>0</v>
      </c>
      <c r="AB1620">
        <v>0</v>
      </c>
      <c r="AD1620" t="b">
        <v>1</v>
      </c>
      <c r="AF1620" t="s">
        <v>5978</v>
      </c>
      <c r="AG1620" s="1" t="s">
        <v>310</v>
      </c>
      <c r="AH1620" s="1" t="s">
        <v>46</v>
      </c>
      <c r="AI1620">
        <v>86</v>
      </c>
      <c r="AJ1620">
        <v>33</v>
      </c>
      <c r="AK1620" s="106">
        <v>45475.635454560186</v>
      </c>
      <c r="AL1620" s="1" t="s">
        <v>4790</v>
      </c>
      <c r="AM1620" s="42">
        <f>IFERROR(INDEX('Public procurment'!A:R,MATCH(ListOfExpenditure[[#This Row],[Content.contractId]],'Public procurment'!E:E,0),14),0)</f>
        <v>0</v>
      </c>
      <c r="AN1620" s="2">
        <f>IF(AND(ListOfExpenditure[[#This Row],[Contract amount]]&gt;10000,ListOfExpenditure[[#This Row],[Content.declaredAmount]]&gt;2000),1,0)</f>
        <v>0</v>
      </c>
      <c r="AO1620">
        <f>IFERROR(INDEX('Public procurment'!A:S,MATCH(ListOfExpenditure[[#This Row],[Content.contractId]],'Public procurment'!E:E,0),19),0)</f>
        <v>0</v>
      </c>
      <c r="AP1620">
        <f>IF(ListOfExpenditure[[#This Row],[Numero di volte controllato il contract ]]&gt;0,0,ListOfExpenditure[[#This Row],[IF public procurment &gt;10000;1;0]])</f>
        <v>0</v>
      </c>
    </row>
    <row r="1621" spans="1:42" x14ac:dyDescent="0.25">
      <c r="A1621">
        <v>219</v>
      </c>
      <c r="B1621">
        <v>34</v>
      </c>
      <c r="E1621" t="s">
        <v>4786</v>
      </c>
      <c r="F1621" t="b">
        <v>0</v>
      </c>
      <c r="I1621" t="s">
        <v>5962</v>
      </c>
      <c r="K1621" t="s">
        <v>5384</v>
      </c>
      <c r="L1621" t="s">
        <v>5384</v>
      </c>
      <c r="M1621" t="s">
        <v>4788</v>
      </c>
      <c r="N1621" t="s">
        <v>4788</v>
      </c>
      <c r="O1621">
        <v>3255.65</v>
      </c>
      <c r="Q1621">
        <v>0</v>
      </c>
      <c r="R1621">
        <v>0</v>
      </c>
      <c r="S1621">
        <v>325.56</v>
      </c>
      <c r="T1621" t="s">
        <v>4789</v>
      </c>
      <c r="U1621">
        <v>1</v>
      </c>
      <c r="V1621">
        <v>325.56</v>
      </c>
      <c r="W1621" t="s">
        <v>4343</v>
      </c>
      <c r="Y1621" t="b">
        <v>1</v>
      </c>
      <c r="Z1621" t="b">
        <v>0</v>
      </c>
      <c r="AA1621">
        <v>318.63</v>
      </c>
      <c r="AB1621">
        <v>6.93</v>
      </c>
      <c r="AC1621">
        <v>27</v>
      </c>
      <c r="AD1621" t="b">
        <v>0</v>
      </c>
      <c r="AF1621" t="s">
        <v>5979</v>
      </c>
      <c r="AG1621" s="1" t="s">
        <v>310</v>
      </c>
      <c r="AH1621" s="1" t="s">
        <v>46</v>
      </c>
      <c r="AI1621">
        <v>86</v>
      </c>
      <c r="AJ1621">
        <v>33</v>
      </c>
      <c r="AK1621" s="106">
        <v>45475.635454560186</v>
      </c>
      <c r="AL1621" s="1" t="s">
        <v>4790</v>
      </c>
      <c r="AM1621" s="42">
        <f>IFERROR(INDEX('Public procurment'!A:R,MATCH(ListOfExpenditure[[#This Row],[Content.contractId]],'Public procurment'!E:E,0),14),0)</f>
        <v>0</v>
      </c>
      <c r="AN1621" s="2">
        <f>IF(AND(ListOfExpenditure[[#This Row],[Contract amount]]&gt;10000,ListOfExpenditure[[#This Row],[Content.declaredAmount]]&gt;2000),1,0)</f>
        <v>0</v>
      </c>
      <c r="AO1621">
        <f>IFERROR(INDEX('Public procurment'!A:S,MATCH(ListOfExpenditure[[#This Row],[Content.contractId]],'Public procurment'!E:E,0),19),0)</f>
        <v>0</v>
      </c>
      <c r="AP1621">
        <f>IF(ListOfExpenditure[[#This Row],[Numero di volte controllato il contract ]]&gt;0,0,ListOfExpenditure[[#This Row],[IF public procurment &gt;10000;1;0]])</f>
        <v>0</v>
      </c>
    </row>
    <row r="1622" spans="1:42" x14ac:dyDescent="0.25">
      <c r="A1622">
        <v>220</v>
      </c>
      <c r="B1622">
        <v>35</v>
      </c>
      <c r="E1622" t="s">
        <v>4786</v>
      </c>
      <c r="F1622" t="b">
        <v>0</v>
      </c>
      <c r="I1622" t="s">
        <v>5962</v>
      </c>
      <c r="K1622" t="s">
        <v>4877</v>
      </c>
      <c r="L1622" t="s">
        <v>4877</v>
      </c>
      <c r="M1622" t="s">
        <v>4788</v>
      </c>
      <c r="N1622" t="s">
        <v>4788</v>
      </c>
      <c r="O1622">
        <v>4678</v>
      </c>
      <c r="Q1622">
        <v>0</v>
      </c>
      <c r="R1622">
        <v>0</v>
      </c>
      <c r="S1622">
        <v>467.8</v>
      </c>
      <c r="T1622" t="s">
        <v>4789</v>
      </c>
      <c r="U1622">
        <v>1</v>
      </c>
      <c r="V1622">
        <v>467.8</v>
      </c>
      <c r="W1622" t="s">
        <v>4343</v>
      </c>
      <c r="Y1622" t="b">
        <v>1</v>
      </c>
      <c r="Z1622" t="b">
        <v>0</v>
      </c>
      <c r="AA1622">
        <v>332.21</v>
      </c>
      <c r="AB1622">
        <v>135.59</v>
      </c>
      <c r="AC1622">
        <v>27</v>
      </c>
      <c r="AD1622" t="b">
        <v>0</v>
      </c>
      <c r="AF1622" t="s">
        <v>5980</v>
      </c>
      <c r="AG1622" s="1" t="s">
        <v>310</v>
      </c>
      <c r="AH1622" s="1" t="s">
        <v>46</v>
      </c>
      <c r="AI1622">
        <v>86</v>
      </c>
      <c r="AJ1622">
        <v>33</v>
      </c>
      <c r="AK1622" s="106">
        <v>45475.635454560186</v>
      </c>
      <c r="AL1622" s="1" t="s">
        <v>4790</v>
      </c>
      <c r="AM1622" s="42">
        <f>IFERROR(INDEX('Public procurment'!A:R,MATCH(ListOfExpenditure[[#This Row],[Content.contractId]],'Public procurment'!E:E,0),14),0)</f>
        <v>0</v>
      </c>
      <c r="AN1622" s="2">
        <f>IF(AND(ListOfExpenditure[[#This Row],[Contract amount]]&gt;10000,ListOfExpenditure[[#This Row],[Content.declaredAmount]]&gt;2000),1,0)</f>
        <v>0</v>
      </c>
      <c r="AO1622">
        <f>IFERROR(INDEX('Public procurment'!A:S,MATCH(ListOfExpenditure[[#This Row],[Content.contractId]],'Public procurment'!E:E,0),19),0)</f>
        <v>0</v>
      </c>
      <c r="AP1622">
        <f>IF(ListOfExpenditure[[#This Row],[Numero di volte controllato il contract ]]&gt;0,0,ListOfExpenditure[[#This Row],[IF public procurment &gt;10000;1;0]])</f>
        <v>0</v>
      </c>
    </row>
    <row r="1623" spans="1:42" x14ac:dyDescent="0.25">
      <c r="A1623">
        <v>221</v>
      </c>
      <c r="B1623">
        <v>36</v>
      </c>
      <c r="E1623" t="s">
        <v>4786</v>
      </c>
      <c r="F1623" t="b">
        <v>0</v>
      </c>
      <c r="I1623" t="s">
        <v>5962</v>
      </c>
      <c r="K1623" t="s">
        <v>4873</v>
      </c>
      <c r="L1623" t="s">
        <v>4873</v>
      </c>
      <c r="M1623" t="s">
        <v>4788</v>
      </c>
      <c r="N1623" t="s">
        <v>4788</v>
      </c>
      <c r="O1623">
        <v>3600.23</v>
      </c>
      <c r="Q1623">
        <v>0</v>
      </c>
      <c r="R1623">
        <v>0</v>
      </c>
      <c r="S1623">
        <v>360.02</v>
      </c>
      <c r="T1623" t="s">
        <v>4789</v>
      </c>
      <c r="U1623">
        <v>1</v>
      </c>
      <c r="V1623">
        <v>360.02</v>
      </c>
      <c r="W1623" t="s">
        <v>4343</v>
      </c>
      <c r="Y1623" t="b">
        <v>1</v>
      </c>
      <c r="Z1623" t="b">
        <v>0</v>
      </c>
      <c r="AA1623">
        <v>332.28</v>
      </c>
      <c r="AB1623">
        <v>27.74</v>
      </c>
      <c r="AC1623">
        <v>27</v>
      </c>
      <c r="AD1623" t="b">
        <v>0</v>
      </c>
      <c r="AF1623" t="s">
        <v>5981</v>
      </c>
      <c r="AG1623" s="1" t="s">
        <v>310</v>
      </c>
      <c r="AH1623" s="1" t="s">
        <v>46</v>
      </c>
      <c r="AI1623">
        <v>86</v>
      </c>
      <c r="AJ1623">
        <v>33</v>
      </c>
      <c r="AK1623" s="106">
        <v>45475.635454560186</v>
      </c>
      <c r="AL1623" s="1" t="s">
        <v>4790</v>
      </c>
      <c r="AM1623" s="42">
        <f>IFERROR(INDEX('Public procurment'!A:R,MATCH(ListOfExpenditure[[#This Row],[Content.contractId]],'Public procurment'!E:E,0),14),0)</f>
        <v>0</v>
      </c>
      <c r="AN1623" s="2">
        <f>IF(AND(ListOfExpenditure[[#This Row],[Contract amount]]&gt;10000,ListOfExpenditure[[#This Row],[Content.declaredAmount]]&gt;2000),1,0)</f>
        <v>0</v>
      </c>
      <c r="AO1623">
        <f>IFERROR(INDEX('Public procurment'!A:S,MATCH(ListOfExpenditure[[#This Row],[Content.contractId]],'Public procurment'!E:E,0),19),0)</f>
        <v>0</v>
      </c>
      <c r="AP1623">
        <f>IF(ListOfExpenditure[[#This Row],[Numero di volte controllato il contract ]]&gt;0,0,ListOfExpenditure[[#This Row],[IF public procurment &gt;10000;1;0]])</f>
        <v>0</v>
      </c>
    </row>
    <row r="1624" spans="1:42" x14ac:dyDescent="0.25">
      <c r="A1624">
        <v>222</v>
      </c>
      <c r="B1624">
        <v>37</v>
      </c>
      <c r="E1624" t="s">
        <v>4786</v>
      </c>
      <c r="F1624" t="b">
        <v>0</v>
      </c>
      <c r="I1624" t="s">
        <v>5962</v>
      </c>
      <c r="K1624" t="s">
        <v>4831</v>
      </c>
      <c r="L1624" t="s">
        <v>4831</v>
      </c>
      <c r="M1624" t="s">
        <v>4788</v>
      </c>
      <c r="N1624" t="s">
        <v>4788</v>
      </c>
      <c r="O1624">
        <v>3389.66</v>
      </c>
      <c r="Q1624">
        <v>0</v>
      </c>
      <c r="R1624">
        <v>0</v>
      </c>
      <c r="S1624">
        <v>338.97</v>
      </c>
      <c r="T1624" t="s">
        <v>4789</v>
      </c>
      <c r="U1624">
        <v>1</v>
      </c>
      <c r="V1624">
        <v>338.97</v>
      </c>
      <c r="W1624" t="s">
        <v>4343</v>
      </c>
      <c r="Y1624" t="b">
        <v>1</v>
      </c>
      <c r="Z1624" t="b">
        <v>0</v>
      </c>
      <c r="AA1624">
        <v>0</v>
      </c>
      <c r="AB1624">
        <v>0</v>
      </c>
      <c r="AD1624" t="b">
        <v>1</v>
      </c>
      <c r="AG1624" s="1" t="s">
        <v>310</v>
      </c>
      <c r="AH1624" s="1" t="s">
        <v>46</v>
      </c>
      <c r="AI1624">
        <v>86</v>
      </c>
      <c r="AJ1624">
        <v>33</v>
      </c>
      <c r="AK1624" s="106">
        <v>45475.635454560186</v>
      </c>
      <c r="AL1624" s="1" t="s">
        <v>4790</v>
      </c>
      <c r="AM1624" s="42">
        <f>IFERROR(INDEX('Public procurment'!A:R,MATCH(ListOfExpenditure[[#This Row],[Content.contractId]],'Public procurment'!E:E,0),14),0)</f>
        <v>0</v>
      </c>
      <c r="AN1624" s="2">
        <f>IF(AND(ListOfExpenditure[[#This Row],[Contract amount]]&gt;10000,ListOfExpenditure[[#This Row],[Content.declaredAmount]]&gt;2000),1,0)</f>
        <v>0</v>
      </c>
      <c r="AO1624">
        <f>IFERROR(INDEX('Public procurment'!A:S,MATCH(ListOfExpenditure[[#This Row],[Content.contractId]],'Public procurment'!E:E,0),19),0)</f>
        <v>0</v>
      </c>
      <c r="AP1624">
        <f>IF(ListOfExpenditure[[#This Row],[Numero di volte controllato il contract ]]&gt;0,0,ListOfExpenditure[[#This Row],[IF public procurment &gt;10000;1;0]])</f>
        <v>0</v>
      </c>
    </row>
    <row r="1625" spans="1:42" x14ac:dyDescent="0.25">
      <c r="A1625">
        <v>223</v>
      </c>
      <c r="B1625">
        <v>38</v>
      </c>
      <c r="E1625" t="s">
        <v>4786</v>
      </c>
      <c r="F1625" t="b">
        <v>0</v>
      </c>
      <c r="I1625" t="s">
        <v>5963</v>
      </c>
      <c r="K1625" t="s">
        <v>5384</v>
      </c>
      <c r="L1625" t="s">
        <v>5384</v>
      </c>
      <c r="M1625" t="s">
        <v>4788</v>
      </c>
      <c r="N1625" t="s">
        <v>4788</v>
      </c>
      <c r="O1625">
        <v>2448.5500000000002</v>
      </c>
      <c r="Q1625">
        <v>0</v>
      </c>
      <c r="R1625">
        <v>0</v>
      </c>
      <c r="S1625">
        <v>489.71</v>
      </c>
      <c r="T1625" t="s">
        <v>4789</v>
      </c>
      <c r="U1625">
        <v>1</v>
      </c>
      <c r="V1625">
        <v>489.71</v>
      </c>
      <c r="W1625" t="s">
        <v>4343</v>
      </c>
      <c r="Y1625" t="b">
        <v>1</v>
      </c>
      <c r="Z1625" t="b">
        <v>0</v>
      </c>
      <c r="AA1625">
        <v>489.71</v>
      </c>
      <c r="AB1625">
        <v>0</v>
      </c>
      <c r="AD1625" t="b">
        <v>0</v>
      </c>
      <c r="AG1625" s="1" t="s">
        <v>310</v>
      </c>
      <c r="AH1625" s="1" t="s">
        <v>46</v>
      </c>
      <c r="AI1625">
        <v>86</v>
      </c>
      <c r="AJ1625">
        <v>33</v>
      </c>
      <c r="AK1625" s="106">
        <v>45475.635454560186</v>
      </c>
      <c r="AL1625" s="1" t="s">
        <v>4790</v>
      </c>
      <c r="AM1625" s="42">
        <f>IFERROR(INDEX('Public procurment'!A:R,MATCH(ListOfExpenditure[[#This Row],[Content.contractId]],'Public procurment'!E:E,0),14),0)</f>
        <v>0</v>
      </c>
      <c r="AN1625" s="2">
        <f>IF(AND(ListOfExpenditure[[#This Row],[Contract amount]]&gt;10000,ListOfExpenditure[[#This Row],[Content.declaredAmount]]&gt;2000),1,0)</f>
        <v>0</v>
      </c>
      <c r="AO1625">
        <f>IFERROR(INDEX('Public procurment'!A:S,MATCH(ListOfExpenditure[[#This Row],[Content.contractId]],'Public procurment'!E:E,0),19),0)</f>
        <v>0</v>
      </c>
      <c r="AP1625">
        <f>IF(ListOfExpenditure[[#This Row],[Numero di volte controllato il contract ]]&gt;0,0,ListOfExpenditure[[#This Row],[IF public procurment &gt;10000;1;0]])</f>
        <v>0</v>
      </c>
    </row>
    <row r="1626" spans="1:42" x14ac:dyDescent="0.25">
      <c r="A1626">
        <v>224</v>
      </c>
      <c r="B1626">
        <v>39</v>
      </c>
      <c r="E1626" t="s">
        <v>4786</v>
      </c>
      <c r="F1626" t="b">
        <v>0</v>
      </c>
      <c r="I1626" t="s">
        <v>5963</v>
      </c>
      <c r="K1626" t="s">
        <v>4877</v>
      </c>
      <c r="L1626" t="s">
        <v>4877</v>
      </c>
      <c r="M1626" t="s">
        <v>4788</v>
      </c>
      <c r="N1626" t="s">
        <v>4788</v>
      </c>
      <c r="O1626">
        <v>2520.1999999999998</v>
      </c>
      <c r="Q1626">
        <v>0</v>
      </c>
      <c r="R1626">
        <v>0</v>
      </c>
      <c r="S1626">
        <v>504.04</v>
      </c>
      <c r="T1626" t="s">
        <v>4789</v>
      </c>
      <c r="U1626">
        <v>1</v>
      </c>
      <c r="V1626">
        <v>504.04</v>
      </c>
      <c r="W1626" t="s">
        <v>4343</v>
      </c>
      <c r="Y1626" t="b">
        <v>1</v>
      </c>
      <c r="Z1626" t="b">
        <v>0</v>
      </c>
      <c r="AA1626">
        <v>469.51</v>
      </c>
      <c r="AB1626">
        <v>34.53</v>
      </c>
      <c r="AC1626">
        <v>27</v>
      </c>
      <c r="AD1626" t="b">
        <v>0</v>
      </c>
      <c r="AF1626" t="s">
        <v>5982</v>
      </c>
      <c r="AG1626" s="1" t="s">
        <v>310</v>
      </c>
      <c r="AH1626" s="1" t="s">
        <v>46</v>
      </c>
      <c r="AI1626">
        <v>86</v>
      </c>
      <c r="AJ1626">
        <v>33</v>
      </c>
      <c r="AK1626" s="106">
        <v>45475.635454560186</v>
      </c>
      <c r="AL1626" s="1" t="s">
        <v>4790</v>
      </c>
      <c r="AM1626" s="42">
        <f>IFERROR(INDEX('Public procurment'!A:R,MATCH(ListOfExpenditure[[#This Row],[Content.contractId]],'Public procurment'!E:E,0),14),0)</f>
        <v>0</v>
      </c>
      <c r="AN1626" s="2">
        <f>IF(AND(ListOfExpenditure[[#This Row],[Contract amount]]&gt;10000,ListOfExpenditure[[#This Row],[Content.declaredAmount]]&gt;2000),1,0)</f>
        <v>0</v>
      </c>
      <c r="AO1626">
        <f>IFERROR(INDEX('Public procurment'!A:S,MATCH(ListOfExpenditure[[#This Row],[Content.contractId]],'Public procurment'!E:E,0),19),0)</f>
        <v>0</v>
      </c>
      <c r="AP1626">
        <f>IF(ListOfExpenditure[[#This Row],[Numero di volte controllato il contract ]]&gt;0,0,ListOfExpenditure[[#This Row],[IF public procurment &gt;10000;1;0]])</f>
        <v>0</v>
      </c>
    </row>
    <row r="1627" spans="1:42" x14ac:dyDescent="0.25">
      <c r="A1627">
        <v>225</v>
      </c>
      <c r="B1627">
        <v>40</v>
      </c>
      <c r="E1627" t="s">
        <v>4786</v>
      </c>
      <c r="F1627" t="b">
        <v>0</v>
      </c>
      <c r="I1627" t="s">
        <v>5963</v>
      </c>
      <c r="K1627" t="s">
        <v>4873</v>
      </c>
      <c r="L1627" t="s">
        <v>4873</v>
      </c>
      <c r="M1627" t="s">
        <v>4788</v>
      </c>
      <c r="N1627" t="s">
        <v>4788</v>
      </c>
      <c r="O1627">
        <v>2344.38</v>
      </c>
      <c r="Q1627">
        <v>0</v>
      </c>
      <c r="R1627">
        <v>0</v>
      </c>
      <c r="S1627">
        <v>468.88</v>
      </c>
      <c r="T1627" t="s">
        <v>4789</v>
      </c>
      <c r="U1627">
        <v>1</v>
      </c>
      <c r="V1627">
        <v>468.88</v>
      </c>
      <c r="W1627" t="s">
        <v>4343</v>
      </c>
      <c r="Y1627" t="b">
        <v>1</v>
      </c>
      <c r="Z1627" t="b">
        <v>0</v>
      </c>
      <c r="AA1627">
        <v>468.88</v>
      </c>
      <c r="AB1627">
        <v>0</v>
      </c>
      <c r="AD1627" t="b">
        <v>0</v>
      </c>
      <c r="AG1627" s="1" t="s">
        <v>310</v>
      </c>
      <c r="AH1627" s="1" t="s">
        <v>46</v>
      </c>
      <c r="AI1627">
        <v>86</v>
      </c>
      <c r="AJ1627">
        <v>33</v>
      </c>
      <c r="AK1627" s="106">
        <v>45475.635454560186</v>
      </c>
      <c r="AL1627" s="1" t="s">
        <v>4790</v>
      </c>
      <c r="AM1627" s="42">
        <f>IFERROR(INDEX('Public procurment'!A:R,MATCH(ListOfExpenditure[[#This Row],[Content.contractId]],'Public procurment'!E:E,0),14),0)</f>
        <v>0</v>
      </c>
      <c r="AN1627" s="2">
        <f>IF(AND(ListOfExpenditure[[#This Row],[Contract amount]]&gt;10000,ListOfExpenditure[[#This Row],[Content.declaredAmount]]&gt;2000),1,0)</f>
        <v>0</v>
      </c>
      <c r="AO1627">
        <f>IFERROR(INDEX('Public procurment'!A:S,MATCH(ListOfExpenditure[[#This Row],[Content.contractId]],'Public procurment'!E:E,0),19),0)</f>
        <v>0</v>
      </c>
      <c r="AP1627">
        <f>IF(ListOfExpenditure[[#This Row],[Numero di volte controllato il contract ]]&gt;0,0,ListOfExpenditure[[#This Row],[IF public procurment &gt;10000;1;0]])</f>
        <v>0</v>
      </c>
    </row>
    <row r="1628" spans="1:42" x14ac:dyDescent="0.25">
      <c r="A1628">
        <v>226</v>
      </c>
      <c r="B1628">
        <v>41</v>
      </c>
      <c r="E1628" t="s">
        <v>4786</v>
      </c>
      <c r="F1628" t="b">
        <v>0</v>
      </c>
      <c r="I1628" t="s">
        <v>5963</v>
      </c>
      <c r="K1628" t="s">
        <v>4831</v>
      </c>
      <c r="L1628" t="s">
        <v>4831</v>
      </c>
      <c r="M1628" t="s">
        <v>4788</v>
      </c>
      <c r="N1628" t="s">
        <v>4788</v>
      </c>
      <c r="O1628">
        <v>2373.42</v>
      </c>
      <c r="Q1628">
        <v>0</v>
      </c>
      <c r="R1628">
        <v>0</v>
      </c>
      <c r="S1628">
        <v>474.68</v>
      </c>
      <c r="T1628" t="s">
        <v>4789</v>
      </c>
      <c r="U1628">
        <v>1</v>
      </c>
      <c r="V1628">
        <v>474.68</v>
      </c>
      <c r="W1628" t="s">
        <v>4343</v>
      </c>
      <c r="Y1628" t="b">
        <v>1</v>
      </c>
      <c r="Z1628" t="b">
        <v>0</v>
      </c>
      <c r="AA1628">
        <v>0</v>
      </c>
      <c r="AB1628">
        <v>0</v>
      </c>
      <c r="AD1628" t="b">
        <v>1</v>
      </c>
      <c r="AG1628" s="1" t="s">
        <v>310</v>
      </c>
      <c r="AH1628" s="1" t="s">
        <v>46</v>
      </c>
      <c r="AI1628">
        <v>86</v>
      </c>
      <c r="AJ1628">
        <v>33</v>
      </c>
      <c r="AK1628" s="106">
        <v>45475.635454560186</v>
      </c>
      <c r="AL1628" s="1" t="s">
        <v>4790</v>
      </c>
      <c r="AM1628" s="42">
        <f>IFERROR(INDEX('Public procurment'!A:R,MATCH(ListOfExpenditure[[#This Row],[Content.contractId]],'Public procurment'!E:E,0),14),0)</f>
        <v>0</v>
      </c>
      <c r="AN1628" s="2">
        <f>IF(AND(ListOfExpenditure[[#This Row],[Contract amount]]&gt;10000,ListOfExpenditure[[#This Row],[Content.declaredAmount]]&gt;2000),1,0)</f>
        <v>0</v>
      </c>
      <c r="AO1628">
        <f>IFERROR(INDEX('Public procurment'!A:S,MATCH(ListOfExpenditure[[#This Row],[Content.contractId]],'Public procurment'!E:E,0),19),0)</f>
        <v>0</v>
      </c>
      <c r="AP1628">
        <f>IF(ListOfExpenditure[[#This Row],[Numero di volte controllato il contract ]]&gt;0,0,ListOfExpenditure[[#This Row],[IF public procurment &gt;10000;1;0]])</f>
        <v>0</v>
      </c>
    </row>
    <row r="1629" spans="1:42" x14ac:dyDescent="0.25">
      <c r="A1629">
        <v>227</v>
      </c>
      <c r="B1629">
        <v>42</v>
      </c>
      <c r="E1629" t="s">
        <v>4798</v>
      </c>
      <c r="F1629" t="b">
        <v>0</v>
      </c>
      <c r="H1629">
        <v>25</v>
      </c>
      <c r="I1629" t="s">
        <v>3782</v>
      </c>
      <c r="J1629" t="s">
        <v>5983</v>
      </c>
      <c r="K1629" t="s">
        <v>5434</v>
      </c>
      <c r="L1629" t="s">
        <v>4806</v>
      </c>
      <c r="M1629" t="s">
        <v>4788</v>
      </c>
      <c r="N1629" t="s">
        <v>4788</v>
      </c>
      <c r="O1629">
        <v>106</v>
      </c>
      <c r="P1629">
        <v>9.1999999999999993</v>
      </c>
      <c r="Q1629">
        <v>0</v>
      </c>
      <c r="R1629">
        <v>0</v>
      </c>
      <c r="S1629">
        <v>106</v>
      </c>
      <c r="T1629" t="s">
        <v>4789</v>
      </c>
      <c r="U1629">
        <v>1</v>
      </c>
      <c r="V1629">
        <v>106</v>
      </c>
      <c r="W1629" t="s">
        <v>4343</v>
      </c>
      <c r="Y1629" t="b">
        <v>1</v>
      </c>
      <c r="Z1629" t="b">
        <v>0</v>
      </c>
      <c r="AA1629">
        <v>106</v>
      </c>
      <c r="AB1629">
        <v>0</v>
      </c>
      <c r="AD1629" t="b">
        <v>0</v>
      </c>
      <c r="AG1629" s="1" t="s">
        <v>310</v>
      </c>
      <c r="AH1629" s="1" t="s">
        <v>46</v>
      </c>
      <c r="AI1629">
        <v>86</v>
      </c>
      <c r="AJ1629">
        <v>33</v>
      </c>
      <c r="AK1629" s="106">
        <v>45475.635454560186</v>
      </c>
      <c r="AL1629" s="1" t="s">
        <v>4790</v>
      </c>
      <c r="AM1629" s="42">
        <f>IFERROR(INDEX('Public procurment'!A:R,MATCH(ListOfExpenditure[[#This Row],[Content.contractId]],'Public procurment'!E:E,0),14),0)</f>
        <v>106</v>
      </c>
      <c r="AN1629" s="2">
        <f>IF(AND(ListOfExpenditure[[#This Row],[Contract amount]]&gt;10000,ListOfExpenditure[[#This Row],[Content.declaredAmount]]&gt;2000),1,0)</f>
        <v>0</v>
      </c>
      <c r="AO1629">
        <f>IFERROR(INDEX('Public procurment'!A:S,MATCH(ListOfExpenditure[[#This Row],[Content.contractId]],'Public procurment'!E:E,0),19),0)</f>
        <v>1</v>
      </c>
      <c r="AP1629">
        <f>IF(ListOfExpenditure[[#This Row],[Numero di volte controllato il contract ]]&gt;0,0,ListOfExpenditure[[#This Row],[IF public procurment &gt;10000;1;0]])</f>
        <v>0</v>
      </c>
    </row>
    <row r="1630" spans="1:42" x14ac:dyDescent="0.25">
      <c r="A1630">
        <v>228</v>
      </c>
      <c r="B1630">
        <v>43</v>
      </c>
      <c r="E1630" t="s">
        <v>4798</v>
      </c>
      <c r="F1630" t="b">
        <v>0</v>
      </c>
      <c r="H1630">
        <v>24</v>
      </c>
      <c r="I1630" t="s">
        <v>5984</v>
      </c>
      <c r="J1630" t="s">
        <v>5985</v>
      </c>
      <c r="K1630" t="s">
        <v>4817</v>
      </c>
      <c r="L1630" t="s">
        <v>5437</v>
      </c>
      <c r="M1630" t="s">
        <v>4788</v>
      </c>
      <c r="N1630" t="s">
        <v>4788</v>
      </c>
      <c r="O1630">
        <v>200</v>
      </c>
      <c r="P1630">
        <v>0</v>
      </c>
      <c r="Q1630">
        <v>0</v>
      </c>
      <c r="R1630">
        <v>0</v>
      </c>
      <c r="S1630">
        <v>200</v>
      </c>
      <c r="T1630" t="s">
        <v>4789</v>
      </c>
      <c r="U1630">
        <v>1</v>
      </c>
      <c r="V1630">
        <v>200</v>
      </c>
      <c r="W1630" t="s">
        <v>4343</v>
      </c>
      <c r="Y1630" t="b">
        <v>1</v>
      </c>
      <c r="Z1630" t="b">
        <v>0</v>
      </c>
      <c r="AA1630">
        <v>200</v>
      </c>
      <c r="AB1630">
        <v>0</v>
      </c>
      <c r="AD1630" t="b">
        <v>0</v>
      </c>
      <c r="AG1630" s="1" t="s">
        <v>310</v>
      </c>
      <c r="AH1630" s="1" t="s">
        <v>46</v>
      </c>
      <c r="AI1630">
        <v>86</v>
      </c>
      <c r="AJ1630">
        <v>33</v>
      </c>
      <c r="AK1630" s="106">
        <v>45475.635454560186</v>
      </c>
      <c r="AL1630" s="1" t="s">
        <v>4790</v>
      </c>
      <c r="AM1630" s="42">
        <f>IFERROR(INDEX('Public procurment'!A:R,MATCH(ListOfExpenditure[[#This Row],[Content.contractId]],'Public procurment'!E:E,0),14),0)</f>
        <v>200</v>
      </c>
      <c r="AN1630" s="2">
        <f>IF(AND(ListOfExpenditure[[#This Row],[Contract amount]]&gt;10000,ListOfExpenditure[[#This Row],[Content.declaredAmount]]&gt;2000),1,0)</f>
        <v>0</v>
      </c>
      <c r="AO1630">
        <f>IFERROR(INDEX('Public procurment'!A:S,MATCH(ListOfExpenditure[[#This Row],[Content.contractId]],'Public procurment'!E:E,0),19),0)</f>
        <v>1</v>
      </c>
      <c r="AP1630">
        <f>IF(ListOfExpenditure[[#This Row],[Numero di volte controllato il contract ]]&gt;0,0,ListOfExpenditure[[#This Row],[IF public procurment &gt;10000;1;0]])</f>
        <v>0</v>
      </c>
    </row>
    <row r="1631" spans="1:42" x14ac:dyDescent="0.25">
      <c r="A1631">
        <v>229</v>
      </c>
      <c r="B1631">
        <v>44</v>
      </c>
      <c r="E1631" t="s">
        <v>4798</v>
      </c>
      <c r="F1631" t="b">
        <v>0</v>
      </c>
      <c r="H1631">
        <v>26</v>
      </c>
      <c r="I1631" t="s">
        <v>5986</v>
      </c>
      <c r="J1631" t="s">
        <v>5987</v>
      </c>
      <c r="K1631" t="s">
        <v>4889</v>
      </c>
      <c r="L1631" t="s">
        <v>5105</v>
      </c>
      <c r="M1631" t="s">
        <v>4788</v>
      </c>
      <c r="N1631" t="s">
        <v>4788</v>
      </c>
      <c r="O1631">
        <v>90</v>
      </c>
      <c r="P1631">
        <v>7.81</v>
      </c>
      <c r="Q1631">
        <v>0</v>
      </c>
      <c r="R1631">
        <v>0</v>
      </c>
      <c r="S1631">
        <v>90</v>
      </c>
      <c r="T1631" t="s">
        <v>4789</v>
      </c>
      <c r="U1631">
        <v>1</v>
      </c>
      <c r="V1631">
        <v>90</v>
      </c>
      <c r="W1631" t="s">
        <v>4343</v>
      </c>
      <c r="Y1631" t="b">
        <v>1</v>
      </c>
      <c r="Z1631" t="b">
        <v>0</v>
      </c>
      <c r="AA1631">
        <v>90</v>
      </c>
      <c r="AB1631">
        <v>0</v>
      </c>
      <c r="AD1631" t="b">
        <v>0</v>
      </c>
      <c r="AG1631" s="1" t="s">
        <v>310</v>
      </c>
      <c r="AH1631" s="1" t="s">
        <v>46</v>
      </c>
      <c r="AI1631">
        <v>86</v>
      </c>
      <c r="AJ1631">
        <v>33</v>
      </c>
      <c r="AK1631" s="106">
        <v>45475.635454560186</v>
      </c>
      <c r="AL1631" s="1" t="s">
        <v>4790</v>
      </c>
      <c r="AM1631" s="42">
        <f>IFERROR(INDEX('Public procurment'!A:R,MATCH(ListOfExpenditure[[#This Row],[Content.contractId]],'Public procurment'!E:E,0),14),0)</f>
        <v>90</v>
      </c>
      <c r="AN1631" s="2">
        <f>IF(AND(ListOfExpenditure[[#This Row],[Contract amount]]&gt;10000,ListOfExpenditure[[#This Row],[Content.declaredAmount]]&gt;2000),1,0)</f>
        <v>0</v>
      </c>
      <c r="AO1631">
        <f>IFERROR(INDEX('Public procurment'!A:S,MATCH(ListOfExpenditure[[#This Row],[Content.contractId]],'Public procurment'!E:E,0),19),0)</f>
        <v>1</v>
      </c>
      <c r="AP1631">
        <f>IF(ListOfExpenditure[[#This Row],[Numero di volte controllato il contract ]]&gt;0,0,ListOfExpenditure[[#This Row],[IF public procurment &gt;10000;1;0]])</f>
        <v>0</v>
      </c>
    </row>
    <row r="1632" spans="1:42" x14ac:dyDescent="0.25">
      <c r="A1632">
        <v>230</v>
      </c>
      <c r="B1632">
        <v>45</v>
      </c>
      <c r="E1632" t="s">
        <v>4798</v>
      </c>
      <c r="F1632" t="b">
        <v>0</v>
      </c>
      <c r="H1632">
        <v>27</v>
      </c>
      <c r="I1632" t="s">
        <v>5988</v>
      </c>
      <c r="J1632" t="s">
        <v>5989</v>
      </c>
      <c r="K1632" t="s">
        <v>4804</v>
      </c>
      <c r="L1632" t="s">
        <v>5990</v>
      </c>
      <c r="M1632" t="s">
        <v>4788</v>
      </c>
      <c r="N1632" t="s">
        <v>4788</v>
      </c>
      <c r="O1632">
        <v>298</v>
      </c>
      <c r="Q1632">
        <v>0</v>
      </c>
      <c r="R1632">
        <v>0</v>
      </c>
      <c r="S1632">
        <v>298</v>
      </c>
      <c r="T1632" t="s">
        <v>4789</v>
      </c>
      <c r="U1632">
        <v>1</v>
      </c>
      <c r="V1632">
        <v>298</v>
      </c>
      <c r="W1632" t="s">
        <v>4343</v>
      </c>
      <c r="Y1632" t="b">
        <v>1</v>
      </c>
      <c r="Z1632" t="b">
        <v>0</v>
      </c>
      <c r="AA1632">
        <v>298</v>
      </c>
      <c r="AB1632">
        <v>0</v>
      </c>
      <c r="AD1632" t="b">
        <v>0</v>
      </c>
      <c r="AG1632" s="1" t="s">
        <v>310</v>
      </c>
      <c r="AH1632" s="1" t="s">
        <v>46</v>
      </c>
      <c r="AI1632">
        <v>86</v>
      </c>
      <c r="AJ1632">
        <v>33</v>
      </c>
      <c r="AK1632" s="106">
        <v>45475.635454560186</v>
      </c>
      <c r="AL1632" s="1" t="s">
        <v>4790</v>
      </c>
      <c r="AM1632" s="42">
        <f>IFERROR(INDEX('Public procurment'!A:R,MATCH(ListOfExpenditure[[#This Row],[Content.contractId]],'Public procurment'!E:E,0),14),0)</f>
        <v>298</v>
      </c>
      <c r="AN1632" s="2">
        <f>IF(AND(ListOfExpenditure[[#This Row],[Contract amount]]&gt;10000,ListOfExpenditure[[#This Row],[Content.declaredAmount]]&gt;2000),1,0)</f>
        <v>0</v>
      </c>
      <c r="AO1632">
        <f>IFERROR(INDEX('Public procurment'!A:S,MATCH(ListOfExpenditure[[#This Row],[Content.contractId]],'Public procurment'!E:E,0),19),0)</f>
        <v>1</v>
      </c>
      <c r="AP1632">
        <f>IF(ListOfExpenditure[[#This Row],[Numero di volte controllato il contract ]]&gt;0,0,ListOfExpenditure[[#This Row],[IF public procurment &gt;10000;1;0]])</f>
        <v>0</v>
      </c>
    </row>
  </sheetData>
  <phoneticPr fontId="10" type="noConversion"/>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4"/>
  <dimension ref="A1:P134"/>
  <sheetViews>
    <sheetView topLeftCell="H1" workbookViewId="0">
      <selection activeCell="P10" sqref="P10"/>
    </sheetView>
  </sheetViews>
  <sheetFormatPr defaultRowHeight="15" x14ac:dyDescent="0.25"/>
  <cols>
    <col min="1" max="1" width="13.140625" bestFit="1" customWidth="1"/>
    <col min="2" max="2" width="12" bestFit="1" customWidth="1"/>
    <col min="3" max="3" width="11" bestFit="1" customWidth="1"/>
    <col min="4" max="4" width="20.28515625" bestFit="1" customWidth="1"/>
    <col min="5" max="5" width="18.7109375" bestFit="1" customWidth="1"/>
    <col min="6" max="6" width="16.42578125" bestFit="1" customWidth="1"/>
    <col min="7" max="7" width="15" bestFit="1" customWidth="1"/>
    <col min="8" max="8" width="60.7109375" customWidth="1"/>
    <col min="9" max="9" width="23.85546875" customWidth="1"/>
    <col min="10" max="10" width="17.85546875" customWidth="1"/>
    <col min="11" max="11" width="15.5703125" customWidth="1"/>
    <col min="12" max="12" width="7.7109375" customWidth="1"/>
    <col min="13" max="13" width="8.140625" customWidth="1"/>
    <col min="14" max="14" width="22.7109375" bestFit="1" customWidth="1"/>
    <col min="15" max="15" width="17" bestFit="1" customWidth="1"/>
    <col min="16" max="16" width="8.7109375" customWidth="1"/>
  </cols>
  <sheetData>
    <row r="1" spans="1:16" x14ac:dyDescent="0.25">
      <c r="A1" t="s">
        <v>4745</v>
      </c>
      <c r="B1" t="s">
        <v>486</v>
      </c>
      <c r="C1" t="s">
        <v>4300</v>
      </c>
      <c r="D1" t="s">
        <v>386</v>
      </c>
      <c r="E1" t="s">
        <v>4567</v>
      </c>
      <c r="F1" t="s">
        <v>4556</v>
      </c>
      <c r="G1" t="s">
        <v>4557</v>
      </c>
      <c r="H1" t="s">
        <v>4558</v>
      </c>
      <c r="I1" t="s">
        <v>4559</v>
      </c>
      <c r="J1" t="s">
        <v>4560</v>
      </c>
      <c r="K1" t="s">
        <v>4561</v>
      </c>
      <c r="L1" t="s">
        <v>4562</v>
      </c>
      <c r="M1" t="s">
        <v>4563</v>
      </c>
      <c r="N1" t="s">
        <v>4564</v>
      </c>
      <c r="O1" t="s">
        <v>4565</v>
      </c>
      <c r="P1" t="s">
        <v>4566</v>
      </c>
    </row>
    <row r="2" spans="1:16" x14ac:dyDescent="0.25">
      <c r="A2">
        <v>404</v>
      </c>
      <c r="B2">
        <v>14</v>
      </c>
      <c r="C2">
        <v>101</v>
      </c>
      <c r="D2" s="1" t="s">
        <v>58</v>
      </c>
      <c r="E2" s="1" t="s">
        <v>40</v>
      </c>
      <c r="F2" t="s">
        <v>4550</v>
      </c>
      <c r="G2" t="s">
        <v>4551</v>
      </c>
      <c r="H2" t="s">
        <v>4552</v>
      </c>
      <c r="I2" t="s">
        <v>4553</v>
      </c>
      <c r="J2" t="s">
        <v>4554</v>
      </c>
      <c r="K2" t="s">
        <v>4555</v>
      </c>
      <c r="L2">
        <v>101</v>
      </c>
      <c r="M2">
        <v>23</v>
      </c>
      <c r="N2" t="b">
        <v>0</v>
      </c>
      <c r="O2" t="b">
        <v>0</v>
      </c>
    </row>
    <row r="3" spans="1:16" x14ac:dyDescent="0.25">
      <c r="A3">
        <v>828</v>
      </c>
      <c r="B3">
        <v>14</v>
      </c>
      <c r="C3">
        <v>297</v>
      </c>
      <c r="D3" s="1" t="s">
        <v>58</v>
      </c>
      <c r="E3" s="1" t="s">
        <v>40</v>
      </c>
      <c r="F3" t="s">
        <v>4550</v>
      </c>
      <c r="G3" t="s">
        <v>4551</v>
      </c>
      <c r="H3" t="s">
        <v>4572</v>
      </c>
      <c r="I3" t="s">
        <v>4580</v>
      </c>
      <c r="J3" t="s">
        <v>6194</v>
      </c>
      <c r="K3" t="s">
        <v>6195</v>
      </c>
      <c r="L3">
        <v>297</v>
      </c>
      <c r="M3">
        <v>30</v>
      </c>
      <c r="N3" t="b">
        <v>0</v>
      </c>
      <c r="O3" t="b">
        <v>0</v>
      </c>
    </row>
    <row r="4" spans="1:16" x14ac:dyDescent="0.25">
      <c r="A4">
        <v>500</v>
      </c>
      <c r="B4">
        <v>16</v>
      </c>
      <c r="C4">
        <v>83</v>
      </c>
      <c r="D4" s="1" t="s">
        <v>58</v>
      </c>
      <c r="E4" s="1" t="s">
        <v>36</v>
      </c>
      <c r="F4" t="s">
        <v>4550</v>
      </c>
      <c r="G4" t="s">
        <v>4551</v>
      </c>
      <c r="H4" t="s">
        <v>4570</v>
      </c>
      <c r="I4" t="s">
        <v>4568</v>
      </c>
      <c r="J4" t="s">
        <v>4571</v>
      </c>
      <c r="K4" t="s">
        <v>4569</v>
      </c>
      <c r="L4">
        <v>83</v>
      </c>
      <c r="M4">
        <v>28</v>
      </c>
      <c r="N4" t="b">
        <v>0</v>
      </c>
      <c r="O4" t="b">
        <v>0</v>
      </c>
    </row>
    <row r="5" spans="1:16" x14ac:dyDescent="0.25">
      <c r="A5">
        <v>676</v>
      </c>
      <c r="B5">
        <v>13</v>
      </c>
      <c r="C5">
        <v>189</v>
      </c>
      <c r="D5" s="1" t="s">
        <v>58</v>
      </c>
      <c r="E5" s="1" t="s">
        <v>21</v>
      </c>
      <c r="F5" t="s">
        <v>4550</v>
      </c>
      <c r="G5" t="s">
        <v>4551</v>
      </c>
      <c r="H5" t="s">
        <v>4572</v>
      </c>
      <c r="I5" t="s">
        <v>4573</v>
      </c>
      <c r="J5" t="s">
        <v>4574</v>
      </c>
      <c r="K5" t="s">
        <v>4575</v>
      </c>
      <c r="L5">
        <v>189</v>
      </c>
      <c r="M5">
        <v>30</v>
      </c>
      <c r="N5" t="b">
        <v>0</v>
      </c>
      <c r="O5" t="b">
        <v>0</v>
      </c>
    </row>
    <row r="6" spans="1:16" x14ac:dyDescent="0.25">
      <c r="A6">
        <v>420</v>
      </c>
      <c r="B6">
        <v>13</v>
      </c>
      <c r="C6">
        <v>5</v>
      </c>
      <c r="D6" s="1" t="s">
        <v>58</v>
      </c>
      <c r="E6" s="1" t="s">
        <v>21</v>
      </c>
      <c r="F6" t="s">
        <v>4550</v>
      </c>
      <c r="G6" t="s">
        <v>4551</v>
      </c>
      <c r="H6" t="s">
        <v>4570</v>
      </c>
      <c r="I6" t="s">
        <v>4573</v>
      </c>
      <c r="J6" t="s">
        <v>4576</v>
      </c>
      <c r="K6" t="s">
        <v>4577</v>
      </c>
      <c r="L6">
        <v>5</v>
      </c>
      <c r="M6">
        <v>28</v>
      </c>
      <c r="N6" t="b">
        <v>0</v>
      </c>
      <c r="O6" t="b">
        <v>0</v>
      </c>
    </row>
    <row r="7" spans="1:16" x14ac:dyDescent="0.25">
      <c r="A7">
        <v>498</v>
      </c>
      <c r="B7">
        <v>10</v>
      </c>
      <c r="C7">
        <v>27</v>
      </c>
      <c r="D7" s="1" t="s">
        <v>58</v>
      </c>
      <c r="E7" s="1" t="s">
        <v>25</v>
      </c>
      <c r="F7" t="s">
        <v>4550</v>
      </c>
      <c r="G7" t="s">
        <v>4551</v>
      </c>
      <c r="H7" t="s">
        <v>4570</v>
      </c>
      <c r="I7" t="s">
        <v>4578</v>
      </c>
      <c r="J7" t="s">
        <v>4579</v>
      </c>
      <c r="K7" t="s">
        <v>4577</v>
      </c>
      <c r="L7">
        <v>27</v>
      </c>
      <c r="M7">
        <v>28</v>
      </c>
      <c r="N7" t="b">
        <v>0</v>
      </c>
      <c r="O7" t="b">
        <v>0</v>
      </c>
    </row>
    <row r="8" spans="1:16" x14ac:dyDescent="0.25">
      <c r="A8">
        <v>418</v>
      </c>
      <c r="B8">
        <v>15</v>
      </c>
      <c r="C8">
        <v>55</v>
      </c>
      <c r="D8" s="1" t="s">
        <v>58</v>
      </c>
      <c r="E8" s="1" t="s">
        <v>33</v>
      </c>
      <c r="F8" t="s">
        <v>4550</v>
      </c>
      <c r="G8" t="s">
        <v>4551</v>
      </c>
      <c r="H8" t="s">
        <v>4552</v>
      </c>
      <c r="I8" t="s">
        <v>4580</v>
      </c>
      <c r="J8" t="s">
        <v>4581</v>
      </c>
      <c r="K8" t="s">
        <v>4582</v>
      </c>
      <c r="L8">
        <v>55</v>
      </c>
      <c r="M8">
        <v>23</v>
      </c>
      <c r="N8" t="b">
        <v>0</v>
      </c>
      <c r="O8" t="b">
        <v>0</v>
      </c>
    </row>
    <row r="9" spans="1:16" x14ac:dyDescent="0.25">
      <c r="A9">
        <v>689</v>
      </c>
      <c r="B9">
        <v>12</v>
      </c>
      <c r="C9">
        <v>222</v>
      </c>
      <c r="D9" s="1" t="s">
        <v>58</v>
      </c>
      <c r="E9" s="1" t="s">
        <v>30</v>
      </c>
      <c r="F9" t="s">
        <v>4550</v>
      </c>
      <c r="G9" t="s">
        <v>4551</v>
      </c>
      <c r="H9" t="s">
        <v>4572</v>
      </c>
      <c r="I9" t="s">
        <v>4583</v>
      </c>
      <c r="J9" t="s">
        <v>4584</v>
      </c>
      <c r="K9" t="s">
        <v>4585</v>
      </c>
      <c r="L9">
        <v>222</v>
      </c>
      <c r="M9">
        <v>30</v>
      </c>
      <c r="N9" t="b">
        <v>0</v>
      </c>
      <c r="O9" t="b">
        <v>0</v>
      </c>
    </row>
    <row r="10" spans="1:16" x14ac:dyDescent="0.25">
      <c r="A10">
        <v>413</v>
      </c>
      <c r="B10">
        <v>12</v>
      </c>
      <c r="C10">
        <v>74</v>
      </c>
      <c r="D10" s="1" t="s">
        <v>58</v>
      </c>
      <c r="E10" s="1" t="s">
        <v>30</v>
      </c>
      <c r="F10" t="s">
        <v>4550</v>
      </c>
      <c r="G10" t="s">
        <v>4551</v>
      </c>
      <c r="H10" t="s">
        <v>4570</v>
      </c>
      <c r="I10" t="s">
        <v>4583</v>
      </c>
      <c r="J10" t="s">
        <v>4586</v>
      </c>
      <c r="K10" t="s">
        <v>4587</v>
      </c>
      <c r="L10">
        <v>74</v>
      </c>
      <c r="M10">
        <v>28</v>
      </c>
      <c r="N10" t="b">
        <v>0</v>
      </c>
      <c r="O10" t="b">
        <v>0</v>
      </c>
    </row>
    <row r="11" spans="1:16" x14ac:dyDescent="0.25">
      <c r="A11">
        <v>710</v>
      </c>
      <c r="B11">
        <v>156</v>
      </c>
      <c r="C11">
        <v>169</v>
      </c>
      <c r="D11" s="1" t="s">
        <v>71</v>
      </c>
      <c r="E11" s="1" t="s">
        <v>301</v>
      </c>
      <c r="F11" t="s">
        <v>4588</v>
      </c>
      <c r="G11" t="s">
        <v>4551</v>
      </c>
      <c r="H11" t="s">
        <v>4572</v>
      </c>
      <c r="I11" t="s">
        <v>4589</v>
      </c>
      <c r="J11" t="s">
        <v>4590</v>
      </c>
      <c r="L11">
        <v>169</v>
      </c>
      <c r="M11">
        <v>30</v>
      </c>
      <c r="N11" t="b">
        <v>0</v>
      </c>
      <c r="O11" t="b">
        <v>0</v>
      </c>
    </row>
    <row r="12" spans="1:16" x14ac:dyDescent="0.25">
      <c r="A12">
        <v>764</v>
      </c>
      <c r="B12">
        <v>72</v>
      </c>
      <c r="C12">
        <v>134</v>
      </c>
      <c r="D12" s="1" t="s">
        <v>71</v>
      </c>
      <c r="E12" s="1" t="s">
        <v>290</v>
      </c>
      <c r="F12" t="s">
        <v>4550</v>
      </c>
      <c r="G12" t="s">
        <v>4551</v>
      </c>
      <c r="H12" t="s">
        <v>4572</v>
      </c>
      <c r="I12" t="s">
        <v>4553</v>
      </c>
      <c r="J12" t="s">
        <v>4592</v>
      </c>
      <c r="K12" t="s">
        <v>4593</v>
      </c>
      <c r="L12">
        <v>134</v>
      </c>
      <c r="M12">
        <v>30</v>
      </c>
      <c r="N12" t="b">
        <v>0</v>
      </c>
      <c r="O12" t="b">
        <v>0</v>
      </c>
    </row>
    <row r="13" spans="1:16" x14ac:dyDescent="0.25">
      <c r="A13">
        <v>717</v>
      </c>
      <c r="B13">
        <v>157</v>
      </c>
      <c r="C13">
        <v>206</v>
      </c>
      <c r="D13" s="1" t="s">
        <v>71</v>
      </c>
      <c r="E13" s="1" t="s">
        <v>303</v>
      </c>
      <c r="F13" t="s">
        <v>4550</v>
      </c>
      <c r="G13" t="s">
        <v>4551</v>
      </c>
      <c r="H13" t="s">
        <v>4572</v>
      </c>
      <c r="I13" t="s">
        <v>4553</v>
      </c>
      <c r="J13" t="s">
        <v>4594</v>
      </c>
      <c r="K13" t="s">
        <v>4595</v>
      </c>
      <c r="L13">
        <v>206</v>
      </c>
      <c r="M13">
        <v>30</v>
      </c>
      <c r="N13" t="b">
        <v>0</v>
      </c>
      <c r="O13" t="b">
        <v>0</v>
      </c>
    </row>
    <row r="14" spans="1:16" x14ac:dyDescent="0.25">
      <c r="A14">
        <v>711</v>
      </c>
      <c r="B14">
        <v>155</v>
      </c>
      <c r="C14">
        <v>269</v>
      </c>
      <c r="D14" s="1" t="s">
        <v>71</v>
      </c>
      <c r="E14" s="1" t="s">
        <v>70</v>
      </c>
      <c r="F14" t="s">
        <v>4550</v>
      </c>
      <c r="G14" t="s">
        <v>4551</v>
      </c>
      <c r="H14" t="s">
        <v>4572</v>
      </c>
      <c r="I14" t="s">
        <v>4553</v>
      </c>
      <c r="J14" t="s">
        <v>4597</v>
      </c>
      <c r="K14" t="s">
        <v>4596</v>
      </c>
      <c r="L14">
        <v>269</v>
      </c>
      <c r="M14">
        <v>30</v>
      </c>
      <c r="N14" t="b">
        <v>0</v>
      </c>
      <c r="O14" t="b">
        <v>0</v>
      </c>
    </row>
    <row r="15" spans="1:16" x14ac:dyDescent="0.25">
      <c r="A15">
        <v>718</v>
      </c>
      <c r="B15">
        <v>154</v>
      </c>
      <c r="C15">
        <v>151</v>
      </c>
      <c r="D15" s="1" t="s">
        <v>71</v>
      </c>
      <c r="E15" s="1" t="s">
        <v>69</v>
      </c>
      <c r="F15" t="s">
        <v>4550</v>
      </c>
      <c r="G15" t="s">
        <v>4551</v>
      </c>
      <c r="H15" t="s">
        <v>4572</v>
      </c>
      <c r="I15" t="s">
        <v>4598</v>
      </c>
      <c r="J15" t="s">
        <v>4599</v>
      </c>
      <c r="K15" t="s">
        <v>4600</v>
      </c>
      <c r="L15">
        <v>151</v>
      </c>
      <c r="M15">
        <v>30</v>
      </c>
      <c r="N15" t="b">
        <v>0</v>
      </c>
      <c r="O15" t="b">
        <v>0</v>
      </c>
    </row>
    <row r="16" spans="1:16" x14ac:dyDescent="0.25">
      <c r="A16">
        <v>784</v>
      </c>
      <c r="B16">
        <v>185</v>
      </c>
      <c r="C16">
        <v>114</v>
      </c>
      <c r="D16" s="1" t="s">
        <v>312</v>
      </c>
      <c r="E16" s="1" t="s">
        <v>314</v>
      </c>
      <c r="F16" t="s">
        <v>4550</v>
      </c>
      <c r="G16" t="s">
        <v>4551</v>
      </c>
      <c r="H16" t="s">
        <v>4572</v>
      </c>
      <c r="I16" t="s">
        <v>4568</v>
      </c>
      <c r="J16" t="s">
        <v>4602</v>
      </c>
      <c r="K16" t="s">
        <v>4601</v>
      </c>
      <c r="L16">
        <v>114</v>
      </c>
      <c r="M16">
        <v>30</v>
      </c>
      <c r="N16" t="b">
        <v>0</v>
      </c>
      <c r="O16" t="b">
        <v>0</v>
      </c>
    </row>
    <row r="17" spans="1:15" x14ac:dyDescent="0.25">
      <c r="A17">
        <v>779</v>
      </c>
      <c r="B17">
        <v>124</v>
      </c>
      <c r="C17">
        <v>182</v>
      </c>
      <c r="D17" s="1" t="s">
        <v>337</v>
      </c>
      <c r="E17" s="1" t="s">
        <v>338</v>
      </c>
      <c r="F17" t="s">
        <v>4550</v>
      </c>
      <c r="G17" t="s">
        <v>4551</v>
      </c>
      <c r="H17" t="s">
        <v>4572</v>
      </c>
      <c r="I17" t="s">
        <v>4553</v>
      </c>
      <c r="J17" t="s">
        <v>4604</v>
      </c>
      <c r="K17" t="s">
        <v>4603</v>
      </c>
      <c r="L17">
        <v>182</v>
      </c>
      <c r="M17">
        <v>30</v>
      </c>
      <c r="N17" t="b">
        <v>0</v>
      </c>
      <c r="O17" t="b">
        <v>0</v>
      </c>
    </row>
    <row r="18" spans="1:15" x14ac:dyDescent="0.25">
      <c r="A18">
        <v>738</v>
      </c>
      <c r="B18">
        <v>126</v>
      </c>
      <c r="C18">
        <v>140</v>
      </c>
      <c r="D18" s="1" t="s">
        <v>337</v>
      </c>
      <c r="E18" s="1" t="s">
        <v>42</v>
      </c>
      <c r="F18" t="s">
        <v>4550</v>
      </c>
      <c r="G18" t="s">
        <v>4551</v>
      </c>
      <c r="H18" t="s">
        <v>4572</v>
      </c>
      <c r="I18" t="s">
        <v>4553</v>
      </c>
      <c r="J18" t="s">
        <v>4605</v>
      </c>
      <c r="K18" t="s">
        <v>4606</v>
      </c>
      <c r="L18">
        <v>140</v>
      </c>
      <c r="M18">
        <v>30</v>
      </c>
      <c r="N18" t="b">
        <v>0</v>
      </c>
      <c r="O18" t="b">
        <v>0</v>
      </c>
    </row>
    <row r="19" spans="1:15" x14ac:dyDescent="0.25">
      <c r="A19">
        <v>709</v>
      </c>
      <c r="B19">
        <v>125</v>
      </c>
      <c r="C19">
        <v>232</v>
      </c>
      <c r="D19" s="1" t="s">
        <v>337</v>
      </c>
      <c r="E19" s="1" t="s">
        <v>307</v>
      </c>
      <c r="F19" t="s">
        <v>4550</v>
      </c>
      <c r="G19" t="s">
        <v>4551</v>
      </c>
      <c r="H19" t="s">
        <v>4572</v>
      </c>
      <c r="I19" t="s">
        <v>4607</v>
      </c>
      <c r="J19" t="s">
        <v>4608</v>
      </c>
      <c r="K19" t="s">
        <v>4609</v>
      </c>
      <c r="L19">
        <v>232</v>
      </c>
      <c r="M19">
        <v>30</v>
      </c>
      <c r="N19" t="b">
        <v>0</v>
      </c>
      <c r="O19" t="b">
        <v>0</v>
      </c>
    </row>
    <row r="20" spans="1:15" x14ac:dyDescent="0.25">
      <c r="A20">
        <v>761</v>
      </c>
      <c r="B20">
        <v>123</v>
      </c>
      <c r="C20">
        <v>141</v>
      </c>
      <c r="D20" s="1" t="s">
        <v>337</v>
      </c>
      <c r="E20" s="1" t="s">
        <v>340</v>
      </c>
      <c r="F20" t="s">
        <v>4550</v>
      </c>
      <c r="G20" t="s">
        <v>4551</v>
      </c>
      <c r="H20" t="s">
        <v>4572</v>
      </c>
      <c r="I20" t="s">
        <v>4553</v>
      </c>
      <c r="J20" t="s">
        <v>4610</v>
      </c>
      <c r="K20" t="s">
        <v>4611</v>
      </c>
      <c r="L20">
        <v>141</v>
      </c>
      <c r="M20">
        <v>30</v>
      </c>
      <c r="N20" t="b">
        <v>0</v>
      </c>
      <c r="O20" t="b">
        <v>0</v>
      </c>
    </row>
    <row r="21" spans="1:15" x14ac:dyDescent="0.25">
      <c r="A21">
        <v>791</v>
      </c>
      <c r="B21">
        <v>122</v>
      </c>
      <c r="C21">
        <v>22</v>
      </c>
      <c r="D21" s="1" t="s">
        <v>337</v>
      </c>
      <c r="E21" s="1" t="s">
        <v>292</v>
      </c>
      <c r="F21" t="s">
        <v>4550</v>
      </c>
      <c r="G21" t="s">
        <v>4551</v>
      </c>
      <c r="H21" t="s">
        <v>4572</v>
      </c>
      <c r="I21" t="s">
        <v>4583</v>
      </c>
      <c r="J21" t="s">
        <v>6196</v>
      </c>
      <c r="K21" t="s">
        <v>6185</v>
      </c>
      <c r="L21">
        <v>22</v>
      </c>
      <c r="M21">
        <v>30</v>
      </c>
      <c r="N21" t="b">
        <v>0</v>
      </c>
      <c r="O21" t="b">
        <v>0</v>
      </c>
    </row>
    <row r="22" spans="1:15" x14ac:dyDescent="0.25">
      <c r="A22">
        <v>685</v>
      </c>
      <c r="B22">
        <v>160</v>
      </c>
      <c r="C22">
        <v>225</v>
      </c>
      <c r="D22" s="1" t="s">
        <v>357</v>
      </c>
      <c r="E22" s="1" t="s">
        <v>358</v>
      </c>
      <c r="F22" t="s">
        <v>4550</v>
      </c>
      <c r="G22" t="s">
        <v>4551</v>
      </c>
      <c r="H22" t="s">
        <v>4572</v>
      </c>
      <c r="I22" t="s">
        <v>4573</v>
      </c>
      <c r="J22" t="s">
        <v>4612</v>
      </c>
      <c r="K22" t="s">
        <v>4603</v>
      </c>
      <c r="L22">
        <v>225</v>
      </c>
      <c r="M22">
        <v>30</v>
      </c>
      <c r="N22" t="b">
        <v>0</v>
      </c>
      <c r="O22" t="b">
        <v>0</v>
      </c>
    </row>
    <row r="23" spans="1:15" x14ac:dyDescent="0.25">
      <c r="A23">
        <v>728</v>
      </c>
      <c r="B23">
        <v>232</v>
      </c>
      <c r="C23">
        <v>165</v>
      </c>
      <c r="D23" s="1" t="s">
        <v>357</v>
      </c>
      <c r="E23" s="1" t="s">
        <v>290</v>
      </c>
      <c r="F23" t="s">
        <v>4550</v>
      </c>
      <c r="G23" t="s">
        <v>4551</v>
      </c>
      <c r="H23" t="s">
        <v>4572</v>
      </c>
      <c r="I23" t="s">
        <v>4553</v>
      </c>
      <c r="J23" t="s">
        <v>4613</v>
      </c>
      <c r="K23" t="s">
        <v>4614</v>
      </c>
      <c r="L23">
        <v>165</v>
      </c>
      <c r="M23">
        <v>30</v>
      </c>
      <c r="N23" t="b">
        <v>0</v>
      </c>
      <c r="O23" t="b">
        <v>0</v>
      </c>
    </row>
    <row r="24" spans="1:15" x14ac:dyDescent="0.25">
      <c r="A24">
        <v>792</v>
      </c>
      <c r="B24">
        <v>209</v>
      </c>
      <c r="C24">
        <v>257</v>
      </c>
      <c r="D24" s="1" t="s">
        <v>357</v>
      </c>
      <c r="E24" s="1" t="s">
        <v>56</v>
      </c>
      <c r="F24" t="s">
        <v>4550</v>
      </c>
      <c r="G24" t="s">
        <v>4551</v>
      </c>
      <c r="H24" t="s">
        <v>4572</v>
      </c>
      <c r="I24" t="s">
        <v>4553</v>
      </c>
      <c r="J24" t="s">
        <v>4615</v>
      </c>
      <c r="K24" t="s">
        <v>4616</v>
      </c>
      <c r="L24">
        <v>257</v>
      </c>
      <c r="M24">
        <v>30</v>
      </c>
      <c r="N24" t="b">
        <v>0</v>
      </c>
      <c r="O24" t="b">
        <v>0</v>
      </c>
    </row>
    <row r="25" spans="1:15" x14ac:dyDescent="0.25">
      <c r="A25">
        <v>831</v>
      </c>
      <c r="B25">
        <v>210</v>
      </c>
      <c r="C25">
        <v>162</v>
      </c>
      <c r="D25" s="1" t="s">
        <v>357</v>
      </c>
      <c r="E25" s="1" t="s">
        <v>320</v>
      </c>
      <c r="F25" t="s">
        <v>4550</v>
      </c>
      <c r="G25" t="s">
        <v>4551</v>
      </c>
      <c r="H25" t="s">
        <v>4572</v>
      </c>
      <c r="I25" t="s">
        <v>4553</v>
      </c>
      <c r="J25" t="s">
        <v>6197</v>
      </c>
      <c r="K25" t="s">
        <v>6195</v>
      </c>
      <c r="L25">
        <v>162</v>
      </c>
      <c r="M25">
        <v>30</v>
      </c>
      <c r="N25" t="b">
        <v>0</v>
      </c>
      <c r="O25" t="b">
        <v>0</v>
      </c>
    </row>
    <row r="26" spans="1:15" x14ac:dyDescent="0.25">
      <c r="A26">
        <v>736</v>
      </c>
      <c r="B26">
        <v>266</v>
      </c>
      <c r="C26">
        <v>321</v>
      </c>
      <c r="D26" s="1" t="s">
        <v>365</v>
      </c>
      <c r="E26" s="1" t="s">
        <v>293</v>
      </c>
      <c r="F26" t="s">
        <v>4550</v>
      </c>
      <c r="G26" t="s">
        <v>4551</v>
      </c>
      <c r="H26" t="s">
        <v>4572</v>
      </c>
      <c r="I26" t="s">
        <v>4578</v>
      </c>
      <c r="J26" t="s">
        <v>4617</v>
      </c>
      <c r="K26" t="s">
        <v>4618</v>
      </c>
      <c r="L26">
        <v>321</v>
      </c>
      <c r="M26">
        <v>30</v>
      </c>
      <c r="N26" t="b">
        <v>0</v>
      </c>
      <c r="O26" t="b">
        <v>0</v>
      </c>
    </row>
    <row r="27" spans="1:15" x14ac:dyDescent="0.25">
      <c r="A27">
        <v>808</v>
      </c>
      <c r="B27">
        <v>263</v>
      </c>
      <c r="C27">
        <v>265</v>
      </c>
      <c r="D27" s="1" t="s">
        <v>365</v>
      </c>
      <c r="E27" s="1" t="s">
        <v>366</v>
      </c>
      <c r="F27" t="s">
        <v>4550</v>
      </c>
      <c r="G27" t="s">
        <v>4551</v>
      </c>
      <c r="H27" t="s">
        <v>4572</v>
      </c>
      <c r="I27" t="s">
        <v>4568</v>
      </c>
      <c r="J27" t="s">
        <v>6182</v>
      </c>
      <c r="K27" t="s">
        <v>6183</v>
      </c>
      <c r="L27">
        <v>265</v>
      </c>
      <c r="M27">
        <v>30</v>
      </c>
      <c r="N27" t="b">
        <v>0</v>
      </c>
      <c r="O27" t="b">
        <v>0</v>
      </c>
    </row>
    <row r="28" spans="1:15" x14ac:dyDescent="0.25">
      <c r="A28">
        <v>785</v>
      </c>
      <c r="B28">
        <v>241</v>
      </c>
      <c r="C28">
        <v>224</v>
      </c>
      <c r="D28" s="1" t="s">
        <v>365</v>
      </c>
      <c r="E28" s="1" t="s">
        <v>367</v>
      </c>
      <c r="F28" t="s">
        <v>4550</v>
      </c>
      <c r="G28" t="s">
        <v>4551</v>
      </c>
      <c r="H28" t="s">
        <v>4572</v>
      </c>
      <c r="I28" t="s">
        <v>4583</v>
      </c>
      <c r="J28" t="s">
        <v>6184</v>
      </c>
      <c r="K28" t="s">
        <v>6185</v>
      </c>
      <c r="L28">
        <v>224</v>
      </c>
      <c r="M28">
        <v>30</v>
      </c>
      <c r="N28" t="b">
        <v>0</v>
      </c>
      <c r="O28" t="b">
        <v>0</v>
      </c>
    </row>
    <row r="29" spans="1:15" x14ac:dyDescent="0.25">
      <c r="A29">
        <v>695</v>
      </c>
      <c r="B29">
        <v>265</v>
      </c>
      <c r="C29">
        <v>256</v>
      </c>
      <c r="D29" s="1" t="s">
        <v>365</v>
      </c>
      <c r="E29" s="1" t="s">
        <v>368</v>
      </c>
      <c r="F29" t="s">
        <v>4550</v>
      </c>
      <c r="G29" t="s">
        <v>4551</v>
      </c>
      <c r="H29" t="s">
        <v>4572</v>
      </c>
      <c r="I29" t="s">
        <v>4578</v>
      </c>
      <c r="J29" t="s">
        <v>4619</v>
      </c>
      <c r="K29" t="s">
        <v>4596</v>
      </c>
      <c r="L29">
        <v>256</v>
      </c>
      <c r="M29">
        <v>30</v>
      </c>
      <c r="N29" t="b">
        <v>0</v>
      </c>
      <c r="O29" t="b">
        <v>0</v>
      </c>
    </row>
    <row r="30" spans="1:15" x14ac:dyDescent="0.25">
      <c r="A30">
        <v>833</v>
      </c>
      <c r="B30">
        <v>31</v>
      </c>
      <c r="C30">
        <v>250</v>
      </c>
      <c r="D30" s="1" t="s">
        <v>250</v>
      </c>
      <c r="E30" s="1" t="s">
        <v>256</v>
      </c>
      <c r="F30" t="s">
        <v>4550</v>
      </c>
      <c r="G30" t="s">
        <v>4551</v>
      </c>
      <c r="H30" t="s">
        <v>4572</v>
      </c>
      <c r="I30" t="s">
        <v>4568</v>
      </c>
      <c r="J30" t="s">
        <v>6198</v>
      </c>
      <c r="K30" t="s">
        <v>6199</v>
      </c>
      <c r="L30">
        <v>250</v>
      </c>
      <c r="M30">
        <v>30</v>
      </c>
      <c r="N30" t="b">
        <v>0</v>
      </c>
      <c r="O30" t="b">
        <v>0</v>
      </c>
    </row>
    <row r="31" spans="1:15" x14ac:dyDescent="0.25">
      <c r="A31">
        <v>786</v>
      </c>
      <c r="B31">
        <v>28</v>
      </c>
      <c r="C31">
        <v>280</v>
      </c>
      <c r="D31" s="1" t="s">
        <v>250</v>
      </c>
      <c r="E31" s="1" t="s">
        <v>263</v>
      </c>
      <c r="F31" t="s">
        <v>4550</v>
      </c>
      <c r="G31" t="s">
        <v>4551</v>
      </c>
      <c r="H31" t="s">
        <v>4572</v>
      </c>
      <c r="I31" t="s">
        <v>4578</v>
      </c>
      <c r="J31" t="s">
        <v>6200</v>
      </c>
      <c r="K31" t="s">
        <v>6185</v>
      </c>
      <c r="L31">
        <v>280</v>
      </c>
      <c r="M31">
        <v>30</v>
      </c>
      <c r="N31" t="b">
        <v>0</v>
      </c>
      <c r="O31" t="b">
        <v>0</v>
      </c>
    </row>
    <row r="32" spans="1:15" x14ac:dyDescent="0.25">
      <c r="A32">
        <v>720</v>
      </c>
      <c r="B32">
        <v>197</v>
      </c>
      <c r="C32">
        <v>219</v>
      </c>
      <c r="D32" s="1" t="s">
        <v>283</v>
      </c>
      <c r="E32" s="1" t="s">
        <v>285</v>
      </c>
      <c r="F32" t="s">
        <v>4550</v>
      </c>
      <c r="G32" t="s">
        <v>4551</v>
      </c>
      <c r="H32" t="s">
        <v>4572</v>
      </c>
      <c r="I32" t="s">
        <v>4553</v>
      </c>
      <c r="J32" t="s">
        <v>4621</v>
      </c>
      <c r="K32" t="s">
        <v>4620</v>
      </c>
      <c r="L32">
        <v>219</v>
      </c>
      <c r="M32">
        <v>30</v>
      </c>
      <c r="N32" t="b">
        <v>0</v>
      </c>
      <c r="O32" t="b">
        <v>0</v>
      </c>
    </row>
    <row r="33" spans="1:15" x14ac:dyDescent="0.25">
      <c r="A33">
        <v>715</v>
      </c>
      <c r="B33">
        <v>198</v>
      </c>
      <c r="C33">
        <v>149</v>
      </c>
      <c r="D33" s="1" t="s">
        <v>283</v>
      </c>
      <c r="E33" s="1" t="s">
        <v>286</v>
      </c>
      <c r="F33" t="s">
        <v>4550</v>
      </c>
      <c r="G33" t="s">
        <v>4551</v>
      </c>
      <c r="H33" t="s">
        <v>4572</v>
      </c>
      <c r="I33" t="s">
        <v>4589</v>
      </c>
      <c r="J33" t="s">
        <v>4622</v>
      </c>
      <c r="K33" t="s">
        <v>4595</v>
      </c>
      <c r="L33">
        <v>149</v>
      </c>
      <c r="M33">
        <v>30</v>
      </c>
      <c r="N33" t="b">
        <v>0</v>
      </c>
      <c r="O33" t="b">
        <v>0</v>
      </c>
    </row>
    <row r="34" spans="1:15" x14ac:dyDescent="0.25">
      <c r="A34">
        <v>806</v>
      </c>
      <c r="B34">
        <v>199</v>
      </c>
      <c r="C34">
        <v>286</v>
      </c>
      <c r="D34" s="1" t="s">
        <v>283</v>
      </c>
      <c r="E34" s="1" t="s">
        <v>287</v>
      </c>
      <c r="F34" t="s">
        <v>4588</v>
      </c>
      <c r="G34" t="s">
        <v>4551</v>
      </c>
      <c r="H34" t="s">
        <v>4572</v>
      </c>
      <c r="I34" t="s">
        <v>4553</v>
      </c>
      <c r="J34" t="s">
        <v>4623</v>
      </c>
      <c r="L34">
        <v>286</v>
      </c>
      <c r="M34">
        <v>30</v>
      </c>
      <c r="N34" t="b">
        <v>0</v>
      </c>
      <c r="O34" t="b">
        <v>0</v>
      </c>
    </row>
    <row r="35" spans="1:15" x14ac:dyDescent="0.25">
      <c r="A35">
        <v>740</v>
      </c>
      <c r="B35">
        <v>174</v>
      </c>
      <c r="C35">
        <v>268</v>
      </c>
      <c r="D35" s="1" t="s">
        <v>304</v>
      </c>
      <c r="E35" s="1" t="s">
        <v>0</v>
      </c>
      <c r="F35" t="s">
        <v>4550</v>
      </c>
      <c r="G35" t="s">
        <v>4551</v>
      </c>
      <c r="H35" t="s">
        <v>4572</v>
      </c>
      <c r="I35" t="s">
        <v>4624</v>
      </c>
      <c r="J35" t="s">
        <v>4625</v>
      </c>
      <c r="K35" t="s">
        <v>4593</v>
      </c>
      <c r="L35">
        <v>268</v>
      </c>
      <c r="M35">
        <v>30</v>
      </c>
      <c r="N35" t="b">
        <v>0</v>
      </c>
      <c r="O35" t="b">
        <v>0</v>
      </c>
    </row>
    <row r="36" spans="1:15" x14ac:dyDescent="0.25">
      <c r="A36">
        <v>734</v>
      </c>
      <c r="B36">
        <v>101</v>
      </c>
      <c r="C36">
        <v>124</v>
      </c>
      <c r="D36" s="1" t="s">
        <v>304</v>
      </c>
      <c r="E36" s="1" t="s">
        <v>305</v>
      </c>
      <c r="F36" t="s">
        <v>4550</v>
      </c>
      <c r="G36" t="s">
        <v>4551</v>
      </c>
      <c r="H36" t="s">
        <v>4572</v>
      </c>
      <c r="I36" t="s">
        <v>4553</v>
      </c>
      <c r="J36" t="s">
        <v>4627</v>
      </c>
      <c r="K36" t="s">
        <v>4626</v>
      </c>
      <c r="L36">
        <v>124</v>
      </c>
      <c r="M36">
        <v>30</v>
      </c>
      <c r="N36" t="b">
        <v>0</v>
      </c>
      <c r="O36" t="b">
        <v>0</v>
      </c>
    </row>
    <row r="37" spans="1:15" x14ac:dyDescent="0.25">
      <c r="A37">
        <v>680</v>
      </c>
      <c r="B37">
        <v>171</v>
      </c>
      <c r="C37">
        <v>273</v>
      </c>
      <c r="D37" s="1" t="s">
        <v>304</v>
      </c>
      <c r="E37" s="1" t="s">
        <v>307</v>
      </c>
      <c r="F37" t="s">
        <v>4550</v>
      </c>
      <c r="G37" t="s">
        <v>4551</v>
      </c>
      <c r="H37" t="s">
        <v>4572</v>
      </c>
      <c r="I37" t="s">
        <v>4607</v>
      </c>
      <c r="J37" t="s">
        <v>4628</v>
      </c>
      <c r="K37" t="s">
        <v>4606</v>
      </c>
      <c r="L37">
        <v>273</v>
      </c>
      <c r="M37">
        <v>30</v>
      </c>
      <c r="N37" t="b">
        <v>0</v>
      </c>
      <c r="O37" t="b">
        <v>0</v>
      </c>
    </row>
    <row r="38" spans="1:15" x14ac:dyDescent="0.25">
      <c r="A38">
        <v>825</v>
      </c>
      <c r="B38">
        <v>103</v>
      </c>
      <c r="C38">
        <v>231</v>
      </c>
      <c r="D38" s="1" t="s">
        <v>304</v>
      </c>
      <c r="E38" s="1" t="s">
        <v>309</v>
      </c>
      <c r="F38" t="s">
        <v>4550</v>
      </c>
      <c r="G38" t="s">
        <v>4551</v>
      </c>
      <c r="H38" t="s">
        <v>4572</v>
      </c>
      <c r="I38" t="s">
        <v>4580</v>
      </c>
      <c r="J38" t="s">
        <v>6186</v>
      </c>
      <c r="K38" t="s">
        <v>6187</v>
      </c>
      <c r="L38">
        <v>231</v>
      </c>
      <c r="M38">
        <v>30</v>
      </c>
      <c r="N38" t="b">
        <v>0</v>
      </c>
      <c r="O38" t="b">
        <v>0</v>
      </c>
    </row>
    <row r="39" spans="1:15" x14ac:dyDescent="0.25">
      <c r="A39">
        <v>731</v>
      </c>
      <c r="B39">
        <v>293</v>
      </c>
      <c r="C39">
        <v>296</v>
      </c>
      <c r="D39" s="1" t="s">
        <v>346</v>
      </c>
      <c r="E39" s="1" t="s">
        <v>347</v>
      </c>
      <c r="F39" t="s">
        <v>4550</v>
      </c>
      <c r="G39" t="s">
        <v>4551</v>
      </c>
      <c r="H39" t="s">
        <v>4572</v>
      </c>
      <c r="I39" t="s">
        <v>4598</v>
      </c>
      <c r="J39" t="s">
        <v>4629</v>
      </c>
      <c r="K39" t="s">
        <v>4606</v>
      </c>
      <c r="L39">
        <v>296</v>
      </c>
      <c r="M39">
        <v>30</v>
      </c>
      <c r="N39" t="b">
        <v>0</v>
      </c>
      <c r="O39" t="b">
        <v>0</v>
      </c>
    </row>
    <row r="40" spans="1:15" x14ac:dyDescent="0.25">
      <c r="A40">
        <v>776</v>
      </c>
      <c r="B40">
        <v>295</v>
      </c>
      <c r="C40">
        <v>190</v>
      </c>
      <c r="D40" s="1" t="s">
        <v>346</v>
      </c>
      <c r="E40" s="1" t="s">
        <v>348</v>
      </c>
      <c r="F40" t="s">
        <v>4550</v>
      </c>
      <c r="G40" t="s">
        <v>4551</v>
      </c>
      <c r="H40" t="s">
        <v>4572</v>
      </c>
      <c r="I40" t="s">
        <v>4553</v>
      </c>
      <c r="J40" t="s">
        <v>4631</v>
      </c>
      <c r="K40" t="s">
        <v>4630</v>
      </c>
      <c r="L40">
        <v>190</v>
      </c>
      <c r="M40">
        <v>30</v>
      </c>
      <c r="N40" t="b">
        <v>0</v>
      </c>
      <c r="O40" t="b">
        <v>0</v>
      </c>
    </row>
    <row r="41" spans="1:15" x14ac:dyDescent="0.25">
      <c r="A41">
        <v>732</v>
      </c>
      <c r="B41">
        <v>257</v>
      </c>
      <c r="C41">
        <v>197</v>
      </c>
      <c r="D41" s="1" t="s">
        <v>346</v>
      </c>
      <c r="E41" s="1" t="s">
        <v>285</v>
      </c>
      <c r="F41" t="s">
        <v>4550</v>
      </c>
      <c r="G41" t="s">
        <v>4551</v>
      </c>
      <c r="H41" t="s">
        <v>4572</v>
      </c>
      <c r="I41" t="s">
        <v>4553</v>
      </c>
      <c r="J41" t="s">
        <v>4633</v>
      </c>
      <c r="K41" t="s">
        <v>4632</v>
      </c>
      <c r="L41">
        <v>197</v>
      </c>
      <c r="M41">
        <v>30</v>
      </c>
      <c r="N41" t="b">
        <v>0</v>
      </c>
      <c r="O41" t="b">
        <v>0</v>
      </c>
    </row>
    <row r="42" spans="1:15" x14ac:dyDescent="0.25">
      <c r="A42">
        <v>702</v>
      </c>
      <c r="B42">
        <v>195</v>
      </c>
      <c r="C42">
        <v>298</v>
      </c>
      <c r="D42" s="1" t="s">
        <v>296</v>
      </c>
      <c r="E42" s="1" t="s">
        <v>0</v>
      </c>
      <c r="F42" t="s">
        <v>4550</v>
      </c>
      <c r="G42" t="s">
        <v>4551</v>
      </c>
      <c r="H42" t="s">
        <v>4572</v>
      </c>
      <c r="I42" t="s">
        <v>4624</v>
      </c>
      <c r="J42" t="s">
        <v>4634</v>
      </c>
      <c r="K42" t="s">
        <v>4635</v>
      </c>
      <c r="L42">
        <v>298</v>
      </c>
      <c r="M42">
        <v>30</v>
      </c>
      <c r="N42" t="b">
        <v>0</v>
      </c>
      <c r="O42" t="b">
        <v>0</v>
      </c>
    </row>
    <row r="43" spans="1:15" x14ac:dyDescent="0.25">
      <c r="A43">
        <v>804</v>
      </c>
      <c r="B43">
        <v>52</v>
      </c>
      <c r="C43">
        <v>262</v>
      </c>
      <c r="D43" s="1" t="s">
        <v>296</v>
      </c>
      <c r="E43" s="1" t="s">
        <v>275</v>
      </c>
      <c r="F43" t="s">
        <v>4550</v>
      </c>
      <c r="G43" t="s">
        <v>4551</v>
      </c>
      <c r="H43" t="s">
        <v>4572</v>
      </c>
      <c r="I43" t="s">
        <v>4553</v>
      </c>
      <c r="J43" t="s">
        <v>4636</v>
      </c>
      <c r="K43" t="s">
        <v>4637</v>
      </c>
      <c r="L43">
        <v>262</v>
      </c>
      <c r="M43">
        <v>30</v>
      </c>
      <c r="N43" t="b">
        <v>0</v>
      </c>
      <c r="O43" t="b">
        <v>0</v>
      </c>
    </row>
    <row r="44" spans="1:15" x14ac:dyDescent="0.25">
      <c r="A44">
        <v>674</v>
      </c>
      <c r="B44">
        <v>112</v>
      </c>
      <c r="C44">
        <v>171</v>
      </c>
      <c r="D44" s="1" t="s">
        <v>61</v>
      </c>
      <c r="E44" s="1" t="s">
        <v>293</v>
      </c>
      <c r="F44" t="s">
        <v>4550</v>
      </c>
      <c r="G44" t="s">
        <v>4551</v>
      </c>
      <c r="H44" t="s">
        <v>4572</v>
      </c>
      <c r="I44" t="s">
        <v>4578</v>
      </c>
      <c r="J44" t="s">
        <v>4638</v>
      </c>
      <c r="K44" t="s">
        <v>4603</v>
      </c>
      <c r="L44">
        <v>171</v>
      </c>
      <c r="M44">
        <v>30</v>
      </c>
      <c r="N44" t="b">
        <v>0</v>
      </c>
      <c r="O44" t="b">
        <v>0</v>
      </c>
    </row>
    <row r="45" spans="1:15" x14ac:dyDescent="0.25">
      <c r="A45">
        <v>762</v>
      </c>
      <c r="B45">
        <v>90</v>
      </c>
      <c r="C45">
        <v>200</v>
      </c>
      <c r="D45" s="1" t="s">
        <v>61</v>
      </c>
      <c r="E45" s="1" t="s">
        <v>294</v>
      </c>
      <c r="F45" t="s">
        <v>4550</v>
      </c>
      <c r="G45" t="s">
        <v>4551</v>
      </c>
      <c r="H45" t="s">
        <v>4572</v>
      </c>
      <c r="I45" t="s">
        <v>4568</v>
      </c>
      <c r="J45" t="s">
        <v>4639</v>
      </c>
      <c r="K45" t="s">
        <v>4591</v>
      </c>
      <c r="L45">
        <v>200</v>
      </c>
      <c r="M45">
        <v>30</v>
      </c>
      <c r="N45" t="b">
        <v>0</v>
      </c>
      <c r="O45" t="b">
        <v>0</v>
      </c>
    </row>
    <row r="46" spans="1:15" x14ac:dyDescent="0.25">
      <c r="A46">
        <v>708</v>
      </c>
      <c r="B46">
        <v>111</v>
      </c>
      <c r="C46">
        <v>160</v>
      </c>
      <c r="D46" s="1" t="s">
        <v>61</v>
      </c>
      <c r="E46" s="1" t="s">
        <v>286</v>
      </c>
      <c r="F46" t="s">
        <v>4550</v>
      </c>
      <c r="G46" t="s">
        <v>4551</v>
      </c>
      <c r="H46" t="s">
        <v>4572</v>
      </c>
      <c r="I46" t="s">
        <v>4583</v>
      </c>
      <c r="J46" t="s">
        <v>4640</v>
      </c>
      <c r="K46" t="s">
        <v>4620</v>
      </c>
      <c r="L46">
        <v>160</v>
      </c>
      <c r="M46">
        <v>30</v>
      </c>
      <c r="N46" t="b">
        <v>0</v>
      </c>
      <c r="O46" t="b">
        <v>0</v>
      </c>
    </row>
    <row r="47" spans="1:15" x14ac:dyDescent="0.25">
      <c r="A47">
        <v>444</v>
      </c>
      <c r="B47">
        <v>109</v>
      </c>
      <c r="C47">
        <v>37</v>
      </c>
      <c r="D47" s="1" t="s">
        <v>61</v>
      </c>
      <c r="E47" s="1" t="s">
        <v>31</v>
      </c>
      <c r="F47" t="s">
        <v>4550</v>
      </c>
      <c r="G47" t="s">
        <v>4551</v>
      </c>
      <c r="H47" t="s">
        <v>4570</v>
      </c>
      <c r="I47" t="s">
        <v>4624</v>
      </c>
      <c r="J47" t="s">
        <v>4641</v>
      </c>
      <c r="K47" t="s">
        <v>4577</v>
      </c>
      <c r="L47">
        <v>37</v>
      </c>
      <c r="M47">
        <v>28</v>
      </c>
      <c r="N47" t="b">
        <v>0</v>
      </c>
      <c r="O47" t="b">
        <v>0</v>
      </c>
    </row>
    <row r="48" spans="1:15" x14ac:dyDescent="0.25">
      <c r="A48">
        <v>692</v>
      </c>
      <c r="B48">
        <v>113</v>
      </c>
      <c r="C48">
        <v>204</v>
      </c>
      <c r="D48" s="1" t="s">
        <v>61</v>
      </c>
      <c r="E48" s="1" t="s">
        <v>53</v>
      </c>
      <c r="F48" t="s">
        <v>4550</v>
      </c>
      <c r="G48" t="s">
        <v>4551</v>
      </c>
      <c r="H48" t="s">
        <v>4572</v>
      </c>
      <c r="I48" t="s">
        <v>4553</v>
      </c>
      <c r="J48" t="s">
        <v>4642</v>
      </c>
      <c r="K48" t="s">
        <v>4585</v>
      </c>
      <c r="L48">
        <v>204</v>
      </c>
      <c r="M48">
        <v>30</v>
      </c>
      <c r="N48" t="b">
        <v>0</v>
      </c>
      <c r="O48" t="b">
        <v>0</v>
      </c>
    </row>
    <row r="49" spans="1:15" x14ac:dyDescent="0.25">
      <c r="A49">
        <v>741</v>
      </c>
      <c r="B49">
        <v>239</v>
      </c>
      <c r="C49">
        <v>144</v>
      </c>
      <c r="D49" s="1" t="s">
        <v>361</v>
      </c>
      <c r="E49" s="1" t="s">
        <v>363</v>
      </c>
      <c r="F49" t="s">
        <v>4550</v>
      </c>
      <c r="G49" t="s">
        <v>4551</v>
      </c>
      <c r="H49" t="s">
        <v>4572</v>
      </c>
      <c r="I49" t="s">
        <v>4568</v>
      </c>
      <c r="J49" t="s">
        <v>4643</v>
      </c>
      <c r="K49" t="s">
        <v>4644</v>
      </c>
      <c r="L49">
        <v>144</v>
      </c>
      <c r="M49">
        <v>30</v>
      </c>
      <c r="N49" t="b">
        <v>0</v>
      </c>
      <c r="O49" t="b">
        <v>0</v>
      </c>
    </row>
    <row r="50" spans="1:15" x14ac:dyDescent="0.25">
      <c r="A50">
        <v>688</v>
      </c>
      <c r="B50">
        <v>242</v>
      </c>
      <c r="C50">
        <v>230</v>
      </c>
      <c r="D50" s="1" t="s">
        <v>361</v>
      </c>
      <c r="E50" s="1" t="s">
        <v>364</v>
      </c>
      <c r="F50" t="s">
        <v>4550</v>
      </c>
      <c r="G50" t="s">
        <v>4551</v>
      </c>
      <c r="H50" t="s">
        <v>4572</v>
      </c>
      <c r="I50" t="s">
        <v>4645</v>
      </c>
      <c r="J50" t="s">
        <v>4646</v>
      </c>
      <c r="K50" t="s">
        <v>4647</v>
      </c>
      <c r="L50">
        <v>230</v>
      </c>
      <c r="M50">
        <v>30</v>
      </c>
      <c r="N50" t="b">
        <v>0</v>
      </c>
      <c r="O50" t="b">
        <v>0</v>
      </c>
    </row>
    <row r="51" spans="1:15" x14ac:dyDescent="0.25">
      <c r="A51">
        <v>774</v>
      </c>
      <c r="B51">
        <v>238</v>
      </c>
      <c r="C51">
        <v>143</v>
      </c>
      <c r="D51" s="1" t="s">
        <v>361</v>
      </c>
      <c r="E51" s="1" t="s">
        <v>300</v>
      </c>
      <c r="F51" t="s">
        <v>4550</v>
      </c>
      <c r="G51" t="s">
        <v>4551</v>
      </c>
      <c r="H51" t="s">
        <v>4572</v>
      </c>
      <c r="I51" t="s">
        <v>4568</v>
      </c>
      <c r="J51" t="s">
        <v>4648</v>
      </c>
      <c r="K51" t="s">
        <v>4600</v>
      </c>
      <c r="L51">
        <v>143</v>
      </c>
      <c r="M51">
        <v>30</v>
      </c>
      <c r="N51" t="b">
        <v>0</v>
      </c>
      <c r="O51" t="b">
        <v>0</v>
      </c>
    </row>
    <row r="52" spans="1:15" x14ac:dyDescent="0.25">
      <c r="A52">
        <v>700</v>
      </c>
      <c r="B52">
        <v>244</v>
      </c>
      <c r="C52">
        <v>193</v>
      </c>
      <c r="D52" s="1" t="s">
        <v>361</v>
      </c>
      <c r="E52" s="1" t="s">
        <v>69</v>
      </c>
      <c r="F52" t="s">
        <v>4550</v>
      </c>
      <c r="G52" t="s">
        <v>4551</v>
      </c>
      <c r="H52" t="s">
        <v>4572</v>
      </c>
      <c r="I52" t="s">
        <v>4583</v>
      </c>
      <c r="J52" t="s">
        <v>4649</v>
      </c>
      <c r="K52" t="s">
        <v>4632</v>
      </c>
      <c r="L52">
        <v>193</v>
      </c>
      <c r="M52">
        <v>30</v>
      </c>
      <c r="N52" t="b">
        <v>0</v>
      </c>
      <c r="O52" t="b">
        <v>0</v>
      </c>
    </row>
    <row r="53" spans="1:15" x14ac:dyDescent="0.25">
      <c r="A53">
        <v>788</v>
      </c>
      <c r="B53">
        <v>222</v>
      </c>
      <c r="C53">
        <v>317</v>
      </c>
      <c r="D53" s="1" t="s">
        <v>317</v>
      </c>
      <c r="E53" s="1" t="s">
        <v>319</v>
      </c>
      <c r="F53" t="s">
        <v>4550</v>
      </c>
      <c r="G53" t="s">
        <v>4551</v>
      </c>
      <c r="H53" t="s">
        <v>4572</v>
      </c>
      <c r="I53" t="s">
        <v>4553</v>
      </c>
      <c r="J53" t="s">
        <v>4650</v>
      </c>
      <c r="K53" t="s">
        <v>4616</v>
      </c>
      <c r="L53">
        <v>317</v>
      </c>
      <c r="M53">
        <v>30</v>
      </c>
      <c r="N53" t="b">
        <v>0</v>
      </c>
      <c r="O53" t="b">
        <v>0</v>
      </c>
    </row>
    <row r="54" spans="1:15" x14ac:dyDescent="0.25">
      <c r="A54">
        <v>772</v>
      </c>
      <c r="B54">
        <v>117</v>
      </c>
      <c r="C54">
        <v>288</v>
      </c>
      <c r="D54" s="1" t="s">
        <v>317</v>
      </c>
      <c r="E54" s="1" t="s">
        <v>321</v>
      </c>
      <c r="F54" t="s">
        <v>4550</v>
      </c>
      <c r="G54" t="s">
        <v>4551</v>
      </c>
      <c r="H54" t="s">
        <v>4572</v>
      </c>
      <c r="I54" t="s">
        <v>4568</v>
      </c>
      <c r="J54" t="s">
        <v>4651</v>
      </c>
      <c r="K54" t="s">
        <v>4630</v>
      </c>
      <c r="L54">
        <v>288</v>
      </c>
      <c r="M54">
        <v>30</v>
      </c>
      <c r="N54" t="b">
        <v>0</v>
      </c>
      <c r="O54" t="b">
        <v>0</v>
      </c>
    </row>
    <row r="55" spans="1:15" x14ac:dyDescent="0.25">
      <c r="A55">
        <v>679</v>
      </c>
      <c r="B55">
        <v>285</v>
      </c>
      <c r="C55">
        <v>316</v>
      </c>
      <c r="D55" s="1" t="s">
        <v>317</v>
      </c>
      <c r="E55" s="1" t="s">
        <v>322</v>
      </c>
      <c r="F55" t="s">
        <v>4550</v>
      </c>
      <c r="G55" t="s">
        <v>4551</v>
      </c>
      <c r="H55" t="s">
        <v>4572</v>
      </c>
      <c r="I55" t="s">
        <v>4645</v>
      </c>
      <c r="J55" t="s">
        <v>4652</v>
      </c>
      <c r="K55" t="s">
        <v>4653</v>
      </c>
      <c r="L55">
        <v>316</v>
      </c>
      <c r="M55">
        <v>30</v>
      </c>
      <c r="N55" t="b">
        <v>0</v>
      </c>
      <c r="O55" t="b">
        <v>0</v>
      </c>
    </row>
    <row r="56" spans="1:15" x14ac:dyDescent="0.25">
      <c r="A56">
        <v>683</v>
      </c>
      <c r="B56">
        <v>63</v>
      </c>
      <c r="C56">
        <v>185</v>
      </c>
      <c r="D56" s="1" t="s">
        <v>288</v>
      </c>
      <c r="E56" s="1" t="s">
        <v>54</v>
      </c>
      <c r="F56" t="s">
        <v>4550</v>
      </c>
      <c r="G56" t="s">
        <v>4551</v>
      </c>
      <c r="H56" t="s">
        <v>4572</v>
      </c>
      <c r="I56" t="s">
        <v>4568</v>
      </c>
      <c r="J56" t="s">
        <v>4654</v>
      </c>
      <c r="K56" t="s">
        <v>4655</v>
      </c>
      <c r="L56">
        <v>185</v>
      </c>
      <c r="M56">
        <v>30</v>
      </c>
      <c r="N56" t="b">
        <v>0</v>
      </c>
      <c r="O56" t="b">
        <v>0</v>
      </c>
    </row>
    <row r="57" spans="1:15" x14ac:dyDescent="0.25">
      <c r="A57">
        <v>739</v>
      </c>
      <c r="B57">
        <v>62</v>
      </c>
      <c r="C57">
        <v>184</v>
      </c>
      <c r="D57" s="1" t="s">
        <v>288</v>
      </c>
      <c r="E57" s="1" t="s">
        <v>290</v>
      </c>
      <c r="F57" t="s">
        <v>4550</v>
      </c>
      <c r="G57" t="s">
        <v>4551</v>
      </c>
      <c r="H57" t="s">
        <v>4572</v>
      </c>
      <c r="I57" t="s">
        <v>4568</v>
      </c>
      <c r="J57" t="s">
        <v>4656</v>
      </c>
      <c r="K57" t="s">
        <v>4644</v>
      </c>
      <c r="L57">
        <v>184</v>
      </c>
      <c r="M57">
        <v>30</v>
      </c>
      <c r="N57" t="b">
        <v>0</v>
      </c>
      <c r="O57" t="b">
        <v>0</v>
      </c>
    </row>
    <row r="58" spans="1:15" x14ac:dyDescent="0.25">
      <c r="A58">
        <v>795</v>
      </c>
      <c r="B58">
        <v>60</v>
      </c>
      <c r="C58">
        <v>183</v>
      </c>
      <c r="D58" s="1" t="s">
        <v>288</v>
      </c>
      <c r="E58" s="1" t="s">
        <v>292</v>
      </c>
      <c r="F58" t="s">
        <v>4550</v>
      </c>
      <c r="G58" t="s">
        <v>4551</v>
      </c>
      <c r="H58" t="s">
        <v>4572</v>
      </c>
      <c r="I58" t="s">
        <v>4583</v>
      </c>
      <c r="J58" t="s">
        <v>6201</v>
      </c>
      <c r="K58" t="s">
        <v>6202</v>
      </c>
      <c r="L58">
        <v>183</v>
      </c>
      <c r="M58">
        <v>30</v>
      </c>
      <c r="N58" t="b">
        <v>0</v>
      </c>
      <c r="O58" t="b">
        <v>0</v>
      </c>
    </row>
    <row r="59" spans="1:15" x14ac:dyDescent="0.25">
      <c r="A59">
        <v>802</v>
      </c>
      <c r="B59">
        <v>323</v>
      </c>
      <c r="C59">
        <v>339</v>
      </c>
      <c r="D59" s="1" t="s">
        <v>59</v>
      </c>
      <c r="E59" s="1" t="s">
        <v>47</v>
      </c>
      <c r="F59" t="s">
        <v>4550</v>
      </c>
      <c r="G59" t="s">
        <v>4551</v>
      </c>
      <c r="H59" t="s">
        <v>4572</v>
      </c>
      <c r="I59" t="s">
        <v>4573</v>
      </c>
      <c r="J59" t="s">
        <v>6188</v>
      </c>
      <c r="K59" t="s">
        <v>6189</v>
      </c>
      <c r="L59">
        <v>339</v>
      </c>
      <c r="M59">
        <v>30</v>
      </c>
      <c r="N59" t="b">
        <v>0</v>
      </c>
      <c r="O59" t="b">
        <v>0</v>
      </c>
    </row>
    <row r="60" spans="1:15" x14ac:dyDescent="0.25">
      <c r="A60">
        <v>431</v>
      </c>
      <c r="B60">
        <v>323</v>
      </c>
      <c r="C60">
        <v>76</v>
      </c>
      <c r="D60" s="1" t="s">
        <v>59</v>
      </c>
      <c r="E60" s="1" t="s">
        <v>47</v>
      </c>
      <c r="F60" t="s">
        <v>4550</v>
      </c>
      <c r="G60" t="s">
        <v>4551</v>
      </c>
      <c r="H60" t="s">
        <v>4570</v>
      </c>
      <c r="I60" t="s">
        <v>4573</v>
      </c>
      <c r="J60" t="s">
        <v>4657</v>
      </c>
      <c r="K60" t="s">
        <v>4658</v>
      </c>
      <c r="L60">
        <v>76</v>
      </c>
      <c r="M60">
        <v>28</v>
      </c>
      <c r="N60" t="b">
        <v>0</v>
      </c>
      <c r="O60" t="b">
        <v>0</v>
      </c>
    </row>
    <row r="61" spans="1:15" x14ac:dyDescent="0.25">
      <c r="A61">
        <v>434</v>
      </c>
      <c r="B61">
        <v>326</v>
      </c>
      <c r="C61">
        <v>95</v>
      </c>
      <c r="D61" s="1" t="s">
        <v>59</v>
      </c>
      <c r="E61" s="1" t="s">
        <v>44</v>
      </c>
      <c r="F61" t="s">
        <v>4550</v>
      </c>
      <c r="G61" t="s">
        <v>4551</v>
      </c>
      <c r="H61" t="s">
        <v>4570</v>
      </c>
      <c r="I61" t="s">
        <v>4578</v>
      </c>
      <c r="J61" t="s">
        <v>4659</v>
      </c>
      <c r="K61" t="s">
        <v>4660</v>
      </c>
      <c r="L61">
        <v>95</v>
      </c>
      <c r="M61">
        <v>28</v>
      </c>
      <c r="N61" t="b">
        <v>0</v>
      </c>
      <c r="O61" t="b">
        <v>0</v>
      </c>
    </row>
    <row r="62" spans="1:15" x14ac:dyDescent="0.25">
      <c r="A62">
        <v>839</v>
      </c>
      <c r="B62">
        <v>321</v>
      </c>
      <c r="C62">
        <v>164</v>
      </c>
      <c r="D62" s="1" t="s">
        <v>59</v>
      </c>
      <c r="E62" s="1" t="s">
        <v>49</v>
      </c>
      <c r="F62" t="s">
        <v>4550</v>
      </c>
      <c r="G62" t="s">
        <v>4551</v>
      </c>
      <c r="H62" t="s">
        <v>4572</v>
      </c>
      <c r="I62" t="s">
        <v>4580</v>
      </c>
      <c r="J62" t="s">
        <v>6203</v>
      </c>
      <c r="K62" t="s">
        <v>6199</v>
      </c>
      <c r="L62">
        <v>164</v>
      </c>
      <c r="M62">
        <v>30</v>
      </c>
      <c r="N62" t="b">
        <v>0</v>
      </c>
      <c r="O62" t="b">
        <v>0</v>
      </c>
    </row>
    <row r="63" spans="1:15" x14ac:dyDescent="0.25">
      <c r="A63">
        <v>504</v>
      </c>
      <c r="B63">
        <v>321</v>
      </c>
      <c r="C63">
        <v>69</v>
      </c>
      <c r="D63" s="1" t="s">
        <v>59</v>
      </c>
      <c r="E63" s="1" t="s">
        <v>49</v>
      </c>
      <c r="F63" t="s">
        <v>4550</v>
      </c>
      <c r="G63" t="s">
        <v>4551</v>
      </c>
      <c r="H63" t="s">
        <v>4570</v>
      </c>
      <c r="I63" t="s">
        <v>4553</v>
      </c>
      <c r="J63" t="s">
        <v>4661</v>
      </c>
      <c r="K63" t="s">
        <v>4662</v>
      </c>
      <c r="L63">
        <v>69</v>
      </c>
      <c r="M63">
        <v>28</v>
      </c>
      <c r="N63" t="b">
        <v>0</v>
      </c>
      <c r="O63" t="b">
        <v>0</v>
      </c>
    </row>
    <row r="64" spans="1:15" x14ac:dyDescent="0.25">
      <c r="A64">
        <v>598</v>
      </c>
      <c r="B64">
        <v>314</v>
      </c>
      <c r="C64">
        <v>63</v>
      </c>
      <c r="D64" s="1" t="s">
        <v>59</v>
      </c>
      <c r="E64" s="1" t="s">
        <v>52</v>
      </c>
      <c r="F64" t="s">
        <v>4550</v>
      </c>
      <c r="G64" t="s">
        <v>4551</v>
      </c>
      <c r="H64" t="s">
        <v>4570</v>
      </c>
      <c r="I64" t="s">
        <v>4580</v>
      </c>
      <c r="J64" t="s">
        <v>4663</v>
      </c>
      <c r="K64" t="s">
        <v>4660</v>
      </c>
      <c r="L64">
        <v>63</v>
      </c>
      <c r="M64">
        <v>28</v>
      </c>
      <c r="N64" t="b">
        <v>0</v>
      </c>
      <c r="O64" t="b">
        <v>0</v>
      </c>
    </row>
    <row r="65" spans="1:16" x14ac:dyDescent="0.25">
      <c r="A65">
        <v>677</v>
      </c>
      <c r="B65">
        <v>324</v>
      </c>
      <c r="C65">
        <v>163</v>
      </c>
      <c r="D65" s="1" t="s">
        <v>59</v>
      </c>
      <c r="E65" s="1" t="s">
        <v>21</v>
      </c>
      <c r="F65" t="s">
        <v>4550</v>
      </c>
      <c r="G65" t="s">
        <v>4551</v>
      </c>
      <c r="H65" t="s">
        <v>4572</v>
      </c>
      <c r="I65" t="s">
        <v>4645</v>
      </c>
      <c r="J65" t="s">
        <v>4664</v>
      </c>
      <c r="K65" t="s">
        <v>4603</v>
      </c>
      <c r="L65">
        <v>163</v>
      </c>
      <c r="M65">
        <v>30</v>
      </c>
      <c r="N65" t="b">
        <v>0</v>
      </c>
      <c r="O65" t="b">
        <v>0</v>
      </c>
    </row>
    <row r="66" spans="1:16" x14ac:dyDescent="0.25">
      <c r="A66">
        <v>805</v>
      </c>
      <c r="B66">
        <v>322</v>
      </c>
      <c r="C66">
        <v>167</v>
      </c>
      <c r="D66" s="1" t="s">
        <v>59</v>
      </c>
      <c r="E66" s="1" t="s">
        <v>382</v>
      </c>
      <c r="F66" t="s">
        <v>4550</v>
      </c>
      <c r="G66" t="s">
        <v>4551</v>
      </c>
      <c r="H66" t="s">
        <v>4572</v>
      </c>
      <c r="I66" t="s">
        <v>4598</v>
      </c>
      <c r="J66" t="s">
        <v>6204</v>
      </c>
      <c r="K66" t="s">
        <v>6199</v>
      </c>
      <c r="L66">
        <v>167</v>
      </c>
      <c r="M66">
        <v>30</v>
      </c>
      <c r="N66" t="b">
        <v>0</v>
      </c>
      <c r="O66" t="b">
        <v>0</v>
      </c>
    </row>
    <row r="67" spans="1:16" x14ac:dyDescent="0.25">
      <c r="A67">
        <v>546</v>
      </c>
      <c r="B67">
        <v>320</v>
      </c>
      <c r="C67">
        <v>67</v>
      </c>
      <c r="D67" s="1" t="s">
        <v>59</v>
      </c>
      <c r="E67" s="1" t="s">
        <v>41</v>
      </c>
      <c r="F67" t="s">
        <v>4550</v>
      </c>
      <c r="G67" t="s">
        <v>4551</v>
      </c>
      <c r="H67" t="s">
        <v>4570</v>
      </c>
      <c r="I67" t="s">
        <v>4580</v>
      </c>
      <c r="J67" t="s">
        <v>4665</v>
      </c>
      <c r="K67" t="s">
        <v>4364</v>
      </c>
      <c r="L67">
        <v>67</v>
      </c>
      <c r="M67">
        <v>28</v>
      </c>
      <c r="N67" t="b">
        <v>0</v>
      </c>
      <c r="O67" t="b">
        <v>0</v>
      </c>
    </row>
    <row r="68" spans="1:16" x14ac:dyDescent="0.25">
      <c r="A68">
        <v>686</v>
      </c>
      <c r="B68">
        <v>325</v>
      </c>
      <c r="C68">
        <v>244</v>
      </c>
      <c r="D68" s="1" t="s">
        <v>59</v>
      </c>
      <c r="E68" s="1" t="s">
        <v>69</v>
      </c>
      <c r="F68" t="s">
        <v>4550</v>
      </c>
      <c r="G68" t="s">
        <v>4551</v>
      </c>
      <c r="H68" t="s">
        <v>4572</v>
      </c>
      <c r="I68" t="s">
        <v>4583</v>
      </c>
      <c r="J68" t="s">
        <v>4666</v>
      </c>
      <c r="K68" t="s">
        <v>4626</v>
      </c>
      <c r="L68">
        <v>244</v>
      </c>
      <c r="M68">
        <v>30</v>
      </c>
      <c r="N68" t="b">
        <v>0</v>
      </c>
      <c r="O68" t="b">
        <v>0</v>
      </c>
    </row>
    <row r="69" spans="1:16" x14ac:dyDescent="0.25">
      <c r="A69">
        <v>363</v>
      </c>
      <c r="B69">
        <v>325</v>
      </c>
      <c r="C69">
        <v>75</v>
      </c>
      <c r="D69" s="1" t="s">
        <v>59</v>
      </c>
      <c r="E69" s="1" t="s">
        <v>69</v>
      </c>
      <c r="F69" t="s">
        <v>4550</v>
      </c>
      <c r="G69" t="s">
        <v>4551</v>
      </c>
      <c r="H69" t="s">
        <v>4552</v>
      </c>
      <c r="I69" t="s">
        <v>4583</v>
      </c>
      <c r="J69" t="s">
        <v>4667</v>
      </c>
      <c r="K69" t="s">
        <v>4668</v>
      </c>
      <c r="L69">
        <v>75</v>
      </c>
      <c r="M69">
        <v>23</v>
      </c>
      <c r="N69" t="b">
        <v>0</v>
      </c>
      <c r="O69" t="b">
        <v>0</v>
      </c>
    </row>
    <row r="70" spans="1:16" x14ac:dyDescent="0.25">
      <c r="A70">
        <v>416</v>
      </c>
      <c r="B70">
        <v>325</v>
      </c>
      <c r="C70">
        <v>75</v>
      </c>
      <c r="D70" s="1" t="s">
        <v>59</v>
      </c>
      <c r="E70" s="1" t="s">
        <v>69</v>
      </c>
      <c r="F70" t="s">
        <v>4550</v>
      </c>
      <c r="G70" t="s">
        <v>4551</v>
      </c>
      <c r="H70" t="s">
        <v>4570</v>
      </c>
      <c r="I70" t="s">
        <v>4583</v>
      </c>
      <c r="J70" t="s">
        <v>4669</v>
      </c>
      <c r="K70" t="s">
        <v>4587</v>
      </c>
      <c r="L70">
        <v>75</v>
      </c>
      <c r="M70">
        <v>28</v>
      </c>
      <c r="N70" t="b">
        <v>0</v>
      </c>
      <c r="O70" t="b">
        <v>0</v>
      </c>
    </row>
    <row r="71" spans="1:16" x14ac:dyDescent="0.25">
      <c r="A71">
        <v>778</v>
      </c>
      <c r="B71">
        <v>318</v>
      </c>
      <c r="C71">
        <v>292</v>
      </c>
      <c r="D71" s="1" t="s">
        <v>59</v>
      </c>
      <c r="E71" s="1" t="s">
        <v>22</v>
      </c>
      <c r="F71" t="s">
        <v>4550</v>
      </c>
      <c r="G71" t="s">
        <v>4551</v>
      </c>
      <c r="H71" t="s">
        <v>4572</v>
      </c>
      <c r="I71" t="s">
        <v>4553</v>
      </c>
      <c r="J71" t="s">
        <v>4670</v>
      </c>
      <c r="K71" t="s">
        <v>4603</v>
      </c>
      <c r="L71">
        <v>292</v>
      </c>
      <c r="M71">
        <v>30</v>
      </c>
      <c r="N71" t="b">
        <v>0</v>
      </c>
      <c r="O71" t="b">
        <v>0</v>
      </c>
    </row>
    <row r="72" spans="1:16" x14ac:dyDescent="0.25">
      <c r="A72">
        <v>362</v>
      </c>
      <c r="B72">
        <v>318</v>
      </c>
      <c r="C72">
        <v>51</v>
      </c>
      <c r="D72" s="1" t="s">
        <v>59</v>
      </c>
      <c r="E72" s="1" t="s">
        <v>22</v>
      </c>
      <c r="F72" t="s">
        <v>4550</v>
      </c>
      <c r="G72" t="s">
        <v>4551</v>
      </c>
      <c r="H72" t="s">
        <v>4552</v>
      </c>
      <c r="I72" t="s">
        <v>4553</v>
      </c>
      <c r="J72" t="s">
        <v>4671</v>
      </c>
      <c r="K72" t="s">
        <v>4672</v>
      </c>
      <c r="L72">
        <v>51</v>
      </c>
      <c r="M72">
        <v>23</v>
      </c>
      <c r="N72" t="b">
        <v>0</v>
      </c>
      <c r="O72" t="b">
        <v>0</v>
      </c>
      <c r="P72" t="s">
        <v>4673</v>
      </c>
    </row>
    <row r="73" spans="1:16" x14ac:dyDescent="0.25">
      <c r="A73">
        <v>499</v>
      </c>
      <c r="B73">
        <v>319</v>
      </c>
      <c r="C73">
        <v>56</v>
      </c>
      <c r="D73" s="1" t="s">
        <v>59</v>
      </c>
      <c r="E73" s="1" t="s">
        <v>48</v>
      </c>
      <c r="F73" t="s">
        <v>4550</v>
      </c>
      <c r="G73" t="s">
        <v>4551</v>
      </c>
      <c r="H73" t="s">
        <v>4552</v>
      </c>
      <c r="I73" t="s">
        <v>4580</v>
      </c>
      <c r="J73" t="s">
        <v>4674</v>
      </c>
      <c r="K73" t="s">
        <v>4675</v>
      </c>
      <c r="L73">
        <v>56</v>
      </c>
      <c r="M73">
        <v>23</v>
      </c>
      <c r="N73" t="b">
        <v>0</v>
      </c>
      <c r="O73" t="b">
        <v>0</v>
      </c>
    </row>
    <row r="74" spans="1:16" x14ac:dyDescent="0.25">
      <c r="A74">
        <v>803</v>
      </c>
      <c r="B74">
        <v>319</v>
      </c>
      <c r="C74">
        <v>57</v>
      </c>
      <c r="D74" s="1" t="s">
        <v>59</v>
      </c>
      <c r="E74" s="1" t="s">
        <v>48</v>
      </c>
      <c r="F74" t="s">
        <v>4550</v>
      </c>
      <c r="G74" t="s">
        <v>4551</v>
      </c>
      <c r="H74" t="s">
        <v>4572</v>
      </c>
      <c r="I74" t="s">
        <v>4553</v>
      </c>
      <c r="J74" t="s">
        <v>4676</v>
      </c>
      <c r="K74" t="s">
        <v>4637</v>
      </c>
      <c r="L74">
        <v>57</v>
      </c>
      <c r="M74">
        <v>30</v>
      </c>
      <c r="N74" t="b">
        <v>0</v>
      </c>
      <c r="O74" t="b">
        <v>0</v>
      </c>
    </row>
    <row r="75" spans="1:16" x14ac:dyDescent="0.25">
      <c r="A75">
        <v>389</v>
      </c>
      <c r="B75">
        <v>317</v>
      </c>
      <c r="C75">
        <v>53</v>
      </c>
      <c r="D75" s="1" t="s">
        <v>59</v>
      </c>
      <c r="E75" s="1" t="s">
        <v>28</v>
      </c>
      <c r="F75" t="s">
        <v>4550</v>
      </c>
      <c r="G75" t="s">
        <v>4551</v>
      </c>
      <c r="H75" t="s">
        <v>4552</v>
      </c>
      <c r="I75" t="s">
        <v>4568</v>
      </c>
      <c r="J75" t="s">
        <v>4677</v>
      </c>
      <c r="K75" t="s">
        <v>4678</v>
      </c>
      <c r="L75">
        <v>53</v>
      </c>
      <c r="M75">
        <v>23</v>
      </c>
      <c r="N75" t="b">
        <v>0</v>
      </c>
      <c r="O75" t="b">
        <v>0</v>
      </c>
    </row>
    <row r="76" spans="1:16" x14ac:dyDescent="0.25">
      <c r="A76">
        <v>783</v>
      </c>
      <c r="B76">
        <v>229</v>
      </c>
      <c r="C76">
        <v>246</v>
      </c>
      <c r="D76" s="1" t="s">
        <v>271</v>
      </c>
      <c r="E76" s="1" t="s">
        <v>272</v>
      </c>
      <c r="F76" t="s">
        <v>4550</v>
      </c>
      <c r="G76" t="s">
        <v>4551</v>
      </c>
      <c r="H76" t="s">
        <v>4572</v>
      </c>
      <c r="I76" t="s">
        <v>4645</v>
      </c>
      <c r="J76" t="s">
        <v>6205</v>
      </c>
      <c r="K76" t="s">
        <v>6199</v>
      </c>
      <c r="L76">
        <v>246</v>
      </c>
      <c r="M76">
        <v>30</v>
      </c>
      <c r="N76" t="b">
        <v>0</v>
      </c>
      <c r="O76" t="b">
        <v>0</v>
      </c>
    </row>
    <row r="77" spans="1:16" x14ac:dyDescent="0.25">
      <c r="A77">
        <v>770</v>
      </c>
      <c r="B77">
        <v>218</v>
      </c>
      <c r="C77">
        <v>233</v>
      </c>
      <c r="D77" s="1" t="s">
        <v>271</v>
      </c>
      <c r="E77" s="1" t="s">
        <v>274</v>
      </c>
      <c r="F77" t="s">
        <v>4550</v>
      </c>
      <c r="G77" t="s">
        <v>4551</v>
      </c>
      <c r="H77" t="s">
        <v>4572</v>
      </c>
      <c r="I77" t="s">
        <v>4568</v>
      </c>
      <c r="J77" t="s">
        <v>4679</v>
      </c>
      <c r="K77" t="s">
        <v>4603</v>
      </c>
      <c r="L77">
        <v>233</v>
      </c>
      <c r="M77">
        <v>30</v>
      </c>
      <c r="N77" t="b">
        <v>0</v>
      </c>
      <c r="O77" t="b">
        <v>0</v>
      </c>
    </row>
    <row r="78" spans="1:16" x14ac:dyDescent="0.25">
      <c r="A78">
        <v>727</v>
      </c>
      <c r="B78">
        <v>76</v>
      </c>
      <c r="C78">
        <v>198</v>
      </c>
      <c r="D78" s="1" t="s">
        <v>271</v>
      </c>
      <c r="E78" s="1" t="s">
        <v>276</v>
      </c>
      <c r="F78" t="s">
        <v>4550</v>
      </c>
      <c r="G78" t="s">
        <v>4551</v>
      </c>
      <c r="H78" t="s">
        <v>4572</v>
      </c>
      <c r="I78" t="s">
        <v>4645</v>
      </c>
      <c r="J78" t="s">
        <v>4680</v>
      </c>
      <c r="K78" t="s">
        <v>4630</v>
      </c>
      <c r="L78">
        <v>198</v>
      </c>
      <c r="M78">
        <v>30</v>
      </c>
      <c r="N78" t="b">
        <v>0</v>
      </c>
      <c r="O78" t="b">
        <v>0</v>
      </c>
    </row>
    <row r="79" spans="1:16" x14ac:dyDescent="0.25">
      <c r="A79">
        <v>841</v>
      </c>
      <c r="B79">
        <v>312</v>
      </c>
      <c r="C79">
        <v>218</v>
      </c>
      <c r="D79" s="1" t="s">
        <v>57</v>
      </c>
      <c r="E79" s="1" t="s">
        <v>29</v>
      </c>
      <c r="F79" t="s">
        <v>4550</v>
      </c>
      <c r="G79" t="s">
        <v>4551</v>
      </c>
      <c r="H79" t="s">
        <v>4572</v>
      </c>
      <c r="I79" t="s">
        <v>4553</v>
      </c>
      <c r="J79" t="s">
        <v>6206</v>
      </c>
      <c r="K79" t="s">
        <v>6202</v>
      </c>
      <c r="L79">
        <v>218</v>
      </c>
      <c r="M79">
        <v>30</v>
      </c>
      <c r="N79" t="b">
        <v>0</v>
      </c>
      <c r="O79" t="b">
        <v>0</v>
      </c>
    </row>
    <row r="80" spans="1:16" x14ac:dyDescent="0.25">
      <c r="A80">
        <v>398</v>
      </c>
      <c r="B80">
        <v>312</v>
      </c>
      <c r="C80">
        <v>61</v>
      </c>
      <c r="D80" s="1" t="s">
        <v>57</v>
      </c>
      <c r="E80" s="1" t="s">
        <v>29</v>
      </c>
      <c r="F80" t="s">
        <v>4550</v>
      </c>
      <c r="G80" t="s">
        <v>4551</v>
      </c>
      <c r="H80" t="s">
        <v>4552</v>
      </c>
      <c r="I80" t="s">
        <v>4553</v>
      </c>
      <c r="J80" t="s">
        <v>4681</v>
      </c>
      <c r="K80" t="s">
        <v>4682</v>
      </c>
      <c r="L80">
        <v>61</v>
      </c>
      <c r="M80">
        <v>23</v>
      </c>
      <c r="N80" t="b">
        <v>0</v>
      </c>
      <c r="O80" t="b">
        <v>0</v>
      </c>
    </row>
    <row r="81" spans="1:16" x14ac:dyDescent="0.25">
      <c r="A81">
        <v>811</v>
      </c>
      <c r="B81">
        <v>305</v>
      </c>
      <c r="C81">
        <v>274</v>
      </c>
      <c r="D81" s="1" t="s">
        <v>57</v>
      </c>
      <c r="E81" s="1" t="s">
        <v>0</v>
      </c>
      <c r="F81" t="s">
        <v>4550</v>
      </c>
      <c r="G81" t="s">
        <v>4551</v>
      </c>
      <c r="H81" t="s">
        <v>4572</v>
      </c>
      <c r="I81" t="s">
        <v>4624</v>
      </c>
      <c r="J81" t="s">
        <v>6207</v>
      </c>
      <c r="K81" t="s">
        <v>6187</v>
      </c>
      <c r="L81">
        <v>274</v>
      </c>
      <c r="M81">
        <v>30</v>
      </c>
      <c r="N81" t="b">
        <v>0</v>
      </c>
      <c r="O81" t="b">
        <v>0</v>
      </c>
    </row>
    <row r="82" spans="1:16" x14ac:dyDescent="0.25">
      <c r="A82">
        <v>597</v>
      </c>
      <c r="B82">
        <v>305</v>
      </c>
      <c r="C82">
        <v>94</v>
      </c>
      <c r="D82" s="1" t="s">
        <v>57</v>
      </c>
      <c r="E82" s="1" t="s">
        <v>0</v>
      </c>
      <c r="F82" t="s">
        <v>4550</v>
      </c>
      <c r="G82" t="s">
        <v>4551</v>
      </c>
      <c r="H82" t="s">
        <v>4570</v>
      </c>
      <c r="I82" t="s">
        <v>4624</v>
      </c>
      <c r="J82" t="s">
        <v>4683</v>
      </c>
      <c r="K82" t="s">
        <v>4660</v>
      </c>
      <c r="L82">
        <v>94</v>
      </c>
      <c r="M82">
        <v>28</v>
      </c>
      <c r="N82" t="b">
        <v>0</v>
      </c>
      <c r="O82" t="b">
        <v>0</v>
      </c>
    </row>
    <row r="83" spans="1:16" x14ac:dyDescent="0.25">
      <c r="A83">
        <v>419</v>
      </c>
      <c r="B83">
        <v>306</v>
      </c>
      <c r="C83">
        <v>52</v>
      </c>
      <c r="D83" s="1" t="s">
        <v>57</v>
      </c>
      <c r="E83" s="1" t="s">
        <v>34</v>
      </c>
      <c r="F83" t="s">
        <v>4550</v>
      </c>
      <c r="G83" t="s">
        <v>4551</v>
      </c>
      <c r="H83" t="s">
        <v>4570</v>
      </c>
      <c r="I83" t="s">
        <v>4598</v>
      </c>
      <c r="J83" t="s">
        <v>4684</v>
      </c>
      <c r="K83" t="s">
        <v>4582</v>
      </c>
      <c r="L83">
        <v>52</v>
      </c>
      <c r="M83">
        <v>28</v>
      </c>
      <c r="N83" t="b">
        <v>0</v>
      </c>
      <c r="O83" t="b">
        <v>0</v>
      </c>
    </row>
    <row r="84" spans="1:16" x14ac:dyDescent="0.25">
      <c r="A84">
        <v>547</v>
      </c>
      <c r="B84">
        <v>311</v>
      </c>
      <c r="C84">
        <v>68</v>
      </c>
      <c r="D84" s="1" t="s">
        <v>57</v>
      </c>
      <c r="E84" s="1" t="s">
        <v>45</v>
      </c>
      <c r="F84" t="s">
        <v>4550</v>
      </c>
      <c r="G84" t="s">
        <v>4551</v>
      </c>
      <c r="H84" t="s">
        <v>4570</v>
      </c>
      <c r="I84" t="s">
        <v>4568</v>
      </c>
      <c r="J84" t="s">
        <v>4685</v>
      </c>
      <c r="K84" t="s">
        <v>4348</v>
      </c>
      <c r="L84">
        <v>68</v>
      </c>
      <c r="M84">
        <v>28</v>
      </c>
      <c r="N84" t="b">
        <v>0</v>
      </c>
      <c r="O84" t="b">
        <v>0</v>
      </c>
    </row>
    <row r="85" spans="1:16" x14ac:dyDescent="0.25">
      <c r="A85">
        <v>443</v>
      </c>
      <c r="B85">
        <v>316</v>
      </c>
      <c r="C85">
        <v>28</v>
      </c>
      <c r="D85" s="1" t="s">
        <v>57</v>
      </c>
      <c r="E85" s="1" t="s">
        <v>42</v>
      </c>
      <c r="F85" t="s">
        <v>4550</v>
      </c>
      <c r="G85" t="s">
        <v>4551</v>
      </c>
      <c r="H85" t="s">
        <v>4570</v>
      </c>
      <c r="I85" t="s">
        <v>4553</v>
      </c>
      <c r="J85" t="s">
        <v>4687</v>
      </c>
      <c r="K85" t="s">
        <v>4686</v>
      </c>
      <c r="L85">
        <v>28</v>
      </c>
      <c r="M85">
        <v>28</v>
      </c>
      <c r="N85" t="b">
        <v>0</v>
      </c>
      <c r="O85" t="b">
        <v>0</v>
      </c>
    </row>
    <row r="86" spans="1:16" x14ac:dyDescent="0.25">
      <c r="A86">
        <v>810</v>
      </c>
      <c r="B86">
        <v>316</v>
      </c>
      <c r="C86">
        <v>283</v>
      </c>
      <c r="D86" s="1" t="s">
        <v>57</v>
      </c>
      <c r="E86" s="1" t="s">
        <v>42</v>
      </c>
      <c r="F86" t="s">
        <v>4550</v>
      </c>
      <c r="G86" t="s">
        <v>4551</v>
      </c>
      <c r="H86" t="s">
        <v>4572</v>
      </c>
      <c r="I86" t="s">
        <v>4568</v>
      </c>
      <c r="J86" t="s">
        <v>6190</v>
      </c>
      <c r="K86" t="s">
        <v>6183</v>
      </c>
      <c r="L86">
        <v>283</v>
      </c>
      <c r="M86">
        <v>30</v>
      </c>
      <c r="N86" t="b">
        <v>0</v>
      </c>
      <c r="O86" t="b">
        <v>0</v>
      </c>
    </row>
    <row r="87" spans="1:16" x14ac:dyDescent="0.25">
      <c r="A87">
        <v>681</v>
      </c>
      <c r="B87">
        <v>309</v>
      </c>
      <c r="C87">
        <v>216</v>
      </c>
      <c r="D87" s="1" t="s">
        <v>57</v>
      </c>
      <c r="E87" s="1" t="s">
        <v>27</v>
      </c>
      <c r="F87" t="s">
        <v>4550</v>
      </c>
      <c r="G87" t="s">
        <v>4551</v>
      </c>
      <c r="H87" t="s">
        <v>4572</v>
      </c>
      <c r="I87" t="s">
        <v>4568</v>
      </c>
      <c r="J87" t="s">
        <v>4689</v>
      </c>
      <c r="K87" t="s">
        <v>4688</v>
      </c>
      <c r="L87">
        <v>216</v>
      </c>
      <c r="M87">
        <v>30</v>
      </c>
      <c r="N87" t="b">
        <v>0</v>
      </c>
      <c r="O87" t="b">
        <v>0</v>
      </c>
    </row>
    <row r="88" spans="1:16" x14ac:dyDescent="0.25">
      <c r="A88">
        <v>384</v>
      </c>
      <c r="B88">
        <v>309</v>
      </c>
      <c r="C88">
        <v>64</v>
      </c>
      <c r="D88" s="1" t="s">
        <v>57</v>
      </c>
      <c r="E88" s="1" t="s">
        <v>27</v>
      </c>
      <c r="F88" t="s">
        <v>4550</v>
      </c>
      <c r="G88" t="s">
        <v>4551</v>
      </c>
      <c r="H88" t="s">
        <v>4552</v>
      </c>
      <c r="I88" t="s">
        <v>4580</v>
      </c>
      <c r="J88" t="s">
        <v>4690</v>
      </c>
      <c r="K88" t="s">
        <v>4682</v>
      </c>
      <c r="L88">
        <v>64</v>
      </c>
      <c r="M88">
        <v>23</v>
      </c>
      <c r="N88" t="b">
        <v>0</v>
      </c>
      <c r="O88" t="b">
        <v>0</v>
      </c>
    </row>
    <row r="89" spans="1:16" x14ac:dyDescent="0.25">
      <c r="A89">
        <v>705</v>
      </c>
      <c r="B89">
        <v>304</v>
      </c>
      <c r="C89">
        <v>243</v>
      </c>
      <c r="D89" s="1" t="s">
        <v>57</v>
      </c>
      <c r="E89" s="1" t="s">
        <v>20</v>
      </c>
      <c r="F89" t="s">
        <v>4550</v>
      </c>
      <c r="G89" t="s">
        <v>4551</v>
      </c>
      <c r="H89" t="s">
        <v>4572</v>
      </c>
      <c r="I89" t="s">
        <v>4692</v>
      </c>
      <c r="J89" t="s">
        <v>4693</v>
      </c>
      <c r="K89" t="s">
        <v>4694</v>
      </c>
      <c r="L89">
        <v>243</v>
      </c>
      <c r="M89">
        <v>30</v>
      </c>
      <c r="N89" t="b">
        <v>0</v>
      </c>
      <c r="O89" t="b">
        <v>0</v>
      </c>
    </row>
    <row r="90" spans="1:16" x14ac:dyDescent="0.25">
      <c r="A90">
        <v>338</v>
      </c>
      <c r="B90">
        <v>304</v>
      </c>
      <c r="C90">
        <v>39</v>
      </c>
      <c r="D90" s="1" t="s">
        <v>57</v>
      </c>
      <c r="E90" s="1" t="s">
        <v>20</v>
      </c>
      <c r="F90" t="s">
        <v>4588</v>
      </c>
      <c r="G90" t="s">
        <v>4551</v>
      </c>
      <c r="H90" t="s">
        <v>4552</v>
      </c>
      <c r="I90" t="s">
        <v>4692</v>
      </c>
      <c r="J90" t="s">
        <v>4695</v>
      </c>
      <c r="L90">
        <v>39</v>
      </c>
      <c r="M90">
        <v>23</v>
      </c>
      <c r="N90" t="b">
        <v>0</v>
      </c>
      <c r="O90" t="b">
        <v>0</v>
      </c>
    </row>
    <row r="91" spans="1:16" x14ac:dyDescent="0.25">
      <c r="A91">
        <v>414</v>
      </c>
      <c r="B91">
        <v>304</v>
      </c>
      <c r="C91">
        <v>39</v>
      </c>
      <c r="D91" s="1" t="s">
        <v>57</v>
      </c>
      <c r="E91" s="1" t="s">
        <v>20</v>
      </c>
      <c r="F91" t="s">
        <v>4550</v>
      </c>
      <c r="G91" t="s">
        <v>4551</v>
      </c>
      <c r="H91" t="s">
        <v>4570</v>
      </c>
      <c r="I91" t="s">
        <v>4692</v>
      </c>
      <c r="J91" t="s">
        <v>4696</v>
      </c>
      <c r="K91" t="s">
        <v>4348</v>
      </c>
      <c r="L91">
        <v>39</v>
      </c>
      <c r="M91">
        <v>28</v>
      </c>
      <c r="N91" t="b">
        <v>0</v>
      </c>
      <c r="O91" t="b">
        <v>0</v>
      </c>
    </row>
    <row r="92" spans="1:16" x14ac:dyDescent="0.25">
      <c r="A92">
        <v>800</v>
      </c>
      <c r="B92">
        <v>310</v>
      </c>
      <c r="C92">
        <v>210</v>
      </c>
      <c r="D92" s="1" t="s">
        <v>57</v>
      </c>
      <c r="E92" s="1" t="s">
        <v>50</v>
      </c>
      <c r="F92" t="s">
        <v>4550</v>
      </c>
      <c r="G92" t="s">
        <v>4551</v>
      </c>
      <c r="H92" t="s">
        <v>4572</v>
      </c>
      <c r="I92" t="s">
        <v>4553</v>
      </c>
      <c r="J92" t="s">
        <v>4697</v>
      </c>
      <c r="K92" t="s">
        <v>4601</v>
      </c>
      <c r="L92">
        <v>210</v>
      </c>
      <c r="M92">
        <v>30</v>
      </c>
      <c r="N92" t="b">
        <v>0</v>
      </c>
      <c r="O92" t="b">
        <v>0</v>
      </c>
    </row>
    <row r="93" spans="1:16" x14ac:dyDescent="0.25">
      <c r="A93">
        <v>501</v>
      </c>
      <c r="B93">
        <v>310</v>
      </c>
      <c r="C93">
        <v>70</v>
      </c>
      <c r="D93" s="1" t="s">
        <v>57</v>
      </c>
      <c r="E93" s="1" t="s">
        <v>50</v>
      </c>
      <c r="F93" t="s">
        <v>4550</v>
      </c>
      <c r="G93" t="s">
        <v>4551</v>
      </c>
      <c r="H93" t="s">
        <v>4570</v>
      </c>
      <c r="I93" t="s">
        <v>4553</v>
      </c>
      <c r="J93" t="s">
        <v>4698</v>
      </c>
      <c r="K93" t="s">
        <v>4662</v>
      </c>
      <c r="L93">
        <v>70</v>
      </c>
      <c r="M93">
        <v>28</v>
      </c>
      <c r="N93" t="b">
        <v>0</v>
      </c>
      <c r="O93" t="b">
        <v>0</v>
      </c>
    </row>
    <row r="94" spans="1:16" x14ac:dyDescent="0.25">
      <c r="A94">
        <v>432</v>
      </c>
      <c r="B94">
        <v>303</v>
      </c>
      <c r="C94">
        <v>87</v>
      </c>
      <c r="D94" s="1" t="s">
        <v>57</v>
      </c>
      <c r="E94" s="1" t="s">
        <v>39</v>
      </c>
      <c r="F94" t="s">
        <v>4550</v>
      </c>
      <c r="G94" t="s">
        <v>4551</v>
      </c>
      <c r="H94" t="s">
        <v>4570</v>
      </c>
      <c r="I94" t="s">
        <v>4589</v>
      </c>
      <c r="J94" t="s">
        <v>4699</v>
      </c>
      <c r="K94" t="s">
        <v>4577</v>
      </c>
      <c r="L94">
        <v>87</v>
      </c>
      <c r="M94">
        <v>28</v>
      </c>
      <c r="N94" t="b">
        <v>0</v>
      </c>
      <c r="O94" t="b">
        <v>0</v>
      </c>
      <c r="P94" t="s">
        <v>4700</v>
      </c>
    </row>
    <row r="95" spans="1:16" x14ac:dyDescent="0.25">
      <c r="A95">
        <v>423</v>
      </c>
      <c r="B95">
        <v>308</v>
      </c>
      <c r="C95">
        <v>48</v>
      </c>
      <c r="D95" s="1" t="s">
        <v>57</v>
      </c>
      <c r="E95" s="1" t="s">
        <v>23</v>
      </c>
      <c r="F95" t="s">
        <v>4550</v>
      </c>
      <c r="G95" t="s">
        <v>4551</v>
      </c>
      <c r="H95" t="s">
        <v>4570</v>
      </c>
      <c r="I95" t="s">
        <v>4589</v>
      </c>
      <c r="J95" t="s">
        <v>4701</v>
      </c>
      <c r="K95" t="s">
        <v>4577</v>
      </c>
      <c r="L95">
        <v>48</v>
      </c>
      <c r="M95">
        <v>28</v>
      </c>
      <c r="N95" t="b">
        <v>0</v>
      </c>
      <c r="O95" t="b">
        <v>0</v>
      </c>
      <c r="P95" t="s">
        <v>4702</v>
      </c>
    </row>
    <row r="96" spans="1:16" x14ac:dyDescent="0.25">
      <c r="A96">
        <v>387</v>
      </c>
      <c r="B96">
        <v>313</v>
      </c>
      <c r="C96">
        <v>82</v>
      </c>
      <c r="D96" s="1" t="s">
        <v>57</v>
      </c>
      <c r="E96" s="1" t="s">
        <v>24</v>
      </c>
      <c r="F96" t="s">
        <v>4550</v>
      </c>
      <c r="G96" t="s">
        <v>4551</v>
      </c>
      <c r="H96" t="s">
        <v>4552</v>
      </c>
      <c r="I96" t="s">
        <v>4553</v>
      </c>
      <c r="J96" t="s">
        <v>4703</v>
      </c>
      <c r="K96" t="s">
        <v>4691</v>
      </c>
      <c r="L96">
        <v>82</v>
      </c>
      <c r="M96">
        <v>23</v>
      </c>
      <c r="N96" t="b">
        <v>0</v>
      </c>
      <c r="O96" t="b">
        <v>0</v>
      </c>
    </row>
    <row r="97" spans="1:15" x14ac:dyDescent="0.25">
      <c r="A97">
        <v>714</v>
      </c>
      <c r="B97">
        <v>256</v>
      </c>
      <c r="C97">
        <v>247</v>
      </c>
      <c r="D97" s="1" t="s">
        <v>331</v>
      </c>
      <c r="E97" s="1" t="s">
        <v>333</v>
      </c>
      <c r="F97" t="s">
        <v>4550</v>
      </c>
      <c r="G97" t="s">
        <v>4551</v>
      </c>
      <c r="H97" t="s">
        <v>4572</v>
      </c>
      <c r="I97" t="s">
        <v>4553</v>
      </c>
      <c r="J97" t="s">
        <v>4704</v>
      </c>
      <c r="K97" t="s">
        <v>4705</v>
      </c>
      <c r="L97">
        <v>247</v>
      </c>
      <c r="M97">
        <v>30</v>
      </c>
      <c r="N97" t="b">
        <v>0</v>
      </c>
      <c r="O97" t="b">
        <v>0</v>
      </c>
    </row>
    <row r="98" spans="1:15" x14ac:dyDescent="0.25">
      <c r="A98">
        <v>730</v>
      </c>
      <c r="B98">
        <v>253</v>
      </c>
      <c r="C98">
        <v>236</v>
      </c>
      <c r="D98" s="1" t="s">
        <v>331</v>
      </c>
      <c r="E98" s="1" t="s">
        <v>334</v>
      </c>
      <c r="F98" t="s">
        <v>4550</v>
      </c>
      <c r="G98" t="s">
        <v>4551</v>
      </c>
      <c r="H98" t="s">
        <v>4572</v>
      </c>
      <c r="I98" t="s">
        <v>4692</v>
      </c>
      <c r="J98" t="s">
        <v>4706</v>
      </c>
      <c r="K98" t="s">
        <v>4591</v>
      </c>
      <c r="L98">
        <v>236</v>
      </c>
      <c r="M98">
        <v>30</v>
      </c>
      <c r="N98" t="b">
        <v>0</v>
      </c>
      <c r="O98" t="b">
        <v>0</v>
      </c>
    </row>
    <row r="99" spans="1:15" x14ac:dyDescent="0.25">
      <c r="A99">
        <v>737</v>
      </c>
      <c r="B99">
        <v>255</v>
      </c>
      <c r="C99">
        <v>294</v>
      </c>
      <c r="D99" s="1" t="s">
        <v>331</v>
      </c>
      <c r="E99" s="1" t="s">
        <v>336</v>
      </c>
      <c r="F99" t="s">
        <v>4550</v>
      </c>
      <c r="G99" t="s">
        <v>4551</v>
      </c>
      <c r="H99" t="s">
        <v>4572</v>
      </c>
      <c r="I99" t="s">
        <v>4607</v>
      </c>
      <c r="J99" t="s">
        <v>4707</v>
      </c>
      <c r="K99" t="s">
        <v>4591</v>
      </c>
      <c r="L99">
        <v>294</v>
      </c>
      <c r="M99">
        <v>30</v>
      </c>
      <c r="N99" t="b">
        <v>0</v>
      </c>
      <c r="O99" t="b">
        <v>0</v>
      </c>
    </row>
    <row r="100" spans="1:15" x14ac:dyDescent="0.25">
      <c r="A100">
        <v>809</v>
      </c>
      <c r="B100">
        <v>189</v>
      </c>
      <c r="C100">
        <v>343</v>
      </c>
      <c r="D100" s="1" t="s">
        <v>331</v>
      </c>
      <c r="E100" s="1" t="s">
        <v>330</v>
      </c>
      <c r="F100" t="s">
        <v>4550</v>
      </c>
      <c r="G100" t="s">
        <v>4551</v>
      </c>
      <c r="H100" t="s">
        <v>4572</v>
      </c>
      <c r="I100" t="s">
        <v>4553</v>
      </c>
      <c r="J100" t="s">
        <v>6191</v>
      </c>
      <c r="K100" t="s">
        <v>6189</v>
      </c>
      <c r="L100">
        <v>343</v>
      </c>
      <c r="M100">
        <v>30</v>
      </c>
      <c r="N100" t="b">
        <v>0</v>
      </c>
      <c r="O100" t="b">
        <v>0</v>
      </c>
    </row>
    <row r="101" spans="1:15" x14ac:dyDescent="0.25">
      <c r="A101">
        <v>798</v>
      </c>
      <c r="B101">
        <v>194</v>
      </c>
      <c r="C101">
        <v>295</v>
      </c>
      <c r="D101" s="1" t="s">
        <v>350</v>
      </c>
      <c r="E101" s="1" t="s">
        <v>354</v>
      </c>
      <c r="F101" t="s">
        <v>4588</v>
      </c>
      <c r="G101" t="s">
        <v>4551</v>
      </c>
      <c r="H101" t="s">
        <v>4572</v>
      </c>
      <c r="I101" t="s">
        <v>4553</v>
      </c>
      <c r="J101" t="s">
        <v>4708</v>
      </c>
      <c r="L101">
        <v>295</v>
      </c>
      <c r="M101">
        <v>30</v>
      </c>
      <c r="N101" t="b">
        <v>0</v>
      </c>
      <c r="O101" t="b">
        <v>0</v>
      </c>
    </row>
    <row r="102" spans="1:15" x14ac:dyDescent="0.25">
      <c r="A102">
        <v>766</v>
      </c>
      <c r="B102">
        <v>178</v>
      </c>
      <c r="C102">
        <v>279</v>
      </c>
      <c r="D102" s="1" t="s">
        <v>350</v>
      </c>
      <c r="E102" s="1" t="s">
        <v>355</v>
      </c>
      <c r="F102" t="s">
        <v>4550</v>
      </c>
      <c r="G102" t="s">
        <v>4551</v>
      </c>
      <c r="H102" t="s">
        <v>4572</v>
      </c>
      <c r="I102" t="s">
        <v>4553</v>
      </c>
      <c r="J102" t="s">
        <v>4709</v>
      </c>
      <c r="K102" t="s">
        <v>4644</v>
      </c>
      <c r="L102">
        <v>279</v>
      </c>
      <c r="M102">
        <v>30</v>
      </c>
      <c r="N102" t="b">
        <v>0</v>
      </c>
      <c r="O102" t="b">
        <v>0</v>
      </c>
    </row>
    <row r="103" spans="1:15" x14ac:dyDescent="0.25">
      <c r="A103">
        <v>763</v>
      </c>
      <c r="B103">
        <v>219</v>
      </c>
      <c r="C103">
        <v>285</v>
      </c>
      <c r="D103" s="1" t="s">
        <v>350</v>
      </c>
      <c r="E103" s="1" t="s">
        <v>356</v>
      </c>
      <c r="F103" t="s">
        <v>4550</v>
      </c>
      <c r="G103" t="s">
        <v>4551</v>
      </c>
      <c r="H103" t="s">
        <v>4572</v>
      </c>
      <c r="I103" t="s">
        <v>4553</v>
      </c>
      <c r="J103" t="s">
        <v>4710</v>
      </c>
      <c r="K103" t="s">
        <v>4593</v>
      </c>
      <c r="L103">
        <v>285</v>
      </c>
      <c r="M103">
        <v>30</v>
      </c>
      <c r="N103" t="b">
        <v>0</v>
      </c>
      <c r="O103" t="b">
        <v>0</v>
      </c>
    </row>
    <row r="104" spans="1:15" x14ac:dyDescent="0.25">
      <c r="A104">
        <v>433</v>
      </c>
      <c r="B104">
        <v>288</v>
      </c>
      <c r="C104">
        <v>49</v>
      </c>
      <c r="D104" s="1" t="s">
        <v>63</v>
      </c>
      <c r="E104" s="1" t="s">
        <v>37</v>
      </c>
      <c r="F104" t="s">
        <v>4550</v>
      </c>
      <c r="G104" t="s">
        <v>4551</v>
      </c>
      <c r="H104" t="s">
        <v>4570</v>
      </c>
      <c r="I104" t="s">
        <v>4598</v>
      </c>
      <c r="J104" t="s">
        <v>4711</v>
      </c>
      <c r="K104" t="s">
        <v>4675</v>
      </c>
      <c r="L104">
        <v>49</v>
      </c>
      <c r="M104">
        <v>28</v>
      </c>
      <c r="N104" t="b">
        <v>0</v>
      </c>
      <c r="O104" t="b">
        <v>0</v>
      </c>
    </row>
    <row r="105" spans="1:15" x14ac:dyDescent="0.25">
      <c r="A105">
        <v>826</v>
      </c>
      <c r="B105">
        <v>287</v>
      </c>
      <c r="C105">
        <v>326</v>
      </c>
      <c r="D105" s="1" t="s">
        <v>63</v>
      </c>
      <c r="E105" s="1" t="s">
        <v>51</v>
      </c>
      <c r="F105" t="s">
        <v>4550</v>
      </c>
      <c r="G105" t="s">
        <v>4551</v>
      </c>
      <c r="H105" t="s">
        <v>4572</v>
      </c>
      <c r="I105" t="s">
        <v>4607</v>
      </c>
      <c r="J105" t="s">
        <v>6192</v>
      </c>
      <c r="K105" t="s">
        <v>6193</v>
      </c>
      <c r="L105">
        <v>326</v>
      </c>
      <c r="M105">
        <v>30</v>
      </c>
      <c r="N105" t="b">
        <v>0</v>
      </c>
      <c r="O105" t="b">
        <v>0</v>
      </c>
    </row>
    <row r="106" spans="1:15" x14ac:dyDescent="0.25">
      <c r="A106">
        <v>600</v>
      </c>
      <c r="B106">
        <v>287</v>
      </c>
      <c r="C106">
        <v>62</v>
      </c>
      <c r="D106" s="1" t="s">
        <v>63</v>
      </c>
      <c r="E106" s="1" t="s">
        <v>51</v>
      </c>
      <c r="F106" t="s">
        <v>4550</v>
      </c>
      <c r="G106" t="s">
        <v>4551</v>
      </c>
      <c r="H106" t="s">
        <v>4570</v>
      </c>
      <c r="I106" t="s">
        <v>4607</v>
      </c>
      <c r="J106" t="s">
        <v>4712</v>
      </c>
      <c r="K106" t="s">
        <v>4713</v>
      </c>
      <c r="L106">
        <v>62</v>
      </c>
      <c r="M106">
        <v>28</v>
      </c>
      <c r="N106" t="b">
        <v>0</v>
      </c>
      <c r="O106" t="b">
        <v>0</v>
      </c>
    </row>
    <row r="107" spans="1:15" x14ac:dyDescent="0.25">
      <c r="A107">
        <v>541</v>
      </c>
      <c r="B107">
        <v>230</v>
      </c>
      <c r="C107">
        <v>20</v>
      </c>
      <c r="D107" s="1" t="s">
        <v>63</v>
      </c>
      <c r="E107" s="1" t="s">
        <v>46</v>
      </c>
      <c r="F107" t="s">
        <v>4588</v>
      </c>
      <c r="G107" t="s">
        <v>4551</v>
      </c>
      <c r="H107" t="s">
        <v>4570</v>
      </c>
      <c r="I107" t="s">
        <v>4553</v>
      </c>
      <c r="J107" t="s">
        <v>4714</v>
      </c>
      <c r="L107">
        <v>20</v>
      </c>
      <c r="M107">
        <v>28</v>
      </c>
      <c r="N107" t="b">
        <v>0</v>
      </c>
      <c r="O107" t="b">
        <v>0</v>
      </c>
    </row>
    <row r="108" spans="1:15" x14ac:dyDescent="0.25">
      <c r="A108">
        <v>842</v>
      </c>
      <c r="B108">
        <v>230</v>
      </c>
      <c r="C108">
        <v>234</v>
      </c>
      <c r="D108" s="1" t="s">
        <v>63</v>
      </c>
      <c r="E108" s="1" t="s">
        <v>46</v>
      </c>
      <c r="F108" t="s">
        <v>4550</v>
      </c>
      <c r="G108" t="s">
        <v>4551</v>
      </c>
      <c r="H108" t="s">
        <v>4572</v>
      </c>
      <c r="I108" t="s">
        <v>4553</v>
      </c>
      <c r="J108" t="s">
        <v>6208</v>
      </c>
      <c r="K108" t="s">
        <v>6209</v>
      </c>
      <c r="L108">
        <v>234</v>
      </c>
      <c r="M108">
        <v>30</v>
      </c>
      <c r="N108" t="b">
        <v>0</v>
      </c>
      <c r="O108" t="b">
        <v>0</v>
      </c>
    </row>
    <row r="109" spans="1:15" x14ac:dyDescent="0.25">
      <c r="A109">
        <v>775</v>
      </c>
      <c r="B109">
        <v>299</v>
      </c>
      <c r="C109">
        <v>221</v>
      </c>
      <c r="D109" s="1" t="s">
        <v>373</v>
      </c>
      <c r="E109" s="1" t="s">
        <v>375</v>
      </c>
      <c r="F109" t="s">
        <v>4550</v>
      </c>
      <c r="G109" t="s">
        <v>4551</v>
      </c>
      <c r="H109" t="s">
        <v>4572</v>
      </c>
      <c r="I109" t="s">
        <v>4553</v>
      </c>
      <c r="J109" t="s">
        <v>4715</v>
      </c>
      <c r="K109" t="s">
        <v>4716</v>
      </c>
      <c r="L109">
        <v>221</v>
      </c>
      <c r="M109">
        <v>30</v>
      </c>
      <c r="N109" t="b">
        <v>0</v>
      </c>
      <c r="O109" t="b">
        <v>0</v>
      </c>
    </row>
    <row r="110" spans="1:15" x14ac:dyDescent="0.25">
      <c r="A110">
        <v>684</v>
      </c>
      <c r="B110">
        <v>302</v>
      </c>
      <c r="C110">
        <v>228</v>
      </c>
      <c r="D110" s="1" t="s">
        <v>373</v>
      </c>
      <c r="E110" s="1" t="s">
        <v>377</v>
      </c>
      <c r="F110" t="s">
        <v>4550</v>
      </c>
      <c r="G110" t="s">
        <v>4551</v>
      </c>
      <c r="H110" t="s">
        <v>4572</v>
      </c>
      <c r="I110" t="s">
        <v>4573</v>
      </c>
      <c r="J110" t="s">
        <v>4717</v>
      </c>
      <c r="K110" t="s">
        <v>4718</v>
      </c>
      <c r="L110">
        <v>228</v>
      </c>
      <c r="M110">
        <v>30</v>
      </c>
      <c r="N110" t="b">
        <v>0</v>
      </c>
      <c r="O110" t="b">
        <v>0</v>
      </c>
    </row>
    <row r="111" spans="1:15" x14ac:dyDescent="0.25">
      <c r="A111">
        <v>713</v>
      </c>
      <c r="B111">
        <v>301</v>
      </c>
      <c r="C111">
        <v>282</v>
      </c>
      <c r="D111" s="1" t="s">
        <v>373</v>
      </c>
      <c r="E111" s="1" t="s">
        <v>378</v>
      </c>
      <c r="F111" t="s">
        <v>4550</v>
      </c>
      <c r="G111" t="s">
        <v>4551</v>
      </c>
      <c r="H111" t="s">
        <v>4572</v>
      </c>
      <c r="I111" t="s">
        <v>4692</v>
      </c>
      <c r="J111" t="s">
        <v>4719</v>
      </c>
      <c r="K111" t="s">
        <v>4595</v>
      </c>
      <c r="L111">
        <v>282</v>
      </c>
      <c r="M111">
        <v>30</v>
      </c>
      <c r="N111" t="b">
        <v>0</v>
      </c>
      <c r="O111" t="b">
        <v>0</v>
      </c>
    </row>
    <row r="112" spans="1:15" x14ac:dyDescent="0.25">
      <c r="A112">
        <v>675</v>
      </c>
      <c r="B112">
        <v>333</v>
      </c>
      <c r="C112">
        <v>263</v>
      </c>
      <c r="D112" s="1" t="s">
        <v>64</v>
      </c>
      <c r="E112" s="1" t="s">
        <v>79</v>
      </c>
      <c r="F112" t="s">
        <v>4550</v>
      </c>
      <c r="G112" t="s">
        <v>4551</v>
      </c>
      <c r="H112" t="s">
        <v>4572</v>
      </c>
      <c r="I112" t="s">
        <v>4573</v>
      </c>
      <c r="J112" t="s">
        <v>4720</v>
      </c>
      <c r="K112" t="s">
        <v>4721</v>
      </c>
      <c r="L112">
        <v>263</v>
      </c>
      <c r="M112">
        <v>30</v>
      </c>
      <c r="N112" t="b">
        <v>0</v>
      </c>
      <c r="O112" t="b">
        <v>0</v>
      </c>
    </row>
    <row r="113" spans="1:15" x14ac:dyDescent="0.25">
      <c r="A113">
        <v>417</v>
      </c>
      <c r="B113">
        <v>333</v>
      </c>
      <c r="C113">
        <v>80</v>
      </c>
      <c r="D113" s="1" t="s">
        <v>64</v>
      </c>
      <c r="E113" s="1" t="s">
        <v>79</v>
      </c>
      <c r="F113" t="s">
        <v>4550</v>
      </c>
      <c r="G113" t="s">
        <v>4551</v>
      </c>
      <c r="H113" t="s">
        <v>4570</v>
      </c>
      <c r="I113" t="s">
        <v>4573</v>
      </c>
      <c r="J113" t="s">
        <v>4722</v>
      </c>
      <c r="K113" t="s">
        <v>4723</v>
      </c>
      <c r="L113">
        <v>80</v>
      </c>
      <c r="M113">
        <v>28</v>
      </c>
      <c r="N113" t="b">
        <v>0</v>
      </c>
      <c r="O113" t="b">
        <v>0</v>
      </c>
    </row>
    <row r="114" spans="1:15" x14ac:dyDescent="0.25">
      <c r="A114">
        <v>549</v>
      </c>
      <c r="B114">
        <v>94</v>
      </c>
      <c r="C114">
        <v>30</v>
      </c>
      <c r="D114" s="1" t="s">
        <v>60</v>
      </c>
      <c r="E114" s="1" t="s">
        <v>68</v>
      </c>
      <c r="F114" t="s">
        <v>4588</v>
      </c>
      <c r="G114" t="s">
        <v>4551</v>
      </c>
      <c r="H114" t="s">
        <v>4570</v>
      </c>
      <c r="I114" t="s">
        <v>4583</v>
      </c>
      <c r="J114" t="s">
        <v>4724</v>
      </c>
      <c r="L114">
        <v>30</v>
      </c>
      <c r="M114">
        <v>28</v>
      </c>
      <c r="N114" t="b">
        <v>0</v>
      </c>
      <c r="O114" t="b">
        <v>0</v>
      </c>
    </row>
    <row r="115" spans="1:15" x14ac:dyDescent="0.25">
      <c r="A115">
        <v>725</v>
      </c>
      <c r="B115">
        <v>95</v>
      </c>
      <c r="C115">
        <v>258</v>
      </c>
      <c r="D115" s="1" t="s">
        <v>60</v>
      </c>
      <c r="E115" s="1" t="s">
        <v>35</v>
      </c>
      <c r="F115" t="s">
        <v>4550</v>
      </c>
      <c r="G115" t="s">
        <v>4551</v>
      </c>
      <c r="H115" t="s">
        <v>4572</v>
      </c>
      <c r="I115" t="s">
        <v>4568</v>
      </c>
      <c r="J115" t="s">
        <v>4725</v>
      </c>
      <c r="K115" t="s">
        <v>4620</v>
      </c>
      <c r="L115">
        <v>258</v>
      </c>
      <c r="M115">
        <v>30</v>
      </c>
      <c r="N115" t="b">
        <v>0</v>
      </c>
      <c r="O115" t="b">
        <v>0</v>
      </c>
    </row>
    <row r="116" spans="1:15" x14ac:dyDescent="0.25">
      <c r="A116">
        <v>390</v>
      </c>
      <c r="B116">
        <v>95</v>
      </c>
      <c r="C116">
        <v>42</v>
      </c>
      <c r="D116" s="1" t="s">
        <v>60</v>
      </c>
      <c r="E116" s="1" t="s">
        <v>35</v>
      </c>
      <c r="F116" t="s">
        <v>4550</v>
      </c>
      <c r="G116" t="s">
        <v>4551</v>
      </c>
      <c r="H116" t="s">
        <v>4552</v>
      </c>
      <c r="I116" t="s">
        <v>4568</v>
      </c>
      <c r="J116" t="s">
        <v>4726</v>
      </c>
      <c r="K116" t="s">
        <v>4727</v>
      </c>
      <c r="L116">
        <v>42</v>
      </c>
      <c r="M116">
        <v>23</v>
      </c>
      <c r="N116" t="b">
        <v>0</v>
      </c>
      <c r="O116" t="b">
        <v>0</v>
      </c>
    </row>
    <row r="117" spans="1:15" x14ac:dyDescent="0.25">
      <c r="A117">
        <v>796</v>
      </c>
      <c r="B117">
        <v>172</v>
      </c>
      <c r="C117">
        <v>251</v>
      </c>
      <c r="D117" s="1" t="s">
        <v>60</v>
      </c>
      <c r="E117" s="1" t="s">
        <v>26</v>
      </c>
      <c r="F117" t="s">
        <v>4550</v>
      </c>
      <c r="G117" t="s">
        <v>4551</v>
      </c>
      <c r="H117" t="s">
        <v>4572</v>
      </c>
      <c r="I117" t="s">
        <v>4553</v>
      </c>
      <c r="J117" t="s">
        <v>4728</v>
      </c>
      <c r="K117" t="s">
        <v>4718</v>
      </c>
      <c r="L117">
        <v>251</v>
      </c>
      <c r="M117">
        <v>30</v>
      </c>
      <c r="N117" t="b">
        <v>0</v>
      </c>
      <c r="O117" t="b">
        <v>0</v>
      </c>
    </row>
    <row r="118" spans="1:15" x14ac:dyDescent="0.25">
      <c r="A118">
        <v>383</v>
      </c>
      <c r="B118">
        <v>172</v>
      </c>
      <c r="C118">
        <v>43</v>
      </c>
      <c r="D118" s="1" t="s">
        <v>60</v>
      </c>
      <c r="E118" s="1" t="s">
        <v>26</v>
      </c>
      <c r="F118" t="s">
        <v>4550</v>
      </c>
      <c r="G118" t="s">
        <v>4551</v>
      </c>
      <c r="H118" t="s">
        <v>4552</v>
      </c>
      <c r="I118" t="s">
        <v>4553</v>
      </c>
      <c r="J118" t="s">
        <v>4729</v>
      </c>
      <c r="K118" t="s">
        <v>4730</v>
      </c>
      <c r="L118">
        <v>43</v>
      </c>
      <c r="M118">
        <v>23</v>
      </c>
      <c r="N118" t="b">
        <v>0</v>
      </c>
      <c r="O118" t="b">
        <v>0</v>
      </c>
    </row>
    <row r="119" spans="1:15" x14ac:dyDescent="0.25">
      <c r="A119">
        <v>716</v>
      </c>
      <c r="B119">
        <v>169</v>
      </c>
      <c r="C119">
        <v>174</v>
      </c>
      <c r="D119" s="1" t="s">
        <v>67</v>
      </c>
      <c r="E119" s="1" t="s">
        <v>323</v>
      </c>
      <c r="F119" t="s">
        <v>4550</v>
      </c>
      <c r="G119" t="s">
        <v>4551</v>
      </c>
      <c r="H119" t="s">
        <v>4572</v>
      </c>
      <c r="I119" t="s">
        <v>4578</v>
      </c>
      <c r="J119" t="s">
        <v>4731</v>
      </c>
      <c r="K119" t="s">
        <v>4732</v>
      </c>
      <c r="L119">
        <v>174</v>
      </c>
      <c r="M119">
        <v>30</v>
      </c>
      <c r="N119" t="b">
        <v>0</v>
      </c>
      <c r="O119" t="b">
        <v>0</v>
      </c>
    </row>
    <row r="120" spans="1:15" x14ac:dyDescent="0.25">
      <c r="A120">
        <v>698</v>
      </c>
      <c r="B120">
        <v>166</v>
      </c>
      <c r="C120">
        <v>148</v>
      </c>
      <c r="D120" s="1" t="s">
        <v>67</v>
      </c>
      <c r="E120" s="1" t="s">
        <v>324</v>
      </c>
      <c r="F120" t="s">
        <v>4550</v>
      </c>
      <c r="G120" t="s">
        <v>4551</v>
      </c>
      <c r="H120" t="s">
        <v>4572</v>
      </c>
      <c r="I120" t="s">
        <v>4583</v>
      </c>
      <c r="J120" t="s">
        <v>4733</v>
      </c>
      <c r="K120" t="s">
        <v>4626</v>
      </c>
      <c r="L120">
        <v>148</v>
      </c>
      <c r="M120">
        <v>30</v>
      </c>
      <c r="N120" t="b">
        <v>0</v>
      </c>
      <c r="O120" t="b">
        <v>0</v>
      </c>
    </row>
    <row r="121" spans="1:15" x14ac:dyDescent="0.25">
      <c r="A121">
        <v>701</v>
      </c>
      <c r="B121">
        <v>165</v>
      </c>
      <c r="C121">
        <v>121</v>
      </c>
      <c r="D121" s="1" t="s">
        <v>67</v>
      </c>
      <c r="E121" s="1" t="s">
        <v>56</v>
      </c>
      <c r="F121" t="s">
        <v>4550</v>
      </c>
      <c r="G121" t="s">
        <v>4551</v>
      </c>
      <c r="H121" t="s">
        <v>4572</v>
      </c>
      <c r="I121" t="s">
        <v>4553</v>
      </c>
      <c r="J121" t="s">
        <v>4734</v>
      </c>
      <c r="K121" t="s">
        <v>4647</v>
      </c>
      <c r="L121">
        <v>121</v>
      </c>
      <c r="M121">
        <v>30</v>
      </c>
      <c r="N121" t="b">
        <v>0</v>
      </c>
      <c r="O121" t="b">
        <v>0</v>
      </c>
    </row>
    <row r="122" spans="1:15" x14ac:dyDescent="0.25">
      <c r="A122">
        <v>719</v>
      </c>
      <c r="B122">
        <v>162</v>
      </c>
      <c r="C122">
        <v>115</v>
      </c>
      <c r="D122" s="1" t="s">
        <v>67</v>
      </c>
      <c r="E122" s="1" t="s">
        <v>325</v>
      </c>
      <c r="F122" t="s">
        <v>4550</v>
      </c>
      <c r="G122" t="s">
        <v>4551</v>
      </c>
      <c r="H122" t="s">
        <v>4572</v>
      </c>
      <c r="I122" t="s">
        <v>4573</v>
      </c>
      <c r="J122" t="s">
        <v>4735</v>
      </c>
      <c r="K122" t="s">
        <v>4616</v>
      </c>
      <c r="L122">
        <v>115</v>
      </c>
      <c r="M122">
        <v>30</v>
      </c>
      <c r="N122" t="b">
        <v>0</v>
      </c>
      <c r="O122" t="b">
        <v>0</v>
      </c>
    </row>
    <row r="123" spans="1:15" x14ac:dyDescent="0.25">
      <c r="A123">
        <v>726</v>
      </c>
      <c r="B123">
        <v>164</v>
      </c>
      <c r="C123">
        <v>116</v>
      </c>
      <c r="D123" s="1" t="s">
        <v>67</v>
      </c>
      <c r="E123" s="1" t="s">
        <v>326</v>
      </c>
      <c r="F123" t="s">
        <v>4550</v>
      </c>
      <c r="G123" t="s">
        <v>4551</v>
      </c>
      <c r="H123" t="s">
        <v>4572</v>
      </c>
      <c r="I123" t="s">
        <v>4607</v>
      </c>
      <c r="J123" t="s">
        <v>4736</v>
      </c>
      <c r="K123" t="s">
        <v>4591</v>
      </c>
      <c r="L123">
        <v>116</v>
      </c>
      <c r="M123">
        <v>30</v>
      </c>
      <c r="N123" t="b">
        <v>0</v>
      </c>
      <c r="O123" t="b">
        <v>0</v>
      </c>
    </row>
    <row r="124" spans="1:15" x14ac:dyDescent="0.25">
      <c r="A124">
        <v>733</v>
      </c>
      <c r="B124">
        <v>168</v>
      </c>
      <c r="C124">
        <v>117</v>
      </c>
      <c r="D124" s="1" t="s">
        <v>67</v>
      </c>
      <c r="E124" s="1" t="s">
        <v>327</v>
      </c>
      <c r="F124" t="s">
        <v>4550</v>
      </c>
      <c r="G124" t="s">
        <v>4551</v>
      </c>
      <c r="H124" t="s">
        <v>4572</v>
      </c>
      <c r="I124" t="s">
        <v>4568</v>
      </c>
      <c r="J124" t="s">
        <v>4737</v>
      </c>
      <c r="K124" t="s">
        <v>4626</v>
      </c>
      <c r="L124">
        <v>117</v>
      </c>
      <c r="M124">
        <v>30</v>
      </c>
      <c r="N124" t="b">
        <v>0</v>
      </c>
      <c r="O124" t="b">
        <v>0</v>
      </c>
    </row>
    <row r="125" spans="1:15" x14ac:dyDescent="0.25">
      <c r="A125">
        <v>703</v>
      </c>
      <c r="B125">
        <v>259</v>
      </c>
      <c r="C125">
        <v>100</v>
      </c>
      <c r="D125" s="1" t="s">
        <v>66</v>
      </c>
      <c r="E125" s="1" t="s">
        <v>55</v>
      </c>
      <c r="F125" t="s">
        <v>4550</v>
      </c>
      <c r="G125" t="s">
        <v>4551</v>
      </c>
      <c r="H125" t="s">
        <v>4572</v>
      </c>
      <c r="I125" t="s">
        <v>4553</v>
      </c>
      <c r="J125" t="s">
        <v>4738</v>
      </c>
      <c r="K125" t="s">
        <v>4575</v>
      </c>
      <c r="L125">
        <v>100</v>
      </c>
      <c r="M125">
        <v>30</v>
      </c>
      <c r="N125" t="b">
        <v>0</v>
      </c>
      <c r="O125" t="b">
        <v>0</v>
      </c>
    </row>
    <row r="126" spans="1:15" x14ac:dyDescent="0.25">
      <c r="A126">
        <v>707</v>
      </c>
      <c r="B126">
        <v>258</v>
      </c>
      <c r="C126">
        <v>161</v>
      </c>
      <c r="D126" s="1" t="s">
        <v>66</v>
      </c>
      <c r="E126" s="1" t="s">
        <v>21</v>
      </c>
      <c r="F126" t="s">
        <v>4550</v>
      </c>
      <c r="G126" t="s">
        <v>4551</v>
      </c>
      <c r="H126" t="s">
        <v>4572</v>
      </c>
      <c r="I126" t="s">
        <v>4645</v>
      </c>
      <c r="J126" t="s">
        <v>4739</v>
      </c>
      <c r="K126" t="s">
        <v>4618</v>
      </c>
      <c r="L126">
        <v>161</v>
      </c>
      <c r="M126">
        <v>30</v>
      </c>
      <c r="N126" t="b">
        <v>0</v>
      </c>
      <c r="O126" t="b">
        <v>0</v>
      </c>
    </row>
    <row r="127" spans="1:15" x14ac:dyDescent="0.25">
      <c r="A127">
        <v>812</v>
      </c>
      <c r="B127">
        <v>120</v>
      </c>
      <c r="C127">
        <v>177</v>
      </c>
      <c r="D127" s="1" t="s">
        <v>277</v>
      </c>
      <c r="E127" s="1" t="s">
        <v>279</v>
      </c>
      <c r="F127" t="s">
        <v>4550</v>
      </c>
      <c r="G127" t="s">
        <v>4551</v>
      </c>
      <c r="H127" t="s">
        <v>4572</v>
      </c>
      <c r="I127" t="s">
        <v>4573</v>
      </c>
      <c r="J127" t="s">
        <v>6210</v>
      </c>
      <c r="K127" t="s">
        <v>6202</v>
      </c>
      <c r="L127">
        <v>177</v>
      </c>
      <c r="M127">
        <v>30</v>
      </c>
      <c r="N127" t="b">
        <v>0</v>
      </c>
      <c r="O127" t="b">
        <v>0</v>
      </c>
    </row>
    <row r="128" spans="1:15" x14ac:dyDescent="0.25">
      <c r="A128">
        <v>835</v>
      </c>
      <c r="B128">
        <v>119</v>
      </c>
      <c r="C128">
        <v>272</v>
      </c>
      <c r="D128" s="1" t="s">
        <v>277</v>
      </c>
      <c r="E128" s="1" t="s">
        <v>275</v>
      </c>
      <c r="F128" t="s">
        <v>4550</v>
      </c>
      <c r="G128" t="s">
        <v>4551</v>
      </c>
      <c r="H128" t="s">
        <v>4572</v>
      </c>
      <c r="I128" t="s">
        <v>4553</v>
      </c>
      <c r="J128" t="s">
        <v>6211</v>
      </c>
      <c r="K128" t="s">
        <v>6199</v>
      </c>
      <c r="L128">
        <v>272</v>
      </c>
      <c r="M128">
        <v>30</v>
      </c>
      <c r="N128" t="b">
        <v>0</v>
      </c>
      <c r="O128" t="b">
        <v>0</v>
      </c>
    </row>
    <row r="129" spans="1:15" x14ac:dyDescent="0.25">
      <c r="A129">
        <v>834</v>
      </c>
      <c r="B129">
        <v>93</v>
      </c>
      <c r="C129">
        <v>145</v>
      </c>
      <c r="D129" s="1" t="s">
        <v>277</v>
      </c>
      <c r="E129" s="1" t="s">
        <v>281</v>
      </c>
      <c r="F129" t="s">
        <v>4550</v>
      </c>
      <c r="G129" t="s">
        <v>4551</v>
      </c>
      <c r="H129" t="s">
        <v>4572</v>
      </c>
      <c r="I129" t="s">
        <v>4553</v>
      </c>
      <c r="J129" t="s">
        <v>6212</v>
      </c>
      <c r="K129" t="s">
        <v>6199</v>
      </c>
      <c r="L129">
        <v>145</v>
      </c>
      <c r="M129">
        <v>30</v>
      </c>
      <c r="N129" t="b">
        <v>0</v>
      </c>
      <c r="O129" t="b">
        <v>0</v>
      </c>
    </row>
    <row r="130" spans="1:15" x14ac:dyDescent="0.25">
      <c r="A130">
        <v>415</v>
      </c>
      <c r="B130">
        <v>80</v>
      </c>
      <c r="C130">
        <v>86</v>
      </c>
      <c r="D130" s="1" t="s">
        <v>310</v>
      </c>
      <c r="E130" s="1" t="s">
        <v>32</v>
      </c>
      <c r="F130" t="s">
        <v>4550</v>
      </c>
      <c r="G130" t="s">
        <v>4551</v>
      </c>
      <c r="H130" t="s">
        <v>4570</v>
      </c>
      <c r="I130" t="s">
        <v>4607</v>
      </c>
      <c r="J130" t="s">
        <v>4740</v>
      </c>
      <c r="K130" t="s">
        <v>4723</v>
      </c>
      <c r="L130">
        <v>86</v>
      </c>
      <c r="M130">
        <v>28</v>
      </c>
      <c r="N130" t="b">
        <v>0</v>
      </c>
      <c r="O130" t="b">
        <v>0</v>
      </c>
    </row>
    <row r="131" spans="1:15" x14ac:dyDescent="0.25">
      <c r="A131">
        <v>830</v>
      </c>
      <c r="B131">
        <v>182</v>
      </c>
      <c r="C131">
        <v>154</v>
      </c>
      <c r="D131" s="1" t="s">
        <v>310</v>
      </c>
      <c r="E131" s="1" t="s">
        <v>38</v>
      </c>
      <c r="F131" t="s">
        <v>4550</v>
      </c>
      <c r="G131" t="s">
        <v>4551</v>
      </c>
      <c r="H131" t="s">
        <v>4572</v>
      </c>
      <c r="I131" t="s">
        <v>4568</v>
      </c>
      <c r="J131" t="s">
        <v>6213</v>
      </c>
      <c r="K131" t="s">
        <v>6195</v>
      </c>
      <c r="L131">
        <v>154</v>
      </c>
      <c r="M131">
        <v>30</v>
      </c>
      <c r="N131" t="b">
        <v>0</v>
      </c>
      <c r="O131" t="b">
        <v>0</v>
      </c>
    </row>
    <row r="132" spans="1:15" x14ac:dyDescent="0.25">
      <c r="A132">
        <v>496</v>
      </c>
      <c r="B132">
        <v>182</v>
      </c>
      <c r="C132">
        <v>44</v>
      </c>
      <c r="D132" s="1" t="s">
        <v>310</v>
      </c>
      <c r="E132" s="1" t="s">
        <v>38</v>
      </c>
      <c r="F132" t="s">
        <v>4550</v>
      </c>
      <c r="G132" t="s">
        <v>4551</v>
      </c>
      <c r="H132" t="s">
        <v>4570</v>
      </c>
      <c r="I132" t="s">
        <v>4553</v>
      </c>
      <c r="J132" t="s">
        <v>4741</v>
      </c>
      <c r="K132" t="s">
        <v>4742</v>
      </c>
      <c r="L132">
        <v>44</v>
      </c>
      <c r="M132">
        <v>28</v>
      </c>
      <c r="N132" t="b">
        <v>0</v>
      </c>
      <c r="O132" t="b">
        <v>0</v>
      </c>
    </row>
    <row r="133" spans="1:15" x14ac:dyDescent="0.25">
      <c r="A133">
        <v>723</v>
      </c>
      <c r="B133">
        <v>86</v>
      </c>
      <c r="C133">
        <v>213</v>
      </c>
      <c r="D133" s="1" t="s">
        <v>310</v>
      </c>
      <c r="E133" s="1" t="s">
        <v>46</v>
      </c>
      <c r="F133" t="s">
        <v>4550</v>
      </c>
      <c r="G133" t="s">
        <v>4551</v>
      </c>
      <c r="H133" t="s">
        <v>4572</v>
      </c>
      <c r="I133" t="s">
        <v>4568</v>
      </c>
      <c r="J133" t="s">
        <v>4743</v>
      </c>
      <c r="K133" t="s">
        <v>4632</v>
      </c>
      <c r="L133">
        <v>213</v>
      </c>
      <c r="M133">
        <v>30</v>
      </c>
      <c r="N133" t="b">
        <v>0</v>
      </c>
      <c r="O133" t="b">
        <v>0</v>
      </c>
    </row>
    <row r="134" spans="1:15" x14ac:dyDescent="0.25">
      <c r="A134">
        <v>542</v>
      </c>
      <c r="B134">
        <v>86</v>
      </c>
      <c r="C134">
        <v>33</v>
      </c>
      <c r="D134" s="1" t="s">
        <v>310</v>
      </c>
      <c r="E134" s="1" t="s">
        <v>46</v>
      </c>
      <c r="F134" t="s">
        <v>4550</v>
      </c>
      <c r="G134" t="s">
        <v>4551</v>
      </c>
      <c r="H134" t="s">
        <v>4570</v>
      </c>
      <c r="I134" t="s">
        <v>4580</v>
      </c>
      <c r="J134" t="s">
        <v>4744</v>
      </c>
      <c r="K134" t="s">
        <v>4723</v>
      </c>
      <c r="L134">
        <v>33</v>
      </c>
      <c r="M134">
        <v>28</v>
      </c>
      <c r="N134" t="b">
        <v>0</v>
      </c>
      <c r="O134" t="b">
        <v>0</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9"/>
  <dimension ref="A1:M334"/>
  <sheetViews>
    <sheetView topLeftCell="F1" workbookViewId="0">
      <selection activeCell="M107" sqref="M107:M111"/>
    </sheetView>
  </sheetViews>
  <sheetFormatPr defaultRowHeight="15" x14ac:dyDescent="0.25"/>
  <cols>
    <col min="1" max="1" width="20.42578125" bestFit="1" customWidth="1"/>
    <col min="2" max="2" width="13.140625" bestFit="1" customWidth="1"/>
    <col min="3" max="3" width="8.5703125" bestFit="1" customWidth="1"/>
    <col min="4" max="4" width="26.5703125" bestFit="1" customWidth="1"/>
    <col min="5" max="5" width="36.5703125" bestFit="1" customWidth="1"/>
    <col min="6" max="6" width="39.85546875" bestFit="1" customWidth="1"/>
    <col min="7" max="7" width="30.28515625" bestFit="1" customWidth="1"/>
    <col min="8" max="8" width="28.5703125" bestFit="1" customWidth="1"/>
    <col min="9" max="9" width="35.85546875" bestFit="1" customWidth="1"/>
    <col min="10" max="10" width="31.7109375" bestFit="1" customWidth="1"/>
    <col min="11" max="11" width="30.7109375" bestFit="1" customWidth="1"/>
    <col min="12" max="12" width="37.42578125" customWidth="1"/>
    <col min="13" max="14" width="19.7109375" bestFit="1" customWidth="1"/>
  </cols>
  <sheetData>
    <row r="1" spans="1:13" x14ac:dyDescent="0.25">
      <c r="A1" t="s">
        <v>7474</v>
      </c>
      <c r="B1" t="s">
        <v>7475</v>
      </c>
      <c r="C1" t="s">
        <v>3</v>
      </c>
      <c r="D1" t="s">
        <v>240</v>
      </c>
      <c r="E1" t="s">
        <v>241</v>
      </c>
      <c r="F1" t="s">
        <v>242</v>
      </c>
      <c r="G1" t="s">
        <v>243</v>
      </c>
      <c r="H1" t="s">
        <v>244</v>
      </c>
      <c r="I1" t="s">
        <v>245</v>
      </c>
      <c r="J1" t="s">
        <v>246</v>
      </c>
      <c r="K1" t="s">
        <v>247</v>
      </c>
      <c r="L1" t="s">
        <v>248</v>
      </c>
      <c r="M1" t="s">
        <v>249</v>
      </c>
    </row>
    <row r="2" spans="1:13" hidden="1" x14ac:dyDescent="0.25">
      <c r="A2" s="1" t="s">
        <v>2794</v>
      </c>
      <c r="B2">
        <v>129</v>
      </c>
      <c r="C2" s="1" t="s">
        <v>251</v>
      </c>
      <c r="D2">
        <v>372</v>
      </c>
      <c r="E2" t="s">
        <v>747</v>
      </c>
      <c r="G2" t="b">
        <v>1</v>
      </c>
      <c r="H2" t="s">
        <v>264</v>
      </c>
      <c r="I2">
        <v>1</v>
      </c>
      <c r="J2" t="s">
        <v>254</v>
      </c>
      <c r="K2" t="s">
        <v>265</v>
      </c>
      <c r="M2">
        <v>218655.3</v>
      </c>
    </row>
    <row r="3" spans="1:13" hidden="1" x14ac:dyDescent="0.25">
      <c r="A3" s="1" t="s">
        <v>2794</v>
      </c>
      <c r="B3">
        <v>129</v>
      </c>
      <c r="C3" s="1" t="s">
        <v>251</v>
      </c>
      <c r="D3">
        <v>481</v>
      </c>
      <c r="E3" t="s">
        <v>2802</v>
      </c>
      <c r="G3" t="b">
        <v>1</v>
      </c>
      <c r="H3" t="s">
        <v>253</v>
      </c>
      <c r="I3">
        <v>2</v>
      </c>
      <c r="J3" t="s">
        <v>254</v>
      </c>
      <c r="K3" t="s">
        <v>265</v>
      </c>
      <c r="M3">
        <v>136180</v>
      </c>
    </row>
    <row r="4" spans="1:13" hidden="1" x14ac:dyDescent="0.25">
      <c r="A4" s="1" t="s">
        <v>2794</v>
      </c>
      <c r="B4">
        <v>129</v>
      </c>
      <c r="C4" s="1" t="s">
        <v>251</v>
      </c>
      <c r="D4">
        <v>484</v>
      </c>
      <c r="E4" t="s">
        <v>2836</v>
      </c>
      <c r="G4" t="b">
        <v>1</v>
      </c>
      <c r="H4" t="s">
        <v>253</v>
      </c>
      <c r="I4">
        <v>5</v>
      </c>
      <c r="J4" t="s">
        <v>257</v>
      </c>
      <c r="K4" t="s">
        <v>267</v>
      </c>
      <c r="M4">
        <v>132731.20000000001</v>
      </c>
    </row>
    <row r="5" spans="1:13" hidden="1" x14ac:dyDescent="0.25">
      <c r="A5" s="1" t="s">
        <v>2794</v>
      </c>
      <c r="B5">
        <v>129</v>
      </c>
      <c r="C5" s="1" t="s">
        <v>251</v>
      </c>
      <c r="D5">
        <v>483</v>
      </c>
      <c r="E5" t="s">
        <v>2820</v>
      </c>
      <c r="G5" t="b">
        <v>1</v>
      </c>
      <c r="H5" t="s">
        <v>253</v>
      </c>
      <c r="I5">
        <v>4</v>
      </c>
      <c r="J5" t="s">
        <v>257</v>
      </c>
      <c r="K5" t="s">
        <v>267</v>
      </c>
      <c r="M5">
        <v>185700</v>
      </c>
    </row>
    <row r="6" spans="1:13" hidden="1" x14ac:dyDescent="0.25">
      <c r="A6" s="1" t="s">
        <v>2794</v>
      </c>
      <c r="B6">
        <v>129</v>
      </c>
      <c r="C6" s="1" t="s">
        <v>251</v>
      </c>
      <c r="D6">
        <v>485</v>
      </c>
      <c r="E6" t="s">
        <v>70</v>
      </c>
      <c r="G6" t="b">
        <v>1</v>
      </c>
      <c r="H6" t="s">
        <v>253</v>
      </c>
      <c r="I6">
        <v>6</v>
      </c>
      <c r="J6" t="s">
        <v>257</v>
      </c>
      <c r="K6" t="s">
        <v>6116</v>
      </c>
      <c r="M6">
        <v>163205.28</v>
      </c>
    </row>
    <row r="7" spans="1:13" hidden="1" x14ac:dyDescent="0.25">
      <c r="A7" s="1" t="s">
        <v>2794</v>
      </c>
      <c r="B7">
        <v>129</v>
      </c>
      <c r="C7" s="1" t="s">
        <v>251</v>
      </c>
      <c r="D7">
        <v>482</v>
      </c>
      <c r="E7" t="s">
        <v>51</v>
      </c>
      <c r="G7" t="b">
        <v>1</v>
      </c>
      <c r="H7" t="s">
        <v>253</v>
      </c>
      <c r="I7">
        <v>3</v>
      </c>
      <c r="J7" t="s">
        <v>254</v>
      </c>
      <c r="K7" t="s">
        <v>260</v>
      </c>
      <c r="M7">
        <v>168560</v>
      </c>
    </row>
    <row r="8" spans="1:13" hidden="1" x14ac:dyDescent="0.25">
      <c r="A8" s="1" t="s">
        <v>58</v>
      </c>
      <c r="B8">
        <v>13</v>
      </c>
      <c r="C8" s="1" t="s">
        <v>251</v>
      </c>
      <c r="D8">
        <v>14</v>
      </c>
      <c r="E8" t="s">
        <v>40</v>
      </c>
      <c r="G8" t="b">
        <v>1</v>
      </c>
      <c r="H8" t="s">
        <v>253</v>
      </c>
      <c r="I8">
        <v>4</v>
      </c>
      <c r="J8" t="s">
        <v>257</v>
      </c>
      <c r="K8" t="s">
        <v>267</v>
      </c>
      <c r="M8">
        <v>316808</v>
      </c>
    </row>
    <row r="9" spans="1:13" hidden="1" x14ac:dyDescent="0.25">
      <c r="A9" s="1" t="s">
        <v>58</v>
      </c>
      <c r="B9">
        <v>13</v>
      </c>
      <c r="C9" s="1" t="s">
        <v>251</v>
      </c>
      <c r="D9">
        <v>17</v>
      </c>
      <c r="E9" t="s">
        <v>268</v>
      </c>
      <c r="G9" t="b">
        <v>1</v>
      </c>
      <c r="H9" t="s">
        <v>253</v>
      </c>
      <c r="I9">
        <v>7</v>
      </c>
      <c r="J9" t="s">
        <v>257</v>
      </c>
      <c r="K9" t="s">
        <v>6116</v>
      </c>
      <c r="M9">
        <v>800000</v>
      </c>
    </row>
    <row r="10" spans="1:13" hidden="1" x14ac:dyDescent="0.25">
      <c r="A10" s="1" t="s">
        <v>58</v>
      </c>
      <c r="B10">
        <v>13</v>
      </c>
      <c r="C10" s="1" t="s">
        <v>251</v>
      </c>
      <c r="D10">
        <v>16</v>
      </c>
      <c r="E10" t="s">
        <v>36</v>
      </c>
      <c r="G10" t="b">
        <v>1</v>
      </c>
      <c r="H10" t="s">
        <v>253</v>
      </c>
      <c r="I10">
        <v>6</v>
      </c>
      <c r="J10" t="s">
        <v>257</v>
      </c>
      <c r="K10" t="s">
        <v>6116</v>
      </c>
      <c r="M10">
        <v>316688</v>
      </c>
    </row>
    <row r="11" spans="1:13" hidden="1" x14ac:dyDescent="0.25">
      <c r="A11" s="1" t="s">
        <v>58</v>
      </c>
      <c r="B11">
        <v>13</v>
      </c>
      <c r="C11" s="1" t="s">
        <v>251</v>
      </c>
      <c r="D11">
        <v>13</v>
      </c>
      <c r="E11" t="s">
        <v>21</v>
      </c>
      <c r="G11" t="b">
        <v>1</v>
      </c>
      <c r="H11" t="s">
        <v>253</v>
      </c>
      <c r="I11">
        <v>3</v>
      </c>
      <c r="J11" t="s">
        <v>254</v>
      </c>
      <c r="K11" t="s">
        <v>255</v>
      </c>
      <c r="M11">
        <v>320000</v>
      </c>
    </row>
    <row r="12" spans="1:13" hidden="1" x14ac:dyDescent="0.25">
      <c r="A12" s="1" t="s">
        <v>58</v>
      </c>
      <c r="B12">
        <v>13</v>
      </c>
      <c r="C12" s="1" t="s">
        <v>251</v>
      </c>
      <c r="D12">
        <v>10</v>
      </c>
      <c r="E12" t="s">
        <v>25</v>
      </c>
      <c r="G12" t="b">
        <v>1</v>
      </c>
      <c r="H12" t="s">
        <v>264</v>
      </c>
      <c r="I12">
        <v>1</v>
      </c>
      <c r="J12" t="s">
        <v>254</v>
      </c>
      <c r="K12" t="s">
        <v>255</v>
      </c>
      <c r="M12">
        <v>1360000</v>
      </c>
    </row>
    <row r="13" spans="1:13" hidden="1" x14ac:dyDescent="0.25">
      <c r="A13" s="1" t="s">
        <v>58</v>
      </c>
      <c r="B13">
        <v>13</v>
      </c>
      <c r="C13" s="1" t="s">
        <v>251</v>
      </c>
      <c r="D13">
        <v>15</v>
      </c>
      <c r="E13" t="s">
        <v>33</v>
      </c>
      <c r="G13" t="b">
        <v>1</v>
      </c>
      <c r="H13" t="s">
        <v>253</v>
      </c>
      <c r="I13">
        <v>5</v>
      </c>
      <c r="J13" t="s">
        <v>257</v>
      </c>
      <c r="K13" t="s">
        <v>6117</v>
      </c>
      <c r="M13">
        <v>316504</v>
      </c>
    </row>
    <row r="14" spans="1:13" hidden="1" x14ac:dyDescent="0.25">
      <c r="A14" s="1" t="s">
        <v>58</v>
      </c>
      <c r="B14">
        <v>13</v>
      </c>
      <c r="C14" s="1" t="s">
        <v>251</v>
      </c>
      <c r="D14">
        <v>12</v>
      </c>
      <c r="E14" t="s">
        <v>30</v>
      </c>
      <c r="G14" t="b">
        <v>1</v>
      </c>
      <c r="H14" t="s">
        <v>253</v>
      </c>
      <c r="I14">
        <v>2</v>
      </c>
      <c r="J14" t="s">
        <v>254</v>
      </c>
      <c r="K14" t="s">
        <v>260</v>
      </c>
      <c r="M14">
        <v>945000</v>
      </c>
    </row>
    <row r="15" spans="1:13" hidden="1" x14ac:dyDescent="0.25">
      <c r="A15" s="1" t="s">
        <v>71</v>
      </c>
      <c r="B15">
        <v>48</v>
      </c>
      <c r="C15" s="1" t="s">
        <v>251</v>
      </c>
      <c r="D15">
        <v>156</v>
      </c>
      <c r="E15" t="s">
        <v>301</v>
      </c>
      <c r="G15" t="b">
        <v>1</v>
      </c>
      <c r="H15" t="s">
        <v>253</v>
      </c>
      <c r="I15">
        <v>4</v>
      </c>
      <c r="J15" t="s">
        <v>254</v>
      </c>
      <c r="K15" t="s">
        <v>302</v>
      </c>
      <c r="M15">
        <v>89804.6</v>
      </c>
    </row>
    <row r="16" spans="1:13" hidden="1" x14ac:dyDescent="0.25">
      <c r="A16" s="1" t="s">
        <v>71</v>
      </c>
      <c r="B16">
        <v>48</v>
      </c>
      <c r="C16" s="1" t="s">
        <v>251</v>
      </c>
      <c r="D16">
        <v>159</v>
      </c>
      <c r="E16" t="s">
        <v>47</v>
      </c>
      <c r="G16" t="b">
        <v>1</v>
      </c>
      <c r="H16" t="s">
        <v>253</v>
      </c>
      <c r="I16">
        <v>6</v>
      </c>
      <c r="J16" t="s">
        <v>254</v>
      </c>
      <c r="K16" t="s">
        <v>255</v>
      </c>
      <c r="M16">
        <v>102499.99</v>
      </c>
    </row>
    <row r="17" spans="1:13" hidden="1" x14ac:dyDescent="0.25">
      <c r="A17" s="1" t="s">
        <v>71</v>
      </c>
      <c r="B17">
        <v>48</v>
      </c>
      <c r="C17" s="1" t="s">
        <v>251</v>
      </c>
      <c r="D17">
        <v>72</v>
      </c>
      <c r="E17" t="s">
        <v>290</v>
      </c>
      <c r="G17" t="b">
        <v>1</v>
      </c>
      <c r="H17" t="s">
        <v>264</v>
      </c>
      <c r="I17">
        <v>1</v>
      </c>
      <c r="J17" t="s">
        <v>257</v>
      </c>
      <c r="K17" t="s">
        <v>258</v>
      </c>
      <c r="M17">
        <v>127689.73</v>
      </c>
    </row>
    <row r="18" spans="1:13" hidden="1" x14ac:dyDescent="0.25">
      <c r="A18" s="1" t="s">
        <v>71</v>
      </c>
      <c r="B18">
        <v>48</v>
      </c>
      <c r="C18" s="1" t="s">
        <v>251</v>
      </c>
      <c r="D18">
        <v>157</v>
      </c>
      <c r="E18" t="s">
        <v>303</v>
      </c>
      <c r="G18" t="b">
        <v>1</v>
      </c>
      <c r="H18" t="s">
        <v>253</v>
      </c>
      <c r="I18">
        <v>5</v>
      </c>
      <c r="J18" t="s">
        <v>257</v>
      </c>
      <c r="K18" t="s">
        <v>6117</v>
      </c>
      <c r="M18">
        <v>99999</v>
      </c>
    </row>
    <row r="19" spans="1:13" hidden="1" x14ac:dyDescent="0.25">
      <c r="A19" s="1" t="s">
        <v>71</v>
      </c>
      <c r="B19">
        <v>48</v>
      </c>
      <c r="C19" s="1" t="s">
        <v>251</v>
      </c>
      <c r="D19">
        <v>155</v>
      </c>
      <c r="E19" s="31" t="s">
        <v>70</v>
      </c>
      <c r="G19" t="b">
        <v>1</v>
      </c>
      <c r="H19" t="s">
        <v>253</v>
      </c>
      <c r="I19">
        <v>3</v>
      </c>
      <c r="J19" t="s">
        <v>257</v>
      </c>
      <c r="K19" t="s">
        <v>6116</v>
      </c>
      <c r="M19">
        <v>84999.96</v>
      </c>
    </row>
    <row r="20" spans="1:13" hidden="1" x14ac:dyDescent="0.25">
      <c r="A20" s="1" t="s">
        <v>71</v>
      </c>
      <c r="B20">
        <v>48</v>
      </c>
      <c r="C20" s="1" t="s">
        <v>251</v>
      </c>
      <c r="D20">
        <v>154</v>
      </c>
      <c r="E20" t="s">
        <v>69</v>
      </c>
      <c r="G20" t="b">
        <v>1</v>
      </c>
      <c r="H20" t="s">
        <v>253</v>
      </c>
      <c r="I20">
        <v>2</v>
      </c>
      <c r="J20" t="s">
        <v>254</v>
      </c>
      <c r="K20" t="s">
        <v>255</v>
      </c>
      <c r="M20">
        <v>95006.71</v>
      </c>
    </row>
    <row r="21" spans="1:13" hidden="1" x14ac:dyDescent="0.25">
      <c r="A21" s="1" t="s">
        <v>4219</v>
      </c>
      <c r="B21">
        <v>276</v>
      </c>
      <c r="C21" s="1" t="s">
        <v>251</v>
      </c>
      <c r="D21">
        <v>812</v>
      </c>
      <c r="E21" t="s">
        <v>4229</v>
      </c>
      <c r="G21" t="b">
        <v>1</v>
      </c>
      <c r="H21" t="s">
        <v>253</v>
      </c>
      <c r="I21">
        <v>2</v>
      </c>
      <c r="J21" t="s">
        <v>254</v>
      </c>
      <c r="K21" t="s">
        <v>4232</v>
      </c>
      <c r="M21">
        <v>179707.03</v>
      </c>
    </row>
    <row r="22" spans="1:13" hidden="1" x14ac:dyDescent="0.25">
      <c r="A22" s="1" t="s">
        <v>4219</v>
      </c>
      <c r="B22">
        <v>276</v>
      </c>
      <c r="C22" s="1" t="s">
        <v>251</v>
      </c>
      <c r="D22">
        <v>811</v>
      </c>
      <c r="E22" t="s">
        <v>3027</v>
      </c>
      <c r="G22" t="b">
        <v>1</v>
      </c>
      <c r="H22" t="s">
        <v>264</v>
      </c>
      <c r="I22">
        <v>1</v>
      </c>
      <c r="J22" t="s">
        <v>254</v>
      </c>
      <c r="K22" t="s">
        <v>255</v>
      </c>
      <c r="M22">
        <v>271802.75</v>
      </c>
    </row>
    <row r="23" spans="1:13" hidden="1" x14ac:dyDescent="0.25">
      <c r="A23" s="1" t="s">
        <v>4219</v>
      </c>
      <c r="B23">
        <v>276</v>
      </c>
      <c r="C23" s="1" t="s">
        <v>251</v>
      </c>
      <c r="D23">
        <v>825</v>
      </c>
      <c r="E23" t="s">
        <v>4241</v>
      </c>
      <c r="G23" t="b">
        <v>1</v>
      </c>
      <c r="H23" t="s">
        <v>253</v>
      </c>
      <c r="I23">
        <v>3</v>
      </c>
      <c r="J23" t="s">
        <v>254</v>
      </c>
      <c r="K23" t="s">
        <v>260</v>
      </c>
      <c r="M23">
        <v>158174.74</v>
      </c>
    </row>
    <row r="24" spans="1:13" hidden="1" x14ac:dyDescent="0.25">
      <c r="A24" s="1" t="s">
        <v>4219</v>
      </c>
      <c r="B24">
        <v>276</v>
      </c>
      <c r="C24" s="1" t="s">
        <v>251</v>
      </c>
      <c r="D24">
        <v>850</v>
      </c>
      <c r="E24" t="s">
        <v>4060</v>
      </c>
      <c r="G24" t="b">
        <v>1</v>
      </c>
      <c r="H24" t="s">
        <v>253</v>
      </c>
      <c r="I24">
        <v>6</v>
      </c>
      <c r="J24" t="s">
        <v>257</v>
      </c>
      <c r="K24" t="s">
        <v>6117</v>
      </c>
      <c r="M24">
        <v>157024</v>
      </c>
    </row>
    <row r="25" spans="1:13" hidden="1" x14ac:dyDescent="0.25">
      <c r="A25" s="1" t="s">
        <v>4219</v>
      </c>
      <c r="B25">
        <v>276</v>
      </c>
      <c r="C25" s="1" t="s">
        <v>251</v>
      </c>
      <c r="D25">
        <v>849</v>
      </c>
      <c r="E25" t="s">
        <v>4256</v>
      </c>
      <c r="G25" t="b">
        <v>1</v>
      </c>
      <c r="H25" t="s">
        <v>253</v>
      </c>
      <c r="I25">
        <v>5</v>
      </c>
      <c r="J25" t="s">
        <v>257</v>
      </c>
      <c r="K25" t="s">
        <v>6117</v>
      </c>
      <c r="M25">
        <v>131280.43</v>
      </c>
    </row>
    <row r="26" spans="1:13" hidden="1" x14ac:dyDescent="0.25">
      <c r="A26" s="1" t="s">
        <v>4219</v>
      </c>
      <c r="B26">
        <v>276</v>
      </c>
      <c r="C26" s="1" t="s">
        <v>251</v>
      </c>
      <c r="D26">
        <v>847</v>
      </c>
      <c r="E26" t="s">
        <v>24</v>
      </c>
      <c r="G26" t="b">
        <v>1</v>
      </c>
      <c r="H26" t="s">
        <v>253</v>
      </c>
      <c r="I26">
        <v>4</v>
      </c>
      <c r="J26" t="s">
        <v>257</v>
      </c>
      <c r="K26" t="s">
        <v>6117</v>
      </c>
      <c r="M26">
        <v>215436.6</v>
      </c>
    </row>
    <row r="27" spans="1:13" hidden="1" x14ac:dyDescent="0.25">
      <c r="A27" s="1" t="s">
        <v>312</v>
      </c>
      <c r="B27">
        <v>58</v>
      </c>
      <c r="C27" s="1" t="s">
        <v>251</v>
      </c>
      <c r="D27">
        <v>183</v>
      </c>
      <c r="E27" t="s">
        <v>311</v>
      </c>
      <c r="G27" t="b">
        <v>1</v>
      </c>
      <c r="H27" t="s">
        <v>264</v>
      </c>
      <c r="I27">
        <v>1</v>
      </c>
      <c r="J27" t="s">
        <v>254</v>
      </c>
      <c r="K27" t="s">
        <v>255</v>
      </c>
      <c r="M27">
        <v>221317</v>
      </c>
    </row>
    <row r="28" spans="1:13" hidden="1" x14ac:dyDescent="0.25">
      <c r="A28" s="1" t="s">
        <v>312</v>
      </c>
      <c r="B28">
        <v>58</v>
      </c>
      <c r="C28" s="1" t="s">
        <v>251</v>
      </c>
      <c r="D28">
        <v>184</v>
      </c>
      <c r="E28" t="s">
        <v>313</v>
      </c>
      <c r="G28" t="b">
        <v>1</v>
      </c>
      <c r="H28" t="s">
        <v>253</v>
      </c>
      <c r="I28">
        <v>2</v>
      </c>
      <c r="J28" t="s">
        <v>254</v>
      </c>
      <c r="K28" t="s">
        <v>260</v>
      </c>
      <c r="M28">
        <v>131228</v>
      </c>
    </row>
    <row r="29" spans="1:13" hidden="1" x14ac:dyDescent="0.25">
      <c r="A29" s="1" t="s">
        <v>312</v>
      </c>
      <c r="B29">
        <v>58</v>
      </c>
      <c r="C29" s="1" t="s">
        <v>251</v>
      </c>
      <c r="D29">
        <v>185</v>
      </c>
      <c r="E29" t="s">
        <v>314</v>
      </c>
      <c r="G29" t="b">
        <v>1</v>
      </c>
      <c r="H29" t="s">
        <v>253</v>
      </c>
      <c r="I29">
        <v>3</v>
      </c>
      <c r="J29" t="s">
        <v>257</v>
      </c>
      <c r="K29" t="s">
        <v>6117</v>
      </c>
      <c r="M29">
        <v>212499.98</v>
      </c>
    </row>
    <row r="30" spans="1:13" hidden="1" x14ac:dyDescent="0.25">
      <c r="A30" s="1" t="s">
        <v>312</v>
      </c>
      <c r="B30">
        <v>58</v>
      </c>
      <c r="C30" s="1" t="s">
        <v>251</v>
      </c>
      <c r="D30">
        <v>187</v>
      </c>
      <c r="E30" t="s">
        <v>315</v>
      </c>
      <c r="G30" t="b">
        <v>1</v>
      </c>
      <c r="H30" t="s">
        <v>253</v>
      </c>
      <c r="I30">
        <v>5</v>
      </c>
      <c r="J30" t="s">
        <v>257</v>
      </c>
      <c r="K30" t="s">
        <v>6117</v>
      </c>
      <c r="M30">
        <v>119999.34</v>
      </c>
    </row>
    <row r="31" spans="1:13" hidden="1" x14ac:dyDescent="0.25">
      <c r="A31" s="1" t="s">
        <v>312</v>
      </c>
      <c r="B31">
        <v>58</v>
      </c>
      <c r="C31" s="1" t="s">
        <v>251</v>
      </c>
      <c r="D31">
        <v>186</v>
      </c>
      <c r="E31" t="s">
        <v>316</v>
      </c>
      <c r="G31" t="b">
        <v>1</v>
      </c>
      <c r="H31" t="s">
        <v>253</v>
      </c>
      <c r="I31">
        <v>4</v>
      </c>
      <c r="J31" t="s">
        <v>257</v>
      </c>
      <c r="K31" t="s">
        <v>6117</v>
      </c>
      <c r="M31">
        <v>64499.8</v>
      </c>
    </row>
    <row r="32" spans="1:13" hidden="1" x14ac:dyDescent="0.25">
      <c r="A32" s="1" t="s">
        <v>3376</v>
      </c>
      <c r="B32">
        <v>166</v>
      </c>
      <c r="C32" s="1" t="s">
        <v>251</v>
      </c>
      <c r="D32">
        <v>804</v>
      </c>
      <c r="E32" t="s">
        <v>3407</v>
      </c>
      <c r="G32" t="b">
        <v>1</v>
      </c>
      <c r="H32" t="s">
        <v>253</v>
      </c>
      <c r="I32">
        <v>5</v>
      </c>
      <c r="J32" t="s">
        <v>254</v>
      </c>
      <c r="K32" t="s">
        <v>381</v>
      </c>
      <c r="M32">
        <v>187226.14</v>
      </c>
    </row>
    <row r="33" spans="1:13" hidden="1" x14ac:dyDescent="0.25">
      <c r="A33" s="1" t="s">
        <v>3376</v>
      </c>
      <c r="B33">
        <v>166</v>
      </c>
      <c r="C33" s="1" t="s">
        <v>251</v>
      </c>
      <c r="D33">
        <v>440</v>
      </c>
      <c r="E33" t="s">
        <v>3378</v>
      </c>
      <c r="G33" t="b">
        <v>1</v>
      </c>
      <c r="H33" t="s">
        <v>264</v>
      </c>
      <c r="I33">
        <v>1</v>
      </c>
      <c r="J33" t="s">
        <v>254</v>
      </c>
      <c r="K33" t="s">
        <v>255</v>
      </c>
      <c r="M33">
        <v>250137.37</v>
      </c>
    </row>
    <row r="34" spans="1:13" hidden="1" x14ac:dyDescent="0.25">
      <c r="A34" s="1" t="s">
        <v>3376</v>
      </c>
      <c r="B34">
        <v>166</v>
      </c>
      <c r="C34" s="1" t="s">
        <v>251</v>
      </c>
      <c r="D34">
        <v>805</v>
      </c>
      <c r="E34" t="s">
        <v>3416</v>
      </c>
      <c r="G34" t="b">
        <v>1</v>
      </c>
      <c r="H34" t="s">
        <v>253</v>
      </c>
      <c r="I34">
        <v>6</v>
      </c>
      <c r="J34" t="s">
        <v>254</v>
      </c>
      <c r="K34" t="s">
        <v>273</v>
      </c>
      <c r="M34">
        <v>137191.6</v>
      </c>
    </row>
    <row r="35" spans="1:13" hidden="1" x14ac:dyDescent="0.25">
      <c r="A35" s="1" t="s">
        <v>3376</v>
      </c>
      <c r="B35">
        <v>166</v>
      </c>
      <c r="C35" s="1" t="s">
        <v>251</v>
      </c>
      <c r="D35">
        <v>800</v>
      </c>
      <c r="E35" t="s">
        <v>3387</v>
      </c>
      <c r="G35" t="b">
        <v>1</v>
      </c>
      <c r="H35" t="s">
        <v>253</v>
      </c>
      <c r="I35">
        <v>2</v>
      </c>
      <c r="J35" t="s">
        <v>257</v>
      </c>
      <c r="K35" t="s">
        <v>258</v>
      </c>
      <c r="M35">
        <v>182229.04</v>
      </c>
    </row>
    <row r="36" spans="1:13" hidden="1" x14ac:dyDescent="0.25">
      <c r="A36" s="1" t="s">
        <v>3376</v>
      </c>
      <c r="B36">
        <v>166</v>
      </c>
      <c r="C36" s="1" t="s">
        <v>251</v>
      </c>
      <c r="D36">
        <v>801</v>
      </c>
      <c r="E36" t="s">
        <v>899</v>
      </c>
      <c r="G36" t="b">
        <v>1</v>
      </c>
      <c r="H36" t="s">
        <v>253</v>
      </c>
      <c r="I36">
        <v>3</v>
      </c>
      <c r="J36" t="s">
        <v>257</v>
      </c>
      <c r="K36" t="s">
        <v>6116</v>
      </c>
      <c r="M36">
        <v>137200</v>
      </c>
    </row>
    <row r="37" spans="1:13" hidden="1" x14ac:dyDescent="0.25">
      <c r="A37" s="1" t="s">
        <v>3376</v>
      </c>
      <c r="B37">
        <v>166</v>
      </c>
      <c r="C37" s="1" t="s">
        <v>251</v>
      </c>
      <c r="D37">
        <v>802</v>
      </c>
      <c r="E37" t="s">
        <v>70</v>
      </c>
      <c r="G37" t="b">
        <v>1</v>
      </c>
      <c r="H37" t="s">
        <v>253</v>
      </c>
      <c r="I37">
        <v>4</v>
      </c>
      <c r="J37" t="s">
        <v>257</v>
      </c>
      <c r="K37" t="s">
        <v>6116</v>
      </c>
      <c r="M37">
        <v>197475.6</v>
      </c>
    </row>
    <row r="38" spans="1:13" hidden="1" x14ac:dyDescent="0.25">
      <c r="A38" s="1" t="s">
        <v>337</v>
      </c>
      <c r="B38">
        <v>69</v>
      </c>
      <c r="C38" s="1" t="s">
        <v>251</v>
      </c>
      <c r="D38">
        <v>124</v>
      </c>
      <c r="E38" t="s">
        <v>338</v>
      </c>
      <c r="G38" t="b">
        <v>1</v>
      </c>
      <c r="H38" t="s">
        <v>253</v>
      </c>
      <c r="I38">
        <v>3</v>
      </c>
      <c r="J38" t="s">
        <v>257</v>
      </c>
      <c r="K38" t="s">
        <v>6117</v>
      </c>
      <c r="M38">
        <v>100346</v>
      </c>
    </row>
    <row r="39" spans="1:13" hidden="1" x14ac:dyDescent="0.25">
      <c r="A39" s="1" t="s">
        <v>337</v>
      </c>
      <c r="B39">
        <v>69</v>
      </c>
      <c r="C39" s="1" t="s">
        <v>251</v>
      </c>
      <c r="D39">
        <v>126</v>
      </c>
      <c r="E39" t="s">
        <v>42</v>
      </c>
      <c r="G39" t="b">
        <v>1</v>
      </c>
      <c r="H39" t="s">
        <v>253</v>
      </c>
      <c r="I39">
        <v>5</v>
      </c>
      <c r="J39" t="s">
        <v>257</v>
      </c>
      <c r="K39" t="s">
        <v>267</v>
      </c>
      <c r="M39">
        <v>73815</v>
      </c>
    </row>
    <row r="40" spans="1:13" hidden="1" x14ac:dyDescent="0.25">
      <c r="A40" s="1" t="s">
        <v>337</v>
      </c>
      <c r="B40">
        <v>69</v>
      </c>
      <c r="C40" s="1" t="s">
        <v>251</v>
      </c>
      <c r="D40">
        <v>127</v>
      </c>
      <c r="E40" t="s">
        <v>339</v>
      </c>
      <c r="G40" t="b">
        <v>1</v>
      </c>
      <c r="H40" t="s">
        <v>253</v>
      </c>
      <c r="I40">
        <v>6</v>
      </c>
      <c r="J40" t="s">
        <v>254</v>
      </c>
      <c r="K40" t="s">
        <v>260</v>
      </c>
      <c r="M40">
        <v>75727</v>
      </c>
    </row>
    <row r="41" spans="1:13" hidden="1" x14ac:dyDescent="0.25">
      <c r="A41" s="1" t="s">
        <v>337</v>
      </c>
      <c r="B41">
        <v>69</v>
      </c>
      <c r="C41" s="1" t="s">
        <v>251</v>
      </c>
      <c r="D41">
        <v>125</v>
      </c>
      <c r="E41" t="s">
        <v>307</v>
      </c>
      <c r="G41" t="b">
        <v>1</v>
      </c>
      <c r="H41" t="s">
        <v>253</v>
      </c>
      <c r="I41">
        <v>4</v>
      </c>
      <c r="J41" t="s">
        <v>254</v>
      </c>
      <c r="K41" t="s">
        <v>255</v>
      </c>
      <c r="M41">
        <v>116256</v>
      </c>
    </row>
    <row r="42" spans="1:13" hidden="1" x14ac:dyDescent="0.25">
      <c r="A42" s="1" t="s">
        <v>337</v>
      </c>
      <c r="B42">
        <v>69</v>
      </c>
      <c r="C42" s="1" t="s">
        <v>251</v>
      </c>
      <c r="D42">
        <v>123</v>
      </c>
      <c r="E42" t="s">
        <v>340</v>
      </c>
      <c r="G42" t="b">
        <v>1</v>
      </c>
      <c r="H42" t="s">
        <v>253</v>
      </c>
      <c r="I42">
        <v>2</v>
      </c>
      <c r="J42" t="s">
        <v>257</v>
      </c>
      <c r="K42" t="s">
        <v>258</v>
      </c>
      <c r="M42">
        <v>129850</v>
      </c>
    </row>
    <row r="43" spans="1:13" hidden="1" x14ac:dyDescent="0.25">
      <c r="A43" s="1" t="s">
        <v>337</v>
      </c>
      <c r="B43">
        <v>69</v>
      </c>
      <c r="C43" s="1" t="s">
        <v>251</v>
      </c>
      <c r="D43">
        <v>122</v>
      </c>
      <c r="E43" t="s">
        <v>292</v>
      </c>
      <c r="G43" t="b">
        <v>1</v>
      </c>
      <c r="H43" t="s">
        <v>264</v>
      </c>
      <c r="I43">
        <v>1</v>
      </c>
      <c r="J43" t="s">
        <v>254</v>
      </c>
      <c r="K43" t="s">
        <v>260</v>
      </c>
      <c r="M43">
        <v>253972</v>
      </c>
    </row>
    <row r="44" spans="1:13" hidden="1" x14ac:dyDescent="0.25">
      <c r="A44" s="1" t="s">
        <v>357</v>
      </c>
      <c r="B44">
        <v>76</v>
      </c>
      <c r="C44" s="1" t="s">
        <v>251</v>
      </c>
      <c r="D44">
        <v>160</v>
      </c>
      <c r="E44" t="s">
        <v>358</v>
      </c>
      <c r="G44" t="b">
        <v>1</v>
      </c>
      <c r="H44" t="s">
        <v>264</v>
      </c>
      <c r="I44">
        <v>1</v>
      </c>
      <c r="J44" t="s">
        <v>254</v>
      </c>
      <c r="K44" t="s">
        <v>302</v>
      </c>
      <c r="M44">
        <v>198840.25</v>
      </c>
    </row>
    <row r="45" spans="1:13" hidden="1" x14ac:dyDescent="0.25">
      <c r="A45" s="1" t="s">
        <v>357</v>
      </c>
      <c r="B45">
        <v>76</v>
      </c>
      <c r="C45" s="1" t="s">
        <v>251</v>
      </c>
      <c r="D45">
        <v>232</v>
      </c>
      <c r="E45" t="s">
        <v>290</v>
      </c>
      <c r="G45" t="b">
        <v>1</v>
      </c>
      <c r="H45" t="s">
        <v>253</v>
      </c>
      <c r="I45">
        <v>5</v>
      </c>
      <c r="J45" t="s">
        <v>257</v>
      </c>
      <c r="K45" t="s">
        <v>258</v>
      </c>
      <c r="M45">
        <v>128978.08</v>
      </c>
    </row>
    <row r="46" spans="1:13" hidden="1" x14ac:dyDescent="0.25">
      <c r="A46" s="1" t="s">
        <v>357</v>
      </c>
      <c r="B46">
        <v>76</v>
      </c>
      <c r="C46" s="1" t="s">
        <v>251</v>
      </c>
      <c r="D46">
        <v>209</v>
      </c>
      <c r="E46" t="s">
        <v>56</v>
      </c>
      <c r="G46" t="b">
        <v>1</v>
      </c>
      <c r="H46" t="s">
        <v>253</v>
      </c>
      <c r="I46">
        <v>3</v>
      </c>
      <c r="J46" t="s">
        <v>257</v>
      </c>
      <c r="K46" t="s">
        <v>258</v>
      </c>
      <c r="M46">
        <v>109200</v>
      </c>
    </row>
    <row r="47" spans="1:13" hidden="1" x14ac:dyDescent="0.25">
      <c r="A47" s="1" t="s">
        <v>357</v>
      </c>
      <c r="B47">
        <v>76</v>
      </c>
      <c r="C47" s="1" t="s">
        <v>251</v>
      </c>
      <c r="D47">
        <v>161</v>
      </c>
      <c r="E47" t="s">
        <v>359</v>
      </c>
      <c r="G47" t="b">
        <v>1</v>
      </c>
      <c r="H47" t="s">
        <v>253</v>
      </c>
      <c r="I47">
        <v>2</v>
      </c>
      <c r="J47" t="s">
        <v>254</v>
      </c>
      <c r="K47" t="s">
        <v>265</v>
      </c>
      <c r="M47">
        <v>158512.79999999999</v>
      </c>
    </row>
    <row r="48" spans="1:13" hidden="1" x14ac:dyDescent="0.25">
      <c r="A48" s="1" t="s">
        <v>357</v>
      </c>
      <c r="B48">
        <v>76</v>
      </c>
      <c r="C48" s="1" t="s">
        <v>251</v>
      </c>
      <c r="D48">
        <v>210</v>
      </c>
      <c r="E48" t="s">
        <v>320</v>
      </c>
      <c r="G48" t="b">
        <v>1</v>
      </c>
      <c r="H48" t="s">
        <v>253</v>
      </c>
      <c r="I48">
        <v>4</v>
      </c>
      <c r="J48" t="s">
        <v>257</v>
      </c>
      <c r="K48" t="s">
        <v>6116</v>
      </c>
      <c r="M48">
        <v>126672</v>
      </c>
    </row>
    <row r="49" spans="1:13" hidden="1" x14ac:dyDescent="0.25">
      <c r="A49" s="1" t="s">
        <v>3655</v>
      </c>
      <c r="B49">
        <v>189</v>
      </c>
      <c r="C49" s="1" t="s">
        <v>251</v>
      </c>
      <c r="D49">
        <v>744</v>
      </c>
      <c r="E49" t="s">
        <v>3678</v>
      </c>
      <c r="G49" t="b">
        <v>1</v>
      </c>
      <c r="H49" t="s">
        <v>253</v>
      </c>
      <c r="I49">
        <v>3</v>
      </c>
      <c r="J49" t="s">
        <v>254</v>
      </c>
      <c r="K49" t="s">
        <v>266</v>
      </c>
      <c r="M49">
        <v>224900</v>
      </c>
    </row>
    <row r="50" spans="1:13" hidden="1" x14ac:dyDescent="0.25">
      <c r="A50" s="1" t="s">
        <v>3655</v>
      </c>
      <c r="B50">
        <v>189</v>
      </c>
      <c r="C50" s="1" t="s">
        <v>251</v>
      </c>
      <c r="D50">
        <v>747</v>
      </c>
      <c r="E50" t="s">
        <v>3690</v>
      </c>
      <c r="G50" t="b">
        <v>1</v>
      </c>
      <c r="H50" t="s">
        <v>253</v>
      </c>
      <c r="I50">
        <v>6</v>
      </c>
      <c r="J50" t="s">
        <v>257</v>
      </c>
      <c r="K50" t="s">
        <v>6116</v>
      </c>
      <c r="M50">
        <v>65700.009999999995</v>
      </c>
    </row>
    <row r="51" spans="1:13" hidden="1" x14ac:dyDescent="0.25">
      <c r="A51" s="1" t="s">
        <v>3655</v>
      </c>
      <c r="B51">
        <v>189</v>
      </c>
      <c r="C51" s="1" t="s">
        <v>251</v>
      </c>
      <c r="D51">
        <v>731</v>
      </c>
      <c r="E51" t="s">
        <v>3657</v>
      </c>
      <c r="G51" t="b">
        <v>1</v>
      </c>
      <c r="H51" t="s">
        <v>264</v>
      </c>
      <c r="I51">
        <v>1</v>
      </c>
      <c r="J51" t="s">
        <v>257</v>
      </c>
      <c r="K51" t="s">
        <v>6116</v>
      </c>
      <c r="M51">
        <v>474300</v>
      </c>
    </row>
    <row r="52" spans="1:13" hidden="1" x14ac:dyDescent="0.25">
      <c r="A52" s="1" t="s">
        <v>3655</v>
      </c>
      <c r="B52">
        <v>189</v>
      </c>
      <c r="C52" s="1" t="s">
        <v>251</v>
      </c>
      <c r="D52">
        <v>745</v>
      </c>
      <c r="E52" t="s">
        <v>377</v>
      </c>
      <c r="G52" t="b">
        <v>1</v>
      </c>
      <c r="H52" t="s">
        <v>253</v>
      </c>
      <c r="I52">
        <v>4</v>
      </c>
      <c r="J52" t="s">
        <v>254</v>
      </c>
      <c r="K52" t="s">
        <v>255</v>
      </c>
      <c r="M52">
        <v>81200</v>
      </c>
    </row>
    <row r="53" spans="1:13" hidden="1" x14ac:dyDescent="0.25">
      <c r="A53" s="1" t="s">
        <v>3655</v>
      </c>
      <c r="B53">
        <v>189</v>
      </c>
      <c r="C53" s="1" t="s">
        <v>251</v>
      </c>
      <c r="D53">
        <v>746</v>
      </c>
      <c r="E53" t="s">
        <v>39</v>
      </c>
      <c r="G53" t="b">
        <v>1</v>
      </c>
      <c r="H53" t="s">
        <v>253</v>
      </c>
      <c r="I53">
        <v>5</v>
      </c>
      <c r="J53" t="s">
        <v>254</v>
      </c>
      <c r="K53" t="s">
        <v>260</v>
      </c>
      <c r="M53">
        <v>186080</v>
      </c>
    </row>
    <row r="54" spans="1:13" hidden="1" x14ac:dyDescent="0.25">
      <c r="A54" s="1" t="s">
        <v>3655</v>
      </c>
      <c r="B54">
        <v>189</v>
      </c>
      <c r="C54" s="1" t="s">
        <v>251</v>
      </c>
      <c r="D54">
        <v>742</v>
      </c>
      <c r="E54" t="s">
        <v>3667</v>
      </c>
      <c r="G54" t="b">
        <v>1</v>
      </c>
      <c r="H54" t="s">
        <v>253</v>
      </c>
      <c r="I54">
        <v>2</v>
      </c>
      <c r="J54" t="s">
        <v>257</v>
      </c>
      <c r="K54" t="s">
        <v>6116</v>
      </c>
      <c r="M54">
        <v>63138</v>
      </c>
    </row>
    <row r="55" spans="1:13" hidden="1" x14ac:dyDescent="0.25">
      <c r="A55" s="1" t="s">
        <v>3429</v>
      </c>
      <c r="B55">
        <v>168</v>
      </c>
      <c r="C55" s="1" t="s">
        <v>251</v>
      </c>
      <c r="D55">
        <v>698</v>
      </c>
      <c r="E55" t="s">
        <v>3441</v>
      </c>
      <c r="G55" t="b">
        <v>1</v>
      </c>
      <c r="H55" t="s">
        <v>253</v>
      </c>
      <c r="I55">
        <v>6</v>
      </c>
      <c r="J55" t="s">
        <v>254</v>
      </c>
      <c r="K55" t="s">
        <v>255</v>
      </c>
      <c r="M55">
        <v>134400</v>
      </c>
    </row>
    <row r="56" spans="1:13" hidden="1" x14ac:dyDescent="0.25">
      <c r="A56" s="1" t="s">
        <v>3429</v>
      </c>
      <c r="B56">
        <v>168</v>
      </c>
      <c r="C56" s="1" t="s">
        <v>251</v>
      </c>
      <c r="D56">
        <v>694</v>
      </c>
      <c r="E56" t="s">
        <v>673</v>
      </c>
      <c r="G56" t="b">
        <v>1</v>
      </c>
      <c r="H56" t="s">
        <v>253</v>
      </c>
      <c r="I56">
        <v>2</v>
      </c>
      <c r="J56" t="s">
        <v>254</v>
      </c>
      <c r="K56" t="s">
        <v>260</v>
      </c>
      <c r="M56">
        <v>181993</v>
      </c>
    </row>
    <row r="57" spans="1:13" hidden="1" x14ac:dyDescent="0.25">
      <c r="A57" s="1" t="s">
        <v>3429</v>
      </c>
      <c r="B57">
        <v>168</v>
      </c>
      <c r="C57" s="1" t="s">
        <v>251</v>
      </c>
      <c r="D57">
        <v>695</v>
      </c>
      <c r="E57" t="s">
        <v>280</v>
      </c>
      <c r="G57" t="b">
        <v>1</v>
      </c>
      <c r="H57" t="s">
        <v>253</v>
      </c>
      <c r="I57">
        <v>3</v>
      </c>
      <c r="J57" t="s">
        <v>257</v>
      </c>
      <c r="K57" t="s">
        <v>258</v>
      </c>
      <c r="M57">
        <v>181804</v>
      </c>
    </row>
    <row r="58" spans="1:13" hidden="1" x14ac:dyDescent="0.25">
      <c r="A58" s="1" t="s">
        <v>3429</v>
      </c>
      <c r="B58">
        <v>168</v>
      </c>
      <c r="C58" s="1" t="s">
        <v>251</v>
      </c>
      <c r="D58">
        <v>697</v>
      </c>
      <c r="E58" t="s">
        <v>299</v>
      </c>
      <c r="G58" t="b">
        <v>1</v>
      </c>
      <c r="H58" t="s">
        <v>253</v>
      </c>
      <c r="I58">
        <v>5</v>
      </c>
      <c r="J58" t="s">
        <v>257</v>
      </c>
      <c r="K58" t="s">
        <v>6116</v>
      </c>
      <c r="M58">
        <v>134400</v>
      </c>
    </row>
    <row r="59" spans="1:13" hidden="1" x14ac:dyDescent="0.25">
      <c r="A59" s="1" t="s">
        <v>3429</v>
      </c>
      <c r="B59">
        <v>168</v>
      </c>
      <c r="C59" s="1" t="s">
        <v>251</v>
      </c>
      <c r="D59">
        <v>683</v>
      </c>
      <c r="E59" t="s">
        <v>899</v>
      </c>
      <c r="G59" t="b">
        <v>1</v>
      </c>
      <c r="H59" t="s">
        <v>264</v>
      </c>
      <c r="I59">
        <v>1</v>
      </c>
      <c r="J59" t="s">
        <v>257</v>
      </c>
      <c r="K59" t="s">
        <v>6116</v>
      </c>
      <c r="M59">
        <v>216720</v>
      </c>
    </row>
    <row r="60" spans="1:13" hidden="1" x14ac:dyDescent="0.25">
      <c r="A60" s="1" t="s">
        <v>3429</v>
      </c>
      <c r="B60">
        <v>168</v>
      </c>
      <c r="C60" s="1" t="s">
        <v>251</v>
      </c>
      <c r="D60">
        <v>696</v>
      </c>
      <c r="E60" t="s">
        <v>51</v>
      </c>
      <c r="G60" t="b">
        <v>1</v>
      </c>
      <c r="H60" t="s">
        <v>253</v>
      </c>
      <c r="I60">
        <v>4</v>
      </c>
      <c r="J60" t="s">
        <v>254</v>
      </c>
      <c r="K60" t="s">
        <v>260</v>
      </c>
      <c r="M60">
        <v>151258.79999999999</v>
      </c>
    </row>
    <row r="61" spans="1:13" hidden="1" x14ac:dyDescent="0.25">
      <c r="A61" s="1" t="s">
        <v>3451</v>
      </c>
      <c r="B61">
        <v>170</v>
      </c>
      <c r="C61" s="1" t="s">
        <v>251</v>
      </c>
      <c r="D61">
        <v>692</v>
      </c>
      <c r="E61" t="s">
        <v>3486</v>
      </c>
      <c r="G61" t="b">
        <v>1</v>
      </c>
      <c r="H61" t="s">
        <v>253</v>
      </c>
      <c r="I61">
        <v>6</v>
      </c>
      <c r="J61" t="s">
        <v>254</v>
      </c>
      <c r="K61" t="s">
        <v>266</v>
      </c>
      <c r="M61">
        <v>244901.08</v>
      </c>
    </row>
    <row r="62" spans="1:13" hidden="1" x14ac:dyDescent="0.25">
      <c r="A62" s="1" t="s">
        <v>3451</v>
      </c>
      <c r="B62">
        <v>170</v>
      </c>
      <c r="C62" s="1" t="s">
        <v>251</v>
      </c>
      <c r="D62">
        <v>651</v>
      </c>
      <c r="E62" t="s">
        <v>3453</v>
      </c>
      <c r="G62" t="b">
        <v>1</v>
      </c>
      <c r="H62" t="s">
        <v>264</v>
      </c>
      <c r="I62">
        <v>1</v>
      </c>
      <c r="J62" t="s">
        <v>257</v>
      </c>
      <c r="K62" t="s">
        <v>6116</v>
      </c>
      <c r="M62">
        <v>261928</v>
      </c>
    </row>
    <row r="63" spans="1:13" hidden="1" x14ac:dyDescent="0.25">
      <c r="A63" s="1" t="s">
        <v>3451</v>
      </c>
      <c r="B63">
        <v>170</v>
      </c>
      <c r="C63" s="1" t="s">
        <v>251</v>
      </c>
      <c r="D63">
        <v>645</v>
      </c>
      <c r="E63" s="124" t="s">
        <v>6142</v>
      </c>
      <c r="G63" t="b">
        <v>1</v>
      </c>
      <c r="H63" t="s">
        <v>253</v>
      </c>
      <c r="I63">
        <v>2</v>
      </c>
      <c r="J63" t="s">
        <v>254</v>
      </c>
      <c r="K63" t="s">
        <v>266</v>
      </c>
      <c r="M63">
        <v>194985</v>
      </c>
    </row>
    <row r="64" spans="1:13" hidden="1" x14ac:dyDescent="0.25">
      <c r="A64" s="1" t="s">
        <v>3451</v>
      </c>
      <c r="B64">
        <v>170</v>
      </c>
      <c r="C64" s="1" t="s">
        <v>251</v>
      </c>
      <c r="D64">
        <v>691</v>
      </c>
      <c r="E64" t="s">
        <v>3483</v>
      </c>
      <c r="G64" t="b">
        <v>1</v>
      </c>
      <c r="H64" t="s">
        <v>253</v>
      </c>
      <c r="I64">
        <v>5</v>
      </c>
      <c r="J64" t="s">
        <v>257</v>
      </c>
      <c r="K64" t="s">
        <v>6116</v>
      </c>
      <c r="M64">
        <v>193000</v>
      </c>
    </row>
    <row r="65" spans="1:13" hidden="1" x14ac:dyDescent="0.25">
      <c r="A65" s="1" t="s">
        <v>3451</v>
      </c>
      <c r="B65">
        <v>170</v>
      </c>
      <c r="C65" s="1" t="s">
        <v>251</v>
      </c>
      <c r="D65">
        <v>680</v>
      </c>
      <c r="E65" t="s">
        <v>21</v>
      </c>
      <c r="G65" t="b">
        <v>1</v>
      </c>
      <c r="H65" t="s">
        <v>253</v>
      </c>
      <c r="I65">
        <v>4</v>
      </c>
      <c r="J65" t="s">
        <v>254</v>
      </c>
      <c r="K65" t="s">
        <v>255</v>
      </c>
      <c r="M65">
        <v>228782.4</v>
      </c>
    </row>
    <row r="66" spans="1:13" hidden="1" x14ac:dyDescent="0.25">
      <c r="A66" s="1" t="s">
        <v>3451</v>
      </c>
      <c r="B66">
        <v>170</v>
      </c>
      <c r="C66" s="1" t="s">
        <v>251</v>
      </c>
      <c r="D66">
        <v>665</v>
      </c>
      <c r="E66" t="s">
        <v>22</v>
      </c>
      <c r="G66" t="b">
        <v>1</v>
      </c>
      <c r="H66" t="s">
        <v>253</v>
      </c>
      <c r="I66">
        <v>3</v>
      </c>
      <c r="J66" t="s">
        <v>257</v>
      </c>
      <c r="K66" t="s">
        <v>258</v>
      </c>
      <c r="M66">
        <v>197995</v>
      </c>
    </row>
    <row r="67" spans="1:13" hidden="1" x14ac:dyDescent="0.25">
      <c r="A67" s="1" t="s">
        <v>3498</v>
      </c>
      <c r="B67">
        <v>180</v>
      </c>
      <c r="C67" s="1" t="s">
        <v>251</v>
      </c>
      <c r="D67">
        <v>442</v>
      </c>
      <c r="E67" t="s">
        <v>3514</v>
      </c>
      <c r="G67" t="b">
        <v>1</v>
      </c>
      <c r="H67" t="s">
        <v>253</v>
      </c>
      <c r="I67">
        <v>4</v>
      </c>
      <c r="J67" t="s">
        <v>254</v>
      </c>
      <c r="K67" t="s">
        <v>273</v>
      </c>
      <c r="M67">
        <v>118084.7</v>
      </c>
    </row>
    <row r="68" spans="1:13" hidden="1" x14ac:dyDescent="0.25">
      <c r="A68" s="1" t="s">
        <v>3498</v>
      </c>
      <c r="B68">
        <v>180</v>
      </c>
      <c r="C68" s="1" t="s">
        <v>251</v>
      </c>
      <c r="D68">
        <v>443</v>
      </c>
      <c r="E68" t="s">
        <v>37</v>
      </c>
      <c r="G68" t="b">
        <v>1</v>
      </c>
      <c r="H68" t="s">
        <v>253</v>
      </c>
      <c r="I68">
        <v>5</v>
      </c>
      <c r="J68" t="s">
        <v>254</v>
      </c>
      <c r="K68" t="s">
        <v>266</v>
      </c>
      <c r="M68">
        <v>139999.99</v>
      </c>
    </row>
    <row r="69" spans="1:13" hidden="1" x14ac:dyDescent="0.25">
      <c r="A69" s="1" t="s">
        <v>3498</v>
      </c>
      <c r="B69">
        <v>180</v>
      </c>
      <c r="C69" s="1" t="s">
        <v>251</v>
      </c>
      <c r="D69">
        <v>576</v>
      </c>
      <c r="E69" t="s">
        <v>899</v>
      </c>
      <c r="G69" t="b">
        <v>1</v>
      </c>
      <c r="H69" t="s">
        <v>253</v>
      </c>
      <c r="I69">
        <v>6</v>
      </c>
      <c r="J69" t="s">
        <v>257</v>
      </c>
      <c r="K69" t="s">
        <v>6116</v>
      </c>
      <c r="M69">
        <v>141399.42000000001</v>
      </c>
    </row>
    <row r="70" spans="1:13" hidden="1" x14ac:dyDescent="0.25">
      <c r="A70" s="30" t="s">
        <v>3498</v>
      </c>
      <c r="B70">
        <v>180</v>
      </c>
      <c r="C70" s="1" t="s">
        <v>251</v>
      </c>
      <c r="D70">
        <v>423</v>
      </c>
      <c r="E70" t="s">
        <v>320</v>
      </c>
      <c r="G70" t="b">
        <v>1</v>
      </c>
      <c r="H70" t="s">
        <v>264</v>
      </c>
      <c r="I70">
        <v>1</v>
      </c>
      <c r="J70" t="s">
        <v>257</v>
      </c>
      <c r="K70" t="s">
        <v>6116</v>
      </c>
      <c r="M70">
        <v>169606</v>
      </c>
    </row>
    <row r="71" spans="1:13" hidden="1" x14ac:dyDescent="0.25">
      <c r="A71" s="30" t="s">
        <v>3498</v>
      </c>
      <c r="B71">
        <v>180</v>
      </c>
      <c r="C71" s="1" t="s">
        <v>251</v>
      </c>
      <c r="D71">
        <v>439</v>
      </c>
      <c r="E71" t="s">
        <v>51</v>
      </c>
      <c r="G71" t="b">
        <v>1</v>
      </c>
      <c r="H71" t="s">
        <v>253</v>
      </c>
      <c r="I71">
        <v>2</v>
      </c>
      <c r="J71" t="s">
        <v>254</v>
      </c>
      <c r="K71" t="s">
        <v>260</v>
      </c>
      <c r="M71">
        <v>179005.24</v>
      </c>
    </row>
    <row r="72" spans="1:13" hidden="1" x14ac:dyDescent="0.25">
      <c r="A72" s="30" t="s">
        <v>3498</v>
      </c>
      <c r="B72">
        <v>180</v>
      </c>
      <c r="C72" s="1" t="s">
        <v>251</v>
      </c>
      <c r="D72">
        <v>441</v>
      </c>
      <c r="E72" t="s">
        <v>46</v>
      </c>
      <c r="G72" t="b">
        <v>1</v>
      </c>
      <c r="H72" t="s">
        <v>253</v>
      </c>
      <c r="I72">
        <v>3</v>
      </c>
      <c r="J72" t="s">
        <v>257</v>
      </c>
      <c r="K72" t="s">
        <v>6117</v>
      </c>
      <c r="M72">
        <v>138465.54</v>
      </c>
    </row>
    <row r="73" spans="1:13" hidden="1" x14ac:dyDescent="0.25">
      <c r="A73" s="30" t="s">
        <v>3995</v>
      </c>
      <c r="B73">
        <v>229</v>
      </c>
      <c r="C73" s="1" t="s">
        <v>251</v>
      </c>
      <c r="D73">
        <v>565</v>
      </c>
      <c r="E73" t="s">
        <v>4010</v>
      </c>
      <c r="G73" t="b">
        <v>1</v>
      </c>
      <c r="H73" t="s">
        <v>253</v>
      </c>
      <c r="I73">
        <v>2</v>
      </c>
      <c r="J73" t="s">
        <v>254</v>
      </c>
      <c r="K73" t="s">
        <v>260</v>
      </c>
      <c r="M73">
        <v>170543.7</v>
      </c>
    </row>
    <row r="74" spans="1:13" hidden="1" x14ac:dyDescent="0.25">
      <c r="A74" s="30" t="s">
        <v>3995</v>
      </c>
      <c r="B74">
        <v>229</v>
      </c>
      <c r="C74" s="1" t="s">
        <v>251</v>
      </c>
      <c r="D74">
        <v>564</v>
      </c>
      <c r="E74" t="s">
        <v>3997</v>
      </c>
      <c r="G74" t="b">
        <v>1</v>
      </c>
      <c r="H74" t="s">
        <v>264</v>
      </c>
      <c r="I74">
        <v>1</v>
      </c>
      <c r="J74" t="s">
        <v>254</v>
      </c>
      <c r="K74" t="s">
        <v>302</v>
      </c>
      <c r="M74">
        <v>280000</v>
      </c>
    </row>
    <row r="75" spans="1:13" hidden="1" x14ac:dyDescent="0.25">
      <c r="A75" s="30" t="s">
        <v>3995</v>
      </c>
      <c r="B75">
        <v>229</v>
      </c>
      <c r="C75" s="1" t="s">
        <v>251</v>
      </c>
      <c r="D75">
        <v>649</v>
      </c>
      <c r="E75" t="s">
        <v>305</v>
      </c>
      <c r="G75" t="b">
        <v>1</v>
      </c>
      <c r="H75" t="s">
        <v>253</v>
      </c>
      <c r="I75">
        <v>6</v>
      </c>
      <c r="J75" t="s">
        <v>257</v>
      </c>
      <c r="K75" t="s">
        <v>6117</v>
      </c>
      <c r="M75">
        <v>109983.92</v>
      </c>
    </row>
    <row r="76" spans="1:13" hidden="1" x14ac:dyDescent="0.25">
      <c r="A76" s="1" t="s">
        <v>3995</v>
      </c>
      <c r="B76">
        <v>229</v>
      </c>
      <c r="C76" s="1" t="s">
        <v>251</v>
      </c>
      <c r="D76">
        <v>567</v>
      </c>
      <c r="E76" t="s">
        <v>4025</v>
      </c>
      <c r="G76" t="b">
        <v>1</v>
      </c>
      <c r="H76" t="s">
        <v>253</v>
      </c>
      <c r="I76">
        <v>4</v>
      </c>
      <c r="J76" t="s">
        <v>257</v>
      </c>
      <c r="K76" t="s">
        <v>258</v>
      </c>
      <c r="M76">
        <v>170003.62</v>
      </c>
    </row>
    <row r="77" spans="1:13" hidden="1" x14ac:dyDescent="0.25">
      <c r="A77" s="1" t="s">
        <v>3995</v>
      </c>
      <c r="B77">
        <v>229</v>
      </c>
      <c r="C77" s="1" t="s">
        <v>251</v>
      </c>
      <c r="D77">
        <v>643</v>
      </c>
      <c r="E77" t="s">
        <v>4034</v>
      </c>
      <c r="G77" t="b">
        <v>1</v>
      </c>
      <c r="H77" t="s">
        <v>253</v>
      </c>
      <c r="I77">
        <v>5</v>
      </c>
      <c r="J77" t="s">
        <v>257</v>
      </c>
      <c r="K77" t="s">
        <v>6454</v>
      </c>
      <c r="M77">
        <v>141960</v>
      </c>
    </row>
    <row r="78" spans="1:13" hidden="1" x14ac:dyDescent="0.25">
      <c r="A78" s="1" t="s">
        <v>3995</v>
      </c>
      <c r="B78">
        <v>229</v>
      </c>
      <c r="C78" s="1" t="s">
        <v>251</v>
      </c>
      <c r="D78">
        <v>566</v>
      </c>
      <c r="E78" t="s">
        <v>69</v>
      </c>
      <c r="G78" t="b">
        <v>1</v>
      </c>
      <c r="H78" t="s">
        <v>253</v>
      </c>
      <c r="I78">
        <v>3</v>
      </c>
      <c r="J78" t="s">
        <v>254</v>
      </c>
      <c r="K78" t="s">
        <v>255</v>
      </c>
      <c r="M78">
        <v>189978.85</v>
      </c>
    </row>
    <row r="79" spans="1:13" hidden="1" x14ac:dyDescent="0.25">
      <c r="A79" s="1" t="s">
        <v>3154</v>
      </c>
      <c r="B79">
        <v>152</v>
      </c>
      <c r="C79" s="1" t="s">
        <v>251</v>
      </c>
      <c r="D79">
        <v>378</v>
      </c>
      <c r="E79" t="s">
        <v>3156</v>
      </c>
      <c r="G79" t="b">
        <v>1</v>
      </c>
      <c r="H79" t="s">
        <v>264</v>
      </c>
      <c r="I79">
        <v>1</v>
      </c>
      <c r="J79" t="s">
        <v>254</v>
      </c>
      <c r="K79" t="s">
        <v>260</v>
      </c>
      <c r="M79">
        <v>215474</v>
      </c>
    </row>
    <row r="80" spans="1:13" hidden="1" x14ac:dyDescent="0.25">
      <c r="A80" s="1" t="s">
        <v>3154</v>
      </c>
      <c r="B80">
        <v>152</v>
      </c>
      <c r="C80" s="1" t="s">
        <v>251</v>
      </c>
      <c r="D80">
        <v>757</v>
      </c>
      <c r="E80" t="s">
        <v>1025</v>
      </c>
      <c r="G80" t="b">
        <v>1</v>
      </c>
      <c r="H80" t="s">
        <v>253</v>
      </c>
      <c r="I80">
        <v>6</v>
      </c>
      <c r="J80" t="s">
        <v>257</v>
      </c>
      <c r="K80" t="s">
        <v>258</v>
      </c>
      <c r="M80">
        <v>167631.01</v>
      </c>
    </row>
    <row r="81" spans="1:13" hidden="1" x14ac:dyDescent="0.25">
      <c r="A81" s="1" t="s">
        <v>3154</v>
      </c>
      <c r="B81">
        <v>152</v>
      </c>
      <c r="C81" s="1" t="s">
        <v>251</v>
      </c>
      <c r="D81">
        <v>750</v>
      </c>
      <c r="E81" t="s">
        <v>375</v>
      </c>
      <c r="G81" t="b">
        <v>1</v>
      </c>
      <c r="H81" t="s">
        <v>253</v>
      </c>
      <c r="I81">
        <v>4</v>
      </c>
      <c r="J81" t="s">
        <v>257</v>
      </c>
      <c r="K81" t="s">
        <v>258</v>
      </c>
      <c r="M81">
        <v>149034.59</v>
      </c>
    </row>
    <row r="82" spans="1:13" hidden="1" x14ac:dyDescent="0.25">
      <c r="A82" s="1" t="s">
        <v>3154</v>
      </c>
      <c r="B82">
        <v>152</v>
      </c>
      <c r="C82" s="1" t="s">
        <v>251</v>
      </c>
      <c r="D82">
        <v>748</v>
      </c>
      <c r="E82" t="s">
        <v>899</v>
      </c>
      <c r="G82" t="b">
        <v>1</v>
      </c>
      <c r="H82" t="s">
        <v>253</v>
      </c>
      <c r="I82">
        <v>2</v>
      </c>
      <c r="J82" t="s">
        <v>257</v>
      </c>
      <c r="K82" t="s">
        <v>6116</v>
      </c>
      <c r="M82">
        <v>128751.5</v>
      </c>
    </row>
    <row r="83" spans="1:13" hidden="1" x14ac:dyDescent="0.25">
      <c r="A83" s="1" t="s">
        <v>3154</v>
      </c>
      <c r="B83">
        <v>152</v>
      </c>
      <c r="C83" s="1" t="s">
        <v>251</v>
      </c>
      <c r="D83">
        <v>753</v>
      </c>
      <c r="E83" s="31" t="s">
        <v>377</v>
      </c>
      <c r="G83" t="b">
        <v>1</v>
      </c>
      <c r="H83" t="s">
        <v>253</v>
      </c>
      <c r="I83">
        <v>5</v>
      </c>
      <c r="J83" t="s">
        <v>254</v>
      </c>
      <c r="K83" t="s">
        <v>255</v>
      </c>
      <c r="M83">
        <v>143752</v>
      </c>
    </row>
    <row r="84" spans="1:13" hidden="1" x14ac:dyDescent="0.25">
      <c r="A84" s="1" t="s">
        <v>3154</v>
      </c>
      <c r="B84">
        <v>152</v>
      </c>
      <c r="C84" s="1" t="s">
        <v>251</v>
      </c>
      <c r="D84">
        <v>749</v>
      </c>
      <c r="E84" t="s">
        <v>3173</v>
      </c>
      <c r="G84" t="b">
        <v>1</v>
      </c>
      <c r="H84" t="s">
        <v>253</v>
      </c>
      <c r="I84">
        <v>3</v>
      </c>
      <c r="J84" t="s">
        <v>254</v>
      </c>
      <c r="K84" t="s">
        <v>273</v>
      </c>
      <c r="M84">
        <v>143679.20000000001</v>
      </c>
    </row>
    <row r="85" spans="1:13" hidden="1" x14ac:dyDescent="0.25">
      <c r="A85" s="1" t="s">
        <v>2860</v>
      </c>
      <c r="B85">
        <v>132</v>
      </c>
      <c r="C85" s="1" t="s">
        <v>251</v>
      </c>
      <c r="D85">
        <v>362</v>
      </c>
      <c r="E85" t="s">
        <v>2880</v>
      </c>
      <c r="G85" t="b">
        <v>1</v>
      </c>
      <c r="H85" t="s">
        <v>253</v>
      </c>
      <c r="I85">
        <v>3</v>
      </c>
      <c r="J85" t="s">
        <v>254</v>
      </c>
      <c r="K85" t="s">
        <v>260</v>
      </c>
      <c r="M85">
        <v>199607.2</v>
      </c>
    </row>
    <row r="86" spans="1:13" hidden="1" x14ac:dyDescent="0.25">
      <c r="A86" s="1" t="s">
        <v>2860</v>
      </c>
      <c r="B86">
        <v>132</v>
      </c>
      <c r="C86" s="1" t="s">
        <v>251</v>
      </c>
      <c r="D86">
        <v>383</v>
      </c>
      <c r="E86" t="s">
        <v>2892</v>
      </c>
      <c r="G86" t="b">
        <v>1</v>
      </c>
      <c r="H86" t="s">
        <v>253</v>
      </c>
      <c r="I86">
        <v>4</v>
      </c>
      <c r="J86" t="s">
        <v>257</v>
      </c>
      <c r="K86" t="s">
        <v>267</v>
      </c>
      <c r="M86">
        <v>160318.20000000001</v>
      </c>
    </row>
    <row r="87" spans="1:13" hidden="1" x14ac:dyDescent="0.25">
      <c r="A87" s="1" t="s">
        <v>2860</v>
      </c>
      <c r="B87">
        <v>132</v>
      </c>
      <c r="C87" s="1" t="s">
        <v>251</v>
      </c>
      <c r="D87">
        <v>361</v>
      </c>
      <c r="E87" t="s">
        <v>2865</v>
      </c>
      <c r="G87" t="b">
        <v>1</v>
      </c>
      <c r="H87" t="s">
        <v>253</v>
      </c>
      <c r="I87">
        <v>2</v>
      </c>
      <c r="J87" t="s">
        <v>257</v>
      </c>
      <c r="K87" t="s">
        <v>258</v>
      </c>
      <c r="M87">
        <v>289266.65999999997</v>
      </c>
    </row>
    <row r="88" spans="1:13" hidden="1" x14ac:dyDescent="0.25">
      <c r="A88" s="1" t="s">
        <v>2860</v>
      </c>
      <c r="B88">
        <v>132</v>
      </c>
      <c r="C88" s="1" t="s">
        <v>251</v>
      </c>
      <c r="D88">
        <v>360</v>
      </c>
      <c r="E88" t="s">
        <v>286</v>
      </c>
      <c r="G88" t="b">
        <v>1</v>
      </c>
      <c r="H88" t="s">
        <v>264</v>
      </c>
      <c r="I88">
        <v>1</v>
      </c>
      <c r="J88" t="s">
        <v>254</v>
      </c>
      <c r="K88" t="s">
        <v>273</v>
      </c>
      <c r="M88">
        <v>411539.45</v>
      </c>
    </row>
    <row r="89" spans="1:13" hidden="1" x14ac:dyDescent="0.25">
      <c r="A89" s="1" t="s">
        <v>3813</v>
      </c>
      <c r="B89">
        <v>208</v>
      </c>
      <c r="C89" s="1" t="s">
        <v>251</v>
      </c>
      <c r="D89">
        <v>525</v>
      </c>
      <c r="E89" t="s">
        <v>2909</v>
      </c>
      <c r="G89" t="b">
        <v>1</v>
      </c>
      <c r="H89" t="s">
        <v>253</v>
      </c>
      <c r="I89">
        <v>6</v>
      </c>
      <c r="J89" t="s">
        <v>257</v>
      </c>
      <c r="K89" t="s">
        <v>6116</v>
      </c>
      <c r="M89">
        <v>143997</v>
      </c>
    </row>
    <row r="90" spans="1:13" hidden="1" x14ac:dyDescent="0.25">
      <c r="A90" s="1" t="s">
        <v>3813</v>
      </c>
      <c r="B90">
        <v>208</v>
      </c>
      <c r="C90" s="1" t="s">
        <v>251</v>
      </c>
      <c r="D90">
        <v>523</v>
      </c>
      <c r="E90" t="s">
        <v>305</v>
      </c>
      <c r="G90" t="b">
        <v>1</v>
      </c>
      <c r="H90" t="s">
        <v>253</v>
      </c>
      <c r="I90">
        <v>4</v>
      </c>
      <c r="J90" t="s">
        <v>257</v>
      </c>
      <c r="K90" t="s">
        <v>6117</v>
      </c>
      <c r="M90">
        <v>143910</v>
      </c>
    </row>
    <row r="91" spans="1:13" hidden="1" x14ac:dyDescent="0.25">
      <c r="A91" s="1" t="s">
        <v>3813</v>
      </c>
      <c r="B91">
        <v>208</v>
      </c>
      <c r="C91" s="1" t="s">
        <v>251</v>
      </c>
      <c r="D91">
        <v>524</v>
      </c>
      <c r="E91" t="s">
        <v>306</v>
      </c>
      <c r="G91" t="b">
        <v>1</v>
      </c>
      <c r="H91" t="s">
        <v>253</v>
      </c>
      <c r="I91">
        <v>5</v>
      </c>
      <c r="J91" t="s">
        <v>254</v>
      </c>
      <c r="K91" t="s">
        <v>266</v>
      </c>
      <c r="M91">
        <v>142865.20000000001</v>
      </c>
    </row>
    <row r="92" spans="1:13" hidden="1" x14ac:dyDescent="0.25">
      <c r="A92" s="1" t="s">
        <v>3813</v>
      </c>
      <c r="B92">
        <v>208</v>
      </c>
      <c r="C92" s="1" t="s">
        <v>251</v>
      </c>
      <c r="D92">
        <v>521</v>
      </c>
      <c r="E92" t="s">
        <v>300</v>
      </c>
      <c r="G92" t="b">
        <v>1</v>
      </c>
      <c r="H92" t="s">
        <v>253</v>
      </c>
      <c r="I92">
        <v>2</v>
      </c>
      <c r="J92" t="s">
        <v>257</v>
      </c>
      <c r="K92" t="s">
        <v>6116</v>
      </c>
      <c r="M92">
        <v>148000</v>
      </c>
    </row>
    <row r="93" spans="1:13" hidden="1" x14ac:dyDescent="0.25">
      <c r="A93" s="1" t="s">
        <v>3813</v>
      </c>
      <c r="B93">
        <v>208</v>
      </c>
      <c r="C93" s="1" t="s">
        <v>251</v>
      </c>
      <c r="D93">
        <v>522</v>
      </c>
      <c r="E93" t="s">
        <v>3820</v>
      </c>
      <c r="G93" t="b">
        <v>1</v>
      </c>
      <c r="H93" t="s">
        <v>253</v>
      </c>
      <c r="I93">
        <v>3</v>
      </c>
      <c r="J93" t="s">
        <v>254</v>
      </c>
      <c r="K93" t="s">
        <v>273</v>
      </c>
      <c r="M93">
        <v>139894</v>
      </c>
    </row>
    <row r="94" spans="1:13" hidden="1" x14ac:dyDescent="0.25">
      <c r="A94" s="1" t="s">
        <v>3813</v>
      </c>
      <c r="B94">
        <v>208</v>
      </c>
      <c r="C94" s="1" t="s">
        <v>251</v>
      </c>
      <c r="D94">
        <v>486</v>
      </c>
      <c r="E94" s="31" t="s">
        <v>292</v>
      </c>
      <c r="G94" t="b">
        <v>1</v>
      </c>
      <c r="H94" t="s">
        <v>264</v>
      </c>
      <c r="I94">
        <v>1</v>
      </c>
      <c r="J94" t="s">
        <v>254</v>
      </c>
      <c r="K94" t="s">
        <v>260</v>
      </c>
      <c r="M94">
        <v>156200</v>
      </c>
    </row>
    <row r="95" spans="1:13" hidden="1" x14ac:dyDescent="0.25">
      <c r="A95" s="1" t="s">
        <v>3757</v>
      </c>
      <c r="B95">
        <v>204</v>
      </c>
      <c r="C95" s="1" t="s">
        <v>251</v>
      </c>
      <c r="D95">
        <v>832</v>
      </c>
      <c r="E95" t="s">
        <v>3791</v>
      </c>
      <c r="G95" t="b">
        <v>1</v>
      </c>
      <c r="H95" t="s">
        <v>253</v>
      </c>
      <c r="I95">
        <v>4</v>
      </c>
      <c r="J95" t="s">
        <v>257</v>
      </c>
      <c r="K95" t="s">
        <v>258</v>
      </c>
      <c r="M95">
        <v>100015.5</v>
      </c>
    </row>
    <row r="96" spans="1:13" hidden="1" x14ac:dyDescent="0.25">
      <c r="A96" s="1" t="s">
        <v>3757</v>
      </c>
      <c r="B96">
        <v>204</v>
      </c>
      <c r="C96" s="1" t="s">
        <v>251</v>
      </c>
      <c r="D96">
        <v>835</v>
      </c>
      <c r="E96" t="s">
        <v>3800</v>
      </c>
      <c r="G96" t="b">
        <v>1</v>
      </c>
      <c r="H96" t="s">
        <v>253</v>
      </c>
      <c r="I96">
        <v>6</v>
      </c>
      <c r="J96" t="s">
        <v>257</v>
      </c>
      <c r="K96" t="s">
        <v>258</v>
      </c>
      <c r="M96">
        <v>153412.89000000001</v>
      </c>
    </row>
    <row r="97" spans="1:13" hidden="1" x14ac:dyDescent="0.25">
      <c r="A97" s="1" t="s">
        <v>3757</v>
      </c>
      <c r="B97">
        <v>204</v>
      </c>
      <c r="C97" s="1" t="s">
        <v>251</v>
      </c>
      <c r="D97">
        <v>829</v>
      </c>
      <c r="E97" t="s">
        <v>3776</v>
      </c>
      <c r="G97" t="b">
        <v>1</v>
      </c>
      <c r="H97" t="s">
        <v>253</v>
      </c>
      <c r="I97">
        <v>3</v>
      </c>
      <c r="J97" t="s">
        <v>257</v>
      </c>
      <c r="K97" t="s">
        <v>258</v>
      </c>
      <c r="M97">
        <v>145232.91</v>
      </c>
    </row>
    <row r="98" spans="1:13" hidden="1" x14ac:dyDescent="0.25">
      <c r="A98" s="1" t="s">
        <v>3757</v>
      </c>
      <c r="B98">
        <v>204</v>
      </c>
      <c r="C98" s="1" t="s">
        <v>251</v>
      </c>
      <c r="D98">
        <v>549</v>
      </c>
      <c r="E98" t="s">
        <v>3022</v>
      </c>
      <c r="G98" t="b">
        <v>1</v>
      </c>
      <c r="H98" t="s">
        <v>264</v>
      </c>
      <c r="I98">
        <v>1</v>
      </c>
      <c r="J98" t="s">
        <v>254</v>
      </c>
      <c r="K98" t="s">
        <v>255</v>
      </c>
      <c r="M98">
        <v>363967.8</v>
      </c>
    </row>
    <row r="99" spans="1:13" hidden="1" x14ac:dyDescent="0.25">
      <c r="A99" s="1" t="s">
        <v>3757</v>
      </c>
      <c r="B99">
        <v>204</v>
      </c>
      <c r="C99" s="1" t="s">
        <v>251</v>
      </c>
      <c r="D99">
        <v>833</v>
      </c>
      <c r="E99" t="s">
        <v>69</v>
      </c>
      <c r="G99" t="b">
        <v>1</v>
      </c>
      <c r="H99" t="s">
        <v>253</v>
      </c>
      <c r="I99">
        <v>5</v>
      </c>
      <c r="J99" t="s">
        <v>254</v>
      </c>
      <c r="K99" t="s">
        <v>255</v>
      </c>
      <c r="M99">
        <v>148568</v>
      </c>
    </row>
    <row r="100" spans="1:13" hidden="1" x14ac:dyDescent="0.25">
      <c r="A100" s="1" t="s">
        <v>3757</v>
      </c>
      <c r="B100">
        <v>204</v>
      </c>
      <c r="C100" s="1" t="s">
        <v>251</v>
      </c>
      <c r="D100">
        <v>563</v>
      </c>
      <c r="E100" t="s">
        <v>31</v>
      </c>
      <c r="G100" t="b">
        <v>1</v>
      </c>
      <c r="H100" t="s">
        <v>253</v>
      </c>
      <c r="I100">
        <v>2</v>
      </c>
      <c r="J100" t="s">
        <v>254</v>
      </c>
      <c r="K100" t="s">
        <v>273</v>
      </c>
      <c r="M100">
        <v>160125</v>
      </c>
    </row>
    <row r="101" spans="1:13" hidden="1" x14ac:dyDescent="0.25">
      <c r="A101" s="1" t="s">
        <v>365</v>
      </c>
      <c r="B101">
        <v>84</v>
      </c>
      <c r="C101" s="1" t="s">
        <v>251</v>
      </c>
      <c r="D101">
        <v>266</v>
      </c>
      <c r="E101" t="s">
        <v>293</v>
      </c>
      <c r="G101" t="b">
        <v>1</v>
      </c>
      <c r="H101" t="s">
        <v>253</v>
      </c>
      <c r="I101">
        <v>6</v>
      </c>
      <c r="J101" t="s">
        <v>254</v>
      </c>
      <c r="K101" t="s">
        <v>273</v>
      </c>
      <c r="M101">
        <v>34965</v>
      </c>
    </row>
    <row r="102" spans="1:13" hidden="1" x14ac:dyDescent="0.25">
      <c r="A102" s="1" t="s">
        <v>365</v>
      </c>
      <c r="B102">
        <v>84</v>
      </c>
      <c r="C102" s="1" t="s">
        <v>251</v>
      </c>
      <c r="D102">
        <v>263</v>
      </c>
      <c r="E102" t="s">
        <v>366</v>
      </c>
      <c r="G102" t="b">
        <v>1</v>
      </c>
      <c r="H102" t="s">
        <v>253</v>
      </c>
      <c r="I102">
        <v>3</v>
      </c>
      <c r="J102" t="s">
        <v>257</v>
      </c>
      <c r="K102" t="s">
        <v>258</v>
      </c>
      <c r="M102">
        <v>80278.8</v>
      </c>
    </row>
    <row r="103" spans="1:13" hidden="1" x14ac:dyDescent="0.25">
      <c r="A103" s="1" t="s">
        <v>365</v>
      </c>
      <c r="B103">
        <v>84</v>
      </c>
      <c r="C103" s="1" t="s">
        <v>251</v>
      </c>
      <c r="D103">
        <v>241</v>
      </c>
      <c r="E103" t="s">
        <v>367</v>
      </c>
      <c r="G103" t="b">
        <v>1</v>
      </c>
      <c r="H103" t="s">
        <v>264</v>
      </c>
      <c r="I103">
        <v>1</v>
      </c>
      <c r="J103" t="s">
        <v>254</v>
      </c>
      <c r="K103" t="s">
        <v>255</v>
      </c>
      <c r="M103">
        <v>181978.87</v>
      </c>
    </row>
    <row r="104" spans="1:13" hidden="1" x14ac:dyDescent="0.25">
      <c r="A104" s="1" t="s">
        <v>365</v>
      </c>
      <c r="B104">
        <v>84</v>
      </c>
      <c r="C104" s="1" t="s">
        <v>251</v>
      </c>
      <c r="D104">
        <v>265</v>
      </c>
      <c r="E104" t="s">
        <v>368</v>
      </c>
      <c r="G104" t="b">
        <v>1</v>
      </c>
      <c r="H104" t="s">
        <v>253</v>
      </c>
      <c r="I104">
        <v>5</v>
      </c>
      <c r="J104" t="s">
        <v>254</v>
      </c>
      <c r="K104" t="s">
        <v>255</v>
      </c>
      <c r="M104">
        <v>84004.7</v>
      </c>
    </row>
    <row r="105" spans="1:13" hidden="1" x14ac:dyDescent="0.25">
      <c r="A105" s="1" t="s">
        <v>365</v>
      </c>
      <c r="B105">
        <v>84</v>
      </c>
      <c r="C105" s="1" t="s">
        <v>251</v>
      </c>
      <c r="D105">
        <v>264</v>
      </c>
      <c r="E105" t="s">
        <v>369</v>
      </c>
      <c r="G105" t="b">
        <v>1</v>
      </c>
      <c r="H105" t="s">
        <v>253</v>
      </c>
      <c r="I105">
        <v>4</v>
      </c>
      <c r="J105" t="s">
        <v>254</v>
      </c>
      <c r="K105" t="s">
        <v>260</v>
      </c>
      <c r="M105">
        <v>78786.73</v>
      </c>
    </row>
    <row r="106" spans="1:13" hidden="1" x14ac:dyDescent="0.25">
      <c r="A106" s="1" t="s">
        <v>365</v>
      </c>
      <c r="B106">
        <v>84</v>
      </c>
      <c r="C106" s="1" t="s">
        <v>251</v>
      </c>
      <c r="D106">
        <v>249</v>
      </c>
      <c r="E106" t="s">
        <v>370</v>
      </c>
      <c r="G106" t="b">
        <v>1</v>
      </c>
      <c r="H106" t="s">
        <v>253</v>
      </c>
      <c r="I106">
        <v>2</v>
      </c>
      <c r="J106" t="s">
        <v>257</v>
      </c>
      <c r="K106" t="s">
        <v>258</v>
      </c>
      <c r="M106">
        <v>139974.39999999999</v>
      </c>
    </row>
    <row r="107" spans="1:13" x14ac:dyDescent="0.25">
      <c r="A107" s="1" t="s">
        <v>3305</v>
      </c>
      <c r="B107">
        <v>159</v>
      </c>
      <c r="C107" s="1" t="s">
        <v>251</v>
      </c>
      <c r="D107">
        <v>551</v>
      </c>
      <c r="E107" t="s">
        <v>3320</v>
      </c>
      <c r="G107" t="b">
        <v>1</v>
      </c>
      <c r="H107" t="s">
        <v>253</v>
      </c>
      <c r="I107">
        <v>2</v>
      </c>
      <c r="J107" t="s">
        <v>257</v>
      </c>
      <c r="K107" t="s">
        <v>6116</v>
      </c>
      <c r="M107">
        <v>279720</v>
      </c>
    </row>
    <row r="108" spans="1:13" x14ac:dyDescent="0.25">
      <c r="A108" s="1" t="s">
        <v>3305</v>
      </c>
      <c r="B108">
        <v>159</v>
      </c>
      <c r="C108" s="1" t="s">
        <v>251</v>
      </c>
      <c r="D108">
        <v>602</v>
      </c>
      <c r="E108" t="s">
        <v>3332</v>
      </c>
      <c r="G108" t="b">
        <v>1</v>
      </c>
      <c r="H108" t="s">
        <v>253</v>
      </c>
      <c r="I108">
        <v>3</v>
      </c>
      <c r="J108" t="s">
        <v>254</v>
      </c>
      <c r="K108" t="s">
        <v>260</v>
      </c>
      <c r="M108">
        <v>250000.38</v>
      </c>
    </row>
    <row r="109" spans="1:13" x14ac:dyDescent="0.25">
      <c r="A109" s="1" t="s">
        <v>3305</v>
      </c>
      <c r="B109">
        <v>159</v>
      </c>
      <c r="C109" s="1" t="s">
        <v>251</v>
      </c>
      <c r="D109">
        <v>604</v>
      </c>
      <c r="E109" t="s">
        <v>3350</v>
      </c>
      <c r="G109" t="b">
        <v>1</v>
      </c>
      <c r="H109" t="s">
        <v>253</v>
      </c>
      <c r="I109">
        <v>5</v>
      </c>
      <c r="J109" t="s">
        <v>257</v>
      </c>
      <c r="K109" t="s">
        <v>6116</v>
      </c>
      <c r="M109">
        <v>160940</v>
      </c>
    </row>
    <row r="110" spans="1:13" x14ac:dyDescent="0.25">
      <c r="A110" s="1" t="s">
        <v>3305</v>
      </c>
      <c r="B110">
        <v>159</v>
      </c>
      <c r="C110" s="1" t="s">
        <v>251</v>
      </c>
      <c r="D110">
        <v>385</v>
      </c>
      <c r="E110" t="s">
        <v>3307</v>
      </c>
      <c r="G110" t="b">
        <v>1</v>
      </c>
      <c r="H110" t="s">
        <v>264</v>
      </c>
      <c r="I110">
        <v>1</v>
      </c>
      <c r="J110" t="s">
        <v>254</v>
      </c>
      <c r="K110" t="s">
        <v>266</v>
      </c>
      <c r="M110">
        <v>392161</v>
      </c>
    </row>
    <row r="111" spans="1:13" x14ac:dyDescent="0.25">
      <c r="A111" s="1" t="s">
        <v>3305</v>
      </c>
      <c r="B111">
        <v>159</v>
      </c>
      <c r="C111" s="1" t="s">
        <v>251</v>
      </c>
      <c r="D111">
        <v>603</v>
      </c>
      <c r="E111" t="s">
        <v>2791</v>
      </c>
      <c r="G111" t="b">
        <v>1</v>
      </c>
      <c r="H111" t="s">
        <v>253</v>
      </c>
      <c r="I111">
        <v>4</v>
      </c>
      <c r="J111" t="s">
        <v>257</v>
      </c>
      <c r="K111" t="s">
        <v>258</v>
      </c>
      <c r="M111">
        <v>249726</v>
      </c>
    </row>
    <row r="112" spans="1:13" hidden="1" x14ac:dyDescent="0.25">
      <c r="A112" s="1" t="s">
        <v>4068</v>
      </c>
      <c r="B112">
        <v>260</v>
      </c>
      <c r="C112" s="1" t="s">
        <v>251</v>
      </c>
      <c r="D112">
        <v>843</v>
      </c>
      <c r="E112" t="s">
        <v>4109</v>
      </c>
      <c r="G112" t="b">
        <v>1</v>
      </c>
      <c r="H112" t="s">
        <v>253</v>
      </c>
      <c r="I112">
        <v>5</v>
      </c>
      <c r="J112" t="s">
        <v>254</v>
      </c>
      <c r="K112" t="s">
        <v>266</v>
      </c>
      <c r="M112">
        <v>153512</v>
      </c>
    </row>
    <row r="113" spans="1:13" hidden="1" x14ac:dyDescent="0.25">
      <c r="A113" s="1" t="s">
        <v>4068</v>
      </c>
      <c r="B113">
        <v>260</v>
      </c>
      <c r="C113" s="1" t="s">
        <v>251</v>
      </c>
      <c r="D113">
        <v>844</v>
      </c>
      <c r="E113" t="s">
        <v>362</v>
      </c>
      <c r="G113" t="b">
        <v>1</v>
      </c>
      <c r="H113" t="s">
        <v>253</v>
      </c>
      <c r="I113">
        <v>6</v>
      </c>
      <c r="J113" t="s">
        <v>254</v>
      </c>
      <c r="K113" t="s">
        <v>260</v>
      </c>
      <c r="M113">
        <v>166511</v>
      </c>
    </row>
    <row r="114" spans="1:13" hidden="1" x14ac:dyDescent="0.25">
      <c r="A114" s="1" t="s">
        <v>4068</v>
      </c>
      <c r="B114">
        <v>260</v>
      </c>
      <c r="C114" s="1" t="s">
        <v>251</v>
      </c>
      <c r="D114">
        <v>841</v>
      </c>
      <c r="E114" t="s">
        <v>4084</v>
      </c>
      <c r="G114" t="b">
        <v>1</v>
      </c>
      <c r="H114" t="s">
        <v>253</v>
      </c>
      <c r="I114">
        <v>3</v>
      </c>
      <c r="J114" t="s">
        <v>257</v>
      </c>
      <c r="K114" t="s">
        <v>258</v>
      </c>
      <c r="M114">
        <v>174832</v>
      </c>
    </row>
    <row r="115" spans="1:13" hidden="1" x14ac:dyDescent="0.25">
      <c r="A115" s="1" t="s">
        <v>4068</v>
      </c>
      <c r="B115">
        <v>260</v>
      </c>
      <c r="C115" s="1" t="s">
        <v>251</v>
      </c>
      <c r="D115">
        <v>839</v>
      </c>
      <c r="E115" t="s">
        <v>300</v>
      </c>
      <c r="G115" t="b">
        <v>1</v>
      </c>
      <c r="H115" t="s">
        <v>264</v>
      </c>
      <c r="I115">
        <v>1</v>
      </c>
      <c r="J115" t="s">
        <v>257</v>
      </c>
      <c r="K115" t="s">
        <v>6116</v>
      </c>
      <c r="M115">
        <v>224300</v>
      </c>
    </row>
    <row r="116" spans="1:13" hidden="1" x14ac:dyDescent="0.25">
      <c r="A116" s="1" t="s">
        <v>4068</v>
      </c>
      <c r="B116">
        <v>260</v>
      </c>
      <c r="C116" s="1" t="s">
        <v>251</v>
      </c>
      <c r="D116">
        <v>840</v>
      </c>
      <c r="E116" t="s">
        <v>281</v>
      </c>
      <c r="G116" t="b">
        <v>1</v>
      </c>
      <c r="H116" t="s">
        <v>253</v>
      </c>
      <c r="I116">
        <v>2</v>
      </c>
      <c r="J116" t="s">
        <v>257</v>
      </c>
      <c r="K116" t="s">
        <v>282</v>
      </c>
      <c r="M116">
        <v>179510</v>
      </c>
    </row>
    <row r="117" spans="1:13" hidden="1" x14ac:dyDescent="0.25">
      <c r="A117" s="1" t="s">
        <v>4068</v>
      </c>
      <c r="B117">
        <v>260</v>
      </c>
      <c r="C117" s="1" t="s">
        <v>251</v>
      </c>
      <c r="D117">
        <v>842</v>
      </c>
      <c r="E117" t="s">
        <v>334</v>
      </c>
      <c r="G117" t="b">
        <v>1</v>
      </c>
      <c r="H117" t="s">
        <v>253</v>
      </c>
      <c r="I117">
        <v>4</v>
      </c>
      <c r="J117" t="s">
        <v>254</v>
      </c>
      <c r="K117" t="s">
        <v>255</v>
      </c>
      <c r="M117">
        <v>131228</v>
      </c>
    </row>
    <row r="118" spans="1:13" hidden="1" x14ac:dyDescent="0.25">
      <c r="A118" s="1" t="s">
        <v>250</v>
      </c>
      <c r="B118">
        <v>7</v>
      </c>
      <c r="C118" s="1" t="s">
        <v>251</v>
      </c>
      <c r="D118">
        <v>29</v>
      </c>
      <c r="E118" t="s">
        <v>252</v>
      </c>
      <c r="G118" t="b">
        <v>1</v>
      </c>
      <c r="H118" t="s">
        <v>253</v>
      </c>
      <c r="I118">
        <v>2</v>
      </c>
      <c r="J118" t="s">
        <v>254</v>
      </c>
      <c r="K118" t="s">
        <v>255</v>
      </c>
      <c r="M118">
        <v>80151.399999999994</v>
      </c>
    </row>
    <row r="119" spans="1:13" hidden="1" x14ac:dyDescent="0.25">
      <c r="A119" s="1" t="s">
        <v>250</v>
      </c>
      <c r="B119">
        <v>7</v>
      </c>
      <c r="C119" s="1" t="s">
        <v>251</v>
      </c>
      <c r="D119">
        <v>31</v>
      </c>
      <c r="E119" t="s">
        <v>256</v>
      </c>
      <c r="G119" t="b">
        <v>1</v>
      </c>
      <c r="H119" t="s">
        <v>253</v>
      </c>
      <c r="I119">
        <v>4</v>
      </c>
      <c r="J119" t="s">
        <v>257</v>
      </c>
      <c r="K119" t="s">
        <v>258</v>
      </c>
      <c r="M119">
        <v>149067.20000000001</v>
      </c>
    </row>
    <row r="120" spans="1:13" hidden="1" x14ac:dyDescent="0.25">
      <c r="A120" s="1" t="s">
        <v>250</v>
      </c>
      <c r="B120">
        <v>7</v>
      </c>
      <c r="C120" s="1" t="s">
        <v>251</v>
      </c>
      <c r="D120">
        <v>33</v>
      </c>
      <c r="E120" t="s">
        <v>259</v>
      </c>
      <c r="G120" t="b">
        <v>1</v>
      </c>
      <c r="H120" t="s">
        <v>253</v>
      </c>
      <c r="I120">
        <v>6</v>
      </c>
      <c r="J120" t="s">
        <v>254</v>
      </c>
      <c r="K120" t="s">
        <v>260</v>
      </c>
      <c r="M120">
        <v>42881.5</v>
      </c>
    </row>
    <row r="121" spans="1:13" hidden="1" x14ac:dyDescent="0.25">
      <c r="A121" s="1" t="s">
        <v>250</v>
      </c>
      <c r="B121">
        <v>7</v>
      </c>
      <c r="C121" s="1" t="s">
        <v>251</v>
      </c>
      <c r="D121">
        <v>32</v>
      </c>
      <c r="E121" t="s">
        <v>261</v>
      </c>
      <c r="G121" t="b">
        <v>1</v>
      </c>
      <c r="H121" t="s">
        <v>253</v>
      </c>
      <c r="I121">
        <v>5</v>
      </c>
      <c r="J121" t="s">
        <v>257</v>
      </c>
      <c r="K121" t="s">
        <v>258</v>
      </c>
      <c r="M121">
        <v>108007</v>
      </c>
    </row>
    <row r="122" spans="1:13" hidden="1" x14ac:dyDescent="0.25">
      <c r="A122" s="1" t="s">
        <v>250</v>
      </c>
      <c r="B122">
        <v>7</v>
      </c>
      <c r="C122" s="1" t="s">
        <v>251</v>
      </c>
      <c r="D122">
        <v>30</v>
      </c>
      <c r="E122" t="s">
        <v>262</v>
      </c>
      <c r="G122" t="b">
        <v>1</v>
      </c>
      <c r="H122" t="s">
        <v>253</v>
      </c>
      <c r="I122">
        <v>3</v>
      </c>
      <c r="J122" t="s">
        <v>254</v>
      </c>
      <c r="K122" t="s">
        <v>260</v>
      </c>
      <c r="M122">
        <v>88337.54</v>
      </c>
    </row>
    <row r="123" spans="1:13" hidden="1" x14ac:dyDescent="0.25">
      <c r="A123" s="1" t="s">
        <v>250</v>
      </c>
      <c r="B123">
        <v>7</v>
      </c>
      <c r="C123" s="1" t="s">
        <v>251</v>
      </c>
      <c r="D123">
        <v>28</v>
      </c>
      <c r="E123" t="s">
        <v>263</v>
      </c>
      <c r="G123" t="b">
        <v>1</v>
      </c>
      <c r="H123" t="s">
        <v>264</v>
      </c>
      <c r="I123">
        <v>1</v>
      </c>
      <c r="J123" t="s">
        <v>254</v>
      </c>
      <c r="K123" t="s">
        <v>265</v>
      </c>
      <c r="M123">
        <v>193926.88</v>
      </c>
    </row>
    <row r="124" spans="1:13" hidden="1" x14ac:dyDescent="0.25">
      <c r="A124" s="1" t="s">
        <v>3701</v>
      </c>
      <c r="B124">
        <v>194</v>
      </c>
      <c r="C124" s="1" t="s">
        <v>251</v>
      </c>
      <c r="D124">
        <v>725</v>
      </c>
      <c r="E124" t="s">
        <v>3730</v>
      </c>
      <c r="G124" t="b">
        <v>1</v>
      </c>
      <c r="H124" t="s">
        <v>253</v>
      </c>
      <c r="I124">
        <v>4</v>
      </c>
      <c r="J124" t="s">
        <v>254</v>
      </c>
      <c r="K124" t="s">
        <v>255</v>
      </c>
      <c r="M124">
        <v>85005.53</v>
      </c>
    </row>
    <row r="125" spans="1:13" hidden="1" x14ac:dyDescent="0.25">
      <c r="A125" s="1" t="s">
        <v>3701</v>
      </c>
      <c r="B125">
        <v>194</v>
      </c>
      <c r="C125" s="1" t="s">
        <v>251</v>
      </c>
      <c r="D125">
        <v>721</v>
      </c>
      <c r="E125" t="s">
        <v>3719</v>
      </c>
      <c r="G125" t="b">
        <v>1</v>
      </c>
      <c r="H125" t="s">
        <v>253</v>
      </c>
      <c r="I125">
        <v>3</v>
      </c>
      <c r="J125" t="s">
        <v>257</v>
      </c>
      <c r="K125" t="s">
        <v>6117</v>
      </c>
      <c r="M125">
        <v>84840</v>
      </c>
    </row>
    <row r="126" spans="1:13" hidden="1" x14ac:dyDescent="0.25">
      <c r="A126" s="30" t="s">
        <v>3701</v>
      </c>
      <c r="B126">
        <v>194</v>
      </c>
      <c r="C126" s="1" t="s">
        <v>251</v>
      </c>
      <c r="D126">
        <v>720</v>
      </c>
      <c r="E126" t="s">
        <v>25</v>
      </c>
      <c r="G126" t="b">
        <v>1</v>
      </c>
      <c r="H126" t="s">
        <v>253</v>
      </c>
      <c r="I126">
        <v>2</v>
      </c>
      <c r="J126" t="s">
        <v>254</v>
      </c>
      <c r="K126" t="s">
        <v>255</v>
      </c>
      <c r="M126">
        <v>85000.63</v>
      </c>
    </row>
    <row r="127" spans="1:13" hidden="1" x14ac:dyDescent="0.25">
      <c r="A127" s="30" t="s">
        <v>3701</v>
      </c>
      <c r="B127">
        <v>194</v>
      </c>
      <c r="C127" s="1" t="s">
        <v>251</v>
      </c>
      <c r="D127">
        <v>719</v>
      </c>
      <c r="E127" t="s">
        <v>3703</v>
      </c>
      <c r="G127" t="b">
        <v>1</v>
      </c>
      <c r="H127" t="s">
        <v>264</v>
      </c>
      <c r="I127">
        <v>1</v>
      </c>
      <c r="J127" t="s">
        <v>254</v>
      </c>
      <c r="K127" t="s">
        <v>255</v>
      </c>
      <c r="M127">
        <v>170000</v>
      </c>
    </row>
    <row r="128" spans="1:13" hidden="1" x14ac:dyDescent="0.25">
      <c r="A128" s="30" t="s">
        <v>3701</v>
      </c>
      <c r="B128">
        <v>194</v>
      </c>
      <c r="C128" s="1" t="s">
        <v>251</v>
      </c>
      <c r="D128">
        <v>728</v>
      </c>
      <c r="E128" t="s">
        <v>3741</v>
      </c>
      <c r="G128" t="b">
        <v>1</v>
      </c>
      <c r="H128" t="s">
        <v>253</v>
      </c>
      <c r="I128">
        <v>5</v>
      </c>
      <c r="J128" t="s">
        <v>257</v>
      </c>
      <c r="K128" t="s">
        <v>258</v>
      </c>
      <c r="M128">
        <v>85000</v>
      </c>
    </row>
    <row r="129" spans="1:13" hidden="1" x14ac:dyDescent="0.25">
      <c r="A129" s="30" t="s">
        <v>3701</v>
      </c>
      <c r="B129">
        <v>194</v>
      </c>
      <c r="C129" s="1" t="s">
        <v>251</v>
      </c>
      <c r="D129">
        <v>730</v>
      </c>
      <c r="E129" t="s">
        <v>46</v>
      </c>
      <c r="G129" t="b">
        <v>1</v>
      </c>
      <c r="H129" t="s">
        <v>253</v>
      </c>
      <c r="I129">
        <v>6</v>
      </c>
      <c r="J129" t="s">
        <v>257</v>
      </c>
      <c r="K129" t="s">
        <v>6117</v>
      </c>
      <c r="M129">
        <v>85041.600000000006</v>
      </c>
    </row>
    <row r="130" spans="1:13" hidden="1" x14ac:dyDescent="0.25">
      <c r="A130" s="30" t="s">
        <v>3540</v>
      </c>
      <c r="B130">
        <v>183</v>
      </c>
      <c r="C130" s="1" t="s">
        <v>251</v>
      </c>
      <c r="D130">
        <v>458</v>
      </c>
      <c r="E130" t="s">
        <v>3514</v>
      </c>
      <c r="G130" t="b">
        <v>1</v>
      </c>
      <c r="H130" t="s">
        <v>253</v>
      </c>
      <c r="I130">
        <v>2</v>
      </c>
      <c r="J130" t="s">
        <v>254</v>
      </c>
      <c r="K130" t="s">
        <v>273</v>
      </c>
      <c r="M130">
        <v>156084.70000000001</v>
      </c>
    </row>
    <row r="131" spans="1:13" hidden="1" x14ac:dyDescent="0.25">
      <c r="A131" s="30" t="s">
        <v>3540</v>
      </c>
      <c r="B131">
        <v>183</v>
      </c>
      <c r="C131" s="1" t="s">
        <v>251</v>
      </c>
      <c r="D131">
        <v>461</v>
      </c>
      <c r="E131" t="s">
        <v>3577</v>
      </c>
      <c r="G131" t="b">
        <v>1</v>
      </c>
      <c r="H131" t="s">
        <v>253</v>
      </c>
      <c r="I131">
        <v>5</v>
      </c>
      <c r="J131" t="s">
        <v>254</v>
      </c>
      <c r="K131" t="s">
        <v>302</v>
      </c>
      <c r="M131">
        <v>171001.60000000001</v>
      </c>
    </row>
    <row r="132" spans="1:13" hidden="1" x14ac:dyDescent="0.25">
      <c r="A132" s="1" t="s">
        <v>3540</v>
      </c>
      <c r="B132">
        <v>183</v>
      </c>
      <c r="C132" s="1" t="s">
        <v>251</v>
      </c>
      <c r="D132">
        <v>457</v>
      </c>
      <c r="E132" t="s">
        <v>36</v>
      </c>
      <c r="G132" t="b">
        <v>1</v>
      </c>
      <c r="H132" t="s">
        <v>264</v>
      </c>
      <c r="I132">
        <v>1</v>
      </c>
      <c r="J132" t="s">
        <v>257</v>
      </c>
      <c r="K132" t="s">
        <v>6116</v>
      </c>
      <c r="M132">
        <v>196320</v>
      </c>
    </row>
    <row r="133" spans="1:13" hidden="1" x14ac:dyDescent="0.25">
      <c r="A133" s="1" t="s">
        <v>3540</v>
      </c>
      <c r="B133">
        <v>183</v>
      </c>
      <c r="C133" s="1" t="s">
        <v>251</v>
      </c>
      <c r="D133">
        <v>459</v>
      </c>
      <c r="E133" t="s">
        <v>752</v>
      </c>
      <c r="G133" t="b">
        <v>1</v>
      </c>
      <c r="H133" t="s">
        <v>253</v>
      </c>
      <c r="I133">
        <v>3</v>
      </c>
      <c r="J133" t="s">
        <v>257</v>
      </c>
      <c r="K133" t="s">
        <v>258</v>
      </c>
      <c r="M133">
        <v>195759.2</v>
      </c>
    </row>
    <row r="134" spans="1:13" hidden="1" x14ac:dyDescent="0.25">
      <c r="A134" s="1" t="s">
        <v>3540</v>
      </c>
      <c r="B134">
        <v>183</v>
      </c>
      <c r="C134" s="1" t="s">
        <v>251</v>
      </c>
      <c r="D134">
        <v>460</v>
      </c>
      <c r="E134" t="s">
        <v>3566</v>
      </c>
      <c r="G134" t="b">
        <v>1</v>
      </c>
      <c r="H134" t="s">
        <v>253</v>
      </c>
      <c r="I134">
        <v>4</v>
      </c>
      <c r="J134" t="s">
        <v>254</v>
      </c>
      <c r="K134" t="s">
        <v>273</v>
      </c>
      <c r="M134">
        <v>197872.08</v>
      </c>
    </row>
    <row r="135" spans="1:13" hidden="1" x14ac:dyDescent="0.25">
      <c r="A135" s="1" t="s">
        <v>2704</v>
      </c>
      <c r="B135">
        <v>113</v>
      </c>
      <c r="C135" s="1" t="s">
        <v>251</v>
      </c>
      <c r="D135">
        <v>491</v>
      </c>
      <c r="E135" t="s">
        <v>2755</v>
      </c>
      <c r="G135" t="b">
        <v>1</v>
      </c>
      <c r="H135" t="s">
        <v>253</v>
      </c>
      <c r="I135">
        <v>6</v>
      </c>
      <c r="J135" t="s">
        <v>254</v>
      </c>
      <c r="K135" t="s">
        <v>260</v>
      </c>
      <c r="M135">
        <v>179503.81</v>
      </c>
    </row>
    <row r="136" spans="1:13" hidden="1" x14ac:dyDescent="0.25">
      <c r="A136" s="1" t="s">
        <v>2704</v>
      </c>
      <c r="B136">
        <v>113</v>
      </c>
      <c r="C136" s="1" t="s">
        <v>251</v>
      </c>
      <c r="D136">
        <v>490</v>
      </c>
      <c r="E136" s="31" t="s">
        <v>2740</v>
      </c>
      <c r="G136" t="b">
        <v>1</v>
      </c>
      <c r="H136" t="s">
        <v>253</v>
      </c>
      <c r="I136">
        <v>5</v>
      </c>
      <c r="J136" t="s">
        <v>257</v>
      </c>
      <c r="K136" t="s">
        <v>6117</v>
      </c>
      <c r="M136">
        <v>144480</v>
      </c>
    </row>
    <row r="137" spans="1:13" hidden="1" x14ac:dyDescent="0.25">
      <c r="A137" s="1" t="s">
        <v>2704</v>
      </c>
      <c r="B137">
        <v>113</v>
      </c>
      <c r="C137" s="1" t="s">
        <v>251</v>
      </c>
      <c r="D137">
        <v>475</v>
      </c>
      <c r="E137" t="s">
        <v>2706</v>
      </c>
      <c r="G137" t="b">
        <v>1</v>
      </c>
      <c r="H137" t="s">
        <v>264</v>
      </c>
      <c r="I137">
        <v>1</v>
      </c>
      <c r="J137" t="s">
        <v>257</v>
      </c>
      <c r="K137" t="s">
        <v>6117</v>
      </c>
      <c r="M137">
        <v>397980.78</v>
      </c>
    </row>
    <row r="138" spans="1:13" hidden="1" x14ac:dyDescent="0.25">
      <c r="A138" s="1" t="s">
        <v>2704</v>
      </c>
      <c r="B138">
        <v>113</v>
      </c>
      <c r="C138" s="1" t="s">
        <v>251</v>
      </c>
      <c r="D138">
        <v>479</v>
      </c>
      <c r="E138" t="s">
        <v>334</v>
      </c>
      <c r="G138" t="b">
        <v>1</v>
      </c>
      <c r="H138" t="s">
        <v>253</v>
      </c>
      <c r="I138">
        <v>2</v>
      </c>
      <c r="J138" t="s">
        <v>254</v>
      </c>
      <c r="K138" t="s">
        <v>255</v>
      </c>
      <c r="M138">
        <v>328162</v>
      </c>
    </row>
    <row r="139" spans="1:13" hidden="1" x14ac:dyDescent="0.25">
      <c r="A139" s="1" t="s">
        <v>2704</v>
      </c>
      <c r="B139">
        <v>113</v>
      </c>
      <c r="C139" s="1" t="s">
        <v>251</v>
      </c>
      <c r="D139">
        <v>480</v>
      </c>
      <c r="E139" t="s">
        <v>2716</v>
      </c>
      <c r="G139" t="b">
        <v>1</v>
      </c>
      <c r="H139" t="s">
        <v>253</v>
      </c>
      <c r="I139">
        <v>3</v>
      </c>
      <c r="J139" t="s">
        <v>257</v>
      </c>
      <c r="K139" t="s">
        <v>6116</v>
      </c>
      <c r="M139">
        <v>160986</v>
      </c>
    </row>
    <row r="140" spans="1:13" hidden="1" x14ac:dyDescent="0.25">
      <c r="A140" s="1" t="s">
        <v>2704</v>
      </c>
      <c r="B140">
        <v>113</v>
      </c>
      <c r="C140" s="1" t="s">
        <v>251</v>
      </c>
      <c r="D140">
        <v>489</v>
      </c>
      <c r="E140" t="s">
        <v>2727</v>
      </c>
      <c r="G140" t="b">
        <v>1</v>
      </c>
      <c r="H140" t="s">
        <v>253</v>
      </c>
      <c r="I140">
        <v>4</v>
      </c>
      <c r="J140" t="s">
        <v>254</v>
      </c>
      <c r="K140" t="s">
        <v>273</v>
      </c>
      <c r="M140">
        <v>162178</v>
      </c>
    </row>
    <row r="141" spans="1:13" hidden="1" x14ac:dyDescent="0.25">
      <c r="A141" s="1" t="s">
        <v>3873</v>
      </c>
      <c r="B141">
        <v>212</v>
      </c>
      <c r="C141" s="1" t="s">
        <v>251</v>
      </c>
      <c r="D141">
        <v>713</v>
      </c>
      <c r="E141" t="s">
        <v>3875</v>
      </c>
      <c r="G141" t="b">
        <v>1</v>
      </c>
      <c r="H141" t="s">
        <v>264</v>
      </c>
      <c r="I141">
        <v>1</v>
      </c>
      <c r="J141" t="s">
        <v>257</v>
      </c>
      <c r="K141" t="s">
        <v>258</v>
      </c>
      <c r="M141">
        <v>386606.08000000002</v>
      </c>
    </row>
    <row r="142" spans="1:13" hidden="1" x14ac:dyDescent="0.25">
      <c r="A142" s="1" t="s">
        <v>3873</v>
      </c>
      <c r="B142">
        <v>212</v>
      </c>
      <c r="C142" s="1" t="s">
        <v>251</v>
      </c>
      <c r="D142">
        <v>715</v>
      </c>
      <c r="E142" t="s">
        <v>3900</v>
      </c>
      <c r="G142" t="b">
        <v>1</v>
      </c>
      <c r="H142" t="s">
        <v>253</v>
      </c>
      <c r="I142">
        <v>3</v>
      </c>
      <c r="J142" t="s">
        <v>254</v>
      </c>
      <c r="K142" t="s">
        <v>255</v>
      </c>
      <c r="M142">
        <v>139894</v>
      </c>
    </row>
    <row r="143" spans="1:13" hidden="1" x14ac:dyDescent="0.25">
      <c r="A143" s="1" t="s">
        <v>3873</v>
      </c>
      <c r="B143">
        <v>212</v>
      </c>
      <c r="C143" s="1" t="s">
        <v>251</v>
      </c>
      <c r="D143">
        <v>716</v>
      </c>
      <c r="E143" t="s">
        <v>3911</v>
      </c>
      <c r="G143" t="b">
        <v>1</v>
      </c>
      <c r="H143" t="s">
        <v>253</v>
      </c>
      <c r="I143">
        <v>4</v>
      </c>
      <c r="J143" t="s">
        <v>254</v>
      </c>
      <c r="K143" t="s">
        <v>266</v>
      </c>
      <c r="M143">
        <v>110928.2</v>
      </c>
    </row>
    <row r="144" spans="1:13" hidden="1" x14ac:dyDescent="0.25">
      <c r="A144" s="1" t="s">
        <v>3873</v>
      </c>
      <c r="B144">
        <v>212</v>
      </c>
      <c r="C144" s="1" t="s">
        <v>251</v>
      </c>
      <c r="D144">
        <v>714</v>
      </c>
      <c r="E144" t="s">
        <v>3889</v>
      </c>
      <c r="G144" t="b">
        <v>1</v>
      </c>
      <c r="H144" t="s">
        <v>253</v>
      </c>
      <c r="I144">
        <v>2</v>
      </c>
      <c r="J144" t="s">
        <v>257</v>
      </c>
      <c r="K144" t="s">
        <v>6116</v>
      </c>
      <c r="M144">
        <v>79979.199999999997</v>
      </c>
    </row>
    <row r="145" spans="1:13" hidden="1" x14ac:dyDescent="0.25">
      <c r="A145" s="1" t="s">
        <v>3873</v>
      </c>
      <c r="B145">
        <v>212</v>
      </c>
      <c r="C145" s="1" t="s">
        <v>251</v>
      </c>
      <c r="D145">
        <v>718</v>
      </c>
      <c r="E145" t="s">
        <v>21</v>
      </c>
      <c r="G145" t="b">
        <v>1</v>
      </c>
      <c r="H145" t="s">
        <v>253</v>
      </c>
      <c r="I145">
        <v>6</v>
      </c>
      <c r="J145" t="s">
        <v>254</v>
      </c>
      <c r="K145" t="s">
        <v>255</v>
      </c>
      <c r="M145">
        <v>261218</v>
      </c>
    </row>
    <row r="146" spans="1:13" hidden="1" x14ac:dyDescent="0.25">
      <c r="A146" s="1" t="s">
        <v>3873</v>
      </c>
      <c r="B146">
        <v>212</v>
      </c>
      <c r="C146" s="1" t="s">
        <v>251</v>
      </c>
      <c r="D146">
        <v>717</v>
      </c>
      <c r="E146" t="s">
        <v>3923</v>
      </c>
      <c r="G146" t="b">
        <v>1</v>
      </c>
      <c r="H146" t="s">
        <v>253</v>
      </c>
      <c r="I146">
        <v>5</v>
      </c>
      <c r="J146" t="s">
        <v>257</v>
      </c>
      <c r="K146" t="s">
        <v>258</v>
      </c>
      <c r="M146">
        <v>114079.23</v>
      </c>
    </row>
    <row r="147" spans="1:13" hidden="1" x14ac:dyDescent="0.25">
      <c r="A147" s="1" t="s">
        <v>3594</v>
      </c>
      <c r="B147">
        <v>185</v>
      </c>
      <c r="C147" s="1" t="s">
        <v>251</v>
      </c>
      <c r="D147">
        <v>871</v>
      </c>
      <c r="E147" t="s">
        <v>3642</v>
      </c>
      <c r="G147" t="b">
        <v>1</v>
      </c>
      <c r="H147" t="s">
        <v>253</v>
      </c>
      <c r="I147">
        <v>6</v>
      </c>
      <c r="J147" t="s">
        <v>254</v>
      </c>
      <c r="K147" t="s">
        <v>255</v>
      </c>
      <c r="M147">
        <v>101800</v>
      </c>
    </row>
    <row r="148" spans="1:13" hidden="1" x14ac:dyDescent="0.25">
      <c r="A148" s="1" t="s">
        <v>3594</v>
      </c>
      <c r="B148">
        <v>185</v>
      </c>
      <c r="C148" s="1" t="s">
        <v>251</v>
      </c>
      <c r="D148">
        <v>756</v>
      </c>
      <c r="E148" t="s">
        <v>3631</v>
      </c>
      <c r="G148" t="b">
        <v>1</v>
      </c>
      <c r="H148" t="s">
        <v>253</v>
      </c>
      <c r="I148">
        <v>5</v>
      </c>
      <c r="J148" t="s">
        <v>257</v>
      </c>
      <c r="K148" t="s">
        <v>6116</v>
      </c>
      <c r="M148">
        <v>107850</v>
      </c>
    </row>
    <row r="149" spans="1:13" hidden="1" x14ac:dyDescent="0.25">
      <c r="A149" s="1" t="s">
        <v>3594</v>
      </c>
      <c r="B149">
        <v>185</v>
      </c>
      <c r="C149" s="1" t="s">
        <v>251</v>
      </c>
      <c r="D149">
        <v>754</v>
      </c>
      <c r="E149" t="s">
        <v>3604</v>
      </c>
      <c r="G149" t="b">
        <v>1</v>
      </c>
      <c r="H149" t="s">
        <v>253</v>
      </c>
      <c r="I149">
        <v>3</v>
      </c>
      <c r="J149" t="s">
        <v>257</v>
      </c>
      <c r="K149" t="s">
        <v>6116</v>
      </c>
      <c r="M149">
        <v>140000</v>
      </c>
    </row>
    <row r="150" spans="1:13" hidden="1" x14ac:dyDescent="0.25">
      <c r="A150" s="1" t="s">
        <v>3594</v>
      </c>
      <c r="B150">
        <v>185</v>
      </c>
      <c r="C150" s="1" t="s">
        <v>251</v>
      </c>
      <c r="D150">
        <v>751</v>
      </c>
      <c r="E150" t="s">
        <v>275</v>
      </c>
      <c r="G150" t="b">
        <v>1</v>
      </c>
      <c r="H150" t="s">
        <v>264</v>
      </c>
      <c r="I150">
        <v>1</v>
      </c>
      <c r="J150" t="s">
        <v>257</v>
      </c>
      <c r="K150" t="s">
        <v>6116</v>
      </c>
      <c r="M150">
        <v>204975.4</v>
      </c>
    </row>
    <row r="151" spans="1:13" hidden="1" x14ac:dyDescent="0.25">
      <c r="A151" s="1" t="s">
        <v>3594</v>
      </c>
      <c r="B151">
        <v>185</v>
      </c>
      <c r="C151" s="1" t="s">
        <v>251</v>
      </c>
      <c r="D151">
        <v>755</v>
      </c>
      <c r="E151" t="s">
        <v>3615</v>
      </c>
      <c r="G151" t="b">
        <v>1</v>
      </c>
      <c r="H151" t="s">
        <v>253</v>
      </c>
      <c r="I151">
        <v>4</v>
      </c>
      <c r="J151" t="s">
        <v>254</v>
      </c>
      <c r="K151" t="s">
        <v>266</v>
      </c>
      <c r="M151">
        <v>119000</v>
      </c>
    </row>
    <row r="152" spans="1:13" hidden="1" x14ac:dyDescent="0.25">
      <c r="A152" s="1" t="s">
        <v>3594</v>
      </c>
      <c r="B152">
        <v>185</v>
      </c>
      <c r="C152" s="1" t="s">
        <v>251</v>
      </c>
      <c r="D152">
        <v>752</v>
      </c>
      <c r="E152" t="s">
        <v>3370</v>
      </c>
      <c r="G152" t="b">
        <v>1</v>
      </c>
      <c r="H152" t="s">
        <v>253</v>
      </c>
      <c r="I152">
        <v>2</v>
      </c>
      <c r="J152" t="s">
        <v>254</v>
      </c>
      <c r="K152" t="s">
        <v>255</v>
      </c>
      <c r="M152">
        <v>154316.70000000001</v>
      </c>
    </row>
    <row r="153" spans="1:13" hidden="1" x14ac:dyDescent="0.25">
      <c r="A153" s="1" t="s">
        <v>283</v>
      </c>
      <c r="B153">
        <v>36</v>
      </c>
      <c r="C153" s="1" t="s">
        <v>251</v>
      </c>
      <c r="D153">
        <v>92</v>
      </c>
      <c r="E153" t="s">
        <v>56</v>
      </c>
      <c r="G153" t="b">
        <v>1</v>
      </c>
      <c r="H153" t="s">
        <v>264</v>
      </c>
      <c r="I153">
        <v>1</v>
      </c>
      <c r="J153" t="s">
        <v>257</v>
      </c>
      <c r="K153" t="s">
        <v>258</v>
      </c>
      <c r="M153">
        <v>191315.47</v>
      </c>
    </row>
    <row r="154" spans="1:13" hidden="1" x14ac:dyDescent="0.25">
      <c r="A154" s="1" t="s">
        <v>283</v>
      </c>
      <c r="B154">
        <v>36</v>
      </c>
      <c r="C154" s="1" t="s">
        <v>251</v>
      </c>
      <c r="D154">
        <v>167</v>
      </c>
      <c r="E154" t="s">
        <v>284</v>
      </c>
      <c r="G154" t="b">
        <v>1</v>
      </c>
      <c r="H154" t="s">
        <v>253</v>
      </c>
      <c r="I154">
        <v>2</v>
      </c>
      <c r="J154" t="s">
        <v>254</v>
      </c>
      <c r="K154" t="s">
        <v>273</v>
      </c>
      <c r="M154">
        <v>139027.4</v>
      </c>
    </row>
    <row r="155" spans="1:13" hidden="1" x14ac:dyDescent="0.25">
      <c r="A155" s="1" t="s">
        <v>283</v>
      </c>
      <c r="B155">
        <v>36</v>
      </c>
      <c r="C155" s="1" t="s">
        <v>251</v>
      </c>
      <c r="D155">
        <v>197</v>
      </c>
      <c r="E155" t="s">
        <v>285</v>
      </c>
      <c r="G155" t="b">
        <v>1</v>
      </c>
      <c r="H155" t="s">
        <v>253</v>
      </c>
      <c r="I155">
        <v>3</v>
      </c>
      <c r="J155" t="s">
        <v>257</v>
      </c>
      <c r="K155" t="s">
        <v>6117</v>
      </c>
      <c r="M155">
        <v>130000</v>
      </c>
    </row>
    <row r="156" spans="1:13" hidden="1" x14ac:dyDescent="0.25">
      <c r="A156" s="1" t="s">
        <v>283</v>
      </c>
      <c r="B156">
        <v>36</v>
      </c>
      <c r="C156" s="1" t="s">
        <v>251</v>
      </c>
      <c r="D156">
        <v>198</v>
      </c>
      <c r="E156" t="s">
        <v>286</v>
      </c>
      <c r="G156" t="b">
        <v>1</v>
      </c>
      <c r="H156" t="s">
        <v>253</v>
      </c>
      <c r="I156">
        <v>4</v>
      </c>
      <c r="J156" t="s">
        <v>254</v>
      </c>
      <c r="K156" t="s">
        <v>273</v>
      </c>
      <c r="M156">
        <v>140739.76</v>
      </c>
    </row>
    <row r="157" spans="1:13" hidden="1" x14ac:dyDescent="0.25">
      <c r="A157" s="1" t="s">
        <v>283</v>
      </c>
      <c r="B157">
        <v>36</v>
      </c>
      <c r="C157" s="1" t="s">
        <v>251</v>
      </c>
      <c r="D157">
        <v>199</v>
      </c>
      <c r="E157" t="s">
        <v>287</v>
      </c>
      <c r="G157" t="b">
        <v>1</v>
      </c>
      <c r="H157" t="s">
        <v>253</v>
      </c>
      <c r="I157">
        <v>5</v>
      </c>
      <c r="J157" t="s">
        <v>257</v>
      </c>
      <c r="K157" t="s">
        <v>6117</v>
      </c>
      <c r="M157">
        <v>140182</v>
      </c>
    </row>
    <row r="158" spans="1:13" hidden="1" x14ac:dyDescent="0.25">
      <c r="A158" s="1" t="s">
        <v>304</v>
      </c>
      <c r="B158">
        <v>53</v>
      </c>
      <c r="C158" s="1" t="s">
        <v>251</v>
      </c>
      <c r="D158">
        <v>174</v>
      </c>
      <c r="E158" t="s">
        <v>0</v>
      </c>
      <c r="G158" t="b">
        <v>1</v>
      </c>
      <c r="H158" t="s">
        <v>253</v>
      </c>
      <c r="I158">
        <v>6</v>
      </c>
      <c r="J158" t="s">
        <v>254</v>
      </c>
      <c r="K158" t="s">
        <v>260</v>
      </c>
      <c r="M158">
        <v>99976.8</v>
      </c>
    </row>
    <row r="159" spans="1:13" hidden="1" x14ac:dyDescent="0.25">
      <c r="A159" s="1" t="s">
        <v>304</v>
      </c>
      <c r="B159">
        <v>53</v>
      </c>
      <c r="C159" s="1" t="s">
        <v>251</v>
      </c>
      <c r="D159">
        <v>101</v>
      </c>
      <c r="E159" t="s">
        <v>305</v>
      </c>
      <c r="G159" t="b">
        <v>1</v>
      </c>
      <c r="H159" t="s">
        <v>264</v>
      </c>
      <c r="I159">
        <v>1</v>
      </c>
      <c r="J159" t="s">
        <v>257</v>
      </c>
      <c r="K159" t="s">
        <v>6117</v>
      </c>
      <c r="M159">
        <v>186034</v>
      </c>
    </row>
    <row r="160" spans="1:13" hidden="1" x14ac:dyDescent="0.25">
      <c r="A160" s="1" t="s">
        <v>304</v>
      </c>
      <c r="B160">
        <v>53</v>
      </c>
      <c r="C160" s="1" t="s">
        <v>251</v>
      </c>
      <c r="D160">
        <v>105</v>
      </c>
      <c r="E160" t="s">
        <v>306</v>
      </c>
      <c r="G160" t="b">
        <v>1</v>
      </c>
      <c r="H160" t="s">
        <v>253</v>
      </c>
      <c r="I160">
        <v>3</v>
      </c>
      <c r="J160" t="s">
        <v>254</v>
      </c>
      <c r="K160" t="s">
        <v>266</v>
      </c>
      <c r="M160">
        <v>98280.88</v>
      </c>
    </row>
    <row r="161" spans="1:13" hidden="1" x14ac:dyDescent="0.25">
      <c r="A161" s="1" t="s">
        <v>304</v>
      </c>
      <c r="B161">
        <v>53</v>
      </c>
      <c r="C161" s="1" t="s">
        <v>251</v>
      </c>
      <c r="D161">
        <v>171</v>
      </c>
      <c r="E161" t="s">
        <v>307</v>
      </c>
      <c r="G161" t="b">
        <v>1</v>
      </c>
      <c r="H161" t="s">
        <v>253</v>
      </c>
      <c r="I161">
        <v>5</v>
      </c>
      <c r="J161" t="s">
        <v>254</v>
      </c>
      <c r="K161" t="s">
        <v>255</v>
      </c>
      <c r="M161">
        <v>99753.78</v>
      </c>
    </row>
    <row r="162" spans="1:13" hidden="1" x14ac:dyDescent="0.25">
      <c r="A162" s="1" t="s">
        <v>304</v>
      </c>
      <c r="B162">
        <v>53</v>
      </c>
      <c r="C162" s="1" t="s">
        <v>251</v>
      </c>
      <c r="D162">
        <v>114</v>
      </c>
      <c r="E162" t="s">
        <v>308</v>
      </c>
      <c r="G162" t="b">
        <v>1</v>
      </c>
      <c r="H162" t="s">
        <v>253</v>
      </c>
      <c r="I162">
        <v>4</v>
      </c>
      <c r="J162" t="s">
        <v>254</v>
      </c>
      <c r="K162" t="s">
        <v>302</v>
      </c>
      <c r="M162">
        <v>99999.64</v>
      </c>
    </row>
    <row r="163" spans="1:13" hidden="1" x14ac:dyDescent="0.25">
      <c r="A163" s="1" t="s">
        <v>304</v>
      </c>
      <c r="B163">
        <v>53</v>
      </c>
      <c r="C163" s="1" t="s">
        <v>251</v>
      </c>
      <c r="D163">
        <v>103</v>
      </c>
      <c r="E163" t="s">
        <v>309</v>
      </c>
      <c r="G163" t="b">
        <v>1</v>
      </c>
      <c r="H163" t="s">
        <v>253</v>
      </c>
      <c r="I163">
        <v>2</v>
      </c>
      <c r="J163" t="s">
        <v>257</v>
      </c>
      <c r="K163" t="s">
        <v>6117</v>
      </c>
      <c r="M163">
        <v>135909.14000000001</v>
      </c>
    </row>
    <row r="164" spans="1:13" hidden="1" x14ac:dyDescent="0.25">
      <c r="A164" s="1" t="s">
        <v>346</v>
      </c>
      <c r="B164">
        <v>74</v>
      </c>
      <c r="C164" s="1" t="s">
        <v>251</v>
      </c>
      <c r="D164">
        <v>293</v>
      </c>
      <c r="E164" t="s">
        <v>347</v>
      </c>
      <c r="G164" t="b">
        <v>1</v>
      </c>
      <c r="H164" t="s">
        <v>253</v>
      </c>
      <c r="I164">
        <v>2</v>
      </c>
      <c r="J164" t="s">
        <v>254</v>
      </c>
      <c r="K164" t="s">
        <v>255</v>
      </c>
      <c r="M164">
        <v>142370</v>
      </c>
    </row>
    <row r="165" spans="1:13" hidden="1" x14ac:dyDescent="0.25">
      <c r="A165" s="1" t="s">
        <v>346</v>
      </c>
      <c r="B165">
        <v>74</v>
      </c>
      <c r="C165" s="1" t="s">
        <v>251</v>
      </c>
      <c r="D165">
        <v>295</v>
      </c>
      <c r="E165" t="s">
        <v>348</v>
      </c>
      <c r="G165" t="b">
        <v>1</v>
      </c>
      <c r="H165" t="s">
        <v>253</v>
      </c>
      <c r="I165">
        <v>4</v>
      </c>
      <c r="J165" t="s">
        <v>257</v>
      </c>
      <c r="K165" t="s">
        <v>6117</v>
      </c>
      <c r="M165">
        <v>207510</v>
      </c>
    </row>
    <row r="166" spans="1:13" hidden="1" x14ac:dyDescent="0.25">
      <c r="A166" s="1" t="s">
        <v>346</v>
      </c>
      <c r="B166">
        <v>74</v>
      </c>
      <c r="C166" s="1" t="s">
        <v>251</v>
      </c>
      <c r="D166">
        <v>257</v>
      </c>
      <c r="E166" t="s">
        <v>285</v>
      </c>
      <c r="G166" t="b">
        <v>1</v>
      </c>
      <c r="H166" t="s">
        <v>264</v>
      </c>
      <c r="I166">
        <v>1</v>
      </c>
      <c r="J166" t="s">
        <v>257</v>
      </c>
      <c r="K166" t="s">
        <v>6117</v>
      </c>
      <c r="M166">
        <v>267503</v>
      </c>
    </row>
    <row r="167" spans="1:13" hidden="1" x14ac:dyDescent="0.25">
      <c r="A167" s="1" t="s">
        <v>346</v>
      </c>
      <c r="B167">
        <v>74</v>
      </c>
      <c r="C167" s="1" t="s">
        <v>251</v>
      </c>
      <c r="D167">
        <v>294</v>
      </c>
      <c r="E167" t="s">
        <v>349</v>
      </c>
      <c r="G167" t="b">
        <v>1</v>
      </c>
      <c r="H167" t="s">
        <v>253</v>
      </c>
      <c r="I167">
        <v>3</v>
      </c>
      <c r="J167" t="s">
        <v>254</v>
      </c>
      <c r="K167" t="s">
        <v>260</v>
      </c>
      <c r="M167">
        <v>132616.66</v>
      </c>
    </row>
    <row r="168" spans="1:13" hidden="1" x14ac:dyDescent="0.25">
      <c r="A168" s="1" t="s">
        <v>3116</v>
      </c>
      <c r="B168">
        <v>151</v>
      </c>
      <c r="C168" s="1" t="s">
        <v>251</v>
      </c>
      <c r="D168">
        <v>517</v>
      </c>
      <c r="E168" t="s">
        <v>371</v>
      </c>
      <c r="G168" t="b">
        <v>1</v>
      </c>
      <c r="H168" t="s">
        <v>253</v>
      </c>
      <c r="I168">
        <v>3</v>
      </c>
      <c r="J168" t="s">
        <v>254</v>
      </c>
      <c r="K168" t="s">
        <v>255</v>
      </c>
      <c r="M168">
        <v>65990</v>
      </c>
    </row>
    <row r="169" spans="1:13" hidden="1" x14ac:dyDescent="0.25">
      <c r="A169" s="1" t="s">
        <v>3116</v>
      </c>
      <c r="B169">
        <v>151</v>
      </c>
      <c r="C169" s="1" t="s">
        <v>251</v>
      </c>
      <c r="D169">
        <v>520</v>
      </c>
      <c r="E169" t="s">
        <v>279</v>
      </c>
      <c r="G169" t="b">
        <v>1</v>
      </c>
      <c r="H169" t="s">
        <v>253</v>
      </c>
      <c r="I169">
        <v>6</v>
      </c>
      <c r="J169" t="s">
        <v>254</v>
      </c>
      <c r="K169" t="s">
        <v>260</v>
      </c>
      <c r="M169">
        <v>193970</v>
      </c>
    </row>
    <row r="170" spans="1:13" hidden="1" x14ac:dyDescent="0.25">
      <c r="A170" s="1" t="s">
        <v>3116</v>
      </c>
      <c r="B170">
        <v>151</v>
      </c>
      <c r="C170" s="1" t="s">
        <v>251</v>
      </c>
      <c r="D170">
        <v>514</v>
      </c>
      <c r="E170" t="s">
        <v>3118</v>
      </c>
      <c r="G170" t="b">
        <v>1</v>
      </c>
      <c r="H170" t="s">
        <v>264</v>
      </c>
      <c r="I170">
        <v>1</v>
      </c>
      <c r="J170" t="s">
        <v>257</v>
      </c>
      <c r="K170" t="s">
        <v>6116</v>
      </c>
      <c r="M170">
        <v>199400</v>
      </c>
    </row>
    <row r="171" spans="1:13" hidden="1" x14ac:dyDescent="0.25">
      <c r="A171" s="1" t="s">
        <v>3116</v>
      </c>
      <c r="B171">
        <v>151</v>
      </c>
      <c r="C171" s="1" t="s">
        <v>251</v>
      </c>
      <c r="D171">
        <v>516</v>
      </c>
      <c r="E171" t="s">
        <v>300</v>
      </c>
      <c r="G171" t="b">
        <v>1</v>
      </c>
      <c r="H171" t="s">
        <v>253</v>
      </c>
      <c r="I171">
        <v>2</v>
      </c>
      <c r="J171" t="s">
        <v>257</v>
      </c>
      <c r="K171" t="s">
        <v>6116</v>
      </c>
      <c r="M171">
        <v>220540</v>
      </c>
    </row>
    <row r="172" spans="1:13" hidden="1" x14ac:dyDescent="0.25">
      <c r="A172" s="1" t="s">
        <v>3116</v>
      </c>
      <c r="B172">
        <v>151</v>
      </c>
      <c r="C172" s="1" t="s">
        <v>251</v>
      </c>
      <c r="D172">
        <v>519</v>
      </c>
      <c r="E172" t="s">
        <v>752</v>
      </c>
      <c r="G172" t="b">
        <v>1</v>
      </c>
      <c r="H172" t="s">
        <v>253</v>
      </c>
      <c r="I172">
        <v>5</v>
      </c>
      <c r="J172" t="s">
        <v>257</v>
      </c>
      <c r="K172" t="s">
        <v>258</v>
      </c>
      <c r="M172">
        <v>161140</v>
      </c>
    </row>
    <row r="173" spans="1:13" hidden="1" x14ac:dyDescent="0.25">
      <c r="A173" s="1" t="s">
        <v>3116</v>
      </c>
      <c r="B173">
        <v>151</v>
      </c>
      <c r="C173" s="1" t="s">
        <v>251</v>
      </c>
      <c r="D173">
        <v>518</v>
      </c>
      <c r="E173" t="s">
        <v>3135</v>
      </c>
      <c r="G173" t="b">
        <v>1</v>
      </c>
      <c r="H173" t="s">
        <v>253</v>
      </c>
      <c r="I173">
        <v>4</v>
      </c>
      <c r="J173" t="s">
        <v>254</v>
      </c>
      <c r="K173" t="s">
        <v>260</v>
      </c>
      <c r="M173">
        <v>142370</v>
      </c>
    </row>
    <row r="174" spans="1:13" hidden="1" x14ac:dyDescent="0.25">
      <c r="A174" s="1" t="s">
        <v>296</v>
      </c>
      <c r="B174">
        <v>45</v>
      </c>
      <c r="C174" s="1" t="s">
        <v>251</v>
      </c>
      <c r="D174">
        <v>193</v>
      </c>
      <c r="E174" t="s">
        <v>297</v>
      </c>
      <c r="G174" t="b">
        <v>1</v>
      </c>
      <c r="H174" t="s">
        <v>253</v>
      </c>
      <c r="I174">
        <v>4</v>
      </c>
      <c r="J174" t="s">
        <v>254</v>
      </c>
      <c r="K174" t="s">
        <v>266</v>
      </c>
      <c r="M174">
        <v>80470</v>
      </c>
    </row>
    <row r="175" spans="1:13" hidden="1" x14ac:dyDescent="0.25">
      <c r="A175" s="1" t="s">
        <v>296</v>
      </c>
      <c r="B175">
        <v>45</v>
      </c>
      <c r="C175" s="1" t="s">
        <v>251</v>
      </c>
      <c r="D175">
        <v>195</v>
      </c>
      <c r="E175" t="s">
        <v>0</v>
      </c>
      <c r="G175" t="b">
        <v>1</v>
      </c>
      <c r="H175" t="s">
        <v>253</v>
      </c>
      <c r="I175">
        <v>5</v>
      </c>
      <c r="J175" t="s">
        <v>254</v>
      </c>
      <c r="K175" t="s">
        <v>260</v>
      </c>
      <c r="M175">
        <v>119109.78</v>
      </c>
    </row>
    <row r="176" spans="1:13" hidden="1" x14ac:dyDescent="0.25">
      <c r="A176" s="1" t="s">
        <v>296</v>
      </c>
      <c r="B176">
        <v>45</v>
      </c>
      <c r="C176" s="1" t="s">
        <v>251</v>
      </c>
      <c r="D176">
        <v>196</v>
      </c>
      <c r="E176" t="s">
        <v>298</v>
      </c>
      <c r="G176" t="b">
        <v>1</v>
      </c>
      <c r="H176" t="s">
        <v>253</v>
      </c>
      <c r="I176">
        <v>6</v>
      </c>
      <c r="J176" t="s">
        <v>254</v>
      </c>
      <c r="K176" t="s">
        <v>266</v>
      </c>
      <c r="M176">
        <v>130783.23</v>
      </c>
    </row>
    <row r="177" spans="1:13" hidden="1" x14ac:dyDescent="0.25">
      <c r="A177" s="1" t="s">
        <v>296</v>
      </c>
      <c r="B177">
        <v>45</v>
      </c>
      <c r="C177" s="1" t="s">
        <v>251</v>
      </c>
      <c r="D177">
        <v>52</v>
      </c>
      <c r="E177" t="s">
        <v>275</v>
      </c>
      <c r="G177" t="b">
        <v>1</v>
      </c>
      <c r="H177" t="s">
        <v>264</v>
      </c>
      <c r="I177">
        <v>1</v>
      </c>
      <c r="J177" t="s">
        <v>257</v>
      </c>
      <c r="K177" t="s">
        <v>6116</v>
      </c>
      <c r="M177">
        <v>161397.79999999999</v>
      </c>
    </row>
    <row r="178" spans="1:13" hidden="1" x14ac:dyDescent="0.25">
      <c r="A178" s="1" t="s">
        <v>296</v>
      </c>
      <c r="B178">
        <v>45</v>
      </c>
      <c r="C178" s="1" t="s">
        <v>251</v>
      </c>
      <c r="D178">
        <v>192</v>
      </c>
      <c r="E178" t="s">
        <v>299</v>
      </c>
      <c r="G178" t="b">
        <v>1</v>
      </c>
      <c r="H178" t="s">
        <v>253</v>
      </c>
      <c r="I178">
        <v>3</v>
      </c>
      <c r="J178" t="s">
        <v>257</v>
      </c>
      <c r="K178" t="s">
        <v>6116</v>
      </c>
      <c r="M178">
        <v>131000</v>
      </c>
    </row>
    <row r="179" spans="1:13" hidden="1" x14ac:dyDescent="0.25">
      <c r="A179" s="1" t="s">
        <v>296</v>
      </c>
      <c r="B179">
        <v>45</v>
      </c>
      <c r="C179" s="1" t="s">
        <v>251</v>
      </c>
      <c r="D179">
        <v>191</v>
      </c>
      <c r="E179" t="s">
        <v>300</v>
      </c>
      <c r="G179" t="b">
        <v>1</v>
      </c>
      <c r="H179" t="s">
        <v>253</v>
      </c>
      <c r="I179">
        <v>2</v>
      </c>
      <c r="J179" t="s">
        <v>257</v>
      </c>
      <c r="K179" t="s">
        <v>6116</v>
      </c>
      <c r="M179">
        <v>120000</v>
      </c>
    </row>
    <row r="180" spans="1:13" hidden="1" x14ac:dyDescent="0.25">
      <c r="A180" s="1" t="s">
        <v>61</v>
      </c>
      <c r="B180">
        <v>44</v>
      </c>
      <c r="C180" s="1" t="s">
        <v>251</v>
      </c>
      <c r="D180">
        <v>112</v>
      </c>
      <c r="E180" t="s">
        <v>293</v>
      </c>
      <c r="G180" t="b">
        <v>1</v>
      </c>
      <c r="H180" t="s">
        <v>253</v>
      </c>
      <c r="I180">
        <v>5</v>
      </c>
      <c r="J180" t="s">
        <v>254</v>
      </c>
      <c r="K180" t="s">
        <v>273</v>
      </c>
      <c r="M180">
        <v>91649.600000000006</v>
      </c>
    </row>
    <row r="181" spans="1:13" hidden="1" x14ac:dyDescent="0.25">
      <c r="A181" s="1" t="s">
        <v>61</v>
      </c>
      <c r="B181">
        <v>44</v>
      </c>
      <c r="C181" s="1" t="s">
        <v>251</v>
      </c>
      <c r="D181">
        <v>90</v>
      </c>
      <c r="E181" t="s">
        <v>294</v>
      </c>
      <c r="G181" t="b">
        <v>1</v>
      </c>
      <c r="H181" t="s">
        <v>264</v>
      </c>
      <c r="I181">
        <v>1</v>
      </c>
      <c r="J181" t="s">
        <v>257</v>
      </c>
      <c r="K181" t="s">
        <v>258</v>
      </c>
      <c r="M181">
        <v>246904</v>
      </c>
    </row>
    <row r="182" spans="1:13" hidden="1" x14ac:dyDescent="0.25">
      <c r="A182" s="1" t="s">
        <v>61</v>
      </c>
      <c r="B182">
        <v>44</v>
      </c>
      <c r="C182" s="1" t="s">
        <v>251</v>
      </c>
      <c r="D182">
        <v>91</v>
      </c>
      <c r="E182" t="s">
        <v>295</v>
      </c>
      <c r="G182" t="b">
        <v>1</v>
      </c>
      <c r="H182" t="s">
        <v>253</v>
      </c>
      <c r="I182">
        <v>2</v>
      </c>
      <c r="J182" t="s">
        <v>257</v>
      </c>
      <c r="K182" t="s">
        <v>258</v>
      </c>
      <c r="M182">
        <v>91700</v>
      </c>
    </row>
    <row r="183" spans="1:13" hidden="1" x14ac:dyDescent="0.25">
      <c r="A183" s="1" t="s">
        <v>61</v>
      </c>
      <c r="B183">
        <v>44</v>
      </c>
      <c r="C183" s="1" t="s">
        <v>251</v>
      </c>
      <c r="D183">
        <v>111</v>
      </c>
      <c r="E183" t="s">
        <v>286</v>
      </c>
      <c r="G183" t="b">
        <v>1</v>
      </c>
      <c r="H183" t="s">
        <v>253</v>
      </c>
      <c r="I183">
        <v>4</v>
      </c>
      <c r="J183" t="s">
        <v>254</v>
      </c>
      <c r="K183" t="s">
        <v>273</v>
      </c>
      <c r="M183">
        <v>91042</v>
      </c>
    </row>
    <row r="184" spans="1:13" hidden="1" x14ac:dyDescent="0.25">
      <c r="A184" s="1" t="s">
        <v>61</v>
      </c>
      <c r="B184">
        <v>44</v>
      </c>
      <c r="C184" s="1" t="s">
        <v>251</v>
      </c>
      <c r="D184">
        <v>109</v>
      </c>
      <c r="E184" t="s">
        <v>31</v>
      </c>
      <c r="G184" t="b">
        <v>1</v>
      </c>
      <c r="H184" t="s">
        <v>253</v>
      </c>
      <c r="I184">
        <v>3</v>
      </c>
      <c r="J184" t="s">
        <v>254</v>
      </c>
      <c r="K184" t="s">
        <v>273</v>
      </c>
      <c r="M184">
        <v>127064</v>
      </c>
    </row>
    <row r="185" spans="1:13" hidden="1" x14ac:dyDescent="0.25">
      <c r="A185" s="1" t="s">
        <v>61</v>
      </c>
      <c r="B185">
        <v>44</v>
      </c>
      <c r="C185" s="1" t="s">
        <v>251</v>
      </c>
      <c r="D185">
        <v>113</v>
      </c>
      <c r="E185" t="s">
        <v>53</v>
      </c>
      <c r="G185" t="b">
        <v>1</v>
      </c>
      <c r="H185" t="s">
        <v>253</v>
      </c>
      <c r="I185">
        <v>6</v>
      </c>
      <c r="J185" t="s">
        <v>257</v>
      </c>
      <c r="K185" t="s">
        <v>258</v>
      </c>
      <c r="M185">
        <v>91700</v>
      </c>
    </row>
    <row r="186" spans="1:13" hidden="1" x14ac:dyDescent="0.25">
      <c r="A186" s="1" t="s">
        <v>361</v>
      </c>
      <c r="B186">
        <v>83</v>
      </c>
      <c r="C186" s="1" t="s">
        <v>251</v>
      </c>
      <c r="D186">
        <v>243</v>
      </c>
      <c r="E186" t="s">
        <v>362</v>
      </c>
      <c r="G186" t="b">
        <v>1</v>
      </c>
      <c r="H186" t="s">
        <v>253</v>
      </c>
      <c r="I186">
        <v>5</v>
      </c>
      <c r="J186" t="s">
        <v>254</v>
      </c>
      <c r="K186" t="s">
        <v>260</v>
      </c>
      <c r="M186">
        <v>135313.4</v>
      </c>
    </row>
    <row r="187" spans="1:13" hidden="1" x14ac:dyDescent="0.25">
      <c r="A187" s="1" t="s">
        <v>361</v>
      </c>
      <c r="B187">
        <v>83</v>
      </c>
      <c r="C187" s="1" t="s">
        <v>251</v>
      </c>
      <c r="D187">
        <v>240</v>
      </c>
      <c r="E187" t="s">
        <v>342</v>
      </c>
      <c r="G187" t="b">
        <v>1</v>
      </c>
      <c r="H187" t="s">
        <v>253</v>
      </c>
      <c r="I187">
        <v>3</v>
      </c>
      <c r="J187" t="s">
        <v>257</v>
      </c>
      <c r="K187" t="s">
        <v>6116</v>
      </c>
      <c r="M187">
        <v>110058.2</v>
      </c>
    </row>
    <row r="188" spans="1:13" hidden="1" x14ac:dyDescent="0.25">
      <c r="A188" s="1" t="s">
        <v>361</v>
      </c>
      <c r="B188">
        <v>83</v>
      </c>
      <c r="C188" s="1" t="s">
        <v>251</v>
      </c>
      <c r="D188">
        <v>239</v>
      </c>
      <c r="E188" t="s">
        <v>363</v>
      </c>
      <c r="G188" t="b">
        <v>1</v>
      </c>
      <c r="H188" t="s">
        <v>253</v>
      </c>
      <c r="I188">
        <v>2</v>
      </c>
      <c r="J188" t="s">
        <v>257</v>
      </c>
      <c r="K188" t="s">
        <v>258</v>
      </c>
      <c r="M188">
        <v>126000</v>
      </c>
    </row>
    <row r="189" spans="1:13" hidden="1" x14ac:dyDescent="0.25">
      <c r="A189" s="1" t="s">
        <v>361</v>
      </c>
      <c r="B189">
        <v>83</v>
      </c>
      <c r="C189" s="1" t="s">
        <v>251</v>
      </c>
      <c r="D189">
        <v>242</v>
      </c>
      <c r="E189" t="s">
        <v>364</v>
      </c>
      <c r="G189" t="b">
        <v>1</v>
      </c>
      <c r="H189" t="s">
        <v>253</v>
      </c>
      <c r="I189">
        <v>4</v>
      </c>
      <c r="J189" t="s">
        <v>254</v>
      </c>
      <c r="K189" t="s">
        <v>266</v>
      </c>
      <c r="M189">
        <v>121866.1</v>
      </c>
    </row>
    <row r="190" spans="1:13" hidden="1" x14ac:dyDescent="0.25">
      <c r="A190" s="1" t="s">
        <v>361</v>
      </c>
      <c r="B190">
        <v>83</v>
      </c>
      <c r="C190" s="1" t="s">
        <v>251</v>
      </c>
      <c r="D190">
        <v>238</v>
      </c>
      <c r="E190" t="s">
        <v>300</v>
      </c>
      <c r="G190" t="b">
        <v>1</v>
      </c>
      <c r="H190" t="s">
        <v>264</v>
      </c>
      <c r="I190">
        <v>1</v>
      </c>
      <c r="J190" t="s">
        <v>257</v>
      </c>
      <c r="K190" t="s">
        <v>6116</v>
      </c>
      <c r="M190">
        <v>142650</v>
      </c>
    </row>
    <row r="191" spans="1:13" hidden="1" x14ac:dyDescent="0.25">
      <c r="A191" s="1" t="s">
        <v>361</v>
      </c>
      <c r="B191">
        <v>83</v>
      </c>
      <c r="C191" s="1" t="s">
        <v>251</v>
      </c>
      <c r="D191">
        <v>244</v>
      </c>
      <c r="E191" t="s">
        <v>69</v>
      </c>
      <c r="G191" t="b">
        <v>1</v>
      </c>
      <c r="H191" t="s">
        <v>253</v>
      </c>
      <c r="I191">
        <v>6</v>
      </c>
      <c r="J191" t="s">
        <v>254</v>
      </c>
      <c r="K191" t="s">
        <v>255</v>
      </c>
      <c r="M191">
        <v>114072</v>
      </c>
    </row>
    <row r="192" spans="1:13" hidden="1" x14ac:dyDescent="0.25">
      <c r="A192" s="1" t="s">
        <v>317</v>
      </c>
      <c r="B192">
        <v>60</v>
      </c>
      <c r="C192" s="1" t="s">
        <v>251</v>
      </c>
      <c r="D192">
        <v>267</v>
      </c>
      <c r="E192" t="s">
        <v>318</v>
      </c>
      <c r="G192" t="b">
        <v>1</v>
      </c>
      <c r="H192" t="s">
        <v>253</v>
      </c>
      <c r="I192">
        <v>5</v>
      </c>
      <c r="J192" t="s">
        <v>254</v>
      </c>
      <c r="K192" t="s">
        <v>260</v>
      </c>
      <c r="M192">
        <v>120705</v>
      </c>
    </row>
    <row r="193" spans="1:13" hidden="1" x14ac:dyDescent="0.25">
      <c r="A193" s="1" t="s">
        <v>317</v>
      </c>
      <c r="B193">
        <v>60</v>
      </c>
      <c r="C193" s="1" t="s">
        <v>251</v>
      </c>
      <c r="D193">
        <v>222</v>
      </c>
      <c r="E193" t="s">
        <v>319</v>
      </c>
      <c r="G193" t="b">
        <v>1</v>
      </c>
      <c r="H193" t="s">
        <v>253</v>
      </c>
      <c r="I193">
        <v>4</v>
      </c>
      <c r="J193" t="s">
        <v>257</v>
      </c>
      <c r="K193" t="s">
        <v>282</v>
      </c>
      <c r="M193">
        <v>142157</v>
      </c>
    </row>
    <row r="194" spans="1:13" hidden="1" x14ac:dyDescent="0.25">
      <c r="A194" s="1" t="s">
        <v>317</v>
      </c>
      <c r="B194">
        <v>60</v>
      </c>
      <c r="C194" s="1" t="s">
        <v>251</v>
      </c>
      <c r="D194">
        <v>87</v>
      </c>
      <c r="E194" t="s">
        <v>320</v>
      </c>
      <c r="G194" t="b">
        <v>1</v>
      </c>
      <c r="H194" t="s">
        <v>264</v>
      </c>
      <c r="I194">
        <v>1</v>
      </c>
      <c r="J194" t="s">
        <v>257</v>
      </c>
      <c r="K194" t="s">
        <v>6116</v>
      </c>
      <c r="M194">
        <v>162440</v>
      </c>
    </row>
    <row r="195" spans="1:13" hidden="1" x14ac:dyDescent="0.25">
      <c r="A195" s="1" t="s">
        <v>317</v>
      </c>
      <c r="B195">
        <v>60</v>
      </c>
      <c r="C195" s="1" t="s">
        <v>251</v>
      </c>
      <c r="D195">
        <v>117</v>
      </c>
      <c r="E195" t="s">
        <v>321</v>
      </c>
      <c r="G195" t="b">
        <v>1</v>
      </c>
      <c r="H195" t="s">
        <v>253</v>
      </c>
      <c r="I195">
        <v>2</v>
      </c>
      <c r="J195" t="s">
        <v>257</v>
      </c>
      <c r="K195" t="s">
        <v>6117</v>
      </c>
      <c r="M195">
        <v>121228.4</v>
      </c>
    </row>
    <row r="196" spans="1:13" hidden="1" x14ac:dyDescent="0.25">
      <c r="A196" s="1" t="s">
        <v>317</v>
      </c>
      <c r="B196">
        <v>60</v>
      </c>
      <c r="C196" s="1" t="s">
        <v>251</v>
      </c>
      <c r="D196">
        <v>285</v>
      </c>
      <c r="E196" t="s">
        <v>322</v>
      </c>
      <c r="G196" t="b">
        <v>1</v>
      </c>
      <c r="H196" t="s">
        <v>253</v>
      </c>
      <c r="I196">
        <v>6</v>
      </c>
      <c r="J196" t="s">
        <v>254</v>
      </c>
      <c r="K196" t="s">
        <v>273</v>
      </c>
      <c r="M196">
        <v>100400</v>
      </c>
    </row>
    <row r="197" spans="1:13" hidden="1" x14ac:dyDescent="0.25">
      <c r="A197" s="1" t="s">
        <v>317</v>
      </c>
      <c r="B197">
        <v>60</v>
      </c>
      <c r="C197" s="1" t="s">
        <v>251</v>
      </c>
      <c r="D197">
        <v>220</v>
      </c>
      <c r="E197" t="s">
        <v>39</v>
      </c>
      <c r="G197" t="b">
        <v>1</v>
      </c>
      <c r="H197" t="s">
        <v>253</v>
      </c>
      <c r="I197">
        <v>3</v>
      </c>
      <c r="J197" t="s">
        <v>254</v>
      </c>
      <c r="K197" t="s">
        <v>260</v>
      </c>
      <c r="M197">
        <v>102648.79</v>
      </c>
    </row>
    <row r="198" spans="1:13" hidden="1" x14ac:dyDescent="0.25">
      <c r="A198" s="30" t="s">
        <v>288</v>
      </c>
      <c r="B198">
        <v>43</v>
      </c>
      <c r="C198" s="1" t="s">
        <v>251</v>
      </c>
      <c r="D198">
        <v>64</v>
      </c>
      <c r="E198" t="s">
        <v>289</v>
      </c>
      <c r="G198" t="b">
        <v>1</v>
      </c>
      <c r="H198" t="s">
        <v>253</v>
      </c>
      <c r="I198">
        <v>5</v>
      </c>
      <c r="J198" t="s">
        <v>254</v>
      </c>
      <c r="K198" t="s">
        <v>273</v>
      </c>
      <c r="M198">
        <v>79999.240000000005</v>
      </c>
    </row>
    <row r="199" spans="1:13" hidden="1" x14ac:dyDescent="0.25">
      <c r="A199" s="30" t="s">
        <v>288</v>
      </c>
      <c r="B199">
        <v>43</v>
      </c>
      <c r="C199" s="1" t="s">
        <v>251</v>
      </c>
      <c r="D199">
        <v>63</v>
      </c>
      <c r="E199" t="s">
        <v>54</v>
      </c>
      <c r="G199" t="b">
        <v>1</v>
      </c>
      <c r="H199" t="s">
        <v>253</v>
      </c>
      <c r="I199">
        <v>4</v>
      </c>
      <c r="J199" t="s">
        <v>257</v>
      </c>
      <c r="K199" t="s">
        <v>258</v>
      </c>
      <c r="M199">
        <v>90440</v>
      </c>
    </row>
    <row r="200" spans="1:13" hidden="1" x14ac:dyDescent="0.25">
      <c r="A200" s="30" t="s">
        <v>288</v>
      </c>
      <c r="B200">
        <v>43</v>
      </c>
      <c r="C200" s="1" t="s">
        <v>251</v>
      </c>
      <c r="D200">
        <v>62</v>
      </c>
      <c r="E200" t="s">
        <v>290</v>
      </c>
      <c r="G200" t="b">
        <v>1</v>
      </c>
      <c r="H200" t="s">
        <v>253</v>
      </c>
      <c r="I200">
        <v>3</v>
      </c>
      <c r="J200" t="s">
        <v>257</v>
      </c>
      <c r="K200" t="s">
        <v>258</v>
      </c>
      <c r="M200">
        <v>115000</v>
      </c>
    </row>
    <row r="201" spans="1:13" hidden="1" x14ac:dyDescent="0.25">
      <c r="A201" s="30" t="s">
        <v>288</v>
      </c>
      <c r="B201">
        <v>43</v>
      </c>
      <c r="C201" s="1" t="s">
        <v>251</v>
      </c>
      <c r="D201">
        <v>65</v>
      </c>
      <c r="E201" t="s">
        <v>291</v>
      </c>
      <c r="G201" t="b">
        <v>1</v>
      </c>
      <c r="H201" t="s">
        <v>253</v>
      </c>
      <c r="I201">
        <v>6</v>
      </c>
      <c r="J201" t="s">
        <v>257</v>
      </c>
      <c r="K201" t="s">
        <v>6116</v>
      </c>
      <c r="M201">
        <v>73736.5</v>
      </c>
    </row>
    <row r="202" spans="1:13" hidden="1" x14ac:dyDescent="0.25">
      <c r="A202" s="30" t="s">
        <v>288</v>
      </c>
      <c r="B202">
        <v>43</v>
      </c>
      <c r="C202" s="1" t="s">
        <v>251</v>
      </c>
      <c r="D202">
        <v>59</v>
      </c>
      <c r="E202" t="s">
        <v>286</v>
      </c>
      <c r="G202" t="b">
        <v>1</v>
      </c>
      <c r="H202" t="s">
        <v>264</v>
      </c>
      <c r="I202">
        <v>1</v>
      </c>
      <c r="J202" t="s">
        <v>254</v>
      </c>
      <c r="K202" t="s">
        <v>273</v>
      </c>
      <c r="M202">
        <v>158954</v>
      </c>
    </row>
    <row r="203" spans="1:13" hidden="1" x14ac:dyDescent="0.25">
      <c r="A203" s="30" t="s">
        <v>288</v>
      </c>
      <c r="B203">
        <v>43</v>
      </c>
      <c r="C203" s="1" t="s">
        <v>251</v>
      </c>
      <c r="D203">
        <v>60</v>
      </c>
      <c r="E203" t="s">
        <v>292</v>
      </c>
      <c r="G203" t="b">
        <v>1</v>
      </c>
      <c r="H203" t="s">
        <v>253</v>
      </c>
      <c r="I203">
        <v>2</v>
      </c>
      <c r="J203" t="s">
        <v>254</v>
      </c>
      <c r="K203" t="s">
        <v>260</v>
      </c>
      <c r="M203">
        <v>99196.24</v>
      </c>
    </row>
    <row r="204" spans="1:13" hidden="1" x14ac:dyDescent="0.25">
      <c r="A204" s="1" t="s">
        <v>3840</v>
      </c>
      <c r="B204">
        <v>209</v>
      </c>
      <c r="C204" s="1" t="s">
        <v>251</v>
      </c>
      <c r="D204">
        <v>493</v>
      </c>
      <c r="E204" t="s">
        <v>3856</v>
      </c>
      <c r="G204" t="b">
        <v>1</v>
      </c>
      <c r="H204" t="s">
        <v>253</v>
      </c>
      <c r="I204">
        <v>3</v>
      </c>
      <c r="J204" t="s">
        <v>254</v>
      </c>
      <c r="K204" t="s">
        <v>255</v>
      </c>
      <c r="M204">
        <v>180748</v>
      </c>
    </row>
    <row r="205" spans="1:13" hidden="1" x14ac:dyDescent="0.25">
      <c r="A205" s="1" t="s">
        <v>3840</v>
      </c>
      <c r="B205">
        <v>209</v>
      </c>
      <c r="C205" s="1" t="s">
        <v>251</v>
      </c>
      <c r="D205">
        <v>571</v>
      </c>
      <c r="E205" t="s">
        <v>3860</v>
      </c>
      <c r="G205" t="b">
        <v>1</v>
      </c>
      <c r="H205" t="s">
        <v>253</v>
      </c>
      <c r="I205">
        <v>4</v>
      </c>
      <c r="J205" t="s">
        <v>254</v>
      </c>
      <c r="K205" t="s">
        <v>266</v>
      </c>
      <c r="M205">
        <v>105849</v>
      </c>
    </row>
    <row r="206" spans="1:13" hidden="1" x14ac:dyDescent="0.25">
      <c r="A206" s="1" t="s">
        <v>3840</v>
      </c>
      <c r="B206">
        <v>209</v>
      </c>
      <c r="C206" s="1" t="s">
        <v>251</v>
      </c>
      <c r="D206">
        <v>572</v>
      </c>
      <c r="E206" t="s">
        <v>364</v>
      </c>
      <c r="G206" t="b">
        <v>1</v>
      </c>
      <c r="H206" t="s">
        <v>253</v>
      </c>
      <c r="I206">
        <v>5</v>
      </c>
      <c r="J206" t="s">
        <v>254</v>
      </c>
      <c r="K206" t="s">
        <v>266</v>
      </c>
      <c r="M206">
        <v>169725</v>
      </c>
    </row>
    <row r="207" spans="1:13" hidden="1" x14ac:dyDescent="0.25">
      <c r="A207" s="1" t="s">
        <v>3840</v>
      </c>
      <c r="B207">
        <v>209</v>
      </c>
      <c r="C207" s="1" t="s">
        <v>251</v>
      </c>
      <c r="D207">
        <v>488</v>
      </c>
      <c r="E207" t="s">
        <v>3483</v>
      </c>
      <c r="G207" t="b">
        <v>1</v>
      </c>
      <c r="H207" t="s">
        <v>264</v>
      </c>
      <c r="I207">
        <v>1</v>
      </c>
      <c r="J207" t="s">
        <v>257</v>
      </c>
      <c r="K207" t="s">
        <v>6116</v>
      </c>
      <c r="M207">
        <v>375448</v>
      </c>
    </row>
    <row r="208" spans="1:13" hidden="1" x14ac:dyDescent="0.25">
      <c r="A208" s="1" t="s">
        <v>3840</v>
      </c>
      <c r="B208">
        <v>209</v>
      </c>
      <c r="C208" s="1" t="s">
        <v>251</v>
      </c>
      <c r="D208">
        <v>492</v>
      </c>
      <c r="E208" t="s">
        <v>3842</v>
      </c>
      <c r="G208" t="b">
        <v>1</v>
      </c>
      <c r="H208" t="s">
        <v>253</v>
      </c>
      <c r="I208">
        <v>2</v>
      </c>
      <c r="J208" t="s">
        <v>257</v>
      </c>
      <c r="K208" t="s">
        <v>6116</v>
      </c>
      <c r="M208">
        <v>224078</v>
      </c>
    </row>
    <row r="209" spans="1:13" hidden="1" x14ac:dyDescent="0.25">
      <c r="A209" s="1" t="s">
        <v>3036</v>
      </c>
      <c r="B209">
        <v>146</v>
      </c>
      <c r="C209" s="1" t="s">
        <v>251</v>
      </c>
      <c r="D209">
        <v>508</v>
      </c>
      <c r="E209" t="s">
        <v>3052</v>
      </c>
      <c r="G209" t="b">
        <v>1</v>
      </c>
      <c r="H209" t="s">
        <v>253</v>
      </c>
      <c r="I209">
        <v>3</v>
      </c>
      <c r="J209" t="s">
        <v>254</v>
      </c>
      <c r="K209" t="s">
        <v>255</v>
      </c>
      <c r="M209">
        <v>154997.6</v>
      </c>
    </row>
    <row r="210" spans="1:13" hidden="1" x14ac:dyDescent="0.25">
      <c r="A210" s="1" t="s">
        <v>3036</v>
      </c>
      <c r="B210">
        <v>146</v>
      </c>
      <c r="C210" s="1" t="s">
        <v>251</v>
      </c>
      <c r="D210">
        <v>507</v>
      </c>
      <c r="E210" t="s">
        <v>3047</v>
      </c>
      <c r="G210" t="b">
        <v>1</v>
      </c>
      <c r="H210" t="s">
        <v>253</v>
      </c>
      <c r="I210">
        <v>2</v>
      </c>
      <c r="J210" t="s">
        <v>254</v>
      </c>
      <c r="K210" t="s">
        <v>255</v>
      </c>
      <c r="M210">
        <v>203361.2</v>
      </c>
    </row>
    <row r="211" spans="1:13" hidden="1" x14ac:dyDescent="0.25">
      <c r="A211" s="1" t="s">
        <v>3036</v>
      </c>
      <c r="B211">
        <v>146</v>
      </c>
      <c r="C211" s="1" t="s">
        <v>251</v>
      </c>
      <c r="D211">
        <v>506</v>
      </c>
      <c r="E211" t="s">
        <v>279</v>
      </c>
      <c r="G211" t="b">
        <v>1</v>
      </c>
      <c r="H211" t="s">
        <v>264</v>
      </c>
      <c r="I211">
        <v>1</v>
      </c>
      <c r="J211" t="s">
        <v>254</v>
      </c>
      <c r="K211" t="s">
        <v>260</v>
      </c>
      <c r="M211">
        <v>216888</v>
      </c>
    </row>
    <row r="212" spans="1:13" hidden="1" x14ac:dyDescent="0.25">
      <c r="A212" s="1" t="s">
        <v>3036</v>
      </c>
      <c r="B212">
        <v>146</v>
      </c>
      <c r="C212" s="1" t="s">
        <v>251</v>
      </c>
      <c r="D212">
        <v>509</v>
      </c>
      <c r="E212" t="s">
        <v>299</v>
      </c>
      <c r="G212" t="b">
        <v>1</v>
      </c>
      <c r="H212" t="s">
        <v>253</v>
      </c>
      <c r="I212">
        <v>4</v>
      </c>
      <c r="J212" t="s">
        <v>257</v>
      </c>
      <c r="K212" t="s">
        <v>6116</v>
      </c>
      <c r="M212">
        <v>162673.20000000001</v>
      </c>
    </row>
    <row r="213" spans="1:13" hidden="1" x14ac:dyDescent="0.25">
      <c r="A213" s="1" t="s">
        <v>3036</v>
      </c>
      <c r="B213">
        <v>146</v>
      </c>
      <c r="C213" s="1" t="s">
        <v>251</v>
      </c>
      <c r="D213">
        <v>511</v>
      </c>
      <c r="E213" t="s">
        <v>3063</v>
      </c>
      <c r="G213" t="b">
        <v>1</v>
      </c>
      <c r="H213" t="s">
        <v>253</v>
      </c>
      <c r="I213">
        <v>5</v>
      </c>
      <c r="J213" t="s">
        <v>257</v>
      </c>
      <c r="K213" t="s">
        <v>6117</v>
      </c>
      <c r="M213">
        <v>152256.88</v>
      </c>
    </row>
    <row r="214" spans="1:13" hidden="1" x14ac:dyDescent="0.25">
      <c r="A214" s="1" t="s">
        <v>3036</v>
      </c>
      <c r="B214">
        <v>146</v>
      </c>
      <c r="C214" s="1" t="s">
        <v>251</v>
      </c>
      <c r="D214">
        <v>512</v>
      </c>
      <c r="E214" t="s">
        <v>3075</v>
      </c>
      <c r="G214" t="b">
        <v>1</v>
      </c>
      <c r="H214" t="s">
        <v>253</v>
      </c>
      <c r="I214">
        <v>6</v>
      </c>
      <c r="J214" t="s">
        <v>257</v>
      </c>
      <c r="K214" t="s">
        <v>258</v>
      </c>
      <c r="M214">
        <v>162778.56</v>
      </c>
    </row>
    <row r="215" spans="1:13" hidden="1" x14ac:dyDescent="0.25">
      <c r="A215" s="1" t="s">
        <v>341</v>
      </c>
      <c r="B215">
        <v>71</v>
      </c>
      <c r="C215" s="1" t="s">
        <v>251</v>
      </c>
      <c r="D215">
        <v>283</v>
      </c>
      <c r="E215" t="s">
        <v>278</v>
      </c>
      <c r="G215" t="b">
        <v>1</v>
      </c>
      <c r="H215" t="s">
        <v>253</v>
      </c>
      <c r="I215">
        <v>5</v>
      </c>
      <c r="J215" t="s">
        <v>254</v>
      </c>
      <c r="K215" t="s">
        <v>255</v>
      </c>
      <c r="M215">
        <v>62519</v>
      </c>
    </row>
    <row r="216" spans="1:13" hidden="1" x14ac:dyDescent="0.25">
      <c r="A216" s="17" t="s">
        <v>341</v>
      </c>
      <c r="B216">
        <v>71</v>
      </c>
      <c r="C216" s="1" t="s">
        <v>251</v>
      </c>
      <c r="D216">
        <v>135</v>
      </c>
      <c r="E216" t="s">
        <v>47</v>
      </c>
      <c r="G216" t="b">
        <v>1</v>
      </c>
      <c r="H216" t="s">
        <v>253</v>
      </c>
      <c r="I216">
        <v>3</v>
      </c>
      <c r="J216" t="s">
        <v>254</v>
      </c>
      <c r="K216" t="s">
        <v>255</v>
      </c>
      <c r="M216">
        <v>154750</v>
      </c>
    </row>
    <row r="217" spans="1:13" hidden="1" x14ac:dyDescent="0.25">
      <c r="A217" s="17" t="s">
        <v>341</v>
      </c>
      <c r="B217">
        <v>71</v>
      </c>
      <c r="C217" s="1" t="s">
        <v>251</v>
      </c>
      <c r="D217">
        <v>284</v>
      </c>
      <c r="E217" t="s">
        <v>342</v>
      </c>
      <c r="G217" t="b">
        <v>1</v>
      </c>
      <c r="H217" t="s">
        <v>253</v>
      </c>
      <c r="I217">
        <v>6</v>
      </c>
      <c r="J217" t="s">
        <v>257</v>
      </c>
      <c r="K217" t="s">
        <v>6116</v>
      </c>
      <c r="M217">
        <v>95945</v>
      </c>
    </row>
    <row r="218" spans="1:13" hidden="1" x14ac:dyDescent="0.25">
      <c r="A218" s="17" t="s">
        <v>341</v>
      </c>
      <c r="B218">
        <v>71</v>
      </c>
      <c r="C218" s="1" t="s">
        <v>251</v>
      </c>
      <c r="D218">
        <v>270</v>
      </c>
      <c r="E218" t="s">
        <v>343</v>
      </c>
      <c r="G218" t="b">
        <v>1</v>
      </c>
      <c r="H218" t="s">
        <v>253</v>
      </c>
      <c r="I218">
        <v>4</v>
      </c>
      <c r="J218" t="s">
        <v>257</v>
      </c>
      <c r="K218" t="s">
        <v>6117</v>
      </c>
      <c r="M218">
        <v>145875</v>
      </c>
    </row>
    <row r="219" spans="1:13" hidden="1" x14ac:dyDescent="0.25">
      <c r="A219" s="17" t="s">
        <v>341</v>
      </c>
      <c r="B219">
        <v>71</v>
      </c>
      <c r="C219" s="1" t="s">
        <v>251</v>
      </c>
      <c r="D219">
        <v>133</v>
      </c>
      <c r="E219" t="s">
        <v>344</v>
      </c>
      <c r="G219" t="b">
        <v>1</v>
      </c>
      <c r="H219" t="s">
        <v>264</v>
      </c>
      <c r="I219">
        <v>1</v>
      </c>
      <c r="J219" t="s">
        <v>257</v>
      </c>
      <c r="K219" t="s">
        <v>6117</v>
      </c>
      <c r="M219">
        <v>169625</v>
      </c>
    </row>
    <row r="220" spans="1:13" hidden="1" x14ac:dyDescent="0.25">
      <c r="A220" s="17" t="s">
        <v>341</v>
      </c>
      <c r="B220">
        <v>71</v>
      </c>
      <c r="C220" s="1" t="s">
        <v>251</v>
      </c>
      <c r="D220">
        <v>134</v>
      </c>
      <c r="E220" t="s">
        <v>345</v>
      </c>
      <c r="G220" t="b">
        <v>1</v>
      </c>
      <c r="H220" t="s">
        <v>253</v>
      </c>
      <c r="I220">
        <v>2</v>
      </c>
      <c r="J220" t="s">
        <v>257</v>
      </c>
      <c r="K220" t="s">
        <v>6117</v>
      </c>
      <c r="M220">
        <v>120705</v>
      </c>
    </row>
    <row r="221" spans="1:13" hidden="1" x14ac:dyDescent="0.25">
      <c r="A221" s="1" t="s">
        <v>3948</v>
      </c>
      <c r="B221">
        <v>226</v>
      </c>
      <c r="C221" s="1" t="s">
        <v>251</v>
      </c>
      <c r="D221">
        <v>867</v>
      </c>
      <c r="E221" t="s">
        <v>3971</v>
      </c>
      <c r="G221" t="b">
        <v>1</v>
      </c>
      <c r="H221" t="s">
        <v>253</v>
      </c>
      <c r="I221">
        <v>5</v>
      </c>
      <c r="J221" t="s">
        <v>254</v>
      </c>
      <c r="K221" t="s">
        <v>255</v>
      </c>
      <c r="M221">
        <v>159702</v>
      </c>
    </row>
    <row r="222" spans="1:13" hidden="1" x14ac:dyDescent="0.25">
      <c r="A222" s="1" t="s">
        <v>3948</v>
      </c>
      <c r="B222">
        <v>226</v>
      </c>
      <c r="C222" s="1" t="s">
        <v>251</v>
      </c>
      <c r="D222">
        <v>868</v>
      </c>
      <c r="E222" t="s">
        <v>3982</v>
      </c>
      <c r="G222" t="b">
        <v>1</v>
      </c>
      <c r="H222" t="s">
        <v>253</v>
      </c>
      <c r="I222">
        <v>6</v>
      </c>
      <c r="J222" t="s">
        <v>254</v>
      </c>
      <c r="K222" t="s">
        <v>260</v>
      </c>
      <c r="M222">
        <v>220000</v>
      </c>
    </row>
    <row r="223" spans="1:13" hidden="1" x14ac:dyDescent="0.25">
      <c r="A223" s="1" t="s">
        <v>3948</v>
      </c>
      <c r="B223">
        <v>226</v>
      </c>
      <c r="C223" s="1" t="s">
        <v>251</v>
      </c>
      <c r="D223">
        <v>865</v>
      </c>
      <c r="E223" t="s">
        <v>3959</v>
      </c>
      <c r="G223" t="b">
        <v>1</v>
      </c>
      <c r="H223" t="s">
        <v>253</v>
      </c>
      <c r="I223">
        <v>3</v>
      </c>
      <c r="J223" t="s">
        <v>257</v>
      </c>
      <c r="K223" t="s">
        <v>6116</v>
      </c>
      <c r="M223">
        <v>159949.6</v>
      </c>
    </row>
    <row r="224" spans="1:13" hidden="1" x14ac:dyDescent="0.25">
      <c r="A224" s="1" t="s">
        <v>3948</v>
      </c>
      <c r="B224">
        <v>226</v>
      </c>
      <c r="C224" s="1" t="s">
        <v>251</v>
      </c>
      <c r="D224">
        <v>861</v>
      </c>
      <c r="E224" t="s">
        <v>305</v>
      </c>
      <c r="G224" t="b">
        <v>1</v>
      </c>
      <c r="H224" t="s">
        <v>264</v>
      </c>
      <c r="I224">
        <v>1</v>
      </c>
      <c r="J224" t="s">
        <v>257</v>
      </c>
      <c r="K224" t="s">
        <v>6117</v>
      </c>
      <c r="M224">
        <v>319600</v>
      </c>
    </row>
    <row r="225" spans="1:13" hidden="1" x14ac:dyDescent="0.25">
      <c r="A225" s="1" t="s">
        <v>3948</v>
      </c>
      <c r="B225">
        <v>226</v>
      </c>
      <c r="C225" s="1" t="s">
        <v>251</v>
      </c>
      <c r="D225">
        <v>866</v>
      </c>
      <c r="E225" t="s">
        <v>51</v>
      </c>
      <c r="G225" t="b">
        <v>1</v>
      </c>
      <c r="H225" t="s">
        <v>253</v>
      </c>
      <c r="I225">
        <v>4</v>
      </c>
      <c r="J225" t="s">
        <v>254</v>
      </c>
      <c r="K225" t="s">
        <v>260</v>
      </c>
      <c r="M225">
        <v>250142.06</v>
      </c>
    </row>
    <row r="226" spans="1:13" hidden="1" x14ac:dyDescent="0.25">
      <c r="A226" s="1" t="s">
        <v>3948</v>
      </c>
      <c r="B226">
        <v>226</v>
      </c>
      <c r="C226" s="1" t="s">
        <v>251</v>
      </c>
      <c r="D226">
        <v>862</v>
      </c>
      <c r="E226" t="s">
        <v>46</v>
      </c>
      <c r="G226" t="b">
        <v>1</v>
      </c>
      <c r="H226" t="s">
        <v>253</v>
      </c>
      <c r="I226">
        <v>2</v>
      </c>
      <c r="J226" t="s">
        <v>257</v>
      </c>
      <c r="K226" t="s">
        <v>6117</v>
      </c>
      <c r="M226">
        <v>254739.8</v>
      </c>
    </row>
    <row r="227" spans="1:13" hidden="1" x14ac:dyDescent="0.25">
      <c r="A227" s="1" t="s">
        <v>59</v>
      </c>
      <c r="B227">
        <v>92</v>
      </c>
      <c r="C227" s="1" t="s">
        <v>251</v>
      </c>
      <c r="D227">
        <v>323</v>
      </c>
      <c r="E227" t="s">
        <v>47</v>
      </c>
      <c r="G227" t="b">
        <v>1</v>
      </c>
      <c r="H227" t="s">
        <v>253</v>
      </c>
      <c r="I227">
        <v>9</v>
      </c>
      <c r="J227" t="s">
        <v>254</v>
      </c>
      <c r="K227" t="s">
        <v>255</v>
      </c>
      <c r="M227">
        <v>529999.94999999995</v>
      </c>
    </row>
    <row r="228" spans="1:13" hidden="1" x14ac:dyDescent="0.25">
      <c r="A228" s="1" t="s">
        <v>59</v>
      </c>
      <c r="B228">
        <v>92</v>
      </c>
      <c r="C228" s="1" t="s">
        <v>251</v>
      </c>
      <c r="D228">
        <v>326</v>
      </c>
      <c r="E228" t="s">
        <v>44</v>
      </c>
      <c r="G228" t="b">
        <v>1</v>
      </c>
      <c r="H228" t="s">
        <v>253</v>
      </c>
      <c r="I228">
        <v>12</v>
      </c>
      <c r="J228" t="s">
        <v>254</v>
      </c>
      <c r="K228" t="s">
        <v>302</v>
      </c>
      <c r="M228">
        <v>180003.75</v>
      </c>
    </row>
    <row r="229" spans="1:13" hidden="1" x14ac:dyDescent="0.25">
      <c r="A229" s="1" t="s">
        <v>59</v>
      </c>
      <c r="B229">
        <v>92</v>
      </c>
      <c r="C229" s="1" t="s">
        <v>251</v>
      </c>
      <c r="D229">
        <v>321</v>
      </c>
      <c r="E229" t="s">
        <v>49</v>
      </c>
      <c r="G229" t="b">
        <v>1</v>
      </c>
      <c r="H229" t="s">
        <v>253</v>
      </c>
      <c r="I229">
        <v>7</v>
      </c>
      <c r="J229" t="s">
        <v>257</v>
      </c>
      <c r="K229" t="s">
        <v>258</v>
      </c>
      <c r="M229">
        <v>120048.65</v>
      </c>
    </row>
    <row r="230" spans="1:13" hidden="1" x14ac:dyDescent="0.25">
      <c r="A230" s="1" t="s">
        <v>59</v>
      </c>
      <c r="B230">
        <v>92</v>
      </c>
      <c r="C230" s="1" t="s">
        <v>251</v>
      </c>
      <c r="D230">
        <v>315</v>
      </c>
      <c r="E230" t="s">
        <v>344</v>
      </c>
      <c r="G230" t="b">
        <v>1</v>
      </c>
      <c r="H230" t="s">
        <v>253</v>
      </c>
      <c r="I230">
        <v>2</v>
      </c>
      <c r="J230" t="s">
        <v>257</v>
      </c>
      <c r="K230" t="s">
        <v>6117</v>
      </c>
      <c r="M230">
        <v>700001</v>
      </c>
    </row>
    <row r="231" spans="1:13" hidden="1" x14ac:dyDescent="0.25">
      <c r="A231" s="1" t="s">
        <v>59</v>
      </c>
      <c r="B231">
        <v>92</v>
      </c>
      <c r="C231" s="1" t="s">
        <v>251</v>
      </c>
      <c r="D231">
        <v>314</v>
      </c>
      <c r="E231" t="s">
        <v>52</v>
      </c>
      <c r="G231" t="b">
        <v>1</v>
      </c>
      <c r="H231" t="s">
        <v>264</v>
      </c>
      <c r="I231">
        <v>1</v>
      </c>
      <c r="J231" t="s">
        <v>257</v>
      </c>
      <c r="K231" t="s">
        <v>6117</v>
      </c>
      <c r="M231">
        <v>1056445.8</v>
      </c>
    </row>
    <row r="232" spans="1:13" hidden="1" x14ac:dyDescent="0.25">
      <c r="A232" s="1" t="s">
        <v>59</v>
      </c>
      <c r="B232">
        <v>92</v>
      </c>
      <c r="C232" s="1" t="s">
        <v>251</v>
      </c>
      <c r="D232">
        <v>324</v>
      </c>
      <c r="E232" t="s">
        <v>21</v>
      </c>
      <c r="G232" t="b">
        <v>1</v>
      </c>
      <c r="H232" t="s">
        <v>253</v>
      </c>
      <c r="I232">
        <v>10</v>
      </c>
      <c r="J232" t="s">
        <v>254</v>
      </c>
      <c r="K232" t="s">
        <v>255</v>
      </c>
      <c r="M232">
        <v>452000</v>
      </c>
    </row>
    <row r="233" spans="1:13" hidden="1" x14ac:dyDescent="0.25">
      <c r="A233" s="1" t="s">
        <v>59</v>
      </c>
      <c r="B233">
        <v>92</v>
      </c>
      <c r="C233" s="1" t="s">
        <v>251</v>
      </c>
      <c r="D233">
        <v>322</v>
      </c>
      <c r="E233" t="s">
        <v>382</v>
      </c>
      <c r="G233" t="b">
        <v>1</v>
      </c>
      <c r="H233" t="s">
        <v>253</v>
      </c>
      <c r="I233">
        <v>8</v>
      </c>
      <c r="J233" t="s">
        <v>254</v>
      </c>
      <c r="K233" t="s">
        <v>255</v>
      </c>
      <c r="M233">
        <v>334000</v>
      </c>
    </row>
    <row r="234" spans="1:13" hidden="1" x14ac:dyDescent="0.25">
      <c r="A234" s="1" t="s">
        <v>59</v>
      </c>
      <c r="B234">
        <v>92</v>
      </c>
      <c r="C234" s="1" t="s">
        <v>251</v>
      </c>
      <c r="D234">
        <v>317</v>
      </c>
      <c r="E234" t="s">
        <v>28</v>
      </c>
      <c r="G234" t="b">
        <v>1</v>
      </c>
      <c r="H234" t="s">
        <v>253</v>
      </c>
      <c r="I234">
        <v>3</v>
      </c>
      <c r="J234" t="s">
        <v>257</v>
      </c>
      <c r="K234" t="s">
        <v>6117</v>
      </c>
      <c r="M234">
        <v>188300</v>
      </c>
    </row>
    <row r="235" spans="1:13" hidden="1" x14ac:dyDescent="0.25">
      <c r="A235" s="1" t="s">
        <v>59</v>
      </c>
      <c r="B235">
        <v>92</v>
      </c>
      <c r="C235" s="1" t="s">
        <v>251</v>
      </c>
      <c r="D235">
        <v>320</v>
      </c>
      <c r="E235" t="s">
        <v>41</v>
      </c>
      <c r="G235" t="b">
        <v>1</v>
      </c>
      <c r="H235" t="s">
        <v>253</v>
      </c>
      <c r="I235">
        <v>6</v>
      </c>
      <c r="J235" t="s">
        <v>257</v>
      </c>
      <c r="K235" t="s">
        <v>6117</v>
      </c>
      <c r="M235">
        <v>239999.9</v>
      </c>
    </row>
    <row r="236" spans="1:13" hidden="1" x14ac:dyDescent="0.25">
      <c r="A236" s="1" t="s">
        <v>59</v>
      </c>
      <c r="B236">
        <v>92</v>
      </c>
      <c r="C236" s="1" t="s">
        <v>251</v>
      </c>
      <c r="D236">
        <v>325</v>
      </c>
      <c r="E236" t="s">
        <v>69</v>
      </c>
      <c r="G236" t="b">
        <v>1</v>
      </c>
      <c r="H236" t="s">
        <v>253</v>
      </c>
      <c r="I236">
        <v>11</v>
      </c>
      <c r="J236" t="s">
        <v>254</v>
      </c>
      <c r="K236" t="s">
        <v>255</v>
      </c>
      <c r="M236">
        <v>334200.09999999998</v>
      </c>
    </row>
    <row r="237" spans="1:13" hidden="1" x14ac:dyDescent="0.25">
      <c r="A237" s="1" t="s">
        <v>59</v>
      </c>
      <c r="B237">
        <v>92</v>
      </c>
      <c r="C237" s="1" t="s">
        <v>251</v>
      </c>
      <c r="D237">
        <v>318</v>
      </c>
      <c r="E237" t="s">
        <v>22</v>
      </c>
      <c r="G237" t="b">
        <v>1</v>
      </c>
      <c r="H237" t="s">
        <v>253</v>
      </c>
      <c r="I237">
        <v>4</v>
      </c>
      <c r="J237" t="s">
        <v>257</v>
      </c>
      <c r="K237" t="s">
        <v>258</v>
      </c>
      <c r="M237">
        <v>120000.8</v>
      </c>
    </row>
    <row r="238" spans="1:13" hidden="1" x14ac:dyDescent="0.25">
      <c r="A238" s="1" t="s">
        <v>59</v>
      </c>
      <c r="B238">
        <v>92</v>
      </c>
      <c r="C238" s="1" t="s">
        <v>251</v>
      </c>
      <c r="D238">
        <v>319</v>
      </c>
      <c r="E238" t="s">
        <v>48</v>
      </c>
      <c r="G238" t="b">
        <v>1</v>
      </c>
      <c r="H238" t="s">
        <v>253</v>
      </c>
      <c r="I238">
        <v>5</v>
      </c>
      <c r="J238" t="s">
        <v>257</v>
      </c>
      <c r="K238" t="s">
        <v>258</v>
      </c>
      <c r="M238">
        <v>120000.05</v>
      </c>
    </row>
    <row r="239" spans="1:13" hidden="1" x14ac:dyDescent="0.25">
      <c r="A239" s="1" t="s">
        <v>4185</v>
      </c>
      <c r="B239">
        <v>271</v>
      </c>
      <c r="C239" s="1" t="s">
        <v>251</v>
      </c>
      <c r="D239">
        <v>772</v>
      </c>
      <c r="E239" t="s">
        <v>4195</v>
      </c>
      <c r="G239" t="b">
        <v>1</v>
      </c>
      <c r="H239" t="s">
        <v>253</v>
      </c>
      <c r="I239">
        <v>2</v>
      </c>
      <c r="J239" t="s">
        <v>257</v>
      </c>
      <c r="K239" t="s">
        <v>258</v>
      </c>
      <c r="M239">
        <v>159667.20000000001</v>
      </c>
    </row>
    <row r="240" spans="1:13" hidden="1" x14ac:dyDescent="0.25">
      <c r="A240" s="1" t="s">
        <v>4185</v>
      </c>
      <c r="B240">
        <v>271</v>
      </c>
      <c r="C240" s="1" t="s">
        <v>251</v>
      </c>
      <c r="D240">
        <v>774</v>
      </c>
      <c r="E240" t="s">
        <v>4210</v>
      </c>
      <c r="G240" t="b">
        <v>1</v>
      </c>
      <c r="H240" t="s">
        <v>253</v>
      </c>
      <c r="I240">
        <v>4</v>
      </c>
      <c r="J240" t="s">
        <v>254</v>
      </c>
      <c r="K240" t="s">
        <v>255</v>
      </c>
      <c r="M240">
        <v>317495</v>
      </c>
    </row>
    <row r="241" spans="1:13" hidden="1" x14ac:dyDescent="0.25">
      <c r="A241" s="1" t="s">
        <v>4185</v>
      </c>
      <c r="B241">
        <v>271</v>
      </c>
      <c r="C241" s="1" t="s">
        <v>251</v>
      </c>
      <c r="D241">
        <v>773</v>
      </c>
      <c r="E241" t="s">
        <v>285</v>
      </c>
      <c r="G241" t="b">
        <v>1</v>
      </c>
      <c r="H241" t="s">
        <v>253</v>
      </c>
      <c r="I241">
        <v>3</v>
      </c>
      <c r="J241" t="s">
        <v>257</v>
      </c>
      <c r="K241" t="s">
        <v>6117</v>
      </c>
      <c r="M241">
        <v>160000</v>
      </c>
    </row>
    <row r="242" spans="1:13" hidden="1" x14ac:dyDescent="0.25">
      <c r="A242" s="1" t="s">
        <v>4185</v>
      </c>
      <c r="B242">
        <v>271</v>
      </c>
      <c r="C242" s="1" t="s">
        <v>251</v>
      </c>
      <c r="D242">
        <v>771</v>
      </c>
      <c r="E242" t="s">
        <v>287</v>
      </c>
      <c r="G242" t="b">
        <v>1</v>
      </c>
      <c r="H242" t="s">
        <v>264</v>
      </c>
      <c r="I242">
        <v>1</v>
      </c>
      <c r="J242" t="s">
        <v>257</v>
      </c>
      <c r="K242" t="s">
        <v>6117</v>
      </c>
      <c r="M242">
        <v>212500</v>
      </c>
    </row>
    <row r="243" spans="1:13" hidden="1" x14ac:dyDescent="0.25">
      <c r="A243" s="1" t="s">
        <v>271</v>
      </c>
      <c r="B243">
        <v>30</v>
      </c>
      <c r="C243" s="1" t="s">
        <v>251</v>
      </c>
      <c r="D243">
        <v>229</v>
      </c>
      <c r="E243" t="s">
        <v>272</v>
      </c>
      <c r="G243" t="b">
        <v>1</v>
      </c>
      <c r="H243" t="s">
        <v>253</v>
      </c>
      <c r="I243">
        <v>4</v>
      </c>
      <c r="J243" t="s">
        <v>254</v>
      </c>
      <c r="K243" t="s">
        <v>273</v>
      </c>
      <c r="M243">
        <v>132787.88</v>
      </c>
    </row>
    <row r="244" spans="1:13" hidden="1" x14ac:dyDescent="0.25">
      <c r="A244" s="1" t="s">
        <v>271</v>
      </c>
      <c r="B244">
        <v>30</v>
      </c>
      <c r="C244" s="1" t="s">
        <v>251</v>
      </c>
      <c r="D244">
        <v>218</v>
      </c>
      <c r="E244" t="s">
        <v>274</v>
      </c>
      <c r="G244" t="b">
        <v>1</v>
      </c>
      <c r="H244" t="s">
        <v>253</v>
      </c>
      <c r="I244">
        <v>2</v>
      </c>
      <c r="J244" t="s">
        <v>257</v>
      </c>
      <c r="K244" t="s">
        <v>6117</v>
      </c>
      <c r="M244">
        <v>146800</v>
      </c>
    </row>
    <row r="245" spans="1:13" hidden="1" x14ac:dyDescent="0.25">
      <c r="A245" s="1" t="s">
        <v>271</v>
      </c>
      <c r="B245">
        <v>30</v>
      </c>
      <c r="C245" s="1" t="s">
        <v>251</v>
      </c>
      <c r="D245">
        <v>221</v>
      </c>
      <c r="E245" t="s">
        <v>275</v>
      </c>
      <c r="G245" t="b">
        <v>1</v>
      </c>
      <c r="H245" t="s">
        <v>253</v>
      </c>
      <c r="I245">
        <v>3</v>
      </c>
      <c r="J245" t="s">
        <v>257</v>
      </c>
      <c r="K245" t="s">
        <v>6116</v>
      </c>
      <c r="M245">
        <v>149745</v>
      </c>
    </row>
    <row r="246" spans="1:13" hidden="1" x14ac:dyDescent="0.25">
      <c r="A246" s="1" t="s">
        <v>271</v>
      </c>
      <c r="B246">
        <v>30</v>
      </c>
      <c r="C246" s="1" t="s">
        <v>251</v>
      </c>
      <c r="D246">
        <v>76</v>
      </c>
      <c r="E246" t="s">
        <v>276</v>
      </c>
      <c r="G246" t="b">
        <v>1</v>
      </c>
      <c r="H246" t="s">
        <v>264</v>
      </c>
      <c r="I246">
        <v>1</v>
      </c>
      <c r="J246" t="s">
        <v>254</v>
      </c>
      <c r="K246" t="s">
        <v>260</v>
      </c>
      <c r="M246">
        <v>320141.96999999997</v>
      </c>
    </row>
    <row r="247" spans="1:13" hidden="1" x14ac:dyDescent="0.25">
      <c r="A247" s="1" t="s">
        <v>3209</v>
      </c>
      <c r="B247">
        <v>154</v>
      </c>
      <c r="C247" s="1" t="s">
        <v>251</v>
      </c>
      <c r="D247">
        <v>582</v>
      </c>
      <c r="E247" t="s">
        <v>3239</v>
      </c>
      <c r="G247" t="b">
        <v>1</v>
      </c>
      <c r="H247" t="s">
        <v>253</v>
      </c>
      <c r="I247">
        <v>4</v>
      </c>
      <c r="J247" t="s">
        <v>254</v>
      </c>
      <c r="K247" t="s">
        <v>273</v>
      </c>
      <c r="M247">
        <v>239553</v>
      </c>
    </row>
    <row r="248" spans="1:13" hidden="1" x14ac:dyDescent="0.25">
      <c r="A248" s="1" t="s">
        <v>3209</v>
      </c>
      <c r="B248">
        <v>154</v>
      </c>
      <c r="C248" s="1" t="s">
        <v>251</v>
      </c>
      <c r="D248">
        <v>580</v>
      </c>
      <c r="E248" t="s">
        <v>3227</v>
      </c>
      <c r="G248" t="b">
        <v>1</v>
      </c>
      <c r="H248" t="s">
        <v>253</v>
      </c>
      <c r="I248">
        <v>3</v>
      </c>
      <c r="J248" t="s">
        <v>257</v>
      </c>
      <c r="K248" t="s">
        <v>282</v>
      </c>
      <c r="M248">
        <v>266170</v>
      </c>
    </row>
    <row r="249" spans="1:13" hidden="1" x14ac:dyDescent="0.25">
      <c r="A249" s="1" t="s">
        <v>3209</v>
      </c>
      <c r="B249">
        <v>154</v>
      </c>
      <c r="C249" s="1" t="s">
        <v>251</v>
      </c>
      <c r="D249">
        <v>577</v>
      </c>
      <c r="E249" t="s">
        <v>285</v>
      </c>
      <c r="G249" t="b">
        <v>1</v>
      </c>
      <c r="H249" t="s">
        <v>264</v>
      </c>
      <c r="I249">
        <v>1</v>
      </c>
      <c r="J249" t="s">
        <v>257</v>
      </c>
      <c r="K249" t="s">
        <v>6117</v>
      </c>
      <c r="M249">
        <v>301415.59999999998</v>
      </c>
    </row>
    <row r="250" spans="1:13" hidden="1" x14ac:dyDescent="0.25">
      <c r="A250" s="1" t="s">
        <v>3209</v>
      </c>
      <c r="B250">
        <v>154</v>
      </c>
      <c r="C250" s="1" t="s">
        <v>251</v>
      </c>
      <c r="D250">
        <v>578</v>
      </c>
      <c r="E250" t="s">
        <v>3218</v>
      </c>
      <c r="G250" t="b">
        <v>1</v>
      </c>
      <c r="H250" t="s">
        <v>253</v>
      </c>
      <c r="I250">
        <v>2</v>
      </c>
      <c r="J250" t="s">
        <v>254</v>
      </c>
      <c r="K250" t="s">
        <v>255</v>
      </c>
      <c r="M250">
        <v>250029.19</v>
      </c>
    </row>
    <row r="251" spans="1:13" hidden="1" x14ac:dyDescent="0.25">
      <c r="A251" s="1" t="s">
        <v>57</v>
      </c>
      <c r="B251">
        <v>91</v>
      </c>
      <c r="C251" s="1" t="s">
        <v>251</v>
      </c>
      <c r="D251">
        <v>312</v>
      </c>
      <c r="E251" t="s">
        <v>29</v>
      </c>
      <c r="G251" t="b">
        <v>1</v>
      </c>
      <c r="H251" t="s">
        <v>253</v>
      </c>
      <c r="I251">
        <v>10</v>
      </c>
      <c r="J251" t="s">
        <v>257</v>
      </c>
      <c r="K251" t="s">
        <v>6117</v>
      </c>
      <c r="M251">
        <v>312088</v>
      </c>
    </row>
    <row r="252" spans="1:13" hidden="1" x14ac:dyDescent="0.25">
      <c r="A252" s="1" t="s">
        <v>57</v>
      </c>
      <c r="B252">
        <v>91</v>
      </c>
      <c r="C252" s="1" t="s">
        <v>251</v>
      </c>
      <c r="D252">
        <v>305</v>
      </c>
      <c r="E252" t="s">
        <v>0</v>
      </c>
      <c r="G252" t="b">
        <v>1</v>
      </c>
      <c r="H252" t="s">
        <v>253</v>
      </c>
      <c r="I252">
        <v>3</v>
      </c>
      <c r="J252" t="s">
        <v>254</v>
      </c>
      <c r="K252" t="s">
        <v>260</v>
      </c>
      <c r="M252">
        <v>437500</v>
      </c>
    </row>
    <row r="253" spans="1:13" hidden="1" x14ac:dyDescent="0.25">
      <c r="A253" s="1" t="s">
        <v>57</v>
      </c>
      <c r="B253">
        <v>91</v>
      </c>
      <c r="C253" s="1" t="s">
        <v>251</v>
      </c>
      <c r="D253">
        <v>306</v>
      </c>
      <c r="E253" t="s">
        <v>34</v>
      </c>
      <c r="G253" t="b">
        <v>1</v>
      </c>
      <c r="H253" t="s">
        <v>253</v>
      </c>
      <c r="I253">
        <v>4</v>
      </c>
      <c r="J253" t="s">
        <v>254</v>
      </c>
      <c r="K253" t="s">
        <v>260</v>
      </c>
      <c r="M253">
        <v>350000</v>
      </c>
    </row>
    <row r="254" spans="1:13" hidden="1" x14ac:dyDescent="0.25">
      <c r="A254" s="1" t="s">
        <v>57</v>
      </c>
      <c r="B254">
        <v>91</v>
      </c>
      <c r="C254" s="1" t="s">
        <v>251</v>
      </c>
      <c r="D254">
        <v>311</v>
      </c>
      <c r="E254" t="s">
        <v>45</v>
      </c>
      <c r="G254" t="b">
        <v>1</v>
      </c>
      <c r="H254" t="s">
        <v>253</v>
      </c>
      <c r="I254">
        <v>9</v>
      </c>
      <c r="J254" t="s">
        <v>257</v>
      </c>
      <c r="K254" t="s">
        <v>6117</v>
      </c>
      <c r="M254">
        <v>312500</v>
      </c>
    </row>
    <row r="255" spans="1:13" hidden="1" x14ac:dyDescent="0.25">
      <c r="A255" s="1" t="s">
        <v>57</v>
      </c>
      <c r="B255">
        <v>91</v>
      </c>
      <c r="C255" s="1" t="s">
        <v>251</v>
      </c>
      <c r="D255">
        <v>316</v>
      </c>
      <c r="E255" t="s">
        <v>42</v>
      </c>
      <c r="G255" t="b">
        <v>1</v>
      </c>
      <c r="H255" t="s">
        <v>253</v>
      </c>
      <c r="I255">
        <v>12</v>
      </c>
      <c r="J255" t="s">
        <v>257</v>
      </c>
      <c r="K255" t="s">
        <v>6116</v>
      </c>
      <c r="M255">
        <v>312500</v>
      </c>
    </row>
    <row r="256" spans="1:13" hidden="1" x14ac:dyDescent="0.25">
      <c r="A256" s="1" t="s">
        <v>57</v>
      </c>
      <c r="B256">
        <v>91</v>
      </c>
      <c r="C256" s="1" t="s">
        <v>251</v>
      </c>
      <c r="D256">
        <v>309</v>
      </c>
      <c r="E256" t="s">
        <v>27</v>
      </c>
      <c r="G256" t="b">
        <v>1</v>
      </c>
      <c r="H256" t="s">
        <v>253</v>
      </c>
      <c r="I256">
        <v>7</v>
      </c>
      <c r="J256" t="s">
        <v>257</v>
      </c>
      <c r="K256" t="s">
        <v>6117</v>
      </c>
      <c r="M256">
        <v>375000</v>
      </c>
    </row>
    <row r="257" spans="1:13" hidden="1" x14ac:dyDescent="0.25">
      <c r="A257" s="1" t="s">
        <v>57</v>
      </c>
      <c r="B257">
        <v>91</v>
      </c>
      <c r="C257" s="1" t="s">
        <v>251</v>
      </c>
      <c r="D257">
        <v>304</v>
      </c>
      <c r="E257" t="s">
        <v>20</v>
      </c>
      <c r="G257" t="b">
        <v>1</v>
      </c>
      <c r="H257" t="s">
        <v>253</v>
      </c>
      <c r="I257">
        <v>2</v>
      </c>
      <c r="J257" t="s">
        <v>254</v>
      </c>
      <c r="K257" t="s">
        <v>260</v>
      </c>
      <c r="M257">
        <v>437500</v>
      </c>
    </row>
    <row r="258" spans="1:13" hidden="1" x14ac:dyDescent="0.25">
      <c r="A258" s="1" t="s">
        <v>57</v>
      </c>
      <c r="B258">
        <v>91</v>
      </c>
      <c r="C258" s="1" t="s">
        <v>251</v>
      </c>
      <c r="D258">
        <v>307</v>
      </c>
      <c r="E258" t="s">
        <v>380</v>
      </c>
      <c r="G258" t="b">
        <v>1</v>
      </c>
      <c r="H258" t="s">
        <v>253</v>
      </c>
      <c r="I258">
        <v>5</v>
      </c>
      <c r="J258" t="s">
        <v>254</v>
      </c>
      <c r="K258" t="s">
        <v>266</v>
      </c>
      <c r="M258">
        <v>312489.8</v>
      </c>
    </row>
    <row r="259" spans="1:13" hidden="1" x14ac:dyDescent="0.25">
      <c r="A259" s="1" t="s">
        <v>57</v>
      </c>
      <c r="B259">
        <v>91</v>
      </c>
      <c r="C259" s="1" t="s">
        <v>251</v>
      </c>
      <c r="D259">
        <v>310</v>
      </c>
      <c r="E259" t="s">
        <v>50</v>
      </c>
      <c r="G259" t="b">
        <v>1</v>
      </c>
      <c r="H259" t="s">
        <v>253</v>
      </c>
      <c r="I259">
        <v>8</v>
      </c>
      <c r="J259" t="s">
        <v>257</v>
      </c>
      <c r="K259" t="s">
        <v>6117</v>
      </c>
      <c r="M259">
        <v>312500</v>
      </c>
    </row>
    <row r="260" spans="1:13" hidden="1" x14ac:dyDescent="0.25">
      <c r="A260" s="1" t="s">
        <v>57</v>
      </c>
      <c r="B260">
        <v>91</v>
      </c>
      <c r="C260" s="1" t="s">
        <v>251</v>
      </c>
      <c r="D260">
        <v>303</v>
      </c>
      <c r="E260" t="s">
        <v>39</v>
      </c>
      <c r="G260" t="b">
        <v>1</v>
      </c>
      <c r="H260" t="s">
        <v>264</v>
      </c>
      <c r="I260">
        <v>1</v>
      </c>
      <c r="J260" t="s">
        <v>254</v>
      </c>
      <c r="K260" t="s">
        <v>260</v>
      </c>
      <c r="M260">
        <v>625564.4</v>
      </c>
    </row>
    <row r="261" spans="1:13" hidden="1" x14ac:dyDescent="0.25">
      <c r="A261" s="1" t="s">
        <v>57</v>
      </c>
      <c r="B261">
        <v>91</v>
      </c>
      <c r="C261" s="1" t="s">
        <v>251</v>
      </c>
      <c r="D261">
        <v>308</v>
      </c>
      <c r="E261" t="s">
        <v>23</v>
      </c>
      <c r="G261" t="b">
        <v>1</v>
      </c>
      <c r="H261" t="s">
        <v>253</v>
      </c>
      <c r="I261">
        <v>6</v>
      </c>
      <c r="J261" t="s">
        <v>254</v>
      </c>
      <c r="K261" t="s">
        <v>381</v>
      </c>
      <c r="M261">
        <v>275000.09999999998</v>
      </c>
    </row>
    <row r="262" spans="1:13" hidden="1" x14ac:dyDescent="0.25">
      <c r="A262" s="1" t="s">
        <v>57</v>
      </c>
      <c r="B262">
        <v>91</v>
      </c>
      <c r="C262" s="1" t="s">
        <v>251</v>
      </c>
      <c r="D262">
        <v>313</v>
      </c>
      <c r="E262" t="s">
        <v>24</v>
      </c>
      <c r="G262" t="b">
        <v>1</v>
      </c>
      <c r="H262" t="s">
        <v>253</v>
      </c>
      <c r="I262">
        <v>11</v>
      </c>
      <c r="J262" t="s">
        <v>257</v>
      </c>
      <c r="K262" t="s">
        <v>6117</v>
      </c>
      <c r="M262">
        <v>312357.7</v>
      </c>
    </row>
    <row r="263" spans="1:13" hidden="1" x14ac:dyDescent="0.25">
      <c r="A263" s="1" t="s">
        <v>331</v>
      </c>
      <c r="B263">
        <v>68</v>
      </c>
      <c r="C263" s="1" t="s">
        <v>251</v>
      </c>
      <c r="D263">
        <v>252</v>
      </c>
      <c r="E263" t="s">
        <v>332</v>
      </c>
      <c r="G263" t="b">
        <v>1</v>
      </c>
      <c r="H263" t="s">
        <v>253</v>
      </c>
      <c r="I263">
        <v>2</v>
      </c>
      <c r="J263" t="s">
        <v>254</v>
      </c>
      <c r="K263" t="s">
        <v>255</v>
      </c>
      <c r="M263">
        <v>100885.75999999999</v>
      </c>
    </row>
    <row r="264" spans="1:13" hidden="1" x14ac:dyDescent="0.25">
      <c r="A264" s="1" t="s">
        <v>331</v>
      </c>
      <c r="B264">
        <v>68</v>
      </c>
      <c r="C264" s="1" t="s">
        <v>251</v>
      </c>
      <c r="D264">
        <v>256</v>
      </c>
      <c r="E264" t="s">
        <v>333</v>
      </c>
      <c r="G264" t="b">
        <v>1</v>
      </c>
      <c r="H264" t="s">
        <v>253</v>
      </c>
      <c r="I264">
        <v>6</v>
      </c>
      <c r="J264" t="s">
        <v>257</v>
      </c>
      <c r="K264" t="s">
        <v>258</v>
      </c>
      <c r="M264">
        <v>134199.82</v>
      </c>
    </row>
    <row r="265" spans="1:13" hidden="1" x14ac:dyDescent="0.25">
      <c r="A265" s="1" t="s">
        <v>331</v>
      </c>
      <c r="B265">
        <v>68</v>
      </c>
      <c r="C265" s="1" t="s">
        <v>251</v>
      </c>
      <c r="D265">
        <v>253</v>
      </c>
      <c r="E265" t="s">
        <v>334</v>
      </c>
      <c r="G265" t="b">
        <v>1</v>
      </c>
      <c r="H265" t="s">
        <v>253</v>
      </c>
      <c r="I265">
        <v>3</v>
      </c>
      <c r="J265" t="s">
        <v>254</v>
      </c>
      <c r="K265" t="s">
        <v>255</v>
      </c>
      <c r="M265">
        <v>100035.7</v>
      </c>
    </row>
    <row r="266" spans="1:13" hidden="1" x14ac:dyDescent="0.25">
      <c r="A266" s="1" t="s">
        <v>331</v>
      </c>
      <c r="B266">
        <v>68</v>
      </c>
      <c r="C266" s="1" t="s">
        <v>251</v>
      </c>
      <c r="D266">
        <v>254</v>
      </c>
      <c r="E266" t="s">
        <v>335</v>
      </c>
      <c r="G266" t="b">
        <v>1</v>
      </c>
      <c r="H266" t="s">
        <v>253</v>
      </c>
      <c r="I266">
        <v>4</v>
      </c>
      <c r="J266" t="s">
        <v>254</v>
      </c>
      <c r="K266" t="s">
        <v>260</v>
      </c>
      <c r="M266">
        <v>100000</v>
      </c>
    </row>
    <row r="267" spans="1:13" hidden="1" x14ac:dyDescent="0.25">
      <c r="A267" s="1" t="s">
        <v>331</v>
      </c>
      <c r="B267">
        <v>68</v>
      </c>
      <c r="C267" s="1" t="s">
        <v>251</v>
      </c>
      <c r="D267">
        <v>255</v>
      </c>
      <c r="E267" t="s">
        <v>336</v>
      </c>
      <c r="G267" t="b">
        <v>1</v>
      </c>
      <c r="H267" t="s">
        <v>253</v>
      </c>
      <c r="I267">
        <v>5</v>
      </c>
      <c r="J267" t="s">
        <v>254</v>
      </c>
      <c r="K267" t="s">
        <v>273</v>
      </c>
      <c r="M267">
        <v>173750</v>
      </c>
    </row>
    <row r="268" spans="1:13" hidden="1" x14ac:dyDescent="0.25">
      <c r="A268" s="1" t="s">
        <v>331</v>
      </c>
      <c r="B268">
        <v>68</v>
      </c>
      <c r="C268" s="1" t="s">
        <v>251</v>
      </c>
      <c r="D268">
        <v>189</v>
      </c>
      <c r="E268" t="s">
        <v>330</v>
      </c>
      <c r="G268" t="b">
        <v>1</v>
      </c>
      <c r="H268" t="s">
        <v>264</v>
      </c>
      <c r="I268">
        <v>1</v>
      </c>
      <c r="J268" t="s">
        <v>257</v>
      </c>
      <c r="K268" t="s">
        <v>6117</v>
      </c>
      <c r="M268">
        <v>140965.84</v>
      </c>
    </row>
    <row r="269" spans="1:13" hidden="1" x14ac:dyDescent="0.25">
      <c r="A269" s="1" t="s">
        <v>350</v>
      </c>
      <c r="B269">
        <v>75</v>
      </c>
      <c r="C269" s="1" t="s">
        <v>251</v>
      </c>
      <c r="D269">
        <v>176</v>
      </c>
      <c r="E269" t="s">
        <v>351</v>
      </c>
      <c r="G269" t="b">
        <v>1</v>
      </c>
      <c r="H269" t="s">
        <v>253</v>
      </c>
      <c r="I269">
        <v>2</v>
      </c>
      <c r="J269" t="s">
        <v>254</v>
      </c>
      <c r="K269" t="s">
        <v>273</v>
      </c>
      <c r="M269">
        <v>70869</v>
      </c>
    </row>
    <row r="270" spans="1:13" hidden="1" x14ac:dyDescent="0.25">
      <c r="A270" s="1" t="s">
        <v>350</v>
      </c>
      <c r="B270">
        <v>75</v>
      </c>
      <c r="C270" s="1" t="s">
        <v>251</v>
      </c>
      <c r="D270">
        <v>170</v>
      </c>
      <c r="E270" t="s">
        <v>352</v>
      </c>
      <c r="G270" t="b">
        <v>1</v>
      </c>
      <c r="H270" t="s">
        <v>264</v>
      </c>
      <c r="I270">
        <v>1</v>
      </c>
      <c r="J270" t="s">
        <v>254</v>
      </c>
      <c r="K270" t="s">
        <v>255</v>
      </c>
      <c r="M270">
        <v>177225.4</v>
      </c>
    </row>
    <row r="271" spans="1:13" hidden="1" x14ac:dyDescent="0.25">
      <c r="A271" s="1" t="s">
        <v>350</v>
      </c>
      <c r="B271">
        <v>75</v>
      </c>
      <c r="C271" s="1" t="s">
        <v>251</v>
      </c>
      <c r="D271">
        <v>177</v>
      </c>
      <c r="E271" t="s">
        <v>353</v>
      </c>
      <c r="G271" t="b">
        <v>1</v>
      </c>
      <c r="H271" t="s">
        <v>253</v>
      </c>
      <c r="I271">
        <v>3</v>
      </c>
      <c r="J271" t="s">
        <v>254</v>
      </c>
      <c r="K271" t="s">
        <v>273</v>
      </c>
      <c r="M271">
        <v>79852.12</v>
      </c>
    </row>
    <row r="272" spans="1:13" hidden="1" x14ac:dyDescent="0.25">
      <c r="A272" s="1" t="s">
        <v>350</v>
      </c>
      <c r="B272">
        <v>75</v>
      </c>
      <c r="C272" s="1" t="s">
        <v>251</v>
      </c>
      <c r="D272">
        <v>194</v>
      </c>
      <c r="E272" t="s">
        <v>354</v>
      </c>
      <c r="G272" t="b">
        <v>1</v>
      </c>
      <c r="H272" t="s">
        <v>253</v>
      </c>
      <c r="I272">
        <v>5</v>
      </c>
      <c r="J272" t="s">
        <v>257</v>
      </c>
      <c r="K272" t="s">
        <v>258</v>
      </c>
      <c r="M272">
        <v>79996</v>
      </c>
    </row>
    <row r="273" spans="1:13" hidden="1" x14ac:dyDescent="0.25">
      <c r="A273" s="1" t="s">
        <v>350</v>
      </c>
      <c r="B273">
        <v>75</v>
      </c>
      <c r="C273" s="1" t="s">
        <v>251</v>
      </c>
      <c r="D273">
        <v>178</v>
      </c>
      <c r="E273" t="s">
        <v>355</v>
      </c>
      <c r="G273" t="b">
        <v>1</v>
      </c>
      <c r="H273" t="s">
        <v>253</v>
      </c>
      <c r="I273">
        <v>4</v>
      </c>
      <c r="J273" t="s">
        <v>257</v>
      </c>
      <c r="K273" t="s">
        <v>258</v>
      </c>
      <c r="M273">
        <v>119980</v>
      </c>
    </row>
    <row r="274" spans="1:13" hidden="1" x14ac:dyDescent="0.25">
      <c r="A274" s="1" t="s">
        <v>350</v>
      </c>
      <c r="B274">
        <v>75</v>
      </c>
      <c r="C274" s="1" t="s">
        <v>251</v>
      </c>
      <c r="D274">
        <v>219</v>
      </c>
      <c r="E274" t="s">
        <v>356</v>
      </c>
      <c r="G274" t="b">
        <v>1</v>
      </c>
      <c r="H274" t="s">
        <v>253</v>
      </c>
      <c r="I274">
        <v>6</v>
      </c>
      <c r="J274" t="s">
        <v>257</v>
      </c>
      <c r="K274" t="s">
        <v>258</v>
      </c>
      <c r="M274">
        <v>69972</v>
      </c>
    </row>
    <row r="275" spans="1:13" hidden="1" x14ac:dyDescent="0.25">
      <c r="A275" s="1" t="s">
        <v>63</v>
      </c>
      <c r="B275">
        <v>80</v>
      </c>
      <c r="C275" s="1" t="s">
        <v>251</v>
      </c>
      <c r="D275">
        <v>288</v>
      </c>
      <c r="E275" t="s">
        <v>37</v>
      </c>
      <c r="G275" t="b">
        <v>1</v>
      </c>
      <c r="H275" t="s">
        <v>253</v>
      </c>
      <c r="I275">
        <v>4</v>
      </c>
      <c r="J275" t="s">
        <v>254</v>
      </c>
      <c r="K275" t="s">
        <v>266</v>
      </c>
      <c r="M275">
        <v>175089.6</v>
      </c>
    </row>
    <row r="276" spans="1:13" hidden="1" x14ac:dyDescent="0.25">
      <c r="A276" s="1" t="s">
        <v>63</v>
      </c>
      <c r="B276">
        <v>80</v>
      </c>
      <c r="C276" s="1" t="s">
        <v>251</v>
      </c>
      <c r="D276">
        <v>286</v>
      </c>
      <c r="E276" t="s">
        <v>360</v>
      </c>
      <c r="G276" t="b">
        <v>1</v>
      </c>
      <c r="H276" t="s">
        <v>253</v>
      </c>
      <c r="I276">
        <v>2</v>
      </c>
      <c r="J276" t="s">
        <v>257</v>
      </c>
      <c r="K276" t="s">
        <v>6116</v>
      </c>
      <c r="M276">
        <v>150000</v>
      </c>
    </row>
    <row r="277" spans="1:13" hidden="1" x14ac:dyDescent="0.25">
      <c r="A277" s="1" t="s">
        <v>63</v>
      </c>
      <c r="B277">
        <v>80</v>
      </c>
      <c r="C277" s="1" t="s">
        <v>251</v>
      </c>
      <c r="D277">
        <v>287</v>
      </c>
      <c r="E277" t="s">
        <v>51</v>
      </c>
      <c r="G277" t="b">
        <v>1</v>
      </c>
      <c r="H277" t="s">
        <v>253</v>
      </c>
      <c r="I277">
        <v>3</v>
      </c>
      <c r="J277" t="s">
        <v>254</v>
      </c>
      <c r="K277" t="s">
        <v>260</v>
      </c>
      <c r="M277">
        <v>175314.06</v>
      </c>
    </row>
    <row r="278" spans="1:13" hidden="1" x14ac:dyDescent="0.25">
      <c r="A278" s="1" t="s">
        <v>63</v>
      </c>
      <c r="B278">
        <v>80</v>
      </c>
      <c r="C278" s="1" t="s">
        <v>251</v>
      </c>
      <c r="D278">
        <v>230</v>
      </c>
      <c r="E278" t="s">
        <v>46</v>
      </c>
      <c r="G278" t="b">
        <v>1</v>
      </c>
      <c r="H278" t="s">
        <v>264</v>
      </c>
      <c r="I278">
        <v>1</v>
      </c>
      <c r="J278" t="s">
        <v>257</v>
      </c>
      <c r="K278" t="s">
        <v>6117</v>
      </c>
      <c r="M278">
        <v>248969.54</v>
      </c>
    </row>
    <row r="279" spans="1:13" hidden="1" x14ac:dyDescent="0.25">
      <c r="A279" s="1" t="s">
        <v>373</v>
      </c>
      <c r="B279">
        <v>90</v>
      </c>
      <c r="C279" s="1" t="s">
        <v>251</v>
      </c>
      <c r="D279">
        <v>298</v>
      </c>
      <c r="E279" t="s">
        <v>374</v>
      </c>
      <c r="G279" t="b">
        <v>1</v>
      </c>
      <c r="H279" t="s">
        <v>253</v>
      </c>
      <c r="I279">
        <v>2</v>
      </c>
      <c r="J279" t="s">
        <v>254</v>
      </c>
      <c r="K279" t="s">
        <v>265</v>
      </c>
      <c r="M279">
        <v>248848</v>
      </c>
    </row>
    <row r="280" spans="1:13" hidden="1" x14ac:dyDescent="0.25">
      <c r="A280" s="1" t="s">
        <v>373</v>
      </c>
      <c r="B280">
        <v>90</v>
      </c>
      <c r="C280" s="1" t="s">
        <v>251</v>
      </c>
      <c r="D280">
        <v>299</v>
      </c>
      <c r="E280" t="s">
        <v>375</v>
      </c>
      <c r="G280" t="b">
        <v>1</v>
      </c>
      <c r="H280" t="s">
        <v>253</v>
      </c>
      <c r="I280">
        <v>3</v>
      </c>
      <c r="J280" t="s">
        <v>257</v>
      </c>
      <c r="K280" t="s">
        <v>258</v>
      </c>
      <c r="M280">
        <v>44625</v>
      </c>
    </row>
    <row r="281" spans="1:13" hidden="1" x14ac:dyDescent="0.25">
      <c r="A281" s="1" t="s">
        <v>373</v>
      </c>
      <c r="B281">
        <v>90</v>
      </c>
      <c r="C281" s="1" t="s">
        <v>251</v>
      </c>
      <c r="D281">
        <v>297</v>
      </c>
      <c r="E281" t="s">
        <v>376</v>
      </c>
      <c r="G281" t="b">
        <v>1</v>
      </c>
      <c r="H281" t="s">
        <v>264</v>
      </c>
      <c r="I281">
        <v>1</v>
      </c>
      <c r="J281" t="s">
        <v>254</v>
      </c>
      <c r="K281" t="s">
        <v>265</v>
      </c>
      <c r="M281">
        <v>128000</v>
      </c>
    </row>
    <row r="282" spans="1:13" hidden="1" x14ac:dyDescent="0.25">
      <c r="A282" s="1" t="s">
        <v>373</v>
      </c>
      <c r="B282">
        <v>90</v>
      </c>
      <c r="C282" s="1" t="s">
        <v>251</v>
      </c>
      <c r="D282">
        <v>302</v>
      </c>
      <c r="E282" t="s">
        <v>377</v>
      </c>
      <c r="G282" t="b">
        <v>1</v>
      </c>
      <c r="H282" t="s">
        <v>253</v>
      </c>
      <c r="I282">
        <v>6</v>
      </c>
      <c r="J282" t="s">
        <v>254</v>
      </c>
      <c r="K282" t="s">
        <v>255</v>
      </c>
      <c r="M282">
        <v>65232</v>
      </c>
    </row>
    <row r="283" spans="1:13" hidden="1" x14ac:dyDescent="0.25">
      <c r="A283" s="1" t="s">
        <v>373</v>
      </c>
      <c r="B283">
        <v>90</v>
      </c>
      <c r="C283" s="1" t="s">
        <v>251</v>
      </c>
      <c r="D283">
        <v>301</v>
      </c>
      <c r="E283" t="s">
        <v>378</v>
      </c>
      <c r="G283" t="b">
        <v>1</v>
      </c>
      <c r="H283" t="s">
        <v>253</v>
      </c>
      <c r="I283">
        <v>5</v>
      </c>
      <c r="J283" t="s">
        <v>254</v>
      </c>
      <c r="K283" t="s">
        <v>260</v>
      </c>
      <c r="M283">
        <v>70035.7</v>
      </c>
    </row>
    <row r="284" spans="1:13" hidden="1" x14ac:dyDescent="0.25">
      <c r="A284" s="1" t="s">
        <v>373</v>
      </c>
      <c r="B284">
        <v>90</v>
      </c>
      <c r="C284" s="1" t="s">
        <v>251</v>
      </c>
      <c r="D284">
        <v>300</v>
      </c>
      <c r="E284" t="s">
        <v>379</v>
      </c>
      <c r="G284" t="b">
        <v>1</v>
      </c>
      <c r="H284" t="s">
        <v>253</v>
      </c>
      <c r="I284">
        <v>4</v>
      </c>
      <c r="J284" t="s">
        <v>257</v>
      </c>
      <c r="K284" t="s">
        <v>6117</v>
      </c>
      <c r="M284">
        <v>39000</v>
      </c>
    </row>
    <row r="285" spans="1:13" hidden="1" x14ac:dyDescent="0.25">
      <c r="A285" s="1" t="s">
        <v>4128</v>
      </c>
      <c r="B285">
        <v>267</v>
      </c>
      <c r="C285" s="1" t="s">
        <v>251</v>
      </c>
      <c r="D285">
        <v>735</v>
      </c>
      <c r="E285" t="s">
        <v>4157</v>
      </c>
      <c r="G285" t="b">
        <v>1</v>
      </c>
      <c r="H285" t="s">
        <v>253</v>
      </c>
      <c r="I285">
        <v>4</v>
      </c>
      <c r="J285" t="s">
        <v>254</v>
      </c>
      <c r="K285" t="s">
        <v>265</v>
      </c>
      <c r="M285">
        <v>110026</v>
      </c>
    </row>
    <row r="286" spans="1:13" hidden="1" x14ac:dyDescent="0.25">
      <c r="A286" s="1" t="s">
        <v>4128</v>
      </c>
      <c r="B286">
        <v>267</v>
      </c>
      <c r="C286" s="1" t="s">
        <v>251</v>
      </c>
      <c r="D286">
        <v>736</v>
      </c>
      <c r="E286" t="s">
        <v>4168</v>
      </c>
      <c r="G286" t="b">
        <v>1</v>
      </c>
      <c r="H286" t="s">
        <v>253</v>
      </c>
      <c r="I286">
        <v>5</v>
      </c>
      <c r="J286" t="s">
        <v>257</v>
      </c>
      <c r="K286" t="s">
        <v>258</v>
      </c>
      <c r="M286">
        <v>158256</v>
      </c>
    </row>
    <row r="287" spans="1:13" hidden="1" x14ac:dyDescent="0.25">
      <c r="A287" s="1" t="s">
        <v>4128</v>
      </c>
      <c r="B287">
        <v>267</v>
      </c>
      <c r="C287" s="1" t="s">
        <v>251</v>
      </c>
      <c r="D287">
        <v>734</v>
      </c>
      <c r="E287" t="s">
        <v>4145</v>
      </c>
      <c r="G287" t="b">
        <v>1</v>
      </c>
      <c r="H287" t="s">
        <v>253</v>
      </c>
      <c r="I287">
        <v>3</v>
      </c>
      <c r="J287" t="s">
        <v>257</v>
      </c>
      <c r="K287" t="s">
        <v>6117</v>
      </c>
      <c r="M287">
        <v>132432.72</v>
      </c>
    </row>
    <row r="288" spans="1:13" hidden="1" x14ac:dyDescent="0.25">
      <c r="A288" s="1" t="s">
        <v>4128</v>
      </c>
      <c r="B288">
        <v>267</v>
      </c>
      <c r="C288" s="1" t="s">
        <v>251</v>
      </c>
      <c r="D288">
        <v>737</v>
      </c>
      <c r="E288" t="s">
        <v>4181</v>
      </c>
      <c r="G288" t="b">
        <v>1</v>
      </c>
      <c r="H288" t="s">
        <v>253</v>
      </c>
      <c r="I288">
        <v>6</v>
      </c>
      <c r="J288" t="s">
        <v>254</v>
      </c>
      <c r="K288" t="s">
        <v>255</v>
      </c>
      <c r="M288">
        <v>95000.08</v>
      </c>
    </row>
    <row r="289" spans="1:13" hidden="1" x14ac:dyDescent="0.25">
      <c r="A289" s="1" t="s">
        <v>4128</v>
      </c>
      <c r="B289">
        <v>267</v>
      </c>
      <c r="C289" s="1" t="s">
        <v>251</v>
      </c>
      <c r="D289">
        <v>709</v>
      </c>
      <c r="E289" t="s">
        <v>752</v>
      </c>
      <c r="G289" t="b">
        <v>1</v>
      </c>
      <c r="H289" t="s">
        <v>264</v>
      </c>
      <c r="I289">
        <v>1</v>
      </c>
      <c r="J289" t="s">
        <v>257</v>
      </c>
      <c r="K289" t="s">
        <v>258</v>
      </c>
      <c r="M289">
        <v>134720</v>
      </c>
    </row>
    <row r="290" spans="1:13" hidden="1" x14ac:dyDescent="0.25">
      <c r="A290" s="1" t="s">
        <v>4128</v>
      </c>
      <c r="B290">
        <v>267</v>
      </c>
      <c r="C290" s="1" t="s">
        <v>251</v>
      </c>
      <c r="D290">
        <v>733</v>
      </c>
      <c r="E290" t="s">
        <v>4058</v>
      </c>
      <c r="G290" t="b">
        <v>1</v>
      </c>
      <c r="H290" t="s">
        <v>253</v>
      </c>
      <c r="I290">
        <v>2</v>
      </c>
      <c r="J290" t="s">
        <v>254</v>
      </c>
      <c r="K290" t="s">
        <v>302</v>
      </c>
      <c r="M290">
        <v>166999.79999999999</v>
      </c>
    </row>
    <row r="291" spans="1:13" hidden="1" x14ac:dyDescent="0.25">
      <c r="A291" s="1" t="s">
        <v>64</v>
      </c>
      <c r="B291">
        <v>103</v>
      </c>
      <c r="C291" s="1" t="s">
        <v>251</v>
      </c>
      <c r="D291">
        <v>333</v>
      </c>
      <c r="E291" s="31" t="s">
        <v>43</v>
      </c>
      <c r="G291" t="b">
        <v>1</v>
      </c>
      <c r="H291" t="s">
        <v>264</v>
      </c>
      <c r="I291">
        <v>1</v>
      </c>
      <c r="J291" t="s">
        <v>254</v>
      </c>
      <c r="K291" t="s">
        <v>266</v>
      </c>
      <c r="M291">
        <v>11441970</v>
      </c>
    </row>
    <row r="292" spans="1:13" hidden="1" x14ac:dyDescent="0.25">
      <c r="A292" s="1" t="s">
        <v>2919</v>
      </c>
      <c r="B292">
        <v>136</v>
      </c>
      <c r="C292" s="1" t="s">
        <v>251</v>
      </c>
      <c r="D292">
        <v>575</v>
      </c>
      <c r="E292" t="s">
        <v>2992</v>
      </c>
      <c r="G292" t="b">
        <v>1</v>
      </c>
      <c r="H292" t="s">
        <v>253</v>
      </c>
      <c r="I292">
        <v>7</v>
      </c>
      <c r="J292" t="s">
        <v>254</v>
      </c>
      <c r="K292" t="s">
        <v>2995</v>
      </c>
      <c r="M292">
        <v>121529.2</v>
      </c>
    </row>
    <row r="293" spans="1:13" hidden="1" x14ac:dyDescent="0.25">
      <c r="A293" s="1" t="s">
        <v>2919</v>
      </c>
      <c r="B293">
        <v>136</v>
      </c>
      <c r="C293" s="1" t="s">
        <v>251</v>
      </c>
      <c r="D293">
        <v>428</v>
      </c>
      <c r="E293" t="s">
        <v>2949</v>
      </c>
      <c r="G293" t="b">
        <v>1</v>
      </c>
      <c r="H293" t="s">
        <v>253</v>
      </c>
      <c r="I293">
        <v>3</v>
      </c>
      <c r="J293" t="s">
        <v>254</v>
      </c>
      <c r="K293" t="s">
        <v>2952</v>
      </c>
      <c r="M293">
        <v>113121.60000000001</v>
      </c>
    </row>
    <row r="294" spans="1:13" hidden="1" x14ac:dyDescent="0.25">
      <c r="A294" s="1" t="s">
        <v>2919</v>
      </c>
      <c r="B294">
        <v>136</v>
      </c>
      <c r="C294" s="1" t="s">
        <v>251</v>
      </c>
      <c r="D294">
        <v>429</v>
      </c>
      <c r="E294" t="s">
        <v>2964</v>
      </c>
      <c r="G294" t="b">
        <v>1</v>
      </c>
      <c r="H294" t="s">
        <v>253</v>
      </c>
      <c r="I294">
        <v>4</v>
      </c>
      <c r="J294" t="s">
        <v>257</v>
      </c>
      <c r="K294" t="s">
        <v>258</v>
      </c>
      <c r="M294">
        <v>121433</v>
      </c>
    </row>
    <row r="295" spans="1:13" hidden="1" x14ac:dyDescent="0.25">
      <c r="A295" s="1" t="s">
        <v>2919</v>
      </c>
      <c r="B295">
        <v>136</v>
      </c>
      <c r="C295" s="1" t="s">
        <v>251</v>
      </c>
      <c r="D295">
        <v>414</v>
      </c>
      <c r="E295" t="s">
        <v>2921</v>
      </c>
      <c r="G295" t="b">
        <v>1</v>
      </c>
      <c r="H295" t="s">
        <v>264</v>
      </c>
      <c r="I295">
        <v>1</v>
      </c>
      <c r="J295" t="s">
        <v>254</v>
      </c>
      <c r="K295" t="s">
        <v>381</v>
      </c>
      <c r="M295">
        <v>305806</v>
      </c>
    </row>
    <row r="296" spans="1:13" hidden="1" x14ac:dyDescent="0.25">
      <c r="A296" s="1" t="s">
        <v>2919</v>
      </c>
      <c r="B296">
        <v>136</v>
      </c>
      <c r="C296" s="1" t="s">
        <v>251</v>
      </c>
      <c r="D296">
        <v>629</v>
      </c>
      <c r="E296" t="s">
        <v>3008</v>
      </c>
      <c r="G296" t="b">
        <v>1</v>
      </c>
      <c r="H296" t="s">
        <v>253</v>
      </c>
      <c r="I296">
        <v>8</v>
      </c>
      <c r="J296" t="s">
        <v>257</v>
      </c>
      <c r="K296" t="s">
        <v>258</v>
      </c>
      <c r="M296">
        <v>91700</v>
      </c>
    </row>
    <row r="297" spans="1:13" hidden="1" x14ac:dyDescent="0.25">
      <c r="A297" s="1" t="s">
        <v>2919</v>
      </c>
      <c r="B297">
        <v>136</v>
      </c>
      <c r="C297" s="1" t="s">
        <v>251</v>
      </c>
      <c r="D297">
        <v>427</v>
      </c>
      <c r="E297" t="s">
        <v>2939</v>
      </c>
      <c r="G297" t="b">
        <v>1</v>
      </c>
      <c r="H297" t="s">
        <v>253</v>
      </c>
      <c r="I297">
        <v>2</v>
      </c>
      <c r="J297" t="s">
        <v>257</v>
      </c>
      <c r="K297" t="s">
        <v>258</v>
      </c>
      <c r="M297">
        <v>189532</v>
      </c>
    </row>
    <row r="298" spans="1:13" hidden="1" x14ac:dyDescent="0.25">
      <c r="A298" s="1" t="s">
        <v>2919</v>
      </c>
      <c r="B298">
        <v>136</v>
      </c>
      <c r="C298" s="1" t="s">
        <v>251</v>
      </c>
      <c r="D298">
        <v>431</v>
      </c>
      <c r="E298" t="s">
        <v>2984</v>
      </c>
      <c r="G298" t="b">
        <v>1</v>
      </c>
      <c r="H298" t="s">
        <v>253</v>
      </c>
      <c r="I298">
        <v>6</v>
      </c>
      <c r="J298" t="s">
        <v>257</v>
      </c>
      <c r="K298" t="s">
        <v>258</v>
      </c>
      <c r="M298">
        <v>82600</v>
      </c>
    </row>
    <row r="299" spans="1:13" hidden="1" x14ac:dyDescent="0.25">
      <c r="A299" s="1" t="s">
        <v>2919</v>
      </c>
      <c r="B299">
        <v>136</v>
      </c>
      <c r="C299" s="1" t="s">
        <v>251</v>
      </c>
      <c r="D299">
        <v>430</v>
      </c>
      <c r="E299" t="s">
        <v>69</v>
      </c>
      <c r="G299" t="b">
        <v>1</v>
      </c>
      <c r="H299" t="s">
        <v>253</v>
      </c>
      <c r="I299">
        <v>5</v>
      </c>
      <c r="J299" t="s">
        <v>254</v>
      </c>
      <c r="K299" t="s">
        <v>255</v>
      </c>
      <c r="M299">
        <v>99259.199999999997</v>
      </c>
    </row>
    <row r="300" spans="1:13" hidden="1" x14ac:dyDescent="0.25">
      <c r="A300" s="1" t="s">
        <v>60</v>
      </c>
      <c r="B300">
        <v>65</v>
      </c>
      <c r="C300" s="1" t="s">
        <v>251</v>
      </c>
      <c r="D300">
        <v>138</v>
      </c>
      <c r="E300" t="s">
        <v>328</v>
      </c>
      <c r="G300" t="b">
        <v>1</v>
      </c>
      <c r="H300" t="s">
        <v>253</v>
      </c>
      <c r="I300">
        <v>4</v>
      </c>
      <c r="J300" t="s">
        <v>254</v>
      </c>
      <c r="K300" t="s">
        <v>273</v>
      </c>
      <c r="M300">
        <v>99906.6</v>
      </c>
    </row>
    <row r="301" spans="1:13" hidden="1" x14ac:dyDescent="0.25">
      <c r="A301" s="1" t="s">
        <v>60</v>
      </c>
      <c r="B301">
        <v>65</v>
      </c>
      <c r="C301" s="1" t="s">
        <v>251</v>
      </c>
      <c r="D301">
        <v>94</v>
      </c>
      <c r="E301" t="s">
        <v>68</v>
      </c>
      <c r="G301" t="b">
        <v>1</v>
      </c>
      <c r="H301" t="s">
        <v>264</v>
      </c>
      <c r="I301">
        <v>1</v>
      </c>
      <c r="J301" t="s">
        <v>254</v>
      </c>
      <c r="K301" t="s">
        <v>255</v>
      </c>
      <c r="M301">
        <v>121781.8</v>
      </c>
    </row>
    <row r="302" spans="1:13" hidden="1" x14ac:dyDescent="0.25">
      <c r="A302" s="1" t="s">
        <v>60</v>
      </c>
      <c r="B302">
        <v>65</v>
      </c>
      <c r="C302" s="1" t="s">
        <v>251</v>
      </c>
      <c r="D302">
        <v>173</v>
      </c>
      <c r="E302" t="s">
        <v>329</v>
      </c>
      <c r="G302" t="b">
        <v>1</v>
      </c>
      <c r="H302" t="s">
        <v>253</v>
      </c>
      <c r="I302">
        <v>6</v>
      </c>
      <c r="J302" t="s">
        <v>254</v>
      </c>
      <c r="K302" t="s">
        <v>260</v>
      </c>
      <c r="M302">
        <v>100587.5</v>
      </c>
    </row>
    <row r="303" spans="1:13" hidden="1" x14ac:dyDescent="0.25">
      <c r="A303" s="1" t="s">
        <v>60</v>
      </c>
      <c r="B303">
        <v>65</v>
      </c>
      <c r="C303" s="1" t="s">
        <v>251</v>
      </c>
      <c r="D303">
        <v>95</v>
      </c>
      <c r="E303" t="s">
        <v>35</v>
      </c>
      <c r="G303" t="b">
        <v>1</v>
      </c>
      <c r="H303" t="s">
        <v>253</v>
      </c>
      <c r="I303">
        <v>2</v>
      </c>
      <c r="J303" t="s">
        <v>257</v>
      </c>
      <c r="K303" t="s">
        <v>6117</v>
      </c>
      <c r="M303">
        <v>110363.5</v>
      </c>
    </row>
    <row r="304" spans="1:13" hidden="1" x14ac:dyDescent="0.25">
      <c r="A304" s="1" t="s">
        <v>60</v>
      </c>
      <c r="B304">
        <v>65</v>
      </c>
      <c r="C304" s="1" t="s">
        <v>251</v>
      </c>
      <c r="D304">
        <v>172</v>
      </c>
      <c r="E304" t="s">
        <v>26</v>
      </c>
      <c r="G304" t="b">
        <v>1</v>
      </c>
      <c r="H304" t="s">
        <v>253</v>
      </c>
      <c r="I304">
        <v>5</v>
      </c>
      <c r="J304" t="s">
        <v>257</v>
      </c>
      <c r="K304" t="s">
        <v>282</v>
      </c>
      <c r="M304">
        <v>119170</v>
      </c>
    </row>
    <row r="305" spans="1:13" hidden="1" x14ac:dyDescent="0.25">
      <c r="A305" s="1" t="s">
        <v>60</v>
      </c>
      <c r="B305">
        <v>65</v>
      </c>
      <c r="C305" s="1" t="s">
        <v>251</v>
      </c>
      <c r="D305">
        <v>137</v>
      </c>
      <c r="E305" t="s">
        <v>330</v>
      </c>
      <c r="G305" t="b">
        <v>1</v>
      </c>
      <c r="H305" t="s">
        <v>253</v>
      </c>
      <c r="I305">
        <v>3</v>
      </c>
      <c r="J305" t="s">
        <v>257</v>
      </c>
      <c r="K305" t="s">
        <v>6117</v>
      </c>
      <c r="M305">
        <v>109315.4</v>
      </c>
    </row>
    <row r="306" spans="1:13" hidden="1" x14ac:dyDescent="0.25">
      <c r="A306" s="1" t="s">
        <v>3091</v>
      </c>
      <c r="B306">
        <v>150</v>
      </c>
      <c r="C306" s="1" t="s">
        <v>251</v>
      </c>
      <c r="D306">
        <v>620</v>
      </c>
      <c r="E306" t="s">
        <v>3095</v>
      </c>
      <c r="G306" t="b">
        <v>1</v>
      </c>
      <c r="H306" t="s">
        <v>253</v>
      </c>
      <c r="I306">
        <v>2</v>
      </c>
      <c r="J306" t="s">
        <v>254</v>
      </c>
      <c r="K306" t="s">
        <v>255</v>
      </c>
      <c r="M306">
        <v>173320</v>
      </c>
    </row>
    <row r="307" spans="1:13" hidden="1" x14ac:dyDescent="0.25">
      <c r="A307" s="1" t="s">
        <v>3091</v>
      </c>
      <c r="B307">
        <v>150</v>
      </c>
      <c r="C307" s="1" t="s">
        <v>251</v>
      </c>
      <c r="D307">
        <v>623</v>
      </c>
      <c r="E307" t="s">
        <v>321</v>
      </c>
      <c r="G307" t="b">
        <v>1</v>
      </c>
      <c r="H307" t="s">
        <v>253</v>
      </c>
      <c r="I307">
        <v>3</v>
      </c>
      <c r="J307" t="s">
        <v>257</v>
      </c>
      <c r="K307" t="s">
        <v>6117</v>
      </c>
      <c r="M307">
        <v>167434.17000000001</v>
      </c>
    </row>
    <row r="308" spans="1:13" hidden="1" x14ac:dyDescent="0.25">
      <c r="A308" s="1" t="s">
        <v>3091</v>
      </c>
      <c r="B308">
        <v>150</v>
      </c>
      <c r="C308" s="1" t="s">
        <v>251</v>
      </c>
      <c r="D308">
        <v>625</v>
      </c>
      <c r="E308" t="s">
        <v>752</v>
      </c>
      <c r="G308" t="b">
        <v>1</v>
      </c>
      <c r="H308" t="s">
        <v>253</v>
      </c>
      <c r="I308">
        <v>4</v>
      </c>
      <c r="J308" t="s">
        <v>257</v>
      </c>
      <c r="K308" t="s">
        <v>258</v>
      </c>
      <c r="M308">
        <v>169137.92000000001</v>
      </c>
    </row>
    <row r="309" spans="1:13" hidden="1" x14ac:dyDescent="0.25">
      <c r="A309" s="1" t="s">
        <v>3091</v>
      </c>
      <c r="B309">
        <v>150</v>
      </c>
      <c r="C309" s="1" t="s">
        <v>251</v>
      </c>
      <c r="D309">
        <v>494</v>
      </c>
      <c r="E309" t="s">
        <v>286</v>
      </c>
      <c r="G309" t="b">
        <v>1</v>
      </c>
      <c r="H309" t="s">
        <v>264</v>
      </c>
      <c r="I309">
        <v>1</v>
      </c>
      <c r="J309" t="s">
        <v>254</v>
      </c>
      <c r="K309" t="s">
        <v>273</v>
      </c>
      <c r="M309">
        <v>207202.8</v>
      </c>
    </row>
    <row r="310" spans="1:13" hidden="1" x14ac:dyDescent="0.25">
      <c r="A310" s="1" t="s">
        <v>67</v>
      </c>
      <c r="B310">
        <v>62</v>
      </c>
      <c r="C310" s="1" t="s">
        <v>251</v>
      </c>
      <c r="D310">
        <v>169</v>
      </c>
      <c r="E310" t="s">
        <v>323</v>
      </c>
      <c r="G310" t="b">
        <v>1</v>
      </c>
      <c r="H310" t="s">
        <v>253</v>
      </c>
      <c r="I310">
        <v>6</v>
      </c>
      <c r="J310" t="s">
        <v>254</v>
      </c>
      <c r="K310" t="s">
        <v>260</v>
      </c>
      <c r="M310">
        <v>84725.2</v>
      </c>
    </row>
    <row r="311" spans="1:13" hidden="1" x14ac:dyDescent="0.25">
      <c r="A311" s="1" t="s">
        <v>67</v>
      </c>
      <c r="B311">
        <v>62</v>
      </c>
      <c r="C311" s="1" t="s">
        <v>251</v>
      </c>
      <c r="D311">
        <v>166</v>
      </c>
      <c r="E311" t="s">
        <v>324</v>
      </c>
      <c r="G311" t="b">
        <v>1</v>
      </c>
      <c r="H311" t="s">
        <v>253</v>
      </c>
      <c r="I311">
        <v>4</v>
      </c>
      <c r="J311" t="s">
        <v>254</v>
      </c>
      <c r="K311" t="s">
        <v>260</v>
      </c>
      <c r="M311">
        <v>100132.2</v>
      </c>
    </row>
    <row r="312" spans="1:13" hidden="1" x14ac:dyDescent="0.25">
      <c r="A312" s="1" t="s">
        <v>67</v>
      </c>
      <c r="B312">
        <v>62</v>
      </c>
      <c r="C312" s="1" t="s">
        <v>251</v>
      </c>
      <c r="D312">
        <v>165</v>
      </c>
      <c r="E312" t="s">
        <v>56</v>
      </c>
      <c r="G312" t="b">
        <v>1</v>
      </c>
      <c r="H312" t="s">
        <v>253</v>
      </c>
      <c r="I312">
        <v>3</v>
      </c>
      <c r="J312" t="s">
        <v>257</v>
      </c>
      <c r="K312" t="s">
        <v>258</v>
      </c>
      <c r="M312">
        <v>100100</v>
      </c>
    </row>
    <row r="313" spans="1:13" hidden="1" x14ac:dyDescent="0.25">
      <c r="A313" s="1" t="s">
        <v>67</v>
      </c>
      <c r="B313">
        <v>62</v>
      </c>
      <c r="C313" s="1" t="s">
        <v>251</v>
      </c>
      <c r="D313">
        <v>162</v>
      </c>
      <c r="E313" t="s">
        <v>325</v>
      </c>
      <c r="G313" t="b">
        <v>1</v>
      </c>
      <c r="H313" t="s">
        <v>264</v>
      </c>
      <c r="I313">
        <v>1</v>
      </c>
      <c r="J313" t="s">
        <v>254</v>
      </c>
      <c r="K313" t="s">
        <v>255</v>
      </c>
      <c r="M313">
        <v>127652.8</v>
      </c>
    </row>
    <row r="314" spans="1:13" hidden="1" x14ac:dyDescent="0.25">
      <c r="A314" s="1" t="s">
        <v>67</v>
      </c>
      <c r="B314">
        <v>62</v>
      </c>
      <c r="C314" s="1" t="s">
        <v>251</v>
      </c>
      <c r="D314">
        <v>164</v>
      </c>
      <c r="E314" t="s">
        <v>326</v>
      </c>
      <c r="G314" t="b">
        <v>1</v>
      </c>
      <c r="H314" t="s">
        <v>253</v>
      </c>
      <c r="I314">
        <v>2</v>
      </c>
      <c r="J314" t="s">
        <v>254</v>
      </c>
      <c r="K314" t="s">
        <v>255</v>
      </c>
      <c r="M314">
        <v>96516</v>
      </c>
    </row>
    <row r="315" spans="1:13" hidden="1" x14ac:dyDescent="0.25">
      <c r="A315" s="1" t="s">
        <v>67</v>
      </c>
      <c r="B315">
        <v>62</v>
      </c>
      <c r="C315" s="1" t="s">
        <v>251</v>
      </c>
      <c r="D315">
        <v>168</v>
      </c>
      <c r="E315" t="s">
        <v>327</v>
      </c>
      <c r="G315" t="b">
        <v>1</v>
      </c>
      <c r="H315" t="s">
        <v>253</v>
      </c>
      <c r="I315">
        <v>5</v>
      </c>
      <c r="J315" t="s">
        <v>257</v>
      </c>
      <c r="K315" t="s">
        <v>6117</v>
      </c>
      <c r="M315">
        <v>84885.64</v>
      </c>
    </row>
    <row r="316" spans="1:13" hidden="1" x14ac:dyDescent="0.25">
      <c r="A316" s="1" t="s">
        <v>3248</v>
      </c>
      <c r="B316">
        <v>155</v>
      </c>
      <c r="C316" s="1" t="s">
        <v>251</v>
      </c>
      <c r="D316">
        <v>657</v>
      </c>
      <c r="E316" t="s">
        <v>3280</v>
      </c>
      <c r="G316" t="b">
        <v>1</v>
      </c>
      <c r="H316" t="s">
        <v>253</v>
      </c>
      <c r="I316">
        <v>4</v>
      </c>
      <c r="J316" t="s">
        <v>257</v>
      </c>
      <c r="K316" t="s">
        <v>6117</v>
      </c>
      <c r="M316">
        <v>97402.4</v>
      </c>
    </row>
    <row r="317" spans="1:13" hidden="1" x14ac:dyDescent="0.25">
      <c r="A317" s="1" t="s">
        <v>3248</v>
      </c>
      <c r="B317">
        <v>155</v>
      </c>
      <c r="C317" s="1" t="s">
        <v>251</v>
      </c>
      <c r="D317">
        <v>656</v>
      </c>
      <c r="E317" t="s">
        <v>325</v>
      </c>
      <c r="G317" t="b">
        <v>1</v>
      </c>
      <c r="H317" t="s">
        <v>253</v>
      </c>
      <c r="I317">
        <v>3</v>
      </c>
      <c r="J317" t="s">
        <v>254</v>
      </c>
      <c r="K317" t="s">
        <v>255</v>
      </c>
      <c r="M317">
        <v>210935.1</v>
      </c>
    </row>
    <row r="318" spans="1:13" hidden="1" x14ac:dyDescent="0.25">
      <c r="A318" s="1" t="s">
        <v>3248</v>
      </c>
      <c r="B318">
        <v>155</v>
      </c>
      <c r="C318" s="1" t="s">
        <v>251</v>
      </c>
      <c r="D318">
        <v>389</v>
      </c>
      <c r="E318" t="s">
        <v>359</v>
      </c>
      <c r="G318" t="b">
        <v>1</v>
      </c>
      <c r="H318" t="s">
        <v>264</v>
      </c>
      <c r="I318">
        <v>1</v>
      </c>
      <c r="J318" t="s">
        <v>254</v>
      </c>
      <c r="K318" t="s">
        <v>265</v>
      </c>
      <c r="M318">
        <v>230222.43</v>
      </c>
    </row>
    <row r="319" spans="1:13" hidden="1" x14ac:dyDescent="0.25">
      <c r="A319" s="1" t="s">
        <v>3248</v>
      </c>
      <c r="B319">
        <v>155</v>
      </c>
      <c r="C319" s="1" t="s">
        <v>251</v>
      </c>
      <c r="D319">
        <v>648</v>
      </c>
      <c r="E319" t="s">
        <v>3259</v>
      </c>
      <c r="G319" t="b">
        <v>1</v>
      </c>
      <c r="H319" t="s">
        <v>253</v>
      </c>
      <c r="I319">
        <v>2</v>
      </c>
      <c r="J319" t="s">
        <v>257</v>
      </c>
      <c r="K319" t="s">
        <v>258</v>
      </c>
      <c r="M319">
        <v>197852.54</v>
      </c>
    </row>
    <row r="320" spans="1:13" hidden="1" x14ac:dyDescent="0.25">
      <c r="A320" s="1" t="s">
        <v>3248</v>
      </c>
      <c r="B320">
        <v>155</v>
      </c>
      <c r="C320" s="1" t="s">
        <v>251</v>
      </c>
      <c r="D320">
        <v>660</v>
      </c>
      <c r="E320" t="s">
        <v>3287</v>
      </c>
      <c r="G320" t="b">
        <v>1</v>
      </c>
      <c r="H320" t="s">
        <v>253</v>
      </c>
      <c r="I320">
        <v>5</v>
      </c>
      <c r="J320" t="s">
        <v>254</v>
      </c>
      <c r="K320" t="s">
        <v>302</v>
      </c>
      <c r="M320">
        <v>165716.96</v>
      </c>
    </row>
    <row r="321" spans="1:13" hidden="1" x14ac:dyDescent="0.25">
      <c r="A321" s="1" t="s">
        <v>66</v>
      </c>
      <c r="B321">
        <v>86</v>
      </c>
      <c r="C321" s="1" t="s">
        <v>251</v>
      </c>
      <c r="D321">
        <v>262</v>
      </c>
      <c r="E321" t="s">
        <v>371</v>
      </c>
      <c r="G321" t="b">
        <v>1</v>
      </c>
      <c r="H321" t="s">
        <v>253</v>
      </c>
      <c r="I321">
        <v>5</v>
      </c>
      <c r="J321" t="s">
        <v>254</v>
      </c>
      <c r="K321" t="s">
        <v>255</v>
      </c>
      <c r="M321">
        <v>124800</v>
      </c>
    </row>
    <row r="322" spans="1:13" hidden="1" x14ac:dyDescent="0.25">
      <c r="A322" s="1" t="s">
        <v>66</v>
      </c>
      <c r="B322">
        <v>86</v>
      </c>
      <c r="C322" s="1" t="s">
        <v>251</v>
      </c>
      <c r="D322">
        <v>259</v>
      </c>
      <c r="E322" t="s">
        <v>55</v>
      </c>
      <c r="G322" t="b">
        <v>1</v>
      </c>
      <c r="H322" t="s">
        <v>253</v>
      </c>
      <c r="I322">
        <v>2</v>
      </c>
      <c r="J322" t="s">
        <v>257</v>
      </c>
      <c r="K322" t="s">
        <v>6116</v>
      </c>
      <c r="M322">
        <v>140000</v>
      </c>
    </row>
    <row r="323" spans="1:13" hidden="1" x14ac:dyDescent="0.25">
      <c r="A323" s="1" t="s">
        <v>66</v>
      </c>
      <c r="B323">
        <v>86</v>
      </c>
      <c r="C323" s="1" t="s">
        <v>251</v>
      </c>
      <c r="D323">
        <v>261</v>
      </c>
      <c r="E323" t="s">
        <v>372</v>
      </c>
      <c r="G323" t="b">
        <v>1</v>
      </c>
      <c r="H323" t="s">
        <v>253</v>
      </c>
      <c r="I323">
        <v>4</v>
      </c>
      <c r="J323" t="s">
        <v>257</v>
      </c>
      <c r="K323" t="s">
        <v>6117</v>
      </c>
      <c r="M323">
        <v>124992</v>
      </c>
    </row>
    <row r="324" spans="1:13" hidden="1" x14ac:dyDescent="0.25">
      <c r="A324" s="1" t="s">
        <v>66</v>
      </c>
      <c r="B324">
        <v>86</v>
      </c>
      <c r="C324" s="1" t="s">
        <v>251</v>
      </c>
      <c r="D324">
        <v>260</v>
      </c>
      <c r="E324" t="s">
        <v>36</v>
      </c>
      <c r="G324" t="b">
        <v>1</v>
      </c>
      <c r="H324" t="s">
        <v>253</v>
      </c>
      <c r="I324">
        <v>3</v>
      </c>
      <c r="J324" t="s">
        <v>257</v>
      </c>
      <c r="K324" t="s">
        <v>6116</v>
      </c>
      <c r="M324">
        <v>110000</v>
      </c>
    </row>
    <row r="325" spans="1:13" hidden="1" x14ac:dyDescent="0.25">
      <c r="A325" s="1" t="s">
        <v>66</v>
      </c>
      <c r="B325">
        <v>86</v>
      </c>
      <c r="C325" s="1" t="s">
        <v>251</v>
      </c>
      <c r="D325">
        <v>258</v>
      </c>
      <c r="E325" t="s">
        <v>21</v>
      </c>
      <c r="G325" t="b">
        <v>1</v>
      </c>
      <c r="H325" t="s">
        <v>264</v>
      </c>
      <c r="I325">
        <v>1</v>
      </c>
      <c r="J325" t="s">
        <v>254</v>
      </c>
      <c r="K325" t="s">
        <v>255</v>
      </c>
      <c r="M325">
        <v>249999.97</v>
      </c>
    </row>
    <row r="326" spans="1:13" hidden="1" x14ac:dyDescent="0.25">
      <c r="A326" s="17" t="s">
        <v>277</v>
      </c>
      <c r="B326">
        <v>33</v>
      </c>
      <c r="C326" s="1" t="s">
        <v>251</v>
      </c>
      <c r="D326">
        <v>233</v>
      </c>
      <c r="E326" t="s">
        <v>278</v>
      </c>
      <c r="G326" t="b">
        <v>1</v>
      </c>
      <c r="H326" t="s">
        <v>253</v>
      </c>
      <c r="I326">
        <v>5</v>
      </c>
      <c r="J326" t="s">
        <v>254</v>
      </c>
      <c r="K326" t="s">
        <v>255</v>
      </c>
      <c r="M326">
        <v>85132.3</v>
      </c>
    </row>
    <row r="327" spans="1:13" hidden="1" x14ac:dyDescent="0.25">
      <c r="A327" s="17" t="s">
        <v>277</v>
      </c>
      <c r="B327">
        <v>33</v>
      </c>
      <c r="C327" s="1" t="s">
        <v>251</v>
      </c>
      <c r="D327">
        <v>120</v>
      </c>
      <c r="E327" t="s">
        <v>279</v>
      </c>
      <c r="G327" t="b">
        <v>1</v>
      </c>
      <c r="H327" t="s">
        <v>253</v>
      </c>
      <c r="I327">
        <v>4</v>
      </c>
      <c r="J327" t="s">
        <v>254</v>
      </c>
      <c r="K327" t="s">
        <v>260</v>
      </c>
      <c r="M327">
        <v>120557.5</v>
      </c>
    </row>
    <row r="328" spans="1:13" hidden="1" x14ac:dyDescent="0.25">
      <c r="A328" s="17" t="s">
        <v>277</v>
      </c>
      <c r="B328">
        <v>33</v>
      </c>
      <c r="C328" s="1" t="s">
        <v>251</v>
      </c>
      <c r="D328">
        <v>118</v>
      </c>
      <c r="E328" t="s">
        <v>280</v>
      </c>
      <c r="G328" t="b">
        <v>1</v>
      </c>
      <c r="H328" t="s">
        <v>253</v>
      </c>
      <c r="I328">
        <v>2</v>
      </c>
      <c r="J328" t="s">
        <v>257</v>
      </c>
      <c r="K328" t="s">
        <v>6117</v>
      </c>
      <c r="M328">
        <v>185700</v>
      </c>
    </row>
    <row r="329" spans="1:13" hidden="1" x14ac:dyDescent="0.25">
      <c r="A329" s="17" t="s">
        <v>277</v>
      </c>
      <c r="B329">
        <v>33</v>
      </c>
      <c r="C329" s="1" t="s">
        <v>251</v>
      </c>
      <c r="D329">
        <v>119</v>
      </c>
      <c r="E329" t="s">
        <v>275</v>
      </c>
      <c r="G329" t="b">
        <v>1</v>
      </c>
      <c r="H329" t="s">
        <v>253</v>
      </c>
      <c r="I329">
        <v>3</v>
      </c>
      <c r="J329" t="s">
        <v>257</v>
      </c>
      <c r="K329" t="s">
        <v>6116</v>
      </c>
      <c r="M329">
        <v>107706</v>
      </c>
    </row>
    <row r="330" spans="1:13" hidden="1" x14ac:dyDescent="0.25">
      <c r="A330" s="17" t="s">
        <v>277</v>
      </c>
      <c r="B330">
        <v>33</v>
      </c>
      <c r="C330" s="1" t="s">
        <v>251</v>
      </c>
      <c r="D330">
        <v>93</v>
      </c>
      <c r="E330" t="s">
        <v>281</v>
      </c>
      <c r="G330" t="b">
        <v>1</v>
      </c>
      <c r="H330" t="s">
        <v>264</v>
      </c>
      <c r="I330">
        <v>1</v>
      </c>
      <c r="J330" t="s">
        <v>257</v>
      </c>
      <c r="K330" t="s">
        <v>282</v>
      </c>
      <c r="M330">
        <v>239887</v>
      </c>
    </row>
    <row r="331" spans="1:13" hidden="1" x14ac:dyDescent="0.25">
      <c r="A331" s="17" t="s">
        <v>310</v>
      </c>
      <c r="B331">
        <v>54</v>
      </c>
      <c r="C331" s="1" t="s">
        <v>251</v>
      </c>
      <c r="D331">
        <v>181</v>
      </c>
      <c r="E331" t="s">
        <v>311</v>
      </c>
      <c r="G331" t="b">
        <v>1</v>
      </c>
      <c r="H331" t="s">
        <v>253</v>
      </c>
      <c r="I331">
        <v>3</v>
      </c>
      <c r="J331" t="s">
        <v>254</v>
      </c>
      <c r="K331" t="s">
        <v>255</v>
      </c>
      <c r="M331">
        <v>144729</v>
      </c>
    </row>
    <row r="332" spans="1:13" hidden="1" x14ac:dyDescent="0.25">
      <c r="A332" s="17" t="s">
        <v>310</v>
      </c>
      <c r="B332">
        <v>54</v>
      </c>
      <c r="C332" s="1" t="s">
        <v>251</v>
      </c>
      <c r="D332">
        <v>80</v>
      </c>
      <c r="E332" t="s">
        <v>32</v>
      </c>
      <c r="G332" t="b">
        <v>1</v>
      </c>
      <c r="H332" t="s">
        <v>264</v>
      </c>
      <c r="I332">
        <v>1</v>
      </c>
      <c r="J332" t="s">
        <v>254</v>
      </c>
      <c r="K332" t="s">
        <v>255</v>
      </c>
      <c r="M332">
        <v>150246.35999999999</v>
      </c>
    </row>
    <row r="333" spans="1:13" hidden="1" x14ac:dyDescent="0.25">
      <c r="A333" s="17" t="s">
        <v>310</v>
      </c>
      <c r="B333">
        <v>54</v>
      </c>
      <c r="C333" s="1" t="s">
        <v>251</v>
      </c>
      <c r="D333">
        <v>182</v>
      </c>
      <c r="E333" t="s">
        <v>38</v>
      </c>
      <c r="G333" t="b">
        <v>1</v>
      </c>
      <c r="H333" t="s">
        <v>253</v>
      </c>
      <c r="I333">
        <v>4</v>
      </c>
      <c r="J333" t="s">
        <v>257</v>
      </c>
      <c r="K333" t="s">
        <v>6117</v>
      </c>
      <c r="M333">
        <v>230000</v>
      </c>
    </row>
    <row r="334" spans="1:13" hidden="1" x14ac:dyDescent="0.25">
      <c r="A334" s="17" t="s">
        <v>310</v>
      </c>
      <c r="B334">
        <v>54</v>
      </c>
      <c r="C334" s="1" t="s">
        <v>251</v>
      </c>
      <c r="D334">
        <v>86</v>
      </c>
      <c r="E334" t="s">
        <v>46</v>
      </c>
      <c r="G334" t="b">
        <v>1</v>
      </c>
      <c r="H334" t="s">
        <v>253</v>
      </c>
      <c r="I334">
        <v>2</v>
      </c>
      <c r="J334" t="s">
        <v>257</v>
      </c>
      <c r="K334" t="s">
        <v>6117</v>
      </c>
      <c r="M334">
        <v>224965.17</v>
      </c>
    </row>
  </sheetData>
  <phoneticPr fontId="10" type="noConversion"/>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7"/>
  <dimension ref="A1:E40"/>
  <sheetViews>
    <sheetView workbookViewId="0">
      <selection activeCell="G24" sqref="G24"/>
    </sheetView>
  </sheetViews>
  <sheetFormatPr defaultRowHeight="15" x14ac:dyDescent="0.25"/>
  <cols>
    <col min="1" max="1" width="21" bestFit="1" customWidth="1"/>
    <col min="2" max="2" width="19.5703125" bestFit="1" customWidth="1"/>
    <col min="3" max="3" width="30.85546875" style="2" bestFit="1" customWidth="1"/>
    <col min="4" max="4" width="30.28515625" style="2" bestFit="1" customWidth="1"/>
    <col min="5" max="5" width="23.42578125" bestFit="1" customWidth="1"/>
  </cols>
  <sheetData>
    <row r="1" spans="1:5" x14ac:dyDescent="0.25">
      <c r="A1" t="s">
        <v>5999</v>
      </c>
      <c r="B1" t="s">
        <v>6000</v>
      </c>
      <c r="C1" s="2" t="s">
        <v>6001</v>
      </c>
      <c r="D1" s="2" t="s">
        <v>6002</v>
      </c>
      <c r="E1" t="s">
        <v>6003</v>
      </c>
    </row>
    <row r="2" spans="1:5" x14ac:dyDescent="0.25">
      <c r="A2" t="s">
        <v>3450</v>
      </c>
      <c r="B2" t="s">
        <v>3451</v>
      </c>
      <c r="C2" s="120">
        <v>45404</v>
      </c>
      <c r="D2" s="120">
        <v>46316</v>
      </c>
      <c r="E2">
        <v>1321591.48</v>
      </c>
    </row>
    <row r="3" spans="1:5" x14ac:dyDescent="0.25">
      <c r="A3" t="s">
        <v>2859</v>
      </c>
      <c r="B3" t="s">
        <v>2860</v>
      </c>
      <c r="C3" s="120">
        <v>45397</v>
      </c>
      <c r="D3" s="120">
        <v>46126</v>
      </c>
      <c r="E3">
        <v>1060731.51</v>
      </c>
    </row>
    <row r="4" spans="1:5" x14ac:dyDescent="0.25">
      <c r="A4" t="s">
        <v>4067</v>
      </c>
      <c r="B4" t="s">
        <v>4068</v>
      </c>
      <c r="C4" s="120">
        <v>45397</v>
      </c>
      <c r="D4" s="120">
        <v>46126</v>
      </c>
      <c r="E4">
        <v>1029893</v>
      </c>
    </row>
    <row r="5" spans="1:5" x14ac:dyDescent="0.25">
      <c r="A5" t="s">
        <v>3115</v>
      </c>
      <c r="B5" t="s">
        <v>3116</v>
      </c>
      <c r="C5" s="120">
        <v>45397</v>
      </c>
      <c r="D5" s="120">
        <v>46126</v>
      </c>
      <c r="E5">
        <v>983410</v>
      </c>
    </row>
    <row r="6" spans="1:5" x14ac:dyDescent="0.25">
      <c r="A6" t="s">
        <v>3947</v>
      </c>
      <c r="B6" t="s">
        <v>3948</v>
      </c>
      <c r="C6" s="120">
        <v>45404</v>
      </c>
      <c r="D6" s="120">
        <v>46316</v>
      </c>
      <c r="E6">
        <v>1364133.46</v>
      </c>
    </row>
    <row r="7" spans="1:5" x14ac:dyDescent="0.25">
      <c r="A7" t="s">
        <v>3428</v>
      </c>
      <c r="B7" t="s">
        <v>3429</v>
      </c>
      <c r="C7" s="120">
        <v>45402</v>
      </c>
      <c r="D7" s="120">
        <v>46314</v>
      </c>
      <c r="E7">
        <v>1000575.8</v>
      </c>
    </row>
    <row r="8" spans="1:5" x14ac:dyDescent="0.25">
      <c r="A8" t="s">
        <v>3812</v>
      </c>
      <c r="B8" t="s">
        <v>3813</v>
      </c>
      <c r="C8" s="120">
        <v>45404</v>
      </c>
      <c r="D8" s="120">
        <v>46133</v>
      </c>
      <c r="E8">
        <v>874866.2</v>
      </c>
    </row>
    <row r="9" spans="1:5" x14ac:dyDescent="0.25">
      <c r="A9" t="s">
        <v>3090</v>
      </c>
      <c r="B9" t="s">
        <v>3091</v>
      </c>
      <c r="C9" s="120">
        <v>45400</v>
      </c>
      <c r="D9" s="120">
        <v>46129</v>
      </c>
      <c r="E9">
        <v>717094.89</v>
      </c>
    </row>
    <row r="10" spans="1:5" x14ac:dyDescent="0.25">
      <c r="A10" t="s">
        <v>2171</v>
      </c>
      <c r="B10" t="s">
        <v>361</v>
      </c>
      <c r="C10" s="120">
        <v>45200</v>
      </c>
      <c r="D10" s="120">
        <v>45930</v>
      </c>
      <c r="E10">
        <v>749959.7</v>
      </c>
    </row>
    <row r="11" spans="1:5" x14ac:dyDescent="0.25">
      <c r="A11" t="s">
        <v>1041</v>
      </c>
      <c r="B11" t="s">
        <v>65</v>
      </c>
      <c r="C11" s="120">
        <v>45200</v>
      </c>
      <c r="D11" s="120">
        <v>45930</v>
      </c>
      <c r="E11">
        <v>617325.98</v>
      </c>
    </row>
    <row r="12" spans="1:5" x14ac:dyDescent="0.25">
      <c r="A12" t="s">
        <v>1551</v>
      </c>
      <c r="B12" t="s">
        <v>317</v>
      </c>
      <c r="C12" s="120">
        <v>45200</v>
      </c>
      <c r="D12" s="120">
        <v>45930</v>
      </c>
      <c r="E12">
        <v>749579.19</v>
      </c>
    </row>
    <row r="13" spans="1:5" x14ac:dyDescent="0.25">
      <c r="A13" t="s">
        <v>1972</v>
      </c>
      <c r="B13" t="s">
        <v>346</v>
      </c>
      <c r="C13" s="120">
        <v>45170</v>
      </c>
      <c r="D13" s="120">
        <v>45900</v>
      </c>
      <c r="E13">
        <v>749999.66</v>
      </c>
    </row>
    <row r="14" spans="1:5" x14ac:dyDescent="0.25">
      <c r="A14" t="s">
        <v>2680</v>
      </c>
      <c r="B14" t="s">
        <v>64</v>
      </c>
      <c r="C14" s="120">
        <v>44805</v>
      </c>
      <c r="D14" s="120">
        <v>46630</v>
      </c>
      <c r="E14">
        <v>1236295.5</v>
      </c>
    </row>
    <row r="15" spans="1:5" x14ac:dyDescent="0.25">
      <c r="A15" t="s">
        <v>488</v>
      </c>
      <c r="B15" t="s">
        <v>6004</v>
      </c>
      <c r="C15" s="120">
        <v>45200</v>
      </c>
      <c r="D15" s="120">
        <v>45747</v>
      </c>
      <c r="E15">
        <v>662371.52</v>
      </c>
    </row>
    <row r="16" spans="1:5" x14ac:dyDescent="0.25">
      <c r="A16" t="s">
        <v>2319</v>
      </c>
      <c r="B16" t="s">
        <v>373</v>
      </c>
      <c r="C16" s="120">
        <v>45194</v>
      </c>
      <c r="D16" s="120">
        <v>45924</v>
      </c>
      <c r="E16">
        <v>595740.69999999995</v>
      </c>
    </row>
    <row r="17" spans="1:5" x14ac:dyDescent="0.25">
      <c r="A17" t="s">
        <v>2561</v>
      </c>
      <c r="B17" t="s">
        <v>57</v>
      </c>
      <c r="C17" s="120">
        <v>44927</v>
      </c>
      <c r="D17" s="120">
        <v>46022</v>
      </c>
      <c r="E17">
        <v>4375000</v>
      </c>
    </row>
    <row r="18" spans="1:5" x14ac:dyDescent="0.25">
      <c r="A18" t="s">
        <v>2371</v>
      </c>
      <c r="B18" t="s">
        <v>58</v>
      </c>
      <c r="C18" s="120">
        <v>44805</v>
      </c>
      <c r="D18" s="120">
        <v>45900</v>
      </c>
      <c r="E18">
        <v>4375000</v>
      </c>
    </row>
    <row r="19" spans="1:5" x14ac:dyDescent="0.25">
      <c r="A19" t="s">
        <v>1261</v>
      </c>
      <c r="B19" t="s">
        <v>71</v>
      </c>
      <c r="C19" s="120">
        <v>45139</v>
      </c>
      <c r="D19" s="120">
        <v>45869</v>
      </c>
      <c r="E19">
        <v>599999.99</v>
      </c>
    </row>
    <row r="20" spans="1:5" x14ac:dyDescent="0.25">
      <c r="A20" t="s">
        <v>2087</v>
      </c>
      <c r="B20" t="s">
        <v>357</v>
      </c>
      <c r="C20" s="120">
        <v>45170</v>
      </c>
      <c r="D20" s="120">
        <v>45900</v>
      </c>
      <c r="E20">
        <v>722203.13</v>
      </c>
    </row>
    <row r="21" spans="1:5" x14ac:dyDescent="0.25">
      <c r="A21" t="s">
        <v>2433</v>
      </c>
      <c r="B21" t="s">
        <v>59</v>
      </c>
      <c r="C21" s="120">
        <v>44927</v>
      </c>
      <c r="D21" s="120">
        <v>46022</v>
      </c>
      <c r="E21">
        <v>4375000</v>
      </c>
    </row>
    <row r="22" spans="1:5" x14ac:dyDescent="0.25">
      <c r="A22" t="s">
        <v>1501</v>
      </c>
      <c r="B22" t="s">
        <v>312</v>
      </c>
      <c r="C22" s="120">
        <v>45170</v>
      </c>
      <c r="D22" s="120">
        <v>45900</v>
      </c>
      <c r="E22">
        <v>749544.12</v>
      </c>
    </row>
    <row r="23" spans="1:5" x14ac:dyDescent="0.25">
      <c r="A23" t="s">
        <v>1911</v>
      </c>
      <c r="B23" t="s">
        <v>341</v>
      </c>
      <c r="C23" s="120">
        <v>45200</v>
      </c>
      <c r="D23" s="120">
        <v>45930</v>
      </c>
      <c r="E23">
        <v>749419</v>
      </c>
    </row>
    <row r="24" spans="1:5" x14ac:dyDescent="0.25">
      <c r="A24" t="s">
        <v>2013</v>
      </c>
      <c r="B24" t="s">
        <v>350</v>
      </c>
      <c r="C24" s="120">
        <v>45200</v>
      </c>
      <c r="D24" s="120">
        <v>45930</v>
      </c>
      <c r="E24">
        <v>597894.52</v>
      </c>
    </row>
    <row r="25" spans="1:5" x14ac:dyDescent="0.25">
      <c r="A25" t="s">
        <v>2270</v>
      </c>
      <c r="B25" t="s">
        <v>66</v>
      </c>
      <c r="C25" s="120">
        <v>45200</v>
      </c>
      <c r="D25" s="120">
        <v>45930</v>
      </c>
      <c r="E25">
        <v>749791.97</v>
      </c>
    </row>
    <row r="26" spans="1:5" x14ac:dyDescent="0.25">
      <c r="A26" t="s">
        <v>2132</v>
      </c>
      <c r="B26" t="s">
        <v>63</v>
      </c>
      <c r="C26" s="120">
        <v>45108</v>
      </c>
      <c r="D26" s="120">
        <v>45838</v>
      </c>
      <c r="E26">
        <v>749373.2</v>
      </c>
    </row>
    <row r="27" spans="1:5" x14ac:dyDescent="0.25">
      <c r="A27" t="s">
        <v>1622</v>
      </c>
      <c r="B27" t="s">
        <v>67</v>
      </c>
      <c r="C27" s="120">
        <v>45170</v>
      </c>
      <c r="D27" s="120">
        <v>45900</v>
      </c>
      <c r="E27">
        <v>594011.84</v>
      </c>
    </row>
    <row r="28" spans="1:5" x14ac:dyDescent="0.25">
      <c r="A28" t="s">
        <v>1693</v>
      </c>
      <c r="B28" t="s">
        <v>60</v>
      </c>
      <c r="C28" s="120">
        <v>45078</v>
      </c>
      <c r="D28" s="120">
        <v>45626</v>
      </c>
      <c r="E28">
        <v>661124.80000000005</v>
      </c>
    </row>
    <row r="29" spans="1:5" x14ac:dyDescent="0.25">
      <c r="A29" t="s">
        <v>2214</v>
      </c>
      <c r="B29" t="s">
        <v>365</v>
      </c>
      <c r="C29" s="120">
        <v>45170</v>
      </c>
      <c r="D29" s="120">
        <v>45900</v>
      </c>
      <c r="E29">
        <v>599988.5</v>
      </c>
    </row>
    <row r="30" spans="1:5" x14ac:dyDescent="0.25">
      <c r="A30" t="s">
        <v>3539</v>
      </c>
      <c r="B30" t="s">
        <v>3540</v>
      </c>
      <c r="C30" s="120">
        <v>45397</v>
      </c>
      <c r="D30" s="120">
        <v>46126</v>
      </c>
      <c r="E30">
        <v>917037.58</v>
      </c>
    </row>
    <row r="31" spans="1:5" x14ac:dyDescent="0.25">
      <c r="A31" t="s">
        <v>3304</v>
      </c>
      <c r="B31" t="s">
        <v>3305</v>
      </c>
      <c r="C31" s="120">
        <v>45401</v>
      </c>
      <c r="D31" s="120">
        <v>46313</v>
      </c>
      <c r="E31">
        <v>1332547.3799999999</v>
      </c>
    </row>
    <row r="32" spans="1:5" x14ac:dyDescent="0.25">
      <c r="A32" t="s">
        <v>1116</v>
      </c>
      <c r="B32" t="s">
        <v>61</v>
      </c>
      <c r="C32" s="120">
        <v>45170</v>
      </c>
      <c r="D32" s="120">
        <v>45900</v>
      </c>
      <c r="E32">
        <v>740059.6</v>
      </c>
    </row>
    <row r="33" spans="1:5" x14ac:dyDescent="0.25">
      <c r="A33" t="s">
        <v>1849</v>
      </c>
      <c r="B33" t="s">
        <v>337</v>
      </c>
      <c r="C33" s="120">
        <v>45170</v>
      </c>
      <c r="D33" s="120">
        <v>45900</v>
      </c>
      <c r="E33">
        <v>749966</v>
      </c>
    </row>
    <row r="34" spans="1:5" x14ac:dyDescent="0.25">
      <c r="A34" t="s">
        <v>1197</v>
      </c>
      <c r="B34" t="s">
        <v>296</v>
      </c>
      <c r="C34" s="120">
        <v>45108</v>
      </c>
      <c r="D34" s="120">
        <v>45808</v>
      </c>
      <c r="E34">
        <v>742760.81</v>
      </c>
    </row>
    <row r="35" spans="1:5" x14ac:dyDescent="0.25">
      <c r="A35" t="s">
        <v>825</v>
      </c>
      <c r="B35" t="s">
        <v>6005</v>
      </c>
      <c r="C35" s="120">
        <v>45200</v>
      </c>
      <c r="D35" s="120">
        <v>45930</v>
      </c>
      <c r="E35">
        <v>738982.8</v>
      </c>
    </row>
    <row r="36" spans="1:5" x14ac:dyDescent="0.25">
      <c r="A36" t="s">
        <v>764</v>
      </c>
      <c r="B36" t="s">
        <v>271</v>
      </c>
      <c r="C36" s="120">
        <v>45184</v>
      </c>
      <c r="D36" s="120">
        <v>45914</v>
      </c>
      <c r="E36">
        <v>749474.85</v>
      </c>
    </row>
    <row r="37" spans="1:5" x14ac:dyDescent="0.25">
      <c r="A37" t="s">
        <v>1364</v>
      </c>
      <c r="B37" t="s">
        <v>304</v>
      </c>
      <c r="C37" s="120">
        <v>45170</v>
      </c>
      <c r="D37" s="120">
        <v>45900</v>
      </c>
      <c r="E37">
        <v>719954.24</v>
      </c>
    </row>
    <row r="38" spans="1:5" x14ac:dyDescent="0.25">
      <c r="A38" t="s">
        <v>1774</v>
      </c>
      <c r="B38" t="s">
        <v>331</v>
      </c>
      <c r="C38" s="120">
        <v>45170</v>
      </c>
      <c r="D38" s="120">
        <v>45900</v>
      </c>
      <c r="E38">
        <v>749837.12</v>
      </c>
    </row>
    <row r="39" spans="1:5" x14ac:dyDescent="0.25">
      <c r="A39" t="s">
        <v>1435</v>
      </c>
      <c r="B39" t="s">
        <v>62</v>
      </c>
      <c r="C39" s="120">
        <v>45078</v>
      </c>
      <c r="D39" s="120">
        <v>45808</v>
      </c>
      <c r="E39">
        <v>749940.53</v>
      </c>
    </row>
    <row r="40" spans="1:5" x14ac:dyDescent="0.25">
      <c r="A40" t="s">
        <v>943</v>
      </c>
      <c r="B40" t="s">
        <v>283</v>
      </c>
      <c r="C40" s="120">
        <v>45170</v>
      </c>
      <c r="D40" s="120">
        <v>45900</v>
      </c>
      <c r="E40">
        <v>741264.63</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5"/>
  <dimension ref="A1:EC335"/>
  <sheetViews>
    <sheetView topLeftCell="CX1" zoomScaleNormal="100" workbookViewId="0">
      <selection activeCell="DP3" sqref="DP3"/>
    </sheetView>
  </sheetViews>
  <sheetFormatPr defaultRowHeight="15" outlineLevelCol="1" x14ac:dyDescent="0.25"/>
  <cols>
    <col min="1" max="1" width="1.85546875" style="19" customWidth="1"/>
    <col min="2" max="2" width="76" style="19" customWidth="1"/>
    <col min="3" max="3" width="15.42578125" style="19" customWidth="1"/>
    <col min="4" max="4" width="21.85546875" style="19" bestFit="1" customWidth="1"/>
    <col min="5" max="5" width="22.140625" style="19" customWidth="1"/>
    <col min="6" max="6" width="3.42578125" style="19" customWidth="1"/>
    <col min="7" max="7" width="7" style="19" customWidth="1"/>
    <col min="8" max="8" width="5.5703125" style="19" customWidth="1"/>
    <col min="9" max="9" width="6.140625" style="19" customWidth="1"/>
    <col min="10" max="10" width="3.85546875" style="19" customWidth="1"/>
    <col min="11" max="11" width="6.85546875" style="19" customWidth="1"/>
    <col min="12" max="12" width="12.5703125" style="19" customWidth="1"/>
    <col min="13" max="13" width="15.140625" style="19" customWidth="1"/>
    <col min="14" max="14" width="142.7109375" style="19" customWidth="1" outlineLevel="1"/>
    <col min="15" max="15" width="140.42578125" style="19" customWidth="1" outlineLevel="1"/>
    <col min="16" max="16" width="11.140625" style="19" customWidth="1" outlineLevel="1"/>
    <col min="17" max="17" width="21.85546875" style="19" customWidth="1" outlineLevel="1"/>
    <col min="18" max="18" width="23.85546875" style="19" customWidth="1" outlineLevel="1"/>
    <col min="19" max="19" width="9.85546875" style="19" customWidth="1" outlineLevel="1"/>
    <col min="20" max="21" width="5.42578125" style="19" customWidth="1" outlineLevel="1"/>
    <col min="22" max="39" width="4.42578125" style="19" customWidth="1" outlineLevel="1"/>
    <col min="40" max="40" width="8.85546875" style="19" customWidth="1" outlineLevel="1"/>
    <col min="41" max="41" width="9.85546875" style="19" customWidth="1" outlineLevel="1"/>
    <col min="42" max="42" width="8.85546875" style="19" customWidth="1" outlineLevel="1"/>
    <col min="43" max="44" width="9.85546875" style="19" customWidth="1" outlineLevel="1"/>
    <col min="45" max="45" width="5.42578125" style="19" customWidth="1" outlineLevel="1"/>
    <col min="46" max="49" width="9.85546875" style="19" customWidth="1" outlineLevel="1"/>
    <col min="50" max="53" width="8.85546875" style="19" customWidth="1" outlineLevel="1"/>
    <col min="54" max="55" width="4.42578125" style="19" customWidth="1" outlineLevel="1"/>
    <col min="56" max="57" width="9.85546875" style="19" customWidth="1" outlineLevel="1"/>
    <col min="58" max="58" width="4.42578125" style="19" customWidth="1" outlineLevel="1"/>
    <col min="59" max="60" width="9.85546875" style="19" customWidth="1" outlineLevel="1"/>
    <col min="61" max="61" width="4.42578125" style="19" customWidth="1" outlineLevel="1"/>
    <col min="62" max="63" width="9.85546875" style="19" customWidth="1" outlineLevel="1"/>
    <col min="64" max="64" width="4.42578125" style="19" customWidth="1" outlineLevel="1"/>
    <col min="65" max="65" width="9.85546875" style="19" customWidth="1" outlineLevel="1"/>
    <col min="66" max="66" width="4.42578125" style="19" customWidth="1" outlineLevel="1"/>
    <col min="67" max="68" width="7.85546875" style="19" customWidth="1" outlineLevel="1"/>
    <col min="69" max="73" width="9.85546875" style="19" customWidth="1" outlineLevel="1"/>
    <col min="74" max="79" width="4.42578125" style="19" customWidth="1" outlineLevel="1"/>
    <col min="80" max="80" width="87" style="19" customWidth="1" outlineLevel="1"/>
    <col min="81" max="81" width="45" style="19" customWidth="1" outlineLevel="1"/>
    <col min="82" max="82" width="18.85546875" style="19" customWidth="1" outlineLevel="1"/>
    <col min="83" max="83" width="17.5703125" style="19" customWidth="1" outlineLevel="1"/>
    <col min="84" max="84" width="7.28515625" style="19" customWidth="1" outlineLevel="1"/>
    <col min="85" max="85" width="13.85546875" style="19" customWidth="1" outlineLevel="1"/>
    <col min="86" max="86" width="5.42578125" style="19" customWidth="1" outlineLevel="1"/>
    <col min="87" max="87" width="12.42578125" style="19" customWidth="1" outlineLevel="1"/>
    <col min="88" max="88" width="45.85546875" style="19" customWidth="1" outlineLevel="1"/>
    <col min="89" max="89" width="9.85546875" style="19" customWidth="1" outlineLevel="1"/>
    <col min="90" max="90" width="0.85546875" style="19" customWidth="1" outlineLevel="1"/>
    <col min="91" max="91" width="19.28515625" style="19" customWidth="1" outlineLevel="1"/>
    <col min="92" max="92" width="11.140625" style="19" customWidth="1" outlineLevel="1"/>
    <col min="93" max="93" width="23.85546875" style="19" customWidth="1" outlineLevel="1"/>
    <col min="94" max="94" width="42.7109375" style="19" customWidth="1" outlineLevel="1"/>
    <col min="95" max="95" width="7.28515625" style="19" customWidth="1" outlineLevel="1"/>
    <col min="96" max="96" width="27.5703125" style="19" customWidth="1" outlineLevel="1"/>
    <col min="97" max="97" width="49.5703125" style="19" customWidth="1" outlineLevel="1"/>
    <col min="98" max="98" width="11.140625" style="19" customWidth="1" outlineLevel="1"/>
    <col min="99" max="99" width="22" style="19" customWidth="1" outlineLevel="1"/>
    <col min="100" max="100" width="47.28515625" style="19" customWidth="1" outlineLevel="1"/>
    <col min="101" max="101" width="6.42578125" style="19" customWidth="1" outlineLevel="1"/>
    <col min="102" max="102" width="27" style="19" customWidth="1" outlineLevel="1"/>
    <col min="103" max="103" width="15.7109375" style="19" customWidth="1" outlineLevel="1"/>
    <col min="104" max="104" width="14.42578125" style="19" customWidth="1" outlineLevel="1"/>
    <col min="105" max="105" width="11.7109375" style="19" customWidth="1" outlineLevel="1"/>
    <col min="106" max="106" width="20.28515625" style="19" customWidth="1" outlineLevel="1"/>
    <col min="107" max="107" width="11.5703125" style="19" customWidth="1" outlineLevel="1"/>
    <col min="108" max="108" width="13.7109375" style="19" customWidth="1" outlineLevel="1"/>
    <col min="109" max="109" width="37.7109375" style="19" customWidth="1" outlineLevel="1"/>
    <col min="110" max="110" width="25.140625" style="19" customWidth="1" outlineLevel="1"/>
    <col min="111" max="111" width="9.140625" style="20"/>
    <col min="112" max="112" width="22.28515625" style="19" bestFit="1" customWidth="1"/>
    <col min="113" max="113" width="20.85546875" style="20" customWidth="1" outlineLevel="1"/>
    <col min="114" max="114" width="19.7109375" style="20" customWidth="1" outlineLevel="1"/>
    <col min="115" max="115" width="24.42578125" style="20" customWidth="1" outlineLevel="1"/>
    <col min="116" max="116" width="18.85546875" style="19" customWidth="1" outlineLevel="1"/>
    <col min="117" max="117" width="25.85546875" style="19" customWidth="1" outlineLevel="1"/>
    <col min="118" max="118" width="10.7109375" style="110" bestFit="1" customWidth="1"/>
    <col min="119" max="119" width="20.7109375" style="112" customWidth="1"/>
    <col min="120" max="120" width="21.140625" style="113" customWidth="1"/>
    <col min="121" max="121" width="23.7109375" style="111" customWidth="1"/>
    <col min="122" max="122" width="21.140625" style="110" bestFit="1" customWidth="1"/>
    <col min="123" max="131" width="11.7109375" style="19" customWidth="1" outlineLevel="1"/>
    <col min="132" max="132" width="11.5703125" style="19" customWidth="1" outlineLevel="1"/>
    <col min="133" max="133" width="14.28515625" style="19" customWidth="1" outlineLevel="1"/>
    <col min="134" max="16384" width="9.140625" style="19"/>
  </cols>
  <sheetData>
    <row r="1" spans="1:133" ht="15.75" thickBot="1" x14ac:dyDescent="0.3">
      <c r="A1" s="18">
        <v>1</v>
      </c>
      <c r="B1" s="19">
        <v>2</v>
      </c>
      <c r="C1" s="19">
        <v>3</v>
      </c>
      <c r="D1" s="18">
        <v>4</v>
      </c>
      <c r="E1" s="19">
        <v>5</v>
      </c>
      <c r="F1" s="19">
        <v>6</v>
      </c>
      <c r="G1" s="18">
        <v>7</v>
      </c>
      <c r="H1" s="19">
        <v>8</v>
      </c>
      <c r="I1" s="19">
        <v>9</v>
      </c>
      <c r="J1" s="18">
        <v>10</v>
      </c>
      <c r="K1" s="19">
        <v>11</v>
      </c>
      <c r="L1" s="19">
        <v>12</v>
      </c>
      <c r="M1" s="18">
        <v>13</v>
      </c>
      <c r="N1" s="19">
        <v>14</v>
      </c>
      <c r="O1" s="19">
        <v>15</v>
      </c>
      <c r="P1" s="18">
        <v>16</v>
      </c>
      <c r="Q1" s="19">
        <v>17</v>
      </c>
      <c r="R1" s="19">
        <v>18</v>
      </c>
      <c r="S1" s="18">
        <v>19</v>
      </c>
      <c r="T1" s="19">
        <v>20</v>
      </c>
      <c r="U1" s="19">
        <v>21</v>
      </c>
      <c r="V1" s="18">
        <v>22</v>
      </c>
      <c r="W1" s="19">
        <v>23</v>
      </c>
      <c r="X1" s="19">
        <v>24</v>
      </c>
      <c r="Y1" s="18">
        <v>25</v>
      </c>
      <c r="Z1" s="19">
        <v>26</v>
      </c>
      <c r="AA1" s="19">
        <v>27</v>
      </c>
      <c r="AB1" s="18">
        <v>28</v>
      </c>
      <c r="AC1" s="19">
        <v>29</v>
      </c>
      <c r="AD1" s="19">
        <v>30</v>
      </c>
      <c r="AE1" s="18">
        <v>31</v>
      </c>
      <c r="AF1" s="19">
        <v>32</v>
      </c>
      <c r="AG1" s="19">
        <v>33</v>
      </c>
      <c r="AH1" s="18">
        <v>34</v>
      </c>
      <c r="AI1" s="19">
        <v>35</v>
      </c>
      <c r="AJ1" s="19">
        <v>36</v>
      </c>
      <c r="AK1" s="18">
        <v>37</v>
      </c>
      <c r="AL1" s="19">
        <v>38</v>
      </c>
      <c r="AM1" s="19">
        <v>39</v>
      </c>
      <c r="AN1" s="18">
        <v>40</v>
      </c>
      <c r="AO1" s="19">
        <v>41</v>
      </c>
      <c r="AP1" s="19">
        <v>42</v>
      </c>
      <c r="AQ1" s="18">
        <v>43</v>
      </c>
      <c r="AR1" s="19">
        <v>44</v>
      </c>
      <c r="AS1" s="19">
        <v>45</v>
      </c>
      <c r="AT1" s="18">
        <v>46</v>
      </c>
      <c r="AU1" s="19">
        <v>47</v>
      </c>
      <c r="AV1" s="19">
        <v>48</v>
      </c>
      <c r="AW1" s="18">
        <v>49</v>
      </c>
      <c r="AX1" s="19">
        <v>50</v>
      </c>
      <c r="AY1" s="19">
        <v>51</v>
      </c>
      <c r="AZ1" s="18">
        <v>52</v>
      </c>
      <c r="BA1" s="19">
        <v>53</v>
      </c>
      <c r="BB1" s="19">
        <v>54</v>
      </c>
      <c r="BC1" s="18">
        <v>55</v>
      </c>
      <c r="BD1" s="19">
        <v>56</v>
      </c>
      <c r="BE1" s="19">
        <v>57</v>
      </c>
      <c r="BF1" s="18">
        <v>58</v>
      </c>
      <c r="BG1" s="19">
        <v>59</v>
      </c>
      <c r="BH1" s="19">
        <v>60</v>
      </c>
      <c r="BI1" s="18">
        <v>61</v>
      </c>
      <c r="BJ1" s="19">
        <v>62</v>
      </c>
      <c r="BK1" s="19">
        <v>63</v>
      </c>
      <c r="BL1" s="18">
        <v>64</v>
      </c>
      <c r="BM1" s="19">
        <v>65</v>
      </c>
      <c r="BN1" s="19">
        <v>66</v>
      </c>
      <c r="BO1" s="18">
        <v>67</v>
      </c>
      <c r="BP1" s="19">
        <v>68</v>
      </c>
      <c r="BQ1" s="19">
        <v>69</v>
      </c>
      <c r="BR1" s="18">
        <v>70</v>
      </c>
      <c r="BS1" s="19">
        <v>71</v>
      </c>
      <c r="BT1" s="19">
        <v>72</v>
      </c>
      <c r="BU1" s="18">
        <v>73</v>
      </c>
      <c r="BV1" s="19">
        <v>74</v>
      </c>
      <c r="BW1" s="19">
        <v>75</v>
      </c>
      <c r="BX1" s="18">
        <v>76</v>
      </c>
      <c r="BY1" s="19">
        <v>77</v>
      </c>
      <c r="BZ1" s="19">
        <v>78</v>
      </c>
      <c r="CA1" s="18">
        <v>79</v>
      </c>
      <c r="CB1" s="19">
        <v>80</v>
      </c>
      <c r="CC1" s="19">
        <v>81</v>
      </c>
      <c r="CD1" s="18">
        <v>82</v>
      </c>
      <c r="CE1" s="19">
        <v>83</v>
      </c>
      <c r="CF1" s="19">
        <v>84</v>
      </c>
      <c r="CG1" s="18">
        <v>85</v>
      </c>
      <c r="CH1" s="19">
        <v>86</v>
      </c>
      <c r="CI1" s="19">
        <v>87</v>
      </c>
      <c r="CJ1" s="18">
        <v>88</v>
      </c>
      <c r="CK1" s="19">
        <v>89</v>
      </c>
      <c r="CL1" s="19">
        <v>90</v>
      </c>
      <c r="CM1" s="18">
        <v>91</v>
      </c>
      <c r="CN1" s="19">
        <v>92</v>
      </c>
      <c r="CO1" s="19">
        <v>93</v>
      </c>
      <c r="CP1" s="18">
        <v>94</v>
      </c>
      <c r="CQ1" s="19">
        <v>95</v>
      </c>
      <c r="CR1" s="19">
        <v>96</v>
      </c>
      <c r="CS1" s="18">
        <v>97</v>
      </c>
      <c r="CT1" s="19">
        <v>98</v>
      </c>
      <c r="CU1" s="19">
        <v>99</v>
      </c>
      <c r="CV1" s="18">
        <v>100</v>
      </c>
      <c r="CW1" s="19">
        <v>101</v>
      </c>
      <c r="CX1" s="19">
        <v>102</v>
      </c>
      <c r="CY1" s="18">
        <v>103</v>
      </c>
      <c r="CZ1" s="19">
        <v>104</v>
      </c>
      <c r="DA1" s="19">
        <v>105</v>
      </c>
      <c r="DB1" s="18">
        <v>106</v>
      </c>
      <c r="DC1" s="19">
        <v>107</v>
      </c>
      <c r="DD1" s="19">
        <v>108</v>
      </c>
      <c r="DE1" s="18">
        <v>109</v>
      </c>
      <c r="DF1" s="19">
        <v>110</v>
      </c>
      <c r="DG1" s="19"/>
      <c r="DH1" s="18">
        <v>112</v>
      </c>
    </row>
    <row r="2" spans="1:133" ht="30.75" thickTop="1" x14ac:dyDescent="0.25">
      <c r="A2" s="21" t="s">
        <v>383</v>
      </c>
      <c r="B2" s="22" t="s">
        <v>384</v>
      </c>
      <c r="C2" s="23" t="s">
        <v>385</v>
      </c>
      <c r="D2" s="23" t="s">
        <v>386</v>
      </c>
      <c r="E2" s="23" t="s">
        <v>387</v>
      </c>
      <c r="F2" s="23" t="s">
        <v>388</v>
      </c>
      <c r="G2" s="23" t="s">
        <v>389</v>
      </c>
      <c r="H2" s="23" t="s">
        <v>390</v>
      </c>
      <c r="I2" s="23" t="s">
        <v>391</v>
      </c>
      <c r="J2" s="24" t="s">
        <v>392</v>
      </c>
      <c r="K2" s="24" t="s">
        <v>389</v>
      </c>
      <c r="L2" s="24" t="s">
        <v>393</v>
      </c>
      <c r="M2" s="24" t="s">
        <v>394</v>
      </c>
      <c r="N2" s="24" t="s">
        <v>395</v>
      </c>
      <c r="O2" s="24" t="s">
        <v>396</v>
      </c>
      <c r="P2" s="24" t="s">
        <v>397</v>
      </c>
      <c r="Q2" s="24" t="s">
        <v>398</v>
      </c>
      <c r="R2" s="24" t="s">
        <v>399</v>
      </c>
      <c r="S2" s="24" t="s">
        <v>400</v>
      </c>
      <c r="T2" s="24" t="s">
        <v>401</v>
      </c>
      <c r="U2" s="24" t="s">
        <v>402</v>
      </c>
      <c r="V2" s="24" t="s">
        <v>403</v>
      </c>
      <c r="W2" s="24" t="s">
        <v>404</v>
      </c>
      <c r="X2" s="24" t="s">
        <v>405</v>
      </c>
      <c r="Y2" s="24" t="s">
        <v>406</v>
      </c>
      <c r="Z2" s="24" t="s">
        <v>407</v>
      </c>
      <c r="AA2" s="24" t="s">
        <v>408</v>
      </c>
      <c r="AB2" s="24" t="s">
        <v>409</v>
      </c>
      <c r="AC2" s="24" t="s">
        <v>410</v>
      </c>
      <c r="AD2" s="24" t="s">
        <v>411</v>
      </c>
      <c r="AE2" s="24" t="s">
        <v>412</v>
      </c>
      <c r="AF2" s="24" t="s">
        <v>413</v>
      </c>
      <c r="AG2" s="24" t="s">
        <v>414</v>
      </c>
      <c r="AH2" s="24" t="s">
        <v>415</v>
      </c>
      <c r="AI2" s="24" t="s">
        <v>416</v>
      </c>
      <c r="AJ2" s="24" t="s">
        <v>417</v>
      </c>
      <c r="AK2" s="24" t="s">
        <v>418</v>
      </c>
      <c r="AL2" s="24" t="s">
        <v>419</v>
      </c>
      <c r="AM2" s="24" t="s">
        <v>420</v>
      </c>
      <c r="AN2" s="24" t="s">
        <v>421</v>
      </c>
      <c r="AO2" s="24" t="s">
        <v>422</v>
      </c>
      <c r="AP2" s="24" t="s">
        <v>423</v>
      </c>
      <c r="AQ2" s="24" t="s">
        <v>424</v>
      </c>
      <c r="AR2" s="24" t="s">
        <v>425</v>
      </c>
      <c r="AS2" s="24" t="s">
        <v>426</v>
      </c>
      <c r="AT2" s="24" t="s">
        <v>427</v>
      </c>
      <c r="AU2" s="24" t="s">
        <v>428</v>
      </c>
      <c r="AV2" s="24" t="s">
        <v>429</v>
      </c>
      <c r="AW2" s="24" t="s">
        <v>430</v>
      </c>
      <c r="AX2" s="24" t="s">
        <v>431</v>
      </c>
      <c r="AY2" s="24" t="s">
        <v>432</v>
      </c>
      <c r="AZ2" s="24" t="s">
        <v>433</v>
      </c>
      <c r="BA2" s="24" t="s">
        <v>434</v>
      </c>
      <c r="BB2" s="24" t="s">
        <v>435</v>
      </c>
      <c r="BC2" s="24" t="s">
        <v>436</v>
      </c>
      <c r="BD2" s="24" t="s">
        <v>437</v>
      </c>
      <c r="BE2" s="24" t="s">
        <v>438</v>
      </c>
      <c r="BF2" s="24" t="s">
        <v>439</v>
      </c>
      <c r="BG2" s="24" t="s">
        <v>440</v>
      </c>
      <c r="BH2" s="24" t="s">
        <v>441</v>
      </c>
      <c r="BI2" s="24" t="s">
        <v>442</v>
      </c>
      <c r="BJ2" s="24" t="s">
        <v>443</v>
      </c>
      <c r="BK2" s="24" t="s">
        <v>444</v>
      </c>
      <c r="BL2" s="24" t="s">
        <v>445</v>
      </c>
      <c r="BM2" s="24" t="s">
        <v>446</v>
      </c>
      <c r="BN2" s="24" t="s">
        <v>447</v>
      </c>
      <c r="BO2" s="24" t="s">
        <v>448</v>
      </c>
      <c r="BP2" s="24" t="s">
        <v>449</v>
      </c>
      <c r="BQ2" s="24" t="s">
        <v>450</v>
      </c>
      <c r="BR2" s="24" t="s">
        <v>451</v>
      </c>
      <c r="BS2" s="24" t="s">
        <v>452</v>
      </c>
      <c r="BT2" s="24" t="s">
        <v>453</v>
      </c>
      <c r="BU2" s="24" t="s">
        <v>454</v>
      </c>
      <c r="BV2" s="24" t="s">
        <v>455</v>
      </c>
      <c r="BW2" s="24" t="s">
        <v>456</v>
      </c>
      <c r="BX2" s="24" t="s">
        <v>457</v>
      </c>
      <c r="BY2" s="24" t="s">
        <v>458</v>
      </c>
      <c r="BZ2" s="24" t="s">
        <v>459</v>
      </c>
      <c r="CA2" s="24" t="s">
        <v>460</v>
      </c>
      <c r="CB2" s="25" t="s">
        <v>461</v>
      </c>
      <c r="CC2" s="25" t="s">
        <v>462</v>
      </c>
      <c r="CD2" s="25" t="s">
        <v>463</v>
      </c>
      <c r="CE2" s="25" t="s">
        <v>464</v>
      </c>
      <c r="CF2" s="25" t="s">
        <v>465</v>
      </c>
      <c r="CG2" s="25" t="s">
        <v>466</v>
      </c>
      <c r="CH2" s="25" t="s">
        <v>467</v>
      </c>
      <c r="CI2" s="25" t="s">
        <v>468</v>
      </c>
      <c r="CJ2" s="25" t="s">
        <v>469</v>
      </c>
      <c r="CK2" s="25" t="s">
        <v>470</v>
      </c>
      <c r="CL2" s="25" t="s">
        <v>212</v>
      </c>
      <c r="CM2" s="25" t="s">
        <v>471</v>
      </c>
      <c r="CN2" s="25" t="s">
        <v>397</v>
      </c>
      <c r="CO2" s="25" t="s">
        <v>399</v>
      </c>
      <c r="CP2" s="25" t="s">
        <v>472</v>
      </c>
      <c r="CQ2" s="25" t="s">
        <v>473</v>
      </c>
      <c r="CR2" s="25" t="s">
        <v>474</v>
      </c>
      <c r="CS2" s="25" t="s">
        <v>475</v>
      </c>
      <c r="CT2" s="25" t="s">
        <v>476</v>
      </c>
      <c r="CU2" s="25" t="s">
        <v>477</v>
      </c>
      <c r="CV2" s="25" t="s">
        <v>478</v>
      </c>
      <c r="CW2" s="25" t="s">
        <v>479</v>
      </c>
      <c r="CX2" s="25" t="s">
        <v>480</v>
      </c>
      <c r="CY2" s="25" t="s">
        <v>481</v>
      </c>
      <c r="CZ2" s="25" t="s">
        <v>482</v>
      </c>
      <c r="DA2" s="25" t="s">
        <v>483</v>
      </c>
      <c r="DB2" s="25" t="s">
        <v>481</v>
      </c>
      <c r="DC2" s="25" t="s">
        <v>482</v>
      </c>
      <c r="DD2" s="25" t="s">
        <v>483</v>
      </c>
      <c r="DE2" s="25" t="s">
        <v>484</v>
      </c>
      <c r="DF2" s="26" t="s">
        <v>485</v>
      </c>
      <c r="DG2" s="27" t="s">
        <v>486</v>
      </c>
      <c r="DH2" s="83" t="s">
        <v>4274</v>
      </c>
      <c r="DI2" s="20" t="s">
        <v>4748</v>
      </c>
      <c r="DJ2" s="20" t="s">
        <v>4750</v>
      </c>
      <c r="DK2" s="20" t="s">
        <v>4749</v>
      </c>
      <c r="DL2" s="19" t="s">
        <v>4751</v>
      </c>
      <c r="DM2" s="19" t="s">
        <v>4752</v>
      </c>
      <c r="DN2" s="110" t="s">
        <v>7480</v>
      </c>
      <c r="DO2" s="112" t="s">
        <v>7476</v>
      </c>
      <c r="DP2" s="113" t="s">
        <v>7477</v>
      </c>
      <c r="DQ2" s="111" t="s">
        <v>7478</v>
      </c>
      <c r="DR2" s="110" t="s">
        <v>7479</v>
      </c>
      <c r="DS2" s="24" t="s">
        <v>6023</v>
      </c>
      <c r="DT2" s="24" t="s">
        <v>6024</v>
      </c>
      <c r="DU2" s="24" t="s">
        <v>6025</v>
      </c>
      <c r="DV2" s="24" t="s">
        <v>6026</v>
      </c>
      <c r="DW2" s="24" t="s">
        <v>6027</v>
      </c>
      <c r="DX2" s="24" t="s">
        <v>6028</v>
      </c>
      <c r="DY2" s="24" t="s">
        <v>6029</v>
      </c>
      <c r="DZ2" s="24" t="s">
        <v>6030</v>
      </c>
      <c r="EA2" s="24" t="s">
        <v>6031</v>
      </c>
      <c r="EB2" s="24" t="s">
        <v>6032</v>
      </c>
      <c r="EC2" s="24" t="s">
        <v>460</v>
      </c>
    </row>
    <row r="3" spans="1:133" x14ac:dyDescent="0.25">
      <c r="A3" s="28">
        <v>1</v>
      </c>
      <c r="B3" s="29" t="s">
        <v>487</v>
      </c>
      <c r="C3" s="30" t="s">
        <v>488</v>
      </c>
      <c r="D3" s="17" t="s">
        <v>250</v>
      </c>
      <c r="E3" s="30" t="s">
        <v>489</v>
      </c>
      <c r="F3" s="30" t="s">
        <v>490</v>
      </c>
      <c r="G3" s="30" t="s">
        <v>491</v>
      </c>
      <c r="H3" s="30" t="s">
        <v>492</v>
      </c>
      <c r="I3" s="30" t="s">
        <v>493</v>
      </c>
      <c r="J3" s="31" t="s">
        <v>494</v>
      </c>
      <c r="K3" s="31" t="s">
        <v>495</v>
      </c>
      <c r="L3" s="31" t="s">
        <v>496</v>
      </c>
      <c r="M3" s="31" t="s">
        <v>263</v>
      </c>
      <c r="N3" s="31" t="s">
        <v>497</v>
      </c>
      <c r="O3" s="31" t="s">
        <v>498</v>
      </c>
      <c r="P3" s="31" t="s">
        <v>254</v>
      </c>
      <c r="Q3" s="31" t="s">
        <v>499</v>
      </c>
      <c r="R3" s="31" t="s">
        <v>265</v>
      </c>
      <c r="S3" s="32">
        <v>155141.5</v>
      </c>
      <c r="T3" s="32">
        <v>80</v>
      </c>
      <c r="U3" s="32">
        <v>29.28</v>
      </c>
      <c r="V3" s="32">
        <v>0</v>
      </c>
      <c r="W3" s="32">
        <v>0</v>
      </c>
      <c r="X3" s="32">
        <v>0</v>
      </c>
      <c r="Y3" s="32">
        <v>0</v>
      </c>
      <c r="Z3" s="32">
        <v>0</v>
      </c>
      <c r="AA3" s="32">
        <v>0</v>
      </c>
      <c r="AB3" s="32">
        <v>0</v>
      </c>
      <c r="AC3" s="32">
        <v>0</v>
      </c>
      <c r="AD3" s="32">
        <v>0</v>
      </c>
      <c r="AE3" s="32">
        <v>0</v>
      </c>
      <c r="AF3" s="32">
        <v>0</v>
      </c>
      <c r="AG3" s="32">
        <v>0</v>
      </c>
      <c r="AH3" s="32">
        <v>0</v>
      </c>
      <c r="AI3" s="32">
        <v>0</v>
      </c>
      <c r="AJ3" s="32">
        <v>0</v>
      </c>
      <c r="AK3" s="32">
        <v>0</v>
      </c>
      <c r="AL3" s="32">
        <v>0</v>
      </c>
      <c r="AM3" s="32">
        <v>0</v>
      </c>
      <c r="AN3" s="32">
        <v>0</v>
      </c>
      <c r="AO3" s="32">
        <v>38785.379999999997</v>
      </c>
      <c r="AP3" s="32">
        <v>0</v>
      </c>
      <c r="AQ3" s="32">
        <v>38785.379999999997</v>
      </c>
      <c r="AR3" s="32">
        <v>193926.88</v>
      </c>
      <c r="AS3" s="32">
        <v>29.28</v>
      </c>
      <c r="AT3" s="32">
        <v>83552</v>
      </c>
      <c r="AU3" s="32">
        <v>0</v>
      </c>
      <c r="AV3" s="32">
        <v>83552</v>
      </c>
      <c r="AW3" s="32">
        <v>0</v>
      </c>
      <c r="AX3" s="32">
        <v>12532.8</v>
      </c>
      <c r="AY3" s="32">
        <v>12532.8</v>
      </c>
      <c r="AZ3" s="32">
        <v>3342.08</v>
      </c>
      <c r="BA3" s="32">
        <v>3342.08</v>
      </c>
      <c r="BB3" s="32">
        <v>0</v>
      </c>
      <c r="BC3" s="32">
        <v>0</v>
      </c>
      <c r="BD3" s="32">
        <v>85500</v>
      </c>
      <c r="BE3" s="32">
        <v>85500</v>
      </c>
      <c r="BF3" s="32">
        <v>0</v>
      </c>
      <c r="BG3" s="32">
        <v>0</v>
      </c>
      <c r="BH3" s="32">
        <v>0</v>
      </c>
      <c r="BI3" s="32">
        <v>0</v>
      </c>
      <c r="BJ3" s="32">
        <v>0</v>
      </c>
      <c r="BK3" s="32">
        <v>0</v>
      </c>
      <c r="BL3" s="32">
        <v>0</v>
      </c>
      <c r="BM3" s="32">
        <v>0</v>
      </c>
      <c r="BN3" s="32">
        <v>0</v>
      </c>
      <c r="BO3" s="32">
        <v>9000</v>
      </c>
      <c r="BP3" s="32">
        <v>9000</v>
      </c>
      <c r="BQ3" s="32">
        <v>44312.09</v>
      </c>
      <c r="BR3" s="32">
        <v>70306.490000000005</v>
      </c>
      <c r="BS3" s="32">
        <v>70308.3</v>
      </c>
      <c r="BT3" s="32">
        <v>0</v>
      </c>
      <c r="BU3" s="32">
        <v>0</v>
      </c>
      <c r="BV3" s="32">
        <v>0</v>
      </c>
      <c r="BW3" s="32">
        <v>0</v>
      </c>
      <c r="BX3" s="32">
        <v>0</v>
      </c>
      <c r="BY3" s="32">
        <v>0</v>
      </c>
      <c r="BZ3" s="32">
        <v>0</v>
      </c>
      <c r="CA3" s="32">
        <v>0</v>
      </c>
      <c r="CB3" s="33" t="s">
        <v>212</v>
      </c>
      <c r="CC3" s="33" t="s">
        <v>500</v>
      </c>
      <c r="CD3" s="33"/>
      <c r="CE3" s="33" t="s">
        <v>501</v>
      </c>
      <c r="CF3" s="33" t="s">
        <v>502</v>
      </c>
      <c r="CG3" s="33" t="s">
        <v>503</v>
      </c>
      <c r="CH3" s="33" t="s">
        <v>504</v>
      </c>
      <c r="CI3" s="33" t="s">
        <v>212</v>
      </c>
      <c r="CJ3" s="33" t="s">
        <v>212</v>
      </c>
      <c r="CK3" s="33" t="s">
        <v>505</v>
      </c>
      <c r="CL3" s="33" t="s">
        <v>212</v>
      </c>
      <c r="CM3" s="33"/>
      <c r="CN3" s="33" t="s">
        <v>254</v>
      </c>
      <c r="CO3" s="33" t="s">
        <v>265</v>
      </c>
      <c r="CP3" s="33" t="s">
        <v>506</v>
      </c>
      <c r="CQ3" s="33" t="s">
        <v>507</v>
      </c>
      <c r="CR3" s="33" t="s">
        <v>508</v>
      </c>
      <c r="CS3" s="33" t="s">
        <v>509</v>
      </c>
      <c r="CT3" s="33"/>
      <c r="CU3" s="33"/>
      <c r="CV3" s="33"/>
      <c r="CW3" s="33"/>
      <c r="CX3" s="33"/>
      <c r="CY3" s="33" t="s">
        <v>510</v>
      </c>
      <c r="CZ3" s="33" t="s">
        <v>511</v>
      </c>
      <c r="DA3" s="33" t="s">
        <v>512</v>
      </c>
      <c r="DB3" s="33" t="s">
        <v>513</v>
      </c>
      <c r="DC3" s="33" t="s">
        <v>514</v>
      </c>
      <c r="DD3" s="33" t="s">
        <v>515</v>
      </c>
      <c r="DE3" s="33" t="s">
        <v>516</v>
      </c>
      <c r="DF3" s="34" t="s">
        <v>517</v>
      </c>
      <c r="DG3" s="27" cm="1">
        <f t="array" ref="DG3">INDEX('elenco partner'!A:M,MATCH(1,(D3='elenco partner'!A:A)*('Partner data'!M3='elenco partner'!E:E),0),4)</f>
        <v>28</v>
      </c>
      <c r="DH3" s="83" t="str">
        <f>IF(AU3&lt;&gt;0,"Tasso Forfettario 20%",IF(AV3&lt;&gt;0,"COSTO REALE",IF(AW3&lt;&gt;0,"Costo Unitario Standard","BL1 non presente")))</f>
        <v>COSTO REALE</v>
      </c>
      <c r="DI3" s="20">
        <f>COUNTIFS('MY-REPORT-MAIN'!C:C,'Partner data'!DG3,'MY-REPORT-MAIN'!I:I,"Certified")</f>
        <v>1</v>
      </c>
      <c r="DJ3" s="20">
        <f>COUNTIFS(List_Of_chek_list!M:M,"&lt;&gt;26",List_Of_chek_list!B:B,'Partner data'!DG3)</f>
        <v>1</v>
      </c>
      <c r="DK3" s="20">
        <f>DI3-DJ3</f>
        <v>0</v>
      </c>
      <c r="DL3" s="19" t="str">
        <f>IF(DH3="Tasso Forfettario 20%",SUMIFS(List_Of_chek_list!#REF!,List_Of_chek_list!B:B,'Partner data'!DG3),"NON PERTINENTE")</f>
        <v>NON PERTINENTE</v>
      </c>
      <c r="DM3" s="19" t="str">
        <f t="shared" ref="DM3:DM8" si="0">IF(DL3="NON PERTINENTE","NON PERTINENTE",IF(DJ3=DL3,"Rischio basso","Rischio alto"))</f>
        <v>NON PERTINENTE</v>
      </c>
      <c r="DN3" s="110">
        <f>_xlfn.MAXIFS('MY-REPORT-MAIN'!K:K,'MY-REPORT-MAIN'!C:C,DG3)</f>
        <v>45387.482230451387</v>
      </c>
      <c r="DO3" s="112">
        <f>IF(_xlfn.MAXIFS('MY-REPORT-MAIN'!M:M,'MY-REPORT-MAIN'!C:C,DG3)=0,"Nessun rendiconto  Convalidato",_xlfn.MAXIFS('MY-REPORT-MAIN'!M:M,'MY-REPORT-MAIN'!C:C,DG3))</f>
        <v>45469.672937384261</v>
      </c>
      <c r="DP3" s="113" cm="1">
        <f t="array" ref="DP3">IFERROR(INDEX('MY-REPORT-MAIN'!A:Z,MATCH(1,(DO3='MY-REPORT-MAIN'!M:M)*('Partner data'!DG3='MY-REPORT-MAIN'!C:C),0),1),"NON è stato convalidato ancora nessun rendiconto")</f>
        <v>280</v>
      </c>
      <c r="DQ3" s="111">
        <f>IFERROR(INDEX('MY-REPORT-MAIN'!A:Z,MATCH('Partner data'!DP3,'MY-REPORT-MAIN'!A:A,0),21),"Nessun Rendiconto ancora convalidato")</f>
        <v>39629.120000000003</v>
      </c>
      <c r="DR3" s="110">
        <f>INDEX('Interreg VI-A Italy-Slovenia_pr'!A:E,MATCH('Partner data'!C3,'Interreg VI-A Italy-Slovenia_pr'!A:A,0),3)</f>
        <v>45200</v>
      </c>
      <c r="DS3" s="118">
        <f t="shared" ref="DS3:DS66" si="1">BP3+BQ3</f>
        <v>53312.09</v>
      </c>
      <c r="DT3" s="118">
        <f t="shared" ref="DT3:DT66" si="2">DS3+BR3</f>
        <v>123618.58</v>
      </c>
      <c r="DU3" s="118">
        <f t="shared" ref="DU3:DU66" si="3">DT3+BS3</f>
        <v>193926.88</v>
      </c>
      <c r="DV3" s="118">
        <f t="shared" ref="DV3:DV66" si="4">DU3+BT3</f>
        <v>193926.88</v>
      </c>
      <c r="DW3" s="118">
        <f t="shared" ref="DW3:DW66" si="5">DV3+BU3</f>
        <v>193926.88</v>
      </c>
      <c r="DX3" s="118">
        <f t="shared" ref="DX3:DX66" si="6">DW3+BV3</f>
        <v>193926.88</v>
      </c>
      <c r="DY3" s="118">
        <f t="shared" ref="DY3:DY66" si="7">DX3+BW3</f>
        <v>193926.88</v>
      </c>
      <c r="DZ3" s="118">
        <f t="shared" ref="DZ3:DZ66" si="8">DY3+BX3</f>
        <v>193926.88</v>
      </c>
      <c r="EA3" s="118">
        <f t="shared" ref="EA3:EA66" si="9">DZ3+BY3</f>
        <v>193926.88</v>
      </c>
      <c r="EB3" s="118">
        <f t="shared" ref="EB3:EB66" si="10">EA3+BZ3</f>
        <v>193926.88</v>
      </c>
    </row>
    <row r="4" spans="1:133" x14ac:dyDescent="0.25">
      <c r="A4" s="28">
        <v>1</v>
      </c>
      <c r="B4" s="29" t="s">
        <v>487</v>
      </c>
      <c r="C4" s="30" t="s">
        <v>488</v>
      </c>
      <c r="D4" s="17" t="s">
        <v>250</v>
      </c>
      <c r="E4" s="30" t="s">
        <v>489</v>
      </c>
      <c r="F4" s="30" t="s">
        <v>490</v>
      </c>
      <c r="G4" s="30" t="s">
        <v>491</v>
      </c>
      <c r="H4" s="30" t="s">
        <v>492</v>
      </c>
      <c r="I4" s="30" t="s">
        <v>493</v>
      </c>
      <c r="J4" s="31" t="s">
        <v>518</v>
      </c>
      <c r="K4" s="31" t="s">
        <v>495</v>
      </c>
      <c r="L4" s="31" t="s">
        <v>519</v>
      </c>
      <c r="M4" s="31" t="s">
        <v>252</v>
      </c>
      <c r="N4" s="31" t="s">
        <v>520</v>
      </c>
      <c r="O4" s="31" t="s">
        <v>521</v>
      </c>
      <c r="P4" s="31" t="s">
        <v>254</v>
      </c>
      <c r="Q4" s="31" t="s">
        <v>499</v>
      </c>
      <c r="R4" s="31" t="s">
        <v>255</v>
      </c>
      <c r="S4" s="32">
        <v>64121.120000000003</v>
      </c>
      <c r="T4" s="32">
        <v>80</v>
      </c>
      <c r="U4" s="32">
        <v>12.1</v>
      </c>
      <c r="V4" s="32">
        <v>0</v>
      </c>
      <c r="W4" s="32">
        <v>0</v>
      </c>
      <c r="X4" s="32">
        <v>0</v>
      </c>
      <c r="Y4" s="32">
        <v>0</v>
      </c>
      <c r="Z4" s="32">
        <v>0</v>
      </c>
      <c r="AA4" s="32">
        <v>0</v>
      </c>
      <c r="AB4" s="32">
        <v>0</v>
      </c>
      <c r="AC4" s="32">
        <v>0</v>
      </c>
      <c r="AD4" s="32">
        <v>0</v>
      </c>
      <c r="AE4" s="32">
        <v>0</v>
      </c>
      <c r="AF4" s="32">
        <v>0</v>
      </c>
      <c r="AG4" s="32">
        <v>0</v>
      </c>
      <c r="AH4" s="32">
        <v>0</v>
      </c>
      <c r="AI4" s="32">
        <v>0</v>
      </c>
      <c r="AJ4" s="32">
        <v>0</v>
      </c>
      <c r="AK4" s="32">
        <v>0</v>
      </c>
      <c r="AL4" s="32">
        <v>0</v>
      </c>
      <c r="AM4" s="32">
        <v>0</v>
      </c>
      <c r="AN4" s="32">
        <v>0</v>
      </c>
      <c r="AO4" s="32">
        <v>16030.28</v>
      </c>
      <c r="AP4" s="32">
        <v>0</v>
      </c>
      <c r="AQ4" s="32">
        <v>16030.28</v>
      </c>
      <c r="AR4" s="32">
        <v>80151.399999999994</v>
      </c>
      <c r="AS4" s="32">
        <v>12.1</v>
      </c>
      <c r="AT4" s="32">
        <v>42060</v>
      </c>
      <c r="AU4" s="32">
        <v>0</v>
      </c>
      <c r="AV4" s="32">
        <v>0</v>
      </c>
      <c r="AW4" s="32">
        <v>42060</v>
      </c>
      <c r="AX4" s="32">
        <v>6309</v>
      </c>
      <c r="AY4" s="32">
        <v>6309</v>
      </c>
      <c r="AZ4" s="32">
        <v>1682.4</v>
      </c>
      <c r="BA4" s="32">
        <v>1682.4</v>
      </c>
      <c r="BB4" s="32">
        <v>0</v>
      </c>
      <c r="BC4" s="32">
        <v>0</v>
      </c>
      <c r="BD4" s="32">
        <v>29100</v>
      </c>
      <c r="BE4" s="32">
        <v>29100</v>
      </c>
      <c r="BF4" s="32">
        <v>0</v>
      </c>
      <c r="BG4" s="32">
        <v>1000</v>
      </c>
      <c r="BH4" s="32">
        <v>1000</v>
      </c>
      <c r="BI4" s="32">
        <v>0</v>
      </c>
      <c r="BJ4" s="32">
        <v>0</v>
      </c>
      <c r="BK4" s="32">
        <v>0</v>
      </c>
      <c r="BL4" s="32">
        <v>0</v>
      </c>
      <c r="BM4" s="32">
        <v>0</v>
      </c>
      <c r="BN4" s="32">
        <v>0</v>
      </c>
      <c r="BO4" s="32">
        <v>0</v>
      </c>
      <c r="BP4" s="32">
        <v>0</v>
      </c>
      <c r="BQ4" s="32">
        <v>17456</v>
      </c>
      <c r="BR4" s="32">
        <v>31347.7</v>
      </c>
      <c r="BS4" s="32">
        <v>31347.7</v>
      </c>
      <c r="BT4" s="32">
        <v>0</v>
      </c>
      <c r="BU4" s="32">
        <v>0</v>
      </c>
      <c r="BV4" s="32">
        <v>0</v>
      </c>
      <c r="BW4" s="32">
        <v>0</v>
      </c>
      <c r="BX4" s="32">
        <v>0</v>
      </c>
      <c r="BY4" s="32">
        <v>0</v>
      </c>
      <c r="BZ4" s="32">
        <v>0</v>
      </c>
      <c r="CA4" s="32">
        <v>0</v>
      </c>
      <c r="CB4" s="33" t="s">
        <v>212</v>
      </c>
      <c r="CC4" s="33" t="s">
        <v>522</v>
      </c>
      <c r="CD4" s="33"/>
      <c r="CE4" s="33" t="s">
        <v>523</v>
      </c>
      <c r="CF4" s="33" t="s">
        <v>524</v>
      </c>
      <c r="CG4" s="33" t="s">
        <v>525</v>
      </c>
      <c r="CH4" s="33" t="s">
        <v>526</v>
      </c>
      <c r="CI4" s="33"/>
      <c r="CJ4" s="33" t="s">
        <v>212</v>
      </c>
      <c r="CK4" s="33"/>
      <c r="CL4" s="33" t="s">
        <v>212</v>
      </c>
      <c r="CM4" s="33"/>
      <c r="CN4" s="33" t="s">
        <v>254</v>
      </c>
      <c r="CO4" s="33" t="s">
        <v>255</v>
      </c>
      <c r="CP4" s="33" t="s">
        <v>527</v>
      </c>
      <c r="CQ4" s="33" t="s">
        <v>528</v>
      </c>
      <c r="CR4" s="33" t="s">
        <v>529</v>
      </c>
      <c r="CS4" s="33" t="s">
        <v>530</v>
      </c>
      <c r="CT4" s="33"/>
      <c r="CU4" s="33"/>
      <c r="CV4" s="33"/>
      <c r="CW4" s="33"/>
      <c r="CX4" s="33"/>
      <c r="CY4" s="33" t="s">
        <v>531</v>
      </c>
      <c r="CZ4" s="33" t="s">
        <v>532</v>
      </c>
      <c r="DA4" s="33" t="s">
        <v>533</v>
      </c>
      <c r="DB4" s="33" t="s">
        <v>531</v>
      </c>
      <c r="DC4" s="33" t="s">
        <v>534</v>
      </c>
      <c r="DD4" s="33" t="s">
        <v>535</v>
      </c>
      <c r="DE4" s="33" t="s">
        <v>536</v>
      </c>
      <c r="DF4" s="34" t="s">
        <v>537</v>
      </c>
      <c r="DG4" s="27" cm="1">
        <f t="array" ref="DG4">INDEX('elenco partner'!A:M,MATCH(1,(D4='elenco partner'!A:A)*('Partner data'!M4='elenco partner'!E:E),0),4)</f>
        <v>29</v>
      </c>
      <c r="DH4" s="83" t="str">
        <f t="shared" ref="DH4:DH8" si="11">IF(AU4&lt;&gt;0,"Tasso Forfettario 20%",IF(AV4&lt;&gt;0,"COSTO REALE",IF(AW4&lt;&gt;0,"Costo Unitario Standard","BL1 non presente")))</f>
        <v>Costo Unitario Standard</v>
      </c>
      <c r="DI4" s="20">
        <f>COUNTIFS('MY-REPORT-MAIN'!C:C,'Partner data'!DG4,'MY-REPORT-MAIN'!I:I,"Certified")</f>
        <v>1</v>
      </c>
      <c r="DJ4" s="20">
        <f>COUNTIFS(List_Of_chek_list!M:M,"&lt;&gt;26",List_Of_chek_list!B:B,'Partner data'!DG4)</f>
        <v>0</v>
      </c>
      <c r="DK4" s="20">
        <f t="shared" ref="DK4:DK8" si="12">DI4-DJ4</f>
        <v>1</v>
      </c>
      <c r="DL4" s="19" t="str">
        <f>IF(DH4="Tasso Forfettario 20%",SUMIFS(List_Of_chek_list!#REF!,List_Of_chek_list!B:B,'Partner data'!DG4),"NON PERTINENTE")</f>
        <v>NON PERTINENTE</v>
      </c>
      <c r="DM4" s="19" t="str">
        <f t="shared" si="0"/>
        <v>NON PERTINENTE</v>
      </c>
      <c r="DN4" s="110">
        <f>_xlfn.MAXIFS('MY-REPORT-MAIN'!K:K,'MY-REPORT-MAIN'!C:C,DG4)</f>
        <v>45387.482402280089</v>
      </c>
      <c r="DO4" s="112">
        <f>IF(_xlfn.MAXIFS('MY-REPORT-MAIN'!M:M,'MY-REPORT-MAIN'!C:C,DG4)=0,"Nessun rendiconto  Convalidato",_xlfn.MAXIFS('MY-REPORT-MAIN'!M:M,'MY-REPORT-MAIN'!C:C,DG4))</f>
        <v>45470.699690729169</v>
      </c>
      <c r="DP4" s="113" cm="1">
        <f t="array" ref="DP4">IFERROR(INDEX('MY-REPORT-MAIN'!A:Z,MATCH(1,(DO4='MY-REPORT-MAIN'!M:M)*('Partner data'!DG4='MY-REPORT-MAIN'!C:C),0),1),"NON è stato convalidato ancora nessun rendiconto")</f>
        <v>323</v>
      </c>
      <c r="DQ4" s="111">
        <f>IFERROR(INDEX('MY-REPORT-MAIN'!A:Z,MATCH('Partner data'!DP4,'MY-REPORT-MAIN'!A:A,0),21),"Nessun Rendiconto ancora convalidato")</f>
        <v>11717.93</v>
      </c>
      <c r="DR4" s="110">
        <f>INDEX('Interreg VI-A Italy-Slovenia_pr'!A:E,MATCH('Partner data'!C4,'Interreg VI-A Italy-Slovenia_pr'!A:A,0),3)</f>
        <v>45200</v>
      </c>
      <c r="DS4" s="118">
        <f t="shared" si="1"/>
        <v>17456</v>
      </c>
      <c r="DT4" s="118">
        <f t="shared" si="2"/>
        <v>48803.7</v>
      </c>
      <c r="DU4" s="118">
        <f t="shared" si="3"/>
        <v>80151.399999999994</v>
      </c>
      <c r="DV4" s="118">
        <f t="shared" si="4"/>
        <v>80151.399999999994</v>
      </c>
      <c r="DW4" s="118">
        <f t="shared" si="5"/>
        <v>80151.399999999994</v>
      </c>
      <c r="DX4" s="118">
        <f t="shared" si="6"/>
        <v>80151.399999999994</v>
      </c>
      <c r="DY4" s="118">
        <f t="shared" si="7"/>
        <v>80151.399999999994</v>
      </c>
      <c r="DZ4" s="118">
        <f t="shared" si="8"/>
        <v>80151.399999999994</v>
      </c>
      <c r="EA4" s="118">
        <f t="shared" si="9"/>
        <v>80151.399999999994</v>
      </c>
      <c r="EB4" s="118">
        <f t="shared" si="10"/>
        <v>80151.399999999994</v>
      </c>
    </row>
    <row r="5" spans="1:133" x14ac:dyDescent="0.25">
      <c r="A5" s="28">
        <v>1</v>
      </c>
      <c r="B5" s="29" t="s">
        <v>487</v>
      </c>
      <c r="C5" s="30" t="s">
        <v>488</v>
      </c>
      <c r="D5" s="17" t="s">
        <v>250</v>
      </c>
      <c r="E5" s="30" t="s">
        <v>489</v>
      </c>
      <c r="F5" s="30" t="s">
        <v>490</v>
      </c>
      <c r="G5" s="30" t="s">
        <v>491</v>
      </c>
      <c r="H5" s="30" t="s">
        <v>492</v>
      </c>
      <c r="I5" s="30" t="s">
        <v>493</v>
      </c>
      <c r="J5" s="31" t="s">
        <v>538</v>
      </c>
      <c r="K5" s="31" t="s">
        <v>495</v>
      </c>
      <c r="L5" s="31" t="s">
        <v>519</v>
      </c>
      <c r="M5" s="31" t="s">
        <v>262</v>
      </c>
      <c r="N5" s="31" t="s">
        <v>539</v>
      </c>
      <c r="O5" s="31" t="s">
        <v>521</v>
      </c>
      <c r="P5" s="31" t="s">
        <v>254</v>
      </c>
      <c r="Q5" s="31" t="s">
        <v>540</v>
      </c>
      <c r="R5" s="31" t="s">
        <v>260</v>
      </c>
      <c r="S5" s="32">
        <v>70670.03</v>
      </c>
      <c r="T5" s="32">
        <v>80</v>
      </c>
      <c r="U5" s="32">
        <v>13.34</v>
      </c>
      <c r="V5" s="32">
        <v>0</v>
      </c>
      <c r="W5" s="32">
        <v>0</v>
      </c>
      <c r="X5" s="32">
        <v>0</v>
      </c>
      <c r="Y5" s="32">
        <v>0</v>
      </c>
      <c r="Z5" s="32">
        <v>0</v>
      </c>
      <c r="AA5" s="32">
        <v>0</v>
      </c>
      <c r="AB5" s="32">
        <v>0</v>
      </c>
      <c r="AC5" s="32">
        <v>0</v>
      </c>
      <c r="AD5" s="32">
        <v>0</v>
      </c>
      <c r="AE5" s="32">
        <v>0</v>
      </c>
      <c r="AF5" s="32">
        <v>0</v>
      </c>
      <c r="AG5" s="32">
        <v>0</v>
      </c>
      <c r="AH5" s="32">
        <v>0</v>
      </c>
      <c r="AI5" s="32">
        <v>0</v>
      </c>
      <c r="AJ5" s="32">
        <v>0</v>
      </c>
      <c r="AK5" s="32">
        <v>0</v>
      </c>
      <c r="AL5" s="32">
        <v>0</v>
      </c>
      <c r="AM5" s="32">
        <v>0</v>
      </c>
      <c r="AN5" s="32">
        <v>0</v>
      </c>
      <c r="AO5" s="32">
        <v>17667.509999999998</v>
      </c>
      <c r="AP5" s="32">
        <v>0</v>
      </c>
      <c r="AQ5" s="32">
        <v>17667.509999999998</v>
      </c>
      <c r="AR5" s="32">
        <v>88337.54</v>
      </c>
      <c r="AS5" s="32">
        <v>13.34</v>
      </c>
      <c r="AT5" s="32">
        <v>35157.599999999999</v>
      </c>
      <c r="AU5" s="32">
        <v>0</v>
      </c>
      <c r="AV5" s="32">
        <v>35157.599999999999</v>
      </c>
      <c r="AW5" s="32">
        <v>0</v>
      </c>
      <c r="AX5" s="32">
        <v>5273.64</v>
      </c>
      <c r="AY5" s="32">
        <v>5273.64</v>
      </c>
      <c r="AZ5" s="32">
        <v>1406.3</v>
      </c>
      <c r="BA5" s="32">
        <v>1406.3</v>
      </c>
      <c r="BB5" s="32">
        <v>0</v>
      </c>
      <c r="BC5" s="32">
        <v>0</v>
      </c>
      <c r="BD5" s="32">
        <v>45500</v>
      </c>
      <c r="BE5" s="32">
        <v>45500</v>
      </c>
      <c r="BF5" s="32">
        <v>0</v>
      </c>
      <c r="BG5" s="32">
        <v>1000</v>
      </c>
      <c r="BH5" s="32">
        <v>1000</v>
      </c>
      <c r="BI5" s="32">
        <v>0</v>
      </c>
      <c r="BJ5" s="32">
        <v>0</v>
      </c>
      <c r="BK5" s="32">
        <v>0</v>
      </c>
      <c r="BL5" s="32">
        <v>0</v>
      </c>
      <c r="BM5" s="32">
        <v>0</v>
      </c>
      <c r="BN5" s="32">
        <v>0</v>
      </c>
      <c r="BO5" s="32">
        <v>0</v>
      </c>
      <c r="BP5" s="32">
        <v>0</v>
      </c>
      <c r="BQ5" s="32">
        <v>35445.839999999997</v>
      </c>
      <c r="BR5" s="32">
        <v>26445.84</v>
      </c>
      <c r="BS5" s="32">
        <v>26445.86</v>
      </c>
      <c r="BT5" s="32">
        <v>0</v>
      </c>
      <c r="BU5" s="32">
        <v>0</v>
      </c>
      <c r="BV5" s="32">
        <v>0</v>
      </c>
      <c r="BW5" s="32">
        <v>0</v>
      </c>
      <c r="BX5" s="32">
        <v>0</v>
      </c>
      <c r="BY5" s="32">
        <v>0</v>
      </c>
      <c r="BZ5" s="32">
        <v>0</v>
      </c>
      <c r="CA5" s="32">
        <v>0</v>
      </c>
      <c r="CB5" s="33" t="s">
        <v>212</v>
      </c>
      <c r="CC5" s="33" t="s">
        <v>541</v>
      </c>
      <c r="CD5" s="33"/>
      <c r="CE5" s="33" t="s">
        <v>523</v>
      </c>
      <c r="CF5" s="33" t="s">
        <v>524</v>
      </c>
      <c r="CG5" s="33" t="s">
        <v>542</v>
      </c>
      <c r="CH5" s="33" t="s">
        <v>526</v>
      </c>
      <c r="CI5" s="33"/>
      <c r="CJ5" s="33" t="s">
        <v>212</v>
      </c>
      <c r="CK5" s="33"/>
      <c r="CL5" s="33" t="s">
        <v>212</v>
      </c>
      <c r="CM5" s="33"/>
      <c r="CN5" s="33" t="s">
        <v>254</v>
      </c>
      <c r="CO5" s="33" t="s">
        <v>260</v>
      </c>
      <c r="CP5" s="33" t="s">
        <v>543</v>
      </c>
      <c r="CQ5" s="33" t="s">
        <v>544</v>
      </c>
      <c r="CR5" s="33" t="s">
        <v>545</v>
      </c>
      <c r="CS5" s="33" t="s">
        <v>546</v>
      </c>
      <c r="CT5" s="33"/>
      <c r="CU5" s="33"/>
      <c r="CV5" s="33"/>
      <c r="CW5" s="33"/>
      <c r="CX5" s="33"/>
      <c r="CY5" s="33" t="s">
        <v>547</v>
      </c>
      <c r="CZ5" s="33" t="s">
        <v>548</v>
      </c>
      <c r="DA5" s="33" t="s">
        <v>549</v>
      </c>
      <c r="DB5" s="33" t="s">
        <v>531</v>
      </c>
      <c r="DC5" s="33" t="s">
        <v>550</v>
      </c>
      <c r="DD5" s="33" t="s">
        <v>551</v>
      </c>
      <c r="DE5" s="33" t="s">
        <v>552</v>
      </c>
      <c r="DF5" s="34" t="s">
        <v>553</v>
      </c>
      <c r="DG5" s="27" cm="1">
        <f t="array" ref="DG5">INDEX('elenco partner'!A:M,MATCH(1,(D5='elenco partner'!A:A)*('Partner data'!M5='elenco partner'!E:E),0),4)</f>
        <v>30</v>
      </c>
      <c r="DH5" s="83" t="str">
        <f t="shared" si="11"/>
        <v>COSTO REALE</v>
      </c>
      <c r="DI5" s="20">
        <f>COUNTIFS('MY-REPORT-MAIN'!C:C,'Partner data'!DG5,'MY-REPORT-MAIN'!I:I,"Certified")</f>
        <v>1</v>
      </c>
      <c r="DJ5" s="20">
        <f>COUNTIFS(List_Of_chek_list!M:M,"&lt;&gt;26",List_Of_chek_list!B:B,'Partner data'!DG5)</f>
        <v>0</v>
      </c>
      <c r="DK5" s="20">
        <f t="shared" si="12"/>
        <v>1</v>
      </c>
      <c r="DL5" s="19" t="str">
        <f>IF(DH5="Tasso Forfettario 20%",SUMIFS(List_Of_chek_list!#REF!,List_Of_chek_list!B:B,'Partner data'!DG5),"NON PERTINENTE")</f>
        <v>NON PERTINENTE</v>
      </c>
      <c r="DM5" s="19" t="str">
        <f t="shared" si="0"/>
        <v>NON PERTINENTE</v>
      </c>
      <c r="DN5" s="110">
        <f>_xlfn.MAXIFS('MY-REPORT-MAIN'!K:K,'MY-REPORT-MAIN'!C:C,DG5)</f>
        <v>45387.482545254628</v>
      </c>
      <c r="DO5" s="112">
        <f>IF(_xlfn.MAXIFS('MY-REPORT-MAIN'!M:M,'MY-REPORT-MAIN'!C:C,DG5)=0,"Nessun rendiconto  Convalidato",_xlfn.MAXIFS('MY-REPORT-MAIN'!M:M,'MY-REPORT-MAIN'!C:C,DG5))</f>
        <v>45475.497756932869</v>
      </c>
      <c r="DP5" s="113" cm="1">
        <f t="array" ref="DP5">IFERROR(INDEX('MY-REPORT-MAIN'!A:Z,MATCH(1,(DO5='MY-REPORT-MAIN'!M:M)*('Partner data'!DG5='MY-REPORT-MAIN'!C:C),0),1),"NON è stato convalidato ancora nessun rendiconto")</f>
        <v>271</v>
      </c>
      <c r="DQ5" s="111">
        <f>IFERROR(INDEX('MY-REPORT-MAIN'!A:Z,MATCH('Partner data'!DP5,'MY-REPORT-MAIN'!A:A,0),21),"Nessun Rendiconto ancora convalidato")</f>
        <v>8990.65</v>
      </c>
      <c r="DR5" s="110">
        <f>INDEX('Interreg VI-A Italy-Slovenia_pr'!A:E,MATCH('Partner data'!C5,'Interreg VI-A Italy-Slovenia_pr'!A:A,0),3)</f>
        <v>45200</v>
      </c>
      <c r="DS5" s="118">
        <f t="shared" si="1"/>
        <v>35445.839999999997</v>
      </c>
      <c r="DT5" s="118">
        <f t="shared" si="2"/>
        <v>61891.679999999993</v>
      </c>
      <c r="DU5" s="118">
        <f t="shared" si="3"/>
        <v>88337.54</v>
      </c>
      <c r="DV5" s="118">
        <f t="shared" si="4"/>
        <v>88337.54</v>
      </c>
      <c r="DW5" s="118">
        <f t="shared" si="5"/>
        <v>88337.54</v>
      </c>
      <c r="DX5" s="118">
        <f t="shared" si="6"/>
        <v>88337.54</v>
      </c>
      <c r="DY5" s="118">
        <f t="shared" si="7"/>
        <v>88337.54</v>
      </c>
      <c r="DZ5" s="118">
        <f t="shared" si="8"/>
        <v>88337.54</v>
      </c>
      <c r="EA5" s="118">
        <f t="shared" si="9"/>
        <v>88337.54</v>
      </c>
      <c r="EB5" s="118">
        <f t="shared" si="10"/>
        <v>88337.54</v>
      </c>
    </row>
    <row r="6" spans="1:133" x14ac:dyDescent="0.25">
      <c r="A6" s="28">
        <v>1</v>
      </c>
      <c r="B6" s="29" t="s">
        <v>487</v>
      </c>
      <c r="C6" s="30" t="s">
        <v>488</v>
      </c>
      <c r="D6" s="17" t="s">
        <v>250</v>
      </c>
      <c r="E6" s="30" t="s">
        <v>489</v>
      </c>
      <c r="F6" s="30" t="s">
        <v>490</v>
      </c>
      <c r="G6" s="30" t="s">
        <v>491</v>
      </c>
      <c r="H6" s="30" t="s">
        <v>492</v>
      </c>
      <c r="I6" s="30" t="s">
        <v>493</v>
      </c>
      <c r="J6" s="31" t="s">
        <v>554</v>
      </c>
      <c r="K6" s="31" t="s">
        <v>495</v>
      </c>
      <c r="L6" s="31" t="s">
        <v>519</v>
      </c>
      <c r="M6" s="31" t="s">
        <v>256</v>
      </c>
      <c r="N6" s="31" t="s">
        <v>555</v>
      </c>
      <c r="O6" s="31" t="s">
        <v>521</v>
      </c>
      <c r="P6" s="31" t="s">
        <v>257</v>
      </c>
      <c r="Q6" s="31" t="s">
        <v>556</v>
      </c>
      <c r="R6" s="31" t="s">
        <v>258</v>
      </c>
      <c r="S6" s="32">
        <v>119253.75999999999</v>
      </c>
      <c r="T6" s="32">
        <v>80</v>
      </c>
      <c r="U6" s="32">
        <v>22.51</v>
      </c>
      <c r="V6" s="32">
        <v>0</v>
      </c>
      <c r="W6" s="32">
        <v>0</v>
      </c>
      <c r="X6" s="32">
        <v>0</v>
      </c>
      <c r="Y6" s="32">
        <v>0</v>
      </c>
      <c r="Z6" s="32">
        <v>0</v>
      </c>
      <c r="AA6" s="32">
        <v>0</v>
      </c>
      <c r="AB6" s="32">
        <v>0</v>
      </c>
      <c r="AC6" s="32">
        <v>0</v>
      </c>
      <c r="AD6" s="32">
        <v>0</v>
      </c>
      <c r="AE6" s="32">
        <v>0</v>
      </c>
      <c r="AF6" s="32">
        <v>0</v>
      </c>
      <c r="AG6" s="32">
        <v>0</v>
      </c>
      <c r="AH6" s="32">
        <v>0</v>
      </c>
      <c r="AI6" s="32">
        <v>0</v>
      </c>
      <c r="AJ6" s="32">
        <v>0</v>
      </c>
      <c r="AK6" s="32">
        <v>0</v>
      </c>
      <c r="AL6" s="32">
        <v>0</v>
      </c>
      <c r="AM6" s="32">
        <v>0</v>
      </c>
      <c r="AN6" s="32">
        <v>0</v>
      </c>
      <c r="AO6" s="32">
        <v>0</v>
      </c>
      <c r="AP6" s="32">
        <v>29813.439999999999</v>
      </c>
      <c r="AQ6" s="32">
        <v>29813.439999999999</v>
      </c>
      <c r="AR6" s="32">
        <v>149067.20000000001</v>
      </c>
      <c r="AS6" s="32">
        <v>22.51</v>
      </c>
      <c r="AT6" s="32">
        <v>108880</v>
      </c>
      <c r="AU6" s="32">
        <v>0</v>
      </c>
      <c r="AV6" s="32">
        <v>108880</v>
      </c>
      <c r="AW6" s="32">
        <v>0</v>
      </c>
      <c r="AX6" s="32">
        <v>16332</v>
      </c>
      <c r="AY6" s="32">
        <v>16332</v>
      </c>
      <c r="AZ6" s="32">
        <v>4355.2</v>
      </c>
      <c r="BA6" s="32">
        <v>4355.2</v>
      </c>
      <c r="BB6" s="32">
        <v>0</v>
      </c>
      <c r="BC6" s="32">
        <v>0</v>
      </c>
      <c r="BD6" s="32">
        <v>19500</v>
      </c>
      <c r="BE6" s="32">
        <v>19500</v>
      </c>
      <c r="BF6" s="32">
        <v>0</v>
      </c>
      <c r="BG6" s="32">
        <v>0</v>
      </c>
      <c r="BH6" s="32">
        <v>0</v>
      </c>
      <c r="BI6" s="32">
        <v>0</v>
      </c>
      <c r="BJ6" s="32">
        <v>0</v>
      </c>
      <c r="BK6" s="32">
        <v>0</v>
      </c>
      <c r="BL6" s="32">
        <v>0</v>
      </c>
      <c r="BM6" s="32">
        <v>0</v>
      </c>
      <c r="BN6" s="32">
        <v>0</v>
      </c>
      <c r="BO6" s="32">
        <v>0</v>
      </c>
      <c r="BP6" s="32">
        <v>0</v>
      </c>
      <c r="BQ6" s="32">
        <v>58189.04</v>
      </c>
      <c r="BR6" s="32">
        <v>45689.04</v>
      </c>
      <c r="BS6" s="32">
        <v>45189.120000000003</v>
      </c>
      <c r="BT6" s="32">
        <v>0</v>
      </c>
      <c r="BU6" s="32">
        <v>0</v>
      </c>
      <c r="BV6" s="32">
        <v>0</v>
      </c>
      <c r="BW6" s="32">
        <v>0</v>
      </c>
      <c r="BX6" s="32">
        <v>0</v>
      </c>
      <c r="BY6" s="32">
        <v>0</v>
      </c>
      <c r="BZ6" s="32">
        <v>0</v>
      </c>
      <c r="CA6" s="32">
        <v>0</v>
      </c>
      <c r="CB6" s="33" t="s">
        <v>212</v>
      </c>
      <c r="CC6" s="33" t="s">
        <v>557</v>
      </c>
      <c r="CD6" s="33" t="s">
        <v>558</v>
      </c>
      <c r="CE6" s="33" t="s">
        <v>501</v>
      </c>
      <c r="CF6" s="33" t="s">
        <v>524</v>
      </c>
      <c r="CG6" s="33" t="s">
        <v>559</v>
      </c>
      <c r="CH6" s="33" t="s">
        <v>526</v>
      </c>
      <c r="CI6" s="33"/>
      <c r="CJ6" s="33" t="s">
        <v>212</v>
      </c>
      <c r="CK6" s="33"/>
      <c r="CL6" s="33" t="s">
        <v>212</v>
      </c>
      <c r="CM6" s="33"/>
      <c r="CN6" s="33" t="s">
        <v>257</v>
      </c>
      <c r="CO6" s="33" t="s">
        <v>258</v>
      </c>
      <c r="CP6" s="33" t="s">
        <v>560</v>
      </c>
      <c r="CQ6" s="33" t="s">
        <v>561</v>
      </c>
      <c r="CR6" s="33" t="s">
        <v>562</v>
      </c>
      <c r="CS6" s="33" t="s">
        <v>563</v>
      </c>
      <c r="CT6" s="33"/>
      <c r="CU6" s="33"/>
      <c r="CV6" s="33"/>
      <c r="CW6" s="33"/>
      <c r="CX6" s="33"/>
      <c r="CY6" s="33" t="s">
        <v>531</v>
      </c>
      <c r="CZ6" s="33" t="s">
        <v>564</v>
      </c>
      <c r="DA6" s="33" t="s">
        <v>565</v>
      </c>
      <c r="DB6" s="33" t="s">
        <v>531</v>
      </c>
      <c r="DC6" s="33" t="s">
        <v>566</v>
      </c>
      <c r="DD6" s="33" t="s">
        <v>567</v>
      </c>
      <c r="DE6" s="33" t="s">
        <v>568</v>
      </c>
      <c r="DF6" s="34" t="s">
        <v>569</v>
      </c>
      <c r="DG6" s="27" cm="1">
        <f t="array" ref="DG6">INDEX('elenco partner'!A:M,MATCH(1,(D6='elenco partner'!A:A)*('Partner data'!M6='elenco partner'!E:E),0),4)</f>
        <v>31</v>
      </c>
      <c r="DH6" s="83" t="str">
        <f t="shared" si="11"/>
        <v>COSTO REALE</v>
      </c>
      <c r="DI6" s="20">
        <f>COUNTIFS('MY-REPORT-MAIN'!C:C,'Partner data'!DG6,'MY-REPORT-MAIN'!I:I,"Certified")</f>
        <v>1</v>
      </c>
      <c r="DJ6" s="20">
        <f>COUNTIFS(List_Of_chek_list!M:M,"&lt;&gt;26",List_Of_chek_list!B:B,'Partner data'!DG6)</f>
        <v>1</v>
      </c>
      <c r="DK6" s="20">
        <f t="shared" si="12"/>
        <v>0</v>
      </c>
      <c r="DL6" s="19" t="str">
        <f>IF(DH6="Tasso Forfettario 20%",SUMIFS(List_Of_chek_list!#REF!,List_Of_chek_list!B:B,'Partner data'!DG6),"NON PERTINENTE")</f>
        <v>NON PERTINENTE</v>
      </c>
      <c r="DM6" s="19" t="str">
        <f t="shared" si="0"/>
        <v>NON PERTINENTE</v>
      </c>
      <c r="DN6" s="110">
        <f>_xlfn.MAXIFS('MY-REPORT-MAIN'!K:K,'MY-REPORT-MAIN'!C:C,DG6)</f>
        <v>45386.620301967596</v>
      </c>
      <c r="DO6" s="112">
        <f>IF(_xlfn.MAXIFS('MY-REPORT-MAIN'!M:M,'MY-REPORT-MAIN'!C:C,DG6)=0,"Nessun rendiconto  Convalidato",_xlfn.MAXIFS('MY-REPORT-MAIN'!M:M,'MY-REPORT-MAIN'!C:C,DG6))</f>
        <v>45470.471742199072</v>
      </c>
      <c r="DP6" s="113" cm="1">
        <f t="array" ref="DP6">IFERROR(INDEX('MY-REPORT-MAIN'!A:Z,MATCH(1,(DO6='MY-REPORT-MAIN'!M:M)*('Partner data'!DG6='MY-REPORT-MAIN'!C:C),0),1),"NON è stato convalidato ancora nessun rendiconto")</f>
        <v>250</v>
      </c>
      <c r="DQ6" s="111">
        <f>IFERROR(INDEX('MY-REPORT-MAIN'!A:Z,MATCH('Partner data'!DP6,'MY-REPORT-MAIN'!A:A,0),21),"Nessun Rendiconto ancora convalidato")</f>
        <v>40320.5</v>
      </c>
      <c r="DR6" s="110">
        <f>INDEX('Interreg VI-A Italy-Slovenia_pr'!A:E,MATCH('Partner data'!C6,'Interreg VI-A Italy-Slovenia_pr'!A:A,0),3)</f>
        <v>45200</v>
      </c>
      <c r="DS6" s="118">
        <f t="shared" si="1"/>
        <v>58189.04</v>
      </c>
      <c r="DT6" s="118">
        <f t="shared" si="2"/>
        <v>103878.08</v>
      </c>
      <c r="DU6" s="118">
        <f t="shared" si="3"/>
        <v>149067.20000000001</v>
      </c>
      <c r="DV6" s="118">
        <f t="shared" si="4"/>
        <v>149067.20000000001</v>
      </c>
      <c r="DW6" s="118">
        <f t="shared" si="5"/>
        <v>149067.20000000001</v>
      </c>
      <c r="DX6" s="118">
        <f t="shared" si="6"/>
        <v>149067.20000000001</v>
      </c>
      <c r="DY6" s="118">
        <f t="shared" si="7"/>
        <v>149067.20000000001</v>
      </c>
      <c r="DZ6" s="118">
        <f t="shared" si="8"/>
        <v>149067.20000000001</v>
      </c>
      <c r="EA6" s="118">
        <f t="shared" si="9"/>
        <v>149067.20000000001</v>
      </c>
      <c r="EB6" s="118">
        <f t="shared" si="10"/>
        <v>149067.20000000001</v>
      </c>
    </row>
    <row r="7" spans="1:133" x14ac:dyDescent="0.25">
      <c r="A7" s="28">
        <v>1</v>
      </c>
      <c r="B7" s="29" t="s">
        <v>487</v>
      </c>
      <c r="C7" s="30" t="s">
        <v>488</v>
      </c>
      <c r="D7" s="17" t="s">
        <v>250</v>
      </c>
      <c r="E7" s="30" t="s">
        <v>489</v>
      </c>
      <c r="F7" s="30" t="s">
        <v>490</v>
      </c>
      <c r="G7" s="30" t="s">
        <v>491</v>
      </c>
      <c r="H7" s="30" t="s">
        <v>492</v>
      </c>
      <c r="I7" s="30" t="s">
        <v>493</v>
      </c>
      <c r="J7" s="31" t="s">
        <v>570</v>
      </c>
      <c r="K7" s="31" t="s">
        <v>495</v>
      </c>
      <c r="L7" s="31" t="s">
        <v>519</v>
      </c>
      <c r="M7" s="31" t="s">
        <v>261</v>
      </c>
      <c r="N7" s="31" t="s">
        <v>571</v>
      </c>
      <c r="O7" s="31" t="s">
        <v>521</v>
      </c>
      <c r="P7" s="31" t="s">
        <v>257</v>
      </c>
      <c r="Q7" s="31" t="s">
        <v>556</v>
      </c>
      <c r="R7" s="31" t="s">
        <v>258</v>
      </c>
      <c r="S7" s="32">
        <v>86405.6</v>
      </c>
      <c r="T7" s="32">
        <v>80</v>
      </c>
      <c r="U7" s="32">
        <v>16.309999999999999</v>
      </c>
      <c r="V7" s="32">
        <v>0</v>
      </c>
      <c r="W7" s="32">
        <v>0</v>
      </c>
      <c r="X7" s="32">
        <v>0</v>
      </c>
      <c r="Y7" s="32">
        <v>0</v>
      </c>
      <c r="Z7" s="32">
        <v>0</v>
      </c>
      <c r="AA7" s="32">
        <v>0</v>
      </c>
      <c r="AB7" s="32">
        <v>0</v>
      </c>
      <c r="AC7" s="32">
        <v>0</v>
      </c>
      <c r="AD7" s="32">
        <v>0</v>
      </c>
      <c r="AE7" s="32">
        <v>0</v>
      </c>
      <c r="AF7" s="32">
        <v>0</v>
      </c>
      <c r="AG7" s="32">
        <v>0</v>
      </c>
      <c r="AH7" s="32">
        <v>0</v>
      </c>
      <c r="AI7" s="32">
        <v>0</v>
      </c>
      <c r="AJ7" s="32">
        <v>0</v>
      </c>
      <c r="AK7" s="32">
        <v>0</v>
      </c>
      <c r="AL7" s="32">
        <v>0</v>
      </c>
      <c r="AM7" s="32">
        <v>0</v>
      </c>
      <c r="AN7" s="32">
        <v>21601.4</v>
      </c>
      <c r="AO7" s="32">
        <v>0</v>
      </c>
      <c r="AP7" s="32">
        <v>0</v>
      </c>
      <c r="AQ7" s="32">
        <v>21601.4</v>
      </c>
      <c r="AR7" s="32">
        <v>108007</v>
      </c>
      <c r="AS7" s="32">
        <v>16.309999999999999</v>
      </c>
      <c r="AT7" s="32">
        <v>85300</v>
      </c>
      <c r="AU7" s="32">
        <v>0</v>
      </c>
      <c r="AV7" s="32">
        <v>85300</v>
      </c>
      <c r="AW7" s="32">
        <v>0</v>
      </c>
      <c r="AX7" s="32">
        <v>12795</v>
      </c>
      <c r="AY7" s="32">
        <v>12795</v>
      </c>
      <c r="AZ7" s="32">
        <v>3412</v>
      </c>
      <c r="BA7" s="32">
        <v>3412</v>
      </c>
      <c r="BB7" s="32">
        <v>0</v>
      </c>
      <c r="BC7" s="32">
        <v>0</v>
      </c>
      <c r="BD7" s="32">
        <v>6500</v>
      </c>
      <c r="BE7" s="32">
        <v>6500</v>
      </c>
      <c r="BF7" s="32">
        <v>0</v>
      </c>
      <c r="BG7" s="32">
        <v>0</v>
      </c>
      <c r="BH7" s="32">
        <v>0</v>
      </c>
      <c r="BI7" s="32">
        <v>0</v>
      </c>
      <c r="BJ7" s="32">
        <v>0</v>
      </c>
      <c r="BK7" s="32">
        <v>0</v>
      </c>
      <c r="BL7" s="32">
        <v>0</v>
      </c>
      <c r="BM7" s="32">
        <v>0</v>
      </c>
      <c r="BN7" s="32">
        <v>0</v>
      </c>
      <c r="BO7" s="32">
        <v>0</v>
      </c>
      <c r="BP7" s="32">
        <v>0</v>
      </c>
      <c r="BQ7" s="32">
        <v>35835.65</v>
      </c>
      <c r="BR7" s="32">
        <v>35835.65</v>
      </c>
      <c r="BS7" s="32">
        <v>36335.699999999997</v>
      </c>
      <c r="BT7" s="32">
        <v>0</v>
      </c>
      <c r="BU7" s="32">
        <v>0</v>
      </c>
      <c r="BV7" s="32">
        <v>0</v>
      </c>
      <c r="BW7" s="32">
        <v>0</v>
      </c>
      <c r="BX7" s="32">
        <v>0</v>
      </c>
      <c r="BY7" s="32">
        <v>0</v>
      </c>
      <c r="BZ7" s="32">
        <v>0</v>
      </c>
      <c r="CA7" s="32">
        <v>0</v>
      </c>
      <c r="CB7" s="33" t="s">
        <v>212</v>
      </c>
      <c r="CC7" s="33" t="s">
        <v>522</v>
      </c>
      <c r="CD7" s="33"/>
      <c r="CE7" s="33" t="s">
        <v>523</v>
      </c>
      <c r="CF7" s="33" t="s">
        <v>524</v>
      </c>
      <c r="CG7" s="33" t="s">
        <v>572</v>
      </c>
      <c r="CH7" s="33" t="s">
        <v>526</v>
      </c>
      <c r="CI7" s="33"/>
      <c r="CJ7" s="33" t="s">
        <v>212</v>
      </c>
      <c r="CK7" s="33"/>
      <c r="CL7" s="33" t="s">
        <v>212</v>
      </c>
      <c r="CM7" s="33"/>
      <c r="CN7" s="33" t="s">
        <v>257</v>
      </c>
      <c r="CO7" s="33" t="s">
        <v>258</v>
      </c>
      <c r="CP7" s="33" t="s">
        <v>573</v>
      </c>
      <c r="CQ7" s="33" t="s">
        <v>574</v>
      </c>
      <c r="CR7" s="33" t="s">
        <v>575</v>
      </c>
      <c r="CS7" s="33" t="s">
        <v>576</v>
      </c>
      <c r="CT7" s="33"/>
      <c r="CU7" s="33"/>
      <c r="CV7" s="33"/>
      <c r="CW7" s="33"/>
      <c r="CX7" s="33"/>
      <c r="CY7" s="33" t="s">
        <v>547</v>
      </c>
      <c r="CZ7" s="33" t="s">
        <v>577</v>
      </c>
      <c r="DA7" s="33" t="s">
        <v>578</v>
      </c>
      <c r="DB7" s="33" t="s">
        <v>547</v>
      </c>
      <c r="DC7" s="33" t="s">
        <v>577</v>
      </c>
      <c r="DD7" s="33" t="s">
        <v>578</v>
      </c>
      <c r="DE7" s="33" t="s">
        <v>579</v>
      </c>
      <c r="DF7" s="34" t="s">
        <v>580</v>
      </c>
      <c r="DG7" s="27" cm="1">
        <f t="array" ref="DG7">INDEX('elenco partner'!A:M,MATCH(1,(D7='elenco partner'!A:A)*('Partner data'!M7='elenco partner'!E:E),0),4)</f>
        <v>32</v>
      </c>
      <c r="DH7" s="83" t="str">
        <f t="shared" si="11"/>
        <v>COSTO REALE</v>
      </c>
      <c r="DI7" s="20">
        <f>COUNTIFS('MY-REPORT-MAIN'!C:C,'Partner data'!DG7,'MY-REPORT-MAIN'!I:I,"Certified")</f>
        <v>1</v>
      </c>
      <c r="DJ7" s="20">
        <f>COUNTIFS(List_Of_chek_list!M:M,"&lt;&gt;26",List_Of_chek_list!B:B,'Partner data'!DG7)</f>
        <v>0</v>
      </c>
      <c r="DK7" s="20">
        <f t="shared" si="12"/>
        <v>1</v>
      </c>
      <c r="DL7" s="19" t="str">
        <f>IF(DH7="Tasso Forfettario 20%",SUMIFS(List_Of_chek_list!#REF!,List_Of_chek_list!B:B,'Partner data'!DG7),"NON PERTINENTE")</f>
        <v>NON PERTINENTE</v>
      </c>
      <c r="DM7" s="19" t="str">
        <f t="shared" si="0"/>
        <v>NON PERTINENTE</v>
      </c>
      <c r="DN7" s="110">
        <f>_xlfn.MAXIFS('MY-REPORT-MAIN'!K:K,'MY-REPORT-MAIN'!C:C,DG7)</f>
        <v>45386.774235046294</v>
      </c>
      <c r="DO7" s="112">
        <f>IF(_xlfn.MAXIFS('MY-REPORT-MAIN'!M:M,'MY-REPORT-MAIN'!C:C,DG7)=0,"Nessun rendiconto  Convalidato",_xlfn.MAXIFS('MY-REPORT-MAIN'!M:M,'MY-REPORT-MAIN'!C:C,DG7))</f>
        <v>45476.457680370368</v>
      </c>
      <c r="DP7" s="113" cm="1">
        <f t="array" ref="DP7">IFERROR(INDEX('MY-REPORT-MAIN'!A:Z,MATCH(1,(DO7='MY-REPORT-MAIN'!M:M)*('Partner data'!DG7='MY-REPORT-MAIN'!C:C),0),1),"NON è stato convalidato ancora nessun rendiconto")</f>
        <v>252</v>
      </c>
      <c r="DQ7" s="111">
        <f>IFERROR(INDEX('MY-REPORT-MAIN'!A:Z,MATCH('Partner data'!DP7,'MY-REPORT-MAIN'!A:A,0),21),"Nessun Rendiconto ancora convalidato")</f>
        <v>31908.82</v>
      </c>
      <c r="DR7" s="110">
        <f>INDEX('Interreg VI-A Italy-Slovenia_pr'!A:E,MATCH('Partner data'!C7,'Interreg VI-A Italy-Slovenia_pr'!A:A,0),3)</f>
        <v>45200</v>
      </c>
      <c r="DS7" s="118">
        <f t="shared" si="1"/>
        <v>35835.65</v>
      </c>
      <c r="DT7" s="118">
        <f t="shared" si="2"/>
        <v>71671.3</v>
      </c>
      <c r="DU7" s="118">
        <f t="shared" si="3"/>
        <v>108007</v>
      </c>
      <c r="DV7" s="118">
        <f t="shared" si="4"/>
        <v>108007</v>
      </c>
      <c r="DW7" s="118">
        <f t="shared" si="5"/>
        <v>108007</v>
      </c>
      <c r="DX7" s="118">
        <f t="shared" si="6"/>
        <v>108007</v>
      </c>
      <c r="DY7" s="118">
        <f t="shared" si="7"/>
        <v>108007</v>
      </c>
      <c r="DZ7" s="118">
        <f t="shared" si="8"/>
        <v>108007</v>
      </c>
      <c r="EA7" s="118">
        <f t="shared" si="9"/>
        <v>108007</v>
      </c>
      <c r="EB7" s="118">
        <f t="shared" si="10"/>
        <v>108007</v>
      </c>
    </row>
    <row r="8" spans="1:133" ht="45" x14ac:dyDescent="0.25">
      <c r="A8" s="28">
        <v>1</v>
      </c>
      <c r="B8" s="29" t="s">
        <v>487</v>
      </c>
      <c r="C8" s="30" t="s">
        <v>488</v>
      </c>
      <c r="D8" s="17" t="s">
        <v>250</v>
      </c>
      <c r="E8" s="30" t="s">
        <v>489</v>
      </c>
      <c r="F8" s="30" t="s">
        <v>490</v>
      </c>
      <c r="G8" s="30" t="s">
        <v>491</v>
      </c>
      <c r="H8" s="30" t="s">
        <v>492</v>
      </c>
      <c r="I8" s="30" t="s">
        <v>493</v>
      </c>
      <c r="J8" s="31" t="s">
        <v>581</v>
      </c>
      <c r="K8" s="31" t="s">
        <v>495</v>
      </c>
      <c r="L8" s="31" t="s">
        <v>519</v>
      </c>
      <c r="M8" s="31" t="s">
        <v>259</v>
      </c>
      <c r="N8" s="31" t="s">
        <v>582</v>
      </c>
      <c r="O8" s="31" t="s">
        <v>521</v>
      </c>
      <c r="P8" s="31" t="s">
        <v>254</v>
      </c>
      <c r="Q8" s="31" t="s">
        <v>540</v>
      </c>
      <c r="R8" s="31" t="s">
        <v>260</v>
      </c>
      <c r="S8" s="32">
        <v>34305.199999999997</v>
      </c>
      <c r="T8" s="32">
        <v>80</v>
      </c>
      <c r="U8" s="32">
        <v>6.47</v>
      </c>
      <c r="V8" s="32">
        <v>0</v>
      </c>
      <c r="W8" s="32">
        <v>0</v>
      </c>
      <c r="X8" s="32">
        <v>0</v>
      </c>
      <c r="Y8" s="32">
        <v>0</v>
      </c>
      <c r="Z8" s="32">
        <v>0</v>
      </c>
      <c r="AA8" s="32">
        <v>0</v>
      </c>
      <c r="AB8" s="32">
        <v>0</v>
      </c>
      <c r="AC8" s="32">
        <v>0</v>
      </c>
      <c r="AD8" s="32">
        <v>0</v>
      </c>
      <c r="AE8" s="32">
        <v>0</v>
      </c>
      <c r="AF8" s="32">
        <v>0</v>
      </c>
      <c r="AG8" s="32">
        <v>0</v>
      </c>
      <c r="AH8" s="32">
        <v>0</v>
      </c>
      <c r="AI8" s="32">
        <v>0</v>
      </c>
      <c r="AJ8" s="32">
        <v>0</v>
      </c>
      <c r="AK8" s="32">
        <v>0</v>
      </c>
      <c r="AL8" s="32">
        <v>0</v>
      </c>
      <c r="AM8" s="32">
        <v>0</v>
      </c>
      <c r="AN8" s="32">
        <v>0</v>
      </c>
      <c r="AO8" s="32">
        <v>8576.2999999999993</v>
      </c>
      <c r="AP8" s="32">
        <v>0</v>
      </c>
      <c r="AQ8" s="32">
        <v>8576.2999999999993</v>
      </c>
      <c r="AR8" s="32">
        <v>42881.5</v>
      </c>
      <c r="AS8" s="32">
        <v>6.47</v>
      </c>
      <c r="AT8" s="32">
        <v>23850</v>
      </c>
      <c r="AU8" s="32">
        <v>0</v>
      </c>
      <c r="AV8" s="32">
        <v>23850</v>
      </c>
      <c r="AW8" s="32">
        <v>0</v>
      </c>
      <c r="AX8" s="32">
        <v>3577.5</v>
      </c>
      <c r="AY8" s="32">
        <v>3577.5</v>
      </c>
      <c r="AZ8" s="32">
        <v>954</v>
      </c>
      <c r="BA8" s="32">
        <v>954</v>
      </c>
      <c r="BB8" s="32">
        <v>0</v>
      </c>
      <c r="BC8" s="32">
        <v>0</v>
      </c>
      <c r="BD8" s="32">
        <v>13500</v>
      </c>
      <c r="BE8" s="32">
        <v>13500</v>
      </c>
      <c r="BF8" s="32">
        <v>0</v>
      </c>
      <c r="BG8" s="32">
        <v>1000</v>
      </c>
      <c r="BH8" s="32">
        <v>1000</v>
      </c>
      <c r="BI8" s="32">
        <v>0</v>
      </c>
      <c r="BJ8" s="32">
        <v>0</v>
      </c>
      <c r="BK8" s="32">
        <v>0</v>
      </c>
      <c r="BL8" s="32">
        <v>0</v>
      </c>
      <c r="BM8" s="32">
        <v>0</v>
      </c>
      <c r="BN8" s="32">
        <v>0</v>
      </c>
      <c r="BO8" s="32">
        <v>0</v>
      </c>
      <c r="BP8" s="32">
        <v>0</v>
      </c>
      <c r="BQ8" s="32">
        <v>10960.47</v>
      </c>
      <c r="BR8" s="32">
        <v>15960.47</v>
      </c>
      <c r="BS8" s="32">
        <v>15960.56</v>
      </c>
      <c r="BT8" s="32">
        <v>0</v>
      </c>
      <c r="BU8" s="32">
        <v>0</v>
      </c>
      <c r="BV8" s="32">
        <v>0</v>
      </c>
      <c r="BW8" s="32">
        <v>0</v>
      </c>
      <c r="BX8" s="32">
        <v>0</v>
      </c>
      <c r="BY8" s="32">
        <v>0</v>
      </c>
      <c r="BZ8" s="32">
        <v>0</v>
      </c>
      <c r="CA8" s="32">
        <v>0</v>
      </c>
      <c r="CB8" s="33" t="s">
        <v>212</v>
      </c>
      <c r="CC8" s="33" t="s">
        <v>541</v>
      </c>
      <c r="CD8" s="33"/>
      <c r="CE8" s="33" t="s">
        <v>523</v>
      </c>
      <c r="CF8" s="33" t="s">
        <v>524</v>
      </c>
      <c r="CG8" s="33" t="s">
        <v>583</v>
      </c>
      <c r="CH8" s="33" t="s">
        <v>526</v>
      </c>
      <c r="CI8" s="33"/>
      <c r="CJ8" s="33" t="s">
        <v>212</v>
      </c>
      <c r="CK8" s="33"/>
      <c r="CL8" s="33" t="s">
        <v>212</v>
      </c>
      <c r="CM8" s="33"/>
      <c r="CN8" s="33" t="s">
        <v>254</v>
      </c>
      <c r="CO8" s="33" t="s">
        <v>260</v>
      </c>
      <c r="CP8" s="33" t="s">
        <v>584</v>
      </c>
      <c r="CQ8" s="33" t="s">
        <v>585</v>
      </c>
      <c r="CR8" s="33" t="s">
        <v>323</v>
      </c>
      <c r="CS8" s="33" t="s">
        <v>586</v>
      </c>
      <c r="CT8" s="33"/>
      <c r="CU8" s="33"/>
      <c r="CV8" s="33"/>
      <c r="CW8" s="33"/>
      <c r="CX8" s="33"/>
      <c r="CY8" s="33" t="s">
        <v>531</v>
      </c>
      <c r="CZ8" s="33" t="s">
        <v>587</v>
      </c>
      <c r="DA8" s="33" t="s">
        <v>588</v>
      </c>
      <c r="DB8" s="33" t="s">
        <v>547</v>
      </c>
      <c r="DC8" s="33" t="s">
        <v>589</v>
      </c>
      <c r="DD8" s="33" t="s">
        <v>590</v>
      </c>
      <c r="DE8" s="33" t="s">
        <v>591</v>
      </c>
      <c r="DF8" s="34" t="s">
        <v>592</v>
      </c>
      <c r="DG8" s="27" cm="1">
        <f t="array" ref="DG8">INDEX('elenco partner'!A:M,MATCH(1,(D8='elenco partner'!A:A)*('Partner data'!M8='elenco partner'!E:E),0),4)</f>
        <v>33</v>
      </c>
      <c r="DH8" s="83" t="str">
        <f t="shared" si="11"/>
        <v>COSTO REALE</v>
      </c>
      <c r="DI8" s="20">
        <f>COUNTIFS('MY-REPORT-MAIN'!C:C,'Partner data'!DG8,'MY-REPORT-MAIN'!I:I,"Certified")</f>
        <v>0</v>
      </c>
      <c r="DJ8" s="20">
        <f>COUNTIFS(List_Of_chek_list!M:M,"&lt;&gt;26",List_Of_chek_list!B:B,'Partner data'!DG8)</f>
        <v>0</v>
      </c>
      <c r="DK8" s="20">
        <f t="shared" si="12"/>
        <v>0</v>
      </c>
      <c r="DL8" s="19" t="str">
        <f>IF(DH8="Tasso Forfettario 20%",SUMIFS(List_Of_chek_list!#REF!,List_Of_chek_list!B:B,'Partner data'!DG8),"NON PERTINENTE")</f>
        <v>NON PERTINENTE</v>
      </c>
      <c r="DM8" s="19" t="str">
        <f t="shared" si="0"/>
        <v>NON PERTINENTE</v>
      </c>
      <c r="DN8" s="110">
        <f>_xlfn.MAXIFS('MY-REPORT-MAIN'!K:K,'MY-REPORT-MAIN'!C:C,DG8)</f>
        <v>0</v>
      </c>
      <c r="DO8" s="112" t="str">
        <f>IF(_xlfn.MAXIFS('MY-REPORT-MAIN'!M:M,'MY-REPORT-MAIN'!C:C,DG8)=0,"Nessun rendiconto  Convalidato",_xlfn.MAXIFS('MY-REPORT-MAIN'!M:M,'MY-REPORT-MAIN'!C:C,DG8))</f>
        <v>Nessun rendiconto  Convalidato</v>
      </c>
      <c r="DP8" s="113" t="str" cm="1">
        <f t="array" ref="DP8">IFERROR(INDEX('MY-REPORT-MAIN'!A:Z,MATCH(1,(DO8='MY-REPORT-MAIN'!M:M)*('Partner data'!DG8='MY-REPORT-MAIN'!C:C),0),1),"NON è stato convalidato ancora nessun rendiconto")</f>
        <v>NON è stato convalidato ancora nessun rendiconto</v>
      </c>
      <c r="DQ8" s="111" t="str">
        <f>IFERROR(INDEX('MY-REPORT-MAIN'!A:Z,MATCH('Partner data'!DP8,'MY-REPORT-MAIN'!A:A,0),21),"Nessun Rendiconto ancora convalidato")</f>
        <v>Nessun Rendiconto ancora convalidato</v>
      </c>
      <c r="DR8" s="110">
        <f>INDEX('Interreg VI-A Italy-Slovenia_pr'!A:E,MATCH('Partner data'!C8,'Interreg VI-A Italy-Slovenia_pr'!A:A,0),3)</f>
        <v>45200</v>
      </c>
      <c r="DS8" s="118">
        <f t="shared" si="1"/>
        <v>10960.47</v>
      </c>
      <c r="DT8" s="118">
        <f t="shared" si="2"/>
        <v>26920.94</v>
      </c>
      <c r="DU8" s="118">
        <f t="shared" si="3"/>
        <v>42881.5</v>
      </c>
      <c r="DV8" s="118">
        <f t="shared" si="4"/>
        <v>42881.5</v>
      </c>
      <c r="DW8" s="118">
        <f t="shared" si="5"/>
        <v>42881.5</v>
      </c>
      <c r="DX8" s="118">
        <f t="shared" si="6"/>
        <v>42881.5</v>
      </c>
      <c r="DY8" s="118">
        <f t="shared" si="7"/>
        <v>42881.5</v>
      </c>
      <c r="DZ8" s="118">
        <f t="shared" si="8"/>
        <v>42881.5</v>
      </c>
      <c r="EA8" s="118">
        <f t="shared" si="9"/>
        <v>42881.5</v>
      </c>
      <c r="EB8" s="118">
        <f t="shared" si="10"/>
        <v>42881.5</v>
      </c>
    </row>
    <row r="9" spans="1:133" x14ac:dyDescent="0.25">
      <c r="A9" s="28">
        <v>1</v>
      </c>
      <c r="B9" s="29" t="s">
        <v>487</v>
      </c>
      <c r="C9" s="30" t="s">
        <v>764</v>
      </c>
      <c r="D9" s="30" t="s">
        <v>271</v>
      </c>
      <c r="E9" s="30" t="s">
        <v>765</v>
      </c>
      <c r="F9" s="30" t="s">
        <v>490</v>
      </c>
      <c r="G9" s="30" t="s">
        <v>491</v>
      </c>
      <c r="H9" s="30" t="s">
        <v>766</v>
      </c>
      <c r="I9" s="30" t="s">
        <v>767</v>
      </c>
      <c r="J9" s="31" t="s">
        <v>494</v>
      </c>
      <c r="K9" s="31" t="s">
        <v>495</v>
      </c>
      <c r="L9" s="31" t="s">
        <v>496</v>
      </c>
      <c r="M9" s="31" t="s">
        <v>276</v>
      </c>
      <c r="N9" s="31" t="s">
        <v>768</v>
      </c>
      <c r="O9" s="31" t="s">
        <v>769</v>
      </c>
      <c r="P9" s="31" t="s">
        <v>254</v>
      </c>
      <c r="Q9" s="31" t="s">
        <v>540</v>
      </c>
      <c r="R9" s="31" t="s">
        <v>260</v>
      </c>
      <c r="S9" s="32">
        <v>256113.57</v>
      </c>
      <c r="T9" s="32">
        <v>80</v>
      </c>
      <c r="U9" s="32">
        <v>42.72</v>
      </c>
      <c r="V9" s="32">
        <v>0</v>
      </c>
      <c r="W9" s="32">
        <v>0</v>
      </c>
      <c r="X9" s="32">
        <v>0</v>
      </c>
      <c r="Y9" s="32">
        <v>0</v>
      </c>
      <c r="Z9" s="32">
        <v>0</v>
      </c>
      <c r="AA9" s="32">
        <v>0</v>
      </c>
      <c r="AB9" s="32">
        <v>0</v>
      </c>
      <c r="AC9" s="32">
        <v>0</v>
      </c>
      <c r="AD9" s="32">
        <v>0</v>
      </c>
      <c r="AE9" s="32">
        <v>0</v>
      </c>
      <c r="AF9" s="32">
        <v>0</v>
      </c>
      <c r="AG9" s="32">
        <v>0</v>
      </c>
      <c r="AH9" s="32">
        <v>0</v>
      </c>
      <c r="AI9" s="32">
        <v>0</v>
      </c>
      <c r="AJ9" s="32">
        <v>0</v>
      </c>
      <c r="AK9" s="32">
        <v>0</v>
      </c>
      <c r="AL9" s="32">
        <v>0</v>
      </c>
      <c r="AM9" s="32">
        <v>0</v>
      </c>
      <c r="AN9" s="32">
        <v>0</v>
      </c>
      <c r="AO9" s="32">
        <v>64028.4</v>
      </c>
      <c r="AP9" s="32">
        <v>0</v>
      </c>
      <c r="AQ9" s="32">
        <v>64028.4</v>
      </c>
      <c r="AR9" s="32">
        <v>320141.96999999997</v>
      </c>
      <c r="AS9" s="32">
        <v>42.72</v>
      </c>
      <c r="AT9" s="32">
        <v>222244.27</v>
      </c>
      <c r="AU9" s="32">
        <v>0</v>
      </c>
      <c r="AV9" s="32">
        <v>222244.27</v>
      </c>
      <c r="AW9" s="32">
        <v>0</v>
      </c>
      <c r="AX9" s="32">
        <v>0</v>
      </c>
      <c r="AY9" s="32">
        <v>0</v>
      </c>
      <c r="AZ9" s="32">
        <v>0</v>
      </c>
      <c r="BA9" s="32">
        <v>0</v>
      </c>
      <c r="BB9" s="32">
        <v>0</v>
      </c>
      <c r="BC9" s="32">
        <v>0</v>
      </c>
      <c r="BD9" s="32">
        <v>0</v>
      </c>
      <c r="BE9" s="32">
        <v>0</v>
      </c>
      <c r="BF9" s="32">
        <v>0</v>
      </c>
      <c r="BG9" s="32">
        <v>0</v>
      </c>
      <c r="BH9" s="32">
        <v>0</v>
      </c>
      <c r="BI9" s="32">
        <v>0</v>
      </c>
      <c r="BJ9" s="32">
        <v>0</v>
      </c>
      <c r="BK9" s="32">
        <v>0</v>
      </c>
      <c r="BL9" s="32">
        <v>0</v>
      </c>
      <c r="BM9" s="32">
        <v>88897.7</v>
      </c>
      <c r="BN9" s="32">
        <v>0</v>
      </c>
      <c r="BO9" s="32">
        <v>9000</v>
      </c>
      <c r="BP9" s="32">
        <v>9000</v>
      </c>
      <c r="BQ9" s="32">
        <v>60268.65</v>
      </c>
      <c r="BR9" s="32">
        <v>75436.240000000005</v>
      </c>
      <c r="BS9" s="32">
        <v>87717.78</v>
      </c>
      <c r="BT9" s="32">
        <v>87719.3</v>
      </c>
      <c r="BU9" s="32">
        <v>0</v>
      </c>
      <c r="BV9" s="32">
        <v>0</v>
      </c>
      <c r="BW9" s="32">
        <v>0</v>
      </c>
      <c r="BX9" s="32">
        <v>0</v>
      </c>
      <c r="BY9" s="32">
        <v>0</v>
      </c>
      <c r="BZ9" s="32">
        <v>0</v>
      </c>
      <c r="CA9" s="32">
        <v>0</v>
      </c>
      <c r="CB9" s="33" t="s">
        <v>212</v>
      </c>
      <c r="CC9" s="33" t="s">
        <v>770</v>
      </c>
      <c r="CD9" s="33"/>
      <c r="CE9" s="33" t="s">
        <v>501</v>
      </c>
      <c r="CF9" s="33" t="s">
        <v>676</v>
      </c>
      <c r="CG9" s="33" t="s">
        <v>771</v>
      </c>
      <c r="CH9" s="33" t="s">
        <v>526</v>
      </c>
      <c r="CI9" s="33"/>
      <c r="CJ9" s="33" t="s">
        <v>212</v>
      </c>
      <c r="CK9" s="33" t="s">
        <v>772</v>
      </c>
      <c r="CL9" s="33" t="s">
        <v>212</v>
      </c>
      <c r="CM9" s="33"/>
      <c r="CN9" s="33" t="s">
        <v>254</v>
      </c>
      <c r="CO9" s="33" t="s">
        <v>260</v>
      </c>
      <c r="CP9" s="33" t="s">
        <v>773</v>
      </c>
      <c r="CQ9" s="33" t="s">
        <v>774</v>
      </c>
      <c r="CR9" s="33" t="s">
        <v>775</v>
      </c>
      <c r="CS9" s="33" t="s">
        <v>776</v>
      </c>
      <c r="CT9" s="33"/>
      <c r="CU9" s="33"/>
      <c r="CV9" s="33"/>
      <c r="CW9" s="33"/>
      <c r="CX9" s="33"/>
      <c r="CY9" s="33" t="s">
        <v>628</v>
      </c>
      <c r="CZ9" s="33" t="s">
        <v>777</v>
      </c>
      <c r="DA9" s="33" t="s">
        <v>778</v>
      </c>
      <c r="DB9" s="33" t="s">
        <v>513</v>
      </c>
      <c r="DC9" s="33" t="s">
        <v>779</v>
      </c>
      <c r="DD9" s="33" t="s">
        <v>780</v>
      </c>
      <c r="DE9" s="33" t="s">
        <v>781</v>
      </c>
      <c r="DF9" s="34" t="s">
        <v>782</v>
      </c>
      <c r="DG9" s="27" cm="1">
        <f t="array" ref="DG9">INDEX('elenco partner'!A:M,MATCH(1,(D9='elenco partner'!A:A)*('Partner data'!M9='elenco partner'!E:E),0),4)</f>
        <v>76</v>
      </c>
      <c r="DH9" s="83" t="str">
        <f t="shared" ref="DH9:DH17" si="13">IF(AU9&lt;&gt;0,"Tasso Forfettario 20%",IF(AV9&lt;&gt;0,"COSTO REALE",IF(AW9&lt;&gt;0,"Costo Unitario Standard","BL1 non presente")))</f>
        <v>COSTO REALE</v>
      </c>
      <c r="DI9" s="20">
        <f>COUNTIFS('MY-REPORT-MAIN'!C:C,'Partner data'!DG9,'MY-REPORT-MAIN'!I:I,"Certified")</f>
        <v>1</v>
      </c>
      <c r="DJ9" s="20">
        <f>COUNTIFS(List_Of_chek_list!M:M,"&lt;&gt;26",List_Of_chek_list!B:B,'Partner data'!DG9)</f>
        <v>1</v>
      </c>
      <c r="DK9" s="20">
        <f t="shared" ref="DK9:DK17" si="14">DI9-DJ9</f>
        <v>0</v>
      </c>
      <c r="DL9" s="19" t="str">
        <f>IF(DH9="Tasso Forfettario 20%",SUMIFS(List_Of_chek_list!#REF!,List_Of_chek_list!B:B,'Partner data'!DG9),"NON PERTINENTE")</f>
        <v>NON PERTINENTE</v>
      </c>
      <c r="DM9" s="19" t="str">
        <f t="shared" ref="DM9:DM11" si="15">IF(DL9="NON PERTINENTE","NON PERTINENTE",IF(DJ9=DL9,"Rischio basso","Rischio alto"))</f>
        <v>NON PERTINENTE</v>
      </c>
      <c r="DN9" s="110">
        <f>_xlfn.MAXIFS('MY-REPORT-MAIN'!K:K,'MY-REPORT-MAIN'!C:C,DG9)</f>
        <v>45379.60406568287</v>
      </c>
      <c r="DO9" s="112">
        <f>IF(_xlfn.MAXIFS('MY-REPORT-MAIN'!M:M,'MY-REPORT-MAIN'!C:C,DG9)=0,"Nessun rendiconto  Convalidato",_xlfn.MAXIFS('MY-REPORT-MAIN'!M:M,'MY-REPORT-MAIN'!C:C,DG9))</f>
        <v>45441.65601741898</v>
      </c>
      <c r="DP9" s="113" cm="1">
        <f t="array" ref="DP9">IFERROR(INDEX('MY-REPORT-MAIN'!A:Z,MATCH(1,(DO9='MY-REPORT-MAIN'!M:M)*('Partner data'!DG9='MY-REPORT-MAIN'!C:C),0),1),"NON è stato convalidato ancora nessun rendiconto")</f>
        <v>198</v>
      </c>
      <c r="DQ9" s="111">
        <f>IFERROR(INDEX('MY-REPORT-MAIN'!A:Z,MATCH('Partner data'!DP9,'MY-REPORT-MAIN'!A:A,0),21),"Nessun Rendiconto ancora convalidato")</f>
        <v>53177.120000000003</v>
      </c>
      <c r="DR9" s="110">
        <f>INDEX('Interreg VI-A Italy-Slovenia_pr'!A:E,MATCH('Partner data'!C9,'Interreg VI-A Italy-Slovenia_pr'!A:A,0),3)</f>
        <v>45184</v>
      </c>
      <c r="DS9" s="118">
        <f t="shared" si="1"/>
        <v>69268.649999999994</v>
      </c>
      <c r="DT9" s="118">
        <f t="shared" si="2"/>
        <v>144704.89000000001</v>
      </c>
      <c r="DU9" s="118">
        <f t="shared" si="3"/>
        <v>232422.67</v>
      </c>
      <c r="DV9" s="118">
        <f t="shared" si="4"/>
        <v>320141.97000000003</v>
      </c>
      <c r="DW9" s="118">
        <f t="shared" si="5"/>
        <v>320141.97000000003</v>
      </c>
      <c r="DX9" s="118">
        <f t="shared" si="6"/>
        <v>320141.97000000003</v>
      </c>
      <c r="DY9" s="118">
        <f t="shared" si="7"/>
        <v>320141.97000000003</v>
      </c>
      <c r="DZ9" s="118">
        <f t="shared" si="8"/>
        <v>320141.97000000003</v>
      </c>
      <c r="EA9" s="118">
        <f t="shared" si="9"/>
        <v>320141.97000000003</v>
      </c>
      <c r="EB9" s="118">
        <f t="shared" si="10"/>
        <v>320141.97000000003</v>
      </c>
    </row>
    <row r="10" spans="1:133" x14ac:dyDescent="0.25">
      <c r="A10" s="28">
        <v>1</v>
      </c>
      <c r="B10" s="29" t="s">
        <v>487</v>
      </c>
      <c r="C10" s="30" t="s">
        <v>764</v>
      </c>
      <c r="D10" s="30" t="s">
        <v>271</v>
      </c>
      <c r="E10" s="30" t="s">
        <v>765</v>
      </c>
      <c r="F10" s="30" t="s">
        <v>490</v>
      </c>
      <c r="G10" s="30" t="s">
        <v>491</v>
      </c>
      <c r="H10" s="30" t="s">
        <v>766</v>
      </c>
      <c r="I10" s="30" t="s">
        <v>767</v>
      </c>
      <c r="J10" s="31" t="s">
        <v>518</v>
      </c>
      <c r="K10" s="31" t="s">
        <v>495</v>
      </c>
      <c r="L10" s="31" t="s">
        <v>519</v>
      </c>
      <c r="M10" s="31" t="s">
        <v>274</v>
      </c>
      <c r="N10" s="31" t="s">
        <v>783</v>
      </c>
      <c r="O10" s="31" t="s">
        <v>784</v>
      </c>
      <c r="P10" s="31" t="s">
        <v>257</v>
      </c>
      <c r="Q10" s="31" t="s">
        <v>556</v>
      </c>
      <c r="R10" s="31" t="s">
        <v>270</v>
      </c>
      <c r="S10" s="32">
        <v>117440</v>
      </c>
      <c r="T10" s="32">
        <v>80</v>
      </c>
      <c r="U10" s="32">
        <v>19.59</v>
      </c>
      <c r="V10" s="32">
        <v>0</v>
      </c>
      <c r="W10" s="32">
        <v>0</v>
      </c>
      <c r="X10" s="32">
        <v>0</v>
      </c>
      <c r="Y10" s="32">
        <v>0</v>
      </c>
      <c r="Z10" s="32">
        <v>0</v>
      </c>
      <c r="AA10" s="32">
        <v>0</v>
      </c>
      <c r="AB10" s="32">
        <v>0</v>
      </c>
      <c r="AC10" s="32">
        <v>0</v>
      </c>
      <c r="AD10" s="32">
        <v>0</v>
      </c>
      <c r="AE10" s="32">
        <v>0</v>
      </c>
      <c r="AF10" s="32">
        <v>0</v>
      </c>
      <c r="AG10" s="32">
        <v>0</v>
      </c>
      <c r="AH10" s="32">
        <v>0</v>
      </c>
      <c r="AI10" s="32">
        <v>0</v>
      </c>
      <c r="AJ10" s="32">
        <v>0</v>
      </c>
      <c r="AK10" s="32">
        <v>0</v>
      </c>
      <c r="AL10" s="32">
        <v>0</v>
      </c>
      <c r="AM10" s="32">
        <v>0</v>
      </c>
      <c r="AN10" s="32">
        <v>0</v>
      </c>
      <c r="AO10" s="32">
        <v>0</v>
      </c>
      <c r="AP10" s="32">
        <v>29360</v>
      </c>
      <c r="AQ10" s="32">
        <v>29360</v>
      </c>
      <c r="AR10" s="32">
        <v>146800</v>
      </c>
      <c r="AS10" s="32">
        <v>19.59</v>
      </c>
      <c r="AT10" s="32">
        <v>52320</v>
      </c>
      <c r="AU10" s="32">
        <v>0</v>
      </c>
      <c r="AV10" s="32">
        <v>52320</v>
      </c>
      <c r="AW10" s="32">
        <v>0</v>
      </c>
      <c r="AX10" s="32">
        <v>7848</v>
      </c>
      <c r="AY10" s="32">
        <v>7848</v>
      </c>
      <c r="AZ10" s="32">
        <v>2092.8000000000002</v>
      </c>
      <c r="BA10" s="32">
        <v>2092.8000000000002</v>
      </c>
      <c r="BB10" s="32">
        <v>0</v>
      </c>
      <c r="BC10" s="32">
        <v>0</v>
      </c>
      <c r="BD10" s="32">
        <v>54539.199999999997</v>
      </c>
      <c r="BE10" s="32">
        <v>54539.199999999997</v>
      </c>
      <c r="BF10" s="32">
        <v>0</v>
      </c>
      <c r="BG10" s="32">
        <v>11000</v>
      </c>
      <c r="BH10" s="32">
        <v>11000</v>
      </c>
      <c r="BI10" s="32">
        <v>0</v>
      </c>
      <c r="BJ10" s="32">
        <v>19000</v>
      </c>
      <c r="BK10" s="32">
        <v>19000</v>
      </c>
      <c r="BL10" s="32">
        <v>0</v>
      </c>
      <c r="BM10" s="32">
        <v>0</v>
      </c>
      <c r="BN10" s="32">
        <v>0</v>
      </c>
      <c r="BO10" s="32">
        <v>0</v>
      </c>
      <c r="BP10" s="32">
        <v>0</v>
      </c>
      <c r="BQ10" s="32">
        <v>54854.400000000001</v>
      </c>
      <c r="BR10" s="32">
        <v>37315.199999999997</v>
      </c>
      <c r="BS10" s="32">
        <v>30065.200000000001</v>
      </c>
      <c r="BT10" s="32">
        <v>24565.200000000001</v>
      </c>
      <c r="BU10" s="32">
        <v>0</v>
      </c>
      <c r="BV10" s="32">
        <v>0</v>
      </c>
      <c r="BW10" s="32">
        <v>0</v>
      </c>
      <c r="BX10" s="32">
        <v>0</v>
      </c>
      <c r="BY10" s="32">
        <v>0</v>
      </c>
      <c r="BZ10" s="32">
        <v>0</v>
      </c>
      <c r="CA10" s="32">
        <v>0</v>
      </c>
      <c r="CB10" s="33" t="s">
        <v>785</v>
      </c>
      <c r="CC10" s="33" t="s">
        <v>675</v>
      </c>
      <c r="CD10" s="33" t="s">
        <v>617</v>
      </c>
      <c r="CE10" s="33" t="s">
        <v>501</v>
      </c>
      <c r="CF10" s="33" t="s">
        <v>786</v>
      </c>
      <c r="CG10" s="33" t="s">
        <v>787</v>
      </c>
      <c r="CH10" s="33" t="s">
        <v>504</v>
      </c>
      <c r="CI10" s="33"/>
      <c r="CJ10" s="33" t="s">
        <v>212</v>
      </c>
      <c r="CK10" s="33" t="s">
        <v>788</v>
      </c>
      <c r="CL10" s="33" t="s">
        <v>212</v>
      </c>
      <c r="CM10" s="33"/>
      <c r="CN10" s="33" t="s">
        <v>257</v>
      </c>
      <c r="CO10" s="33" t="s">
        <v>270</v>
      </c>
      <c r="CP10" s="33" t="s">
        <v>789</v>
      </c>
      <c r="CQ10" s="33" t="s">
        <v>710</v>
      </c>
      <c r="CR10" s="33" t="s">
        <v>650</v>
      </c>
      <c r="CS10" s="33" t="s">
        <v>790</v>
      </c>
      <c r="CT10" s="33" t="s">
        <v>257</v>
      </c>
      <c r="CU10" s="33" t="s">
        <v>270</v>
      </c>
      <c r="CV10" s="33" t="s">
        <v>791</v>
      </c>
      <c r="CW10" s="33" t="s">
        <v>792</v>
      </c>
      <c r="CX10" s="33" t="s">
        <v>793</v>
      </c>
      <c r="CY10" s="33" t="s">
        <v>622</v>
      </c>
      <c r="CZ10" s="33" t="s">
        <v>794</v>
      </c>
      <c r="DA10" s="33" t="s">
        <v>795</v>
      </c>
      <c r="DB10" s="33" t="s">
        <v>796</v>
      </c>
      <c r="DC10" s="33" t="s">
        <v>797</v>
      </c>
      <c r="DD10" s="33" t="s">
        <v>798</v>
      </c>
      <c r="DE10" s="33" t="s">
        <v>799</v>
      </c>
      <c r="DF10" s="34" t="s">
        <v>800</v>
      </c>
      <c r="DG10" s="27" cm="1">
        <f t="array" ref="DG10">INDEX('elenco partner'!A:M,MATCH(1,(D10='elenco partner'!A:A)*('Partner data'!M10='elenco partner'!E:E),0),4)</f>
        <v>218</v>
      </c>
      <c r="DH10" s="83" t="str">
        <f t="shared" si="13"/>
        <v>COSTO REALE</v>
      </c>
      <c r="DI10" s="20">
        <f>COUNTIFS('MY-REPORT-MAIN'!C:C,'Partner data'!DG10,'MY-REPORT-MAIN'!I:I,"Certified")</f>
        <v>1</v>
      </c>
      <c r="DJ10" s="20">
        <f>COUNTIFS(List_Of_chek_list!M:M,"&lt;&gt;26",List_Of_chek_list!B:B,'Partner data'!DG10)</f>
        <v>1</v>
      </c>
      <c r="DK10" s="20">
        <f t="shared" si="14"/>
        <v>0</v>
      </c>
      <c r="DL10" s="19" t="str">
        <f>IF(DH10="Tasso Forfettario 20%",SUMIFS(List_Of_chek_list!#REF!,List_Of_chek_list!B:B,'Partner data'!DG10),"NON PERTINENTE")</f>
        <v>NON PERTINENTE</v>
      </c>
      <c r="DM10" s="19" t="str">
        <f t="shared" si="15"/>
        <v>NON PERTINENTE</v>
      </c>
      <c r="DN10" s="110">
        <f>_xlfn.MAXIFS('MY-REPORT-MAIN'!K:K,'MY-REPORT-MAIN'!C:C,DG10)</f>
        <v>45380.488477395833</v>
      </c>
      <c r="DO10" s="112">
        <f>IF(_xlfn.MAXIFS('MY-REPORT-MAIN'!M:M,'MY-REPORT-MAIN'!C:C,DG10)=0,"Nessun rendiconto  Convalidato",_xlfn.MAXIFS('MY-REPORT-MAIN'!M:M,'MY-REPORT-MAIN'!C:C,DG10))</f>
        <v>45443.373436099537</v>
      </c>
      <c r="DP10" s="113" cm="1">
        <f t="array" ref="DP10">IFERROR(INDEX('MY-REPORT-MAIN'!A:Z,MATCH(1,(DO10='MY-REPORT-MAIN'!M:M)*('Partner data'!DG10='MY-REPORT-MAIN'!C:C),0),1),"NON è stato convalidato ancora nessun rendiconto")</f>
        <v>233</v>
      </c>
      <c r="DQ10" s="111">
        <f>IFERROR(INDEX('MY-REPORT-MAIN'!A:Z,MATCH('Partner data'!DP10,'MY-REPORT-MAIN'!A:A,0),21),"Nessun Rendiconto ancora convalidato")</f>
        <v>20576.59</v>
      </c>
      <c r="DR10" s="110">
        <f>INDEX('Interreg VI-A Italy-Slovenia_pr'!A:E,MATCH('Partner data'!C10,'Interreg VI-A Italy-Slovenia_pr'!A:A,0),3)</f>
        <v>45184</v>
      </c>
      <c r="DS10" s="118">
        <f t="shared" si="1"/>
        <v>54854.400000000001</v>
      </c>
      <c r="DT10" s="118">
        <f t="shared" si="2"/>
        <v>92169.600000000006</v>
      </c>
      <c r="DU10" s="118">
        <f t="shared" si="3"/>
        <v>122234.8</v>
      </c>
      <c r="DV10" s="118">
        <f t="shared" si="4"/>
        <v>146800</v>
      </c>
      <c r="DW10" s="118">
        <f t="shared" si="5"/>
        <v>146800</v>
      </c>
      <c r="DX10" s="118">
        <f t="shared" si="6"/>
        <v>146800</v>
      </c>
      <c r="DY10" s="118">
        <f t="shared" si="7"/>
        <v>146800</v>
      </c>
      <c r="DZ10" s="118">
        <f t="shared" si="8"/>
        <v>146800</v>
      </c>
      <c r="EA10" s="118">
        <f t="shared" si="9"/>
        <v>146800</v>
      </c>
      <c r="EB10" s="118">
        <f t="shared" si="10"/>
        <v>146800</v>
      </c>
    </row>
    <row r="11" spans="1:133" ht="45" x14ac:dyDescent="0.25">
      <c r="A11" s="28">
        <v>1</v>
      </c>
      <c r="B11" s="29" t="s">
        <v>487</v>
      </c>
      <c r="C11" s="30" t="s">
        <v>764</v>
      </c>
      <c r="D11" s="30" t="s">
        <v>271</v>
      </c>
      <c r="E11" s="30" t="s">
        <v>765</v>
      </c>
      <c r="F11" s="30" t="s">
        <v>490</v>
      </c>
      <c r="G11" s="30" t="s">
        <v>491</v>
      </c>
      <c r="H11" s="30" t="s">
        <v>766</v>
      </c>
      <c r="I11" s="30" t="s">
        <v>767</v>
      </c>
      <c r="J11" s="31" t="s">
        <v>538</v>
      </c>
      <c r="K11" s="31" t="s">
        <v>495</v>
      </c>
      <c r="L11" s="31" t="s">
        <v>519</v>
      </c>
      <c r="M11" s="31" t="s">
        <v>275</v>
      </c>
      <c r="N11" s="31" t="s">
        <v>801</v>
      </c>
      <c r="O11" s="31" t="s">
        <v>802</v>
      </c>
      <c r="P11" s="31" t="s">
        <v>257</v>
      </c>
      <c r="Q11" s="31" t="s">
        <v>556</v>
      </c>
      <c r="R11" s="31" t="s">
        <v>269</v>
      </c>
      <c r="S11" s="32">
        <v>119796</v>
      </c>
      <c r="T11" s="32">
        <v>80</v>
      </c>
      <c r="U11" s="32">
        <v>19.98</v>
      </c>
      <c r="V11" s="32">
        <v>0</v>
      </c>
      <c r="W11" s="32">
        <v>0</v>
      </c>
      <c r="X11" s="32">
        <v>0</v>
      </c>
      <c r="Y11" s="32">
        <v>0</v>
      </c>
      <c r="Z11" s="32">
        <v>0</v>
      </c>
      <c r="AA11" s="32">
        <v>0</v>
      </c>
      <c r="AB11" s="32">
        <v>0</v>
      </c>
      <c r="AC11" s="32">
        <v>0</v>
      </c>
      <c r="AD11" s="32">
        <v>0</v>
      </c>
      <c r="AE11" s="32">
        <v>0</v>
      </c>
      <c r="AF11" s="32">
        <v>0</v>
      </c>
      <c r="AG11" s="32">
        <v>0</v>
      </c>
      <c r="AH11" s="32">
        <v>0</v>
      </c>
      <c r="AI11" s="32">
        <v>0</v>
      </c>
      <c r="AJ11" s="32">
        <v>0</v>
      </c>
      <c r="AK11" s="32">
        <v>0</v>
      </c>
      <c r="AL11" s="32">
        <v>0</v>
      </c>
      <c r="AM11" s="32">
        <v>0</v>
      </c>
      <c r="AN11" s="32">
        <v>29949</v>
      </c>
      <c r="AO11" s="32">
        <v>0</v>
      </c>
      <c r="AP11" s="32">
        <v>0</v>
      </c>
      <c r="AQ11" s="32">
        <v>29949</v>
      </c>
      <c r="AR11" s="32">
        <v>149745</v>
      </c>
      <c r="AS11" s="32">
        <v>19.98</v>
      </c>
      <c r="AT11" s="32">
        <v>15500</v>
      </c>
      <c r="AU11" s="32">
        <v>0</v>
      </c>
      <c r="AV11" s="32">
        <v>15500</v>
      </c>
      <c r="AW11" s="32">
        <v>0</v>
      </c>
      <c r="AX11" s="32">
        <v>2325</v>
      </c>
      <c r="AY11" s="32">
        <v>2325</v>
      </c>
      <c r="AZ11" s="32">
        <v>620</v>
      </c>
      <c r="BA11" s="32">
        <v>620</v>
      </c>
      <c r="BB11" s="32">
        <v>0</v>
      </c>
      <c r="BC11" s="32">
        <v>0</v>
      </c>
      <c r="BD11" s="32">
        <v>98000</v>
      </c>
      <c r="BE11" s="32">
        <v>98000</v>
      </c>
      <c r="BF11" s="32">
        <v>0</v>
      </c>
      <c r="BG11" s="32">
        <v>18300</v>
      </c>
      <c r="BH11" s="32">
        <v>18300</v>
      </c>
      <c r="BI11" s="32">
        <v>0</v>
      </c>
      <c r="BJ11" s="32">
        <v>15000</v>
      </c>
      <c r="BK11" s="32">
        <v>15000</v>
      </c>
      <c r="BL11" s="32">
        <v>0</v>
      </c>
      <c r="BM11" s="32">
        <v>0</v>
      </c>
      <c r="BN11" s="32">
        <v>0</v>
      </c>
      <c r="BO11" s="32">
        <v>0</v>
      </c>
      <c r="BP11" s="32">
        <v>0</v>
      </c>
      <c r="BQ11" s="32">
        <v>54611.25</v>
      </c>
      <c r="BR11" s="32">
        <v>28161.25</v>
      </c>
      <c r="BS11" s="32">
        <v>33861.25</v>
      </c>
      <c r="BT11" s="32">
        <v>33111.25</v>
      </c>
      <c r="BU11" s="32">
        <v>0</v>
      </c>
      <c r="BV11" s="32">
        <v>0</v>
      </c>
      <c r="BW11" s="32">
        <v>0</v>
      </c>
      <c r="BX11" s="32">
        <v>0</v>
      </c>
      <c r="BY11" s="32">
        <v>0</v>
      </c>
      <c r="BZ11" s="32">
        <v>0</v>
      </c>
      <c r="CA11" s="32">
        <v>0</v>
      </c>
      <c r="CB11" s="33" t="s">
        <v>212</v>
      </c>
      <c r="CC11" s="33" t="s">
        <v>522</v>
      </c>
      <c r="CD11" s="33"/>
      <c r="CE11" s="33" t="s">
        <v>523</v>
      </c>
      <c r="CF11" s="33"/>
      <c r="CG11" s="33" t="s">
        <v>803</v>
      </c>
      <c r="CH11" s="33" t="s">
        <v>526</v>
      </c>
      <c r="CI11" s="33"/>
      <c r="CJ11" s="33" t="s">
        <v>212</v>
      </c>
      <c r="CK11" s="33"/>
      <c r="CL11" s="33" t="s">
        <v>212</v>
      </c>
      <c r="CM11" s="33"/>
      <c r="CN11" s="33" t="s">
        <v>257</v>
      </c>
      <c r="CO11" s="33" t="s">
        <v>269</v>
      </c>
      <c r="CP11" s="33" t="s">
        <v>804</v>
      </c>
      <c r="CQ11" s="33" t="s">
        <v>760</v>
      </c>
      <c r="CR11" s="33" t="s">
        <v>805</v>
      </c>
      <c r="CS11" s="33" t="s">
        <v>806</v>
      </c>
      <c r="CT11" s="33"/>
      <c r="CU11" s="33"/>
      <c r="CV11" s="33"/>
      <c r="CW11" s="33"/>
      <c r="CX11" s="33"/>
      <c r="CY11" s="33" t="s">
        <v>622</v>
      </c>
      <c r="CZ11" s="33" t="s">
        <v>807</v>
      </c>
      <c r="DA11" s="33" t="s">
        <v>808</v>
      </c>
      <c r="DB11" s="33" t="s">
        <v>602</v>
      </c>
      <c r="DC11" s="33" t="s">
        <v>809</v>
      </c>
      <c r="DD11" s="33" t="s">
        <v>810</v>
      </c>
      <c r="DE11" s="33" t="s">
        <v>811</v>
      </c>
      <c r="DF11" s="34" t="s">
        <v>812</v>
      </c>
      <c r="DG11" s="27" cm="1">
        <f t="array" ref="DG11">INDEX('elenco partner'!A:M,MATCH(1,(D11='elenco partner'!A:A)*('Partner data'!M11='elenco partner'!E:E),0),4)</f>
        <v>221</v>
      </c>
      <c r="DH11" s="83" t="str">
        <f t="shared" si="13"/>
        <v>COSTO REALE</v>
      </c>
      <c r="DI11" s="20">
        <f>COUNTIFS('MY-REPORT-MAIN'!C:C,'Partner data'!DG11,'MY-REPORT-MAIN'!I:I,"Certified")</f>
        <v>0</v>
      </c>
      <c r="DJ11" s="20">
        <f>COUNTIFS(List_Of_chek_list!M:M,"&lt;&gt;26",List_Of_chek_list!B:B,'Partner data'!DG11)</f>
        <v>0</v>
      </c>
      <c r="DK11" s="20">
        <f t="shared" si="14"/>
        <v>0</v>
      </c>
      <c r="DL11" s="19" t="str">
        <f>IF(DH11="Tasso Forfettario 20%",SUMIFS(List_Of_chek_list!#REF!,List_Of_chek_list!B:B,'Partner data'!DG11),"NON PERTINENTE")</f>
        <v>NON PERTINENTE</v>
      </c>
      <c r="DM11" s="19" t="str">
        <f t="shared" si="15"/>
        <v>NON PERTINENTE</v>
      </c>
      <c r="DN11" s="110">
        <f>_xlfn.MAXIFS('MY-REPORT-MAIN'!K:K,'MY-REPORT-MAIN'!C:C,DG11)</f>
        <v>0</v>
      </c>
      <c r="DO11" s="112" t="str">
        <f>IF(_xlfn.MAXIFS('MY-REPORT-MAIN'!M:M,'MY-REPORT-MAIN'!C:C,DG11)=0,"Nessun rendiconto  Convalidato",_xlfn.MAXIFS('MY-REPORT-MAIN'!M:M,'MY-REPORT-MAIN'!C:C,DG11))</f>
        <v>Nessun rendiconto  Convalidato</v>
      </c>
      <c r="DP11" s="113" t="str" cm="1">
        <f t="array" ref="DP11">IFERROR(INDEX('MY-REPORT-MAIN'!A:Z,MATCH(1,(DO11='MY-REPORT-MAIN'!M:M)*('Partner data'!DG11='MY-REPORT-MAIN'!C:C),0),1),"NON è stato convalidato ancora nessun rendiconto")</f>
        <v>NON è stato convalidato ancora nessun rendiconto</v>
      </c>
      <c r="DQ11" s="111" t="str">
        <f>IFERROR(INDEX('MY-REPORT-MAIN'!A:Z,MATCH('Partner data'!DP11,'MY-REPORT-MAIN'!A:A,0),21),"Nessun Rendiconto ancora convalidato")</f>
        <v>Nessun Rendiconto ancora convalidato</v>
      </c>
      <c r="DR11" s="110">
        <f>INDEX('Interreg VI-A Italy-Slovenia_pr'!A:E,MATCH('Partner data'!C11,'Interreg VI-A Italy-Slovenia_pr'!A:A,0),3)</f>
        <v>45184</v>
      </c>
      <c r="DS11" s="118">
        <f t="shared" si="1"/>
        <v>54611.25</v>
      </c>
      <c r="DT11" s="118">
        <f t="shared" si="2"/>
        <v>82772.5</v>
      </c>
      <c r="DU11" s="118">
        <f t="shared" si="3"/>
        <v>116633.75</v>
      </c>
      <c r="DV11" s="118">
        <f t="shared" si="4"/>
        <v>149745</v>
      </c>
      <c r="DW11" s="118">
        <f t="shared" si="5"/>
        <v>149745</v>
      </c>
      <c r="DX11" s="118">
        <f t="shared" si="6"/>
        <v>149745</v>
      </c>
      <c r="DY11" s="118">
        <f t="shared" si="7"/>
        <v>149745</v>
      </c>
      <c r="DZ11" s="118">
        <f t="shared" si="8"/>
        <v>149745</v>
      </c>
      <c r="EA11" s="118">
        <f t="shared" si="9"/>
        <v>149745</v>
      </c>
      <c r="EB11" s="118">
        <f t="shared" si="10"/>
        <v>149745</v>
      </c>
    </row>
    <row r="12" spans="1:133" x14ac:dyDescent="0.25">
      <c r="A12" s="28">
        <v>1</v>
      </c>
      <c r="B12" s="29" t="s">
        <v>487</v>
      </c>
      <c r="C12" s="30" t="s">
        <v>764</v>
      </c>
      <c r="D12" s="30" t="s">
        <v>271</v>
      </c>
      <c r="E12" s="30" t="s">
        <v>765</v>
      </c>
      <c r="F12" s="30" t="s">
        <v>490</v>
      </c>
      <c r="G12" s="30" t="s">
        <v>491</v>
      </c>
      <c r="H12" s="30" t="s">
        <v>766</v>
      </c>
      <c r="I12" s="30" t="s">
        <v>767</v>
      </c>
      <c r="J12" s="31" t="s">
        <v>554</v>
      </c>
      <c r="K12" s="31" t="s">
        <v>495</v>
      </c>
      <c r="L12" s="31" t="s">
        <v>519</v>
      </c>
      <c r="M12" s="31" t="s">
        <v>272</v>
      </c>
      <c r="N12" s="31" t="s">
        <v>813</v>
      </c>
      <c r="O12" s="31" t="s">
        <v>814</v>
      </c>
      <c r="P12" s="31" t="s">
        <v>254</v>
      </c>
      <c r="Q12" s="31" t="s">
        <v>499</v>
      </c>
      <c r="R12" s="31" t="s">
        <v>273</v>
      </c>
      <c r="S12" s="32">
        <v>106230.3</v>
      </c>
      <c r="T12" s="32">
        <v>80</v>
      </c>
      <c r="U12" s="32">
        <v>17.72</v>
      </c>
      <c r="V12" s="32">
        <v>0</v>
      </c>
      <c r="W12" s="32">
        <v>0</v>
      </c>
      <c r="X12" s="32">
        <v>0</v>
      </c>
      <c r="Y12" s="32">
        <v>0</v>
      </c>
      <c r="Z12" s="32">
        <v>0</v>
      </c>
      <c r="AA12" s="32">
        <v>0</v>
      </c>
      <c r="AB12" s="32">
        <v>0</v>
      </c>
      <c r="AC12" s="32">
        <v>0</v>
      </c>
      <c r="AD12" s="32">
        <v>0</v>
      </c>
      <c r="AE12" s="32">
        <v>0</v>
      </c>
      <c r="AF12" s="32">
        <v>0</v>
      </c>
      <c r="AG12" s="32">
        <v>0</v>
      </c>
      <c r="AH12" s="32">
        <v>0</v>
      </c>
      <c r="AI12" s="32">
        <v>0</v>
      </c>
      <c r="AJ12" s="32">
        <v>0</v>
      </c>
      <c r="AK12" s="32">
        <v>0</v>
      </c>
      <c r="AL12" s="32">
        <v>0</v>
      </c>
      <c r="AM12" s="32">
        <v>0</v>
      </c>
      <c r="AN12" s="32">
        <v>0</v>
      </c>
      <c r="AO12" s="32">
        <v>26557.58</v>
      </c>
      <c r="AP12" s="32">
        <v>0</v>
      </c>
      <c r="AQ12" s="32">
        <v>26557.58</v>
      </c>
      <c r="AR12" s="32">
        <v>132787.88</v>
      </c>
      <c r="AS12" s="32">
        <v>17.72</v>
      </c>
      <c r="AT12" s="32">
        <v>21452</v>
      </c>
      <c r="AU12" s="32">
        <v>21452</v>
      </c>
      <c r="AV12" s="32">
        <v>0</v>
      </c>
      <c r="AW12" s="32">
        <v>0</v>
      </c>
      <c r="AX12" s="32">
        <v>3217.8</v>
      </c>
      <c r="AY12" s="32">
        <v>3217.8</v>
      </c>
      <c r="AZ12" s="32">
        <v>858.08</v>
      </c>
      <c r="BA12" s="32">
        <v>858.08</v>
      </c>
      <c r="BB12" s="32">
        <v>0</v>
      </c>
      <c r="BC12" s="32">
        <v>0</v>
      </c>
      <c r="BD12" s="32">
        <v>43600</v>
      </c>
      <c r="BE12" s="32">
        <v>43600</v>
      </c>
      <c r="BF12" s="32">
        <v>0</v>
      </c>
      <c r="BG12" s="32">
        <v>12750</v>
      </c>
      <c r="BH12" s="32">
        <v>12750</v>
      </c>
      <c r="BI12" s="32">
        <v>0</v>
      </c>
      <c r="BJ12" s="32">
        <v>50910</v>
      </c>
      <c r="BK12" s="32">
        <v>50910</v>
      </c>
      <c r="BL12" s="32">
        <v>0</v>
      </c>
      <c r="BM12" s="32">
        <v>0</v>
      </c>
      <c r="BN12" s="32">
        <v>0</v>
      </c>
      <c r="BO12" s="32">
        <v>0</v>
      </c>
      <c r="BP12" s="32">
        <v>0</v>
      </c>
      <c r="BQ12" s="32">
        <v>14118.15</v>
      </c>
      <c r="BR12" s="32">
        <v>52623.66</v>
      </c>
      <c r="BS12" s="32">
        <v>41395</v>
      </c>
      <c r="BT12" s="32">
        <v>24651.07</v>
      </c>
      <c r="BU12" s="32">
        <v>0</v>
      </c>
      <c r="BV12" s="32">
        <v>0</v>
      </c>
      <c r="BW12" s="32">
        <v>0</v>
      </c>
      <c r="BX12" s="32">
        <v>0</v>
      </c>
      <c r="BY12" s="32">
        <v>0</v>
      </c>
      <c r="BZ12" s="32">
        <v>0</v>
      </c>
      <c r="CA12" s="32">
        <v>0</v>
      </c>
      <c r="CB12" s="33" t="s">
        <v>212</v>
      </c>
      <c r="CC12" s="33" t="s">
        <v>675</v>
      </c>
      <c r="CD12" s="33" t="s">
        <v>706</v>
      </c>
      <c r="CE12" s="33" t="s">
        <v>501</v>
      </c>
      <c r="CF12" s="33" t="s">
        <v>815</v>
      </c>
      <c r="CG12" s="33" t="s">
        <v>816</v>
      </c>
      <c r="CH12" s="33" t="s">
        <v>619</v>
      </c>
      <c r="CI12" s="33"/>
      <c r="CJ12" s="33" t="s">
        <v>212</v>
      </c>
      <c r="CK12" s="33"/>
      <c r="CL12" s="33" t="s">
        <v>212</v>
      </c>
      <c r="CM12" s="33"/>
      <c r="CN12" s="33" t="s">
        <v>254</v>
      </c>
      <c r="CO12" s="33" t="s">
        <v>273</v>
      </c>
      <c r="CP12" s="33" t="s">
        <v>817</v>
      </c>
      <c r="CQ12" s="33" t="s">
        <v>818</v>
      </c>
      <c r="CR12" s="33" t="s">
        <v>819</v>
      </c>
      <c r="CS12" s="33" t="s">
        <v>820</v>
      </c>
      <c r="CT12" s="33"/>
      <c r="CU12" s="33"/>
      <c r="CV12" s="33"/>
      <c r="CW12" s="33"/>
      <c r="CX12" s="33"/>
      <c r="CY12" s="33" t="s">
        <v>622</v>
      </c>
      <c r="CZ12" s="33" t="s">
        <v>821</v>
      </c>
      <c r="DA12" s="33" t="s">
        <v>822</v>
      </c>
      <c r="DB12" s="33" t="s">
        <v>602</v>
      </c>
      <c r="DC12" s="33" t="s">
        <v>821</v>
      </c>
      <c r="DD12" s="33" t="s">
        <v>822</v>
      </c>
      <c r="DE12" s="33" t="s">
        <v>823</v>
      </c>
      <c r="DF12" s="34" t="s">
        <v>824</v>
      </c>
      <c r="DG12" s="27" cm="1">
        <f t="array" ref="DG12">INDEX('elenco partner'!A:M,MATCH(1,(D12='elenco partner'!A:A)*('Partner data'!M12='elenco partner'!E:E),0),4)</f>
        <v>229</v>
      </c>
      <c r="DH12" s="83" t="str">
        <f t="shared" si="13"/>
        <v>Tasso Forfettario 20%</v>
      </c>
      <c r="DI12" s="20">
        <f>COUNTIFS('MY-REPORT-MAIN'!C:C,'Partner data'!DG12,'MY-REPORT-MAIN'!I:I,"Certified")</f>
        <v>1</v>
      </c>
      <c r="DJ12" s="20">
        <f>COUNTIFS(List_Of_chek_list!M:M,"&lt;&gt;26",List_Of_chek_list!B:B,'Partner data'!DG12)</f>
        <v>1</v>
      </c>
      <c r="DK12" s="20">
        <f t="shared" si="14"/>
        <v>0</v>
      </c>
      <c r="DL12" s="19" t="e">
        <f>IF(DH12="Tasso Forfettario 20%",SUMIFS(List_Of_chek_list!#REF!,List_Of_chek_list!B:B,'Partner data'!DG12),"NON PERTINENTE")</f>
        <v>#REF!</v>
      </c>
      <c r="DM12" s="19" t="e">
        <f>IF(DL12="NON PERTINENTE","NON PERTINENTE",IF(DJ12=DL12,"Rischio basso","Rischio alto"))</f>
        <v>#REF!</v>
      </c>
      <c r="DN12" s="110">
        <f>_xlfn.MAXIFS('MY-REPORT-MAIN'!K:K,'MY-REPORT-MAIN'!C:C,DG12)</f>
        <v>45380.726112187498</v>
      </c>
      <c r="DO12" s="112">
        <f>IF(_xlfn.MAXIFS('MY-REPORT-MAIN'!M:M,'MY-REPORT-MAIN'!C:C,DG12)=0,"Nessun rendiconto  Convalidato",_xlfn.MAXIFS('MY-REPORT-MAIN'!M:M,'MY-REPORT-MAIN'!C:C,DG12))</f>
        <v>45470.734866423612</v>
      </c>
      <c r="DP12" s="113" cm="1">
        <f t="array" ref="DP12">IFERROR(INDEX('MY-REPORT-MAIN'!A:Z,MATCH(1,(DO12='MY-REPORT-MAIN'!M:M)*('Partner data'!DG12='MY-REPORT-MAIN'!C:C),0),1),"NON è stato convalidato ancora nessun rendiconto")</f>
        <v>246</v>
      </c>
      <c r="DQ12" s="111">
        <f>IFERROR(INDEX('MY-REPORT-MAIN'!A:Z,MATCH('Partner data'!DP12,'MY-REPORT-MAIN'!A:A,0),21),"Nessun Rendiconto ancora convalidato")</f>
        <v>41448.5</v>
      </c>
      <c r="DR12" s="110">
        <f>INDEX('Interreg VI-A Italy-Slovenia_pr'!A:E,MATCH('Partner data'!C12,'Interreg VI-A Italy-Slovenia_pr'!A:A,0),3)</f>
        <v>45184</v>
      </c>
      <c r="DS12" s="118">
        <f t="shared" si="1"/>
        <v>14118.15</v>
      </c>
      <c r="DT12" s="118">
        <f t="shared" si="2"/>
        <v>66741.81</v>
      </c>
      <c r="DU12" s="118">
        <f t="shared" si="3"/>
        <v>108136.81</v>
      </c>
      <c r="DV12" s="118">
        <f t="shared" si="4"/>
        <v>132787.88</v>
      </c>
      <c r="DW12" s="118">
        <f t="shared" si="5"/>
        <v>132787.88</v>
      </c>
      <c r="DX12" s="118">
        <f t="shared" si="6"/>
        <v>132787.88</v>
      </c>
      <c r="DY12" s="118">
        <f t="shared" si="7"/>
        <v>132787.88</v>
      </c>
      <c r="DZ12" s="118">
        <f t="shared" si="8"/>
        <v>132787.88</v>
      </c>
      <c r="EA12" s="118">
        <f t="shared" si="9"/>
        <v>132787.88</v>
      </c>
      <c r="EB12" s="118">
        <f t="shared" si="10"/>
        <v>132787.88</v>
      </c>
    </row>
    <row r="13" spans="1:133" x14ac:dyDescent="0.25">
      <c r="A13" s="28">
        <v>1</v>
      </c>
      <c r="B13" s="29" t="s">
        <v>487</v>
      </c>
      <c r="C13" s="30" t="s">
        <v>825</v>
      </c>
      <c r="D13" s="17" t="s">
        <v>277</v>
      </c>
      <c r="E13" s="30" t="s">
        <v>826</v>
      </c>
      <c r="F13" s="30" t="s">
        <v>490</v>
      </c>
      <c r="G13" s="30" t="s">
        <v>491</v>
      </c>
      <c r="H13" s="30" t="s">
        <v>691</v>
      </c>
      <c r="I13" s="30" t="s">
        <v>692</v>
      </c>
      <c r="J13" s="31" t="s">
        <v>494</v>
      </c>
      <c r="K13" s="31" t="s">
        <v>495</v>
      </c>
      <c r="L13" s="31" t="s">
        <v>496</v>
      </c>
      <c r="M13" s="31" t="s">
        <v>281</v>
      </c>
      <c r="N13" s="31" t="s">
        <v>827</v>
      </c>
      <c r="O13" s="31" t="s">
        <v>828</v>
      </c>
      <c r="P13" s="31" t="s">
        <v>257</v>
      </c>
      <c r="Q13" s="31" t="s">
        <v>722</v>
      </c>
      <c r="R13" s="31" t="s">
        <v>282</v>
      </c>
      <c r="S13" s="32">
        <v>191909.6</v>
      </c>
      <c r="T13" s="32">
        <v>80</v>
      </c>
      <c r="U13" s="32">
        <v>32.46</v>
      </c>
      <c r="V13" s="32">
        <v>0</v>
      </c>
      <c r="W13" s="32">
        <v>0</v>
      </c>
      <c r="X13" s="32">
        <v>0</v>
      </c>
      <c r="Y13" s="32">
        <v>0</v>
      </c>
      <c r="Z13" s="32">
        <v>0</v>
      </c>
      <c r="AA13" s="32">
        <v>0</v>
      </c>
      <c r="AB13" s="32">
        <v>0</v>
      </c>
      <c r="AC13" s="32">
        <v>0</v>
      </c>
      <c r="AD13" s="32">
        <v>0</v>
      </c>
      <c r="AE13" s="32">
        <v>0</v>
      </c>
      <c r="AF13" s="32">
        <v>0</v>
      </c>
      <c r="AG13" s="32">
        <v>0</v>
      </c>
      <c r="AH13" s="32">
        <v>0</v>
      </c>
      <c r="AI13" s="32">
        <v>0</v>
      </c>
      <c r="AJ13" s="32">
        <v>0</v>
      </c>
      <c r="AK13" s="32">
        <v>0</v>
      </c>
      <c r="AL13" s="32">
        <v>0</v>
      </c>
      <c r="AM13" s="32">
        <v>0</v>
      </c>
      <c r="AN13" s="32">
        <v>47977.4</v>
      </c>
      <c r="AO13" s="32">
        <v>0</v>
      </c>
      <c r="AP13" s="32">
        <v>0</v>
      </c>
      <c r="AQ13" s="32">
        <v>47977.4</v>
      </c>
      <c r="AR13" s="32">
        <v>239887</v>
      </c>
      <c r="AS13" s="32">
        <v>32.46</v>
      </c>
      <c r="AT13" s="32">
        <v>37300</v>
      </c>
      <c r="AU13" s="32">
        <v>37300</v>
      </c>
      <c r="AV13" s="32">
        <v>0</v>
      </c>
      <c r="AW13" s="32">
        <v>0</v>
      </c>
      <c r="AX13" s="32">
        <v>5595</v>
      </c>
      <c r="AY13" s="32">
        <v>5595</v>
      </c>
      <c r="AZ13" s="32">
        <v>1492</v>
      </c>
      <c r="BA13" s="32">
        <v>1492</v>
      </c>
      <c r="BB13" s="32">
        <v>0</v>
      </c>
      <c r="BC13" s="32">
        <v>0</v>
      </c>
      <c r="BD13" s="32">
        <v>64500</v>
      </c>
      <c r="BE13" s="32">
        <v>64500</v>
      </c>
      <c r="BF13" s="32">
        <v>0</v>
      </c>
      <c r="BG13" s="32">
        <v>92000</v>
      </c>
      <c r="BH13" s="32">
        <v>92000</v>
      </c>
      <c r="BI13" s="32">
        <v>0</v>
      </c>
      <c r="BJ13" s="32">
        <v>30000</v>
      </c>
      <c r="BK13" s="32">
        <v>30000</v>
      </c>
      <c r="BL13" s="32">
        <v>0</v>
      </c>
      <c r="BM13" s="32">
        <v>0</v>
      </c>
      <c r="BN13" s="32">
        <v>0</v>
      </c>
      <c r="BO13" s="32">
        <v>9000</v>
      </c>
      <c r="BP13" s="32">
        <v>0</v>
      </c>
      <c r="BQ13" s="32">
        <v>23546.5</v>
      </c>
      <c r="BR13" s="32">
        <v>140822.5</v>
      </c>
      <c r="BS13" s="32">
        <v>48591.5</v>
      </c>
      <c r="BT13" s="32">
        <v>26926.5</v>
      </c>
      <c r="BU13" s="32">
        <v>0</v>
      </c>
      <c r="BV13" s="32">
        <v>0</v>
      </c>
      <c r="BW13" s="32">
        <v>0</v>
      </c>
      <c r="BX13" s="32">
        <v>0</v>
      </c>
      <c r="BY13" s="32">
        <v>0</v>
      </c>
      <c r="BZ13" s="32">
        <v>0</v>
      </c>
      <c r="CA13" s="32">
        <v>0</v>
      </c>
      <c r="CB13" s="33" t="s">
        <v>212</v>
      </c>
      <c r="CC13" s="33" t="s">
        <v>522</v>
      </c>
      <c r="CD13" s="33"/>
      <c r="CE13" s="33" t="s">
        <v>523</v>
      </c>
      <c r="CF13" s="33" t="s">
        <v>829</v>
      </c>
      <c r="CG13" s="33" t="s">
        <v>830</v>
      </c>
      <c r="CH13" s="33" t="s">
        <v>526</v>
      </c>
      <c r="CI13" s="33"/>
      <c r="CJ13" s="33" t="s">
        <v>665</v>
      </c>
      <c r="CK13" s="33"/>
      <c r="CL13" s="33" t="s">
        <v>212</v>
      </c>
      <c r="CM13" s="33"/>
      <c r="CN13" s="33" t="s">
        <v>257</v>
      </c>
      <c r="CO13" s="33" t="s">
        <v>282</v>
      </c>
      <c r="CP13" s="33" t="s">
        <v>831</v>
      </c>
      <c r="CQ13" s="33" t="s">
        <v>723</v>
      </c>
      <c r="CR13" s="33" t="s">
        <v>724</v>
      </c>
      <c r="CS13" s="33" t="s">
        <v>832</v>
      </c>
      <c r="CT13" s="33"/>
      <c r="CU13" s="33"/>
      <c r="CV13" s="33"/>
      <c r="CW13" s="33"/>
      <c r="CX13" s="33"/>
      <c r="CY13" s="33" t="s">
        <v>688</v>
      </c>
      <c r="CZ13" s="33" t="s">
        <v>833</v>
      </c>
      <c r="DA13" s="33" t="s">
        <v>834</v>
      </c>
      <c r="DB13" s="33" t="s">
        <v>726</v>
      </c>
      <c r="DC13" s="33" t="s">
        <v>835</v>
      </c>
      <c r="DD13" s="33" t="s">
        <v>836</v>
      </c>
      <c r="DE13" s="33" t="s">
        <v>837</v>
      </c>
      <c r="DF13" s="34" t="s">
        <v>838</v>
      </c>
      <c r="DG13" s="27" cm="1">
        <f t="array" ref="DG13">INDEX('elenco partner'!A:M,MATCH(1,(D13='elenco partner'!A:A)*('Partner data'!M13='elenco partner'!E:E),0),4)</f>
        <v>93</v>
      </c>
      <c r="DH13" s="83" t="str">
        <f t="shared" si="13"/>
        <v>Tasso Forfettario 20%</v>
      </c>
      <c r="DI13" s="20">
        <f>COUNTIFS('MY-REPORT-MAIN'!C:C,'Partner data'!DG13,'MY-REPORT-MAIN'!I:I,"Certified")</f>
        <v>1</v>
      </c>
      <c r="DJ13" s="20">
        <f>COUNTIFS(List_Of_chek_list!M:M,"&lt;&gt;26",List_Of_chek_list!B:B,'Partner data'!DG13)</f>
        <v>1</v>
      </c>
      <c r="DK13" s="20">
        <f t="shared" si="14"/>
        <v>0</v>
      </c>
      <c r="DL13" s="19" t="e">
        <f>IF(DH13="Tasso Forfettario 20%",SUMIFS(List_Of_chek_list!#REF!,List_Of_chek_list!B:B,'Partner data'!DG13),"NON PERTINENTE")</f>
        <v>#REF!</v>
      </c>
      <c r="DM13" s="19" t="e">
        <f t="shared" ref="DM13:DM17" si="16">IF(DL13="NON PERTINENTE","NON PERTINENTE",IF(DJ13=DL13,"Rischio basso","Rischio alto"))</f>
        <v>#REF!</v>
      </c>
      <c r="DN13" s="110">
        <f>_xlfn.MAXIFS('MY-REPORT-MAIN'!K:K,'MY-REPORT-MAIN'!C:C,DG13)</f>
        <v>45386.627383923609</v>
      </c>
      <c r="DO13" s="112">
        <f>IF(_xlfn.MAXIFS('MY-REPORT-MAIN'!M:M,'MY-REPORT-MAIN'!C:C,DG13)=0,"Nessun rendiconto  Convalidato",_xlfn.MAXIFS('MY-REPORT-MAIN'!M:M,'MY-REPORT-MAIN'!C:C,DG13))</f>
        <v>45470.392058564816</v>
      </c>
      <c r="DP13" s="113" cm="1">
        <f t="array" ref="DP13">IFERROR(INDEX('MY-REPORT-MAIN'!A:Z,MATCH(1,(DO13='MY-REPORT-MAIN'!M:M)*('Partner data'!DG13='MY-REPORT-MAIN'!C:C),0),1),"NON è stato convalidato ancora nessun rendiconto")</f>
        <v>145</v>
      </c>
      <c r="DQ13" s="111">
        <f>IFERROR(INDEX('MY-REPORT-MAIN'!A:Z,MATCH('Partner data'!DP13,'MY-REPORT-MAIN'!A:A,0),21),"Nessun Rendiconto ancora convalidato")</f>
        <v>26828.3</v>
      </c>
      <c r="DR13" s="110">
        <f>INDEX('Interreg VI-A Italy-Slovenia_pr'!A:E,MATCH('Partner data'!C13,'Interreg VI-A Italy-Slovenia_pr'!A:A,0),3)</f>
        <v>45200</v>
      </c>
      <c r="DS13" s="118">
        <f t="shared" si="1"/>
        <v>23546.5</v>
      </c>
      <c r="DT13" s="118">
        <f t="shared" si="2"/>
        <v>164369</v>
      </c>
      <c r="DU13" s="118">
        <f t="shared" si="3"/>
        <v>212960.5</v>
      </c>
      <c r="DV13" s="118">
        <f t="shared" si="4"/>
        <v>239887</v>
      </c>
      <c r="DW13" s="118">
        <f t="shared" si="5"/>
        <v>239887</v>
      </c>
      <c r="DX13" s="118">
        <f t="shared" si="6"/>
        <v>239887</v>
      </c>
      <c r="DY13" s="118">
        <f t="shared" si="7"/>
        <v>239887</v>
      </c>
      <c r="DZ13" s="118">
        <f t="shared" si="8"/>
        <v>239887</v>
      </c>
      <c r="EA13" s="118">
        <f t="shared" si="9"/>
        <v>239887</v>
      </c>
      <c r="EB13" s="118">
        <f t="shared" si="10"/>
        <v>239887</v>
      </c>
    </row>
    <row r="14" spans="1:133" ht="45" x14ac:dyDescent="0.25">
      <c r="A14" s="28">
        <v>1</v>
      </c>
      <c r="B14" s="29" t="s">
        <v>487</v>
      </c>
      <c r="C14" s="30" t="s">
        <v>825</v>
      </c>
      <c r="D14" s="17" t="s">
        <v>277</v>
      </c>
      <c r="E14" s="30" t="s">
        <v>826</v>
      </c>
      <c r="F14" s="30" t="s">
        <v>490</v>
      </c>
      <c r="G14" s="30" t="s">
        <v>491</v>
      </c>
      <c r="H14" s="30" t="s">
        <v>691</v>
      </c>
      <c r="I14" s="30" t="s">
        <v>692</v>
      </c>
      <c r="J14" s="31" t="s">
        <v>518</v>
      </c>
      <c r="K14" s="31" t="s">
        <v>495</v>
      </c>
      <c r="L14" s="31" t="s">
        <v>519</v>
      </c>
      <c r="M14" s="31" t="s">
        <v>280</v>
      </c>
      <c r="N14" s="31" t="s">
        <v>839</v>
      </c>
      <c r="O14" s="31" t="s">
        <v>840</v>
      </c>
      <c r="P14" s="31" t="s">
        <v>257</v>
      </c>
      <c r="Q14" s="31" t="s">
        <v>556</v>
      </c>
      <c r="R14" s="31" t="s">
        <v>270</v>
      </c>
      <c r="S14" s="32">
        <v>148560</v>
      </c>
      <c r="T14" s="32">
        <v>80</v>
      </c>
      <c r="U14" s="32">
        <v>25.13</v>
      </c>
      <c r="V14" s="32">
        <v>0</v>
      </c>
      <c r="W14" s="32">
        <v>0</v>
      </c>
      <c r="X14" s="32">
        <v>0</v>
      </c>
      <c r="Y14" s="32">
        <v>0</v>
      </c>
      <c r="Z14" s="32">
        <v>0</v>
      </c>
      <c r="AA14" s="32">
        <v>0</v>
      </c>
      <c r="AB14" s="32">
        <v>0</v>
      </c>
      <c r="AC14" s="32">
        <v>0</v>
      </c>
      <c r="AD14" s="32">
        <v>0</v>
      </c>
      <c r="AE14" s="32">
        <v>0</v>
      </c>
      <c r="AF14" s="32">
        <v>0</v>
      </c>
      <c r="AG14" s="32">
        <v>0</v>
      </c>
      <c r="AH14" s="32">
        <v>0</v>
      </c>
      <c r="AI14" s="32">
        <v>0</v>
      </c>
      <c r="AJ14" s="32">
        <v>0</v>
      </c>
      <c r="AK14" s="32">
        <v>0</v>
      </c>
      <c r="AL14" s="32">
        <v>0</v>
      </c>
      <c r="AM14" s="32">
        <v>0</v>
      </c>
      <c r="AN14" s="32">
        <v>37140</v>
      </c>
      <c r="AO14" s="32">
        <v>0</v>
      </c>
      <c r="AP14" s="32">
        <v>0</v>
      </c>
      <c r="AQ14" s="32">
        <v>37140</v>
      </c>
      <c r="AR14" s="32">
        <v>185700</v>
      </c>
      <c r="AS14" s="32">
        <v>25.13</v>
      </c>
      <c r="AT14" s="32">
        <v>30000</v>
      </c>
      <c r="AU14" s="32">
        <v>30000</v>
      </c>
      <c r="AV14" s="32">
        <v>0</v>
      </c>
      <c r="AW14" s="32">
        <v>0</v>
      </c>
      <c r="AX14" s="32">
        <v>4500</v>
      </c>
      <c r="AY14" s="32">
        <v>4500</v>
      </c>
      <c r="AZ14" s="32">
        <v>1200</v>
      </c>
      <c r="BA14" s="32">
        <v>1200</v>
      </c>
      <c r="BB14" s="32">
        <v>0</v>
      </c>
      <c r="BC14" s="32">
        <v>0</v>
      </c>
      <c r="BD14" s="32">
        <v>25000</v>
      </c>
      <c r="BE14" s="32">
        <v>25000</v>
      </c>
      <c r="BF14" s="32">
        <v>0</v>
      </c>
      <c r="BG14" s="32">
        <v>50000</v>
      </c>
      <c r="BH14" s="32">
        <v>50000</v>
      </c>
      <c r="BI14" s="32">
        <v>0</v>
      </c>
      <c r="BJ14" s="32">
        <v>75000</v>
      </c>
      <c r="BK14" s="32">
        <v>75000</v>
      </c>
      <c r="BL14" s="32">
        <v>0</v>
      </c>
      <c r="BM14" s="32">
        <v>0</v>
      </c>
      <c r="BN14" s="32">
        <v>0</v>
      </c>
      <c r="BO14" s="32">
        <v>0</v>
      </c>
      <c r="BP14" s="32">
        <v>0</v>
      </c>
      <c r="BQ14" s="32">
        <v>8666</v>
      </c>
      <c r="BR14" s="32">
        <v>68090</v>
      </c>
      <c r="BS14" s="32">
        <v>99659</v>
      </c>
      <c r="BT14" s="32">
        <v>9285</v>
      </c>
      <c r="BU14" s="32">
        <v>0</v>
      </c>
      <c r="BV14" s="32">
        <v>0</v>
      </c>
      <c r="BW14" s="32">
        <v>0</v>
      </c>
      <c r="BX14" s="32">
        <v>0</v>
      </c>
      <c r="BY14" s="32">
        <v>0</v>
      </c>
      <c r="BZ14" s="32">
        <v>0</v>
      </c>
      <c r="CA14" s="32">
        <v>0</v>
      </c>
      <c r="CB14" s="33" t="s">
        <v>841</v>
      </c>
      <c r="CC14" s="33" t="s">
        <v>541</v>
      </c>
      <c r="CD14" s="33" t="s">
        <v>617</v>
      </c>
      <c r="CE14" s="33" t="s">
        <v>684</v>
      </c>
      <c r="CF14" s="33" t="s">
        <v>842</v>
      </c>
      <c r="CG14" s="33" t="s">
        <v>843</v>
      </c>
      <c r="CH14" s="33" t="s">
        <v>504</v>
      </c>
      <c r="CI14" s="33"/>
      <c r="CJ14" s="33" t="s">
        <v>212</v>
      </c>
      <c r="CK14" s="33"/>
      <c r="CL14" s="33" t="s">
        <v>212</v>
      </c>
      <c r="CM14" s="33"/>
      <c r="CN14" s="33" t="s">
        <v>257</v>
      </c>
      <c r="CO14" s="33" t="s">
        <v>270</v>
      </c>
      <c r="CP14" s="33" t="s">
        <v>844</v>
      </c>
      <c r="CQ14" s="33" t="s">
        <v>717</v>
      </c>
      <c r="CR14" s="33" t="s">
        <v>718</v>
      </c>
      <c r="CS14" s="33" t="s">
        <v>845</v>
      </c>
      <c r="CT14" s="33" t="s">
        <v>257</v>
      </c>
      <c r="CU14" s="33" t="s">
        <v>270</v>
      </c>
      <c r="CV14" s="33" t="s">
        <v>844</v>
      </c>
      <c r="CW14" s="33" t="s">
        <v>717</v>
      </c>
      <c r="CX14" s="33" t="s">
        <v>718</v>
      </c>
      <c r="CY14" s="33" t="s">
        <v>688</v>
      </c>
      <c r="CZ14" s="33" t="s">
        <v>846</v>
      </c>
      <c r="DA14" s="33" t="s">
        <v>847</v>
      </c>
      <c r="DB14" s="33" t="s">
        <v>726</v>
      </c>
      <c r="DC14" s="33" t="s">
        <v>848</v>
      </c>
      <c r="DD14" s="33" t="s">
        <v>849</v>
      </c>
      <c r="DE14" s="33" t="s">
        <v>850</v>
      </c>
      <c r="DF14" s="34" t="s">
        <v>851</v>
      </c>
      <c r="DG14" s="27" cm="1">
        <f t="array" ref="DG14">INDEX('elenco partner'!A:M,MATCH(1,(D14='elenco partner'!A:A)*('Partner data'!M14='elenco partner'!E:E),0),4)</f>
        <v>118</v>
      </c>
      <c r="DH14" s="83" t="str">
        <f t="shared" si="13"/>
        <v>Tasso Forfettario 20%</v>
      </c>
      <c r="DI14" s="20">
        <f>COUNTIFS('MY-REPORT-MAIN'!C:C,'Partner data'!DG14,'MY-REPORT-MAIN'!I:I,"Certified")</f>
        <v>0</v>
      </c>
      <c r="DJ14" s="20">
        <f>COUNTIFS(List_Of_chek_list!M:M,"&lt;&gt;26",List_Of_chek_list!B:B,'Partner data'!DG14)</f>
        <v>0</v>
      </c>
      <c r="DK14" s="20">
        <f t="shared" si="14"/>
        <v>0</v>
      </c>
      <c r="DL14" s="19" t="e">
        <f>IF(DH14="Tasso Forfettario 20%",SUMIFS(List_Of_chek_list!#REF!,List_Of_chek_list!B:B,'Partner data'!DG14),"NON PERTINENTE")</f>
        <v>#REF!</v>
      </c>
      <c r="DM14" s="19" t="e">
        <f t="shared" si="16"/>
        <v>#REF!</v>
      </c>
      <c r="DN14" s="110">
        <f>_xlfn.MAXIFS('MY-REPORT-MAIN'!K:K,'MY-REPORT-MAIN'!C:C,DG14)</f>
        <v>0</v>
      </c>
      <c r="DO14" s="112" t="str">
        <f>IF(_xlfn.MAXIFS('MY-REPORT-MAIN'!M:M,'MY-REPORT-MAIN'!C:C,DG14)=0,"Nessun rendiconto  Convalidato",_xlfn.MAXIFS('MY-REPORT-MAIN'!M:M,'MY-REPORT-MAIN'!C:C,DG14))</f>
        <v>Nessun rendiconto  Convalidato</v>
      </c>
      <c r="DP14" s="113" t="str" cm="1">
        <f t="array" ref="DP14">IFERROR(INDEX('MY-REPORT-MAIN'!A:Z,MATCH(1,(DO14='MY-REPORT-MAIN'!M:M)*('Partner data'!DG14='MY-REPORT-MAIN'!C:C),0),1),"NON è stato convalidato ancora nessun rendiconto")</f>
        <v>NON è stato convalidato ancora nessun rendiconto</v>
      </c>
      <c r="DQ14" s="111" t="str">
        <f>IFERROR(INDEX('MY-REPORT-MAIN'!A:Z,MATCH('Partner data'!DP14,'MY-REPORT-MAIN'!A:A,0),21),"Nessun Rendiconto ancora convalidato")</f>
        <v>Nessun Rendiconto ancora convalidato</v>
      </c>
      <c r="DR14" s="110">
        <f>INDEX('Interreg VI-A Italy-Slovenia_pr'!A:E,MATCH('Partner data'!C14,'Interreg VI-A Italy-Slovenia_pr'!A:A,0),3)</f>
        <v>45200</v>
      </c>
      <c r="DS14" s="118">
        <f t="shared" si="1"/>
        <v>8666</v>
      </c>
      <c r="DT14" s="118">
        <f t="shared" si="2"/>
        <v>76756</v>
      </c>
      <c r="DU14" s="118">
        <f t="shared" si="3"/>
        <v>176415</v>
      </c>
      <c r="DV14" s="118">
        <f t="shared" si="4"/>
        <v>185700</v>
      </c>
      <c r="DW14" s="118">
        <f t="shared" si="5"/>
        <v>185700</v>
      </c>
      <c r="DX14" s="118">
        <f t="shared" si="6"/>
        <v>185700</v>
      </c>
      <c r="DY14" s="118">
        <f t="shared" si="7"/>
        <v>185700</v>
      </c>
      <c r="DZ14" s="118">
        <f t="shared" si="8"/>
        <v>185700</v>
      </c>
      <c r="EA14" s="118">
        <f t="shared" si="9"/>
        <v>185700</v>
      </c>
      <c r="EB14" s="118">
        <f t="shared" si="10"/>
        <v>185700</v>
      </c>
    </row>
    <row r="15" spans="1:133" x14ac:dyDescent="0.25">
      <c r="A15" s="28">
        <v>1</v>
      </c>
      <c r="B15" s="29" t="s">
        <v>487</v>
      </c>
      <c r="C15" s="30" t="s">
        <v>825</v>
      </c>
      <c r="D15" s="17" t="s">
        <v>277</v>
      </c>
      <c r="E15" s="30" t="s">
        <v>826</v>
      </c>
      <c r="F15" s="30" t="s">
        <v>490</v>
      </c>
      <c r="G15" s="30" t="s">
        <v>491</v>
      </c>
      <c r="H15" s="30" t="s">
        <v>691</v>
      </c>
      <c r="I15" s="30" t="s">
        <v>692</v>
      </c>
      <c r="J15" s="31" t="s">
        <v>538</v>
      </c>
      <c r="K15" s="31" t="s">
        <v>495</v>
      </c>
      <c r="L15" s="31" t="s">
        <v>519</v>
      </c>
      <c r="M15" s="31" t="s">
        <v>275</v>
      </c>
      <c r="N15" s="31" t="s">
        <v>852</v>
      </c>
      <c r="O15" s="31" t="s">
        <v>853</v>
      </c>
      <c r="P15" s="31" t="s">
        <v>257</v>
      </c>
      <c r="Q15" s="31" t="s">
        <v>556</v>
      </c>
      <c r="R15" s="31" t="s">
        <v>269</v>
      </c>
      <c r="S15" s="32">
        <v>86164.800000000003</v>
      </c>
      <c r="T15" s="32">
        <v>80</v>
      </c>
      <c r="U15" s="32">
        <v>14.58</v>
      </c>
      <c r="V15" s="32">
        <v>0</v>
      </c>
      <c r="W15" s="32">
        <v>0</v>
      </c>
      <c r="X15" s="32">
        <v>0</v>
      </c>
      <c r="Y15" s="32">
        <v>0</v>
      </c>
      <c r="Z15" s="32">
        <v>0</v>
      </c>
      <c r="AA15" s="32">
        <v>0</v>
      </c>
      <c r="AB15" s="32">
        <v>0</v>
      </c>
      <c r="AC15" s="32">
        <v>0</v>
      </c>
      <c r="AD15" s="32">
        <v>0</v>
      </c>
      <c r="AE15" s="32">
        <v>0</v>
      </c>
      <c r="AF15" s="32">
        <v>0</v>
      </c>
      <c r="AG15" s="32">
        <v>0</v>
      </c>
      <c r="AH15" s="32">
        <v>0</v>
      </c>
      <c r="AI15" s="32">
        <v>0</v>
      </c>
      <c r="AJ15" s="32">
        <v>0</v>
      </c>
      <c r="AK15" s="32">
        <v>0</v>
      </c>
      <c r="AL15" s="32">
        <v>0</v>
      </c>
      <c r="AM15" s="32">
        <v>0</v>
      </c>
      <c r="AN15" s="32">
        <v>21541.200000000001</v>
      </c>
      <c r="AO15" s="32">
        <v>0</v>
      </c>
      <c r="AP15" s="32">
        <v>0</v>
      </c>
      <c r="AQ15" s="32">
        <v>21541.200000000001</v>
      </c>
      <c r="AR15" s="32">
        <v>107706</v>
      </c>
      <c r="AS15" s="32">
        <v>14.58</v>
      </c>
      <c r="AT15" s="32">
        <v>17400</v>
      </c>
      <c r="AU15" s="32">
        <v>17400</v>
      </c>
      <c r="AV15" s="32">
        <v>0</v>
      </c>
      <c r="AW15" s="32">
        <v>0</v>
      </c>
      <c r="AX15" s="32">
        <v>2610</v>
      </c>
      <c r="AY15" s="32">
        <v>2610</v>
      </c>
      <c r="AZ15" s="32">
        <v>696</v>
      </c>
      <c r="BA15" s="32">
        <v>696</v>
      </c>
      <c r="BB15" s="32">
        <v>0</v>
      </c>
      <c r="BC15" s="32">
        <v>0</v>
      </c>
      <c r="BD15" s="32">
        <v>30000</v>
      </c>
      <c r="BE15" s="32">
        <v>30000</v>
      </c>
      <c r="BF15" s="32">
        <v>0</v>
      </c>
      <c r="BG15" s="32">
        <v>37000</v>
      </c>
      <c r="BH15" s="32">
        <v>37000</v>
      </c>
      <c r="BI15" s="32">
        <v>0</v>
      </c>
      <c r="BJ15" s="32">
        <v>20000</v>
      </c>
      <c r="BK15" s="32">
        <v>20000</v>
      </c>
      <c r="BL15" s="32">
        <v>0</v>
      </c>
      <c r="BM15" s="32">
        <v>0</v>
      </c>
      <c r="BN15" s="32">
        <v>0</v>
      </c>
      <c r="BO15" s="32">
        <v>0</v>
      </c>
      <c r="BP15" s="32">
        <v>0</v>
      </c>
      <c r="BQ15" s="32">
        <v>26307.5</v>
      </c>
      <c r="BR15" s="32">
        <v>48591.5</v>
      </c>
      <c r="BS15" s="32">
        <v>26307.5</v>
      </c>
      <c r="BT15" s="32">
        <v>6499.5</v>
      </c>
      <c r="BU15" s="32">
        <v>0</v>
      </c>
      <c r="BV15" s="32">
        <v>0</v>
      </c>
      <c r="BW15" s="32">
        <v>0</v>
      </c>
      <c r="BX15" s="32">
        <v>0</v>
      </c>
      <c r="BY15" s="32">
        <v>0</v>
      </c>
      <c r="BZ15" s="32">
        <v>0</v>
      </c>
      <c r="CA15" s="32">
        <v>0</v>
      </c>
      <c r="CB15" s="33" t="s">
        <v>212</v>
      </c>
      <c r="CC15" s="33" t="s">
        <v>522</v>
      </c>
      <c r="CD15" s="33"/>
      <c r="CE15" s="33" t="s">
        <v>523</v>
      </c>
      <c r="CF15" s="33" t="s">
        <v>607</v>
      </c>
      <c r="CG15" s="33" t="s">
        <v>803</v>
      </c>
      <c r="CH15" s="33" t="s">
        <v>526</v>
      </c>
      <c r="CI15" s="33"/>
      <c r="CJ15" s="33" t="s">
        <v>212</v>
      </c>
      <c r="CK15" s="33"/>
      <c r="CL15" s="33" t="s">
        <v>212</v>
      </c>
      <c r="CM15" s="33"/>
      <c r="CN15" s="33" t="s">
        <v>257</v>
      </c>
      <c r="CO15" s="33" t="s">
        <v>269</v>
      </c>
      <c r="CP15" s="33" t="s">
        <v>854</v>
      </c>
      <c r="CQ15" s="33" t="s">
        <v>760</v>
      </c>
      <c r="CR15" s="33" t="s">
        <v>761</v>
      </c>
      <c r="CS15" s="33" t="s">
        <v>806</v>
      </c>
      <c r="CT15" s="33"/>
      <c r="CU15" s="33"/>
      <c r="CV15" s="33"/>
      <c r="CW15" s="33"/>
      <c r="CX15" s="33"/>
      <c r="CY15" s="33" t="s">
        <v>688</v>
      </c>
      <c r="CZ15" s="33" t="s">
        <v>807</v>
      </c>
      <c r="DA15" s="33" t="s">
        <v>808</v>
      </c>
      <c r="DB15" s="33" t="s">
        <v>726</v>
      </c>
      <c r="DC15" s="33" t="s">
        <v>855</v>
      </c>
      <c r="DD15" s="33" t="s">
        <v>856</v>
      </c>
      <c r="DE15" s="33" t="s">
        <v>857</v>
      </c>
      <c r="DF15" s="34" t="s">
        <v>858</v>
      </c>
      <c r="DG15" s="27" cm="1">
        <f t="array" ref="DG15">INDEX('elenco partner'!A:M,MATCH(1,(D15='elenco partner'!A:A)*('Partner data'!M15='elenco partner'!E:E),0),4)</f>
        <v>119</v>
      </c>
      <c r="DH15" s="83" t="str">
        <f t="shared" si="13"/>
        <v>Tasso Forfettario 20%</v>
      </c>
      <c r="DI15" s="20">
        <f>COUNTIFS('MY-REPORT-MAIN'!C:C,'Partner data'!DG15,'MY-REPORT-MAIN'!I:I,"Certified")</f>
        <v>1</v>
      </c>
      <c r="DJ15" s="20">
        <f>COUNTIFS(List_Of_chek_list!M:M,"&lt;&gt;26",List_Of_chek_list!B:B,'Partner data'!DG15)</f>
        <v>1</v>
      </c>
      <c r="DK15" s="20">
        <f t="shared" si="14"/>
        <v>0</v>
      </c>
      <c r="DL15" s="19" t="e">
        <f>IF(DH15="Tasso Forfettario 20%",SUMIFS(List_Of_chek_list!#REF!,List_Of_chek_list!B:B,'Partner data'!DG15),"NON PERTINENTE")</f>
        <v>#REF!</v>
      </c>
      <c r="DM15" s="19" t="e">
        <f t="shared" si="16"/>
        <v>#REF!</v>
      </c>
      <c r="DN15" s="110">
        <f>_xlfn.MAXIFS('MY-REPORT-MAIN'!K:K,'MY-REPORT-MAIN'!C:C,DG15)</f>
        <v>45387.366861921299</v>
      </c>
      <c r="DO15" s="112">
        <f>IF(_xlfn.MAXIFS('MY-REPORT-MAIN'!M:M,'MY-REPORT-MAIN'!C:C,DG15)=0,"Nessun rendiconto  Convalidato",_xlfn.MAXIFS('MY-REPORT-MAIN'!M:M,'MY-REPORT-MAIN'!C:C,DG15))</f>
        <v>45470.452423287039</v>
      </c>
      <c r="DP15" s="113" cm="1">
        <f t="array" ref="DP15">IFERROR(INDEX('MY-REPORT-MAIN'!A:Z,MATCH(1,(DO15='MY-REPORT-MAIN'!M:M)*('Partner data'!DG15='MY-REPORT-MAIN'!C:C),0),1),"NON è stato convalidato ancora nessun rendiconto")</f>
        <v>272</v>
      </c>
      <c r="DQ15" s="111">
        <f>IFERROR(INDEX('MY-REPORT-MAIN'!A:Z,MATCH('Partner data'!DP15,'MY-REPORT-MAIN'!A:A,0),21),"Nessun Rendiconto ancora convalidato")</f>
        <v>24694.38</v>
      </c>
      <c r="DR15" s="110">
        <f>INDEX('Interreg VI-A Italy-Slovenia_pr'!A:E,MATCH('Partner data'!C15,'Interreg VI-A Italy-Slovenia_pr'!A:A,0),3)</f>
        <v>45200</v>
      </c>
      <c r="DS15" s="118">
        <f t="shared" si="1"/>
        <v>26307.5</v>
      </c>
      <c r="DT15" s="118">
        <f t="shared" si="2"/>
        <v>74899</v>
      </c>
      <c r="DU15" s="118">
        <f t="shared" si="3"/>
        <v>101206.5</v>
      </c>
      <c r="DV15" s="118">
        <f t="shared" si="4"/>
        <v>107706</v>
      </c>
      <c r="DW15" s="118">
        <f t="shared" si="5"/>
        <v>107706</v>
      </c>
      <c r="DX15" s="118">
        <f t="shared" si="6"/>
        <v>107706</v>
      </c>
      <c r="DY15" s="118">
        <f t="shared" si="7"/>
        <v>107706</v>
      </c>
      <c r="DZ15" s="118">
        <f t="shared" si="8"/>
        <v>107706</v>
      </c>
      <c r="EA15" s="118">
        <f t="shared" si="9"/>
        <v>107706</v>
      </c>
      <c r="EB15" s="118">
        <f t="shared" si="10"/>
        <v>107706</v>
      </c>
    </row>
    <row r="16" spans="1:133" x14ac:dyDescent="0.25">
      <c r="A16" s="28">
        <v>1</v>
      </c>
      <c r="B16" s="29" t="s">
        <v>487</v>
      </c>
      <c r="C16" s="30" t="s">
        <v>825</v>
      </c>
      <c r="D16" s="17" t="s">
        <v>277</v>
      </c>
      <c r="E16" s="30" t="s">
        <v>826</v>
      </c>
      <c r="F16" s="30" t="s">
        <v>490</v>
      </c>
      <c r="G16" s="30" t="s">
        <v>491</v>
      </c>
      <c r="H16" s="30" t="s">
        <v>691</v>
      </c>
      <c r="I16" s="30" t="s">
        <v>692</v>
      </c>
      <c r="J16" s="31" t="s">
        <v>554</v>
      </c>
      <c r="K16" s="31" t="s">
        <v>495</v>
      </c>
      <c r="L16" s="31" t="s">
        <v>519</v>
      </c>
      <c r="M16" s="31" t="s">
        <v>279</v>
      </c>
      <c r="N16" s="31" t="s">
        <v>859</v>
      </c>
      <c r="O16" s="31" t="s">
        <v>860</v>
      </c>
      <c r="P16" s="31" t="s">
        <v>254</v>
      </c>
      <c r="Q16" s="31" t="s">
        <v>540</v>
      </c>
      <c r="R16" s="31" t="s">
        <v>260</v>
      </c>
      <c r="S16" s="32">
        <v>96446</v>
      </c>
      <c r="T16" s="32">
        <v>80</v>
      </c>
      <c r="U16" s="32">
        <v>16.309999999999999</v>
      </c>
      <c r="V16" s="32">
        <v>0</v>
      </c>
      <c r="W16" s="32">
        <v>0</v>
      </c>
      <c r="X16" s="32">
        <v>0</v>
      </c>
      <c r="Y16" s="32">
        <v>0</v>
      </c>
      <c r="Z16" s="32">
        <v>0</v>
      </c>
      <c r="AA16" s="32">
        <v>0</v>
      </c>
      <c r="AB16" s="32">
        <v>0</v>
      </c>
      <c r="AC16" s="32">
        <v>0</v>
      </c>
      <c r="AD16" s="32">
        <v>0</v>
      </c>
      <c r="AE16" s="32">
        <v>0</v>
      </c>
      <c r="AF16" s="32">
        <v>0</v>
      </c>
      <c r="AG16" s="32">
        <v>0</v>
      </c>
      <c r="AH16" s="32">
        <v>0</v>
      </c>
      <c r="AI16" s="32">
        <v>0</v>
      </c>
      <c r="AJ16" s="32">
        <v>0</v>
      </c>
      <c r="AK16" s="32">
        <v>0</v>
      </c>
      <c r="AL16" s="32">
        <v>0</v>
      </c>
      <c r="AM16" s="32">
        <v>0</v>
      </c>
      <c r="AN16" s="32">
        <v>0</v>
      </c>
      <c r="AO16" s="32">
        <v>24111.5</v>
      </c>
      <c r="AP16" s="32">
        <v>0</v>
      </c>
      <c r="AQ16" s="32">
        <v>24111.5</v>
      </c>
      <c r="AR16" s="32">
        <v>120557.5</v>
      </c>
      <c r="AS16" s="32">
        <v>16.309999999999999</v>
      </c>
      <c r="AT16" s="32">
        <v>86112.5</v>
      </c>
      <c r="AU16" s="32">
        <v>0</v>
      </c>
      <c r="AV16" s="32">
        <v>86112.5</v>
      </c>
      <c r="AW16" s="32">
        <v>0</v>
      </c>
      <c r="AX16" s="32">
        <v>0</v>
      </c>
      <c r="AY16" s="32">
        <v>0</v>
      </c>
      <c r="AZ16" s="32">
        <v>0</v>
      </c>
      <c r="BA16" s="32">
        <v>0</v>
      </c>
      <c r="BB16" s="32">
        <v>0</v>
      </c>
      <c r="BC16" s="32">
        <v>0</v>
      </c>
      <c r="BD16" s="32">
        <v>0</v>
      </c>
      <c r="BE16" s="32">
        <v>0</v>
      </c>
      <c r="BF16" s="32">
        <v>0</v>
      </c>
      <c r="BG16" s="32">
        <v>0</v>
      </c>
      <c r="BH16" s="32">
        <v>0</v>
      </c>
      <c r="BI16" s="32">
        <v>0</v>
      </c>
      <c r="BJ16" s="32">
        <v>0</v>
      </c>
      <c r="BK16" s="32">
        <v>0</v>
      </c>
      <c r="BL16" s="32">
        <v>0</v>
      </c>
      <c r="BM16" s="32">
        <v>34445</v>
      </c>
      <c r="BN16" s="32">
        <v>0</v>
      </c>
      <c r="BO16" s="32">
        <v>0</v>
      </c>
      <c r="BP16" s="32">
        <v>0</v>
      </c>
      <c r="BQ16" s="32">
        <v>26975.360000000001</v>
      </c>
      <c r="BR16" s="32">
        <v>32309.38</v>
      </c>
      <c r="BS16" s="32">
        <v>32309.360000000001</v>
      </c>
      <c r="BT16" s="32">
        <v>28963.4</v>
      </c>
      <c r="BU16" s="32">
        <v>0</v>
      </c>
      <c r="BV16" s="32">
        <v>0</v>
      </c>
      <c r="BW16" s="32">
        <v>0</v>
      </c>
      <c r="BX16" s="32">
        <v>0</v>
      </c>
      <c r="BY16" s="32">
        <v>0</v>
      </c>
      <c r="BZ16" s="32">
        <v>0</v>
      </c>
      <c r="CA16" s="32">
        <v>0</v>
      </c>
      <c r="CB16" s="33" t="s">
        <v>861</v>
      </c>
      <c r="CC16" s="33" t="s">
        <v>624</v>
      </c>
      <c r="CD16" s="33"/>
      <c r="CE16" s="33" t="s">
        <v>523</v>
      </c>
      <c r="CF16" s="33" t="s">
        <v>862</v>
      </c>
      <c r="CG16" s="33" t="s">
        <v>863</v>
      </c>
      <c r="CH16" s="33" t="s">
        <v>526</v>
      </c>
      <c r="CI16" s="33"/>
      <c r="CJ16" s="33" t="s">
        <v>212</v>
      </c>
      <c r="CK16" s="33"/>
      <c r="CL16" s="33" t="s">
        <v>212</v>
      </c>
      <c r="CM16" s="33"/>
      <c r="CN16" s="33" t="s">
        <v>254</v>
      </c>
      <c r="CO16" s="33" t="s">
        <v>260</v>
      </c>
      <c r="CP16" s="33" t="s">
        <v>864</v>
      </c>
      <c r="CQ16" s="33" t="s">
        <v>865</v>
      </c>
      <c r="CR16" s="33" t="s">
        <v>599</v>
      </c>
      <c r="CS16" s="33" t="s">
        <v>866</v>
      </c>
      <c r="CT16" s="33" t="s">
        <v>254</v>
      </c>
      <c r="CU16" s="33" t="s">
        <v>260</v>
      </c>
      <c r="CV16" s="33" t="s">
        <v>864</v>
      </c>
      <c r="CW16" s="33" t="s">
        <v>865</v>
      </c>
      <c r="CX16" s="33" t="s">
        <v>599</v>
      </c>
      <c r="CY16" s="33" t="s">
        <v>531</v>
      </c>
      <c r="CZ16" s="33" t="s">
        <v>867</v>
      </c>
      <c r="DA16" s="33" t="s">
        <v>868</v>
      </c>
      <c r="DB16" s="33" t="s">
        <v>531</v>
      </c>
      <c r="DC16" s="33" t="s">
        <v>869</v>
      </c>
      <c r="DD16" s="33" t="s">
        <v>870</v>
      </c>
      <c r="DE16" s="33" t="s">
        <v>871</v>
      </c>
      <c r="DF16" s="34" t="s">
        <v>872</v>
      </c>
      <c r="DG16" s="27" cm="1">
        <f t="array" ref="DG16">INDEX('elenco partner'!A:M,MATCH(1,(D16='elenco partner'!A:A)*('Partner data'!M16='elenco partner'!E:E),0),4)</f>
        <v>120</v>
      </c>
      <c r="DH16" s="83" t="str">
        <f t="shared" si="13"/>
        <v>COSTO REALE</v>
      </c>
      <c r="DI16" s="20">
        <f>COUNTIFS('MY-REPORT-MAIN'!C:C,'Partner data'!DG16,'MY-REPORT-MAIN'!I:I,"Certified")</f>
        <v>1</v>
      </c>
      <c r="DJ16" s="20">
        <f>COUNTIFS(List_Of_chek_list!M:M,"&lt;&gt;26",List_Of_chek_list!B:B,'Partner data'!DG16)</f>
        <v>1</v>
      </c>
      <c r="DK16" s="20">
        <f t="shared" si="14"/>
        <v>0</v>
      </c>
      <c r="DL16" s="19" t="str">
        <f>IF(DH16="Tasso Forfettario 20%",SUMIFS(List_Of_chek_list!#REF!,List_Of_chek_list!B:B,'Partner data'!DG16),"NON PERTINENTE")</f>
        <v>NON PERTINENTE</v>
      </c>
      <c r="DM16" s="19" t="str">
        <f t="shared" si="16"/>
        <v>NON PERTINENTE</v>
      </c>
      <c r="DN16" s="110">
        <f>_xlfn.MAXIFS('MY-REPORT-MAIN'!K:K,'MY-REPORT-MAIN'!C:C,DG16)</f>
        <v>45387.454093425928</v>
      </c>
      <c r="DO16" s="112">
        <f>IF(_xlfn.MAXIFS('MY-REPORT-MAIN'!M:M,'MY-REPORT-MAIN'!C:C,DG16)=0,"Nessun rendiconto  Convalidato",_xlfn.MAXIFS('MY-REPORT-MAIN'!M:M,'MY-REPORT-MAIN'!C:C,DG16))</f>
        <v>45471.746461921299</v>
      </c>
      <c r="DP16" s="113" cm="1">
        <f t="array" ref="DP16">IFERROR(INDEX('MY-REPORT-MAIN'!A:Z,MATCH(1,(DO16='MY-REPORT-MAIN'!M:M)*('Partner data'!DG16='MY-REPORT-MAIN'!C:C),0),1),"NON è stato convalidato ancora nessun rendiconto")</f>
        <v>177</v>
      </c>
      <c r="DQ16" s="111">
        <f>IFERROR(INDEX('MY-REPORT-MAIN'!A:Z,MATCH('Partner data'!DP16,'MY-REPORT-MAIN'!A:A,0),21),"Nessun Rendiconto ancora convalidato")</f>
        <v>13051.27</v>
      </c>
      <c r="DR16" s="110">
        <f>INDEX('Interreg VI-A Italy-Slovenia_pr'!A:E,MATCH('Partner data'!C16,'Interreg VI-A Italy-Slovenia_pr'!A:A,0),3)</f>
        <v>45200</v>
      </c>
      <c r="DS16" s="118">
        <f t="shared" si="1"/>
        <v>26975.360000000001</v>
      </c>
      <c r="DT16" s="118">
        <f t="shared" si="2"/>
        <v>59284.740000000005</v>
      </c>
      <c r="DU16" s="118">
        <f t="shared" si="3"/>
        <v>91594.1</v>
      </c>
      <c r="DV16" s="118">
        <f t="shared" si="4"/>
        <v>120557.5</v>
      </c>
      <c r="DW16" s="118">
        <f t="shared" si="5"/>
        <v>120557.5</v>
      </c>
      <c r="DX16" s="118">
        <f t="shared" si="6"/>
        <v>120557.5</v>
      </c>
      <c r="DY16" s="118">
        <f t="shared" si="7"/>
        <v>120557.5</v>
      </c>
      <c r="DZ16" s="118">
        <f t="shared" si="8"/>
        <v>120557.5</v>
      </c>
      <c r="EA16" s="118">
        <f t="shared" si="9"/>
        <v>120557.5</v>
      </c>
      <c r="EB16" s="118">
        <f t="shared" si="10"/>
        <v>120557.5</v>
      </c>
    </row>
    <row r="17" spans="1:132" ht="45" x14ac:dyDescent="0.25">
      <c r="A17" s="28">
        <v>1</v>
      </c>
      <c r="B17" s="29" t="s">
        <v>487</v>
      </c>
      <c r="C17" s="30" t="s">
        <v>825</v>
      </c>
      <c r="D17" s="17" t="s">
        <v>277</v>
      </c>
      <c r="E17" s="30" t="s">
        <v>826</v>
      </c>
      <c r="F17" s="30" t="s">
        <v>490</v>
      </c>
      <c r="G17" s="30" t="s">
        <v>491</v>
      </c>
      <c r="H17" s="30" t="s">
        <v>691</v>
      </c>
      <c r="I17" s="30" t="s">
        <v>692</v>
      </c>
      <c r="J17" s="31" t="s">
        <v>570</v>
      </c>
      <c r="K17" s="31" t="s">
        <v>495</v>
      </c>
      <c r="L17" s="31" t="s">
        <v>519</v>
      </c>
      <c r="M17" s="31" t="s">
        <v>278</v>
      </c>
      <c r="N17" s="31" t="s">
        <v>873</v>
      </c>
      <c r="O17" s="31" t="s">
        <v>874</v>
      </c>
      <c r="P17" s="31" t="s">
        <v>254</v>
      </c>
      <c r="Q17" s="31" t="s">
        <v>499</v>
      </c>
      <c r="R17" s="31" t="s">
        <v>255</v>
      </c>
      <c r="S17" s="32">
        <v>68105.84</v>
      </c>
      <c r="T17" s="32">
        <v>80</v>
      </c>
      <c r="U17" s="32">
        <v>11.52</v>
      </c>
      <c r="V17" s="32">
        <v>0</v>
      </c>
      <c r="W17" s="32">
        <v>0</v>
      </c>
      <c r="X17" s="32">
        <v>0</v>
      </c>
      <c r="Y17" s="32">
        <v>0</v>
      </c>
      <c r="Z17" s="32">
        <v>0</v>
      </c>
      <c r="AA17" s="32">
        <v>0</v>
      </c>
      <c r="AB17" s="32">
        <v>0</v>
      </c>
      <c r="AC17" s="32">
        <v>0</v>
      </c>
      <c r="AD17" s="32">
        <v>0</v>
      </c>
      <c r="AE17" s="32">
        <v>0</v>
      </c>
      <c r="AF17" s="32">
        <v>0</v>
      </c>
      <c r="AG17" s="32">
        <v>0</v>
      </c>
      <c r="AH17" s="32">
        <v>0</v>
      </c>
      <c r="AI17" s="32">
        <v>0</v>
      </c>
      <c r="AJ17" s="32">
        <v>0</v>
      </c>
      <c r="AK17" s="32">
        <v>0</v>
      </c>
      <c r="AL17" s="32">
        <v>0</v>
      </c>
      <c r="AM17" s="32">
        <v>0</v>
      </c>
      <c r="AN17" s="32">
        <v>0</v>
      </c>
      <c r="AO17" s="32">
        <v>17026.46</v>
      </c>
      <c r="AP17" s="32">
        <v>0</v>
      </c>
      <c r="AQ17" s="32">
        <v>17026.46</v>
      </c>
      <c r="AR17" s="32">
        <v>85132.3</v>
      </c>
      <c r="AS17" s="32">
        <v>11.52</v>
      </c>
      <c r="AT17" s="32">
        <v>13753.2</v>
      </c>
      <c r="AU17" s="32">
        <v>13753.2</v>
      </c>
      <c r="AV17" s="32">
        <v>0</v>
      </c>
      <c r="AW17" s="32">
        <v>0</v>
      </c>
      <c r="AX17" s="32">
        <v>2062.98</v>
      </c>
      <c r="AY17" s="32">
        <v>2062.98</v>
      </c>
      <c r="AZ17" s="32">
        <v>550.12</v>
      </c>
      <c r="BA17" s="32">
        <v>550.12</v>
      </c>
      <c r="BB17" s="32">
        <v>0</v>
      </c>
      <c r="BC17" s="32">
        <v>0</v>
      </c>
      <c r="BD17" s="32">
        <v>44000</v>
      </c>
      <c r="BE17" s="32">
        <v>44000</v>
      </c>
      <c r="BF17" s="32">
        <v>0</v>
      </c>
      <c r="BG17" s="32">
        <v>24766</v>
      </c>
      <c r="BH17" s="32">
        <v>24766</v>
      </c>
      <c r="BI17" s="32">
        <v>0</v>
      </c>
      <c r="BJ17" s="32">
        <v>0</v>
      </c>
      <c r="BK17" s="32">
        <v>0</v>
      </c>
      <c r="BL17" s="32">
        <v>0</v>
      </c>
      <c r="BM17" s="32">
        <v>0</v>
      </c>
      <c r="BN17" s="32">
        <v>0</v>
      </c>
      <c r="BO17" s="32">
        <v>0</v>
      </c>
      <c r="BP17" s="32">
        <v>0</v>
      </c>
      <c r="BQ17" s="32">
        <v>6190</v>
      </c>
      <c r="BR17" s="32">
        <v>52944.3</v>
      </c>
      <c r="BS17" s="32">
        <v>14856</v>
      </c>
      <c r="BT17" s="32">
        <v>11142</v>
      </c>
      <c r="BU17" s="32">
        <v>0</v>
      </c>
      <c r="BV17" s="32">
        <v>0</v>
      </c>
      <c r="BW17" s="32">
        <v>0</v>
      </c>
      <c r="BX17" s="32">
        <v>0</v>
      </c>
      <c r="BY17" s="32">
        <v>0</v>
      </c>
      <c r="BZ17" s="32">
        <v>0</v>
      </c>
      <c r="CA17" s="32">
        <v>0</v>
      </c>
      <c r="CB17" s="33" t="s">
        <v>212</v>
      </c>
      <c r="CC17" s="33" t="s">
        <v>522</v>
      </c>
      <c r="CD17" s="33"/>
      <c r="CE17" s="33" t="s">
        <v>523</v>
      </c>
      <c r="CF17" s="33" t="s">
        <v>636</v>
      </c>
      <c r="CG17" s="33" t="s">
        <v>875</v>
      </c>
      <c r="CH17" s="33" t="s">
        <v>526</v>
      </c>
      <c r="CI17" s="33"/>
      <c r="CJ17" s="33" t="s">
        <v>212</v>
      </c>
      <c r="CK17" s="33"/>
      <c r="CL17" s="33" t="s">
        <v>212</v>
      </c>
      <c r="CM17" s="33"/>
      <c r="CN17" s="33" t="s">
        <v>254</v>
      </c>
      <c r="CO17" s="33" t="s">
        <v>255</v>
      </c>
      <c r="CP17" s="33" t="s">
        <v>876</v>
      </c>
      <c r="CQ17" s="33" t="s">
        <v>877</v>
      </c>
      <c r="CR17" s="33" t="s">
        <v>878</v>
      </c>
      <c r="CS17" s="33" t="s">
        <v>879</v>
      </c>
      <c r="CT17" s="33"/>
      <c r="CU17" s="33"/>
      <c r="CV17" s="33"/>
      <c r="CW17" s="33"/>
      <c r="CX17" s="33"/>
      <c r="CY17" s="33" t="s">
        <v>531</v>
      </c>
      <c r="CZ17" s="33" t="s">
        <v>833</v>
      </c>
      <c r="DA17" s="33" t="s">
        <v>880</v>
      </c>
      <c r="DB17" s="33" t="s">
        <v>547</v>
      </c>
      <c r="DC17" s="33" t="s">
        <v>881</v>
      </c>
      <c r="DD17" s="33" t="s">
        <v>882</v>
      </c>
      <c r="DE17" s="33" t="s">
        <v>883</v>
      </c>
      <c r="DF17" s="34" t="s">
        <v>884</v>
      </c>
      <c r="DG17" s="27" cm="1">
        <f t="array" ref="DG17">INDEX('elenco partner'!A:M,MATCH(1,(D17='elenco partner'!A:A)*('Partner data'!M17='elenco partner'!E:E),0),4)</f>
        <v>233</v>
      </c>
      <c r="DH17" s="83" t="str">
        <f t="shared" si="13"/>
        <v>Tasso Forfettario 20%</v>
      </c>
      <c r="DI17" s="20">
        <f>COUNTIFS('MY-REPORT-MAIN'!C:C,'Partner data'!DG17,'MY-REPORT-MAIN'!I:I,"Certified")</f>
        <v>0</v>
      </c>
      <c r="DJ17" s="20">
        <f>COUNTIFS(List_Of_chek_list!M:M,"&lt;&gt;26",List_Of_chek_list!B:B,'Partner data'!DG17)</f>
        <v>0</v>
      </c>
      <c r="DK17" s="20">
        <f t="shared" si="14"/>
        <v>0</v>
      </c>
      <c r="DL17" s="19" t="e">
        <f>IF(DH17="Tasso Forfettario 20%",SUMIFS(List_Of_chek_list!#REF!,List_Of_chek_list!B:B,'Partner data'!DG17),"NON PERTINENTE")</f>
        <v>#REF!</v>
      </c>
      <c r="DM17" s="19" t="e">
        <f t="shared" si="16"/>
        <v>#REF!</v>
      </c>
      <c r="DN17" s="110">
        <f>_xlfn.MAXIFS('MY-REPORT-MAIN'!K:K,'MY-REPORT-MAIN'!C:C,DG17)</f>
        <v>0</v>
      </c>
      <c r="DO17" s="112" t="str">
        <f>IF(_xlfn.MAXIFS('MY-REPORT-MAIN'!M:M,'MY-REPORT-MAIN'!C:C,DG17)=0,"Nessun rendiconto  Convalidato",_xlfn.MAXIFS('MY-REPORT-MAIN'!M:M,'MY-REPORT-MAIN'!C:C,DG17))</f>
        <v>Nessun rendiconto  Convalidato</v>
      </c>
      <c r="DP17" s="113" t="str" cm="1">
        <f t="array" ref="DP17">IFERROR(INDEX('MY-REPORT-MAIN'!A:Z,MATCH(1,(DO17='MY-REPORT-MAIN'!M:M)*('Partner data'!DG17='MY-REPORT-MAIN'!C:C),0),1),"NON è stato convalidato ancora nessun rendiconto")</f>
        <v>NON è stato convalidato ancora nessun rendiconto</v>
      </c>
      <c r="DQ17" s="111" t="str">
        <f>IFERROR(INDEX('MY-REPORT-MAIN'!A:Z,MATCH('Partner data'!DP17,'MY-REPORT-MAIN'!A:A,0),21),"Nessun Rendiconto ancora convalidato")</f>
        <v>Nessun Rendiconto ancora convalidato</v>
      </c>
      <c r="DR17" s="110">
        <f>INDEX('Interreg VI-A Italy-Slovenia_pr'!A:E,MATCH('Partner data'!C17,'Interreg VI-A Italy-Slovenia_pr'!A:A,0),3)</f>
        <v>45200</v>
      </c>
      <c r="DS17" s="118">
        <f t="shared" si="1"/>
        <v>6190</v>
      </c>
      <c r="DT17" s="118">
        <f t="shared" si="2"/>
        <v>59134.3</v>
      </c>
      <c r="DU17" s="118">
        <f t="shared" si="3"/>
        <v>73990.3</v>
      </c>
      <c r="DV17" s="118">
        <f t="shared" si="4"/>
        <v>85132.3</v>
      </c>
      <c r="DW17" s="118">
        <f t="shared" si="5"/>
        <v>85132.3</v>
      </c>
      <c r="DX17" s="118">
        <f t="shared" si="6"/>
        <v>85132.3</v>
      </c>
      <c r="DY17" s="118">
        <f t="shared" si="7"/>
        <v>85132.3</v>
      </c>
      <c r="DZ17" s="118">
        <f t="shared" si="8"/>
        <v>85132.3</v>
      </c>
      <c r="EA17" s="118">
        <f t="shared" si="9"/>
        <v>85132.3</v>
      </c>
      <c r="EB17" s="118">
        <f t="shared" si="10"/>
        <v>85132.3</v>
      </c>
    </row>
    <row r="18" spans="1:132" x14ac:dyDescent="0.25">
      <c r="A18" s="28">
        <v>1</v>
      </c>
      <c r="B18" s="29" t="s">
        <v>487</v>
      </c>
      <c r="C18" s="30" t="s">
        <v>943</v>
      </c>
      <c r="D18" s="30" t="s">
        <v>283</v>
      </c>
      <c r="E18" s="30" t="s">
        <v>944</v>
      </c>
      <c r="F18" s="30" t="s">
        <v>593</v>
      </c>
      <c r="G18" s="30" t="s">
        <v>491</v>
      </c>
      <c r="H18" s="30" t="s">
        <v>691</v>
      </c>
      <c r="I18" s="30" t="s">
        <v>945</v>
      </c>
      <c r="J18" s="31" t="s">
        <v>494</v>
      </c>
      <c r="K18" s="31" t="s">
        <v>495</v>
      </c>
      <c r="L18" s="31" t="s">
        <v>496</v>
      </c>
      <c r="M18" s="31" t="s">
        <v>56</v>
      </c>
      <c r="N18" s="31" t="s">
        <v>946</v>
      </c>
      <c r="O18" s="31" t="s">
        <v>947</v>
      </c>
      <c r="P18" s="31" t="s">
        <v>257</v>
      </c>
      <c r="Q18" s="31" t="s">
        <v>556</v>
      </c>
      <c r="R18" s="31" t="s">
        <v>258</v>
      </c>
      <c r="S18" s="32">
        <v>153052.37</v>
      </c>
      <c r="T18" s="32">
        <v>80</v>
      </c>
      <c r="U18" s="32">
        <v>25.81</v>
      </c>
      <c r="V18" s="32">
        <v>0</v>
      </c>
      <c r="W18" s="32">
        <v>0</v>
      </c>
      <c r="X18" s="32">
        <v>0</v>
      </c>
      <c r="Y18" s="32">
        <v>0</v>
      </c>
      <c r="Z18" s="32">
        <v>0</v>
      </c>
      <c r="AA18" s="32">
        <v>0</v>
      </c>
      <c r="AB18" s="32">
        <v>0</v>
      </c>
      <c r="AC18" s="32">
        <v>0</v>
      </c>
      <c r="AD18" s="32">
        <v>0</v>
      </c>
      <c r="AE18" s="32">
        <v>0</v>
      </c>
      <c r="AF18" s="32">
        <v>0</v>
      </c>
      <c r="AG18" s="32">
        <v>0</v>
      </c>
      <c r="AH18" s="32">
        <v>0</v>
      </c>
      <c r="AI18" s="32">
        <v>0</v>
      </c>
      <c r="AJ18" s="32">
        <v>0</v>
      </c>
      <c r="AK18" s="32">
        <v>0</v>
      </c>
      <c r="AL18" s="32">
        <v>0</v>
      </c>
      <c r="AM18" s="32">
        <v>0</v>
      </c>
      <c r="AN18" s="32">
        <v>38263.1</v>
      </c>
      <c r="AO18" s="32">
        <v>0</v>
      </c>
      <c r="AP18" s="32">
        <v>0</v>
      </c>
      <c r="AQ18" s="32">
        <v>38263.1</v>
      </c>
      <c r="AR18" s="32">
        <v>191315.47</v>
      </c>
      <c r="AS18" s="32">
        <v>25.81</v>
      </c>
      <c r="AT18" s="32">
        <v>130225.34</v>
      </c>
      <c r="AU18" s="32">
        <v>0</v>
      </c>
      <c r="AV18" s="32">
        <v>130225.34</v>
      </c>
      <c r="AW18" s="32">
        <v>0</v>
      </c>
      <c r="AX18" s="32">
        <v>0</v>
      </c>
      <c r="AY18" s="32">
        <v>0</v>
      </c>
      <c r="AZ18" s="32">
        <v>0</v>
      </c>
      <c r="BA18" s="32">
        <v>0</v>
      </c>
      <c r="BB18" s="32">
        <v>0</v>
      </c>
      <c r="BC18" s="32">
        <v>0</v>
      </c>
      <c r="BD18" s="32">
        <v>0</v>
      </c>
      <c r="BE18" s="32">
        <v>0</v>
      </c>
      <c r="BF18" s="32">
        <v>0</v>
      </c>
      <c r="BG18" s="32">
        <v>0</v>
      </c>
      <c r="BH18" s="32">
        <v>0</v>
      </c>
      <c r="BI18" s="32">
        <v>0</v>
      </c>
      <c r="BJ18" s="32">
        <v>0</v>
      </c>
      <c r="BK18" s="32">
        <v>0</v>
      </c>
      <c r="BL18" s="32">
        <v>0</v>
      </c>
      <c r="BM18" s="32">
        <v>52090.13</v>
      </c>
      <c r="BN18" s="32">
        <v>0</v>
      </c>
      <c r="BO18" s="32">
        <v>9000</v>
      </c>
      <c r="BP18" s="32">
        <v>9000</v>
      </c>
      <c r="BQ18" s="32">
        <v>45579.14</v>
      </c>
      <c r="BR18" s="32">
        <v>45579.14</v>
      </c>
      <c r="BS18" s="32">
        <v>45579.14</v>
      </c>
      <c r="BT18" s="32">
        <v>45578.05</v>
      </c>
      <c r="BU18" s="32">
        <v>0</v>
      </c>
      <c r="BV18" s="32">
        <v>0</v>
      </c>
      <c r="BW18" s="32">
        <v>0</v>
      </c>
      <c r="BX18" s="32">
        <v>0</v>
      </c>
      <c r="BY18" s="32">
        <v>0</v>
      </c>
      <c r="BZ18" s="32">
        <v>0</v>
      </c>
      <c r="CA18" s="32">
        <v>0</v>
      </c>
      <c r="CB18" s="33" t="s">
        <v>948</v>
      </c>
      <c r="CC18" s="33" t="s">
        <v>949</v>
      </c>
      <c r="CD18" s="33"/>
      <c r="CE18" s="33" t="s">
        <v>523</v>
      </c>
      <c r="CF18" s="33" t="s">
        <v>950</v>
      </c>
      <c r="CG18" s="33" t="s">
        <v>951</v>
      </c>
      <c r="CH18" s="33" t="s">
        <v>526</v>
      </c>
      <c r="CI18" s="33"/>
      <c r="CJ18" s="33" t="s">
        <v>212</v>
      </c>
      <c r="CK18" s="33"/>
      <c r="CL18" s="33" t="s">
        <v>212</v>
      </c>
      <c r="CM18" s="33"/>
      <c r="CN18" s="33" t="s">
        <v>257</v>
      </c>
      <c r="CO18" s="33" t="s">
        <v>258</v>
      </c>
      <c r="CP18" s="33" t="s">
        <v>952</v>
      </c>
      <c r="CQ18" s="33" t="s">
        <v>620</v>
      </c>
      <c r="CR18" s="33" t="s">
        <v>953</v>
      </c>
      <c r="CS18" s="33" t="s">
        <v>954</v>
      </c>
      <c r="CT18" s="33" t="s">
        <v>257</v>
      </c>
      <c r="CU18" s="33" t="s">
        <v>258</v>
      </c>
      <c r="CV18" s="33" t="s">
        <v>952</v>
      </c>
      <c r="CW18" s="33" t="s">
        <v>955</v>
      </c>
      <c r="CX18" s="33" t="s">
        <v>621</v>
      </c>
      <c r="CY18" s="33" t="s">
        <v>956</v>
      </c>
      <c r="CZ18" s="33" t="s">
        <v>957</v>
      </c>
      <c r="DA18" s="33" t="s">
        <v>958</v>
      </c>
      <c r="DB18" s="33" t="s">
        <v>959</v>
      </c>
      <c r="DC18" s="33" t="s">
        <v>960</v>
      </c>
      <c r="DD18" s="33" t="s">
        <v>961</v>
      </c>
      <c r="DE18" s="33" t="s">
        <v>962</v>
      </c>
      <c r="DF18" s="34" t="s">
        <v>963</v>
      </c>
      <c r="DG18" s="27" cm="1">
        <f t="array" ref="DG18">INDEX('elenco partner'!A:M,MATCH(1,(D18='elenco partner'!A:A)*('Partner data'!M18='elenco partner'!E:E),0),4)</f>
        <v>92</v>
      </c>
      <c r="DH18" s="83" t="str">
        <f t="shared" ref="DH18:DH22" si="17">IF(AU18&lt;&gt;0,"Tasso Forfettario 20%",IF(AV18&lt;&gt;0,"COSTO REALE",IF(AW18&lt;&gt;0,"Costo Unitario Standard","BL1 non presente")))</f>
        <v>COSTO REALE</v>
      </c>
      <c r="DI18" s="20">
        <f>COUNTIFS('MY-REPORT-MAIN'!C:C,'Partner data'!DG18,'MY-REPORT-MAIN'!I:I,"Certified")</f>
        <v>1</v>
      </c>
      <c r="DJ18" s="20">
        <f>COUNTIFS(List_Of_chek_list!M:M,"&lt;&gt;26",List_Of_chek_list!B:B,'Partner data'!DG18)</f>
        <v>0</v>
      </c>
      <c r="DK18" s="20">
        <f t="shared" ref="DK18:DK22" si="18">DI18-DJ18</f>
        <v>1</v>
      </c>
      <c r="DL18" s="19" t="str">
        <f>IF(DH18="Tasso Forfettario 20%",SUMIFS(List_Of_chek_list!#REF!,List_Of_chek_list!B:B,'Partner data'!DG18),"NON PERTINENTE")</f>
        <v>NON PERTINENTE</v>
      </c>
      <c r="DM18" s="19" t="str">
        <f t="shared" ref="DM18:DM22" si="19">IF(DL18="NON PERTINENTE","NON PERTINENTE",IF(DJ18=DL18,"Rischio basso","Rischio alto"))</f>
        <v>NON PERTINENTE</v>
      </c>
      <c r="DN18" s="110">
        <f>_xlfn.MAXIFS('MY-REPORT-MAIN'!K:K,'MY-REPORT-MAIN'!C:C,DG18)</f>
        <v>45380.649596504627</v>
      </c>
      <c r="DO18" s="112">
        <f>IF(_xlfn.MAXIFS('MY-REPORT-MAIN'!M:M,'MY-REPORT-MAIN'!C:C,DG18)=0,"Nessun rendiconto  Convalidato",_xlfn.MAXIFS('MY-REPORT-MAIN'!M:M,'MY-REPORT-MAIN'!C:C,DG18))</f>
        <v>45482.357723761575</v>
      </c>
      <c r="DP18" s="113" cm="1">
        <f t="array" ref="DP18">IFERROR(INDEX('MY-REPORT-MAIN'!A:Z,MATCH(1,(DO18='MY-REPORT-MAIN'!M:M)*('Partner data'!DG18='MY-REPORT-MAIN'!C:C),0),1),"NON è stato convalidato ancora nessun rendiconto")</f>
        <v>125</v>
      </c>
      <c r="DQ18" s="111">
        <f>IFERROR(INDEX('MY-REPORT-MAIN'!A:Z,MATCH('Partner data'!DP18,'MY-REPORT-MAIN'!A:A,0),21),"Nessun Rendiconto ancora convalidato")</f>
        <v>47819.35</v>
      </c>
      <c r="DR18" s="110">
        <f>INDEX('Interreg VI-A Italy-Slovenia_pr'!A:E,MATCH('Partner data'!C18,'Interreg VI-A Italy-Slovenia_pr'!A:A,0),3)</f>
        <v>45170</v>
      </c>
      <c r="DS18" s="118">
        <f t="shared" si="1"/>
        <v>54579.14</v>
      </c>
      <c r="DT18" s="118">
        <f t="shared" si="2"/>
        <v>100158.28</v>
      </c>
      <c r="DU18" s="118">
        <f t="shared" si="3"/>
        <v>145737.41999999998</v>
      </c>
      <c r="DV18" s="118">
        <f t="shared" si="4"/>
        <v>191315.46999999997</v>
      </c>
      <c r="DW18" s="118">
        <f t="shared" si="5"/>
        <v>191315.46999999997</v>
      </c>
      <c r="DX18" s="118">
        <f t="shared" si="6"/>
        <v>191315.46999999997</v>
      </c>
      <c r="DY18" s="118">
        <f t="shared" si="7"/>
        <v>191315.46999999997</v>
      </c>
      <c r="DZ18" s="118">
        <f t="shared" si="8"/>
        <v>191315.46999999997</v>
      </c>
      <c r="EA18" s="118">
        <f t="shared" si="9"/>
        <v>191315.46999999997</v>
      </c>
      <c r="EB18" s="118">
        <f t="shared" si="10"/>
        <v>191315.46999999997</v>
      </c>
    </row>
    <row r="19" spans="1:132" ht="45" x14ac:dyDescent="0.25">
      <c r="A19" s="28">
        <v>1</v>
      </c>
      <c r="B19" s="29" t="s">
        <v>487</v>
      </c>
      <c r="C19" s="30" t="s">
        <v>943</v>
      </c>
      <c r="D19" s="30" t="s">
        <v>283</v>
      </c>
      <c r="E19" s="30" t="s">
        <v>944</v>
      </c>
      <c r="F19" s="30" t="s">
        <v>593</v>
      </c>
      <c r="G19" s="30" t="s">
        <v>491</v>
      </c>
      <c r="H19" s="30" t="s">
        <v>691</v>
      </c>
      <c r="I19" s="30" t="s">
        <v>945</v>
      </c>
      <c r="J19" s="31" t="s">
        <v>518</v>
      </c>
      <c r="K19" s="31" t="s">
        <v>495</v>
      </c>
      <c r="L19" s="31" t="s">
        <v>519</v>
      </c>
      <c r="M19" s="31" t="s">
        <v>284</v>
      </c>
      <c r="N19" s="31" t="s">
        <v>964</v>
      </c>
      <c r="O19" s="31" t="s">
        <v>965</v>
      </c>
      <c r="P19" s="31" t="s">
        <v>254</v>
      </c>
      <c r="Q19" s="31" t="s">
        <v>499</v>
      </c>
      <c r="R19" s="31" t="s">
        <v>273</v>
      </c>
      <c r="S19" s="32">
        <v>111221.92</v>
      </c>
      <c r="T19" s="32">
        <v>80</v>
      </c>
      <c r="U19" s="32">
        <v>18.760000000000002</v>
      </c>
      <c r="V19" s="32">
        <v>0</v>
      </c>
      <c r="W19" s="32">
        <v>0</v>
      </c>
      <c r="X19" s="32">
        <v>0</v>
      </c>
      <c r="Y19" s="32">
        <v>0</v>
      </c>
      <c r="Z19" s="32">
        <v>0</v>
      </c>
      <c r="AA19" s="32">
        <v>0</v>
      </c>
      <c r="AB19" s="32">
        <v>0</v>
      </c>
      <c r="AC19" s="32">
        <v>0</v>
      </c>
      <c r="AD19" s="32">
        <v>0</v>
      </c>
      <c r="AE19" s="32">
        <v>0</v>
      </c>
      <c r="AF19" s="32">
        <v>0</v>
      </c>
      <c r="AG19" s="32">
        <v>0</v>
      </c>
      <c r="AH19" s="32">
        <v>0</v>
      </c>
      <c r="AI19" s="32">
        <v>0</v>
      </c>
      <c r="AJ19" s="32">
        <v>0</v>
      </c>
      <c r="AK19" s="32">
        <v>0</v>
      </c>
      <c r="AL19" s="32">
        <v>0</v>
      </c>
      <c r="AM19" s="32">
        <v>0</v>
      </c>
      <c r="AN19" s="32">
        <v>0</v>
      </c>
      <c r="AO19" s="32">
        <v>27805.48</v>
      </c>
      <c r="AP19" s="32">
        <v>0</v>
      </c>
      <c r="AQ19" s="32">
        <v>27805.48</v>
      </c>
      <c r="AR19" s="32">
        <v>139027.4</v>
      </c>
      <c r="AS19" s="32">
        <v>18.760000000000002</v>
      </c>
      <c r="AT19" s="32">
        <v>22460</v>
      </c>
      <c r="AU19" s="32">
        <v>22460</v>
      </c>
      <c r="AV19" s="32">
        <v>0</v>
      </c>
      <c r="AW19" s="32">
        <v>0</v>
      </c>
      <c r="AX19" s="32">
        <v>3369</v>
      </c>
      <c r="AY19" s="32">
        <v>3369</v>
      </c>
      <c r="AZ19" s="32">
        <v>898.4</v>
      </c>
      <c r="BA19" s="32">
        <v>898.4</v>
      </c>
      <c r="BB19" s="32">
        <v>0</v>
      </c>
      <c r="BC19" s="32">
        <v>0</v>
      </c>
      <c r="BD19" s="32">
        <v>112300</v>
      </c>
      <c r="BE19" s="32">
        <v>112300</v>
      </c>
      <c r="BF19" s="32">
        <v>0</v>
      </c>
      <c r="BG19" s="32">
        <v>0</v>
      </c>
      <c r="BH19" s="32">
        <v>0</v>
      </c>
      <c r="BI19" s="32">
        <v>0</v>
      </c>
      <c r="BJ19" s="32">
        <v>0</v>
      </c>
      <c r="BK19" s="32">
        <v>0</v>
      </c>
      <c r="BL19" s="32">
        <v>0</v>
      </c>
      <c r="BM19" s="32">
        <v>0</v>
      </c>
      <c r="BN19" s="32">
        <v>0</v>
      </c>
      <c r="BO19" s="32">
        <v>0</v>
      </c>
      <c r="BP19" s="32">
        <v>0</v>
      </c>
      <c r="BQ19" s="32">
        <v>24388.6</v>
      </c>
      <c r="BR19" s="32">
        <v>34911.599999999999</v>
      </c>
      <c r="BS19" s="32">
        <v>44196.6</v>
      </c>
      <c r="BT19" s="32">
        <v>35530.6</v>
      </c>
      <c r="BU19" s="32">
        <v>0</v>
      </c>
      <c r="BV19" s="32">
        <v>0</v>
      </c>
      <c r="BW19" s="32">
        <v>0</v>
      </c>
      <c r="BX19" s="32">
        <v>0</v>
      </c>
      <c r="BY19" s="32">
        <v>0</v>
      </c>
      <c r="BZ19" s="32">
        <v>0</v>
      </c>
      <c r="CA19" s="32">
        <v>0</v>
      </c>
      <c r="CB19" s="33" t="s">
        <v>966</v>
      </c>
      <c r="CC19" s="33" t="s">
        <v>606</v>
      </c>
      <c r="CD19" s="33"/>
      <c r="CE19" s="33" t="s">
        <v>523</v>
      </c>
      <c r="CF19" s="33" t="s">
        <v>967</v>
      </c>
      <c r="CG19" s="33" t="s">
        <v>968</v>
      </c>
      <c r="CH19" s="33" t="s">
        <v>526</v>
      </c>
      <c r="CI19" s="33"/>
      <c r="CJ19" s="33" t="s">
        <v>212</v>
      </c>
      <c r="CK19" s="33"/>
      <c r="CL19" s="33" t="s">
        <v>212</v>
      </c>
      <c r="CM19" s="33"/>
      <c r="CN19" s="33" t="s">
        <v>254</v>
      </c>
      <c r="CO19" s="33" t="s">
        <v>273</v>
      </c>
      <c r="CP19" s="33" t="s">
        <v>969</v>
      </c>
      <c r="CQ19" s="33" t="s">
        <v>970</v>
      </c>
      <c r="CR19" s="33" t="s">
        <v>971</v>
      </c>
      <c r="CS19" s="33" t="s">
        <v>972</v>
      </c>
      <c r="CT19" s="33" t="s">
        <v>254</v>
      </c>
      <c r="CU19" s="33" t="s">
        <v>273</v>
      </c>
      <c r="CV19" s="33" t="s">
        <v>969</v>
      </c>
      <c r="CW19" s="33" t="s">
        <v>970</v>
      </c>
      <c r="CX19" s="33" t="s">
        <v>973</v>
      </c>
      <c r="CY19" s="33" t="s">
        <v>745</v>
      </c>
      <c r="CZ19" s="33" t="s">
        <v>974</v>
      </c>
      <c r="DA19" s="33" t="s">
        <v>975</v>
      </c>
      <c r="DB19" s="33" t="s">
        <v>740</v>
      </c>
      <c r="DC19" s="33" t="s">
        <v>635</v>
      </c>
      <c r="DD19" s="33" t="s">
        <v>976</v>
      </c>
      <c r="DE19" s="33" t="s">
        <v>977</v>
      </c>
      <c r="DF19" s="34" t="s">
        <v>978</v>
      </c>
      <c r="DG19" s="27" cm="1">
        <f t="array" ref="DG19">INDEX('elenco partner'!A:M,MATCH(1,(D19='elenco partner'!A:A)*('Partner data'!M19='elenco partner'!E:E),0),4)</f>
        <v>167</v>
      </c>
      <c r="DH19" s="83" t="str">
        <f t="shared" si="17"/>
        <v>Tasso Forfettario 20%</v>
      </c>
      <c r="DI19" s="20">
        <f>COUNTIFS('MY-REPORT-MAIN'!C:C,'Partner data'!DG19,'MY-REPORT-MAIN'!I:I,"Certified")</f>
        <v>0</v>
      </c>
      <c r="DJ19" s="20">
        <f>COUNTIFS(List_Of_chek_list!M:M,"&lt;&gt;26",List_Of_chek_list!B:B,'Partner data'!DG19)</f>
        <v>0</v>
      </c>
      <c r="DK19" s="20">
        <f t="shared" si="18"/>
        <v>0</v>
      </c>
      <c r="DL19" s="19" t="e">
        <f>IF(DH19="Tasso Forfettario 20%",SUMIFS(List_Of_chek_list!#REF!,List_Of_chek_list!B:B,'Partner data'!DG19),"NON PERTINENTE")</f>
        <v>#REF!</v>
      </c>
      <c r="DM19" s="19" t="e">
        <f t="shared" si="19"/>
        <v>#REF!</v>
      </c>
      <c r="DN19" s="110">
        <f>_xlfn.MAXIFS('MY-REPORT-MAIN'!K:K,'MY-REPORT-MAIN'!C:C,DG19)</f>
        <v>0</v>
      </c>
      <c r="DO19" s="112" t="str">
        <f>IF(_xlfn.MAXIFS('MY-REPORT-MAIN'!M:M,'MY-REPORT-MAIN'!C:C,DG19)=0,"Nessun rendiconto  Convalidato",_xlfn.MAXIFS('MY-REPORT-MAIN'!M:M,'MY-REPORT-MAIN'!C:C,DG19))</f>
        <v>Nessun rendiconto  Convalidato</v>
      </c>
      <c r="DP19" s="113" t="str" cm="1">
        <f t="array" ref="DP19">IFERROR(INDEX('MY-REPORT-MAIN'!A:Z,MATCH(1,(DO19='MY-REPORT-MAIN'!M:M)*('Partner data'!DG19='MY-REPORT-MAIN'!C:C),0),1),"NON è stato convalidato ancora nessun rendiconto")</f>
        <v>NON è stato convalidato ancora nessun rendiconto</v>
      </c>
      <c r="DQ19" s="111" t="str">
        <f>IFERROR(INDEX('MY-REPORT-MAIN'!A:Z,MATCH('Partner data'!DP19,'MY-REPORT-MAIN'!A:A,0),21),"Nessun Rendiconto ancora convalidato")</f>
        <v>Nessun Rendiconto ancora convalidato</v>
      </c>
      <c r="DR19" s="110">
        <f>INDEX('Interreg VI-A Italy-Slovenia_pr'!A:E,MATCH('Partner data'!C19,'Interreg VI-A Italy-Slovenia_pr'!A:A,0),3)</f>
        <v>45170</v>
      </c>
      <c r="DS19" s="118">
        <f t="shared" si="1"/>
        <v>24388.6</v>
      </c>
      <c r="DT19" s="118">
        <f t="shared" si="2"/>
        <v>59300.2</v>
      </c>
      <c r="DU19" s="118">
        <f t="shared" si="3"/>
        <v>103496.79999999999</v>
      </c>
      <c r="DV19" s="118">
        <f t="shared" si="4"/>
        <v>139027.4</v>
      </c>
      <c r="DW19" s="118">
        <f t="shared" si="5"/>
        <v>139027.4</v>
      </c>
      <c r="DX19" s="118">
        <f t="shared" si="6"/>
        <v>139027.4</v>
      </c>
      <c r="DY19" s="118">
        <f t="shared" si="7"/>
        <v>139027.4</v>
      </c>
      <c r="DZ19" s="118">
        <f t="shared" si="8"/>
        <v>139027.4</v>
      </c>
      <c r="EA19" s="118">
        <f t="shared" si="9"/>
        <v>139027.4</v>
      </c>
      <c r="EB19" s="118">
        <f t="shared" si="10"/>
        <v>139027.4</v>
      </c>
    </row>
    <row r="20" spans="1:132" x14ac:dyDescent="0.25">
      <c r="A20" s="28">
        <v>1</v>
      </c>
      <c r="B20" s="29" t="s">
        <v>487</v>
      </c>
      <c r="C20" s="30" t="s">
        <v>943</v>
      </c>
      <c r="D20" s="30" t="s">
        <v>283</v>
      </c>
      <c r="E20" s="30" t="s">
        <v>944</v>
      </c>
      <c r="F20" s="30" t="s">
        <v>593</v>
      </c>
      <c r="G20" s="30" t="s">
        <v>491</v>
      </c>
      <c r="H20" s="30" t="s">
        <v>691</v>
      </c>
      <c r="I20" s="30" t="s">
        <v>945</v>
      </c>
      <c r="J20" s="31" t="s">
        <v>538</v>
      </c>
      <c r="K20" s="31" t="s">
        <v>495</v>
      </c>
      <c r="L20" s="31" t="s">
        <v>519</v>
      </c>
      <c r="M20" s="31" t="s">
        <v>285</v>
      </c>
      <c r="N20" s="31" t="s">
        <v>979</v>
      </c>
      <c r="O20" s="31" t="s">
        <v>980</v>
      </c>
      <c r="P20" s="31" t="s">
        <v>257</v>
      </c>
      <c r="Q20" s="31" t="s">
        <v>556</v>
      </c>
      <c r="R20" s="31" t="s">
        <v>270</v>
      </c>
      <c r="S20" s="32">
        <v>104000</v>
      </c>
      <c r="T20" s="32">
        <v>80</v>
      </c>
      <c r="U20" s="32">
        <v>17.54</v>
      </c>
      <c r="V20" s="32">
        <v>0</v>
      </c>
      <c r="W20" s="32">
        <v>0</v>
      </c>
      <c r="X20" s="32">
        <v>0</v>
      </c>
      <c r="Y20" s="32">
        <v>0</v>
      </c>
      <c r="Z20" s="32">
        <v>0</v>
      </c>
      <c r="AA20" s="32">
        <v>0</v>
      </c>
      <c r="AB20" s="32">
        <v>0</v>
      </c>
      <c r="AC20" s="32">
        <v>0</v>
      </c>
      <c r="AD20" s="32">
        <v>0</v>
      </c>
      <c r="AE20" s="32">
        <v>0</v>
      </c>
      <c r="AF20" s="32">
        <v>0</v>
      </c>
      <c r="AG20" s="32">
        <v>0</v>
      </c>
      <c r="AH20" s="32">
        <v>0</v>
      </c>
      <c r="AI20" s="32">
        <v>0</v>
      </c>
      <c r="AJ20" s="32">
        <v>0</v>
      </c>
      <c r="AK20" s="32">
        <v>0</v>
      </c>
      <c r="AL20" s="32">
        <v>0</v>
      </c>
      <c r="AM20" s="32">
        <v>0</v>
      </c>
      <c r="AN20" s="32">
        <v>26000</v>
      </c>
      <c r="AO20" s="32">
        <v>0</v>
      </c>
      <c r="AP20" s="32">
        <v>0</v>
      </c>
      <c r="AQ20" s="32">
        <v>26000</v>
      </c>
      <c r="AR20" s="32">
        <v>130000</v>
      </c>
      <c r="AS20" s="32">
        <v>17.54</v>
      </c>
      <c r="AT20" s="32">
        <v>66000</v>
      </c>
      <c r="AU20" s="32">
        <v>0</v>
      </c>
      <c r="AV20" s="32">
        <v>66000</v>
      </c>
      <c r="AW20" s="32">
        <v>0</v>
      </c>
      <c r="AX20" s="32">
        <v>9900</v>
      </c>
      <c r="AY20" s="32">
        <v>9900</v>
      </c>
      <c r="AZ20" s="32">
        <v>2640</v>
      </c>
      <c r="BA20" s="32">
        <v>2640</v>
      </c>
      <c r="BB20" s="32">
        <v>0</v>
      </c>
      <c r="BC20" s="32">
        <v>0</v>
      </c>
      <c r="BD20" s="32">
        <v>43500</v>
      </c>
      <c r="BE20" s="32">
        <v>43500</v>
      </c>
      <c r="BF20" s="32">
        <v>0</v>
      </c>
      <c r="BG20" s="32">
        <v>7960</v>
      </c>
      <c r="BH20" s="32">
        <v>7960</v>
      </c>
      <c r="BI20" s="32">
        <v>0</v>
      </c>
      <c r="BJ20" s="32">
        <v>0</v>
      </c>
      <c r="BK20" s="32">
        <v>0</v>
      </c>
      <c r="BL20" s="32">
        <v>0</v>
      </c>
      <c r="BM20" s="32">
        <v>0</v>
      </c>
      <c r="BN20" s="32">
        <v>0</v>
      </c>
      <c r="BO20" s="32">
        <v>0</v>
      </c>
      <c r="BP20" s="32">
        <v>0</v>
      </c>
      <c r="BQ20" s="32">
        <v>36270</v>
      </c>
      <c r="BR20" s="32">
        <v>30910</v>
      </c>
      <c r="BS20" s="32">
        <v>39410</v>
      </c>
      <c r="BT20" s="32">
        <v>23410</v>
      </c>
      <c r="BU20" s="32">
        <v>0</v>
      </c>
      <c r="BV20" s="32">
        <v>0</v>
      </c>
      <c r="BW20" s="32">
        <v>0</v>
      </c>
      <c r="BX20" s="32">
        <v>0</v>
      </c>
      <c r="BY20" s="32">
        <v>0</v>
      </c>
      <c r="BZ20" s="32">
        <v>0</v>
      </c>
      <c r="CA20" s="32">
        <v>0</v>
      </c>
      <c r="CB20" s="33" t="s">
        <v>981</v>
      </c>
      <c r="CC20" s="33" t="s">
        <v>500</v>
      </c>
      <c r="CD20" s="33"/>
      <c r="CE20" s="33" t="s">
        <v>523</v>
      </c>
      <c r="CF20" s="33" t="s">
        <v>967</v>
      </c>
      <c r="CG20" s="33" t="s">
        <v>982</v>
      </c>
      <c r="CH20" s="33" t="s">
        <v>526</v>
      </c>
      <c r="CI20" s="33" t="s">
        <v>983</v>
      </c>
      <c r="CJ20" s="33" t="s">
        <v>212</v>
      </c>
      <c r="CK20" s="33" t="s">
        <v>984</v>
      </c>
      <c r="CL20" s="33" t="s">
        <v>212</v>
      </c>
      <c r="CM20" s="33"/>
      <c r="CN20" s="33" t="s">
        <v>257</v>
      </c>
      <c r="CO20" s="33" t="s">
        <v>270</v>
      </c>
      <c r="CP20" s="33" t="s">
        <v>985</v>
      </c>
      <c r="CQ20" s="33" t="s">
        <v>986</v>
      </c>
      <c r="CR20" s="33" t="s">
        <v>987</v>
      </c>
      <c r="CS20" s="33" t="s">
        <v>988</v>
      </c>
      <c r="CT20" s="33" t="s">
        <v>257</v>
      </c>
      <c r="CU20" s="33" t="s">
        <v>270</v>
      </c>
      <c r="CV20" s="33" t="s">
        <v>985</v>
      </c>
      <c r="CW20" s="33" t="s">
        <v>989</v>
      </c>
      <c r="CX20" s="33" t="s">
        <v>987</v>
      </c>
      <c r="CY20" s="33" t="s">
        <v>990</v>
      </c>
      <c r="CZ20" s="33" t="s">
        <v>991</v>
      </c>
      <c r="DA20" s="33" t="s">
        <v>992</v>
      </c>
      <c r="DB20" s="33" t="s">
        <v>993</v>
      </c>
      <c r="DC20" s="33" t="s">
        <v>994</v>
      </c>
      <c r="DD20" s="33" t="s">
        <v>995</v>
      </c>
      <c r="DE20" s="33" t="s">
        <v>996</v>
      </c>
      <c r="DF20" s="34" t="s">
        <v>997</v>
      </c>
      <c r="DG20" s="27" cm="1">
        <f t="array" ref="DG20">INDEX('elenco partner'!A:M,MATCH(1,(D20='elenco partner'!A:A)*('Partner data'!M20='elenco partner'!E:E),0),4)</f>
        <v>197</v>
      </c>
      <c r="DH20" s="83" t="str">
        <f t="shared" si="17"/>
        <v>COSTO REALE</v>
      </c>
      <c r="DI20" s="20">
        <f>COUNTIFS('MY-REPORT-MAIN'!C:C,'Partner data'!DG20,'MY-REPORT-MAIN'!I:I,"Certified")</f>
        <v>1</v>
      </c>
      <c r="DJ20" s="20">
        <f>COUNTIFS(List_Of_chek_list!M:M,"&lt;&gt;26",List_Of_chek_list!B:B,'Partner data'!DG20)</f>
        <v>1</v>
      </c>
      <c r="DK20" s="20">
        <f t="shared" si="18"/>
        <v>0</v>
      </c>
      <c r="DL20" s="19" t="str">
        <f>IF(DH20="Tasso Forfettario 20%",SUMIFS(List_Of_chek_list!#REF!,List_Of_chek_list!B:B,'Partner data'!DG20),"NON PERTINENTE")</f>
        <v>NON PERTINENTE</v>
      </c>
      <c r="DM20" s="19" t="str">
        <f t="shared" si="19"/>
        <v>NON PERTINENTE</v>
      </c>
      <c r="DN20" s="110">
        <f>_xlfn.MAXIFS('MY-REPORT-MAIN'!K:K,'MY-REPORT-MAIN'!C:C,DG20)</f>
        <v>45378.363702129631</v>
      </c>
      <c r="DO20" s="112">
        <f>IF(_xlfn.MAXIFS('MY-REPORT-MAIN'!M:M,'MY-REPORT-MAIN'!C:C,DG20)=0,"Nessun rendiconto  Convalidato",_xlfn.MAXIFS('MY-REPORT-MAIN'!M:M,'MY-REPORT-MAIN'!C:C,DG20))</f>
        <v>45421.348429976853</v>
      </c>
      <c r="DP20" s="113" cm="1">
        <f t="array" ref="DP20">IFERROR(INDEX('MY-REPORT-MAIN'!A:Z,MATCH(1,(DO20='MY-REPORT-MAIN'!M:M)*('Partner data'!DG20='MY-REPORT-MAIN'!C:C),0),1),"NON è stato convalidato ancora nessun rendiconto")</f>
        <v>219</v>
      </c>
      <c r="DQ20" s="111">
        <f>IFERROR(INDEX('MY-REPORT-MAIN'!A:Z,MATCH('Partner data'!DP20,'MY-REPORT-MAIN'!A:A,0),21),"Nessun Rendiconto ancora convalidato")</f>
        <v>17832</v>
      </c>
      <c r="DR20" s="110">
        <f>INDEX('Interreg VI-A Italy-Slovenia_pr'!A:E,MATCH('Partner data'!C20,'Interreg VI-A Italy-Slovenia_pr'!A:A,0),3)</f>
        <v>45170</v>
      </c>
      <c r="DS20" s="118">
        <f t="shared" si="1"/>
        <v>36270</v>
      </c>
      <c r="DT20" s="118">
        <f t="shared" si="2"/>
        <v>67180</v>
      </c>
      <c r="DU20" s="118">
        <f t="shared" si="3"/>
        <v>106590</v>
      </c>
      <c r="DV20" s="118">
        <f t="shared" si="4"/>
        <v>130000</v>
      </c>
      <c r="DW20" s="118">
        <f t="shared" si="5"/>
        <v>130000</v>
      </c>
      <c r="DX20" s="118">
        <f t="shared" si="6"/>
        <v>130000</v>
      </c>
      <c r="DY20" s="118">
        <f t="shared" si="7"/>
        <v>130000</v>
      </c>
      <c r="DZ20" s="118">
        <f t="shared" si="8"/>
        <v>130000</v>
      </c>
      <c r="EA20" s="118">
        <f t="shared" si="9"/>
        <v>130000</v>
      </c>
      <c r="EB20" s="118">
        <f t="shared" si="10"/>
        <v>130000</v>
      </c>
    </row>
    <row r="21" spans="1:132" x14ac:dyDescent="0.25">
      <c r="A21" s="28">
        <v>1</v>
      </c>
      <c r="B21" s="29" t="s">
        <v>487</v>
      </c>
      <c r="C21" s="30" t="s">
        <v>943</v>
      </c>
      <c r="D21" s="30" t="s">
        <v>283</v>
      </c>
      <c r="E21" s="30" t="s">
        <v>944</v>
      </c>
      <c r="F21" s="30" t="s">
        <v>593</v>
      </c>
      <c r="G21" s="30" t="s">
        <v>491</v>
      </c>
      <c r="H21" s="30" t="s">
        <v>691</v>
      </c>
      <c r="I21" s="30" t="s">
        <v>945</v>
      </c>
      <c r="J21" s="31" t="s">
        <v>554</v>
      </c>
      <c r="K21" s="31" t="s">
        <v>495</v>
      </c>
      <c r="L21" s="31" t="s">
        <v>519</v>
      </c>
      <c r="M21" s="31" t="s">
        <v>286</v>
      </c>
      <c r="N21" s="31" t="s">
        <v>998</v>
      </c>
      <c r="O21" s="31" t="s">
        <v>999</v>
      </c>
      <c r="P21" s="31" t="s">
        <v>254</v>
      </c>
      <c r="Q21" s="31" t="s">
        <v>499</v>
      </c>
      <c r="R21" s="31" t="s">
        <v>273</v>
      </c>
      <c r="S21" s="32">
        <v>112591.8</v>
      </c>
      <c r="T21" s="32">
        <v>80</v>
      </c>
      <c r="U21" s="32">
        <v>18.989999999999998</v>
      </c>
      <c r="V21" s="32">
        <v>0</v>
      </c>
      <c r="W21" s="32">
        <v>0</v>
      </c>
      <c r="X21" s="32">
        <v>0</v>
      </c>
      <c r="Y21" s="32">
        <v>0</v>
      </c>
      <c r="Z21" s="32">
        <v>0</v>
      </c>
      <c r="AA21" s="32">
        <v>0</v>
      </c>
      <c r="AB21" s="32">
        <v>0</v>
      </c>
      <c r="AC21" s="32">
        <v>0</v>
      </c>
      <c r="AD21" s="32">
        <v>0</v>
      </c>
      <c r="AE21" s="32">
        <v>0</v>
      </c>
      <c r="AF21" s="32">
        <v>0</v>
      </c>
      <c r="AG21" s="32">
        <v>0</v>
      </c>
      <c r="AH21" s="32">
        <v>0</v>
      </c>
      <c r="AI21" s="32">
        <v>0</v>
      </c>
      <c r="AJ21" s="32">
        <v>0</v>
      </c>
      <c r="AK21" s="32">
        <v>0</v>
      </c>
      <c r="AL21" s="32">
        <v>0</v>
      </c>
      <c r="AM21" s="32">
        <v>0</v>
      </c>
      <c r="AN21" s="32">
        <v>0</v>
      </c>
      <c r="AO21" s="32">
        <v>28147.96</v>
      </c>
      <c r="AP21" s="32">
        <v>0</v>
      </c>
      <c r="AQ21" s="32">
        <v>28147.96</v>
      </c>
      <c r="AR21" s="32">
        <v>140739.76</v>
      </c>
      <c r="AS21" s="32">
        <v>18.989999999999998</v>
      </c>
      <c r="AT21" s="32">
        <v>100528.4</v>
      </c>
      <c r="AU21" s="32">
        <v>0</v>
      </c>
      <c r="AV21" s="32">
        <v>100528.4</v>
      </c>
      <c r="AW21" s="32">
        <v>0</v>
      </c>
      <c r="AX21" s="32">
        <v>0</v>
      </c>
      <c r="AY21" s="32">
        <v>0</v>
      </c>
      <c r="AZ21" s="32">
        <v>0</v>
      </c>
      <c r="BA21" s="32">
        <v>0</v>
      </c>
      <c r="BB21" s="32">
        <v>0</v>
      </c>
      <c r="BC21" s="32">
        <v>0</v>
      </c>
      <c r="BD21" s="32">
        <v>0</v>
      </c>
      <c r="BE21" s="32">
        <v>0</v>
      </c>
      <c r="BF21" s="32">
        <v>0</v>
      </c>
      <c r="BG21" s="32">
        <v>0</v>
      </c>
      <c r="BH21" s="32">
        <v>0</v>
      </c>
      <c r="BI21" s="32">
        <v>0</v>
      </c>
      <c r="BJ21" s="32">
        <v>0</v>
      </c>
      <c r="BK21" s="32">
        <v>0</v>
      </c>
      <c r="BL21" s="32">
        <v>0</v>
      </c>
      <c r="BM21" s="32">
        <v>40211.360000000001</v>
      </c>
      <c r="BN21" s="32">
        <v>0</v>
      </c>
      <c r="BO21" s="32">
        <v>0</v>
      </c>
      <c r="BP21" s="32">
        <v>0</v>
      </c>
      <c r="BQ21" s="32">
        <v>21736.26</v>
      </c>
      <c r="BR21" s="32">
        <v>48633.62</v>
      </c>
      <c r="BS21" s="32">
        <v>48633.62</v>
      </c>
      <c r="BT21" s="32">
        <v>21736.26</v>
      </c>
      <c r="BU21" s="32">
        <v>0</v>
      </c>
      <c r="BV21" s="32">
        <v>0</v>
      </c>
      <c r="BW21" s="32">
        <v>0</v>
      </c>
      <c r="BX21" s="32">
        <v>0</v>
      </c>
      <c r="BY21" s="32">
        <v>0</v>
      </c>
      <c r="BZ21" s="32">
        <v>0</v>
      </c>
      <c r="CA21" s="32">
        <v>0</v>
      </c>
      <c r="CB21" s="33" t="s">
        <v>1000</v>
      </c>
      <c r="CC21" s="33" t="s">
        <v>624</v>
      </c>
      <c r="CD21" s="33"/>
      <c r="CE21" s="33" t="s">
        <v>523</v>
      </c>
      <c r="CF21" s="33" t="s">
        <v>645</v>
      </c>
      <c r="CG21" s="33" t="s">
        <v>681</v>
      </c>
      <c r="CH21" s="33" t="s">
        <v>526</v>
      </c>
      <c r="CI21" s="33"/>
      <c r="CJ21" s="33" t="s">
        <v>212</v>
      </c>
      <c r="CK21" s="33" t="s">
        <v>660</v>
      </c>
      <c r="CL21" s="33" t="s">
        <v>212</v>
      </c>
      <c r="CM21" s="33"/>
      <c r="CN21" s="33" t="s">
        <v>254</v>
      </c>
      <c r="CO21" s="33" t="s">
        <v>273</v>
      </c>
      <c r="CP21" s="33" t="s">
        <v>1001</v>
      </c>
      <c r="CQ21" s="33" t="s">
        <v>661</v>
      </c>
      <c r="CR21" s="33" t="s">
        <v>662</v>
      </c>
      <c r="CS21" s="33" t="s">
        <v>1002</v>
      </c>
      <c r="CT21" s="33" t="s">
        <v>254</v>
      </c>
      <c r="CU21" s="33" t="s">
        <v>273</v>
      </c>
      <c r="CV21" s="33" t="s">
        <v>1001</v>
      </c>
      <c r="CW21" s="33" t="s">
        <v>661</v>
      </c>
      <c r="CX21" s="33" t="s">
        <v>662</v>
      </c>
      <c r="CY21" s="33" t="s">
        <v>1003</v>
      </c>
      <c r="CZ21" s="33" t="s">
        <v>1004</v>
      </c>
      <c r="DA21" s="33" t="s">
        <v>1005</v>
      </c>
      <c r="DB21" s="33" t="s">
        <v>1006</v>
      </c>
      <c r="DC21" s="33" t="s">
        <v>1007</v>
      </c>
      <c r="DD21" s="33" t="s">
        <v>1008</v>
      </c>
      <c r="DE21" s="33" t="s">
        <v>1009</v>
      </c>
      <c r="DF21" s="34" t="s">
        <v>1010</v>
      </c>
      <c r="DG21" s="27" cm="1">
        <f t="array" ref="DG21">INDEX('elenco partner'!A:M,MATCH(1,(D21='elenco partner'!A:A)*('Partner data'!M21='elenco partner'!E:E),0),4)</f>
        <v>198</v>
      </c>
      <c r="DH21" s="83" t="str">
        <f t="shared" si="17"/>
        <v>COSTO REALE</v>
      </c>
      <c r="DI21" s="20">
        <f>COUNTIFS('MY-REPORT-MAIN'!C:C,'Partner data'!DG21,'MY-REPORT-MAIN'!I:I,"Certified")</f>
        <v>1</v>
      </c>
      <c r="DJ21" s="20">
        <f>COUNTIFS(List_Of_chek_list!M:M,"&lt;&gt;26",List_Of_chek_list!B:B,'Partner data'!DG21)</f>
        <v>1</v>
      </c>
      <c r="DK21" s="20">
        <f t="shared" si="18"/>
        <v>0</v>
      </c>
      <c r="DL21" s="19" t="str">
        <f>IF(DH21="Tasso Forfettario 20%",SUMIFS(List_Of_chek_list!#REF!,List_Of_chek_list!B:B,'Partner data'!DG21),"NON PERTINENTE")</f>
        <v>NON PERTINENTE</v>
      </c>
      <c r="DM21" s="19" t="str">
        <f t="shared" si="19"/>
        <v>NON PERTINENTE</v>
      </c>
      <c r="DN21" s="110">
        <f>_xlfn.MAXIFS('MY-REPORT-MAIN'!K:K,'MY-REPORT-MAIN'!C:C,DG21)</f>
        <v>45378.710798668981</v>
      </c>
      <c r="DO21" s="112">
        <f>IF(_xlfn.MAXIFS('MY-REPORT-MAIN'!M:M,'MY-REPORT-MAIN'!C:C,DG21)=0,"Nessun rendiconto  Convalidato",_xlfn.MAXIFS('MY-REPORT-MAIN'!M:M,'MY-REPORT-MAIN'!C:C,DG21))</f>
        <v>45427.53624778935</v>
      </c>
      <c r="DP21" s="113" cm="1">
        <f t="array" ref="DP21">IFERROR(INDEX('MY-REPORT-MAIN'!A:Z,MATCH(1,(DO21='MY-REPORT-MAIN'!M:M)*('Partner data'!DG21='MY-REPORT-MAIN'!C:C),0),1),"NON è stato convalidato ancora nessun rendiconto")</f>
        <v>149</v>
      </c>
      <c r="DQ21" s="111">
        <f>IFERROR(INDEX('MY-REPORT-MAIN'!A:Z,MATCH('Partner data'!DP21,'MY-REPORT-MAIN'!A:A,0),21),"Nessun Rendiconto ancora convalidato")</f>
        <v>19119.45</v>
      </c>
      <c r="DR21" s="110">
        <f>INDEX('Interreg VI-A Italy-Slovenia_pr'!A:E,MATCH('Partner data'!C21,'Interreg VI-A Italy-Slovenia_pr'!A:A,0),3)</f>
        <v>45170</v>
      </c>
      <c r="DS21" s="118">
        <f t="shared" si="1"/>
        <v>21736.26</v>
      </c>
      <c r="DT21" s="118">
        <f t="shared" si="2"/>
        <v>70369.88</v>
      </c>
      <c r="DU21" s="118">
        <f t="shared" si="3"/>
        <v>119003.5</v>
      </c>
      <c r="DV21" s="118">
        <f t="shared" si="4"/>
        <v>140739.76</v>
      </c>
      <c r="DW21" s="118">
        <f t="shared" si="5"/>
        <v>140739.76</v>
      </c>
      <c r="DX21" s="118">
        <f t="shared" si="6"/>
        <v>140739.76</v>
      </c>
      <c r="DY21" s="118">
        <f t="shared" si="7"/>
        <v>140739.76</v>
      </c>
      <c r="DZ21" s="118">
        <f t="shared" si="8"/>
        <v>140739.76</v>
      </c>
      <c r="EA21" s="118">
        <f t="shared" si="9"/>
        <v>140739.76</v>
      </c>
      <c r="EB21" s="118">
        <f t="shared" si="10"/>
        <v>140739.76</v>
      </c>
    </row>
    <row r="22" spans="1:132" x14ac:dyDescent="0.25">
      <c r="A22" s="28">
        <v>1</v>
      </c>
      <c r="B22" s="29" t="s">
        <v>487</v>
      </c>
      <c r="C22" s="30" t="s">
        <v>943</v>
      </c>
      <c r="D22" s="30" t="s">
        <v>283</v>
      </c>
      <c r="E22" s="30" t="s">
        <v>944</v>
      </c>
      <c r="F22" s="30" t="s">
        <v>593</v>
      </c>
      <c r="G22" s="30" t="s">
        <v>491</v>
      </c>
      <c r="H22" s="30" t="s">
        <v>691</v>
      </c>
      <c r="I22" s="30" t="s">
        <v>945</v>
      </c>
      <c r="J22" s="31" t="s">
        <v>570</v>
      </c>
      <c r="K22" s="31" t="s">
        <v>495</v>
      </c>
      <c r="L22" s="31" t="s">
        <v>519</v>
      </c>
      <c r="M22" s="31" t="s">
        <v>287</v>
      </c>
      <c r="N22" s="31" t="s">
        <v>1011</v>
      </c>
      <c r="O22" s="31" t="s">
        <v>1012</v>
      </c>
      <c r="P22" s="31" t="s">
        <v>257</v>
      </c>
      <c r="Q22" s="31" t="s">
        <v>556</v>
      </c>
      <c r="R22" s="31" t="s">
        <v>270</v>
      </c>
      <c r="S22" s="32">
        <v>112145.60000000001</v>
      </c>
      <c r="T22" s="32">
        <v>80</v>
      </c>
      <c r="U22" s="32">
        <v>18.91</v>
      </c>
      <c r="V22" s="32">
        <v>0</v>
      </c>
      <c r="W22" s="32">
        <v>0</v>
      </c>
      <c r="X22" s="32">
        <v>0</v>
      </c>
      <c r="Y22" s="32">
        <v>0</v>
      </c>
      <c r="Z22" s="32">
        <v>0</v>
      </c>
      <c r="AA22" s="32">
        <v>0</v>
      </c>
      <c r="AB22" s="32">
        <v>0</v>
      </c>
      <c r="AC22" s="32">
        <v>0</v>
      </c>
      <c r="AD22" s="32">
        <v>0</v>
      </c>
      <c r="AE22" s="32">
        <v>0</v>
      </c>
      <c r="AF22" s="32">
        <v>0</v>
      </c>
      <c r="AG22" s="32">
        <v>0</v>
      </c>
      <c r="AH22" s="32">
        <v>0</v>
      </c>
      <c r="AI22" s="32">
        <v>0</v>
      </c>
      <c r="AJ22" s="32">
        <v>0</v>
      </c>
      <c r="AK22" s="32">
        <v>0</v>
      </c>
      <c r="AL22" s="32">
        <v>0</v>
      </c>
      <c r="AM22" s="32">
        <v>0</v>
      </c>
      <c r="AN22" s="32">
        <v>28036.400000000001</v>
      </c>
      <c r="AO22" s="32">
        <v>0</v>
      </c>
      <c r="AP22" s="32">
        <v>0</v>
      </c>
      <c r="AQ22" s="32">
        <v>28036.400000000001</v>
      </c>
      <c r="AR22" s="32">
        <v>140182</v>
      </c>
      <c r="AS22" s="32">
        <v>18.91</v>
      </c>
      <c r="AT22" s="32">
        <v>100130</v>
      </c>
      <c r="AU22" s="32">
        <v>0</v>
      </c>
      <c r="AV22" s="32">
        <v>100130</v>
      </c>
      <c r="AW22" s="32">
        <v>0</v>
      </c>
      <c r="AX22" s="32">
        <v>0</v>
      </c>
      <c r="AY22" s="32">
        <v>0</v>
      </c>
      <c r="AZ22" s="32">
        <v>0</v>
      </c>
      <c r="BA22" s="32">
        <v>0</v>
      </c>
      <c r="BB22" s="32">
        <v>0</v>
      </c>
      <c r="BC22" s="32">
        <v>0</v>
      </c>
      <c r="BD22" s="32">
        <v>0</v>
      </c>
      <c r="BE22" s="32">
        <v>0</v>
      </c>
      <c r="BF22" s="32">
        <v>0</v>
      </c>
      <c r="BG22" s="32">
        <v>0</v>
      </c>
      <c r="BH22" s="32">
        <v>0</v>
      </c>
      <c r="BI22" s="32">
        <v>0</v>
      </c>
      <c r="BJ22" s="32">
        <v>0</v>
      </c>
      <c r="BK22" s="32">
        <v>0</v>
      </c>
      <c r="BL22" s="32">
        <v>0</v>
      </c>
      <c r="BM22" s="32">
        <v>40052</v>
      </c>
      <c r="BN22" s="32">
        <v>0</v>
      </c>
      <c r="BO22" s="32">
        <v>0</v>
      </c>
      <c r="BP22" s="32">
        <v>0</v>
      </c>
      <c r="BQ22" s="32">
        <v>28619.5</v>
      </c>
      <c r="BR22" s="32">
        <v>37187.5</v>
      </c>
      <c r="BS22" s="32">
        <v>37187.5</v>
      </c>
      <c r="BT22" s="32">
        <v>37187.5</v>
      </c>
      <c r="BU22" s="32">
        <v>0</v>
      </c>
      <c r="BV22" s="32">
        <v>0</v>
      </c>
      <c r="BW22" s="32">
        <v>0</v>
      </c>
      <c r="BX22" s="32">
        <v>0</v>
      </c>
      <c r="BY22" s="32">
        <v>0</v>
      </c>
      <c r="BZ22" s="32">
        <v>0</v>
      </c>
      <c r="CA22" s="32">
        <v>0</v>
      </c>
      <c r="CB22" s="33" t="s">
        <v>1013</v>
      </c>
      <c r="CC22" s="33" t="s">
        <v>624</v>
      </c>
      <c r="CD22" s="33"/>
      <c r="CE22" s="33" t="s">
        <v>684</v>
      </c>
      <c r="CF22" s="33" t="s">
        <v>645</v>
      </c>
      <c r="CG22" s="33" t="s">
        <v>714</v>
      </c>
      <c r="CH22" s="33" t="s">
        <v>526</v>
      </c>
      <c r="CI22" s="33"/>
      <c r="CJ22" s="33" t="s">
        <v>1014</v>
      </c>
      <c r="CK22" s="33"/>
      <c r="CL22" s="33" t="s">
        <v>212</v>
      </c>
      <c r="CM22" s="33"/>
      <c r="CN22" s="33" t="s">
        <v>257</v>
      </c>
      <c r="CO22" s="33" t="s">
        <v>270</v>
      </c>
      <c r="CP22" s="33" t="s">
        <v>1015</v>
      </c>
      <c r="CQ22" s="33" t="s">
        <v>1016</v>
      </c>
      <c r="CR22" s="33" t="s">
        <v>650</v>
      </c>
      <c r="CS22" s="33" t="s">
        <v>1017</v>
      </c>
      <c r="CT22" s="33" t="s">
        <v>257</v>
      </c>
      <c r="CU22" s="33" t="s">
        <v>270</v>
      </c>
      <c r="CV22" s="33" t="s">
        <v>1018</v>
      </c>
      <c r="CW22" s="33" t="s">
        <v>1019</v>
      </c>
      <c r="CX22" s="33" t="s">
        <v>1020</v>
      </c>
      <c r="CY22" s="33" t="s">
        <v>745</v>
      </c>
      <c r="CZ22" s="33" t="s">
        <v>719</v>
      </c>
      <c r="DA22" s="33" t="s">
        <v>720</v>
      </c>
      <c r="DB22" s="33" t="s">
        <v>1006</v>
      </c>
      <c r="DC22" s="33" t="s">
        <v>1021</v>
      </c>
      <c r="DD22" s="33" t="s">
        <v>1022</v>
      </c>
      <c r="DE22" s="33" t="s">
        <v>1023</v>
      </c>
      <c r="DF22" s="34" t="s">
        <v>1024</v>
      </c>
      <c r="DG22" s="27" cm="1">
        <f t="array" ref="DG22">INDEX('elenco partner'!A:M,MATCH(1,(D22='elenco partner'!A:A)*('Partner data'!M22='elenco partner'!E:E),0),4)</f>
        <v>199</v>
      </c>
      <c r="DH22" s="83" t="str">
        <f t="shared" si="17"/>
        <v>COSTO REALE</v>
      </c>
      <c r="DI22" s="20">
        <f>COUNTIFS('MY-REPORT-MAIN'!C:C,'Partner data'!DG22,'MY-REPORT-MAIN'!I:I,"Certified")</f>
        <v>1</v>
      </c>
      <c r="DJ22" s="20">
        <f>COUNTIFS(List_Of_chek_list!M:M,"&lt;&gt;26",List_Of_chek_list!B:B,'Partner data'!DG22)</f>
        <v>1</v>
      </c>
      <c r="DK22" s="20">
        <f t="shared" si="18"/>
        <v>0</v>
      </c>
      <c r="DL22" s="19" t="str">
        <f>IF(DH22="Tasso Forfettario 20%",SUMIFS(List_Of_chek_list!#REF!,List_Of_chek_list!B:B,'Partner data'!DG22),"NON PERTINENTE")</f>
        <v>NON PERTINENTE</v>
      </c>
      <c r="DM22" s="19" t="str">
        <f t="shared" si="19"/>
        <v>NON PERTINENTE</v>
      </c>
      <c r="DN22" s="110">
        <f>_xlfn.MAXIFS('MY-REPORT-MAIN'!K:K,'MY-REPORT-MAIN'!C:C,DG22)</f>
        <v>45385.381268356483</v>
      </c>
      <c r="DO22" s="112">
        <f>IF(_xlfn.MAXIFS('MY-REPORT-MAIN'!M:M,'MY-REPORT-MAIN'!C:C,DG22)=0,"Nessun rendiconto  Convalidato",_xlfn.MAXIFS('MY-REPORT-MAIN'!M:M,'MY-REPORT-MAIN'!C:C,DG22))</f>
        <v>45462.333881180559</v>
      </c>
      <c r="DP22" s="113" cm="1">
        <f t="array" ref="DP22">IFERROR(INDEX('MY-REPORT-MAIN'!A:Z,MATCH(1,(DO22='MY-REPORT-MAIN'!M:M)*('Partner data'!DG22='MY-REPORT-MAIN'!C:C),0),1),"NON è stato convalidato ancora nessun rendiconto")</f>
        <v>286</v>
      </c>
      <c r="DQ22" s="111">
        <f>IFERROR(INDEX('MY-REPORT-MAIN'!A:Z,MATCH('Partner data'!DP22,'MY-REPORT-MAIN'!A:A,0),21),"Nessun Rendiconto ancora convalidato")</f>
        <v>16898.560000000001</v>
      </c>
      <c r="DR22" s="110">
        <f>INDEX('Interreg VI-A Italy-Slovenia_pr'!A:E,MATCH('Partner data'!C22,'Interreg VI-A Italy-Slovenia_pr'!A:A,0),3)</f>
        <v>45170</v>
      </c>
      <c r="DS22" s="118">
        <f t="shared" si="1"/>
        <v>28619.5</v>
      </c>
      <c r="DT22" s="118">
        <f t="shared" si="2"/>
        <v>65807</v>
      </c>
      <c r="DU22" s="118">
        <f t="shared" si="3"/>
        <v>102994.5</v>
      </c>
      <c r="DV22" s="118">
        <f t="shared" si="4"/>
        <v>140182</v>
      </c>
      <c r="DW22" s="118">
        <f t="shared" si="5"/>
        <v>140182</v>
      </c>
      <c r="DX22" s="118">
        <f t="shared" si="6"/>
        <v>140182</v>
      </c>
      <c r="DY22" s="118">
        <f t="shared" si="7"/>
        <v>140182</v>
      </c>
      <c r="DZ22" s="118">
        <f t="shared" si="8"/>
        <v>140182</v>
      </c>
      <c r="EA22" s="118">
        <f t="shared" si="9"/>
        <v>140182</v>
      </c>
      <c r="EB22" s="118">
        <f t="shared" si="10"/>
        <v>140182</v>
      </c>
    </row>
    <row r="23" spans="1:132" x14ac:dyDescent="0.25">
      <c r="A23" s="28">
        <v>1</v>
      </c>
      <c r="B23" s="29" t="s">
        <v>487</v>
      </c>
      <c r="C23" s="30" t="s">
        <v>1041</v>
      </c>
      <c r="D23" s="30" t="s">
        <v>288</v>
      </c>
      <c r="E23" s="30" t="s">
        <v>1042</v>
      </c>
      <c r="F23" s="30" t="s">
        <v>1043</v>
      </c>
      <c r="G23" s="30" t="s">
        <v>491</v>
      </c>
      <c r="H23" s="30" t="s">
        <v>691</v>
      </c>
      <c r="I23" s="30" t="s">
        <v>1044</v>
      </c>
      <c r="J23" s="31" t="s">
        <v>494</v>
      </c>
      <c r="K23" s="31" t="s">
        <v>495</v>
      </c>
      <c r="L23" s="31" t="s">
        <v>496</v>
      </c>
      <c r="M23" s="31" t="s">
        <v>286</v>
      </c>
      <c r="N23" s="31" t="s">
        <v>1045</v>
      </c>
      <c r="O23" s="31" t="s">
        <v>658</v>
      </c>
      <c r="P23" s="31" t="s">
        <v>254</v>
      </c>
      <c r="Q23" s="31" t="s">
        <v>499</v>
      </c>
      <c r="R23" s="31" t="s">
        <v>273</v>
      </c>
      <c r="S23" s="32">
        <v>127163.2</v>
      </c>
      <c r="T23" s="32">
        <v>80</v>
      </c>
      <c r="U23" s="32">
        <v>25.75</v>
      </c>
      <c r="V23" s="32">
        <v>0</v>
      </c>
      <c r="W23" s="32">
        <v>0</v>
      </c>
      <c r="X23" s="32">
        <v>0</v>
      </c>
      <c r="Y23" s="32">
        <v>0</v>
      </c>
      <c r="Z23" s="32">
        <v>0</v>
      </c>
      <c r="AA23" s="32">
        <v>0</v>
      </c>
      <c r="AB23" s="32">
        <v>0</v>
      </c>
      <c r="AC23" s="32">
        <v>0</v>
      </c>
      <c r="AD23" s="32">
        <v>0</v>
      </c>
      <c r="AE23" s="32">
        <v>0</v>
      </c>
      <c r="AF23" s="32">
        <v>0</v>
      </c>
      <c r="AG23" s="32">
        <v>0</v>
      </c>
      <c r="AH23" s="32">
        <v>0</v>
      </c>
      <c r="AI23" s="32">
        <v>0</v>
      </c>
      <c r="AJ23" s="32">
        <v>0</v>
      </c>
      <c r="AK23" s="32">
        <v>0</v>
      </c>
      <c r="AL23" s="32">
        <v>0</v>
      </c>
      <c r="AM23" s="32">
        <v>0</v>
      </c>
      <c r="AN23" s="32">
        <v>0</v>
      </c>
      <c r="AO23" s="32">
        <v>31790.799999999999</v>
      </c>
      <c r="AP23" s="32">
        <v>0</v>
      </c>
      <c r="AQ23" s="32">
        <v>31790.799999999999</v>
      </c>
      <c r="AR23" s="32">
        <v>158954</v>
      </c>
      <c r="AS23" s="32">
        <v>25.75</v>
      </c>
      <c r="AT23" s="32">
        <v>96600</v>
      </c>
      <c r="AU23" s="32">
        <v>0</v>
      </c>
      <c r="AV23" s="32">
        <v>0</v>
      </c>
      <c r="AW23" s="32">
        <v>96600</v>
      </c>
      <c r="AX23" s="32">
        <v>14490</v>
      </c>
      <c r="AY23" s="32">
        <v>14490</v>
      </c>
      <c r="AZ23" s="32">
        <v>3864</v>
      </c>
      <c r="BA23" s="32">
        <v>3864</v>
      </c>
      <c r="BB23" s="32">
        <v>0</v>
      </c>
      <c r="BC23" s="32">
        <v>0</v>
      </c>
      <c r="BD23" s="32">
        <v>35000</v>
      </c>
      <c r="BE23" s="32">
        <v>35000</v>
      </c>
      <c r="BF23" s="32">
        <v>0</v>
      </c>
      <c r="BG23" s="32">
        <v>0</v>
      </c>
      <c r="BH23" s="32">
        <v>0</v>
      </c>
      <c r="BI23" s="32">
        <v>0</v>
      </c>
      <c r="BJ23" s="32">
        <v>0</v>
      </c>
      <c r="BK23" s="32">
        <v>0</v>
      </c>
      <c r="BL23" s="32">
        <v>0</v>
      </c>
      <c r="BM23" s="32">
        <v>0</v>
      </c>
      <c r="BN23" s="32">
        <v>0</v>
      </c>
      <c r="BO23" s="32">
        <v>9000</v>
      </c>
      <c r="BP23" s="32">
        <v>9000</v>
      </c>
      <c r="BQ23" s="32">
        <v>23672.6</v>
      </c>
      <c r="BR23" s="32">
        <v>51304.4</v>
      </c>
      <c r="BS23" s="32">
        <v>51304.4</v>
      </c>
      <c r="BT23" s="32">
        <v>23672.6</v>
      </c>
      <c r="BU23" s="32">
        <v>0</v>
      </c>
      <c r="BV23" s="32">
        <v>0</v>
      </c>
      <c r="BW23" s="32">
        <v>0</v>
      </c>
      <c r="BX23" s="32">
        <v>0</v>
      </c>
      <c r="BY23" s="32">
        <v>0</v>
      </c>
      <c r="BZ23" s="32">
        <v>0</v>
      </c>
      <c r="CA23" s="32">
        <v>0</v>
      </c>
      <c r="CB23" s="33" t="s">
        <v>1046</v>
      </c>
      <c r="CC23" s="33" t="s">
        <v>624</v>
      </c>
      <c r="CD23" s="33"/>
      <c r="CE23" s="33" t="s">
        <v>523</v>
      </c>
      <c r="CF23" s="33" t="s">
        <v>645</v>
      </c>
      <c r="CG23" s="33" t="s">
        <v>681</v>
      </c>
      <c r="CH23" s="33" t="s">
        <v>526</v>
      </c>
      <c r="CI23" s="33" t="s">
        <v>682</v>
      </c>
      <c r="CJ23" s="33" t="s">
        <v>1047</v>
      </c>
      <c r="CK23" s="33"/>
      <c r="CL23" s="33" t="s">
        <v>212</v>
      </c>
      <c r="CM23" s="33"/>
      <c r="CN23" s="33" t="s">
        <v>254</v>
      </c>
      <c r="CO23" s="33" t="s">
        <v>273</v>
      </c>
      <c r="CP23" s="33" t="s">
        <v>731</v>
      </c>
      <c r="CQ23" s="33" t="s">
        <v>661</v>
      </c>
      <c r="CR23" s="33" t="s">
        <v>662</v>
      </c>
      <c r="CS23" s="33" t="s">
        <v>663</v>
      </c>
      <c r="CT23" s="33" t="s">
        <v>254</v>
      </c>
      <c r="CU23" s="33" t="s">
        <v>273</v>
      </c>
      <c r="CV23" s="33" t="s">
        <v>1048</v>
      </c>
      <c r="CW23" s="33" t="s">
        <v>661</v>
      </c>
      <c r="CX23" s="33" t="s">
        <v>662</v>
      </c>
      <c r="CY23" s="33" t="s">
        <v>1049</v>
      </c>
      <c r="CZ23" s="33" t="s">
        <v>1050</v>
      </c>
      <c r="DA23" s="33" t="s">
        <v>1005</v>
      </c>
      <c r="DB23" s="33" t="s">
        <v>1051</v>
      </c>
      <c r="DC23" s="33" t="s">
        <v>1052</v>
      </c>
      <c r="DD23" s="33" t="s">
        <v>1053</v>
      </c>
      <c r="DE23" s="33" t="s">
        <v>1054</v>
      </c>
      <c r="DF23" s="34" t="s">
        <v>1055</v>
      </c>
      <c r="DG23" s="27" cm="1">
        <f t="array" ref="DG23">INDEX('elenco partner'!A:M,MATCH(1,(D23='elenco partner'!A:A)*('Partner data'!M23='elenco partner'!E:E),0),4)</f>
        <v>59</v>
      </c>
      <c r="DH23" s="83" t="str">
        <f t="shared" ref="DH23:DH46" si="20">IF(AU23&lt;&gt;0,"Tasso Forfettario 20%",IF(AV23&lt;&gt;0,"COSTO REALE",IF(AW23&lt;&gt;0,"Costo Unitario Standard","BL1 non presente")))</f>
        <v>Costo Unitario Standard</v>
      </c>
      <c r="DI23" s="20">
        <f>COUNTIFS('MY-REPORT-MAIN'!C:C,'Partner data'!DG23,'MY-REPORT-MAIN'!I:I,"Certified")</f>
        <v>1</v>
      </c>
      <c r="DJ23" s="20">
        <f>COUNTIFS(List_Of_chek_list!M:M,"&lt;&gt;26",List_Of_chek_list!B:B,'Partner data'!DG23)</f>
        <v>0</v>
      </c>
      <c r="DK23" s="20">
        <f t="shared" ref="DK23:DK46" si="21">DI23-DJ23</f>
        <v>1</v>
      </c>
      <c r="DL23" s="19" t="str">
        <f>IF(DH23="Tasso Forfettario 20%",SUMIFS(List_Of_chek_list!#REF!,List_Of_chek_list!B:B,'Partner data'!DG23),"NON PERTINENTE")</f>
        <v>NON PERTINENTE</v>
      </c>
      <c r="DM23" s="19" t="str">
        <f t="shared" ref="DM23:DM46" si="22">IF(DL23="NON PERTINENTE","NON PERTINENTE",IF(DJ23=DL23,"Rischio basso","Rischio alto"))</f>
        <v>NON PERTINENTE</v>
      </c>
      <c r="DN23" s="110">
        <f>_xlfn.MAXIFS('MY-REPORT-MAIN'!K:K,'MY-REPORT-MAIN'!C:C,DG23)</f>
        <v>45385.668870833331</v>
      </c>
      <c r="DO23" s="112">
        <f>IF(_xlfn.MAXIFS('MY-REPORT-MAIN'!M:M,'MY-REPORT-MAIN'!C:C,DG23)=0,"Nessun rendiconto  Convalidato",_xlfn.MAXIFS('MY-REPORT-MAIN'!M:M,'MY-REPORT-MAIN'!C:C,DG23))</f>
        <v>45470.687928912041</v>
      </c>
      <c r="DP23" s="113" cm="1">
        <f t="array" ref="DP23">IFERROR(INDEX('MY-REPORT-MAIN'!A:Z,MATCH(1,(DO23='MY-REPORT-MAIN'!M:M)*('Partner data'!DG23='MY-REPORT-MAIN'!C:C),0),1),"NON è stato convalidato ancora nessun rendiconto")</f>
        <v>181</v>
      </c>
      <c r="DQ23" s="111">
        <f>IFERROR(INDEX('MY-REPORT-MAIN'!A:Z,MATCH('Partner data'!DP23,'MY-REPORT-MAIN'!A:A,0),21),"Nessun Rendiconto ancora convalidato")</f>
        <v>31439.5</v>
      </c>
      <c r="DR23" s="110">
        <f>INDEX('Interreg VI-A Italy-Slovenia_pr'!A:E,MATCH('Partner data'!C23,'Interreg VI-A Italy-Slovenia_pr'!A:A,0),3)</f>
        <v>45200</v>
      </c>
      <c r="DS23" s="118">
        <f t="shared" si="1"/>
        <v>32672.6</v>
      </c>
      <c r="DT23" s="118">
        <f t="shared" si="2"/>
        <v>83977</v>
      </c>
      <c r="DU23" s="118">
        <f t="shared" si="3"/>
        <v>135281.4</v>
      </c>
      <c r="DV23" s="118">
        <f t="shared" si="4"/>
        <v>158954</v>
      </c>
      <c r="DW23" s="118">
        <f t="shared" si="5"/>
        <v>158954</v>
      </c>
      <c r="DX23" s="118">
        <f t="shared" si="6"/>
        <v>158954</v>
      </c>
      <c r="DY23" s="118">
        <f t="shared" si="7"/>
        <v>158954</v>
      </c>
      <c r="DZ23" s="118">
        <f t="shared" si="8"/>
        <v>158954</v>
      </c>
      <c r="EA23" s="118">
        <f t="shared" si="9"/>
        <v>158954</v>
      </c>
      <c r="EB23" s="118">
        <f t="shared" si="10"/>
        <v>158954</v>
      </c>
    </row>
    <row r="24" spans="1:132" x14ac:dyDescent="0.25">
      <c r="A24" s="28">
        <v>1</v>
      </c>
      <c r="B24" s="29" t="s">
        <v>487</v>
      </c>
      <c r="C24" s="30" t="s">
        <v>1041</v>
      </c>
      <c r="D24" s="30" t="s">
        <v>288</v>
      </c>
      <c r="E24" s="30" t="s">
        <v>1042</v>
      </c>
      <c r="F24" s="30" t="s">
        <v>1043</v>
      </c>
      <c r="G24" s="30" t="s">
        <v>491</v>
      </c>
      <c r="H24" s="30" t="s">
        <v>691</v>
      </c>
      <c r="I24" s="30" t="s">
        <v>1044</v>
      </c>
      <c r="J24" s="31" t="s">
        <v>518</v>
      </c>
      <c r="K24" s="31" t="s">
        <v>495</v>
      </c>
      <c r="L24" s="31" t="s">
        <v>519</v>
      </c>
      <c r="M24" s="31" t="s">
        <v>292</v>
      </c>
      <c r="N24" s="31" t="s">
        <v>1056</v>
      </c>
      <c r="O24" s="31" t="s">
        <v>1057</v>
      </c>
      <c r="P24" s="31" t="s">
        <v>254</v>
      </c>
      <c r="Q24" s="31" t="s">
        <v>540</v>
      </c>
      <c r="R24" s="31" t="s">
        <v>260</v>
      </c>
      <c r="S24" s="32">
        <v>79356.990000000005</v>
      </c>
      <c r="T24" s="32">
        <v>80</v>
      </c>
      <c r="U24" s="32">
        <v>16.07</v>
      </c>
      <c r="V24" s="32">
        <v>0</v>
      </c>
      <c r="W24" s="32">
        <v>0</v>
      </c>
      <c r="X24" s="32">
        <v>0</v>
      </c>
      <c r="Y24" s="32">
        <v>0</v>
      </c>
      <c r="Z24" s="32">
        <v>0</v>
      </c>
      <c r="AA24" s="32">
        <v>0</v>
      </c>
      <c r="AB24" s="32">
        <v>0</v>
      </c>
      <c r="AC24" s="32">
        <v>0</v>
      </c>
      <c r="AD24" s="32">
        <v>0</v>
      </c>
      <c r="AE24" s="32">
        <v>0</v>
      </c>
      <c r="AF24" s="32">
        <v>0</v>
      </c>
      <c r="AG24" s="32">
        <v>0</v>
      </c>
      <c r="AH24" s="32">
        <v>0</v>
      </c>
      <c r="AI24" s="32">
        <v>0</v>
      </c>
      <c r="AJ24" s="32">
        <v>0</v>
      </c>
      <c r="AK24" s="32">
        <v>0</v>
      </c>
      <c r="AL24" s="32">
        <v>0</v>
      </c>
      <c r="AM24" s="32">
        <v>0</v>
      </c>
      <c r="AN24" s="32">
        <v>0</v>
      </c>
      <c r="AO24" s="32">
        <v>19839.25</v>
      </c>
      <c r="AP24" s="32">
        <v>0</v>
      </c>
      <c r="AQ24" s="32">
        <v>19839.25</v>
      </c>
      <c r="AR24" s="32">
        <v>99196.24</v>
      </c>
      <c r="AS24" s="32">
        <v>16.07</v>
      </c>
      <c r="AT24" s="32">
        <v>53946.43</v>
      </c>
      <c r="AU24" s="32">
        <v>0</v>
      </c>
      <c r="AV24" s="32">
        <v>53946.43</v>
      </c>
      <c r="AW24" s="32">
        <v>0</v>
      </c>
      <c r="AX24" s="32">
        <v>8091.96</v>
      </c>
      <c r="AY24" s="32">
        <v>8091.96</v>
      </c>
      <c r="AZ24" s="32">
        <v>2157.85</v>
      </c>
      <c r="BA24" s="32">
        <v>2157.85</v>
      </c>
      <c r="BB24" s="32">
        <v>0</v>
      </c>
      <c r="BC24" s="32">
        <v>0</v>
      </c>
      <c r="BD24" s="32">
        <v>35000</v>
      </c>
      <c r="BE24" s="32">
        <v>35000</v>
      </c>
      <c r="BF24" s="32">
        <v>0</v>
      </c>
      <c r="BG24" s="32">
        <v>0</v>
      </c>
      <c r="BH24" s="32">
        <v>0</v>
      </c>
      <c r="BI24" s="32">
        <v>0</v>
      </c>
      <c r="BJ24" s="32">
        <v>0</v>
      </c>
      <c r="BK24" s="32">
        <v>0</v>
      </c>
      <c r="BL24" s="32">
        <v>0</v>
      </c>
      <c r="BM24" s="32">
        <v>0</v>
      </c>
      <c r="BN24" s="32">
        <v>0</v>
      </c>
      <c r="BO24" s="32">
        <v>0</v>
      </c>
      <c r="BP24" s="32">
        <v>0</v>
      </c>
      <c r="BQ24" s="32">
        <v>14879.43</v>
      </c>
      <c r="BR24" s="32">
        <v>24799.06</v>
      </c>
      <c r="BS24" s="32">
        <v>24799.07</v>
      </c>
      <c r="BT24" s="32">
        <v>34718.68</v>
      </c>
      <c r="BU24" s="32">
        <v>0</v>
      </c>
      <c r="BV24" s="32">
        <v>0</v>
      </c>
      <c r="BW24" s="32">
        <v>0</v>
      </c>
      <c r="BX24" s="32">
        <v>0</v>
      </c>
      <c r="BY24" s="32">
        <v>0</v>
      </c>
      <c r="BZ24" s="32">
        <v>0</v>
      </c>
      <c r="CA24" s="32">
        <v>0</v>
      </c>
      <c r="CB24" s="33" t="s">
        <v>1058</v>
      </c>
      <c r="CC24" s="33" t="s">
        <v>624</v>
      </c>
      <c r="CD24" s="33"/>
      <c r="CE24" s="33" t="s">
        <v>523</v>
      </c>
      <c r="CF24" s="33" t="s">
        <v>645</v>
      </c>
      <c r="CG24" s="33" t="s">
        <v>1033</v>
      </c>
      <c r="CH24" s="33" t="s">
        <v>526</v>
      </c>
      <c r="CI24" s="33" t="s">
        <v>1059</v>
      </c>
      <c r="CJ24" s="33" t="s">
        <v>1060</v>
      </c>
      <c r="CK24" s="33" t="s">
        <v>1034</v>
      </c>
      <c r="CL24" s="33" t="s">
        <v>212</v>
      </c>
      <c r="CM24" s="33"/>
      <c r="CN24" s="33" t="s">
        <v>254</v>
      </c>
      <c r="CO24" s="33" t="s">
        <v>260</v>
      </c>
      <c r="CP24" s="33" t="s">
        <v>1061</v>
      </c>
      <c r="CQ24" s="33" t="s">
        <v>598</v>
      </c>
      <c r="CR24" s="33" t="s">
        <v>599</v>
      </c>
      <c r="CS24" s="33" t="s">
        <v>1062</v>
      </c>
      <c r="CT24" s="33" t="s">
        <v>254</v>
      </c>
      <c r="CU24" s="33" t="s">
        <v>260</v>
      </c>
      <c r="CV24" s="33" t="s">
        <v>1063</v>
      </c>
      <c r="CW24" s="33" t="s">
        <v>774</v>
      </c>
      <c r="CX24" s="33" t="s">
        <v>1064</v>
      </c>
      <c r="CY24" s="33" t="s">
        <v>1065</v>
      </c>
      <c r="CZ24" s="33" t="s">
        <v>626</v>
      </c>
      <c r="DA24" s="33" t="s">
        <v>627</v>
      </c>
      <c r="DB24" s="33" t="s">
        <v>1065</v>
      </c>
      <c r="DC24" s="33" t="s">
        <v>1066</v>
      </c>
      <c r="DD24" s="33" t="s">
        <v>1067</v>
      </c>
      <c r="DE24" s="33" t="s">
        <v>1068</v>
      </c>
      <c r="DF24" s="34" t="s">
        <v>1069</v>
      </c>
      <c r="DG24" s="27" cm="1">
        <f t="array" ref="DG24">INDEX('elenco partner'!A:M,MATCH(1,(D24='elenco partner'!A:A)*('Partner data'!M24='elenco partner'!E:E),0),4)</f>
        <v>60</v>
      </c>
      <c r="DH24" s="83" t="str">
        <f t="shared" si="20"/>
        <v>COSTO REALE</v>
      </c>
      <c r="DI24" s="20">
        <f>COUNTIFS('MY-REPORT-MAIN'!C:C,'Partner data'!DG24,'MY-REPORT-MAIN'!I:I,"Certified")</f>
        <v>1</v>
      </c>
      <c r="DJ24" s="20">
        <f>COUNTIFS(List_Of_chek_list!M:M,"&lt;&gt;26",List_Of_chek_list!B:B,'Partner data'!DG24)</f>
        <v>1</v>
      </c>
      <c r="DK24" s="20">
        <f t="shared" si="21"/>
        <v>0</v>
      </c>
      <c r="DL24" s="19" t="str">
        <f>IF(DH24="Tasso Forfettario 20%",SUMIFS(List_Of_chek_list!#REF!,List_Of_chek_list!B:B,'Partner data'!DG24),"NON PERTINENTE")</f>
        <v>NON PERTINENTE</v>
      </c>
      <c r="DM24" s="19" t="str">
        <f t="shared" si="22"/>
        <v>NON PERTINENTE</v>
      </c>
      <c r="DN24" s="110">
        <f>_xlfn.MAXIFS('MY-REPORT-MAIN'!K:K,'MY-REPORT-MAIN'!C:C,DG24)</f>
        <v>45380.382471898149</v>
      </c>
      <c r="DO24" s="112">
        <f>IF(_xlfn.MAXIFS('MY-REPORT-MAIN'!M:M,'MY-REPORT-MAIN'!C:C,DG24)=0,"Nessun rendiconto  Convalidato",_xlfn.MAXIFS('MY-REPORT-MAIN'!M:M,'MY-REPORT-MAIN'!C:C,DG24))</f>
        <v>45471.764772893519</v>
      </c>
      <c r="DP24" s="113" cm="1">
        <f t="array" ref="DP24">IFERROR(INDEX('MY-REPORT-MAIN'!A:Z,MATCH(1,(DO24='MY-REPORT-MAIN'!M:M)*('Partner data'!DG24='MY-REPORT-MAIN'!C:C),0),1),"NON è stato convalidato ancora nessun rendiconto")</f>
        <v>183</v>
      </c>
      <c r="DQ24" s="111">
        <f>IFERROR(INDEX('MY-REPORT-MAIN'!A:Z,MATCH('Partner data'!DP24,'MY-REPORT-MAIN'!A:A,0),21),"Nessun Rendiconto ancora convalidato")</f>
        <v>12781.79</v>
      </c>
      <c r="DR24" s="110">
        <f>INDEX('Interreg VI-A Italy-Slovenia_pr'!A:E,MATCH('Partner data'!C24,'Interreg VI-A Italy-Slovenia_pr'!A:A,0),3)</f>
        <v>45200</v>
      </c>
      <c r="DS24" s="118">
        <f t="shared" si="1"/>
        <v>14879.43</v>
      </c>
      <c r="DT24" s="118">
        <f t="shared" si="2"/>
        <v>39678.490000000005</v>
      </c>
      <c r="DU24" s="118">
        <f t="shared" si="3"/>
        <v>64477.560000000005</v>
      </c>
      <c r="DV24" s="118">
        <f t="shared" si="4"/>
        <v>99196.24</v>
      </c>
      <c r="DW24" s="118">
        <f t="shared" si="5"/>
        <v>99196.24</v>
      </c>
      <c r="DX24" s="118">
        <f t="shared" si="6"/>
        <v>99196.24</v>
      </c>
      <c r="DY24" s="118">
        <f t="shared" si="7"/>
        <v>99196.24</v>
      </c>
      <c r="DZ24" s="118">
        <f t="shared" si="8"/>
        <v>99196.24</v>
      </c>
      <c r="EA24" s="118">
        <f t="shared" si="9"/>
        <v>99196.24</v>
      </c>
      <c r="EB24" s="118">
        <f t="shared" si="10"/>
        <v>99196.24</v>
      </c>
    </row>
    <row r="25" spans="1:132" x14ac:dyDescent="0.25">
      <c r="A25" s="28">
        <v>1</v>
      </c>
      <c r="B25" s="29" t="s">
        <v>487</v>
      </c>
      <c r="C25" s="30" t="s">
        <v>1041</v>
      </c>
      <c r="D25" s="30" t="s">
        <v>288</v>
      </c>
      <c r="E25" s="30" t="s">
        <v>1042</v>
      </c>
      <c r="F25" s="30" t="s">
        <v>1043</v>
      </c>
      <c r="G25" s="30" t="s">
        <v>491</v>
      </c>
      <c r="H25" s="30" t="s">
        <v>691</v>
      </c>
      <c r="I25" s="30" t="s">
        <v>1044</v>
      </c>
      <c r="J25" s="31" t="s">
        <v>538</v>
      </c>
      <c r="K25" s="31" t="s">
        <v>495</v>
      </c>
      <c r="L25" s="31" t="s">
        <v>519</v>
      </c>
      <c r="M25" s="31" t="s">
        <v>290</v>
      </c>
      <c r="N25" s="31" t="s">
        <v>1070</v>
      </c>
      <c r="O25" s="31" t="s">
        <v>1071</v>
      </c>
      <c r="P25" s="31" t="s">
        <v>257</v>
      </c>
      <c r="Q25" s="31" t="s">
        <v>556</v>
      </c>
      <c r="R25" s="31" t="s">
        <v>258</v>
      </c>
      <c r="S25" s="32">
        <v>92000</v>
      </c>
      <c r="T25" s="32">
        <v>80</v>
      </c>
      <c r="U25" s="32">
        <v>18.63</v>
      </c>
      <c r="V25" s="32">
        <v>0</v>
      </c>
      <c r="W25" s="32">
        <v>0</v>
      </c>
      <c r="X25" s="32">
        <v>0</v>
      </c>
      <c r="Y25" s="32">
        <v>0</v>
      </c>
      <c r="Z25" s="32">
        <v>0</v>
      </c>
      <c r="AA25" s="32">
        <v>0</v>
      </c>
      <c r="AB25" s="32">
        <v>0</v>
      </c>
      <c r="AC25" s="32">
        <v>0</v>
      </c>
      <c r="AD25" s="32">
        <v>0</v>
      </c>
      <c r="AE25" s="32">
        <v>0</v>
      </c>
      <c r="AF25" s="32">
        <v>0</v>
      </c>
      <c r="AG25" s="32">
        <v>0</v>
      </c>
      <c r="AH25" s="32">
        <v>0</v>
      </c>
      <c r="AI25" s="32">
        <v>0</v>
      </c>
      <c r="AJ25" s="32">
        <v>0</v>
      </c>
      <c r="AK25" s="32">
        <v>0</v>
      </c>
      <c r="AL25" s="32">
        <v>0</v>
      </c>
      <c r="AM25" s="32">
        <v>0</v>
      </c>
      <c r="AN25" s="32">
        <v>23000</v>
      </c>
      <c r="AO25" s="32">
        <v>0</v>
      </c>
      <c r="AP25" s="32">
        <v>0</v>
      </c>
      <c r="AQ25" s="32">
        <v>23000</v>
      </c>
      <c r="AR25" s="32">
        <v>115000</v>
      </c>
      <c r="AS25" s="32">
        <v>18.63</v>
      </c>
      <c r="AT25" s="32">
        <v>71008.41</v>
      </c>
      <c r="AU25" s="32">
        <v>0</v>
      </c>
      <c r="AV25" s="32">
        <v>71008.41</v>
      </c>
      <c r="AW25" s="32">
        <v>0</v>
      </c>
      <c r="AX25" s="32">
        <v>10651.26</v>
      </c>
      <c r="AY25" s="32">
        <v>10651.26</v>
      </c>
      <c r="AZ25" s="32">
        <v>2840.33</v>
      </c>
      <c r="BA25" s="32">
        <v>2840.33</v>
      </c>
      <c r="BB25" s="32">
        <v>0</v>
      </c>
      <c r="BC25" s="32">
        <v>0</v>
      </c>
      <c r="BD25" s="32">
        <v>26000</v>
      </c>
      <c r="BE25" s="32">
        <v>26000</v>
      </c>
      <c r="BF25" s="32">
        <v>0</v>
      </c>
      <c r="BG25" s="32">
        <v>4500</v>
      </c>
      <c r="BH25" s="32">
        <v>4500</v>
      </c>
      <c r="BI25" s="32">
        <v>0</v>
      </c>
      <c r="BJ25" s="32">
        <v>0</v>
      </c>
      <c r="BK25" s="32">
        <v>0</v>
      </c>
      <c r="BL25" s="32">
        <v>0</v>
      </c>
      <c r="BM25" s="32">
        <v>0</v>
      </c>
      <c r="BN25" s="32">
        <v>0</v>
      </c>
      <c r="BO25" s="32">
        <v>0</v>
      </c>
      <c r="BP25" s="32">
        <v>0</v>
      </c>
      <c r="BQ25" s="32">
        <v>29035</v>
      </c>
      <c r="BR25" s="32">
        <v>30710</v>
      </c>
      <c r="BS25" s="32">
        <v>30015</v>
      </c>
      <c r="BT25" s="32">
        <v>25240</v>
      </c>
      <c r="BU25" s="32">
        <v>0</v>
      </c>
      <c r="BV25" s="32">
        <v>0</v>
      </c>
      <c r="BW25" s="32">
        <v>0</v>
      </c>
      <c r="BX25" s="32">
        <v>0</v>
      </c>
      <c r="BY25" s="32">
        <v>0</v>
      </c>
      <c r="BZ25" s="32">
        <v>0</v>
      </c>
      <c r="CA25" s="32">
        <v>0</v>
      </c>
      <c r="CB25" s="33" t="s">
        <v>1072</v>
      </c>
      <c r="CC25" s="33" t="s">
        <v>624</v>
      </c>
      <c r="CD25" s="33"/>
      <c r="CE25" s="33" t="s">
        <v>523</v>
      </c>
      <c r="CF25" s="33" t="s">
        <v>734</v>
      </c>
      <c r="CG25" s="33" t="s">
        <v>1073</v>
      </c>
      <c r="CH25" s="33" t="s">
        <v>526</v>
      </c>
      <c r="CI25" s="33"/>
      <c r="CJ25" s="33" t="s">
        <v>212</v>
      </c>
      <c r="CK25" s="33" t="s">
        <v>1074</v>
      </c>
      <c r="CL25" s="33" t="s">
        <v>212</v>
      </c>
      <c r="CM25" s="33"/>
      <c r="CN25" s="33" t="s">
        <v>257</v>
      </c>
      <c r="CO25" s="33" t="s">
        <v>258</v>
      </c>
      <c r="CP25" s="33" t="s">
        <v>1075</v>
      </c>
      <c r="CQ25" s="33" t="s">
        <v>620</v>
      </c>
      <c r="CR25" s="33" t="s">
        <v>621</v>
      </c>
      <c r="CS25" s="33" t="s">
        <v>1076</v>
      </c>
      <c r="CT25" s="33" t="s">
        <v>257</v>
      </c>
      <c r="CU25" s="33" t="s">
        <v>258</v>
      </c>
      <c r="CV25" s="33" t="s">
        <v>1075</v>
      </c>
      <c r="CW25" s="33" t="s">
        <v>620</v>
      </c>
      <c r="CX25" s="33" t="s">
        <v>621</v>
      </c>
      <c r="CY25" s="33" t="s">
        <v>1077</v>
      </c>
      <c r="CZ25" s="33" t="s">
        <v>643</v>
      </c>
      <c r="DA25" s="33" t="s">
        <v>1078</v>
      </c>
      <c r="DB25" s="33" t="s">
        <v>654</v>
      </c>
      <c r="DC25" s="33" t="s">
        <v>896</v>
      </c>
      <c r="DD25" s="33" t="s">
        <v>1079</v>
      </c>
      <c r="DE25" s="33" t="s">
        <v>1080</v>
      </c>
      <c r="DF25" s="34" t="s">
        <v>1081</v>
      </c>
      <c r="DG25" s="27" cm="1">
        <f t="array" ref="DG25">INDEX('elenco partner'!A:M,MATCH(1,(D25='elenco partner'!A:A)*('Partner data'!M25='elenco partner'!E:E),0),4)</f>
        <v>62</v>
      </c>
      <c r="DH25" s="83" t="str">
        <f t="shared" si="20"/>
        <v>COSTO REALE</v>
      </c>
      <c r="DI25" s="20">
        <f>COUNTIFS('MY-REPORT-MAIN'!C:C,'Partner data'!DG25,'MY-REPORT-MAIN'!I:I,"Certified")</f>
        <v>1</v>
      </c>
      <c r="DJ25" s="20">
        <f>COUNTIFS(List_Of_chek_list!M:M,"&lt;&gt;26",List_Of_chek_list!B:B,'Partner data'!DG25)</f>
        <v>1</v>
      </c>
      <c r="DK25" s="20">
        <f t="shared" si="21"/>
        <v>0</v>
      </c>
      <c r="DL25" s="19" t="str">
        <f>IF(DH25="Tasso Forfettario 20%",SUMIFS(List_Of_chek_list!#REF!,List_Of_chek_list!B:B,'Partner data'!DG25),"NON PERTINENTE")</f>
        <v>NON PERTINENTE</v>
      </c>
      <c r="DM25" s="19" t="str">
        <f t="shared" si="22"/>
        <v>NON PERTINENTE</v>
      </c>
      <c r="DN25" s="110">
        <f>_xlfn.MAXIFS('MY-REPORT-MAIN'!K:K,'MY-REPORT-MAIN'!C:C,DG25)</f>
        <v>45379.445356956021</v>
      </c>
      <c r="DO25" s="112">
        <f>IF(_xlfn.MAXIFS('MY-REPORT-MAIN'!M:M,'MY-REPORT-MAIN'!C:C,DG25)=0,"Nessun rendiconto  Convalidato",_xlfn.MAXIFS('MY-REPORT-MAIN'!M:M,'MY-REPORT-MAIN'!C:C,DG25))</f>
        <v>45433.448165578702</v>
      </c>
      <c r="DP25" s="113" cm="1">
        <f t="array" ref="DP25">IFERROR(INDEX('MY-REPORT-MAIN'!A:Z,MATCH(1,(DO25='MY-REPORT-MAIN'!M:M)*('Partner data'!DG25='MY-REPORT-MAIN'!C:C),0),1),"NON è stato convalidato ancora nessun rendiconto")</f>
        <v>184</v>
      </c>
      <c r="DQ25" s="111">
        <f>IFERROR(INDEX('MY-REPORT-MAIN'!A:Z,MATCH('Partner data'!DP25,'MY-REPORT-MAIN'!A:A,0),21),"Nessun Rendiconto ancora convalidato")</f>
        <v>4416.1499999999996</v>
      </c>
      <c r="DR25" s="110">
        <f>INDEX('Interreg VI-A Italy-Slovenia_pr'!A:E,MATCH('Partner data'!C25,'Interreg VI-A Italy-Slovenia_pr'!A:A,0),3)</f>
        <v>45200</v>
      </c>
      <c r="DS25" s="118">
        <f t="shared" si="1"/>
        <v>29035</v>
      </c>
      <c r="DT25" s="118">
        <f t="shared" si="2"/>
        <v>59745</v>
      </c>
      <c r="DU25" s="118">
        <f t="shared" si="3"/>
        <v>89760</v>
      </c>
      <c r="DV25" s="118">
        <f t="shared" si="4"/>
        <v>115000</v>
      </c>
      <c r="DW25" s="118">
        <f t="shared" si="5"/>
        <v>115000</v>
      </c>
      <c r="DX25" s="118">
        <f t="shared" si="6"/>
        <v>115000</v>
      </c>
      <c r="DY25" s="118">
        <f t="shared" si="7"/>
        <v>115000</v>
      </c>
      <c r="DZ25" s="118">
        <f t="shared" si="8"/>
        <v>115000</v>
      </c>
      <c r="EA25" s="118">
        <f t="shared" si="9"/>
        <v>115000</v>
      </c>
      <c r="EB25" s="118">
        <f t="shared" si="10"/>
        <v>115000</v>
      </c>
    </row>
    <row r="26" spans="1:132" x14ac:dyDescent="0.25">
      <c r="A26" s="28">
        <v>1</v>
      </c>
      <c r="B26" s="29" t="s">
        <v>487</v>
      </c>
      <c r="C26" s="30" t="s">
        <v>1041</v>
      </c>
      <c r="D26" s="30" t="s">
        <v>288</v>
      </c>
      <c r="E26" s="30" t="s">
        <v>1042</v>
      </c>
      <c r="F26" s="30" t="s">
        <v>1043</v>
      </c>
      <c r="G26" s="30" t="s">
        <v>491</v>
      </c>
      <c r="H26" s="30" t="s">
        <v>691</v>
      </c>
      <c r="I26" s="30" t="s">
        <v>1044</v>
      </c>
      <c r="J26" s="31" t="s">
        <v>554</v>
      </c>
      <c r="K26" s="31" t="s">
        <v>495</v>
      </c>
      <c r="L26" s="31" t="s">
        <v>519</v>
      </c>
      <c r="M26" s="31" t="s">
        <v>54</v>
      </c>
      <c r="N26" s="31" t="s">
        <v>1082</v>
      </c>
      <c r="O26" s="31" t="s">
        <v>1083</v>
      </c>
      <c r="P26" s="31" t="s">
        <v>257</v>
      </c>
      <c r="Q26" s="31" t="s">
        <v>556</v>
      </c>
      <c r="R26" s="31" t="s">
        <v>258</v>
      </c>
      <c r="S26" s="32">
        <v>72352</v>
      </c>
      <c r="T26" s="32">
        <v>80</v>
      </c>
      <c r="U26" s="32">
        <v>14.65</v>
      </c>
      <c r="V26" s="32">
        <v>0</v>
      </c>
      <c r="W26" s="32">
        <v>0</v>
      </c>
      <c r="X26" s="32">
        <v>0</v>
      </c>
      <c r="Y26" s="32">
        <v>0</v>
      </c>
      <c r="Z26" s="32">
        <v>0</v>
      </c>
      <c r="AA26" s="32">
        <v>0</v>
      </c>
      <c r="AB26" s="32">
        <v>0</v>
      </c>
      <c r="AC26" s="32">
        <v>0</v>
      </c>
      <c r="AD26" s="32">
        <v>0</v>
      </c>
      <c r="AE26" s="32">
        <v>0</v>
      </c>
      <c r="AF26" s="32">
        <v>0</v>
      </c>
      <c r="AG26" s="32">
        <v>0</v>
      </c>
      <c r="AH26" s="32">
        <v>0</v>
      </c>
      <c r="AI26" s="32">
        <v>0</v>
      </c>
      <c r="AJ26" s="32">
        <v>0</v>
      </c>
      <c r="AK26" s="32">
        <v>0</v>
      </c>
      <c r="AL26" s="32">
        <v>0</v>
      </c>
      <c r="AM26" s="32">
        <v>0</v>
      </c>
      <c r="AN26" s="32">
        <v>18088</v>
      </c>
      <c r="AO26" s="32">
        <v>0</v>
      </c>
      <c r="AP26" s="32">
        <v>0</v>
      </c>
      <c r="AQ26" s="32">
        <v>18088</v>
      </c>
      <c r="AR26" s="32">
        <v>90440</v>
      </c>
      <c r="AS26" s="32">
        <v>14.65</v>
      </c>
      <c r="AT26" s="32">
        <v>76000</v>
      </c>
      <c r="AU26" s="32">
        <v>0</v>
      </c>
      <c r="AV26" s="32">
        <v>76000</v>
      </c>
      <c r="AW26" s="32">
        <v>0</v>
      </c>
      <c r="AX26" s="32">
        <v>11400</v>
      </c>
      <c r="AY26" s="32">
        <v>11400</v>
      </c>
      <c r="AZ26" s="32">
        <v>3040</v>
      </c>
      <c r="BA26" s="32">
        <v>3040</v>
      </c>
      <c r="BB26" s="32">
        <v>0</v>
      </c>
      <c r="BC26" s="32">
        <v>0</v>
      </c>
      <c r="BD26" s="32">
        <v>0</v>
      </c>
      <c r="BE26" s="32">
        <v>0</v>
      </c>
      <c r="BF26" s="32">
        <v>0</v>
      </c>
      <c r="BG26" s="32">
        <v>0</v>
      </c>
      <c r="BH26" s="32">
        <v>0</v>
      </c>
      <c r="BI26" s="32">
        <v>0</v>
      </c>
      <c r="BJ26" s="32">
        <v>0</v>
      </c>
      <c r="BK26" s="32">
        <v>0</v>
      </c>
      <c r="BL26" s="32">
        <v>0</v>
      </c>
      <c r="BM26" s="32">
        <v>0</v>
      </c>
      <c r="BN26" s="32">
        <v>0</v>
      </c>
      <c r="BO26" s="32">
        <v>0</v>
      </c>
      <c r="BP26" s="32">
        <v>0</v>
      </c>
      <c r="BQ26" s="32">
        <v>19040</v>
      </c>
      <c r="BR26" s="32">
        <v>29750</v>
      </c>
      <c r="BS26" s="32">
        <v>29750</v>
      </c>
      <c r="BT26" s="32">
        <v>11900</v>
      </c>
      <c r="BU26" s="32">
        <v>0</v>
      </c>
      <c r="BV26" s="32">
        <v>0</v>
      </c>
      <c r="BW26" s="32">
        <v>0</v>
      </c>
      <c r="BX26" s="32">
        <v>0</v>
      </c>
      <c r="BY26" s="32">
        <v>0</v>
      </c>
      <c r="BZ26" s="32">
        <v>0</v>
      </c>
      <c r="CA26" s="32">
        <v>0</v>
      </c>
      <c r="CB26" s="33" t="s">
        <v>212</v>
      </c>
      <c r="CC26" s="33" t="s">
        <v>949</v>
      </c>
      <c r="CD26" s="33"/>
      <c r="CE26" s="33" t="s">
        <v>523</v>
      </c>
      <c r="CF26" s="33" t="s">
        <v>707</v>
      </c>
      <c r="CG26" s="33" t="s">
        <v>1084</v>
      </c>
      <c r="CH26" s="33" t="s">
        <v>526</v>
      </c>
      <c r="CI26" s="33" t="s">
        <v>665</v>
      </c>
      <c r="CJ26" s="33" t="s">
        <v>212</v>
      </c>
      <c r="CK26" s="33" t="s">
        <v>1085</v>
      </c>
      <c r="CL26" s="33" t="s">
        <v>212</v>
      </c>
      <c r="CM26" s="33"/>
      <c r="CN26" s="33" t="s">
        <v>257</v>
      </c>
      <c r="CO26" s="33" t="s">
        <v>258</v>
      </c>
      <c r="CP26" s="33" t="s">
        <v>755</v>
      </c>
      <c r="CQ26" s="33" t="s">
        <v>620</v>
      </c>
      <c r="CR26" s="33" t="s">
        <v>621</v>
      </c>
      <c r="CS26" s="33" t="s">
        <v>1086</v>
      </c>
      <c r="CT26" s="33" t="s">
        <v>257</v>
      </c>
      <c r="CU26" s="33" t="s">
        <v>258</v>
      </c>
      <c r="CV26" s="33" t="s">
        <v>755</v>
      </c>
      <c r="CW26" s="33" t="s">
        <v>620</v>
      </c>
      <c r="CX26" s="33" t="s">
        <v>621</v>
      </c>
      <c r="CY26" s="33" t="s">
        <v>892</v>
      </c>
      <c r="CZ26" s="33" t="s">
        <v>1087</v>
      </c>
      <c r="DA26" s="33" t="s">
        <v>1088</v>
      </c>
      <c r="DB26" s="33" t="s">
        <v>892</v>
      </c>
      <c r="DC26" s="33" t="s">
        <v>1089</v>
      </c>
      <c r="DD26" s="33" t="s">
        <v>1090</v>
      </c>
      <c r="DE26" s="33" t="s">
        <v>1091</v>
      </c>
      <c r="DF26" s="34" t="s">
        <v>1092</v>
      </c>
      <c r="DG26" s="27" cm="1">
        <f t="array" ref="DG26">INDEX('elenco partner'!A:M,MATCH(1,(D26='elenco partner'!A:A)*('Partner data'!M26='elenco partner'!E:E),0),4)</f>
        <v>63</v>
      </c>
      <c r="DH26" s="83" t="str">
        <f t="shared" si="20"/>
        <v>COSTO REALE</v>
      </c>
      <c r="DI26" s="20">
        <f>COUNTIFS('MY-REPORT-MAIN'!C:C,'Partner data'!DG26,'MY-REPORT-MAIN'!I:I,"Certified")</f>
        <v>1</v>
      </c>
      <c r="DJ26" s="20">
        <f>COUNTIFS(List_Of_chek_list!M:M,"&lt;&gt;26",List_Of_chek_list!B:B,'Partner data'!DG26)</f>
        <v>1</v>
      </c>
      <c r="DK26" s="20">
        <f t="shared" si="21"/>
        <v>0</v>
      </c>
      <c r="DL26" s="19" t="str">
        <f>IF(DH26="Tasso Forfettario 20%",SUMIFS(List_Of_chek_list!#REF!,List_Of_chek_list!B:B,'Partner data'!DG26),"NON PERTINENTE")</f>
        <v>NON PERTINENTE</v>
      </c>
      <c r="DM26" s="19" t="str">
        <f t="shared" si="22"/>
        <v>NON PERTINENTE</v>
      </c>
      <c r="DN26" s="110">
        <f>_xlfn.MAXIFS('MY-REPORT-MAIN'!K:K,'MY-REPORT-MAIN'!C:C,DG26)</f>
        <v>45371.469923229168</v>
      </c>
      <c r="DO26" s="112">
        <f>IF(_xlfn.MAXIFS('MY-REPORT-MAIN'!M:M,'MY-REPORT-MAIN'!C:C,DG26)=0,"Nessun rendiconto  Convalidato",_xlfn.MAXIFS('MY-REPORT-MAIN'!M:M,'MY-REPORT-MAIN'!C:C,DG26))</f>
        <v>45397.388268368057</v>
      </c>
      <c r="DP26" s="113" cm="1">
        <f t="array" ref="DP26">IFERROR(INDEX('MY-REPORT-MAIN'!A:Z,MATCH(1,(DO26='MY-REPORT-MAIN'!M:M)*('Partner data'!DG26='MY-REPORT-MAIN'!C:C),0),1),"NON è stato convalidato ancora nessun rendiconto")</f>
        <v>185</v>
      </c>
      <c r="DQ26" s="111">
        <f>IFERROR(INDEX('MY-REPORT-MAIN'!A:Z,MATCH('Partner data'!DP26,'MY-REPORT-MAIN'!A:A,0),21),"Nessun Rendiconto ancora convalidato")</f>
        <v>18095.64</v>
      </c>
      <c r="DR26" s="110">
        <f>INDEX('Interreg VI-A Italy-Slovenia_pr'!A:E,MATCH('Partner data'!C26,'Interreg VI-A Italy-Slovenia_pr'!A:A,0),3)</f>
        <v>45200</v>
      </c>
      <c r="DS26" s="118">
        <f t="shared" si="1"/>
        <v>19040</v>
      </c>
      <c r="DT26" s="118">
        <f t="shared" si="2"/>
        <v>48790</v>
      </c>
      <c r="DU26" s="118">
        <f t="shared" si="3"/>
        <v>78540</v>
      </c>
      <c r="DV26" s="118">
        <f t="shared" si="4"/>
        <v>90440</v>
      </c>
      <c r="DW26" s="118">
        <f t="shared" si="5"/>
        <v>90440</v>
      </c>
      <c r="DX26" s="118">
        <f t="shared" si="6"/>
        <v>90440</v>
      </c>
      <c r="DY26" s="118">
        <f t="shared" si="7"/>
        <v>90440</v>
      </c>
      <c r="DZ26" s="118">
        <f t="shared" si="8"/>
        <v>90440</v>
      </c>
      <c r="EA26" s="118">
        <f t="shared" si="9"/>
        <v>90440</v>
      </c>
      <c r="EB26" s="118">
        <f t="shared" si="10"/>
        <v>90440</v>
      </c>
    </row>
    <row r="27" spans="1:132" x14ac:dyDescent="0.25">
      <c r="A27" s="28">
        <v>1</v>
      </c>
      <c r="B27" s="29" t="s">
        <v>487</v>
      </c>
      <c r="C27" s="30" t="s">
        <v>1041</v>
      </c>
      <c r="D27" s="30" t="s">
        <v>288</v>
      </c>
      <c r="E27" s="30" t="s">
        <v>1042</v>
      </c>
      <c r="F27" s="30" t="s">
        <v>1043</v>
      </c>
      <c r="G27" s="30" t="s">
        <v>491</v>
      </c>
      <c r="H27" s="30" t="s">
        <v>691</v>
      </c>
      <c r="I27" s="30" t="s">
        <v>1044</v>
      </c>
      <c r="J27" s="31" t="s">
        <v>570</v>
      </c>
      <c r="K27" s="31" t="s">
        <v>495</v>
      </c>
      <c r="L27" s="31" t="s">
        <v>519</v>
      </c>
      <c r="M27" s="31" t="s">
        <v>289</v>
      </c>
      <c r="N27" s="31" t="s">
        <v>1093</v>
      </c>
      <c r="O27" s="31" t="s">
        <v>1094</v>
      </c>
      <c r="P27" s="31" t="s">
        <v>254</v>
      </c>
      <c r="Q27" s="31" t="s">
        <v>499</v>
      </c>
      <c r="R27" s="31" t="s">
        <v>273</v>
      </c>
      <c r="S27" s="32">
        <v>63999.39</v>
      </c>
      <c r="T27" s="32">
        <v>80</v>
      </c>
      <c r="U27" s="32">
        <v>12.96</v>
      </c>
      <c r="V27" s="32">
        <v>0</v>
      </c>
      <c r="W27" s="32">
        <v>0</v>
      </c>
      <c r="X27" s="32">
        <v>0</v>
      </c>
      <c r="Y27" s="32">
        <v>0</v>
      </c>
      <c r="Z27" s="32">
        <v>0</v>
      </c>
      <c r="AA27" s="32">
        <v>0</v>
      </c>
      <c r="AB27" s="32">
        <v>0</v>
      </c>
      <c r="AC27" s="32">
        <v>0</v>
      </c>
      <c r="AD27" s="32">
        <v>0</v>
      </c>
      <c r="AE27" s="32">
        <v>0</v>
      </c>
      <c r="AF27" s="32">
        <v>0</v>
      </c>
      <c r="AG27" s="32">
        <v>0</v>
      </c>
      <c r="AH27" s="32">
        <v>0</v>
      </c>
      <c r="AI27" s="32">
        <v>0</v>
      </c>
      <c r="AJ27" s="32">
        <v>0</v>
      </c>
      <c r="AK27" s="32">
        <v>0</v>
      </c>
      <c r="AL27" s="32">
        <v>0</v>
      </c>
      <c r="AM27" s="32">
        <v>0</v>
      </c>
      <c r="AN27" s="32">
        <v>0</v>
      </c>
      <c r="AO27" s="32">
        <v>15999.85</v>
      </c>
      <c r="AP27" s="32">
        <v>0</v>
      </c>
      <c r="AQ27" s="32">
        <v>15999.85</v>
      </c>
      <c r="AR27" s="32">
        <v>79999.240000000005</v>
      </c>
      <c r="AS27" s="32">
        <v>12.96</v>
      </c>
      <c r="AT27" s="32">
        <v>28296</v>
      </c>
      <c r="AU27" s="32">
        <v>0</v>
      </c>
      <c r="AV27" s="32">
        <v>0</v>
      </c>
      <c r="AW27" s="32">
        <v>28296</v>
      </c>
      <c r="AX27" s="32">
        <v>4244.3999999999996</v>
      </c>
      <c r="AY27" s="32">
        <v>4244.3999999999996</v>
      </c>
      <c r="AZ27" s="32">
        <v>1131.8399999999999</v>
      </c>
      <c r="BA27" s="32">
        <v>1131.8399999999999</v>
      </c>
      <c r="BB27" s="32">
        <v>0</v>
      </c>
      <c r="BC27" s="32">
        <v>0</v>
      </c>
      <c r="BD27" s="32">
        <v>46327</v>
      </c>
      <c r="BE27" s="32">
        <v>46327</v>
      </c>
      <c r="BF27" s="32">
        <v>0</v>
      </c>
      <c r="BG27" s="32">
        <v>0</v>
      </c>
      <c r="BH27" s="32">
        <v>0</v>
      </c>
      <c r="BI27" s="32">
        <v>0</v>
      </c>
      <c r="BJ27" s="32">
        <v>0</v>
      </c>
      <c r="BK27" s="32">
        <v>0</v>
      </c>
      <c r="BL27" s="32">
        <v>0</v>
      </c>
      <c r="BM27" s="32">
        <v>0</v>
      </c>
      <c r="BN27" s="32">
        <v>0</v>
      </c>
      <c r="BO27" s="32">
        <v>0</v>
      </c>
      <c r="BP27" s="32">
        <v>0</v>
      </c>
      <c r="BQ27" s="32">
        <v>21760</v>
      </c>
      <c r="BR27" s="32">
        <v>15770</v>
      </c>
      <c r="BS27" s="32">
        <v>12040</v>
      </c>
      <c r="BT27" s="32">
        <v>30429.24</v>
      </c>
      <c r="BU27" s="32">
        <v>0</v>
      </c>
      <c r="BV27" s="32">
        <v>0</v>
      </c>
      <c r="BW27" s="32">
        <v>0</v>
      </c>
      <c r="BX27" s="32">
        <v>0</v>
      </c>
      <c r="BY27" s="32">
        <v>0</v>
      </c>
      <c r="BZ27" s="32">
        <v>0</v>
      </c>
      <c r="CA27" s="32">
        <v>0</v>
      </c>
      <c r="CB27" s="33" t="s">
        <v>1095</v>
      </c>
      <c r="CC27" s="33" t="s">
        <v>675</v>
      </c>
      <c r="CD27" s="33" t="s">
        <v>706</v>
      </c>
      <c r="CE27" s="33" t="s">
        <v>501</v>
      </c>
      <c r="CF27" s="33" t="s">
        <v>786</v>
      </c>
      <c r="CG27" s="33" t="s">
        <v>1096</v>
      </c>
      <c r="CH27" s="33" t="s">
        <v>526</v>
      </c>
      <c r="CI27" s="33"/>
      <c r="CJ27" s="33" t="s">
        <v>212</v>
      </c>
      <c r="CK27" s="33"/>
      <c r="CL27" s="33" t="s">
        <v>212</v>
      </c>
      <c r="CM27" s="33" t="s">
        <v>625</v>
      </c>
      <c r="CN27" s="33" t="s">
        <v>254</v>
      </c>
      <c r="CO27" s="33" t="s">
        <v>273</v>
      </c>
      <c r="CP27" s="33" t="s">
        <v>1097</v>
      </c>
      <c r="CQ27" s="33" t="s">
        <v>1098</v>
      </c>
      <c r="CR27" s="33" t="s">
        <v>1099</v>
      </c>
      <c r="CS27" s="33" t="s">
        <v>1100</v>
      </c>
      <c r="CT27" s="33" t="s">
        <v>254</v>
      </c>
      <c r="CU27" s="33" t="s">
        <v>273</v>
      </c>
      <c r="CV27" s="33" t="s">
        <v>1097</v>
      </c>
      <c r="CW27" s="33" t="s">
        <v>1101</v>
      </c>
      <c r="CX27" s="33" t="s">
        <v>1099</v>
      </c>
      <c r="CY27" s="33" t="s">
        <v>1102</v>
      </c>
      <c r="CZ27" s="33" t="s">
        <v>511</v>
      </c>
      <c r="DA27" s="33" t="s">
        <v>1103</v>
      </c>
      <c r="DB27" s="33" t="s">
        <v>1049</v>
      </c>
      <c r="DC27" s="33" t="s">
        <v>1104</v>
      </c>
      <c r="DD27" s="33" t="s">
        <v>657</v>
      </c>
      <c r="DE27" s="33" t="s">
        <v>1105</v>
      </c>
      <c r="DF27" s="34" t="s">
        <v>1106</v>
      </c>
      <c r="DG27" s="27" cm="1">
        <f t="array" ref="DG27">INDEX('elenco partner'!A:M,MATCH(1,(D27='elenco partner'!A:A)*('Partner data'!M27='elenco partner'!E:E),0),4)</f>
        <v>64</v>
      </c>
      <c r="DH27" s="83" t="str">
        <f t="shared" si="20"/>
        <v>Costo Unitario Standard</v>
      </c>
      <c r="DI27" s="20">
        <f>COUNTIFS('MY-REPORT-MAIN'!C:C,'Partner data'!DG27,'MY-REPORT-MAIN'!I:I,"Certified")</f>
        <v>1</v>
      </c>
      <c r="DJ27" s="20">
        <f>COUNTIFS(List_Of_chek_list!M:M,"&lt;&gt;26",List_Of_chek_list!B:B,'Partner data'!DG27)</f>
        <v>0</v>
      </c>
      <c r="DK27" s="20">
        <f t="shared" si="21"/>
        <v>1</v>
      </c>
      <c r="DL27" s="19" t="str">
        <f>IF(DH27="Tasso Forfettario 20%",SUMIFS(List_Of_chek_list!#REF!,List_Of_chek_list!B:B,'Partner data'!DG27),"NON PERTINENTE")</f>
        <v>NON PERTINENTE</v>
      </c>
      <c r="DM27" s="19" t="str">
        <f t="shared" si="22"/>
        <v>NON PERTINENTE</v>
      </c>
      <c r="DN27" s="110">
        <f>_xlfn.MAXIFS('MY-REPORT-MAIN'!K:K,'MY-REPORT-MAIN'!C:C,DG27)</f>
        <v>45386.464671076392</v>
      </c>
      <c r="DO27" s="112">
        <f>IF(_xlfn.MAXIFS('MY-REPORT-MAIN'!M:M,'MY-REPORT-MAIN'!C:C,DG27)=0,"Nessun rendiconto  Convalidato",_xlfn.MAXIFS('MY-REPORT-MAIN'!M:M,'MY-REPORT-MAIN'!C:C,DG27))</f>
        <v>45477.501556064817</v>
      </c>
      <c r="DP27" s="113" cm="1">
        <f t="array" ref="DP27">IFERROR(INDEX('MY-REPORT-MAIN'!A:Z,MATCH(1,(DO27='MY-REPORT-MAIN'!M:M)*('Partner data'!DG27='MY-REPORT-MAIN'!C:C),0),1),"NON è stato convalidato ancora nessun rendiconto")</f>
        <v>180</v>
      </c>
      <c r="DQ27" s="111">
        <f>IFERROR(INDEX('MY-REPORT-MAIN'!A:Z,MATCH('Partner data'!DP27,'MY-REPORT-MAIN'!A:A,0),21),"Nessun Rendiconto ancora convalidato")</f>
        <v>13589.82</v>
      </c>
      <c r="DR27" s="110">
        <f>INDEX('Interreg VI-A Italy-Slovenia_pr'!A:E,MATCH('Partner data'!C27,'Interreg VI-A Italy-Slovenia_pr'!A:A,0),3)</f>
        <v>45200</v>
      </c>
      <c r="DS27" s="118">
        <f t="shared" si="1"/>
        <v>21760</v>
      </c>
      <c r="DT27" s="118">
        <f t="shared" si="2"/>
        <v>37530</v>
      </c>
      <c r="DU27" s="118">
        <f t="shared" si="3"/>
        <v>49570</v>
      </c>
      <c r="DV27" s="118">
        <f t="shared" si="4"/>
        <v>79999.240000000005</v>
      </c>
      <c r="DW27" s="118">
        <f t="shared" si="5"/>
        <v>79999.240000000005</v>
      </c>
      <c r="DX27" s="118">
        <f t="shared" si="6"/>
        <v>79999.240000000005</v>
      </c>
      <c r="DY27" s="118">
        <f t="shared" si="7"/>
        <v>79999.240000000005</v>
      </c>
      <c r="DZ27" s="118">
        <f t="shared" si="8"/>
        <v>79999.240000000005</v>
      </c>
      <c r="EA27" s="118">
        <f t="shared" si="9"/>
        <v>79999.240000000005</v>
      </c>
      <c r="EB27" s="118">
        <f t="shared" si="10"/>
        <v>79999.240000000005</v>
      </c>
    </row>
    <row r="28" spans="1:132" x14ac:dyDescent="0.25">
      <c r="A28" s="28">
        <v>1</v>
      </c>
      <c r="B28" s="29" t="s">
        <v>487</v>
      </c>
      <c r="C28" s="30" t="s">
        <v>1041</v>
      </c>
      <c r="D28" s="30" t="s">
        <v>288</v>
      </c>
      <c r="E28" s="30" t="s">
        <v>1042</v>
      </c>
      <c r="F28" s="30" t="s">
        <v>1043</v>
      </c>
      <c r="G28" s="30" t="s">
        <v>491</v>
      </c>
      <c r="H28" s="30" t="s">
        <v>691</v>
      </c>
      <c r="I28" s="30" t="s">
        <v>1044</v>
      </c>
      <c r="J28" s="31" t="s">
        <v>581</v>
      </c>
      <c r="K28" s="31" t="s">
        <v>495</v>
      </c>
      <c r="L28" s="31" t="s">
        <v>519</v>
      </c>
      <c r="M28" s="31" t="s">
        <v>291</v>
      </c>
      <c r="N28" s="31" t="s">
        <v>1107</v>
      </c>
      <c r="O28" s="31" t="s">
        <v>1108</v>
      </c>
      <c r="P28" s="31" t="s">
        <v>257</v>
      </c>
      <c r="Q28" s="31" t="s">
        <v>556</v>
      </c>
      <c r="R28" s="31" t="s">
        <v>269</v>
      </c>
      <c r="S28" s="32">
        <v>58989.2</v>
      </c>
      <c r="T28" s="32">
        <v>80</v>
      </c>
      <c r="U28" s="32">
        <v>11.94</v>
      </c>
      <c r="V28" s="32">
        <v>0</v>
      </c>
      <c r="W28" s="32">
        <v>0</v>
      </c>
      <c r="X28" s="32">
        <v>0</v>
      </c>
      <c r="Y28" s="32">
        <v>0</v>
      </c>
      <c r="Z28" s="32">
        <v>0</v>
      </c>
      <c r="AA28" s="32">
        <v>0</v>
      </c>
      <c r="AB28" s="32">
        <v>0</v>
      </c>
      <c r="AC28" s="32">
        <v>0</v>
      </c>
      <c r="AD28" s="32">
        <v>0</v>
      </c>
      <c r="AE28" s="32">
        <v>0</v>
      </c>
      <c r="AF28" s="32">
        <v>0</v>
      </c>
      <c r="AG28" s="32">
        <v>0</v>
      </c>
      <c r="AH28" s="32">
        <v>0</v>
      </c>
      <c r="AI28" s="32">
        <v>0</v>
      </c>
      <c r="AJ28" s="32">
        <v>0</v>
      </c>
      <c r="AK28" s="32">
        <v>0</v>
      </c>
      <c r="AL28" s="32">
        <v>0</v>
      </c>
      <c r="AM28" s="32">
        <v>0</v>
      </c>
      <c r="AN28" s="32">
        <v>14747.3</v>
      </c>
      <c r="AO28" s="32">
        <v>0</v>
      </c>
      <c r="AP28" s="32">
        <v>0</v>
      </c>
      <c r="AQ28" s="32">
        <v>14747.3</v>
      </c>
      <c r="AR28" s="32">
        <v>73736.5</v>
      </c>
      <c r="AS28" s="32">
        <v>11.94</v>
      </c>
      <c r="AT28" s="32">
        <v>28350</v>
      </c>
      <c r="AU28" s="32">
        <v>0</v>
      </c>
      <c r="AV28" s="32">
        <v>28350</v>
      </c>
      <c r="AW28" s="32">
        <v>0</v>
      </c>
      <c r="AX28" s="32">
        <v>4252.5</v>
      </c>
      <c r="AY28" s="32">
        <v>4252.5</v>
      </c>
      <c r="AZ28" s="32">
        <v>1134</v>
      </c>
      <c r="BA28" s="32">
        <v>1134</v>
      </c>
      <c r="BB28" s="32">
        <v>0</v>
      </c>
      <c r="BC28" s="32">
        <v>0</v>
      </c>
      <c r="BD28" s="32">
        <v>40000</v>
      </c>
      <c r="BE28" s="32">
        <v>40000</v>
      </c>
      <c r="BF28" s="32">
        <v>0</v>
      </c>
      <c r="BG28" s="32">
        <v>0</v>
      </c>
      <c r="BH28" s="32">
        <v>0</v>
      </c>
      <c r="BI28" s="32">
        <v>0</v>
      </c>
      <c r="BJ28" s="32">
        <v>0</v>
      </c>
      <c r="BK28" s="32">
        <v>0</v>
      </c>
      <c r="BL28" s="32">
        <v>0</v>
      </c>
      <c r="BM28" s="32">
        <v>0</v>
      </c>
      <c r="BN28" s="32">
        <v>0</v>
      </c>
      <c r="BO28" s="32">
        <v>0</v>
      </c>
      <c r="BP28" s="32">
        <v>0</v>
      </c>
      <c r="BQ28" s="32">
        <v>7556.5</v>
      </c>
      <c r="BR28" s="32">
        <v>23330</v>
      </c>
      <c r="BS28" s="32">
        <v>8330</v>
      </c>
      <c r="BT28" s="32">
        <v>34520</v>
      </c>
      <c r="BU28" s="32">
        <v>0</v>
      </c>
      <c r="BV28" s="32">
        <v>0</v>
      </c>
      <c r="BW28" s="32">
        <v>0</v>
      </c>
      <c r="BX28" s="32">
        <v>0</v>
      </c>
      <c r="BY28" s="32">
        <v>0</v>
      </c>
      <c r="BZ28" s="32">
        <v>0</v>
      </c>
      <c r="CA28" s="32">
        <v>0</v>
      </c>
      <c r="CB28" s="33" t="s">
        <v>665</v>
      </c>
      <c r="CC28" s="33" t="s">
        <v>743</v>
      </c>
      <c r="CD28" s="33" t="s">
        <v>653</v>
      </c>
      <c r="CE28" s="33" t="s">
        <v>684</v>
      </c>
      <c r="CF28" s="33" t="s">
        <v>1109</v>
      </c>
      <c r="CG28" s="33" t="s">
        <v>758</v>
      </c>
      <c r="CH28" s="33" t="s">
        <v>526</v>
      </c>
      <c r="CI28" s="33" t="s">
        <v>665</v>
      </c>
      <c r="CJ28" s="33" t="s">
        <v>665</v>
      </c>
      <c r="CK28" s="33" t="s">
        <v>759</v>
      </c>
      <c r="CL28" s="33" t="s">
        <v>212</v>
      </c>
      <c r="CM28" s="33"/>
      <c r="CN28" s="33" t="s">
        <v>257</v>
      </c>
      <c r="CO28" s="33" t="s">
        <v>269</v>
      </c>
      <c r="CP28" s="33" t="s">
        <v>1110</v>
      </c>
      <c r="CQ28" s="33" t="s">
        <v>760</v>
      </c>
      <c r="CR28" s="33" t="s">
        <v>761</v>
      </c>
      <c r="CS28" s="33" t="s">
        <v>1111</v>
      </c>
      <c r="CT28" s="33" t="s">
        <v>257</v>
      </c>
      <c r="CU28" s="33" t="s">
        <v>269</v>
      </c>
      <c r="CV28" s="33" t="s">
        <v>1110</v>
      </c>
      <c r="CW28" s="33" t="s">
        <v>760</v>
      </c>
      <c r="CX28" s="33" t="s">
        <v>1112</v>
      </c>
      <c r="CY28" s="33" t="s">
        <v>892</v>
      </c>
      <c r="CZ28" s="33" t="s">
        <v>762</v>
      </c>
      <c r="DA28" s="33" t="s">
        <v>763</v>
      </c>
      <c r="DB28" s="33" t="s">
        <v>895</v>
      </c>
      <c r="DC28" s="33" t="s">
        <v>881</v>
      </c>
      <c r="DD28" s="33" t="s">
        <v>1113</v>
      </c>
      <c r="DE28" s="33" t="s">
        <v>1114</v>
      </c>
      <c r="DF28" s="34" t="s">
        <v>1115</v>
      </c>
      <c r="DG28" s="27" cm="1">
        <f t="array" ref="DG28">INDEX('elenco partner'!A:M,MATCH(1,(D28='elenco partner'!A:A)*('Partner data'!M28='elenco partner'!E:E),0),4)</f>
        <v>65</v>
      </c>
      <c r="DH28" s="83" t="str">
        <f t="shared" si="20"/>
        <v>COSTO REALE</v>
      </c>
      <c r="DI28" s="20">
        <f>COUNTIFS('MY-REPORT-MAIN'!C:C,'Partner data'!DG28,'MY-REPORT-MAIN'!I:I,"Certified")</f>
        <v>1</v>
      </c>
      <c r="DJ28" s="20">
        <f>COUNTIFS(List_Of_chek_list!M:M,"&lt;&gt;26",List_Of_chek_list!B:B,'Partner data'!DG28)</f>
        <v>0</v>
      </c>
      <c r="DK28" s="20">
        <f t="shared" si="21"/>
        <v>1</v>
      </c>
      <c r="DL28" s="19" t="str">
        <f>IF(DH28="Tasso Forfettario 20%",SUMIFS(List_Of_chek_list!#REF!,List_Of_chek_list!B:B,'Partner data'!DG28),"NON PERTINENTE")</f>
        <v>NON PERTINENTE</v>
      </c>
      <c r="DM28" s="19" t="str">
        <f t="shared" si="22"/>
        <v>NON PERTINENTE</v>
      </c>
      <c r="DN28" s="110">
        <f>_xlfn.MAXIFS('MY-REPORT-MAIN'!K:K,'MY-REPORT-MAIN'!C:C,DG28)</f>
        <v>45386.872883611111</v>
      </c>
      <c r="DO28" s="112">
        <f>IF(_xlfn.MAXIFS('MY-REPORT-MAIN'!M:M,'MY-REPORT-MAIN'!C:C,DG28)=0,"Nessun rendiconto  Convalidato",_xlfn.MAXIFS('MY-REPORT-MAIN'!M:M,'MY-REPORT-MAIN'!C:C,DG28))</f>
        <v>45482.372266030092</v>
      </c>
      <c r="DP28" s="113" cm="1">
        <f t="array" ref="DP28">IFERROR(INDEX('MY-REPORT-MAIN'!A:Z,MATCH(1,(DO28='MY-REPORT-MAIN'!M:M)*('Partner data'!DG28='MY-REPORT-MAIN'!C:C),0),1),"NON è stato convalidato ancora nessun rendiconto")</f>
        <v>186</v>
      </c>
      <c r="DQ28" s="111">
        <f>IFERROR(INDEX('MY-REPORT-MAIN'!A:Z,MATCH('Partner data'!DP28,'MY-REPORT-MAIN'!A:A,0),21),"Nessun Rendiconto ancora convalidato")</f>
        <v>4676.79</v>
      </c>
      <c r="DR28" s="110">
        <f>INDEX('Interreg VI-A Italy-Slovenia_pr'!A:E,MATCH('Partner data'!C28,'Interreg VI-A Italy-Slovenia_pr'!A:A,0),3)</f>
        <v>45200</v>
      </c>
      <c r="DS28" s="118">
        <f t="shared" si="1"/>
        <v>7556.5</v>
      </c>
      <c r="DT28" s="118">
        <f t="shared" si="2"/>
        <v>30886.5</v>
      </c>
      <c r="DU28" s="118">
        <f t="shared" si="3"/>
        <v>39216.5</v>
      </c>
      <c r="DV28" s="118">
        <f t="shared" si="4"/>
        <v>73736.5</v>
      </c>
      <c r="DW28" s="118">
        <f t="shared" si="5"/>
        <v>73736.5</v>
      </c>
      <c r="DX28" s="118">
        <f t="shared" si="6"/>
        <v>73736.5</v>
      </c>
      <c r="DY28" s="118">
        <f t="shared" si="7"/>
        <v>73736.5</v>
      </c>
      <c r="DZ28" s="118">
        <f t="shared" si="8"/>
        <v>73736.5</v>
      </c>
      <c r="EA28" s="118">
        <f t="shared" si="9"/>
        <v>73736.5</v>
      </c>
      <c r="EB28" s="118">
        <f t="shared" si="10"/>
        <v>73736.5</v>
      </c>
    </row>
    <row r="29" spans="1:132" x14ac:dyDescent="0.25">
      <c r="A29" s="28">
        <v>1</v>
      </c>
      <c r="B29" s="29" t="s">
        <v>487</v>
      </c>
      <c r="C29" s="30" t="s">
        <v>1116</v>
      </c>
      <c r="D29" s="30" t="s">
        <v>61</v>
      </c>
      <c r="E29" s="30" t="s">
        <v>1117</v>
      </c>
      <c r="F29" s="30" t="s">
        <v>1118</v>
      </c>
      <c r="G29" s="30" t="s">
        <v>491</v>
      </c>
      <c r="H29" s="30" t="s">
        <v>594</v>
      </c>
      <c r="I29" s="30" t="s">
        <v>595</v>
      </c>
      <c r="J29" s="31" t="s">
        <v>494</v>
      </c>
      <c r="K29" s="31" t="s">
        <v>495</v>
      </c>
      <c r="L29" s="31" t="s">
        <v>496</v>
      </c>
      <c r="M29" s="31" t="s">
        <v>294</v>
      </c>
      <c r="N29" s="31" t="s">
        <v>1119</v>
      </c>
      <c r="O29" s="31" t="s">
        <v>1120</v>
      </c>
      <c r="P29" s="31" t="s">
        <v>257</v>
      </c>
      <c r="Q29" s="31" t="s">
        <v>556</v>
      </c>
      <c r="R29" s="31" t="s">
        <v>258</v>
      </c>
      <c r="S29" s="32">
        <v>197523.20000000001</v>
      </c>
      <c r="T29" s="32">
        <v>80</v>
      </c>
      <c r="U29" s="32">
        <v>33.36</v>
      </c>
      <c r="V29" s="32">
        <v>0</v>
      </c>
      <c r="W29" s="32">
        <v>0</v>
      </c>
      <c r="X29" s="32">
        <v>0</v>
      </c>
      <c r="Y29" s="32">
        <v>0</v>
      </c>
      <c r="Z29" s="32">
        <v>0</v>
      </c>
      <c r="AA29" s="32">
        <v>0</v>
      </c>
      <c r="AB29" s="32">
        <v>0</v>
      </c>
      <c r="AC29" s="32">
        <v>0</v>
      </c>
      <c r="AD29" s="32">
        <v>0</v>
      </c>
      <c r="AE29" s="32">
        <v>0</v>
      </c>
      <c r="AF29" s="32">
        <v>0</v>
      </c>
      <c r="AG29" s="32">
        <v>0</v>
      </c>
      <c r="AH29" s="32">
        <v>0</v>
      </c>
      <c r="AI29" s="32">
        <v>0</v>
      </c>
      <c r="AJ29" s="32">
        <v>0</v>
      </c>
      <c r="AK29" s="32">
        <v>0</v>
      </c>
      <c r="AL29" s="32">
        <v>0</v>
      </c>
      <c r="AM29" s="32">
        <v>0</v>
      </c>
      <c r="AN29" s="32">
        <v>0</v>
      </c>
      <c r="AO29" s="32">
        <v>0</v>
      </c>
      <c r="AP29" s="32">
        <v>49380.800000000003</v>
      </c>
      <c r="AQ29" s="32">
        <v>49380.800000000003</v>
      </c>
      <c r="AR29" s="32">
        <v>246904</v>
      </c>
      <c r="AS29" s="32">
        <v>33.36</v>
      </c>
      <c r="AT29" s="32">
        <v>176360</v>
      </c>
      <c r="AU29" s="32">
        <v>0</v>
      </c>
      <c r="AV29" s="32">
        <v>176360</v>
      </c>
      <c r="AW29" s="32">
        <v>0</v>
      </c>
      <c r="AX29" s="32">
        <v>0</v>
      </c>
      <c r="AY29" s="32">
        <v>0</v>
      </c>
      <c r="AZ29" s="32">
        <v>0</v>
      </c>
      <c r="BA29" s="32">
        <v>0</v>
      </c>
      <c r="BB29" s="32">
        <v>0</v>
      </c>
      <c r="BC29" s="32">
        <v>0</v>
      </c>
      <c r="BD29" s="32">
        <v>0</v>
      </c>
      <c r="BE29" s="32">
        <v>0</v>
      </c>
      <c r="BF29" s="32">
        <v>0</v>
      </c>
      <c r="BG29" s="32">
        <v>0</v>
      </c>
      <c r="BH29" s="32">
        <v>0</v>
      </c>
      <c r="BI29" s="32">
        <v>0</v>
      </c>
      <c r="BJ29" s="32">
        <v>0</v>
      </c>
      <c r="BK29" s="32">
        <v>0</v>
      </c>
      <c r="BL29" s="32">
        <v>0</v>
      </c>
      <c r="BM29" s="32">
        <v>70544</v>
      </c>
      <c r="BN29" s="32">
        <v>0</v>
      </c>
      <c r="BO29" s="32">
        <v>0</v>
      </c>
      <c r="BP29" s="32">
        <v>0</v>
      </c>
      <c r="BQ29" s="32">
        <v>50917.72</v>
      </c>
      <c r="BR29" s="32">
        <v>61726</v>
      </c>
      <c r="BS29" s="32">
        <v>67106.759999999995</v>
      </c>
      <c r="BT29" s="32">
        <v>67153.52</v>
      </c>
      <c r="BU29" s="32">
        <v>0</v>
      </c>
      <c r="BV29" s="32">
        <v>0</v>
      </c>
      <c r="BW29" s="32">
        <v>0</v>
      </c>
      <c r="BX29" s="32">
        <v>0</v>
      </c>
      <c r="BY29" s="32">
        <v>0</v>
      </c>
      <c r="BZ29" s="32">
        <v>0</v>
      </c>
      <c r="CA29" s="32">
        <v>0</v>
      </c>
      <c r="CB29" s="33" t="s">
        <v>665</v>
      </c>
      <c r="CC29" s="33" t="s">
        <v>675</v>
      </c>
      <c r="CD29" s="33" t="s">
        <v>706</v>
      </c>
      <c r="CE29" s="33" t="s">
        <v>501</v>
      </c>
      <c r="CF29" s="33" t="s">
        <v>655</v>
      </c>
      <c r="CG29" s="33" t="s">
        <v>1121</v>
      </c>
      <c r="CH29" s="33" t="s">
        <v>504</v>
      </c>
      <c r="CI29" s="33" t="s">
        <v>1122</v>
      </c>
      <c r="CJ29" s="33" t="s">
        <v>1123</v>
      </c>
      <c r="CK29" s="33"/>
      <c r="CL29" s="33" t="s">
        <v>212</v>
      </c>
      <c r="CM29" s="33"/>
      <c r="CN29" s="33" t="s">
        <v>257</v>
      </c>
      <c r="CO29" s="33" t="s">
        <v>258</v>
      </c>
      <c r="CP29" s="33" t="s">
        <v>1124</v>
      </c>
      <c r="CQ29" s="33" t="s">
        <v>620</v>
      </c>
      <c r="CR29" s="33" t="s">
        <v>621</v>
      </c>
      <c r="CS29" s="33" t="s">
        <v>1125</v>
      </c>
      <c r="CT29" s="33" t="s">
        <v>257</v>
      </c>
      <c r="CU29" s="33" t="s">
        <v>258</v>
      </c>
      <c r="CV29" s="33" t="s">
        <v>725</v>
      </c>
      <c r="CW29" s="33" t="s">
        <v>665</v>
      </c>
      <c r="CX29" s="33" t="s">
        <v>665</v>
      </c>
      <c r="CY29" s="33" t="s">
        <v>628</v>
      </c>
      <c r="CZ29" s="33" t="s">
        <v>1126</v>
      </c>
      <c r="DA29" s="33" t="s">
        <v>1127</v>
      </c>
      <c r="DB29" s="33" t="s">
        <v>628</v>
      </c>
      <c r="DC29" s="33" t="s">
        <v>1128</v>
      </c>
      <c r="DD29" s="33" t="s">
        <v>1129</v>
      </c>
      <c r="DE29" s="33" t="s">
        <v>1130</v>
      </c>
      <c r="DF29" s="34" t="s">
        <v>1131</v>
      </c>
      <c r="DG29" s="27" cm="1">
        <f t="array" ref="DG29">INDEX('elenco partner'!A:M,MATCH(1,(D29='elenco partner'!A:A)*('Partner data'!M29='elenco partner'!E:E),0),4)</f>
        <v>90</v>
      </c>
      <c r="DH29" s="83" t="str">
        <f t="shared" si="20"/>
        <v>COSTO REALE</v>
      </c>
      <c r="DI29" s="20">
        <f>COUNTIFS('MY-REPORT-MAIN'!C:C,'Partner data'!DG29,'MY-REPORT-MAIN'!I:I,"Certified")</f>
        <v>1</v>
      </c>
      <c r="DJ29" s="20">
        <f>COUNTIFS(List_Of_chek_list!M:M,"&lt;&gt;26",List_Of_chek_list!B:B,'Partner data'!DG29)</f>
        <v>1</v>
      </c>
      <c r="DK29" s="20">
        <f t="shared" si="21"/>
        <v>0</v>
      </c>
      <c r="DL29" s="19" t="str">
        <f>IF(DH29="Tasso Forfettario 20%",SUMIFS(List_Of_chek_list!#REF!,List_Of_chek_list!B:B,'Partner data'!DG29),"NON PERTINENTE")</f>
        <v>NON PERTINENTE</v>
      </c>
      <c r="DM29" s="19" t="str">
        <f t="shared" si="22"/>
        <v>NON PERTINENTE</v>
      </c>
      <c r="DN29" s="110">
        <f>_xlfn.MAXIFS('MY-REPORT-MAIN'!K:K,'MY-REPORT-MAIN'!C:C,DG29)</f>
        <v>45377.439175925923</v>
      </c>
      <c r="DO29" s="112">
        <f>IF(_xlfn.MAXIFS('MY-REPORT-MAIN'!M:M,'MY-REPORT-MAIN'!C:C,DG29)=0,"Nessun rendiconto  Convalidato",_xlfn.MAXIFS('MY-REPORT-MAIN'!M:M,'MY-REPORT-MAIN'!C:C,DG29))</f>
        <v>45434.396452847221</v>
      </c>
      <c r="DP29" s="113" cm="1">
        <f t="array" ref="DP29">IFERROR(INDEX('MY-REPORT-MAIN'!A:Z,MATCH(1,(DO29='MY-REPORT-MAIN'!M:M)*('Partner data'!DG29='MY-REPORT-MAIN'!C:C),0),1),"NON è stato convalidato ancora nessun rendiconto")</f>
        <v>200</v>
      </c>
      <c r="DQ29" s="111">
        <f>IFERROR(INDEX('MY-REPORT-MAIN'!A:Z,MATCH('Partner data'!DP29,'MY-REPORT-MAIN'!A:A,0),21),"Nessun Rendiconto ancora convalidato")</f>
        <v>61159.6</v>
      </c>
      <c r="DR29" s="110">
        <f>INDEX('Interreg VI-A Italy-Slovenia_pr'!A:E,MATCH('Partner data'!C29,'Interreg VI-A Italy-Slovenia_pr'!A:A,0),3)</f>
        <v>45170</v>
      </c>
      <c r="DS29" s="118">
        <f t="shared" si="1"/>
        <v>50917.72</v>
      </c>
      <c r="DT29" s="118">
        <f t="shared" si="2"/>
        <v>112643.72</v>
      </c>
      <c r="DU29" s="118">
        <f t="shared" si="3"/>
        <v>179750.47999999998</v>
      </c>
      <c r="DV29" s="118">
        <f t="shared" si="4"/>
        <v>246904</v>
      </c>
      <c r="DW29" s="118">
        <f t="shared" si="5"/>
        <v>246904</v>
      </c>
      <c r="DX29" s="118">
        <f t="shared" si="6"/>
        <v>246904</v>
      </c>
      <c r="DY29" s="118">
        <f t="shared" si="7"/>
        <v>246904</v>
      </c>
      <c r="DZ29" s="118">
        <f t="shared" si="8"/>
        <v>246904</v>
      </c>
      <c r="EA29" s="118">
        <f t="shared" si="9"/>
        <v>246904</v>
      </c>
      <c r="EB29" s="118">
        <f t="shared" si="10"/>
        <v>246904</v>
      </c>
    </row>
    <row r="30" spans="1:132" x14ac:dyDescent="0.25">
      <c r="A30" s="28">
        <v>1</v>
      </c>
      <c r="B30" s="29" t="s">
        <v>487</v>
      </c>
      <c r="C30" s="30" t="s">
        <v>1116</v>
      </c>
      <c r="D30" s="30" t="s">
        <v>61</v>
      </c>
      <c r="E30" s="30" t="s">
        <v>1117</v>
      </c>
      <c r="F30" s="30" t="s">
        <v>1118</v>
      </c>
      <c r="G30" s="30" t="s">
        <v>491</v>
      </c>
      <c r="H30" s="30" t="s">
        <v>594</v>
      </c>
      <c r="I30" s="30" t="s">
        <v>595</v>
      </c>
      <c r="J30" s="31" t="s">
        <v>518</v>
      </c>
      <c r="K30" s="31" t="s">
        <v>495</v>
      </c>
      <c r="L30" s="31" t="s">
        <v>519</v>
      </c>
      <c r="M30" s="31" t="s">
        <v>295</v>
      </c>
      <c r="N30" s="31" t="s">
        <v>1132</v>
      </c>
      <c r="O30" s="31" t="s">
        <v>1133</v>
      </c>
      <c r="P30" s="31" t="s">
        <v>257</v>
      </c>
      <c r="Q30" s="31" t="s">
        <v>556</v>
      </c>
      <c r="R30" s="31" t="s">
        <v>258</v>
      </c>
      <c r="S30" s="32">
        <v>73360</v>
      </c>
      <c r="T30" s="32">
        <v>80</v>
      </c>
      <c r="U30" s="32">
        <v>12.39</v>
      </c>
      <c r="V30" s="32">
        <v>0</v>
      </c>
      <c r="W30" s="32">
        <v>0</v>
      </c>
      <c r="X30" s="32">
        <v>0</v>
      </c>
      <c r="Y30" s="32">
        <v>0</v>
      </c>
      <c r="Z30" s="32">
        <v>0</v>
      </c>
      <c r="AA30" s="32">
        <v>0</v>
      </c>
      <c r="AB30" s="32">
        <v>0</v>
      </c>
      <c r="AC30" s="32">
        <v>0</v>
      </c>
      <c r="AD30" s="32">
        <v>0</v>
      </c>
      <c r="AE30" s="32">
        <v>0</v>
      </c>
      <c r="AF30" s="32">
        <v>0</v>
      </c>
      <c r="AG30" s="32">
        <v>0</v>
      </c>
      <c r="AH30" s="32">
        <v>0</v>
      </c>
      <c r="AI30" s="32">
        <v>0</v>
      </c>
      <c r="AJ30" s="32">
        <v>0</v>
      </c>
      <c r="AK30" s="32">
        <v>0</v>
      </c>
      <c r="AL30" s="32">
        <v>0</v>
      </c>
      <c r="AM30" s="32">
        <v>0</v>
      </c>
      <c r="AN30" s="32">
        <v>18340</v>
      </c>
      <c r="AO30" s="32">
        <v>0</v>
      </c>
      <c r="AP30" s="32">
        <v>0</v>
      </c>
      <c r="AQ30" s="32">
        <v>18340</v>
      </c>
      <c r="AR30" s="32">
        <v>91700</v>
      </c>
      <c r="AS30" s="32">
        <v>12.39</v>
      </c>
      <c r="AT30" s="32">
        <v>65500</v>
      </c>
      <c r="AU30" s="32">
        <v>0</v>
      </c>
      <c r="AV30" s="32">
        <v>65500</v>
      </c>
      <c r="AW30" s="32">
        <v>0</v>
      </c>
      <c r="AX30" s="32">
        <v>0</v>
      </c>
      <c r="AY30" s="32">
        <v>0</v>
      </c>
      <c r="AZ30" s="32">
        <v>0</v>
      </c>
      <c r="BA30" s="32">
        <v>0</v>
      </c>
      <c r="BB30" s="32">
        <v>0</v>
      </c>
      <c r="BC30" s="32">
        <v>0</v>
      </c>
      <c r="BD30" s="32">
        <v>0</v>
      </c>
      <c r="BE30" s="32">
        <v>0</v>
      </c>
      <c r="BF30" s="32">
        <v>0</v>
      </c>
      <c r="BG30" s="32">
        <v>0</v>
      </c>
      <c r="BH30" s="32">
        <v>0</v>
      </c>
      <c r="BI30" s="32">
        <v>0</v>
      </c>
      <c r="BJ30" s="32">
        <v>0</v>
      </c>
      <c r="BK30" s="32">
        <v>0</v>
      </c>
      <c r="BL30" s="32">
        <v>0</v>
      </c>
      <c r="BM30" s="32">
        <v>26200</v>
      </c>
      <c r="BN30" s="32">
        <v>0</v>
      </c>
      <c r="BO30" s="32">
        <v>0</v>
      </c>
      <c r="BP30" s="32">
        <v>0</v>
      </c>
      <c r="BQ30" s="32">
        <v>22925</v>
      </c>
      <c r="BR30" s="32">
        <v>22925</v>
      </c>
      <c r="BS30" s="32">
        <v>22925</v>
      </c>
      <c r="BT30" s="32">
        <v>22925</v>
      </c>
      <c r="BU30" s="32">
        <v>0</v>
      </c>
      <c r="BV30" s="32">
        <v>0</v>
      </c>
      <c r="BW30" s="32">
        <v>0</v>
      </c>
      <c r="BX30" s="32">
        <v>0</v>
      </c>
      <c r="BY30" s="32">
        <v>0</v>
      </c>
      <c r="BZ30" s="32">
        <v>0</v>
      </c>
      <c r="CA30" s="32">
        <v>0</v>
      </c>
      <c r="CB30" s="33" t="s">
        <v>1134</v>
      </c>
      <c r="CC30" s="33" t="s">
        <v>640</v>
      </c>
      <c r="CD30" s="33" t="s">
        <v>558</v>
      </c>
      <c r="CE30" s="33" t="s">
        <v>523</v>
      </c>
      <c r="CF30" s="33" t="s">
        <v>641</v>
      </c>
      <c r="CG30" s="33" t="s">
        <v>1135</v>
      </c>
      <c r="CH30" s="33" t="s">
        <v>526</v>
      </c>
      <c r="CI30" s="33"/>
      <c r="CJ30" s="33" t="s">
        <v>212</v>
      </c>
      <c r="CK30" s="33" t="s">
        <v>1136</v>
      </c>
      <c r="CL30" s="33" t="s">
        <v>212</v>
      </c>
      <c r="CM30" s="33"/>
      <c r="CN30" s="33" t="s">
        <v>257</v>
      </c>
      <c r="CO30" s="33" t="s">
        <v>258</v>
      </c>
      <c r="CP30" s="33" t="s">
        <v>1137</v>
      </c>
      <c r="CQ30" s="33" t="s">
        <v>620</v>
      </c>
      <c r="CR30" s="33" t="s">
        <v>621</v>
      </c>
      <c r="CS30" s="33" t="s">
        <v>1138</v>
      </c>
      <c r="CT30" s="33" t="s">
        <v>257</v>
      </c>
      <c r="CU30" s="33" t="s">
        <v>258</v>
      </c>
      <c r="CV30" s="33" t="s">
        <v>1137</v>
      </c>
      <c r="CW30" s="33" t="s">
        <v>620</v>
      </c>
      <c r="CX30" s="33" t="s">
        <v>621</v>
      </c>
      <c r="CY30" s="33" t="s">
        <v>892</v>
      </c>
      <c r="CZ30" s="33" t="s">
        <v>1139</v>
      </c>
      <c r="DA30" s="33" t="s">
        <v>1140</v>
      </c>
      <c r="DB30" s="33" t="s">
        <v>1141</v>
      </c>
      <c r="DC30" s="33" t="s">
        <v>1142</v>
      </c>
      <c r="DD30" s="33" t="s">
        <v>1143</v>
      </c>
      <c r="DE30" s="33" t="s">
        <v>1144</v>
      </c>
      <c r="DF30" s="34" t="s">
        <v>1145</v>
      </c>
      <c r="DG30" s="27" cm="1">
        <f t="array" ref="DG30">INDEX('elenco partner'!A:M,MATCH(1,(D30='elenco partner'!A:A)*('Partner data'!M30='elenco partner'!E:E),0),4)</f>
        <v>91</v>
      </c>
      <c r="DH30" s="83" t="str">
        <f t="shared" si="20"/>
        <v>COSTO REALE</v>
      </c>
      <c r="DI30" s="20">
        <f>COUNTIFS('MY-REPORT-MAIN'!C:C,'Partner data'!DG30,'MY-REPORT-MAIN'!I:I,"Certified")</f>
        <v>1</v>
      </c>
      <c r="DJ30" s="20">
        <f>COUNTIFS(List_Of_chek_list!M:M,"&lt;&gt;26",List_Of_chek_list!B:B,'Partner data'!DG30)</f>
        <v>0</v>
      </c>
      <c r="DK30" s="20">
        <f t="shared" si="21"/>
        <v>1</v>
      </c>
      <c r="DL30" s="19" t="str">
        <f>IF(DH30="Tasso Forfettario 20%",SUMIFS(List_Of_chek_list!#REF!,List_Of_chek_list!B:B,'Partner data'!DG30),"NON PERTINENTE")</f>
        <v>NON PERTINENTE</v>
      </c>
      <c r="DM30" s="19" t="str">
        <f t="shared" si="22"/>
        <v>NON PERTINENTE</v>
      </c>
      <c r="DN30" s="110">
        <f>_xlfn.MAXIFS('MY-REPORT-MAIN'!K:K,'MY-REPORT-MAIN'!C:C,DG30)</f>
        <v>45380.58362409722</v>
      </c>
      <c r="DO30" s="112">
        <f>IF(_xlfn.MAXIFS('MY-REPORT-MAIN'!M:M,'MY-REPORT-MAIN'!C:C,DG30)=0,"Nessun rendiconto  Convalidato",_xlfn.MAXIFS('MY-REPORT-MAIN'!M:M,'MY-REPORT-MAIN'!C:C,DG30))</f>
        <v>45482.352875810182</v>
      </c>
      <c r="DP30" s="113" cm="1">
        <f t="array" ref="DP30">IFERROR(INDEX('MY-REPORT-MAIN'!A:Z,MATCH(1,(DO30='MY-REPORT-MAIN'!M:M)*('Partner data'!DG30='MY-REPORT-MAIN'!C:C),0),1),"NON è stato convalidato ancora nessun rendiconto")</f>
        <v>287</v>
      </c>
      <c r="DQ30" s="111">
        <f>IFERROR(INDEX('MY-REPORT-MAIN'!A:Z,MATCH('Partner data'!DP30,'MY-REPORT-MAIN'!A:A,0),21),"Nessun Rendiconto ancora convalidato")</f>
        <v>1991.1</v>
      </c>
      <c r="DR30" s="110">
        <f>INDEX('Interreg VI-A Italy-Slovenia_pr'!A:E,MATCH('Partner data'!C30,'Interreg VI-A Italy-Slovenia_pr'!A:A,0),3)</f>
        <v>45170</v>
      </c>
      <c r="DS30" s="118">
        <f t="shared" si="1"/>
        <v>22925</v>
      </c>
      <c r="DT30" s="118">
        <f t="shared" si="2"/>
        <v>45850</v>
      </c>
      <c r="DU30" s="118">
        <f t="shared" si="3"/>
        <v>68775</v>
      </c>
      <c r="DV30" s="118">
        <f t="shared" si="4"/>
        <v>91700</v>
      </c>
      <c r="DW30" s="118">
        <f t="shared" si="5"/>
        <v>91700</v>
      </c>
      <c r="DX30" s="118">
        <f t="shared" si="6"/>
        <v>91700</v>
      </c>
      <c r="DY30" s="118">
        <f t="shared" si="7"/>
        <v>91700</v>
      </c>
      <c r="DZ30" s="118">
        <f t="shared" si="8"/>
        <v>91700</v>
      </c>
      <c r="EA30" s="118">
        <f t="shared" si="9"/>
        <v>91700</v>
      </c>
      <c r="EB30" s="118">
        <f t="shared" si="10"/>
        <v>91700</v>
      </c>
    </row>
    <row r="31" spans="1:132" x14ac:dyDescent="0.25">
      <c r="A31" s="28">
        <v>1</v>
      </c>
      <c r="B31" s="29" t="s">
        <v>487</v>
      </c>
      <c r="C31" s="30" t="s">
        <v>1116</v>
      </c>
      <c r="D31" s="30" t="s">
        <v>61</v>
      </c>
      <c r="E31" s="30" t="s">
        <v>1117</v>
      </c>
      <c r="F31" s="30" t="s">
        <v>1118</v>
      </c>
      <c r="G31" s="30" t="s">
        <v>491</v>
      </c>
      <c r="H31" s="30" t="s">
        <v>594</v>
      </c>
      <c r="I31" s="30" t="s">
        <v>595</v>
      </c>
      <c r="J31" s="31" t="s">
        <v>538</v>
      </c>
      <c r="K31" s="31" t="s">
        <v>495</v>
      </c>
      <c r="L31" s="31" t="s">
        <v>519</v>
      </c>
      <c r="M31" s="31" t="s">
        <v>31</v>
      </c>
      <c r="N31" s="31" t="s">
        <v>1146</v>
      </c>
      <c r="O31" s="31" t="s">
        <v>1147</v>
      </c>
      <c r="P31" s="31" t="s">
        <v>254</v>
      </c>
      <c r="Q31" s="31" t="s">
        <v>499</v>
      </c>
      <c r="R31" s="31" t="s">
        <v>273</v>
      </c>
      <c r="S31" s="32">
        <v>101651.2</v>
      </c>
      <c r="T31" s="32">
        <v>80</v>
      </c>
      <c r="U31" s="32">
        <v>17.170000000000002</v>
      </c>
      <c r="V31" s="32">
        <v>0</v>
      </c>
      <c r="W31" s="32">
        <v>0</v>
      </c>
      <c r="X31" s="32">
        <v>0</v>
      </c>
      <c r="Y31" s="32">
        <v>0</v>
      </c>
      <c r="Z31" s="32">
        <v>0</v>
      </c>
      <c r="AA31" s="32">
        <v>0</v>
      </c>
      <c r="AB31" s="32">
        <v>0</v>
      </c>
      <c r="AC31" s="32">
        <v>0</v>
      </c>
      <c r="AD31" s="32">
        <v>0</v>
      </c>
      <c r="AE31" s="32">
        <v>0</v>
      </c>
      <c r="AF31" s="32">
        <v>0</v>
      </c>
      <c r="AG31" s="32">
        <v>0</v>
      </c>
      <c r="AH31" s="32">
        <v>0</v>
      </c>
      <c r="AI31" s="32">
        <v>0</v>
      </c>
      <c r="AJ31" s="32">
        <v>0</v>
      </c>
      <c r="AK31" s="32">
        <v>0</v>
      </c>
      <c r="AL31" s="32">
        <v>0</v>
      </c>
      <c r="AM31" s="32">
        <v>0</v>
      </c>
      <c r="AN31" s="32">
        <v>0</v>
      </c>
      <c r="AO31" s="32">
        <v>25412.799999999999</v>
      </c>
      <c r="AP31" s="32">
        <v>0</v>
      </c>
      <c r="AQ31" s="32">
        <v>25412.799999999999</v>
      </c>
      <c r="AR31" s="32">
        <v>127064</v>
      </c>
      <c r="AS31" s="32">
        <v>17.170000000000002</v>
      </c>
      <c r="AT31" s="32">
        <v>90760</v>
      </c>
      <c r="AU31" s="32">
        <v>0</v>
      </c>
      <c r="AV31" s="32">
        <v>90760</v>
      </c>
      <c r="AW31" s="32">
        <v>0</v>
      </c>
      <c r="AX31" s="32">
        <v>0</v>
      </c>
      <c r="AY31" s="32">
        <v>0</v>
      </c>
      <c r="AZ31" s="32">
        <v>0</v>
      </c>
      <c r="BA31" s="32">
        <v>0</v>
      </c>
      <c r="BB31" s="32">
        <v>0</v>
      </c>
      <c r="BC31" s="32">
        <v>0</v>
      </c>
      <c r="BD31" s="32">
        <v>0</v>
      </c>
      <c r="BE31" s="32">
        <v>0</v>
      </c>
      <c r="BF31" s="32">
        <v>0</v>
      </c>
      <c r="BG31" s="32">
        <v>0</v>
      </c>
      <c r="BH31" s="32">
        <v>0</v>
      </c>
      <c r="BI31" s="32">
        <v>0</v>
      </c>
      <c r="BJ31" s="32">
        <v>0</v>
      </c>
      <c r="BK31" s="32">
        <v>0</v>
      </c>
      <c r="BL31" s="32">
        <v>0</v>
      </c>
      <c r="BM31" s="32">
        <v>36304</v>
      </c>
      <c r="BN31" s="32">
        <v>0</v>
      </c>
      <c r="BO31" s="32">
        <v>0</v>
      </c>
      <c r="BP31" s="32">
        <v>0</v>
      </c>
      <c r="BQ31" s="32">
        <v>31766</v>
      </c>
      <c r="BR31" s="32">
        <v>31766</v>
      </c>
      <c r="BS31" s="32">
        <v>31766</v>
      </c>
      <c r="BT31" s="32">
        <v>31766</v>
      </c>
      <c r="BU31" s="32">
        <v>0</v>
      </c>
      <c r="BV31" s="32">
        <v>0</v>
      </c>
      <c r="BW31" s="32">
        <v>0</v>
      </c>
      <c r="BX31" s="32">
        <v>0</v>
      </c>
      <c r="BY31" s="32">
        <v>0</v>
      </c>
      <c r="BZ31" s="32">
        <v>0</v>
      </c>
      <c r="CA31" s="32">
        <v>0</v>
      </c>
      <c r="CB31" s="33" t="s">
        <v>665</v>
      </c>
      <c r="CC31" s="33" t="s">
        <v>557</v>
      </c>
      <c r="CD31" s="33" t="s">
        <v>558</v>
      </c>
      <c r="CE31" s="33" t="s">
        <v>501</v>
      </c>
      <c r="CF31" s="33" t="s">
        <v>707</v>
      </c>
      <c r="CG31" s="33" t="s">
        <v>1148</v>
      </c>
      <c r="CH31" s="33" t="s">
        <v>504</v>
      </c>
      <c r="CI31" s="33" t="s">
        <v>212</v>
      </c>
      <c r="CJ31" s="33" t="s">
        <v>1149</v>
      </c>
      <c r="CK31" s="33" t="s">
        <v>1150</v>
      </c>
      <c r="CL31" s="33" t="s">
        <v>212</v>
      </c>
      <c r="CM31" s="33"/>
      <c r="CN31" s="33" t="s">
        <v>254</v>
      </c>
      <c r="CO31" s="33" t="s">
        <v>273</v>
      </c>
      <c r="CP31" s="33" t="s">
        <v>1151</v>
      </c>
      <c r="CQ31" s="33" t="s">
        <v>661</v>
      </c>
      <c r="CR31" s="33" t="s">
        <v>662</v>
      </c>
      <c r="CS31" s="33" t="s">
        <v>1152</v>
      </c>
      <c r="CT31" s="33" t="s">
        <v>254</v>
      </c>
      <c r="CU31" s="33" t="s">
        <v>273</v>
      </c>
      <c r="CV31" s="33" t="s">
        <v>725</v>
      </c>
      <c r="CW31" s="33" t="s">
        <v>665</v>
      </c>
      <c r="CX31" s="33" t="s">
        <v>665</v>
      </c>
      <c r="CY31" s="33" t="s">
        <v>1153</v>
      </c>
      <c r="CZ31" s="33" t="s">
        <v>635</v>
      </c>
      <c r="DA31" s="33" t="s">
        <v>1154</v>
      </c>
      <c r="DB31" s="33" t="s">
        <v>745</v>
      </c>
      <c r="DC31" s="33" t="s">
        <v>1155</v>
      </c>
      <c r="DD31" s="33" t="s">
        <v>1156</v>
      </c>
      <c r="DE31" s="33" t="s">
        <v>1157</v>
      </c>
      <c r="DF31" s="34" t="s">
        <v>1158</v>
      </c>
      <c r="DG31" s="27" cm="1">
        <f t="array" ref="DG31">INDEX('elenco partner'!A:M,MATCH(1,(D31='elenco partner'!A:A)*('Partner data'!M31='elenco partner'!E:E),0),4)</f>
        <v>109</v>
      </c>
      <c r="DH31" s="83" t="str">
        <f t="shared" si="20"/>
        <v>COSTO REALE</v>
      </c>
      <c r="DI31" s="20">
        <f>COUNTIFS('MY-REPORT-MAIN'!C:C,'Partner data'!DG31,'MY-REPORT-MAIN'!I:I,"Certified")</f>
        <v>2</v>
      </c>
      <c r="DJ31" s="20">
        <f>COUNTIFS(List_Of_chek_list!M:M,"&lt;&gt;26",List_Of_chek_list!B:B,'Partner data'!DG31)</f>
        <v>1</v>
      </c>
      <c r="DK31" s="20">
        <f t="shared" si="21"/>
        <v>1</v>
      </c>
      <c r="DL31" s="19" t="str">
        <f>IF(DH31="Tasso Forfettario 20%",SUMIFS(List_Of_chek_list!#REF!,List_Of_chek_list!B:B,'Partner data'!DG31),"NON PERTINENTE")</f>
        <v>NON PERTINENTE</v>
      </c>
      <c r="DM31" s="19" t="str">
        <f t="shared" si="22"/>
        <v>NON PERTINENTE</v>
      </c>
      <c r="DN31" s="110">
        <f>_xlfn.MAXIFS('MY-REPORT-MAIN'!K:K,'MY-REPORT-MAIN'!C:C,DG31)</f>
        <v>45386.65937991898</v>
      </c>
      <c r="DO31" s="112">
        <f>IF(_xlfn.MAXIFS('MY-REPORT-MAIN'!M:M,'MY-REPORT-MAIN'!C:C,DG31)=0,"Nessun rendiconto  Convalidato",_xlfn.MAXIFS('MY-REPORT-MAIN'!M:M,'MY-REPORT-MAIN'!C:C,DG31))</f>
        <v>45470.691822731482</v>
      </c>
      <c r="DP31" s="113" cm="1">
        <f t="array" ref="DP31">IFERROR(INDEX('MY-REPORT-MAIN'!A:Z,MATCH(1,(DO31='MY-REPORT-MAIN'!M:M)*('Partner data'!DG31='MY-REPORT-MAIN'!C:C),0),1),"NON è stato convalidato ancora nessun rendiconto")</f>
        <v>313</v>
      </c>
      <c r="DQ31" s="111">
        <f>IFERROR(INDEX('MY-REPORT-MAIN'!A:Z,MATCH('Partner data'!DP31,'MY-REPORT-MAIN'!A:A,0),21),"Nessun Rendiconto ancora convalidato")</f>
        <v>22625.82</v>
      </c>
      <c r="DR31" s="110">
        <f>INDEX('Interreg VI-A Italy-Slovenia_pr'!A:E,MATCH('Partner data'!C31,'Interreg VI-A Italy-Slovenia_pr'!A:A,0),3)</f>
        <v>45170</v>
      </c>
      <c r="DS31" s="118">
        <f t="shared" si="1"/>
        <v>31766</v>
      </c>
      <c r="DT31" s="118">
        <f t="shared" si="2"/>
        <v>63532</v>
      </c>
      <c r="DU31" s="118">
        <f t="shared" si="3"/>
        <v>95298</v>
      </c>
      <c r="DV31" s="118">
        <f t="shared" si="4"/>
        <v>127064</v>
      </c>
      <c r="DW31" s="118">
        <f t="shared" si="5"/>
        <v>127064</v>
      </c>
      <c r="DX31" s="118">
        <f t="shared" si="6"/>
        <v>127064</v>
      </c>
      <c r="DY31" s="118">
        <f t="shared" si="7"/>
        <v>127064</v>
      </c>
      <c r="DZ31" s="118">
        <f t="shared" si="8"/>
        <v>127064</v>
      </c>
      <c r="EA31" s="118">
        <f t="shared" si="9"/>
        <v>127064</v>
      </c>
      <c r="EB31" s="118">
        <f t="shared" si="10"/>
        <v>127064</v>
      </c>
    </row>
    <row r="32" spans="1:132" x14ac:dyDescent="0.25">
      <c r="A32" s="28">
        <v>1</v>
      </c>
      <c r="B32" s="29" t="s">
        <v>487</v>
      </c>
      <c r="C32" s="30" t="s">
        <v>1116</v>
      </c>
      <c r="D32" s="30" t="s">
        <v>61</v>
      </c>
      <c r="E32" s="30" t="s">
        <v>1117</v>
      </c>
      <c r="F32" s="30" t="s">
        <v>1118</v>
      </c>
      <c r="G32" s="30" t="s">
        <v>491</v>
      </c>
      <c r="H32" s="30" t="s">
        <v>594</v>
      </c>
      <c r="I32" s="30" t="s">
        <v>595</v>
      </c>
      <c r="J32" s="31" t="s">
        <v>554</v>
      </c>
      <c r="K32" s="31" t="s">
        <v>495</v>
      </c>
      <c r="L32" s="31" t="s">
        <v>519</v>
      </c>
      <c r="M32" s="31" t="s">
        <v>286</v>
      </c>
      <c r="N32" s="31" t="s">
        <v>1159</v>
      </c>
      <c r="O32" s="31" t="s">
        <v>1160</v>
      </c>
      <c r="P32" s="31" t="s">
        <v>254</v>
      </c>
      <c r="Q32" s="31" t="s">
        <v>499</v>
      </c>
      <c r="R32" s="31" t="s">
        <v>273</v>
      </c>
      <c r="S32" s="32">
        <v>72833.600000000006</v>
      </c>
      <c r="T32" s="32">
        <v>80</v>
      </c>
      <c r="U32" s="32">
        <v>12.3</v>
      </c>
      <c r="V32" s="32">
        <v>0</v>
      </c>
      <c r="W32" s="32">
        <v>0</v>
      </c>
      <c r="X32" s="32">
        <v>0</v>
      </c>
      <c r="Y32" s="32">
        <v>0</v>
      </c>
      <c r="Z32" s="32">
        <v>0</v>
      </c>
      <c r="AA32" s="32">
        <v>0</v>
      </c>
      <c r="AB32" s="32">
        <v>0</v>
      </c>
      <c r="AC32" s="32">
        <v>0</v>
      </c>
      <c r="AD32" s="32">
        <v>0</v>
      </c>
      <c r="AE32" s="32">
        <v>0</v>
      </c>
      <c r="AF32" s="32">
        <v>0</v>
      </c>
      <c r="AG32" s="32">
        <v>0</v>
      </c>
      <c r="AH32" s="32">
        <v>0</v>
      </c>
      <c r="AI32" s="32">
        <v>0</v>
      </c>
      <c r="AJ32" s="32">
        <v>0</v>
      </c>
      <c r="AK32" s="32">
        <v>0</v>
      </c>
      <c r="AL32" s="32">
        <v>0</v>
      </c>
      <c r="AM32" s="32">
        <v>0</v>
      </c>
      <c r="AN32" s="32">
        <v>0</v>
      </c>
      <c r="AO32" s="32">
        <v>18208.400000000001</v>
      </c>
      <c r="AP32" s="32">
        <v>0</v>
      </c>
      <c r="AQ32" s="32">
        <v>18208.400000000001</v>
      </c>
      <c r="AR32" s="32">
        <v>91042</v>
      </c>
      <c r="AS32" s="32">
        <v>12.3</v>
      </c>
      <c r="AT32" s="32">
        <v>65030</v>
      </c>
      <c r="AU32" s="32">
        <v>0</v>
      </c>
      <c r="AV32" s="32">
        <v>0</v>
      </c>
      <c r="AW32" s="32">
        <v>65030</v>
      </c>
      <c r="AX32" s="32">
        <v>0</v>
      </c>
      <c r="AY32" s="32">
        <v>0</v>
      </c>
      <c r="AZ32" s="32">
        <v>0</v>
      </c>
      <c r="BA32" s="32">
        <v>0</v>
      </c>
      <c r="BB32" s="32">
        <v>0</v>
      </c>
      <c r="BC32" s="32">
        <v>0</v>
      </c>
      <c r="BD32" s="32">
        <v>0</v>
      </c>
      <c r="BE32" s="32">
        <v>0</v>
      </c>
      <c r="BF32" s="32">
        <v>0</v>
      </c>
      <c r="BG32" s="32">
        <v>0</v>
      </c>
      <c r="BH32" s="32">
        <v>0</v>
      </c>
      <c r="BI32" s="32">
        <v>0</v>
      </c>
      <c r="BJ32" s="32">
        <v>0</v>
      </c>
      <c r="BK32" s="32">
        <v>0</v>
      </c>
      <c r="BL32" s="32">
        <v>0</v>
      </c>
      <c r="BM32" s="32">
        <v>26012</v>
      </c>
      <c r="BN32" s="32">
        <v>0</v>
      </c>
      <c r="BO32" s="32">
        <v>0</v>
      </c>
      <c r="BP32" s="32">
        <v>0</v>
      </c>
      <c r="BQ32" s="32">
        <v>13102.6</v>
      </c>
      <c r="BR32" s="32">
        <v>29199.1</v>
      </c>
      <c r="BS32" s="32">
        <v>29199.1</v>
      </c>
      <c r="BT32" s="32">
        <v>19541.2</v>
      </c>
      <c r="BU32" s="32">
        <v>0</v>
      </c>
      <c r="BV32" s="32">
        <v>0</v>
      </c>
      <c r="BW32" s="32">
        <v>0</v>
      </c>
      <c r="BX32" s="32">
        <v>0</v>
      </c>
      <c r="BY32" s="32">
        <v>0</v>
      </c>
      <c r="BZ32" s="32">
        <v>0</v>
      </c>
      <c r="CA32" s="32">
        <v>0</v>
      </c>
      <c r="CB32" s="33" t="s">
        <v>1161</v>
      </c>
      <c r="CC32" s="33" t="s">
        <v>624</v>
      </c>
      <c r="CD32" s="33" t="s">
        <v>558</v>
      </c>
      <c r="CE32" s="33" t="s">
        <v>523</v>
      </c>
      <c r="CF32" s="33" t="s">
        <v>645</v>
      </c>
      <c r="CG32" s="33" t="s">
        <v>681</v>
      </c>
      <c r="CH32" s="33" t="s">
        <v>526</v>
      </c>
      <c r="CI32" s="33" t="s">
        <v>212</v>
      </c>
      <c r="CJ32" s="33" t="s">
        <v>212</v>
      </c>
      <c r="CK32" s="33"/>
      <c r="CL32" s="33" t="s">
        <v>212</v>
      </c>
      <c r="CM32" s="33"/>
      <c r="CN32" s="33" t="s">
        <v>254</v>
      </c>
      <c r="CO32" s="33" t="s">
        <v>273</v>
      </c>
      <c r="CP32" s="33" t="s">
        <v>1162</v>
      </c>
      <c r="CQ32" s="33" t="s">
        <v>661</v>
      </c>
      <c r="CR32" s="33" t="s">
        <v>662</v>
      </c>
      <c r="CS32" s="33" t="s">
        <v>663</v>
      </c>
      <c r="CT32" s="33" t="s">
        <v>254</v>
      </c>
      <c r="CU32" s="33" t="s">
        <v>273</v>
      </c>
      <c r="CV32" s="33" t="s">
        <v>664</v>
      </c>
      <c r="CW32" s="33" t="s">
        <v>661</v>
      </c>
      <c r="CX32" s="33" t="s">
        <v>662</v>
      </c>
      <c r="CY32" s="33" t="s">
        <v>628</v>
      </c>
      <c r="CZ32" s="33" t="s">
        <v>1163</v>
      </c>
      <c r="DA32" s="33" t="s">
        <v>1164</v>
      </c>
      <c r="DB32" s="33" t="s">
        <v>732</v>
      </c>
      <c r="DC32" s="33" t="s">
        <v>534</v>
      </c>
      <c r="DD32" s="33" t="s">
        <v>1165</v>
      </c>
      <c r="DE32" s="33" t="s">
        <v>1166</v>
      </c>
      <c r="DF32" s="34" t="s">
        <v>1167</v>
      </c>
      <c r="DG32" s="27" cm="1">
        <f t="array" ref="DG32">INDEX('elenco partner'!A:M,MATCH(1,(D32='elenco partner'!A:A)*('Partner data'!M32='elenco partner'!E:E),0),4)</f>
        <v>111</v>
      </c>
      <c r="DH32" s="83" t="str">
        <f t="shared" si="20"/>
        <v>Costo Unitario Standard</v>
      </c>
      <c r="DI32" s="20">
        <f>COUNTIFS('MY-REPORT-MAIN'!C:C,'Partner data'!DG32,'MY-REPORT-MAIN'!I:I,"Certified")</f>
        <v>1</v>
      </c>
      <c r="DJ32" s="20">
        <f>COUNTIFS(List_Of_chek_list!M:M,"&lt;&gt;26",List_Of_chek_list!B:B,'Partner data'!DG32)</f>
        <v>1</v>
      </c>
      <c r="DK32" s="20">
        <f t="shared" si="21"/>
        <v>0</v>
      </c>
      <c r="DL32" s="19" t="str">
        <f>IF(DH32="Tasso Forfettario 20%",SUMIFS(List_Of_chek_list!#REF!,List_Of_chek_list!B:B,'Partner data'!DG32),"NON PERTINENTE")</f>
        <v>NON PERTINENTE</v>
      </c>
      <c r="DM32" s="19" t="str">
        <f t="shared" si="22"/>
        <v>NON PERTINENTE</v>
      </c>
      <c r="DN32" s="110">
        <f>_xlfn.MAXIFS('MY-REPORT-MAIN'!K:K,'MY-REPORT-MAIN'!C:C,DG32)</f>
        <v>45377.395242962964</v>
      </c>
      <c r="DO32" s="112">
        <f>IF(_xlfn.MAXIFS('MY-REPORT-MAIN'!M:M,'MY-REPORT-MAIN'!C:C,DG32)=0,"Nessun rendiconto  Convalidato",_xlfn.MAXIFS('MY-REPORT-MAIN'!M:M,'MY-REPORT-MAIN'!C:C,DG32))</f>
        <v>45425.678805289353</v>
      </c>
      <c r="DP32" s="113" cm="1">
        <f t="array" ref="DP32">IFERROR(INDEX('MY-REPORT-MAIN'!A:Z,MATCH(1,(DO32='MY-REPORT-MAIN'!M:M)*('Partner data'!DG32='MY-REPORT-MAIN'!C:C),0),1),"NON è stato convalidato ancora nessun rendiconto")</f>
        <v>160</v>
      </c>
      <c r="DQ32" s="111">
        <f>IFERROR(INDEX('MY-REPORT-MAIN'!A:Z,MATCH('Partner data'!DP32,'MY-REPORT-MAIN'!A:A,0),21),"Nessun Rendiconto ancora convalidato")</f>
        <v>6623.4</v>
      </c>
      <c r="DR32" s="110">
        <f>INDEX('Interreg VI-A Italy-Slovenia_pr'!A:E,MATCH('Partner data'!C32,'Interreg VI-A Italy-Slovenia_pr'!A:A,0),3)</f>
        <v>45170</v>
      </c>
      <c r="DS32" s="118">
        <f t="shared" si="1"/>
        <v>13102.6</v>
      </c>
      <c r="DT32" s="118">
        <f t="shared" si="2"/>
        <v>42301.7</v>
      </c>
      <c r="DU32" s="118">
        <f t="shared" si="3"/>
        <v>71500.799999999988</v>
      </c>
      <c r="DV32" s="118">
        <f t="shared" si="4"/>
        <v>91041.999999999985</v>
      </c>
      <c r="DW32" s="118">
        <f t="shared" si="5"/>
        <v>91041.999999999985</v>
      </c>
      <c r="DX32" s="118">
        <f t="shared" si="6"/>
        <v>91041.999999999985</v>
      </c>
      <c r="DY32" s="118">
        <f t="shared" si="7"/>
        <v>91041.999999999985</v>
      </c>
      <c r="DZ32" s="118">
        <f t="shared" si="8"/>
        <v>91041.999999999985</v>
      </c>
      <c r="EA32" s="118">
        <f t="shared" si="9"/>
        <v>91041.999999999985</v>
      </c>
      <c r="EB32" s="118">
        <f t="shared" si="10"/>
        <v>91041.999999999985</v>
      </c>
    </row>
    <row r="33" spans="1:132" x14ac:dyDescent="0.25">
      <c r="A33" s="28">
        <v>1</v>
      </c>
      <c r="B33" s="29" t="s">
        <v>487</v>
      </c>
      <c r="C33" s="30" t="s">
        <v>1116</v>
      </c>
      <c r="D33" s="30" t="s">
        <v>61</v>
      </c>
      <c r="E33" s="30" t="s">
        <v>1117</v>
      </c>
      <c r="F33" s="30" t="s">
        <v>1118</v>
      </c>
      <c r="G33" s="30" t="s">
        <v>491</v>
      </c>
      <c r="H33" s="30" t="s">
        <v>594</v>
      </c>
      <c r="I33" s="30" t="s">
        <v>595</v>
      </c>
      <c r="J33" s="31" t="s">
        <v>570</v>
      </c>
      <c r="K33" s="31" t="s">
        <v>495</v>
      </c>
      <c r="L33" s="31" t="s">
        <v>519</v>
      </c>
      <c r="M33" s="31" t="s">
        <v>293</v>
      </c>
      <c r="N33" s="31" t="s">
        <v>1168</v>
      </c>
      <c r="O33" s="31" t="s">
        <v>1169</v>
      </c>
      <c r="P33" s="31" t="s">
        <v>254</v>
      </c>
      <c r="Q33" s="31" t="s">
        <v>499</v>
      </c>
      <c r="R33" s="31" t="s">
        <v>273</v>
      </c>
      <c r="S33" s="32">
        <v>73319.679999999993</v>
      </c>
      <c r="T33" s="32">
        <v>80</v>
      </c>
      <c r="U33" s="32">
        <v>12.38</v>
      </c>
      <c r="V33" s="32">
        <v>0</v>
      </c>
      <c r="W33" s="32">
        <v>0</v>
      </c>
      <c r="X33" s="32">
        <v>0</v>
      </c>
      <c r="Y33" s="32">
        <v>0</v>
      </c>
      <c r="Z33" s="32">
        <v>0</v>
      </c>
      <c r="AA33" s="32">
        <v>0</v>
      </c>
      <c r="AB33" s="32">
        <v>0</v>
      </c>
      <c r="AC33" s="32">
        <v>0</v>
      </c>
      <c r="AD33" s="32">
        <v>0</v>
      </c>
      <c r="AE33" s="32">
        <v>0</v>
      </c>
      <c r="AF33" s="32">
        <v>0</v>
      </c>
      <c r="AG33" s="32">
        <v>0</v>
      </c>
      <c r="AH33" s="32">
        <v>0</v>
      </c>
      <c r="AI33" s="32">
        <v>0</v>
      </c>
      <c r="AJ33" s="32">
        <v>0</v>
      </c>
      <c r="AK33" s="32">
        <v>0</v>
      </c>
      <c r="AL33" s="32">
        <v>0</v>
      </c>
      <c r="AM33" s="32">
        <v>0</v>
      </c>
      <c r="AN33" s="32">
        <v>0</v>
      </c>
      <c r="AO33" s="32">
        <v>18329.919999999998</v>
      </c>
      <c r="AP33" s="32">
        <v>0</v>
      </c>
      <c r="AQ33" s="32">
        <v>18329.919999999998</v>
      </c>
      <c r="AR33" s="32">
        <v>91649.600000000006</v>
      </c>
      <c r="AS33" s="32">
        <v>12.38</v>
      </c>
      <c r="AT33" s="32">
        <v>65464</v>
      </c>
      <c r="AU33" s="32">
        <v>0</v>
      </c>
      <c r="AV33" s="32">
        <v>0</v>
      </c>
      <c r="AW33" s="32">
        <v>65464</v>
      </c>
      <c r="AX33" s="32">
        <v>0</v>
      </c>
      <c r="AY33" s="32">
        <v>0</v>
      </c>
      <c r="AZ33" s="32">
        <v>0</v>
      </c>
      <c r="BA33" s="32">
        <v>0</v>
      </c>
      <c r="BB33" s="32">
        <v>0</v>
      </c>
      <c r="BC33" s="32">
        <v>0</v>
      </c>
      <c r="BD33" s="32">
        <v>0</v>
      </c>
      <c r="BE33" s="32">
        <v>0</v>
      </c>
      <c r="BF33" s="32">
        <v>0</v>
      </c>
      <c r="BG33" s="32">
        <v>0</v>
      </c>
      <c r="BH33" s="32">
        <v>0</v>
      </c>
      <c r="BI33" s="32">
        <v>0</v>
      </c>
      <c r="BJ33" s="32">
        <v>0</v>
      </c>
      <c r="BK33" s="32">
        <v>0</v>
      </c>
      <c r="BL33" s="32">
        <v>0</v>
      </c>
      <c r="BM33" s="32">
        <v>26185.599999999999</v>
      </c>
      <c r="BN33" s="32">
        <v>0</v>
      </c>
      <c r="BO33" s="32">
        <v>0</v>
      </c>
      <c r="BP33" s="32">
        <v>0</v>
      </c>
      <c r="BQ33" s="32">
        <v>21362.6</v>
      </c>
      <c r="BR33" s="32">
        <v>23945.599999999999</v>
      </c>
      <c r="BS33" s="32">
        <v>23945.599999999999</v>
      </c>
      <c r="BT33" s="32">
        <v>22395.8</v>
      </c>
      <c r="BU33" s="32">
        <v>0</v>
      </c>
      <c r="BV33" s="32">
        <v>0</v>
      </c>
      <c r="BW33" s="32">
        <v>0</v>
      </c>
      <c r="BX33" s="32">
        <v>0</v>
      </c>
      <c r="BY33" s="32">
        <v>0</v>
      </c>
      <c r="BZ33" s="32">
        <v>0</v>
      </c>
      <c r="CA33" s="32">
        <v>0</v>
      </c>
      <c r="CB33" s="33" t="s">
        <v>1170</v>
      </c>
      <c r="CC33" s="33" t="s">
        <v>640</v>
      </c>
      <c r="CD33" s="33" t="s">
        <v>558</v>
      </c>
      <c r="CE33" s="33" t="s">
        <v>523</v>
      </c>
      <c r="CF33" s="33" t="s">
        <v>1171</v>
      </c>
      <c r="CG33" s="33" t="s">
        <v>1172</v>
      </c>
      <c r="CH33" s="33" t="s">
        <v>504</v>
      </c>
      <c r="CI33" s="33"/>
      <c r="CJ33" s="33" t="s">
        <v>212</v>
      </c>
      <c r="CK33" s="33"/>
      <c r="CL33" s="33" t="s">
        <v>212</v>
      </c>
      <c r="CM33" s="33"/>
      <c r="CN33" s="33" t="s">
        <v>254</v>
      </c>
      <c r="CO33" s="33" t="s">
        <v>273</v>
      </c>
      <c r="CP33" s="33" t="s">
        <v>1173</v>
      </c>
      <c r="CQ33" s="33" t="s">
        <v>661</v>
      </c>
      <c r="CR33" s="33" t="s">
        <v>1174</v>
      </c>
      <c r="CS33" s="33" t="s">
        <v>1175</v>
      </c>
      <c r="CT33" s="33" t="s">
        <v>254</v>
      </c>
      <c r="CU33" s="33" t="s">
        <v>273</v>
      </c>
      <c r="CV33" s="33" t="s">
        <v>1173</v>
      </c>
      <c r="CW33" s="33" t="s">
        <v>661</v>
      </c>
      <c r="CX33" s="33" t="s">
        <v>662</v>
      </c>
      <c r="CY33" s="33" t="s">
        <v>1176</v>
      </c>
      <c r="CZ33" s="33" t="s">
        <v>1177</v>
      </c>
      <c r="DA33" s="33" t="s">
        <v>1178</v>
      </c>
      <c r="DB33" s="33" t="s">
        <v>1179</v>
      </c>
      <c r="DC33" s="33" t="s">
        <v>1180</v>
      </c>
      <c r="DD33" s="33" t="s">
        <v>1181</v>
      </c>
      <c r="DE33" s="33" t="s">
        <v>1182</v>
      </c>
      <c r="DF33" s="34" t="s">
        <v>1183</v>
      </c>
      <c r="DG33" s="27" cm="1">
        <f t="array" ref="DG33">INDEX('elenco partner'!A:M,MATCH(1,(D33='elenco partner'!A:A)*('Partner data'!M33='elenco partner'!E:E),0),4)</f>
        <v>112</v>
      </c>
      <c r="DH33" s="83" t="str">
        <f t="shared" si="20"/>
        <v>Costo Unitario Standard</v>
      </c>
      <c r="DI33" s="20">
        <f>COUNTIFS('MY-REPORT-MAIN'!C:C,'Partner data'!DG33,'MY-REPORT-MAIN'!I:I,"Certified")</f>
        <v>1</v>
      </c>
      <c r="DJ33" s="20">
        <f>COUNTIFS(List_Of_chek_list!M:M,"&lt;&gt;26",List_Of_chek_list!B:B,'Partner data'!DG33)</f>
        <v>1</v>
      </c>
      <c r="DK33" s="20">
        <f t="shared" si="21"/>
        <v>0</v>
      </c>
      <c r="DL33" s="19" t="str">
        <f>IF(DH33="Tasso Forfettario 20%",SUMIFS(List_Of_chek_list!#REF!,List_Of_chek_list!B:B,'Partner data'!DG33),"NON PERTINENTE")</f>
        <v>NON PERTINENTE</v>
      </c>
      <c r="DM33" s="19" t="str">
        <f t="shared" si="22"/>
        <v>NON PERTINENTE</v>
      </c>
      <c r="DN33" s="110">
        <f>_xlfn.MAXIFS('MY-REPORT-MAIN'!K:K,'MY-REPORT-MAIN'!C:C,DG33)</f>
        <v>45371.470704594911</v>
      </c>
      <c r="DO33" s="112">
        <f>IF(_xlfn.MAXIFS('MY-REPORT-MAIN'!M:M,'MY-REPORT-MAIN'!C:C,DG33)=0,"Nessun rendiconto  Convalidato",_xlfn.MAXIFS('MY-REPORT-MAIN'!M:M,'MY-REPORT-MAIN'!C:C,DG33))</f>
        <v>45443.670113009262</v>
      </c>
      <c r="DP33" s="113" cm="1">
        <f t="array" ref="DP33">IFERROR(INDEX('MY-REPORT-MAIN'!A:Z,MATCH(1,(DO33='MY-REPORT-MAIN'!M:M)*('Partner data'!DG33='MY-REPORT-MAIN'!C:C),0),1),"NON è stato convalidato ancora nessun rendiconto")</f>
        <v>171</v>
      </c>
      <c r="DQ33" s="111">
        <f>IFERROR(INDEX('MY-REPORT-MAIN'!A:Z,MATCH('Partner data'!DP33,'MY-REPORT-MAIN'!A:A,0),21),"Nessun Rendiconto ancora convalidato")</f>
        <v>1786.4</v>
      </c>
      <c r="DR33" s="110">
        <f>INDEX('Interreg VI-A Italy-Slovenia_pr'!A:E,MATCH('Partner data'!C33,'Interreg VI-A Italy-Slovenia_pr'!A:A,0),3)</f>
        <v>45170</v>
      </c>
      <c r="DS33" s="118">
        <f t="shared" si="1"/>
        <v>21362.6</v>
      </c>
      <c r="DT33" s="118">
        <f t="shared" si="2"/>
        <v>45308.2</v>
      </c>
      <c r="DU33" s="118">
        <f t="shared" si="3"/>
        <v>69253.799999999988</v>
      </c>
      <c r="DV33" s="118">
        <f t="shared" si="4"/>
        <v>91649.599999999991</v>
      </c>
      <c r="DW33" s="118">
        <f t="shared" si="5"/>
        <v>91649.599999999991</v>
      </c>
      <c r="DX33" s="118">
        <f t="shared" si="6"/>
        <v>91649.599999999991</v>
      </c>
      <c r="DY33" s="118">
        <f t="shared" si="7"/>
        <v>91649.599999999991</v>
      </c>
      <c r="DZ33" s="118">
        <f t="shared" si="8"/>
        <v>91649.599999999991</v>
      </c>
      <c r="EA33" s="118">
        <f t="shared" si="9"/>
        <v>91649.599999999991</v>
      </c>
      <c r="EB33" s="118">
        <f t="shared" si="10"/>
        <v>91649.599999999991</v>
      </c>
    </row>
    <row r="34" spans="1:132" x14ac:dyDescent="0.25">
      <c r="A34" s="28">
        <v>1</v>
      </c>
      <c r="B34" s="29" t="s">
        <v>487</v>
      </c>
      <c r="C34" s="30" t="s">
        <v>1116</v>
      </c>
      <c r="D34" s="30" t="s">
        <v>61</v>
      </c>
      <c r="E34" s="30" t="s">
        <v>1117</v>
      </c>
      <c r="F34" s="30" t="s">
        <v>1118</v>
      </c>
      <c r="G34" s="30" t="s">
        <v>491</v>
      </c>
      <c r="H34" s="30" t="s">
        <v>594</v>
      </c>
      <c r="I34" s="30" t="s">
        <v>595</v>
      </c>
      <c r="J34" s="31" t="s">
        <v>581</v>
      </c>
      <c r="K34" s="31" t="s">
        <v>495</v>
      </c>
      <c r="L34" s="31" t="s">
        <v>519</v>
      </c>
      <c r="M34" s="31" t="s">
        <v>53</v>
      </c>
      <c r="N34" s="31" t="s">
        <v>1184</v>
      </c>
      <c r="O34" s="31" t="s">
        <v>1185</v>
      </c>
      <c r="P34" s="31" t="s">
        <v>257</v>
      </c>
      <c r="Q34" s="31" t="s">
        <v>556</v>
      </c>
      <c r="R34" s="31" t="s">
        <v>258</v>
      </c>
      <c r="S34" s="32">
        <v>73360</v>
      </c>
      <c r="T34" s="32">
        <v>80</v>
      </c>
      <c r="U34" s="32">
        <v>12.39</v>
      </c>
      <c r="V34" s="32">
        <v>0</v>
      </c>
      <c r="W34" s="32">
        <v>0</v>
      </c>
      <c r="X34" s="32">
        <v>0</v>
      </c>
      <c r="Y34" s="32">
        <v>0</v>
      </c>
      <c r="Z34" s="32">
        <v>0</v>
      </c>
      <c r="AA34" s="32">
        <v>0</v>
      </c>
      <c r="AB34" s="32">
        <v>0</v>
      </c>
      <c r="AC34" s="32">
        <v>0</v>
      </c>
      <c r="AD34" s="32">
        <v>0</v>
      </c>
      <c r="AE34" s="32">
        <v>0</v>
      </c>
      <c r="AF34" s="32">
        <v>0</v>
      </c>
      <c r="AG34" s="32">
        <v>0</v>
      </c>
      <c r="AH34" s="32">
        <v>0</v>
      </c>
      <c r="AI34" s="32">
        <v>0</v>
      </c>
      <c r="AJ34" s="32">
        <v>0</v>
      </c>
      <c r="AK34" s="32">
        <v>0</v>
      </c>
      <c r="AL34" s="32">
        <v>0</v>
      </c>
      <c r="AM34" s="32">
        <v>0</v>
      </c>
      <c r="AN34" s="32">
        <v>18340</v>
      </c>
      <c r="AO34" s="32">
        <v>0</v>
      </c>
      <c r="AP34" s="32">
        <v>0</v>
      </c>
      <c r="AQ34" s="32">
        <v>18340</v>
      </c>
      <c r="AR34" s="32">
        <v>91700</v>
      </c>
      <c r="AS34" s="32">
        <v>12.39</v>
      </c>
      <c r="AT34" s="32">
        <v>65500</v>
      </c>
      <c r="AU34" s="32">
        <v>0</v>
      </c>
      <c r="AV34" s="32">
        <v>65500</v>
      </c>
      <c r="AW34" s="32">
        <v>0</v>
      </c>
      <c r="AX34" s="32">
        <v>0</v>
      </c>
      <c r="AY34" s="32">
        <v>0</v>
      </c>
      <c r="AZ34" s="32">
        <v>0</v>
      </c>
      <c r="BA34" s="32">
        <v>0</v>
      </c>
      <c r="BB34" s="32">
        <v>0</v>
      </c>
      <c r="BC34" s="32">
        <v>0</v>
      </c>
      <c r="BD34" s="32">
        <v>0</v>
      </c>
      <c r="BE34" s="32">
        <v>0</v>
      </c>
      <c r="BF34" s="32">
        <v>0</v>
      </c>
      <c r="BG34" s="32">
        <v>0</v>
      </c>
      <c r="BH34" s="32">
        <v>0</v>
      </c>
      <c r="BI34" s="32">
        <v>0</v>
      </c>
      <c r="BJ34" s="32">
        <v>0</v>
      </c>
      <c r="BK34" s="32">
        <v>0</v>
      </c>
      <c r="BL34" s="32">
        <v>0</v>
      </c>
      <c r="BM34" s="32">
        <v>26200</v>
      </c>
      <c r="BN34" s="32">
        <v>0</v>
      </c>
      <c r="BO34" s="32">
        <v>0</v>
      </c>
      <c r="BP34" s="32">
        <v>0</v>
      </c>
      <c r="BQ34" s="32">
        <v>22925.14</v>
      </c>
      <c r="BR34" s="32">
        <v>22925.14</v>
      </c>
      <c r="BS34" s="32">
        <v>22925</v>
      </c>
      <c r="BT34" s="32">
        <v>22924.720000000001</v>
      </c>
      <c r="BU34" s="32">
        <v>0</v>
      </c>
      <c r="BV34" s="32">
        <v>0</v>
      </c>
      <c r="BW34" s="32">
        <v>0</v>
      </c>
      <c r="BX34" s="32">
        <v>0</v>
      </c>
      <c r="BY34" s="32">
        <v>0</v>
      </c>
      <c r="BZ34" s="32">
        <v>0</v>
      </c>
      <c r="CA34" s="32">
        <v>0</v>
      </c>
      <c r="CB34" s="33" t="s">
        <v>665</v>
      </c>
      <c r="CC34" s="33" t="s">
        <v>640</v>
      </c>
      <c r="CD34" s="33" t="s">
        <v>617</v>
      </c>
      <c r="CE34" s="33" t="s">
        <v>523</v>
      </c>
      <c r="CF34" s="33" t="s">
        <v>1186</v>
      </c>
      <c r="CG34" s="33" t="s">
        <v>1187</v>
      </c>
      <c r="CH34" s="33" t="s">
        <v>619</v>
      </c>
      <c r="CI34" s="33" t="s">
        <v>1188</v>
      </c>
      <c r="CJ34" s="33" t="s">
        <v>1123</v>
      </c>
      <c r="CK34" s="33" t="s">
        <v>1189</v>
      </c>
      <c r="CL34" s="33" t="s">
        <v>212</v>
      </c>
      <c r="CM34" s="33"/>
      <c r="CN34" s="33" t="s">
        <v>257</v>
      </c>
      <c r="CO34" s="33" t="s">
        <v>258</v>
      </c>
      <c r="CP34" s="33" t="s">
        <v>1190</v>
      </c>
      <c r="CQ34" s="33" t="s">
        <v>620</v>
      </c>
      <c r="CR34" s="33" t="s">
        <v>621</v>
      </c>
      <c r="CS34" s="33" t="s">
        <v>1191</v>
      </c>
      <c r="CT34" s="33" t="s">
        <v>257</v>
      </c>
      <c r="CU34" s="33" t="s">
        <v>258</v>
      </c>
      <c r="CV34" s="33" t="s">
        <v>725</v>
      </c>
      <c r="CW34" s="33" t="s">
        <v>665</v>
      </c>
      <c r="CX34" s="33" t="s">
        <v>665</v>
      </c>
      <c r="CY34" s="33" t="s">
        <v>892</v>
      </c>
      <c r="CZ34" s="33" t="s">
        <v>1192</v>
      </c>
      <c r="DA34" s="33" t="s">
        <v>1193</v>
      </c>
      <c r="DB34" s="33" t="s">
        <v>892</v>
      </c>
      <c r="DC34" s="33" t="s">
        <v>700</v>
      </c>
      <c r="DD34" s="33" t="s">
        <v>1194</v>
      </c>
      <c r="DE34" s="33" t="s">
        <v>1195</v>
      </c>
      <c r="DF34" s="34" t="s">
        <v>1196</v>
      </c>
      <c r="DG34" s="27" cm="1">
        <f t="array" ref="DG34">INDEX('elenco partner'!A:M,MATCH(1,(D34='elenco partner'!A:A)*('Partner data'!M34='elenco partner'!E:E),0),4)</f>
        <v>113</v>
      </c>
      <c r="DH34" s="83" t="str">
        <f t="shared" si="20"/>
        <v>COSTO REALE</v>
      </c>
      <c r="DI34" s="20">
        <f>COUNTIFS('MY-REPORT-MAIN'!C:C,'Partner data'!DG34,'MY-REPORT-MAIN'!I:I,"Certified")</f>
        <v>1</v>
      </c>
      <c r="DJ34" s="20">
        <f>COUNTIFS(List_Of_chek_list!M:M,"&lt;&gt;26",List_Of_chek_list!B:B,'Partner data'!DG34)</f>
        <v>1</v>
      </c>
      <c r="DK34" s="20">
        <f t="shared" si="21"/>
        <v>0</v>
      </c>
      <c r="DL34" s="19" t="str">
        <f>IF(DH34="Tasso Forfettario 20%",SUMIFS(List_Of_chek_list!#REF!,List_Of_chek_list!B:B,'Partner data'!DG34),"NON PERTINENTE")</f>
        <v>NON PERTINENTE</v>
      </c>
      <c r="DM34" s="19" t="str">
        <f t="shared" si="22"/>
        <v>NON PERTINENTE</v>
      </c>
      <c r="DN34" s="110">
        <f>_xlfn.MAXIFS('MY-REPORT-MAIN'!K:K,'MY-REPORT-MAIN'!C:C,DG34)</f>
        <v>45359.540629490744</v>
      </c>
      <c r="DO34" s="112">
        <f>IF(_xlfn.MAXIFS('MY-REPORT-MAIN'!M:M,'MY-REPORT-MAIN'!C:C,DG34)=0,"Nessun rendiconto  Convalidato",_xlfn.MAXIFS('MY-REPORT-MAIN'!M:M,'MY-REPORT-MAIN'!C:C,DG34))</f>
        <v>45399.418722291666</v>
      </c>
      <c r="DP34" s="113" cm="1">
        <f t="array" ref="DP34">IFERROR(INDEX('MY-REPORT-MAIN'!A:Z,MATCH(1,(DO34='MY-REPORT-MAIN'!M:M)*('Partner data'!DG34='MY-REPORT-MAIN'!C:C),0),1),"NON è stato convalidato ancora nessun rendiconto")</f>
        <v>204</v>
      </c>
      <c r="DQ34" s="111">
        <f>IFERROR(INDEX('MY-REPORT-MAIN'!A:Z,MATCH('Partner data'!DP34,'MY-REPORT-MAIN'!A:A,0),21),"Nessun Rendiconto ancora convalidato")</f>
        <v>19532.7</v>
      </c>
      <c r="DR34" s="110">
        <f>INDEX('Interreg VI-A Italy-Slovenia_pr'!A:E,MATCH('Partner data'!C34,'Interreg VI-A Italy-Slovenia_pr'!A:A,0),3)</f>
        <v>45170</v>
      </c>
      <c r="DS34" s="118">
        <f t="shared" si="1"/>
        <v>22925.14</v>
      </c>
      <c r="DT34" s="118">
        <f t="shared" si="2"/>
        <v>45850.28</v>
      </c>
      <c r="DU34" s="118">
        <f t="shared" si="3"/>
        <v>68775.28</v>
      </c>
      <c r="DV34" s="118">
        <f t="shared" si="4"/>
        <v>91700</v>
      </c>
      <c r="DW34" s="118">
        <f t="shared" si="5"/>
        <v>91700</v>
      </c>
      <c r="DX34" s="118">
        <f t="shared" si="6"/>
        <v>91700</v>
      </c>
      <c r="DY34" s="118">
        <f t="shared" si="7"/>
        <v>91700</v>
      </c>
      <c r="DZ34" s="118">
        <f t="shared" si="8"/>
        <v>91700</v>
      </c>
      <c r="EA34" s="118">
        <f t="shared" si="9"/>
        <v>91700</v>
      </c>
      <c r="EB34" s="118">
        <f t="shared" si="10"/>
        <v>91700</v>
      </c>
    </row>
    <row r="35" spans="1:132" x14ac:dyDescent="0.25">
      <c r="A35" s="28">
        <v>1</v>
      </c>
      <c r="B35" s="29" t="s">
        <v>487</v>
      </c>
      <c r="C35" s="30" t="s">
        <v>1197</v>
      </c>
      <c r="D35" s="30" t="s">
        <v>296</v>
      </c>
      <c r="E35" s="30" t="s">
        <v>1198</v>
      </c>
      <c r="F35" s="30" t="s">
        <v>490</v>
      </c>
      <c r="G35" s="30" t="s">
        <v>491</v>
      </c>
      <c r="H35" s="30" t="s">
        <v>691</v>
      </c>
      <c r="I35" s="30" t="s">
        <v>945</v>
      </c>
      <c r="J35" s="31" t="s">
        <v>494</v>
      </c>
      <c r="K35" s="31" t="s">
        <v>495</v>
      </c>
      <c r="L35" s="31" t="s">
        <v>496</v>
      </c>
      <c r="M35" s="31" t="s">
        <v>275</v>
      </c>
      <c r="N35" s="31" t="s">
        <v>852</v>
      </c>
      <c r="O35" s="31" t="s">
        <v>853</v>
      </c>
      <c r="P35" s="31" t="s">
        <v>257</v>
      </c>
      <c r="Q35" s="31" t="s">
        <v>556</v>
      </c>
      <c r="R35" s="31" t="s">
        <v>269</v>
      </c>
      <c r="S35" s="32">
        <v>129118.24</v>
      </c>
      <c r="T35" s="32">
        <v>80</v>
      </c>
      <c r="U35" s="32">
        <v>21.73</v>
      </c>
      <c r="V35" s="32">
        <v>0</v>
      </c>
      <c r="W35" s="32">
        <v>0</v>
      </c>
      <c r="X35" s="32">
        <v>0</v>
      </c>
      <c r="Y35" s="32">
        <v>0</v>
      </c>
      <c r="Z35" s="32">
        <v>0</v>
      </c>
      <c r="AA35" s="32">
        <v>0</v>
      </c>
      <c r="AB35" s="32">
        <v>0</v>
      </c>
      <c r="AC35" s="32">
        <v>0</v>
      </c>
      <c r="AD35" s="32">
        <v>0</v>
      </c>
      <c r="AE35" s="32">
        <v>0</v>
      </c>
      <c r="AF35" s="32">
        <v>0</v>
      </c>
      <c r="AG35" s="32">
        <v>0</v>
      </c>
      <c r="AH35" s="32">
        <v>0</v>
      </c>
      <c r="AI35" s="32">
        <v>0</v>
      </c>
      <c r="AJ35" s="32">
        <v>0</v>
      </c>
      <c r="AK35" s="32">
        <v>0</v>
      </c>
      <c r="AL35" s="32">
        <v>0</v>
      </c>
      <c r="AM35" s="32">
        <v>0</v>
      </c>
      <c r="AN35" s="32">
        <v>32279.56</v>
      </c>
      <c r="AO35" s="32">
        <v>0</v>
      </c>
      <c r="AP35" s="32">
        <v>0</v>
      </c>
      <c r="AQ35" s="32">
        <v>32279.56</v>
      </c>
      <c r="AR35" s="32">
        <v>161397.79999999999</v>
      </c>
      <c r="AS35" s="32">
        <v>21.73</v>
      </c>
      <c r="AT35" s="32">
        <v>24620</v>
      </c>
      <c r="AU35" s="32">
        <v>24620</v>
      </c>
      <c r="AV35" s="32">
        <v>0</v>
      </c>
      <c r="AW35" s="32">
        <v>0</v>
      </c>
      <c r="AX35" s="32">
        <v>3693</v>
      </c>
      <c r="AY35" s="32">
        <v>3693</v>
      </c>
      <c r="AZ35" s="32">
        <v>984.8</v>
      </c>
      <c r="BA35" s="32">
        <v>984.8</v>
      </c>
      <c r="BB35" s="32">
        <v>0</v>
      </c>
      <c r="BC35" s="32">
        <v>0</v>
      </c>
      <c r="BD35" s="32">
        <v>67000</v>
      </c>
      <c r="BE35" s="32">
        <v>67000</v>
      </c>
      <c r="BF35" s="32">
        <v>0</v>
      </c>
      <c r="BG35" s="32">
        <v>28060</v>
      </c>
      <c r="BH35" s="32">
        <v>28060</v>
      </c>
      <c r="BI35" s="32">
        <v>0</v>
      </c>
      <c r="BJ35" s="32">
        <v>28040</v>
      </c>
      <c r="BK35" s="32">
        <v>28040</v>
      </c>
      <c r="BL35" s="32">
        <v>0</v>
      </c>
      <c r="BM35" s="32">
        <v>0</v>
      </c>
      <c r="BN35" s="32">
        <v>0</v>
      </c>
      <c r="BO35" s="32">
        <v>9000</v>
      </c>
      <c r="BP35" s="32">
        <v>0</v>
      </c>
      <c r="BQ35" s="32">
        <v>10238</v>
      </c>
      <c r="BR35" s="32">
        <v>36521</v>
      </c>
      <c r="BS35" s="32">
        <v>74973.279999999999</v>
      </c>
      <c r="BT35" s="32">
        <v>39665.519999999997</v>
      </c>
      <c r="BU35" s="32">
        <v>0</v>
      </c>
      <c r="BV35" s="32">
        <v>0</v>
      </c>
      <c r="BW35" s="32">
        <v>0</v>
      </c>
      <c r="BX35" s="32">
        <v>0</v>
      </c>
      <c r="BY35" s="32">
        <v>0</v>
      </c>
      <c r="BZ35" s="32">
        <v>0</v>
      </c>
      <c r="CA35" s="32">
        <v>0</v>
      </c>
      <c r="CB35" s="33" t="s">
        <v>1199</v>
      </c>
      <c r="CC35" s="33" t="s">
        <v>522</v>
      </c>
      <c r="CD35" s="33"/>
      <c r="CE35" s="33" t="s">
        <v>523</v>
      </c>
      <c r="CF35" s="33" t="s">
        <v>636</v>
      </c>
      <c r="CG35" s="33" t="s">
        <v>803</v>
      </c>
      <c r="CH35" s="33" t="s">
        <v>526</v>
      </c>
      <c r="CI35" s="33" t="s">
        <v>665</v>
      </c>
      <c r="CJ35" s="33" t="s">
        <v>665</v>
      </c>
      <c r="CK35" s="33" t="s">
        <v>1200</v>
      </c>
      <c r="CL35" s="33" t="s">
        <v>212</v>
      </c>
      <c r="CM35" s="33"/>
      <c r="CN35" s="33" t="s">
        <v>257</v>
      </c>
      <c r="CO35" s="33" t="s">
        <v>269</v>
      </c>
      <c r="CP35" s="33" t="s">
        <v>854</v>
      </c>
      <c r="CQ35" s="33" t="s">
        <v>760</v>
      </c>
      <c r="CR35" s="33" t="s">
        <v>761</v>
      </c>
      <c r="CS35" s="33" t="s">
        <v>1201</v>
      </c>
      <c r="CT35" s="33" t="s">
        <v>257</v>
      </c>
      <c r="CU35" s="33" t="s">
        <v>269</v>
      </c>
      <c r="CV35" s="33" t="s">
        <v>854</v>
      </c>
      <c r="CW35" s="33" t="s">
        <v>760</v>
      </c>
      <c r="CX35" s="33" t="s">
        <v>761</v>
      </c>
      <c r="CY35" s="33" t="s">
        <v>892</v>
      </c>
      <c r="CZ35" s="33" t="s">
        <v>807</v>
      </c>
      <c r="DA35" s="33" t="s">
        <v>808</v>
      </c>
      <c r="DB35" s="33" t="s">
        <v>895</v>
      </c>
      <c r="DC35" s="33" t="s">
        <v>855</v>
      </c>
      <c r="DD35" s="33" t="s">
        <v>856</v>
      </c>
      <c r="DE35" s="33" t="s">
        <v>857</v>
      </c>
      <c r="DF35" s="34" t="s">
        <v>858</v>
      </c>
      <c r="DG35" s="27" cm="1">
        <f t="array" ref="DG35">INDEX('elenco partner'!A:M,MATCH(1,(D35='elenco partner'!A:A)*('Partner data'!M35='elenco partner'!E:E),0),4)</f>
        <v>52</v>
      </c>
      <c r="DH35" s="83" t="str">
        <f t="shared" si="20"/>
        <v>Tasso Forfettario 20%</v>
      </c>
      <c r="DI35" s="20">
        <f>COUNTIFS('MY-REPORT-MAIN'!C:C,'Partner data'!DG35,'MY-REPORT-MAIN'!I:I,"Certified")</f>
        <v>1</v>
      </c>
      <c r="DJ35" s="20">
        <f>COUNTIFS(List_Of_chek_list!M:M,"&lt;&gt;26",List_Of_chek_list!B:B,'Partner data'!DG35)</f>
        <v>1</v>
      </c>
      <c r="DK35" s="20">
        <f t="shared" si="21"/>
        <v>0</v>
      </c>
      <c r="DL35" s="19" t="e">
        <f>IF(DH35="Tasso Forfettario 20%",SUMIFS(List_Of_chek_list!#REF!,List_Of_chek_list!B:B,'Partner data'!DG35),"NON PERTINENTE")</f>
        <v>#REF!</v>
      </c>
      <c r="DM35" s="19" t="e">
        <f>IF(DL35="NON PERTINENTE","NON PERTINENTE",IF(DJ35=DL35,"Rischio basso","Rischio alto"))</f>
        <v>#REF!</v>
      </c>
      <c r="DN35" s="110">
        <f>_xlfn.MAXIFS('MY-REPORT-MAIN'!K:K,'MY-REPORT-MAIN'!C:C,DG35)</f>
        <v>45384.641346886572</v>
      </c>
      <c r="DO35" s="112">
        <f>IF(_xlfn.MAXIFS('MY-REPORT-MAIN'!M:M,'MY-REPORT-MAIN'!C:C,DG35)=0,"Nessun rendiconto  Convalidato",_xlfn.MAXIFS('MY-REPORT-MAIN'!M:M,'MY-REPORT-MAIN'!C:C,DG35))</f>
        <v>45461.382607789354</v>
      </c>
      <c r="DP35" s="113" cm="1">
        <f t="array" ref="DP35">IFERROR(INDEX('MY-REPORT-MAIN'!A:Z,MATCH(1,(DO35='MY-REPORT-MAIN'!M:M)*('Partner data'!DG35='MY-REPORT-MAIN'!C:C),0),1),"NON è stato convalidato ancora nessun rendiconto")</f>
        <v>262</v>
      </c>
      <c r="DQ35" s="111">
        <f>IFERROR(INDEX('MY-REPORT-MAIN'!A:Z,MATCH('Partner data'!DP35,'MY-REPORT-MAIN'!A:A,0),21),"Nessun Rendiconto ancora convalidato")</f>
        <v>9000</v>
      </c>
      <c r="DR35" s="110">
        <f>INDEX('Interreg VI-A Italy-Slovenia_pr'!A:E,MATCH('Partner data'!C35,'Interreg VI-A Italy-Slovenia_pr'!A:A,0),3)</f>
        <v>45108</v>
      </c>
      <c r="DS35" s="118">
        <f t="shared" si="1"/>
        <v>10238</v>
      </c>
      <c r="DT35" s="118">
        <f t="shared" si="2"/>
        <v>46759</v>
      </c>
      <c r="DU35" s="118">
        <f t="shared" si="3"/>
        <v>121732.28</v>
      </c>
      <c r="DV35" s="118">
        <f t="shared" si="4"/>
        <v>161397.79999999999</v>
      </c>
      <c r="DW35" s="118">
        <f t="shared" si="5"/>
        <v>161397.79999999999</v>
      </c>
      <c r="DX35" s="118">
        <f t="shared" si="6"/>
        <v>161397.79999999999</v>
      </c>
      <c r="DY35" s="118">
        <f t="shared" si="7"/>
        <v>161397.79999999999</v>
      </c>
      <c r="DZ35" s="118">
        <f t="shared" si="8"/>
        <v>161397.79999999999</v>
      </c>
      <c r="EA35" s="118">
        <f t="shared" si="9"/>
        <v>161397.79999999999</v>
      </c>
      <c r="EB35" s="118">
        <f t="shared" si="10"/>
        <v>161397.79999999999</v>
      </c>
    </row>
    <row r="36" spans="1:132" ht="45" x14ac:dyDescent="0.25">
      <c r="A36" s="28">
        <v>1</v>
      </c>
      <c r="B36" s="29" t="s">
        <v>487</v>
      </c>
      <c r="C36" s="30" t="s">
        <v>1197</v>
      </c>
      <c r="D36" s="30" t="s">
        <v>296</v>
      </c>
      <c r="E36" s="30" t="s">
        <v>1198</v>
      </c>
      <c r="F36" s="30" t="s">
        <v>490</v>
      </c>
      <c r="G36" s="30" t="s">
        <v>491</v>
      </c>
      <c r="H36" s="30" t="s">
        <v>691</v>
      </c>
      <c r="I36" s="30" t="s">
        <v>945</v>
      </c>
      <c r="J36" s="31" t="s">
        <v>518</v>
      </c>
      <c r="K36" s="31" t="s">
        <v>495</v>
      </c>
      <c r="L36" s="31" t="s">
        <v>519</v>
      </c>
      <c r="M36" s="31" t="s">
        <v>300</v>
      </c>
      <c r="N36" s="31" t="s">
        <v>1202</v>
      </c>
      <c r="O36" s="31" t="s">
        <v>1203</v>
      </c>
      <c r="P36" s="31" t="s">
        <v>257</v>
      </c>
      <c r="Q36" s="31" t="s">
        <v>556</v>
      </c>
      <c r="R36" s="31" t="s">
        <v>269</v>
      </c>
      <c r="S36" s="32">
        <v>96000</v>
      </c>
      <c r="T36" s="32">
        <v>80</v>
      </c>
      <c r="U36" s="32">
        <v>16.16</v>
      </c>
      <c r="V36" s="32">
        <v>0</v>
      </c>
      <c r="W36" s="32">
        <v>0</v>
      </c>
      <c r="X36" s="32">
        <v>0</v>
      </c>
      <c r="Y36" s="32">
        <v>0</v>
      </c>
      <c r="Z36" s="32">
        <v>0</v>
      </c>
      <c r="AA36" s="32">
        <v>0</v>
      </c>
      <c r="AB36" s="32">
        <v>0</v>
      </c>
      <c r="AC36" s="32">
        <v>0</v>
      </c>
      <c r="AD36" s="32">
        <v>0</v>
      </c>
      <c r="AE36" s="32">
        <v>0</v>
      </c>
      <c r="AF36" s="32">
        <v>0</v>
      </c>
      <c r="AG36" s="32">
        <v>0</v>
      </c>
      <c r="AH36" s="32">
        <v>0</v>
      </c>
      <c r="AI36" s="32">
        <v>0</v>
      </c>
      <c r="AJ36" s="32">
        <v>0</v>
      </c>
      <c r="AK36" s="32">
        <v>0</v>
      </c>
      <c r="AL36" s="32">
        <v>0</v>
      </c>
      <c r="AM36" s="32">
        <v>0</v>
      </c>
      <c r="AN36" s="32">
        <v>24000</v>
      </c>
      <c r="AO36" s="32">
        <v>0</v>
      </c>
      <c r="AP36" s="32">
        <v>0</v>
      </c>
      <c r="AQ36" s="32">
        <v>24000</v>
      </c>
      <c r="AR36" s="32">
        <v>120000</v>
      </c>
      <c r="AS36" s="32">
        <v>16.16</v>
      </c>
      <c r="AT36" s="32">
        <v>32200</v>
      </c>
      <c r="AU36" s="32">
        <v>0</v>
      </c>
      <c r="AV36" s="32">
        <v>32200</v>
      </c>
      <c r="AW36" s="32">
        <v>0</v>
      </c>
      <c r="AX36" s="32">
        <v>4830</v>
      </c>
      <c r="AY36" s="32">
        <v>4830</v>
      </c>
      <c r="AZ36" s="32">
        <v>1288</v>
      </c>
      <c r="BA36" s="32">
        <v>1288</v>
      </c>
      <c r="BB36" s="32">
        <v>0</v>
      </c>
      <c r="BC36" s="32">
        <v>0</v>
      </c>
      <c r="BD36" s="32">
        <v>81682</v>
      </c>
      <c r="BE36" s="32">
        <v>81682</v>
      </c>
      <c r="BF36" s="32">
        <v>0</v>
      </c>
      <c r="BG36" s="32">
        <v>0</v>
      </c>
      <c r="BH36" s="32">
        <v>0</v>
      </c>
      <c r="BI36" s="32">
        <v>0</v>
      </c>
      <c r="BJ36" s="32">
        <v>0</v>
      </c>
      <c r="BK36" s="32">
        <v>0</v>
      </c>
      <c r="BL36" s="32">
        <v>0</v>
      </c>
      <c r="BM36" s="32">
        <v>0</v>
      </c>
      <c r="BN36" s="32">
        <v>0</v>
      </c>
      <c r="BO36" s="32">
        <v>0</v>
      </c>
      <c r="BP36" s="32">
        <v>0</v>
      </c>
      <c r="BQ36" s="32">
        <v>8330</v>
      </c>
      <c r="BR36" s="32">
        <v>59520</v>
      </c>
      <c r="BS36" s="32">
        <v>27115</v>
      </c>
      <c r="BT36" s="32">
        <v>25035</v>
      </c>
      <c r="BU36" s="32">
        <v>0</v>
      </c>
      <c r="BV36" s="32">
        <v>0</v>
      </c>
      <c r="BW36" s="32">
        <v>0</v>
      </c>
      <c r="BX36" s="32">
        <v>0</v>
      </c>
      <c r="BY36" s="32">
        <v>0</v>
      </c>
      <c r="BZ36" s="32">
        <v>0</v>
      </c>
      <c r="CA36" s="32">
        <v>0</v>
      </c>
      <c r="CB36" s="33" t="s">
        <v>1204</v>
      </c>
      <c r="CC36" s="33" t="s">
        <v>522</v>
      </c>
      <c r="CD36" s="33"/>
      <c r="CE36" s="33" t="s">
        <v>523</v>
      </c>
      <c r="CF36" s="33" t="s">
        <v>636</v>
      </c>
      <c r="CG36" s="33" t="s">
        <v>1205</v>
      </c>
      <c r="CH36" s="33" t="s">
        <v>526</v>
      </c>
      <c r="CI36" s="33" t="s">
        <v>665</v>
      </c>
      <c r="CJ36" s="33" t="s">
        <v>665</v>
      </c>
      <c r="CK36" s="33" t="s">
        <v>1206</v>
      </c>
      <c r="CL36" s="33" t="s">
        <v>212</v>
      </c>
      <c r="CM36" s="33"/>
      <c r="CN36" s="33" t="s">
        <v>257</v>
      </c>
      <c r="CO36" s="33" t="s">
        <v>269</v>
      </c>
      <c r="CP36" s="33" t="s">
        <v>1207</v>
      </c>
      <c r="CQ36" s="33" t="s">
        <v>1208</v>
      </c>
      <c r="CR36" s="33" t="s">
        <v>1209</v>
      </c>
      <c r="CS36" s="33" t="s">
        <v>1210</v>
      </c>
      <c r="CT36" s="33" t="s">
        <v>257</v>
      </c>
      <c r="CU36" s="33" t="s">
        <v>269</v>
      </c>
      <c r="CV36" s="33" t="s">
        <v>1207</v>
      </c>
      <c r="CW36" s="33" t="s">
        <v>1208</v>
      </c>
      <c r="CX36" s="33" t="s">
        <v>1209</v>
      </c>
      <c r="CY36" s="33" t="s">
        <v>892</v>
      </c>
      <c r="CZ36" s="33" t="s">
        <v>1211</v>
      </c>
      <c r="DA36" s="33" t="s">
        <v>1212</v>
      </c>
      <c r="DB36" s="33" t="s">
        <v>892</v>
      </c>
      <c r="DC36" s="33" t="s">
        <v>1213</v>
      </c>
      <c r="DD36" s="33" t="s">
        <v>1214</v>
      </c>
      <c r="DE36" s="33" t="s">
        <v>1215</v>
      </c>
      <c r="DF36" s="34" t="s">
        <v>1216</v>
      </c>
      <c r="DG36" s="27" cm="1">
        <f t="array" ref="DG36">INDEX('elenco partner'!A:M,MATCH(1,(D36='elenco partner'!A:A)*('Partner data'!M36='elenco partner'!E:E),0),4)</f>
        <v>191</v>
      </c>
      <c r="DH36" s="83" t="str">
        <f t="shared" si="20"/>
        <v>COSTO REALE</v>
      </c>
      <c r="DI36" s="20">
        <f>COUNTIFS('MY-REPORT-MAIN'!C:C,'Partner data'!DG36,'MY-REPORT-MAIN'!I:I,"Certified")</f>
        <v>0</v>
      </c>
      <c r="DJ36" s="20">
        <f>COUNTIFS(List_Of_chek_list!M:M,"&lt;&gt;26",List_Of_chek_list!B:B,'Partner data'!DG36)</f>
        <v>0</v>
      </c>
      <c r="DK36" s="20">
        <f t="shared" si="21"/>
        <v>0</v>
      </c>
      <c r="DL36" s="19" t="str">
        <f>IF(DH36="Tasso Forfettario 20%",SUMIFS(List_Of_chek_list!#REF!,List_Of_chek_list!B:B,'Partner data'!DG36),"NON PERTINENTE")</f>
        <v>NON PERTINENTE</v>
      </c>
      <c r="DM36" s="19" t="str">
        <f t="shared" si="22"/>
        <v>NON PERTINENTE</v>
      </c>
      <c r="DN36" s="110">
        <f>_xlfn.MAXIFS('MY-REPORT-MAIN'!K:K,'MY-REPORT-MAIN'!C:C,DG36)</f>
        <v>0</v>
      </c>
      <c r="DO36" s="112" t="str">
        <f>IF(_xlfn.MAXIFS('MY-REPORT-MAIN'!M:M,'MY-REPORT-MAIN'!C:C,DG36)=0,"Nessun rendiconto  Convalidato",_xlfn.MAXIFS('MY-REPORT-MAIN'!M:M,'MY-REPORT-MAIN'!C:C,DG36))</f>
        <v>Nessun rendiconto  Convalidato</v>
      </c>
      <c r="DP36" s="113" t="str" cm="1">
        <f t="array" ref="DP36">IFERROR(INDEX('MY-REPORT-MAIN'!A:Z,MATCH(1,(DO36='MY-REPORT-MAIN'!M:M)*('Partner data'!DG36='MY-REPORT-MAIN'!C:C),0),1),"NON è stato convalidato ancora nessun rendiconto")</f>
        <v>NON è stato convalidato ancora nessun rendiconto</v>
      </c>
      <c r="DQ36" s="111" t="str">
        <f>IFERROR(INDEX('MY-REPORT-MAIN'!A:Z,MATCH('Partner data'!DP36,'MY-REPORT-MAIN'!A:A,0),21),"Nessun Rendiconto ancora convalidato")</f>
        <v>Nessun Rendiconto ancora convalidato</v>
      </c>
      <c r="DR36" s="110">
        <f>INDEX('Interreg VI-A Italy-Slovenia_pr'!A:E,MATCH('Partner data'!C36,'Interreg VI-A Italy-Slovenia_pr'!A:A,0),3)</f>
        <v>45108</v>
      </c>
      <c r="DS36" s="118">
        <f t="shared" si="1"/>
        <v>8330</v>
      </c>
      <c r="DT36" s="118">
        <f t="shared" si="2"/>
        <v>67850</v>
      </c>
      <c r="DU36" s="118">
        <f t="shared" si="3"/>
        <v>94965</v>
      </c>
      <c r="DV36" s="118">
        <f t="shared" si="4"/>
        <v>120000</v>
      </c>
      <c r="DW36" s="118">
        <f t="shared" si="5"/>
        <v>120000</v>
      </c>
      <c r="DX36" s="118">
        <f t="shared" si="6"/>
        <v>120000</v>
      </c>
      <c r="DY36" s="118">
        <f t="shared" si="7"/>
        <v>120000</v>
      </c>
      <c r="DZ36" s="118">
        <f t="shared" si="8"/>
        <v>120000</v>
      </c>
      <c r="EA36" s="118">
        <f t="shared" si="9"/>
        <v>120000</v>
      </c>
      <c r="EB36" s="118">
        <f t="shared" si="10"/>
        <v>120000</v>
      </c>
    </row>
    <row r="37" spans="1:132" ht="45" x14ac:dyDescent="0.25">
      <c r="A37" s="28">
        <v>1</v>
      </c>
      <c r="B37" s="29" t="s">
        <v>487</v>
      </c>
      <c r="C37" s="30" t="s">
        <v>1197</v>
      </c>
      <c r="D37" s="30" t="s">
        <v>296</v>
      </c>
      <c r="E37" s="30" t="s">
        <v>1198</v>
      </c>
      <c r="F37" s="30" t="s">
        <v>490</v>
      </c>
      <c r="G37" s="30" t="s">
        <v>491</v>
      </c>
      <c r="H37" s="30" t="s">
        <v>691</v>
      </c>
      <c r="I37" s="30" t="s">
        <v>945</v>
      </c>
      <c r="J37" s="31" t="s">
        <v>538</v>
      </c>
      <c r="K37" s="31" t="s">
        <v>495</v>
      </c>
      <c r="L37" s="31" t="s">
        <v>519</v>
      </c>
      <c r="M37" s="31" t="s">
        <v>299</v>
      </c>
      <c r="N37" s="31" t="s">
        <v>1217</v>
      </c>
      <c r="O37" s="31" t="s">
        <v>1218</v>
      </c>
      <c r="P37" s="31" t="s">
        <v>257</v>
      </c>
      <c r="Q37" s="31" t="s">
        <v>556</v>
      </c>
      <c r="R37" s="31" t="s">
        <v>269</v>
      </c>
      <c r="S37" s="32">
        <v>104800</v>
      </c>
      <c r="T37" s="32">
        <v>80</v>
      </c>
      <c r="U37" s="32">
        <v>17.64</v>
      </c>
      <c r="V37" s="32">
        <v>0</v>
      </c>
      <c r="W37" s="32">
        <v>0</v>
      </c>
      <c r="X37" s="32">
        <v>0</v>
      </c>
      <c r="Y37" s="32">
        <v>0</v>
      </c>
      <c r="Z37" s="32">
        <v>0</v>
      </c>
      <c r="AA37" s="32">
        <v>0</v>
      </c>
      <c r="AB37" s="32">
        <v>0</v>
      </c>
      <c r="AC37" s="32">
        <v>0</v>
      </c>
      <c r="AD37" s="32">
        <v>0</v>
      </c>
      <c r="AE37" s="32">
        <v>0</v>
      </c>
      <c r="AF37" s="32">
        <v>0</v>
      </c>
      <c r="AG37" s="32">
        <v>0</v>
      </c>
      <c r="AH37" s="32">
        <v>0</v>
      </c>
      <c r="AI37" s="32">
        <v>0</v>
      </c>
      <c r="AJ37" s="32">
        <v>0</v>
      </c>
      <c r="AK37" s="32">
        <v>0</v>
      </c>
      <c r="AL37" s="32">
        <v>0</v>
      </c>
      <c r="AM37" s="32">
        <v>0</v>
      </c>
      <c r="AN37" s="32">
        <v>26200</v>
      </c>
      <c r="AO37" s="32">
        <v>0</v>
      </c>
      <c r="AP37" s="32">
        <v>0</v>
      </c>
      <c r="AQ37" s="32">
        <v>26200</v>
      </c>
      <c r="AR37" s="32">
        <v>131000</v>
      </c>
      <c r="AS37" s="32">
        <v>17.64</v>
      </c>
      <c r="AT37" s="32">
        <v>0</v>
      </c>
      <c r="AU37" s="32">
        <v>0</v>
      </c>
      <c r="AV37" s="32">
        <v>0</v>
      </c>
      <c r="AW37" s="32">
        <v>0</v>
      </c>
      <c r="AX37" s="32">
        <v>0</v>
      </c>
      <c r="AY37" s="32">
        <v>0</v>
      </c>
      <c r="AZ37" s="32">
        <v>0</v>
      </c>
      <c r="BA37" s="32">
        <v>0</v>
      </c>
      <c r="BB37" s="32">
        <v>0</v>
      </c>
      <c r="BC37" s="32">
        <v>0</v>
      </c>
      <c r="BD37" s="32">
        <v>4000</v>
      </c>
      <c r="BE37" s="32">
        <v>4000</v>
      </c>
      <c r="BF37" s="32">
        <v>0</v>
      </c>
      <c r="BG37" s="32">
        <v>5000</v>
      </c>
      <c r="BH37" s="32">
        <v>5000</v>
      </c>
      <c r="BI37" s="32">
        <v>0</v>
      </c>
      <c r="BJ37" s="32">
        <v>122000</v>
      </c>
      <c r="BK37" s="32">
        <v>122000</v>
      </c>
      <c r="BL37" s="32">
        <v>0</v>
      </c>
      <c r="BM37" s="32">
        <v>0</v>
      </c>
      <c r="BN37" s="32">
        <v>0</v>
      </c>
      <c r="BO37" s="32">
        <v>0</v>
      </c>
      <c r="BP37" s="32">
        <v>0</v>
      </c>
      <c r="BQ37" s="32">
        <v>11000</v>
      </c>
      <c r="BR37" s="32">
        <v>63000</v>
      </c>
      <c r="BS37" s="32">
        <v>51000</v>
      </c>
      <c r="BT37" s="32">
        <v>6000</v>
      </c>
      <c r="BU37" s="32">
        <v>0</v>
      </c>
      <c r="BV37" s="32">
        <v>0</v>
      </c>
      <c r="BW37" s="32">
        <v>0</v>
      </c>
      <c r="BX37" s="32">
        <v>0</v>
      </c>
      <c r="BY37" s="32">
        <v>0</v>
      </c>
      <c r="BZ37" s="32">
        <v>0</v>
      </c>
      <c r="CA37" s="32">
        <v>0</v>
      </c>
      <c r="CB37" s="33" t="s">
        <v>665</v>
      </c>
      <c r="CC37" s="33" t="s">
        <v>522</v>
      </c>
      <c r="CD37" s="33"/>
      <c r="CE37" s="33" t="s">
        <v>523</v>
      </c>
      <c r="CF37" s="33" t="s">
        <v>636</v>
      </c>
      <c r="CG37" s="33" t="s">
        <v>926</v>
      </c>
      <c r="CH37" s="33" t="s">
        <v>526</v>
      </c>
      <c r="CI37" s="33" t="s">
        <v>665</v>
      </c>
      <c r="CJ37" s="33" t="s">
        <v>665</v>
      </c>
      <c r="CK37" s="33"/>
      <c r="CL37" s="33" t="s">
        <v>212</v>
      </c>
      <c r="CM37" s="33"/>
      <c r="CN37" s="33" t="s">
        <v>257</v>
      </c>
      <c r="CO37" s="33" t="s">
        <v>269</v>
      </c>
      <c r="CP37" s="33" t="s">
        <v>927</v>
      </c>
      <c r="CQ37" s="33" t="s">
        <v>928</v>
      </c>
      <c r="CR37" s="33" t="s">
        <v>929</v>
      </c>
      <c r="CS37" s="33" t="s">
        <v>930</v>
      </c>
      <c r="CT37" s="33" t="s">
        <v>257</v>
      </c>
      <c r="CU37" s="33" t="s">
        <v>269</v>
      </c>
      <c r="CV37" s="33" t="s">
        <v>927</v>
      </c>
      <c r="CW37" s="33" t="s">
        <v>928</v>
      </c>
      <c r="CX37" s="33" t="s">
        <v>929</v>
      </c>
      <c r="CY37" s="33" t="s">
        <v>892</v>
      </c>
      <c r="CZ37" s="33" t="s">
        <v>931</v>
      </c>
      <c r="DA37" s="33" t="s">
        <v>932</v>
      </c>
      <c r="DB37" s="33" t="s">
        <v>895</v>
      </c>
      <c r="DC37" s="33" t="s">
        <v>933</v>
      </c>
      <c r="DD37" s="33" t="s">
        <v>934</v>
      </c>
      <c r="DE37" s="33" t="s">
        <v>935</v>
      </c>
      <c r="DF37" s="34" t="s">
        <v>1219</v>
      </c>
      <c r="DG37" s="27" cm="1">
        <f t="array" ref="DG37">INDEX('elenco partner'!A:M,MATCH(1,(D37='elenco partner'!A:A)*('Partner data'!M37='elenco partner'!E:E),0),4)</f>
        <v>192</v>
      </c>
      <c r="DH37" s="83" t="str">
        <f t="shared" si="20"/>
        <v>BL1 non presente</v>
      </c>
      <c r="DI37" s="20">
        <f>COUNTIFS('MY-REPORT-MAIN'!C:C,'Partner data'!DG37,'MY-REPORT-MAIN'!I:I,"Certified")</f>
        <v>0</v>
      </c>
      <c r="DJ37" s="20">
        <f>COUNTIFS(List_Of_chek_list!M:M,"&lt;&gt;26",List_Of_chek_list!B:B,'Partner data'!DG37)</f>
        <v>0</v>
      </c>
      <c r="DK37" s="20">
        <f t="shared" si="21"/>
        <v>0</v>
      </c>
      <c r="DL37" s="19" t="str">
        <f>IF(DH37="Tasso Forfettario 20%",SUMIFS(List_Of_chek_list!#REF!,List_Of_chek_list!B:B,'Partner data'!DG37),"NON PERTINENTE")</f>
        <v>NON PERTINENTE</v>
      </c>
      <c r="DM37" s="19" t="str">
        <f t="shared" si="22"/>
        <v>NON PERTINENTE</v>
      </c>
      <c r="DN37" s="110">
        <f>_xlfn.MAXIFS('MY-REPORT-MAIN'!K:K,'MY-REPORT-MAIN'!C:C,DG37)</f>
        <v>0</v>
      </c>
      <c r="DO37" s="112" t="str">
        <f>IF(_xlfn.MAXIFS('MY-REPORT-MAIN'!M:M,'MY-REPORT-MAIN'!C:C,DG37)=0,"Nessun rendiconto  Convalidato",_xlfn.MAXIFS('MY-REPORT-MAIN'!M:M,'MY-REPORT-MAIN'!C:C,DG37))</f>
        <v>Nessun rendiconto  Convalidato</v>
      </c>
      <c r="DP37" s="113" t="str" cm="1">
        <f t="array" ref="DP37">IFERROR(INDEX('MY-REPORT-MAIN'!A:Z,MATCH(1,(DO37='MY-REPORT-MAIN'!M:M)*('Partner data'!DG37='MY-REPORT-MAIN'!C:C),0),1),"NON è stato convalidato ancora nessun rendiconto")</f>
        <v>NON è stato convalidato ancora nessun rendiconto</v>
      </c>
      <c r="DQ37" s="111" t="str">
        <f>IFERROR(INDEX('MY-REPORT-MAIN'!A:Z,MATCH('Partner data'!DP37,'MY-REPORT-MAIN'!A:A,0),21),"Nessun Rendiconto ancora convalidato")</f>
        <v>Nessun Rendiconto ancora convalidato</v>
      </c>
      <c r="DR37" s="110">
        <f>INDEX('Interreg VI-A Italy-Slovenia_pr'!A:E,MATCH('Partner data'!C37,'Interreg VI-A Italy-Slovenia_pr'!A:A,0),3)</f>
        <v>45108</v>
      </c>
      <c r="DS37" s="118">
        <f t="shared" si="1"/>
        <v>11000</v>
      </c>
      <c r="DT37" s="118">
        <f t="shared" si="2"/>
        <v>74000</v>
      </c>
      <c r="DU37" s="118">
        <f t="shared" si="3"/>
        <v>125000</v>
      </c>
      <c r="DV37" s="118">
        <f t="shared" si="4"/>
        <v>131000</v>
      </c>
      <c r="DW37" s="118">
        <f t="shared" si="5"/>
        <v>131000</v>
      </c>
      <c r="DX37" s="118">
        <f t="shared" si="6"/>
        <v>131000</v>
      </c>
      <c r="DY37" s="118">
        <f t="shared" si="7"/>
        <v>131000</v>
      </c>
      <c r="DZ37" s="118">
        <f t="shared" si="8"/>
        <v>131000</v>
      </c>
      <c r="EA37" s="118">
        <f t="shared" si="9"/>
        <v>131000</v>
      </c>
      <c r="EB37" s="118">
        <f t="shared" si="10"/>
        <v>131000</v>
      </c>
    </row>
    <row r="38" spans="1:132" ht="45" x14ac:dyDescent="0.25">
      <c r="A38" s="28">
        <v>1</v>
      </c>
      <c r="B38" s="29" t="s">
        <v>487</v>
      </c>
      <c r="C38" s="30" t="s">
        <v>1197</v>
      </c>
      <c r="D38" s="30" t="s">
        <v>296</v>
      </c>
      <c r="E38" s="30" t="s">
        <v>1198</v>
      </c>
      <c r="F38" s="30" t="s">
        <v>490</v>
      </c>
      <c r="G38" s="30" t="s">
        <v>491</v>
      </c>
      <c r="H38" s="30" t="s">
        <v>691</v>
      </c>
      <c r="I38" s="30" t="s">
        <v>945</v>
      </c>
      <c r="J38" s="31" t="s">
        <v>554</v>
      </c>
      <c r="K38" s="31" t="s">
        <v>495</v>
      </c>
      <c r="L38" s="31" t="s">
        <v>519</v>
      </c>
      <c r="M38" s="31" t="s">
        <v>297</v>
      </c>
      <c r="N38" s="31" t="s">
        <v>1220</v>
      </c>
      <c r="O38" s="31" t="s">
        <v>1221</v>
      </c>
      <c r="P38" s="31" t="s">
        <v>254</v>
      </c>
      <c r="Q38" s="31" t="s">
        <v>499</v>
      </c>
      <c r="R38" s="31" t="s">
        <v>266</v>
      </c>
      <c r="S38" s="32">
        <v>64376</v>
      </c>
      <c r="T38" s="32">
        <v>80</v>
      </c>
      <c r="U38" s="32">
        <v>10.83</v>
      </c>
      <c r="V38" s="32">
        <v>0</v>
      </c>
      <c r="W38" s="32">
        <v>0</v>
      </c>
      <c r="X38" s="32">
        <v>0</v>
      </c>
      <c r="Y38" s="32">
        <v>0</v>
      </c>
      <c r="Z38" s="32">
        <v>0</v>
      </c>
      <c r="AA38" s="32">
        <v>0</v>
      </c>
      <c r="AB38" s="32">
        <v>0</v>
      </c>
      <c r="AC38" s="32">
        <v>0</v>
      </c>
      <c r="AD38" s="32">
        <v>0</v>
      </c>
      <c r="AE38" s="32">
        <v>0</v>
      </c>
      <c r="AF38" s="32">
        <v>0</v>
      </c>
      <c r="AG38" s="32">
        <v>0</v>
      </c>
      <c r="AH38" s="32">
        <v>0</v>
      </c>
      <c r="AI38" s="32">
        <v>0</v>
      </c>
      <c r="AJ38" s="32">
        <v>0</v>
      </c>
      <c r="AK38" s="32">
        <v>0</v>
      </c>
      <c r="AL38" s="32">
        <v>0</v>
      </c>
      <c r="AM38" s="32">
        <v>0</v>
      </c>
      <c r="AN38" s="32">
        <v>0</v>
      </c>
      <c r="AO38" s="32">
        <v>16094</v>
      </c>
      <c r="AP38" s="32">
        <v>0</v>
      </c>
      <c r="AQ38" s="32">
        <v>16094</v>
      </c>
      <c r="AR38" s="32">
        <v>80470</v>
      </c>
      <c r="AS38" s="32">
        <v>10.83</v>
      </c>
      <c r="AT38" s="32">
        <v>13000</v>
      </c>
      <c r="AU38" s="32">
        <v>13000</v>
      </c>
      <c r="AV38" s="32">
        <v>0</v>
      </c>
      <c r="AW38" s="32">
        <v>0</v>
      </c>
      <c r="AX38" s="32">
        <v>1950</v>
      </c>
      <c r="AY38" s="32">
        <v>1950</v>
      </c>
      <c r="AZ38" s="32">
        <v>520</v>
      </c>
      <c r="BA38" s="32">
        <v>520</v>
      </c>
      <c r="BB38" s="32">
        <v>0</v>
      </c>
      <c r="BC38" s="32">
        <v>0</v>
      </c>
      <c r="BD38" s="32">
        <v>35000</v>
      </c>
      <c r="BE38" s="32">
        <v>35000</v>
      </c>
      <c r="BF38" s="32">
        <v>0</v>
      </c>
      <c r="BG38" s="32">
        <v>30000</v>
      </c>
      <c r="BH38" s="32">
        <v>30000</v>
      </c>
      <c r="BI38" s="32">
        <v>0</v>
      </c>
      <c r="BJ38" s="32">
        <v>0</v>
      </c>
      <c r="BK38" s="32">
        <v>0</v>
      </c>
      <c r="BL38" s="32">
        <v>0</v>
      </c>
      <c r="BM38" s="32">
        <v>0</v>
      </c>
      <c r="BN38" s="32">
        <v>0</v>
      </c>
      <c r="BO38" s="32">
        <v>0</v>
      </c>
      <c r="BP38" s="32">
        <v>0</v>
      </c>
      <c r="BQ38" s="32">
        <v>9285</v>
      </c>
      <c r="BR38" s="32">
        <v>12380</v>
      </c>
      <c r="BS38" s="32">
        <v>30950</v>
      </c>
      <c r="BT38" s="32">
        <v>27855</v>
      </c>
      <c r="BU38" s="32">
        <v>0</v>
      </c>
      <c r="BV38" s="32">
        <v>0</v>
      </c>
      <c r="BW38" s="32">
        <v>0</v>
      </c>
      <c r="BX38" s="32">
        <v>0</v>
      </c>
      <c r="BY38" s="32">
        <v>0</v>
      </c>
      <c r="BZ38" s="32">
        <v>0</v>
      </c>
      <c r="CA38" s="32">
        <v>0</v>
      </c>
      <c r="CB38" s="33" t="s">
        <v>665</v>
      </c>
      <c r="CC38" s="33" t="s">
        <v>743</v>
      </c>
      <c r="CD38" s="33"/>
      <c r="CE38" s="33" t="s">
        <v>523</v>
      </c>
      <c r="CF38" s="33" t="s">
        <v>1222</v>
      </c>
      <c r="CG38" s="33" t="s">
        <v>1223</v>
      </c>
      <c r="CH38" s="33" t="s">
        <v>526</v>
      </c>
      <c r="CI38" s="33" t="s">
        <v>1224</v>
      </c>
      <c r="CJ38" s="33" t="s">
        <v>683</v>
      </c>
      <c r="CK38" s="33"/>
      <c r="CL38" s="33" t="s">
        <v>212</v>
      </c>
      <c r="CM38" s="33"/>
      <c r="CN38" s="33" t="s">
        <v>254</v>
      </c>
      <c r="CO38" s="33" t="s">
        <v>266</v>
      </c>
      <c r="CP38" s="33" t="s">
        <v>1225</v>
      </c>
      <c r="CQ38" s="33" t="s">
        <v>1226</v>
      </c>
      <c r="CR38" s="33" t="s">
        <v>1227</v>
      </c>
      <c r="CS38" s="33" t="s">
        <v>1228</v>
      </c>
      <c r="CT38" s="33" t="s">
        <v>254</v>
      </c>
      <c r="CU38" s="33" t="s">
        <v>266</v>
      </c>
      <c r="CV38" s="33" t="s">
        <v>1229</v>
      </c>
      <c r="CW38" s="33" t="s">
        <v>1226</v>
      </c>
      <c r="CX38" s="33" t="s">
        <v>1227</v>
      </c>
      <c r="CY38" s="33" t="s">
        <v>892</v>
      </c>
      <c r="CZ38" s="33" t="s">
        <v>1230</v>
      </c>
      <c r="DA38" s="33" t="s">
        <v>1231</v>
      </c>
      <c r="DB38" s="33" t="s">
        <v>892</v>
      </c>
      <c r="DC38" s="33" t="s">
        <v>550</v>
      </c>
      <c r="DD38" s="33" t="s">
        <v>1232</v>
      </c>
      <c r="DE38" s="33" t="s">
        <v>1233</v>
      </c>
      <c r="DF38" s="34" t="s">
        <v>1234</v>
      </c>
      <c r="DG38" s="27" cm="1">
        <f t="array" ref="DG38">INDEX('elenco partner'!A:M,MATCH(1,(D38='elenco partner'!A:A)*('Partner data'!M38='elenco partner'!E:E),0),4)</f>
        <v>193</v>
      </c>
      <c r="DH38" s="83" t="str">
        <f t="shared" si="20"/>
        <v>Tasso Forfettario 20%</v>
      </c>
      <c r="DI38" s="20">
        <f>COUNTIFS('MY-REPORT-MAIN'!C:C,'Partner data'!DG38,'MY-REPORT-MAIN'!I:I,"Certified")</f>
        <v>0</v>
      </c>
      <c r="DJ38" s="20">
        <f>COUNTIFS(List_Of_chek_list!M:M,"&lt;&gt;26",List_Of_chek_list!B:B,'Partner data'!DG38)</f>
        <v>0</v>
      </c>
      <c r="DK38" s="20">
        <f t="shared" si="21"/>
        <v>0</v>
      </c>
      <c r="DL38" s="19" t="e">
        <f>IF(DH38="Tasso Forfettario 20%",SUMIFS(List_Of_chek_list!#REF!,List_Of_chek_list!B:B,'Partner data'!DG38),"NON PERTINENTE")</f>
        <v>#REF!</v>
      </c>
      <c r="DM38" s="19" t="e">
        <f t="shared" si="22"/>
        <v>#REF!</v>
      </c>
      <c r="DN38" s="110">
        <f>_xlfn.MAXIFS('MY-REPORT-MAIN'!K:K,'MY-REPORT-MAIN'!C:C,DG38)</f>
        <v>0</v>
      </c>
      <c r="DO38" s="112" t="str">
        <f>IF(_xlfn.MAXIFS('MY-REPORT-MAIN'!M:M,'MY-REPORT-MAIN'!C:C,DG38)=0,"Nessun rendiconto  Convalidato",_xlfn.MAXIFS('MY-REPORT-MAIN'!M:M,'MY-REPORT-MAIN'!C:C,DG38))</f>
        <v>Nessun rendiconto  Convalidato</v>
      </c>
      <c r="DP38" s="113" t="str" cm="1">
        <f t="array" ref="DP38">IFERROR(INDEX('MY-REPORT-MAIN'!A:Z,MATCH(1,(DO38='MY-REPORT-MAIN'!M:M)*('Partner data'!DG38='MY-REPORT-MAIN'!C:C),0),1),"NON è stato convalidato ancora nessun rendiconto")</f>
        <v>NON è stato convalidato ancora nessun rendiconto</v>
      </c>
      <c r="DQ38" s="111" t="str">
        <f>IFERROR(INDEX('MY-REPORT-MAIN'!A:Z,MATCH('Partner data'!DP38,'MY-REPORT-MAIN'!A:A,0),21),"Nessun Rendiconto ancora convalidato")</f>
        <v>Nessun Rendiconto ancora convalidato</v>
      </c>
      <c r="DR38" s="110">
        <f>INDEX('Interreg VI-A Italy-Slovenia_pr'!A:E,MATCH('Partner data'!C38,'Interreg VI-A Italy-Slovenia_pr'!A:A,0),3)</f>
        <v>45108</v>
      </c>
      <c r="DS38" s="118">
        <f t="shared" si="1"/>
        <v>9285</v>
      </c>
      <c r="DT38" s="118">
        <f t="shared" si="2"/>
        <v>21665</v>
      </c>
      <c r="DU38" s="118">
        <f t="shared" si="3"/>
        <v>52615</v>
      </c>
      <c r="DV38" s="118">
        <f t="shared" si="4"/>
        <v>80470</v>
      </c>
      <c r="DW38" s="118">
        <f t="shared" si="5"/>
        <v>80470</v>
      </c>
      <c r="DX38" s="118">
        <f t="shared" si="6"/>
        <v>80470</v>
      </c>
      <c r="DY38" s="118">
        <f t="shared" si="7"/>
        <v>80470</v>
      </c>
      <c r="DZ38" s="118">
        <f t="shared" si="8"/>
        <v>80470</v>
      </c>
      <c r="EA38" s="118">
        <f t="shared" si="9"/>
        <v>80470</v>
      </c>
      <c r="EB38" s="118">
        <f t="shared" si="10"/>
        <v>80470</v>
      </c>
    </row>
    <row r="39" spans="1:132" x14ac:dyDescent="0.25">
      <c r="A39" s="28">
        <v>1</v>
      </c>
      <c r="B39" s="29" t="s">
        <v>487</v>
      </c>
      <c r="C39" s="30" t="s">
        <v>1197</v>
      </c>
      <c r="D39" s="30" t="s">
        <v>296</v>
      </c>
      <c r="E39" s="30" t="s">
        <v>1198</v>
      </c>
      <c r="F39" s="30" t="s">
        <v>490</v>
      </c>
      <c r="G39" s="30" t="s">
        <v>491</v>
      </c>
      <c r="H39" s="30" t="s">
        <v>691</v>
      </c>
      <c r="I39" s="30" t="s">
        <v>945</v>
      </c>
      <c r="J39" s="31" t="s">
        <v>570</v>
      </c>
      <c r="K39" s="31" t="s">
        <v>495</v>
      </c>
      <c r="L39" s="31" t="s">
        <v>519</v>
      </c>
      <c r="M39" s="31" t="s">
        <v>0</v>
      </c>
      <c r="N39" s="31" t="s">
        <v>1235</v>
      </c>
      <c r="O39" s="31" t="s">
        <v>1236</v>
      </c>
      <c r="P39" s="31" t="s">
        <v>254</v>
      </c>
      <c r="Q39" s="31" t="s">
        <v>540</v>
      </c>
      <c r="R39" s="31" t="s">
        <v>260</v>
      </c>
      <c r="S39" s="32">
        <v>95287.82</v>
      </c>
      <c r="T39" s="32">
        <v>80</v>
      </c>
      <c r="U39" s="32">
        <v>16.04</v>
      </c>
      <c r="V39" s="32">
        <v>0</v>
      </c>
      <c r="W39" s="32">
        <v>0</v>
      </c>
      <c r="X39" s="32">
        <v>0</v>
      </c>
      <c r="Y39" s="32">
        <v>0</v>
      </c>
      <c r="Z39" s="32">
        <v>0</v>
      </c>
      <c r="AA39" s="32">
        <v>0</v>
      </c>
      <c r="AB39" s="32">
        <v>0</v>
      </c>
      <c r="AC39" s="32">
        <v>0</v>
      </c>
      <c r="AD39" s="32">
        <v>0</v>
      </c>
      <c r="AE39" s="32">
        <v>0</v>
      </c>
      <c r="AF39" s="32">
        <v>0</v>
      </c>
      <c r="AG39" s="32">
        <v>0</v>
      </c>
      <c r="AH39" s="32">
        <v>0</v>
      </c>
      <c r="AI39" s="32">
        <v>0</v>
      </c>
      <c r="AJ39" s="32">
        <v>0</v>
      </c>
      <c r="AK39" s="32">
        <v>0</v>
      </c>
      <c r="AL39" s="32">
        <v>0</v>
      </c>
      <c r="AM39" s="32">
        <v>0</v>
      </c>
      <c r="AN39" s="32">
        <v>0</v>
      </c>
      <c r="AO39" s="32">
        <v>23821.96</v>
      </c>
      <c r="AP39" s="32">
        <v>0</v>
      </c>
      <c r="AQ39" s="32">
        <v>23821.96</v>
      </c>
      <c r="AR39" s="32">
        <v>119109.78</v>
      </c>
      <c r="AS39" s="32">
        <v>16.04</v>
      </c>
      <c r="AT39" s="32">
        <v>24462</v>
      </c>
      <c r="AU39" s="32">
        <v>0</v>
      </c>
      <c r="AV39" s="32">
        <v>0</v>
      </c>
      <c r="AW39" s="32">
        <v>24462</v>
      </c>
      <c r="AX39" s="32">
        <v>3669.3</v>
      </c>
      <c r="AY39" s="32">
        <v>3669.3</v>
      </c>
      <c r="AZ39" s="32">
        <v>978.48</v>
      </c>
      <c r="BA39" s="32">
        <v>978.48</v>
      </c>
      <c r="BB39" s="32">
        <v>0</v>
      </c>
      <c r="BC39" s="32">
        <v>0</v>
      </c>
      <c r="BD39" s="32">
        <v>10000</v>
      </c>
      <c r="BE39" s="32">
        <v>10000</v>
      </c>
      <c r="BF39" s="32">
        <v>0</v>
      </c>
      <c r="BG39" s="32">
        <v>80000</v>
      </c>
      <c r="BH39" s="32">
        <v>80000</v>
      </c>
      <c r="BI39" s="32">
        <v>0</v>
      </c>
      <c r="BJ39" s="32">
        <v>0</v>
      </c>
      <c r="BK39" s="32">
        <v>0</v>
      </c>
      <c r="BL39" s="32">
        <v>0</v>
      </c>
      <c r="BM39" s="32">
        <v>0</v>
      </c>
      <c r="BN39" s="32">
        <v>0</v>
      </c>
      <c r="BO39" s="32">
        <v>0</v>
      </c>
      <c r="BP39" s="32">
        <v>0</v>
      </c>
      <c r="BQ39" s="32">
        <v>43941.279999999999</v>
      </c>
      <c r="BR39" s="32">
        <v>53760.78</v>
      </c>
      <c r="BS39" s="32">
        <v>14489.06</v>
      </c>
      <c r="BT39" s="32">
        <v>6918.66</v>
      </c>
      <c r="BU39" s="32">
        <v>0</v>
      </c>
      <c r="BV39" s="32">
        <v>0</v>
      </c>
      <c r="BW39" s="32">
        <v>0</v>
      </c>
      <c r="BX39" s="32">
        <v>0</v>
      </c>
      <c r="BY39" s="32">
        <v>0</v>
      </c>
      <c r="BZ39" s="32">
        <v>0</v>
      </c>
      <c r="CA39" s="32">
        <v>0</v>
      </c>
      <c r="CB39" s="33" t="s">
        <v>1237</v>
      </c>
      <c r="CC39" s="33" t="s">
        <v>743</v>
      </c>
      <c r="CD39" s="33" t="s">
        <v>558</v>
      </c>
      <c r="CE39" s="33" t="s">
        <v>523</v>
      </c>
      <c r="CF39" s="33" t="s">
        <v>1222</v>
      </c>
      <c r="CG39" s="33" t="s">
        <v>1238</v>
      </c>
      <c r="CH39" s="33" t="s">
        <v>526</v>
      </c>
      <c r="CI39" s="33" t="s">
        <v>665</v>
      </c>
      <c r="CJ39" s="33" t="s">
        <v>665</v>
      </c>
      <c r="CK39" s="33"/>
      <c r="CL39" s="33" t="s">
        <v>212</v>
      </c>
      <c r="CM39" s="33"/>
      <c r="CN39" s="33" t="s">
        <v>254</v>
      </c>
      <c r="CO39" s="33" t="s">
        <v>260</v>
      </c>
      <c r="CP39" s="33" t="s">
        <v>1239</v>
      </c>
      <c r="CQ39" s="33" t="s">
        <v>1240</v>
      </c>
      <c r="CR39" s="33" t="s">
        <v>1241</v>
      </c>
      <c r="CS39" s="33" t="s">
        <v>1242</v>
      </c>
      <c r="CT39" s="33" t="s">
        <v>254</v>
      </c>
      <c r="CU39" s="33" t="s">
        <v>260</v>
      </c>
      <c r="CV39" s="33" t="s">
        <v>1239</v>
      </c>
      <c r="CW39" s="33" t="s">
        <v>1240</v>
      </c>
      <c r="CX39" s="33" t="s">
        <v>1241</v>
      </c>
      <c r="CY39" s="33" t="s">
        <v>892</v>
      </c>
      <c r="CZ39" s="33" t="s">
        <v>1040</v>
      </c>
      <c r="DA39" s="33" t="s">
        <v>1243</v>
      </c>
      <c r="DB39" s="33" t="s">
        <v>892</v>
      </c>
      <c r="DC39" s="33" t="s">
        <v>1244</v>
      </c>
      <c r="DD39" s="33" t="s">
        <v>1245</v>
      </c>
      <c r="DE39" s="33" t="s">
        <v>1246</v>
      </c>
      <c r="DF39" s="34" t="s">
        <v>1247</v>
      </c>
      <c r="DG39" s="27" cm="1">
        <f t="array" ref="DG39">INDEX('elenco partner'!A:M,MATCH(1,(D39='elenco partner'!A:A)*('Partner data'!M39='elenco partner'!E:E),0),4)</f>
        <v>195</v>
      </c>
      <c r="DH39" s="83" t="str">
        <f t="shared" si="20"/>
        <v>Costo Unitario Standard</v>
      </c>
      <c r="DI39" s="20">
        <f>COUNTIFS('MY-REPORT-MAIN'!C:C,'Partner data'!DG39,'MY-REPORT-MAIN'!I:I,"Certified")</f>
        <v>1</v>
      </c>
      <c r="DJ39" s="20">
        <f>COUNTIFS(List_Of_chek_list!M:M,"&lt;&gt;26",List_Of_chek_list!B:B,'Partner data'!DG39)</f>
        <v>1</v>
      </c>
      <c r="DK39" s="20">
        <f t="shared" si="21"/>
        <v>0</v>
      </c>
      <c r="DL39" s="19" t="str">
        <f>IF(DH39="Tasso Forfettario 20%",SUMIFS(List_Of_chek_list!#REF!,List_Of_chek_list!B:B,'Partner data'!DG39),"NON PERTINENTE")</f>
        <v>NON PERTINENTE</v>
      </c>
      <c r="DM39" s="19" t="str">
        <f t="shared" si="22"/>
        <v>NON PERTINENTE</v>
      </c>
      <c r="DN39" s="110">
        <f>_xlfn.MAXIFS('MY-REPORT-MAIN'!K:K,'MY-REPORT-MAIN'!C:C,DG39)</f>
        <v>45378.460057025462</v>
      </c>
      <c r="DO39" s="112">
        <f>IF(_xlfn.MAXIFS('MY-REPORT-MAIN'!M:M,'MY-REPORT-MAIN'!C:C,DG39)=0,"Nessun rendiconto  Convalidato",_xlfn.MAXIFS('MY-REPORT-MAIN'!M:M,'MY-REPORT-MAIN'!C:C,DG39))</f>
        <v>45425.633203564816</v>
      </c>
      <c r="DP39" s="113" cm="1">
        <f t="array" ref="DP39">IFERROR(INDEX('MY-REPORT-MAIN'!A:Z,MATCH(1,(DO39='MY-REPORT-MAIN'!M:M)*('Partner data'!DG39='MY-REPORT-MAIN'!C:C),0),1),"NON è stato convalidato ancora nessun rendiconto")</f>
        <v>298</v>
      </c>
      <c r="DQ39" s="111">
        <f>IFERROR(INDEX('MY-REPORT-MAIN'!A:Z,MATCH('Partner data'!DP39,'MY-REPORT-MAIN'!A:A,0),21),"Nessun Rendiconto ancora convalidato")</f>
        <v>6752.06</v>
      </c>
      <c r="DR39" s="110">
        <f>INDEX('Interreg VI-A Italy-Slovenia_pr'!A:E,MATCH('Partner data'!C39,'Interreg VI-A Italy-Slovenia_pr'!A:A,0),3)</f>
        <v>45108</v>
      </c>
      <c r="DS39" s="118">
        <f t="shared" si="1"/>
        <v>43941.279999999999</v>
      </c>
      <c r="DT39" s="118">
        <f t="shared" si="2"/>
        <v>97702.06</v>
      </c>
      <c r="DU39" s="118">
        <f t="shared" si="3"/>
        <v>112191.12</v>
      </c>
      <c r="DV39" s="118">
        <f t="shared" si="4"/>
        <v>119109.78</v>
      </c>
      <c r="DW39" s="118">
        <f t="shared" si="5"/>
        <v>119109.78</v>
      </c>
      <c r="DX39" s="118">
        <f t="shared" si="6"/>
        <v>119109.78</v>
      </c>
      <c r="DY39" s="118">
        <f t="shared" si="7"/>
        <v>119109.78</v>
      </c>
      <c r="DZ39" s="118">
        <f t="shared" si="8"/>
        <v>119109.78</v>
      </c>
      <c r="EA39" s="118">
        <f t="shared" si="9"/>
        <v>119109.78</v>
      </c>
      <c r="EB39" s="118">
        <f t="shared" si="10"/>
        <v>119109.78</v>
      </c>
    </row>
    <row r="40" spans="1:132" ht="45" x14ac:dyDescent="0.25">
      <c r="A40" s="28">
        <v>1</v>
      </c>
      <c r="B40" s="29" t="s">
        <v>487</v>
      </c>
      <c r="C40" s="30" t="s">
        <v>1197</v>
      </c>
      <c r="D40" s="30" t="s">
        <v>296</v>
      </c>
      <c r="E40" s="30" t="s">
        <v>1198</v>
      </c>
      <c r="F40" s="30" t="s">
        <v>490</v>
      </c>
      <c r="G40" s="30" t="s">
        <v>491</v>
      </c>
      <c r="H40" s="30" t="s">
        <v>691</v>
      </c>
      <c r="I40" s="30" t="s">
        <v>945</v>
      </c>
      <c r="J40" s="31" t="s">
        <v>581</v>
      </c>
      <c r="K40" s="31" t="s">
        <v>495</v>
      </c>
      <c r="L40" s="31" t="s">
        <v>519</v>
      </c>
      <c r="M40" s="31" t="s">
        <v>298</v>
      </c>
      <c r="N40" s="31" t="s">
        <v>1248</v>
      </c>
      <c r="O40" s="31" t="s">
        <v>1249</v>
      </c>
      <c r="P40" s="31" t="s">
        <v>254</v>
      </c>
      <c r="Q40" s="31" t="s">
        <v>499</v>
      </c>
      <c r="R40" s="31" t="s">
        <v>266</v>
      </c>
      <c r="S40" s="32">
        <v>104626.58</v>
      </c>
      <c r="T40" s="32">
        <v>80</v>
      </c>
      <c r="U40" s="32">
        <v>17.61</v>
      </c>
      <c r="V40" s="32">
        <v>0</v>
      </c>
      <c r="W40" s="32">
        <v>0</v>
      </c>
      <c r="X40" s="32">
        <v>0</v>
      </c>
      <c r="Y40" s="32">
        <v>0</v>
      </c>
      <c r="Z40" s="32">
        <v>0</v>
      </c>
      <c r="AA40" s="32">
        <v>0</v>
      </c>
      <c r="AB40" s="32">
        <v>0</v>
      </c>
      <c r="AC40" s="32">
        <v>0</v>
      </c>
      <c r="AD40" s="32">
        <v>0</v>
      </c>
      <c r="AE40" s="32">
        <v>0</v>
      </c>
      <c r="AF40" s="32">
        <v>0</v>
      </c>
      <c r="AG40" s="32">
        <v>0</v>
      </c>
      <c r="AH40" s="32">
        <v>0</v>
      </c>
      <c r="AI40" s="32">
        <v>0</v>
      </c>
      <c r="AJ40" s="32">
        <v>0</v>
      </c>
      <c r="AK40" s="32">
        <v>0</v>
      </c>
      <c r="AL40" s="32">
        <v>0</v>
      </c>
      <c r="AM40" s="32">
        <v>0</v>
      </c>
      <c r="AN40" s="32">
        <v>0</v>
      </c>
      <c r="AO40" s="32">
        <v>26156.65</v>
      </c>
      <c r="AP40" s="32">
        <v>0</v>
      </c>
      <c r="AQ40" s="32">
        <v>26156.65</v>
      </c>
      <c r="AR40" s="32">
        <v>130783.23</v>
      </c>
      <c r="AS40" s="32">
        <v>17.61</v>
      </c>
      <c r="AT40" s="32">
        <v>19517</v>
      </c>
      <c r="AU40" s="32">
        <v>0</v>
      </c>
      <c r="AV40" s="32">
        <v>19517</v>
      </c>
      <c r="AW40" s="32">
        <v>0</v>
      </c>
      <c r="AX40" s="32">
        <v>2927.55</v>
      </c>
      <c r="AY40" s="32">
        <v>2927.55</v>
      </c>
      <c r="AZ40" s="32">
        <v>780.68</v>
      </c>
      <c r="BA40" s="32">
        <v>780.68</v>
      </c>
      <c r="BB40" s="32">
        <v>0</v>
      </c>
      <c r="BC40" s="32">
        <v>0</v>
      </c>
      <c r="BD40" s="32">
        <v>72558</v>
      </c>
      <c r="BE40" s="32">
        <v>72558</v>
      </c>
      <c r="BF40" s="32">
        <v>0</v>
      </c>
      <c r="BG40" s="32">
        <v>35000</v>
      </c>
      <c r="BH40" s="32">
        <v>35000</v>
      </c>
      <c r="BI40" s="32">
        <v>0</v>
      </c>
      <c r="BJ40" s="32">
        <v>0</v>
      </c>
      <c r="BK40" s="32">
        <v>0</v>
      </c>
      <c r="BL40" s="32">
        <v>0</v>
      </c>
      <c r="BM40" s="32">
        <v>0</v>
      </c>
      <c r="BN40" s="32">
        <v>0</v>
      </c>
      <c r="BO40" s="32">
        <v>0</v>
      </c>
      <c r="BP40" s="32">
        <v>0</v>
      </c>
      <c r="BQ40" s="32">
        <v>13176.01</v>
      </c>
      <c r="BR40" s="32">
        <v>23326.01</v>
      </c>
      <c r="BS40" s="32">
        <v>30454.01</v>
      </c>
      <c r="BT40" s="32">
        <v>63827.199999999997</v>
      </c>
      <c r="BU40" s="32">
        <v>0</v>
      </c>
      <c r="BV40" s="32">
        <v>0</v>
      </c>
      <c r="BW40" s="32">
        <v>0</v>
      </c>
      <c r="BX40" s="32">
        <v>0</v>
      </c>
      <c r="BY40" s="32">
        <v>0</v>
      </c>
      <c r="BZ40" s="32">
        <v>0</v>
      </c>
      <c r="CA40" s="32">
        <v>0</v>
      </c>
      <c r="CB40" s="33" t="s">
        <v>665</v>
      </c>
      <c r="CC40" s="33" t="s">
        <v>522</v>
      </c>
      <c r="CD40" s="33"/>
      <c r="CE40" s="33" t="s">
        <v>523</v>
      </c>
      <c r="CF40" s="33" t="s">
        <v>636</v>
      </c>
      <c r="CG40" s="33" t="s">
        <v>1250</v>
      </c>
      <c r="CH40" s="33" t="s">
        <v>526</v>
      </c>
      <c r="CI40" s="33" t="s">
        <v>665</v>
      </c>
      <c r="CJ40" s="33" t="s">
        <v>665</v>
      </c>
      <c r="CK40" s="33" t="s">
        <v>1251</v>
      </c>
      <c r="CL40" s="33" t="s">
        <v>212</v>
      </c>
      <c r="CM40" s="33"/>
      <c r="CN40" s="33" t="s">
        <v>254</v>
      </c>
      <c r="CO40" s="33" t="s">
        <v>266</v>
      </c>
      <c r="CP40" s="33" t="s">
        <v>1252</v>
      </c>
      <c r="CQ40" s="33" t="s">
        <v>1253</v>
      </c>
      <c r="CR40" s="33" t="s">
        <v>306</v>
      </c>
      <c r="CS40" s="33" t="s">
        <v>1254</v>
      </c>
      <c r="CT40" s="33" t="s">
        <v>254</v>
      </c>
      <c r="CU40" s="33" t="s">
        <v>266</v>
      </c>
      <c r="CV40" s="33" t="s">
        <v>1252</v>
      </c>
      <c r="CW40" s="33" t="s">
        <v>1253</v>
      </c>
      <c r="CX40" s="33" t="s">
        <v>306</v>
      </c>
      <c r="CY40" s="33" t="s">
        <v>895</v>
      </c>
      <c r="CZ40" s="33" t="s">
        <v>1255</v>
      </c>
      <c r="DA40" s="33" t="s">
        <v>1256</v>
      </c>
      <c r="DB40" s="33" t="s">
        <v>895</v>
      </c>
      <c r="DC40" s="33" t="s">
        <v>1257</v>
      </c>
      <c r="DD40" s="33" t="s">
        <v>1258</v>
      </c>
      <c r="DE40" s="33" t="s">
        <v>1259</v>
      </c>
      <c r="DF40" s="34" t="s">
        <v>1260</v>
      </c>
      <c r="DG40" s="27" cm="1">
        <f t="array" ref="DG40">INDEX('elenco partner'!A:M,MATCH(1,(D40='elenco partner'!A:A)*('Partner data'!M40='elenco partner'!E:E),0),4)</f>
        <v>196</v>
      </c>
      <c r="DH40" s="83" t="str">
        <f t="shared" si="20"/>
        <v>COSTO REALE</v>
      </c>
      <c r="DI40" s="20">
        <f>COUNTIFS('MY-REPORT-MAIN'!C:C,'Partner data'!DG40,'MY-REPORT-MAIN'!I:I,"Certified")</f>
        <v>0</v>
      </c>
      <c r="DJ40" s="20">
        <f>COUNTIFS(List_Of_chek_list!M:M,"&lt;&gt;26",List_Of_chek_list!B:B,'Partner data'!DG40)</f>
        <v>0</v>
      </c>
      <c r="DK40" s="20">
        <f t="shared" si="21"/>
        <v>0</v>
      </c>
      <c r="DL40" s="19" t="str">
        <f>IF(DH40="Tasso Forfettario 20%",SUMIFS(List_Of_chek_list!#REF!,List_Of_chek_list!B:B,'Partner data'!DG40),"NON PERTINENTE")</f>
        <v>NON PERTINENTE</v>
      </c>
      <c r="DM40" s="19" t="str">
        <f t="shared" si="22"/>
        <v>NON PERTINENTE</v>
      </c>
      <c r="DN40" s="110">
        <f>_xlfn.MAXIFS('MY-REPORT-MAIN'!K:K,'MY-REPORT-MAIN'!C:C,DG40)</f>
        <v>0</v>
      </c>
      <c r="DO40" s="112" t="str">
        <f>IF(_xlfn.MAXIFS('MY-REPORT-MAIN'!M:M,'MY-REPORT-MAIN'!C:C,DG40)=0,"Nessun rendiconto  Convalidato",_xlfn.MAXIFS('MY-REPORT-MAIN'!M:M,'MY-REPORT-MAIN'!C:C,DG40))</f>
        <v>Nessun rendiconto  Convalidato</v>
      </c>
      <c r="DP40" s="113" t="str" cm="1">
        <f t="array" ref="DP40">IFERROR(INDEX('MY-REPORT-MAIN'!A:Z,MATCH(1,(DO40='MY-REPORT-MAIN'!M:M)*('Partner data'!DG40='MY-REPORT-MAIN'!C:C),0),1),"NON è stato convalidato ancora nessun rendiconto")</f>
        <v>NON è stato convalidato ancora nessun rendiconto</v>
      </c>
      <c r="DQ40" s="111" t="str">
        <f>IFERROR(INDEX('MY-REPORT-MAIN'!A:Z,MATCH('Partner data'!DP40,'MY-REPORT-MAIN'!A:A,0),21),"Nessun Rendiconto ancora convalidato")</f>
        <v>Nessun Rendiconto ancora convalidato</v>
      </c>
      <c r="DR40" s="110">
        <f>INDEX('Interreg VI-A Italy-Slovenia_pr'!A:E,MATCH('Partner data'!C40,'Interreg VI-A Italy-Slovenia_pr'!A:A,0),3)</f>
        <v>45108</v>
      </c>
      <c r="DS40" s="118">
        <f t="shared" si="1"/>
        <v>13176.01</v>
      </c>
      <c r="DT40" s="118">
        <f t="shared" si="2"/>
        <v>36502.019999999997</v>
      </c>
      <c r="DU40" s="118">
        <f t="shared" si="3"/>
        <v>66956.03</v>
      </c>
      <c r="DV40" s="118">
        <f t="shared" si="4"/>
        <v>130783.23</v>
      </c>
      <c r="DW40" s="118">
        <f t="shared" si="5"/>
        <v>130783.23</v>
      </c>
      <c r="DX40" s="118">
        <f t="shared" si="6"/>
        <v>130783.23</v>
      </c>
      <c r="DY40" s="118">
        <f t="shared" si="7"/>
        <v>130783.23</v>
      </c>
      <c r="DZ40" s="118">
        <f t="shared" si="8"/>
        <v>130783.23</v>
      </c>
      <c r="EA40" s="118">
        <f t="shared" si="9"/>
        <v>130783.23</v>
      </c>
      <c r="EB40" s="118">
        <f t="shared" si="10"/>
        <v>130783.23</v>
      </c>
    </row>
    <row r="41" spans="1:132" x14ac:dyDescent="0.25">
      <c r="A41" s="28">
        <v>1</v>
      </c>
      <c r="B41" s="29" t="s">
        <v>487</v>
      </c>
      <c r="C41" s="30" t="s">
        <v>1261</v>
      </c>
      <c r="D41" s="30" t="s">
        <v>71</v>
      </c>
      <c r="E41" s="30" t="s">
        <v>1262</v>
      </c>
      <c r="F41" s="30" t="s">
        <v>1263</v>
      </c>
      <c r="G41" s="30" t="s">
        <v>491</v>
      </c>
      <c r="H41" s="30" t="s">
        <v>766</v>
      </c>
      <c r="I41" s="30" t="s">
        <v>767</v>
      </c>
      <c r="J41" s="31" t="s">
        <v>494</v>
      </c>
      <c r="K41" s="31" t="s">
        <v>495</v>
      </c>
      <c r="L41" s="31" t="s">
        <v>496</v>
      </c>
      <c r="M41" s="31" t="s">
        <v>290</v>
      </c>
      <c r="N41" s="31" t="s">
        <v>1264</v>
      </c>
      <c r="O41" s="31" t="s">
        <v>1265</v>
      </c>
      <c r="P41" s="31" t="s">
        <v>257</v>
      </c>
      <c r="Q41" s="31" t="s">
        <v>556</v>
      </c>
      <c r="R41" s="31" t="s">
        <v>258</v>
      </c>
      <c r="S41" s="32">
        <v>102151.78</v>
      </c>
      <c r="T41" s="32">
        <v>80</v>
      </c>
      <c r="U41" s="32">
        <v>21.28</v>
      </c>
      <c r="V41" s="32">
        <v>0</v>
      </c>
      <c r="W41" s="32">
        <v>0</v>
      </c>
      <c r="X41" s="32">
        <v>0</v>
      </c>
      <c r="Y41" s="32">
        <v>0</v>
      </c>
      <c r="Z41" s="32">
        <v>0</v>
      </c>
      <c r="AA41" s="32">
        <v>0</v>
      </c>
      <c r="AB41" s="32">
        <v>0</v>
      </c>
      <c r="AC41" s="32">
        <v>0</v>
      </c>
      <c r="AD41" s="32">
        <v>0</v>
      </c>
      <c r="AE41" s="32">
        <v>0</v>
      </c>
      <c r="AF41" s="32">
        <v>0</v>
      </c>
      <c r="AG41" s="32">
        <v>0</v>
      </c>
      <c r="AH41" s="32">
        <v>0</v>
      </c>
      <c r="AI41" s="32">
        <v>0</v>
      </c>
      <c r="AJ41" s="32">
        <v>0</v>
      </c>
      <c r="AK41" s="32">
        <v>0</v>
      </c>
      <c r="AL41" s="32">
        <v>0</v>
      </c>
      <c r="AM41" s="32">
        <v>0</v>
      </c>
      <c r="AN41" s="32">
        <v>25537.95</v>
      </c>
      <c r="AO41" s="32">
        <v>0</v>
      </c>
      <c r="AP41" s="32">
        <v>0</v>
      </c>
      <c r="AQ41" s="32">
        <v>25537.95</v>
      </c>
      <c r="AR41" s="32">
        <v>127689.73</v>
      </c>
      <c r="AS41" s="32">
        <v>21.28</v>
      </c>
      <c r="AT41" s="32">
        <v>53520.79</v>
      </c>
      <c r="AU41" s="32">
        <v>0</v>
      </c>
      <c r="AV41" s="32">
        <v>53520.79</v>
      </c>
      <c r="AW41" s="32">
        <v>0</v>
      </c>
      <c r="AX41" s="32">
        <v>8028.11</v>
      </c>
      <c r="AY41" s="32">
        <v>8028.11</v>
      </c>
      <c r="AZ41" s="32">
        <v>2140.83</v>
      </c>
      <c r="BA41" s="32">
        <v>2140.83</v>
      </c>
      <c r="BB41" s="32">
        <v>0</v>
      </c>
      <c r="BC41" s="32">
        <v>0</v>
      </c>
      <c r="BD41" s="32">
        <v>27902.38</v>
      </c>
      <c r="BE41" s="32">
        <v>27902.38</v>
      </c>
      <c r="BF41" s="32">
        <v>0</v>
      </c>
      <c r="BG41" s="32">
        <v>27097.62</v>
      </c>
      <c r="BH41" s="32">
        <v>27097.62</v>
      </c>
      <c r="BI41" s="32">
        <v>0</v>
      </c>
      <c r="BJ41" s="32">
        <v>0</v>
      </c>
      <c r="BK41" s="32">
        <v>0</v>
      </c>
      <c r="BL41" s="32">
        <v>0</v>
      </c>
      <c r="BM41" s="32">
        <v>0</v>
      </c>
      <c r="BN41" s="32">
        <v>0</v>
      </c>
      <c r="BO41" s="32">
        <v>9000</v>
      </c>
      <c r="BP41" s="32">
        <v>9000</v>
      </c>
      <c r="BQ41" s="32">
        <v>19763.53</v>
      </c>
      <c r="BR41" s="32">
        <v>49916.2</v>
      </c>
      <c r="BS41" s="32">
        <v>20660</v>
      </c>
      <c r="BT41" s="32">
        <v>28350</v>
      </c>
      <c r="BU41" s="32">
        <v>0</v>
      </c>
      <c r="BV41" s="32">
        <v>0</v>
      </c>
      <c r="BW41" s="32">
        <v>0</v>
      </c>
      <c r="BX41" s="32">
        <v>0</v>
      </c>
      <c r="BY41" s="32">
        <v>0</v>
      </c>
      <c r="BZ41" s="32">
        <v>0</v>
      </c>
      <c r="CA41" s="32">
        <v>0</v>
      </c>
      <c r="CB41" s="33" t="s">
        <v>212</v>
      </c>
      <c r="CC41" s="33" t="s">
        <v>624</v>
      </c>
      <c r="CD41" s="33"/>
      <c r="CE41" s="33" t="s">
        <v>523</v>
      </c>
      <c r="CF41" s="33" t="s">
        <v>734</v>
      </c>
      <c r="CG41" s="33" t="s">
        <v>1073</v>
      </c>
      <c r="CH41" s="33" t="s">
        <v>526</v>
      </c>
      <c r="CI41" s="33"/>
      <c r="CJ41" s="33" t="s">
        <v>212</v>
      </c>
      <c r="CK41" s="33" t="s">
        <v>1074</v>
      </c>
      <c r="CL41" s="33" t="s">
        <v>212</v>
      </c>
      <c r="CM41" s="33"/>
      <c r="CN41" s="33" t="s">
        <v>257</v>
      </c>
      <c r="CO41" s="33" t="s">
        <v>258</v>
      </c>
      <c r="CP41" s="33" t="s">
        <v>1266</v>
      </c>
      <c r="CQ41" s="33" t="s">
        <v>620</v>
      </c>
      <c r="CR41" s="33" t="s">
        <v>621</v>
      </c>
      <c r="CS41" s="33" t="s">
        <v>1267</v>
      </c>
      <c r="CT41" s="33"/>
      <c r="CU41" s="33"/>
      <c r="CV41" s="33"/>
      <c r="CW41" s="33"/>
      <c r="CX41" s="33"/>
      <c r="CY41" s="33" t="s">
        <v>1077</v>
      </c>
      <c r="CZ41" s="33" t="s">
        <v>643</v>
      </c>
      <c r="DA41" s="33" t="s">
        <v>1078</v>
      </c>
      <c r="DB41" s="33" t="s">
        <v>654</v>
      </c>
      <c r="DC41" s="33" t="s">
        <v>893</v>
      </c>
      <c r="DD41" s="33" t="s">
        <v>1268</v>
      </c>
      <c r="DE41" s="33" t="s">
        <v>1269</v>
      </c>
      <c r="DF41" s="34" t="s">
        <v>1270</v>
      </c>
      <c r="DG41" s="27" cm="1">
        <f t="array" ref="DG41">INDEX('elenco partner'!A:M,MATCH(1,(D41='elenco partner'!A:A)*('Partner data'!M41='elenco partner'!E:E),0),4)</f>
        <v>72</v>
      </c>
      <c r="DH41" s="83" t="str">
        <f t="shared" si="20"/>
        <v>COSTO REALE</v>
      </c>
      <c r="DI41" s="20">
        <f>COUNTIFS('MY-REPORT-MAIN'!C:C,'Partner data'!DG41,'MY-REPORT-MAIN'!I:I,"Certified")</f>
        <v>1</v>
      </c>
      <c r="DJ41" s="20">
        <f>COUNTIFS(List_Of_chek_list!M:M,"&lt;&gt;26",List_Of_chek_list!B:B,'Partner data'!DG41)</f>
        <v>1</v>
      </c>
      <c r="DK41" s="20">
        <f t="shared" si="21"/>
        <v>0</v>
      </c>
      <c r="DL41" s="19" t="str">
        <f>IF(DH41="Tasso Forfettario 20%",SUMIFS(List_Of_chek_list!#REF!,List_Of_chek_list!B:B,'Partner data'!DG41),"NON PERTINENTE")</f>
        <v>NON PERTINENTE</v>
      </c>
      <c r="DM41" s="19" t="str">
        <f t="shared" si="22"/>
        <v>NON PERTINENTE</v>
      </c>
      <c r="DN41" s="110">
        <f>_xlfn.MAXIFS('MY-REPORT-MAIN'!K:K,'MY-REPORT-MAIN'!C:C,DG41)</f>
        <v>45379.472874178238</v>
      </c>
      <c r="DO41" s="112">
        <f>IF(_xlfn.MAXIFS('MY-REPORT-MAIN'!M:M,'MY-REPORT-MAIN'!C:C,DG41)=0,"Nessun rendiconto  Convalidato",_xlfn.MAXIFS('MY-REPORT-MAIN'!M:M,'MY-REPORT-MAIN'!C:C,DG41))</f>
        <v>45434.353949560187</v>
      </c>
      <c r="DP41" s="113" cm="1">
        <f t="array" ref="DP41">IFERROR(INDEX('MY-REPORT-MAIN'!A:Z,MATCH(1,(DO41='MY-REPORT-MAIN'!M:M)*('Partner data'!DG41='MY-REPORT-MAIN'!C:C),0),1),"NON è stato convalidato ancora nessun rendiconto")</f>
        <v>134</v>
      </c>
      <c r="DQ41" s="111">
        <f>IFERROR(INDEX('MY-REPORT-MAIN'!A:Z,MATCH('Partner data'!DP41,'MY-REPORT-MAIN'!A:A,0),21),"Nessun Rendiconto ancora convalidato")</f>
        <v>39388.660000000003</v>
      </c>
      <c r="DR41" s="110">
        <f>INDEX('Interreg VI-A Italy-Slovenia_pr'!A:E,MATCH('Partner data'!C41,'Interreg VI-A Italy-Slovenia_pr'!A:A,0),3)</f>
        <v>45139</v>
      </c>
      <c r="DS41" s="118">
        <f t="shared" si="1"/>
        <v>28763.53</v>
      </c>
      <c r="DT41" s="118">
        <f t="shared" si="2"/>
        <v>78679.73</v>
      </c>
      <c r="DU41" s="118">
        <f t="shared" si="3"/>
        <v>99339.73</v>
      </c>
      <c r="DV41" s="118">
        <f t="shared" si="4"/>
        <v>127689.73</v>
      </c>
      <c r="DW41" s="118">
        <f t="shared" si="5"/>
        <v>127689.73</v>
      </c>
      <c r="DX41" s="118">
        <f t="shared" si="6"/>
        <v>127689.73</v>
      </c>
      <c r="DY41" s="118">
        <f t="shared" si="7"/>
        <v>127689.73</v>
      </c>
      <c r="DZ41" s="118">
        <f t="shared" si="8"/>
        <v>127689.73</v>
      </c>
      <c r="EA41" s="118">
        <f t="shared" si="9"/>
        <v>127689.73</v>
      </c>
      <c r="EB41" s="118">
        <f t="shared" si="10"/>
        <v>127689.73</v>
      </c>
    </row>
    <row r="42" spans="1:132" x14ac:dyDescent="0.25">
      <c r="A42" s="28">
        <v>1</v>
      </c>
      <c r="B42" s="29" t="s">
        <v>487</v>
      </c>
      <c r="C42" s="30" t="s">
        <v>1261</v>
      </c>
      <c r="D42" s="30" t="s">
        <v>71</v>
      </c>
      <c r="E42" s="30" t="s">
        <v>1262</v>
      </c>
      <c r="F42" s="30" t="s">
        <v>1263</v>
      </c>
      <c r="G42" s="30" t="s">
        <v>491</v>
      </c>
      <c r="H42" s="30" t="s">
        <v>766</v>
      </c>
      <c r="I42" s="30" t="s">
        <v>767</v>
      </c>
      <c r="J42" s="31" t="s">
        <v>518</v>
      </c>
      <c r="K42" s="31" t="s">
        <v>495</v>
      </c>
      <c r="L42" s="31" t="s">
        <v>519</v>
      </c>
      <c r="M42" s="31" t="s">
        <v>69</v>
      </c>
      <c r="N42" s="31" t="s">
        <v>1271</v>
      </c>
      <c r="O42" s="31" t="s">
        <v>1272</v>
      </c>
      <c r="P42" s="31" t="s">
        <v>254</v>
      </c>
      <c r="Q42" s="31" t="s">
        <v>499</v>
      </c>
      <c r="R42" s="31" t="s">
        <v>255</v>
      </c>
      <c r="S42" s="32">
        <v>76005.36</v>
      </c>
      <c r="T42" s="32">
        <v>80</v>
      </c>
      <c r="U42" s="32">
        <v>15.83</v>
      </c>
      <c r="V42" s="32">
        <v>0</v>
      </c>
      <c r="W42" s="32">
        <v>0</v>
      </c>
      <c r="X42" s="32">
        <v>0</v>
      </c>
      <c r="Y42" s="32">
        <v>0</v>
      </c>
      <c r="Z42" s="32">
        <v>0</v>
      </c>
      <c r="AA42" s="32">
        <v>0</v>
      </c>
      <c r="AB42" s="32">
        <v>0</v>
      </c>
      <c r="AC42" s="32">
        <v>0</v>
      </c>
      <c r="AD42" s="32">
        <v>0</v>
      </c>
      <c r="AE42" s="32">
        <v>0</v>
      </c>
      <c r="AF42" s="32">
        <v>0</v>
      </c>
      <c r="AG42" s="32">
        <v>0</v>
      </c>
      <c r="AH42" s="32">
        <v>0</v>
      </c>
      <c r="AI42" s="32">
        <v>0</v>
      </c>
      <c r="AJ42" s="32">
        <v>0</v>
      </c>
      <c r="AK42" s="32">
        <v>0</v>
      </c>
      <c r="AL42" s="32">
        <v>0</v>
      </c>
      <c r="AM42" s="32">
        <v>0</v>
      </c>
      <c r="AN42" s="32">
        <v>0</v>
      </c>
      <c r="AO42" s="32">
        <v>19001.349999999999</v>
      </c>
      <c r="AP42" s="32">
        <v>0</v>
      </c>
      <c r="AQ42" s="32">
        <v>19001.349999999999</v>
      </c>
      <c r="AR42" s="32">
        <v>95006.71</v>
      </c>
      <c r="AS42" s="32">
        <v>15.83</v>
      </c>
      <c r="AT42" s="32">
        <v>67861.94</v>
      </c>
      <c r="AU42" s="32">
        <v>0</v>
      </c>
      <c r="AV42" s="32">
        <v>67861.94</v>
      </c>
      <c r="AW42" s="32">
        <v>0</v>
      </c>
      <c r="AX42" s="32">
        <v>0</v>
      </c>
      <c r="AY42" s="32">
        <v>0</v>
      </c>
      <c r="AZ42" s="32">
        <v>0</v>
      </c>
      <c r="BA42" s="32">
        <v>0</v>
      </c>
      <c r="BB42" s="32">
        <v>0</v>
      </c>
      <c r="BC42" s="32">
        <v>0</v>
      </c>
      <c r="BD42" s="32">
        <v>0</v>
      </c>
      <c r="BE42" s="32">
        <v>0</v>
      </c>
      <c r="BF42" s="32">
        <v>0</v>
      </c>
      <c r="BG42" s="32">
        <v>0</v>
      </c>
      <c r="BH42" s="32">
        <v>0</v>
      </c>
      <c r="BI42" s="32">
        <v>0</v>
      </c>
      <c r="BJ42" s="32">
        <v>0</v>
      </c>
      <c r="BK42" s="32">
        <v>0</v>
      </c>
      <c r="BL42" s="32">
        <v>0</v>
      </c>
      <c r="BM42" s="32">
        <v>27144.77</v>
      </c>
      <c r="BN42" s="32">
        <v>0</v>
      </c>
      <c r="BO42" s="32">
        <v>0</v>
      </c>
      <c r="BP42" s="32">
        <v>0</v>
      </c>
      <c r="BQ42" s="32">
        <v>19593.740000000002</v>
      </c>
      <c r="BR42" s="32">
        <v>27912.97</v>
      </c>
      <c r="BS42" s="32">
        <v>19593.740000000002</v>
      </c>
      <c r="BT42" s="32">
        <v>27906.26</v>
      </c>
      <c r="BU42" s="32">
        <v>0</v>
      </c>
      <c r="BV42" s="32">
        <v>0</v>
      </c>
      <c r="BW42" s="32">
        <v>0</v>
      </c>
      <c r="BX42" s="32">
        <v>0</v>
      </c>
      <c r="BY42" s="32">
        <v>0</v>
      </c>
      <c r="BZ42" s="32">
        <v>0</v>
      </c>
      <c r="CA42" s="32">
        <v>0</v>
      </c>
      <c r="CB42" s="33" t="s">
        <v>1273</v>
      </c>
      <c r="CC42" s="33" t="s">
        <v>624</v>
      </c>
      <c r="CD42" s="33"/>
      <c r="CE42" s="33" t="s">
        <v>523</v>
      </c>
      <c r="CF42" s="33" t="s">
        <v>645</v>
      </c>
      <c r="CG42" s="33" t="s">
        <v>1274</v>
      </c>
      <c r="CH42" s="33" t="s">
        <v>526</v>
      </c>
      <c r="CI42" s="33"/>
      <c r="CJ42" s="33" t="s">
        <v>212</v>
      </c>
      <c r="CK42" s="33" t="s">
        <v>737</v>
      </c>
      <c r="CL42" s="33" t="s">
        <v>212</v>
      </c>
      <c r="CM42" s="33"/>
      <c r="CN42" s="33" t="s">
        <v>254</v>
      </c>
      <c r="CO42" s="33" t="s">
        <v>255</v>
      </c>
      <c r="CP42" s="33" t="s">
        <v>1275</v>
      </c>
      <c r="CQ42" s="33" t="s">
        <v>739</v>
      </c>
      <c r="CR42" s="33" t="s">
        <v>529</v>
      </c>
      <c r="CS42" s="33" t="s">
        <v>1276</v>
      </c>
      <c r="CT42" s="33" t="s">
        <v>254</v>
      </c>
      <c r="CU42" s="33" t="s">
        <v>255</v>
      </c>
      <c r="CV42" s="33" t="s">
        <v>1277</v>
      </c>
      <c r="CW42" s="33" t="s">
        <v>1278</v>
      </c>
      <c r="CX42" s="33" t="s">
        <v>529</v>
      </c>
      <c r="CY42" s="33" t="s">
        <v>628</v>
      </c>
      <c r="CZ42" s="33" t="s">
        <v>938</v>
      </c>
      <c r="DA42" s="33" t="s">
        <v>1279</v>
      </c>
      <c r="DB42" s="33" t="s">
        <v>628</v>
      </c>
      <c r="DC42" s="33" t="s">
        <v>1032</v>
      </c>
      <c r="DD42" s="33" t="s">
        <v>1280</v>
      </c>
      <c r="DE42" s="33" t="s">
        <v>1281</v>
      </c>
      <c r="DF42" s="34" t="s">
        <v>1282</v>
      </c>
      <c r="DG42" s="27" cm="1">
        <f t="array" ref="DG42">INDEX('elenco partner'!A:M,MATCH(1,(D42='elenco partner'!A:A)*('Partner data'!M42='elenco partner'!E:E),0),4)</f>
        <v>154</v>
      </c>
      <c r="DH42" s="83" t="str">
        <f t="shared" si="20"/>
        <v>COSTO REALE</v>
      </c>
      <c r="DI42" s="20">
        <f>COUNTIFS('MY-REPORT-MAIN'!C:C,'Partner data'!DG42,'MY-REPORT-MAIN'!I:I,"Certified")</f>
        <v>1</v>
      </c>
      <c r="DJ42" s="20">
        <f>COUNTIFS(List_Of_chek_list!M:M,"&lt;&gt;26",List_Of_chek_list!B:B,'Partner data'!DG42)</f>
        <v>1</v>
      </c>
      <c r="DK42" s="20">
        <f t="shared" si="21"/>
        <v>0</v>
      </c>
      <c r="DL42" s="19" t="str">
        <f>IF(DH42="Tasso Forfettario 20%",SUMIFS(List_Of_chek_list!#REF!,List_Of_chek_list!B:B,'Partner data'!DG42),"NON PERTINENTE")</f>
        <v>NON PERTINENTE</v>
      </c>
      <c r="DM42" s="19" t="str">
        <f t="shared" si="22"/>
        <v>NON PERTINENTE</v>
      </c>
      <c r="DN42" s="110">
        <f>_xlfn.MAXIFS('MY-REPORT-MAIN'!K:K,'MY-REPORT-MAIN'!C:C,DG42)</f>
        <v>45373.53240783565</v>
      </c>
      <c r="DO42" s="112">
        <f>IF(_xlfn.MAXIFS('MY-REPORT-MAIN'!M:M,'MY-REPORT-MAIN'!C:C,DG42)=0,"Nessun rendiconto  Convalidato",_xlfn.MAXIFS('MY-REPORT-MAIN'!M:M,'MY-REPORT-MAIN'!C:C,DG42))</f>
        <v>45446.591026527778</v>
      </c>
      <c r="DP42" s="113" cm="1">
        <f t="array" ref="DP42">IFERROR(INDEX('MY-REPORT-MAIN'!A:Z,MATCH(1,(DO42='MY-REPORT-MAIN'!M:M)*('Partner data'!DG42='MY-REPORT-MAIN'!C:C),0),1),"NON è stato convalidato ancora nessun rendiconto")</f>
        <v>151</v>
      </c>
      <c r="DQ42" s="111">
        <f>IFERROR(INDEX('MY-REPORT-MAIN'!A:Z,MATCH('Partner data'!DP42,'MY-REPORT-MAIN'!A:A,0),21),"Nessun Rendiconto ancora convalidato")</f>
        <v>30523.24</v>
      </c>
      <c r="DR42" s="110">
        <f>INDEX('Interreg VI-A Italy-Slovenia_pr'!A:E,MATCH('Partner data'!C42,'Interreg VI-A Italy-Slovenia_pr'!A:A,0),3)</f>
        <v>45139</v>
      </c>
      <c r="DS42" s="118">
        <f t="shared" si="1"/>
        <v>19593.740000000002</v>
      </c>
      <c r="DT42" s="118">
        <f t="shared" si="2"/>
        <v>47506.710000000006</v>
      </c>
      <c r="DU42" s="118">
        <f t="shared" si="3"/>
        <v>67100.450000000012</v>
      </c>
      <c r="DV42" s="118">
        <f t="shared" si="4"/>
        <v>95006.71</v>
      </c>
      <c r="DW42" s="118">
        <f t="shared" si="5"/>
        <v>95006.71</v>
      </c>
      <c r="DX42" s="118">
        <f t="shared" si="6"/>
        <v>95006.71</v>
      </c>
      <c r="DY42" s="118">
        <f t="shared" si="7"/>
        <v>95006.71</v>
      </c>
      <c r="DZ42" s="118">
        <f t="shared" si="8"/>
        <v>95006.71</v>
      </c>
      <c r="EA42" s="118">
        <f t="shared" si="9"/>
        <v>95006.71</v>
      </c>
      <c r="EB42" s="118">
        <f t="shared" si="10"/>
        <v>95006.71</v>
      </c>
    </row>
    <row r="43" spans="1:132" x14ac:dyDescent="0.25">
      <c r="A43" s="28">
        <v>1</v>
      </c>
      <c r="B43" s="29" t="s">
        <v>487</v>
      </c>
      <c r="C43" s="30" t="s">
        <v>1261</v>
      </c>
      <c r="D43" s="30" t="s">
        <v>71</v>
      </c>
      <c r="E43" s="30" t="s">
        <v>1262</v>
      </c>
      <c r="F43" s="30" t="s">
        <v>1263</v>
      </c>
      <c r="G43" s="30" t="s">
        <v>491</v>
      </c>
      <c r="H43" s="30" t="s">
        <v>766</v>
      </c>
      <c r="I43" s="30" t="s">
        <v>767</v>
      </c>
      <c r="J43" s="31" t="s">
        <v>538</v>
      </c>
      <c r="K43" s="31" t="s">
        <v>495</v>
      </c>
      <c r="L43" s="31" t="s">
        <v>519</v>
      </c>
      <c r="M43" s="31" t="s">
        <v>70</v>
      </c>
      <c r="N43" s="31" t="s">
        <v>1283</v>
      </c>
      <c r="O43" s="31" t="s">
        <v>1284</v>
      </c>
      <c r="P43" s="31" t="s">
        <v>257</v>
      </c>
      <c r="Q43" s="31" t="s">
        <v>556</v>
      </c>
      <c r="R43" s="31" t="s">
        <v>269</v>
      </c>
      <c r="S43" s="32">
        <v>67999.960000000006</v>
      </c>
      <c r="T43" s="32">
        <v>80</v>
      </c>
      <c r="U43" s="32">
        <v>14.17</v>
      </c>
      <c r="V43" s="32">
        <v>0</v>
      </c>
      <c r="W43" s="32">
        <v>0</v>
      </c>
      <c r="X43" s="32">
        <v>0</v>
      </c>
      <c r="Y43" s="32">
        <v>0</v>
      </c>
      <c r="Z43" s="32">
        <v>0</v>
      </c>
      <c r="AA43" s="32">
        <v>0</v>
      </c>
      <c r="AB43" s="32">
        <v>0</v>
      </c>
      <c r="AC43" s="32">
        <v>0</v>
      </c>
      <c r="AD43" s="32">
        <v>0</v>
      </c>
      <c r="AE43" s="32">
        <v>0</v>
      </c>
      <c r="AF43" s="32">
        <v>0</v>
      </c>
      <c r="AG43" s="32">
        <v>0</v>
      </c>
      <c r="AH43" s="32">
        <v>0</v>
      </c>
      <c r="AI43" s="32">
        <v>0</v>
      </c>
      <c r="AJ43" s="32">
        <v>0</v>
      </c>
      <c r="AK43" s="32">
        <v>0</v>
      </c>
      <c r="AL43" s="32">
        <v>0</v>
      </c>
      <c r="AM43" s="32">
        <v>0</v>
      </c>
      <c r="AN43" s="32">
        <v>0</v>
      </c>
      <c r="AO43" s="32">
        <v>0</v>
      </c>
      <c r="AP43" s="32">
        <v>17000</v>
      </c>
      <c r="AQ43" s="32">
        <v>17000</v>
      </c>
      <c r="AR43" s="32">
        <v>84999.96</v>
      </c>
      <c r="AS43" s="32">
        <v>14.17</v>
      </c>
      <c r="AT43" s="32">
        <v>52680</v>
      </c>
      <c r="AU43" s="32">
        <v>0</v>
      </c>
      <c r="AV43" s="32">
        <v>52680</v>
      </c>
      <c r="AW43" s="32">
        <v>0</v>
      </c>
      <c r="AX43" s="32">
        <v>7902</v>
      </c>
      <c r="AY43" s="32">
        <v>7902</v>
      </c>
      <c r="AZ43" s="32">
        <v>2107.1999999999998</v>
      </c>
      <c r="BA43" s="32">
        <v>2107.1999999999998</v>
      </c>
      <c r="BB43" s="32">
        <v>0</v>
      </c>
      <c r="BC43" s="32">
        <v>0</v>
      </c>
      <c r="BD43" s="32">
        <v>22310.76</v>
      </c>
      <c r="BE43" s="32">
        <v>22310.76</v>
      </c>
      <c r="BF43" s="32">
        <v>0</v>
      </c>
      <c r="BG43" s="32">
        <v>0</v>
      </c>
      <c r="BH43" s="32">
        <v>0</v>
      </c>
      <c r="BI43" s="32">
        <v>0</v>
      </c>
      <c r="BJ43" s="32">
        <v>0</v>
      </c>
      <c r="BK43" s="32">
        <v>0</v>
      </c>
      <c r="BL43" s="32">
        <v>0</v>
      </c>
      <c r="BM43" s="32">
        <v>0</v>
      </c>
      <c r="BN43" s="32">
        <v>0</v>
      </c>
      <c r="BO43" s="32">
        <v>0</v>
      </c>
      <c r="BP43" s="32">
        <v>0</v>
      </c>
      <c r="BQ43" s="32">
        <v>20749.3</v>
      </c>
      <c r="BR43" s="32">
        <v>22749.3</v>
      </c>
      <c r="BS43" s="32">
        <v>20749.3</v>
      </c>
      <c r="BT43" s="32">
        <v>20752.060000000001</v>
      </c>
      <c r="BU43" s="32">
        <v>0</v>
      </c>
      <c r="BV43" s="32">
        <v>0</v>
      </c>
      <c r="BW43" s="32">
        <v>0</v>
      </c>
      <c r="BX43" s="32">
        <v>0</v>
      </c>
      <c r="BY43" s="32">
        <v>0</v>
      </c>
      <c r="BZ43" s="32">
        <v>0</v>
      </c>
      <c r="CA43" s="32">
        <v>0</v>
      </c>
      <c r="CB43" s="33" t="s">
        <v>1285</v>
      </c>
      <c r="CC43" s="33" t="s">
        <v>624</v>
      </c>
      <c r="CD43" s="33"/>
      <c r="CE43" s="33" t="s">
        <v>501</v>
      </c>
      <c r="CF43" s="33" t="s">
        <v>1286</v>
      </c>
      <c r="CG43" s="33" t="s">
        <v>1287</v>
      </c>
      <c r="CH43" s="33" t="s">
        <v>526</v>
      </c>
      <c r="CI43" s="33"/>
      <c r="CJ43" s="33" t="s">
        <v>212</v>
      </c>
      <c r="CK43" s="33" t="s">
        <v>1288</v>
      </c>
      <c r="CL43" s="33" t="s">
        <v>212</v>
      </c>
      <c r="CM43" s="33"/>
      <c r="CN43" s="33" t="s">
        <v>257</v>
      </c>
      <c r="CO43" s="33" t="s">
        <v>269</v>
      </c>
      <c r="CP43" s="33" t="s">
        <v>1289</v>
      </c>
      <c r="CQ43" s="33" t="s">
        <v>760</v>
      </c>
      <c r="CR43" s="33" t="s">
        <v>761</v>
      </c>
      <c r="CS43" s="33" t="s">
        <v>1290</v>
      </c>
      <c r="CT43" s="33" t="s">
        <v>257</v>
      </c>
      <c r="CU43" s="33" t="s">
        <v>269</v>
      </c>
      <c r="CV43" s="33" t="s">
        <v>1291</v>
      </c>
      <c r="CW43" s="33" t="s">
        <v>1292</v>
      </c>
      <c r="CX43" s="33" t="s">
        <v>1293</v>
      </c>
      <c r="CY43" s="33" t="s">
        <v>1294</v>
      </c>
      <c r="CZ43" s="33" t="s">
        <v>1028</v>
      </c>
      <c r="DA43" s="33" t="s">
        <v>1295</v>
      </c>
      <c r="DB43" s="33" t="s">
        <v>1141</v>
      </c>
      <c r="DC43" s="33" t="s">
        <v>1296</v>
      </c>
      <c r="DD43" s="33" t="s">
        <v>1297</v>
      </c>
      <c r="DE43" s="33" t="s">
        <v>1298</v>
      </c>
      <c r="DF43" s="34" t="s">
        <v>1299</v>
      </c>
      <c r="DG43" s="27" cm="1">
        <f t="array" ref="DG43">INDEX('elenco partner'!A:M,MATCH(1,(D43='elenco partner'!A:A)*('Partner data'!M43='elenco partner'!E:E),0),4)</f>
        <v>155</v>
      </c>
      <c r="DH43" s="83" t="str">
        <f t="shared" si="20"/>
        <v>COSTO REALE</v>
      </c>
      <c r="DI43" s="20">
        <f>COUNTIFS('MY-REPORT-MAIN'!C:C,'Partner data'!DG43,'MY-REPORT-MAIN'!I:I,"Certified")</f>
        <v>1</v>
      </c>
      <c r="DJ43" s="20">
        <f>COUNTIFS(List_Of_chek_list!M:M,"&lt;&gt;26",List_Of_chek_list!B:B,'Partner data'!DG43)</f>
        <v>1</v>
      </c>
      <c r="DK43" s="20">
        <f t="shared" si="21"/>
        <v>0</v>
      </c>
      <c r="DL43" s="19" t="str">
        <f>IF(DH43="Tasso Forfettario 20%",SUMIFS(List_Of_chek_list!#REF!,List_Of_chek_list!B:B,'Partner data'!DG43),"NON PERTINENTE")</f>
        <v>NON PERTINENTE</v>
      </c>
      <c r="DM43" s="19" t="str">
        <f t="shared" si="22"/>
        <v>NON PERTINENTE</v>
      </c>
      <c r="DN43" s="110">
        <f>_xlfn.MAXIFS('MY-REPORT-MAIN'!K:K,'MY-REPORT-MAIN'!C:C,DG43)</f>
        <v>45377.546072395831</v>
      </c>
      <c r="DO43" s="112">
        <f>IF(_xlfn.MAXIFS('MY-REPORT-MAIN'!M:M,'MY-REPORT-MAIN'!C:C,DG43)=0,"Nessun rendiconto  Convalidato",_xlfn.MAXIFS('MY-REPORT-MAIN'!M:M,'MY-REPORT-MAIN'!C:C,DG43))</f>
        <v>45418.47612728009</v>
      </c>
      <c r="DP43" s="113" cm="1">
        <f t="array" ref="DP43">IFERROR(INDEX('MY-REPORT-MAIN'!A:Z,MATCH(1,(DO43='MY-REPORT-MAIN'!M:M)*('Partner data'!DG43='MY-REPORT-MAIN'!C:C),0),1),"NON è stato convalidato ancora nessun rendiconto")</f>
        <v>269</v>
      </c>
      <c r="DQ43" s="111">
        <f>IFERROR(INDEX('MY-REPORT-MAIN'!A:Z,MATCH('Partner data'!DP43,'MY-REPORT-MAIN'!A:A,0),21),"Nessun Rendiconto ancora convalidato")</f>
        <v>5896.01</v>
      </c>
      <c r="DR43" s="110">
        <f>INDEX('Interreg VI-A Italy-Slovenia_pr'!A:E,MATCH('Partner data'!C43,'Interreg VI-A Italy-Slovenia_pr'!A:A,0),3)</f>
        <v>45139</v>
      </c>
      <c r="DS43" s="118">
        <f t="shared" si="1"/>
        <v>20749.3</v>
      </c>
      <c r="DT43" s="118">
        <f t="shared" si="2"/>
        <v>43498.6</v>
      </c>
      <c r="DU43" s="118">
        <f t="shared" si="3"/>
        <v>64247.899999999994</v>
      </c>
      <c r="DV43" s="118">
        <f t="shared" si="4"/>
        <v>84999.959999999992</v>
      </c>
      <c r="DW43" s="118">
        <f t="shared" si="5"/>
        <v>84999.959999999992</v>
      </c>
      <c r="DX43" s="118">
        <f t="shared" si="6"/>
        <v>84999.959999999992</v>
      </c>
      <c r="DY43" s="118">
        <f t="shared" si="7"/>
        <v>84999.959999999992</v>
      </c>
      <c r="DZ43" s="118">
        <f t="shared" si="8"/>
        <v>84999.959999999992</v>
      </c>
      <c r="EA43" s="118">
        <f t="shared" si="9"/>
        <v>84999.959999999992</v>
      </c>
      <c r="EB43" s="118">
        <f t="shared" si="10"/>
        <v>84999.959999999992</v>
      </c>
    </row>
    <row r="44" spans="1:132" x14ac:dyDescent="0.25">
      <c r="A44" s="28">
        <v>1</v>
      </c>
      <c r="B44" s="29" t="s">
        <v>487</v>
      </c>
      <c r="C44" s="30" t="s">
        <v>1261</v>
      </c>
      <c r="D44" s="30" t="s">
        <v>71</v>
      </c>
      <c r="E44" s="30" t="s">
        <v>1262</v>
      </c>
      <c r="F44" s="30" t="s">
        <v>1263</v>
      </c>
      <c r="G44" s="30" t="s">
        <v>491</v>
      </c>
      <c r="H44" s="30" t="s">
        <v>766</v>
      </c>
      <c r="I44" s="30" t="s">
        <v>767</v>
      </c>
      <c r="J44" s="31" t="s">
        <v>554</v>
      </c>
      <c r="K44" s="31" t="s">
        <v>495</v>
      </c>
      <c r="L44" s="31" t="s">
        <v>519</v>
      </c>
      <c r="M44" s="31" t="s">
        <v>301</v>
      </c>
      <c r="N44" s="31" t="s">
        <v>1300</v>
      </c>
      <c r="O44" s="31" t="s">
        <v>1301</v>
      </c>
      <c r="P44" s="31" t="s">
        <v>254</v>
      </c>
      <c r="Q44" s="31" t="s">
        <v>540</v>
      </c>
      <c r="R44" s="31" t="s">
        <v>302</v>
      </c>
      <c r="S44" s="32">
        <v>71843.679999999993</v>
      </c>
      <c r="T44" s="32">
        <v>80</v>
      </c>
      <c r="U44" s="32">
        <v>14.97</v>
      </c>
      <c r="V44" s="32">
        <v>0</v>
      </c>
      <c r="W44" s="32">
        <v>0</v>
      </c>
      <c r="X44" s="32">
        <v>0</v>
      </c>
      <c r="Y44" s="32">
        <v>0</v>
      </c>
      <c r="Z44" s="32">
        <v>0</v>
      </c>
      <c r="AA44" s="32">
        <v>0</v>
      </c>
      <c r="AB44" s="32">
        <v>0</v>
      </c>
      <c r="AC44" s="32">
        <v>0</v>
      </c>
      <c r="AD44" s="32">
        <v>0</v>
      </c>
      <c r="AE44" s="32">
        <v>0</v>
      </c>
      <c r="AF44" s="32">
        <v>0</v>
      </c>
      <c r="AG44" s="32">
        <v>0</v>
      </c>
      <c r="AH44" s="32">
        <v>0</v>
      </c>
      <c r="AI44" s="32">
        <v>0</v>
      </c>
      <c r="AJ44" s="32">
        <v>0</v>
      </c>
      <c r="AK44" s="32">
        <v>0</v>
      </c>
      <c r="AL44" s="32">
        <v>0</v>
      </c>
      <c r="AM44" s="32">
        <v>0</v>
      </c>
      <c r="AN44" s="32">
        <v>0</v>
      </c>
      <c r="AO44" s="32">
        <v>17960.919999999998</v>
      </c>
      <c r="AP44" s="32">
        <v>0</v>
      </c>
      <c r="AQ44" s="32">
        <v>17960.919999999998</v>
      </c>
      <c r="AR44" s="32">
        <v>89804.6</v>
      </c>
      <c r="AS44" s="32">
        <v>14.97</v>
      </c>
      <c r="AT44" s="32">
        <v>32004</v>
      </c>
      <c r="AU44" s="32">
        <v>0</v>
      </c>
      <c r="AV44" s="32">
        <v>0</v>
      </c>
      <c r="AW44" s="32">
        <v>32004</v>
      </c>
      <c r="AX44" s="32">
        <v>4800.6000000000004</v>
      </c>
      <c r="AY44" s="32">
        <v>4800.6000000000004</v>
      </c>
      <c r="AZ44" s="32">
        <v>0</v>
      </c>
      <c r="BA44" s="32">
        <v>0</v>
      </c>
      <c r="BB44" s="32">
        <v>0</v>
      </c>
      <c r="BC44" s="32">
        <v>0</v>
      </c>
      <c r="BD44" s="32">
        <v>53000</v>
      </c>
      <c r="BE44" s="32">
        <v>53000</v>
      </c>
      <c r="BF44" s="32">
        <v>0</v>
      </c>
      <c r="BG44" s="32">
        <v>0</v>
      </c>
      <c r="BH44" s="32">
        <v>0</v>
      </c>
      <c r="BI44" s="32">
        <v>0</v>
      </c>
      <c r="BJ44" s="32">
        <v>0</v>
      </c>
      <c r="BK44" s="32">
        <v>0</v>
      </c>
      <c r="BL44" s="32">
        <v>0</v>
      </c>
      <c r="BM44" s="32">
        <v>0</v>
      </c>
      <c r="BN44" s="32">
        <v>0</v>
      </c>
      <c r="BO44" s="32">
        <v>0</v>
      </c>
      <c r="BP44" s="32">
        <v>0</v>
      </c>
      <c r="BQ44" s="32">
        <v>16201.15</v>
      </c>
      <c r="BR44" s="32">
        <v>19201.150000000001</v>
      </c>
      <c r="BS44" s="32">
        <v>27201.15</v>
      </c>
      <c r="BT44" s="32">
        <v>27201.15</v>
      </c>
      <c r="BU44" s="32">
        <v>0</v>
      </c>
      <c r="BV44" s="32">
        <v>0</v>
      </c>
      <c r="BW44" s="32">
        <v>0</v>
      </c>
      <c r="BX44" s="32">
        <v>0</v>
      </c>
      <c r="BY44" s="32">
        <v>0</v>
      </c>
      <c r="BZ44" s="32">
        <v>0</v>
      </c>
      <c r="CA44" s="32">
        <v>0</v>
      </c>
      <c r="CB44" s="33" t="s">
        <v>1302</v>
      </c>
      <c r="CC44" s="33" t="s">
        <v>770</v>
      </c>
      <c r="CD44" s="33" t="s">
        <v>653</v>
      </c>
      <c r="CE44" s="33" t="s">
        <v>501</v>
      </c>
      <c r="CF44" s="33" t="s">
        <v>1303</v>
      </c>
      <c r="CG44" s="33" t="s">
        <v>1304</v>
      </c>
      <c r="CH44" s="33" t="s">
        <v>526</v>
      </c>
      <c r="CI44" s="33"/>
      <c r="CJ44" s="33" t="s">
        <v>212</v>
      </c>
      <c r="CK44" s="33" t="s">
        <v>1305</v>
      </c>
      <c r="CL44" s="33" t="s">
        <v>212</v>
      </c>
      <c r="CM44" s="33"/>
      <c r="CN44" s="33" t="s">
        <v>254</v>
      </c>
      <c r="CO44" s="33" t="s">
        <v>302</v>
      </c>
      <c r="CP44" s="33" t="s">
        <v>1306</v>
      </c>
      <c r="CQ44" s="33" t="s">
        <v>1307</v>
      </c>
      <c r="CR44" s="33" t="s">
        <v>1308</v>
      </c>
      <c r="CS44" s="33" t="s">
        <v>1309</v>
      </c>
      <c r="CT44" s="33" t="s">
        <v>254</v>
      </c>
      <c r="CU44" s="33" t="s">
        <v>260</v>
      </c>
      <c r="CV44" s="33" t="s">
        <v>1310</v>
      </c>
      <c r="CW44" s="33" t="s">
        <v>1311</v>
      </c>
      <c r="CX44" s="33" t="s">
        <v>599</v>
      </c>
      <c r="CY44" s="33" t="s">
        <v>892</v>
      </c>
      <c r="CZ44" s="33" t="s">
        <v>1035</v>
      </c>
      <c r="DA44" s="33" t="s">
        <v>1312</v>
      </c>
      <c r="DB44" s="33" t="s">
        <v>895</v>
      </c>
      <c r="DC44" s="33" t="s">
        <v>921</v>
      </c>
      <c r="DD44" s="33" t="s">
        <v>922</v>
      </c>
      <c r="DE44" s="33" t="s">
        <v>1313</v>
      </c>
      <c r="DF44" s="34" t="s">
        <v>1314</v>
      </c>
      <c r="DG44" s="27" cm="1">
        <f t="array" ref="DG44">INDEX('elenco partner'!A:M,MATCH(1,(D44='elenco partner'!A:A)*('Partner data'!M44='elenco partner'!E:E),0),4)</f>
        <v>156</v>
      </c>
      <c r="DH44" s="83" t="str">
        <f t="shared" si="20"/>
        <v>Costo Unitario Standard</v>
      </c>
      <c r="DI44" s="20">
        <f>COUNTIFS('MY-REPORT-MAIN'!C:C,'Partner data'!DG44,'MY-REPORT-MAIN'!I:I,"Certified")</f>
        <v>1</v>
      </c>
      <c r="DJ44" s="20">
        <f>COUNTIFS(List_Of_chek_list!M:M,"&lt;&gt;26",List_Of_chek_list!B:B,'Partner data'!DG44)</f>
        <v>1</v>
      </c>
      <c r="DK44" s="20">
        <f t="shared" si="21"/>
        <v>0</v>
      </c>
      <c r="DL44" s="19" t="str">
        <f>IF(DH44="Tasso Forfettario 20%",SUMIFS(List_Of_chek_list!#REF!,List_Of_chek_list!B:B,'Partner data'!DG44),"NON PERTINENTE")</f>
        <v>NON PERTINENTE</v>
      </c>
      <c r="DM44" s="19" t="str">
        <f t="shared" si="22"/>
        <v>NON PERTINENTE</v>
      </c>
      <c r="DN44" s="110">
        <f>_xlfn.MAXIFS('MY-REPORT-MAIN'!K:K,'MY-REPORT-MAIN'!C:C,DG44)</f>
        <v>45372.369917233795</v>
      </c>
      <c r="DO44" s="112">
        <f>IF(_xlfn.MAXIFS('MY-REPORT-MAIN'!M:M,'MY-REPORT-MAIN'!C:C,DG44)=0,"Nessun rendiconto  Convalidato",_xlfn.MAXIFS('MY-REPORT-MAIN'!M:M,'MY-REPORT-MAIN'!C:C,DG44))</f>
        <v>45442.376488159724</v>
      </c>
      <c r="DP44" s="113" cm="1">
        <f t="array" ref="DP44">IFERROR(INDEX('MY-REPORT-MAIN'!A:Z,MATCH(1,(DO44='MY-REPORT-MAIN'!M:M)*('Partner data'!DG44='MY-REPORT-MAIN'!C:C),0),1),"NON è stato convalidato ancora nessun rendiconto")</f>
        <v>169</v>
      </c>
      <c r="DQ44" s="111">
        <f>IFERROR(INDEX('MY-REPORT-MAIN'!A:Z,MATCH('Partner data'!DP44,'MY-REPORT-MAIN'!A:A,0),21),"Nessun Rendiconto ancora convalidato")</f>
        <v>9466.99</v>
      </c>
      <c r="DR44" s="110">
        <f>INDEX('Interreg VI-A Italy-Slovenia_pr'!A:E,MATCH('Partner data'!C44,'Interreg VI-A Italy-Slovenia_pr'!A:A,0),3)</f>
        <v>45139</v>
      </c>
      <c r="DS44" s="118">
        <f t="shared" si="1"/>
        <v>16201.15</v>
      </c>
      <c r="DT44" s="118">
        <f t="shared" si="2"/>
        <v>35402.300000000003</v>
      </c>
      <c r="DU44" s="118">
        <f t="shared" si="3"/>
        <v>62603.450000000004</v>
      </c>
      <c r="DV44" s="118">
        <f t="shared" si="4"/>
        <v>89804.6</v>
      </c>
      <c r="DW44" s="118">
        <f t="shared" si="5"/>
        <v>89804.6</v>
      </c>
      <c r="DX44" s="118">
        <f t="shared" si="6"/>
        <v>89804.6</v>
      </c>
      <c r="DY44" s="118">
        <f t="shared" si="7"/>
        <v>89804.6</v>
      </c>
      <c r="DZ44" s="118">
        <f t="shared" si="8"/>
        <v>89804.6</v>
      </c>
      <c r="EA44" s="118">
        <f t="shared" si="9"/>
        <v>89804.6</v>
      </c>
      <c r="EB44" s="118">
        <f t="shared" si="10"/>
        <v>89804.6</v>
      </c>
    </row>
    <row r="45" spans="1:132" x14ac:dyDescent="0.25">
      <c r="A45" s="28">
        <v>1</v>
      </c>
      <c r="B45" s="29" t="s">
        <v>487</v>
      </c>
      <c r="C45" s="30" t="s">
        <v>1261</v>
      </c>
      <c r="D45" s="30" t="s">
        <v>71</v>
      </c>
      <c r="E45" s="30" t="s">
        <v>1262</v>
      </c>
      <c r="F45" s="30" t="s">
        <v>1263</v>
      </c>
      <c r="G45" s="30" t="s">
        <v>491</v>
      </c>
      <c r="H45" s="30" t="s">
        <v>766</v>
      </c>
      <c r="I45" s="30" t="s">
        <v>767</v>
      </c>
      <c r="J45" s="31" t="s">
        <v>570</v>
      </c>
      <c r="K45" s="31" t="s">
        <v>495</v>
      </c>
      <c r="L45" s="31" t="s">
        <v>519</v>
      </c>
      <c r="M45" s="31" t="s">
        <v>303</v>
      </c>
      <c r="N45" s="31" t="s">
        <v>1315</v>
      </c>
      <c r="O45" s="31" t="s">
        <v>1316</v>
      </c>
      <c r="P45" s="31" t="s">
        <v>257</v>
      </c>
      <c r="Q45" s="31" t="s">
        <v>556</v>
      </c>
      <c r="R45" s="31" t="s">
        <v>270</v>
      </c>
      <c r="S45" s="32">
        <v>79999.199999999997</v>
      </c>
      <c r="T45" s="32">
        <v>80</v>
      </c>
      <c r="U45" s="32">
        <v>16.670000000000002</v>
      </c>
      <c r="V45" s="32">
        <v>0</v>
      </c>
      <c r="W45" s="32">
        <v>0</v>
      </c>
      <c r="X45" s="32">
        <v>0</v>
      </c>
      <c r="Y45" s="32">
        <v>0</v>
      </c>
      <c r="Z45" s="32">
        <v>0</v>
      </c>
      <c r="AA45" s="32">
        <v>0</v>
      </c>
      <c r="AB45" s="32">
        <v>0</v>
      </c>
      <c r="AC45" s="32">
        <v>0</v>
      </c>
      <c r="AD45" s="32">
        <v>0</v>
      </c>
      <c r="AE45" s="32">
        <v>0</v>
      </c>
      <c r="AF45" s="32">
        <v>0</v>
      </c>
      <c r="AG45" s="32">
        <v>0</v>
      </c>
      <c r="AH45" s="32">
        <v>0</v>
      </c>
      <c r="AI45" s="32">
        <v>0</v>
      </c>
      <c r="AJ45" s="32">
        <v>0</v>
      </c>
      <c r="AK45" s="32">
        <v>0</v>
      </c>
      <c r="AL45" s="32">
        <v>0</v>
      </c>
      <c r="AM45" s="32">
        <v>0</v>
      </c>
      <c r="AN45" s="32">
        <v>19999.8</v>
      </c>
      <c r="AO45" s="32">
        <v>0</v>
      </c>
      <c r="AP45" s="32">
        <v>0</v>
      </c>
      <c r="AQ45" s="32">
        <v>19999.8</v>
      </c>
      <c r="AR45" s="32">
        <v>99999</v>
      </c>
      <c r="AS45" s="32">
        <v>16.670000000000002</v>
      </c>
      <c r="AT45" s="32">
        <v>16260</v>
      </c>
      <c r="AU45" s="32">
        <v>16260</v>
      </c>
      <c r="AV45" s="32">
        <v>0</v>
      </c>
      <c r="AW45" s="32">
        <v>0</v>
      </c>
      <c r="AX45" s="32">
        <v>2439</v>
      </c>
      <c r="AY45" s="32">
        <v>2439</v>
      </c>
      <c r="AZ45" s="32">
        <v>0</v>
      </c>
      <c r="BA45" s="32">
        <v>0</v>
      </c>
      <c r="BB45" s="32">
        <v>0</v>
      </c>
      <c r="BC45" s="32">
        <v>0</v>
      </c>
      <c r="BD45" s="32">
        <v>52000</v>
      </c>
      <c r="BE45" s="32">
        <v>52000</v>
      </c>
      <c r="BF45" s="32">
        <v>0</v>
      </c>
      <c r="BG45" s="32">
        <v>29300</v>
      </c>
      <c r="BH45" s="32">
        <v>29300</v>
      </c>
      <c r="BI45" s="32">
        <v>0</v>
      </c>
      <c r="BJ45" s="32">
        <v>0</v>
      </c>
      <c r="BK45" s="32">
        <v>0</v>
      </c>
      <c r="BL45" s="32">
        <v>0</v>
      </c>
      <c r="BM45" s="32">
        <v>0</v>
      </c>
      <c r="BN45" s="32">
        <v>0</v>
      </c>
      <c r="BO45" s="32">
        <v>0</v>
      </c>
      <c r="BP45" s="32">
        <v>0</v>
      </c>
      <c r="BQ45" s="32">
        <v>0</v>
      </c>
      <c r="BR45" s="32">
        <v>44649</v>
      </c>
      <c r="BS45" s="32">
        <v>41697</v>
      </c>
      <c r="BT45" s="32">
        <v>13653</v>
      </c>
      <c r="BU45" s="32">
        <v>0</v>
      </c>
      <c r="BV45" s="32">
        <v>0</v>
      </c>
      <c r="BW45" s="32">
        <v>0</v>
      </c>
      <c r="BX45" s="32">
        <v>0</v>
      </c>
      <c r="BY45" s="32">
        <v>0</v>
      </c>
      <c r="BZ45" s="32">
        <v>0</v>
      </c>
      <c r="CA45" s="32">
        <v>0</v>
      </c>
      <c r="CB45" s="33" t="s">
        <v>212</v>
      </c>
      <c r="CC45" s="33" t="s">
        <v>596</v>
      </c>
      <c r="CD45" s="33" t="s">
        <v>653</v>
      </c>
      <c r="CE45" s="33" t="s">
        <v>684</v>
      </c>
      <c r="CF45" s="33" t="s">
        <v>1303</v>
      </c>
      <c r="CG45" s="33" t="s">
        <v>1317</v>
      </c>
      <c r="CH45" s="33" t="s">
        <v>619</v>
      </c>
      <c r="CI45" s="33" t="s">
        <v>212</v>
      </c>
      <c r="CJ45" s="33" t="s">
        <v>212</v>
      </c>
      <c r="CK45" s="33" t="s">
        <v>212</v>
      </c>
      <c r="CL45" s="33" t="s">
        <v>212</v>
      </c>
      <c r="CM45" s="33"/>
      <c r="CN45" s="33" t="s">
        <v>257</v>
      </c>
      <c r="CO45" s="33" t="s">
        <v>270</v>
      </c>
      <c r="CP45" s="33" t="s">
        <v>1318</v>
      </c>
      <c r="CQ45" s="33" t="s">
        <v>686</v>
      </c>
      <c r="CR45" s="33" t="s">
        <v>687</v>
      </c>
      <c r="CS45" s="33" t="s">
        <v>1319</v>
      </c>
      <c r="CT45" s="33"/>
      <c r="CU45" s="33"/>
      <c r="CV45" s="33"/>
      <c r="CW45" s="33"/>
      <c r="CX45" s="33"/>
      <c r="CY45" s="33" t="s">
        <v>892</v>
      </c>
      <c r="CZ45" s="33" t="s">
        <v>1320</v>
      </c>
      <c r="DA45" s="33" t="s">
        <v>1321</v>
      </c>
      <c r="DB45" s="33" t="s">
        <v>895</v>
      </c>
      <c r="DC45" s="33" t="s">
        <v>1322</v>
      </c>
      <c r="DD45" s="33" t="s">
        <v>1323</v>
      </c>
      <c r="DE45" s="33" t="s">
        <v>1324</v>
      </c>
      <c r="DF45" s="34" t="s">
        <v>1325</v>
      </c>
      <c r="DG45" s="27" cm="1">
        <f t="array" ref="DG45">INDEX('elenco partner'!A:M,MATCH(1,(D45='elenco partner'!A:A)*('Partner data'!M45='elenco partner'!E:E),0),4)</f>
        <v>157</v>
      </c>
      <c r="DH45" s="83" t="str">
        <f t="shared" si="20"/>
        <v>Tasso Forfettario 20%</v>
      </c>
      <c r="DI45" s="20">
        <f>COUNTIFS('MY-REPORT-MAIN'!C:C,'Partner data'!DG45,'MY-REPORT-MAIN'!I:I,"Certified")</f>
        <v>1</v>
      </c>
      <c r="DJ45" s="20">
        <f>COUNTIFS(List_Of_chek_list!M:M,"&lt;&gt;26",List_Of_chek_list!B:B,'Partner data'!DG45)</f>
        <v>1</v>
      </c>
      <c r="DK45" s="20">
        <f t="shared" si="21"/>
        <v>0</v>
      </c>
      <c r="DL45" s="19" t="e">
        <f>IF(DH45="Tasso Forfettario 20%",SUMIFS(List_Of_chek_list!#REF!,List_Of_chek_list!B:B,'Partner data'!DG45),"NON PERTINENTE")</f>
        <v>#REF!</v>
      </c>
      <c r="DM45" s="19" t="e">
        <f t="shared" si="22"/>
        <v>#REF!</v>
      </c>
      <c r="DN45" s="110">
        <f>_xlfn.MAXIFS('MY-REPORT-MAIN'!K:K,'MY-REPORT-MAIN'!C:C,DG45)</f>
        <v>45373.618295405089</v>
      </c>
      <c r="DO45" s="112">
        <f>IF(_xlfn.MAXIFS('MY-REPORT-MAIN'!M:M,'MY-REPORT-MAIN'!C:C,DG45)=0,"Nessun rendiconto  Convalidato",_xlfn.MAXIFS('MY-REPORT-MAIN'!M:M,'MY-REPORT-MAIN'!C:C,DG45))</f>
        <v>45420.44550199074</v>
      </c>
      <c r="DP45" s="113" cm="1">
        <f t="array" ref="DP45">IFERROR(INDEX('MY-REPORT-MAIN'!A:Z,MATCH(1,(DO45='MY-REPORT-MAIN'!M:M)*('Partner data'!DG45='MY-REPORT-MAIN'!C:C),0),1),"NON è stato convalidato ancora nessun rendiconto")</f>
        <v>206</v>
      </c>
      <c r="DQ45" s="111">
        <f>IFERROR(INDEX('MY-REPORT-MAIN'!A:Z,MATCH('Partner data'!DP45,'MY-REPORT-MAIN'!A:A,0),21),"Nessun Rendiconto ancora convalidato")</f>
        <v>8997.27</v>
      </c>
      <c r="DR45" s="110">
        <f>INDEX('Interreg VI-A Italy-Slovenia_pr'!A:E,MATCH('Partner data'!C45,'Interreg VI-A Italy-Slovenia_pr'!A:A,0),3)</f>
        <v>45139</v>
      </c>
      <c r="DS45" s="118">
        <f t="shared" si="1"/>
        <v>0</v>
      </c>
      <c r="DT45" s="118">
        <f t="shared" si="2"/>
        <v>44649</v>
      </c>
      <c r="DU45" s="118">
        <f t="shared" si="3"/>
        <v>86346</v>
      </c>
      <c r="DV45" s="118">
        <f t="shared" si="4"/>
        <v>99999</v>
      </c>
      <c r="DW45" s="118">
        <f t="shared" si="5"/>
        <v>99999</v>
      </c>
      <c r="DX45" s="118">
        <f t="shared" si="6"/>
        <v>99999</v>
      </c>
      <c r="DY45" s="118">
        <f t="shared" si="7"/>
        <v>99999</v>
      </c>
      <c r="DZ45" s="118">
        <f t="shared" si="8"/>
        <v>99999</v>
      </c>
      <c r="EA45" s="118">
        <f t="shared" si="9"/>
        <v>99999</v>
      </c>
      <c r="EB45" s="118">
        <f t="shared" si="10"/>
        <v>99999</v>
      </c>
    </row>
    <row r="46" spans="1:132" ht="45" x14ac:dyDescent="0.25">
      <c r="A46" s="28">
        <v>1</v>
      </c>
      <c r="B46" s="29" t="s">
        <v>487</v>
      </c>
      <c r="C46" s="30" t="s">
        <v>1261</v>
      </c>
      <c r="D46" s="30" t="s">
        <v>71</v>
      </c>
      <c r="E46" s="30" t="s">
        <v>1262</v>
      </c>
      <c r="F46" s="30" t="s">
        <v>1263</v>
      </c>
      <c r="G46" s="30" t="s">
        <v>491</v>
      </c>
      <c r="H46" s="30" t="s">
        <v>766</v>
      </c>
      <c r="I46" s="30" t="s">
        <v>767</v>
      </c>
      <c r="J46" s="31" t="s">
        <v>581</v>
      </c>
      <c r="K46" s="31" t="s">
        <v>495</v>
      </c>
      <c r="L46" s="31" t="s">
        <v>519</v>
      </c>
      <c r="M46" s="31" t="s">
        <v>47</v>
      </c>
      <c r="N46" s="31" t="s">
        <v>1326</v>
      </c>
      <c r="O46" s="31" t="s">
        <v>1327</v>
      </c>
      <c r="P46" s="31" t="s">
        <v>254</v>
      </c>
      <c r="Q46" s="31" t="s">
        <v>499</v>
      </c>
      <c r="R46" s="31" t="s">
        <v>255</v>
      </c>
      <c r="S46" s="32">
        <v>81999.990000000005</v>
      </c>
      <c r="T46" s="32">
        <v>80</v>
      </c>
      <c r="U46" s="32">
        <v>17.079999999999998</v>
      </c>
      <c r="V46" s="32">
        <v>0</v>
      </c>
      <c r="W46" s="32">
        <v>0</v>
      </c>
      <c r="X46" s="32">
        <v>0</v>
      </c>
      <c r="Y46" s="32">
        <v>0</v>
      </c>
      <c r="Z46" s="32">
        <v>0</v>
      </c>
      <c r="AA46" s="32">
        <v>0</v>
      </c>
      <c r="AB46" s="32">
        <v>0</v>
      </c>
      <c r="AC46" s="32">
        <v>0</v>
      </c>
      <c r="AD46" s="32">
        <v>0</v>
      </c>
      <c r="AE46" s="32">
        <v>0</v>
      </c>
      <c r="AF46" s="32">
        <v>0</v>
      </c>
      <c r="AG46" s="32">
        <v>0</v>
      </c>
      <c r="AH46" s="32">
        <v>0</v>
      </c>
      <c r="AI46" s="32">
        <v>0</v>
      </c>
      <c r="AJ46" s="32">
        <v>0</v>
      </c>
      <c r="AK46" s="32">
        <v>0</v>
      </c>
      <c r="AL46" s="32">
        <v>0</v>
      </c>
      <c r="AM46" s="32">
        <v>0</v>
      </c>
      <c r="AN46" s="32">
        <v>0</v>
      </c>
      <c r="AO46" s="32">
        <v>20500</v>
      </c>
      <c r="AP46" s="32">
        <v>0</v>
      </c>
      <c r="AQ46" s="32">
        <v>20500</v>
      </c>
      <c r="AR46" s="32">
        <v>102499.99</v>
      </c>
      <c r="AS46" s="32">
        <v>17.079999999999998</v>
      </c>
      <c r="AT46" s="32">
        <v>16558.96</v>
      </c>
      <c r="AU46" s="32">
        <v>16558.96</v>
      </c>
      <c r="AV46" s="32">
        <v>0</v>
      </c>
      <c r="AW46" s="32">
        <v>0</v>
      </c>
      <c r="AX46" s="32">
        <v>2483.84</v>
      </c>
      <c r="AY46" s="32">
        <v>2483.84</v>
      </c>
      <c r="AZ46" s="32">
        <v>662.35</v>
      </c>
      <c r="BA46" s="32">
        <v>662.35</v>
      </c>
      <c r="BB46" s="32">
        <v>0</v>
      </c>
      <c r="BC46" s="32">
        <v>0</v>
      </c>
      <c r="BD46" s="32">
        <v>82794.84</v>
      </c>
      <c r="BE46" s="32">
        <v>82794.84</v>
      </c>
      <c r="BF46" s="32">
        <v>0</v>
      </c>
      <c r="BG46" s="32">
        <v>0</v>
      </c>
      <c r="BH46" s="32">
        <v>0</v>
      </c>
      <c r="BI46" s="32">
        <v>0</v>
      </c>
      <c r="BJ46" s="32">
        <v>0</v>
      </c>
      <c r="BK46" s="32">
        <v>0</v>
      </c>
      <c r="BL46" s="32">
        <v>0</v>
      </c>
      <c r="BM46" s="32">
        <v>0</v>
      </c>
      <c r="BN46" s="32">
        <v>0</v>
      </c>
      <c r="BO46" s="32">
        <v>0</v>
      </c>
      <c r="BP46" s="32">
        <v>0</v>
      </c>
      <c r="BQ46" s="32">
        <v>0</v>
      </c>
      <c r="BR46" s="32">
        <v>24760</v>
      </c>
      <c r="BS46" s="32">
        <v>37140</v>
      </c>
      <c r="BT46" s="32">
        <v>40599.99</v>
      </c>
      <c r="BU46" s="32">
        <v>0</v>
      </c>
      <c r="BV46" s="32">
        <v>0</v>
      </c>
      <c r="BW46" s="32">
        <v>0</v>
      </c>
      <c r="BX46" s="32">
        <v>0</v>
      </c>
      <c r="BY46" s="32">
        <v>0</v>
      </c>
      <c r="BZ46" s="32">
        <v>0</v>
      </c>
      <c r="CA46" s="32">
        <v>0</v>
      </c>
      <c r="CB46" s="33" t="s">
        <v>212</v>
      </c>
      <c r="CC46" s="33" t="s">
        <v>500</v>
      </c>
      <c r="CD46" s="33" t="s">
        <v>617</v>
      </c>
      <c r="CE46" s="33" t="s">
        <v>684</v>
      </c>
      <c r="CF46" s="33" t="s">
        <v>1303</v>
      </c>
      <c r="CG46" s="33" t="s">
        <v>1328</v>
      </c>
      <c r="CH46" s="33" t="s">
        <v>526</v>
      </c>
      <c r="CI46" s="33" t="s">
        <v>1329</v>
      </c>
      <c r="CJ46" s="33" t="s">
        <v>212</v>
      </c>
      <c r="CK46" s="33" t="s">
        <v>212</v>
      </c>
      <c r="CL46" s="33" t="s">
        <v>212</v>
      </c>
      <c r="CM46" s="33"/>
      <c r="CN46" s="33" t="s">
        <v>254</v>
      </c>
      <c r="CO46" s="33" t="s">
        <v>255</v>
      </c>
      <c r="CP46" s="33" t="s">
        <v>1330</v>
      </c>
      <c r="CQ46" s="33" t="s">
        <v>1331</v>
      </c>
      <c r="CR46" s="33" t="s">
        <v>529</v>
      </c>
      <c r="CS46" s="33" t="s">
        <v>1332</v>
      </c>
      <c r="CT46" s="33"/>
      <c r="CU46" s="33"/>
      <c r="CV46" s="33"/>
      <c r="CW46" s="33"/>
      <c r="CX46" s="33"/>
      <c r="CY46" s="33" t="s">
        <v>892</v>
      </c>
      <c r="CZ46" s="33" t="s">
        <v>1333</v>
      </c>
      <c r="DA46" s="33" t="s">
        <v>1334</v>
      </c>
      <c r="DB46" s="33" t="s">
        <v>892</v>
      </c>
      <c r="DC46" s="33" t="s">
        <v>623</v>
      </c>
      <c r="DD46" s="33" t="s">
        <v>1335</v>
      </c>
      <c r="DE46" s="33" t="s">
        <v>1336</v>
      </c>
      <c r="DF46" s="34" t="s">
        <v>1337</v>
      </c>
      <c r="DG46" s="27" cm="1">
        <f t="array" ref="DG46">INDEX('elenco partner'!A:M,MATCH(1,(D46='elenco partner'!A:A)*('Partner data'!M46='elenco partner'!E:E),0),4)</f>
        <v>159</v>
      </c>
      <c r="DH46" s="83" t="str">
        <f t="shared" si="20"/>
        <v>Tasso Forfettario 20%</v>
      </c>
      <c r="DI46" s="20">
        <f>COUNTIFS('MY-REPORT-MAIN'!C:C,'Partner data'!DG46,'MY-REPORT-MAIN'!I:I,"Certified")</f>
        <v>0</v>
      </c>
      <c r="DJ46" s="20">
        <f>COUNTIFS(List_Of_chek_list!M:M,"&lt;&gt;26",List_Of_chek_list!B:B,'Partner data'!DG46)</f>
        <v>0</v>
      </c>
      <c r="DK46" s="20">
        <f t="shared" si="21"/>
        <v>0</v>
      </c>
      <c r="DL46" s="19" t="e">
        <f>IF(DH46="Tasso Forfettario 20%",SUMIFS(List_Of_chek_list!#REF!,List_Of_chek_list!B:B,'Partner data'!DG46),"NON PERTINENTE")</f>
        <v>#REF!</v>
      </c>
      <c r="DM46" s="19" t="e">
        <f t="shared" si="22"/>
        <v>#REF!</v>
      </c>
      <c r="DN46" s="110">
        <f>_xlfn.MAXIFS('MY-REPORT-MAIN'!K:K,'MY-REPORT-MAIN'!C:C,DG46)</f>
        <v>0</v>
      </c>
      <c r="DO46" s="112" t="str">
        <f>IF(_xlfn.MAXIFS('MY-REPORT-MAIN'!M:M,'MY-REPORT-MAIN'!C:C,DG46)=0,"Nessun rendiconto  Convalidato",_xlfn.MAXIFS('MY-REPORT-MAIN'!M:M,'MY-REPORT-MAIN'!C:C,DG46))</f>
        <v>Nessun rendiconto  Convalidato</v>
      </c>
      <c r="DP46" s="113" t="str" cm="1">
        <f t="array" ref="DP46">IFERROR(INDEX('MY-REPORT-MAIN'!A:Z,MATCH(1,(DO46='MY-REPORT-MAIN'!M:M)*('Partner data'!DG46='MY-REPORT-MAIN'!C:C),0),1),"NON è stato convalidato ancora nessun rendiconto")</f>
        <v>NON è stato convalidato ancora nessun rendiconto</v>
      </c>
      <c r="DQ46" s="111" t="str">
        <f>IFERROR(INDEX('MY-REPORT-MAIN'!A:Z,MATCH('Partner data'!DP46,'MY-REPORT-MAIN'!A:A,0),21),"Nessun Rendiconto ancora convalidato")</f>
        <v>Nessun Rendiconto ancora convalidato</v>
      </c>
      <c r="DR46" s="110">
        <f>INDEX('Interreg VI-A Italy-Slovenia_pr'!A:E,MATCH('Partner data'!C46,'Interreg VI-A Italy-Slovenia_pr'!A:A,0),3)</f>
        <v>45139</v>
      </c>
      <c r="DS46" s="118">
        <f t="shared" si="1"/>
        <v>0</v>
      </c>
      <c r="DT46" s="118">
        <f t="shared" si="2"/>
        <v>24760</v>
      </c>
      <c r="DU46" s="118">
        <f t="shared" si="3"/>
        <v>61900</v>
      </c>
      <c r="DV46" s="118">
        <f t="shared" si="4"/>
        <v>102499.98999999999</v>
      </c>
      <c r="DW46" s="118">
        <f t="shared" si="5"/>
        <v>102499.98999999999</v>
      </c>
      <c r="DX46" s="118">
        <f t="shared" si="6"/>
        <v>102499.98999999999</v>
      </c>
      <c r="DY46" s="118">
        <f t="shared" si="7"/>
        <v>102499.98999999999</v>
      </c>
      <c r="DZ46" s="118">
        <f t="shared" si="8"/>
        <v>102499.98999999999</v>
      </c>
      <c r="EA46" s="118">
        <f t="shared" si="9"/>
        <v>102499.98999999999</v>
      </c>
      <c r="EB46" s="118">
        <f t="shared" si="10"/>
        <v>102499.98999999999</v>
      </c>
    </row>
    <row r="47" spans="1:132" x14ac:dyDescent="0.25">
      <c r="A47" s="28">
        <v>1</v>
      </c>
      <c r="B47" s="29" t="s">
        <v>487</v>
      </c>
      <c r="C47" s="30" t="s">
        <v>1364</v>
      </c>
      <c r="D47" s="30" t="s">
        <v>304</v>
      </c>
      <c r="E47" s="30" t="s">
        <v>1365</v>
      </c>
      <c r="F47" s="30" t="s">
        <v>490</v>
      </c>
      <c r="G47" s="30" t="s">
        <v>491</v>
      </c>
      <c r="H47" s="30" t="s">
        <v>691</v>
      </c>
      <c r="I47" s="30" t="s">
        <v>1044</v>
      </c>
      <c r="J47" s="31" t="s">
        <v>494</v>
      </c>
      <c r="K47" s="31" t="s">
        <v>495</v>
      </c>
      <c r="L47" s="31" t="s">
        <v>496</v>
      </c>
      <c r="M47" s="31" t="s">
        <v>305</v>
      </c>
      <c r="N47" s="31" t="s">
        <v>1366</v>
      </c>
      <c r="O47" s="31" t="s">
        <v>1367</v>
      </c>
      <c r="P47" s="31" t="s">
        <v>257</v>
      </c>
      <c r="Q47" s="31" t="s">
        <v>556</v>
      </c>
      <c r="R47" s="31" t="s">
        <v>270</v>
      </c>
      <c r="S47" s="32">
        <v>148827.20000000001</v>
      </c>
      <c r="T47" s="32">
        <v>80</v>
      </c>
      <c r="U47" s="32">
        <v>25.84</v>
      </c>
      <c r="V47" s="32">
        <v>0</v>
      </c>
      <c r="W47" s="32">
        <v>0</v>
      </c>
      <c r="X47" s="32">
        <v>0</v>
      </c>
      <c r="Y47" s="32">
        <v>0</v>
      </c>
      <c r="Z47" s="32">
        <v>0</v>
      </c>
      <c r="AA47" s="32">
        <v>0</v>
      </c>
      <c r="AB47" s="32">
        <v>0</v>
      </c>
      <c r="AC47" s="32">
        <v>0</v>
      </c>
      <c r="AD47" s="32">
        <v>0</v>
      </c>
      <c r="AE47" s="32">
        <v>0</v>
      </c>
      <c r="AF47" s="32">
        <v>0</v>
      </c>
      <c r="AG47" s="32">
        <v>0</v>
      </c>
      <c r="AH47" s="32">
        <v>0</v>
      </c>
      <c r="AI47" s="32">
        <v>0</v>
      </c>
      <c r="AJ47" s="32">
        <v>0</v>
      </c>
      <c r="AK47" s="32">
        <v>0</v>
      </c>
      <c r="AL47" s="32">
        <v>0</v>
      </c>
      <c r="AM47" s="32">
        <v>0</v>
      </c>
      <c r="AN47" s="32">
        <v>37206.800000000003</v>
      </c>
      <c r="AO47" s="32">
        <v>0</v>
      </c>
      <c r="AP47" s="32">
        <v>0</v>
      </c>
      <c r="AQ47" s="32">
        <v>37206.800000000003</v>
      </c>
      <c r="AR47" s="32">
        <v>186034</v>
      </c>
      <c r="AS47" s="32">
        <v>25.84</v>
      </c>
      <c r="AT47" s="32">
        <v>28600</v>
      </c>
      <c r="AU47" s="32">
        <v>28600</v>
      </c>
      <c r="AV47" s="32">
        <v>0</v>
      </c>
      <c r="AW47" s="32">
        <v>0</v>
      </c>
      <c r="AX47" s="32">
        <v>4290</v>
      </c>
      <c r="AY47" s="32">
        <v>4290</v>
      </c>
      <c r="AZ47" s="32">
        <v>1144</v>
      </c>
      <c r="BA47" s="32">
        <v>1144</v>
      </c>
      <c r="BB47" s="32">
        <v>0</v>
      </c>
      <c r="BC47" s="32">
        <v>0</v>
      </c>
      <c r="BD47" s="32">
        <v>21000</v>
      </c>
      <c r="BE47" s="32">
        <v>21000</v>
      </c>
      <c r="BF47" s="32">
        <v>0</v>
      </c>
      <c r="BG47" s="32">
        <v>0</v>
      </c>
      <c r="BH47" s="32">
        <v>0</v>
      </c>
      <c r="BI47" s="32">
        <v>0</v>
      </c>
      <c r="BJ47" s="32">
        <v>122000</v>
      </c>
      <c r="BK47" s="32">
        <v>122000</v>
      </c>
      <c r="BL47" s="32">
        <v>0</v>
      </c>
      <c r="BM47" s="32">
        <v>0</v>
      </c>
      <c r="BN47" s="32">
        <v>0</v>
      </c>
      <c r="BO47" s="32">
        <v>9000</v>
      </c>
      <c r="BP47" s="32">
        <v>9000</v>
      </c>
      <c r="BQ47" s="32">
        <v>18817.599999999999</v>
      </c>
      <c r="BR47" s="32">
        <v>0</v>
      </c>
      <c r="BS47" s="32">
        <v>154626.20000000001</v>
      </c>
      <c r="BT47" s="32">
        <v>3590.2</v>
      </c>
      <c r="BU47" s="32">
        <v>0</v>
      </c>
      <c r="BV47" s="32">
        <v>0</v>
      </c>
      <c r="BW47" s="32">
        <v>0</v>
      </c>
      <c r="BX47" s="32">
        <v>0</v>
      </c>
      <c r="BY47" s="32">
        <v>0</v>
      </c>
      <c r="BZ47" s="32">
        <v>0</v>
      </c>
      <c r="CA47" s="32">
        <v>0</v>
      </c>
      <c r="CB47" s="33" t="s">
        <v>212</v>
      </c>
      <c r="CC47" s="33" t="s">
        <v>522</v>
      </c>
      <c r="CD47" s="33" t="s">
        <v>617</v>
      </c>
      <c r="CE47" s="33" t="s">
        <v>523</v>
      </c>
      <c r="CF47" s="33" t="s">
        <v>636</v>
      </c>
      <c r="CG47" s="33" t="s">
        <v>1368</v>
      </c>
      <c r="CH47" s="33" t="s">
        <v>526</v>
      </c>
      <c r="CI47" s="33"/>
      <c r="CJ47" s="33" t="s">
        <v>212</v>
      </c>
      <c r="CK47" s="33" t="s">
        <v>1369</v>
      </c>
      <c r="CL47" s="33" t="s">
        <v>212</v>
      </c>
      <c r="CM47" s="33"/>
      <c r="CN47" s="33" t="s">
        <v>257</v>
      </c>
      <c r="CO47" s="33" t="s">
        <v>270</v>
      </c>
      <c r="CP47" s="33" t="s">
        <v>1370</v>
      </c>
      <c r="CQ47" s="33" t="s">
        <v>710</v>
      </c>
      <c r="CR47" s="33" t="s">
        <v>1371</v>
      </c>
      <c r="CS47" s="33" t="s">
        <v>1372</v>
      </c>
      <c r="CT47" s="33"/>
      <c r="CU47" s="33"/>
      <c r="CV47" s="33"/>
      <c r="CW47" s="33"/>
      <c r="CX47" s="33"/>
      <c r="CY47" s="33" t="s">
        <v>892</v>
      </c>
      <c r="CZ47" s="33" t="s">
        <v>623</v>
      </c>
      <c r="DA47" s="33" t="s">
        <v>1373</v>
      </c>
      <c r="DB47" s="33" t="s">
        <v>895</v>
      </c>
      <c r="DC47" s="33" t="s">
        <v>1374</v>
      </c>
      <c r="DD47" s="33" t="s">
        <v>1375</v>
      </c>
      <c r="DE47" s="33" t="s">
        <v>1376</v>
      </c>
      <c r="DF47" s="34" t="s">
        <v>1377</v>
      </c>
      <c r="DG47" s="27" cm="1">
        <f t="array" ref="DG47">INDEX('elenco partner'!A:M,MATCH(1,(D47='elenco partner'!A:A)*('Partner data'!M47='elenco partner'!E:E),0),4)</f>
        <v>101</v>
      </c>
      <c r="DH47" s="83" t="str">
        <f t="shared" ref="DH47:DH56" si="23">IF(AU47&lt;&gt;0,"Tasso Forfettario 20%",IF(AV47&lt;&gt;0,"COSTO REALE",IF(AW47&lt;&gt;0,"Costo Unitario Standard","BL1 non presente")))</f>
        <v>Tasso Forfettario 20%</v>
      </c>
      <c r="DI47" s="20">
        <f>COUNTIFS('MY-REPORT-MAIN'!C:C,'Partner data'!DG47,'MY-REPORT-MAIN'!I:I,"Certified")</f>
        <v>1</v>
      </c>
      <c r="DJ47" s="20">
        <f>COUNTIFS(List_Of_chek_list!M:M,"&lt;&gt;26",List_Of_chek_list!B:B,'Partner data'!DG47)</f>
        <v>1</v>
      </c>
      <c r="DK47" s="20">
        <f t="shared" ref="DK47:DK56" si="24">DI47-DJ47</f>
        <v>0</v>
      </c>
      <c r="DL47" s="19" t="e">
        <f>IF(DH47="Tasso Forfettario 20%",SUMIFS(List_Of_chek_list!#REF!,List_Of_chek_list!B:B,'Partner data'!DG47),"NON PERTINENTE")</f>
        <v>#REF!</v>
      </c>
      <c r="DM47" s="19" t="e">
        <f t="shared" ref="DM47:DM56" si="25">IF(DL47="NON PERTINENTE","NON PERTINENTE",IF(DJ47=DL47,"Rischio basso","Rischio alto"))</f>
        <v>#REF!</v>
      </c>
      <c r="DN47" s="110">
        <f>_xlfn.MAXIFS('MY-REPORT-MAIN'!K:K,'MY-REPORT-MAIN'!C:C,DG47)</f>
        <v>45379.469844594911</v>
      </c>
      <c r="DO47" s="112">
        <f>IF(_xlfn.MAXIFS('MY-REPORT-MAIN'!M:M,'MY-REPORT-MAIN'!C:C,DG47)=0,"Nessun rendiconto  Convalidato",_xlfn.MAXIFS('MY-REPORT-MAIN'!M:M,'MY-REPORT-MAIN'!C:C,DG47))</f>
        <v>45427.36144320602</v>
      </c>
      <c r="DP47" s="113" cm="1">
        <f t="array" ref="DP47">IFERROR(INDEX('MY-REPORT-MAIN'!A:Z,MATCH(1,(DO47='MY-REPORT-MAIN'!M:M)*('Partner data'!DG47='MY-REPORT-MAIN'!C:C),0),1),"NON è stato convalidato ancora nessun rendiconto")</f>
        <v>124</v>
      </c>
      <c r="DQ47" s="111">
        <f>IFERROR(INDEX('MY-REPORT-MAIN'!A:Z,MATCH('Partner data'!DP47,'MY-REPORT-MAIN'!A:A,0),21),"Nessun Rendiconto ancora convalidato")</f>
        <v>13693.79</v>
      </c>
      <c r="DR47" s="110">
        <f>INDEX('Interreg VI-A Italy-Slovenia_pr'!A:E,MATCH('Partner data'!C47,'Interreg VI-A Italy-Slovenia_pr'!A:A,0),3)</f>
        <v>45170</v>
      </c>
      <c r="DS47" s="118">
        <f t="shared" si="1"/>
        <v>27817.599999999999</v>
      </c>
      <c r="DT47" s="118">
        <f t="shared" si="2"/>
        <v>27817.599999999999</v>
      </c>
      <c r="DU47" s="118">
        <f t="shared" si="3"/>
        <v>182443.80000000002</v>
      </c>
      <c r="DV47" s="118">
        <f t="shared" si="4"/>
        <v>186034.00000000003</v>
      </c>
      <c r="DW47" s="118">
        <f t="shared" si="5"/>
        <v>186034.00000000003</v>
      </c>
      <c r="DX47" s="118">
        <f t="shared" si="6"/>
        <v>186034.00000000003</v>
      </c>
      <c r="DY47" s="118">
        <f t="shared" si="7"/>
        <v>186034.00000000003</v>
      </c>
      <c r="DZ47" s="118">
        <f t="shared" si="8"/>
        <v>186034.00000000003</v>
      </c>
      <c r="EA47" s="118">
        <f t="shared" si="9"/>
        <v>186034.00000000003</v>
      </c>
      <c r="EB47" s="118">
        <f t="shared" si="10"/>
        <v>186034.00000000003</v>
      </c>
    </row>
    <row r="48" spans="1:132" x14ac:dyDescent="0.25">
      <c r="A48" s="28">
        <v>1</v>
      </c>
      <c r="B48" s="29" t="s">
        <v>487</v>
      </c>
      <c r="C48" s="30" t="s">
        <v>1364</v>
      </c>
      <c r="D48" s="30" t="s">
        <v>304</v>
      </c>
      <c r="E48" s="30" t="s">
        <v>1365</v>
      </c>
      <c r="F48" s="30" t="s">
        <v>490</v>
      </c>
      <c r="G48" s="30" t="s">
        <v>491</v>
      </c>
      <c r="H48" s="30" t="s">
        <v>691</v>
      </c>
      <c r="I48" s="30" t="s">
        <v>1044</v>
      </c>
      <c r="J48" s="31" t="s">
        <v>518</v>
      </c>
      <c r="K48" s="31" t="s">
        <v>495</v>
      </c>
      <c r="L48" s="31" t="s">
        <v>519</v>
      </c>
      <c r="M48" s="31" t="s">
        <v>309</v>
      </c>
      <c r="N48" s="31" t="s">
        <v>1378</v>
      </c>
      <c r="O48" s="31" t="s">
        <v>1379</v>
      </c>
      <c r="P48" s="31" t="s">
        <v>257</v>
      </c>
      <c r="Q48" s="31" t="s">
        <v>556</v>
      </c>
      <c r="R48" s="31" t="s">
        <v>270</v>
      </c>
      <c r="S48" s="32">
        <v>108727.31</v>
      </c>
      <c r="T48" s="32">
        <v>80</v>
      </c>
      <c r="U48" s="32">
        <v>18.88</v>
      </c>
      <c r="V48" s="32">
        <v>0</v>
      </c>
      <c r="W48" s="32">
        <v>0</v>
      </c>
      <c r="X48" s="32">
        <v>0</v>
      </c>
      <c r="Y48" s="32">
        <v>0</v>
      </c>
      <c r="Z48" s="32">
        <v>0</v>
      </c>
      <c r="AA48" s="32">
        <v>0</v>
      </c>
      <c r="AB48" s="32">
        <v>0</v>
      </c>
      <c r="AC48" s="32">
        <v>0</v>
      </c>
      <c r="AD48" s="32">
        <v>0</v>
      </c>
      <c r="AE48" s="32">
        <v>0</v>
      </c>
      <c r="AF48" s="32">
        <v>0</v>
      </c>
      <c r="AG48" s="32">
        <v>0</v>
      </c>
      <c r="AH48" s="32">
        <v>0</v>
      </c>
      <c r="AI48" s="32">
        <v>0</v>
      </c>
      <c r="AJ48" s="32">
        <v>0</v>
      </c>
      <c r="AK48" s="32">
        <v>0</v>
      </c>
      <c r="AL48" s="32">
        <v>0</v>
      </c>
      <c r="AM48" s="32">
        <v>0</v>
      </c>
      <c r="AN48" s="32">
        <v>27181.83</v>
      </c>
      <c r="AO48" s="32">
        <v>0</v>
      </c>
      <c r="AP48" s="32">
        <v>0</v>
      </c>
      <c r="AQ48" s="32">
        <v>27181.83</v>
      </c>
      <c r="AR48" s="32">
        <v>135909.14000000001</v>
      </c>
      <c r="AS48" s="32">
        <v>18.88</v>
      </c>
      <c r="AT48" s="32">
        <v>97077.96</v>
      </c>
      <c r="AU48" s="32">
        <v>0</v>
      </c>
      <c r="AV48" s="32">
        <v>97077.96</v>
      </c>
      <c r="AW48" s="32">
        <v>0</v>
      </c>
      <c r="AX48" s="32">
        <v>0</v>
      </c>
      <c r="AY48" s="32">
        <v>0</v>
      </c>
      <c r="AZ48" s="32">
        <v>0</v>
      </c>
      <c r="BA48" s="32">
        <v>0</v>
      </c>
      <c r="BB48" s="32">
        <v>0</v>
      </c>
      <c r="BC48" s="32">
        <v>0</v>
      </c>
      <c r="BD48" s="32">
        <v>0</v>
      </c>
      <c r="BE48" s="32">
        <v>0</v>
      </c>
      <c r="BF48" s="32">
        <v>0</v>
      </c>
      <c r="BG48" s="32">
        <v>0</v>
      </c>
      <c r="BH48" s="32">
        <v>0</v>
      </c>
      <c r="BI48" s="32">
        <v>0</v>
      </c>
      <c r="BJ48" s="32">
        <v>0</v>
      </c>
      <c r="BK48" s="32">
        <v>0</v>
      </c>
      <c r="BL48" s="32">
        <v>0</v>
      </c>
      <c r="BM48" s="32">
        <v>38831.18</v>
      </c>
      <c r="BN48" s="32">
        <v>0</v>
      </c>
      <c r="BO48" s="32">
        <v>0</v>
      </c>
      <c r="BP48" s="32">
        <v>0</v>
      </c>
      <c r="BQ48" s="32">
        <v>33977.279999999999</v>
      </c>
      <c r="BR48" s="32">
        <v>33977.279999999999</v>
      </c>
      <c r="BS48" s="32">
        <v>33977.279999999999</v>
      </c>
      <c r="BT48" s="32">
        <v>33977.300000000003</v>
      </c>
      <c r="BU48" s="32">
        <v>0</v>
      </c>
      <c r="BV48" s="32">
        <v>0</v>
      </c>
      <c r="BW48" s="32">
        <v>0</v>
      </c>
      <c r="BX48" s="32">
        <v>0</v>
      </c>
      <c r="BY48" s="32">
        <v>0</v>
      </c>
      <c r="BZ48" s="32">
        <v>0</v>
      </c>
      <c r="CA48" s="32">
        <v>0</v>
      </c>
      <c r="CB48" s="33" t="s">
        <v>1380</v>
      </c>
      <c r="CC48" s="33" t="s">
        <v>624</v>
      </c>
      <c r="CD48" s="33"/>
      <c r="CE48" s="33" t="s">
        <v>523</v>
      </c>
      <c r="CF48" s="33" t="s">
        <v>734</v>
      </c>
      <c r="CG48" s="33" t="s">
        <v>1381</v>
      </c>
      <c r="CH48" s="33" t="s">
        <v>619</v>
      </c>
      <c r="CI48" s="33" t="s">
        <v>1382</v>
      </c>
      <c r="CJ48" s="33" t="s">
        <v>212</v>
      </c>
      <c r="CK48" s="33" t="s">
        <v>1383</v>
      </c>
      <c r="CL48" s="33" t="s">
        <v>212</v>
      </c>
      <c r="CM48" s="33" t="s">
        <v>637</v>
      </c>
      <c r="CN48" s="33" t="s">
        <v>257</v>
      </c>
      <c r="CO48" s="33" t="s">
        <v>270</v>
      </c>
      <c r="CP48" s="33" t="s">
        <v>1384</v>
      </c>
      <c r="CQ48" s="33" t="s">
        <v>710</v>
      </c>
      <c r="CR48" s="33" t="s">
        <v>650</v>
      </c>
      <c r="CS48" s="33" t="s">
        <v>1385</v>
      </c>
      <c r="CT48" s="33" t="s">
        <v>257</v>
      </c>
      <c r="CU48" s="33" t="s">
        <v>270</v>
      </c>
      <c r="CV48" s="33" t="s">
        <v>1384</v>
      </c>
      <c r="CW48" s="33" t="s">
        <v>710</v>
      </c>
      <c r="CX48" s="33" t="s">
        <v>650</v>
      </c>
      <c r="CY48" s="33" t="s">
        <v>1141</v>
      </c>
      <c r="CZ48" s="33" t="s">
        <v>1386</v>
      </c>
      <c r="DA48" s="33" t="s">
        <v>1387</v>
      </c>
      <c r="DB48" s="33" t="s">
        <v>1348</v>
      </c>
      <c r="DC48" s="33" t="s">
        <v>1388</v>
      </c>
      <c r="DD48" s="33" t="s">
        <v>1389</v>
      </c>
      <c r="DE48" s="33" t="s">
        <v>1390</v>
      </c>
      <c r="DF48" s="34" t="s">
        <v>1391</v>
      </c>
      <c r="DG48" s="27" cm="1">
        <f t="array" ref="DG48">INDEX('elenco partner'!A:M,MATCH(1,(D48='elenco partner'!A:A)*('Partner data'!M48='elenco partner'!E:E),0),4)</f>
        <v>103</v>
      </c>
      <c r="DH48" s="83" t="str">
        <f t="shared" si="23"/>
        <v>COSTO REALE</v>
      </c>
      <c r="DI48" s="20">
        <f>COUNTIFS('MY-REPORT-MAIN'!C:C,'Partner data'!DG48,'MY-REPORT-MAIN'!I:I,"Certified")</f>
        <v>1</v>
      </c>
      <c r="DJ48" s="20">
        <f>COUNTIFS(List_Of_chek_list!M:M,"&lt;&gt;26",List_Of_chek_list!B:B,'Partner data'!DG48)</f>
        <v>1</v>
      </c>
      <c r="DK48" s="20">
        <f t="shared" si="24"/>
        <v>0</v>
      </c>
      <c r="DL48" s="19" t="str">
        <f>IF(DH48="Tasso Forfettario 20%",SUMIFS(List_Of_chek_list!#REF!,List_Of_chek_list!B:B,'Partner data'!DG48),"NON PERTINENTE")</f>
        <v>NON PERTINENTE</v>
      </c>
      <c r="DM48" s="19" t="str">
        <f t="shared" si="25"/>
        <v>NON PERTINENTE</v>
      </c>
      <c r="DN48" s="110">
        <f>_xlfn.MAXIFS('MY-REPORT-MAIN'!K:K,'MY-REPORT-MAIN'!C:C,DG48)</f>
        <v>45385.42409508102</v>
      </c>
      <c r="DO48" s="112">
        <f>IF(_xlfn.MAXIFS('MY-REPORT-MAIN'!M:M,'MY-REPORT-MAIN'!C:C,DG48)=0,"Nessun rendiconto  Convalidato",_xlfn.MAXIFS('MY-REPORT-MAIN'!M:M,'MY-REPORT-MAIN'!C:C,DG48))</f>
        <v>45464.622704791669</v>
      </c>
      <c r="DP48" s="113" cm="1">
        <f t="array" ref="DP48">IFERROR(INDEX('MY-REPORT-MAIN'!A:Z,MATCH(1,(DO48='MY-REPORT-MAIN'!M:M)*('Partner data'!DG48='MY-REPORT-MAIN'!C:C),0),1),"NON è stato convalidato ancora nessun rendiconto")</f>
        <v>231</v>
      </c>
      <c r="DQ48" s="111">
        <f>IFERROR(INDEX('MY-REPORT-MAIN'!A:Z,MATCH('Partner data'!DP48,'MY-REPORT-MAIN'!A:A,0),21),"Nessun Rendiconto ancora convalidato")</f>
        <v>25247.46</v>
      </c>
      <c r="DR48" s="110">
        <f>INDEX('Interreg VI-A Italy-Slovenia_pr'!A:E,MATCH('Partner data'!C48,'Interreg VI-A Italy-Slovenia_pr'!A:A,0),3)</f>
        <v>45170</v>
      </c>
      <c r="DS48" s="118">
        <f t="shared" si="1"/>
        <v>33977.279999999999</v>
      </c>
      <c r="DT48" s="118">
        <f t="shared" si="2"/>
        <v>67954.559999999998</v>
      </c>
      <c r="DU48" s="118">
        <f t="shared" si="3"/>
        <v>101931.84</v>
      </c>
      <c r="DV48" s="118">
        <f t="shared" si="4"/>
        <v>135909.14000000001</v>
      </c>
      <c r="DW48" s="118">
        <f t="shared" si="5"/>
        <v>135909.14000000001</v>
      </c>
      <c r="DX48" s="118">
        <f t="shared" si="6"/>
        <v>135909.14000000001</v>
      </c>
      <c r="DY48" s="118">
        <f t="shared" si="7"/>
        <v>135909.14000000001</v>
      </c>
      <c r="DZ48" s="118">
        <f t="shared" si="8"/>
        <v>135909.14000000001</v>
      </c>
      <c r="EA48" s="118">
        <f t="shared" si="9"/>
        <v>135909.14000000001</v>
      </c>
      <c r="EB48" s="118">
        <f t="shared" si="10"/>
        <v>135909.14000000001</v>
      </c>
    </row>
    <row r="49" spans="1:132" ht="45" x14ac:dyDescent="0.25">
      <c r="A49" s="28">
        <v>1</v>
      </c>
      <c r="B49" s="29" t="s">
        <v>487</v>
      </c>
      <c r="C49" s="30" t="s">
        <v>1364</v>
      </c>
      <c r="D49" s="30" t="s">
        <v>304</v>
      </c>
      <c r="E49" s="30" t="s">
        <v>1365</v>
      </c>
      <c r="F49" s="30" t="s">
        <v>490</v>
      </c>
      <c r="G49" s="30" t="s">
        <v>491</v>
      </c>
      <c r="H49" s="30" t="s">
        <v>691</v>
      </c>
      <c r="I49" s="30" t="s">
        <v>1044</v>
      </c>
      <c r="J49" s="31" t="s">
        <v>538</v>
      </c>
      <c r="K49" s="31" t="s">
        <v>495</v>
      </c>
      <c r="L49" s="31" t="s">
        <v>519</v>
      </c>
      <c r="M49" s="31" t="s">
        <v>306</v>
      </c>
      <c r="N49" s="31" t="s">
        <v>1248</v>
      </c>
      <c r="O49" s="31" t="s">
        <v>1249</v>
      </c>
      <c r="P49" s="31" t="s">
        <v>254</v>
      </c>
      <c r="Q49" s="31" t="s">
        <v>499</v>
      </c>
      <c r="R49" s="31" t="s">
        <v>266</v>
      </c>
      <c r="S49" s="32">
        <v>78624.7</v>
      </c>
      <c r="T49" s="32">
        <v>80</v>
      </c>
      <c r="U49" s="32">
        <v>13.65</v>
      </c>
      <c r="V49" s="32">
        <v>0</v>
      </c>
      <c r="W49" s="32">
        <v>0</v>
      </c>
      <c r="X49" s="32">
        <v>0</v>
      </c>
      <c r="Y49" s="32">
        <v>0</v>
      </c>
      <c r="Z49" s="32">
        <v>0</v>
      </c>
      <c r="AA49" s="32">
        <v>0</v>
      </c>
      <c r="AB49" s="32">
        <v>0</v>
      </c>
      <c r="AC49" s="32">
        <v>0</v>
      </c>
      <c r="AD49" s="32">
        <v>0</v>
      </c>
      <c r="AE49" s="32">
        <v>0</v>
      </c>
      <c r="AF49" s="32">
        <v>0</v>
      </c>
      <c r="AG49" s="32">
        <v>0</v>
      </c>
      <c r="AH49" s="32">
        <v>0</v>
      </c>
      <c r="AI49" s="32">
        <v>0</v>
      </c>
      <c r="AJ49" s="32">
        <v>0</v>
      </c>
      <c r="AK49" s="32">
        <v>0</v>
      </c>
      <c r="AL49" s="32">
        <v>0</v>
      </c>
      <c r="AM49" s="32">
        <v>0</v>
      </c>
      <c r="AN49" s="32">
        <v>0</v>
      </c>
      <c r="AO49" s="32">
        <v>19656.18</v>
      </c>
      <c r="AP49" s="32">
        <v>0</v>
      </c>
      <c r="AQ49" s="32">
        <v>19656.18</v>
      </c>
      <c r="AR49" s="32">
        <v>98280.88</v>
      </c>
      <c r="AS49" s="32">
        <v>13.65</v>
      </c>
      <c r="AT49" s="32">
        <v>24161.25</v>
      </c>
      <c r="AU49" s="32">
        <v>0</v>
      </c>
      <c r="AV49" s="32">
        <v>24161.25</v>
      </c>
      <c r="AW49" s="32">
        <v>0</v>
      </c>
      <c r="AX49" s="32">
        <v>3624.18</v>
      </c>
      <c r="AY49" s="32">
        <v>3624.18</v>
      </c>
      <c r="AZ49" s="32">
        <v>966.45</v>
      </c>
      <c r="BA49" s="32">
        <v>966.45</v>
      </c>
      <c r="BB49" s="32">
        <v>0</v>
      </c>
      <c r="BC49" s="32">
        <v>0</v>
      </c>
      <c r="BD49" s="32">
        <v>69529</v>
      </c>
      <c r="BE49" s="32">
        <v>69529</v>
      </c>
      <c r="BF49" s="32">
        <v>0</v>
      </c>
      <c r="BG49" s="32">
        <v>0</v>
      </c>
      <c r="BH49" s="32">
        <v>0</v>
      </c>
      <c r="BI49" s="32">
        <v>0</v>
      </c>
      <c r="BJ49" s="32">
        <v>0</v>
      </c>
      <c r="BK49" s="32">
        <v>0</v>
      </c>
      <c r="BL49" s="32">
        <v>0</v>
      </c>
      <c r="BM49" s="32">
        <v>0</v>
      </c>
      <c r="BN49" s="32">
        <v>0</v>
      </c>
      <c r="BO49" s="32">
        <v>0</v>
      </c>
      <c r="BP49" s="32">
        <v>0</v>
      </c>
      <c r="BQ49" s="32">
        <v>15718.95</v>
      </c>
      <c r="BR49" s="32">
        <v>25187.95</v>
      </c>
      <c r="BS49" s="32">
        <v>31457.95</v>
      </c>
      <c r="BT49" s="32">
        <v>25916.03</v>
      </c>
      <c r="BU49" s="32">
        <v>0</v>
      </c>
      <c r="BV49" s="32">
        <v>0</v>
      </c>
      <c r="BW49" s="32">
        <v>0</v>
      </c>
      <c r="BX49" s="32">
        <v>0</v>
      </c>
      <c r="BY49" s="32">
        <v>0</v>
      </c>
      <c r="BZ49" s="32">
        <v>0</v>
      </c>
      <c r="CA49" s="32">
        <v>0</v>
      </c>
      <c r="CB49" s="33" t="s">
        <v>1392</v>
      </c>
      <c r="CC49" s="33" t="s">
        <v>522</v>
      </c>
      <c r="CD49" s="33"/>
      <c r="CE49" s="33" t="s">
        <v>523</v>
      </c>
      <c r="CF49" s="33"/>
      <c r="CG49" s="33" t="s">
        <v>1250</v>
      </c>
      <c r="CH49" s="33" t="s">
        <v>526</v>
      </c>
      <c r="CI49" s="33" t="s">
        <v>1382</v>
      </c>
      <c r="CJ49" s="33" t="s">
        <v>212</v>
      </c>
      <c r="CK49" s="33" t="s">
        <v>1251</v>
      </c>
      <c r="CL49" s="33" t="s">
        <v>212</v>
      </c>
      <c r="CM49" s="33"/>
      <c r="CN49" s="33" t="s">
        <v>254</v>
      </c>
      <c r="CO49" s="33" t="s">
        <v>266</v>
      </c>
      <c r="CP49" s="33" t="s">
        <v>1252</v>
      </c>
      <c r="CQ49" s="33" t="s">
        <v>915</v>
      </c>
      <c r="CR49" s="33" t="s">
        <v>306</v>
      </c>
      <c r="CS49" s="33" t="s">
        <v>1254</v>
      </c>
      <c r="CT49" s="33" t="s">
        <v>254</v>
      </c>
      <c r="CU49" s="33" t="s">
        <v>266</v>
      </c>
      <c r="CV49" s="33" t="s">
        <v>1252</v>
      </c>
      <c r="CW49" s="33" t="s">
        <v>915</v>
      </c>
      <c r="CX49" s="33" t="s">
        <v>306</v>
      </c>
      <c r="CY49" s="33" t="s">
        <v>602</v>
      </c>
      <c r="CZ49" s="33" t="s">
        <v>1255</v>
      </c>
      <c r="DA49" s="33" t="s">
        <v>1256</v>
      </c>
      <c r="DB49" s="33" t="s">
        <v>602</v>
      </c>
      <c r="DC49" s="33" t="s">
        <v>1257</v>
      </c>
      <c r="DD49" s="33" t="s">
        <v>1258</v>
      </c>
      <c r="DE49" s="33" t="s">
        <v>1259</v>
      </c>
      <c r="DF49" s="34" t="s">
        <v>1260</v>
      </c>
      <c r="DG49" s="27" cm="1">
        <f t="array" ref="DG49">INDEX('elenco partner'!A:M,MATCH(1,(D49='elenco partner'!A:A)*('Partner data'!M49='elenco partner'!E:E),0),4)</f>
        <v>105</v>
      </c>
      <c r="DH49" s="83" t="str">
        <f t="shared" si="23"/>
        <v>COSTO REALE</v>
      </c>
      <c r="DI49" s="20">
        <f>COUNTIFS('MY-REPORT-MAIN'!C:C,'Partner data'!DG49,'MY-REPORT-MAIN'!I:I,"Certified")</f>
        <v>0</v>
      </c>
      <c r="DJ49" s="20">
        <f>COUNTIFS(List_Of_chek_list!M:M,"&lt;&gt;26",List_Of_chek_list!B:B,'Partner data'!DG49)</f>
        <v>0</v>
      </c>
      <c r="DK49" s="20">
        <f t="shared" si="24"/>
        <v>0</v>
      </c>
      <c r="DL49" s="19" t="str">
        <f>IF(DH49="Tasso Forfettario 20%",SUMIFS(List_Of_chek_list!#REF!,List_Of_chek_list!B:B,'Partner data'!DG49),"NON PERTINENTE")</f>
        <v>NON PERTINENTE</v>
      </c>
      <c r="DM49" s="19" t="str">
        <f t="shared" si="25"/>
        <v>NON PERTINENTE</v>
      </c>
      <c r="DN49" s="110">
        <f>_xlfn.MAXIFS('MY-REPORT-MAIN'!K:K,'MY-REPORT-MAIN'!C:C,DG49)</f>
        <v>0</v>
      </c>
      <c r="DO49" s="112" t="str">
        <f>IF(_xlfn.MAXIFS('MY-REPORT-MAIN'!M:M,'MY-REPORT-MAIN'!C:C,DG49)=0,"Nessun rendiconto  Convalidato",_xlfn.MAXIFS('MY-REPORT-MAIN'!M:M,'MY-REPORT-MAIN'!C:C,DG49))</f>
        <v>Nessun rendiconto  Convalidato</v>
      </c>
      <c r="DP49" s="113" t="str" cm="1">
        <f t="array" ref="DP49">IFERROR(INDEX('MY-REPORT-MAIN'!A:Z,MATCH(1,(DO49='MY-REPORT-MAIN'!M:M)*('Partner data'!DG49='MY-REPORT-MAIN'!C:C),0),1),"NON è stato convalidato ancora nessun rendiconto")</f>
        <v>NON è stato convalidato ancora nessun rendiconto</v>
      </c>
      <c r="DQ49" s="111" t="str">
        <f>IFERROR(INDEX('MY-REPORT-MAIN'!A:Z,MATCH('Partner data'!DP49,'MY-REPORT-MAIN'!A:A,0),21),"Nessun Rendiconto ancora convalidato")</f>
        <v>Nessun Rendiconto ancora convalidato</v>
      </c>
      <c r="DR49" s="110">
        <f>INDEX('Interreg VI-A Italy-Slovenia_pr'!A:E,MATCH('Partner data'!C49,'Interreg VI-A Italy-Slovenia_pr'!A:A,0),3)</f>
        <v>45170</v>
      </c>
      <c r="DS49" s="118">
        <f t="shared" si="1"/>
        <v>15718.95</v>
      </c>
      <c r="DT49" s="118">
        <f t="shared" si="2"/>
        <v>40906.9</v>
      </c>
      <c r="DU49" s="118">
        <f t="shared" si="3"/>
        <v>72364.850000000006</v>
      </c>
      <c r="DV49" s="118">
        <f t="shared" si="4"/>
        <v>98280.88</v>
      </c>
      <c r="DW49" s="118">
        <f t="shared" si="5"/>
        <v>98280.88</v>
      </c>
      <c r="DX49" s="118">
        <f t="shared" si="6"/>
        <v>98280.88</v>
      </c>
      <c r="DY49" s="118">
        <f t="shared" si="7"/>
        <v>98280.88</v>
      </c>
      <c r="DZ49" s="118">
        <f t="shared" si="8"/>
        <v>98280.88</v>
      </c>
      <c r="EA49" s="118">
        <f t="shared" si="9"/>
        <v>98280.88</v>
      </c>
      <c r="EB49" s="118">
        <f t="shared" si="10"/>
        <v>98280.88</v>
      </c>
    </row>
    <row r="50" spans="1:132" ht="45" x14ac:dyDescent="0.25">
      <c r="A50" s="28">
        <v>1</v>
      </c>
      <c r="B50" s="29" t="s">
        <v>487</v>
      </c>
      <c r="C50" s="30" t="s">
        <v>1364</v>
      </c>
      <c r="D50" s="30" t="s">
        <v>304</v>
      </c>
      <c r="E50" s="30" t="s">
        <v>1365</v>
      </c>
      <c r="F50" s="30" t="s">
        <v>490</v>
      </c>
      <c r="G50" s="30" t="s">
        <v>491</v>
      </c>
      <c r="H50" s="30" t="s">
        <v>691</v>
      </c>
      <c r="I50" s="30" t="s">
        <v>1044</v>
      </c>
      <c r="J50" s="31" t="s">
        <v>554</v>
      </c>
      <c r="K50" s="31" t="s">
        <v>495</v>
      </c>
      <c r="L50" s="31" t="s">
        <v>519</v>
      </c>
      <c r="M50" s="31" t="s">
        <v>308</v>
      </c>
      <c r="N50" s="31" t="s">
        <v>1393</v>
      </c>
      <c r="O50" s="31" t="s">
        <v>1394</v>
      </c>
      <c r="P50" s="31" t="s">
        <v>254</v>
      </c>
      <c r="Q50" s="31" t="s">
        <v>540</v>
      </c>
      <c r="R50" s="31" t="s">
        <v>302</v>
      </c>
      <c r="S50" s="32">
        <v>79999.710000000006</v>
      </c>
      <c r="T50" s="32">
        <v>80</v>
      </c>
      <c r="U50" s="32">
        <v>13.89</v>
      </c>
      <c r="V50" s="32">
        <v>0</v>
      </c>
      <c r="W50" s="32">
        <v>0</v>
      </c>
      <c r="X50" s="32">
        <v>0</v>
      </c>
      <c r="Y50" s="32">
        <v>0</v>
      </c>
      <c r="Z50" s="32">
        <v>0</v>
      </c>
      <c r="AA50" s="32">
        <v>0</v>
      </c>
      <c r="AB50" s="32">
        <v>0</v>
      </c>
      <c r="AC50" s="32">
        <v>0</v>
      </c>
      <c r="AD50" s="32">
        <v>0</v>
      </c>
      <c r="AE50" s="32">
        <v>0</v>
      </c>
      <c r="AF50" s="32">
        <v>0</v>
      </c>
      <c r="AG50" s="32">
        <v>0</v>
      </c>
      <c r="AH50" s="32">
        <v>0</v>
      </c>
      <c r="AI50" s="32">
        <v>0</v>
      </c>
      <c r="AJ50" s="32">
        <v>0</v>
      </c>
      <c r="AK50" s="32">
        <v>0</v>
      </c>
      <c r="AL50" s="32">
        <v>0</v>
      </c>
      <c r="AM50" s="32">
        <v>0</v>
      </c>
      <c r="AN50" s="32">
        <v>0</v>
      </c>
      <c r="AO50" s="32">
        <v>19999.93</v>
      </c>
      <c r="AP50" s="32">
        <v>0</v>
      </c>
      <c r="AQ50" s="32">
        <v>19999.93</v>
      </c>
      <c r="AR50" s="32">
        <v>99999.64</v>
      </c>
      <c r="AS50" s="32">
        <v>13.89</v>
      </c>
      <c r="AT50" s="32">
        <v>16155.03</v>
      </c>
      <c r="AU50" s="32">
        <v>16155.03</v>
      </c>
      <c r="AV50" s="32">
        <v>0</v>
      </c>
      <c r="AW50" s="32">
        <v>0</v>
      </c>
      <c r="AX50" s="32">
        <v>2423.25</v>
      </c>
      <c r="AY50" s="32">
        <v>2423.25</v>
      </c>
      <c r="AZ50" s="32">
        <v>646.20000000000005</v>
      </c>
      <c r="BA50" s="32">
        <v>646.20000000000005</v>
      </c>
      <c r="BB50" s="32">
        <v>0</v>
      </c>
      <c r="BC50" s="32">
        <v>0</v>
      </c>
      <c r="BD50" s="32">
        <v>80775.16</v>
      </c>
      <c r="BE50" s="32">
        <v>80775.16</v>
      </c>
      <c r="BF50" s="32">
        <v>0</v>
      </c>
      <c r="BG50" s="32">
        <v>0</v>
      </c>
      <c r="BH50" s="32">
        <v>0</v>
      </c>
      <c r="BI50" s="32">
        <v>0</v>
      </c>
      <c r="BJ50" s="32">
        <v>0</v>
      </c>
      <c r="BK50" s="32">
        <v>0</v>
      </c>
      <c r="BL50" s="32">
        <v>0</v>
      </c>
      <c r="BM50" s="32">
        <v>0</v>
      </c>
      <c r="BN50" s="32">
        <v>0</v>
      </c>
      <c r="BO50" s="32">
        <v>0</v>
      </c>
      <c r="BP50" s="32">
        <v>0</v>
      </c>
      <c r="BQ50" s="32">
        <v>12068.02</v>
      </c>
      <c r="BR50" s="32">
        <v>28589.13</v>
      </c>
      <c r="BS50" s="32">
        <v>28589.13</v>
      </c>
      <c r="BT50" s="32">
        <v>30753.360000000001</v>
      </c>
      <c r="BU50" s="32">
        <v>0</v>
      </c>
      <c r="BV50" s="32">
        <v>0</v>
      </c>
      <c r="BW50" s="32">
        <v>0</v>
      </c>
      <c r="BX50" s="32">
        <v>0</v>
      </c>
      <c r="BY50" s="32">
        <v>0</v>
      </c>
      <c r="BZ50" s="32">
        <v>0</v>
      </c>
      <c r="CA50" s="32">
        <v>0</v>
      </c>
      <c r="CB50" s="33" t="s">
        <v>1395</v>
      </c>
      <c r="CC50" s="33" t="s">
        <v>624</v>
      </c>
      <c r="CD50" s="33" t="s">
        <v>558</v>
      </c>
      <c r="CE50" s="33" t="s">
        <v>523</v>
      </c>
      <c r="CF50" s="33" t="s">
        <v>645</v>
      </c>
      <c r="CG50" s="33" t="s">
        <v>1396</v>
      </c>
      <c r="CH50" s="33" t="s">
        <v>526</v>
      </c>
      <c r="CI50" s="33" t="s">
        <v>1397</v>
      </c>
      <c r="CJ50" s="33" t="s">
        <v>212</v>
      </c>
      <c r="CK50" s="33" t="s">
        <v>1398</v>
      </c>
      <c r="CL50" s="33" t="s">
        <v>212</v>
      </c>
      <c r="CM50" s="33"/>
      <c r="CN50" s="33" t="s">
        <v>254</v>
      </c>
      <c r="CO50" s="33" t="s">
        <v>302</v>
      </c>
      <c r="CP50" s="33" t="s">
        <v>1399</v>
      </c>
      <c r="CQ50" s="33" t="s">
        <v>1400</v>
      </c>
      <c r="CR50" s="33" t="s">
        <v>1401</v>
      </c>
      <c r="CS50" s="33" t="s">
        <v>1402</v>
      </c>
      <c r="CT50" s="33" t="s">
        <v>254</v>
      </c>
      <c r="CU50" s="33" t="s">
        <v>302</v>
      </c>
      <c r="CV50" s="33" t="s">
        <v>1403</v>
      </c>
      <c r="CW50" s="33" t="s">
        <v>1404</v>
      </c>
      <c r="CX50" s="33" t="s">
        <v>1401</v>
      </c>
      <c r="CY50" s="33" t="s">
        <v>1405</v>
      </c>
      <c r="CZ50" s="33" t="s">
        <v>1406</v>
      </c>
      <c r="DA50" s="33" t="s">
        <v>1407</v>
      </c>
      <c r="DB50" s="33" t="s">
        <v>628</v>
      </c>
      <c r="DC50" s="33" t="s">
        <v>633</v>
      </c>
      <c r="DD50" s="33" t="s">
        <v>1408</v>
      </c>
      <c r="DE50" s="33" t="s">
        <v>1409</v>
      </c>
      <c r="DF50" s="34" t="s">
        <v>1410</v>
      </c>
      <c r="DG50" s="27" cm="1">
        <f t="array" ref="DG50">INDEX('elenco partner'!A:M,MATCH(1,(D50='elenco partner'!A:A)*('Partner data'!M50='elenco partner'!E:E),0),4)</f>
        <v>114</v>
      </c>
      <c r="DH50" s="83" t="str">
        <f t="shared" si="23"/>
        <v>Tasso Forfettario 20%</v>
      </c>
      <c r="DI50" s="20">
        <f>COUNTIFS('MY-REPORT-MAIN'!C:C,'Partner data'!DG50,'MY-REPORT-MAIN'!I:I,"Certified")</f>
        <v>0</v>
      </c>
      <c r="DJ50" s="20">
        <f>COUNTIFS(List_Of_chek_list!M:M,"&lt;&gt;26",List_Of_chek_list!B:B,'Partner data'!DG50)</f>
        <v>0</v>
      </c>
      <c r="DK50" s="20">
        <f t="shared" si="24"/>
        <v>0</v>
      </c>
      <c r="DL50" s="19" t="e">
        <f>IF(DH50="Tasso Forfettario 20%",SUMIFS(List_Of_chek_list!#REF!,List_Of_chek_list!B:B,'Partner data'!DG50),"NON PERTINENTE")</f>
        <v>#REF!</v>
      </c>
      <c r="DM50" s="19" t="e">
        <f t="shared" si="25"/>
        <v>#REF!</v>
      </c>
      <c r="DN50" s="110">
        <f>_xlfn.MAXIFS('MY-REPORT-MAIN'!K:K,'MY-REPORT-MAIN'!C:C,DG50)</f>
        <v>0</v>
      </c>
      <c r="DO50" s="112" t="str">
        <f>IF(_xlfn.MAXIFS('MY-REPORT-MAIN'!M:M,'MY-REPORT-MAIN'!C:C,DG50)=0,"Nessun rendiconto  Convalidato",_xlfn.MAXIFS('MY-REPORT-MAIN'!M:M,'MY-REPORT-MAIN'!C:C,DG50))</f>
        <v>Nessun rendiconto  Convalidato</v>
      </c>
      <c r="DP50" s="113" t="str" cm="1">
        <f t="array" ref="DP50">IFERROR(INDEX('MY-REPORT-MAIN'!A:Z,MATCH(1,(DO50='MY-REPORT-MAIN'!M:M)*('Partner data'!DG50='MY-REPORT-MAIN'!C:C),0),1),"NON è stato convalidato ancora nessun rendiconto")</f>
        <v>NON è stato convalidato ancora nessun rendiconto</v>
      </c>
      <c r="DQ50" s="111" t="str">
        <f>IFERROR(INDEX('MY-REPORT-MAIN'!A:Z,MATCH('Partner data'!DP50,'MY-REPORT-MAIN'!A:A,0),21),"Nessun Rendiconto ancora convalidato")</f>
        <v>Nessun Rendiconto ancora convalidato</v>
      </c>
      <c r="DR50" s="110">
        <f>INDEX('Interreg VI-A Italy-Slovenia_pr'!A:E,MATCH('Partner data'!C50,'Interreg VI-A Italy-Slovenia_pr'!A:A,0),3)</f>
        <v>45170</v>
      </c>
      <c r="DS50" s="118">
        <f t="shared" si="1"/>
        <v>12068.02</v>
      </c>
      <c r="DT50" s="118">
        <f t="shared" si="2"/>
        <v>40657.15</v>
      </c>
      <c r="DU50" s="118">
        <f t="shared" si="3"/>
        <v>69246.28</v>
      </c>
      <c r="DV50" s="118">
        <f t="shared" si="4"/>
        <v>99999.64</v>
      </c>
      <c r="DW50" s="118">
        <f t="shared" si="5"/>
        <v>99999.64</v>
      </c>
      <c r="DX50" s="118">
        <f t="shared" si="6"/>
        <v>99999.64</v>
      </c>
      <c r="DY50" s="118">
        <f t="shared" si="7"/>
        <v>99999.64</v>
      </c>
      <c r="DZ50" s="118">
        <f t="shared" si="8"/>
        <v>99999.64</v>
      </c>
      <c r="EA50" s="118">
        <f t="shared" si="9"/>
        <v>99999.64</v>
      </c>
      <c r="EB50" s="118">
        <f t="shared" si="10"/>
        <v>99999.64</v>
      </c>
    </row>
    <row r="51" spans="1:132" x14ac:dyDescent="0.25">
      <c r="A51" s="28">
        <v>1</v>
      </c>
      <c r="B51" s="29" t="s">
        <v>487</v>
      </c>
      <c r="C51" s="30" t="s">
        <v>1364</v>
      </c>
      <c r="D51" s="30" t="s">
        <v>304</v>
      </c>
      <c r="E51" s="30" t="s">
        <v>1365</v>
      </c>
      <c r="F51" s="30" t="s">
        <v>490</v>
      </c>
      <c r="G51" s="30" t="s">
        <v>491</v>
      </c>
      <c r="H51" s="30" t="s">
        <v>691</v>
      </c>
      <c r="I51" s="30" t="s">
        <v>1044</v>
      </c>
      <c r="J51" s="31" t="s">
        <v>570</v>
      </c>
      <c r="K51" s="31" t="s">
        <v>495</v>
      </c>
      <c r="L51" s="31" t="s">
        <v>519</v>
      </c>
      <c r="M51" s="31" t="s">
        <v>307</v>
      </c>
      <c r="N51" s="31" t="s">
        <v>1411</v>
      </c>
      <c r="O51" s="31" t="s">
        <v>1412</v>
      </c>
      <c r="P51" s="31" t="s">
        <v>254</v>
      </c>
      <c r="Q51" s="31" t="s">
        <v>499</v>
      </c>
      <c r="R51" s="31" t="s">
        <v>255</v>
      </c>
      <c r="S51" s="32">
        <v>79803.02</v>
      </c>
      <c r="T51" s="32">
        <v>80</v>
      </c>
      <c r="U51" s="32">
        <v>13.86</v>
      </c>
      <c r="V51" s="32">
        <v>0</v>
      </c>
      <c r="W51" s="32">
        <v>0</v>
      </c>
      <c r="X51" s="32">
        <v>0</v>
      </c>
      <c r="Y51" s="32">
        <v>0</v>
      </c>
      <c r="Z51" s="32">
        <v>0</v>
      </c>
      <c r="AA51" s="32">
        <v>0</v>
      </c>
      <c r="AB51" s="32">
        <v>0</v>
      </c>
      <c r="AC51" s="32">
        <v>0</v>
      </c>
      <c r="AD51" s="32">
        <v>0</v>
      </c>
      <c r="AE51" s="32">
        <v>0</v>
      </c>
      <c r="AF51" s="32">
        <v>0</v>
      </c>
      <c r="AG51" s="32">
        <v>0</v>
      </c>
      <c r="AH51" s="32">
        <v>0</v>
      </c>
      <c r="AI51" s="32">
        <v>0</v>
      </c>
      <c r="AJ51" s="32">
        <v>0</v>
      </c>
      <c r="AK51" s="32">
        <v>0</v>
      </c>
      <c r="AL51" s="32">
        <v>0</v>
      </c>
      <c r="AM51" s="32">
        <v>0</v>
      </c>
      <c r="AN51" s="32">
        <v>0</v>
      </c>
      <c r="AO51" s="32">
        <v>19950.759999999998</v>
      </c>
      <c r="AP51" s="32">
        <v>0</v>
      </c>
      <c r="AQ51" s="32">
        <v>19950.759999999998</v>
      </c>
      <c r="AR51" s="32">
        <v>99753.78</v>
      </c>
      <c r="AS51" s="32">
        <v>13.86</v>
      </c>
      <c r="AT51" s="32">
        <v>71252.7</v>
      </c>
      <c r="AU51" s="32">
        <v>0</v>
      </c>
      <c r="AV51" s="32">
        <v>71252.7</v>
      </c>
      <c r="AW51" s="32">
        <v>0</v>
      </c>
      <c r="AX51" s="32">
        <v>0</v>
      </c>
      <c r="AY51" s="32">
        <v>0</v>
      </c>
      <c r="AZ51" s="32">
        <v>0</v>
      </c>
      <c r="BA51" s="32">
        <v>0</v>
      </c>
      <c r="BB51" s="32">
        <v>0</v>
      </c>
      <c r="BC51" s="32">
        <v>0</v>
      </c>
      <c r="BD51" s="32">
        <v>0</v>
      </c>
      <c r="BE51" s="32">
        <v>0</v>
      </c>
      <c r="BF51" s="32">
        <v>0</v>
      </c>
      <c r="BG51" s="32">
        <v>0</v>
      </c>
      <c r="BH51" s="32">
        <v>0</v>
      </c>
      <c r="BI51" s="32">
        <v>0</v>
      </c>
      <c r="BJ51" s="32">
        <v>0</v>
      </c>
      <c r="BK51" s="32">
        <v>0</v>
      </c>
      <c r="BL51" s="32">
        <v>0</v>
      </c>
      <c r="BM51" s="32">
        <v>28501.08</v>
      </c>
      <c r="BN51" s="32">
        <v>0</v>
      </c>
      <c r="BO51" s="32">
        <v>0</v>
      </c>
      <c r="BP51" s="32">
        <v>0</v>
      </c>
      <c r="BQ51" s="32">
        <v>24938.45</v>
      </c>
      <c r="BR51" s="32">
        <v>24938.45</v>
      </c>
      <c r="BS51" s="32">
        <v>24938.45</v>
      </c>
      <c r="BT51" s="32">
        <v>24938.43</v>
      </c>
      <c r="BU51" s="32">
        <v>0</v>
      </c>
      <c r="BV51" s="32">
        <v>0</v>
      </c>
      <c r="BW51" s="32">
        <v>0</v>
      </c>
      <c r="BX51" s="32">
        <v>0</v>
      </c>
      <c r="BY51" s="32">
        <v>0</v>
      </c>
      <c r="BZ51" s="32">
        <v>0</v>
      </c>
      <c r="CA51" s="32">
        <v>0</v>
      </c>
      <c r="CB51" s="33" t="s">
        <v>1382</v>
      </c>
      <c r="CC51" s="33" t="s">
        <v>675</v>
      </c>
      <c r="CD51" s="33" t="s">
        <v>706</v>
      </c>
      <c r="CE51" s="33" t="s">
        <v>501</v>
      </c>
      <c r="CF51" s="33" t="s">
        <v>1413</v>
      </c>
      <c r="CG51" s="33" t="s">
        <v>1414</v>
      </c>
      <c r="CH51" s="33" t="s">
        <v>619</v>
      </c>
      <c r="CI51" s="33" t="s">
        <v>1382</v>
      </c>
      <c r="CJ51" s="33" t="s">
        <v>212</v>
      </c>
      <c r="CK51" s="33" t="s">
        <v>1415</v>
      </c>
      <c r="CL51" s="33" t="s">
        <v>212</v>
      </c>
      <c r="CM51" s="33"/>
      <c r="CN51" s="33" t="s">
        <v>254</v>
      </c>
      <c r="CO51" s="33" t="s">
        <v>255</v>
      </c>
      <c r="CP51" s="33" t="s">
        <v>1416</v>
      </c>
      <c r="CQ51" s="33" t="s">
        <v>1342</v>
      </c>
      <c r="CR51" s="33" t="s">
        <v>1417</v>
      </c>
      <c r="CS51" s="33" t="s">
        <v>1418</v>
      </c>
      <c r="CT51" s="33" t="s">
        <v>254</v>
      </c>
      <c r="CU51" s="33" t="s">
        <v>255</v>
      </c>
      <c r="CV51" s="33" t="s">
        <v>1416</v>
      </c>
      <c r="CW51" s="33" t="s">
        <v>1342</v>
      </c>
      <c r="CX51" s="33" t="s">
        <v>1417</v>
      </c>
      <c r="CY51" s="33" t="s">
        <v>622</v>
      </c>
      <c r="CZ51" s="33" t="s">
        <v>1419</v>
      </c>
      <c r="DA51" s="33" t="s">
        <v>1420</v>
      </c>
      <c r="DB51" s="33" t="s">
        <v>622</v>
      </c>
      <c r="DC51" s="33" t="s">
        <v>1421</v>
      </c>
      <c r="DD51" s="33" t="s">
        <v>1422</v>
      </c>
      <c r="DE51" s="33" t="s">
        <v>1423</v>
      </c>
      <c r="DF51" s="34" t="s">
        <v>1424</v>
      </c>
      <c r="DG51" s="27" cm="1">
        <f t="array" ref="DG51">INDEX('elenco partner'!A:M,MATCH(1,(D51='elenco partner'!A:A)*('Partner data'!M51='elenco partner'!E:E),0),4)</f>
        <v>171</v>
      </c>
      <c r="DH51" s="83" t="str">
        <f t="shared" si="23"/>
        <v>COSTO REALE</v>
      </c>
      <c r="DI51" s="20">
        <f>COUNTIFS('MY-REPORT-MAIN'!C:C,'Partner data'!DG51,'MY-REPORT-MAIN'!I:I,"Certified")</f>
        <v>1</v>
      </c>
      <c r="DJ51" s="20">
        <f>COUNTIFS(List_Of_chek_list!M:M,"&lt;&gt;26",List_Of_chek_list!B:B,'Partner data'!DG51)</f>
        <v>1</v>
      </c>
      <c r="DK51" s="20">
        <f t="shared" si="24"/>
        <v>0</v>
      </c>
      <c r="DL51" s="19" t="str">
        <f>IF(DH51="Tasso Forfettario 20%",SUMIFS(List_Of_chek_list!#REF!,List_Of_chek_list!B:B,'Partner data'!DG51),"NON PERTINENTE")</f>
        <v>NON PERTINENTE</v>
      </c>
      <c r="DM51" s="19" t="str">
        <f t="shared" si="25"/>
        <v>NON PERTINENTE</v>
      </c>
      <c r="DN51" s="110">
        <f>_xlfn.MAXIFS('MY-REPORT-MAIN'!K:K,'MY-REPORT-MAIN'!C:C,DG51)</f>
        <v>45377.707274189816</v>
      </c>
      <c r="DO51" s="112">
        <f>IF(_xlfn.MAXIFS('MY-REPORT-MAIN'!M:M,'MY-REPORT-MAIN'!C:C,DG51)=0,"Nessun rendiconto  Convalidato",_xlfn.MAXIFS('MY-REPORT-MAIN'!M:M,'MY-REPORT-MAIN'!C:C,DG51))</f>
        <v>45440.717292615744</v>
      </c>
      <c r="DP51" s="113" cm="1">
        <f t="array" ref="DP51">IFERROR(INDEX('MY-REPORT-MAIN'!A:Z,MATCH(1,(DO51='MY-REPORT-MAIN'!M:M)*('Partner data'!DG51='MY-REPORT-MAIN'!C:C),0),1),"NON è stato convalidato ancora nessun rendiconto")</f>
        <v>273</v>
      </c>
      <c r="DQ51" s="111">
        <f>IFERROR(INDEX('MY-REPORT-MAIN'!A:Z,MATCH('Partner data'!DP51,'MY-REPORT-MAIN'!A:A,0),21),"Nessun Rendiconto ancora convalidato")</f>
        <v>7571.46</v>
      </c>
      <c r="DR51" s="110">
        <f>INDEX('Interreg VI-A Italy-Slovenia_pr'!A:E,MATCH('Partner data'!C51,'Interreg VI-A Italy-Slovenia_pr'!A:A,0),3)</f>
        <v>45170</v>
      </c>
      <c r="DS51" s="118">
        <f t="shared" si="1"/>
        <v>24938.45</v>
      </c>
      <c r="DT51" s="118">
        <f t="shared" si="2"/>
        <v>49876.9</v>
      </c>
      <c r="DU51" s="118">
        <f t="shared" si="3"/>
        <v>74815.350000000006</v>
      </c>
      <c r="DV51" s="118">
        <f t="shared" si="4"/>
        <v>99753.78</v>
      </c>
      <c r="DW51" s="118">
        <f t="shared" si="5"/>
        <v>99753.78</v>
      </c>
      <c r="DX51" s="118">
        <f t="shared" si="6"/>
        <v>99753.78</v>
      </c>
      <c r="DY51" s="118">
        <f t="shared" si="7"/>
        <v>99753.78</v>
      </c>
      <c r="DZ51" s="118">
        <f t="shared" si="8"/>
        <v>99753.78</v>
      </c>
      <c r="EA51" s="118">
        <f t="shared" si="9"/>
        <v>99753.78</v>
      </c>
      <c r="EB51" s="118">
        <f t="shared" si="10"/>
        <v>99753.78</v>
      </c>
    </row>
    <row r="52" spans="1:132" x14ac:dyDescent="0.25">
      <c r="A52" s="28">
        <v>1</v>
      </c>
      <c r="B52" s="29" t="s">
        <v>487</v>
      </c>
      <c r="C52" s="30" t="s">
        <v>1364</v>
      </c>
      <c r="D52" s="30" t="s">
        <v>304</v>
      </c>
      <c r="E52" s="30" t="s">
        <v>1365</v>
      </c>
      <c r="F52" s="30" t="s">
        <v>490</v>
      </c>
      <c r="G52" s="30" t="s">
        <v>491</v>
      </c>
      <c r="H52" s="30" t="s">
        <v>691</v>
      </c>
      <c r="I52" s="30" t="s">
        <v>1044</v>
      </c>
      <c r="J52" s="31" t="s">
        <v>581</v>
      </c>
      <c r="K52" s="31" t="s">
        <v>495</v>
      </c>
      <c r="L52" s="31" t="s">
        <v>519</v>
      </c>
      <c r="M52" s="31" t="s">
        <v>0</v>
      </c>
      <c r="N52" s="31" t="s">
        <v>1425</v>
      </c>
      <c r="O52" s="31" t="s">
        <v>1236</v>
      </c>
      <c r="P52" s="31" t="s">
        <v>254</v>
      </c>
      <c r="Q52" s="31" t="s">
        <v>540</v>
      </c>
      <c r="R52" s="31" t="s">
        <v>260</v>
      </c>
      <c r="S52" s="32">
        <v>79981.440000000002</v>
      </c>
      <c r="T52" s="32">
        <v>80</v>
      </c>
      <c r="U52" s="32">
        <v>13.89</v>
      </c>
      <c r="V52" s="32">
        <v>0</v>
      </c>
      <c r="W52" s="32">
        <v>0</v>
      </c>
      <c r="X52" s="32">
        <v>0</v>
      </c>
      <c r="Y52" s="32">
        <v>0</v>
      </c>
      <c r="Z52" s="32">
        <v>0</v>
      </c>
      <c r="AA52" s="32">
        <v>0</v>
      </c>
      <c r="AB52" s="32">
        <v>0</v>
      </c>
      <c r="AC52" s="32">
        <v>0</v>
      </c>
      <c r="AD52" s="32">
        <v>0</v>
      </c>
      <c r="AE52" s="32">
        <v>0</v>
      </c>
      <c r="AF52" s="32">
        <v>0</v>
      </c>
      <c r="AG52" s="32">
        <v>0</v>
      </c>
      <c r="AH52" s="32">
        <v>0</v>
      </c>
      <c r="AI52" s="32">
        <v>0</v>
      </c>
      <c r="AJ52" s="32">
        <v>0</v>
      </c>
      <c r="AK52" s="32">
        <v>0</v>
      </c>
      <c r="AL52" s="32">
        <v>0</v>
      </c>
      <c r="AM52" s="32">
        <v>0</v>
      </c>
      <c r="AN52" s="32">
        <v>0</v>
      </c>
      <c r="AO52" s="32">
        <v>19995.36</v>
      </c>
      <c r="AP52" s="32">
        <v>0</v>
      </c>
      <c r="AQ52" s="32">
        <v>19995.36</v>
      </c>
      <c r="AR52" s="32">
        <v>99976.8</v>
      </c>
      <c r="AS52" s="32">
        <v>13.89</v>
      </c>
      <c r="AT52" s="32">
        <v>71412</v>
      </c>
      <c r="AU52" s="32">
        <v>0</v>
      </c>
      <c r="AV52" s="32">
        <v>0</v>
      </c>
      <c r="AW52" s="32">
        <v>71412</v>
      </c>
      <c r="AX52" s="32">
        <v>0</v>
      </c>
      <c r="AY52" s="32">
        <v>0</v>
      </c>
      <c r="AZ52" s="32">
        <v>0</v>
      </c>
      <c r="BA52" s="32">
        <v>0</v>
      </c>
      <c r="BB52" s="32">
        <v>0</v>
      </c>
      <c r="BC52" s="32">
        <v>0</v>
      </c>
      <c r="BD52" s="32">
        <v>0</v>
      </c>
      <c r="BE52" s="32">
        <v>0</v>
      </c>
      <c r="BF52" s="32">
        <v>0</v>
      </c>
      <c r="BG52" s="32">
        <v>0</v>
      </c>
      <c r="BH52" s="32">
        <v>0</v>
      </c>
      <c r="BI52" s="32">
        <v>0</v>
      </c>
      <c r="BJ52" s="32">
        <v>0</v>
      </c>
      <c r="BK52" s="32">
        <v>0</v>
      </c>
      <c r="BL52" s="32">
        <v>0</v>
      </c>
      <c r="BM52" s="32">
        <v>28564.799999999999</v>
      </c>
      <c r="BN52" s="32">
        <v>0</v>
      </c>
      <c r="BO52" s="32">
        <v>0</v>
      </c>
      <c r="BP52" s="32">
        <v>0</v>
      </c>
      <c r="BQ52" s="32">
        <v>24166.799999999999</v>
      </c>
      <c r="BR52" s="32">
        <v>24166.799999999999</v>
      </c>
      <c r="BS52" s="32">
        <v>25648</v>
      </c>
      <c r="BT52" s="32">
        <v>25995.200000000001</v>
      </c>
      <c r="BU52" s="32">
        <v>0</v>
      </c>
      <c r="BV52" s="32">
        <v>0</v>
      </c>
      <c r="BW52" s="32">
        <v>0</v>
      </c>
      <c r="BX52" s="32">
        <v>0</v>
      </c>
      <c r="BY52" s="32">
        <v>0</v>
      </c>
      <c r="BZ52" s="32">
        <v>0</v>
      </c>
      <c r="CA52" s="32">
        <v>0</v>
      </c>
      <c r="CB52" s="33" t="s">
        <v>1237</v>
      </c>
      <c r="CC52" s="33" t="s">
        <v>743</v>
      </c>
      <c r="CD52" s="33" t="s">
        <v>558</v>
      </c>
      <c r="CE52" s="33" t="s">
        <v>523</v>
      </c>
      <c r="CF52" s="33" t="s">
        <v>1222</v>
      </c>
      <c r="CG52" s="33" t="s">
        <v>1426</v>
      </c>
      <c r="CH52" s="33" t="s">
        <v>526</v>
      </c>
      <c r="CI52" s="33" t="s">
        <v>1427</v>
      </c>
      <c r="CJ52" s="33" t="s">
        <v>212</v>
      </c>
      <c r="CK52" s="33"/>
      <c r="CL52" s="33" t="s">
        <v>212</v>
      </c>
      <c r="CM52" s="33"/>
      <c r="CN52" s="33" t="s">
        <v>254</v>
      </c>
      <c r="CO52" s="33" t="s">
        <v>260</v>
      </c>
      <c r="CP52" s="33" t="s">
        <v>1428</v>
      </c>
      <c r="CQ52" s="33" t="s">
        <v>1240</v>
      </c>
      <c r="CR52" s="33" t="s">
        <v>1429</v>
      </c>
      <c r="CS52" s="33" t="s">
        <v>1430</v>
      </c>
      <c r="CT52" s="33" t="s">
        <v>254</v>
      </c>
      <c r="CU52" s="33" t="s">
        <v>260</v>
      </c>
      <c r="CV52" s="33" t="s">
        <v>1428</v>
      </c>
      <c r="CW52" s="33" t="s">
        <v>1240</v>
      </c>
      <c r="CX52" s="33" t="s">
        <v>1429</v>
      </c>
      <c r="CY52" s="33" t="s">
        <v>1141</v>
      </c>
      <c r="CZ52" s="33" t="s">
        <v>1431</v>
      </c>
      <c r="DA52" s="33" t="s">
        <v>1432</v>
      </c>
      <c r="DB52" s="33" t="s">
        <v>1141</v>
      </c>
      <c r="DC52" s="33" t="s">
        <v>1433</v>
      </c>
      <c r="DD52" s="33" t="s">
        <v>1434</v>
      </c>
      <c r="DE52" s="33" t="s">
        <v>1246</v>
      </c>
      <c r="DF52" s="34" t="s">
        <v>1247</v>
      </c>
      <c r="DG52" s="27" cm="1">
        <f t="array" ref="DG52">INDEX('elenco partner'!A:M,MATCH(1,(D52='elenco partner'!A:A)*('Partner data'!M52='elenco partner'!E:E),0),4)</f>
        <v>174</v>
      </c>
      <c r="DH52" s="83" t="str">
        <f t="shared" si="23"/>
        <v>Costo Unitario Standard</v>
      </c>
      <c r="DI52" s="20">
        <f>COUNTIFS('MY-REPORT-MAIN'!C:C,'Partner data'!DG52,'MY-REPORT-MAIN'!I:I,"Certified")</f>
        <v>1</v>
      </c>
      <c r="DJ52" s="20">
        <f>COUNTIFS(List_Of_chek_list!M:M,"&lt;&gt;26",List_Of_chek_list!B:B,'Partner data'!DG52)</f>
        <v>1</v>
      </c>
      <c r="DK52" s="20">
        <f t="shared" si="24"/>
        <v>0</v>
      </c>
      <c r="DL52" s="19" t="str">
        <f>IF(DH52="Tasso Forfettario 20%",SUMIFS(List_Of_chek_list!#REF!,List_Of_chek_list!B:B,'Partner data'!DG52),"NON PERTINENTE")</f>
        <v>NON PERTINENTE</v>
      </c>
      <c r="DM52" s="19" t="str">
        <f t="shared" si="25"/>
        <v>NON PERTINENTE</v>
      </c>
      <c r="DN52" s="110">
        <f>_xlfn.MAXIFS('MY-REPORT-MAIN'!K:K,'MY-REPORT-MAIN'!C:C,DG52)</f>
        <v>45378.466968842593</v>
      </c>
      <c r="DO52" s="112">
        <f>IF(_xlfn.MAXIFS('MY-REPORT-MAIN'!M:M,'MY-REPORT-MAIN'!C:C,DG52)=0,"Nessun rendiconto  Convalidato",_xlfn.MAXIFS('MY-REPORT-MAIN'!M:M,'MY-REPORT-MAIN'!C:C,DG52))</f>
        <v>45434.73088314815</v>
      </c>
      <c r="DP52" s="113" cm="1">
        <f t="array" ref="DP52">IFERROR(INDEX('MY-REPORT-MAIN'!A:Z,MATCH(1,(DO52='MY-REPORT-MAIN'!M:M)*('Partner data'!DG52='MY-REPORT-MAIN'!C:C),0),1),"NON è stato convalidato ancora nessun rendiconto")</f>
        <v>268</v>
      </c>
      <c r="DQ52" s="111">
        <f>IFERROR(INDEX('MY-REPORT-MAIN'!A:Z,MATCH('Partner data'!DP52,'MY-REPORT-MAIN'!A:A,0),21),"Nessun Rendiconto ancora convalidato")</f>
        <v>24166.799999999999</v>
      </c>
      <c r="DR52" s="110">
        <f>INDEX('Interreg VI-A Italy-Slovenia_pr'!A:E,MATCH('Partner data'!C52,'Interreg VI-A Italy-Slovenia_pr'!A:A,0),3)</f>
        <v>45170</v>
      </c>
      <c r="DS52" s="118">
        <f t="shared" si="1"/>
        <v>24166.799999999999</v>
      </c>
      <c r="DT52" s="118">
        <f t="shared" si="2"/>
        <v>48333.599999999999</v>
      </c>
      <c r="DU52" s="118">
        <f t="shared" si="3"/>
        <v>73981.600000000006</v>
      </c>
      <c r="DV52" s="118">
        <f t="shared" si="4"/>
        <v>99976.8</v>
      </c>
      <c r="DW52" s="118">
        <f t="shared" si="5"/>
        <v>99976.8</v>
      </c>
      <c r="DX52" s="118">
        <f t="shared" si="6"/>
        <v>99976.8</v>
      </c>
      <c r="DY52" s="118">
        <f t="shared" si="7"/>
        <v>99976.8</v>
      </c>
      <c r="DZ52" s="118">
        <f t="shared" si="8"/>
        <v>99976.8</v>
      </c>
      <c r="EA52" s="118">
        <f t="shared" si="9"/>
        <v>99976.8</v>
      </c>
      <c r="EB52" s="118">
        <f t="shared" si="10"/>
        <v>99976.8</v>
      </c>
    </row>
    <row r="53" spans="1:132" x14ac:dyDescent="0.25">
      <c r="A53" s="28">
        <v>1</v>
      </c>
      <c r="B53" s="29" t="s">
        <v>487</v>
      </c>
      <c r="C53" s="30" t="s">
        <v>1435</v>
      </c>
      <c r="D53" s="17" t="s">
        <v>310</v>
      </c>
      <c r="E53" s="30" t="s">
        <v>1436</v>
      </c>
      <c r="F53" s="30" t="s">
        <v>593</v>
      </c>
      <c r="G53" s="30" t="s">
        <v>491</v>
      </c>
      <c r="H53" s="30" t="s">
        <v>594</v>
      </c>
      <c r="I53" s="30" t="s">
        <v>595</v>
      </c>
      <c r="J53" s="31" t="s">
        <v>494</v>
      </c>
      <c r="K53" s="31" t="s">
        <v>495</v>
      </c>
      <c r="L53" s="31" t="s">
        <v>496</v>
      </c>
      <c r="M53" s="31" t="s">
        <v>32</v>
      </c>
      <c r="N53" s="31" t="s">
        <v>1437</v>
      </c>
      <c r="O53" s="31" t="s">
        <v>1438</v>
      </c>
      <c r="P53" s="31" t="s">
        <v>254</v>
      </c>
      <c r="Q53" s="31" t="s">
        <v>499</v>
      </c>
      <c r="R53" s="31" t="s">
        <v>255</v>
      </c>
      <c r="S53" s="32">
        <v>120197.08</v>
      </c>
      <c r="T53" s="32">
        <v>80</v>
      </c>
      <c r="U53" s="32">
        <v>20.03</v>
      </c>
      <c r="V53" s="32">
        <v>0</v>
      </c>
      <c r="W53" s="32">
        <v>0</v>
      </c>
      <c r="X53" s="32">
        <v>0</v>
      </c>
      <c r="Y53" s="32">
        <v>0</v>
      </c>
      <c r="Z53" s="32">
        <v>0</v>
      </c>
      <c r="AA53" s="32">
        <v>0</v>
      </c>
      <c r="AB53" s="32">
        <v>0</v>
      </c>
      <c r="AC53" s="32">
        <v>0</v>
      </c>
      <c r="AD53" s="32">
        <v>0</v>
      </c>
      <c r="AE53" s="32">
        <v>0</v>
      </c>
      <c r="AF53" s="32">
        <v>0</v>
      </c>
      <c r="AG53" s="32">
        <v>0</v>
      </c>
      <c r="AH53" s="32">
        <v>0</v>
      </c>
      <c r="AI53" s="32">
        <v>0</v>
      </c>
      <c r="AJ53" s="32">
        <v>0</v>
      </c>
      <c r="AK53" s="32">
        <v>0</v>
      </c>
      <c r="AL53" s="32">
        <v>0</v>
      </c>
      <c r="AM53" s="32">
        <v>0</v>
      </c>
      <c r="AN53" s="32">
        <v>0</v>
      </c>
      <c r="AO53" s="32">
        <v>30049.279999999999</v>
      </c>
      <c r="AP53" s="32">
        <v>0</v>
      </c>
      <c r="AQ53" s="32">
        <v>30049.279999999999</v>
      </c>
      <c r="AR53" s="32">
        <v>150246.35999999999</v>
      </c>
      <c r="AS53" s="32">
        <v>20.03</v>
      </c>
      <c r="AT53" s="32">
        <v>92644</v>
      </c>
      <c r="AU53" s="32">
        <v>0</v>
      </c>
      <c r="AV53" s="32">
        <v>0</v>
      </c>
      <c r="AW53" s="32">
        <v>92644</v>
      </c>
      <c r="AX53" s="32">
        <v>13896.6</v>
      </c>
      <c r="AY53" s="32">
        <v>13896.6</v>
      </c>
      <c r="AZ53" s="32">
        <v>3705.76</v>
      </c>
      <c r="BA53" s="32">
        <v>3705.76</v>
      </c>
      <c r="BB53" s="32">
        <v>0</v>
      </c>
      <c r="BC53" s="32">
        <v>0</v>
      </c>
      <c r="BD53" s="32">
        <v>33000</v>
      </c>
      <c r="BE53" s="32">
        <v>33000</v>
      </c>
      <c r="BF53" s="32">
        <v>0</v>
      </c>
      <c r="BG53" s="32">
        <v>7000</v>
      </c>
      <c r="BH53" s="32">
        <v>7000</v>
      </c>
      <c r="BI53" s="32">
        <v>0</v>
      </c>
      <c r="BJ53" s="32">
        <v>0</v>
      </c>
      <c r="BK53" s="32">
        <v>0</v>
      </c>
      <c r="BL53" s="32">
        <v>0</v>
      </c>
      <c r="BM53" s="32">
        <v>0</v>
      </c>
      <c r="BN53" s="32">
        <v>0</v>
      </c>
      <c r="BO53" s="32">
        <v>0</v>
      </c>
      <c r="BP53" s="32">
        <v>0</v>
      </c>
      <c r="BQ53" s="32">
        <v>23745.69</v>
      </c>
      <c r="BR53" s="32">
        <v>42666.89</v>
      </c>
      <c r="BS53" s="32">
        <v>35166.89</v>
      </c>
      <c r="BT53" s="32">
        <v>48666.89</v>
      </c>
      <c r="BU53" s="32">
        <v>0</v>
      </c>
      <c r="BV53" s="32">
        <v>0</v>
      </c>
      <c r="BW53" s="32">
        <v>0</v>
      </c>
      <c r="BX53" s="32">
        <v>0</v>
      </c>
      <c r="BY53" s="32">
        <v>0</v>
      </c>
      <c r="BZ53" s="32">
        <v>0</v>
      </c>
      <c r="CA53" s="32">
        <v>0</v>
      </c>
      <c r="CB53" s="33" t="s">
        <v>1439</v>
      </c>
      <c r="CC53" s="33" t="s">
        <v>624</v>
      </c>
      <c r="CD53" s="33"/>
      <c r="CE53" s="33" t="s">
        <v>523</v>
      </c>
      <c r="CF53" s="33" t="s">
        <v>862</v>
      </c>
      <c r="CG53" s="33" t="s">
        <v>1440</v>
      </c>
      <c r="CH53" s="33" t="s">
        <v>526</v>
      </c>
      <c r="CI53" s="33" t="s">
        <v>981</v>
      </c>
      <c r="CJ53" s="33" t="s">
        <v>981</v>
      </c>
      <c r="CK53" s="33" t="s">
        <v>737</v>
      </c>
      <c r="CL53" s="33" t="s">
        <v>212</v>
      </c>
      <c r="CM53" s="33"/>
      <c r="CN53" s="33" t="s">
        <v>254</v>
      </c>
      <c r="CO53" s="33" t="s">
        <v>255</v>
      </c>
      <c r="CP53" s="33" t="s">
        <v>1441</v>
      </c>
      <c r="CQ53" s="33" t="s">
        <v>1342</v>
      </c>
      <c r="CR53" s="33" t="s">
        <v>529</v>
      </c>
      <c r="CS53" s="33" t="s">
        <v>1442</v>
      </c>
      <c r="CT53" s="33" t="s">
        <v>254</v>
      </c>
      <c r="CU53" s="33" t="s">
        <v>255</v>
      </c>
      <c r="CV53" s="33" t="s">
        <v>1443</v>
      </c>
      <c r="CW53" s="33" t="s">
        <v>1342</v>
      </c>
      <c r="CX53" s="33" t="s">
        <v>529</v>
      </c>
      <c r="CY53" s="33" t="s">
        <v>1444</v>
      </c>
      <c r="CZ53" s="33" t="s">
        <v>1445</v>
      </c>
      <c r="DA53" s="33" t="s">
        <v>1446</v>
      </c>
      <c r="DB53" s="33" t="s">
        <v>1444</v>
      </c>
      <c r="DC53" s="33" t="s">
        <v>1447</v>
      </c>
      <c r="DD53" s="33" t="s">
        <v>1448</v>
      </c>
      <c r="DE53" s="33" t="s">
        <v>1449</v>
      </c>
      <c r="DF53" s="34" t="s">
        <v>1450</v>
      </c>
      <c r="DG53" s="27" cm="1">
        <f t="array" ref="DG53">INDEX('elenco partner'!A:M,MATCH(1,(D53='elenco partner'!A:A)*('Partner data'!M53='elenco partner'!E:E),0),4)</f>
        <v>80</v>
      </c>
      <c r="DH53" s="83" t="str">
        <f t="shared" si="23"/>
        <v>Costo Unitario Standard</v>
      </c>
      <c r="DI53" s="20">
        <f>COUNTIFS('MY-REPORT-MAIN'!C:C,'Partner data'!DG53,'MY-REPORT-MAIN'!I:I,"Certified")</f>
        <v>2</v>
      </c>
      <c r="DJ53" s="20">
        <f>COUNTIFS(List_Of_chek_list!M:M,"&lt;&gt;26",List_Of_chek_list!B:B,'Partner data'!DG53)</f>
        <v>1</v>
      </c>
      <c r="DK53" s="20">
        <f t="shared" si="24"/>
        <v>1</v>
      </c>
      <c r="DL53" s="19" t="str">
        <f>IF(DH53="Tasso Forfettario 20%",SUMIFS(List_Of_chek_list!#REF!,List_Of_chek_list!B:B,'Partner data'!DG53),"NON PERTINENTE")</f>
        <v>NON PERTINENTE</v>
      </c>
      <c r="DM53" s="19" t="str">
        <f t="shared" si="25"/>
        <v>NON PERTINENTE</v>
      </c>
      <c r="DN53" s="110">
        <f>_xlfn.MAXIFS('MY-REPORT-MAIN'!K:K,'MY-REPORT-MAIN'!C:C,DG53)</f>
        <v>45386.756818391201</v>
      </c>
      <c r="DO53" s="112">
        <f>IF(_xlfn.MAXIFS('MY-REPORT-MAIN'!M:M,'MY-REPORT-MAIN'!C:C,DG53)=0,"Nessun rendiconto  Convalidato",_xlfn.MAXIFS('MY-REPORT-MAIN'!M:M,'MY-REPORT-MAIN'!C:C,DG53))</f>
        <v>45470.694967546297</v>
      </c>
      <c r="DP53" s="113" cm="1">
        <f t="array" ref="DP53">IFERROR(INDEX('MY-REPORT-MAIN'!A:Z,MATCH(1,(DO53='MY-REPORT-MAIN'!M:M)*('Partner data'!DG53='MY-REPORT-MAIN'!C:C),0),1),"NON è stato convalidato ancora nessun rendiconto")</f>
        <v>338</v>
      </c>
      <c r="DQ53" s="111">
        <f>IFERROR(INDEX('MY-REPORT-MAIN'!A:Z,MATCH('Partner data'!DP53,'MY-REPORT-MAIN'!A:A,0),21),"Nessun Rendiconto ancora convalidato")</f>
        <v>17826.45</v>
      </c>
      <c r="DR53" s="110">
        <f>INDEX('Interreg VI-A Italy-Slovenia_pr'!A:E,MATCH('Partner data'!C53,'Interreg VI-A Italy-Slovenia_pr'!A:A,0),3)</f>
        <v>45078</v>
      </c>
      <c r="DS53" s="118">
        <f t="shared" si="1"/>
        <v>23745.69</v>
      </c>
      <c r="DT53" s="118">
        <f t="shared" si="2"/>
        <v>66412.58</v>
      </c>
      <c r="DU53" s="118">
        <f t="shared" si="3"/>
        <v>101579.47</v>
      </c>
      <c r="DV53" s="118">
        <f t="shared" si="4"/>
        <v>150246.35999999999</v>
      </c>
      <c r="DW53" s="118">
        <f t="shared" si="5"/>
        <v>150246.35999999999</v>
      </c>
      <c r="DX53" s="118">
        <f t="shared" si="6"/>
        <v>150246.35999999999</v>
      </c>
      <c r="DY53" s="118">
        <f t="shared" si="7"/>
        <v>150246.35999999999</v>
      </c>
      <c r="DZ53" s="118">
        <f t="shared" si="8"/>
        <v>150246.35999999999</v>
      </c>
      <c r="EA53" s="118">
        <f t="shared" si="9"/>
        <v>150246.35999999999</v>
      </c>
      <c r="EB53" s="118">
        <f t="shared" si="10"/>
        <v>150246.35999999999</v>
      </c>
    </row>
    <row r="54" spans="1:132" x14ac:dyDescent="0.25">
      <c r="A54" s="28">
        <v>1</v>
      </c>
      <c r="B54" s="29" t="s">
        <v>487</v>
      </c>
      <c r="C54" s="30" t="s">
        <v>1435</v>
      </c>
      <c r="D54" s="17" t="s">
        <v>310</v>
      </c>
      <c r="E54" s="30" t="s">
        <v>1436</v>
      </c>
      <c r="F54" s="30" t="s">
        <v>593</v>
      </c>
      <c r="G54" s="30" t="s">
        <v>491</v>
      </c>
      <c r="H54" s="30" t="s">
        <v>594</v>
      </c>
      <c r="I54" s="30" t="s">
        <v>595</v>
      </c>
      <c r="J54" s="31" t="s">
        <v>518</v>
      </c>
      <c r="K54" s="31" t="s">
        <v>495</v>
      </c>
      <c r="L54" s="31" t="s">
        <v>519</v>
      </c>
      <c r="M54" s="31" t="s">
        <v>46</v>
      </c>
      <c r="N54" s="31" t="s">
        <v>1451</v>
      </c>
      <c r="O54" s="31" t="s">
        <v>1452</v>
      </c>
      <c r="P54" s="31" t="s">
        <v>257</v>
      </c>
      <c r="Q54" s="31" t="s">
        <v>556</v>
      </c>
      <c r="R54" s="31" t="s">
        <v>270</v>
      </c>
      <c r="S54" s="32">
        <v>179972.13</v>
      </c>
      <c r="T54" s="32">
        <v>80</v>
      </c>
      <c r="U54" s="32">
        <v>30</v>
      </c>
      <c r="V54" s="32">
        <v>0</v>
      </c>
      <c r="W54" s="32">
        <v>0</v>
      </c>
      <c r="X54" s="32">
        <v>0</v>
      </c>
      <c r="Y54" s="32">
        <v>0</v>
      </c>
      <c r="Z54" s="32">
        <v>0</v>
      </c>
      <c r="AA54" s="32">
        <v>0</v>
      </c>
      <c r="AB54" s="32">
        <v>0</v>
      </c>
      <c r="AC54" s="32">
        <v>0</v>
      </c>
      <c r="AD54" s="32">
        <v>0</v>
      </c>
      <c r="AE54" s="32">
        <v>0</v>
      </c>
      <c r="AF54" s="32">
        <v>0</v>
      </c>
      <c r="AG54" s="32">
        <v>0</v>
      </c>
      <c r="AH54" s="32">
        <v>0</v>
      </c>
      <c r="AI54" s="32">
        <v>0</v>
      </c>
      <c r="AJ54" s="32">
        <v>0</v>
      </c>
      <c r="AK54" s="32">
        <v>0</v>
      </c>
      <c r="AL54" s="32">
        <v>0</v>
      </c>
      <c r="AM54" s="32">
        <v>0</v>
      </c>
      <c r="AN54" s="32">
        <v>44993.04</v>
      </c>
      <c r="AO54" s="32">
        <v>0</v>
      </c>
      <c r="AP54" s="32">
        <v>0</v>
      </c>
      <c r="AQ54" s="32">
        <v>44993.04</v>
      </c>
      <c r="AR54" s="32">
        <v>224965.17</v>
      </c>
      <c r="AS54" s="32">
        <v>30</v>
      </c>
      <c r="AT54" s="32">
        <v>134382.5</v>
      </c>
      <c r="AU54" s="32">
        <v>0</v>
      </c>
      <c r="AV54" s="32">
        <v>134382.5</v>
      </c>
      <c r="AW54" s="32">
        <v>0</v>
      </c>
      <c r="AX54" s="32">
        <v>20157.37</v>
      </c>
      <c r="AY54" s="32">
        <v>20157.37</v>
      </c>
      <c r="AZ54" s="32">
        <v>5375.3</v>
      </c>
      <c r="BA54" s="32">
        <v>5375.3</v>
      </c>
      <c r="BB54" s="32">
        <v>0</v>
      </c>
      <c r="BC54" s="32">
        <v>0</v>
      </c>
      <c r="BD54" s="32">
        <v>42500</v>
      </c>
      <c r="BE54" s="32">
        <v>42500</v>
      </c>
      <c r="BF54" s="32">
        <v>0</v>
      </c>
      <c r="BG54" s="32">
        <v>22550</v>
      </c>
      <c r="BH54" s="32">
        <v>22550</v>
      </c>
      <c r="BI54" s="32">
        <v>0</v>
      </c>
      <c r="BJ54" s="32">
        <v>0</v>
      </c>
      <c r="BK54" s="32">
        <v>0</v>
      </c>
      <c r="BL54" s="32">
        <v>0</v>
      </c>
      <c r="BM54" s="32">
        <v>0</v>
      </c>
      <c r="BN54" s="32">
        <v>0</v>
      </c>
      <c r="BO54" s="32">
        <v>0</v>
      </c>
      <c r="BP54" s="32">
        <v>0</v>
      </c>
      <c r="BQ54" s="32">
        <v>41401.769999999997</v>
      </c>
      <c r="BR54" s="32">
        <v>70974.7</v>
      </c>
      <c r="BS54" s="32">
        <v>68974.7</v>
      </c>
      <c r="BT54" s="32">
        <v>43614</v>
      </c>
      <c r="BU54" s="32">
        <v>0</v>
      </c>
      <c r="BV54" s="32">
        <v>0</v>
      </c>
      <c r="BW54" s="32">
        <v>0</v>
      </c>
      <c r="BX54" s="32">
        <v>0</v>
      </c>
      <c r="BY54" s="32">
        <v>0</v>
      </c>
      <c r="BZ54" s="32">
        <v>0</v>
      </c>
      <c r="CA54" s="32">
        <v>0</v>
      </c>
      <c r="CB54" s="33" t="s">
        <v>1453</v>
      </c>
      <c r="CC54" s="33" t="s">
        <v>624</v>
      </c>
      <c r="CD54" s="33"/>
      <c r="CE54" s="33" t="s">
        <v>523</v>
      </c>
      <c r="CF54" s="33" t="s">
        <v>734</v>
      </c>
      <c r="CG54" s="33" t="s">
        <v>1454</v>
      </c>
      <c r="CH54" s="33" t="s">
        <v>619</v>
      </c>
      <c r="CI54" s="33" t="s">
        <v>981</v>
      </c>
      <c r="CJ54" s="33" t="s">
        <v>981</v>
      </c>
      <c r="CK54" s="33" t="s">
        <v>1383</v>
      </c>
      <c r="CL54" s="33" t="s">
        <v>212</v>
      </c>
      <c r="CM54" s="33"/>
      <c r="CN54" s="33" t="s">
        <v>257</v>
      </c>
      <c r="CO54" s="33" t="s">
        <v>270</v>
      </c>
      <c r="CP54" s="33" t="s">
        <v>1455</v>
      </c>
      <c r="CQ54" s="33" t="s">
        <v>710</v>
      </c>
      <c r="CR54" s="33" t="s">
        <v>650</v>
      </c>
      <c r="CS54" s="33" t="s">
        <v>1456</v>
      </c>
      <c r="CT54" s="33" t="s">
        <v>257</v>
      </c>
      <c r="CU54" s="33" t="s">
        <v>270</v>
      </c>
      <c r="CV54" s="33" t="s">
        <v>1455</v>
      </c>
      <c r="CW54" s="33" t="s">
        <v>710</v>
      </c>
      <c r="CX54" s="33" t="s">
        <v>650</v>
      </c>
      <c r="CY54" s="33" t="s">
        <v>892</v>
      </c>
      <c r="CZ54" s="33" t="s">
        <v>1386</v>
      </c>
      <c r="DA54" s="33" t="s">
        <v>1387</v>
      </c>
      <c r="DB54" s="33" t="s">
        <v>895</v>
      </c>
      <c r="DC54" s="33" t="s">
        <v>1388</v>
      </c>
      <c r="DD54" s="33" t="s">
        <v>1389</v>
      </c>
      <c r="DE54" s="33" t="s">
        <v>1390</v>
      </c>
      <c r="DF54" s="34" t="s">
        <v>1457</v>
      </c>
      <c r="DG54" s="27" cm="1">
        <f t="array" ref="DG54">INDEX('elenco partner'!A:M,MATCH(1,(D54='elenco partner'!A:A)*('Partner data'!M54='elenco partner'!E:E),0),4)</f>
        <v>86</v>
      </c>
      <c r="DH54" s="83" t="str">
        <f t="shared" si="23"/>
        <v>COSTO REALE</v>
      </c>
      <c r="DI54" s="20">
        <f>COUNTIFS('MY-REPORT-MAIN'!C:C,'Partner data'!DG54,'MY-REPORT-MAIN'!I:I,"Certified")</f>
        <v>2</v>
      </c>
      <c r="DJ54" s="20">
        <f>COUNTIFS(List_Of_chek_list!M:M,"&lt;&gt;26",List_Of_chek_list!B:B,'Partner data'!DG54)</f>
        <v>2</v>
      </c>
      <c r="DK54" s="20">
        <f t="shared" si="24"/>
        <v>0</v>
      </c>
      <c r="DL54" s="19" t="str">
        <f>IF(DH54="Tasso Forfettario 20%",SUMIFS(List_Of_chek_list!#REF!,List_Of_chek_list!B:B,'Partner data'!DG54),"NON PERTINENTE")</f>
        <v>NON PERTINENTE</v>
      </c>
      <c r="DM54" s="19" t="str">
        <f t="shared" si="25"/>
        <v>NON PERTINENTE</v>
      </c>
      <c r="DN54" s="110">
        <f>_xlfn.MAXIFS('MY-REPORT-MAIN'!K:K,'MY-REPORT-MAIN'!C:C,DG54)</f>
        <v>45372.676431597225</v>
      </c>
      <c r="DO54" s="112">
        <f>IF(_xlfn.MAXIFS('MY-REPORT-MAIN'!M:M,'MY-REPORT-MAIN'!C:C,DG54)=0,"Nessun rendiconto  Convalidato",_xlfn.MAXIFS('MY-REPORT-MAIN'!M:M,'MY-REPORT-MAIN'!C:C,DG54))</f>
        <v>45425.386698958333</v>
      </c>
      <c r="DP54" s="113" cm="1">
        <f t="array" ref="DP54">IFERROR(INDEX('MY-REPORT-MAIN'!A:Z,MATCH(1,(DO54='MY-REPORT-MAIN'!M:M)*('Partner data'!DG54='MY-REPORT-MAIN'!C:C),0),1),"NON è stato convalidato ancora nessun rendiconto")</f>
        <v>213</v>
      </c>
      <c r="DQ54" s="111">
        <f>IFERROR(INDEX('MY-REPORT-MAIN'!A:Z,MATCH('Partner data'!DP54,'MY-REPORT-MAIN'!A:A,0),21),"Nessun Rendiconto ancora convalidato")</f>
        <v>56112.42</v>
      </c>
      <c r="DR54" s="110">
        <f>INDEX('Interreg VI-A Italy-Slovenia_pr'!A:E,MATCH('Partner data'!C54,'Interreg VI-A Italy-Slovenia_pr'!A:A,0),3)</f>
        <v>45078</v>
      </c>
      <c r="DS54" s="118">
        <f t="shared" si="1"/>
        <v>41401.769999999997</v>
      </c>
      <c r="DT54" s="118">
        <f t="shared" si="2"/>
        <v>112376.47</v>
      </c>
      <c r="DU54" s="118">
        <f t="shared" si="3"/>
        <v>181351.16999999998</v>
      </c>
      <c r="DV54" s="118">
        <f t="shared" si="4"/>
        <v>224965.16999999998</v>
      </c>
      <c r="DW54" s="118">
        <f t="shared" si="5"/>
        <v>224965.16999999998</v>
      </c>
      <c r="DX54" s="118">
        <f t="shared" si="6"/>
        <v>224965.16999999998</v>
      </c>
      <c r="DY54" s="118">
        <f t="shared" si="7"/>
        <v>224965.16999999998</v>
      </c>
      <c r="DZ54" s="118">
        <f t="shared" si="8"/>
        <v>224965.16999999998</v>
      </c>
      <c r="EA54" s="118">
        <f t="shared" si="9"/>
        <v>224965.16999999998</v>
      </c>
      <c r="EB54" s="118">
        <f t="shared" si="10"/>
        <v>224965.16999999998</v>
      </c>
    </row>
    <row r="55" spans="1:132" x14ac:dyDescent="0.25">
      <c r="A55" s="28">
        <v>1</v>
      </c>
      <c r="B55" s="29" t="s">
        <v>487</v>
      </c>
      <c r="C55" s="30" t="s">
        <v>1435</v>
      </c>
      <c r="D55" s="17" t="s">
        <v>310</v>
      </c>
      <c r="E55" s="30" t="s">
        <v>1436</v>
      </c>
      <c r="F55" s="30" t="s">
        <v>593</v>
      </c>
      <c r="G55" s="30" t="s">
        <v>491</v>
      </c>
      <c r="H55" s="30" t="s">
        <v>594</v>
      </c>
      <c r="I55" s="30" t="s">
        <v>595</v>
      </c>
      <c r="J55" s="31" t="s">
        <v>538</v>
      </c>
      <c r="K55" s="31" t="s">
        <v>495</v>
      </c>
      <c r="L55" s="31" t="s">
        <v>519</v>
      </c>
      <c r="M55" s="31" t="s">
        <v>311</v>
      </c>
      <c r="N55" s="31" t="s">
        <v>1458</v>
      </c>
      <c r="O55" s="31" t="s">
        <v>1459</v>
      </c>
      <c r="P55" s="31" t="s">
        <v>254</v>
      </c>
      <c r="Q55" s="31" t="s">
        <v>499</v>
      </c>
      <c r="R55" s="31" t="s">
        <v>255</v>
      </c>
      <c r="S55" s="32">
        <v>115783.2</v>
      </c>
      <c r="T55" s="32">
        <v>80</v>
      </c>
      <c r="U55" s="32">
        <v>19.3</v>
      </c>
      <c r="V55" s="32">
        <v>0</v>
      </c>
      <c r="W55" s="32">
        <v>0</v>
      </c>
      <c r="X55" s="32">
        <v>0</v>
      </c>
      <c r="Y55" s="32">
        <v>0</v>
      </c>
      <c r="Z55" s="32">
        <v>0</v>
      </c>
      <c r="AA55" s="32">
        <v>0</v>
      </c>
      <c r="AB55" s="32">
        <v>0</v>
      </c>
      <c r="AC55" s="32">
        <v>0</v>
      </c>
      <c r="AD55" s="32">
        <v>0</v>
      </c>
      <c r="AE55" s="32">
        <v>0</v>
      </c>
      <c r="AF55" s="32">
        <v>0</v>
      </c>
      <c r="AG55" s="32">
        <v>0</v>
      </c>
      <c r="AH55" s="32">
        <v>0</v>
      </c>
      <c r="AI55" s="32">
        <v>0</v>
      </c>
      <c r="AJ55" s="32">
        <v>0</v>
      </c>
      <c r="AK55" s="32">
        <v>0</v>
      </c>
      <c r="AL55" s="32">
        <v>0</v>
      </c>
      <c r="AM55" s="32">
        <v>0</v>
      </c>
      <c r="AN55" s="32">
        <v>0</v>
      </c>
      <c r="AO55" s="32">
        <v>28945.8</v>
      </c>
      <c r="AP55" s="32">
        <v>0</v>
      </c>
      <c r="AQ55" s="32">
        <v>28945.8</v>
      </c>
      <c r="AR55" s="32">
        <v>144729</v>
      </c>
      <c r="AS55" s="32">
        <v>19.3</v>
      </c>
      <c r="AT55" s="32">
        <v>48460</v>
      </c>
      <c r="AU55" s="32">
        <v>0</v>
      </c>
      <c r="AV55" s="32">
        <v>0</v>
      </c>
      <c r="AW55" s="32">
        <v>48460</v>
      </c>
      <c r="AX55" s="32">
        <v>7269</v>
      </c>
      <c r="AY55" s="32">
        <v>7269</v>
      </c>
      <c r="AZ55" s="32">
        <v>0</v>
      </c>
      <c r="BA55" s="32">
        <v>0</v>
      </c>
      <c r="BB55" s="32">
        <v>0</v>
      </c>
      <c r="BC55" s="32">
        <v>0</v>
      </c>
      <c r="BD55" s="32">
        <v>7000</v>
      </c>
      <c r="BE55" s="32">
        <v>7000</v>
      </c>
      <c r="BF55" s="32">
        <v>0</v>
      </c>
      <c r="BG55" s="32">
        <v>82000</v>
      </c>
      <c r="BH55" s="32">
        <v>82000</v>
      </c>
      <c r="BI55" s="32">
        <v>0</v>
      </c>
      <c r="BJ55" s="32">
        <v>0</v>
      </c>
      <c r="BK55" s="32">
        <v>0</v>
      </c>
      <c r="BL55" s="32">
        <v>0</v>
      </c>
      <c r="BM55" s="32">
        <v>0</v>
      </c>
      <c r="BN55" s="32">
        <v>0</v>
      </c>
      <c r="BO55" s="32">
        <v>0</v>
      </c>
      <c r="BP55" s="32">
        <v>0</v>
      </c>
      <c r="BQ55" s="32">
        <v>4108.12</v>
      </c>
      <c r="BR55" s="32">
        <v>102373.62</v>
      </c>
      <c r="BS55" s="32">
        <v>17873.62</v>
      </c>
      <c r="BT55" s="32">
        <v>20373.64</v>
      </c>
      <c r="BU55" s="32">
        <v>0</v>
      </c>
      <c r="BV55" s="32">
        <v>0</v>
      </c>
      <c r="BW55" s="32">
        <v>0</v>
      </c>
      <c r="BX55" s="32">
        <v>0</v>
      </c>
      <c r="BY55" s="32">
        <v>0</v>
      </c>
      <c r="BZ55" s="32">
        <v>0</v>
      </c>
      <c r="CA55" s="32">
        <v>0</v>
      </c>
      <c r="CB55" s="33" t="s">
        <v>1460</v>
      </c>
      <c r="CC55" s="33" t="s">
        <v>606</v>
      </c>
      <c r="CD55" s="33" t="s">
        <v>558</v>
      </c>
      <c r="CE55" s="33" t="s">
        <v>523</v>
      </c>
      <c r="CF55" s="33" t="s">
        <v>1171</v>
      </c>
      <c r="CG55" s="33" t="s">
        <v>1461</v>
      </c>
      <c r="CH55" s="33" t="s">
        <v>526</v>
      </c>
      <c r="CI55" s="33" t="s">
        <v>981</v>
      </c>
      <c r="CJ55" s="33" t="s">
        <v>981</v>
      </c>
      <c r="CK55" s="33" t="s">
        <v>1462</v>
      </c>
      <c r="CL55" s="33" t="s">
        <v>212</v>
      </c>
      <c r="CM55" s="33"/>
      <c r="CN55" s="33" t="s">
        <v>254</v>
      </c>
      <c r="CO55" s="33" t="s">
        <v>255</v>
      </c>
      <c r="CP55" s="33" t="s">
        <v>1463</v>
      </c>
      <c r="CQ55" s="33" t="s">
        <v>1278</v>
      </c>
      <c r="CR55" s="33" t="s">
        <v>529</v>
      </c>
      <c r="CS55" s="33" t="s">
        <v>1464</v>
      </c>
      <c r="CT55" s="33" t="s">
        <v>254</v>
      </c>
      <c r="CU55" s="33" t="s">
        <v>255</v>
      </c>
      <c r="CV55" s="33" t="s">
        <v>1443</v>
      </c>
      <c r="CW55" s="33" t="s">
        <v>1342</v>
      </c>
      <c r="CX55" s="33" t="s">
        <v>529</v>
      </c>
      <c r="CY55" s="33" t="s">
        <v>705</v>
      </c>
      <c r="CZ55" s="33" t="s">
        <v>635</v>
      </c>
      <c r="DA55" s="33" t="s">
        <v>1465</v>
      </c>
      <c r="DB55" s="33" t="s">
        <v>1444</v>
      </c>
      <c r="DC55" s="33" t="s">
        <v>511</v>
      </c>
      <c r="DD55" s="33" t="s">
        <v>1466</v>
      </c>
      <c r="DE55" s="33" t="s">
        <v>1467</v>
      </c>
      <c r="DF55" s="34" t="s">
        <v>1468</v>
      </c>
      <c r="DG55" s="27" cm="1">
        <f t="array" ref="DG55">INDEX('elenco partner'!A:M,MATCH(1,(D55='elenco partner'!A:A)*('Partner data'!M55='elenco partner'!E:E),0),4)</f>
        <v>181</v>
      </c>
      <c r="DH55" s="83" t="str">
        <f t="shared" si="23"/>
        <v>Costo Unitario Standard</v>
      </c>
      <c r="DI55" s="20">
        <f>COUNTIFS('MY-REPORT-MAIN'!C:C,'Partner data'!DG55,'MY-REPORT-MAIN'!I:I,"Certified")</f>
        <v>1</v>
      </c>
      <c r="DJ55" s="20">
        <f>COUNTIFS(List_Of_chek_list!M:M,"&lt;&gt;26",List_Of_chek_list!B:B,'Partner data'!DG55)</f>
        <v>0</v>
      </c>
      <c r="DK55" s="20">
        <f t="shared" si="24"/>
        <v>1</v>
      </c>
      <c r="DL55" s="19" t="str">
        <f>IF(DH55="Tasso Forfettario 20%",SUMIFS(List_Of_chek_list!#REF!,List_Of_chek_list!B:B,'Partner data'!DG55),"NON PERTINENTE")</f>
        <v>NON PERTINENTE</v>
      </c>
      <c r="DM55" s="19" t="str">
        <f t="shared" si="25"/>
        <v>NON PERTINENTE</v>
      </c>
      <c r="DN55" s="110">
        <f>_xlfn.MAXIFS('MY-REPORT-MAIN'!K:K,'MY-REPORT-MAIN'!C:C,DG55)</f>
        <v>45387.493544456018</v>
      </c>
      <c r="DO55" s="112">
        <f>IF(_xlfn.MAXIFS('MY-REPORT-MAIN'!M:M,'MY-REPORT-MAIN'!C:C,DG55)=0,"Nessun rendiconto  Convalidato",_xlfn.MAXIFS('MY-REPORT-MAIN'!M:M,'MY-REPORT-MAIN'!C:C,DG55))</f>
        <v>45470.701242708332</v>
      </c>
      <c r="DP55" s="113" cm="1">
        <f t="array" ref="DP55">IFERROR(INDEX('MY-REPORT-MAIN'!A:Z,MATCH(1,(DO55='MY-REPORT-MAIN'!M:M)*('Partner data'!DG55='MY-REPORT-MAIN'!C:C),0),1),"NON è stato convalidato ancora nessun rendiconto")</f>
        <v>192</v>
      </c>
      <c r="DQ55" s="111">
        <f>IFERROR(INDEX('MY-REPORT-MAIN'!A:Z,MATCH('Partner data'!DP55,'MY-REPORT-MAIN'!A:A,0),21),"Nessun Rendiconto ancora convalidato")</f>
        <v>4547.1000000000004</v>
      </c>
      <c r="DR55" s="110">
        <f>INDEX('Interreg VI-A Italy-Slovenia_pr'!A:E,MATCH('Partner data'!C55,'Interreg VI-A Italy-Slovenia_pr'!A:A,0),3)</f>
        <v>45078</v>
      </c>
      <c r="DS55" s="118">
        <f t="shared" si="1"/>
        <v>4108.12</v>
      </c>
      <c r="DT55" s="118">
        <f t="shared" si="2"/>
        <v>106481.73999999999</v>
      </c>
      <c r="DU55" s="118">
        <f t="shared" si="3"/>
        <v>124355.35999999999</v>
      </c>
      <c r="DV55" s="118">
        <f t="shared" si="4"/>
        <v>144729</v>
      </c>
      <c r="DW55" s="118">
        <f t="shared" si="5"/>
        <v>144729</v>
      </c>
      <c r="DX55" s="118">
        <f t="shared" si="6"/>
        <v>144729</v>
      </c>
      <c r="DY55" s="118">
        <f t="shared" si="7"/>
        <v>144729</v>
      </c>
      <c r="DZ55" s="118">
        <f t="shared" si="8"/>
        <v>144729</v>
      </c>
      <c r="EA55" s="118">
        <f t="shared" si="9"/>
        <v>144729</v>
      </c>
      <c r="EB55" s="118">
        <f t="shared" si="10"/>
        <v>144729</v>
      </c>
    </row>
    <row r="56" spans="1:132" x14ac:dyDescent="0.25">
      <c r="A56" s="28">
        <v>1</v>
      </c>
      <c r="B56" s="29" t="s">
        <v>487</v>
      </c>
      <c r="C56" s="30" t="s">
        <v>1435</v>
      </c>
      <c r="D56" s="17" t="s">
        <v>310</v>
      </c>
      <c r="E56" s="30" t="s">
        <v>1436</v>
      </c>
      <c r="F56" s="30" t="s">
        <v>593</v>
      </c>
      <c r="G56" s="30" t="s">
        <v>491</v>
      </c>
      <c r="H56" s="30" t="s">
        <v>594</v>
      </c>
      <c r="I56" s="30" t="s">
        <v>595</v>
      </c>
      <c r="J56" s="31" t="s">
        <v>554</v>
      </c>
      <c r="K56" s="31" t="s">
        <v>495</v>
      </c>
      <c r="L56" s="31" t="s">
        <v>519</v>
      </c>
      <c r="M56" s="31" t="s">
        <v>38</v>
      </c>
      <c r="N56" s="31" t="s">
        <v>1469</v>
      </c>
      <c r="O56" s="31" t="s">
        <v>1470</v>
      </c>
      <c r="P56" s="31" t="s">
        <v>257</v>
      </c>
      <c r="Q56" s="31" t="s">
        <v>556</v>
      </c>
      <c r="R56" s="31" t="s">
        <v>270</v>
      </c>
      <c r="S56" s="32">
        <v>184000</v>
      </c>
      <c r="T56" s="32">
        <v>80</v>
      </c>
      <c r="U56" s="32">
        <v>30.67</v>
      </c>
      <c r="V56" s="32">
        <v>0</v>
      </c>
      <c r="W56" s="32">
        <v>0</v>
      </c>
      <c r="X56" s="32">
        <v>0</v>
      </c>
      <c r="Y56" s="32">
        <v>0</v>
      </c>
      <c r="Z56" s="32">
        <v>0</v>
      </c>
      <c r="AA56" s="32">
        <v>0</v>
      </c>
      <c r="AB56" s="32">
        <v>0</v>
      </c>
      <c r="AC56" s="32">
        <v>0</v>
      </c>
      <c r="AD56" s="32">
        <v>0</v>
      </c>
      <c r="AE56" s="32">
        <v>0</v>
      </c>
      <c r="AF56" s="32">
        <v>0</v>
      </c>
      <c r="AG56" s="32">
        <v>0</v>
      </c>
      <c r="AH56" s="32">
        <v>0</v>
      </c>
      <c r="AI56" s="32">
        <v>0</v>
      </c>
      <c r="AJ56" s="32">
        <v>0</v>
      </c>
      <c r="AK56" s="32">
        <v>0</v>
      </c>
      <c r="AL56" s="32">
        <v>0</v>
      </c>
      <c r="AM56" s="32">
        <v>0</v>
      </c>
      <c r="AN56" s="32">
        <v>46000</v>
      </c>
      <c r="AO56" s="32">
        <v>0</v>
      </c>
      <c r="AP56" s="32">
        <v>0</v>
      </c>
      <c r="AQ56" s="32">
        <v>46000</v>
      </c>
      <c r="AR56" s="32">
        <v>230000</v>
      </c>
      <c r="AS56" s="32">
        <v>30.67</v>
      </c>
      <c r="AT56" s="32">
        <v>99289.77</v>
      </c>
      <c r="AU56" s="32">
        <v>0</v>
      </c>
      <c r="AV56" s="32">
        <v>99289.77</v>
      </c>
      <c r="AW56" s="32">
        <v>0</v>
      </c>
      <c r="AX56" s="32">
        <v>14893.46</v>
      </c>
      <c r="AY56" s="32">
        <v>14893.46</v>
      </c>
      <c r="AZ56" s="32">
        <v>3971.59</v>
      </c>
      <c r="BA56" s="32">
        <v>3971.59</v>
      </c>
      <c r="BB56" s="32">
        <v>0</v>
      </c>
      <c r="BC56" s="32">
        <v>0</v>
      </c>
      <c r="BD56" s="32">
        <v>3500</v>
      </c>
      <c r="BE56" s="32">
        <v>3500</v>
      </c>
      <c r="BF56" s="32">
        <v>0</v>
      </c>
      <c r="BG56" s="32">
        <v>108345.18</v>
      </c>
      <c r="BH56" s="32">
        <v>108345.18</v>
      </c>
      <c r="BI56" s="32">
        <v>0</v>
      </c>
      <c r="BJ56" s="32">
        <v>0</v>
      </c>
      <c r="BK56" s="32">
        <v>0</v>
      </c>
      <c r="BL56" s="32">
        <v>0</v>
      </c>
      <c r="BM56" s="32">
        <v>0</v>
      </c>
      <c r="BN56" s="32">
        <v>0</v>
      </c>
      <c r="BO56" s="32">
        <v>0</v>
      </c>
      <c r="BP56" s="32">
        <v>0</v>
      </c>
      <c r="BQ56" s="32">
        <v>75478.53</v>
      </c>
      <c r="BR56" s="32">
        <v>88967.29</v>
      </c>
      <c r="BS56" s="32">
        <v>32927.08</v>
      </c>
      <c r="BT56" s="32">
        <v>32627.1</v>
      </c>
      <c r="BU56" s="32">
        <v>0</v>
      </c>
      <c r="BV56" s="32">
        <v>0</v>
      </c>
      <c r="BW56" s="32">
        <v>0</v>
      </c>
      <c r="BX56" s="32">
        <v>0</v>
      </c>
      <c r="BY56" s="32">
        <v>0</v>
      </c>
      <c r="BZ56" s="32">
        <v>0</v>
      </c>
      <c r="CA56" s="32">
        <v>0</v>
      </c>
      <c r="CB56" s="33" t="s">
        <v>1471</v>
      </c>
      <c r="CC56" s="33" t="s">
        <v>640</v>
      </c>
      <c r="CD56" s="33"/>
      <c r="CE56" s="33" t="s">
        <v>523</v>
      </c>
      <c r="CF56" s="33" t="s">
        <v>1472</v>
      </c>
      <c r="CG56" s="33" t="s">
        <v>1473</v>
      </c>
      <c r="CH56" s="33" t="s">
        <v>526</v>
      </c>
      <c r="CI56" s="33" t="s">
        <v>981</v>
      </c>
      <c r="CJ56" s="33" t="s">
        <v>981</v>
      </c>
      <c r="CK56" s="33" t="s">
        <v>1474</v>
      </c>
      <c r="CL56" s="33" t="s">
        <v>212</v>
      </c>
      <c r="CM56" s="33"/>
      <c r="CN56" s="33" t="s">
        <v>257</v>
      </c>
      <c r="CO56" s="33" t="s">
        <v>270</v>
      </c>
      <c r="CP56" s="33" t="s">
        <v>1475</v>
      </c>
      <c r="CQ56" s="33" t="s">
        <v>717</v>
      </c>
      <c r="CR56" s="33" t="s">
        <v>1476</v>
      </c>
      <c r="CS56" s="33" t="s">
        <v>1477</v>
      </c>
      <c r="CT56" s="33" t="s">
        <v>257</v>
      </c>
      <c r="CU56" s="33" t="s">
        <v>270</v>
      </c>
      <c r="CV56" s="33" t="s">
        <v>1475</v>
      </c>
      <c r="CW56" s="33" t="s">
        <v>717</v>
      </c>
      <c r="CX56" s="33" t="s">
        <v>1476</v>
      </c>
      <c r="CY56" s="33" t="s">
        <v>1478</v>
      </c>
      <c r="CZ56" s="33" t="s">
        <v>1479</v>
      </c>
      <c r="DA56" s="33" t="s">
        <v>1480</v>
      </c>
      <c r="DB56" s="33" t="s">
        <v>1478</v>
      </c>
      <c r="DC56" s="33" t="s">
        <v>1479</v>
      </c>
      <c r="DD56" s="33" t="s">
        <v>1480</v>
      </c>
      <c r="DE56" s="33" t="s">
        <v>1481</v>
      </c>
      <c r="DF56" s="34" t="s">
        <v>1482</v>
      </c>
      <c r="DG56" s="27" cm="1">
        <f t="array" ref="DG56">INDEX('elenco partner'!A:M,MATCH(1,(D56='elenco partner'!A:A)*('Partner data'!M56='elenco partner'!E:E),0),4)</f>
        <v>182</v>
      </c>
      <c r="DH56" s="83" t="str">
        <f t="shared" si="23"/>
        <v>COSTO REALE</v>
      </c>
      <c r="DI56" s="20">
        <f>COUNTIFS('MY-REPORT-MAIN'!C:C,'Partner data'!DG56,'MY-REPORT-MAIN'!I:I,"Certified")</f>
        <v>2</v>
      </c>
      <c r="DJ56" s="20">
        <f>COUNTIFS(List_Of_chek_list!M:M,"&lt;&gt;26",List_Of_chek_list!B:B,'Partner data'!DG56)</f>
        <v>2</v>
      </c>
      <c r="DK56" s="20">
        <f t="shared" si="24"/>
        <v>0</v>
      </c>
      <c r="DL56" s="19" t="str">
        <f>IF(DH56="Tasso Forfettario 20%",SUMIFS(List_Of_chek_list!#REF!,List_Of_chek_list!B:B,'Partner data'!DG56),"NON PERTINENTE")</f>
        <v>NON PERTINENTE</v>
      </c>
      <c r="DM56" s="19" t="str">
        <f t="shared" si="25"/>
        <v>NON PERTINENTE</v>
      </c>
      <c r="DN56" s="110">
        <f>_xlfn.MAXIFS('MY-REPORT-MAIN'!K:K,'MY-REPORT-MAIN'!C:C,DG56)</f>
        <v>45387.492630671295</v>
      </c>
      <c r="DO56" s="112">
        <f>IF(_xlfn.MAXIFS('MY-REPORT-MAIN'!M:M,'MY-REPORT-MAIN'!C:C,DG56)=0,"Nessun rendiconto  Convalidato",_xlfn.MAXIFS('MY-REPORT-MAIN'!M:M,'MY-REPORT-MAIN'!C:C,DG56))</f>
        <v>45469.458114270834</v>
      </c>
      <c r="DP56" s="113" cm="1">
        <f t="array" ref="DP56">IFERROR(INDEX('MY-REPORT-MAIN'!A:Z,MATCH(1,(DO56='MY-REPORT-MAIN'!M:M)*('Partner data'!DG56='MY-REPORT-MAIN'!C:C),0),1),"NON è stato convalidato ancora nessun rendiconto")</f>
        <v>154</v>
      </c>
      <c r="DQ56" s="111">
        <f>IFERROR(INDEX('MY-REPORT-MAIN'!A:Z,MATCH('Partner data'!DP56,'MY-REPORT-MAIN'!A:A,0),21),"Nessun Rendiconto ancora convalidato")</f>
        <v>61204.38</v>
      </c>
      <c r="DR56" s="110">
        <f>INDEX('Interreg VI-A Italy-Slovenia_pr'!A:E,MATCH('Partner data'!C56,'Interreg VI-A Italy-Slovenia_pr'!A:A,0),3)</f>
        <v>45078</v>
      </c>
      <c r="DS56" s="118">
        <f t="shared" si="1"/>
        <v>75478.53</v>
      </c>
      <c r="DT56" s="118">
        <f t="shared" si="2"/>
        <v>164445.82</v>
      </c>
      <c r="DU56" s="118">
        <f t="shared" si="3"/>
        <v>197372.90000000002</v>
      </c>
      <c r="DV56" s="118">
        <f t="shared" si="4"/>
        <v>230000.00000000003</v>
      </c>
      <c r="DW56" s="118">
        <f t="shared" si="5"/>
        <v>230000.00000000003</v>
      </c>
      <c r="DX56" s="118">
        <f t="shared" si="6"/>
        <v>230000.00000000003</v>
      </c>
      <c r="DY56" s="118">
        <f t="shared" si="7"/>
        <v>230000.00000000003</v>
      </c>
      <c r="DZ56" s="118">
        <f t="shared" si="8"/>
        <v>230000.00000000003</v>
      </c>
      <c r="EA56" s="118">
        <f t="shared" si="9"/>
        <v>230000.00000000003</v>
      </c>
      <c r="EB56" s="118">
        <f t="shared" si="10"/>
        <v>230000.00000000003</v>
      </c>
    </row>
    <row r="57" spans="1:132" x14ac:dyDescent="0.25">
      <c r="A57" s="28">
        <v>1</v>
      </c>
      <c r="B57" s="29" t="s">
        <v>487</v>
      </c>
      <c r="C57" s="30" t="s">
        <v>1501</v>
      </c>
      <c r="D57" s="30" t="s">
        <v>312</v>
      </c>
      <c r="E57" s="30" t="s">
        <v>1502</v>
      </c>
      <c r="F57" s="30" t="s">
        <v>1118</v>
      </c>
      <c r="G57" s="30" t="s">
        <v>491</v>
      </c>
      <c r="H57" s="30" t="s">
        <v>492</v>
      </c>
      <c r="I57" s="30" t="s">
        <v>493</v>
      </c>
      <c r="J57" s="31" t="s">
        <v>494</v>
      </c>
      <c r="K57" s="31" t="s">
        <v>495</v>
      </c>
      <c r="L57" s="31" t="s">
        <v>496</v>
      </c>
      <c r="M57" s="31" t="s">
        <v>311</v>
      </c>
      <c r="N57" s="31" t="s">
        <v>1503</v>
      </c>
      <c r="O57" s="31" t="s">
        <v>1504</v>
      </c>
      <c r="P57" s="31" t="s">
        <v>254</v>
      </c>
      <c r="Q57" s="31" t="s">
        <v>499</v>
      </c>
      <c r="R57" s="31" t="s">
        <v>255</v>
      </c>
      <c r="S57" s="32">
        <v>177053.6</v>
      </c>
      <c r="T57" s="32">
        <v>80</v>
      </c>
      <c r="U57" s="32">
        <v>29.53</v>
      </c>
      <c r="V57" s="32">
        <v>0</v>
      </c>
      <c r="W57" s="32">
        <v>0</v>
      </c>
      <c r="X57" s="32">
        <v>0</v>
      </c>
      <c r="Y57" s="32">
        <v>0</v>
      </c>
      <c r="Z57" s="32">
        <v>0</v>
      </c>
      <c r="AA57" s="32">
        <v>0</v>
      </c>
      <c r="AB57" s="32">
        <v>0</v>
      </c>
      <c r="AC57" s="32">
        <v>0</v>
      </c>
      <c r="AD57" s="32">
        <v>0</v>
      </c>
      <c r="AE57" s="32">
        <v>0</v>
      </c>
      <c r="AF57" s="32">
        <v>0</v>
      </c>
      <c r="AG57" s="32">
        <v>0</v>
      </c>
      <c r="AH57" s="32">
        <v>0</v>
      </c>
      <c r="AI57" s="32">
        <v>0</v>
      </c>
      <c r="AJ57" s="32">
        <v>0</v>
      </c>
      <c r="AK57" s="32">
        <v>0</v>
      </c>
      <c r="AL57" s="32">
        <v>0</v>
      </c>
      <c r="AM57" s="32">
        <v>0</v>
      </c>
      <c r="AN57" s="32">
        <v>0</v>
      </c>
      <c r="AO57" s="32">
        <v>44263.4</v>
      </c>
      <c r="AP57" s="32">
        <v>0</v>
      </c>
      <c r="AQ57" s="32">
        <v>44263.4</v>
      </c>
      <c r="AR57" s="32">
        <v>221317</v>
      </c>
      <c r="AS57" s="32">
        <v>29.53</v>
      </c>
      <c r="AT57" s="32">
        <v>34300</v>
      </c>
      <c r="AU57" s="32">
        <v>34300</v>
      </c>
      <c r="AV57" s="32">
        <v>0</v>
      </c>
      <c r="AW57" s="32">
        <v>0</v>
      </c>
      <c r="AX57" s="32">
        <v>5145</v>
      </c>
      <c r="AY57" s="32">
        <v>5145</v>
      </c>
      <c r="AZ57" s="32">
        <v>1372</v>
      </c>
      <c r="BA57" s="32">
        <v>1372</v>
      </c>
      <c r="BB57" s="32">
        <v>0</v>
      </c>
      <c r="BC57" s="32">
        <v>0</v>
      </c>
      <c r="BD57" s="32">
        <v>110500</v>
      </c>
      <c r="BE57" s="32">
        <v>110500</v>
      </c>
      <c r="BF57" s="32">
        <v>0</v>
      </c>
      <c r="BG57" s="32">
        <v>61000</v>
      </c>
      <c r="BH57" s="32">
        <v>61000</v>
      </c>
      <c r="BI57" s="32">
        <v>0</v>
      </c>
      <c r="BJ57" s="32">
        <v>0</v>
      </c>
      <c r="BK57" s="32">
        <v>0</v>
      </c>
      <c r="BL57" s="32">
        <v>0</v>
      </c>
      <c r="BM57" s="32">
        <v>0</v>
      </c>
      <c r="BN57" s="32">
        <v>0</v>
      </c>
      <c r="BO57" s="32">
        <v>9000</v>
      </c>
      <c r="BP57" s="32">
        <v>9000</v>
      </c>
      <c r="BQ57" s="32">
        <v>21665</v>
      </c>
      <c r="BR57" s="32">
        <v>47044</v>
      </c>
      <c r="BS57" s="32">
        <v>113277</v>
      </c>
      <c r="BT57" s="32">
        <v>30331</v>
      </c>
      <c r="BU57" s="32">
        <v>0</v>
      </c>
      <c r="BV57" s="32">
        <v>0</v>
      </c>
      <c r="BW57" s="32">
        <v>0</v>
      </c>
      <c r="BX57" s="32">
        <v>0</v>
      </c>
      <c r="BY57" s="32">
        <v>0</v>
      </c>
      <c r="BZ57" s="32">
        <v>0</v>
      </c>
      <c r="CA57" s="32">
        <v>0</v>
      </c>
      <c r="CB57" s="33" t="s">
        <v>1505</v>
      </c>
      <c r="CC57" s="33" t="s">
        <v>606</v>
      </c>
      <c r="CD57" s="33"/>
      <c r="CE57" s="33" t="s">
        <v>523</v>
      </c>
      <c r="CF57" s="33" t="s">
        <v>1171</v>
      </c>
      <c r="CG57" s="33" t="s">
        <v>1506</v>
      </c>
      <c r="CH57" s="33" t="s">
        <v>526</v>
      </c>
      <c r="CI57" s="33"/>
      <c r="CJ57" s="33" t="s">
        <v>212</v>
      </c>
      <c r="CK57" s="33" t="s">
        <v>1462</v>
      </c>
      <c r="CL57" s="33" t="s">
        <v>212</v>
      </c>
      <c r="CM57" s="33"/>
      <c r="CN57" s="33" t="s">
        <v>254</v>
      </c>
      <c r="CO57" s="33" t="s">
        <v>255</v>
      </c>
      <c r="CP57" s="33" t="s">
        <v>1507</v>
      </c>
      <c r="CQ57" s="33" t="s">
        <v>1278</v>
      </c>
      <c r="CR57" s="33" t="s">
        <v>529</v>
      </c>
      <c r="CS57" s="33" t="s">
        <v>1508</v>
      </c>
      <c r="CT57" s="33" t="s">
        <v>254</v>
      </c>
      <c r="CU57" s="33" t="s">
        <v>255</v>
      </c>
      <c r="CV57" s="33" t="s">
        <v>1509</v>
      </c>
      <c r="CW57" s="33" t="s">
        <v>1510</v>
      </c>
      <c r="CX57" s="33" t="s">
        <v>529</v>
      </c>
      <c r="CY57" s="33" t="s">
        <v>740</v>
      </c>
      <c r="CZ57" s="33" t="s">
        <v>635</v>
      </c>
      <c r="DA57" s="33" t="s">
        <v>1511</v>
      </c>
      <c r="DB57" s="33" t="s">
        <v>959</v>
      </c>
      <c r="DC57" s="33" t="s">
        <v>746</v>
      </c>
      <c r="DD57" s="33" t="s">
        <v>1512</v>
      </c>
      <c r="DE57" s="33" t="s">
        <v>1513</v>
      </c>
      <c r="DF57" s="34" t="s">
        <v>1514</v>
      </c>
      <c r="DG57" s="27" cm="1">
        <f t="array" ref="DG57">INDEX('elenco partner'!A:M,MATCH(1,(D57='elenco partner'!A:A)*('Partner data'!M57='elenco partner'!E:E),0),4)</f>
        <v>183</v>
      </c>
      <c r="DH57" s="83" t="str">
        <f t="shared" ref="DH57:DH73" si="26">IF(AU57&lt;&gt;0,"Tasso Forfettario 20%",IF(AV57&lt;&gt;0,"COSTO REALE",IF(AW57&lt;&gt;0,"Costo Unitario Standard","BL1 non presente")))</f>
        <v>Tasso Forfettario 20%</v>
      </c>
      <c r="DI57" s="20">
        <f>COUNTIFS('MY-REPORT-MAIN'!C:C,'Partner data'!DG57,'MY-REPORT-MAIN'!I:I,"Certified")</f>
        <v>1</v>
      </c>
      <c r="DJ57" s="20">
        <f>COUNTIFS(List_Of_chek_list!M:M,"&lt;&gt;26",List_Of_chek_list!B:B,'Partner data'!DG57)</f>
        <v>0</v>
      </c>
      <c r="DK57" s="20">
        <f t="shared" ref="DK57:DK73" si="27">DI57-DJ57</f>
        <v>1</v>
      </c>
      <c r="DL57" s="19" t="e">
        <f>IF(DH57="Tasso Forfettario 20%",SUMIFS(List_Of_chek_list!#REF!,List_Of_chek_list!B:B,'Partner data'!DG57),"NON PERTINENTE")</f>
        <v>#REF!</v>
      </c>
      <c r="DM57" s="19" t="e">
        <f t="shared" ref="DM57:DM73" si="28">IF(DL57="NON PERTINENTE","NON PERTINENTE",IF(DJ57=DL57,"Rischio basso","Rischio alto"))</f>
        <v>#REF!</v>
      </c>
      <c r="DN57" s="110">
        <f>_xlfn.MAXIFS('MY-REPORT-MAIN'!K:K,'MY-REPORT-MAIN'!C:C,DG57)</f>
        <v>45387.436916458333</v>
      </c>
      <c r="DO57" s="112">
        <f>IF(_xlfn.MAXIFS('MY-REPORT-MAIN'!M:M,'MY-REPORT-MAIN'!C:C,DG57)=0,"Nessun rendiconto  Convalidato",_xlfn.MAXIFS('MY-REPORT-MAIN'!M:M,'MY-REPORT-MAIN'!C:C,DG57))</f>
        <v>45477.629832847226</v>
      </c>
      <c r="DP57" s="113" cm="1">
        <f t="array" ref="DP57">IFERROR(INDEX('MY-REPORT-MAIN'!A:Z,MATCH(1,(DO57='MY-REPORT-MAIN'!M:M)*('Partner data'!DG57='MY-REPORT-MAIN'!C:C),0),1),"NON è stato convalidato ancora nessun rendiconto")</f>
        <v>220</v>
      </c>
      <c r="DQ57" s="111">
        <f>IFERROR(INDEX('MY-REPORT-MAIN'!A:Z,MATCH('Partner data'!DP57,'MY-REPORT-MAIN'!A:A,0),21),"Nessun Rendiconto ancora convalidato")</f>
        <v>11664.8</v>
      </c>
      <c r="DR57" s="110">
        <f>INDEX('Interreg VI-A Italy-Slovenia_pr'!A:E,MATCH('Partner data'!C57,'Interreg VI-A Italy-Slovenia_pr'!A:A,0),3)</f>
        <v>45170</v>
      </c>
      <c r="DS57" s="118">
        <f t="shared" si="1"/>
        <v>30665</v>
      </c>
      <c r="DT57" s="118">
        <f t="shared" si="2"/>
        <v>77709</v>
      </c>
      <c r="DU57" s="118">
        <f t="shared" si="3"/>
        <v>190986</v>
      </c>
      <c r="DV57" s="118">
        <f t="shared" si="4"/>
        <v>221317</v>
      </c>
      <c r="DW57" s="118">
        <f t="shared" si="5"/>
        <v>221317</v>
      </c>
      <c r="DX57" s="118">
        <f t="shared" si="6"/>
        <v>221317</v>
      </c>
      <c r="DY57" s="118">
        <f t="shared" si="7"/>
        <v>221317</v>
      </c>
      <c r="DZ57" s="118">
        <f t="shared" si="8"/>
        <v>221317</v>
      </c>
      <c r="EA57" s="118">
        <f t="shared" si="9"/>
        <v>221317</v>
      </c>
      <c r="EB57" s="118">
        <f t="shared" si="10"/>
        <v>221317</v>
      </c>
    </row>
    <row r="58" spans="1:132" ht="45" x14ac:dyDescent="0.25">
      <c r="A58" s="28">
        <v>1</v>
      </c>
      <c r="B58" s="29" t="s">
        <v>487</v>
      </c>
      <c r="C58" s="30" t="s">
        <v>1501</v>
      </c>
      <c r="D58" s="30" t="s">
        <v>312</v>
      </c>
      <c r="E58" s="30" t="s">
        <v>1502</v>
      </c>
      <c r="F58" s="30" t="s">
        <v>1118</v>
      </c>
      <c r="G58" s="30" t="s">
        <v>491</v>
      </c>
      <c r="H58" s="30" t="s">
        <v>492</v>
      </c>
      <c r="I58" s="30" t="s">
        <v>493</v>
      </c>
      <c r="J58" s="31" t="s">
        <v>518</v>
      </c>
      <c r="K58" s="31" t="s">
        <v>495</v>
      </c>
      <c r="L58" s="31" t="s">
        <v>519</v>
      </c>
      <c r="M58" s="31" t="s">
        <v>313</v>
      </c>
      <c r="N58" s="31" t="s">
        <v>1491</v>
      </c>
      <c r="O58" s="31" t="s">
        <v>1492</v>
      </c>
      <c r="P58" s="31" t="s">
        <v>254</v>
      </c>
      <c r="Q58" s="31" t="s">
        <v>540</v>
      </c>
      <c r="R58" s="31" t="s">
        <v>260</v>
      </c>
      <c r="S58" s="32">
        <v>104982.39999999999</v>
      </c>
      <c r="T58" s="32">
        <v>80</v>
      </c>
      <c r="U58" s="32">
        <v>17.510000000000002</v>
      </c>
      <c r="V58" s="32">
        <v>0</v>
      </c>
      <c r="W58" s="32">
        <v>0</v>
      </c>
      <c r="X58" s="32">
        <v>0</v>
      </c>
      <c r="Y58" s="32">
        <v>0</v>
      </c>
      <c r="Z58" s="32">
        <v>0</v>
      </c>
      <c r="AA58" s="32">
        <v>0</v>
      </c>
      <c r="AB58" s="32">
        <v>0</v>
      </c>
      <c r="AC58" s="32">
        <v>0</v>
      </c>
      <c r="AD58" s="32">
        <v>0</v>
      </c>
      <c r="AE58" s="32">
        <v>0</v>
      </c>
      <c r="AF58" s="32">
        <v>0</v>
      </c>
      <c r="AG58" s="32">
        <v>0</v>
      </c>
      <c r="AH58" s="32">
        <v>0</v>
      </c>
      <c r="AI58" s="32">
        <v>0</v>
      </c>
      <c r="AJ58" s="32">
        <v>0</v>
      </c>
      <c r="AK58" s="32">
        <v>0</v>
      </c>
      <c r="AL58" s="32">
        <v>0</v>
      </c>
      <c r="AM58" s="32">
        <v>0</v>
      </c>
      <c r="AN58" s="32">
        <v>0</v>
      </c>
      <c r="AO58" s="32">
        <v>26245.599999999999</v>
      </c>
      <c r="AP58" s="32">
        <v>0</v>
      </c>
      <c r="AQ58" s="32">
        <v>26245.599999999999</v>
      </c>
      <c r="AR58" s="32">
        <v>131228</v>
      </c>
      <c r="AS58" s="32">
        <v>17.510000000000002</v>
      </c>
      <c r="AT58" s="32">
        <v>21200</v>
      </c>
      <c r="AU58" s="32">
        <v>21200</v>
      </c>
      <c r="AV58" s="32">
        <v>0</v>
      </c>
      <c r="AW58" s="32">
        <v>0</v>
      </c>
      <c r="AX58" s="32">
        <v>3180</v>
      </c>
      <c r="AY58" s="32">
        <v>3180</v>
      </c>
      <c r="AZ58" s="32">
        <v>848</v>
      </c>
      <c r="BA58" s="32">
        <v>848</v>
      </c>
      <c r="BB58" s="32">
        <v>0</v>
      </c>
      <c r="BC58" s="32">
        <v>0</v>
      </c>
      <c r="BD58" s="32">
        <v>56000</v>
      </c>
      <c r="BE58" s="32">
        <v>56000</v>
      </c>
      <c r="BF58" s="32">
        <v>0</v>
      </c>
      <c r="BG58" s="32">
        <v>50000</v>
      </c>
      <c r="BH58" s="32">
        <v>50000</v>
      </c>
      <c r="BI58" s="32">
        <v>0</v>
      </c>
      <c r="BJ58" s="32">
        <v>0</v>
      </c>
      <c r="BK58" s="32">
        <v>0</v>
      </c>
      <c r="BL58" s="32">
        <v>0</v>
      </c>
      <c r="BM58" s="32">
        <v>0</v>
      </c>
      <c r="BN58" s="32">
        <v>0</v>
      </c>
      <c r="BO58" s="32">
        <v>0</v>
      </c>
      <c r="BP58" s="32">
        <v>0</v>
      </c>
      <c r="BQ58" s="32">
        <v>2785.5</v>
      </c>
      <c r="BR58" s="32">
        <v>76756</v>
      </c>
      <c r="BS58" s="32">
        <v>33426</v>
      </c>
      <c r="BT58" s="32">
        <v>18260.5</v>
      </c>
      <c r="BU58" s="32">
        <v>0</v>
      </c>
      <c r="BV58" s="32">
        <v>0</v>
      </c>
      <c r="BW58" s="32">
        <v>0</v>
      </c>
      <c r="BX58" s="32">
        <v>0</v>
      </c>
      <c r="BY58" s="32">
        <v>0</v>
      </c>
      <c r="BZ58" s="32">
        <v>0</v>
      </c>
      <c r="CA58" s="32">
        <v>0</v>
      </c>
      <c r="CB58" s="33" t="s">
        <v>212</v>
      </c>
      <c r="CC58" s="33" t="s">
        <v>640</v>
      </c>
      <c r="CD58" s="33"/>
      <c r="CE58" s="33" t="s">
        <v>523</v>
      </c>
      <c r="CF58" s="33" t="s">
        <v>641</v>
      </c>
      <c r="CG58" s="33" t="s">
        <v>1493</v>
      </c>
      <c r="CH58" s="33" t="s">
        <v>526</v>
      </c>
      <c r="CI58" s="33"/>
      <c r="CJ58" s="33" t="s">
        <v>212</v>
      </c>
      <c r="CK58" s="33" t="s">
        <v>1494</v>
      </c>
      <c r="CL58" s="33" t="s">
        <v>212</v>
      </c>
      <c r="CM58" s="33"/>
      <c r="CN58" s="33" t="s">
        <v>254</v>
      </c>
      <c r="CO58" s="33" t="s">
        <v>260</v>
      </c>
      <c r="CP58" s="33" t="s">
        <v>1495</v>
      </c>
      <c r="CQ58" s="33" t="s">
        <v>1496</v>
      </c>
      <c r="CR58" s="33" t="s">
        <v>1515</v>
      </c>
      <c r="CS58" s="33" t="s">
        <v>1516</v>
      </c>
      <c r="CT58" s="33"/>
      <c r="CU58" s="33"/>
      <c r="CV58" s="33"/>
      <c r="CW58" s="33"/>
      <c r="CX58" s="33"/>
      <c r="CY58" s="33" t="s">
        <v>654</v>
      </c>
      <c r="CZ58" s="33" t="s">
        <v>1497</v>
      </c>
      <c r="DA58" s="33" t="s">
        <v>1498</v>
      </c>
      <c r="DB58" s="33" t="s">
        <v>602</v>
      </c>
      <c r="DC58" s="33" t="s">
        <v>750</v>
      </c>
      <c r="DD58" s="33" t="s">
        <v>1499</v>
      </c>
      <c r="DE58" s="33" t="s">
        <v>1500</v>
      </c>
      <c r="DF58" s="34" t="s">
        <v>1517</v>
      </c>
      <c r="DG58" s="27" cm="1">
        <f t="array" ref="DG58">INDEX('elenco partner'!A:M,MATCH(1,(D58='elenco partner'!A:A)*('Partner data'!M58='elenco partner'!E:E),0),4)</f>
        <v>184</v>
      </c>
      <c r="DH58" s="83" t="str">
        <f t="shared" si="26"/>
        <v>Tasso Forfettario 20%</v>
      </c>
      <c r="DI58" s="20">
        <f>COUNTIFS('MY-REPORT-MAIN'!C:C,'Partner data'!DG58,'MY-REPORT-MAIN'!I:I,"Certified")</f>
        <v>0</v>
      </c>
      <c r="DJ58" s="20">
        <f>COUNTIFS(List_Of_chek_list!M:M,"&lt;&gt;26",List_Of_chek_list!B:B,'Partner data'!DG58)</f>
        <v>0</v>
      </c>
      <c r="DK58" s="20">
        <f t="shared" si="27"/>
        <v>0</v>
      </c>
      <c r="DL58" s="19" t="e">
        <f>IF(DH58="Tasso Forfettario 20%",SUMIFS(List_Of_chek_list!#REF!,List_Of_chek_list!B:B,'Partner data'!DG58),"NON PERTINENTE")</f>
        <v>#REF!</v>
      </c>
      <c r="DM58" s="19" t="e">
        <f t="shared" si="28"/>
        <v>#REF!</v>
      </c>
      <c r="DN58" s="110">
        <f>_xlfn.MAXIFS('MY-REPORT-MAIN'!K:K,'MY-REPORT-MAIN'!C:C,DG58)</f>
        <v>0</v>
      </c>
      <c r="DO58" s="112" t="str">
        <f>IF(_xlfn.MAXIFS('MY-REPORT-MAIN'!M:M,'MY-REPORT-MAIN'!C:C,DG58)=0,"Nessun rendiconto  Convalidato",_xlfn.MAXIFS('MY-REPORT-MAIN'!M:M,'MY-REPORT-MAIN'!C:C,DG58))</f>
        <v>Nessun rendiconto  Convalidato</v>
      </c>
      <c r="DP58" s="113" t="str" cm="1">
        <f t="array" ref="DP58">IFERROR(INDEX('MY-REPORT-MAIN'!A:Z,MATCH(1,(DO58='MY-REPORT-MAIN'!M:M)*('Partner data'!DG58='MY-REPORT-MAIN'!C:C),0),1),"NON è stato convalidato ancora nessun rendiconto")</f>
        <v>NON è stato convalidato ancora nessun rendiconto</v>
      </c>
      <c r="DQ58" s="111" t="str">
        <f>IFERROR(INDEX('MY-REPORT-MAIN'!A:Z,MATCH('Partner data'!DP58,'MY-REPORT-MAIN'!A:A,0),21),"Nessun Rendiconto ancora convalidato")</f>
        <v>Nessun Rendiconto ancora convalidato</v>
      </c>
      <c r="DR58" s="110">
        <f>INDEX('Interreg VI-A Italy-Slovenia_pr'!A:E,MATCH('Partner data'!C58,'Interreg VI-A Italy-Slovenia_pr'!A:A,0),3)</f>
        <v>45170</v>
      </c>
      <c r="DS58" s="118">
        <f t="shared" si="1"/>
        <v>2785.5</v>
      </c>
      <c r="DT58" s="118">
        <f t="shared" si="2"/>
        <v>79541.5</v>
      </c>
      <c r="DU58" s="118">
        <f t="shared" si="3"/>
        <v>112967.5</v>
      </c>
      <c r="DV58" s="118">
        <f t="shared" si="4"/>
        <v>131228</v>
      </c>
      <c r="DW58" s="118">
        <f t="shared" si="5"/>
        <v>131228</v>
      </c>
      <c r="DX58" s="118">
        <f t="shared" si="6"/>
        <v>131228</v>
      </c>
      <c r="DY58" s="118">
        <f t="shared" si="7"/>
        <v>131228</v>
      </c>
      <c r="DZ58" s="118">
        <f t="shared" si="8"/>
        <v>131228</v>
      </c>
      <c r="EA58" s="118">
        <f t="shared" si="9"/>
        <v>131228</v>
      </c>
      <c r="EB58" s="118">
        <f t="shared" si="10"/>
        <v>131228</v>
      </c>
    </row>
    <row r="59" spans="1:132" x14ac:dyDescent="0.25">
      <c r="A59" s="28">
        <v>1</v>
      </c>
      <c r="B59" s="29" t="s">
        <v>487</v>
      </c>
      <c r="C59" s="30" t="s">
        <v>1501</v>
      </c>
      <c r="D59" s="30" t="s">
        <v>312</v>
      </c>
      <c r="E59" s="30" t="s">
        <v>1502</v>
      </c>
      <c r="F59" s="30" t="s">
        <v>1118</v>
      </c>
      <c r="G59" s="30" t="s">
        <v>491</v>
      </c>
      <c r="H59" s="30" t="s">
        <v>492</v>
      </c>
      <c r="I59" s="30" t="s">
        <v>493</v>
      </c>
      <c r="J59" s="31" t="s">
        <v>538</v>
      </c>
      <c r="K59" s="31" t="s">
        <v>495</v>
      </c>
      <c r="L59" s="31" t="s">
        <v>519</v>
      </c>
      <c r="M59" s="31" t="s">
        <v>314</v>
      </c>
      <c r="N59" s="31" t="s">
        <v>1518</v>
      </c>
      <c r="O59" s="31" t="s">
        <v>1519</v>
      </c>
      <c r="P59" s="31" t="s">
        <v>257</v>
      </c>
      <c r="Q59" s="31" t="s">
        <v>556</v>
      </c>
      <c r="R59" s="31" t="s">
        <v>270</v>
      </c>
      <c r="S59" s="32">
        <v>169999.98</v>
      </c>
      <c r="T59" s="32">
        <v>80</v>
      </c>
      <c r="U59" s="32">
        <v>28.35</v>
      </c>
      <c r="V59" s="32">
        <v>0</v>
      </c>
      <c r="W59" s="32">
        <v>0</v>
      </c>
      <c r="X59" s="32">
        <v>0</v>
      </c>
      <c r="Y59" s="32">
        <v>0</v>
      </c>
      <c r="Z59" s="32">
        <v>0</v>
      </c>
      <c r="AA59" s="32">
        <v>0</v>
      </c>
      <c r="AB59" s="32">
        <v>0</v>
      </c>
      <c r="AC59" s="32">
        <v>0</v>
      </c>
      <c r="AD59" s="32">
        <v>0</v>
      </c>
      <c r="AE59" s="32">
        <v>0</v>
      </c>
      <c r="AF59" s="32">
        <v>0</v>
      </c>
      <c r="AG59" s="32">
        <v>0</v>
      </c>
      <c r="AH59" s="32">
        <v>0</v>
      </c>
      <c r="AI59" s="32">
        <v>0</v>
      </c>
      <c r="AJ59" s="32">
        <v>0</v>
      </c>
      <c r="AK59" s="32">
        <v>0</v>
      </c>
      <c r="AL59" s="32">
        <v>0</v>
      </c>
      <c r="AM59" s="32">
        <v>0</v>
      </c>
      <c r="AN59" s="32">
        <v>42500</v>
      </c>
      <c r="AO59" s="32">
        <v>0</v>
      </c>
      <c r="AP59" s="32">
        <v>0</v>
      </c>
      <c r="AQ59" s="32">
        <v>42500</v>
      </c>
      <c r="AR59" s="32">
        <v>212499.98</v>
      </c>
      <c r="AS59" s="32">
        <v>28.35</v>
      </c>
      <c r="AT59" s="32">
        <v>94991.95</v>
      </c>
      <c r="AU59" s="32">
        <v>0</v>
      </c>
      <c r="AV59" s="32">
        <v>94991.95</v>
      </c>
      <c r="AW59" s="32">
        <v>0</v>
      </c>
      <c r="AX59" s="32">
        <v>14248.79</v>
      </c>
      <c r="AY59" s="32">
        <v>14248.79</v>
      </c>
      <c r="AZ59" s="32">
        <v>3799.67</v>
      </c>
      <c r="BA59" s="32">
        <v>3799.67</v>
      </c>
      <c r="BB59" s="32">
        <v>0</v>
      </c>
      <c r="BC59" s="32">
        <v>0</v>
      </c>
      <c r="BD59" s="32">
        <v>30459.57</v>
      </c>
      <c r="BE59" s="32">
        <v>30459.57</v>
      </c>
      <c r="BF59" s="32">
        <v>0</v>
      </c>
      <c r="BG59" s="32">
        <v>69000</v>
      </c>
      <c r="BH59" s="32">
        <v>69000</v>
      </c>
      <c r="BI59" s="32">
        <v>0</v>
      </c>
      <c r="BJ59" s="32">
        <v>0</v>
      </c>
      <c r="BK59" s="32">
        <v>0</v>
      </c>
      <c r="BL59" s="32">
        <v>0</v>
      </c>
      <c r="BM59" s="32">
        <v>0</v>
      </c>
      <c r="BN59" s="32">
        <v>0</v>
      </c>
      <c r="BO59" s="32">
        <v>0</v>
      </c>
      <c r="BP59" s="32">
        <v>0</v>
      </c>
      <c r="BQ59" s="32">
        <v>32527.64</v>
      </c>
      <c r="BR59" s="32">
        <v>106442.55</v>
      </c>
      <c r="BS59" s="32">
        <v>39002.550000000003</v>
      </c>
      <c r="BT59" s="32">
        <v>34527.24</v>
      </c>
      <c r="BU59" s="32">
        <v>0</v>
      </c>
      <c r="BV59" s="32">
        <v>0</v>
      </c>
      <c r="BW59" s="32">
        <v>0</v>
      </c>
      <c r="BX59" s="32">
        <v>0</v>
      </c>
      <c r="BY59" s="32">
        <v>0</v>
      </c>
      <c r="BZ59" s="32">
        <v>0</v>
      </c>
      <c r="CA59" s="32">
        <v>0</v>
      </c>
      <c r="CB59" s="33" t="s">
        <v>1471</v>
      </c>
      <c r="CC59" s="33" t="s">
        <v>640</v>
      </c>
      <c r="CD59" s="33"/>
      <c r="CE59" s="33" t="s">
        <v>523</v>
      </c>
      <c r="CF59" s="33" t="s">
        <v>1472</v>
      </c>
      <c r="CG59" s="33" t="s">
        <v>1520</v>
      </c>
      <c r="CH59" s="33" t="s">
        <v>526</v>
      </c>
      <c r="CI59" s="33"/>
      <c r="CJ59" s="33" t="s">
        <v>212</v>
      </c>
      <c r="CK59" s="33" t="s">
        <v>1474</v>
      </c>
      <c r="CL59" s="33" t="s">
        <v>212</v>
      </c>
      <c r="CM59" s="33"/>
      <c r="CN59" s="33" t="s">
        <v>257</v>
      </c>
      <c r="CO59" s="33" t="s">
        <v>270</v>
      </c>
      <c r="CP59" s="33" t="s">
        <v>1475</v>
      </c>
      <c r="CQ59" s="33" t="s">
        <v>717</v>
      </c>
      <c r="CR59" s="33" t="s">
        <v>1521</v>
      </c>
      <c r="CS59" s="33" t="s">
        <v>1522</v>
      </c>
      <c r="CT59" s="33" t="s">
        <v>257</v>
      </c>
      <c r="CU59" s="33" t="s">
        <v>270</v>
      </c>
      <c r="CV59" s="33" t="s">
        <v>1523</v>
      </c>
      <c r="CW59" s="33" t="s">
        <v>717</v>
      </c>
      <c r="CX59" s="33" t="s">
        <v>718</v>
      </c>
      <c r="CY59" s="33" t="s">
        <v>740</v>
      </c>
      <c r="CZ59" s="33" t="s">
        <v>1524</v>
      </c>
      <c r="DA59" s="33" t="s">
        <v>1480</v>
      </c>
      <c r="DB59" s="33" t="s">
        <v>1029</v>
      </c>
      <c r="DC59" s="33" t="s">
        <v>1525</v>
      </c>
      <c r="DD59" s="33" t="s">
        <v>1526</v>
      </c>
      <c r="DE59" s="33" t="s">
        <v>1481</v>
      </c>
      <c r="DF59" s="34" t="s">
        <v>1527</v>
      </c>
      <c r="DG59" s="27" cm="1">
        <f t="array" ref="DG59">INDEX('elenco partner'!A:M,MATCH(1,(D59='elenco partner'!A:A)*('Partner data'!M59='elenco partner'!E:E),0),4)</f>
        <v>185</v>
      </c>
      <c r="DH59" s="83" t="str">
        <f t="shared" si="26"/>
        <v>COSTO REALE</v>
      </c>
      <c r="DI59" s="20">
        <f>COUNTIFS('MY-REPORT-MAIN'!C:C,'Partner data'!DG59,'MY-REPORT-MAIN'!I:I,"Certified")</f>
        <v>1</v>
      </c>
      <c r="DJ59" s="20">
        <f>COUNTIFS(List_Of_chek_list!M:M,"&lt;&gt;26",List_Of_chek_list!B:B,'Partner data'!DG59)</f>
        <v>1</v>
      </c>
      <c r="DK59" s="20">
        <f t="shared" si="27"/>
        <v>0</v>
      </c>
      <c r="DL59" s="19" t="str">
        <f>IF(DH59="Tasso Forfettario 20%",SUMIFS(List_Of_chek_list!#REF!,List_Of_chek_list!B:B,'Partner data'!DG59),"NON PERTINENTE")</f>
        <v>NON PERTINENTE</v>
      </c>
      <c r="DM59" s="19" t="str">
        <f t="shared" si="28"/>
        <v>NON PERTINENTE</v>
      </c>
      <c r="DN59" s="110">
        <f>_xlfn.MAXIFS('MY-REPORT-MAIN'!K:K,'MY-REPORT-MAIN'!C:C,DG59)</f>
        <v>45387.499003182871</v>
      </c>
      <c r="DO59" s="112">
        <f>IF(_xlfn.MAXIFS('MY-REPORT-MAIN'!M:M,'MY-REPORT-MAIN'!C:C,DG59)=0,"Nessun rendiconto  Convalidato",_xlfn.MAXIFS('MY-REPORT-MAIN'!M:M,'MY-REPORT-MAIN'!C:C,DG59))</f>
        <v>45457.460779386573</v>
      </c>
      <c r="DP59" s="113" cm="1">
        <f t="array" ref="DP59">IFERROR(INDEX('MY-REPORT-MAIN'!A:Z,MATCH(1,(DO59='MY-REPORT-MAIN'!M:M)*('Partner data'!DG59='MY-REPORT-MAIN'!C:C),0),1),"NON è stato convalidato ancora nessun rendiconto")</f>
        <v>114</v>
      </c>
      <c r="DQ59" s="111">
        <f>IFERROR(INDEX('MY-REPORT-MAIN'!A:Z,MATCH('Partner data'!DP59,'MY-REPORT-MAIN'!A:A,0),21),"Nessun Rendiconto ancora convalidato")</f>
        <v>22547.61</v>
      </c>
      <c r="DR59" s="110">
        <f>INDEX('Interreg VI-A Italy-Slovenia_pr'!A:E,MATCH('Partner data'!C59,'Interreg VI-A Italy-Slovenia_pr'!A:A,0),3)</f>
        <v>45170</v>
      </c>
      <c r="DS59" s="118">
        <f t="shared" si="1"/>
        <v>32527.64</v>
      </c>
      <c r="DT59" s="118">
        <f t="shared" si="2"/>
        <v>138970.19</v>
      </c>
      <c r="DU59" s="118">
        <f t="shared" si="3"/>
        <v>177972.74</v>
      </c>
      <c r="DV59" s="118">
        <f t="shared" si="4"/>
        <v>212499.97999999998</v>
      </c>
      <c r="DW59" s="118">
        <f t="shared" si="5"/>
        <v>212499.97999999998</v>
      </c>
      <c r="DX59" s="118">
        <f t="shared" si="6"/>
        <v>212499.97999999998</v>
      </c>
      <c r="DY59" s="118">
        <f t="shared" si="7"/>
        <v>212499.97999999998</v>
      </c>
      <c r="DZ59" s="118">
        <f t="shared" si="8"/>
        <v>212499.97999999998</v>
      </c>
      <c r="EA59" s="118">
        <f t="shared" si="9"/>
        <v>212499.97999999998</v>
      </c>
      <c r="EB59" s="118">
        <f t="shared" si="10"/>
        <v>212499.97999999998</v>
      </c>
    </row>
    <row r="60" spans="1:132" ht="45" x14ac:dyDescent="0.25">
      <c r="A60" s="28">
        <v>1</v>
      </c>
      <c r="B60" s="29" t="s">
        <v>487</v>
      </c>
      <c r="C60" s="30" t="s">
        <v>1501</v>
      </c>
      <c r="D60" s="30" t="s">
        <v>312</v>
      </c>
      <c r="E60" s="30" t="s">
        <v>1502</v>
      </c>
      <c r="F60" s="30" t="s">
        <v>1118</v>
      </c>
      <c r="G60" s="30" t="s">
        <v>491</v>
      </c>
      <c r="H60" s="30" t="s">
        <v>492</v>
      </c>
      <c r="I60" s="30" t="s">
        <v>493</v>
      </c>
      <c r="J60" s="31" t="s">
        <v>554</v>
      </c>
      <c r="K60" s="31" t="s">
        <v>495</v>
      </c>
      <c r="L60" s="31" t="s">
        <v>519</v>
      </c>
      <c r="M60" s="31" t="s">
        <v>316</v>
      </c>
      <c r="N60" s="31" t="s">
        <v>1528</v>
      </c>
      <c r="O60" s="31" t="s">
        <v>1529</v>
      </c>
      <c r="P60" s="31" t="s">
        <v>257</v>
      </c>
      <c r="Q60" s="31" t="s">
        <v>556</v>
      </c>
      <c r="R60" s="31" t="s">
        <v>270</v>
      </c>
      <c r="S60" s="32">
        <v>51599.839999999997</v>
      </c>
      <c r="T60" s="32">
        <v>80</v>
      </c>
      <c r="U60" s="32">
        <v>8.61</v>
      </c>
      <c r="V60" s="32">
        <v>0</v>
      </c>
      <c r="W60" s="32">
        <v>0</v>
      </c>
      <c r="X60" s="32">
        <v>0</v>
      </c>
      <c r="Y60" s="32">
        <v>0</v>
      </c>
      <c r="Z60" s="32">
        <v>0</v>
      </c>
      <c r="AA60" s="32">
        <v>0</v>
      </c>
      <c r="AB60" s="32">
        <v>0</v>
      </c>
      <c r="AC60" s="32">
        <v>0</v>
      </c>
      <c r="AD60" s="32">
        <v>0</v>
      </c>
      <c r="AE60" s="32">
        <v>0</v>
      </c>
      <c r="AF60" s="32">
        <v>0</v>
      </c>
      <c r="AG60" s="32">
        <v>0</v>
      </c>
      <c r="AH60" s="32">
        <v>0</v>
      </c>
      <c r="AI60" s="32">
        <v>0</v>
      </c>
      <c r="AJ60" s="32">
        <v>0</v>
      </c>
      <c r="AK60" s="32">
        <v>0</v>
      </c>
      <c r="AL60" s="32">
        <v>0</v>
      </c>
      <c r="AM60" s="32">
        <v>0</v>
      </c>
      <c r="AN60" s="32">
        <v>12899.96</v>
      </c>
      <c r="AO60" s="32">
        <v>0</v>
      </c>
      <c r="AP60" s="32">
        <v>0</v>
      </c>
      <c r="AQ60" s="32">
        <v>12899.96</v>
      </c>
      <c r="AR60" s="32">
        <v>64499.8</v>
      </c>
      <c r="AS60" s="32">
        <v>8.61</v>
      </c>
      <c r="AT60" s="32">
        <v>10420</v>
      </c>
      <c r="AU60" s="32">
        <v>10420</v>
      </c>
      <c r="AV60" s="32">
        <v>0</v>
      </c>
      <c r="AW60" s="32">
        <v>0</v>
      </c>
      <c r="AX60" s="32">
        <v>1563</v>
      </c>
      <c r="AY60" s="32">
        <v>1563</v>
      </c>
      <c r="AZ60" s="32">
        <v>416.8</v>
      </c>
      <c r="BA60" s="32">
        <v>416.8</v>
      </c>
      <c r="BB60" s="32">
        <v>0</v>
      </c>
      <c r="BC60" s="32">
        <v>0</v>
      </c>
      <c r="BD60" s="32">
        <v>3600</v>
      </c>
      <c r="BE60" s="32">
        <v>3600</v>
      </c>
      <c r="BF60" s="32">
        <v>0</v>
      </c>
      <c r="BG60" s="32">
        <v>48500</v>
      </c>
      <c r="BH60" s="32">
        <v>48500</v>
      </c>
      <c r="BI60" s="32">
        <v>0</v>
      </c>
      <c r="BJ60" s="32">
        <v>0</v>
      </c>
      <c r="BK60" s="32">
        <v>0</v>
      </c>
      <c r="BL60" s="32">
        <v>0</v>
      </c>
      <c r="BM60" s="32">
        <v>0</v>
      </c>
      <c r="BN60" s="32">
        <v>0</v>
      </c>
      <c r="BO60" s="32">
        <v>0</v>
      </c>
      <c r="BP60" s="32">
        <v>0</v>
      </c>
      <c r="BQ60" s="32">
        <v>1114.2</v>
      </c>
      <c r="BR60" s="32">
        <v>38254.199999999997</v>
      </c>
      <c r="BS60" s="32">
        <v>24017.200000000001</v>
      </c>
      <c r="BT60" s="32">
        <v>1114.2</v>
      </c>
      <c r="BU60" s="32">
        <v>0</v>
      </c>
      <c r="BV60" s="32">
        <v>0</v>
      </c>
      <c r="BW60" s="32">
        <v>0</v>
      </c>
      <c r="BX60" s="32">
        <v>0</v>
      </c>
      <c r="BY60" s="32">
        <v>0</v>
      </c>
      <c r="BZ60" s="32">
        <v>0</v>
      </c>
      <c r="CA60" s="32">
        <v>0</v>
      </c>
      <c r="CB60" s="33" t="s">
        <v>1530</v>
      </c>
      <c r="CC60" s="33" t="s">
        <v>640</v>
      </c>
      <c r="CD60" s="33"/>
      <c r="CE60" s="33" t="s">
        <v>523</v>
      </c>
      <c r="CF60" s="33" t="s">
        <v>1186</v>
      </c>
      <c r="CG60" s="33" t="s">
        <v>1531</v>
      </c>
      <c r="CH60" s="33" t="s">
        <v>526</v>
      </c>
      <c r="CI60" s="33"/>
      <c r="CJ60" s="33" t="s">
        <v>212</v>
      </c>
      <c r="CK60" s="33"/>
      <c r="CL60" s="33" t="s">
        <v>212</v>
      </c>
      <c r="CM60" s="33"/>
      <c r="CN60" s="33" t="s">
        <v>257</v>
      </c>
      <c r="CO60" s="33" t="s">
        <v>270</v>
      </c>
      <c r="CP60" s="33" t="s">
        <v>1532</v>
      </c>
      <c r="CQ60" s="33" t="s">
        <v>686</v>
      </c>
      <c r="CR60" s="33" t="s">
        <v>687</v>
      </c>
      <c r="CS60" s="33" t="s">
        <v>1533</v>
      </c>
      <c r="CT60" s="33" t="s">
        <v>257</v>
      </c>
      <c r="CU60" s="33" t="s">
        <v>270</v>
      </c>
      <c r="CV60" s="33" t="s">
        <v>1532</v>
      </c>
      <c r="CW60" s="33" t="s">
        <v>686</v>
      </c>
      <c r="CX60" s="33" t="s">
        <v>687</v>
      </c>
      <c r="CY60" s="33" t="s">
        <v>654</v>
      </c>
      <c r="CZ60" s="33" t="s">
        <v>1534</v>
      </c>
      <c r="DA60" s="33" t="s">
        <v>1535</v>
      </c>
      <c r="DB60" s="33" t="s">
        <v>1029</v>
      </c>
      <c r="DC60" s="33" t="s">
        <v>713</v>
      </c>
      <c r="DD60" s="33" t="s">
        <v>1536</v>
      </c>
      <c r="DE60" s="33" t="s">
        <v>1537</v>
      </c>
      <c r="DF60" s="34" t="s">
        <v>1538</v>
      </c>
      <c r="DG60" s="27" cm="1">
        <f t="array" ref="DG60">INDEX('elenco partner'!A:M,MATCH(1,(D60='elenco partner'!A:A)*('Partner data'!M60='elenco partner'!E:E),0),4)</f>
        <v>186</v>
      </c>
      <c r="DH60" s="83" t="str">
        <f t="shared" si="26"/>
        <v>Tasso Forfettario 20%</v>
      </c>
      <c r="DI60" s="20">
        <f>COUNTIFS('MY-REPORT-MAIN'!C:C,'Partner data'!DG60,'MY-REPORT-MAIN'!I:I,"Certified")</f>
        <v>0</v>
      </c>
      <c r="DJ60" s="20">
        <f>COUNTIFS(List_Of_chek_list!M:M,"&lt;&gt;26",List_Of_chek_list!B:B,'Partner data'!DG60)</f>
        <v>0</v>
      </c>
      <c r="DK60" s="20">
        <f t="shared" si="27"/>
        <v>0</v>
      </c>
      <c r="DL60" s="19" t="e">
        <f>IF(DH60="Tasso Forfettario 20%",SUMIFS(List_Of_chek_list!#REF!,List_Of_chek_list!B:B,'Partner data'!DG60),"NON PERTINENTE")</f>
        <v>#REF!</v>
      </c>
      <c r="DM60" s="19" t="e">
        <f t="shared" si="28"/>
        <v>#REF!</v>
      </c>
      <c r="DN60" s="110">
        <f>_xlfn.MAXIFS('MY-REPORT-MAIN'!K:K,'MY-REPORT-MAIN'!C:C,DG60)</f>
        <v>0</v>
      </c>
      <c r="DO60" s="112" t="str">
        <f>IF(_xlfn.MAXIFS('MY-REPORT-MAIN'!M:M,'MY-REPORT-MAIN'!C:C,DG60)=0,"Nessun rendiconto  Convalidato",_xlfn.MAXIFS('MY-REPORT-MAIN'!M:M,'MY-REPORT-MAIN'!C:C,DG60))</f>
        <v>Nessun rendiconto  Convalidato</v>
      </c>
      <c r="DP60" s="113" t="str" cm="1">
        <f t="array" ref="DP60">IFERROR(INDEX('MY-REPORT-MAIN'!A:Z,MATCH(1,(DO60='MY-REPORT-MAIN'!M:M)*('Partner data'!DG60='MY-REPORT-MAIN'!C:C),0),1),"NON è stato convalidato ancora nessun rendiconto")</f>
        <v>NON è stato convalidato ancora nessun rendiconto</v>
      </c>
      <c r="DQ60" s="111" t="str">
        <f>IFERROR(INDEX('MY-REPORT-MAIN'!A:Z,MATCH('Partner data'!DP60,'MY-REPORT-MAIN'!A:A,0),21),"Nessun Rendiconto ancora convalidato")</f>
        <v>Nessun Rendiconto ancora convalidato</v>
      </c>
      <c r="DR60" s="110">
        <f>INDEX('Interreg VI-A Italy-Slovenia_pr'!A:E,MATCH('Partner data'!C60,'Interreg VI-A Italy-Slovenia_pr'!A:A,0),3)</f>
        <v>45170</v>
      </c>
      <c r="DS60" s="118">
        <f t="shared" si="1"/>
        <v>1114.2</v>
      </c>
      <c r="DT60" s="118">
        <f t="shared" si="2"/>
        <v>39368.399999999994</v>
      </c>
      <c r="DU60" s="118">
        <f t="shared" si="3"/>
        <v>63385.599999999991</v>
      </c>
      <c r="DV60" s="118">
        <f t="shared" si="4"/>
        <v>64499.799999999988</v>
      </c>
      <c r="DW60" s="118">
        <f t="shared" si="5"/>
        <v>64499.799999999988</v>
      </c>
      <c r="DX60" s="118">
        <f t="shared" si="6"/>
        <v>64499.799999999988</v>
      </c>
      <c r="DY60" s="118">
        <f t="shared" si="7"/>
        <v>64499.799999999988</v>
      </c>
      <c r="DZ60" s="118">
        <f t="shared" si="8"/>
        <v>64499.799999999988</v>
      </c>
      <c r="EA60" s="118">
        <f t="shared" si="9"/>
        <v>64499.799999999988</v>
      </c>
      <c r="EB60" s="118">
        <f t="shared" si="10"/>
        <v>64499.799999999988</v>
      </c>
    </row>
    <row r="61" spans="1:132" x14ac:dyDescent="0.25">
      <c r="A61" s="28">
        <v>1</v>
      </c>
      <c r="B61" s="29" t="s">
        <v>487</v>
      </c>
      <c r="C61" s="30" t="s">
        <v>1501</v>
      </c>
      <c r="D61" s="30" t="s">
        <v>312</v>
      </c>
      <c r="E61" s="30" t="s">
        <v>1502</v>
      </c>
      <c r="F61" s="30" t="s">
        <v>1118</v>
      </c>
      <c r="G61" s="30" t="s">
        <v>491</v>
      </c>
      <c r="H61" s="30" t="s">
        <v>492</v>
      </c>
      <c r="I61" s="30" t="s">
        <v>493</v>
      </c>
      <c r="J61" s="31" t="s">
        <v>570</v>
      </c>
      <c r="K61" s="31" t="s">
        <v>495</v>
      </c>
      <c r="L61" s="31" t="s">
        <v>519</v>
      </c>
      <c r="M61" s="31" t="s">
        <v>315</v>
      </c>
      <c r="N61" s="31" t="s">
        <v>1539</v>
      </c>
      <c r="O61" s="31" t="s">
        <v>1540</v>
      </c>
      <c r="P61" s="31" t="s">
        <v>257</v>
      </c>
      <c r="Q61" s="31" t="s">
        <v>556</v>
      </c>
      <c r="R61" s="31" t="s">
        <v>270</v>
      </c>
      <c r="S61" s="32">
        <v>95999.47</v>
      </c>
      <c r="T61" s="32">
        <v>80</v>
      </c>
      <c r="U61" s="32">
        <v>16.010000000000002</v>
      </c>
      <c r="V61" s="32">
        <v>0</v>
      </c>
      <c r="W61" s="32">
        <v>0</v>
      </c>
      <c r="X61" s="32">
        <v>0</v>
      </c>
      <c r="Y61" s="32">
        <v>0</v>
      </c>
      <c r="Z61" s="32">
        <v>0</v>
      </c>
      <c r="AA61" s="32">
        <v>0</v>
      </c>
      <c r="AB61" s="32">
        <v>0</v>
      </c>
      <c r="AC61" s="32">
        <v>0</v>
      </c>
      <c r="AD61" s="32">
        <v>0</v>
      </c>
      <c r="AE61" s="32">
        <v>0</v>
      </c>
      <c r="AF61" s="32">
        <v>0</v>
      </c>
      <c r="AG61" s="32">
        <v>0</v>
      </c>
      <c r="AH61" s="32">
        <v>0</v>
      </c>
      <c r="AI61" s="32">
        <v>0</v>
      </c>
      <c r="AJ61" s="32">
        <v>0</v>
      </c>
      <c r="AK61" s="32">
        <v>0</v>
      </c>
      <c r="AL61" s="32">
        <v>0</v>
      </c>
      <c r="AM61" s="32">
        <v>0</v>
      </c>
      <c r="AN61" s="32">
        <v>23999.87</v>
      </c>
      <c r="AO61" s="32">
        <v>0</v>
      </c>
      <c r="AP61" s="32">
        <v>0</v>
      </c>
      <c r="AQ61" s="32">
        <v>23999.87</v>
      </c>
      <c r="AR61" s="32">
        <v>119999.34</v>
      </c>
      <c r="AS61" s="32">
        <v>16.010000000000002</v>
      </c>
      <c r="AT61" s="32">
        <v>19386</v>
      </c>
      <c r="AU61" s="32">
        <v>19386</v>
      </c>
      <c r="AV61" s="32">
        <v>0</v>
      </c>
      <c r="AW61" s="32">
        <v>0</v>
      </c>
      <c r="AX61" s="32">
        <v>2907.9</v>
      </c>
      <c r="AY61" s="32">
        <v>2907.9</v>
      </c>
      <c r="AZ61" s="32">
        <v>775.44</v>
      </c>
      <c r="BA61" s="32">
        <v>775.44</v>
      </c>
      <c r="BB61" s="32">
        <v>0</v>
      </c>
      <c r="BC61" s="32">
        <v>0</v>
      </c>
      <c r="BD61" s="32">
        <v>34130</v>
      </c>
      <c r="BE61" s="32">
        <v>34130</v>
      </c>
      <c r="BF61" s="32">
        <v>0</v>
      </c>
      <c r="BG61" s="32">
        <v>62800</v>
      </c>
      <c r="BH61" s="32">
        <v>62800</v>
      </c>
      <c r="BI61" s="32">
        <v>0</v>
      </c>
      <c r="BJ61" s="32">
        <v>0</v>
      </c>
      <c r="BK61" s="32">
        <v>0</v>
      </c>
      <c r="BL61" s="32">
        <v>0</v>
      </c>
      <c r="BM61" s="32">
        <v>0</v>
      </c>
      <c r="BN61" s="32">
        <v>0</v>
      </c>
      <c r="BO61" s="32">
        <v>0</v>
      </c>
      <c r="BP61" s="32">
        <v>0</v>
      </c>
      <c r="BQ61" s="32">
        <v>16094</v>
      </c>
      <c r="BR61" s="32">
        <v>82079.399999999994</v>
      </c>
      <c r="BS61" s="32">
        <v>15016.94</v>
      </c>
      <c r="BT61" s="32">
        <v>6809</v>
      </c>
      <c r="BU61" s="32">
        <v>0</v>
      </c>
      <c r="BV61" s="32">
        <v>0</v>
      </c>
      <c r="BW61" s="32">
        <v>0</v>
      </c>
      <c r="BX61" s="32">
        <v>0</v>
      </c>
      <c r="BY61" s="32">
        <v>0</v>
      </c>
      <c r="BZ61" s="32">
        <v>0</v>
      </c>
      <c r="CA61" s="32">
        <v>0</v>
      </c>
      <c r="CB61" s="33" t="s">
        <v>1541</v>
      </c>
      <c r="CC61" s="33" t="s">
        <v>640</v>
      </c>
      <c r="CD61" s="33"/>
      <c r="CE61" s="33" t="s">
        <v>523</v>
      </c>
      <c r="CF61" s="33" t="s">
        <v>1186</v>
      </c>
      <c r="CG61" s="33" t="s">
        <v>1542</v>
      </c>
      <c r="CH61" s="33" t="s">
        <v>526</v>
      </c>
      <c r="CI61" s="33"/>
      <c r="CJ61" s="33" t="s">
        <v>212</v>
      </c>
      <c r="CK61" s="33"/>
      <c r="CL61" s="33" t="s">
        <v>212</v>
      </c>
      <c r="CM61" s="33"/>
      <c r="CN61" s="33" t="s">
        <v>257</v>
      </c>
      <c r="CO61" s="33" t="s">
        <v>270</v>
      </c>
      <c r="CP61" s="33" t="s">
        <v>1543</v>
      </c>
      <c r="CQ61" s="33" t="s">
        <v>717</v>
      </c>
      <c r="CR61" s="33" t="s">
        <v>1521</v>
      </c>
      <c r="CS61" s="33" t="s">
        <v>1544</v>
      </c>
      <c r="CT61" s="33" t="s">
        <v>257</v>
      </c>
      <c r="CU61" s="33" t="s">
        <v>270</v>
      </c>
      <c r="CV61" s="33" t="s">
        <v>1545</v>
      </c>
      <c r="CW61" s="33" t="s">
        <v>717</v>
      </c>
      <c r="CX61" s="33" t="s">
        <v>1521</v>
      </c>
      <c r="CY61" s="33" t="s">
        <v>740</v>
      </c>
      <c r="CZ61" s="33" t="s">
        <v>1546</v>
      </c>
      <c r="DA61" s="33" t="s">
        <v>1547</v>
      </c>
      <c r="DB61" s="33" t="s">
        <v>740</v>
      </c>
      <c r="DC61" s="33" t="s">
        <v>833</v>
      </c>
      <c r="DD61" s="33" t="s">
        <v>1548</v>
      </c>
      <c r="DE61" s="33" t="s">
        <v>1549</v>
      </c>
      <c r="DF61" s="34" t="s">
        <v>1550</v>
      </c>
      <c r="DG61" s="27" cm="1">
        <f t="array" ref="DG61">INDEX('elenco partner'!A:M,MATCH(1,(D61='elenco partner'!A:A)*('Partner data'!M61='elenco partner'!E:E),0),4)</f>
        <v>187</v>
      </c>
      <c r="DH61" s="83" t="str">
        <f t="shared" si="26"/>
        <v>Tasso Forfettario 20%</v>
      </c>
      <c r="DI61" s="20">
        <f>COUNTIFS('MY-REPORT-MAIN'!C:C,'Partner data'!DG61,'MY-REPORT-MAIN'!I:I,"Certified")</f>
        <v>1</v>
      </c>
      <c r="DJ61" s="20">
        <f>COUNTIFS(List_Of_chek_list!M:M,"&lt;&gt;26",List_Of_chek_list!B:B,'Partner data'!DG61)</f>
        <v>0</v>
      </c>
      <c r="DK61" s="20">
        <f t="shared" si="27"/>
        <v>1</v>
      </c>
      <c r="DL61" s="19" t="e">
        <f>IF(DH61="Tasso Forfettario 20%",SUMIFS(List_Of_chek_list!#REF!,List_Of_chek_list!B:B,'Partner data'!DG61),"NON PERTINENTE")</f>
        <v>#REF!</v>
      </c>
      <c r="DM61" s="19" t="e">
        <f t="shared" si="28"/>
        <v>#REF!</v>
      </c>
      <c r="DN61" s="110">
        <f>_xlfn.MAXIFS('MY-REPORT-MAIN'!K:K,'MY-REPORT-MAIN'!C:C,DG61)</f>
        <v>45387.477177962966</v>
      </c>
      <c r="DO61" s="112">
        <f>IF(_xlfn.MAXIFS('MY-REPORT-MAIN'!M:M,'MY-REPORT-MAIN'!C:C,DG61)=0,"Nessun rendiconto  Convalidato",_xlfn.MAXIFS('MY-REPORT-MAIN'!M:M,'MY-REPORT-MAIN'!C:C,DG61))</f>
        <v>45478.438841898147</v>
      </c>
      <c r="DP61" s="113" cm="1">
        <f t="array" ref="DP61">IFERROR(INDEX('MY-REPORT-MAIN'!A:Z,MATCH(1,(DO61='MY-REPORT-MAIN'!M:M)*('Partner data'!DG61='MY-REPORT-MAIN'!C:C),0),1),"NON è stato convalidato ancora nessun rendiconto")</f>
        <v>319</v>
      </c>
      <c r="DQ61" s="111">
        <f>IFERROR(INDEX('MY-REPORT-MAIN'!A:Z,MATCH('Partner data'!DP61,'MY-REPORT-MAIN'!A:A,0),21),"Nessun Rendiconto ancora convalidato")</f>
        <v>13244.83</v>
      </c>
      <c r="DR61" s="110">
        <f>INDEX('Interreg VI-A Italy-Slovenia_pr'!A:E,MATCH('Partner data'!C61,'Interreg VI-A Italy-Slovenia_pr'!A:A,0),3)</f>
        <v>45170</v>
      </c>
      <c r="DS61" s="118">
        <f t="shared" si="1"/>
        <v>16094</v>
      </c>
      <c r="DT61" s="118">
        <f t="shared" si="2"/>
        <v>98173.4</v>
      </c>
      <c r="DU61" s="118">
        <f t="shared" si="3"/>
        <v>113190.34</v>
      </c>
      <c r="DV61" s="118">
        <f t="shared" si="4"/>
        <v>119999.34</v>
      </c>
      <c r="DW61" s="118">
        <f t="shared" si="5"/>
        <v>119999.34</v>
      </c>
      <c r="DX61" s="118">
        <f t="shared" si="6"/>
        <v>119999.34</v>
      </c>
      <c r="DY61" s="118">
        <f t="shared" si="7"/>
        <v>119999.34</v>
      </c>
      <c r="DZ61" s="118">
        <f t="shared" si="8"/>
        <v>119999.34</v>
      </c>
      <c r="EA61" s="118">
        <f t="shared" si="9"/>
        <v>119999.34</v>
      </c>
      <c r="EB61" s="118">
        <f t="shared" si="10"/>
        <v>119999.34</v>
      </c>
    </row>
    <row r="62" spans="1:132" x14ac:dyDescent="0.25">
      <c r="A62" s="28">
        <v>1</v>
      </c>
      <c r="B62" s="29" t="s">
        <v>487</v>
      </c>
      <c r="C62" s="30" t="s">
        <v>1551</v>
      </c>
      <c r="D62" s="30" t="s">
        <v>317</v>
      </c>
      <c r="E62" s="30" t="s">
        <v>1552</v>
      </c>
      <c r="F62" s="30" t="s">
        <v>1118</v>
      </c>
      <c r="G62" s="30" t="s">
        <v>491</v>
      </c>
      <c r="H62" s="30" t="s">
        <v>766</v>
      </c>
      <c r="I62" s="30" t="s">
        <v>767</v>
      </c>
      <c r="J62" s="31" t="s">
        <v>494</v>
      </c>
      <c r="K62" s="31" t="s">
        <v>495</v>
      </c>
      <c r="L62" s="31" t="s">
        <v>496</v>
      </c>
      <c r="M62" s="31" t="s">
        <v>320</v>
      </c>
      <c r="N62" s="31" t="s">
        <v>1553</v>
      </c>
      <c r="O62" s="31" t="s">
        <v>1554</v>
      </c>
      <c r="P62" s="31" t="s">
        <v>257</v>
      </c>
      <c r="Q62" s="31" t="s">
        <v>556</v>
      </c>
      <c r="R62" s="31" t="s">
        <v>269</v>
      </c>
      <c r="S62" s="32">
        <v>129952</v>
      </c>
      <c r="T62" s="32">
        <v>80</v>
      </c>
      <c r="U62" s="32">
        <v>21.67</v>
      </c>
      <c r="V62" s="32">
        <v>0</v>
      </c>
      <c r="W62" s="32">
        <v>0</v>
      </c>
      <c r="X62" s="32">
        <v>0</v>
      </c>
      <c r="Y62" s="32">
        <v>0</v>
      </c>
      <c r="Z62" s="32">
        <v>0</v>
      </c>
      <c r="AA62" s="32">
        <v>0</v>
      </c>
      <c r="AB62" s="32">
        <v>0</v>
      </c>
      <c r="AC62" s="32">
        <v>0</v>
      </c>
      <c r="AD62" s="32">
        <v>0</v>
      </c>
      <c r="AE62" s="32">
        <v>0</v>
      </c>
      <c r="AF62" s="32">
        <v>0</v>
      </c>
      <c r="AG62" s="32">
        <v>0</v>
      </c>
      <c r="AH62" s="32">
        <v>0</v>
      </c>
      <c r="AI62" s="32">
        <v>0</v>
      </c>
      <c r="AJ62" s="32">
        <v>0</v>
      </c>
      <c r="AK62" s="32">
        <v>0</v>
      </c>
      <c r="AL62" s="32">
        <v>0</v>
      </c>
      <c r="AM62" s="32">
        <v>0</v>
      </c>
      <c r="AN62" s="32">
        <v>32488</v>
      </c>
      <c r="AO62" s="32">
        <v>0</v>
      </c>
      <c r="AP62" s="32">
        <v>0</v>
      </c>
      <c r="AQ62" s="32">
        <v>32488</v>
      </c>
      <c r="AR62" s="32">
        <v>162440</v>
      </c>
      <c r="AS62" s="32">
        <v>21.67</v>
      </c>
      <c r="AT62" s="32">
        <v>76000</v>
      </c>
      <c r="AU62" s="32">
        <v>0</v>
      </c>
      <c r="AV62" s="32">
        <v>76000</v>
      </c>
      <c r="AW62" s="32">
        <v>0</v>
      </c>
      <c r="AX62" s="32">
        <v>11400</v>
      </c>
      <c r="AY62" s="32">
        <v>11400</v>
      </c>
      <c r="AZ62" s="32">
        <v>3040</v>
      </c>
      <c r="BA62" s="32">
        <v>3040</v>
      </c>
      <c r="BB62" s="32">
        <v>0</v>
      </c>
      <c r="BC62" s="32">
        <v>0</v>
      </c>
      <c r="BD62" s="32">
        <v>63000</v>
      </c>
      <c r="BE62" s="32">
        <v>63000</v>
      </c>
      <c r="BF62" s="32">
        <v>0</v>
      </c>
      <c r="BG62" s="32">
        <v>0</v>
      </c>
      <c r="BH62" s="32">
        <v>0</v>
      </c>
      <c r="BI62" s="32">
        <v>0</v>
      </c>
      <c r="BJ62" s="32">
        <v>0</v>
      </c>
      <c r="BK62" s="32">
        <v>0</v>
      </c>
      <c r="BL62" s="32">
        <v>0</v>
      </c>
      <c r="BM62" s="32">
        <v>0</v>
      </c>
      <c r="BN62" s="32">
        <v>0</v>
      </c>
      <c r="BO62" s="32">
        <v>9000</v>
      </c>
      <c r="BP62" s="32">
        <v>9000</v>
      </c>
      <c r="BQ62" s="32">
        <v>36610</v>
      </c>
      <c r="BR62" s="32">
        <v>30110</v>
      </c>
      <c r="BS62" s="32">
        <v>30610</v>
      </c>
      <c r="BT62" s="32">
        <v>56110</v>
      </c>
      <c r="BU62" s="32">
        <v>0</v>
      </c>
      <c r="BV62" s="32">
        <v>0</v>
      </c>
      <c r="BW62" s="32">
        <v>0</v>
      </c>
      <c r="BX62" s="32">
        <v>0</v>
      </c>
      <c r="BY62" s="32">
        <v>0</v>
      </c>
      <c r="BZ62" s="32">
        <v>0</v>
      </c>
      <c r="CA62" s="32">
        <v>0</v>
      </c>
      <c r="CB62" s="33" t="s">
        <v>212</v>
      </c>
      <c r="CC62" s="33" t="s">
        <v>606</v>
      </c>
      <c r="CD62" s="33"/>
      <c r="CE62" s="33" t="s">
        <v>523</v>
      </c>
      <c r="CF62" s="33" t="s">
        <v>685</v>
      </c>
      <c r="CG62" s="33" t="s">
        <v>1555</v>
      </c>
      <c r="CH62" s="33" t="s">
        <v>619</v>
      </c>
      <c r="CI62" s="33"/>
      <c r="CJ62" s="33" t="s">
        <v>212</v>
      </c>
      <c r="CK62" s="33" t="s">
        <v>1556</v>
      </c>
      <c r="CL62" s="33" t="s">
        <v>212</v>
      </c>
      <c r="CM62" s="33" t="s">
        <v>637</v>
      </c>
      <c r="CN62" s="33" t="s">
        <v>257</v>
      </c>
      <c r="CO62" s="33" t="s">
        <v>269</v>
      </c>
      <c r="CP62" s="33" t="s">
        <v>1557</v>
      </c>
      <c r="CQ62" s="33" t="s">
        <v>1208</v>
      </c>
      <c r="CR62" s="33" t="s">
        <v>1209</v>
      </c>
      <c r="CS62" s="33" t="s">
        <v>1558</v>
      </c>
      <c r="CT62" s="33"/>
      <c r="CU62" s="33"/>
      <c r="CV62" s="33"/>
      <c r="CW62" s="33"/>
      <c r="CX62" s="33"/>
      <c r="CY62" s="33" t="s">
        <v>895</v>
      </c>
      <c r="CZ62" s="33" t="s">
        <v>1559</v>
      </c>
      <c r="DA62" s="33" t="s">
        <v>1560</v>
      </c>
      <c r="DB62" s="33" t="s">
        <v>895</v>
      </c>
      <c r="DC62" s="33" t="s">
        <v>1561</v>
      </c>
      <c r="DD62" s="33" t="s">
        <v>1562</v>
      </c>
      <c r="DE62" s="33" t="s">
        <v>1563</v>
      </c>
      <c r="DF62" s="34" t="s">
        <v>1564</v>
      </c>
      <c r="DG62" s="27" cm="1">
        <f t="array" ref="DG62">INDEX('elenco partner'!A:M,MATCH(1,(D62='elenco partner'!A:A)*('Partner data'!M62='elenco partner'!E:E),0),4)</f>
        <v>87</v>
      </c>
      <c r="DH62" s="83" t="str">
        <f t="shared" si="26"/>
        <v>COSTO REALE</v>
      </c>
      <c r="DI62" s="20">
        <f>COUNTIFS('MY-REPORT-MAIN'!C:C,'Partner data'!DG62,'MY-REPORT-MAIN'!I:I,"Certified")</f>
        <v>1</v>
      </c>
      <c r="DJ62" s="20">
        <f>COUNTIFS(List_Of_chek_list!M:M,"&lt;&gt;26",List_Of_chek_list!B:B,'Partner data'!DG62)</f>
        <v>0</v>
      </c>
      <c r="DK62" s="20">
        <f t="shared" si="27"/>
        <v>1</v>
      </c>
      <c r="DL62" s="19" t="str">
        <f>IF(DH62="Tasso Forfettario 20%",SUMIFS(List_Of_chek_list!#REF!,List_Of_chek_list!B:B,'Partner data'!DG62),"NON PERTINENTE")</f>
        <v>NON PERTINENTE</v>
      </c>
      <c r="DM62" s="19" t="str">
        <f t="shared" si="28"/>
        <v>NON PERTINENTE</v>
      </c>
      <c r="DN62" s="110">
        <f>_xlfn.MAXIFS('MY-REPORT-MAIN'!K:K,'MY-REPORT-MAIN'!C:C,DG62)</f>
        <v>45537</v>
      </c>
      <c r="DO62" s="112">
        <f>IF(_xlfn.MAXIFS('MY-REPORT-MAIN'!M:M,'MY-REPORT-MAIN'!C:C,DG62)=0,"Nessun rendiconto  Convalidato",_xlfn.MAXIFS('MY-REPORT-MAIN'!M:M,'MY-REPORT-MAIN'!C:C,DG62))</f>
        <v>45476.366182303238</v>
      </c>
      <c r="DP62" s="113" cm="1">
        <f t="array" ref="DP62">IFERROR(INDEX('MY-REPORT-MAIN'!A:Z,MATCH(1,(DO62='MY-REPORT-MAIN'!M:M)*('Partner data'!DG62='MY-REPORT-MAIN'!C:C),0),1),"NON è stato convalidato ancora nessun rendiconto")</f>
        <v>334</v>
      </c>
      <c r="DQ62" s="111">
        <f>IFERROR(INDEX('MY-REPORT-MAIN'!A:Z,MATCH('Partner data'!DP62,'MY-REPORT-MAIN'!A:A,0),21),"Nessun Rendiconto ancora convalidato")</f>
        <v>28779.5</v>
      </c>
      <c r="DR62" s="110">
        <f>INDEX('Interreg VI-A Italy-Slovenia_pr'!A:E,MATCH('Partner data'!C62,'Interreg VI-A Italy-Slovenia_pr'!A:A,0),3)</f>
        <v>45200</v>
      </c>
      <c r="DS62" s="118">
        <f t="shared" si="1"/>
        <v>45610</v>
      </c>
      <c r="DT62" s="118">
        <f t="shared" si="2"/>
        <v>75720</v>
      </c>
      <c r="DU62" s="118">
        <f t="shared" si="3"/>
        <v>106330</v>
      </c>
      <c r="DV62" s="118">
        <f t="shared" si="4"/>
        <v>162440</v>
      </c>
      <c r="DW62" s="118">
        <f t="shared" si="5"/>
        <v>162440</v>
      </c>
      <c r="DX62" s="118">
        <f t="shared" si="6"/>
        <v>162440</v>
      </c>
      <c r="DY62" s="118">
        <f t="shared" si="7"/>
        <v>162440</v>
      </c>
      <c r="DZ62" s="118">
        <f t="shared" si="8"/>
        <v>162440</v>
      </c>
      <c r="EA62" s="118">
        <f t="shared" si="9"/>
        <v>162440</v>
      </c>
      <c r="EB62" s="118">
        <f t="shared" si="10"/>
        <v>162440</v>
      </c>
    </row>
    <row r="63" spans="1:132" x14ac:dyDescent="0.25">
      <c r="A63" s="28">
        <v>1</v>
      </c>
      <c r="B63" s="29" t="s">
        <v>487</v>
      </c>
      <c r="C63" s="30" t="s">
        <v>1551</v>
      </c>
      <c r="D63" s="30" t="s">
        <v>317</v>
      </c>
      <c r="E63" s="30" t="s">
        <v>1552</v>
      </c>
      <c r="F63" s="30" t="s">
        <v>1118</v>
      </c>
      <c r="G63" s="30" t="s">
        <v>491</v>
      </c>
      <c r="H63" s="30" t="s">
        <v>766</v>
      </c>
      <c r="I63" s="30" t="s">
        <v>767</v>
      </c>
      <c r="J63" s="31" t="s">
        <v>518</v>
      </c>
      <c r="K63" s="31" t="s">
        <v>495</v>
      </c>
      <c r="L63" s="31" t="s">
        <v>519</v>
      </c>
      <c r="M63" s="31" t="s">
        <v>321</v>
      </c>
      <c r="N63" s="31" t="s">
        <v>1565</v>
      </c>
      <c r="O63" s="31" t="s">
        <v>1566</v>
      </c>
      <c r="P63" s="31" t="s">
        <v>257</v>
      </c>
      <c r="Q63" s="31" t="s">
        <v>556</v>
      </c>
      <c r="R63" s="31" t="s">
        <v>270</v>
      </c>
      <c r="S63" s="32">
        <v>96982.720000000001</v>
      </c>
      <c r="T63" s="32">
        <v>80</v>
      </c>
      <c r="U63" s="32">
        <v>16.170000000000002</v>
      </c>
      <c r="V63" s="32">
        <v>0</v>
      </c>
      <c r="W63" s="32">
        <v>0</v>
      </c>
      <c r="X63" s="32">
        <v>0</v>
      </c>
      <c r="Y63" s="32">
        <v>0</v>
      </c>
      <c r="Z63" s="32">
        <v>0</v>
      </c>
      <c r="AA63" s="32">
        <v>0</v>
      </c>
      <c r="AB63" s="32">
        <v>0</v>
      </c>
      <c r="AC63" s="32">
        <v>0</v>
      </c>
      <c r="AD63" s="32">
        <v>0</v>
      </c>
      <c r="AE63" s="32">
        <v>0</v>
      </c>
      <c r="AF63" s="32">
        <v>0</v>
      </c>
      <c r="AG63" s="32">
        <v>0</v>
      </c>
      <c r="AH63" s="32">
        <v>0</v>
      </c>
      <c r="AI63" s="32">
        <v>0</v>
      </c>
      <c r="AJ63" s="32">
        <v>0</v>
      </c>
      <c r="AK63" s="32">
        <v>0</v>
      </c>
      <c r="AL63" s="32">
        <v>0</v>
      </c>
      <c r="AM63" s="32">
        <v>0</v>
      </c>
      <c r="AN63" s="32">
        <v>24245.68</v>
      </c>
      <c r="AO63" s="32">
        <v>0</v>
      </c>
      <c r="AP63" s="32">
        <v>0</v>
      </c>
      <c r="AQ63" s="32">
        <v>24245.68</v>
      </c>
      <c r="AR63" s="32">
        <v>121228.4</v>
      </c>
      <c r="AS63" s="32">
        <v>16.170000000000002</v>
      </c>
      <c r="AT63" s="32">
        <v>70360</v>
      </c>
      <c r="AU63" s="32">
        <v>0</v>
      </c>
      <c r="AV63" s="32">
        <v>70360</v>
      </c>
      <c r="AW63" s="32">
        <v>0</v>
      </c>
      <c r="AX63" s="32">
        <v>10554</v>
      </c>
      <c r="AY63" s="32">
        <v>10554</v>
      </c>
      <c r="AZ63" s="32">
        <v>2814.4</v>
      </c>
      <c r="BA63" s="32">
        <v>2814.4</v>
      </c>
      <c r="BB63" s="32">
        <v>0</v>
      </c>
      <c r="BC63" s="32">
        <v>0</v>
      </c>
      <c r="BD63" s="32">
        <v>37500</v>
      </c>
      <c r="BE63" s="32">
        <v>37500</v>
      </c>
      <c r="BF63" s="32">
        <v>0</v>
      </c>
      <c r="BG63" s="32">
        <v>0</v>
      </c>
      <c r="BH63" s="32">
        <v>0</v>
      </c>
      <c r="BI63" s="32">
        <v>0</v>
      </c>
      <c r="BJ63" s="32">
        <v>0</v>
      </c>
      <c r="BK63" s="32">
        <v>0</v>
      </c>
      <c r="BL63" s="32">
        <v>0</v>
      </c>
      <c r="BM63" s="32">
        <v>0</v>
      </c>
      <c r="BN63" s="32">
        <v>0</v>
      </c>
      <c r="BO63" s="32">
        <v>0</v>
      </c>
      <c r="BP63" s="32">
        <v>0</v>
      </c>
      <c r="BQ63" s="32">
        <v>11382.55</v>
      </c>
      <c r="BR63" s="32">
        <v>24281.95</v>
      </c>
      <c r="BS63" s="32">
        <v>58281.95</v>
      </c>
      <c r="BT63" s="32">
        <v>27281.95</v>
      </c>
      <c r="BU63" s="32">
        <v>0</v>
      </c>
      <c r="BV63" s="32">
        <v>0</v>
      </c>
      <c r="BW63" s="32">
        <v>0</v>
      </c>
      <c r="BX63" s="32">
        <v>0</v>
      </c>
      <c r="BY63" s="32">
        <v>0</v>
      </c>
      <c r="BZ63" s="32">
        <v>0</v>
      </c>
      <c r="CA63" s="32">
        <v>0</v>
      </c>
      <c r="CB63" s="33" t="s">
        <v>212</v>
      </c>
      <c r="CC63" s="33" t="s">
        <v>606</v>
      </c>
      <c r="CD63" s="33"/>
      <c r="CE63" s="33" t="s">
        <v>684</v>
      </c>
      <c r="CF63" s="33" t="s">
        <v>685</v>
      </c>
      <c r="CG63" s="33" t="s">
        <v>1567</v>
      </c>
      <c r="CH63" s="33" t="s">
        <v>526</v>
      </c>
      <c r="CI63" s="33"/>
      <c r="CJ63" s="33" t="s">
        <v>212</v>
      </c>
      <c r="CK63" s="33" t="s">
        <v>1568</v>
      </c>
      <c r="CL63" s="33" t="s">
        <v>212</v>
      </c>
      <c r="CM63" s="33" t="s">
        <v>637</v>
      </c>
      <c r="CN63" s="33" t="s">
        <v>257</v>
      </c>
      <c r="CO63" s="33" t="s">
        <v>270</v>
      </c>
      <c r="CP63" s="33" t="s">
        <v>1569</v>
      </c>
      <c r="CQ63" s="33" t="s">
        <v>710</v>
      </c>
      <c r="CR63" s="33" t="s">
        <v>650</v>
      </c>
      <c r="CS63" s="33" t="s">
        <v>1570</v>
      </c>
      <c r="CT63" s="33"/>
      <c r="CU63" s="33"/>
      <c r="CV63" s="33"/>
      <c r="CW63" s="33"/>
      <c r="CX63" s="33"/>
      <c r="CY63" s="33" t="s">
        <v>740</v>
      </c>
      <c r="CZ63" s="33" t="s">
        <v>1571</v>
      </c>
      <c r="DA63" s="33" t="s">
        <v>1572</v>
      </c>
      <c r="DB63" s="33" t="s">
        <v>745</v>
      </c>
      <c r="DC63" s="33" t="s">
        <v>1573</v>
      </c>
      <c r="DD63" s="33" t="s">
        <v>1574</v>
      </c>
      <c r="DE63" s="33" t="s">
        <v>1575</v>
      </c>
      <c r="DF63" s="34" t="s">
        <v>1576</v>
      </c>
      <c r="DG63" s="27" cm="1">
        <f t="array" ref="DG63">INDEX('elenco partner'!A:M,MATCH(1,(D63='elenco partner'!A:A)*('Partner data'!M63='elenco partner'!E:E),0),4)</f>
        <v>117</v>
      </c>
      <c r="DH63" s="83" t="str">
        <f t="shared" si="26"/>
        <v>COSTO REALE</v>
      </c>
      <c r="DI63" s="20">
        <f>COUNTIFS('MY-REPORT-MAIN'!C:C,'Partner data'!DG63,'MY-REPORT-MAIN'!I:I,"Certified")</f>
        <v>1</v>
      </c>
      <c r="DJ63" s="20">
        <f>COUNTIFS(List_Of_chek_list!M:M,"&lt;&gt;26",List_Of_chek_list!B:B,'Partner data'!DG63)</f>
        <v>1</v>
      </c>
      <c r="DK63" s="20">
        <f t="shared" si="27"/>
        <v>0</v>
      </c>
      <c r="DL63" s="19" t="str">
        <f>IF(DH63="Tasso Forfettario 20%",SUMIFS(List_Of_chek_list!#REF!,List_Of_chek_list!B:B,'Partner data'!DG63),"NON PERTINENTE")</f>
        <v>NON PERTINENTE</v>
      </c>
      <c r="DM63" s="19" t="str">
        <f t="shared" si="28"/>
        <v>NON PERTINENTE</v>
      </c>
      <c r="DN63" s="110">
        <f>_xlfn.MAXIFS('MY-REPORT-MAIN'!K:K,'MY-REPORT-MAIN'!C:C,DG63)</f>
        <v>45537</v>
      </c>
      <c r="DO63" s="112">
        <f>IF(_xlfn.MAXIFS('MY-REPORT-MAIN'!M:M,'MY-REPORT-MAIN'!C:C,DG63)=0,"Nessun rendiconto  Convalidato",_xlfn.MAXIFS('MY-REPORT-MAIN'!M:M,'MY-REPORT-MAIN'!C:C,DG63))</f>
        <v>45440.358501215276</v>
      </c>
      <c r="DP63" s="113" cm="1">
        <f t="array" ref="DP63">IFERROR(INDEX('MY-REPORT-MAIN'!A:Z,MATCH(1,(DO63='MY-REPORT-MAIN'!M:M)*('Partner data'!DG63='MY-REPORT-MAIN'!C:C),0),1),"NON è stato convalidato ancora nessun rendiconto")</f>
        <v>288</v>
      </c>
      <c r="DQ63" s="111">
        <f>IFERROR(INDEX('MY-REPORT-MAIN'!A:Z,MATCH('Partner data'!DP63,'MY-REPORT-MAIN'!A:A,0),21),"Nessun Rendiconto ancora convalidato")</f>
        <v>17754.05</v>
      </c>
      <c r="DR63" s="110">
        <f>INDEX('Interreg VI-A Italy-Slovenia_pr'!A:E,MATCH('Partner data'!C63,'Interreg VI-A Italy-Slovenia_pr'!A:A,0),3)</f>
        <v>45200</v>
      </c>
      <c r="DS63" s="118">
        <f t="shared" si="1"/>
        <v>11382.55</v>
      </c>
      <c r="DT63" s="118">
        <f t="shared" si="2"/>
        <v>35664.5</v>
      </c>
      <c r="DU63" s="118">
        <f t="shared" si="3"/>
        <v>93946.45</v>
      </c>
      <c r="DV63" s="118">
        <f t="shared" si="4"/>
        <v>121228.4</v>
      </c>
      <c r="DW63" s="118">
        <f t="shared" si="5"/>
        <v>121228.4</v>
      </c>
      <c r="DX63" s="118">
        <f t="shared" si="6"/>
        <v>121228.4</v>
      </c>
      <c r="DY63" s="118">
        <f t="shared" si="7"/>
        <v>121228.4</v>
      </c>
      <c r="DZ63" s="118">
        <f t="shared" si="8"/>
        <v>121228.4</v>
      </c>
      <c r="EA63" s="118">
        <f t="shared" si="9"/>
        <v>121228.4</v>
      </c>
      <c r="EB63" s="118">
        <f t="shared" si="10"/>
        <v>121228.4</v>
      </c>
    </row>
    <row r="64" spans="1:132" x14ac:dyDescent="0.25">
      <c r="A64" s="28">
        <v>1</v>
      </c>
      <c r="B64" s="29" t="s">
        <v>487</v>
      </c>
      <c r="C64" s="30" t="s">
        <v>1551</v>
      </c>
      <c r="D64" s="30" t="s">
        <v>317</v>
      </c>
      <c r="E64" s="30" t="s">
        <v>1552</v>
      </c>
      <c r="F64" s="30" t="s">
        <v>1118</v>
      </c>
      <c r="G64" s="30" t="s">
        <v>491</v>
      </c>
      <c r="H64" s="30" t="s">
        <v>766</v>
      </c>
      <c r="I64" s="30" t="s">
        <v>767</v>
      </c>
      <c r="J64" s="31" t="s">
        <v>538</v>
      </c>
      <c r="K64" s="31" t="s">
        <v>495</v>
      </c>
      <c r="L64" s="31" t="s">
        <v>519</v>
      </c>
      <c r="M64" s="31" t="s">
        <v>39</v>
      </c>
      <c r="N64" s="31" t="s">
        <v>1577</v>
      </c>
      <c r="O64" s="31" t="s">
        <v>1578</v>
      </c>
      <c r="P64" s="31" t="s">
        <v>254</v>
      </c>
      <c r="Q64" s="31" t="s">
        <v>540</v>
      </c>
      <c r="R64" s="31" t="s">
        <v>260</v>
      </c>
      <c r="S64" s="32">
        <v>82119.03</v>
      </c>
      <c r="T64" s="32">
        <v>80</v>
      </c>
      <c r="U64" s="32">
        <v>13.69</v>
      </c>
      <c r="V64" s="32">
        <v>0</v>
      </c>
      <c r="W64" s="32">
        <v>0</v>
      </c>
      <c r="X64" s="32">
        <v>0</v>
      </c>
      <c r="Y64" s="32">
        <v>0</v>
      </c>
      <c r="Z64" s="32">
        <v>0</v>
      </c>
      <c r="AA64" s="32">
        <v>0</v>
      </c>
      <c r="AB64" s="32">
        <v>0</v>
      </c>
      <c r="AC64" s="32">
        <v>0</v>
      </c>
      <c r="AD64" s="32">
        <v>0</v>
      </c>
      <c r="AE64" s="32">
        <v>0</v>
      </c>
      <c r="AF64" s="32">
        <v>0</v>
      </c>
      <c r="AG64" s="32">
        <v>0</v>
      </c>
      <c r="AH64" s="32">
        <v>0</v>
      </c>
      <c r="AI64" s="32">
        <v>0</v>
      </c>
      <c r="AJ64" s="32">
        <v>0</v>
      </c>
      <c r="AK64" s="32">
        <v>0</v>
      </c>
      <c r="AL64" s="32">
        <v>0</v>
      </c>
      <c r="AM64" s="32">
        <v>0</v>
      </c>
      <c r="AN64" s="32">
        <v>0</v>
      </c>
      <c r="AO64" s="32">
        <v>20529.759999999998</v>
      </c>
      <c r="AP64" s="32">
        <v>0</v>
      </c>
      <c r="AQ64" s="32">
        <v>20529.759999999998</v>
      </c>
      <c r="AR64" s="32">
        <v>102648.79</v>
      </c>
      <c r="AS64" s="32">
        <v>13.69</v>
      </c>
      <c r="AT64" s="32">
        <v>40041</v>
      </c>
      <c r="AU64" s="32">
        <v>0</v>
      </c>
      <c r="AV64" s="32">
        <v>40041</v>
      </c>
      <c r="AW64" s="32">
        <v>0</v>
      </c>
      <c r="AX64" s="32">
        <v>6006.15</v>
      </c>
      <c r="AY64" s="32">
        <v>6006.15</v>
      </c>
      <c r="AZ64" s="32">
        <v>1601.64</v>
      </c>
      <c r="BA64" s="32">
        <v>1601.64</v>
      </c>
      <c r="BB64" s="32">
        <v>0</v>
      </c>
      <c r="BC64" s="32">
        <v>0</v>
      </c>
      <c r="BD64" s="32">
        <v>55000</v>
      </c>
      <c r="BE64" s="32">
        <v>55000</v>
      </c>
      <c r="BF64" s="32">
        <v>0</v>
      </c>
      <c r="BG64" s="32">
        <v>0</v>
      </c>
      <c r="BH64" s="32">
        <v>0</v>
      </c>
      <c r="BI64" s="32">
        <v>0</v>
      </c>
      <c r="BJ64" s="32">
        <v>0</v>
      </c>
      <c r="BK64" s="32">
        <v>0</v>
      </c>
      <c r="BL64" s="32">
        <v>0</v>
      </c>
      <c r="BM64" s="32">
        <v>0</v>
      </c>
      <c r="BN64" s="32">
        <v>0</v>
      </c>
      <c r="BO64" s="32">
        <v>0</v>
      </c>
      <c r="BP64" s="32">
        <v>0</v>
      </c>
      <c r="BQ64" s="32">
        <v>22066.799999999999</v>
      </c>
      <c r="BR64" s="32">
        <v>32348.03</v>
      </c>
      <c r="BS64" s="32">
        <v>27237.56</v>
      </c>
      <c r="BT64" s="32">
        <v>20996.400000000001</v>
      </c>
      <c r="BU64" s="32">
        <v>0</v>
      </c>
      <c r="BV64" s="32">
        <v>0</v>
      </c>
      <c r="BW64" s="32">
        <v>0</v>
      </c>
      <c r="BX64" s="32">
        <v>0</v>
      </c>
      <c r="BY64" s="32">
        <v>0</v>
      </c>
      <c r="BZ64" s="32">
        <v>0</v>
      </c>
      <c r="CA64" s="32">
        <v>0</v>
      </c>
      <c r="CB64" s="33" t="s">
        <v>212</v>
      </c>
      <c r="CC64" s="33" t="s">
        <v>500</v>
      </c>
      <c r="CD64" s="33"/>
      <c r="CE64" s="33" t="s">
        <v>684</v>
      </c>
      <c r="CF64" s="33" t="s">
        <v>618</v>
      </c>
      <c r="CG64" s="33" t="s">
        <v>1579</v>
      </c>
      <c r="CH64" s="33" t="s">
        <v>526</v>
      </c>
      <c r="CI64" s="33"/>
      <c r="CJ64" s="33" t="s">
        <v>212</v>
      </c>
      <c r="CK64" s="33" t="s">
        <v>1580</v>
      </c>
      <c r="CL64" s="33" t="s">
        <v>212</v>
      </c>
      <c r="CM64" s="33" t="s">
        <v>625</v>
      </c>
      <c r="CN64" s="33" t="s">
        <v>254</v>
      </c>
      <c r="CO64" s="33" t="s">
        <v>260</v>
      </c>
      <c r="CP64" s="33" t="s">
        <v>1581</v>
      </c>
      <c r="CQ64" s="33" t="s">
        <v>544</v>
      </c>
      <c r="CR64" s="33" t="s">
        <v>545</v>
      </c>
      <c r="CS64" s="33" t="s">
        <v>1582</v>
      </c>
      <c r="CT64" s="33"/>
      <c r="CU64" s="33"/>
      <c r="CV64" s="33"/>
      <c r="CW64" s="33"/>
      <c r="CX64" s="33"/>
      <c r="CY64" s="33" t="s">
        <v>740</v>
      </c>
      <c r="CZ64" s="33" t="s">
        <v>1583</v>
      </c>
      <c r="DA64" s="33" t="s">
        <v>1584</v>
      </c>
      <c r="DB64" s="33" t="s">
        <v>745</v>
      </c>
      <c r="DC64" s="33" t="s">
        <v>1585</v>
      </c>
      <c r="DD64" s="33" t="s">
        <v>1586</v>
      </c>
      <c r="DE64" s="33" t="s">
        <v>1587</v>
      </c>
      <c r="DF64" s="34" t="s">
        <v>1588</v>
      </c>
      <c r="DG64" s="27" cm="1">
        <f t="array" ref="DG64">INDEX('elenco partner'!A:M,MATCH(1,(D64='elenco partner'!A:A)*('Partner data'!M64='elenco partner'!E:E),0),4)</f>
        <v>220</v>
      </c>
      <c r="DH64" s="83" t="str">
        <f t="shared" si="26"/>
        <v>COSTO REALE</v>
      </c>
      <c r="DI64" s="20">
        <f>COUNTIFS('MY-REPORT-MAIN'!C:C,'Partner data'!DG64,'MY-REPORT-MAIN'!I:I,"Certified")</f>
        <v>1</v>
      </c>
      <c r="DJ64" s="20">
        <f>COUNTIFS(List_Of_chek_list!M:M,"&lt;&gt;26",List_Of_chek_list!B:B,'Partner data'!DG64)</f>
        <v>0</v>
      </c>
      <c r="DK64" s="20">
        <f t="shared" si="27"/>
        <v>1</v>
      </c>
      <c r="DL64" s="19" t="str">
        <f>IF(DH64="Tasso Forfettario 20%",SUMIFS(List_Of_chek_list!#REF!,List_Of_chek_list!B:B,'Partner data'!DG64),"NON PERTINENTE")</f>
        <v>NON PERTINENTE</v>
      </c>
      <c r="DM64" s="19" t="str">
        <f t="shared" si="28"/>
        <v>NON PERTINENTE</v>
      </c>
      <c r="DN64" s="110">
        <f>_xlfn.MAXIFS('MY-REPORT-MAIN'!K:K,'MY-REPORT-MAIN'!C:C,DG64)</f>
        <v>45537</v>
      </c>
      <c r="DO64" s="112">
        <f>IF(_xlfn.MAXIFS('MY-REPORT-MAIN'!M:M,'MY-REPORT-MAIN'!C:C,DG64)=0,"Nessun rendiconto  Convalidato",_xlfn.MAXIFS('MY-REPORT-MAIN'!M:M,'MY-REPORT-MAIN'!C:C,DG64))</f>
        <v>45470.643376655091</v>
      </c>
      <c r="DP64" s="113" cm="1">
        <f t="array" ref="DP64">IFERROR(INDEX('MY-REPORT-MAIN'!A:Z,MATCH(1,(DO64='MY-REPORT-MAIN'!M:M)*('Partner data'!DG64='MY-REPORT-MAIN'!C:C),0),1),"NON è stato convalidato ancora nessun rendiconto")</f>
        <v>311</v>
      </c>
      <c r="DQ64" s="111">
        <f>IFERROR(INDEX('MY-REPORT-MAIN'!A:Z,MATCH('Partner data'!DP64,'MY-REPORT-MAIN'!A:A,0),21),"Nessun Rendiconto ancora convalidato")</f>
        <v>3341.52</v>
      </c>
      <c r="DR64" s="110">
        <f>INDEX('Interreg VI-A Italy-Slovenia_pr'!A:E,MATCH('Partner data'!C64,'Interreg VI-A Italy-Slovenia_pr'!A:A,0),3)</f>
        <v>45200</v>
      </c>
      <c r="DS64" s="118">
        <f t="shared" si="1"/>
        <v>22066.799999999999</v>
      </c>
      <c r="DT64" s="118">
        <f t="shared" si="2"/>
        <v>54414.83</v>
      </c>
      <c r="DU64" s="118">
        <f t="shared" si="3"/>
        <v>81652.39</v>
      </c>
      <c r="DV64" s="118">
        <f t="shared" si="4"/>
        <v>102648.79000000001</v>
      </c>
      <c r="DW64" s="118">
        <f t="shared" si="5"/>
        <v>102648.79000000001</v>
      </c>
      <c r="DX64" s="118">
        <f t="shared" si="6"/>
        <v>102648.79000000001</v>
      </c>
      <c r="DY64" s="118">
        <f t="shared" si="7"/>
        <v>102648.79000000001</v>
      </c>
      <c r="DZ64" s="118">
        <f t="shared" si="8"/>
        <v>102648.79000000001</v>
      </c>
      <c r="EA64" s="118">
        <f t="shared" si="9"/>
        <v>102648.79000000001</v>
      </c>
      <c r="EB64" s="118">
        <f t="shared" si="10"/>
        <v>102648.79000000001</v>
      </c>
    </row>
    <row r="65" spans="1:132" x14ac:dyDescent="0.25">
      <c r="A65" s="28">
        <v>1</v>
      </c>
      <c r="B65" s="29" t="s">
        <v>487</v>
      </c>
      <c r="C65" s="30" t="s">
        <v>1551</v>
      </c>
      <c r="D65" s="30" t="s">
        <v>317</v>
      </c>
      <c r="E65" s="30" t="s">
        <v>1552</v>
      </c>
      <c r="F65" s="30" t="s">
        <v>1118</v>
      </c>
      <c r="G65" s="30" t="s">
        <v>491</v>
      </c>
      <c r="H65" s="30" t="s">
        <v>766</v>
      </c>
      <c r="I65" s="30" t="s">
        <v>767</v>
      </c>
      <c r="J65" s="31" t="s">
        <v>554</v>
      </c>
      <c r="K65" s="31" t="s">
        <v>495</v>
      </c>
      <c r="L65" s="31" t="s">
        <v>519</v>
      </c>
      <c r="M65" s="31" t="s">
        <v>319</v>
      </c>
      <c r="N65" s="31" t="s">
        <v>1589</v>
      </c>
      <c r="O65" s="31" t="s">
        <v>1590</v>
      </c>
      <c r="P65" s="31" t="s">
        <v>257</v>
      </c>
      <c r="Q65" s="31" t="s">
        <v>722</v>
      </c>
      <c r="R65" s="31" t="s">
        <v>282</v>
      </c>
      <c r="S65" s="32">
        <v>113725.6</v>
      </c>
      <c r="T65" s="32">
        <v>80</v>
      </c>
      <c r="U65" s="32">
        <v>18.97</v>
      </c>
      <c r="V65" s="32">
        <v>0</v>
      </c>
      <c r="W65" s="32">
        <v>0</v>
      </c>
      <c r="X65" s="32">
        <v>0</v>
      </c>
      <c r="Y65" s="32">
        <v>0</v>
      </c>
      <c r="Z65" s="32">
        <v>0</v>
      </c>
      <c r="AA65" s="32">
        <v>0</v>
      </c>
      <c r="AB65" s="32">
        <v>0</v>
      </c>
      <c r="AC65" s="32">
        <v>0</v>
      </c>
      <c r="AD65" s="32">
        <v>0</v>
      </c>
      <c r="AE65" s="32">
        <v>0</v>
      </c>
      <c r="AF65" s="32">
        <v>0</v>
      </c>
      <c r="AG65" s="32">
        <v>0</v>
      </c>
      <c r="AH65" s="32">
        <v>0</v>
      </c>
      <c r="AI65" s="32">
        <v>0</v>
      </c>
      <c r="AJ65" s="32">
        <v>0</v>
      </c>
      <c r="AK65" s="32">
        <v>0</v>
      </c>
      <c r="AL65" s="32">
        <v>0</v>
      </c>
      <c r="AM65" s="32">
        <v>0</v>
      </c>
      <c r="AN65" s="32">
        <v>28431.4</v>
      </c>
      <c r="AO65" s="32">
        <v>0</v>
      </c>
      <c r="AP65" s="32">
        <v>0</v>
      </c>
      <c r="AQ65" s="32">
        <v>28431.4</v>
      </c>
      <c r="AR65" s="32">
        <v>142157</v>
      </c>
      <c r="AS65" s="32">
        <v>18.97</v>
      </c>
      <c r="AT65" s="32">
        <v>26100</v>
      </c>
      <c r="AU65" s="32">
        <v>0</v>
      </c>
      <c r="AV65" s="32">
        <v>26100</v>
      </c>
      <c r="AW65" s="32">
        <v>0</v>
      </c>
      <c r="AX65" s="32">
        <v>3915</v>
      </c>
      <c r="AY65" s="32">
        <v>3915</v>
      </c>
      <c r="AZ65" s="32">
        <v>1044</v>
      </c>
      <c r="BA65" s="32">
        <v>1044</v>
      </c>
      <c r="BB65" s="32">
        <v>0</v>
      </c>
      <c r="BC65" s="32">
        <v>0</v>
      </c>
      <c r="BD65" s="32">
        <v>99098</v>
      </c>
      <c r="BE65" s="32">
        <v>99098</v>
      </c>
      <c r="BF65" s="32">
        <v>0</v>
      </c>
      <c r="BG65" s="32">
        <v>12000</v>
      </c>
      <c r="BH65" s="32">
        <v>12000</v>
      </c>
      <c r="BI65" s="32">
        <v>0</v>
      </c>
      <c r="BJ65" s="32">
        <v>0</v>
      </c>
      <c r="BK65" s="32">
        <v>0</v>
      </c>
      <c r="BL65" s="32">
        <v>0</v>
      </c>
      <c r="BM65" s="32">
        <v>0</v>
      </c>
      <c r="BN65" s="32">
        <v>0</v>
      </c>
      <c r="BO65" s="32">
        <v>0</v>
      </c>
      <c r="BP65" s="32">
        <v>0</v>
      </c>
      <c r="BQ65" s="32">
        <v>12615</v>
      </c>
      <c r="BR65" s="32">
        <v>44874.5</v>
      </c>
      <c r="BS65" s="32">
        <v>32334.5</v>
      </c>
      <c r="BT65" s="32">
        <v>52333</v>
      </c>
      <c r="BU65" s="32">
        <v>0</v>
      </c>
      <c r="BV65" s="32">
        <v>0</v>
      </c>
      <c r="BW65" s="32">
        <v>0</v>
      </c>
      <c r="BX65" s="32">
        <v>0</v>
      </c>
      <c r="BY65" s="32">
        <v>0</v>
      </c>
      <c r="BZ65" s="32">
        <v>0</v>
      </c>
      <c r="CA65" s="32">
        <v>0</v>
      </c>
      <c r="CB65" s="33" t="s">
        <v>212</v>
      </c>
      <c r="CC65" s="33" t="s">
        <v>522</v>
      </c>
      <c r="CD65" s="33"/>
      <c r="CE65" s="33" t="s">
        <v>523</v>
      </c>
      <c r="CF65" s="33" t="s">
        <v>636</v>
      </c>
      <c r="CG65" s="33" t="s">
        <v>1591</v>
      </c>
      <c r="CH65" s="33" t="s">
        <v>526</v>
      </c>
      <c r="CI65" s="33"/>
      <c r="CJ65" s="33" t="s">
        <v>212</v>
      </c>
      <c r="CK65" s="33" t="s">
        <v>1592</v>
      </c>
      <c r="CL65" s="33" t="s">
        <v>212</v>
      </c>
      <c r="CM65" s="33" t="s">
        <v>637</v>
      </c>
      <c r="CN65" s="33" t="s">
        <v>257</v>
      </c>
      <c r="CO65" s="33" t="s">
        <v>282</v>
      </c>
      <c r="CP65" s="33" t="s">
        <v>1593</v>
      </c>
      <c r="CQ65" s="33" t="s">
        <v>1594</v>
      </c>
      <c r="CR65" s="33" t="s">
        <v>1595</v>
      </c>
      <c r="CS65" s="33" t="s">
        <v>1596</v>
      </c>
      <c r="CT65" s="33"/>
      <c r="CU65" s="33"/>
      <c r="CV65" s="33"/>
      <c r="CW65" s="33"/>
      <c r="CX65" s="33"/>
      <c r="CY65" s="33" t="s">
        <v>1141</v>
      </c>
      <c r="CZ65" s="33" t="s">
        <v>651</v>
      </c>
      <c r="DA65" s="33" t="s">
        <v>1597</v>
      </c>
      <c r="DB65" s="33" t="s">
        <v>740</v>
      </c>
      <c r="DC65" s="33" t="s">
        <v>1028</v>
      </c>
      <c r="DD65" s="33" t="s">
        <v>1598</v>
      </c>
      <c r="DE65" s="33" t="s">
        <v>1599</v>
      </c>
      <c r="DF65" s="34" t="s">
        <v>1600</v>
      </c>
      <c r="DG65" s="27" cm="1">
        <f t="array" ref="DG65">INDEX('elenco partner'!A:M,MATCH(1,(D65='elenco partner'!A:A)*('Partner data'!M65='elenco partner'!E:E),0),4)</f>
        <v>222</v>
      </c>
      <c r="DH65" s="83" t="str">
        <f t="shared" si="26"/>
        <v>COSTO REALE</v>
      </c>
      <c r="DI65" s="20">
        <f>COUNTIFS('MY-REPORT-MAIN'!C:C,'Partner data'!DG65,'MY-REPORT-MAIN'!I:I,"Certified")</f>
        <v>1</v>
      </c>
      <c r="DJ65" s="20">
        <f>COUNTIFS(List_Of_chek_list!M:M,"&lt;&gt;26",List_Of_chek_list!B:B,'Partner data'!DG65)</f>
        <v>1</v>
      </c>
      <c r="DK65" s="20">
        <f t="shared" si="27"/>
        <v>0</v>
      </c>
      <c r="DL65" s="19" t="str">
        <f>IF(DH65="Tasso Forfettario 20%",SUMIFS(List_Of_chek_list!#REF!,List_Of_chek_list!B:B,'Partner data'!DG65),"NON PERTINENTE")</f>
        <v>NON PERTINENTE</v>
      </c>
      <c r="DM65" s="19" t="str">
        <f t="shared" si="28"/>
        <v>NON PERTINENTE</v>
      </c>
      <c r="DN65" s="110">
        <f>_xlfn.MAXIFS('MY-REPORT-MAIN'!K:K,'MY-REPORT-MAIN'!C:C,DG65)</f>
        <v>45537</v>
      </c>
      <c r="DO65" s="112">
        <f>IF(_xlfn.MAXIFS('MY-REPORT-MAIN'!M:M,'MY-REPORT-MAIN'!C:C,DG65)=0,"Nessun rendiconto  Convalidato",_xlfn.MAXIFS('MY-REPORT-MAIN'!M:M,'MY-REPORT-MAIN'!C:C,DG65))</f>
        <v>45453.41415921296</v>
      </c>
      <c r="DP65" s="113" cm="1">
        <f t="array" ref="DP65">IFERROR(INDEX('MY-REPORT-MAIN'!A:Z,MATCH(1,(DO65='MY-REPORT-MAIN'!M:M)*('Partner data'!DG65='MY-REPORT-MAIN'!C:C),0),1),"NON è stato convalidato ancora nessun rendiconto")</f>
        <v>317</v>
      </c>
      <c r="DQ65" s="111">
        <f>IFERROR(INDEX('MY-REPORT-MAIN'!A:Z,MATCH('Partner data'!DP65,'MY-REPORT-MAIN'!A:A,0),21),"Nessun Rendiconto ancora convalidato")</f>
        <v>5076.4399999999996</v>
      </c>
      <c r="DR65" s="110">
        <f>INDEX('Interreg VI-A Italy-Slovenia_pr'!A:E,MATCH('Partner data'!C65,'Interreg VI-A Italy-Slovenia_pr'!A:A,0),3)</f>
        <v>45200</v>
      </c>
      <c r="DS65" s="118">
        <f t="shared" si="1"/>
        <v>12615</v>
      </c>
      <c r="DT65" s="118">
        <f t="shared" si="2"/>
        <v>57489.5</v>
      </c>
      <c r="DU65" s="118">
        <f t="shared" si="3"/>
        <v>89824</v>
      </c>
      <c r="DV65" s="118">
        <f t="shared" si="4"/>
        <v>142157</v>
      </c>
      <c r="DW65" s="118">
        <f t="shared" si="5"/>
        <v>142157</v>
      </c>
      <c r="DX65" s="118">
        <f t="shared" si="6"/>
        <v>142157</v>
      </c>
      <c r="DY65" s="118">
        <f t="shared" si="7"/>
        <v>142157</v>
      </c>
      <c r="DZ65" s="118">
        <f t="shared" si="8"/>
        <v>142157</v>
      </c>
      <c r="EA65" s="118">
        <f t="shared" si="9"/>
        <v>142157</v>
      </c>
      <c r="EB65" s="118">
        <f t="shared" si="10"/>
        <v>142157</v>
      </c>
    </row>
    <row r="66" spans="1:132" ht="45" x14ac:dyDescent="0.25">
      <c r="A66" s="28">
        <v>1</v>
      </c>
      <c r="B66" s="29" t="s">
        <v>487</v>
      </c>
      <c r="C66" s="30" t="s">
        <v>1551</v>
      </c>
      <c r="D66" s="30" t="s">
        <v>317</v>
      </c>
      <c r="E66" s="30" t="s">
        <v>1552</v>
      </c>
      <c r="F66" s="30" t="s">
        <v>1118</v>
      </c>
      <c r="G66" s="30" t="s">
        <v>491</v>
      </c>
      <c r="H66" s="30" t="s">
        <v>766</v>
      </c>
      <c r="I66" s="30" t="s">
        <v>767</v>
      </c>
      <c r="J66" s="31" t="s">
        <v>570</v>
      </c>
      <c r="K66" s="31" t="s">
        <v>495</v>
      </c>
      <c r="L66" s="31" t="s">
        <v>519</v>
      </c>
      <c r="M66" s="31" t="s">
        <v>318</v>
      </c>
      <c r="N66" s="31" t="s">
        <v>1601</v>
      </c>
      <c r="O66" s="31" t="s">
        <v>1602</v>
      </c>
      <c r="P66" s="31" t="s">
        <v>254</v>
      </c>
      <c r="Q66" s="31" t="s">
        <v>540</v>
      </c>
      <c r="R66" s="31" t="s">
        <v>260</v>
      </c>
      <c r="S66" s="32">
        <v>96564</v>
      </c>
      <c r="T66" s="32">
        <v>80</v>
      </c>
      <c r="U66" s="32">
        <v>16.100000000000001</v>
      </c>
      <c r="V66" s="32">
        <v>0</v>
      </c>
      <c r="W66" s="32">
        <v>0</v>
      </c>
      <c r="X66" s="32">
        <v>0</v>
      </c>
      <c r="Y66" s="32">
        <v>0</v>
      </c>
      <c r="Z66" s="32">
        <v>0</v>
      </c>
      <c r="AA66" s="32">
        <v>0</v>
      </c>
      <c r="AB66" s="32">
        <v>0</v>
      </c>
      <c r="AC66" s="32">
        <v>0</v>
      </c>
      <c r="AD66" s="32">
        <v>0</v>
      </c>
      <c r="AE66" s="32">
        <v>0</v>
      </c>
      <c r="AF66" s="32">
        <v>0</v>
      </c>
      <c r="AG66" s="32">
        <v>0</v>
      </c>
      <c r="AH66" s="32">
        <v>0</v>
      </c>
      <c r="AI66" s="32">
        <v>0</v>
      </c>
      <c r="AJ66" s="32">
        <v>0</v>
      </c>
      <c r="AK66" s="32">
        <v>0</v>
      </c>
      <c r="AL66" s="32">
        <v>0</v>
      </c>
      <c r="AM66" s="32">
        <v>0</v>
      </c>
      <c r="AN66" s="32">
        <v>0</v>
      </c>
      <c r="AO66" s="32">
        <v>24141</v>
      </c>
      <c r="AP66" s="32">
        <v>0</v>
      </c>
      <c r="AQ66" s="32">
        <v>24141</v>
      </c>
      <c r="AR66" s="32">
        <v>120705</v>
      </c>
      <c r="AS66" s="32">
        <v>16.100000000000001</v>
      </c>
      <c r="AT66" s="32">
        <v>19500</v>
      </c>
      <c r="AU66" s="32">
        <v>19500</v>
      </c>
      <c r="AV66" s="32">
        <v>0</v>
      </c>
      <c r="AW66" s="32">
        <v>0</v>
      </c>
      <c r="AX66" s="32">
        <v>2925</v>
      </c>
      <c r="AY66" s="32">
        <v>2925</v>
      </c>
      <c r="AZ66" s="32">
        <v>780</v>
      </c>
      <c r="BA66" s="32">
        <v>780</v>
      </c>
      <c r="BB66" s="32">
        <v>0</v>
      </c>
      <c r="BC66" s="32">
        <v>0</v>
      </c>
      <c r="BD66" s="32">
        <v>12500</v>
      </c>
      <c r="BE66" s="32">
        <v>12500</v>
      </c>
      <c r="BF66" s="32">
        <v>0</v>
      </c>
      <c r="BG66" s="32">
        <v>85000</v>
      </c>
      <c r="BH66" s="32">
        <v>85000</v>
      </c>
      <c r="BI66" s="32">
        <v>0</v>
      </c>
      <c r="BJ66" s="32">
        <v>0</v>
      </c>
      <c r="BK66" s="32">
        <v>0</v>
      </c>
      <c r="BL66" s="32">
        <v>0</v>
      </c>
      <c r="BM66" s="32">
        <v>0</v>
      </c>
      <c r="BN66" s="32">
        <v>0</v>
      </c>
      <c r="BO66" s="32">
        <v>0</v>
      </c>
      <c r="BP66" s="32">
        <v>0</v>
      </c>
      <c r="BQ66" s="32">
        <v>29402.5</v>
      </c>
      <c r="BR66" s="32">
        <v>30021.5</v>
      </c>
      <c r="BS66" s="32">
        <v>30021.5</v>
      </c>
      <c r="BT66" s="32">
        <v>31259.5</v>
      </c>
      <c r="BU66" s="32">
        <v>0</v>
      </c>
      <c r="BV66" s="32">
        <v>0</v>
      </c>
      <c r="BW66" s="32">
        <v>0</v>
      </c>
      <c r="BX66" s="32">
        <v>0</v>
      </c>
      <c r="BY66" s="32">
        <v>0</v>
      </c>
      <c r="BZ66" s="32">
        <v>0</v>
      </c>
      <c r="CA66" s="32">
        <v>0</v>
      </c>
      <c r="CB66" s="33" t="s">
        <v>1603</v>
      </c>
      <c r="CC66" s="33" t="s">
        <v>675</v>
      </c>
      <c r="CD66" s="33" t="s">
        <v>706</v>
      </c>
      <c r="CE66" s="33" t="s">
        <v>501</v>
      </c>
      <c r="CF66" s="33" t="s">
        <v>1604</v>
      </c>
      <c r="CG66" s="33" t="s">
        <v>1605</v>
      </c>
      <c r="CH66" s="33" t="s">
        <v>504</v>
      </c>
      <c r="CI66" s="33"/>
      <c r="CJ66" s="33" t="s">
        <v>212</v>
      </c>
      <c r="CK66" s="33"/>
      <c r="CL66" s="33" t="s">
        <v>212</v>
      </c>
      <c r="CM66" s="33" t="s">
        <v>625</v>
      </c>
      <c r="CN66" s="33" t="s">
        <v>254</v>
      </c>
      <c r="CO66" s="33" t="s">
        <v>260</v>
      </c>
      <c r="CP66" s="33" t="s">
        <v>1606</v>
      </c>
      <c r="CQ66" s="33" t="s">
        <v>1607</v>
      </c>
      <c r="CR66" s="33" t="s">
        <v>1608</v>
      </c>
      <c r="CS66" s="33" t="s">
        <v>1609</v>
      </c>
      <c r="CT66" s="33" t="s">
        <v>254</v>
      </c>
      <c r="CU66" s="33" t="s">
        <v>260</v>
      </c>
      <c r="CV66" s="33" t="s">
        <v>1610</v>
      </c>
      <c r="CW66" s="33" t="s">
        <v>1607</v>
      </c>
      <c r="CX66" s="33" t="s">
        <v>323</v>
      </c>
      <c r="CY66" s="33" t="s">
        <v>740</v>
      </c>
      <c r="CZ66" s="33" t="s">
        <v>1611</v>
      </c>
      <c r="DA66" s="33" t="s">
        <v>1612</v>
      </c>
      <c r="DB66" s="33" t="s">
        <v>740</v>
      </c>
      <c r="DC66" s="33" t="s">
        <v>1613</v>
      </c>
      <c r="DD66" s="33" t="s">
        <v>588</v>
      </c>
      <c r="DE66" s="33" t="s">
        <v>1614</v>
      </c>
      <c r="DF66" s="34" t="s">
        <v>1615</v>
      </c>
      <c r="DG66" s="27" cm="1">
        <f t="array" ref="DG66">INDEX('elenco partner'!A:M,MATCH(1,(D66='elenco partner'!A:A)*('Partner data'!M66='elenco partner'!E:E),0),4)</f>
        <v>267</v>
      </c>
      <c r="DH66" s="83" t="str">
        <f t="shared" si="26"/>
        <v>Tasso Forfettario 20%</v>
      </c>
      <c r="DI66" s="20">
        <f>COUNTIFS('MY-REPORT-MAIN'!C:C,'Partner data'!DG66,'MY-REPORT-MAIN'!I:I,"Certified")</f>
        <v>0</v>
      </c>
      <c r="DJ66" s="20">
        <f>COUNTIFS(List_Of_chek_list!M:M,"&lt;&gt;26",List_Of_chek_list!B:B,'Partner data'!DG66)</f>
        <v>0</v>
      </c>
      <c r="DK66" s="20">
        <f t="shared" si="27"/>
        <v>0</v>
      </c>
      <c r="DL66" s="19" t="e">
        <f>IF(DH66="Tasso Forfettario 20%",SUMIFS(List_Of_chek_list!#REF!,List_Of_chek_list!B:B,'Partner data'!DG66),"NON PERTINENTE")</f>
        <v>#REF!</v>
      </c>
      <c r="DM66" s="19" t="e">
        <f t="shared" si="28"/>
        <v>#REF!</v>
      </c>
      <c r="DN66" s="110">
        <f>_xlfn.MAXIFS('MY-REPORT-MAIN'!K:K,'MY-REPORT-MAIN'!C:C,DG66)</f>
        <v>45537</v>
      </c>
      <c r="DO66" s="112" t="str">
        <f>IF(_xlfn.MAXIFS('MY-REPORT-MAIN'!M:M,'MY-REPORT-MAIN'!C:C,DG66)=0,"Nessun rendiconto  Convalidato",_xlfn.MAXIFS('MY-REPORT-MAIN'!M:M,'MY-REPORT-MAIN'!C:C,DG66))</f>
        <v>Nessun rendiconto  Convalidato</v>
      </c>
      <c r="DP66" s="113" t="str" cm="1">
        <f t="array" ref="DP66">IFERROR(INDEX('MY-REPORT-MAIN'!A:Z,MATCH(1,(DO66='MY-REPORT-MAIN'!M:M)*('Partner data'!DG66='MY-REPORT-MAIN'!C:C),0),1),"NON è stato convalidato ancora nessun rendiconto")</f>
        <v>NON è stato convalidato ancora nessun rendiconto</v>
      </c>
      <c r="DQ66" s="111" t="str">
        <f>IFERROR(INDEX('MY-REPORT-MAIN'!A:Z,MATCH('Partner data'!DP66,'MY-REPORT-MAIN'!A:A,0),21),"Nessun Rendiconto ancora convalidato")</f>
        <v>Nessun Rendiconto ancora convalidato</v>
      </c>
      <c r="DR66" s="110">
        <f>INDEX('Interreg VI-A Italy-Slovenia_pr'!A:E,MATCH('Partner data'!C66,'Interreg VI-A Italy-Slovenia_pr'!A:A,0),3)</f>
        <v>45200</v>
      </c>
      <c r="DS66" s="118">
        <f t="shared" si="1"/>
        <v>29402.5</v>
      </c>
      <c r="DT66" s="118">
        <f t="shared" si="2"/>
        <v>59424</v>
      </c>
      <c r="DU66" s="118">
        <f t="shared" si="3"/>
        <v>89445.5</v>
      </c>
      <c r="DV66" s="118">
        <f t="shared" si="4"/>
        <v>120705</v>
      </c>
      <c r="DW66" s="118">
        <f t="shared" si="5"/>
        <v>120705</v>
      </c>
      <c r="DX66" s="118">
        <f t="shared" si="6"/>
        <v>120705</v>
      </c>
      <c r="DY66" s="118">
        <f t="shared" si="7"/>
        <v>120705</v>
      </c>
      <c r="DZ66" s="118">
        <f t="shared" si="8"/>
        <v>120705</v>
      </c>
      <c r="EA66" s="118">
        <f t="shared" si="9"/>
        <v>120705</v>
      </c>
      <c r="EB66" s="118">
        <f t="shared" si="10"/>
        <v>120705</v>
      </c>
    </row>
    <row r="67" spans="1:132" x14ac:dyDescent="0.25">
      <c r="A67" s="28">
        <v>1</v>
      </c>
      <c r="B67" s="29" t="s">
        <v>487</v>
      </c>
      <c r="C67" s="30" t="s">
        <v>1551</v>
      </c>
      <c r="D67" s="30" t="s">
        <v>317</v>
      </c>
      <c r="E67" s="30" t="s">
        <v>1552</v>
      </c>
      <c r="F67" s="30" t="s">
        <v>1118</v>
      </c>
      <c r="G67" s="30" t="s">
        <v>491</v>
      </c>
      <c r="H67" s="30" t="s">
        <v>766</v>
      </c>
      <c r="I67" s="30" t="s">
        <v>767</v>
      </c>
      <c r="J67" s="31" t="s">
        <v>581</v>
      </c>
      <c r="K67" s="31" t="s">
        <v>495</v>
      </c>
      <c r="L67" s="31" t="s">
        <v>519</v>
      </c>
      <c r="M67" s="31" t="s">
        <v>322</v>
      </c>
      <c r="N67" s="31" t="s">
        <v>1616</v>
      </c>
      <c r="O67" s="31" t="s">
        <v>1616</v>
      </c>
      <c r="P67" s="31" t="s">
        <v>254</v>
      </c>
      <c r="Q67" s="31" t="s">
        <v>499</v>
      </c>
      <c r="R67" s="31" t="s">
        <v>273</v>
      </c>
      <c r="S67" s="32">
        <v>80320</v>
      </c>
      <c r="T67" s="32">
        <v>80</v>
      </c>
      <c r="U67" s="32">
        <v>13.39</v>
      </c>
      <c r="V67" s="32">
        <v>0</v>
      </c>
      <c r="W67" s="32">
        <v>0</v>
      </c>
      <c r="X67" s="32">
        <v>0</v>
      </c>
      <c r="Y67" s="32">
        <v>0</v>
      </c>
      <c r="Z67" s="32">
        <v>0</v>
      </c>
      <c r="AA67" s="32">
        <v>0</v>
      </c>
      <c r="AB67" s="32">
        <v>0</v>
      </c>
      <c r="AC67" s="32">
        <v>0</v>
      </c>
      <c r="AD67" s="32">
        <v>0</v>
      </c>
      <c r="AE67" s="32">
        <v>0</v>
      </c>
      <c r="AF67" s="32">
        <v>0</v>
      </c>
      <c r="AG67" s="32">
        <v>0</v>
      </c>
      <c r="AH67" s="32">
        <v>0</v>
      </c>
      <c r="AI67" s="32">
        <v>0</v>
      </c>
      <c r="AJ67" s="32">
        <v>0</v>
      </c>
      <c r="AK67" s="32">
        <v>0</v>
      </c>
      <c r="AL67" s="32">
        <v>0</v>
      </c>
      <c r="AM67" s="32">
        <v>0</v>
      </c>
      <c r="AN67" s="32">
        <v>0</v>
      </c>
      <c r="AO67" s="32">
        <v>20080</v>
      </c>
      <c r="AP67" s="32">
        <v>0</v>
      </c>
      <c r="AQ67" s="32">
        <v>20080</v>
      </c>
      <c r="AR67" s="32">
        <v>100400</v>
      </c>
      <c r="AS67" s="32">
        <v>13.39</v>
      </c>
      <c r="AT67" s="32">
        <v>40000</v>
      </c>
      <c r="AU67" s="32">
        <v>0</v>
      </c>
      <c r="AV67" s="32">
        <v>0</v>
      </c>
      <c r="AW67" s="32">
        <v>40000</v>
      </c>
      <c r="AX67" s="32">
        <v>6000</v>
      </c>
      <c r="AY67" s="32">
        <v>6000</v>
      </c>
      <c r="AZ67" s="32">
        <v>1600</v>
      </c>
      <c r="BA67" s="32">
        <v>1600</v>
      </c>
      <c r="BB67" s="32">
        <v>0</v>
      </c>
      <c r="BC67" s="32">
        <v>0</v>
      </c>
      <c r="BD67" s="32">
        <v>52800</v>
      </c>
      <c r="BE67" s="32">
        <v>52800</v>
      </c>
      <c r="BF67" s="32">
        <v>0</v>
      </c>
      <c r="BG67" s="32">
        <v>0</v>
      </c>
      <c r="BH67" s="32">
        <v>0</v>
      </c>
      <c r="BI67" s="32">
        <v>0</v>
      </c>
      <c r="BJ67" s="32">
        <v>0</v>
      </c>
      <c r="BK67" s="32">
        <v>0</v>
      </c>
      <c r="BL67" s="32">
        <v>0</v>
      </c>
      <c r="BM67" s="32">
        <v>0</v>
      </c>
      <c r="BN67" s="32">
        <v>0</v>
      </c>
      <c r="BO67" s="32">
        <v>0</v>
      </c>
      <c r="BP67" s="32">
        <v>0</v>
      </c>
      <c r="BQ67" s="32">
        <v>4771.8999999999996</v>
      </c>
      <c r="BR67" s="32">
        <v>13711.18</v>
      </c>
      <c r="BS67" s="32">
        <v>13851.6</v>
      </c>
      <c r="BT67" s="32">
        <v>68065.320000000007</v>
      </c>
      <c r="BU67" s="32">
        <v>0</v>
      </c>
      <c r="BV67" s="32">
        <v>0</v>
      </c>
      <c r="BW67" s="32">
        <v>0</v>
      </c>
      <c r="BX67" s="32">
        <v>0</v>
      </c>
      <c r="BY67" s="32">
        <v>0</v>
      </c>
      <c r="BZ67" s="32">
        <v>0</v>
      </c>
      <c r="CA67" s="32">
        <v>0</v>
      </c>
      <c r="CB67" s="33" t="s">
        <v>212</v>
      </c>
      <c r="CC67" s="33" t="s">
        <v>500</v>
      </c>
      <c r="CD67" s="33" t="s">
        <v>706</v>
      </c>
      <c r="CE67" s="33" t="s">
        <v>684</v>
      </c>
      <c r="CF67" s="33" t="s">
        <v>1617</v>
      </c>
      <c r="CG67" s="33" t="s">
        <v>1618</v>
      </c>
      <c r="CH67" s="33" t="s">
        <v>526</v>
      </c>
      <c r="CI67" s="33"/>
      <c r="CJ67" s="33" t="s">
        <v>212</v>
      </c>
      <c r="CK67" s="33"/>
      <c r="CL67" s="33" t="s">
        <v>212</v>
      </c>
      <c r="CM67" s="33" t="s">
        <v>625</v>
      </c>
      <c r="CN67" s="33" t="s">
        <v>254</v>
      </c>
      <c r="CO67" s="33" t="s">
        <v>273</v>
      </c>
      <c r="CP67" s="33" t="s">
        <v>1619</v>
      </c>
      <c r="CQ67" s="33" t="s">
        <v>936</v>
      </c>
      <c r="CR67" s="33" t="s">
        <v>1620</v>
      </c>
      <c r="CS67" s="33" t="s">
        <v>937</v>
      </c>
      <c r="CT67" s="33"/>
      <c r="CU67" s="33"/>
      <c r="CV67" s="33"/>
      <c r="CW67" s="33"/>
      <c r="CX67" s="33"/>
      <c r="CY67" s="33" t="s">
        <v>740</v>
      </c>
      <c r="CZ67" s="33" t="s">
        <v>938</v>
      </c>
      <c r="DA67" s="33" t="s">
        <v>939</v>
      </c>
      <c r="DB67" s="33" t="s">
        <v>745</v>
      </c>
      <c r="DC67" s="33" t="s">
        <v>940</v>
      </c>
      <c r="DD67" s="33" t="s">
        <v>941</v>
      </c>
      <c r="DE67" s="33" t="s">
        <v>942</v>
      </c>
      <c r="DF67" s="34" t="s">
        <v>1621</v>
      </c>
      <c r="DG67" s="27" cm="1">
        <f t="array" ref="DG67">INDEX('elenco partner'!A:M,MATCH(1,(D67='elenco partner'!A:A)*('Partner data'!M67='elenco partner'!E:E),0),4)</f>
        <v>285</v>
      </c>
      <c r="DH67" s="83" t="str">
        <f t="shared" si="26"/>
        <v>Costo Unitario Standard</v>
      </c>
      <c r="DI67" s="20">
        <f>COUNTIFS('MY-REPORT-MAIN'!C:C,'Partner data'!DG67,'MY-REPORT-MAIN'!I:I,"Certified")</f>
        <v>1</v>
      </c>
      <c r="DJ67" s="20">
        <f>COUNTIFS(List_Of_chek_list!M:M,"&lt;&gt;26",List_Of_chek_list!B:B,'Partner data'!DG67)</f>
        <v>1</v>
      </c>
      <c r="DK67" s="20">
        <f t="shared" si="27"/>
        <v>0</v>
      </c>
      <c r="DL67" s="19" t="str">
        <f>IF(DH67="Tasso Forfettario 20%",SUMIFS(List_Of_chek_list!#REF!,List_Of_chek_list!B:B,'Partner data'!DG67),"NON PERTINENTE")</f>
        <v>NON PERTINENTE</v>
      </c>
      <c r="DM67" s="19" t="str">
        <f t="shared" si="28"/>
        <v>NON PERTINENTE</v>
      </c>
      <c r="DN67" s="110">
        <f>_xlfn.MAXIFS('MY-REPORT-MAIN'!K:K,'MY-REPORT-MAIN'!C:C,DG67)</f>
        <v>45537</v>
      </c>
      <c r="DO67" s="112">
        <f>IF(_xlfn.MAXIFS('MY-REPORT-MAIN'!M:M,'MY-REPORT-MAIN'!C:C,DG67)=0,"Nessun rendiconto  Convalidato",_xlfn.MAXIFS('MY-REPORT-MAIN'!M:M,'MY-REPORT-MAIN'!C:C,DG67))</f>
        <v>45428.764298495371</v>
      </c>
      <c r="DP67" s="113" cm="1">
        <f t="array" ref="DP67">IFERROR(INDEX('MY-REPORT-MAIN'!A:Z,MATCH(1,(DO67='MY-REPORT-MAIN'!M:M)*('Partner data'!DG67='MY-REPORT-MAIN'!C:C),0),1),"NON è stato convalidato ancora nessun rendiconto")</f>
        <v>316</v>
      </c>
      <c r="DQ67" s="111">
        <f>IFERROR(INDEX('MY-REPORT-MAIN'!A:Z,MATCH('Partner data'!DP67,'MY-REPORT-MAIN'!A:A,0),21),"Nessun Rendiconto ancora convalidato")</f>
        <v>4771.8999999999996</v>
      </c>
      <c r="DR67" s="110">
        <f>INDEX('Interreg VI-A Italy-Slovenia_pr'!A:E,MATCH('Partner data'!C67,'Interreg VI-A Italy-Slovenia_pr'!A:A,0),3)</f>
        <v>45200</v>
      </c>
      <c r="DS67" s="118">
        <f t="shared" ref="DS67:DS130" si="29">BP67+BQ67</f>
        <v>4771.8999999999996</v>
      </c>
      <c r="DT67" s="118">
        <f t="shared" ref="DT67:DT130" si="30">DS67+BR67</f>
        <v>18483.080000000002</v>
      </c>
      <c r="DU67" s="118">
        <f t="shared" ref="DU67:DU130" si="31">DT67+BS67</f>
        <v>32334.68</v>
      </c>
      <c r="DV67" s="118">
        <f t="shared" ref="DV67:DV130" si="32">DU67+BT67</f>
        <v>100400</v>
      </c>
      <c r="DW67" s="118">
        <f t="shared" ref="DW67:DW130" si="33">DV67+BU67</f>
        <v>100400</v>
      </c>
      <c r="DX67" s="118">
        <f t="shared" ref="DX67:DX130" si="34">DW67+BV67</f>
        <v>100400</v>
      </c>
      <c r="DY67" s="118">
        <f t="shared" ref="DY67:DY130" si="35">DX67+BW67</f>
        <v>100400</v>
      </c>
      <c r="DZ67" s="118">
        <f t="shared" ref="DZ67:DZ130" si="36">DY67+BX67</f>
        <v>100400</v>
      </c>
      <c r="EA67" s="118">
        <f t="shared" ref="EA67:EA130" si="37">DZ67+BY67</f>
        <v>100400</v>
      </c>
      <c r="EB67" s="118">
        <f t="shared" ref="EB67:EB130" si="38">EA67+BZ67</f>
        <v>100400</v>
      </c>
    </row>
    <row r="68" spans="1:132" x14ac:dyDescent="0.25">
      <c r="A68" s="28">
        <v>1</v>
      </c>
      <c r="B68" s="29" t="s">
        <v>487</v>
      </c>
      <c r="C68" s="30" t="s">
        <v>1622</v>
      </c>
      <c r="D68" s="30" t="s">
        <v>67</v>
      </c>
      <c r="E68" s="30" t="s">
        <v>1623</v>
      </c>
      <c r="F68" s="30" t="s">
        <v>1118</v>
      </c>
      <c r="G68" s="30" t="s">
        <v>491</v>
      </c>
      <c r="H68" s="30" t="s">
        <v>691</v>
      </c>
      <c r="I68" s="30" t="s">
        <v>1044</v>
      </c>
      <c r="J68" s="31" t="s">
        <v>494</v>
      </c>
      <c r="K68" s="31" t="s">
        <v>495</v>
      </c>
      <c r="L68" s="31" t="s">
        <v>496</v>
      </c>
      <c r="M68" s="31" t="s">
        <v>325</v>
      </c>
      <c r="N68" s="31" t="s">
        <v>1624</v>
      </c>
      <c r="O68" s="31" t="s">
        <v>1625</v>
      </c>
      <c r="P68" s="31" t="s">
        <v>254</v>
      </c>
      <c r="Q68" s="31" t="s">
        <v>499</v>
      </c>
      <c r="R68" s="31" t="s">
        <v>255</v>
      </c>
      <c r="S68" s="32">
        <v>102122.24000000001</v>
      </c>
      <c r="T68" s="32">
        <v>80</v>
      </c>
      <c r="U68" s="32">
        <v>21.49</v>
      </c>
      <c r="V68" s="32">
        <v>0</v>
      </c>
      <c r="W68" s="32">
        <v>0</v>
      </c>
      <c r="X68" s="32">
        <v>0</v>
      </c>
      <c r="Y68" s="32">
        <v>0</v>
      </c>
      <c r="Z68" s="32">
        <v>0</v>
      </c>
      <c r="AA68" s="32">
        <v>0</v>
      </c>
      <c r="AB68" s="32">
        <v>0</v>
      </c>
      <c r="AC68" s="32">
        <v>0</v>
      </c>
      <c r="AD68" s="32">
        <v>0</v>
      </c>
      <c r="AE68" s="32">
        <v>0</v>
      </c>
      <c r="AF68" s="32">
        <v>0</v>
      </c>
      <c r="AG68" s="32">
        <v>0</v>
      </c>
      <c r="AH68" s="32">
        <v>0</v>
      </c>
      <c r="AI68" s="32">
        <v>0</v>
      </c>
      <c r="AJ68" s="32">
        <v>0</v>
      </c>
      <c r="AK68" s="32">
        <v>0</v>
      </c>
      <c r="AL68" s="32">
        <v>0</v>
      </c>
      <c r="AM68" s="32">
        <v>0</v>
      </c>
      <c r="AN68" s="32">
        <v>0</v>
      </c>
      <c r="AO68" s="32">
        <v>25530.560000000001</v>
      </c>
      <c r="AP68" s="32">
        <v>0</v>
      </c>
      <c r="AQ68" s="32">
        <v>25530.560000000001</v>
      </c>
      <c r="AR68" s="32">
        <v>127652.8</v>
      </c>
      <c r="AS68" s="32">
        <v>21.49</v>
      </c>
      <c r="AT68" s="32">
        <v>84752</v>
      </c>
      <c r="AU68" s="32">
        <v>0</v>
      </c>
      <c r="AV68" s="32">
        <v>0</v>
      </c>
      <c r="AW68" s="32">
        <v>84752</v>
      </c>
      <c r="AX68" s="32">
        <v>0</v>
      </c>
      <c r="AY68" s="32">
        <v>0</v>
      </c>
      <c r="AZ68" s="32">
        <v>0</v>
      </c>
      <c r="BA68" s="32">
        <v>0</v>
      </c>
      <c r="BB68" s="32">
        <v>0</v>
      </c>
      <c r="BC68" s="32">
        <v>0</v>
      </c>
      <c r="BD68" s="32">
        <v>0</v>
      </c>
      <c r="BE68" s="32">
        <v>0</v>
      </c>
      <c r="BF68" s="32">
        <v>0</v>
      </c>
      <c r="BG68" s="32">
        <v>0</v>
      </c>
      <c r="BH68" s="32">
        <v>0</v>
      </c>
      <c r="BI68" s="32">
        <v>0</v>
      </c>
      <c r="BJ68" s="32">
        <v>0</v>
      </c>
      <c r="BK68" s="32">
        <v>0</v>
      </c>
      <c r="BL68" s="32">
        <v>0</v>
      </c>
      <c r="BM68" s="32">
        <v>33900.800000000003</v>
      </c>
      <c r="BN68" s="32">
        <v>0</v>
      </c>
      <c r="BO68" s="32">
        <v>9000</v>
      </c>
      <c r="BP68" s="32">
        <v>9000</v>
      </c>
      <c r="BQ68" s="32">
        <v>24276</v>
      </c>
      <c r="BR68" s="32">
        <v>30100</v>
      </c>
      <c r="BS68" s="32">
        <v>31978.799999999999</v>
      </c>
      <c r="BT68" s="32">
        <v>32298</v>
      </c>
      <c r="BU68" s="32">
        <v>0</v>
      </c>
      <c r="BV68" s="32">
        <v>0</v>
      </c>
      <c r="BW68" s="32">
        <v>0</v>
      </c>
      <c r="BX68" s="32">
        <v>0</v>
      </c>
      <c r="BY68" s="32">
        <v>0</v>
      </c>
      <c r="BZ68" s="32">
        <v>0</v>
      </c>
      <c r="CA68" s="32">
        <v>0</v>
      </c>
      <c r="CB68" s="33" t="s">
        <v>212</v>
      </c>
      <c r="CC68" s="33" t="s">
        <v>624</v>
      </c>
      <c r="CD68" s="33"/>
      <c r="CE68" s="33" t="s">
        <v>523</v>
      </c>
      <c r="CF68" s="33" t="s">
        <v>707</v>
      </c>
      <c r="CG68" s="33" t="s">
        <v>1626</v>
      </c>
      <c r="CH68" s="33" t="s">
        <v>504</v>
      </c>
      <c r="CI68" s="33" t="s">
        <v>212</v>
      </c>
      <c r="CJ68" s="33" t="s">
        <v>212</v>
      </c>
      <c r="CK68" s="33" t="s">
        <v>1627</v>
      </c>
      <c r="CL68" s="33" t="s">
        <v>212</v>
      </c>
      <c r="CM68" s="33"/>
      <c r="CN68" s="33" t="s">
        <v>254</v>
      </c>
      <c r="CO68" s="33" t="s">
        <v>255</v>
      </c>
      <c r="CP68" s="33" t="s">
        <v>1628</v>
      </c>
      <c r="CQ68" s="33" t="s">
        <v>1629</v>
      </c>
      <c r="CR68" s="33" t="s">
        <v>1630</v>
      </c>
      <c r="CS68" s="33" t="s">
        <v>1631</v>
      </c>
      <c r="CT68" s="33"/>
      <c r="CU68" s="33"/>
      <c r="CV68" s="33"/>
      <c r="CW68" s="33"/>
      <c r="CX68" s="33"/>
      <c r="CY68" s="33" t="s">
        <v>628</v>
      </c>
      <c r="CZ68" s="33" t="s">
        <v>1632</v>
      </c>
      <c r="DA68" s="33" t="s">
        <v>1633</v>
      </c>
      <c r="DB68" s="33" t="s">
        <v>510</v>
      </c>
      <c r="DC68" s="33" t="s">
        <v>1634</v>
      </c>
      <c r="DD68" s="33" t="s">
        <v>1635</v>
      </c>
      <c r="DE68" s="33" t="s">
        <v>1636</v>
      </c>
      <c r="DF68" s="34" t="s">
        <v>1637</v>
      </c>
      <c r="DG68" s="27" cm="1">
        <f t="array" ref="DG68">INDEX('elenco partner'!A:M,MATCH(1,(D68='elenco partner'!A:A)*('Partner data'!M68='elenco partner'!E:E),0),4)</f>
        <v>162</v>
      </c>
      <c r="DH68" s="83" t="str">
        <f t="shared" si="26"/>
        <v>Costo Unitario Standard</v>
      </c>
      <c r="DI68" s="20">
        <f>COUNTIFS('MY-REPORT-MAIN'!C:C,'Partner data'!DG68,'MY-REPORT-MAIN'!I:I,"Certified")</f>
        <v>1</v>
      </c>
      <c r="DJ68" s="20">
        <f>COUNTIFS(List_Of_chek_list!M:M,"&lt;&gt;26",List_Of_chek_list!B:B,'Partner data'!DG68)</f>
        <v>1</v>
      </c>
      <c r="DK68" s="20">
        <f t="shared" si="27"/>
        <v>0</v>
      </c>
      <c r="DL68" s="19" t="str">
        <f>IF(DH68="Tasso Forfettario 20%",SUMIFS(List_Of_chek_list!#REF!,List_Of_chek_list!B:B,'Partner data'!DG68),"NON PERTINENTE")</f>
        <v>NON PERTINENTE</v>
      </c>
      <c r="DM68" s="19" t="str">
        <f t="shared" si="28"/>
        <v>NON PERTINENTE</v>
      </c>
      <c r="DN68" s="110">
        <f>_xlfn.MAXIFS('MY-REPORT-MAIN'!K:K,'MY-REPORT-MAIN'!C:C,DG68)</f>
        <v>45378.494157256944</v>
      </c>
      <c r="DO68" s="112">
        <f>IF(_xlfn.MAXIFS('MY-REPORT-MAIN'!M:M,'MY-REPORT-MAIN'!C:C,DG68)=0,"Nessun rendiconto  Convalidato",_xlfn.MAXIFS('MY-REPORT-MAIN'!M:M,'MY-REPORT-MAIN'!C:C,DG68))</f>
        <v>45454.407192766201</v>
      </c>
      <c r="DP68" s="113" cm="1">
        <f t="array" ref="DP68">IFERROR(INDEX('MY-REPORT-MAIN'!A:Z,MATCH(1,(DO68='MY-REPORT-MAIN'!M:M)*('Partner data'!DG68='MY-REPORT-MAIN'!C:C),0),1),"NON è stato convalidato ancora nessun rendiconto")</f>
        <v>115</v>
      </c>
      <c r="DQ68" s="111">
        <f>IFERROR(INDEX('MY-REPORT-MAIN'!A:Z,MATCH('Partner data'!DP68,'MY-REPORT-MAIN'!A:A,0),21),"Nessun Rendiconto ancora convalidato")</f>
        <v>38862</v>
      </c>
      <c r="DR68" s="110">
        <f>INDEX('Interreg VI-A Italy-Slovenia_pr'!A:E,MATCH('Partner data'!C68,'Interreg VI-A Italy-Slovenia_pr'!A:A,0),3)</f>
        <v>45170</v>
      </c>
      <c r="DS68" s="118">
        <f t="shared" si="29"/>
        <v>33276</v>
      </c>
      <c r="DT68" s="118">
        <f t="shared" si="30"/>
        <v>63376</v>
      </c>
      <c r="DU68" s="118">
        <f t="shared" si="31"/>
        <v>95354.8</v>
      </c>
      <c r="DV68" s="118">
        <f t="shared" si="32"/>
        <v>127652.8</v>
      </c>
      <c r="DW68" s="118">
        <f t="shared" si="33"/>
        <v>127652.8</v>
      </c>
      <c r="DX68" s="118">
        <f t="shared" si="34"/>
        <v>127652.8</v>
      </c>
      <c r="DY68" s="118">
        <f t="shared" si="35"/>
        <v>127652.8</v>
      </c>
      <c r="DZ68" s="118">
        <f t="shared" si="36"/>
        <v>127652.8</v>
      </c>
      <c r="EA68" s="118">
        <f t="shared" si="37"/>
        <v>127652.8</v>
      </c>
      <c r="EB68" s="118">
        <f t="shared" si="38"/>
        <v>127652.8</v>
      </c>
    </row>
    <row r="69" spans="1:132" x14ac:dyDescent="0.25">
      <c r="A69" s="28">
        <v>1</v>
      </c>
      <c r="B69" s="29" t="s">
        <v>487</v>
      </c>
      <c r="C69" s="30" t="s">
        <v>1622</v>
      </c>
      <c r="D69" s="30" t="s">
        <v>67</v>
      </c>
      <c r="E69" s="30" t="s">
        <v>1623</v>
      </c>
      <c r="F69" s="30" t="s">
        <v>1118</v>
      </c>
      <c r="G69" s="30" t="s">
        <v>491</v>
      </c>
      <c r="H69" s="30" t="s">
        <v>691</v>
      </c>
      <c r="I69" s="30" t="s">
        <v>1044</v>
      </c>
      <c r="J69" s="31" t="s">
        <v>518</v>
      </c>
      <c r="K69" s="31" t="s">
        <v>495</v>
      </c>
      <c r="L69" s="31" t="s">
        <v>519</v>
      </c>
      <c r="M69" s="31" t="s">
        <v>326</v>
      </c>
      <c r="N69" s="31" t="s">
        <v>1638</v>
      </c>
      <c r="O69" s="31" t="s">
        <v>1638</v>
      </c>
      <c r="P69" s="31" t="s">
        <v>254</v>
      </c>
      <c r="Q69" s="31" t="s">
        <v>499</v>
      </c>
      <c r="R69" s="31" t="s">
        <v>255</v>
      </c>
      <c r="S69" s="32">
        <v>77212.800000000003</v>
      </c>
      <c r="T69" s="32">
        <v>80</v>
      </c>
      <c r="U69" s="32">
        <v>16.25</v>
      </c>
      <c r="V69" s="32">
        <v>0</v>
      </c>
      <c r="W69" s="32">
        <v>0</v>
      </c>
      <c r="X69" s="32">
        <v>0</v>
      </c>
      <c r="Y69" s="32">
        <v>0</v>
      </c>
      <c r="Z69" s="32">
        <v>0</v>
      </c>
      <c r="AA69" s="32">
        <v>0</v>
      </c>
      <c r="AB69" s="32">
        <v>0</v>
      </c>
      <c r="AC69" s="32">
        <v>0</v>
      </c>
      <c r="AD69" s="32">
        <v>0</v>
      </c>
      <c r="AE69" s="32">
        <v>0</v>
      </c>
      <c r="AF69" s="32">
        <v>0</v>
      </c>
      <c r="AG69" s="32">
        <v>0</v>
      </c>
      <c r="AH69" s="32">
        <v>0</v>
      </c>
      <c r="AI69" s="32">
        <v>0</v>
      </c>
      <c r="AJ69" s="32">
        <v>0</v>
      </c>
      <c r="AK69" s="32">
        <v>0</v>
      </c>
      <c r="AL69" s="32">
        <v>0</v>
      </c>
      <c r="AM69" s="32">
        <v>0</v>
      </c>
      <c r="AN69" s="32">
        <v>0</v>
      </c>
      <c r="AO69" s="32">
        <v>0</v>
      </c>
      <c r="AP69" s="32">
        <v>19303.2</v>
      </c>
      <c r="AQ69" s="32">
        <v>19303.2</v>
      </c>
      <c r="AR69" s="32">
        <v>96516</v>
      </c>
      <c r="AS69" s="32">
        <v>16.25</v>
      </c>
      <c r="AT69" s="32">
        <v>68940</v>
      </c>
      <c r="AU69" s="32">
        <v>0</v>
      </c>
      <c r="AV69" s="32">
        <v>0</v>
      </c>
      <c r="AW69" s="32">
        <v>68940</v>
      </c>
      <c r="AX69" s="32">
        <v>0</v>
      </c>
      <c r="AY69" s="32">
        <v>0</v>
      </c>
      <c r="AZ69" s="32">
        <v>0</v>
      </c>
      <c r="BA69" s="32">
        <v>0</v>
      </c>
      <c r="BB69" s="32">
        <v>0</v>
      </c>
      <c r="BC69" s="32">
        <v>0</v>
      </c>
      <c r="BD69" s="32">
        <v>0</v>
      </c>
      <c r="BE69" s="32">
        <v>0</v>
      </c>
      <c r="BF69" s="32">
        <v>0</v>
      </c>
      <c r="BG69" s="32">
        <v>0</v>
      </c>
      <c r="BH69" s="32">
        <v>0</v>
      </c>
      <c r="BI69" s="32">
        <v>0</v>
      </c>
      <c r="BJ69" s="32">
        <v>0</v>
      </c>
      <c r="BK69" s="32">
        <v>0</v>
      </c>
      <c r="BL69" s="32">
        <v>0</v>
      </c>
      <c r="BM69" s="32">
        <v>27576</v>
      </c>
      <c r="BN69" s="32">
        <v>0</v>
      </c>
      <c r="BO69" s="32">
        <v>0</v>
      </c>
      <c r="BP69" s="32">
        <v>0</v>
      </c>
      <c r="BQ69" s="32">
        <v>24129</v>
      </c>
      <c r="BR69" s="32">
        <v>24129</v>
      </c>
      <c r="BS69" s="32">
        <v>24129</v>
      </c>
      <c r="BT69" s="32">
        <v>24129</v>
      </c>
      <c r="BU69" s="32">
        <v>0</v>
      </c>
      <c r="BV69" s="32">
        <v>0</v>
      </c>
      <c r="BW69" s="32">
        <v>0</v>
      </c>
      <c r="BX69" s="32">
        <v>0</v>
      </c>
      <c r="BY69" s="32">
        <v>0</v>
      </c>
      <c r="BZ69" s="32">
        <v>0</v>
      </c>
      <c r="CA69" s="32">
        <v>0</v>
      </c>
      <c r="CB69" s="33" t="s">
        <v>212</v>
      </c>
      <c r="CC69" s="33" t="s">
        <v>675</v>
      </c>
      <c r="CD69" s="33" t="s">
        <v>706</v>
      </c>
      <c r="CE69" s="33" t="s">
        <v>501</v>
      </c>
      <c r="CF69" s="33" t="s">
        <v>1413</v>
      </c>
      <c r="CG69" s="33" t="s">
        <v>1414</v>
      </c>
      <c r="CH69" s="33" t="s">
        <v>619</v>
      </c>
      <c r="CI69" s="33"/>
      <c r="CJ69" s="33" t="s">
        <v>212</v>
      </c>
      <c r="CK69" s="33" t="s">
        <v>1415</v>
      </c>
      <c r="CL69" s="33" t="s">
        <v>212</v>
      </c>
      <c r="CM69" s="33" t="s">
        <v>625</v>
      </c>
      <c r="CN69" s="33" t="s">
        <v>254</v>
      </c>
      <c r="CO69" s="33" t="s">
        <v>255</v>
      </c>
      <c r="CP69" s="33" t="s">
        <v>1639</v>
      </c>
      <c r="CQ69" s="33" t="s">
        <v>1342</v>
      </c>
      <c r="CR69" s="33" t="s">
        <v>529</v>
      </c>
      <c r="CS69" s="33" t="s">
        <v>1640</v>
      </c>
      <c r="CT69" s="33"/>
      <c r="CU69" s="33"/>
      <c r="CV69" s="33"/>
      <c r="CW69" s="33"/>
      <c r="CX69" s="33"/>
      <c r="CY69" s="33" t="s">
        <v>1641</v>
      </c>
      <c r="CZ69" s="33" t="s">
        <v>1642</v>
      </c>
      <c r="DA69" s="33" t="s">
        <v>1643</v>
      </c>
      <c r="DB69" s="33" t="s">
        <v>531</v>
      </c>
      <c r="DC69" s="33" t="s">
        <v>1644</v>
      </c>
      <c r="DD69" s="33" t="s">
        <v>1422</v>
      </c>
      <c r="DE69" s="33" t="s">
        <v>1423</v>
      </c>
      <c r="DF69" s="34" t="s">
        <v>1645</v>
      </c>
      <c r="DG69" s="27" cm="1">
        <f t="array" ref="DG69">INDEX('elenco partner'!A:M,MATCH(1,(D69='elenco partner'!A:A)*('Partner data'!M69='elenco partner'!E:E),0),4)</f>
        <v>164</v>
      </c>
      <c r="DH69" s="83" t="str">
        <f t="shared" si="26"/>
        <v>Costo Unitario Standard</v>
      </c>
      <c r="DI69" s="20">
        <f>COUNTIFS('MY-REPORT-MAIN'!C:C,'Partner data'!DG69,'MY-REPORT-MAIN'!I:I,"Certified")</f>
        <v>1</v>
      </c>
      <c r="DJ69" s="20">
        <f>COUNTIFS(List_Of_chek_list!M:M,"&lt;&gt;26",List_Of_chek_list!B:B,'Partner data'!DG69)</f>
        <v>1</v>
      </c>
      <c r="DK69" s="20">
        <f t="shared" si="27"/>
        <v>0</v>
      </c>
      <c r="DL69" s="19" t="str">
        <f>IF(DH69="Tasso Forfettario 20%",SUMIFS(List_Of_chek_list!#REF!,List_Of_chek_list!B:B,'Partner data'!DG69),"NON PERTINENTE")</f>
        <v>NON PERTINENTE</v>
      </c>
      <c r="DM69" s="19" t="str">
        <f t="shared" si="28"/>
        <v>NON PERTINENTE</v>
      </c>
      <c r="DN69" s="110">
        <f>_xlfn.MAXIFS('MY-REPORT-MAIN'!K:K,'MY-REPORT-MAIN'!C:C,DG69)</f>
        <v>45377.634825462963</v>
      </c>
      <c r="DO69" s="112">
        <f>IF(_xlfn.MAXIFS('MY-REPORT-MAIN'!M:M,'MY-REPORT-MAIN'!C:C,DG69)=0,"Nessun rendiconto  Convalidato",_xlfn.MAXIFS('MY-REPORT-MAIN'!M:M,'MY-REPORT-MAIN'!C:C,DG69))</f>
        <v>45440.666155057872</v>
      </c>
      <c r="DP69" s="113" cm="1">
        <f t="array" ref="DP69">IFERROR(INDEX('MY-REPORT-MAIN'!A:Z,MATCH(1,(DO69='MY-REPORT-MAIN'!M:M)*('Partner data'!DG69='MY-REPORT-MAIN'!C:C),0),1),"NON è stato convalidato ancora nessun rendiconto")</f>
        <v>116</v>
      </c>
      <c r="DQ69" s="111">
        <f>IFERROR(INDEX('MY-REPORT-MAIN'!A:Z,MATCH('Partner data'!DP69,'MY-REPORT-MAIN'!A:A,0),21),"Nessun Rendiconto ancora convalidato")</f>
        <v>23478</v>
      </c>
      <c r="DR69" s="110">
        <f>INDEX('Interreg VI-A Italy-Slovenia_pr'!A:E,MATCH('Partner data'!C69,'Interreg VI-A Italy-Slovenia_pr'!A:A,0),3)</f>
        <v>45170</v>
      </c>
      <c r="DS69" s="118">
        <f t="shared" si="29"/>
        <v>24129</v>
      </c>
      <c r="DT69" s="118">
        <f t="shared" si="30"/>
        <v>48258</v>
      </c>
      <c r="DU69" s="118">
        <f t="shared" si="31"/>
        <v>72387</v>
      </c>
      <c r="DV69" s="118">
        <f t="shared" si="32"/>
        <v>96516</v>
      </c>
      <c r="DW69" s="118">
        <f t="shared" si="33"/>
        <v>96516</v>
      </c>
      <c r="DX69" s="118">
        <f t="shared" si="34"/>
        <v>96516</v>
      </c>
      <c r="DY69" s="118">
        <f t="shared" si="35"/>
        <v>96516</v>
      </c>
      <c r="DZ69" s="118">
        <f t="shared" si="36"/>
        <v>96516</v>
      </c>
      <c r="EA69" s="118">
        <f t="shared" si="37"/>
        <v>96516</v>
      </c>
      <c r="EB69" s="118">
        <f t="shared" si="38"/>
        <v>96516</v>
      </c>
    </row>
    <row r="70" spans="1:132" x14ac:dyDescent="0.25">
      <c r="A70" s="28">
        <v>1</v>
      </c>
      <c r="B70" s="29" t="s">
        <v>487</v>
      </c>
      <c r="C70" s="30" t="s">
        <v>1622</v>
      </c>
      <c r="D70" s="30" t="s">
        <v>67</v>
      </c>
      <c r="E70" s="30" t="s">
        <v>1623</v>
      </c>
      <c r="F70" s="30" t="s">
        <v>1118</v>
      </c>
      <c r="G70" s="30" t="s">
        <v>491</v>
      </c>
      <c r="H70" s="30" t="s">
        <v>691</v>
      </c>
      <c r="I70" s="30" t="s">
        <v>1044</v>
      </c>
      <c r="J70" s="31" t="s">
        <v>538</v>
      </c>
      <c r="K70" s="31" t="s">
        <v>495</v>
      </c>
      <c r="L70" s="31" t="s">
        <v>519</v>
      </c>
      <c r="M70" s="31" t="s">
        <v>56</v>
      </c>
      <c r="N70" s="31" t="s">
        <v>1487</v>
      </c>
      <c r="O70" s="31" t="s">
        <v>947</v>
      </c>
      <c r="P70" s="31" t="s">
        <v>257</v>
      </c>
      <c r="Q70" s="31" t="s">
        <v>556</v>
      </c>
      <c r="R70" s="31" t="s">
        <v>258</v>
      </c>
      <c r="S70" s="32">
        <v>80080</v>
      </c>
      <c r="T70" s="32">
        <v>80</v>
      </c>
      <c r="U70" s="32">
        <v>16.850000000000001</v>
      </c>
      <c r="V70" s="32">
        <v>0</v>
      </c>
      <c r="W70" s="32">
        <v>0</v>
      </c>
      <c r="X70" s="32">
        <v>0</v>
      </c>
      <c r="Y70" s="32">
        <v>0</v>
      </c>
      <c r="Z70" s="32">
        <v>0</v>
      </c>
      <c r="AA70" s="32">
        <v>0</v>
      </c>
      <c r="AB70" s="32">
        <v>0</v>
      </c>
      <c r="AC70" s="32">
        <v>0</v>
      </c>
      <c r="AD70" s="32">
        <v>0</v>
      </c>
      <c r="AE70" s="32">
        <v>0</v>
      </c>
      <c r="AF70" s="32">
        <v>0</v>
      </c>
      <c r="AG70" s="32">
        <v>0</v>
      </c>
      <c r="AH70" s="32">
        <v>0</v>
      </c>
      <c r="AI70" s="32">
        <v>0</v>
      </c>
      <c r="AJ70" s="32">
        <v>0</v>
      </c>
      <c r="AK70" s="32">
        <v>0</v>
      </c>
      <c r="AL70" s="32">
        <v>0</v>
      </c>
      <c r="AM70" s="32">
        <v>0</v>
      </c>
      <c r="AN70" s="32">
        <v>20020</v>
      </c>
      <c r="AO70" s="32">
        <v>0</v>
      </c>
      <c r="AP70" s="32">
        <v>0</v>
      </c>
      <c r="AQ70" s="32">
        <v>20020</v>
      </c>
      <c r="AR70" s="32">
        <v>100100</v>
      </c>
      <c r="AS70" s="32">
        <v>16.850000000000001</v>
      </c>
      <c r="AT70" s="32">
        <v>71500</v>
      </c>
      <c r="AU70" s="32">
        <v>0</v>
      </c>
      <c r="AV70" s="32">
        <v>71500</v>
      </c>
      <c r="AW70" s="32">
        <v>0</v>
      </c>
      <c r="AX70" s="32">
        <v>0</v>
      </c>
      <c r="AY70" s="32">
        <v>0</v>
      </c>
      <c r="AZ70" s="32">
        <v>0</v>
      </c>
      <c r="BA70" s="32">
        <v>0</v>
      </c>
      <c r="BB70" s="32">
        <v>0</v>
      </c>
      <c r="BC70" s="32">
        <v>0</v>
      </c>
      <c r="BD70" s="32">
        <v>0</v>
      </c>
      <c r="BE70" s="32">
        <v>0</v>
      </c>
      <c r="BF70" s="32">
        <v>0</v>
      </c>
      <c r="BG70" s="32">
        <v>0</v>
      </c>
      <c r="BH70" s="32">
        <v>0</v>
      </c>
      <c r="BI70" s="32">
        <v>0</v>
      </c>
      <c r="BJ70" s="32">
        <v>0</v>
      </c>
      <c r="BK70" s="32">
        <v>0</v>
      </c>
      <c r="BL70" s="32">
        <v>0</v>
      </c>
      <c r="BM70" s="32">
        <v>28600</v>
      </c>
      <c r="BN70" s="32">
        <v>0</v>
      </c>
      <c r="BO70" s="32">
        <v>0</v>
      </c>
      <c r="BP70" s="32">
        <v>0</v>
      </c>
      <c r="BQ70" s="32">
        <v>15015</v>
      </c>
      <c r="BR70" s="32">
        <v>20020</v>
      </c>
      <c r="BS70" s="32">
        <v>30030</v>
      </c>
      <c r="BT70" s="32">
        <v>35035</v>
      </c>
      <c r="BU70" s="32">
        <v>0</v>
      </c>
      <c r="BV70" s="32">
        <v>0</v>
      </c>
      <c r="BW70" s="32">
        <v>0</v>
      </c>
      <c r="BX70" s="32">
        <v>0</v>
      </c>
      <c r="BY70" s="32">
        <v>0</v>
      </c>
      <c r="BZ70" s="32">
        <v>0</v>
      </c>
      <c r="CA70" s="32">
        <v>0</v>
      </c>
      <c r="CB70" s="33" t="s">
        <v>212</v>
      </c>
      <c r="CC70" s="33" t="s">
        <v>624</v>
      </c>
      <c r="CD70" s="33"/>
      <c r="CE70" s="33" t="s">
        <v>523</v>
      </c>
      <c r="CF70" s="33"/>
      <c r="CG70" s="33" t="s">
        <v>1488</v>
      </c>
      <c r="CH70" s="33" t="s">
        <v>526</v>
      </c>
      <c r="CI70" s="33"/>
      <c r="CJ70" s="33" t="s">
        <v>212</v>
      </c>
      <c r="CK70" s="33" t="s">
        <v>1489</v>
      </c>
      <c r="CL70" s="33" t="s">
        <v>212</v>
      </c>
      <c r="CM70" s="33"/>
      <c r="CN70" s="33" t="s">
        <v>257</v>
      </c>
      <c r="CO70" s="33" t="s">
        <v>258</v>
      </c>
      <c r="CP70" s="33" t="s">
        <v>952</v>
      </c>
      <c r="CQ70" s="33" t="s">
        <v>620</v>
      </c>
      <c r="CR70" s="33" t="s">
        <v>621</v>
      </c>
      <c r="CS70" s="33" t="s">
        <v>1646</v>
      </c>
      <c r="CT70" s="33" t="s">
        <v>257</v>
      </c>
      <c r="CU70" s="33" t="s">
        <v>270</v>
      </c>
      <c r="CV70" s="33" t="s">
        <v>1647</v>
      </c>
      <c r="CW70" s="33" t="s">
        <v>1648</v>
      </c>
      <c r="CX70" s="33" t="s">
        <v>1649</v>
      </c>
      <c r="CY70" s="33" t="s">
        <v>602</v>
      </c>
      <c r="CZ70" s="33" t="s">
        <v>835</v>
      </c>
      <c r="DA70" s="33" t="s">
        <v>958</v>
      </c>
      <c r="DB70" s="33" t="s">
        <v>602</v>
      </c>
      <c r="DC70" s="33" t="s">
        <v>1650</v>
      </c>
      <c r="DD70" s="33" t="s">
        <v>1651</v>
      </c>
      <c r="DE70" s="33" t="s">
        <v>1652</v>
      </c>
      <c r="DF70" s="34" t="s">
        <v>1653</v>
      </c>
      <c r="DG70" s="27" cm="1">
        <f t="array" ref="DG70">INDEX('elenco partner'!A:M,MATCH(1,(D70='elenco partner'!A:A)*('Partner data'!M70='elenco partner'!E:E),0),4)</f>
        <v>165</v>
      </c>
      <c r="DH70" s="83" t="str">
        <f t="shared" si="26"/>
        <v>COSTO REALE</v>
      </c>
      <c r="DI70" s="20">
        <f>COUNTIFS('MY-REPORT-MAIN'!C:C,'Partner data'!DG70,'MY-REPORT-MAIN'!I:I,"Certified")</f>
        <v>1</v>
      </c>
      <c r="DJ70" s="20">
        <f>COUNTIFS(List_Of_chek_list!M:M,"&lt;&gt;26",List_Of_chek_list!B:B,'Partner data'!DG70)</f>
        <v>1</v>
      </c>
      <c r="DK70" s="20">
        <f t="shared" si="27"/>
        <v>0</v>
      </c>
      <c r="DL70" s="19" t="str">
        <f>IF(DH70="Tasso Forfettario 20%",SUMIFS(List_Of_chek_list!#REF!,List_Of_chek_list!B:B,'Partner data'!DG70),"NON PERTINENTE")</f>
        <v>NON PERTINENTE</v>
      </c>
      <c r="DM70" s="19" t="str">
        <f t="shared" si="28"/>
        <v>NON PERTINENTE</v>
      </c>
      <c r="DN70" s="110">
        <f>_xlfn.MAXIFS('MY-REPORT-MAIN'!K:K,'MY-REPORT-MAIN'!C:C,DG70)</f>
        <v>45376.498689178239</v>
      </c>
      <c r="DO70" s="112">
        <f>IF(_xlfn.MAXIFS('MY-REPORT-MAIN'!M:M,'MY-REPORT-MAIN'!C:C,DG70)=0,"Nessun rendiconto  Convalidato",_xlfn.MAXIFS('MY-REPORT-MAIN'!M:M,'MY-REPORT-MAIN'!C:C,DG70))</f>
        <v>45404.501435578706</v>
      </c>
      <c r="DP70" s="113" cm="1">
        <f t="array" ref="DP70">IFERROR(INDEX('MY-REPORT-MAIN'!A:Z,MATCH(1,(DO70='MY-REPORT-MAIN'!M:M)*('Partner data'!DG70='MY-REPORT-MAIN'!C:C),0),1),"NON è stato convalidato ancora nessun rendiconto")</f>
        <v>121</v>
      </c>
      <c r="DQ70" s="111">
        <f>IFERROR(INDEX('MY-REPORT-MAIN'!A:Z,MATCH('Partner data'!DP70,'MY-REPORT-MAIN'!A:A,0),21),"Nessun Rendiconto ancora convalidato")</f>
        <v>4721.78</v>
      </c>
      <c r="DR70" s="110">
        <f>INDEX('Interreg VI-A Italy-Slovenia_pr'!A:E,MATCH('Partner data'!C70,'Interreg VI-A Italy-Slovenia_pr'!A:A,0),3)</f>
        <v>45170</v>
      </c>
      <c r="DS70" s="118">
        <f t="shared" si="29"/>
        <v>15015</v>
      </c>
      <c r="DT70" s="118">
        <f t="shared" si="30"/>
        <v>35035</v>
      </c>
      <c r="DU70" s="118">
        <f t="shared" si="31"/>
        <v>65065</v>
      </c>
      <c r="DV70" s="118">
        <f t="shared" si="32"/>
        <v>100100</v>
      </c>
      <c r="DW70" s="118">
        <f t="shared" si="33"/>
        <v>100100</v>
      </c>
      <c r="DX70" s="118">
        <f t="shared" si="34"/>
        <v>100100</v>
      </c>
      <c r="DY70" s="118">
        <f t="shared" si="35"/>
        <v>100100</v>
      </c>
      <c r="DZ70" s="118">
        <f t="shared" si="36"/>
        <v>100100</v>
      </c>
      <c r="EA70" s="118">
        <f t="shared" si="37"/>
        <v>100100</v>
      </c>
      <c r="EB70" s="118">
        <f t="shared" si="38"/>
        <v>100100</v>
      </c>
    </row>
    <row r="71" spans="1:132" x14ac:dyDescent="0.25">
      <c r="A71" s="28">
        <v>1</v>
      </c>
      <c r="B71" s="29" t="s">
        <v>487</v>
      </c>
      <c r="C71" s="30" t="s">
        <v>1622</v>
      </c>
      <c r="D71" s="30" t="s">
        <v>67</v>
      </c>
      <c r="E71" s="30" t="s">
        <v>1623</v>
      </c>
      <c r="F71" s="30" t="s">
        <v>1118</v>
      </c>
      <c r="G71" s="30" t="s">
        <v>491</v>
      </c>
      <c r="H71" s="30" t="s">
        <v>691</v>
      </c>
      <c r="I71" s="30" t="s">
        <v>1044</v>
      </c>
      <c r="J71" s="31" t="s">
        <v>554</v>
      </c>
      <c r="K71" s="31" t="s">
        <v>495</v>
      </c>
      <c r="L71" s="31" t="s">
        <v>519</v>
      </c>
      <c r="M71" s="31" t="s">
        <v>324</v>
      </c>
      <c r="N71" s="31" t="s">
        <v>1654</v>
      </c>
      <c r="O71" s="31" t="s">
        <v>1655</v>
      </c>
      <c r="P71" s="31" t="s">
        <v>254</v>
      </c>
      <c r="Q71" s="31" t="s">
        <v>540</v>
      </c>
      <c r="R71" s="31" t="s">
        <v>260</v>
      </c>
      <c r="S71" s="32">
        <v>80105.759999999995</v>
      </c>
      <c r="T71" s="32">
        <v>80</v>
      </c>
      <c r="U71" s="32">
        <v>16.86</v>
      </c>
      <c r="V71" s="32">
        <v>0</v>
      </c>
      <c r="W71" s="32">
        <v>0</v>
      </c>
      <c r="X71" s="32">
        <v>0</v>
      </c>
      <c r="Y71" s="32">
        <v>0</v>
      </c>
      <c r="Z71" s="32">
        <v>0</v>
      </c>
      <c r="AA71" s="32">
        <v>0</v>
      </c>
      <c r="AB71" s="32">
        <v>0</v>
      </c>
      <c r="AC71" s="32">
        <v>0</v>
      </c>
      <c r="AD71" s="32">
        <v>0</v>
      </c>
      <c r="AE71" s="32">
        <v>0</v>
      </c>
      <c r="AF71" s="32">
        <v>0</v>
      </c>
      <c r="AG71" s="32">
        <v>0</v>
      </c>
      <c r="AH71" s="32">
        <v>0</v>
      </c>
      <c r="AI71" s="32">
        <v>0</v>
      </c>
      <c r="AJ71" s="32">
        <v>0</v>
      </c>
      <c r="AK71" s="32">
        <v>0</v>
      </c>
      <c r="AL71" s="32">
        <v>0</v>
      </c>
      <c r="AM71" s="32">
        <v>0</v>
      </c>
      <c r="AN71" s="32">
        <v>0</v>
      </c>
      <c r="AO71" s="32">
        <v>20026.439999999999</v>
      </c>
      <c r="AP71" s="32">
        <v>0</v>
      </c>
      <c r="AQ71" s="32">
        <v>20026.439999999999</v>
      </c>
      <c r="AR71" s="32">
        <v>100132.2</v>
      </c>
      <c r="AS71" s="32">
        <v>16.86</v>
      </c>
      <c r="AT71" s="32">
        <v>71523</v>
      </c>
      <c r="AU71" s="32">
        <v>0</v>
      </c>
      <c r="AV71" s="32">
        <v>0</v>
      </c>
      <c r="AW71" s="32">
        <v>71523</v>
      </c>
      <c r="AX71" s="32">
        <v>0</v>
      </c>
      <c r="AY71" s="32">
        <v>0</v>
      </c>
      <c r="AZ71" s="32">
        <v>0</v>
      </c>
      <c r="BA71" s="32">
        <v>0</v>
      </c>
      <c r="BB71" s="32">
        <v>0</v>
      </c>
      <c r="BC71" s="32">
        <v>0</v>
      </c>
      <c r="BD71" s="32">
        <v>0</v>
      </c>
      <c r="BE71" s="32">
        <v>0</v>
      </c>
      <c r="BF71" s="32">
        <v>0</v>
      </c>
      <c r="BG71" s="32">
        <v>0</v>
      </c>
      <c r="BH71" s="32">
        <v>0</v>
      </c>
      <c r="BI71" s="32">
        <v>0</v>
      </c>
      <c r="BJ71" s="32">
        <v>0</v>
      </c>
      <c r="BK71" s="32">
        <v>0</v>
      </c>
      <c r="BL71" s="32">
        <v>0</v>
      </c>
      <c r="BM71" s="32">
        <v>28609.200000000001</v>
      </c>
      <c r="BN71" s="32">
        <v>0</v>
      </c>
      <c r="BO71" s="32">
        <v>0</v>
      </c>
      <c r="BP71" s="32">
        <v>0</v>
      </c>
      <c r="BQ71" s="32">
        <v>25023.599999999999</v>
      </c>
      <c r="BR71" s="32">
        <v>28085.4</v>
      </c>
      <c r="BS71" s="32">
        <v>24796.799999999999</v>
      </c>
      <c r="BT71" s="32">
        <v>22226.400000000001</v>
      </c>
      <c r="BU71" s="32">
        <v>0</v>
      </c>
      <c r="BV71" s="32">
        <v>0</v>
      </c>
      <c r="BW71" s="32">
        <v>0</v>
      </c>
      <c r="BX71" s="32">
        <v>0</v>
      </c>
      <c r="BY71" s="32">
        <v>0</v>
      </c>
      <c r="BZ71" s="32">
        <v>0</v>
      </c>
      <c r="CA71" s="32">
        <v>0</v>
      </c>
      <c r="CB71" s="33" t="s">
        <v>212</v>
      </c>
      <c r="CC71" s="33" t="s">
        <v>624</v>
      </c>
      <c r="CD71" s="33"/>
      <c r="CE71" s="33" t="s">
        <v>523</v>
      </c>
      <c r="CF71" s="33" t="s">
        <v>707</v>
      </c>
      <c r="CG71" s="33" t="s">
        <v>1656</v>
      </c>
      <c r="CH71" s="33" t="s">
        <v>504</v>
      </c>
      <c r="CI71" s="33" t="s">
        <v>1657</v>
      </c>
      <c r="CJ71" s="33" t="s">
        <v>212</v>
      </c>
      <c r="CK71" s="33" t="s">
        <v>1340</v>
      </c>
      <c r="CL71" s="33" t="s">
        <v>212</v>
      </c>
      <c r="CM71" s="33"/>
      <c r="CN71" s="33" t="s">
        <v>254</v>
      </c>
      <c r="CO71" s="33" t="s">
        <v>260</v>
      </c>
      <c r="CP71" s="33" t="s">
        <v>1658</v>
      </c>
      <c r="CQ71" s="33" t="s">
        <v>1311</v>
      </c>
      <c r="CR71" s="33" t="s">
        <v>599</v>
      </c>
      <c r="CS71" s="33" t="s">
        <v>1659</v>
      </c>
      <c r="CT71" s="33" t="s">
        <v>254</v>
      </c>
      <c r="CU71" s="33" t="s">
        <v>260</v>
      </c>
      <c r="CV71" s="33" t="s">
        <v>1658</v>
      </c>
      <c r="CW71" s="33" t="s">
        <v>1311</v>
      </c>
      <c r="CX71" s="33" t="s">
        <v>599</v>
      </c>
      <c r="CY71" s="33" t="s">
        <v>513</v>
      </c>
      <c r="CZ71" s="33" t="s">
        <v>1660</v>
      </c>
      <c r="DA71" s="33" t="s">
        <v>1661</v>
      </c>
      <c r="DB71" s="33" t="s">
        <v>1662</v>
      </c>
      <c r="DC71" s="33" t="s">
        <v>633</v>
      </c>
      <c r="DD71" s="33" t="s">
        <v>1663</v>
      </c>
      <c r="DE71" s="33" t="s">
        <v>1664</v>
      </c>
      <c r="DF71" s="34" t="s">
        <v>1665</v>
      </c>
      <c r="DG71" s="27" cm="1">
        <f t="array" ref="DG71">INDEX('elenco partner'!A:M,MATCH(1,(D71='elenco partner'!A:A)*('Partner data'!M71='elenco partner'!E:E),0),4)</f>
        <v>166</v>
      </c>
      <c r="DH71" s="83" t="str">
        <f t="shared" si="26"/>
        <v>Costo Unitario Standard</v>
      </c>
      <c r="DI71" s="20">
        <f>COUNTIFS('MY-REPORT-MAIN'!C:C,'Partner data'!DG71,'MY-REPORT-MAIN'!I:I,"Certified")</f>
        <v>1</v>
      </c>
      <c r="DJ71" s="20">
        <f>COUNTIFS(List_Of_chek_list!M:M,"&lt;&gt;26",List_Of_chek_list!B:B,'Partner data'!DG71)</f>
        <v>1</v>
      </c>
      <c r="DK71" s="20">
        <f t="shared" si="27"/>
        <v>0</v>
      </c>
      <c r="DL71" s="19" t="str">
        <f>IF(DH71="Tasso Forfettario 20%",SUMIFS(List_Of_chek_list!#REF!,List_Of_chek_list!B:B,'Partner data'!DG71),"NON PERTINENTE")</f>
        <v>NON PERTINENTE</v>
      </c>
      <c r="DM71" s="19" t="str">
        <f t="shared" si="28"/>
        <v>NON PERTINENTE</v>
      </c>
      <c r="DN71" s="110">
        <f>_xlfn.MAXIFS('MY-REPORT-MAIN'!K:K,'MY-REPORT-MAIN'!C:C,DG71)</f>
        <v>45373.641116354163</v>
      </c>
      <c r="DO71" s="112">
        <f>IF(_xlfn.MAXIFS('MY-REPORT-MAIN'!M:M,'MY-REPORT-MAIN'!C:C,DG71)=0,"Nessun rendiconto  Convalidato",_xlfn.MAXIFS('MY-REPORT-MAIN'!M:M,'MY-REPORT-MAIN'!C:C,DG71))</f>
        <v>45434.683096145833</v>
      </c>
      <c r="DP71" s="113" cm="1">
        <f t="array" ref="DP71">IFERROR(INDEX('MY-REPORT-MAIN'!A:Z,MATCH(1,(DO71='MY-REPORT-MAIN'!M:M)*('Partner data'!DG71='MY-REPORT-MAIN'!C:C),0),1),"NON è stato convalidato ancora nessun rendiconto")</f>
        <v>148</v>
      </c>
      <c r="DQ71" s="111">
        <f>IFERROR(INDEX('MY-REPORT-MAIN'!A:Z,MATCH('Partner data'!DP71,'MY-REPORT-MAIN'!A:A,0),21),"Nessun Rendiconto ancora convalidato")</f>
        <v>25023.599999999999</v>
      </c>
      <c r="DR71" s="110">
        <f>INDEX('Interreg VI-A Italy-Slovenia_pr'!A:E,MATCH('Partner data'!C71,'Interreg VI-A Italy-Slovenia_pr'!A:A,0),3)</f>
        <v>45170</v>
      </c>
      <c r="DS71" s="118">
        <f t="shared" si="29"/>
        <v>25023.599999999999</v>
      </c>
      <c r="DT71" s="118">
        <f t="shared" si="30"/>
        <v>53109</v>
      </c>
      <c r="DU71" s="118">
        <f t="shared" si="31"/>
        <v>77905.8</v>
      </c>
      <c r="DV71" s="118">
        <f t="shared" si="32"/>
        <v>100132.20000000001</v>
      </c>
      <c r="DW71" s="118">
        <f t="shared" si="33"/>
        <v>100132.20000000001</v>
      </c>
      <c r="DX71" s="118">
        <f t="shared" si="34"/>
        <v>100132.20000000001</v>
      </c>
      <c r="DY71" s="118">
        <f t="shared" si="35"/>
        <v>100132.20000000001</v>
      </c>
      <c r="DZ71" s="118">
        <f t="shared" si="36"/>
        <v>100132.20000000001</v>
      </c>
      <c r="EA71" s="118">
        <f t="shared" si="37"/>
        <v>100132.20000000001</v>
      </c>
      <c r="EB71" s="118">
        <f t="shared" si="38"/>
        <v>100132.20000000001</v>
      </c>
    </row>
    <row r="72" spans="1:132" x14ac:dyDescent="0.25">
      <c r="A72" s="28">
        <v>1</v>
      </c>
      <c r="B72" s="29" t="s">
        <v>487</v>
      </c>
      <c r="C72" s="30" t="s">
        <v>1622</v>
      </c>
      <c r="D72" s="30" t="s">
        <v>67</v>
      </c>
      <c r="E72" s="30" t="s">
        <v>1623</v>
      </c>
      <c r="F72" s="30" t="s">
        <v>1118</v>
      </c>
      <c r="G72" s="30" t="s">
        <v>491</v>
      </c>
      <c r="H72" s="30" t="s">
        <v>691</v>
      </c>
      <c r="I72" s="30" t="s">
        <v>1044</v>
      </c>
      <c r="J72" s="31" t="s">
        <v>570</v>
      </c>
      <c r="K72" s="31" t="s">
        <v>495</v>
      </c>
      <c r="L72" s="31" t="s">
        <v>519</v>
      </c>
      <c r="M72" s="31" t="s">
        <v>327</v>
      </c>
      <c r="N72" s="31" t="s">
        <v>1666</v>
      </c>
      <c r="O72" s="31" t="s">
        <v>1667</v>
      </c>
      <c r="P72" s="31" t="s">
        <v>257</v>
      </c>
      <c r="Q72" s="31" t="s">
        <v>556</v>
      </c>
      <c r="R72" s="31" t="s">
        <v>270</v>
      </c>
      <c r="S72" s="32">
        <v>67908.509999999995</v>
      </c>
      <c r="T72" s="32">
        <v>80</v>
      </c>
      <c r="U72" s="32">
        <v>14.29</v>
      </c>
      <c r="V72" s="32">
        <v>0</v>
      </c>
      <c r="W72" s="32">
        <v>0</v>
      </c>
      <c r="X72" s="32">
        <v>0</v>
      </c>
      <c r="Y72" s="32">
        <v>0</v>
      </c>
      <c r="Z72" s="32">
        <v>0</v>
      </c>
      <c r="AA72" s="32">
        <v>0</v>
      </c>
      <c r="AB72" s="32">
        <v>0</v>
      </c>
      <c r="AC72" s="32">
        <v>0</v>
      </c>
      <c r="AD72" s="32">
        <v>0</v>
      </c>
      <c r="AE72" s="32">
        <v>0</v>
      </c>
      <c r="AF72" s="32">
        <v>0</v>
      </c>
      <c r="AG72" s="32">
        <v>0</v>
      </c>
      <c r="AH72" s="32">
        <v>0</v>
      </c>
      <c r="AI72" s="32">
        <v>0</v>
      </c>
      <c r="AJ72" s="32">
        <v>0</v>
      </c>
      <c r="AK72" s="32">
        <v>0</v>
      </c>
      <c r="AL72" s="32">
        <v>0</v>
      </c>
      <c r="AM72" s="32">
        <v>0</v>
      </c>
      <c r="AN72" s="32">
        <v>16977.13</v>
      </c>
      <c r="AO72" s="32">
        <v>0</v>
      </c>
      <c r="AP72" s="32">
        <v>0</v>
      </c>
      <c r="AQ72" s="32">
        <v>16977.13</v>
      </c>
      <c r="AR72" s="32">
        <v>84885.64</v>
      </c>
      <c r="AS72" s="32">
        <v>14.29</v>
      </c>
      <c r="AT72" s="32">
        <v>60632.6</v>
      </c>
      <c r="AU72" s="32">
        <v>0</v>
      </c>
      <c r="AV72" s="32">
        <v>60632.6</v>
      </c>
      <c r="AW72" s="32">
        <v>0</v>
      </c>
      <c r="AX72" s="32">
        <v>0</v>
      </c>
      <c r="AY72" s="32">
        <v>0</v>
      </c>
      <c r="AZ72" s="32">
        <v>0</v>
      </c>
      <c r="BA72" s="32">
        <v>0</v>
      </c>
      <c r="BB72" s="32">
        <v>0</v>
      </c>
      <c r="BC72" s="32">
        <v>0</v>
      </c>
      <c r="BD72" s="32">
        <v>0</v>
      </c>
      <c r="BE72" s="32">
        <v>0</v>
      </c>
      <c r="BF72" s="32">
        <v>0</v>
      </c>
      <c r="BG72" s="32">
        <v>0</v>
      </c>
      <c r="BH72" s="32">
        <v>0</v>
      </c>
      <c r="BI72" s="32">
        <v>0</v>
      </c>
      <c r="BJ72" s="32">
        <v>0</v>
      </c>
      <c r="BK72" s="32">
        <v>0</v>
      </c>
      <c r="BL72" s="32">
        <v>0</v>
      </c>
      <c r="BM72" s="32">
        <v>24253.040000000001</v>
      </c>
      <c r="BN72" s="32">
        <v>0</v>
      </c>
      <c r="BO72" s="32">
        <v>0</v>
      </c>
      <c r="BP72" s="32">
        <v>0</v>
      </c>
      <c r="BQ72" s="32">
        <v>17416.02</v>
      </c>
      <c r="BR72" s="32">
        <v>22489.88</v>
      </c>
      <c r="BS72" s="32">
        <v>22489.88</v>
      </c>
      <c r="BT72" s="32">
        <v>22489.86</v>
      </c>
      <c r="BU72" s="32">
        <v>0</v>
      </c>
      <c r="BV72" s="32">
        <v>0</v>
      </c>
      <c r="BW72" s="32">
        <v>0</v>
      </c>
      <c r="BX72" s="32">
        <v>0</v>
      </c>
      <c r="BY72" s="32">
        <v>0</v>
      </c>
      <c r="BZ72" s="32">
        <v>0</v>
      </c>
      <c r="CA72" s="32">
        <v>0</v>
      </c>
      <c r="CB72" s="33" t="s">
        <v>212</v>
      </c>
      <c r="CC72" s="33" t="s">
        <v>624</v>
      </c>
      <c r="CD72" s="33"/>
      <c r="CE72" s="33" t="s">
        <v>523</v>
      </c>
      <c r="CF72" s="33" t="s">
        <v>645</v>
      </c>
      <c r="CG72" s="33" t="s">
        <v>714</v>
      </c>
      <c r="CH72" s="33" t="s">
        <v>526</v>
      </c>
      <c r="CI72" s="33"/>
      <c r="CJ72" s="33" t="s">
        <v>212</v>
      </c>
      <c r="CK72" s="33" t="s">
        <v>715</v>
      </c>
      <c r="CL72" s="33" t="s">
        <v>212</v>
      </c>
      <c r="CM72" s="33"/>
      <c r="CN72" s="33" t="s">
        <v>257</v>
      </c>
      <c r="CO72" s="33" t="s">
        <v>270</v>
      </c>
      <c r="CP72" s="33" t="s">
        <v>716</v>
      </c>
      <c r="CQ72" s="33" t="s">
        <v>710</v>
      </c>
      <c r="CR72" s="33" t="s">
        <v>650</v>
      </c>
      <c r="CS72" s="33" t="s">
        <v>1668</v>
      </c>
      <c r="CT72" s="33" t="s">
        <v>257</v>
      </c>
      <c r="CU72" s="33" t="s">
        <v>270</v>
      </c>
      <c r="CV72" s="33" t="s">
        <v>1669</v>
      </c>
      <c r="CW72" s="33" t="s">
        <v>1648</v>
      </c>
      <c r="CX72" s="33" t="s">
        <v>1649</v>
      </c>
      <c r="CY72" s="33" t="s">
        <v>1294</v>
      </c>
      <c r="CZ72" s="33" t="s">
        <v>1561</v>
      </c>
      <c r="DA72" s="33" t="s">
        <v>720</v>
      </c>
      <c r="DB72" s="33" t="s">
        <v>1486</v>
      </c>
      <c r="DC72" s="33" t="s">
        <v>1670</v>
      </c>
      <c r="DD72" s="33" t="s">
        <v>1671</v>
      </c>
      <c r="DE72" s="33" t="s">
        <v>1672</v>
      </c>
      <c r="DF72" s="34" t="s">
        <v>1673</v>
      </c>
      <c r="DG72" s="27" cm="1">
        <f t="array" ref="DG72">INDEX('elenco partner'!A:M,MATCH(1,(D72='elenco partner'!A:A)*('Partner data'!M72='elenco partner'!E:E),0),4)</f>
        <v>168</v>
      </c>
      <c r="DH72" s="83" t="str">
        <f t="shared" si="26"/>
        <v>COSTO REALE</v>
      </c>
      <c r="DI72" s="20">
        <f>COUNTIFS('MY-REPORT-MAIN'!C:C,'Partner data'!DG72,'MY-REPORT-MAIN'!I:I,"Certified")</f>
        <v>1</v>
      </c>
      <c r="DJ72" s="20">
        <f>COUNTIFS(List_Of_chek_list!M:M,"&lt;&gt;26",List_Of_chek_list!B:B,'Partner data'!DG72)</f>
        <v>1</v>
      </c>
      <c r="DK72" s="20">
        <f t="shared" si="27"/>
        <v>0</v>
      </c>
      <c r="DL72" s="19" t="str">
        <f>IF(DH72="Tasso Forfettario 20%",SUMIFS(List_Of_chek_list!#REF!,List_Of_chek_list!B:B,'Partner data'!DG72),"NON PERTINENTE")</f>
        <v>NON PERTINENTE</v>
      </c>
      <c r="DM72" s="19" t="str">
        <f t="shared" si="28"/>
        <v>NON PERTINENTE</v>
      </c>
      <c r="DN72" s="110">
        <f>_xlfn.MAXIFS('MY-REPORT-MAIN'!K:K,'MY-REPORT-MAIN'!C:C,DG72)</f>
        <v>45378.317264710648</v>
      </c>
      <c r="DO72" s="112">
        <f>IF(_xlfn.MAXIFS('MY-REPORT-MAIN'!M:M,'MY-REPORT-MAIN'!C:C,DG72)=0,"Nessun rendiconto  Convalidato",_xlfn.MAXIFS('MY-REPORT-MAIN'!M:M,'MY-REPORT-MAIN'!C:C,DG72))</f>
        <v>45427.423868078702</v>
      </c>
      <c r="DP72" s="113" cm="1">
        <f t="array" ref="DP72">IFERROR(INDEX('MY-REPORT-MAIN'!A:Z,MATCH(1,(DO72='MY-REPORT-MAIN'!M:M)*('Partner data'!DG72='MY-REPORT-MAIN'!C:C),0),1),"NON è stato convalidato ancora nessun rendiconto")</f>
        <v>117</v>
      </c>
      <c r="DQ72" s="111">
        <f>IFERROR(INDEX('MY-REPORT-MAIN'!A:Z,MATCH('Partner data'!DP72,'MY-REPORT-MAIN'!A:A,0),21),"Nessun Rendiconto ancora convalidato")</f>
        <v>21616.92</v>
      </c>
      <c r="DR72" s="110">
        <f>INDEX('Interreg VI-A Italy-Slovenia_pr'!A:E,MATCH('Partner data'!C72,'Interreg VI-A Italy-Slovenia_pr'!A:A,0),3)</f>
        <v>45170</v>
      </c>
      <c r="DS72" s="118">
        <f t="shared" si="29"/>
        <v>17416.02</v>
      </c>
      <c r="DT72" s="118">
        <f t="shared" si="30"/>
        <v>39905.9</v>
      </c>
      <c r="DU72" s="118">
        <f t="shared" si="31"/>
        <v>62395.78</v>
      </c>
      <c r="DV72" s="118">
        <f t="shared" si="32"/>
        <v>84885.64</v>
      </c>
      <c r="DW72" s="118">
        <f t="shared" si="33"/>
        <v>84885.64</v>
      </c>
      <c r="DX72" s="118">
        <f t="shared" si="34"/>
        <v>84885.64</v>
      </c>
      <c r="DY72" s="118">
        <f t="shared" si="35"/>
        <v>84885.64</v>
      </c>
      <c r="DZ72" s="118">
        <f t="shared" si="36"/>
        <v>84885.64</v>
      </c>
      <c r="EA72" s="118">
        <f t="shared" si="37"/>
        <v>84885.64</v>
      </c>
      <c r="EB72" s="118">
        <f t="shared" si="38"/>
        <v>84885.64</v>
      </c>
    </row>
    <row r="73" spans="1:132" x14ac:dyDescent="0.25">
      <c r="A73" s="28">
        <v>1</v>
      </c>
      <c r="B73" s="29" t="s">
        <v>487</v>
      </c>
      <c r="C73" s="30" t="s">
        <v>1622</v>
      </c>
      <c r="D73" s="30" t="s">
        <v>67</v>
      </c>
      <c r="E73" s="30" t="s">
        <v>1623</v>
      </c>
      <c r="F73" s="30" t="s">
        <v>1118</v>
      </c>
      <c r="G73" s="30" t="s">
        <v>491</v>
      </c>
      <c r="H73" s="30" t="s">
        <v>691</v>
      </c>
      <c r="I73" s="30" t="s">
        <v>1044</v>
      </c>
      <c r="J73" s="31" t="s">
        <v>581</v>
      </c>
      <c r="K73" s="31" t="s">
        <v>495</v>
      </c>
      <c r="L73" s="31" t="s">
        <v>519</v>
      </c>
      <c r="M73" s="31" t="s">
        <v>323</v>
      </c>
      <c r="N73" s="31" t="s">
        <v>1674</v>
      </c>
      <c r="O73" s="31" t="s">
        <v>1675</v>
      </c>
      <c r="P73" s="31" t="s">
        <v>254</v>
      </c>
      <c r="Q73" s="31" t="s">
        <v>540</v>
      </c>
      <c r="R73" s="31" t="s">
        <v>260</v>
      </c>
      <c r="S73" s="32">
        <v>67780.160000000003</v>
      </c>
      <c r="T73" s="32">
        <v>80</v>
      </c>
      <c r="U73" s="32">
        <v>14.26</v>
      </c>
      <c r="V73" s="32">
        <v>0</v>
      </c>
      <c r="W73" s="32">
        <v>0</v>
      </c>
      <c r="X73" s="32">
        <v>0</v>
      </c>
      <c r="Y73" s="32">
        <v>0</v>
      </c>
      <c r="Z73" s="32">
        <v>0</v>
      </c>
      <c r="AA73" s="32">
        <v>0</v>
      </c>
      <c r="AB73" s="32">
        <v>0</v>
      </c>
      <c r="AC73" s="32">
        <v>0</v>
      </c>
      <c r="AD73" s="32">
        <v>0</v>
      </c>
      <c r="AE73" s="32">
        <v>0</v>
      </c>
      <c r="AF73" s="32">
        <v>0</v>
      </c>
      <c r="AG73" s="32">
        <v>0</v>
      </c>
      <c r="AH73" s="32">
        <v>0</v>
      </c>
      <c r="AI73" s="32">
        <v>0</v>
      </c>
      <c r="AJ73" s="32">
        <v>0</v>
      </c>
      <c r="AK73" s="32">
        <v>0</v>
      </c>
      <c r="AL73" s="32">
        <v>0</v>
      </c>
      <c r="AM73" s="32">
        <v>0</v>
      </c>
      <c r="AN73" s="32">
        <v>0</v>
      </c>
      <c r="AO73" s="32">
        <v>16945.04</v>
      </c>
      <c r="AP73" s="32">
        <v>0</v>
      </c>
      <c r="AQ73" s="32">
        <v>16945.04</v>
      </c>
      <c r="AR73" s="32">
        <v>84725.2</v>
      </c>
      <c r="AS73" s="32">
        <v>14.26</v>
      </c>
      <c r="AT73" s="32">
        <v>60518</v>
      </c>
      <c r="AU73" s="32">
        <v>0</v>
      </c>
      <c r="AV73" s="32">
        <v>0</v>
      </c>
      <c r="AW73" s="32">
        <v>60518</v>
      </c>
      <c r="AX73" s="32">
        <v>0</v>
      </c>
      <c r="AY73" s="32">
        <v>0</v>
      </c>
      <c r="AZ73" s="32">
        <v>0</v>
      </c>
      <c r="BA73" s="32">
        <v>0</v>
      </c>
      <c r="BB73" s="32">
        <v>0</v>
      </c>
      <c r="BC73" s="32">
        <v>0</v>
      </c>
      <c r="BD73" s="32">
        <v>0</v>
      </c>
      <c r="BE73" s="32">
        <v>0</v>
      </c>
      <c r="BF73" s="32">
        <v>0</v>
      </c>
      <c r="BG73" s="32">
        <v>0</v>
      </c>
      <c r="BH73" s="32">
        <v>0</v>
      </c>
      <c r="BI73" s="32">
        <v>0</v>
      </c>
      <c r="BJ73" s="32">
        <v>0</v>
      </c>
      <c r="BK73" s="32">
        <v>0</v>
      </c>
      <c r="BL73" s="32">
        <v>0</v>
      </c>
      <c r="BM73" s="32">
        <v>24207.200000000001</v>
      </c>
      <c r="BN73" s="32">
        <v>0</v>
      </c>
      <c r="BO73" s="32">
        <v>0</v>
      </c>
      <c r="BP73" s="32">
        <v>0</v>
      </c>
      <c r="BQ73" s="32">
        <v>21333.200000000001</v>
      </c>
      <c r="BR73" s="32">
        <v>20804</v>
      </c>
      <c r="BS73" s="32">
        <v>22344</v>
      </c>
      <c r="BT73" s="32">
        <v>20244</v>
      </c>
      <c r="BU73" s="32">
        <v>0</v>
      </c>
      <c r="BV73" s="32">
        <v>0</v>
      </c>
      <c r="BW73" s="32">
        <v>0</v>
      </c>
      <c r="BX73" s="32">
        <v>0</v>
      </c>
      <c r="BY73" s="32">
        <v>0</v>
      </c>
      <c r="BZ73" s="32">
        <v>0</v>
      </c>
      <c r="CA73" s="32">
        <v>0</v>
      </c>
      <c r="CB73" s="33" t="s">
        <v>212</v>
      </c>
      <c r="CC73" s="33" t="s">
        <v>522</v>
      </c>
      <c r="CD73" s="33"/>
      <c r="CE73" s="33" t="s">
        <v>523</v>
      </c>
      <c r="CF73" s="33"/>
      <c r="CG73" s="33" t="s">
        <v>1676</v>
      </c>
      <c r="CH73" s="33" t="s">
        <v>504</v>
      </c>
      <c r="CI73" s="33"/>
      <c r="CJ73" s="33" t="s">
        <v>212</v>
      </c>
      <c r="CK73" s="33"/>
      <c r="CL73" s="33" t="s">
        <v>212</v>
      </c>
      <c r="CM73" s="33"/>
      <c r="CN73" s="33" t="s">
        <v>254</v>
      </c>
      <c r="CO73" s="33" t="s">
        <v>260</v>
      </c>
      <c r="CP73" s="33" t="s">
        <v>1677</v>
      </c>
      <c r="CQ73" s="33" t="s">
        <v>585</v>
      </c>
      <c r="CR73" s="33" t="s">
        <v>323</v>
      </c>
      <c r="CS73" s="33" t="s">
        <v>1678</v>
      </c>
      <c r="CT73" s="33"/>
      <c r="CU73" s="33"/>
      <c r="CV73" s="33"/>
      <c r="CW73" s="33"/>
      <c r="CX73" s="33"/>
      <c r="CY73" s="33" t="s">
        <v>1679</v>
      </c>
      <c r="CZ73" s="33" t="s">
        <v>1680</v>
      </c>
      <c r="DA73" s="33" t="s">
        <v>1681</v>
      </c>
      <c r="DB73" s="33" t="s">
        <v>705</v>
      </c>
      <c r="DC73" s="33" t="s">
        <v>1682</v>
      </c>
      <c r="DD73" s="33" t="s">
        <v>1683</v>
      </c>
      <c r="DE73" s="33" t="s">
        <v>1684</v>
      </c>
      <c r="DF73" s="34" t="s">
        <v>1685</v>
      </c>
      <c r="DG73" s="27" cm="1">
        <f t="array" ref="DG73">INDEX('elenco partner'!A:M,MATCH(1,(D73='elenco partner'!A:A)*('Partner data'!M73='elenco partner'!E:E),0),4)</f>
        <v>169</v>
      </c>
      <c r="DH73" s="83" t="str">
        <f t="shared" si="26"/>
        <v>Costo Unitario Standard</v>
      </c>
      <c r="DI73" s="20">
        <f>COUNTIFS('MY-REPORT-MAIN'!C:C,'Partner data'!DG73,'MY-REPORT-MAIN'!I:I,"Certified")</f>
        <v>1</v>
      </c>
      <c r="DJ73" s="20">
        <f>COUNTIFS(List_Of_chek_list!M:M,"&lt;&gt;26",List_Of_chek_list!B:B,'Partner data'!DG73)</f>
        <v>1</v>
      </c>
      <c r="DK73" s="20">
        <f t="shared" si="27"/>
        <v>0</v>
      </c>
      <c r="DL73" s="19" t="str">
        <f>IF(DH73="Tasso Forfettario 20%",SUMIFS(List_Of_chek_list!#REF!,List_Of_chek_list!B:B,'Partner data'!DG73),"NON PERTINENTE")</f>
        <v>NON PERTINENTE</v>
      </c>
      <c r="DM73" s="19" t="str">
        <f t="shared" si="28"/>
        <v>NON PERTINENTE</v>
      </c>
      <c r="DN73" s="110">
        <f>_xlfn.MAXIFS('MY-REPORT-MAIN'!K:K,'MY-REPORT-MAIN'!C:C,DG73)</f>
        <v>45379.712016157406</v>
      </c>
      <c r="DO73" s="112">
        <f>IF(_xlfn.MAXIFS('MY-REPORT-MAIN'!M:M,'MY-REPORT-MAIN'!C:C,DG73)=0,"Nessun rendiconto  Convalidato",_xlfn.MAXIFS('MY-REPORT-MAIN'!M:M,'MY-REPORT-MAIN'!C:C,DG73))</f>
        <v>45450.415508576392</v>
      </c>
      <c r="DP73" s="113" cm="1">
        <f t="array" ref="DP73">IFERROR(INDEX('MY-REPORT-MAIN'!A:Z,MATCH(1,(DO73='MY-REPORT-MAIN'!M:M)*('Partner data'!DG73='MY-REPORT-MAIN'!C:C),0),1),"NON è stato convalidato ancora nessun rendiconto")</f>
        <v>174</v>
      </c>
      <c r="DQ73" s="111">
        <f>IFERROR(INDEX('MY-REPORT-MAIN'!A:Z,MATCH('Partner data'!DP73,'MY-REPORT-MAIN'!A:A,0),21),"Nessun Rendiconto ancora convalidato")</f>
        <v>12612.46</v>
      </c>
      <c r="DR73" s="110">
        <f>INDEX('Interreg VI-A Italy-Slovenia_pr'!A:E,MATCH('Partner data'!C73,'Interreg VI-A Italy-Slovenia_pr'!A:A,0),3)</f>
        <v>45170</v>
      </c>
      <c r="DS73" s="118">
        <f t="shared" si="29"/>
        <v>21333.200000000001</v>
      </c>
      <c r="DT73" s="118">
        <f t="shared" si="30"/>
        <v>42137.2</v>
      </c>
      <c r="DU73" s="118">
        <f t="shared" si="31"/>
        <v>64481.2</v>
      </c>
      <c r="DV73" s="118">
        <f t="shared" si="32"/>
        <v>84725.2</v>
      </c>
      <c r="DW73" s="118">
        <f t="shared" si="33"/>
        <v>84725.2</v>
      </c>
      <c r="DX73" s="118">
        <f t="shared" si="34"/>
        <v>84725.2</v>
      </c>
      <c r="DY73" s="118">
        <f t="shared" si="35"/>
        <v>84725.2</v>
      </c>
      <c r="DZ73" s="118">
        <f t="shared" si="36"/>
        <v>84725.2</v>
      </c>
      <c r="EA73" s="118">
        <f t="shared" si="37"/>
        <v>84725.2</v>
      </c>
      <c r="EB73" s="118">
        <f t="shared" si="38"/>
        <v>84725.2</v>
      </c>
    </row>
    <row r="74" spans="1:132" x14ac:dyDescent="0.25">
      <c r="A74" s="28">
        <v>1</v>
      </c>
      <c r="B74" s="29" t="s">
        <v>487</v>
      </c>
      <c r="C74" s="30" t="s">
        <v>1693</v>
      </c>
      <c r="D74" s="30" t="s">
        <v>60</v>
      </c>
      <c r="E74" s="30" t="s">
        <v>1694</v>
      </c>
      <c r="F74" s="30" t="s">
        <v>490</v>
      </c>
      <c r="G74" s="30" t="s">
        <v>491</v>
      </c>
      <c r="H74" s="30" t="s">
        <v>766</v>
      </c>
      <c r="I74" s="30" t="s">
        <v>767</v>
      </c>
      <c r="J74" s="31" t="s">
        <v>494</v>
      </c>
      <c r="K74" s="31" t="s">
        <v>495</v>
      </c>
      <c r="L74" s="31" t="s">
        <v>496</v>
      </c>
      <c r="M74" s="31" t="s">
        <v>68</v>
      </c>
      <c r="N74" s="31" t="s">
        <v>1695</v>
      </c>
      <c r="O74" s="31" t="s">
        <v>1696</v>
      </c>
      <c r="P74" s="31" t="s">
        <v>254</v>
      </c>
      <c r="Q74" s="31" t="s">
        <v>499</v>
      </c>
      <c r="R74" s="31" t="s">
        <v>255</v>
      </c>
      <c r="S74" s="32">
        <v>97425.44</v>
      </c>
      <c r="T74" s="32">
        <v>80</v>
      </c>
      <c r="U74" s="32">
        <v>18.420000000000002</v>
      </c>
      <c r="V74" s="32">
        <v>0</v>
      </c>
      <c r="W74" s="32">
        <v>0</v>
      </c>
      <c r="X74" s="32">
        <v>0</v>
      </c>
      <c r="Y74" s="32">
        <v>0</v>
      </c>
      <c r="Z74" s="32">
        <v>0</v>
      </c>
      <c r="AA74" s="32">
        <v>0</v>
      </c>
      <c r="AB74" s="32">
        <v>0</v>
      </c>
      <c r="AC74" s="32">
        <v>0</v>
      </c>
      <c r="AD74" s="32">
        <v>0</v>
      </c>
      <c r="AE74" s="32">
        <v>0</v>
      </c>
      <c r="AF74" s="32">
        <v>0</v>
      </c>
      <c r="AG74" s="32">
        <v>0</v>
      </c>
      <c r="AH74" s="32">
        <v>0</v>
      </c>
      <c r="AI74" s="32">
        <v>0</v>
      </c>
      <c r="AJ74" s="32">
        <v>0</v>
      </c>
      <c r="AK74" s="32">
        <v>0</v>
      </c>
      <c r="AL74" s="32">
        <v>0</v>
      </c>
      <c r="AM74" s="32">
        <v>0</v>
      </c>
      <c r="AN74" s="32">
        <v>0</v>
      </c>
      <c r="AO74" s="32">
        <v>24356.36</v>
      </c>
      <c r="AP74" s="32">
        <v>0</v>
      </c>
      <c r="AQ74" s="32">
        <v>24356.36</v>
      </c>
      <c r="AR74" s="32">
        <v>121781.8</v>
      </c>
      <c r="AS74" s="32">
        <v>18.420000000000002</v>
      </c>
      <c r="AT74" s="32">
        <v>18220</v>
      </c>
      <c r="AU74" s="32">
        <v>18220</v>
      </c>
      <c r="AV74" s="32">
        <v>0</v>
      </c>
      <c r="AW74" s="32">
        <v>0</v>
      </c>
      <c r="AX74" s="32">
        <v>2733</v>
      </c>
      <c r="AY74" s="32">
        <v>2733</v>
      </c>
      <c r="AZ74" s="32">
        <v>728.8</v>
      </c>
      <c r="BA74" s="32">
        <v>728.8</v>
      </c>
      <c r="BB74" s="32">
        <v>0</v>
      </c>
      <c r="BC74" s="32">
        <v>0</v>
      </c>
      <c r="BD74" s="32">
        <v>91100</v>
      </c>
      <c r="BE74" s="32">
        <v>91100</v>
      </c>
      <c r="BF74" s="32">
        <v>0</v>
      </c>
      <c r="BG74" s="32">
        <v>0</v>
      </c>
      <c r="BH74" s="32">
        <v>0</v>
      </c>
      <c r="BI74" s="32">
        <v>0</v>
      </c>
      <c r="BJ74" s="32">
        <v>0</v>
      </c>
      <c r="BK74" s="32">
        <v>0</v>
      </c>
      <c r="BL74" s="32">
        <v>0</v>
      </c>
      <c r="BM74" s="32">
        <v>0</v>
      </c>
      <c r="BN74" s="32">
        <v>0</v>
      </c>
      <c r="BO74" s="32">
        <v>9000</v>
      </c>
      <c r="BP74" s="32">
        <v>9000</v>
      </c>
      <c r="BQ74" s="32">
        <v>30950</v>
      </c>
      <c r="BR74" s="32">
        <v>58495.5</v>
      </c>
      <c r="BS74" s="32">
        <v>23336.3</v>
      </c>
      <c r="BT74" s="32">
        <v>0</v>
      </c>
      <c r="BU74" s="32">
        <v>0</v>
      </c>
      <c r="BV74" s="32">
        <v>0</v>
      </c>
      <c r="BW74" s="32">
        <v>0</v>
      </c>
      <c r="BX74" s="32">
        <v>0</v>
      </c>
      <c r="BY74" s="32">
        <v>0</v>
      </c>
      <c r="BZ74" s="32">
        <v>0</v>
      </c>
      <c r="CA74" s="32">
        <v>0</v>
      </c>
      <c r="CB74" s="33" t="s">
        <v>212</v>
      </c>
      <c r="CC74" s="33" t="s">
        <v>624</v>
      </c>
      <c r="CD74" s="33"/>
      <c r="CE74" s="33" t="s">
        <v>523</v>
      </c>
      <c r="CF74" s="33" t="s">
        <v>1286</v>
      </c>
      <c r="CG74" s="33" t="s">
        <v>981</v>
      </c>
      <c r="CH74" s="33" t="s">
        <v>526</v>
      </c>
      <c r="CI74" s="33" t="s">
        <v>1697</v>
      </c>
      <c r="CJ74" s="33" t="s">
        <v>212</v>
      </c>
      <c r="CK74" s="33" t="s">
        <v>1698</v>
      </c>
      <c r="CL74" s="33" t="s">
        <v>212</v>
      </c>
      <c r="CM74" s="33"/>
      <c r="CN74" s="33" t="s">
        <v>254</v>
      </c>
      <c r="CO74" s="33" t="s">
        <v>255</v>
      </c>
      <c r="CP74" s="33" t="s">
        <v>1699</v>
      </c>
      <c r="CQ74" s="33" t="s">
        <v>1331</v>
      </c>
      <c r="CR74" s="33" t="s">
        <v>529</v>
      </c>
      <c r="CS74" s="33" t="s">
        <v>1700</v>
      </c>
      <c r="CT74" s="33"/>
      <c r="CU74" s="33"/>
      <c r="CV74" s="33"/>
      <c r="CW74" s="33"/>
      <c r="CX74" s="33"/>
      <c r="CY74" s="33" t="s">
        <v>732</v>
      </c>
      <c r="CZ74" s="33" t="s">
        <v>1701</v>
      </c>
      <c r="DA74" s="33" t="s">
        <v>1702</v>
      </c>
      <c r="DB74" s="33" t="s">
        <v>1703</v>
      </c>
      <c r="DC74" s="33" t="s">
        <v>534</v>
      </c>
      <c r="DD74" s="33" t="s">
        <v>1704</v>
      </c>
      <c r="DE74" s="33" t="s">
        <v>1705</v>
      </c>
      <c r="DF74" s="34" t="s">
        <v>1706</v>
      </c>
      <c r="DG74" s="27" cm="1">
        <f t="array" ref="DG74">INDEX('elenco partner'!A:M,MATCH(1,(D74='elenco partner'!A:A)*('Partner data'!M74='elenco partner'!E:E),0),4)</f>
        <v>94</v>
      </c>
      <c r="DH74" s="83" t="str">
        <f t="shared" ref="DH74:DH91" si="39">IF(AU74&lt;&gt;0,"Tasso Forfettario 20%",IF(AV74&lt;&gt;0,"COSTO REALE",IF(AW74&lt;&gt;0,"Costo Unitario Standard","BL1 non presente")))</f>
        <v>Tasso Forfettario 20%</v>
      </c>
      <c r="DI74" s="20">
        <f>COUNTIFS('MY-REPORT-MAIN'!C:C,'Partner data'!DG74,'MY-REPORT-MAIN'!I:I,"Certified")</f>
        <v>2</v>
      </c>
      <c r="DJ74" s="20">
        <f>COUNTIFS(List_Of_chek_list!M:M,"&lt;&gt;26",List_Of_chek_list!B:B,'Partner data'!DG74)</f>
        <v>1</v>
      </c>
      <c r="DK74" s="20">
        <f t="shared" ref="DK74:DK91" si="40">DI74-DJ74</f>
        <v>1</v>
      </c>
      <c r="DL74" s="19" t="e">
        <f>IF(DH74="Tasso Forfettario 20%",SUMIFS(List_Of_chek_list!#REF!,List_Of_chek_list!B:B,'Partner data'!DG74),"NON PERTINENTE")</f>
        <v>#REF!</v>
      </c>
      <c r="DM74" s="19" t="e">
        <f t="shared" ref="DM74:DM91" si="41">IF(DL74="NON PERTINENTE","NON PERTINENTE",IF(DJ74=DL74,"Rischio basso","Rischio alto"))</f>
        <v>#REF!</v>
      </c>
      <c r="DN74" s="110">
        <f>_xlfn.MAXIFS('MY-REPORT-MAIN'!K:K,'MY-REPORT-MAIN'!C:C,DG74)</f>
        <v>45386.647182534725</v>
      </c>
      <c r="DO74" s="112">
        <f>IF(_xlfn.MAXIFS('MY-REPORT-MAIN'!M:M,'MY-REPORT-MAIN'!C:C,DG74)=0,"Nessun rendiconto  Convalidato",_xlfn.MAXIFS('MY-REPORT-MAIN'!M:M,'MY-REPORT-MAIN'!C:C,DG74))</f>
        <v>45477.460860185187</v>
      </c>
      <c r="DP74" s="113" cm="1">
        <f t="array" ref="DP74">IFERROR(INDEX('MY-REPORT-MAIN'!A:Z,MATCH(1,(DO74='MY-REPORT-MAIN'!M:M)*('Partner data'!DG74='MY-REPORT-MAIN'!C:C),0),1),"NON è stato convalidato ancora nessun rendiconto")</f>
        <v>308</v>
      </c>
      <c r="DQ74" s="111">
        <f>IFERROR(INDEX('MY-REPORT-MAIN'!A:Z,MATCH('Partner data'!DP74,'MY-REPORT-MAIN'!A:A,0),21),"Nessun Rendiconto ancora convalidato")</f>
        <v>15927.17</v>
      </c>
      <c r="DR74" s="110">
        <f>INDEX('Interreg VI-A Italy-Slovenia_pr'!A:E,MATCH('Partner data'!C74,'Interreg VI-A Italy-Slovenia_pr'!A:A,0),3)</f>
        <v>45078</v>
      </c>
      <c r="DS74" s="118">
        <f t="shared" si="29"/>
        <v>39950</v>
      </c>
      <c r="DT74" s="118">
        <f t="shared" si="30"/>
        <v>98445.5</v>
      </c>
      <c r="DU74" s="118">
        <f t="shared" si="31"/>
        <v>121781.8</v>
      </c>
      <c r="DV74" s="118">
        <f t="shared" si="32"/>
        <v>121781.8</v>
      </c>
      <c r="DW74" s="118">
        <f t="shared" si="33"/>
        <v>121781.8</v>
      </c>
      <c r="DX74" s="118">
        <f t="shared" si="34"/>
        <v>121781.8</v>
      </c>
      <c r="DY74" s="118">
        <f t="shared" si="35"/>
        <v>121781.8</v>
      </c>
      <c r="DZ74" s="118">
        <f t="shared" si="36"/>
        <v>121781.8</v>
      </c>
      <c r="EA74" s="118">
        <f t="shared" si="37"/>
        <v>121781.8</v>
      </c>
      <c r="EB74" s="118">
        <f t="shared" si="38"/>
        <v>121781.8</v>
      </c>
    </row>
    <row r="75" spans="1:132" x14ac:dyDescent="0.25">
      <c r="A75" s="28">
        <v>1</v>
      </c>
      <c r="B75" s="29" t="s">
        <v>487</v>
      </c>
      <c r="C75" s="30" t="s">
        <v>1693</v>
      </c>
      <c r="D75" s="30" t="s">
        <v>60</v>
      </c>
      <c r="E75" s="30" t="s">
        <v>1694</v>
      </c>
      <c r="F75" s="30" t="s">
        <v>490</v>
      </c>
      <c r="G75" s="30" t="s">
        <v>491</v>
      </c>
      <c r="H75" s="30" t="s">
        <v>766</v>
      </c>
      <c r="I75" s="30" t="s">
        <v>767</v>
      </c>
      <c r="J75" s="31" t="s">
        <v>518</v>
      </c>
      <c r="K75" s="31" t="s">
        <v>495</v>
      </c>
      <c r="L75" s="31" t="s">
        <v>519</v>
      </c>
      <c r="M75" s="31" t="s">
        <v>35</v>
      </c>
      <c r="N75" s="31" t="s">
        <v>1707</v>
      </c>
      <c r="O75" s="31" t="s">
        <v>1708</v>
      </c>
      <c r="P75" s="31" t="s">
        <v>257</v>
      </c>
      <c r="Q75" s="31" t="s">
        <v>556</v>
      </c>
      <c r="R75" s="31" t="s">
        <v>270</v>
      </c>
      <c r="S75" s="32">
        <v>88290.8</v>
      </c>
      <c r="T75" s="32">
        <v>80</v>
      </c>
      <c r="U75" s="32">
        <v>16.690000000000001</v>
      </c>
      <c r="V75" s="32">
        <v>0</v>
      </c>
      <c r="W75" s="32">
        <v>0</v>
      </c>
      <c r="X75" s="32">
        <v>0</v>
      </c>
      <c r="Y75" s="32">
        <v>0</v>
      </c>
      <c r="Z75" s="32">
        <v>0</v>
      </c>
      <c r="AA75" s="32">
        <v>0</v>
      </c>
      <c r="AB75" s="32">
        <v>0</v>
      </c>
      <c r="AC75" s="32">
        <v>0</v>
      </c>
      <c r="AD75" s="32">
        <v>0</v>
      </c>
      <c r="AE75" s="32">
        <v>0</v>
      </c>
      <c r="AF75" s="32">
        <v>0</v>
      </c>
      <c r="AG75" s="32">
        <v>0</v>
      </c>
      <c r="AH75" s="32">
        <v>0</v>
      </c>
      <c r="AI75" s="32">
        <v>0</v>
      </c>
      <c r="AJ75" s="32">
        <v>0</v>
      </c>
      <c r="AK75" s="32">
        <v>0</v>
      </c>
      <c r="AL75" s="32">
        <v>0</v>
      </c>
      <c r="AM75" s="32">
        <v>0</v>
      </c>
      <c r="AN75" s="32">
        <v>22072.7</v>
      </c>
      <c r="AO75" s="32">
        <v>0</v>
      </c>
      <c r="AP75" s="32">
        <v>0</v>
      </c>
      <c r="AQ75" s="32">
        <v>22072.7</v>
      </c>
      <c r="AR75" s="32">
        <v>110363.5</v>
      </c>
      <c r="AS75" s="32">
        <v>16.690000000000001</v>
      </c>
      <c r="AT75" s="32">
        <v>61650</v>
      </c>
      <c r="AU75" s="32">
        <v>0</v>
      </c>
      <c r="AV75" s="32">
        <v>61650</v>
      </c>
      <c r="AW75" s="32">
        <v>0</v>
      </c>
      <c r="AX75" s="32">
        <v>9247.5</v>
      </c>
      <c r="AY75" s="32">
        <v>9247.5</v>
      </c>
      <c r="AZ75" s="32">
        <v>2466</v>
      </c>
      <c r="BA75" s="32">
        <v>2466</v>
      </c>
      <c r="BB75" s="32">
        <v>0</v>
      </c>
      <c r="BC75" s="32">
        <v>0</v>
      </c>
      <c r="BD75" s="32">
        <v>37000</v>
      </c>
      <c r="BE75" s="32">
        <v>37000</v>
      </c>
      <c r="BF75" s="32">
        <v>0</v>
      </c>
      <c r="BG75" s="32">
        <v>0</v>
      </c>
      <c r="BH75" s="32">
        <v>0</v>
      </c>
      <c r="BI75" s="32">
        <v>0</v>
      </c>
      <c r="BJ75" s="32">
        <v>0</v>
      </c>
      <c r="BK75" s="32">
        <v>0</v>
      </c>
      <c r="BL75" s="32">
        <v>0</v>
      </c>
      <c r="BM75" s="32">
        <v>0</v>
      </c>
      <c r="BN75" s="32">
        <v>0</v>
      </c>
      <c r="BO75" s="32">
        <v>0</v>
      </c>
      <c r="BP75" s="32">
        <v>0</v>
      </c>
      <c r="BQ75" s="32">
        <v>30954.5</v>
      </c>
      <c r="BR75" s="32">
        <v>39954.5</v>
      </c>
      <c r="BS75" s="32">
        <v>39454.5</v>
      </c>
      <c r="BT75" s="32">
        <v>0</v>
      </c>
      <c r="BU75" s="32">
        <v>0</v>
      </c>
      <c r="BV75" s="32">
        <v>0</v>
      </c>
      <c r="BW75" s="32">
        <v>0</v>
      </c>
      <c r="BX75" s="32">
        <v>0</v>
      </c>
      <c r="BY75" s="32">
        <v>0</v>
      </c>
      <c r="BZ75" s="32">
        <v>0</v>
      </c>
      <c r="CA75" s="32">
        <v>0</v>
      </c>
      <c r="CB75" s="33" t="s">
        <v>212</v>
      </c>
      <c r="CC75" s="33" t="s">
        <v>522</v>
      </c>
      <c r="CD75" s="33"/>
      <c r="CE75" s="33" t="s">
        <v>523</v>
      </c>
      <c r="CF75" s="33" t="s">
        <v>829</v>
      </c>
      <c r="CG75" s="33" t="s">
        <v>981</v>
      </c>
      <c r="CH75" s="33" t="s">
        <v>526</v>
      </c>
      <c r="CI75" s="33" t="s">
        <v>1709</v>
      </c>
      <c r="CJ75" s="33" t="s">
        <v>981</v>
      </c>
      <c r="CK75" s="33" t="s">
        <v>1710</v>
      </c>
      <c r="CL75" s="33" t="s">
        <v>212</v>
      </c>
      <c r="CM75" s="33"/>
      <c r="CN75" s="33" t="s">
        <v>257</v>
      </c>
      <c r="CO75" s="33" t="s">
        <v>270</v>
      </c>
      <c r="CP75" s="33" t="s">
        <v>1711</v>
      </c>
      <c r="CQ75" s="33" t="s">
        <v>1648</v>
      </c>
      <c r="CR75" s="33" t="s">
        <v>1712</v>
      </c>
      <c r="CS75" s="33" t="s">
        <v>1713</v>
      </c>
      <c r="CT75" s="33"/>
      <c r="CU75" s="33"/>
      <c r="CV75" s="33"/>
      <c r="CW75" s="33"/>
      <c r="CX75" s="33"/>
      <c r="CY75" s="33" t="s">
        <v>531</v>
      </c>
      <c r="CZ75" s="33" t="s">
        <v>643</v>
      </c>
      <c r="DA75" s="33" t="s">
        <v>1714</v>
      </c>
      <c r="DB75" s="33" t="s">
        <v>547</v>
      </c>
      <c r="DC75" s="33" t="s">
        <v>960</v>
      </c>
      <c r="DD75" s="33" t="s">
        <v>1715</v>
      </c>
      <c r="DE75" s="33" t="s">
        <v>1716</v>
      </c>
      <c r="DF75" s="34" t="s">
        <v>1717</v>
      </c>
      <c r="DG75" s="27" cm="1">
        <f t="array" ref="DG75">INDEX('elenco partner'!A:M,MATCH(1,(D75='elenco partner'!A:A)*('Partner data'!M75='elenco partner'!E:E),0),4)</f>
        <v>95</v>
      </c>
      <c r="DH75" s="83" t="str">
        <f t="shared" si="39"/>
        <v>COSTO REALE</v>
      </c>
      <c r="DI75" s="20">
        <f>COUNTIFS('MY-REPORT-MAIN'!C:C,'Partner data'!DG75,'MY-REPORT-MAIN'!I:I,"Certified")</f>
        <v>2</v>
      </c>
      <c r="DJ75" s="20">
        <f>COUNTIFS(List_Of_chek_list!M:M,"&lt;&gt;26",List_Of_chek_list!B:B,'Partner data'!DG75)</f>
        <v>2</v>
      </c>
      <c r="DK75" s="20">
        <f t="shared" si="40"/>
        <v>0</v>
      </c>
      <c r="DL75" s="19" t="str">
        <f>IF(DH75="Tasso Forfettario 20%",SUMIFS(List_Of_chek_list!#REF!,List_Of_chek_list!B:B,'Partner data'!DG75),"NON PERTINENTE")</f>
        <v>NON PERTINENTE</v>
      </c>
      <c r="DM75" s="19" t="str">
        <f t="shared" si="41"/>
        <v>NON PERTINENTE</v>
      </c>
      <c r="DN75" s="110">
        <f>_xlfn.MAXIFS('MY-REPORT-MAIN'!K:K,'MY-REPORT-MAIN'!C:C,DG75)</f>
        <v>45379.427384270835</v>
      </c>
      <c r="DO75" s="112">
        <f>IF(_xlfn.MAXIFS('MY-REPORT-MAIN'!M:M,'MY-REPORT-MAIN'!C:C,DG75)=0,"Nessun rendiconto  Convalidato",_xlfn.MAXIFS('MY-REPORT-MAIN'!M:M,'MY-REPORT-MAIN'!C:C,DG75))</f>
        <v>45421.444287222221</v>
      </c>
      <c r="DP75" s="113" cm="1">
        <f t="array" ref="DP75">IFERROR(INDEX('MY-REPORT-MAIN'!A:Z,MATCH(1,(DO75='MY-REPORT-MAIN'!M:M)*('Partner data'!DG75='MY-REPORT-MAIN'!C:C),0),1),"NON è stato convalidato ancora nessun rendiconto")</f>
        <v>258</v>
      </c>
      <c r="DQ75" s="111">
        <f>IFERROR(INDEX('MY-REPORT-MAIN'!A:Z,MATCH('Partner data'!DP75,'MY-REPORT-MAIN'!A:A,0),21),"Nessun Rendiconto ancora convalidato")</f>
        <v>15303.48</v>
      </c>
      <c r="DR75" s="110">
        <f>INDEX('Interreg VI-A Italy-Slovenia_pr'!A:E,MATCH('Partner data'!C75,'Interreg VI-A Italy-Slovenia_pr'!A:A,0),3)</f>
        <v>45078</v>
      </c>
      <c r="DS75" s="118">
        <f t="shared" si="29"/>
        <v>30954.5</v>
      </c>
      <c r="DT75" s="118">
        <f t="shared" si="30"/>
        <v>70909</v>
      </c>
      <c r="DU75" s="118">
        <f t="shared" si="31"/>
        <v>110363.5</v>
      </c>
      <c r="DV75" s="118">
        <f t="shared" si="32"/>
        <v>110363.5</v>
      </c>
      <c r="DW75" s="118">
        <f t="shared" si="33"/>
        <v>110363.5</v>
      </c>
      <c r="DX75" s="118">
        <f t="shared" si="34"/>
        <v>110363.5</v>
      </c>
      <c r="DY75" s="118">
        <f t="shared" si="35"/>
        <v>110363.5</v>
      </c>
      <c r="DZ75" s="118">
        <f t="shared" si="36"/>
        <v>110363.5</v>
      </c>
      <c r="EA75" s="118">
        <f t="shared" si="37"/>
        <v>110363.5</v>
      </c>
      <c r="EB75" s="118">
        <f t="shared" si="38"/>
        <v>110363.5</v>
      </c>
    </row>
    <row r="76" spans="1:132" ht="45" x14ac:dyDescent="0.25">
      <c r="A76" s="28">
        <v>1</v>
      </c>
      <c r="B76" s="29" t="s">
        <v>487</v>
      </c>
      <c r="C76" s="30" t="s">
        <v>1693</v>
      </c>
      <c r="D76" s="30" t="s">
        <v>60</v>
      </c>
      <c r="E76" s="30" t="s">
        <v>1694</v>
      </c>
      <c r="F76" s="30" t="s">
        <v>490</v>
      </c>
      <c r="G76" s="30" t="s">
        <v>491</v>
      </c>
      <c r="H76" s="30" t="s">
        <v>766</v>
      </c>
      <c r="I76" s="30" t="s">
        <v>767</v>
      </c>
      <c r="J76" s="31" t="s">
        <v>538</v>
      </c>
      <c r="K76" s="31" t="s">
        <v>495</v>
      </c>
      <c r="L76" s="31" t="s">
        <v>519</v>
      </c>
      <c r="M76" s="31" t="s">
        <v>330</v>
      </c>
      <c r="N76" s="31" t="s">
        <v>1718</v>
      </c>
      <c r="O76" s="31" t="s">
        <v>1719</v>
      </c>
      <c r="P76" s="31" t="s">
        <v>257</v>
      </c>
      <c r="Q76" s="31" t="s">
        <v>556</v>
      </c>
      <c r="R76" s="31" t="s">
        <v>270</v>
      </c>
      <c r="S76" s="32">
        <v>87452.32</v>
      </c>
      <c r="T76" s="32">
        <v>80</v>
      </c>
      <c r="U76" s="32">
        <v>16.54</v>
      </c>
      <c r="V76" s="32">
        <v>0</v>
      </c>
      <c r="W76" s="32">
        <v>0</v>
      </c>
      <c r="X76" s="32">
        <v>0</v>
      </c>
      <c r="Y76" s="32">
        <v>0</v>
      </c>
      <c r="Z76" s="32">
        <v>0</v>
      </c>
      <c r="AA76" s="32">
        <v>0</v>
      </c>
      <c r="AB76" s="32">
        <v>0</v>
      </c>
      <c r="AC76" s="32">
        <v>0</v>
      </c>
      <c r="AD76" s="32">
        <v>0</v>
      </c>
      <c r="AE76" s="32">
        <v>0</v>
      </c>
      <c r="AF76" s="32">
        <v>0</v>
      </c>
      <c r="AG76" s="32">
        <v>0</v>
      </c>
      <c r="AH76" s="32">
        <v>0</v>
      </c>
      <c r="AI76" s="32">
        <v>0</v>
      </c>
      <c r="AJ76" s="32">
        <v>0</v>
      </c>
      <c r="AK76" s="32">
        <v>0</v>
      </c>
      <c r="AL76" s="32">
        <v>0</v>
      </c>
      <c r="AM76" s="32">
        <v>0</v>
      </c>
      <c r="AN76" s="32">
        <v>0</v>
      </c>
      <c r="AO76" s="32">
        <v>0</v>
      </c>
      <c r="AP76" s="32">
        <v>21863.08</v>
      </c>
      <c r="AQ76" s="32">
        <v>21863.08</v>
      </c>
      <c r="AR76" s="32">
        <v>109315.4</v>
      </c>
      <c r="AS76" s="32">
        <v>16.54</v>
      </c>
      <c r="AT76" s="32">
        <v>17660</v>
      </c>
      <c r="AU76" s="32">
        <v>17660</v>
      </c>
      <c r="AV76" s="32">
        <v>0</v>
      </c>
      <c r="AW76" s="32">
        <v>0</v>
      </c>
      <c r="AX76" s="32">
        <v>2649</v>
      </c>
      <c r="AY76" s="32">
        <v>2649</v>
      </c>
      <c r="AZ76" s="32">
        <v>706.4</v>
      </c>
      <c r="BA76" s="32">
        <v>706.4</v>
      </c>
      <c r="BB76" s="32">
        <v>0</v>
      </c>
      <c r="BC76" s="32">
        <v>0</v>
      </c>
      <c r="BD76" s="32">
        <v>88300</v>
      </c>
      <c r="BE76" s="32">
        <v>88300</v>
      </c>
      <c r="BF76" s="32">
        <v>0</v>
      </c>
      <c r="BG76" s="32">
        <v>0</v>
      </c>
      <c r="BH76" s="32">
        <v>0</v>
      </c>
      <c r="BI76" s="32">
        <v>0</v>
      </c>
      <c r="BJ76" s="32">
        <v>0</v>
      </c>
      <c r="BK76" s="32">
        <v>0</v>
      </c>
      <c r="BL76" s="32">
        <v>0</v>
      </c>
      <c r="BM76" s="32">
        <v>0</v>
      </c>
      <c r="BN76" s="32">
        <v>0</v>
      </c>
      <c r="BO76" s="32">
        <v>0</v>
      </c>
      <c r="BP76" s="32">
        <v>0</v>
      </c>
      <c r="BQ76" s="32">
        <v>25998</v>
      </c>
      <c r="BR76" s="32">
        <v>54224.4</v>
      </c>
      <c r="BS76" s="32">
        <v>29093</v>
      </c>
      <c r="BT76" s="32">
        <v>0</v>
      </c>
      <c r="BU76" s="32">
        <v>0</v>
      </c>
      <c r="BV76" s="32">
        <v>0</v>
      </c>
      <c r="BW76" s="32">
        <v>0</v>
      </c>
      <c r="BX76" s="32">
        <v>0</v>
      </c>
      <c r="BY76" s="32">
        <v>0</v>
      </c>
      <c r="BZ76" s="32">
        <v>0</v>
      </c>
      <c r="CA76" s="32">
        <v>0</v>
      </c>
      <c r="CB76" s="33" t="s">
        <v>212</v>
      </c>
      <c r="CC76" s="33" t="s">
        <v>887</v>
      </c>
      <c r="CD76" s="33"/>
      <c r="CE76" s="33" t="s">
        <v>501</v>
      </c>
      <c r="CF76" s="33" t="s">
        <v>1720</v>
      </c>
      <c r="CG76" s="33" t="s">
        <v>1721</v>
      </c>
      <c r="CH76" s="33" t="s">
        <v>526</v>
      </c>
      <c r="CI76" s="33" t="s">
        <v>1722</v>
      </c>
      <c r="CJ76" s="33" t="s">
        <v>1723</v>
      </c>
      <c r="CK76" s="33" t="s">
        <v>1724</v>
      </c>
      <c r="CL76" s="33" t="s">
        <v>212</v>
      </c>
      <c r="CM76" s="33"/>
      <c r="CN76" s="33" t="s">
        <v>257</v>
      </c>
      <c r="CO76" s="33" t="s">
        <v>270</v>
      </c>
      <c r="CP76" s="33" t="s">
        <v>1725</v>
      </c>
      <c r="CQ76" s="33" t="s">
        <v>710</v>
      </c>
      <c r="CR76" s="33" t="s">
        <v>650</v>
      </c>
      <c r="CS76" s="33" t="s">
        <v>1726</v>
      </c>
      <c r="CT76" s="33"/>
      <c r="CU76" s="33"/>
      <c r="CV76" s="33"/>
      <c r="CW76" s="33"/>
      <c r="CX76" s="33"/>
      <c r="CY76" s="33" t="s">
        <v>531</v>
      </c>
      <c r="CZ76" s="33" t="s">
        <v>1727</v>
      </c>
      <c r="DA76" s="33" t="s">
        <v>1728</v>
      </c>
      <c r="DB76" s="33" t="s">
        <v>1729</v>
      </c>
      <c r="DC76" s="33" t="s">
        <v>698</v>
      </c>
      <c r="DD76" s="33" t="s">
        <v>1730</v>
      </c>
      <c r="DE76" s="33" t="s">
        <v>1731</v>
      </c>
      <c r="DF76" s="34" t="s">
        <v>1732</v>
      </c>
      <c r="DG76" s="27" cm="1">
        <f t="array" ref="DG76">INDEX('elenco partner'!A:M,MATCH(1,(D76='elenco partner'!A:A)*('Partner data'!M76='elenco partner'!E:E),0),4)</f>
        <v>137</v>
      </c>
      <c r="DH76" s="83" t="str">
        <f t="shared" si="39"/>
        <v>Tasso Forfettario 20%</v>
      </c>
      <c r="DI76" s="20">
        <f>COUNTIFS('MY-REPORT-MAIN'!C:C,'Partner data'!DG76,'MY-REPORT-MAIN'!I:I,"Certified")</f>
        <v>0</v>
      </c>
      <c r="DJ76" s="20">
        <f>COUNTIFS(List_Of_chek_list!M:M,"&lt;&gt;26",List_Of_chek_list!B:B,'Partner data'!DG76)</f>
        <v>0</v>
      </c>
      <c r="DK76" s="20">
        <f t="shared" si="40"/>
        <v>0</v>
      </c>
      <c r="DL76" s="19" t="e">
        <f>IF(DH76="Tasso Forfettario 20%",SUMIFS(List_Of_chek_list!#REF!,List_Of_chek_list!B:B,'Partner data'!DG76),"NON PERTINENTE")</f>
        <v>#REF!</v>
      </c>
      <c r="DM76" s="19" t="e">
        <f t="shared" si="41"/>
        <v>#REF!</v>
      </c>
      <c r="DN76" s="110">
        <f>_xlfn.MAXIFS('MY-REPORT-MAIN'!K:K,'MY-REPORT-MAIN'!C:C,DG76)</f>
        <v>0</v>
      </c>
      <c r="DO76" s="112" t="str">
        <f>IF(_xlfn.MAXIFS('MY-REPORT-MAIN'!M:M,'MY-REPORT-MAIN'!C:C,DG76)=0,"Nessun rendiconto  Convalidato",_xlfn.MAXIFS('MY-REPORT-MAIN'!M:M,'MY-REPORT-MAIN'!C:C,DG76))</f>
        <v>Nessun rendiconto  Convalidato</v>
      </c>
      <c r="DP76" s="113" t="str" cm="1">
        <f t="array" ref="DP76">IFERROR(INDEX('MY-REPORT-MAIN'!A:Z,MATCH(1,(DO76='MY-REPORT-MAIN'!M:M)*('Partner data'!DG76='MY-REPORT-MAIN'!C:C),0),1),"NON è stato convalidato ancora nessun rendiconto")</f>
        <v>NON è stato convalidato ancora nessun rendiconto</v>
      </c>
      <c r="DQ76" s="111" t="str">
        <f>IFERROR(INDEX('MY-REPORT-MAIN'!A:Z,MATCH('Partner data'!DP76,'MY-REPORT-MAIN'!A:A,0),21),"Nessun Rendiconto ancora convalidato")</f>
        <v>Nessun Rendiconto ancora convalidato</v>
      </c>
      <c r="DR76" s="110">
        <f>INDEX('Interreg VI-A Italy-Slovenia_pr'!A:E,MATCH('Partner data'!C76,'Interreg VI-A Italy-Slovenia_pr'!A:A,0),3)</f>
        <v>45078</v>
      </c>
      <c r="DS76" s="118">
        <f t="shared" si="29"/>
        <v>25998</v>
      </c>
      <c r="DT76" s="118">
        <f t="shared" si="30"/>
        <v>80222.399999999994</v>
      </c>
      <c r="DU76" s="118">
        <f t="shared" si="31"/>
        <v>109315.4</v>
      </c>
      <c r="DV76" s="118">
        <f t="shared" si="32"/>
        <v>109315.4</v>
      </c>
      <c r="DW76" s="118">
        <f t="shared" si="33"/>
        <v>109315.4</v>
      </c>
      <c r="DX76" s="118">
        <f t="shared" si="34"/>
        <v>109315.4</v>
      </c>
      <c r="DY76" s="118">
        <f t="shared" si="35"/>
        <v>109315.4</v>
      </c>
      <c r="DZ76" s="118">
        <f t="shared" si="36"/>
        <v>109315.4</v>
      </c>
      <c r="EA76" s="118">
        <f t="shared" si="37"/>
        <v>109315.4</v>
      </c>
      <c r="EB76" s="118">
        <f t="shared" si="38"/>
        <v>109315.4</v>
      </c>
    </row>
    <row r="77" spans="1:132" ht="45" x14ac:dyDescent="0.25">
      <c r="A77" s="28">
        <v>1</v>
      </c>
      <c r="B77" s="29" t="s">
        <v>487</v>
      </c>
      <c r="C77" s="30" t="s">
        <v>1693</v>
      </c>
      <c r="D77" s="30" t="s">
        <v>60</v>
      </c>
      <c r="E77" s="30" t="s">
        <v>1694</v>
      </c>
      <c r="F77" s="30" t="s">
        <v>490</v>
      </c>
      <c r="G77" s="30" t="s">
        <v>491</v>
      </c>
      <c r="H77" s="30" t="s">
        <v>766</v>
      </c>
      <c r="I77" s="30" t="s">
        <v>767</v>
      </c>
      <c r="J77" s="31" t="s">
        <v>554</v>
      </c>
      <c r="K77" s="31" t="s">
        <v>495</v>
      </c>
      <c r="L77" s="31" t="s">
        <v>519</v>
      </c>
      <c r="M77" s="31" t="s">
        <v>328</v>
      </c>
      <c r="N77" s="31" t="s">
        <v>1733</v>
      </c>
      <c r="O77" s="31" t="s">
        <v>1734</v>
      </c>
      <c r="P77" s="31" t="s">
        <v>254</v>
      </c>
      <c r="Q77" s="31" t="s">
        <v>499</v>
      </c>
      <c r="R77" s="31" t="s">
        <v>273</v>
      </c>
      <c r="S77" s="32">
        <v>79925.279999999999</v>
      </c>
      <c r="T77" s="32">
        <v>80</v>
      </c>
      <c r="U77" s="32">
        <v>15.11</v>
      </c>
      <c r="V77" s="32">
        <v>0</v>
      </c>
      <c r="W77" s="32">
        <v>0</v>
      </c>
      <c r="X77" s="32">
        <v>0</v>
      </c>
      <c r="Y77" s="32">
        <v>0</v>
      </c>
      <c r="Z77" s="32">
        <v>0</v>
      </c>
      <c r="AA77" s="32">
        <v>0</v>
      </c>
      <c r="AB77" s="32">
        <v>0</v>
      </c>
      <c r="AC77" s="32">
        <v>0</v>
      </c>
      <c r="AD77" s="32">
        <v>0</v>
      </c>
      <c r="AE77" s="32">
        <v>0</v>
      </c>
      <c r="AF77" s="32">
        <v>0</v>
      </c>
      <c r="AG77" s="32">
        <v>0</v>
      </c>
      <c r="AH77" s="32">
        <v>0</v>
      </c>
      <c r="AI77" s="32">
        <v>0</v>
      </c>
      <c r="AJ77" s="32">
        <v>0</v>
      </c>
      <c r="AK77" s="32">
        <v>0</v>
      </c>
      <c r="AL77" s="32">
        <v>0</v>
      </c>
      <c r="AM77" s="32">
        <v>0</v>
      </c>
      <c r="AN77" s="32">
        <v>0</v>
      </c>
      <c r="AO77" s="32">
        <v>19981.32</v>
      </c>
      <c r="AP77" s="32">
        <v>0</v>
      </c>
      <c r="AQ77" s="32">
        <v>19981.32</v>
      </c>
      <c r="AR77" s="32">
        <v>99906.6</v>
      </c>
      <c r="AS77" s="32">
        <v>15.11</v>
      </c>
      <c r="AT77" s="32">
        <v>16140</v>
      </c>
      <c r="AU77" s="32">
        <v>16140</v>
      </c>
      <c r="AV77" s="32">
        <v>0</v>
      </c>
      <c r="AW77" s="32">
        <v>0</v>
      </c>
      <c r="AX77" s="32">
        <v>2421</v>
      </c>
      <c r="AY77" s="32">
        <v>2421</v>
      </c>
      <c r="AZ77" s="32">
        <v>645.6</v>
      </c>
      <c r="BA77" s="32">
        <v>645.6</v>
      </c>
      <c r="BB77" s="32">
        <v>0</v>
      </c>
      <c r="BC77" s="32">
        <v>0</v>
      </c>
      <c r="BD77" s="32">
        <v>80700</v>
      </c>
      <c r="BE77" s="32">
        <v>80700</v>
      </c>
      <c r="BF77" s="32">
        <v>0</v>
      </c>
      <c r="BG77" s="32">
        <v>0</v>
      </c>
      <c r="BH77" s="32">
        <v>0</v>
      </c>
      <c r="BI77" s="32">
        <v>0</v>
      </c>
      <c r="BJ77" s="32">
        <v>0</v>
      </c>
      <c r="BK77" s="32">
        <v>0</v>
      </c>
      <c r="BL77" s="32">
        <v>0</v>
      </c>
      <c r="BM77" s="32">
        <v>0</v>
      </c>
      <c r="BN77" s="32">
        <v>0</v>
      </c>
      <c r="BO77" s="32">
        <v>0</v>
      </c>
      <c r="BP77" s="32">
        <v>0</v>
      </c>
      <c r="BQ77" s="32">
        <v>29588.2</v>
      </c>
      <c r="BR77" s="32">
        <v>38254.199999999997</v>
      </c>
      <c r="BS77" s="32">
        <v>32064.2</v>
      </c>
      <c r="BT77" s="32">
        <v>0</v>
      </c>
      <c r="BU77" s="32">
        <v>0</v>
      </c>
      <c r="BV77" s="32">
        <v>0</v>
      </c>
      <c r="BW77" s="32">
        <v>0</v>
      </c>
      <c r="BX77" s="32">
        <v>0</v>
      </c>
      <c r="BY77" s="32">
        <v>0</v>
      </c>
      <c r="BZ77" s="32">
        <v>0</v>
      </c>
      <c r="CA77" s="32">
        <v>0</v>
      </c>
      <c r="CB77" s="33" t="s">
        <v>212</v>
      </c>
      <c r="CC77" s="33" t="s">
        <v>500</v>
      </c>
      <c r="CD77" s="33"/>
      <c r="CE77" s="33" t="s">
        <v>501</v>
      </c>
      <c r="CF77" s="33" t="s">
        <v>1735</v>
      </c>
      <c r="CG77" s="33" t="s">
        <v>1736</v>
      </c>
      <c r="CH77" s="33" t="s">
        <v>504</v>
      </c>
      <c r="CI77" s="33"/>
      <c r="CJ77" s="33" t="s">
        <v>212</v>
      </c>
      <c r="CK77" s="33"/>
      <c r="CL77" s="33" t="s">
        <v>212</v>
      </c>
      <c r="CM77" s="33"/>
      <c r="CN77" s="33" t="s">
        <v>254</v>
      </c>
      <c r="CO77" s="33" t="s">
        <v>273</v>
      </c>
      <c r="CP77" s="33" t="s">
        <v>1737</v>
      </c>
      <c r="CQ77" s="33" t="s">
        <v>970</v>
      </c>
      <c r="CR77" s="33" t="s">
        <v>1738</v>
      </c>
      <c r="CS77" s="33" t="s">
        <v>1739</v>
      </c>
      <c r="CT77" s="33"/>
      <c r="CU77" s="33"/>
      <c r="CV77" s="33"/>
      <c r="CW77" s="33"/>
      <c r="CX77" s="33"/>
      <c r="CY77" s="33" t="s">
        <v>531</v>
      </c>
      <c r="CZ77" s="33" t="s">
        <v>1740</v>
      </c>
      <c r="DA77" s="33" t="s">
        <v>1741</v>
      </c>
      <c r="DB77" s="33" t="s">
        <v>1729</v>
      </c>
      <c r="DC77" s="33" t="s">
        <v>1742</v>
      </c>
      <c r="DD77" s="33" t="s">
        <v>1743</v>
      </c>
      <c r="DE77" s="33" t="s">
        <v>1744</v>
      </c>
      <c r="DF77" s="34" t="s">
        <v>1745</v>
      </c>
      <c r="DG77" s="27" cm="1">
        <f t="array" ref="DG77">INDEX('elenco partner'!A:M,MATCH(1,(D77='elenco partner'!A:A)*('Partner data'!M77='elenco partner'!E:E),0),4)</f>
        <v>138</v>
      </c>
      <c r="DH77" s="83" t="str">
        <f t="shared" si="39"/>
        <v>Tasso Forfettario 20%</v>
      </c>
      <c r="DI77" s="20">
        <f>COUNTIFS('MY-REPORT-MAIN'!C:C,'Partner data'!DG77,'MY-REPORT-MAIN'!I:I,"Certified")</f>
        <v>0</v>
      </c>
      <c r="DJ77" s="20">
        <f>COUNTIFS(List_Of_chek_list!M:M,"&lt;&gt;26",List_Of_chek_list!B:B,'Partner data'!DG77)</f>
        <v>0</v>
      </c>
      <c r="DK77" s="20">
        <f t="shared" si="40"/>
        <v>0</v>
      </c>
      <c r="DL77" s="19" t="e">
        <f>IF(DH77="Tasso Forfettario 20%",SUMIFS(List_Of_chek_list!#REF!,List_Of_chek_list!B:B,'Partner data'!DG77),"NON PERTINENTE")</f>
        <v>#REF!</v>
      </c>
      <c r="DM77" s="19" t="e">
        <f t="shared" si="41"/>
        <v>#REF!</v>
      </c>
      <c r="DN77" s="110">
        <f>_xlfn.MAXIFS('MY-REPORT-MAIN'!K:K,'MY-REPORT-MAIN'!C:C,DG77)</f>
        <v>0</v>
      </c>
      <c r="DO77" s="112" t="str">
        <f>IF(_xlfn.MAXIFS('MY-REPORT-MAIN'!M:M,'MY-REPORT-MAIN'!C:C,DG77)=0,"Nessun rendiconto  Convalidato",_xlfn.MAXIFS('MY-REPORT-MAIN'!M:M,'MY-REPORT-MAIN'!C:C,DG77))</f>
        <v>Nessun rendiconto  Convalidato</v>
      </c>
      <c r="DP77" s="113" t="str" cm="1">
        <f t="array" ref="DP77">IFERROR(INDEX('MY-REPORT-MAIN'!A:Z,MATCH(1,(DO77='MY-REPORT-MAIN'!M:M)*('Partner data'!DG77='MY-REPORT-MAIN'!C:C),0),1),"NON è stato convalidato ancora nessun rendiconto")</f>
        <v>NON è stato convalidato ancora nessun rendiconto</v>
      </c>
      <c r="DQ77" s="111" t="str">
        <f>IFERROR(INDEX('MY-REPORT-MAIN'!A:Z,MATCH('Partner data'!DP77,'MY-REPORT-MAIN'!A:A,0),21),"Nessun Rendiconto ancora convalidato")</f>
        <v>Nessun Rendiconto ancora convalidato</v>
      </c>
      <c r="DR77" s="110">
        <f>INDEX('Interreg VI-A Italy-Slovenia_pr'!A:E,MATCH('Partner data'!C77,'Interreg VI-A Italy-Slovenia_pr'!A:A,0),3)</f>
        <v>45078</v>
      </c>
      <c r="DS77" s="118">
        <f t="shared" si="29"/>
        <v>29588.2</v>
      </c>
      <c r="DT77" s="118">
        <f t="shared" si="30"/>
        <v>67842.399999999994</v>
      </c>
      <c r="DU77" s="118">
        <f t="shared" si="31"/>
        <v>99906.599999999991</v>
      </c>
      <c r="DV77" s="118">
        <f t="shared" si="32"/>
        <v>99906.599999999991</v>
      </c>
      <c r="DW77" s="118">
        <f t="shared" si="33"/>
        <v>99906.599999999991</v>
      </c>
      <c r="DX77" s="118">
        <f t="shared" si="34"/>
        <v>99906.599999999991</v>
      </c>
      <c r="DY77" s="118">
        <f t="shared" si="35"/>
        <v>99906.599999999991</v>
      </c>
      <c r="DZ77" s="118">
        <f t="shared" si="36"/>
        <v>99906.599999999991</v>
      </c>
      <c r="EA77" s="118">
        <f t="shared" si="37"/>
        <v>99906.599999999991</v>
      </c>
      <c r="EB77" s="118">
        <f t="shared" si="38"/>
        <v>99906.599999999991</v>
      </c>
    </row>
    <row r="78" spans="1:132" x14ac:dyDescent="0.25">
      <c r="A78" s="28">
        <v>1</v>
      </c>
      <c r="B78" s="29" t="s">
        <v>487</v>
      </c>
      <c r="C78" s="30" t="s">
        <v>1693</v>
      </c>
      <c r="D78" s="30" t="s">
        <v>60</v>
      </c>
      <c r="E78" s="30" t="s">
        <v>1694</v>
      </c>
      <c r="F78" s="30" t="s">
        <v>490</v>
      </c>
      <c r="G78" s="30" t="s">
        <v>491</v>
      </c>
      <c r="H78" s="30" t="s">
        <v>766</v>
      </c>
      <c r="I78" s="30" t="s">
        <v>767</v>
      </c>
      <c r="J78" s="31" t="s">
        <v>570</v>
      </c>
      <c r="K78" s="31" t="s">
        <v>495</v>
      </c>
      <c r="L78" s="31" t="s">
        <v>519</v>
      </c>
      <c r="M78" s="31" t="s">
        <v>26</v>
      </c>
      <c r="N78" s="31" t="s">
        <v>1746</v>
      </c>
      <c r="O78" s="31" t="s">
        <v>1747</v>
      </c>
      <c r="P78" s="31" t="s">
        <v>257</v>
      </c>
      <c r="Q78" s="31" t="s">
        <v>722</v>
      </c>
      <c r="R78" s="31" t="s">
        <v>282</v>
      </c>
      <c r="S78" s="32">
        <v>95336</v>
      </c>
      <c r="T78" s="32">
        <v>80</v>
      </c>
      <c r="U78" s="32">
        <v>18.03</v>
      </c>
      <c r="V78" s="32">
        <v>0</v>
      </c>
      <c r="W78" s="32">
        <v>0</v>
      </c>
      <c r="X78" s="32">
        <v>0</v>
      </c>
      <c r="Y78" s="32">
        <v>0</v>
      </c>
      <c r="Z78" s="32">
        <v>0</v>
      </c>
      <c r="AA78" s="32">
        <v>0</v>
      </c>
      <c r="AB78" s="32">
        <v>0</v>
      </c>
      <c r="AC78" s="32">
        <v>0</v>
      </c>
      <c r="AD78" s="32">
        <v>0</v>
      </c>
      <c r="AE78" s="32">
        <v>0</v>
      </c>
      <c r="AF78" s="32">
        <v>0</v>
      </c>
      <c r="AG78" s="32">
        <v>0</v>
      </c>
      <c r="AH78" s="32">
        <v>0</v>
      </c>
      <c r="AI78" s="32">
        <v>0</v>
      </c>
      <c r="AJ78" s="32">
        <v>0</v>
      </c>
      <c r="AK78" s="32">
        <v>0</v>
      </c>
      <c r="AL78" s="32">
        <v>0</v>
      </c>
      <c r="AM78" s="32">
        <v>0</v>
      </c>
      <c r="AN78" s="32">
        <v>0</v>
      </c>
      <c r="AO78" s="32">
        <v>0</v>
      </c>
      <c r="AP78" s="32">
        <v>23834</v>
      </c>
      <c r="AQ78" s="32">
        <v>23834</v>
      </c>
      <c r="AR78" s="32">
        <v>119170</v>
      </c>
      <c r="AS78" s="32">
        <v>18.03</v>
      </c>
      <c r="AT78" s="32">
        <v>63000</v>
      </c>
      <c r="AU78" s="32">
        <v>0</v>
      </c>
      <c r="AV78" s="32">
        <v>63000</v>
      </c>
      <c r="AW78" s="32">
        <v>0</v>
      </c>
      <c r="AX78" s="32">
        <v>9450</v>
      </c>
      <c r="AY78" s="32">
        <v>9450</v>
      </c>
      <c r="AZ78" s="32">
        <v>2520</v>
      </c>
      <c r="BA78" s="32">
        <v>2520</v>
      </c>
      <c r="BB78" s="32">
        <v>0</v>
      </c>
      <c r="BC78" s="32">
        <v>0</v>
      </c>
      <c r="BD78" s="32">
        <v>44200</v>
      </c>
      <c r="BE78" s="32">
        <v>44200</v>
      </c>
      <c r="BF78" s="32">
        <v>0</v>
      </c>
      <c r="BG78" s="32">
        <v>0</v>
      </c>
      <c r="BH78" s="32">
        <v>0</v>
      </c>
      <c r="BI78" s="32">
        <v>0</v>
      </c>
      <c r="BJ78" s="32">
        <v>0</v>
      </c>
      <c r="BK78" s="32">
        <v>0</v>
      </c>
      <c r="BL78" s="32">
        <v>0</v>
      </c>
      <c r="BM78" s="32">
        <v>0</v>
      </c>
      <c r="BN78" s="32">
        <v>0</v>
      </c>
      <c r="BO78" s="32">
        <v>0</v>
      </c>
      <c r="BP78" s="32">
        <v>0</v>
      </c>
      <c r="BQ78" s="32">
        <v>29890</v>
      </c>
      <c r="BR78" s="32">
        <v>45390</v>
      </c>
      <c r="BS78" s="32">
        <v>43890</v>
      </c>
      <c r="BT78" s="32">
        <v>0</v>
      </c>
      <c r="BU78" s="32">
        <v>0</v>
      </c>
      <c r="BV78" s="32">
        <v>0</v>
      </c>
      <c r="BW78" s="32">
        <v>0</v>
      </c>
      <c r="BX78" s="32">
        <v>0</v>
      </c>
      <c r="BY78" s="32">
        <v>0</v>
      </c>
      <c r="BZ78" s="32">
        <v>0</v>
      </c>
      <c r="CA78" s="32">
        <v>0</v>
      </c>
      <c r="CB78" s="33" t="s">
        <v>212</v>
      </c>
      <c r="CC78" s="33" t="s">
        <v>743</v>
      </c>
      <c r="CD78" s="33" t="s">
        <v>706</v>
      </c>
      <c r="CE78" s="33" t="s">
        <v>501</v>
      </c>
      <c r="CF78" s="33" t="s">
        <v>1748</v>
      </c>
      <c r="CG78" s="33" t="s">
        <v>1749</v>
      </c>
      <c r="CH78" s="33" t="s">
        <v>504</v>
      </c>
      <c r="CI78" s="33" t="s">
        <v>981</v>
      </c>
      <c r="CJ78" s="33" t="s">
        <v>212</v>
      </c>
      <c r="CK78" s="33" t="s">
        <v>1750</v>
      </c>
      <c r="CL78" s="33" t="s">
        <v>212</v>
      </c>
      <c r="CM78" s="33"/>
      <c r="CN78" s="33" t="s">
        <v>257</v>
      </c>
      <c r="CO78" s="33" t="s">
        <v>282</v>
      </c>
      <c r="CP78" s="33" t="s">
        <v>1751</v>
      </c>
      <c r="CQ78" s="33" t="s">
        <v>1752</v>
      </c>
      <c r="CR78" s="33" t="s">
        <v>1753</v>
      </c>
      <c r="CS78" s="33" t="s">
        <v>1754</v>
      </c>
      <c r="CT78" s="33"/>
      <c r="CU78" s="33"/>
      <c r="CV78" s="33"/>
      <c r="CW78" s="33"/>
      <c r="CX78" s="33"/>
      <c r="CY78" s="33" t="s">
        <v>531</v>
      </c>
      <c r="CZ78" s="33" t="s">
        <v>1755</v>
      </c>
      <c r="DA78" s="33" t="s">
        <v>1756</v>
      </c>
      <c r="DB78" s="33" t="s">
        <v>547</v>
      </c>
      <c r="DC78" s="33" t="s">
        <v>1757</v>
      </c>
      <c r="DD78" s="33" t="s">
        <v>1758</v>
      </c>
      <c r="DE78" s="33" t="s">
        <v>1759</v>
      </c>
      <c r="DF78" s="34" t="s">
        <v>1760</v>
      </c>
      <c r="DG78" s="27" cm="1">
        <f t="array" ref="DG78">INDEX('elenco partner'!A:M,MATCH(1,(D78='elenco partner'!A:A)*('Partner data'!M78='elenco partner'!E:E),0),4)</f>
        <v>172</v>
      </c>
      <c r="DH78" s="83" t="str">
        <f t="shared" si="39"/>
        <v>COSTO REALE</v>
      </c>
      <c r="DI78" s="20">
        <f>COUNTIFS('MY-REPORT-MAIN'!C:C,'Partner data'!DG78,'MY-REPORT-MAIN'!I:I,"Certified")</f>
        <v>2</v>
      </c>
      <c r="DJ78" s="20">
        <f>COUNTIFS(List_Of_chek_list!M:M,"&lt;&gt;26",List_Of_chek_list!B:B,'Partner data'!DG78)</f>
        <v>2</v>
      </c>
      <c r="DK78" s="20">
        <f t="shared" si="40"/>
        <v>0</v>
      </c>
      <c r="DL78" s="19" t="str">
        <f>IF(DH78="Tasso Forfettario 20%",SUMIFS(List_Of_chek_list!#REF!,List_Of_chek_list!B:B,'Partner data'!DG78),"NON PERTINENTE")</f>
        <v>NON PERTINENTE</v>
      </c>
      <c r="DM78" s="19" t="str">
        <f t="shared" si="41"/>
        <v>NON PERTINENTE</v>
      </c>
      <c r="DN78" s="110">
        <f>_xlfn.MAXIFS('MY-REPORT-MAIN'!K:K,'MY-REPORT-MAIN'!C:C,DG78)</f>
        <v>45380.633065833332</v>
      </c>
      <c r="DO78" s="112">
        <f>IF(_xlfn.MAXIFS('MY-REPORT-MAIN'!M:M,'MY-REPORT-MAIN'!C:C,DG78)=0,"Nessun rendiconto  Convalidato",_xlfn.MAXIFS('MY-REPORT-MAIN'!M:M,'MY-REPORT-MAIN'!C:C,DG78))</f>
        <v>45456.34502753472</v>
      </c>
      <c r="DP78" s="113" cm="1">
        <f t="array" ref="DP78">IFERROR(INDEX('MY-REPORT-MAIN'!A:Z,MATCH(1,(DO78='MY-REPORT-MAIN'!M:M)*('Partner data'!DG78='MY-REPORT-MAIN'!C:C),0),1),"NON è stato convalidato ancora nessun rendiconto")</f>
        <v>251</v>
      </c>
      <c r="DQ78" s="111">
        <f>IFERROR(INDEX('MY-REPORT-MAIN'!A:Z,MATCH('Partner data'!DP78,'MY-REPORT-MAIN'!A:A,0),21),"Nessun Rendiconto ancora convalidato")</f>
        <v>18169.310000000001</v>
      </c>
      <c r="DR78" s="110">
        <f>INDEX('Interreg VI-A Italy-Slovenia_pr'!A:E,MATCH('Partner data'!C78,'Interreg VI-A Italy-Slovenia_pr'!A:A,0),3)</f>
        <v>45078</v>
      </c>
      <c r="DS78" s="118">
        <f t="shared" si="29"/>
        <v>29890</v>
      </c>
      <c r="DT78" s="118">
        <f t="shared" si="30"/>
        <v>75280</v>
      </c>
      <c r="DU78" s="118">
        <f t="shared" si="31"/>
        <v>119170</v>
      </c>
      <c r="DV78" s="118">
        <f t="shared" si="32"/>
        <v>119170</v>
      </c>
      <c r="DW78" s="118">
        <f t="shared" si="33"/>
        <v>119170</v>
      </c>
      <c r="DX78" s="118">
        <f t="shared" si="34"/>
        <v>119170</v>
      </c>
      <c r="DY78" s="118">
        <f t="shared" si="35"/>
        <v>119170</v>
      </c>
      <c r="DZ78" s="118">
        <f t="shared" si="36"/>
        <v>119170</v>
      </c>
      <c r="EA78" s="118">
        <f t="shared" si="37"/>
        <v>119170</v>
      </c>
      <c r="EB78" s="118">
        <f t="shared" si="38"/>
        <v>119170</v>
      </c>
    </row>
    <row r="79" spans="1:132" ht="45" x14ac:dyDescent="0.25">
      <c r="A79" s="28">
        <v>1</v>
      </c>
      <c r="B79" s="29" t="s">
        <v>487</v>
      </c>
      <c r="C79" s="30" t="s">
        <v>1693</v>
      </c>
      <c r="D79" s="30" t="s">
        <v>60</v>
      </c>
      <c r="E79" s="30" t="s">
        <v>1694</v>
      </c>
      <c r="F79" s="30" t="s">
        <v>490</v>
      </c>
      <c r="G79" s="30" t="s">
        <v>491</v>
      </c>
      <c r="H79" s="30" t="s">
        <v>766</v>
      </c>
      <c r="I79" s="30" t="s">
        <v>767</v>
      </c>
      <c r="J79" s="31" t="s">
        <v>581</v>
      </c>
      <c r="K79" s="31" t="s">
        <v>495</v>
      </c>
      <c r="L79" s="31" t="s">
        <v>519</v>
      </c>
      <c r="M79" s="31" t="s">
        <v>329</v>
      </c>
      <c r="N79" s="31" t="s">
        <v>1761</v>
      </c>
      <c r="O79" s="31" t="s">
        <v>1762</v>
      </c>
      <c r="P79" s="31" t="s">
        <v>254</v>
      </c>
      <c r="Q79" s="31" t="s">
        <v>540</v>
      </c>
      <c r="R79" s="31" t="s">
        <v>260</v>
      </c>
      <c r="S79" s="32">
        <v>80470</v>
      </c>
      <c r="T79" s="32">
        <v>80</v>
      </c>
      <c r="U79" s="32">
        <v>15.22</v>
      </c>
      <c r="V79" s="32">
        <v>0</v>
      </c>
      <c r="W79" s="32">
        <v>0</v>
      </c>
      <c r="X79" s="32">
        <v>0</v>
      </c>
      <c r="Y79" s="32">
        <v>0</v>
      </c>
      <c r="Z79" s="32">
        <v>0</v>
      </c>
      <c r="AA79" s="32">
        <v>0</v>
      </c>
      <c r="AB79" s="32">
        <v>0</v>
      </c>
      <c r="AC79" s="32">
        <v>0</v>
      </c>
      <c r="AD79" s="32">
        <v>0</v>
      </c>
      <c r="AE79" s="32">
        <v>0</v>
      </c>
      <c r="AF79" s="32">
        <v>0</v>
      </c>
      <c r="AG79" s="32">
        <v>0</v>
      </c>
      <c r="AH79" s="32">
        <v>0</v>
      </c>
      <c r="AI79" s="32">
        <v>0</v>
      </c>
      <c r="AJ79" s="32">
        <v>0</v>
      </c>
      <c r="AK79" s="32">
        <v>0</v>
      </c>
      <c r="AL79" s="32">
        <v>0</v>
      </c>
      <c r="AM79" s="32">
        <v>0</v>
      </c>
      <c r="AN79" s="32">
        <v>0</v>
      </c>
      <c r="AO79" s="32">
        <v>20117.5</v>
      </c>
      <c r="AP79" s="32">
        <v>0</v>
      </c>
      <c r="AQ79" s="32">
        <v>20117.5</v>
      </c>
      <c r="AR79" s="32">
        <v>100587.5</v>
      </c>
      <c r="AS79" s="32">
        <v>15.22</v>
      </c>
      <c r="AT79" s="32">
        <v>16250</v>
      </c>
      <c r="AU79" s="32">
        <v>16250</v>
      </c>
      <c r="AV79" s="32">
        <v>0</v>
      </c>
      <c r="AW79" s="32">
        <v>0</v>
      </c>
      <c r="AX79" s="32">
        <v>2437.5</v>
      </c>
      <c r="AY79" s="32">
        <v>2437.5</v>
      </c>
      <c r="AZ79" s="32">
        <v>650</v>
      </c>
      <c r="BA79" s="32">
        <v>650</v>
      </c>
      <c r="BB79" s="32">
        <v>0</v>
      </c>
      <c r="BC79" s="32">
        <v>0</v>
      </c>
      <c r="BD79" s="32">
        <v>81250</v>
      </c>
      <c r="BE79" s="32">
        <v>81250</v>
      </c>
      <c r="BF79" s="32">
        <v>0</v>
      </c>
      <c r="BG79" s="32">
        <v>0</v>
      </c>
      <c r="BH79" s="32">
        <v>0</v>
      </c>
      <c r="BI79" s="32">
        <v>0</v>
      </c>
      <c r="BJ79" s="32">
        <v>0</v>
      </c>
      <c r="BK79" s="32">
        <v>0</v>
      </c>
      <c r="BL79" s="32">
        <v>0</v>
      </c>
      <c r="BM79" s="32">
        <v>0</v>
      </c>
      <c r="BN79" s="32">
        <v>0</v>
      </c>
      <c r="BO79" s="32">
        <v>0</v>
      </c>
      <c r="BP79" s="32">
        <v>0</v>
      </c>
      <c r="BQ79" s="32">
        <v>25069.5</v>
      </c>
      <c r="BR79" s="32">
        <v>40235</v>
      </c>
      <c r="BS79" s="32">
        <v>35283</v>
      </c>
      <c r="BT79" s="32">
        <v>0</v>
      </c>
      <c r="BU79" s="32">
        <v>0</v>
      </c>
      <c r="BV79" s="32">
        <v>0</v>
      </c>
      <c r="BW79" s="32">
        <v>0</v>
      </c>
      <c r="BX79" s="32">
        <v>0</v>
      </c>
      <c r="BY79" s="32">
        <v>0</v>
      </c>
      <c r="BZ79" s="32">
        <v>0</v>
      </c>
      <c r="CA79" s="32">
        <v>0</v>
      </c>
      <c r="CB79" s="33" t="s">
        <v>212</v>
      </c>
      <c r="CC79" s="33" t="s">
        <v>624</v>
      </c>
      <c r="CD79" s="33"/>
      <c r="CE79" s="33" t="s">
        <v>523</v>
      </c>
      <c r="CF79" s="33" t="s">
        <v>1286</v>
      </c>
      <c r="CG79" s="33" t="s">
        <v>981</v>
      </c>
      <c r="CH79" s="33" t="s">
        <v>526</v>
      </c>
      <c r="CI79" s="33" t="s">
        <v>1763</v>
      </c>
      <c r="CJ79" s="33" t="s">
        <v>1764</v>
      </c>
      <c r="CK79" s="33" t="s">
        <v>1765</v>
      </c>
      <c r="CL79" s="33" t="s">
        <v>212</v>
      </c>
      <c r="CM79" s="33"/>
      <c r="CN79" s="33" t="s">
        <v>254</v>
      </c>
      <c r="CO79" s="33" t="s">
        <v>260</v>
      </c>
      <c r="CP79" s="33" t="s">
        <v>1766</v>
      </c>
      <c r="CQ79" s="33" t="s">
        <v>920</v>
      </c>
      <c r="CR79" s="33" t="s">
        <v>599</v>
      </c>
      <c r="CS79" s="33" t="s">
        <v>1767</v>
      </c>
      <c r="CT79" s="33"/>
      <c r="CU79" s="33"/>
      <c r="CV79" s="33"/>
      <c r="CW79" s="33"/>
      <c r="CX79" s="33"/>
      <c r="CY79" s="33" t="s">
        <v>1768</v>
      </c>
      <c r="CZ79" s="33" t="s">
        <v>1611</v>
      </c>
      <c r="DA79" s="33" t="s">
        <v>1769</v>
      </c>
      <c r="DB79" s="33" t="s">
        <v>510</v>
      </c>
      <c r="DC79" s="33" t="s">
        <v>1770</v>
      </c>
      <c r="DD79" s="33" t="s">
        <v>1771</v>
      </c>
      <c r="DE79" s="33" t="s">
        <v>1772</v>
      </c>
      <c r="DF79" s="34" t="s">
        <v>1773</v>
      </c>
      <c r="DG79" s="27" cm="1">
        <f t="array" ref="DG79">INDEX('elenco partner'!A:M,MATCH(1,(D79='elenco partner'!A:A)*('Partner data'!M79='elenco partner'!E:E),0),4)</f>
        <v>173</v>
      </c>
      <c r="DH79" s="83" t="str">
        <f t="shared" si="39"/>
        <v>Tasso Forfettario 20%</v>
      </c>
      <c r="DI79" s="20">
        <f>COUNTIFS('MY-REPORT-MAIN'!C:C,'Partner data'!DG79,'MY-REPORT-MAIN'!I:I,"Certified")</f>
        <v>0</v>
      </c>
      <c r="DJ79" s="20">
        <f>COUNTIFS(List_Of_chek_list!M:M,"&lt;&gt;26",List_Of_chek_list!B:B,'Partner data'!DG79)</f>
        <v>0</v>
      </c>
      <c r="DK79" s="20">
        <f t="shared" si="40"/>
        <v>0</v>
      </c>
      <c r="DL79" s="19" t="e">
        <f>IF(DH79="Tasso Forfettario 20%",SUMIFS(List_Of_chek_list!#REF!,List_Of_chek_list!B:B,'Partner data'!DG79),"NON PERTINENTE")</f>
        <v>#REF!</v>
      </c>
      <c r="DM79" s="19" t="e">
        <f t="shared" si="41"/>
        <v>#REF!</v>
      </c>
      <c r="DN79" s="110">
        <f>_xlfn.MAXIFS('MY-REPORT-MAIN'!K:K,'MY-REPORT-MAIN'!C:C,DG79)</f>
        <v>0</v>
      </c>
      <c r="DO79" s="112" t="str">
        <f>IF(_xlfn.MAXIFS('MY-REPORT-MAIN'!M:M,'MY-REPORT-MAIN'!C:C,DG79)=0,"Nessun rendiconto  Convalidato",_xlfn.MAXIFS('MY-REPORT-MAIN'!M:M,'MY-REPORT-MAIN'!C:C,DG79))</f>
        <v>Nessun rendiconto  Convalidato</v>
      </c>
      <c r="DP79" s="113" t="str" cm="1">
        <f t="array" ref="DP79">IFERROR(INDEX('MY-REPORT-MAIN'!A:Z,MATCH(1,(DO79='MY-REPORT-MAIN'!M:M)*('Partner data'!DG79='MY-REPORT-MAIN'!C:C),0),1),"NON è stato convalidato ancora nessun rendiconto")</f>
        <v>NON è stato convalidato ancora nessun rendiconto</v>
      </c>
      <c r="DQ79" s="111" t="str">
        <f>IFERROR(INDEX('MY-REPORT-MAIN'!A:Z,MATCH('Partner data'!DP79,'MY-REPORT-MAIN'!A:A,0),21),"Nessun Rendiconto ancora convalidato")</f>
        <v>Nessun Rendiconto ancora convalidato</v>
      </c>
      <c r="DR79" s="110">
        <f>INDEX('Interreg VI-A Italy-Slovenia_pr'!A:E,MATCH('Partner data'!C79,'Interreg VI-A Italy-Slovenia_pr'!A:A,0),3)</f>
        <v>45078</v>
      </c>
      <c r="DS79" s="118">
        <f t="shared" si="29"/>
        <v>25069.5</v>
      </c>
      <c r="DT79" s="118">
        <f t="shared" si="30"/>
        <v>65304.5</v>
      </c>
      <c r="DU79" s="118">
        <f t="shared" si="31"/>
        <v>100587.5</v>
      </c>
      <c r="DV79" s="118">
        <f t="shared" si="32"/>
        <v>100587.5</v>
      </c>
      <c r="DW79" s="118">
        <f t="shared" si="33"/>
        <v>100587.5</v>
      </c>
      <c r="DX79" s="118">
        <f t="shared" si="34"/>
        <v>100587.5</v>
      </c>
      <c r="DY79" s="118">
        <f t="shared" si="35"/>
        <v>100587.5</v>
      </c>
      <c r="DZ79" s="118">
        <f t="shared" si="36"/>
        <v>100587.5</v>
      </c>
      <c r="EA79" s="118">
        <f t="shared" si="37"/>
        <v>100587.5</v>
      </c>
      <c r="EB79" s="118">
        <f t="shared" si="38"/>
        <v>100587.5</v>
      </c>
    </row>
    <row r="80" spans="1:132" x14ac:dyDescent="0.25">
      <c r="A80" s="28">
        <v>1</v>
      </c>
      <c r="B80" s="29" t="s">
        <v>487</v>
      </c>
      <c r="C80" s="30" t="s">
        <v>1774</v>
      </c>
      <c r="D80" s="30" t="s">
        <v>331</v>
      </c>
      <c r="E80" s="30" t="s">
        <v>1775</v>
      </c>
      <c r="F80" s="30" t="s">
        <v>593</v>
      </c>
      <c r="G80" s="30" t="s">
        <v>491</v>
      </c>
      <c r="H80" s="30" t="s">
        <v>766</v>
      </c>
      <c r="I80" s="30" t="s">
        <v>767</v>
      </c>
      <c r="J80" s="31" t="s">
        <v>494</v>
      </c>
      <c r="K80" s="31" t="s">
        <v>495</v>
      </c>
      <c r="L80" s="31" t="s">
        <v>496</v>
      </c>
      <c r="M80" s="31" t="s">
        <v>330</v>
      </c>
      <c r="N80" s="31" t="s">
        <v>1776</v>
      </c>
      <c r="O80" s="31" t="s">
        <v>1719</v>
      </c>
      <c r="P80" s="31" t="s">
        <v>257</v>
      </c>
      <c r="Q80" s="31" t="s">
        <v>556</v>
      </c>
      <c r="R80" s="31" t="s">
        <v>270</v>
      </c>
      <c r="S80" s="32">
        <v>112772.67</v>
      </c>
      <c r="T80" s="32">
        <v>80</v>
      </c>
      <c r="U80" s="32">
        <v>18.8</v>
      </c>
      <c r="V80" s="32">
        <v>0</v>
      </c>
      <c r="W80" s="32">
        <v>0</v>
      </c>
      <c r="X80" s="32">
        <v>0</v>
      </c>
      <c r="Y80" s="32">
        <v>0</v>
      </c>
      <c r="Z80" s="32">
        <v>0</v>
      </c>
      <c r="AA80" s="32">
        <v>0</v>
      </c>
      <c r="AB80" s="32">
        <v>0</v>
      </c>
      <c r="AC80" s="32">
        <v>0</v>
      </c>
      <c r="AD80" s="32">
        <v>0</v>
      </c>
      <c r="AE80" s="32">
        <v>0</v>
      </c>
      <c r="AF80" s="32">
        <v>0</v>
      </c>
      <c r="AG80" s="32">
        <v>0</v>
      </c>
      <c r="AH80" s="32">
        <v>0</v>
      </c>
      <c r="AI80" s="32">
        <v>0</v>
      </c>
      <c r="AJ80" s="32">
        <v>0</v>
      </c>
      <c r="AK80" s="32">
        <v>0</v>
      </c>
      <c r="AL80" s="32">
        <v>0</v>
      </c>
      <c r="AM80" s="32">
        <v>0</v>
      </c>
      <c r="AN80" s="32">
        <v>0</v>
      </c>
      <c r="AO80" s="32">
        <v>0</v>
      </c>
      <c r="AP80" s="32">
        <v>28193.17</v>
      </c>
      <c r="AQ80" s="32">
        <v>28193.17</v>
      </c>
      <c r="AR80" s="32">
        <v>140965.84</v>
      </c>
      <c r="AS80" s="32">
        <v>18.8</v>
      </c>
      <c r="AT80" s="32">
        <v>21319.200000000001</v>
      </c>
      <c r="AU80" s="32">
        <v>21319.200000000001</v>
      </c>
      <c r="AV80" s="32">
        <v>0</v>
      </c>
      <c r="AW80" s="32">
        <v>0</v>
      </c>
      <c r="AX80" s="32">
        <v>3197.88</v>
      </c>
      <c r="AY80" s="32">
        <v>3197.88</v>
      </c>
      <c r="AZ80" s="32">
        <v>852.76</v>
      </c>
      <c r="BA80" s="32">
        <v>852.76</v>
      </c>
      <c r="BB80" s="32">
        <v>0</v>
      </c>
      <c r="BC80" s="32">
        <v>0</v>
      </c>
      <c r="BD80" s="32">
        <v>83196</v>
      </c>
      <c r="BE80" s="32">
        <v>83196</v>
      </c>
      <c r="BF80" s="32">
        <v>0</v>
      </c>
      <c r="BG80" s="32">
        <v>11200</v>
      </c>
      <c r="BH80" s="32">
        <v>11200</v>
      </c>
      <c r="BI80" s="32">
        <v>0</v>
      </c>
      <c r="BJ80" s="32">
        <v>12200</v>
      </c>
      <c r="BK80" s="32">
        <v>12200</v>
      </c>
      <c r="BL80" s="32">
        <v>0</v>
      </c>
      <c r="BM80" s="32">
        <v>0</v>
      </c>
      <c r="BN80" s="32">
        <v>0</v>
      </c>
      <c r="BO80" s="32">
        <v>9000</v>
      </c>
      <c r="BP80" s="32">
        <v>9000</v>
      </c>
      <c r="BQ80" s="32">
        <v>23769.599999999999</v>
      </c>
      <c r="BR80" s="32">
        <v>73339.12</v>
      </c>
      <c r="BS80" s="32">
        <v>9904</v>
      </c>
      <c r="BT80" s="32">
        <v>24953.119999999999</v>
      </c>
      <c r="BU80" s="32">
        <v>0</v>
      </c>
      <c r="BV80" s="32">
        <v>0</v>
      </c>
      <c r="BW80" s="32">
        <v>0</v>
      </c>
      <c r="BX80" s="32">
        <v>0</v>
      </c>
      <c r="BY80" s="32">
        <v>0</v>
      </c>
      <c r="BZ80" s="32">
        <v>0</v>
      </c>
      <c r="CA80" s="32">
        <v>0</v>
      </c>
      <c r="CB80" s="33" t="s">
        <v>1777</v>
      </c>
      <c r="CC80" s="33" t="s">
        <v>887</v>
      </c>
      <c r="CD80" s="33"/>
      <c r="CE80" s="33" t="s">
        <v>501</v>
      </c>
      <c r="CF80" s="33" t="s">
        <v>1688</v>
      </c>
      <c r="CG80" s="33" t="s">
        <v>1721</v>
      </c>
      <c r="CH80" s="33" t="s">
        <v>526</v>
      </c>
      <c r="CI80" s="33" t="s">
        <v>1722</v>
      </c>
      <c r="CJ80" s="33" t="s">
        <v>1778</v>
      </c>
      <c r="CK80" s="33" t="s">
        <v>1724</v>
      </c>
      <c r="CL80" s="33" t="s">
        <v>212</v>
      </c>
      <c r="CM80" s="33"/>
      <c r="CN80" s="33" t="s">
        <v>257</v>
      </c>
      <c r="CO80" s="33" t="s">
        <v>270</v>
      </c>
      <c r="CP80" s="33" t="s">
        <v>1779</v>
      </c>
      <c r="CQ80" s="33" t="s">
        <v>710</v>
      </c>
      <c r="CR80" s="33" t="s">
        <v>1780</v>
      </c>
      <c r="CS80" s="33" t="s">
        <v>1781</v>
      </c>
      <c r="CT80" s="33" t="s">
        <v>257</v>
      </c>
      <c r="CU80" s="33" t="s">
        <v>270</v>
      </c>
      <c r="CV80" s="33" t="s">
        <v>1782</v>
      </c>
      <c r="CW80" s="33" t="s">
        <v>710</v>
      </c>
      <c r="CX80" s="33" t="s">
        <v>1780</v>
      </c>
      <c r="CY80" s="33" t="s">
        <v>1783</v>
      </c>
      <c r="CZ80" s="33" t="s">
        <v>1784</v>
      </c>
      <c r="DA80" s="33" t="s">
        <v>1785</v>
      </c>
      <c r="DB80" s="33" t="s">
        <v>1783</v>
      </c>
      <c r="DC80" s="33" t="s">
        <v>1786</v>
      </c>
      <c r="DD80" s="33" t="s">
        <v>1787</v>
      </c>
      <c r="DE80" s="33" t="s">
        <v>1731</v>
      </c>
      <c r="DF80" s="34" t="s">
        <v>1788</v>
      </c>
      <c r="DG80" s="27" cm="1">
        <f t="array" ref="DG80">INDEX('elenco partner'!A:M,MATCH(1,(D80='elenco partner'!A:A)*('Partner data'!M80='elenco partner'!E:E),0),4)</f>
        <v>189</v>
      </c>
      <c r="DH80" s="83" t="str">
        <f t="shared" si="39"/>
        <v>Tasso Forfettario 20%</v>
      </c>
      <c r="DI80" s="20">
        <f>COUNTIFS('MY-REPORT-MAIN'!C:C,'Partner data'!DG80,'MY-REPORT-MAIN'!I:I,"Certified")</f>
        <v>1</v>
      </c>
      <c r="DJ80" s="20">
        <f>COUNTIFS(List_Of_chek_list!M:M,"&lt;&gt;26",List_Of_chek_list!B:B,'Partner data'!DG80)</f>
        <v>1</v>
      </c>
      <c r="DK80" s="20">
        <f t="shared" si="40"/>
        <v>0</v>
      </c>
      <c r="DL80" s="19" t="e">
        <f>IF(DH80="Tasso Forfettario 20%",SUMIFS(List_Of_chek_list!#REF!,List_Of_chek_list!B:B,'Partner data'!DG80),"NON PERTINENTE")</f>
        <v>#REF!</v>
      </c>
      <c r="DM80" s="19" t="e">
        <f t="shared" si="41"/>
        <v>#REF!</v>
      </c>
      <c r="DN80" s="110">
        <f>_xlfn.MAXIFS('MY-REPORT-MAIN'!K:K,'MY-REPORT-MAIN'!C:C,DG80)</f>
        <v>45387.481353761577</v>
      </c>
      <c r="DO80" s="112">
        <f>IF(_xlfn.MAXIFS('MY-REPORT-MAIN'!M:M,'MY-REPORT-MAIN'!C:C,DG80)=0,"Nessun rendiconto  Convalidato",_xlfn.MAXIFS('MY-REPORT-MAIN'!M:M,'MY-REPORT-MAIN'!C:C,DG80))</f>
        <v>45462.535788055553</v>
      </c>
      <c r="DP80" s="113" cm="1">
        <f t="array" ref="DP80">IFERROR(INDEX('MY-REPORT-MAIN'!A:Z,MATCH(1,(DO80='MY-REPORT-MAIN'!M:M)*('Partner data'!DG80='MY-REPORT-MAIN'!C:C),0),1),"NON è stato convalidato ancora nessun rendiconto")</f>
        <v>343</v>
      </c>
      <c r="DQ80" s="111">
        <f>IFERROR(INDEX('MY-REPORT-MAIN'!A:Z,MATCH('Partner data'!DP80,'MY-REPORT-MAIN'!A:A,0),21),"Nessun Rendiconto ancora convalidato")</f>
        <v>9000</v>
      </c>
      <c r="DR80" s="110">
        <f>INDEX('Interreg VI-A Italy-Slovenia_pr'!A:E,MATCH('Partner data'!C80,'Interreg VI-A Italy-Slovenia_pr'!A:A,0),3)</f>
        <v>45170</v>
      </c>
      <c r="DS80" s="118">
        <f t="shared" si="29"/>
        <v>32769.599999999999</v>
      </c>
      <c r="DT80" s="118">
        <f t="shared" si="30"/>
        <v>106108.72</v>
      </c>
      <c r="DU80" s="118">
        <f t="shared" si="31"/>
        <v>116012.72</v>
      </c>
      <c r="DV80" s="118">
        <f t="shared" si="32"/>
        <v>140965.84</v>
      </c>
      <c r="DW80" s="118">
        <f t="shared" si="33"/>
        <v>140965.84</v>
      </c>
      <c r="DX80" s="118">
        <f t="shared" si="34"/>
        <v>140965.84</v>
      </c>
      <c r="DY80" s="118">
        <f t="shared" si="35"/>
        <v>140965.84</v>
      </c>
      <c r="DZ80" s="118">
        <f t="shared" si="36"/>
        <v>140965.84</v>
      </c>
      <c r="EA80" s="118">
        <f t="shared" si="37"/>
        <v>140965.84</v>
      </c>
      <c r="EB80" s="118">
        <f t="shared" si="38"/>
        <v>140965.84</v>
      </c>
    </row>
    <row r="81" spans="1:132" x14ac:dyDescent="0.25">
      <c r="A81" s="28">
        <v>1</v>
      </c>
      <c r="B81" s="29" t="s">
        <v>487</v>
      </c>
      <c r="C81" s="30" t="s">
        <v>1774</v>
      </c>
      <c r="D81" s="30" t="s">
        <v>331</v>
      </c>
      <c r="E81" s="30" t="s">
        <v>1775</v>
      </c>
      <c r="F81" s="30" t="s">
        <v>593</v>
      </c>
      <c r="G81" s="30" t="s">
        <v>491</v>
      </c>
      <c r="H81" s="30" t="s">
        <v>766</v>
      </c>
      <c r="I81" s="30" t="s">
        <v>767</v>
      </c>
      <c r="J81" s="31" t="s">
        <v>518</v>
      </c>
      <c r="K81" s="31" t="s">
        <v>495</v>
      </c>
      <c r="L81" s="31" t="s">
        <v>519</v>
      </c>
      <c r="M81" s="31" t="s">
        <v>332</v>
      </c>
      <c r="N81" s="31" t="s">
        <v>1789</v>
      </c>
      <c r="O81" s="31" t="s">
        <v>1790</v>
      </c>
      <c r="P81" s="31" t="s">
        <v>254</v>
      </c>
      <c r="Q81" s="31" t="s">
        <v>499</v>
      </c>
      <c r="R81" s="31" t="s">
        <v>255</v>
      </c>
      <c r="S81" s="32">
        <v>80708.600000000006</v>
      </c>
      <c r="T81" s="32">
        <v>80</v>
      </c>
      <c r="U81" s="32">
        <v>13.45</v>
      </c>
      <c r="V81" s="32">
        <v>0</v>
      </c>
      <c r="W81" s="32">
        <v>0</v>
      </c>
      <c r="X81" s="32">
        <v>0</v>
      </c>
      <c r="Y81" s="32">
        <v>0</v>
      </c>
      <c r="Z81" s="32">
        <v>0</v>
      </c>
      <c r="AA81" s="32">
        <v>0</v>
      </c>
      <c r="AB81" s="32">
        <v>0</v>
      </c>
      <c r="AC81" s="32">
        <v>0</v>
      </c>
      <c r="AD81" s="32">
        <v>0</v>
      </c>
      <c r="AE81" s="32">
        <v>0</v>
      </c>
      <c r="AF81" s="32">
        <v>0</v>
      </c>
      <c r="AG81" s="32">
        <v>0</v>
      </c>
      <c r="AH81" s="32">
        <v>0</v>
      </c>
      <c r="AI81" s="32">
        <v>0</v>
      </c>
      <c r="AJ81" s="32">
        <v>0</v>
      </c>
      <c r="AK81" s="32">
        <v>0</v>
      </c>
      <c r="AL81" s="32">
        <v>0</v>
      </c>
      <c r="AM81" s="32">
        <v>0</v>
      </c>
      <c r="AN81" s="32">
        <v>0</v>
      </c>
      <c r="AO81" s="32">
        <v>20177.16</v>
      </c>
      <c r="AP81" s="32">
        <v>0</v>
      </c>
      <c r="AQ81" s="32">
        <v>20177.16</v>
      </c>
      <c r="AR81" s="32">
        <v>100885.75999999999</v>
      </c>
      <c r="AS81" s="32">
        <v>13.45</v>
      </c>
      <c r="AT81" s="32">
        <v>39904</v>
      </c>
      <c r="AU81" s="32">
        <v>0</v>
      </c>
      <c r="AV81" s="32">
        <v>0</v>
      </c>
      <c r="AW81" s="32">
        <v>39904</v>
      </c>
      <c r="AX81" s="32">
        <v>5985.6</v>
      </c>
      <c r="AY81" s="32">
        <v>5985.6</v>
      </c>
      <c r="AZ81" s="32">
        <v>1596.16</v>
      </c>
      <c r="BA81" s="32">
        <v>1596.16</v>
      </c>
      <c r="BB81" s="32">
        <v>0</v>
      </c>
      <c r="BC81" s="32">
        <v>0</v>
      </c>
      <c r="BD81" s="32">
        <v>53400</v>
      </c>
      <c r="BE81" s="32">
        <v>53400</v>
      </c>
      <c r="BF81" s="32">
        <v>0</v>
      </c>
      <c r="BG81" s="32">
        <v>0</v>
      </c>
      <c r="BH81" s="32">
        <v>0</v>
      </c>
      <c r="BI81" s="32">
        <v>0</v>
      </c>
      <c r="BJ81" s="32">
        <v>0</v>
      </c>
      <c r="BK81" s="32">
        <v>0</v>
      </c>
      <c r="BL81" s="32">
        <v>0</v>
      </c>
      <c r="BM81" s="32">
        <v>0</v>
      </c>
      <c r="BN81" s="32">
        <v>0</v>
      </c>
      <c r="BO81" s="32">
        <v>0</v>
      </c>
      <c r="BP81" s="32">
        <v>0</v>
      </c>
      <c r="BQ81" s="32">
        <v>30900</v>
      </c>
      <c r="BR81" s="32">
        <v>41300</v>
      </c>
      <c r="BS81" s="32">
        <v>14900</v>
      </c>
      <c r="BT81" s="32">
        <v>13785.76</v>
      </c>
      <c r="BU81" s="32">
        <v>0</v>
      </c>
      <c r="BV81" s="32">
        <v>0</v>
      </c>
      <c r="BW81" s="32">
        <v>0</v>
      </c>
      <c r="BX81" s="32">
        <v>0</v>
      </c>
      <c r="BY81" s="32">
        <v>0</v>
      </c>
      <c r="BZ81" s="32">
        <v>0</v>
      </c>
      <c r="CA81" s="32">
        <v>0</v>
      </c>
      <c r="CB81" s="33" t="s">
        <v>212</v>
      </c>
      <c r="CC81" s="33" t="s">
        <v>887</v>
      </c>
      <c r="CD81" s="33"/>
      <c r="CE81" s="33" t="s">
        <v>501</v>
      </c>
      <c r="CF81" s="33" t="s">
        <v>1688</v>
      </c>
      <c r="CG81" s="33" t="s">
        <v>1791</v>
      </c>
      <c r="CH81" s="33" t="s">
        <v>526</v>
      </c>
      <c r="CI81" s="33"/>
      <c r="CJ81" s="33" t="s">
        <v>212</v>
      </c>
      <c r="CK81" s="33"/>
      <c r="CL81" s="33" t="s">
        <v>212</v>
      </c>
      <c r="CM81" s="33"/>
      <c r="CN81" s="33" t="s">
        <v>254</v>
      </c>
      <c r="CO81" s="33" t="s">
        <v>255</v>
      </c>
      <c r="CP81" s="33" t="s">
        <v>1792</v>
      </c>
      <c r="CQ81" s="33" t="s">
        <v>666</v>
      </c>
      <c r="CR81" s="33" t="s">
        <v>529</v>
      </c>
      <c r="CS81" s="33" t="s">
        <v>1793</v>
      </c>
      <c r="CT81" s="33"/>
      <c r="CU81" s="33"/>
      <c r="CV81" s="33"/>
      <c r="CW81" s="33"/>
      <c r="CX81" s="33"/>
      <c r="CY81" s="33" t="s">
        <v>1783</v>
      </c>
      <c r="CZ81" s="33" t="s">
        <v>511</v>
      </c>
      <c r="DA81" s="33" t="s">
        <v>1794</v>
      </c>
      <c r="DB81" s="33" t="s">
        <v>602</v>
      </c>
      <c r="DC81" s="33" t="s">
        <v>1795</v>
      </c>
      <c r="DD81" s="33" t="s">
        <v>1796</v>
      </c>
      <c r="DE81" s="33" t="s">
        <v>1797</v>
      </c>
      <c r="DF81" s="34" t="s">
        <v>1798</v>
      </c>
      <c r="DG81" s="27" cm="1">
        <f t="array" ref="DG81">INDEX('elenco partner'!A:M,MATCH(1,(D81='elenco partner'!A:A)*('Partner data'!M81='elenco partner'!E:E),0),4)</f>
        <v>252</v>
      </c>
      <c r="DH81" s="83" t="str">
        <f t="shared" si="39"/>
        <v>Costo Unitario Standard</v>
      </c>
      <c r="DI81" s="20">
        <f>COUNTIFS('MY-REPORT-MAIN'!C:C,'Partner data'!DG81,'MY-REPORT-MAIN'!I:I,"Certified")</f>
        <v>1</v>
      </c>
      <c r="DJ81" s="20">
        <f>COUNTIFS(List_Of_chek_list!M:M,"&lt;&gt;26",List_Of_chek_list!B:B,'Partner data'!DG81)</f>
        <v>0</v>
      </c>
      <c r="DK81" s="20">
        <f t="shared" si="40"/>
        <v>1</v>
      </c>
      <c r="DL81" s="19" t="str">
        <f>IF(DH81="Tasso Forfettario 20%",SUMIFS(List_Of_chek_list!#REF!,List_Of_chek_list!B:B,'Partner data'!DG81),"NON PERTINENTE")</f>
        <v>NON PERTINENTE</v>
      </c>
      <c r="DM81" s="19" t="str">
        <f t="shared" si="41"/>
        <v>NON PERTINENTE</v>
      </c>
      <c r="DN81" s="110">
        <f>_xlfn.MAXIFS('MY-REPORT-MAIN'!K:K,'MY-REPORT-MAIN'!C:C,DG81)</f>
        <v>45385.668263518521</v>
      </c>
      <c r="DO81" s="112">
        <f>IF(_xlfn.MAXIFS('MY-REPORT-MAIN'!M:M,'MY-REPORT-MAIN'!C:C,DG81)=0,"Nessun rendiconto  Convalidato",_xlfn.MAXIFS('MY-REPORT-MAIN'!M:M,'MY-REPORT-MAIN'!C:C,DG81))</f>
        <v>45470.682446805557</v>
      </c>
      <c r="DP81" s="113" cm="1">
        <f t="array" ref="DP81">IFERROR(INDEX('MY-REPORT-MAIN'!A:Z,MATCH(1,(DO81='MY-REPORT-MAIN'!M:M)*('Partner data'!DG81='MY-REPORT-MAIN'!C:C),0),1),"NON è stato convalidato ancora nessun rendiconto")</f>
        <v>305</v>
      </c>
      <c r="DQ81" s="111">
        <f>IFERROR(INDEX('MY-REPORT-MAIN'!A:Z,MATCH('Partner data'!DP81,'MY-REPORT-MAIN'!A:A,0),21),"Nessun Rendiconto ancora convalidato")</f>
        <v>2440</v>
      </c>
      <c r="DR81" s="110">
        <f>INDEX('Interreg VI-A Italy-Slovenia_pr'!A:E,MATCH('Partner data'!C81,'Interreg VI-A Italy-Slovenia_pr'!A:A,0),3)</f>
        <v>45170</v>
      </c>
      <c r="DS81" s="118">
        <f t="shared" si="29"/>
        <v>30900</v>
      </c>
      <c r="DT81" s="118">
        <f t="shared" si="30"/>
        <v>72200</v>
      </c>
      <c r="DU81" s="118">
        <f t="shared" si="31"/>
        <v>87100</v>
      </c>
      <c r="DV81" s="118">
        <f t="shared" si="32"/>
        <v>100885.75999999999</v>
      </c>
      <c r="DW81" s="118">
        <f t="shared" si="33"/>
        <v>100885.75999999999</v>
      </c>
      <c r="DX81" s="118">
        <f t="shared" si="34"/>
        <v>100885.75999999999</v>
      </c>
      <c r="DY81" s="118">
        <f t="shared" si="35"/>
        <v>100885.75999999999</v>
      </c>
      <c r="DZ81" s="118">
        <f t="shared" si="36"/>
        <v>100885.75999999999</v>
      </c>
      <c r="EA81" s="118">
        <f t="shared" si="37"/>
        <v>100885.75999999999</v>
      </c>
      <c r="EB81" s="118">
        <f t="shared" si="38"/>
        <v>100885.75999999999</v>
      </c>
    </row>
    <row r="82" spans="1:132" x14ac:dyDescent="0.25">
      <c r="A82" s="28">
        <v>1</v>
      </c>
      <c r="B82" s="29" t="s">
        <v>487</v>
      </c>
      <c r="C82" s="30" t="s">
        <v>1774</v>
      </c>
      <c r="D82" s="30" t="s">
        <v>331</v>
      </c>
      <c r="E82" s="30" t="s">
        <v>1775</v>
      </c>
      <c r="F82" s="30" t="s">
        <v>593</v>
      </c>
      <c r="G82" s="30" t="s">
        <v>491</v>
      </c>
      <c r="H82" s="30" t="s">
        <v>766</v>
      </c>
      <c r="I82" s="30" t="s">
        <v>767</v>
      </c>
      <c r="J82" s="31" t="s">
        <v>538</v>
      </c>
      <c r="K82" s="31" t="s">
        <v>495</v>
      </c>
      <c r="L82" s="31" t="s">
        <v>519</v>
      </c>
      <c r="M82" s="31" t="s">
        <v>334</v>
      </c>
      <c r="N82" s="31" t="s">
        <v>1799</v>
      </c>
      <c r="O82" s="31" t="s">
        <v>604</v>
      </c>
      <c r="P82" s="31" t="s">
        <v>254</v>
      </c>
      <c r="Q82" s="31" t="s">
        <v>499</v>
      </c>
      <c r="R82" s="31" t="s">
        <v>255</v>
      </c>
      <c r="S82" s="32">
        <v>80028.56</v>
      </c>
      <c r="T82" s="32">
        <v>80</v>
      </c>
      <c r="U82" s="32">
        <v>13.34</v>
      </c>
      <c r="V82" s="32">
        <v>0</v>
      </c>
      <c r="W82" s="32">
        <v>0</v>
      </c>
      <c r="X82" s="32">
        <v>0</v>
      </c>
      <c r="Y82" s="32">
        <v>0</v>
      </c>
      <c r="Z82" s="32">
        <v>0</v>
      </c>
      <c r="AA82" s="32">
        <v>0</v>
      </c>
      <c r="AB82" s="32">
        <v>0</v>
      </c>
      <c r="AC82" s="32">
        <v>0</v>
      </c>
      <c r="AD82" s="32">
        <v>0</v>
      </c>
      <c r="AE82" s="32">
        <v>0</v>
      </c>
      <c r="AF82" s="32">
        <v>0</v>
      </c>
      <c r="AG82" s="32">
        <v>0</v>
      </c>
      <c r="AH82" s="32">
        <v>0</v>
      </c>
      <c r="AI82" s="32">
        <v>0</v>
      </c>
      <c r="AJ82" s="32">
        <v>0</v>
      </c>
      <c r="AK82" s="32">
        <v>0</v>
      </c>
      <c r="AL82" s="32">
        <v>0</v>
      </c>
      <c r="AM82" s="32">
        <v>0</v>
      </c>
      <c r="AN82" s="32">
        <v>0</v>
      </c>
      <c r="AO82" s="32">
        <v>20007.14</v>
      </c>
      <c r="AP82" s="32">
        <v>0</v>
      </c>
      <c r="AQ82" s="32">
        <v>20007.14</v>
      </c>
      <c r="AR82" s="32">
        <v>100035.7</v>
      </c>
      <c r="AS82" s="32">
        <v>13.34</v>
      </c>
      <c r="AT82" s="32">
        <v>44030</v>
      </c>
      <c r="AU82" s="32">
        <v>0</v>
      </c>
      <c r="AV82" s="32">
        <v>0</v>
      </c>
      <c r="AW82" s="32">
        <v>44030</v>
      </c>
      <c r="AX82" s="32">
        <v>6604.5</v>
      </c>
      <c r="AY82" s="32">
        <v>6604.5</v>
      </c>
      <c r="AZ82" s="32">
        <v>1761.2</v>
      </c>
      <c r="BA82" s="32">
        <v>1761.2</v>
      </c>
      <c r="BB82" s="32">
        <v>0</v>
      </c>
      <c r="BC82" s="32">
        <v>0</v>
      </c>
      <c r="BD82" s="32">
        <v>47640</v>
      </c>
      <c r="BE82" s="32">
        <v>47640</v>
      </c>
      <c r="BF82" s="32">
        <v>0</v>
      </c>
      <c r="BG82" s="32">
        <v>0</v>
      </c>
      <c r="BH82" s="32">
        <v>0</v>
      </c>
      <c r="BI82" s="32">
        <v>0</v>
      </c>
      <c r="BJ82" s="32">
        <v>0</v>
      </c>
      <c r="BK82" s="32">
        <v>0</v>
      </c>
      <c r="BL82" s="32">
        <v>0</v>
      </c>
      <c r="BM82" s="32">
        <v>0</v>
      </c>
      <c r="BN82" s="32">
        <v>0</v>
      </c>
      <c r="BO82" s="32">
        <v>0</v>
      </c>
      <c r="BP82" s="32">
        <v>0</v>
      </c>
      <c r="BQ82" s="32">
        <v>15960.3</v>
      </c>
      <c r="BR82" s="32">
        <v>22937.05</v>
      </c>
      <c r="BS82" s="32">
        <v>16178.05</v>
      </c>
      <c r="BT82" s="32">
        <v>44960.3</v>
      </c>
      <c r="BU82" s="32">
        <v>0</v>
      </c>
      <c r="BV82" s="32">
        <v>0</v>
      </c>
      <c r="BW82" s="32">
        <v>0</v>
      </c>
      <c r="BX82" s="32">
        <v>0</v>
      </c>
      <c r="BY82" s="32">
        <v>0</v>
      </c>
      <c r="BZ82" s="32">
        <v>0</v>
      </c>
      <c r="CA82" s="32">
        <v>0</v>
      </c>
      <c r="CB82" s="33" t="s">
        <v>605</v>
      </c>
      <c r="CC82" s="33" t="s">
        <v>606</v>
      </c>
      <c r="CD82" s="33"/>
      <c r="CE82" s="33" t="s">
        <v>523</v>
      </c>
      <c r="CF82" s="33" t="s">
        <v>1800</v>
      </c>
      <c r="CG82" s="33" t="s">
        <v>1801</v>
      </c>
      <c r="CH82" s="33" t="s">
        <v>526</v>
      </c>
      <c r="CI82" s="33"/>
      <c r="CJ82" s="33" t="s">
        <v>212</v>
      </c>
      <c r="CK82" s="33" t="s">
        <v>609</v>
      </c>
      <c r="CL82" s="33" t="s">
        <v>212</v>
      </c>
      <c r="CM82" s="33"/>
      <c r="CN82" s="33" t="s">
        <v>254</v>
      </c>
      <c r="CO82" s="33" t="s">
        <v>255</v>
      </c>
      <c r="CP82" s="33" t="s">
        <v>1802</v>
      </c>
      <c r="CQ82" s="33" t="s">
        <v>611</v>
      </c>
      <c r="CR82" s="33" t="s">
        <v>1417</v>
      </c>
      <c r="CS82" s="33" t="s">
        <v>1803</v>
      </c>
      <c r="CT82" s="33" t="s">
        <v>254</v>
      </c>
      <c r="CU82" s="33" t="s">
        <v>255</v>
      </c>
      <c r="CV82" s="33" t="s">
        <v>1804</v>
      </c>
      <c r="CW82" s="33" t="s">
        <v>1331</v>
      </c>
      <c r="CX82" s="33" t="s">
        <v>529</v>
      </c>
      <c r="CY82" s="33" t="s">
        <v>602</v>
      </c>
      <c r="CZ82" s="33" t="s">
        <v>613</v>
      </c>
      <c r="DA82" s="33" t="s">
        <v>614</v>
      </c>
      <c r="DB82" s="33" t="s">
        <v>602</v>
      </c>
      <c r="DC82" s="33" t="s">
        <v>1805</v>
      </c>
      <c r="DD82" s="33" t="s">
        <v>615</v>
      </c>
      <c r="DE82" s="33" t="s">
        <v>616</v>
      </c>
      <c r="DF82" s="34" t="s">
        <v>1806</v>
      </c>
      <c r="DG82" s="27" cm="1">
        <f t="array" ref="DG82">INDEX('elenco partner'!A:M,MATCH(1,(D82='elenco partner'!A:A)*('Partner data'!M82='elenco partner'!E:E),0),4)</f>
        <v>253</v>
      </c>
      <c r="DH82" s="83" t="str">
        <f t="shared" si="39"/>
        <v>Costo Unitario Standard</v>
      </c>
      <c r="DI82" s="20">
        <f>COUNTIFS('MY-REPORT-MAIN'!C:C,'Partner data'!DG82,'MY-REPORT-MAIN'!I:I,"Certified")</f>
        <v>1</v>
      </c>
      <c r="DJ82" s="20">
        <f>COUNTIFS(List_Of_chek_list!M:M,"&lt;&gt;26",List_Of_chek_list!B:B,'Partner data'!DG82)</f>
        <v>1</v>
      </c>
      <c r="DK82" s="20">
        <f t="shared" si="40"/>
        <v>0</v>
      </c>
      <c r="DL82" s="19" t="str">
        <f>IF(DH82="Tasso Forfettario 20%",SUMIFS(List_Of_chek_list!#REF!,List_Of_chek_list!B:B,'Partner data'!DG82),"NON PERTINENTE")</f>
        <v>NON PERTINENTE</v>
      </c>
      <c r="DM82" s="19" t="str">
        <f t="shared" si="41"/>
        <v>NON PERTINENTE</v>
      </c>
      <c r="DN82" s="110">
        <f>_xlfn.MAXIFS('MY-REPORT-MAIN'!K:K,'MY-REPORT-MAIN'!C:C,DG82)</f>
        <v>45379.429773043979</v>
      </c>
      <c r="DO82" s="112">
        <f>IF(_xlfn.MAXIFS('MY-REPORT-MAIN'!M:M,'MY-REPORT-MAIN'!C:C,DG82)=0,"Nessun rendiconto  Convalidato",_xlfn.MAXIFS('MY-REPORT-MAIN'!M:M,'MY-REPORT-MAIN'!C:C,DG82))</f>
        <v>45440.601231412038</v>
      </c>
      <c r="DP82" s="113" cm="1">
        <f t="array" ref="DP82">IFERROR(INDEX('MY-REPORT-MAIN'!A:Z,MATCH(1,(DO82='MY-REPORT-MAIN'!M:M)*('Partner data'!DG82='MY-REPORT-MAIN'!C:C),0),1),"NON è stato convalidato ancora nessun rendiconto")</f>
        <v>236</v>
      </c>
      <c r="DQ82" s="111">
        <f>IFERROR(INDEX('MY-REPORT-MAIN'!A:Z,MATCH('Partner data'!DP82,'MY-REPORT-MAIN'!A:A,0),21),"Nessun Rendiconto ancora convalidato")</f>
        <v>15857.94</v>
      </c>
      <c r="DR82" s="110">
        <f>INDEX('Interreg VI-A Italy-Slovenia_pr'!A:E,MATCH('Partner data'!C82,'Interreg VI-A Italy-Slovenia_pr'!A:A,0),3)</f>
        <v>45170</v>
      </c>
      <c r="DS82" s="118">
        <f t="shared" si="29"/>
        <v>15960.3</v>
      </c>
      <c r="DT82" s="118">
        <f t="shared" si="30"/>
        <v>38897.35</v>
      </c>
      <c r="DU82" s="118">
        <f t="shared" si="31"/>
        <v>55075.399999999994</v>
      </c>
      <c r="DV82" s="118">
        <f t="shared" si="32"/>
        <v>100035.7</v>
      </c>
      <c r="DW82" s="118">
        <f t="shared" si="33"/>
        <v>100035.7</v>
      </c>
      <c r="DX82" s="118">
        <f t="shared" si="34"/>
        <v>100035.7</v>
      </c>
      <c r="DY82" s="118">
        <f t="shared" si="35"/>
        <v>100035.7</v>
      </c>
      <c r="DZ82" s="118">
        <f t="shared" si="36"/>
        <v>100035.7</v>
      </c>
      <c r="EA82" s="118">
        <f t="shared" si="37"/>
        <v>100035.7</v>
      </c>
      <c r="EB82" s="118">
        <f t="shared" si="38"/>
        <v>100035.7</v>
      </c>
    </row>
    <row r="83" spans="1:132" ht="45" x14ac:dyDescent="0.25">
      <c r="A83" s="28">
        <v>1</v>
      </c>
      <c r="B83" s="29" t="s">
        <v>487</v>
      </c>
      <c r="C83" s="30" t="s">
        <v>1774</v>
      </c>
      <c r="D83" s="30" t="s">
        <v>331</v>
      </c>
      <c r="E83" s="30" t="s">
        <v>1775</v>
      </c>
      <c r="F83" s="30" t="s">
        <v>593</v>
      </c>
      <c r="G83" s="30" t="s">
        <v>491</v>
      </c>
      <c r="H83" s="30" t="s">
        <v>766</v>
      </c>
      <c r="I83" s="30" t="s">
        <v>767</v>
      </c>
      <c r="J83" s="31" t="s">
        <v>554</v>
      </c>
      <c r="K83" s="31" t="s">
        <v>495</v>
      </c>
      <c r="L83" s="31" t="s">
        <v>519</v>
      </c>
      <c r="M83" s="31" t="s">
        <v>335</v>
      </c>
      <c r="N83" s="31" t="s">
        <v>1807</v>
      </c>
      <c r="O83" s="31" t="s">
        <v>1808</v>
      </c>
      <c r="P83" s="31" t="s">
        <v>254</v>
      </c>
      <c r="Q83" s="31" t="s">
        <v>540</v>
      </c>
      <c r="R83" s="31" t="s">
        <v>260</v>
      </c>
      <c r="S83" s="32">
        <v>80000</v>
      </c>
      <c r="T83" s="32">
        <v>80</v>
      </c>
      <c r="U83" s="32">
        <v>13.34</v>
      </c>
      <c r="V83" s="32">
        <v>0</v>
      </c>
      <c r="W83" s="32">
        <v>0</v>
      </c>
      <c r="X83" s="32">
        <v>0</v>
      </c>
      <c r="Y83" s="32">
        <v>0</v>
      </c>
      <c r="Z83" s="32">
        <v>0</v>
      </c>
      <c r="AA83" s="32">
        <v>0</v>
      </c>
      <c r="AB83" s="32">
        <v>0</v>
      </c>
      <c r="AC83" s="32">
        <v>0</v>
      </c>
      <c r="AD83" s="32">
        <v>0</v>
      </c>
      <c r="AE83" s="32">
        <v>0</v>
      </c>
      <c r="AF83" s="32">
        <v>0</v>
      </c>
      <c r="AG83" s="32">
        <v>0</v>
      </c>
      <c r="AH83" s="32">
        <v>0</v>
      </c>
      <c r="AI83" s="32">
        <v>0</v>
      </c>
      <c r="AJ83" s="32">
        <v>0</v>
      </c>
      <c r="AK83" s="32">
        <v>0</v>
      </c>
      <c r="AL83" s="32">
        <v>0</v>
      </c>
      <c r="AM83" s="32">
        <v>0</v>
      </c>
      <c r="AN83" s="32">
        <v>0</v>
      </c>
      <c r="AO83" s="32">
        <v>20000</v>
      </c>
      <c r="AP83" s="32">
        <v>0</v>
      </c>
      <c r="AQ83" s="32">
        <v>20000</v>
      </c>
      <c r="AR83" s="32">
        <v>100000</v>
      </c>
      <c r="AS83" s="32">
        <v>13.34</v>
      </c>
      <c r="AT83" s="32">
        <v>16155.09</v>
      </c>
      <c r="AU83" s="32">
        <v>16155.09</v>
      </c>
      <c r="AV83" s="32">
        <v>0</v>
      </c>
      <c r="AW83" s="32">
        <v>0</v>
      </c>
      <c r="AX83" s="32">
        <v>2423.2600000000002</v>
      </c>
      <c r="AY83" s="32">
        <v>2423.2600000000002</v>
      </c>
      <c r="AZ83" s="32">
        <v>646.20000000000005</v>
      </c>
      <c r="BA83" s="32">
        <v>646.20000000000005</v>
      </c>
      <c r="BB83" s="32">
        <v>0</v>
      </c>
      <c r="BC83" s="32">
        <v>0</v>
      </c>
      <c r="BD83" s="32">
        <v>80775.45</v>
      </c>
      <c r="BE83" s="32">
        <v>80775.45</v>
      </c>
      <c r="BF83" s="32">
        <v>0</v>
      </c>
      <c r="BG83" s="32">
        <v>0</v>
      </c>
      <c r="BH83" s="32">
        <v>0</v>
      </c>
      <c r="BI83" s="32">
        <v>0</v>
      </c>
      <c r="BJ83" s="32">
        <v>0</v>
      </c>
      <c r="BK83" s="32">
        <v>0</v>
      </c>
      <c r="BL83" s="32">
        <v>0</v>
      </c>
      <c r="BM83" s="32">
        <v>0</v>
      </c>
      <c r="BN83" s="32">
        <v>0</v>
      </c>
      <c r="BO83" s="32">
        <v>0</v>
      </c>
      <c r="BP83" s="32">
        <v>0</v>
      </c>
      <c r="BQ83" s="32">
        <v>3280.7</v>
      </c>
      <c r="BR83" s="32">
        <v>43515.7</v>
      </c>
      <c r="BS83" s="32">
        <v>185.7</v>
      </c>
      <c r="BT83" s="32">
        <v>53017.9</v>
      </c>
      <c r="BU83" s="32">
        <v>0</v>
      </c>
      <c r="BV83" s="32">
        <v>0</v>
      </c>
      <c r="BW83" s="32">
        <v>0</v>
      </c>
      <c r="BX83" s="32">
        <v>0</v>
      </c>
      <c r="BY83" s="32">
        <v>0</v>
      </c>
      <c r="BZ83" s="32">
        <v>0</v>
      </c>
      <c r="CA83" s="32">
        <v>0</v>
      </c>
      <c r="CB83" s="33" t="s">
        <v>1809</v>
      </c>
      <c r="CC83" s="33" t="s">
        <v>606</v>
      </c>
      <c r="CD83" s="33"/>
      <c r="CE83" s="33" t="s">
        <v>523</v>
      </c>
      <c r="CF83" s="33" t="s">
        <v>1800</v>
      </c>
      <c r="CG83" s="33" t="s">
        <v>1810</v>
      </c>
      <c r="CH83" s="33" t="s">
        <v>526</v>
      </c>
      <c r="CI83" s="33" t="s">
        <v>1811</v>
      </c>
      <c r="CJ83" s="33" t="s">
        <v>683</v>
      </c>
      <c r="CK83" s="33" t="s">
        <v>1812</v>
      </c>
      <c r="CL83" s="33" t="s">
        <v>212</v>
      </c>
      <c r="CM83" s="33"/>
      <c r="CN83" s="33" t="s">
        <v>254</v>
      </c>
      <c r="CO83" s="33" t="s">
        <v>260</v>
      </c>
      <c r="CP83" s="33" t="s">
        <v>1813</v>
      </c>
      <c r="CQ83" s="33" t="s">
        <v>598</v>
      </c>
      <c r="CR83" s="33" t="s">
        <v>599</v>
      </c>
      <c r="CS83" s="33" t="s">
        <v>1814</v>
      </c>
      <c r="CT83" s="33" t="s">
        <v>254</v>
      </c>
      <c r="CU83" s="33" t="s">
        <v>260</v>
      </c>
      <c r="CV83" s="33" t="s">
        <v>1815</v>
      </c>
      <c r="CW83" s="33" t="s">
        <v>1359</v>
      </c>
      <c r="CX83" s="33" t="s">
        <v>599</v>
      </c>
      <c r="CY83" s="33" t="s">
        <v>1816</v>
      </c>
      <c r="CZ83" s="33" t="s">
        <v>1817</v>
      </c>
      <c r="DA83" s="33" t="s">
        <v>1818</v>
      </c>
      <c r="DB83" s="33" t="s">
        <v>602</v>
      </c>
      <c r="DC83" s="33" t="s">
        <v>1819</v>
      </c>
      <c r="DD83" s="33" t="s">
        <v>1820</v>
      </c>
      <c r="DE83" s="33" t="s">
        <v>1821</v>
      </c>
      <c r="DF83" s="34" t="s">
        <v>1822</v>
      </c>
      <c r="DG83" s="27" cm="1">
        <f t="array" ref="DG83">INDEX('elenco partner'!A:M,MATCH(1,(D83='elenco partner'!A:A)*('Partner data'!M83='elenco partner'!E:E),0),4)</f>
        <v>254</v>
      </c>
      <c r="DH83" s="83" t="str">
        <f t="shared" si="39"/>
        <v>Tasso Forfettario 20%</v>
      </c>
      <c r="DI83" s="20">
        <f>COUNTIFS('MY-REPORT-MAIN'!C:C,'Partner data'!DG83,'MY-REPORT-MAIN'!I:I,"Certified")</f>
        <v>0</v>
      </c>
      <c r="DJ83" s="20">
        <f>COUNTIFS(List_Of_chek_list!M:M,"&lt;&gt;26",List_Of_chek_list!B:B,'Partner data'!DG83)</f>
        <v>0</v>
      </c>
      <c r="DK83" s="20">
        <f t="shared" si="40"/>
        <v>0</v>
      </c>
      <c r="DL83" s="19" t="e">
        <f>IF(DH83="Tasso Forfettario 20%",SUMIFS(List_Of_chek_list!#REF!,List_Of_chek_list!B:B,'Partner data'!DG83),"NON PERTINENTE")</f>
        <v>#REF!</v>
      </c>
      <c r="DM83" s="19" t="e">
        <f t="shared" si="41"/>
        <v>#REF!</v>
      </c>
      <c r="DN83" s="110">
        <f>_xlfn.MAXIFS('MY-REPORT-MAIN'!K:K,'MY-REPORT-MAIN'!C:C,DG83)</f>
        <v>0</v>
      </c>
      <c r="DO83" s="112" t="str">
        <f>IF(_xlfn.MAXIFS('MY-REPORT-MAIN'!M:M,'MY-REPORT-MAIN'!C:C,DG83)=0,"Nessun rendiconto  Convalidato",_xlfn.MAXIFS('MY-REPORT-MAIN'!M:M,'MY-REPORT-MAIN'!C:C,DG83))</f>
        <v>Nessun rendiconto  Convalidato</v>
      </c>
      <c r="DP83" s="113" t="str" cm="1">
        <f t="array" ref="DP83">IFERROR(INDEX('MY-REPORT-MAIN'!A:Z,MATCH(1,(DO83='MY-REPORT-MAIN'!M:M)*('Partner data'!DG83='MY-REPORT-MAIN'!C:C),0),1),"NON è stato convalidato ancora nessun rendiconto")</f>
        <v>NON è stato convalidato ancora nessun rendiconto</v>
      </c>
      <c r="DQ83" s="111" t="str">
        <f>IFERROR(INDEX('MY-REPORT-MAIN'!A:Z,MATCH('Partner data'!DP83,'MY-REPORT-MAIN'!A:A,0),21),"Nessun Rendiconto ancora convalidato")</f>
        <v>Nessun Rendiconto ancora convalidato</v>
      </c>
      <c r="DR83" s="110">
        <f>INDEX('Interreg VI-A Italy-Slovenia_pr'!A:E,MATCH('Partner data'!C83,'Interreg VI-A Italy-Slovenia_pr'!A:A,0),3)</f>
        <v>45170</v>
      </c>
      <c r="DS83" s="118">
        <f t="shared" si="29"/>
        <v>3280.7</v>
      </c>
      <c r="DT83" s="118">
        <f t="shared" si="30"/>
        <v>46796.399999999994</v>
      </c>
      <c r="DU83" s="118">
        <f t="shared" si="31"/>
        <v>46982.099999999991</v>
      </c>
      <c r="DV83" s="118">
        <f t="shared" si="32"/>
        <v>100000</v>
      </c>
      <c r="DW83" s="118">
        <f t="shared" si="33"/>
        <v>100000</v>
      </c>
      <c r="DX83" s="118">
        <f t="shared" si="34"/>
        <v>100000</v>
      </c>
      <c r="DY83" s="118">
        <f t="shared" si="35"/>
        <v>100000</v>
      </c>
      <c r="DZ83" s="118">
        <f t="shared" si="36"/>
        <v>100000</v>
      </c>
      <c r="EA83" s="118">
        <f t="shared" si="37"/>
        <v>100000</v>
      </c>
      <c r="EB83" s="118">
        <f t="shared" si="38"/>
        <v>100000</v>
      </c>
    </row>
    <row r="84" spans="1:132" x14ac:dyDescent="0.25">
      <c r="A84" s="28">
        <v>1</v>
      </c>
      <c r="B84" s="29" t="s">
        <v>487</v>
      </c>
      <c r="C84" s="30" t="s">
        <v>1774</v>
      </c>
      <c r="D84" s="30" t="s">
        <v>331</v>
      </c>
      <c r="E84" s="30" t="s">
        <v>1775</v>
      </c>
      <c r="F84" s="30" t="s">
        <v>593</v>
      </c>
      <c r="G84" s="30" t="s">
        <v>491</v>
      </c>
      <c r="H84" s="30" t="s">
        <v>766</v>
      </c>
      <c r="I84" s="30" t="s">
        <v>767</v>
      </c>
      <c r="J84" s="31" t="s">
        <v>570</v>
      </c>
      <c r="K84" s="31" t="s">
        <v>495</v>
      </c>
      <c r="L84" s="31" t="s">
        <v>519</v>
      </c>
      <c r="M84" s="31" t="s">
        <v>336</v>
      </c>
      <c r="N84" s="31" t="s">
        <v>1823</v>
      </c>
      <c r="O84" s="31" t="s">
        <v>1824</v>
      </c>
      <c r="P84" s="31" t="s">
        <v>254</v>
      </c>
      <c r="Q84" s="31" t="s">
        <v>499</v>
      </c>
      <c r="R84" s="31" t="s">
        <v>273</v>
      </c>
      <c r="S84" s="32">
        <v>139000</v>
      </c>
      <c r="T84" s="32">
        <v>80</v>
      </c>
      <c r="U84" s="32">
        <v>23.17</v>
      </c>
      <c r="V84" s="32">
        <v>0</v>
      </c>
      <c r="W84" s="32">
        <v>0</v>
      </c>
      <c r="X84" s="32">
        <v>0</v>
      </c>
      <c r="Y84" s="32">
        <v>0</v>
      </c>
      <c r="Z84" s="32">
        <v>0</v>
      </c>
      <c r="AA84" s="32">
        <v>0</v>
      </c>
      <c r="AB84" s="32">
        <v>0</v>
      </c>
      <c r="AC84" s="32">
        <v>0</v>
      </c>
      <c r="AD84" s="32">
        <v>0</v>
      </c>
      <c r="AE84" s="32">
        <v>0</v>
      </c>
      <c r="AF84" s="32">
        <v>0</v>
      </c>
      <c r="AG84" s="32">
        <v>0</v>
      </c>
      <c r="AH84" s="32">
        <v>0</v>
      </c>
      <c r="AI84" s="32">
        <v>0</v>
      </c>
      <c r="AJ84" s="32">
        <v>0</v>
      </c>
      <c r="AK84" s="32">
        <v>0</v>
      </c>
      <c r="AL84" s="32">
        <v>0</v>
      </c>
      <c r="AM84" s="32">
        <v>0</v>
      </c>
      <c r="AN84" s="32">
        <v>0</v>
      </c>
      <c r="AO84" s="32">
        <v>34750</v>
      </c>
      <c r="AP84" s="32">
        <v>0</v>
      </c>
      <c r="AQ84" s="32">
        <v>34750</v>
      </c>
      <c r="AR84" s="32">
        <v>173750</v>
      </c>
      <c r="AS84" s="32">
        <v>23.17</v>
      </c>
      <c r="AT84" s="32">
        <v>38884</v>
      </c>
      <c r="AU84" s="32">
        <v>0</v>
      </c>
      <c r="AV84" s="32">
        <v>0</v>
      </c>
      <c r="AW84" s="32">
        <v>38884</v>
      </c>
      <c r="AX84" s="32">
        <v>5832.6</v>
      </c>
      <c r="AY84" s="32">
        <v>5832.6</v>
      </c>
      <c r="AZ84" s="32">
        <v>1555.36</v>
      </c>
      <c r="BA84" s="32">
        <v>1555.36</v>
      </c>
      <c r="BB84" s="32">
        <v>0</v>
      </c>
      <c r="BC84" s="32">
        <v>0</v>
      </c>
      <c r="BD84" s="32">
        <v>119478.04</v>
      </c>
      <c r="BE84" s="32">
        <v>119478.04</v>
      </c>
      <c r="BF84" s="32">
        <v>0</v>
      </c>
      <c r="BG84" s="32">
        <v>8000</v>
      </c>
      <c r="BH84" s="32">
        <v>8000</v>
      </c>
      <c r="BI84" s="32">
        <v>0</v>
      </c>
      <c r="BJ84" s="32">
        <v>0</v>
      </c>
      <c r="BK84" s="32">
        <v>0</v>
      </c>
      <c r="BL84" s="32">
        <v>0</v>
      </c>
      <c r="BM84" s="32">
        <v>0</v>
      </c>
      <c r="BN84" s="32">
        <v>0</v>
      </c>
      <c r="BO84" s="32">
        <v>0</v>
      </c>
      <c r="BP84" s="32">
        <v>0</v>
      </c>
      <c r="BQ84" s="32">
        <v>13507.5</v>
      </c>
      <c r="BR84" s="32">
        <v>21933.13</v>
      </c>
      <c r="BS84" s="32">
        <v>106554.35</v>
      </c>
      <c r="BT84" s="32">
        <v>31755.02</v>
      </c>
      <c r="BU84" s="32">
        <v>0</v>
      </c>
      <c r="BV84" s="32">
        <v>0</v>
      </c>
      <c r="BW84" s="32">
        <v>0</v>
      </c>
      <c r="BX84" s="32">
        <v>0</v>
      </c>
      <c r="BY84" s="32">
        <v>0</v>
      </c>
      <c r="BZ84" s="32">
        <v>0</v>
      </c>
      <c r="CA84" s="32">
        <v>0</v>
      </c>
      <c r="CB84" s="33" t="s">
        <v>212</v>
      </c>
      <c r="CC84" s="33" t="s">
        <v>887</v>
      </c>
      <c r="CD84" s="33"/>
      <c r="CE84" s="33" t="s">
        <v>501</v>
      </c>
      <c r="CF84" s="33" t="s">
        <v>1825</v>
      </c>
      <c r="CG84" s="33" t="s">
        <v>1826</v>
      </c>
      <c r="CH84" s="33" t="s">
        <v>526</v>
      </c>
      <c r="CI84" s="33" t="s">
        <v>1827</v>
      </c>
      <c r="CJ84" s="33" t="s">
        <v>1047</v>
      </c>
      <c r="CK84" s="33"/>
      <c r="CL84" s="33" t="s">
        <v>212</v>
      </c>
      <c r="CM84" s="33"/>
      <c r="CN84" s="33" t="s">
        <v>254</v>
      </c>
      <c r="CO84" s="33" t="s">
        <v>273</v>
      </c>
      <c r="CP84" s="33" t="s">
        <v>1828</v>
      </c>
      <c r="CQ84" s="33" t="s">
        <v>661</v>
      </c>
      <c r="CR84" s="33" t="s">
        <v>662</v>
      </c>
      <c r="CS84" s="33" t="s">
        <v>1829</v>
      </c>
      <c r="CT84" s="33"/>
      <c r="CU84" s="33"/>
      <c r="CV84" s="33"/>
      <c r="CW84" s="33"/>
      <c r="CX84" s="33"/>
      <c r="CY84" s="33" t="s">
        <v>740</v>
      </c>
      <c r="CZ84" s="33" t="s">
        <v>1830</v>
      </c>
      <c r="DA84" s="33" t="s">
        <v>1831</v>
      </c>
      <c r="DB84" s="33" t="s">
        <v>740</v>
      </c>
      <c r="DC84" s="33" t="s">
        <v>1832</v>
      </c>
      <c r="DD84" s="33" t="s">
        <v>1833</v>
      </c>
      <c r="DE84" s="33" t="s">
        <v>1834</v>
      </c>
      <c r="DF84" s="34" t="s">
        <v>1835</v>
      </c>
      <c r="DG84" s="27" cm="1">
        <f t="array" ref="DG84">INDEX('elenco partner'!A:M,MATCH(1,(D84='elenco partner'!A:A)*('Partner data'!M84='elenco partner'!E:E),0),4)</f>
        <v>255</v>
      </c>
      <c r="DH84" s="83" t="str">
        <f t="shared" si="39"/>
        <v>Costo Unitario Standard</v>
      </c>
      <c r="DI84" s="20">
        <f>COUNTIFS('MY-REPORT-MAIN'!C:C,'Partner data'!DG84,'MY-REPORT-MAIN'!I:I,"Certified")</f>
        <v>1</v>
      </c>
      <c r="DJ84" s="20">
        <f>COUNTIFS(List_Of_chek_list!M:M,"&lt;&gt;26",List_Of_chek_list!B:B,'Partner data'!DG84)</f>
        <v>1</v>
      </c>
      <c r="DK84" s="20">
        <f t="shared" si="40"/>
        <v>0</v>
      </c>
      <c r="DL84" s="19" t="str">
        <f>IF(DH84="Tasso Forfettario 20%",SUMIFS(List_Of_chek_list!#REF!,List_Of_chek_list!B:B,'Partner data'!DG84),"NON PERTINENTE")</f>
        <v>NON PERTINENTE</v>
      </c>
      <c r="DM84" s="19" t="str">
        <f t="shared" si="41"/>
        <v>NON PERTINENTE</v>
      </c>
      <c r="DN84" s="110">
        <f>_xlfn.MAXIFS('MY-REPORT-MAIN'!K:K,'MY-REPORT-MAIN'!C:C,DG84)</f>
        <v>45379.690171203707</v>
      </c>
      <c r="DO84" s="112">
        <f>IF(_xlfn.MAXIFS('MY-REPORT-MAIN'!M:M,'MY-REPORT-MAIN'!C:C,DG84)=0,"Nessun rendiconto  Convalidato",_xlfn.MAXIFS('MY-REPORT-MAIN'!M:M,'MY-REPORT-MAIN'!C:C,DG84))</f>
        <v>45440.700677905093</v>
      </c>
      <c r="DP84" s="113" cm="1">
        <f t="array" ref="DP84">IFERROR(INDEX('MY-REPORT-MAIN'!A:Z,MATCH(1,(DO84='MY-REPORT-MAIN'!M:M)*('Partner data'!DG84='MY-REPORT-MAIN'!C:C),0),1),"NON è stato convalidato ancora nessun rendiconto")</f>
        <v>294</v>
      </c>
      <c r="DQ84" s="111">
        <f>IFERROR(INDEX('MY-REPORT-MAIN'!A:Z,MATCH('Partner data'!DP84,'MY-REPORT-MAIN'!A:A,0),21),"Nessun Rendiconto ancora convalidato")</f>
        <v>11007.5</v>
      </c>
      <c r="DR84" s="110">
        <f>INDEX('Interreg VI-A Italy-Slovenia_pr'!A:E,MATCH('Partner data'!C84,'Interreg VI-A Italy-Slovenia_pr'!A:A,0),3)</f>
        <v>45170</v>
      </c>
      <c r="DS84" s="118">
        <f t="shared" si="29"/>
        <v>13507.5</v>
      </c>
      <c r="DT84" s="118">
        <f t="shared" si="30"/>
        <v>35440.630000000005</v>
      </c>
      <c r="DU84" s="118">
        <f t="shared" si="31"/>
        <v>141994.98000000001</v>
      </c>
      <c r="DV84" s="118">
        <f t="shared" si="32"/>
        <v>173750</v>
      </c>
      <c r="DW84" s="118">
        <f t="shared" si="33"/>
        <v>173750</v>
      </c>
      <c r="DX84" s="118">
        <f t="shared" si="34"/>
        <v>173750</v>
      </c>
      <c r="DY84" s="118">
        <f t="shared" si="35"/>
        <v>173750</v>
      </c>
      <c r="DZ84" s="118">
        <f t="shared" si="36"/>
        <v>173750</v>
      </c>
      <c r="EA84" s="118">
        <f t="shared" si="37"/>
        <v>173750</v>
      </c>
      <c r="EB84" s="118">
        <f t="shared" si="38"/>
        <v>173750</v>
      </c>
    </row>
    <row r="85" spans="1:132" x14ac:dyDescent="0.25">
      <c r="A85" s="28">
        <v>1</v>
      </c>
      <c r="B85" s="29" t="s">
        <v>487</v>
      </c>
      <c r="C85" s="30" t="s">
        <v>1774</v>
      </c>
      <c r="D85" s="30" t="s">
        <v>331</v>
      </c>
      <c r="E85" s="30" t="s">
        <v>1775</v>
      </c>
      <c r="F85" s="30" t="s">
        <v>593</v>
      </c>
      <c r="G85" s="30" t="s">
        <v>491</v>
      </c>
      <c r="H85" s="30" t="s">
        <v>766</v>
      </c>
      <c r="I85" s="30" t="s">
        <v>767</v>
      </c>
      <c r="J85" s="31" t="s">
        <v>581</v>
      </c>
      <c r="K85" s="31" t="s">
        <v>495</v>
      </c>
      <c r="L85" s="31" t="s">
        <v>519</v>
      </c>
      <c r="M85" s="31" t="s">
        <v>333</v>
      </c>
      <c r="N85" s="31" t="s">
        <v>1836</v>
      </c>
      <c r="O85" s="31" t="s">
        <v>1837</v>
      </c>
      <c r="P85" s="31" t="s">
        <v>257</v>
      </c>
      <c r="Q85" s="31" t="s">
        <v>556</v>
      </c>
      <c r="R85" s="31" t="s">
        <v>258</v>
      </c>
      <c r="S85" s="32">
        <v>107359.85</v>
      </c>
      <c r="T85" s="32">
        <v>80</v>
      </c>
      <c r="U85" s="32">
        <v>17.899999999999999</v>
      </c>
      <c r="V85" s="32">
        <v>0</v>
      </c>
      <c r="W85" s="32">
        <v>0</v>
      </c>
      <c r="X85" s="32">
        <v>0</v>
      </c>
      <c r="Y85" s="32">
        <v>0</v>
      </c>
      <c r="Z85" s="32">
        <v>0</v>
      </c>
      <c r="AA85" s="32">
        <v>0</v>
      </c>
      <c r="AB85" s="32">
        <v>0</v>
      </c>
      <c r="AC85" s="32">
        <v>0</v>
      </c>
      <c r="AD85" s="32">
        <v>0</v>
      </c>
      <c r="AE85" s="32">
        <v>0</v>
      </c>
      <c r="AF85" s="32">
        <v>0</v>
      </c>
      <c r="AG85" s="32">
        <v>0</v>
      </c>
      <c r="AH85" s="32">
        <v>0</v>
      </c>
      <c r="AI85" s="32">
        <v>0</v>
      </c>
      <c r="AJ85" s="32">
        <v>0</v>
      </c>
      <c r="AK85" s="32">
        <v>0</v>
      </c>
      <c r="AL85" s="32">
        <v>0</v>
      </c>
      <c r="AM85" s="32">
        <v>0</v>
      </c>
      <c r="AN85" s="32">
        <v>26839.97</v>
      </c>
      <c r="AO85" s="32">
        <v>0</v>
      </c>
      <c r="AP85" s="32">
        <v>0</v>
      </c>
      <c r="AQ85" s="32">
        <v>26839.97</v>
      </c>
      <c r="AR85" s="32">
        <v>134199.82</v>
      </c>
      <c r="AS85" s="32">
        <v>17.899999999999999</v>
      </c>
      <c r="AT85" s="32">
        <v>109999.86</v>
      </c>
      <c r="AU85" s="32">
        <v>0</v>
      </c>
      <c r="AV85" s="32">
        <v>109999.86</v>
      </c>
      <c r="AW85" s="32">
        <v>0</v>
      </c>
      <c r="AX85" s="32">
        <v>0</v>
      </c>
      <c r="AY85" s="32">
        <v>0</v>
      </c>
      <c r="AZ85" s="32">
        <v>0</v>
      </c>
      <c r="BA85" s="32">
        <v>0</v>
      </c>
      <c r="BB85" s="32">
        <v>0</v>
      </c>
      <c r="BC85" s="32">
        <v>0</v>
      </c>
      <c r="BD85" s="32">
        <v>0</v>
      </c>
      <c r="BE85" s="32">
        <v>0</v>
      </c>
      <c r="BF85" s="32">
        <v>0</v>
      </c>
      <c r="BG85" s="32">
        <v>0</v>
      </c>
      <c r="BH85" s="32">
        <v>0</v>
      </c>
      <c r="BI85" s="32">
        <v>0</v>
      </c>
      <c r="BJ85" s="32">
        <v>0</v>
      </c>
      <c r="BK85" s="32">
        <v>0</v>
      </c>
      <c r="BL85" s="32">
        <v>0</v>
      </c>
      <c r="BM85" s="32">
        <v>24199.96</v>
      </c>
      <c r="BN85" s="32">
        <v>0</v>
      </c>
      <c r="BO85" s="32">
        <v>0</v>
      </c>
      <c r="BP85" s="32">
        <v>0</v>
      </c>
      <c r="BQ85" s="32">
        <v>33550.870000000003</v>
      </c>
      <c r="BR85" s="32">
        <v>33549.67</v>
      </c>
      <c r="BS85" s="32">
        <v>33549.97</v>
      </c>
      <c r="BT85" s="32">
        <v>33549.31</v>
      </c>
      <c r="BU85" s="32">
        <v>0</v>
      </c>
      <c r="BV85" s="32">
        <v>0</v>
      </c>
      <c r="BW85" s="32">
        <v>0</v>
      </c>
      <c r="BX85" s="32">
        <v>0</v>
      </c>
      <c r="BY85" s="32">
        <v>0</v>
      </c>
      <c r="BZ85" s="32">
        <v>0</v>
      </c>
      <c r="CA85" s="32">
        <v>0</v>
      </c>
      <c r="CB85" s="33" t="s">
        <v>212</v>
      </c>
      <c r="CC85" s="33" t="s">
        <v>624</v>
      </c>
      <c r="CD85" s="33"/>
      <c r="CE85" s="33" t="s">
        <v>523</v>
      </c>
      <c r="CF85" s="33" t="s">
        <v>1838</v>
      </c>
      <c r="CG85" s="33" t="s">
        <v>1839</v>
      </c>
      <c r="CH85" s="33" t="s">
        <v>526</v>
      </c>
      <c r="CI85" s="33" t="s">
        <v>1840</v>
      </c>
      <c r="CJ85" s="33" t="s">
        <v>1841</v>
      </c>
      <c r="CK85" s="33"/>
      <c r="CL85" s="33" t="s">
        <v>212</v>
      </c>
      <c r="CM85" s="33"/>
      <c r="CN85" s="33" t="s">
        <v>257</v>
      </c>
      <c r="CO85" s="33" t="s">
        <v>258</v>
      </c>
      <c r="CP85" s="33" t="s">
        <v>1842</v>
      </c>
      <c r="CQ85" s="33" t="s">
        <v>620</v>
      </c>
      <c r="CR85" s="33" t="s">
        <v>621</v>
      </c>
      <c r="CS85" s="33"/>
      <c r="CT85" s="33"/>
      <c r="CU85" s="33"/>
      <c r="CV85" s="33"/>
      <c r="CW85" s="33"/>
      <c r="CX85" s="33"/>
      <c r="CY85" s="33" t="s">
        <v>602</v>
      </c>
      <c r="CZ85" s="33" t="s">
        <v>1843</v>
      </c>
      <c r="DA85" s="33" t="s">
        <v>1844</v>
      </c>
      <c r="DB85" s="33" t="s">
        <v>602</v>
      </c>
      <c r="DC85" s="33" t="s">
        <v>1845</v>
      </c>
      <c r="DD85" s="33" t="s">
        <v>1846</v>
      </c>
      <c r="DE85" s="33" t="s">
        <v>1847</v>
      </c>
      <c r="DF85" s="34" t="s">
        <v>1848</v>
      </c>
      <c r="DG85" s="27" cm="1">
        <f t="array" ref="DG85">INDEX('elenco partner'!A:M,MATCH(1,(D85='elenco partner'!A:A)*('Partner data'!M85='elenco partner'!E:E),0),4)</f>
        <v>256</v>
      </c>
      <c r="DH85" s="83" t="str">
        <f t="shared" si="39"/>
        <v>COSTO REALE</v>
      </c>
      <c r="DI85" s="20">
        <f>COUNTIFS('MY-REPORT-MAIN'!C:C,'Partner data'!DG85,'MY-REPORT-MAIN'!I:I,"Certified")</f>
        <v>1</v>
      </c>
      <c r="DJ85" s="20">
        <f>COUNTIFS(List_Of_chek_list!M:M,"&lt;&gt;26",List_Of_chek_list!B:B,'Partner data'!DG85)</f>
        <v>1</v>
      </c>
      <c r="DK85" s="20">
        <f t="shared" si="40"/>
        <v>0</v>
      </c>
      <c r="DL85" s="19" t="str">
        <f>IF(DH85="Tasso Forfettario 20%",SUMIFS(List_Of_chek_list!#REF!,List_Of_chek_list!B:B,'Partner data'!DG85),"NON PERTINENTE")</f>
        <v>NON PERTINENTE</v>
      </c>
      <c r="DM85" s="19" t="str">
        <f t="shared" si="41"/>
        <v>NON PERTINENTE</v>
      </c>
      <c r="DN85" s="110">
        <f>_xlfn.MAXIFS('MY-REPORT-MAIN'!K:K,'MY-REPORT-MAIN'!C:C,DG85)</f>
        <v>45373.533300277777</v>
      </c>
      <c r="DO85" s="112">
        <f>IF(_xlfn.MAXIFS('MY-REPORT-MAIN'!M:M,'MY-REPORT-MAIN'!C:C,DG85)=0,"Nessun rendiconto  Convalidato",_xlfn.MAXIFS('MY-REPORT-MAIN'!M:M,'MY-REPORT-MAIN'!C:C,DG85))</f>
        <v>45419.424976342591</v>
      </c>
      <c r="DP85" s="113" cm="1">
        <f t="array" ref="DP85">IFERROR(INDEX('MY-REPORT-MAIN'!A:Z,MATCH(1,(DO85='MY-REPORT-MAIN'!M:M)*('Partner data'!DG85='MY-REPORT-MAIN'!C:C),0),1),"NON è stato convalidato ancora nessun rendiconto")</f>
        <v>247</v>
      </c>
      <c r="DQ85" s="111">
        <f>IFERROR(INDEX('MY-REPORT-MAIN'!A:Z,MATCH('Partner data'!DP85,'MY-REPORT-MAIN'!A:A,0),21),"Nessun Rendiconto ancora convalidato")</f>
        <v>24939.59</v>
      </c>
      <c r="DR85" s="110">
        <f>INDEX('Interreg VI-A Italy-Slovenia_pr'!A:E,MATCH('Partner data'!C85,'Interreg VI-A Italy-Slovenia_pr'!A:A,0),3)</f>
        <v>45170</v>
      </c>
      <c r="DS85" s="118">
        <f t="shared" si="29"/>
        <v>33550.870000000003</v>
      </c>
      <c r="DT85" s="118">
        <f t="shared" si="30"/>
        <v>67100.540000000008</v>
      </c>
      <c r="DU85" s="118">
        <f t="shared" si="31"/>
        <v>100650.51000000001</v>
      </c>
      <c r="DV85" s="118">
        <f t="shared" si="32"/>
        <v>134199.82</v>
      </c>
      <c r="DW85" s="118">
        <f t="shared" si="33"/>
        <v>134199.82</v>
      </c>
      <c r="DX85" s="118">
        <f t="shared" si="34"/>
        <v>134199.82</v>
      </c>
      <c r="DY85" s="118">
        <f t="shared" si="35"/>
        <v>134199.82</v>
      </c>
      <c r="DZ85" s="118">
        <f t="shared" si="36"/>
        <v>134199.82</v>
      </c>
      <c r="EA85" s="118">
        <f t="shared" si="37"/>
        <v>134199.82</v>
      </c>
      <c r="EB85" s="118">
        <f t="shared" si="38"/>
        <v>134199.82</v>
      </c>
    </row>
    <row r="86" spans="1:132" x14ac:dyDescent="0.25">
      <c r="A86" s="28">
        <v>1</v>
      </c>
      <c r="B86" s="29" t="s">
        <v>487</v>
      </c>
      <c r="C86" s="30" t="s">
        <v>1849</v>
      </c>
      <c r="D86" s="30" t="s">
        <v>337</v>
      </c>
      <c r="E86" s="30" t="s">
        <v>1850</v>
      </c>
      <c r="F86" s="30" t="s">
        <v>490</v>
      </c>
      <c r="G86" s="30" t="s">
        <v>491</v>
      </c>
      <c r="H86" s="30" t="s">
        <v>691</v>
      </c>
      <c r="I86" s="30" t="s">
        <v>692</v>
      </c>
      <c r="J86" s="31" t="s">
        <v>494</v>
      </c>
      <c r="K86" s="31" t="s">
        <v>495</v>
      </c>
      <c r="L86" s="31" t="s">
        <v>496</v>
      </c>
      <c r="M86" s="31" t="s">
        <v>292</v>
      </c>
      <c r="N86" s="31" t="s">
        <v>1851</v>
      </c>
      <c r="O86" s="31" t="s">
        <v>1852</v>
      </c>
      <c r="P86" s="31" t="s">
        <v>254</v>
      </c>
      <c r="Q86" s="31" t="s">
        <v>540</v>
      </c>
      <c r="R86" s="31" t="s">
        <v>260</v>
      </c>
      <c r="S86" s="32">
        <v>203177.60000000001</v>
      </c>
      <c r="T86" s="32">
        <v>80</v>
      </c>
      <c r="U86" s="32">
        <v>33.86</v>
      </c>
      <c r="V86" s="32">
        <v>0</v>
      </c>
      <c r="W86" s="32">
        <v>0</v>
      </c>
      <c r="X86" s="32">
        <v>0</v>
      </c>
      <c r="Y86" s="32">
        <v>0</v>
      </c>
      <c r="Z86" s="32">
        <v>0</v>
      </c>
      <c r="AA86" s="32">
        <v>0</v>
      </c>
      <c r="AB86" s="32">
        <v>0</v>
      </c>
      <c r="AC86" s="32">
        <v>0</v>
      </c>
      <c r="AD86" s="32">
        <v>0</v>
      </c>
      <c r="AE86" s="32">
        <v>0</v>
      </c>
      <c r="AF86" s="32">
        <v>0</v>
      </c>
      <c r="AG86" s="32">
        <v>0</v>
      </c>
      <c r="AH86" s="32">
        <v>0</v>
      </c>
      <c r="AI86" s="32">
        <v>0</v>
      </c>
      <c r="AJ86" s="32">
        <v>0</v>
      </c>
      <c r="AK86" s="32">
        <v>0</v>
      </c>
      <c r="AL86" s="32">
        <v>0</v>
      </c>
      <c r="AM86" s="32">
        <v>0</v>
      </c>
      <c r="AN86" s="32">
        <v>0</v>
      </c>
      <c r="AO86" s="32">
        <v>50794.400000000001</v>
      </c>
      <c r="AP86" s="32">
        <v>0</v>
      </c>
      <c r="AQ86" s="32">
        <v>50794.400000000001</v>
      </c>
      <c r="AR86" s="32">
        <v>253972</v>
      </c>
      <c r="AS86" s="32">
        <v>33.86</v>
      </c>
      <c r="AT86" s="32">
        <v>98800</v>
      </c>
      <c r="AU86" s="32">
        <v>0</v>
      </c>
      <c r="AV86" s="32">
        <v>98800</v>
      </c>
      <c r="AW86" s="32">
        <v>0</v>
      </c>
      <c r="AX86" s="32">
        <v>14820</v>
      </c>
      <c r="AY86" s="32">
        <v>14820</v>
      </c>
      <c r="AZ86" s="32">
        <v>3952</v>
      </c>
      <c r="BA86" s="32">
        <v>3952</v>
      </c>
      <c r="BB86" s="32">
        <v>0</v>
      </c>
      <c r="BC86" s="32">
        <v>0</v>
      </c>
      <c r="BD86" s="32">
        <v>105400</v>
      </c>
      <c r="BE86" s="32">
        <v>105400</v>
      </c>
      <c r="BF86" s="32">
        <v>0</v>
      </c>
      <c r="BG86" s="32">
        <v>22000</v>
      </c>
      <c r="BH86" s="32">
        <v>22000</v>
      </c>
      <c r="BI86" s="32">
        <v>0</v>
      </c>
      <c r="BJ86" s="32">
        <v>0</v>
      </c>
      <c r="BK86" s="32">
        <v>0</v>
      </c>
      <c r="BL86" s="32">
        <v>0</v>
      </c>
      <c r="BM86" s="32">
        <v>0</v>
      </c>
      <c r="BN86" s="32">
        <v>0</v>
      </c>
      <c r="BO86" s="32">
        <v>9000</v>
      </c>
      <c r="BP86" s="32">
        <v>9000</v>
      </c>
      <c r="BQ86" s="32">
        <v>46880.77</v>
      </c>
      <c r="BR86" s="32">
        <v>86680.9</v>
      </c>
      <c r="BS86" s="32">
        <v>71500.899999999994</v>
      </c>
      <c r="BT86" s="32">
        <v>39909.43</v>
      </c>
      <c r="BU86" s="32">
        <v>0</v>
      </c>
      <c r="BV86" s="32">
        <v>0</v>
      </c>
      <c r="BW86" s="32">
        <v>0</v>
      </c>
      <c r="BX86" s="32">
        <v>0</v>
      </c>
      <c r="BY86" s="32">
        <v>0</v>
      </c>
      <c r="BZ86" s="32">
        <v>0</v>
      </c>
      <c r="CA86" s="32">
        <v>0</v>
      </c>
      <c r="CB86" s="33" t="s">
        <v>1058</v>
      </c>
      <c r="CC86" s="33" t="s">
        <v>624</v>
      </c>
      <c r="CD86" s="33"/>
      <c r="CE86" s="33" t="s">
        <v>523</v>
      </c>
      <c r="CF86" s="33" t="s">
        <v>1286</v>
      </c>
      <c r="CG86" s="33" t="s">
        <v>1033</v>
      </c>
      <c r="CH86" s="33" t="s">
        <v>526</v>
      </c>
      <c r="CI86" s="33"/>
      <c r="CJ86" s="33" t="s">
        <v>212</v>
      </c>
      <c r="CK86" s="33"/>
      <c r="CL86" s="33" t="s">
        <v>212</v>
      </c>
      <c r="CM86" s="33"/>
      <c r="CN86" s="33" t="s">
        <v>254</v>
      </c>
      <c r="CO86" s="33" t="s">
        <v>260</v>
      </c>
      <c r="CP86" s="33" t="s">
        <v>1061</v>
      </c>
      <c r="CQ86" s="33" t="s">
        <v>598</v>
      </c>
      <c r="CR86" s="33" t="s">
        <v>599</v>
      </c>
      <c r="CS86" s="33" t="s">
        <v>1853</v>
      </c>
      <c r="CT86" s="33" t="s">
        <v>254</v>
      </c>
      <c r="CU86" s="33" t="s">
        <v>260</v>
      </c>
      <c r="CV86" s="33" t="s">
        <v>1063</v>
      </c>
      <c r="CW86" s="33" t="s">
        <v>774</v>
      </c>
      <c r="CX86" s="33" t="s">
        <v>599</v>
      </c>
      <c r="CY86" s="33" t="s">
        <v>1854</v>
      </c>
      <c r="CZ86" s="33" t="s">
        <v>626</v>
      </c>
      <c r="DA86" s="33" t="s">
        <v>627</v>
      </c>
      <c r="DB86" s="33" t="s">
        <v>628</v>
      </c>
      <c r="DC86" s="33" t="s">
        <v>668</v>
      </c>
      <c r="DD86" s="33" t="s">
        <v>1855</v>
      </c>
      <c r="DE86" s="33" t="s">
        <v>1856</v>
      </c>
      <c r="DF86" s="34" t="s">
        <v>1857</v>
      </c>
      <c r="DG86" s="27" cm="1">
        <f t="array" ref="DG86">INDEX('elenco partner'!A:M,MATCH(1,(D86='elenco partner'!A:A)*('Partner data'!M86='elenco partner'!E:E),0),4)</f>
        <v>122</v>
      </c>
      <c r="DH86" s="83" t="str">
        <f t="shared" si="39"/>
        <v>COSTO REALE</v>
      </c>
      <c r="DI86" s="20">
        <f>COUNTIFS('MY-REPORT-MAIN'!C:C,'Partner data'!DG86,'MY-REPORT-MAIN'!I:I,"Certified")</f>
        <v>1</v>
      </c>
      <c r="DJ86" s="20">
        <f>COUNTIFS(List_Of_chek_list!M:M,"&lt;&gt;26",List_Of_chek_list!B:B,'Partner data'!DG86)</f>
        <v>1</v>
      </c>
      <c r="DK86" s="20">
        <f t="shared" si="40"/>
        <v>0</v>
      </c>
      <c r="DL86" s="19" t="str">
        <f>IF(DH86="Tasso Forfettario 20%",SUMIFS(List_Of_chek_list!#REF!,List_Of_chek_list!B:B,'Partner data'!DG86),"NON PERTINENTE")</f>
        <v>NON PERTINENTE</v>
      </c>
      <c r="DM86" s="19" t="str">
        <f t="shared" si="41"/>
        <v>NON PERTINENTE</v>
      </c>
      <c r="DN86" s="110">
        <f>_xlfn.MAXIFS('MY-REPORT-MAIN'!K:K,'MY-REPORT-MAIN'!C:C,DG86)</f>
        <v>45380.400691435185</v>
      </c>
      <c r="DO86" s="112">
        <f>IF(_xlfn.MAXIFS('MY-REPORT-MAIN'!M:M,'MY-REPORT-MAIN'!C:C,DG86)=0,"Nessun rendiconto  Convalidato",_xlfn.MAXIFS('MY-REPORT-MAIN'!M:M,'MY-REPORT-MAIN'!C:C,DG86))</f>
        <v>45469.626169826392</v>
      </c>
      <c r="DP86" s="113" cm="1">
        <f t="array" ref="DP86">IFERROR(INDEX('MY-REPORT-MAIN'!A:Z,MATCH(1,(DO86='MY-REPORT-MAIN'!M:M)*('Partner data'!DG86='MY-REPORT-MAIN'!C:C),0),1),"NON è stato convalidato ancora nessun rendiconto")</f>
        <v>22</v>
      </c>
      <c r="DQ86" s="111">
        <f>IFERROR(INDEX('MY-REPORT-MAIN'!A:Z,MATCH('Partner data'!DP86,'MY-REPORT-MAIN'!A:A,0),21),"Nessun Rendiconto ancora convalidato")</f>
        <v>31576.97</v>
      </c>
      <c r="DR86" s="110">
        <f>INDEX('Interreg VI-A Italy-Slovenia_pr'!A:E,MATCH('Partner data'!C86,'Interreg VI-A Italy-Slovenia_pr'!A:A,0),3)</f>
        <v>45170</v>
      </c>
      <c r="DS86" s="118">
        <f t="shared" si="29"/>
        <v>55880.77</v>
      </c>
      <c r="DT86" s="118">
        <f t="shared" si="30"/>
        <v>142561.66999999998</v>
      </c>
      <c r="DU86" s="118">
        <f t="shared" si="31"/>
        <v>214062.56999999998</v>
      </c>
      <c r="DV86" s="118">
        <f t="shared" si="32"/>
        <v>253971.99999999997</v>
      </c>
      <c r="DW86" s="118">
        <f t="shared" si="33"/>
        <v>253971.99999999997</v>
      </c>
      <c r="DX86" s="118">
        <f t="shared" si="34"/>
        <v>253971.99999999997</v>
      </c>
      <c r="DY86" s="118">
        <f t="shared" si="35"/>
        <v>253971.99999999997</v>
      </c>
      <c r="DZ86" s="118">
        <f t="shared" si="36"/>
        <v>253971.99999999997</v>
      </c>
      <c r="EA86" s="118">
        <f t="shared" si="37"/>
        <v>253971.99999999997</v>
      </c>
      <c r="EB86" s="118">
        <f t="shared" si="38"/>
        <v>253971.99999999997</v>
      </c>
    </row>
    <row r="87" spans="1:132" x14ac:dyDescent="0.25">
      <c r="A87" s="28">
        <v>1</v>
      </c>
      <c r="B87" s="29" t="s">
        <v>487</v>
      </c>
      <c r="C87" s="30" t="s">
        <v>1849</v>
      </c>
      <c r="D87" s="30" t="s">
        <v>337</v>
      </c>
      <c r="E87" s="30" t="s">
        <v>1850</v>
      </c>
      <c r="F87" s="30" t="s">
        <v>490</v>
      </c>
      <c r="G87" s="30" t="s">
        <v>491</v>
      </c>
      <c r="H87" s="30" t="s">
        <v>691</v>
      </c>
      <c r="I87" s="30" t="s">
        <v>692</v>
      </c>
      <c r="J87" s="31" t="s">
        <v>518</v>
      </c>
      <c r="K87" s="31" t="s">
        <v>495</v>
      </c>
      <c r="L87" s="31" t="s">
        <v>519</v>
      </c>
      <c r="M87" s="31" t="s">
        <v>340</v>
      </c>
      <c r="N87" s="31" t="s">
        <v>753</v>
      </c>
      <c r="O87" s="31" t="s">
        <v>644</v>
      </c>
      <c r="P87" s="31" t="s">
        <v>257</v>
      </c>
      <c r="Q87" s="31" t="s">
        <v>556</v>
      </c>
      <c r="R87" s="31" t="s">
        <v>258</v>
      </c>
      <c r="S87" s="32">
        <v>103880</v>
      </c>
      <c r="T87" s="32">
        <v>80</v>
      </c>
      <c r="U87" s="32">
        <v>17.309999999999999</v>
      </c>
      <c r="V87" s="32">
        <v>0</v>
      </c>
      <c r="W87" s="32">
        <v>0</v>
      </c>
      <c r="X87" s="32">
        <v>0</v>
      </c>
      <c r="Y87" s="32">
        <v>0</v>
      </c>
      <c r="Z87" s="32">
        <v>0</v>
      </c>
      <c r="AA87" s="32">
        <v>0</v>
      </c>
      <c r="AB87" s="32">
        <v>0</v>
      </c>
      <c r="AC87" s="32">
        <v>0</v>
      </c>
      <c r="AD87" s="32">
        <v>0</v>
      </c>
      <c r="AE87" s="32">
        <v>0</v>
      </c>
      <c r="AF87" s="32">
        <v>0</v>
      </c>
      <c r="AG87" s="32">
        <v>0</v>
      </c>
      <c r="AH87" s="32">
        <v>0</v>
      </c>
      <c r="AI87" s="32">
        <v>0</v>
      </c>
      <c r="AJ87" s="32">
        <v>0</v>
      </c>
      <c r="AK87" s="32">
        <v>0</v>
      </c>
      <c r="AL87" s="32">
        <v>0</v>
      </c>
      <c r="AM87" s="32">
        <v>0</v>
      </c>
      <c r="AN87" s="32">
        <v>25970</v>
      </c>
      <c r="AO87" s="32">
        <v>0</v>
      </c>
      <c r="AP87" s="32">
        <v>0</v>
      </c>
      <c r="AQ87" s="32">
        <v>25970</v>
      </c>
      <c r="AR87" s="32">
        <v>129850</v>
      </c>
      <c r="AS87" s="32">
        <v>17.309999999999999</v>
      </c>
      <c r="AT87" s="32">
        <v>92750</v>
      </c>
      <c r="AU87" s="32">
        <v>0</v>
      </c>
      <c r="AV87" s="32">
        <v>92750</v>
      </c>
      <c r="AW87" s="32">
        <v>0</v>
      </c>
      <c r="AX87" s="32">
        <v>0</v>
      </c>
      <c r="AY87" s="32">
        <v>0</v>
      </c>
      <c r="AZ87" s="32">
        <v>0</v>
      </c>
      <c r="BA87" s="32">
        <v>0</v>
      </c>
      <c r="BB87" s="32">
        <v>0</v>
      </c>
      <c r="BC87" s="32">
        <v>0</v>
      </c>
      <c r="BD87" s="32">
        <v>0</v>
      </c>
      <c r="BE87" s="32">
        <v>0</v>
      </c>
      <c r="BF87" s="32">
        <v>0</v>
      </c>
      <c r="BG87" s="32">
        <v>0</v>
      </c>
      <c r="BH87" s="32">
        <v>0</v>
      </c>
      <c r="BI87" s="32">
        <v>0</v>
      </c>
      <c r="BJ87" s="32">
        <v>0</v>
      </c>
      <c r="BK87" s="32">
        <v>0</v>
      </c>
      <c r="BL87" s="32">
        <v>0</v>
      </c>
      <c r="BM87" s="32">
        <v>37100</v>
      </c>
      <c r="BN87" s="32">
        <v>0</v>
      </c>
      <c r="BO87" s="32">
        <v>0</v>
      </c>
      <c r="BP87" s="32">
        <v>0</v>
      </c>
      <c r="BQ87" s="32">
        <v>32550</v>
      </c>
      <c r="BR87" s="32">
        <v>32480</v>
      </c>
      <c r="BS87" s="32">
        <v>32340</v>
      </c>
      <c r="BT87" s="32">
        <v>32480</v>
      </c>
      <c r="BU87" s="32">
        <v>0</v>
      </c>
      <c r="BV87" s="32">
        <v>0</v>
      </c>
      <c r="BW87" s="32">
        <v>0</v>
      </c>
      <c r="BX87" s="32">
        <v>0</v>
      </c>
      <c r="BY87" s="32">
        <v>0</v>
      </c>
      <c r="BZ87" s="32">
        <v>0</v>
      </c>
      <c r="CA87" s="32">
        <v>0</v>
      </c>
      <c r="CB87" s="33" t="s">
        <v>1858</v>
      </c>
      <c r="CC87" s="33" t="s">
        <v>624</v>
      </c>
      <c r="CD87" s="33"/>
      <c r="CE87" s="33" t="s">
        <v>523</v>
      </c>
      <c r="CF87" s="33" t="s">
        <v>786</v>
      </c>
      <c r="CG87" s="33" t="s">
        <v>646</v>
      </c>
      <c r="CH87" s="33" t="s">
        <v>526</v>
      </c>
      <c r="CI87" s="33"/>
      <c r="CJ87" s="33" t="s">
        <v>212</v>
      </c>
      <c r="CK87" s="33"/>
      <c r="CL87" s="33" t="s">
        <v>212</v>
      </c>
      <c r="CM87" s="33"/>
      <c r="CN87" s="33" t="s">
        <v>257</v>
      </c>
      <c r="CO87" s="33" t="s">
        <v>258</v>
      </c>
      <c r="CP87" s="33" t="s">
        <v>754</v>
      </c>
      <c r="CQ87" s="33" t="s">
        <v>620</v>
      </c>
      <c r="CR87" s="33" t="s">
        <v>621</v>
      </c>
      <c r="CS87" s="33" t="s">
        <v>1859</v>
      </c>
      <c r="CT87" s="33" t="s">
        <v>257</v>
      </c>
      <c r="CU87" s="33" t="s">
        <v>258</v>
      </c>
      <c r="CV87" s="33" t="s">
        <v>1860</v>
      </c>
      <c r="CW87" s="33" t="s">
        <v>620</v>
      </c>
      <c r="CX87" s="33" t="s">
        <v>621</v>
      </c>
      <c r="CY87" s="33" t="s">
        <v>956</v>
      </c>
      <c r="CZ87" s="33" t="s">
        <v>651</v>
      </c>
      <c r="DA87" s="33" t="s">
        <v>652</v>
      </c>
      <c r="DB87" s="33" t="s">
        <v>956</v>
      </c>
      <c r="DC87" s="33" t="s">
        <v>643</v>
      </c>
      <c r="DD87" s="33" t="s">
        <v>1861</v>
      </c>
      <c r="DE87" s="33" t="s">
        <v>1862</v>
      </c>
      <c r="DF87" s="34" t="s">
        <v>1863</v>
      </c>
      <c r="DG87" s="27" cm="1">
        <f t="array" ref="DG87">INDEX('elenco partner'!A:M,MATCH(1,(D87='elenco partner'!A:A)*('Partner data'!M87='elenco partner'!E:E),0),4)</f>
        <v>123</v>
      </c>
      <c r="DH87" s="83" t="str">
        <f t="shared" si="39"/>
        <v>COSTO REALE</v>
      </c>
      <c r="DI87" s="20">
        <f>COUNTIFS('MY-REPORT-MAIN'!C:C,'Partner data'!DG87,'MY-REPORT-MAIN'!I:I,"Certified")</f>
        <v>1</v>
      </c>
      <c r="DJ87" s="20">
        <f>COUNTIFS(List_Of_chek_list!M:M,"&lt;&gt;26",List_Of_chek_list!B:B,'Partner data'!DG87)</f>
        <v>1</v>
      </c>
      <c r="DK87" s="20">
        <f t="shared" si="40"/>
        <v>0</v>
      </c>
      <c r="DL87" s="19" t="str">
        <f>IF(DH87="Tasso Forfettario 20%",SUMIFS(List_Of_chek_list!#REF!,List_Of_chek_list!B:B,'Partner data'!DG87),"NON PERTINENTE")</f>
        <v>NON PERTINENTE</v>
      </c>
      <c r="DM87" s="19" t="str">
        <f t="shared" si="41"/>
        <v>NON PERTINENTE</v>
      </c>
      <c r="DN87" s="110">
        <f>_xlfn.MAXIFS('MY-REPORT-MAIN'!K:K,'MY-REPORT-MAIN'!C:C,DG87)</f>
        <v>45379.403722569441</v>
      </c>
      <c r="DO87" s="112">
        <f>IF(_xlfn.MAXIFS('MY-REPORT-MAIN'!M:M,'MY-REPORT-MAIN'!C:C,DG87)=0,"Nessun rendiconto  Convalidato",_xlfn.MAXIFS('MY-REPORT-MAIN'!M:M,'MY-REPORT-MAIN'!C:C,DG87))</f>
        <v>45429.559323611109</v>
      </c>
      <c r="DP87" s="113" cm="1">
        <f t="array" ref="DP87">IFERROR(INDEX('MY-REPORT-MAIN'!A:Z,MATCH(1,(DO87='MY-REPORT-MAIN'!M:M)*('Partner data'!DG87='MY-REPORT-MAIN'!C:C),0),1),"NON è stato convalidato ancora nessun rendiconto")</f>
        <v>141</v>
      </c>
      <c r="DQ87" s="111">
        <f>IFERROR(INDEX('MY-REPORT-MAIN'!A:Z,MATCH('Partner data'!DP87,'MY-REPORT-MAIN'!A:A,0),21),"Nessun Rendiconto ancora convalidato")</f>
        <v>2735.01</v>
      </c>
      <c r="DR87" s="110">
        <f>INDEX('Interreg VI-A Italy-Slovenia_pr'!A:E,MATCH('Partner data'!C87,'Interreg VI-A Italy-Slovenia_pr'!A:A,0),3)</f>
        <v>45170</v>
      </c>
      <c r="DS87" s="118">
        <f t="shared" si="29"/>
        <v>32550</v>
      </c>
      <c r="DT87" s="118">
        <f t="shared" si="30"/>
        <v>65030</v>
      </c>
      <c r="DU87" s="118">
        <f t="shared" si="31"/>
        <v>97370</v>
      </c>
      <c r="DV87" s="118">
        <f t="shared" si="32"/>
        <v>129850</v>
      </c>
      <c r="DW87" s="118">
        <f t="shared" si="33"/>
        <v>129850</v>
      </c>
      <c r="DX87" s="118">
        <f t="shared" si="34"/>
        <v>129850</v>
      </c>
      <c r="DY87" s="118">
        <f t="shared" si="35"/>
        <v>129850</v>
      </c>
      <c r="DZ87" s="118">
        <f t="shared" si="36"/>
        <v>129850</v>
      </c>
      <c r="EA87" s="118">
        <f t="shared" si="37"/>
        <v>129850</v>
      </c>
      <c r="EB87" s="118">
        <f t="shared" si="38"/>
        <v>129850</v>
      </c>
    </row>
    <row r="88" spans="1:132" x14ac:dyDescent="0.25">
      <c r="A88" s="28">
        <v>1</v>
      </c>
      <c r="B88" s="29" t="s">
        <v>487</v>
      </c>
      <c r="C88" s="30" t="s">
        <v>1849</v>
      </c>
      <c r="D88" s="30" t="s">
        <v>337</v>
      </c>
      <c r="E88" s="30" t="s">
        <v>1850</v>
      </c>
      <c r="F88" s="30" t="s">
        <v>490</v>
      </c>
      <c r="G88" s="30" t="s">
        <v>491</v>
      </c>
      <c r="H88" s="30" t="s">
        <v>691</v>
      </c>
      <c r="I88" s="30" t="s">
        <v>692</v>
      </c>
      <c r="J88" s="31" t="s">
        <v>538</v>
      </c>
      <c r="K88" s="31" t="s">
        <v>495</v>
      </c>
      <c r="L88" s="31" t="s">
        <v>519</v>
      </c>
      <c r="M88" s="31" t="s">
        <v>338</v>
      </c>
      <c r="N88" s="31" t="s">
        <v>1864</v>
      </c>
      <c r="O88" s="31" t="s">
        <v>1865</v>
      </c>
      <c r="P88" s="31" t="s">
        <v>257</v>
      </c>
      <c r="Q88" s="31" t="s">
        <v>556</v>
      </c>
      <c r="R88" s="31" t="s">
        <v>270</v>
      </c>
      <c r="S88" s="32">
        <v>80276.800000000003</v>
      </c>
      <c r="T88" s="32">
        <v>80</v>
      </c>
      <c r="U88" s="32">
        <v>13.38</v>
      </c>
      <c r="V88" s="32">
        <v>0</v>
      </c>
      <c r="W88" s="32">
        <v>0</v>
      </c>
      <c r="X88" s="32">
        <v>0</v>
      </c>
      <c r="Y88" s="32">
        <v>0</v>
      </c>
      <c r="Z88" s="32">
        <v>0</v>
      </c>
      <c r="AA88" s="32">
        <v>0</v>
      </c>
      <c r="AB88" s="32">
        <v>0</v>
      </c>
      <c r="AC88" s="32">
        <v>0</v>
      </c>
      <c r="AD88" s="32">
        <v>0</v>
      </c>
      <c r="AE88" s="32">
        <v>0</v>
      </c>
      <c r="AF88" s="32">
        <v>0</v>
      </c>
      <c r="AG88" s="32">
        <v>0</v>
      </c>
      <c r="AH88" s="32">
        <v>0</v>
      </c>
      <c r="AI88" s="32">
        <v>0</v>
      </c>
      <c r="AJ88" s="32">
        <v>0</v>
      </c>
      <c r="AK88" s="32">
        <v>0</v>
      </c>
      <c r="AL88" s="32">
        <v>0</v>
      </c>
      <c r="AM88" s="32">
        <v>0</v>
      </c>
      <c r="AN88" s="32">
        <v>0</v>
      </c>
      <c r="AO88" s="32">
        <v>0</v>
      </c>
      <c r="AP88" s="32">
        <v>20069.2</v>
      </c>
      <c r="AQ88" s="32">
        <v>20069.2</v>
      </c>
      <c r="AR88" s="32">
        <v>100346</v>
      </c>
      <c r="AS88" s="32">
        <v>13.38</v>
      </c>
      <c r="AT88" s="32">
        <v>43400</v>
      </c>
      <c r="AU88" s="32">
        <v>0</v>
      </c>
      <c r="AV88" s="32">
        <v>43400</v>
      </c>
      <c r="AW88" s="32">
        <v>0</v>
      </c>
      <c r="AX88" s="32">
        <v>6510</v>
      </c>
      <c r="AY88" s="32">
        <v>6510</v>
      </c>
      <c r="AZ88" s="32">
        <v>1736</v>
      </c>
      <c r="BA88" s="32">
        <v>1736</v>
      </c>
      <c r="BB88" s="32">
        <v>0</v>
      </c>
      <c r="BC88" s="32">
        <v>0</v>
      </c>
      <c r="BD88" s="32">
        <v>37700</v>
      </c>
      <c r="BE88" s="32">
        <v>37700</v>
      </c>
      <c r="BF88" s="32">
        <v>0</v>
      </c>
      <c r="BG88" s="32">
        <v>11000</v>
      </c>
      <c r="BH88" s="32">
        <v>11000</v>
      </c>
      <c r="BI88" s="32">
        <v>0</v>
      </c>
      <c r="BJ88" s="32">
        <v>0</v>
      </c>
      <c r="BK88" s="32">
        <v>0</v>
      </c>
      <c r="BL88" s="32">
        <v>0</v>
      </c>
      <c r="BM88" s="32">
        <v>0</v>
      </c>
      <c r="BN88" s="32">
        <v>0</v>
      </c>
      <c r="BO88" s="32">
        <v>0</v>
      </c>
      <c r="BP88" s="32">
        <v>0</v>
      </c>
      <c r="BQ88" s="32">
        <v>31311.5</v>
      </c>
      <c r="BR88" s="32">
        <v>26411.5</v>
      </c>
      <c r="BS88" s="32">
        <v>19911.5</v>
      </c>
      <c r="BT88" s="32">
        <v>22711.5</v>
      </c>
      <c r="BU88" s="32">
        <v>0</v>
      </c>
      <c r="BV88" s="32">
        <v>0</v>
      </c>
      <c r="BW88" s="32">
        <v>0</v>
      </c>
      <c r="BX88" s="32">
        <v>0</v>
      </c>
      <c r="BY88" s="32">
        <v>0</v>
      </c>
      <c r="BZ88" s="32">
        <v>0</v>
      </c>
      <c r="CA88" s="32">
        <v>0</v>
      </c>
      <c r="CB88" s="33" t="s">
        <v>1866</v>
      </c>
      <c r="CC88" s="33" t="s">
        <v>675</v>
      </c>
      <c r="CD88" s="33" t="s">
        <v>617</v>
      </c>
      <c r="CE88" s="33" t="s">
        <v>501</v>
      </c>
      <c r="CF88" s="33" t="s">
        <v>786</v>
      </c>
      <c r="CG88" s="33" t="s">
        <v>787</v>
      </c>
      <c r="CH88" s="33" t="s">
        <v>504</v>
      </c>
      <c r="CI88" s="33" t="s">
        <v>1867</v>
      </c>
      <c r="CJ88" s="33" t="s">
        <v>212</v>
      </c>
      <c r="CK88" s="33"/>
      <c r="CL88" s="33" t="s">
        <v>212</v>
      </c>
      <c r="CM88" s="33"/>
      <c r="CN88" s="33" t="s">
        <v>257</v>
      </c>
      <c r="CO88" s="33" t="s">
        <v>270</v>
      </c>
      <c r="CP88" s="33" t="s">
        <v>789</v>
      </c>
      <c r="CQ88" s="33" t="s">
        <v>710</v>
      </c>
      <c r="CR88" s="33" t="s">
        <v>650</v>
      </c>
      <c r="CS88" s="33" t="s">
        <v>790</v>
      </c>
      <c r="CT88" s="33" t="s">
        <v>257</v>
      </c>
      <c r="CU88" s="33" t="s">
        <v>270</v>
      </c>
      <c r="CV88" s="33" t="s">
        <v>1868</v>
      </c>
      <c r="CW88" s="33" t="s">
        <v>792</v>
      </c>
      <c r="CX88" s="33" t="s">
        <v>1869</v>
      </c>
      <c r="CY88" s="33"/>
      <c r="CZ88" s="33" t="s">
        <v>794</v>
      </c>
      <c r="DA88" s="33" t="s">
        <v>795</v>
      </c>
      <c r="DB88" s="33"/>
      <c r="DC88" s="33" t="s">
        <v>1870</v>
      </c>
      <c r="DD88" s="33" t="s">
        <v>1871</v>
      </c>
      <c r="DE88" s="33" t="s">
        <v>1872</v>
      </c>
      <c r="DF88" s="34" t="s">
        <v>1873</v>
      </c>
      <c r="DG88" s="27" cm="1">
        <f t="array" ref="DG88">INDEX('elenco partner'!A:M,MATCH(1,(D88='elenco partner'!A:A)*('Partner data'!M88='elenco partner'!E:E),0),4)</f>
        <v>124</v>
      </c>
      <c r="DH88" s="83" t="str">
        <f t="shared" si="39"/>
        <v>COSTO REALE</v>
      </c>
      <c r="DI88" s="20">
        <f>COUNTIFS('MY-REPORT-MAIN'!C:C,'Partner data'!DG88,'MY-REPORT-MAIN'!I:I,"Certified")</f>
        <v>1</v>
      </c>
      <c r="DJ88" s="20">
        <f>COUNTIFS(List_Of_chek_list!M:M,"&lt;&gt;26",List_Of_chek_list!B:B,'Partner data'!DG88)</f>
        <v>1</v>
      </c>
      <c r="DK88" s="20">
        <f t="shared" si="40"/>
        <v>0</v>
      </c>
      <c r="DL88" s="19" t="str">
        <f>IF(DH88="Tasso Forfettario 20%",SUMIFS(List_Of_chek_list!#REF!,List_Of_chek_list!B:B,'Partner data'!DG88),"NON PERTINENTE")</f>
        <v>NON PERTINENTE</v>
      </c>
      <c r="DM88" s="19" t="str">
        <f t="shared" si="41"/>
        <v>NON PERTINENTE</v>
      </c>
      <c r="DN88" s="110">
        <f>_xlfn.MAXIFS('MY-REPORT-MAIN'!K:K,'MY-REPORT-MAIN'!C:C,DG88)</f>
        <v>45380.449580069442</v>
      </c>
      <c r="DO88" s="112">
        <f>IF(_xlfn.MAXIFS('MY-REPORT-MAIN'!M:M,'MY-REPORT-MAIN'!C:C,DG88)=0,"Nessun rendiconto  Convalidato",_xlfn.MAXIFS('MY-REPORT-MAIN'!M:M,'MY-REPORT-MAIN'!C:C,DG88))</f>
        <v>45443.614553298612</v>
      </c>
      <c r="DP88" s="113" cm="1">
        <f t="array" ref="DP88">IFERROR(INDEX('MY-REPORT-MAIN'!A:Z,MATCH(1,(DO88='MY-REPORT-MAIN'!M:M)*('Partner data'!DG88='MY-REPORT-MAIN'!C:C),0),1),"NON è stato convalidato ancora nessun rendiconto")</f>
        <v>182</v>
      </c>
      <c r="DQ88" s="111">
        <f>IFERROR(INDEX('MY-REPORT-MAIN'!A:Z,MATCH('Partner data'!DP88,'MY-REPORT-MAIN'!A:A,0),21),"Nessun Rendiconto ancora convalidato")</f>
        <v>26372.93</v>
      </c>
      <c r="DR88" s="110">
        <f>INDEX('Interreg VI-A Italy-Slovenia_pr'!A:E,MATCH('Partner data'!C88,'Interreg VI-A Italy-Slovenia_pr'!A:A,0),3)</f>
        <v>45170</v>
      </c>
      <c r="DS88" s="118">
        <f t="shared" si="29"/>
        <v>31311.5</v>
      </c>
      <c r="DT88" s="118">
        <f t="shared" si="30"/>
        <v>57723</v>
      </c>
      <c r="DU88" s="118">
        <f t="shared" si="31"/>
        <v>77634.5</v>
      </c>
      <c r="DV88" s="118">
        <f t="shared" si="32"/>
        <v>100346</v>
      </c>
      <c r="DW88" s="118">
        <f t="shared" si="33"/>
        <v>100346</v>
      </c>
      <c r="DX88" s="118">
        <f t="shared" si="34"/>
        <v>100346</v>
      </c>
      <c r="DY88" s="118">
        <f t="shared" si="35"/>
        <v>100346</v>
      </c>
      <c r="DZ88" s="118">
        <f t="shared" si="36"/>
        <v>100346</v>
      </c>
      <c r="EA88" s="118">
        <f t="shared" si="37"/>
        <v>100346</v>
      </c>
      <c r="EB88" s="118">
        <f t="shared" si="38"/>
        <v>100346</v>
      </c>
    </row>
    <row r="89" spans="1:132" x14ac:dyDescent="0.25">
      <c r="A89" s="28">
        <v>1</v>
      </c>
      <c r="B89" s="29" t="s">
        <v>487</v>
      </c>
      <c r="C89" s="30" t="s">
        <v>1849</v>
      </c>
      <c r="D89" s="30" t="s">
        <v>337</v>
      </c>
      <c r="E89" s="30" t="s">
        <v>1850</v>
      </c>
      <c r="F89" s="30" t="s">
        <v>490</v>
      </c>
      <c r="G89" s="30" t="s">
        <v>491</v>
      </c>
      <c r="H89" s="30" t="s">
        <v>691</v>
      </c>
      <c r="I89" s="30" t="s">
        <v>692</v>
      </c>
      <c r="J89" s="31" t="s">
        <v>554</v>
      </c>
      <c r="K89" s="31" t="s">
        <v>495</v>
      </c>
      <c r="L89" s="31" t="s">
        <v>519</v>
      </c>
      <c r="M89" s="31" t="s">
        <v>307</v>
      </c>
      <c r="N89" s="31" t="s">
        <v>1874</v>
      </c>
      <c r="O89" s="31" t="s">
        <v>1875</v>
      </c>
      <c r="P89" s="31" t="s">
        <v>254</v>
      </c>
      <c r="Q89" s="31" t="s">
        <v>499</v>
      </c>
      <c r="R89" s="31" t="s">
        <v>255</v>
      </c>
      <c r="S89" s="32">
        <v>93004.800000000003</v>
      </c>
      <c r="T89" s="32">
        <v>80</v>
      </c>
      <c r="U89" s="32">
        <v>15.5</v>
      </c>
      <c r="V89" s="32">
        <v>0</v>
      </c>
      <c r="W89" s="32">
        <v>0</v>
      </c>
      <c r="X89" s="32">
        <v>0</v>
      </c>
      <c r="Y89" s="32">
        <v>0</v>
      </c>
      <c r="Z89" s="32">
        <v>0</v>
      </c>
      <c r="AA89" s="32">
        <v>0</v>
      </c>
      <c r="AB89" s="32">
        <v>0</v>
      </c>
      <c r="AC89" s="32">
        <v>0</v>
      </c>
      <c r="AD89" s="32">
        <v>0</v>
      </c>
      <c r="AE89" s="32">
        <v>0</v>
      </c>
      <c r="AF89" s="32">
        <v>0</v>
      </c>
      <c r="AG89" s="32">
        <v>0</v>
      </c>
      <c r="AH89" s="32">
        <v>0</v>
      </c>
      <c r="AI89" s="32">
        <v>0</v>
      </c>
      <c r="AJ89" s="32">
        <v>0</v>
      </c>
      <c r="AK89" s="32">
        <v>0</v>
      </c>
      <c r="AL89" s="32">
        <v>0</v>
      </c>
      <c r="AM89" s="32">
        <v>0</v>
      </c>
      <c r="AN89" s="32">
        <v>0</v>
      </c>
      <c r="AO89" s="32">
        <v>23251.200000000001</v>
      </c>
      <c r="AP89" s="32">
        <v>0</v>
      </c>
      <c r="AQ89" s="32">
        <v>23251.200000000001</v>
      </c>
      <c r="AR89" s="32">
        <v>116256</v>
      </c>
      <c r="AS89" s="32">
        <v>15.5</v>
      </c>
      <c r="AT89" s="32">
        <v>83040</v>
      </c>
      <c r="AU89" s="32">
        <v>0</v>
      </c>
      <c r="AV89" s="32">
        <v>0</v>
      </c>
      <c r="AW89" s="32">
        <v>83040</v>
      </c>
      <c r="AX89" s="32">
        <v>0</v>
      </c>
      <c r="AY89" s="32">
        <v>0</v>
      </c>
      <c r="AZ89" s="32">
        <v>0</v>
      </c>
      <c r="BA89" s="32">
        <v>0</v>
      </c>
      <c r="BB89" s="32">
        <v>0</v>
      </c>
      <c r="BC89" s="32">
        <v>0</v>
      </c>
      <c r="BD89" s="32">
        <v>0</v>
      </c>
      <c r="BE89" s="32">
        <v>0</v>
      </c>
      <c r="BF89" s="32">
        <v>0</v>
      </c>
      <c r="BG89" s="32">
        <v>0</v>
      </c>
      <c r="BH89" s="32">
        <v>0</v>
      </c>
      <c r="BI89" s="32">
        <v>0</v>
      </c>
      <c r="BJ89" s="32">
        <v>0</v>
      </c>
      <c r="BK89" s="32">
        <v>0</v>
      </c>
      <c r="BL89" s="32">
        <v>0</v>
      </c>
      <c r="BM89" s="32">
        <v>33216</v>
      </c>
      <c r="BN89" s="32">
        <v>0</v>
      </c>
      <c r="BO89" s="32">
        <v>0</v>
      </c>
      <c r="BP89" s="32">
        <v>0</v>
      </c>
      <c r="BQ89" s="32">
        <v>29271.200000000001</v>
      </c>
      <c r="BR89" s="32">
        <v>29092</v>
      </c>
      <c r="BS89" s="32">
        <v>29114.400000000001</v>
      </c>
      <c r="BT89" s="32">
        <v>28778.400000000001</v>
      </c>
      <c r="BU89" s="32">
        <v>0</v>
      </c>
      <c r="BV89" s="32">
        <v>0</v>
      </c>
      <c r="BW89" s="32">
        <v>0</v>
      </c>
      <c r="BX89" s="32">
        <v>0</v>
      </c>
      <c r="BY89" s="32">
        <v>0</v>
      </c>
      <c r="BZ89" s="32">
        <v>0</v>
      </c>
      <c r="CA89" s="32">
        <v>0</v>
      </c>
      <c r="CB89" s="33" t="s">
        <v>212</v>
      </c>
      <c r="CC89" s="33" t="s">
        <v>675</v>
      </c>
      <c r="CD89" s="33" t="s">
        <v>706</v>
      </c>
      <c r="CE89" s="33" t="s">
        <v>501</v>
      </c>
      <c r="CF89" s="33"/>
      <c r="CG89" s="33" t="s">
        <v>1876</v>
      </c>
      <c r="CH89" s="33" t="s">
        <v>619</v>
      </c>
      <c r="CI89" s="33"/>
      <c r="CJ89" s="33" t="s">
        <v>212</v>
      </c>
      <c r="CK89" s="33"/>
      <c r="CL89" s="33" t="s">
        <v>212</v>
      </c>
      <c r="CM89" s="33"/>
      <c r="CN89" s="33" t="s">
        <v>254</v>
      </c>
      <c r="CO89" s="33" t="s">
        <v>255</v>
      </c>
      <c r="CP89" s="33" t="s">
        <v>1877</v>
      </c>
      <c r="CQ89" s="33" t="s">
        <v>1342</v>
      </c>
      <c r="CR89" s="33" t="s">
        <v>529</v>
      </c>
      <c r="CS89" s="33" t="s">
        <v>1640</v>
      </c>
      <c r="CT89" s="33"/>
      <c r="CU89" s="33"/>
      <c r="CV89" s="33"/>
      <c r="CW89" s="33"/>
      <c r="CX89" s="33"/>
      <c r="CY89" s="33" t="s">
        <v>510</v>
      </c>
      <c r="CZ89" s="33" t="s">
        <v>1360</v>
      </c>
      <c r="DA89" s="33" t="s">
        <v>1878</v>
      </c>
      <c r="DB89" s="33" t="s">
        <v>510</v>
      </c>
      <c r="DC89" s="33" t="s">
        <v>1613</v>
      </c>
      <c r="DD89" s="33" t="s">
        <v>1879</v>
      </c>
      <c r="DE89" s="33" t="s">
        <v>1880</v>
      </c>
      <c r="DF89" s="34" t="s">
        <v>1881</v>
      </c>
      <c r="DG89" s="27" cm="1">
        <f t="array" ref="DG89">INDEX('elenco partner'!A:M,MATCH(1,(D89='elenco partner'!A:A)*('Partner data'!M89='elenco partner'!E:E),0),4)</f>
        <v>125</v>
      </c>
      <c r="DH89" s="83" t="str">
        <f t="shared" si="39"/>
        <v>Costo Unitario Standard</v>
      </c>
      <c r="DI89" s="20">
        <f>COUNTIFS('MY-REPORT-MAIN'!C:C,'Partner data'!DG89,'MY-REPORT-MAIN'!I:I,"Certified")</f>
        <v>1</v>
      </c>
      <c r="DJ89" s="20">
        <f>COUNTIFS(List_Of_chek_list!M:M,"&lt;&gt;26",List_Of_chek_list!B:B,'Partner data'!DG89)</f>
        <v>1</v>
      </c>
      <c r="DK89" s="20">
        <f t="shared" si="40"/>
        <v>0</v>
      </c>
      <c r="DL89" s="19" t="str">
        <f>IF(DH89="Tasso Forfettario 20%",SUMIFS(List_Of_chek_list!#REF!,List_Of_chek_list!B:B,'Partner data'!DG89),"NON PERTINENTE")</f>
        <v>NON PERTINENTE</v>
      </c>
      <c r="DM89" s="19" t="str">
        <f t="shared" si="41"/>
        <v>NON PERTINENTE</v>
      </c>
      <c r="DN89" s="110">
        <f>_xlfn.MAXIFS('MY-REPORT-MAIN'!K:K,'MY-REPORT-MAIN'!C:C,DG89)</f>
        <v>45379.595201041666</v>
      </c>
      <c r="DO89" s="112">
        <f>IF(_xlfn.MAXIFS('MY-REPORT-MAIN'!M:M,'MY-REPORT-MAIN'!C:C,DG89)=0,"Nessun rendiconto  Convalidato",_xlfn.MAXIFS('MY-REPORT-MAIN'!M:M,'MY-REPORT-MAIN'!C:C,DG89))</f>
        <v>45440.725823900466</v>
      </c>
      <c r="DP89" s="113" cm="1">
        <f t="array" ref="DP89">IFERROR(INDEX('MY-REPORT-MAIN'!A:Z,MATCH(1,(DO89='MY-REPORT-MAIN'!M:M)*('Partner data'!DG89='MY-REPORT-MAIN'!C:C),0),1),"NON è stato convalidato ancora nessun rendiconto")</f>
        <v>232</v>
      </c>
      <c r="DQ89" s="111">
        <f>IFERROR(INDEX('MY-REPORT-MAIN'!A:Z,MATCH('Partner data'!DP89,'MY-REPORT-MAIN'!A:A,0),21),"Nessun Rendiconto ancora convalidato")</f>
        <v>23104.2</v>
      </c>
      <c r="DR89" s="110">
        <f>INDEX('Interreg VI-A Italy-Slovenia_pr'!A:E,MATCH('Partner data'!C89,'Interreg VI-A Italy-Slovenia_pr'!A:A,0),3)</f>
        <v>45170</v>
      </c>
      <c r="DS89" s="118">
        <f t="shared" si="29"/>
        <v>29271.200000000001</v>
      </c>
      <c r="DT89" s="118">
        <f t="shared" si="30"/>
        <v>58363.199999999997</v>
      </c>
      <c r="DU89" s="118">
        <f t="shared" si="31"/>
        <v>87477.6</v>
      </c>
      <c r="DV89" s="118">
        <f t="shared" si="32"/>
        <v>116256</v>
      </c>
      <c r="DW89" s="118">
        <f t="shared" si="33"/>
        <v>116256</v>
      </c>
      <c r="DX89" s="118">
        <f t="shared" si="34"/>
        <v>116256</v>
      </c>
      <c r="DY89" s="118">
        <f t="shared" si="35"/>
        <v>116256</v>
      </c>
      <c r="DZ89" s="118">
        <f t="shared" si="36"/>
        <v>116256</v>
      </c>
      <c r="EA89" s="118">
        <f t="shared" si="37"/>
        <v>116256</v>
      </c>
      <c r="EB89" s="118">
        <f t="shared" si="38"/>
        <v>116256</v>
      </c>
    </row>
    <row r="90" spans="1:132" x14ac:dyDescent="0.25">
      <c r="A90" s="28">
        <v>1</v>
      </c>
      <c r="B90" s="29" t="s">
        <v>487</v>
      </c>
      <c r="C90" s="30" t="s">
        <v>1849</v>
      </c>
      <c r="D90" s="30" t="s">
        <v>337</v>
      </c>
      <c r="E90" s="30" t="s">
        <v>1850</v>
      </c>
      <c r="F90" s="30" t="s">
        <v>490</v>
      </c>
      <c r="G90" s="30" t="s">
        <v>491</v>
      </c>
      <c r="H90" s="30" t="s">
        <v>691</v>
      </c>
      <c r="I90" s="30" t="s">
        <v>692</v>
      </c>
      <c r="J90" s="31" t="s">
        <v>570</v>
      </c>
      <c r="K90" s="31" t="s">
        <v>495</v>
      </c>
      <c r="L90" s="31" t="s">
        <v>519</v>
      </c>
      <c r="M90" s="31" t="s">
        <v>42</v>
      </c>
      <c r="N90" s="31" t="s">
        <v>1882</v>
      </c>
      <c r="O90" s="31" t="s">
        <v>1883</v>
      </c>
      <c r="P90" s="31" t="s">
        <v>257</v>
      </c>
      <c r="Q90" s="31" t="s">
        <v>556</v>
      </c>
      <c r="R90" s="31" t="s">
        <v>267</v>
      </c>
      <c r="S90" s="32">
        <v>59052</v>
      </c>
      <c r="T90" s="32">
        <v>80</v>
      </c>
      <c r="U90" s="32">
        <v>9.84</v>
      </c>
      <c r="V90" s="32">
        <v>0</v>
      </c>
      <c r="W90" s="32">
        <v>0</v>
      </c>
      <c r="X90" s="32">
        <v>0</v>
      </c>
      <c r="Y90" s="32">
        <v>0</v>
      </c>
      <c r="Z90" s="32">
        <v>0</v>
      </c>
      <c r="AA90" s="32">
        <v>0</v>
      </c>
      <c r="AB90" s="32">
        <v>0</v>
      </c>
      <c r="AC90" s="32">
        <v>0</v>
      </c>
      <c r="AD90" s="32">
        <v>0</v>
      </c>
      <c r="AE90" s="32">
        <v>0</v>
      </c>
      <c r="AF90" s="32">
        <v>0</v>
      </c>
      <c r="AG90" s="32">
        <v>0</v>
      </c>
      <c r="AH90" s="32">
        <v>0</v>
      </c>
      <c r="AI90" s="32">
        <v>0</v>
      </c>
      <c r="AJ90" s="32">
        <v>0</v>
      </c>
      <c r="AK90" s="32">
        <v>0</v>
      </c>
      <c r="AL90" s="32">
        <v>0</v>
      </c>
      <c r="AM90" s="32">
        <v>0</v>
      </c>
      <c r="AN90" s="32">
        <v>14763</v>
      </c>
      <c r="AO90" s="32">
        <v>0</v>
      </c>
      <c r="AP90" s="32">
        <v>0</v>
      </c>
      <c r="AQ90" s="32">
        <v>14763</v>
      </c>
      <c r="AR90" s="32">
        <v>73815</v>
      </c>
      <c r="AS90" s="32">
        <v>9.84</v>
      </c>
      <c r="AT90" s="32">
        <v>52725</v>
      </c>
      <c r="AU90" s="32">
        <v>0</v>
      </c>
      <c r="AV90" s="32">
        <v>52725</v>
      </c>
      <c r="AW90" s="32">
        <v>0</v>
      </c>
      <c r="AX90" s="32">
        <v>0</v>
      </c>
      <c r="AY90" s="32">
        <v>0</v>
      </c>
      <c r="AZ90" s="32">
        <v>0</v>
      </c>
      <c r="BA90" s="32">
        <v>0</v>
      </c>
      <c r="BB90" s="32">
        <v>0</v>
      </c>
      <c r="BC90" s="32">
        <v>0</v>
      </c>
      <c r="BD90" s="32">
        <v>0</v>
      </c>
      <c r="BE90" s="32">
        <v>0</v>
      </c>
      <c r="BF90" s="32">
        <v>0</v>
      </c>
      <c r="BG90" s="32">
        <v>0</v>
      </c>
      <c r="BH90" s="32">
        <v>0</v>
      </c>
      <c r="BI90" s="32">
        <v>0</v>
      </c>
      <c r="BJ90" s="32">
        <v>0</v>
      </c>
      <c r="BK90" s="32">
        <v>0</v>
      </c>
      <c r="BL90" s="32">
        <v>0</v>
      </c>
      <c r="BM90" s="32">
        <v>21090</v>
      </c>
      <c r="BN90" s="32">
        <v>0</v>
      </c>
      <c r="BO90" s="32">
        <v>0</v>
      </c>
      <c r="BP90" s="32">
        <v>0</v>
      </c>
      <c r="BQ90" s="32">
        <v>18522</v>
      </c>
      <c r="BR90" s="32">
        <v>18424</v>
      </c>
      <c r="BS90" s="32">
        <v>18424</v>
      </c>
      <c r="BT90" s="32">
        <v>18445</v>
      </c>
      <c r="BU90" s="32">
        <v>0</v>
      </c>
      <c r="BV90" s="32">
        <v>0</v>
      </c>
      <c r="BW90" s="32">
        <v>0</v>
      </c>
      <c r="BX90" s="32">
        <v>0</v>
      </c>
      <c r="BY90" s="32">
        <v>0</v>
      </c>
      <c r="BZ90" s="32">
        <v>0</v>
      </c>
      <c r="CA90" s="32">
        <v>0</v>
      </c>
      <c r="CB90" s="33" t="s">
        <v>212</v>
      </c>
      <c r="CC90" s="33" t="s">
        <v>522</v>
      </c>
      <c r="CD90" s="33"/>
      <c r="CE90" s="33" t="s">
        <v>523</v>
      </c>
      <c r="CF90" s="33" t="s">
        <v>1884</v>
      </c>
      <c r="CG90" s="33" t="s">
        <v>1885</v>
      </c>
      <c r="CH90" s="33" t="s">
        <v>526</v>
      </c>
      <c r="CI90" s="33"/>
      <c r="CJ90" s="33" t="s">
        <v>212</v>
      </c>
      <c r="CK90" s="33" t="s">
        <v>1886</v>
      </c>
      <c r="CL90" s="33" t="s">
        <v>212</v>
      </c>
      <c r="CM90" s="33"/>
      <c r="CN90" s="33" t="s">
        <v>257</v>
      </c>
      <c r="CO90" s="33" t="s">
        <v>267</v>
      </c>
      <c r="CP90" s="33" t="s">
        <v>1887</v>
      </c>
      <c r="CQ90" s="33" t="s">
        <v>1888</v>
      </c>
      <c r="CR90" s="33" t="s">
        <v>1889</v>
      </c>
      <c r="CS90" s="33" t="s">
        <v>1890</v>
      </c>
      <c r="CT90" s="33"/>
      <c r="CU90" s="33"/>
      <c r="CV90" s="33"/>
      <c r="CW90" s="33"/>
      <c r="CX90" s="33"/>
      <c r="CY90" s="33"/>
      <c r="CZ90" s="33" t="s">
        <v>1891</v>
      </c>
      <c r="DA90" s="33" t="s">
        <v>1892</v>
      </c>
      <c r="DB90" s="33" t="s">
        <v>1893</v>
      </c>
      <c r="DC90" s="33" t="s">
        <v>1894</v>
      </c>
      <c r="DD90" s="33" t="s">
        <v>1895</v>
      </c>
      <c r="DE90" s="33" t="s">
        <v>1896</v>
      </c>
      <c r="DF90" s="34" t="s">
        <v>1897</v>
      </c>
      <c r="DG90" s="27" cm="1">
        <f t="array" ref="DG90">INDEX('elenco partner'!A:M,MATCH(1,(D90='elenco partner'!A:A)*('Partner data'!M90='elenco partner'!E:E),0),4)</f>
        <v>126</v>
      </c>
      <c r="DH90" s="83" t="str">
        <f t="shared" si="39"/>
        <v>COSTO REALE</v>
      </c>
      <c r="DI90" s="20">
        <f>COUNTIFS('MY-REPORT-MAIN'!C:C,'Partner data'!DG90,'MY-REPORT-MAIN'!I:I,"Certified")</f>
        <v>1</v>
      </c>
      <c r="DJ90" s="20">
        <f>COUNTIFS(List_Of_chek_list!M:M,"&lt;&gt;26",List_Of_chek_list!B:B,'Partner data'!DG90)</f>
        <v>1</v>
      </c>
      <c r="DK90" s="20">
        <f t="shared" si="40"/>
        <v>0</v>
      </c>
      <c r="DL90" s="19" t="str">
        <f>IF(DH90="Tasso Forfettario 20%",SUMIFS(List_Of_chek_list!#REF!,List_Of_chek_list!B:B,'Partner data'!DG90),"NON PERTINENTE")</f>
        <v>NON PERTINENTE</v>
      </c>
      <c r="DM90" s="19" t="str">
        <f t="shared" si="41"/>
        <v>NON PERTINENTE</v>
      </c>
      <c r="DN90" s="110">
        <f>_xlfn.MAXIFS('MY-REPORT-MAIN'!K:K,'MY-REPORT-MAIN'!C:C,DG90)</f>
        <v>45379.495205081017</v>
      </c>
      <c r="DO90" s="112">
        <f>IF(_xlfn.MAXIFS('MY-REPORT-MAIN'!M:M,'MY-REPORT-MAIN'!C:C,DG90)=0,"Nessun rendiconto  Convalidato",_xlfn.MAXIFS('MY-REPORT-MAIN'!M:M,'MY-REPORT-MAIN'!C:C,DG90))</f>
        <v>45435.380153020837</v>
      </c>
      <c r="DP90" s="113" cm="1">
        <f t="array" ref="DP90">IFERROR(INDEX('MY-REPORT-MAIN'!A:Z,MATCH(1,(DO90='MY-REPORT-MAIN'!M:M)*('Partner data'!DG90='MY-REPORT-MAIN'!C:C),0),1),"NON è stato convalidato ancora nessun rendiconto")</f>
        <v>140</v>
      </c>
      <c r="DQ90" s="111">
        <f>IFERROR(INDEX('MY-REPORT-MAIN'!A:Z,MATCH('Partner data'!DP90,'MY-REPORT-MAIN'!A:A,0),21),"Nessun Rendiconto ancora convalidato")</f>
        <v>11425.59</v>
      </c>
      <c r="DR90" s="110">
        <f>INDEX('Interreg VI-A Italy-Slovenia_pr'!A:E,MATCH('Partner data'!C90,'Interreg VI-A Italy-Slovenia_pr'!A:A,0),3)</f>
        <v>45170</v>
      </c>
      <c r="DS90" s="118">
        <f t="shared" si="29"/>
        <v>18522</v>
      </c>
      <c r="DT90" s="118">
        <f t="shared" si="30"/>
        <v>36946</v>
      </c>
      <c r="DU90" s="118">
        <f t="shared" si="31"/>
        <v>55370</v>
      </c>
      <c r="DV90" s="118">
        <f t="shared" si="32"/>
        <v>73815</v>
      </c>
      <c r="DW90" s="118">
        <f t="shared" si="33"/>
        <v>73815</v>
      </c>
      <c r="DX90" s="118">
        <f t="shared" si="34"/>
        <v>73815</v>
      </c>
      <c r="DY90" s="118">
        <f t="shared" si="35"/>
        <v>73815</v>
      </c>
      <c r="DZ90" s="118">
        <f t="shared" si="36"/>
        <v>73815</v>
      </c>
      <c r="EA90" s="118">
        <f t="shared" si="37"/>
        <v>73815</v>
      </c>
      <c r="EB90" s="118">
        <f t="shared" si="38"/>
        <v>73815</v>
      </c>
    </row>
    <row r="91" spans="1:132" x14ac:dyDescent="0.25">
      <c r="A91" s="28">
        <v>1</v>
      </c>
      <c r="B91" s="29" t="s">
        <v>487</v>
      </c>
      <c r="C91" s="30" t="s">
        <v>1849</v>
      </c>
      <c r="D91" s="30" t="s">
        <v>337</v>
      </c>
      <c r="E91" s="30" t="s">
        <v>1850</v>
      </c>
      <c r="F91" s="30" t="s">
        <v>490</v>
      </c>
      <c r="G91" s="30" t="s">
        <v>491</v>
      </c>
      <c r="H91" s="30" t="s">
        <v>691</v>
      </c>
      <c r="I91" s="30" t="s">
        <v>692</v>
      </c>
      <c r="J91" s="31" t="s">
        <v>581</v>
      </c>
      <c r="K91" s="31" t="s">
        <v>495</v>
      </c>
      <c r="L91" s="31" t="s">
        <v>519</v>
      </c>
      <c r="M91" s="31" t="s">
        <v>339</v>
      </c>
      <c r="N91" s="31" t="s">
        <v>1898</v>
      </c>
      <c r="O91" s="31" t="s">
        <v>1899</v>
      </c>
      <c r="P91" s="31" t="s">
        <v>254</v>
      </c>
      <c r="Q91" s="31" t="s">
        <v>540</v>
      </c>
      <c r="R91" s="31" t="s">
        <v>260</v>
      </c>
      <c r="S91" s="32">
        <v>60581.599999999999</v>
      </c>
      <c r="T91" s="32">
        <v>80</v>
      </c>
      <c r="U91" s="32">
        <v>10.1</v>
      </c>
      <c r="V91" s="32">
        <v>0</v>
      </c>
      <c r="W91" s="32">
        <v>0</v>
      </c>
      <c r="X91" s="32">
        <v>0</v>
      </c>
      <c r="Y91" s="32">
        <v>0</v>
      </c>
      <c r="Z91" s="32">
        <v>0</v>
      </c>
      <c r="AA91" s="32">
        <v>0</v>
      </c>
      <c r="AB91" s="32">
        <v>0</v>
      </c>
      <c r="AC91" s="32">
        <v>0</v>
      </c>
      <c r="AD91" s="32">
        <v>0</v>
      </c>
      <c r="AE91" s="32">
        <v>0</v>
      </c>
      <c r="AF91" s="32">
        <v>0</v>
      </c>
      <c r="AG91" s="32">
        <v>0</v>
      </c>
      <c r="AH91" s="32">
        <v>0</v>
      </c>
      <c r="AI91" s="32">
        <v>0</v>
      </c>
      <c r="AJ91" s="32">
        <v>0</v>
      </c>
      <c r="AK91" s="32">
        <v>0</v>
      </c>
      <c r="AL91" s="32">
        <v>0</v>
      </c>
      <c r="AM91" s="32">
        <v>0</v>
      </c>
      <c r="AN91" s="32">
        <v>0</v>
      </c>
      <c r="AO91" s="32">
        <v>15145.4</v>
      </c>
      <c r="AP91" s="32">
        <v>0</v>
      </c>
      <c r="AQ91" s="32">
        <v>15145.4</v>
      </c>
      <c r="AR91" s="32">
        <v>75727</v>
      </c>
      <c r="AS91" s="32">
        <v>10.1</v>
      </c>
      <c r="AT91" s="32">
        <v>23300</v>
      </c>
      <c r="AU91" s="32">
        <v>0</v>
      </c>
      <c r="AV91" s="32">
        <v>23300</v>
      </c>
      <c r="AW91" s="32">
        <v>0</v>
      </c>
      <c r="AX91" s="32">
        <v>3495</v>
      </c>
      <c r="AY91" s="32">
        <v>3495</v>
      </c>
      <c r="AZ91" s="32">
        <v>932</v>
      </c>
      <c r="BA91" s="32">
        <v>932</v>
      </c>
      <c r="BB91" s="32">
        <v>0</v>
      </c>
      <c r="BC91" s="32">
        <v>0</v>
      </c>
      <c r="BD91" s="32">
        <v>48000</v>
      </c>
      <c r="BE91" s="32">
        <v>48000</v>
      </c>
      <c r="BF91" s="32">
        <v>0</v>
      </c>
      <c r="BG91" s="32">
        <v>0</v>
      </c>
      <c r="BH91" s="32">
        <v>0</v>
      </c>
      <c r="BI91" s="32">
        <v>0</v>
      </c>
      <c r="BJ91" s="32">
        <v>0</v>
      </c>
      <c r="BK91" s="32">
        <v>0</v>
      </c>
      <c r="BL91" s="32">
        <v>0</v>
      </c>
      <c r="BM91" s="32">
        <v>0</v>
      </c>
      <c r="BN91" s="32">
        <v>0</v>
      </c>
      <c r="BO91" s="32">
        <v>0</v>
      </c>
      <c r="BP91" s="32">
        <v>0</v>
      </c>
      <c r="BQ91" s="32">
        <v>12902</v>
      </c>
      <c r="BR91" s="32">
        <v>21402</v>
      </c>
      <c r="BS91" s="32">
        <v>20961.5</v>
      </c>
      <c r="BT91" s="32">
        <v>20461.5</v>
      </c>
      <c r="BU91" s="32">
        <v>0</v>
      </c>
      <c r="BV91" s="32">
        <v>0</v>
      </c>
      <c r="BW91" s="32">
        <v>0</v>
      </c>
      <c r="BX91" s="32">
        <v>0</v>
      </c>
      <c r="BY91" s="32">
        <v>0</v>
      </c>
      <c r="BZ91" s="32">
        <v>0</v>
      </c>
      <c r="CA91" s="32">
        <v>0</v>
      </c>
      <c r="CB91" s="33" t="s">
        <v>212</v>
      </c>
      <c r="CC91" s="33" t="s">
        <v>887</v>
      </c>
      <c r="CD91" s="33"/>
      <c r="CE91" s="33" t="s">
        <v>501</v>
      </c>
      <c r="CF91" s="33" t="s">
        <v>618</v>
      </c>
      <c r="CG91" s="33" t="s">
        <v>1900</v>
      </c>
      <c r="CH91" s="33" t="s">
        <v>526</v>
      </c>
      <c r="CI91" s="33" t="s">
        <v>1900</v>
      </c>
      <c r="CJ91" s="33" t="s">
        <v>1901</v>
      </c>
      <c r="CK91" s="33"/>
      <c r="CL91" s="33" t="s">
        <v>212</v>
      </c>
      <c r="CM91" s="33"/>
      <c r="CN91" s="33" t="s">
        <v>254</v>
      </c>
      <c r="CO91" s="33" t="s">
        <v>260</v>
      </c>
      <c r="CP91" s="33" t="s">
        <v>1902</v>
      </c>
      <c r="CQ91" s="33" t="s">
        <v>600</v>
      </c>
      <c r="CR91" s="33" t="s">
        <v>599</v>
      </c>
      <c r="CS91" s="33" t="s">
        <v>1903</v>
      </c>
      <c r="CT91" s="33"/>
      <c r="CU91" s="33"/>
      <c r="CV91" s="33"/>
      <c r="CW91" s="33"/>
      <c r="CX91" s="33"/>
      <c r="CY91" s="33"/>
      <c r="CZ91" s="33" t="s">
        <v>1904</v>
      </c>
      <c r="DA91" s="33" t="s">
        <v>1905</v>
      </c>
      <c r="DB91" s="33"/>
      <c r="DC91" s="33" t="s">
        <v>635</v>
      </c>
      <c r="DD91" s="33" t="s">
        <v>1906</v>
      </c>
      <c r="DE91" s="33" t="s">
        <v>1907</v>
      </c>
      <c r="DF91" s="34" t="s">
        <v>1908</v>
      </c>
      <c r="DG91" s="27" cm="1">
        <f t="array" ref="DG91">INDEX('elenco partner'!A:M,MATCH(1,(D91='elenco partner'!A:A)*('Partner data'!M91='elenco partner'!E:E),0),4)</f>
        <v>127</v>
      </c>
      <c r="DH91" s="83" t="str">
        <f t="shared" si="39"/>
        <v>COSTO REALE</v>
      </c>
      <c r="DI91" s="20">
        <f>COUNTIFS('MY-REPORT-MAIN'!C:C,'Partner data'!DG91,'MY-REPORT-MAIN'!I:I,"Certified")</f>
        <v>1</v>
      </c>
      <c r="DJ91" s="20">
        <f>COUNTIFS(List_Of_chek_list!M:M,"&lt;&gt;26",List_Of_chek_list!B:B,'Partner data'!DG91)</f>
        <v>0</v>
      </c>
      <c r="DK91" s="20">
        <f t="shared" si="40"/>
        <v>1</v>
      </c>
      <c r="DL91" s="19" t="str">
        <f>IF(DH91="Tasso Forfettario 20%",SUMIFS(List_Of_chek_list!#REF!,List_Of_chek_list!B:B,'Partner data'!DG91),"NON PERTINENTE")</f>
        <v>NON PERTINENTE</v>
      </c>
      <c r="DM91" s="19" t="str">
        <f t="shared" si="41"/>
        <v>NON PERTINENTE</v>
      </c>
      <c r="DN91" s="110">
        <f>_xlfn.MAXIFS('MY-REPORT-MAIN'!K:K,'MY-REPORT-MAIN'!C:C,DG91)</f>
        <v>45379.755282951388</v>
      </c>
      <c r="DO91" s="112">
        <f>IF(_xlfn.MAXIFS('MY-REPORT-MAIN'!M:M,'MY-REPORT-MAIN'!C:C,DG91)=0,"Nessun rendiconto  Convalidato",_xlfn.MAXIFS('MY-REPORT-MAIN'!M:M,'MY-REPORT-MAIN'!C:C,DG91))</f>
        <v>45477.489443090279</v>
      </c>
      <c r="DP91" s="113" cm="1">
        <f t="array" ref="DP91">IFERROR(INDEX('MY-REPORT-MAIN'!A:Z,MATCH(1,(DO91='MY-REPORT-MAIN'!M:M)*('Partner data'!DG91='MY-REPORT-MAIN'!C:C),0),1),"NON è stato convalidato ancora nessun rendiconto")</f>
        <v>168</v>
      </c>
      <c r="DQ91" s="111">
        <f>IFERROR(INDEX('MY-REPORT-MAIN'!A:Z,MATCH('Partner data'!DP91,'MY-REPORT-MAIN'!A:A,0),21),"Nessun Rendiconto ancora convalidato")</f>
        <v>12932.75</v>
      </c>
      <c r="DR91" s="110">
        <f>INDEX('Interreg VI-A Italy-Slovenia_pr'!A:E,MATCH('Partner data'!C91,'Interreg VI-A Italy-Slovenia_pr'!A:A,0),3)</f>
        <v>45170</v>
      </c>
      <c r="DS91" s="118">
        <f t="shared" si="29"/>
        <v>12902</v>
      </c>
      <c r="DT91" s="118">
        <f t="shared" si="30"/>
        <v>34304</v>
      </c>
      <c r="DU91" s="118">
        <f t="shared" si="31"/>
        <v>55265.5</v>
      </c>
      <c r="DV91" s="118">
        <f t="shared" si="32"/>
        <v>75727</v>
      </c>
      <c r="DW91" s="118">
        <f t="shared" si="33"/>
        <v>75727</v>
      </c>
      <c r="DX91" s="118">
        <f t="shared" si="34"/>
        <v>75727</v>
      </c>
      <c r="DY91" s="118">
        <f t="shared" si="35"/>
        <v>75727</v>
      </c>
      <c r="DZ91" s="118">
        <f t="shared" si="36"/>
        <v>75727</v>
      </c>
      <c r="EA91" s="118">
        <f t="shared" si="37"/>
        <v>75727</v>
      </c>
      <c r="EB91" s="118">
        <f t="shared" si="38"/>
        <v>75727</v>
      </c>
    </row>
    <row r="92" spans="1:132" x14ac:dyDescent="0.25">
      <c r="A92" s="28">
        <v>1</v>
      </c>
      <c r="B92" s="29" t="s">
        <v>487</v>
      </c>
      <c r="C92" s="30" t="s">
        <v>1911</v>
      </c>
      <c r="D92" s="30" t="s">
        <v>341</v>
      </c>
      <c r="E92" s="30" t="s">
        <v>1912</v>
      </c>
      <c r="F92" s="30" t="s">
        <v>1043</v>
      </c>
      <c r="G92" s="30" t="s">
        <v>491</v>
      </c>
      <c r="H92" s="30" t="s">
        <v>691</v>
      </c>
      <c r="I92" s="30" t="s">
        <v>1044</v>
      </c>
      <c r="J92" s="31" t="s">
        <v>494</v>
      </c>
      <c r="K92" s="31" t="s">
        <v>495</v>
      </c>
      <c r="L92" s="31" t="s">
        <v>496</v>
      </c>
      <c r="M92" s="31" t="s">
        <v>344</v>
      </c>
      <c r="N92" s="31" t="s">
        <v>344</v>
      </c>
      <c r="O92" s="31" t="s">
        <v>1913</v>
      </c>
      <c r="P92" s="31" t="s">
        <v>257</v>
      </c>
      <c r="Q92" s="31" t="s">
        <v>556</v>
      </c>
      <c r="R92" s="31" t="s">
        <v>270</v>
      </c>
      <c r="S92" s="32">
        <v>135700</v>
      </c>
      <c r="T92" s="32">
        <v>80</v>
      </c>
      <c r="U92" s="32">
        <v>22.63</v>
      </c>
      <c r="V92" s="32">
        <v>0</v>
      </c>
      <c r="W92" s="32">
        <v>0</v>
      </c>
      <c r="X92" s="32">
        <v>0</v>
      </c>
      <c r="Y92" s="32">
        <v>0</v>
      </c>
      <c r="Z92" s="32">
        <v>0</v>
      </c>
      <c r="AA92" s="32">
        <v>0</v>
      </c>
      <c r="AB92" s="32">
        <v>0</v>
      </c>
      <c r="AC92" s="32">
        <v>0</v>
      </c>
      <c r="AD92" s="32">
        <v>0</v>
      </c>
      <c r="AE92" s="32">
        <v>0</v>
      </c>
      <c r="AF92" s="32">
        <v>0</v>
      </c>
      <c r="AG92" s="32">
        <v>0</v>
      </c>
      <c r="AH92" s="32">
        <v>0</v>
      </c>
      <c r="AI92" s="32">
        <v>0</v>
      </c>
      <c r="AJ92" s="32">
        <v>0</v>
      </c>
      <c r="AK92" s="32">
        <v>0</v>
      </c>
      <c r="AL92" s="32">
        <v>0</v>
      </c>
      <c r="AM92" s="32">
        <v>0</v>
      </c>
      <c r="AN92" s="32">
        <v>33925</v>
      </c>
      <c r="AO92" s="32">
        <v>0</v>
      </c>
      <c r="AP92" s="32">
        <v>0</v>
      </c>
      <c r="AQ92" s="32">
        <v>33925</v>
      </c>
      <c r="AR92" s="32">
        <v>169625</v>
      </c>
      <c r="AS92" s="32">
        <v>22.63</v>
      </c>
      <c r="AT92" s="32">
        <v>30000</v>
      </c>
      <c r="AU92" s="32">
        <v>0</v>
      </c>
      <c r="AV92" s="32">
        <v>30000</v>
      </c>
      <c r="AW92" s="32">
        <v>0</v>
      </c>
      <c r="AX92" s="32">
        <v>4500</v>
      </c>
      <c r="AY92" s="32">
        <v>4500</v>
      </c>
      <c r="AZ92" s="32">
        <v>1200</v>
      </c>
      <c r="BA92" s="32">
        <v>1200</v>
      </c>
      <c r="BB92" s="32">
        <v>0</v>
      </c>
      <c r="BC92" s="32">
        <v>0</v>
      </c>
      <c r="BD92" s="32">
        <v>124925</v>
      </c>
      <c r="BE92" s="32">
        <v>124925</v>
      </c>
      <c r="BF92" s="32">
        <v>0</v>
      </c>
      <c r="BG92" s="32">
        <v>0</v>
      </c>
      <c r="BH92" s="32">
        <v>0</v>
      </c>
      <c r="BI92" s="32">
        <v>0</v>
      </c>
      <c r="BJ92" s="32">
        <v>0</v>
      </c>
      <c r="BK92" s="32">
        <v>0</v>
      </c>
      <c r="BL92" s="32">
        <v>0</v>
      </c>
      <c r="BM92" s="32">
        <v>0</v>
      </c>
      <c r="BN92" s="32">
        <v>0</v>
      </c>
      <c r="BO92" s="32">
        <v>9000</v>
      </c>
      <c r="BP92" s="32">
        <v>0</v>
      </c>
      <c r="BQ92" s="32">
        <v>25425</v>
      </c>
      <c r="BR92" s="32">
        <v>14925</v>
      </c>
      <c r="BS92" s="32">
        <v>20350</v>
      </c>
      <c r="BT92" s="32">
        <v>108925</v>
      </c>
      <c r="BU92" s="32">
        <v>0</v>
      </c>
      <c r="BV92" s="32">
        <v>0</v>
      </c>
      <c r="BW92" s="32">
        <v>0</v>
      </c>
      <c r="BX92" s="32">
        <v>0</v>
      </c>
      <c r="BY92" s="32">
        <v>0</v>
      </c>
      <c r="BZ92" s="32">
        <v>0</v>
      </c>
      <c r="CA92" s="32">
        <v>0</v>
      </c>
      <c r="CB92" s="33" t="s">
        <v>212</v>
      </c>
      <c r="CC92" s="33" t="s">
        <v>522</v>
      </c>
      <c r="CD92" s="33"/>
      <c r="CE92" s="33" t="s">
        <v>523</v>
      </c>
      <c r="CF92" s="33" t="s">
        <v>829</v>
      </c>
      <c r="CG92" s="33" t="s">
        <v>1914</v>
      </c>
      <c r="CH92" s="33" t="s">
        <v>526</v>
      </c>
      <c r="CI92" s="33"/>
      <c r="CJ92" s="33" t="s">
        <v>212</v>
      </c>
      <c r="CK92" s="33"/>
      <c r="CL92" s="33" t="s">
        <v>212</v>
      </c>
      <c r="CM92" s="33"/>
      <c r="CN92" s="33" t="s">
        <v>257</v>
      </c>
      <c r="CO92" s="33" t="s">
        <v>270</v>
      </c>
      <c r="CP92" s="33" t="s">
        <v>1318</v>
      </c>
      <c r="CQ92" s="33" t="s">
        <v>686</v>
      </c>
      <c r="CR92" s="33" t="s">
        <v>687</v>
      </c>
      <c r="CS92" s="33" t="s">
        <v>1915</v>
      </c>
      <c r="CT92" s="33"/>
      <c r="CU92" s="33"/>
      <c r="CV92" s="33"/>
      <c r="CW92" s="33"/>
      <c r="CX92" s="33"/>
      <c r="CY92" s="33" t="s">
        <v>1916</v>
      </c>
      <c r="CZ92" s="33" t="s">
        <v>643</v>
      </c>
      <c r="DA92" s="33" t="s">
        <v>1917</v>
      </c>
      <c r="DB92" s="33" t="s">
        <v>1918</v>
      </c>
      <c r="DC92" s="33" t="s">
        <v>855</v>
      </c>
      <c r="DD92" s="33" t="s">
        <v>1919</v>
      </c>
      <c r="DE92" s="33" t="s">
        <v>1920</v>
      </c>
      <c r="DF92" s="34" t="s">
        <v>1921</v>
      </c>
      <c r="DG92" s="27" cm="1">
        <f t="array" ref="DG92">INDEX('elenco partner'!A:M,MATCH(1,(D92='elenco partner'!A:A)*('Partner data'!M92='elenco partner'!E:E),0),4)</f>
        <v>133</v>
      </c>
      <c r="DH92" s="83" t="str">
        <f t="shared" ref="DH92:DH97" si="42">IF(AU92&lt;&gt;0,"Tasso Forfettario 20%",IF(AV92&lt;&gt;0,"COSTO REALE",IF(AW92&lt;&gt;0,"Costo Unitario Standard","BL1 non presente")))</f>
        <v>COSTO REALE</v>
      </c>
      <c r="DI92" s="20">
        <f>COUNTIFS('MY-REPORT-MAIN'!C:C,'Partner data'!DG92,'MY-REPORT-MAIN'!I:I,"Certified")</f>
        <v>1</v>
      </c>
      <c r="DJ92" s="20">
        <f>COUNTIFS(List_Of_chek_list!M:M,"&lt;&gt;26",List_Of_chek_list!B:B,'Partner data'!DG92)</f>
        <v>0</v>
      </c>
      <c r="DK92" s="20">
        <f t="shared" ref="DK92:DK97" si="43">DI92-DJ92</f>
        <v>1</v>
      </c>
      <c r="DL92" s="19" t="str">
        <f>IF(DH92="Tasso Forfettario 20%",SUMIFS(List_Of_chek_list!#REF!,List_Of_chek_list!B:B,'Partner data'!DG92),"NON PERTINENTE")</f>
        <v>NON PERTINENTE</v>
      </c>
      <c r="DM92" s="19" t="str">
        <f t="shared" ref="DM92:DM97" si="44">IF(DL92="NON PERTINENTE","NON PERTINENTE",IF(DJ92=DL92,"Rischio basso","Rischio alto"))</f>
        <v>NON PERTINENTE</v>
      </c>
      <c r="DN92" s="110">
        <f>_xlfn.MAXIFS('MY-REPORT-MAIN'!K:K,'MY-REPORT-MAIN'!C:C,DG92)</f>
        <v>45386.635824594909</v>
      </c>
      <c r="DO92" s="112">
        <f>IF(_xlfn.MAXIFS('MY-REPORT-MAIN'!M:M,'MY-REPORT-MAIN'!C:C,DG92)=0,"Nessun rendiconto  Convalidato",_xlfn.MAXIFS('MY-REPORT-MAIN'!M:M,'MY-REPORT-MAIN'!C:C,DG92))</f>
        <v>45476.552165960646</v>
      </c>
      <c r="DP92" s="113" cm="1">
        <f t="array" ref="DP92">IFERROR(INDEX('MY-REPORT-MAIN'!A:Z,MATCH(1,(DO92='MY-REPORT-MAIN'!M:M)*('Partner data'!DG92='MY-REPORT-MAIN'!C:C),0),1),"NON è stato convalidato ancora nessun rendiconto")</f>
        <v>255</v>
      </c>
      <c r="DQ92" s="111">
        <f>IFERROR(INDEX('MY-REPORT-MAIN'!A:Z,MATCH('Partner data'!DP92,'MY-REPORT-MAIN'!A:A,0),21),"Nessun Rendiconto ancora convalidato")</f>
        <v>25422.19</v>
      </c>
      <c r="DR92" s="110">
        <f>INDEX('Interreg VI-A Italy-Slovenia_pr'!A:E,MATCH('Partner data'!C92,'Interreg VI-A Italy-Slovenia_pr'!A:A,0),3)</f>
        <v>45200</v>
      </c>
      <c r="DS92" s="118">
        <f t="shared" si="29"/>
        <v>25425</v>
      </c>
      <c r="DT92" s="118">
        <f t="shared" si="30"/>
        <v>40350</v>
      </c>
      <c r="DU92" s="118">
        <f t="shared" si="31"/>
        <v>60700</v>
      </c>
      <c r="DV92" s="118">
        <f t="shared" si="32"/>
        <v>169625</v>
      </c>
      <c r="DW92" s="118">
        <f t="shared" si="33"/>
        <v>169625</v>
      </c>
      <c r="DX92" s="118">
        <f t="shared" si="34"/>
        <v>169625</v>
      </c>
      <c r="DY92" s="118">
        <f t="shared" si="35"/>
        <v>169625</v>
      </c>
      <c r="DZ92" s="118">
        <f t="shared" si="36"/>
        <v>169625</v>
      </c>
      <c r="EA92" s="118">
        <f t="shared" si="37"/>
        <v>169625</v>
      </c>
      <c r="EB92" s="118">
        <f t="shared" si="38"/>
        <v>169625</v>
      </c>
    </row>
    <row r="93" spans="1:132" ht="45" x14ac:dyDescent="0.25">
      <c r="A93" s="28">
        <v>1</v>
      </c>
      <c r="B93" s="29" t="s">
        <v>487</v>
      </c>
      <c r="C93" s="30" t="s">
        <v>1911</v>
      </c>
      <c r="D93" s="30" t="s">
        <v>341</v>
      </c>
      <c r="E93" s="30" t="s">
        <v>1912</v>
      </c>
      <c r="F93" s="30" t="s">
        <v>1043</v>
      </c>
      <c r="G93" s="30" t="s">
        <v>491</v>
      </c>
      <c r="H93" s="30" t="s">
        <v>691</v>
      </c>
      <c r="I93" s="30" t="s">
        <v>1044</v>
      </c>
      <c r="J93" s="31" t="s">
        <v>518</v>
      </c>
      <c r="K93" s="31" t="s">
        <v>495</v>
      </c>
      <c r="L93" s="31" t="s">
        <v>519</v>
      </c>
      <c r="M93" s="31" t="s">
        <v>345</v>
      </c>
      <c r="N93" s="31" t="s">
        <v>1922</v>
      </c>
      <c r="O93" s="31" t="s">
        <v>1923</v>
      </c>
      <c r="P93" s="31" t="s">
        <v>257</v>
      </c>
      <c r="Q93" s="31" t="s">
        <v>556</v>
      </c>
      <c r="R93" s="31" t="s">
        <v>270</v>
      </c>
      <c r="S93" s="32">
        <v>96564</v>
      </c>
      <c r="T93" s="32">
        <v>80</v>
      </c>
      <c r="U93" s="32">
        <v>16.11</v>
      </c>
      <c r="V93" s="32">
        <v>0</v>
      </c>
      <c r="W93" s="32">
        <v>0</v>
      </c>
      <c r="X93" s="32">
        <v>0</v>
      </c>
      <c r="Y93" s="32">
        <v>0</v>
      </c>
      <c r="Z93" s="32">
        <v>0</v>
      </c>
      <c r="AA93" s="32">
        <v>0</v>
      </c>
      <c r="AB93" s="32">
        <v>0</v>
      </c>
      <c r="AC93" s="32">
        <v>0</v>
      </c>
      <c r="AD93" s="32">
        <v>0</v>
      </c>
      <c r="AE93" s="32">
        <v>0</v>
      </c>
      <c r="AF93" s="32">
        <v>0</v>
      </c>
      <c r="AG93" s="32">
        <v>0</v>
      </c>
      <c r="AH93" s="32">
        <v>0</v>
      </c>
      <c r="AI93" s="32">
        <v>0</v>
      </c>
      <c r="AJ93" s="32">
        <v>0</v>
      </c>
      <c r="AK93" s="32">
        <v>0</v>
      </c>
      <c r="AL93" s="32">
        <v>0</v>
      </c>
      <c r="AM93" s="32">
        <v>0</v>
      </c>
      <c r="AN93" s="32">
        <v>24141</v>
      </c>
      <c r="AO93" s="32">
        <v>0</v>
      </c>
      <c r="AP93" s="32">
        <v>0</v>
      </c>
      <c r="AQ93" s="32">
        <v>24141</v>
      </c>
      <c r="AR93" s="32">
        <v>120705</v>
      </c>
      <c r="AS93" s="32">
        <v>16.11</v>
      </c>
      <c r="AT93" s="32">
        <v>19500</v>
      </c>
      <c r="AU93" s="32">
        <v>19500</v>
      </c>
      <c r="AV93" s="32">
        <v>0</v>
      </c>
      <c r="AW93" s="32">
        <v>0</v>
      </c>
      <c r="AX93" s="32">
        <v>2925</v>
      </c>
      <c r="AY93" s="32">
        <v>2925</v>
      </c>
      <c r="AZ93" s="32">
        <v>780</v>
      </c>
      <c r="BA93" s="32">
        <v>780</v>
      </c>
      <c r="BB93" s="32">
        <v>0</v>
      </c>
      <c r="BC93" s="32">
        <v>0</v>
      </c>
      <c r="BD93" s="32">
        <v>22500</v>
      </c>
      <c r="BE93" s="32">
        <v>22500</v>
      </c>
      <c r="BF93" s="32">
        <v>0</v>
      </c>
      <c r="BG93" s="32">
        <v>75000</v>
      </c>
      <c r="BH93" s="32">
        <v>75000</v>
      </c>
      <c r="BI93" s="32">
        <v>0</v>
      </c>
      <c r="BJ93" s="32">
        <v>0</v>
      </c>
      <c r="BK93" s="32">
        <v>0</v>
      </c>
      <c r="BL93" s="32">
        <v>0</v>
      </c>
      <c r="BM93" s="32">
        <v>0</v>
      </c>
      <c r="BN93" s="32">
        <v>0</v>
      </c>
      <c r="BO93" s="32">
        <v>0</v>
      </c>
      <c r="BP93" s="32">
        <v>0</v>
      </c>
      <c r="BQ93" s="32">
        <v>95945</v>
      </c>
      <c r="BR93" s="32">
        <v>9285</v>
      </c>
      <c r="BS93" s="32">
        <v>12380</v>
      </c>
      <c r="BT93" s="32">
        <v>3095</v>
      </c>
      <c r="BU93" s="32">
        <v>0</v>
      </c>
      <c r="BV93" s="32">
        <v>0</v>
      </c>
      <c r="BW93" s="32">
        <v>0</v>
      </c>
      <c r="BX93" s="32">
        <v>0</v>
      </c>
      <c r="BY93" s="32">
        <v>0</v>
      </c>
      <c r="BZ93" s="32">
        <v>0</v>
      </c>
      <c r="CA93" s="32">
        <v>0</v>
      </c>
      <c r="CB93" s="33" t="s">
        <v>212</v>
      </c>
      <c r="CC93" s="33" t="s">
        <v>522</v>
      </c>
      <c r="CD93" s="33"/>
      <c r="CE93" s="33" t="s">
        <v>523</v>
      </c>
      <c r="CF93" s="33" t="s">
        <v>829</v>
      </c>
      <c r="CG93" s="33" t="s">
        <v>1924</v>
      </c>
      <c r="CH93" s="33" t="s">
        <v>526</v>
      </c>
      <c r="CI93" s="33"/>
      <c r="CJ93" s="33" t="s">
        <v>212</v>
      </c>
      <c r="CK93" s="33" t="s">
        <v>212</v>
      </c>
      <c r="CL93" s="33" t="s">
        <v>212</v>
      </c>
      <c r="CM93" s="33"/>
      <c r="CN93" s="33" t="s">
        <v>257</v>
      </c>
      <c r="CO93" s="33" t="s">
        <v>270</v>
      </c>
      <c r="CP93" s="33" t="s">
        <v>1925</v>
      </c>
      <c r="CQ93" s="33" t="s">
        <v>686</v>
      </c>
      <c r="CR93" s="33" t="s">
        <v>687</v>
      </c>
      <c r="CS93" s="33" t="s">
        <v>1926</v>
      </c>
      <c r="CT93" s="33"/>
      <c r="CU93" s="33"/>
      <c r="CV93" s="33"/>
      <c r="CW93" s="33"/>
      <c r="CX93" s="33"/>
      <c r="CY93" s="33" t="s">
        <v>1916</v>
      </c>
      <c r="CZ93" s="33" t="s">
        <v>1089</v>
      </c>
      <c r="DA93" s="33" t="s">
        <v>1927</v>
      </c>
      <c r="DB93" s="33" t="s">
        <v>1916</v>
      </c>
      <c r="DC93" s="33" t="s">
        <v>1089</v>
      </c>
      <c r="DD93" s="33" t="s">
        <v>1927</v>
      </c>
      <c r="DE93" s="33" t="s">
        <v>1928</v>
      </c>
      <c r="DF93" s="34" t="s">
        <v>1929</v>
      </c>
      <c r="DG93" s="27" cm="1">
        <f t="array" ref="DG93">INDEX('elenco partner'!A:M,MATCH(1,(D93='elenco partner'!A:A)*('Partner data'!M93='elenco partner'!E:E),0),4)</f>
        <v>134</v>
      </c>
      <c r="DH93" s="83" t="str">
        <f t="shared" si="42"/>
        <v>Tasso Forfettario 20%</v>
      </c>
      <c r="DI93" s="20">
        <f>COUNTIFS('MY-REPORT-MAIN'!C:C,'Partner data'!DG93,'MY-REPORT-MAIN'!I:I,"Certified")</f>
        <v>0</v>
      </c>
      <c r="DJ93" s="20">
        <f>COUNTIFS(List_Of_chek_list!M:M,"&lt;&gt;26",List_Of_chek_list!B:B,'Partner data'!DG93)</f>
        <v>0</v>
      </c>
      <c r="DK93" s="20">
        <f t="shared" si="43"/>
        <v>0</v>
      </c>
      <c r="DL93" s="19" t="e">
        <f>IF(DH93="Tasso Forfettario 20%",SUMIFS(List_Of_chek_list!#REF!,List_Of_chek_list!B:B,'Partner data'!DG93),"NON PERTINENTE")</f>
        <v>#REF!</v>
      </c>
      <c r="DM93" s="19" t="e">
        <f t="shared" si="44"/>
        <v>#REF!</v>
      </c>
      <c r="DN93" s="110">
        <f>_xlfn.MAXIFS('MY-REPORT-MAIN'!K:K,'MY-REPORT-MAIN'!C:C,DG93)</f>
        <v>0</v>
      </c>
      <c r="DO93" s="112" t="str">
        <f>IF(_xlfn.MAXIFS('MY-REPORT-MAIN'!M:M,'MY-REPORT-MAIN'!C:C,DG93)=0,"Nessun rendiconto  Convalidato",_xlfn.MAXIFS('MY-REPORT-MAIN'!M:M,'MY-REPORT-MAIN'!C:C,DG93))</f>
        <v>Nessun rendiconto  Convalidato</v>
      </c>
      <c r="DP93" s="113" t="str" cm="1">
        <f t="array" ref="DP93">IFERROR(INDEX('MY-REPORT-MAIN'!A:Z,MATCH(1,(DO93='MY-REPORT-MAIN'!M:M)*('Partner data'!DG93='MY-REPORT-MAIN'!C:C),0),1),"NON è stato convalidato ancora nessun rendiconto")</f>
        <v>NON è stato convalidato ancora nessun rendiconto</v>
      </c>
      <c r="DQ93" s="111" t="str">
        <f>IFERROR(INDEX('MY-REPORT-MAIN'!A:Z,MATCH('Partner data'!DP93,'MY-REPORT-MAIN'!A:A,0),21),"Nessun Rendiconto ancora convalidato")</f>
        <v>Nessun Rendiconto ancora convalidato</v>
      </c>
      <c r="DR93" s="110">
        <f>INDEX('Interreg VI-A Italy-Slovenia_pr'!A:E,MATCH('Partner data'!C93,'Interreg VI-A Italy-Slovenia_pr'!A:A,0),3)</f>
        <v>45200</v>
      </c>
      <c r="DS93" s="118">
        <f t="shared" si="29"/>
        <v>95945</v>
      </c>
      <c r="DT93" s="118">
        <f t="shared" si="30"/>
        <v>105230</v>
      </c>
      <c r="DU93" s="118">
        <f t="shared" si="31"/>
        <v>117610</v>
      </c>
      <c r="DV93" s="118">
        <f t="shared" si="32"/>
        <v>120705</v>
      </c>
      <c r="DW93" s="118">
        <f t="shared" si="33"/>
        <v>120705</v>
      </c>
      <c r="DX93" s="118">
        <f t="shared" si="34"/>
        <v>120705</v>
      </c>
      <c r="DY93" s="118">
        <f t="shared" si="35"/>
        <v>120705</v>
      </c>
      <c r="DZ93" s="118">
        <f t="shared" si="36"/>
        <v>120705</v>
      </c>
      <c r="EA93" s="118">
        <f t="shared" si="37"/>
        <v>120705</v>
      </c>
      <c r="EB93" s="118">
        <f t="shared" si="38"/>
        <v>120705</v>
      </c>
    </row>
    <row r="94" spans="1:132" ht="45" x14ac:dyDescent="0.25">
      <c r="A94" s="28">
        <v>1</v>
      </c>
      <c r="B94" s="29" t="s">
        <v>487</v>
      </c>
      <c r="C94" s="30" t="s">
        <v>1911</v>
      </c>
      <c r="D94" s="30" t="s">
        <v>341</v>
      </c>
      <c r="E94" s="30" t="s">
        <v>1912</v>
      </c>
      <c r="F94" s="30" t="s">
        <v>1043</v>
      </c>
      <c r="G94" s="30" t="s">
        <v>491</v>
      </c>
      <c r="H94" s="30" t="s">
        <v>691</v>
      </c>
      <c r="I94" s="30" t="s">
        <v>1044</v>
      </c>
      <c r="J94" s="31" t="s">
        <v>538</v>
      </c>
      <c r="K94" s="31" t="s">
        <v>495</v>
      </c>
      <c r="L94" s="31" t="s">
        <v>519</v>
      </c>
      <c r="M94" s="31" t="s">
        <v>47</v>
      </c>
      <c r="N94" s="31" t="s">
        <v>1930</v>
      </c>
      <c r="O94" s="31" t="s">
        <v>1931</v>
      </c>
      <c r="P94" s="31" t="s">
        <v>254</v>
      </c>
      <c r="Q94" s="31" t="s">
        <v>499</v>
      </c>
      <c r="R94" s="31" t="s">
        <v>255</v>
      </c>
      <c r="S94" s="32">
        <v>123800</v>
      </c>
      <c r="T94" s="32">
        <v>80</v>
      </c>
      <c r="U94" s="32">
        <v>20.65</v>
      </c>
      <c r="V94" s="32">
        <v>0</v>
      </c>
      <c r="W94" s="32">
        <v>0</v>
      </c>
      <c r="X94" s="32">
        <v>0</v>
      </c>
      <c r="Y94" s="32">
        <v>0</v>
      </c>
      <c r="Z94" s="32">
        <v>0</v>
      </c>
      <c r="AA94" s="32">
        <v>0</v>
      </c>
      <c r="AB94" s="32">
        <v>0</v>
      </c>
      <c r="AC94" s="32">
        <v>0</v>
      </c>
      <c r="AD94" s="32">
        <v>0</v>
      </c>
      <c r="AE94" s="32">
        <v>0</v>
      </c>
      <c r="AF94" s="32">
        <v>0</v>
      </c>
      <c r="AG94" s="32">
        <v>0</v>
      </c>
      <c r="AH94" s="32">
        <v>0</v>
      </c>
      <c r="AI94" s="32">
        <v>0</v>
      </c>
      <c r="AJ94" s="32">
        <v>0</v>
      </c>
      <c r="AK94" s="32">
        <v>0</v>
      </c>
      <c r="AL94" s="32">
        <v>0</v>
      </c>
      <c r="AM94" s="32">
        <v>0</v>
      </c>
      <c r="AN94" s="32">
        <v>0</v>
      </c>
      <c r="AO94" s="32">
        <v>30950</v>
      </c>
      <c r="AP94" s="32">
        <v>0</v>
      </c>
      <c r="AQ94" s="32">
        <v>30950</v>
      </c>
      <c r="AR94" s="32">
        <v>154750</v>
      </c>
      <c r="AS94" s="32">
        <v>20.65</v>
      </c>
      <c r="AT94" s="32">
        <v>25000</v>
      </c>
      <c r="AU94" s="32">
        <v>25000</v>
      </c>
      <c r="AV94" s="32">
        <v>0</v>
      </c>
      <c r="AW94" s="32">
        <v>0</v>
      </c>
      <c r="AX94" s="32">
        <v>3750</v>
      </c>
      <c r="AY94" s="32">
        <v>3750</v>
      </c>
      <c r="AZ94" s="32">
        <v>1000</v>
      </c>
      <c r="BA94" s="32">
        <v>1000</v>
      </c>
      <c r="BB94" s="32">
        <v>0</v>
      </c>
      <c r="BC94" s="32">
        <v>0</v>
      </c>
      <c r="BD94" s="32">
        <v>125000</v>
      </c>
      <c r="BE94" s="32">
        <v>125000</v>
      </c>
      <c r="BF94" s="32">
        <v>0</v>
      </c>
      <c r="BG94" s="32">
        <v>0</v>
      </c>
      <c r="BH94" s="32">
        <v>0</v>
      </c>
      <c r="BI94" s="32">
        <v>0</v>
      </c>
      <c r="BJ94" s="32">
        <v>0</v>
      </c>
      <c r="BK94" s="32">
        <v>0</v>
      </c>
      <c r="BL94" s="32">
        <v>0</v>
      </c>
      <c r="BM94" s="32">
        <v>0</v>
      </c>
      <c r="BN94" s="32">
        <v>0</v>
      </c>
      <c r="BO94" s="32">
        <v>0</v>
      </c>
      <c r="BP94" s="32">
        <v>0</v>
      </c>
      <c r="BQ94" s="32">
        <v>7737.5</v>
      </c>
      <c r="BR94" s="32">
        <v>7737.5</v>
      </c>
      <c r="BS94" s="32">
        <v>15475</v>
      </c>
      <c r="BT94" s="32">
        <v>123800</v>
      </c>
      <c r="BU94" s="32">
        <v>0</v>
      </c>
      <c r="BV94" s="32">
        <v>0</v>
      </c>
      <c r="BW94" s="32">
        <v>0</v>
      </c>
      <c r="BX94" s="32">
        <v>0</v>
      </c>
      <c r="BY94" s="32">
        <v>0</v>
      </c>
      <c r="BZ94" s="32">
        <v>0</v>
      </c>
      <c r="CA94" s="32">
        <v>0</v>
      </c>
      <c r="CB94" s="33" t="s">
        <v>212</v>
      </c>
      <c r="CC94" s="33" t="s">
        <v>500</v>
      </c>
      <c r="CD94" s="33"/>
      <c r="CE94" s="33" t="s">
        <v>684</v>
      </c>
      <c r="CF94" s="33" t="s">
        <v>1748</v>
      </c>
      <c r="CG94" s="33" t="s">
        <v>1932</v>
      </c>
      <c r="CH94" s="33" t="s">
        <v>526</v>
      </c>
      <c r="CI94" s="33"/>
      <c r="CJ94" s="33" t="s">
        <v>212</v>
      </c>
      <c r="CK94" s="33"/>
      <c r="CL94" s="33" t="s">
        <v>212</v>
      </c>
      <c r="CM94" s="33"/>
      <c r="CN94" s="33" t="s">
        <v>254</v>
      </c>
      <c r="CO94" s="33" t="s">
        <v>255</v>
      </c>
      <c r="CP94" s="33" t="s">
        <v>1330</v>
      </c>
      <c r="CQ94" s="33" t="s">
        <v>1331</v>
      </c>
      <c r="CR94" s="33" t="s">
        <v>529</v>
      </c>
      <c r="CS94" s="33" t="s">
        <v>1933</v>
      </c>
      <c r="CT94" s="33"/>
      <c r="CU94" s="33"/>
      <c r="CV94" s="33"/>
      <c r="CW94" s="33"/>
      <c r="CX94" s="33"/>
      <c r="CY94" s="33" t="s">
        <v>1916</v>
      </c>
      <c r="CZ94" s="33" t="s">
        <v>1333</v>
      </c>
      <c r="DA94" s="33" t="s">
        <v>1334</v>
      </c>
      <c r="DB94" s="33" t="s">
        <v>1916</v>
      </c>
      <c r="DC94" s="33" t="s">
        <v>623</v>
      </c>
      <c r="DD94" s="33" t="s">
        <v>1335</v>
      </c>
      <c r="DE94" s="33" t="s">
        <v>1934</v>
      </c>
      <c r="DF94" s="34" t="s">
        <v>1935</v>
      </c>
      <c r="DG94" s="27" cm="1">
        <f t="array" ref="DG94">INDEX('elenco partner'!A:M,MATCH(1,(D94='elenco partner'!A:A)*('Partner data'!M94='elenco partner'!E:E),0),4)</f>
        <v>135</v>
      </c>
      <c r="DH94" s="83" t="str">
        <f t="shared" si="42"/>
        <v>Tasso Forfettario 20%</v>
      </c>
      <c r="DI94" s="20">
        <f>COUNTIFS('MY-REPORT-MAIN'!C:C,'Partner data'!DG94,'MY-REPORT-MAIN'!I:I,"Certified")</f>
        <v>0</v>
      </c>
      <c r="DJ94" s="20">
        <f>COUNTIFS(List_Of_chek_list!M:M,"&lt;&gt;26",List_Of_chek_list!B:B,'Partner data'!DG94)</f>
        <v>0</v>
      </c>
      <c r="DK94" s="20">
        <f t="shared" si="43"/>
        <v>0</v>
      </c>
      <c r="DL94" s="19" t="e">
        <f>IF(DH94="Tasso Forfettario 20%",SUMIFS(List_Of_chek_list!#REF!,List_Of_chek_list!B:B,'Partner data'!DG94),"NON PERTINENTE")</f>
        <v>#REF!</v>
      </c>
      <c r="DM94" s="19" t="e">
        <f t="shared" si="44"/>
        <v>#REF!</v>
      </c>
      <c r="DN94" s="110">
        <f>_xlfn.MAXIFS('MY-REPORT-MAIN'!K:K,'MY-REPORT-MAIN'!C:C,DG94)</f>
        <v>0</v>
      </c>
      <c r="DO94" s="112" t="str">
        <f>IF(_xlfn.MAXIFS('MY-REPORT-MAIN'!M:M,'MY-REPORT-MAIN'!C:C,DG94)=0,"Nessun rendiconto  Convalidato",_xlfn.MAXIFS('MY-REPORT-MAIN'!M:M,'MY-REPORT-MAIN'!C:C,DG94))</f>
        <v>Nessun rendiconto  Convalidato</v>
      </c>
      <c r="DP94" s="113" t="str" cm="1">
        <f t="array" ref="DP94">IFERROR(INDEX('MY-REPORT-MAIN'!A:Z,MATCH(1,(DO94='MY-REPORT-MAIN'!M:M)*('Partner data'!DG94='MY-REPORT-MAIN'!C:C),0),1),"NON è stato convalidato ancora nessun rendiconto")</f>
        <v>NON è stato convalidato ancora nessun rendiconto</v>
      </c>
      <c r="DQ94" s="111" t="str">
        <f>IFERROR(INDEX('MY-REPORT-MAIN'!A:Z,MATCH('Partner data'!DP94,'MY-REPORT-MAIN'!A:A,0),21),"Nessun Rendiconto ancora convalidato")</f>
        <v>Nessun Rendiconto ancora convalidato</v>
      </c>
      <c r="DR94" s="110">
        <f>INDEX('Interreg VI-A Italy-Slovenia_pr'!A:E,MATCH('Partner data'!C94,'Interreg VI-A Italy-Slovenia_pr'!A:A,0),3)</f>
        <v>45200</v>
      </c>
      <c r="DS94" s="118">
        <f t="shared" si="29"/>
        <v>7737.5</v>
      </c>
      <c r="DT94" s="118">
        <f t="shared" si="30"/>
        <v>15475</v>
      </c>
      <c r="DU94" s="118">
        <f t="shared" si="31"/>
        <v>30950</v>
      </c>
      <c r="DV94" s="118">
        <f t="shared" si="32"/>
        <v>154750</v>
      </c>
      <c r="DW94" s="118">
        <f t="shared" si="33"/>
        <v>154750</v>
      </c>
      <c r="DX94" s="118">
        <f t="shared" si="34"/>
        <v>154750</v>
      </c>
      <c r="DY94" s="118">
        <f t="shared" si="35"/>
        <v>154750</v>
      </c>
      <c r="DZ94" s="118">
        <f t="shared" si="36"/>
        <v>154750</v>
      </c>
      <c r="EA94" s="118">
        <f t="shared" si="37"/>
        <v>154750</v>
      </c>
      <c r="EB94" s="118">
        <f t="shared" si="38"/>
        <v>154750</v>
      </c>
    </row>
    <row r="95" spans="1:132" ht="45" x14ac:dyDescent="0.25">
      <c r="A95" s="28">
        <v>1</v>
      </c>
      <c r="B95" s="29" t="s">
        <v>487</v>
      </c>
      <c r="C95" s="30" t="s">
        <v>1911</v>
      </c>
      <c r="D95" s="30" t="s">
        <v>341</v>
      </c>
      <c r="E95" s="30" t="s">
        <v>1912</v>
      </c>
      <c r="F95" s="30" t="s">
        <v>1043</v>
      </c>
      <c r="G95" s="30" t="s">
        <v>491</v>
      </c>
      <c r="H95" s="30" t="s">
        <v>691</v>
      </c>
      <c r="I95" s="30" t="s">
        <v>1044</v>
      </c>
      <c r="J95" s="31" t="s">
        <v>554</v>
      </c>
      <c r="K95" s="31" t="s">
        <v>495</v>
      </c>
      <c r="L95" s="31" t="s">
        <v>519</v>
      </c>
      <c r="M95" s="31" t="s">
        <v>343</v>
      </c>
      <c r="N95" s="31" t="s">
        <v>343</v>
      </c>
      <c r="O95" s="31" t="s">
        <v>1936</v>
      </c>
      <c r="P95" s="31" t="s">
        <v>257</v>
      </c>
      <c r="Q95" s="31" t="s">
        <v>556</v>
      </c>
      <c r="R95" s="31" t="s">
        <v>270</v>
      </c>
      <c r="S95" s="32">
        <v>116700</v>
      </c>
      <c r="T95" s="32">
        <v>80</v>
      </c>
      <c r="U95" s="32">
        <v>19.47</v>
      </c>
      <c r="V95" s="32">
        <v>0</v>
      </c>
      <c r="W95" s="32">
        <v>0</v>
      </c>
      <c r="X95" s="32">
        <v>0</v>
      </c>
      <c r="Y95" s="32">
        <v>0</v>
      </c>
      <c r="Z95" s="32">
        <v>0</v>
      </c>
      <c r="AA95" s="32">
        <v>0</v>
      </c>
      <c r="AB95" s="32">
        <v>0</v>
      </c>
      <c r="AC95" s="32">
        <v>0</v>
      </c>
      <c r="AD95" s="32">
        <v>0</v>
      </c>
      <c r="AE95" s="32">
        <v>0</v>
      </c>
      <c r="AF95" s="32">
        <v>0</v>
      </c>
      <c r="AG95" s="32">
        <v>0</v>
      </c>
      <c r="AH95" s="32">
        <v>0</v>
      </c>
      <c r="AI95" s="32">
        <v>0</v>
      </c>
      <c r="AJ95" s="32">
        <v>0</v>
      </c>
      <c r="AK95" s="32">
        <v>0</v>
      </c>
      <c r="AL95" s="32">
        <v>0</v>
      </c>
      <c r="AM95" s="32">
        <v>0</v>
      </c>
      <c r="AN95" s="32">
        <v>29175</v>
      </c>
      <c r="AO95" s="32">
        <v>0</v>
      </c>
      <c r="AP95" s="32">
        <v>0</v>
      </c>
      <c r="AQ95" s="32">
        <v>29175</v>
      </c>
      <c r="AR95" s="32">
        <v>145875</v>
      </c>
      <c r="AS95" s="32">
        <v>19.47</v>
      </c>
      <c r="AT95" s="32">
        <v>30000</v>
      </c>
      <c r="AU95" s="32">
        <v>0</v>
      </c>
      <c r="AV95" s="32">
        <v>30000</v>
      </c>
      <c r="AW95" s="32">
        <v>0</v>
      </c>
      <c r="AX95" s="32">
        <v>4500</v>
      </c>
      <c r="AY95" s="32">
        <v>4500</v>
      </c>
      <c r="AZ95" s="32">
        <v>1200</v>
      </c>
      <c r="BA95" s="32">
        <v>1200</v>
      </c>
      <c r="BB95" s="32">
        <v>0</v>
      </c>
      <c r="BC95" s="32">
        <v>0</v>
      </c>
      <c r="BD95" s="32">
        <v>110175</v>
      </c>
      <c r="BE95" s="32">
        <v>110175</v>
      </c>
      <c r="BF95" s="32">
        <v>0</v>
      </c>
      <c r="BG95" s="32">
        <v>0</v>
      </c>
      <c r="BH95" s="32">
        <v>0</v>
      </c>
      <c r="BI95" s="32">
        <v>0</v>
      </c>
      <c r="BJ95" s="32">
        <v>0</v>
      </c>
      <c r="BK95" s="32">
        <v>0</v>
      </c>
      <c r="BL95" s="32">
        <v>0</v>
      </c>
      <c r="BM95" s="32">
        <v>0</v>
      </c>
      <c r="BN95" s="32">
        <v>0</v>
      </c>
      <c r="BO95" s="32">
        <v>0</v>
      </c>
      <c r="BP95" s="32">
        <v>0</v>
      </c>
      <c r="BQ95" s="32">
        <v>12675</v>
      </c>
      <c r="BR95" s="32">
        <v>12675</v>
      </c>
      <c r="BS95" s="32">
        <v>16600</v>
      </c>
      <c r="BT95" s="32">
        <v>103925</v>
      </c>
      <c r="BU95" s="32">
        <v>0</v>
      </c>
      <c r="BV95" s="32">
        <v>0</v>
      </c>
      <c r="BW95" s="32">
        <v>0</v>
      </c>
      <c r="BX95" s="32">
        <v>0</v>
      </c>
      <c r="BY95" s="32">
        <v>0</v>
      </c>
      <c r="BZ95" s="32">
        <v>0</v>
      </c>
      <c r="CA95" s="32">
        <v>0</v>
      </c>
      <c r="CB95" s="33" t="s">
        <v>212</v>
      </c>
      <c r="CC95" s="33" t="s">
        <v>522</v>
      </c>
      <c r="CD95" s="33"/>
      <c r="CE95" s="33" t="s">
        <v>523</v>
      </c>
      <c r="CF95" s="33" t="s">
        <v>829</v>
      </c>
      <c r="CG95" s="33" t="s">
        <v>1937</v>
      </c>
      <c r="CH95" s="33" t="s">
        <v>526</v>
      </c>
      <c r="CI95" s="33"/>
      <c r="CJ95" s="33" t="s">
        <v>212</v>
      </c>
      <c r="CK95" s="33"/>
      <c r="CL95" s="33" t="s">
        <v>212</v>
      </c>
      <c r="CM95" s="33"/>
      <c r="CN95" s="33" t="s">
        <v>257</v>
      </c>
      <c r="CO95" s="33" t="s">
        <v>270</v>
      </c>
      <c r="CP95" s="33" t="s">
        <v>1938</v>
      </c>
      <c r="CQ95" s="33" t="s">
        <v>1939</v>
      </c>
      <c r="CR95" s="33" t="s">
        <v>1940</v>
      </c>
      <c r="CS95" s="33" t="s">
        <v>1941</v>
      </c>
      <c r="CT95" s="33"/>
      <c r="CU95" s="33"/>
      <c r="CV95" s="33"/>
      <c r="CW95" s="33"/>
      <c r="CX95" s="33"/>
      <c r="CY95" s="33" t="s">
        <v>1916</v>
      </c>
      <c r="CZ95" s="33" t="s">
        <v>1942</v>
      </c>
      <c r="DA95" s="33" t="s">
        <v>1943</v>
      </c>
      <c r="DB95" s="33" t="s">
        <v>1916</v>
      </c>
      <c r="DC95" s="33" t="s">
        <v>1028</v>
      </c>
      <c r="DD95" s="33" t="s">
        <v>1944</v>
      </c>
      <c r="DE95" s="33" t="s">
        <v>1945</v>
      </c>
      <c r="DF95" s="34" t="s">
        <v>1946</v>
      </c>
      <c r="DG95" s="27" cm="1">
        <f t="array" ref="DG95">INDEX('elenco partner'!A:M,MATCH(1,(D95='elenco partner'!A:A)*('Partner data'!M95='elenco partner'!E:E),0),4)</f>
        <v>270</v>
      </c>
      <c r="DH95" s="83" t="str">
        <f t="shared" si="42"/>
        <v>COSTO REALE</v>
      </c>
      <c r="DI95" s="20">
        <f>COUNTIFS('MY-REPORT-MAIN'!C:C,'Partner data'!DG95,'MY-REPORT-MAIN'!I:I,"Certified")</f>
        <v>0</v>
      </c>
      <c r="DJ95" s="20">
        <f>COUNTIFS(List_Of_chek_list!M:M,"&lt;&gt;26",List_Of_chek_list!B:B,'Partner data'!DG95)</f>
        <v>0</v>
      </c>
      <c r="DK95" s="20">
        <f t="shared" si="43"/>
        <v>0</v>
      </c>
      <c r="DL95" s="19" t="str">
        <f>IF(DH95="Tasso Forfettario 20%",SUMIFS(List_Of_chek_list!#REF!,List_Of_chek_list!B:B,'Partner data'!DG95),"NON PERTINENTE")</f>
        <v>NON PERTINENTE</v>
      </c>
      <c r="DM95" s="19" t="str">
        <f t="shared" si="44"/>
        <v>NON PERTINENTE</v>
      </c>
      <c r="DN95" s="110">
        <f>_xlfn.MAXIFS('MY-REPORT-MAIN'!K:K,'MY-REPORT-MAIN'!C:C,DG95)</f>
        <v>0</v>
      </c>
      <c r="DO95" s="112" t="str">
        <f>IF(_xlfn.MAXIFS('MY-REPORT-MAIN'!M:M,'MY-REPORT-MAIN'!C:C,DG95)=0,"Nessun rendiconto  Convalidato",_xlfn.MAXIFS('MY-REPORT-MAIN'!M:M,'MY-REPORT-MAIN'!C:C,DG95))</f>
        <v>Nessun rendiconto  Convalidato</v>
      </c>
      <c r="DP95" s="113" t="str" cm="1">
        <f t="array" ref="DP95">IFERROR(INDEX('MY-REPORT-MAIN'!A:Z,MATCH(1,(DO95='MY-REPORT-MAIN'!M:M)*('Partner data'!DG95='MY-REPORT-MAIN'!C:C),0),1),"NON è stato convalidato ancora nessun rendiconto")</f>
        <v>NON è stato convalidato ancora nessun rendiconto</v>
      </c>
      <c r="DQ95" s="111" t="str">
        <f>IFERROR(INDEX('MY-REPORT-MAIN'!A:Z,MATCH('Partner data'!DP95,'MY-REPORT-MAIN'!A:A,0),21),"Nessun Rendiconto ancora convalidato")</f>
        <v>Nessun Rendiconto ancora convalidato</v>
      </c>
      <c r="DR95" s="110">
        <f>INDEX('Interreg VI-A Italy-Slovenia_pr'!A:E,MATCH('Partner data'!C95,'Interreg VI-A Italy-Slovenia_pr'!A:A,0),3)</f>
        <v>45200</v>
      </c>
      <c r="DS95" s="118">
        <f t="shared" si="29"/>
        <v>12675</v>
      </c>
      <c r="DT95" s="118">
        <f t="shared" si="30"/>
        <v>25350</v>
      </c>
      <c r="DU95" s="118">
        <f t="shared" si="31"/>
        <v>41950</v>
      </c>
      <c r="DV95" s="118">
        <f t="shared" si="32"/>
        <v>145875</v>
      </c>
      <c r="DW95" s="118">
        <f t="shared" si="33"/>
        <v>145875</v>
      </c>
      <c r="DX95" s="118">
        <f t="shared" si="34"/>
        <v>145875</v>
      </c>
      <c r="DY95" s="118">
        <f t="shared" si="35"/>
        <v>145875</v>
      </c>
      <c r="DZ95" s="118">
        <f t="shared" si="36"/>
        <v>145875</v>
      </c>
      <c r="EA95" s="118">
        <f t="shared" si="37"/>
        <v>145875</v>
      </c>
      <c r="EB95" s="118">
        <f t="shared" si="38"/>
        <v>145875</v>
      </c>
    </row>
    <row r="96" spans="1:132" ht="45" x14ac:dyDescent="0.25">
      <c r="A96" s="28">
        <v>1</v>
      </c>
      <c r="B96" s="29" t="s">
        <v>487</v>
      </c>
      <c r="C96" s="30" t="s">
        <v>1911</v>
      </c>
      <c r="D96" s="30" t="s">
        <v>341</v>
      </c>
      <c r="E96" s="30" t="s">
        <v>1912</v>
      </c>
      <c r="F96" s="30" t="s">
        <v>1043</v>
      </c>
      <c r="G96" s="30" t="s">
        <v>491</v>
      </c>
      <c r="H96" s="30" t="s">
        <v>691</v>
      </c>
      <c r="I96" s="30" t="s">
        <v>1044</v>
      </c>
      <c r="J96" s="31" t="s">
        <v>570</v>
      </c>
      <c r="K96" s="31" t="s">
        <v>495</v>
      </c>
      <c r="L96" s="31" t="s">
        <v>519</v>
      </c>
      <c r="M96" s="31" t="s">
        <v>278</v>
      </c>
      <c r="N96" s="31" t="s">
        <v>1947</v>
      </c>
      <c r="O96" s="31" t="s">
        <v>1948</v>
      </c>
      <c r="P96" s="31" t="s">
        <v>254</v>
      </c>
      <c r="Q96" s="31" t="s">
        <v>499</v>
      </c>
      <c r="R96" s="31" t="s">
        <v>255</v>
      </c>
      <c r="S96" s="32">
        <v>50015.199999999997</v>
      </c>
      <c r="T96" s="32">
        <v>80</v>
      </c>
      <c r="U96" s="32">
        <v>8.34</v>
      </c>
      <c r="V96" s="32">
        <v>0</v>
      </c>
      <c r="W96" s="32">
        <v>0</v>
      </c>
      <c r="X96" s="32">
        <v>0</v>
      </c>
      <c r="Y96" s="32">
        <v>0</v>
      </c>
      <c r="Z96" s="32">
        <v>0</v>
      </c>
      <c r="AA96" s="32">
        <v>0</v>
      </c>
      <c r="AB96" s="32">
        <v>0</v>
      </c>
      <c r="AC96" s="32">
        <v>0</v>
      </c>
      <c r="AD96" s="32">
        <v>0</v>
      </c>
      <c r="AE96" s="32">
        <v>0</v>
      </c>
      <c r="AF96" s="32">
        <v>0</v>
      </c>
      <c r="AG96" s="32">
        <v>0</v>
      </c>
      <c r="AH96" s="32">
        <v>0</v>
      </c>
      <c r="AI96" s="32">
        <v>0</v>
      </c>
      <c r="AJ96" s="32">
        <v>0</v>
      </c>
      <c r="AK96" s="32">
        <v>0</v>
      </c>
      <c r="AL96" s="32">
        <v>0</v>
      </c>
      <c r="AM96" s="32">
        <v>0</v>
      </c>
      <c r="AN96" s="32">
        <v>0</v>
      </c>
      <c r="AO96" s="32">
        <v>12503.8</v>
      </c>
      <c r="AP96" s="32">
        <v>0</v>
      </c>
      <c r="AQ96" s="32">
        <v>12503.8</v>
      </c>
      <c r="AR96" s="32">
        <v>62519</v>
      </c>
      <c r="AS96" s="32">
        <v>8.34</v>
      </c>
      <c r="AT96" s="32">
        <v>10100</v>
      </c>
      <c r="AU96" s="32">
        <v>10100</v>
      </c>
      <c r="AV96" s="32">
        <v>0</v>
      </c>
      <c r="AW96" s="32">
        <v>0</v>
      </c>
      <c r="AX96" s="32">
        <v>1515</v>
      </c>
      <c r="AY96" s="32">
        <v>1515</v>
      </c>
      <c r="AZ96" s="32">
        <v>404</v>
      </c>
      <c r="BA96" s="32">
        <v>404</v>
      </c>
      <c r="BB96" s="32">
        <v>0</v>
      </c>
      <c r="BC96" s="32">
        <v>0</v>
      </c>
      <c r="BD96" s="32">
        <v>10000</v>
      </c>
      <c r="BE96" s="32">
        <v>10000</v>
      </c>
      <c r="BF96" s="32">
        <v>0</v>
      </c>
      <c r="BG96" s="32">
        <v>40500</v>
      </c>
      <c r="BH96" s="32">
        <v>40500</v>
      </c>
      <c r="BI96" s="32">
        <v>0</v>
      </c>
      <c r="BJ96" s="32">
        <v>0</v>
      </c>
      <c r="BK96" s="32">
        <v>0</v>
      </c>
      <c r="BL96" s="32">
        <v>0</v>
      </c>
      <c r="BM96" s="32">
        <v>0</v>
      </c>
      <c r="BN96" s="32">
        <v>0</v>
      </c>
      <c r="BO96" s="32">
        <v>0</v>
      </c>
      <c r="BP96" s="32">
        <v>0</v>
      </c>
      <c r="BQ96" s="32">
        <v>53234</v>
      </c>
      <c r="BR96" s="32">
        <v>3095</v>
      </c>
      <c r="BS96" s="32">
        <v>3095</v>
      </c>
      <c r="BT96" s="32">
        <v>3095</v>
      </c>
      <c r="BU96" s="32">
        <v>0</v>
      </c>
      <c r="BV96" s="32">
        <v>0</v>
      </c>
      <c r="BW96" s="32">
        <v>0</v>
      </c>
      <c r="BX96" s="32">
        <v>0</v>
      </c>
      <c r="BY96" s="32">
        <v>0</v>
      </c>
      <c r="BZ96" s="32">
        <v>0</v>
      </c>
      <c r="CA96" s="32">
        <v>0</v>
      </c>
      <c r="CB96" s="33" t="s">
        <v>212</v>
      </c>
      <c r="CC96" s="33" t="s">
        <v>522</v>
      </c>
      <c r="CD96" s="33"/>
      <c r="CE96" s="33" t="s">
        <v>523</v>
      </c>
      <c r="CF96" s="33" t="s">
        <v>829</v>
      </c>
      <c r="CG96" s="33" t="s">
        <v>875</v>
      </c>
      <c r="CH96" s="33" t="s">
        <v>526</v>
      </c>
      <c r="CI96" s="33"/>
      <c r="CJ96" s="33" t="s">
        <v>212</v>
      </c>
      <c r="CK96" s="33"/>
      <c r="CL96" s="33" t="s">
        <v>212</v>
      </c>
      <c r="CM96" s="33"/>
      <c r="CN96" s="33" t="s">
        <v>254</v>
      </c>
      <c r="CO96" s="33" t="s">
        <v>255</v>
      </c>
      <c r="CP96" s="33" t="s">
        <v>1949</v>
      </c>
      <c r="CQ96" s="33" t="s">
        <v>877</v>
      </c>
      <c r="CR96" s="33" t="s">
        <v>1950</v>
      </c>
      <c r="CS96" s="33" t="s">
        <v>1951</v>
      </c>
      <c r="CT96" s="33"/>
      <c r="CU96" s="33"/>
      <c r="CV96" s="33"/>
      <c r="CW96" s="33"/>
      <c r="CX96" s="33"/>
      <c r="CY96" s="33" t="s">
        <v>1916</v>
      </c>
      <c r="CZ96" s="33" t="s">
        <v>833</v>
      </c>
      <c r="DA96" s="33" t="s">
        <v>880</v>
      </c>
      <c r="DB96" s="33" t="s">
        <v>1918</v>
      </c>
      <c r="DC96" s="33" t="s">
        <v>881</v>
      </c>
      <c r="DD96" s="33" t="s">
        <v>882</v>
      </c>
      <c r="DE96" s="33" t="s">
        <v>883</v>
      </c>
      <c r="DF96" s="34" t="s">
        <v>1952</v>
      </c>
      <c r="DG96" s="27" cm="1">
        <f t="array" ref="DG96">INDEX('elenco partner'!A:M,MATCH(1,(D96='elenco partner'!A:A)*('Partner data'!M96='elenco partner'!E:E),0),4)</f>
        <v>283</v>
      </c>
      <c r="DH96" s="83" t="str">
        <f t="shared" si="42"/>
        <v>Tasso Forfettario 20%</v>
      </c>
      <c r="DI96" s="20">
        <f>COUNTIFS('MY-REPORT-MAIN'!C:C,'Partner data'!DG96,'MY-REPORT-MAIN'!I:I,"Certified")</f>
        <v>0</v>
      </c>
      <c r="DJ96" s="20">
        <f>COUNTIFS(List_Of_chek_list!M:M,"&lt;&gt;26",List_Of_chek_list!B:B,'Partner data'!DG96)</f>
        <v>0</v>
      </c>
      <c r="DK96" s="20">
        <f t="shared" si="43"/>
        <v>0</v>
      </c>
      <c r="DL96" s="19" t="e">
        <f>IF(DH96="Tasso Forfettario 20%",SUMIFS(List_Of_chek_list!#REF!,List_Of_chek_list!B:B,'Partner data'!DG96),"NON PERTINENTE")</f>
        <v>#REF!</v>
      </c>
      <c r="DM96" s="19" t="e">
        <f t="shared" si="44"/>
        <v>#REF!</v>
      </c>
      <c r="DN96" s="110">
        <f>_xlfn.MAXIFS('MY-REPORT-MAIN'!K:K,'MY-REPORT-MAIN'!C:C,DG96)</f>
        <v>0</v>
      </c>
      <c r="DO96" s="112" t="str">
        <f>IF(_xlfn.MAXIFS('MY-REPORT-MAIN'!M:M,'MY-REPORT-MAIN'!C:C,DG96)=0,"Nessun rendiconto  Convalidato",_xlfn.MAXIFS('MY-REPORT-MAIN'!M:M,'MY-REPORT-MAIN'!C:C,DG96))</f>
        <v>Nessun rendiconto  Convalidato</v>
      </c>
      <c r="DP96" s="113" t="str" cm="1">
        <f t="array" ref="DP96">IFERROR(INDEX('MY-REPORT-MAIN'!A:Z,MATCH(1,(DO96='MY-REPORT-MAIN'!M:M)*('Partner data'!DG96='MY-REPORT-MAIN'!C:C),0),1),"NON è stato convalidato ancora nessun rendiconto")</f>
        <v>NON è stato convalidato ancora nessun rendiconto</v>
      </c>
      <c r="DQ96" s="111" t="str">
        <f>IFERROR(INDEX('MY-REPORT-MAIN'!A:Z,MATCH('Partner data'!DP96,'MY-REPORT-MAIN'!A:A,0),21),"Nessun Rendiconto ancora convalidato")</f>
        <v>Nessun Rendiconto ancora convalidato</v>
      </c>
      <c r="DR96" s="110">
        <f>INDEX('Interreg VI-A Italy-Slovenia_pr'!A:E,MATCH('Partner data'!C96,'Interreg VI-A Italy-Slovenia_pr'!A:A,0),3)</f>
        <v>45200</v>
      </c>
      <c r="DS96" s="118">
        <f t="shared" si="29"/>
        <v>53234</v>
      </c>
      <c r="DT96" s="118">
        <f t="shared" si="30"/>
        <v>56329</v>
      </c>
      <c r="DU96" s="118">
        <f t="shared" si="31"/>
        <v>59424</v>
      </c>
      <c r="DV96" s="118">
        <f t="shared" si="32"/>
        <v>62519</v>
      </c>
      <c r="DW96" s="118">
        <f t="shared" si="33"/>
        <v>62519</v>
      </c>
      <c r="DX96" s="118">
        <f t="shared" si="34"/>
        <v>62519</v>
      </c>
      <c r="DY96" s="118">
        <f t="shared" si="35"/>
        <v>62519</v>
      </c>
      <c r="DZ96" s="118">
        <f t="shared" si="36"/>
        <v>62519</v>
      </c>
      <c r="EA96" s="118">
        <f t="shared" si="37"/>
        <v>62519</v>
      </c>
      <c r="EB96" s="118">
        <f t="shared" si="38"/>
        <v>62519</v>
      </c>
    </row>
    <row r="97" spans="1:132" ht="45" x14ac:dyDescent="0.25">
      <c r="A97" s="28">
        <v>1</v>
      </c>
      <c r="B97" s="29" t="s">
        <v>487</v>
      </c>
      <c r="C97" s="30" t="s">
        <v>1911</v>
      </c>
      <c r="D97" s="30" t="s">
        <v>341</v>
      </c>
      <c r="E97" s="30" t="s">
        <v>1912</v>
      </c>
      <c r="F97" s="30" t="s">
        <v>1043</v>
      </c>
      <c r="G97" s="30" t="s">
        <v>491</v>
      </c>
      <c r="H97" s="30" t="s">
        <v>691</v>
      </c>
      <c r="I97" s="30" t="s">
        <v>1044</v>
      </c>
      <c r="J97" s="31" t="s">
        <v>581</v>
      </c>
      <c r="K97" s="31" t="s">
        <v>495</v>
      </c>
      <c r="L97" s="31" t="s">
        <v>519</v>
      </c>
      <c r="M97" s="31" t="s">
        <v>342</v>
      </c>
      <c r="N97" s="31" t="s">
        <v>1953</v>
      </c>
      <c r="O97" s="31" t="s">
        <v>1954</v>
      </c>
      <c r="P97" s="31" t="s">
        <v>257</v>
      </c>
      <c r="Q97" s="31" t="s">
        <v>556</v>
      </c>
      <c r="R97" s="31" t="s">
        <v>269</v>
      </c>
      <c r="S97" s="32">
        <v>76756</v>
      </c>
      <c r="T97" s="32">
        <v>80</v>
      </c>
      <c r="U97" s="32">
        <v>12.8</v>
      </c>
      <c r="V97" s="32">
        <v>0</v>
      </c>
      <c r="W97" s="32">
        <v>0</v>
      </c>
      <c r="X97" s="32">
        <v>0</v>
      </c>
      <c r="Y97" s="32">
        <v>0</v>
      </c>
      <c r="Z97" s="32">
        <v>0</v>
      </c>
      <c r="AA97" s="32">
        <v>0</v>
      </c>
      <c r="AB97" s="32">
        <v>0</v>
      </c>
      <c r="AC97" s="32">
        <v>0</v>
      </c>
      <c r="AD97" s="32">
        <v>0</v>
      </c>
      <c r="AE97" s="32">
        <v>0</v>
      </c>
      <c r="AF97" s="32">
        <v>0</v>
      </c>
      <c r="AG97" s="32">
        <v>0</v>
      </c>
      <c r="AH97" s="32">
        <v>0</v>
      </c>
      <c r="AI97" s="32">
        <v>0</v>
      </c>
      <c r="AJ97" s="32">
        <v>0</v>
      </c>
      <c r="AK97" s="32">
        <v>0</v>
      </c>
      <c r="AL97" s="32">
        <v>0</v>
      </c>
      <c r="AM97" s="32">
        <v>0</v>
      </c>
      <c r="AN97" s="32">
        <v>19189</v>
      </c>
      <c r="AO97" s="32">
        <v>0</v>
      </c>
      <c r="AP97" s="32">
        <v>0</v>
      </c>
      <c r="AQ97" s="32">
        <v>19189</v>
      </c>
      <c r="AR97" s="32">
        <v>95945</v>
      </c>
      <c r="AS97" s="32">
        <v>12.8</v>
      </c>
      <c r="AT97" s="32">
        <v>15500</v>
      </c>
      <c r="AU97" s="32">
        <v>15500</v>
      </c>
      <c r="AV97" s="32">
        <v>0</v>
      </c>
      <c r="AW97" s="32">
        <v>0</v>
      </c>
      <c r="AX97" s="32">
        <v>2325</v>
      </c>
      <c r="AY97" s="32">
        <v>2325</v>
      </c>
      <c r="AZ97" s="32">
        <v>620</v>
      </c>
      <c r="BA97" s="32">
        <v>620</v>
      </c>
      <c r="BB97" s="32">
        <v>0</v>
      </c>
      <c r="BC97" s="32">
        <v>0</v>
      </c>
      <c r="BD97" s="32">
        <v>8750</v>
      </c>
      <c r="BE97" s="32">
        <v>8750</v>
      </c>
      <c r="BF97" s="32">
        <v>0</v>
      </c>
      <c r="BG97" s="32">
        <v>68750</v>
      </c>
      <c r="BH97" s="32">
        <v>68750</v>
      </c>
      <c r="BI97" s="32">
        <v>0</v>
      </c>
      <c r="BJ97" s="32">
        <v>0</v>
      </c>
      <c r="BK97" s="32">
        <v>0</v>
      </c>
      <c r="BL97" s="32">
        <v>0</v>
      </c>
      <c r="BM97" s="32">
        <v>0</v>
      </c>
      <c r="BN97" s="32">
        <v>0</v>
      </c>
      <c r="BO97" s="32">
        <v>0</v>
      </c>
      <c r="BP97" s="32">
        <v>0</v>
      </c>
      <c r="BQ97" s="32">
        <v>85112.5</v>
      </c>
      <c r="BR97" s="32">
        <v>1547.5</v>
      </c>
      <c r="BS97" s="32">
        <v>7737.5</v>
      </c>
      <c r="BT97" s="32">
        <v>1547.5</v>
      </c>
      <c r="BU97" s="32">
        <v>0</v>
      </c>
      <c r="BV97" s="32">
        <v>0</v>
      </c>
      <c r="BW97" s="32">
        <v>0</v>
      </c>
      <c r="BX97" s="32">
        <v>0</v>
      </c>
      <c r="BY97" s="32">
        <v>0</v>
      </c>
      <c r="BZ97" s="32">
        <v>0</v>
      </c>
      <c r="CA97" s="32">
        <v>0</v>
      </c>
      <c r="CB97" s="33" t="s">
        <v>212</v>
      </c>
      <c r="CC97" s="33" t="s">
        <v>522</v>
      </c>
      <c r="CD97" s="33"/>
      <c r="CE97" s="33" t="s">
        <v>523</v>
      </c>
      <c r="CF97" s="33" t="s">
        <v>829</v>
      </c>
      <c r="CG97" s="33" t="s">
        <v>1955</v>
      </c>
      <c r="CH97" s="33" t="s">
        <v>619</v>
      </c>
      <c r="CI97" s="33"/>
      <c r="CJ97" s="33" t="s">
        <v>212</v>
      </c>
      <c r="CK97" s="33"/>
      <c r="CL97" s="33" t="s">
        <v>212</v>
      </c>
      <c r="CM97" s="33"/>
      <c r="CN97" s="33" t="s">
        <v>257</v>
      </c>
      <c r="CO97" s="33" t="s">
        <v>269</v>
      </c>
      <c r="CP97" s="33" t="s">
        <v>1956</v>
      </c>
      <c r="CQ97" s="33" t="s">
        <v>760</v>
      </c>
      <c r="CR97" s="33" t="s">
        <v>761</v>
      </c>
      <c r="CS97" s="33" t="s">
        <v>1957</v>
      </c>
      <c r="CT97" s="33"/>
      <c r="CU97" s="33"/>
      <c r="CV97" s="33"/>
      <c r="CW97" s="33"/>
      <c r="CX97" s="33"/>
      <c r="CY97" s="33" t="s">
        <v>1916</v>
      </c>
      <c r="CZ97" s="33" t="s">
        <v>623</v>
      </c>
      <c r="DA97" s="33" t="s">
        <v>1958</v>
      </c>
      <c r="DB97" s="33" t="s">
        <v>1916</v>
      </c>
      <c r="DC97" s="33" t="s">
        <v>1959</v>
      </c>
      <c r="DD97" s="33" t="s">
        <v>1960</v>
      </c>
      <c r="DE97" s="33" t="s">
        <v>1961</v>
      </c>
      <c r="DF97" s="34" t="s">
        <v>1962</v>
      </c>
      <c r="DG97" s="27" cm="1">
        <f t="array" ref="DG97">INDEX('elenco partner'!A:M,MATCH(1,(D97='elenco partner'!A:A)*('Partner data'!M97='elenco partner'!E:E),0),4)</f>
        <v>284</v>
      </c>
      <c r="DH97" s="83" t="str">
        <f t="shared" si="42"/>
        <v>Tasso Forfettario 20%</v>
      </c>
      <c r="DI97" s="20">
        <f>COUNTIFS('MY-REPORT-MAIN'!C:C,'Partner data'!DG97,'MY-REPORT-MAIN'!I:I,"Certified")</f>
        <v>0</v>
      </c>
      <c r="DJ97" s="20">
        <f>COUNTIFS(List_Of_chek_list!M:M,"&lt;&gt;26",List_Of_chek_list!B:B,'Partner data'!DG97)</f>
        <v>0</v>
      </c>
      <c r="DK97" s="20">
        <f t="shared" si="43"/>
        <v>0</v>
      </c>
      <c r="DL97" s="19" t="e">
        <f>IF(DH97="Tasso Forfettario 20%",SUMIFS(List_Of_chek_list!#REF!,List_Of_chek_list!B:B,'Partner data'!DG97),"NON PERTINENTE")</f>
        <v>#REF!</v>
      </c>
      <c r="DM97" s="19" t="e">
        <f t="shared" si="44"/>
        <v>#REF!</v>
      </c>
      <c r="DN97" s="110">
        <f>_xlfn.MAXIFS('MY-REPORT-MAIN'!K:K,'MY-REPORT-MAIN'!C:C,DG97)</f>
        <v>0</v>
      </c>
      <c r="DO97" s="112" t="str">
        <f>IF(_xlfn.MAXIFS('MY-REPORT-MAIN'!M:M,'MY-REPORT-MAIN'!C:C,DG97)=0,"Nessun rendiconto  Convalidato",_xlfn.MAXIFS('MY-REPORT-MAIN'!M:M,'MY-REPORT-MAIN'!C:C,DG97))</f>
        <v>Nessun rendiconto  Convalidato</v>
      </c>
      <c r="DP97" s="113" t="str" cm="1">
        <f t="array" ref="DP97">IFERROR(INDEX('MY-REPORT-MAIN'!A:Z,MATCH(1,(DO97='MY-REPORT-MAIN'!M:M)*('Partner data'!DG97='MY-REPORT-MAIN'!C:C),0),1),"NON è stato convalidato ancora nessun rendiconto")</f>
        <v>NON è stato convalidato ancora nessun rendiconto</v>
      </c>
      <c r="DQ97" s="111" t="str">
        <f>IFERROR(INDEX('MY-REPORT-MAIN'!A:Z,MATCH('Partner data'!DP97,'MY-REPORT-MAIN'!A:A,0),21),"Nessun Rendiconto ancora convalidato")</f>
        <v>Nessun Rendiconto ancora convalidato</v>
      </c>
      <c r="DR97" s="110">
        <f>INDEX('Interreg VI-A Italy-Slovenia_pr'!A:E,MATCH('Partner data'!C97,'Interreg VI-A Italy-Slovenia_pr'!A:A,0),3)</f>
        <v>45200</v>
      </c>
      <c r="DS97" s="118">
        <f t="shared" si="29"/>
        <v>85112.5</v>
      </c>
      <c r="DT97" s="118">
        <f t="shared" si="30"/>
        <v>86660</v>
      </c>
      <c r="DU97" s="118">
        <f t="shared" si="31"/>
        <v>94397.5</v>
      </c>
      <c r="DV97" s="118">
        <f t="shared" si="32"/>
        <v>95945</v>
      </c>
      <c r="DW97" s="118">
        <f t="shared" si="33"/>
        <v>95945</v>
      </c>
      <c r="DX97" s="118">
        <f t="shared" si="34"/>
        <v>95945</v>
      </c>
      <c r="DY97" s="118">
        <f t="shared" si="35"/>
        <v>95945</v>
      </c>
      <c r="DZ97" s="118">
        <f t="shared" si="36"/>
        <v>95945</v>
      </c>
      <c r="EA97" s="118">
        <f t="shared" si="37"/>
        <v>95945</v>
      </c>
      <c r="EB97" s="118">
        <f t="shared" si="38"/>
        <v>95945</v>
      </c>
    </row>
    <row r="98" spans="1:132" x14ac:dyDescent="0.25">
      <c r="A98" s="28">
        <v>1</v>
      </c>
      <c r="B98" s="29" t="s">
        <v>487</v>
      </c>
      <c r="C98" s="30" t="s">
        <v>1972</v>
      </c>
      <c r="D98" s="30" t="s">
        <v>346</v>
      </c>
      <c r="E98" s="30" t="s">
        <v>1973</v>
      </c>
      <c r="F98" s="30" t="s">
        <v>1118</v>
      </c>
      <c r="G98" s="30" t="s">
        <v>491</v>
      </c>
      <c r="H98" s="30" t="s">
        <v>691</v>
      </c>
      <c r="I98" s="30" t="s">
        <v>945</v>
      </c>
      <c r="J98" s="31" t="s">
        <v>494</v>
      </c>
      <c r="K98" s="31" t="s">
        <v>495</v>
      </c>
      <c r="L98" s="31" t="s">
        <v>496</v>
      </c>
      <c r="M98" s="31" t="s">
        <v>285</v>
      </c>
      <c r="N98" s="31" t="s">
        <v>1974</v>
      </c>
      <c r="O98" s="31" t="s">
        <v>1975</v>
      </c>
      <c r="P98" s="31" t="s">
        <v>257</v>
      </c>
      <c r="Q98" s="31" t="s">
        <v>556</v>
      </c>
      <c r="R98" s="31" t="s">
        <v>270</v>
      </c>
      <c r="S98" s="32">
        <v>214002.4</v>
      </c>
      <c r="T98" s="32">
        <v>80</v>
      </c>
      <c r="U98" s="32">
        <v>35.67</v>
      </c>
      <c r="V98" s="32">
        <v>0</v>
      </c>
      <c r="W98" s="32">
        <v>0</v>
      </c>
      <c r="X98" s="32">
        <v>0</v>
      </c>
      <c r="Y98" s="32">
        <v>0</v>
      </c>
      <c r="Z98" s="32">
        <v>0</v>
      </c>
      <c r="AA98" s="32">
        <v>0</v>
      </c>
      <c r="AB98" s="32">
        <v>0</v>
      </c>
      <c r="AC98" s="32">
        <v>0</v>
      </c>
      <c r="AD98" s="32">
        <v>0</v>
      </c>
      <c r="AE98" s="32">
        <v>0</v>
      </c>
      <c r="AF98" s="32">
        <v>0</v>
      </c>
      <c r="AG98" s="32">
        <v>0</v>
      </c>
      <c r="AH98" s="32">
        <v>0</v>
      </c>
      <c r="AI98" s="32">
        <v>0</v>
      </c>
      <c r="AJ98" s="32">
        <v>0</v>
      </c>
      <c r="AK98" s="32">
        <v>0</v>
      </c>
      <c r="AL98" s="32">
        <v>0</v>
      </c>
      <c r="AM98" s="32">
        <v>0</v>
      </c>
      <c r="AN98" s="32">
        <v>53500.6</v>
      </c>
      <c r="AO98" s="32">
        <v>0</v>
      </c>
      <c r="AP98" s="32">
        <v>0</v>
      </c>
      <c r="AQ98" s="32">
        <v>53500.6</v>
      </c>
      <c r="AR98" s="32">
        <v>267503</v>
      </c>
      <c r="AS98" s="32">
        <v>35.67</v>
      </c>
      <c r="AT98" s="32">
        <v>136000</v>
      </c>
      <c r="AU98" s="32">
        <v>0</v>
      </c>
      <c r="AV98" s="32">
        <v>136000</v>
      </c>
      <c r="AW98" s="32">
        <v>0</v>
      </c>
      <c r="AX98" s="32">
        <v>20400</v>
      </c>
      <c r="AY98" s="32">
        <v>20400</v>
      </c>
      <c r="AZ98" s="32">
        <v>5440</v>
      </c>
      <c r="BA98" s="32">
        <v>5440</v>
      </c>
      <c r="BB98" s="32">
        <v>0</v>
      </c>
      <c r="BC98" s="32">
        <v>0</v>
      </c>
      <c r="BD98" s="32">
        <v>50063</v>
      </c>
      <c r="BE98" s="32">
        <v>50063</v>
      </c>
      <c r="BF98" s="32">
        <v>0</v>
      </c>
      <c r="BG98" s="32">
        <v>3600</v>
      </c>
      <c r="BH98" s="32">
        <v>3600</v>
      </c>
      <c r="BI98" s="32">
        <v>0</v>
      </c>
      <c r="BJ98" s="32">
        <v>43000</v>
      </c>
      <c r="BK98" s="32">
        <v>43000</v>
      </c>
      <c r="BL98" s="32">
        <v>0</v>
      </c>
      <c r="BM98" s="32">
        <v>0</v>
      </c>
      <c r="BN98" s="32">
        <v>0</v>
      </c>
      <c r="BO98" s="32">
        <v>9000</v>
      </c>
      <c r="BP98" s="32">
        <v>9000</v>
      </c>
      <c r="BQ98" s="32">
        <v>51673</v>
      </c>
      <c r="BR98" s="32">
        <v>91610</v>
      </c>
      <c r="BS98" s="32">
        <v>56610</v>
      </c>
      <c r="BT98" s="32">
        <v>58610</v>
      </c>
      <c r="BU98" s="32">
        <v>0</v>
      </c>
      <c r="BV98" s="32">
        <v>0</v>
      </c>
      <c r="BW98" s="32">
        <v>0</v>
      </c>
      <c r="BX98" s="32">
        <v>0</v>
      </c>
      <c r="BY98" s="32">
        <v>0</v>
      </c>
      <c r="BZ98" s="32">
        <v>0</v>
      </c>
      <c r="CA98" s="32">
        <v>0</v>
      </c>
      <c r="CB98" s="33" t="s">
        <v>212</v>
      </c>
      <c r="CC98" s="33" t="s">
        <v>606</v>
      </c>
      <c r="CD98" s="33"/>
      <c r="CE98" s="33" t="s">
        <v>523</v>
      </c>
      <c r="CF98" s="33" t="s">
        <v>967</v>
      </c>
      <c r="CG98" s="33" t="s">
        <v>982</v>
      </c>
      <c r="CH98" s="33" t="s">
        <v>526</v>
      </c>
      <c r="CI98" s="33" t="s">
        <v>983</v>
      </c>
      <c r="CJ98" s="33" t="s">
        <v>1976</v>
      </c>
      <c r="CK98" s="33" t="s">
        <v>984</v>
      </c>
      <c r="CL98" s="33" t="s">
        <v>212</v>
      </c>
      <c r="CM98" s="33"/>
      <c r="CN98" s="33" t="s">
        <v>257</v>
      </c>
      <c r="CO98" s="33" t="s">
        <v>270</v>
      </c>
      <c r="CP98" s="33" t="s">
        <v>985</v>
      </c>
      <c r="CQ98" s="33" t="s">
        <v>986</v>
      </c>
      <c r="CR98" s="33" t="s">
        <v>1977</v>
      </c>
      <c r="CS98" s="33" t="s">
        <v>988</v>
      </c>
      <c r="CT98" s="33"/>
      <c r="CU98" s="33"/>
      <c r="CV98" s="33"/>
      <c r="CW98" s="33"/>
      <c r="CX98" s="33"/>
      <c r="CY98" s="33" t="s">
        <v>622</v>
      </c>
      <c r="CZ98" s="33" t="s">
        <v>1978</v>
      </c>
      <c r="DA98" s="33" t="s">
        <v>992</v>
      </c>
      <c r="DB98" s="33" t="s">
        <v>602</v>
      </c>
      <c r="DC98" s="33" t="s">
        <v>1979</v>
      </c>
      <c r="DD98" s="33" t="s">
        <v>1980</v>
      </c>
      <c r="DE98" s="33" t="s">
        <v>1981</v>
      </c>
      <c r="DF98" s="34" t="s">
        <v>997</v>
      </c>
      <c r="DG98" s="27" cm="1">
        <f t="array" ref="DG98">INDEX('elenco partner'!A:M,MATCH(1,(D98='elenco partner'!A:A)*('Partner data'!M98='elenco partner'!E:E),0),4)</f>
        <v>257</v>
      </c>
      <c r="DH98" s="83" t="str">
        <f t="shared" ref="DH98:DH133" si="45">IF(AU98&lt;&gt;0,"Tasso Forfettario 20%",IF(AV98&lt;&gt;0,"COSTO REALE",IF(AW98&lt;&gt;0,"Costo Unitario Standard","BL1 non presente")))</f>
        <v>COSTO REALE</v>
      </c>
      <c r="DI98" s="20">
        <f>COUNTIFS('MY-REPORT-MAIN'!C:C,'Partner data'!DG98,'MY-REPORT-MAIN'!I:I,"Certified")</f>
        <v>1</v>
      </c>
      <c r="DJ98" s="20">
        <f>COUNTIFS(List_Of_chek_list!M:M,"&lt;&gt;26",List_Of_chek_list!B:B,'Partner data'!DG98)</f>
        <v>1</v>
      </c>
      <c r="DK98" s="20">
        <f t="shared" ref="DK98:DK133" si="46">DI98-DJ98</f>
        <v>0</v>
      </c>
      <c r="DL98" s="19" t="str">
        <f>IF(DH98="Tasso Forfettario 20%",SUMIFS(List_Of_chek_list!#REF!,List_Of_chek_list!B:B,'Partner data'!DG98),"NON PERTINENTE")</f>
        <v>NON PERTINENTE</v>
      </c>
      <c r="DM98" s="19" t="str">
        <f t="shared" ref="DM98:DM133" si="47">IF(DL98="NON PERTINENTE","NON PERTINENTE",IF(DJ98=DL98,"Rischio basso","Rischio alto"))</f>
        <v>NON PERTINENTE</v>
      </c>
      <c r="DN98" s="110">
        <f>_xlfn.MAXIFS('MY-REPORT-MAIN'!K:K,'MY-REPORT-MAIN'!C:C,DG98)</f>
        <v>45378.363656562498</v>
      </c>
      <c r="DO98" s="112">
        <f>IF(_xlfn.MAXIFS('MY-REPORT-MAIN'!M:M,'MY-REPORT-MAIN'!C:C,DG98)=0,"Nessun rendiconto  Convalidato",_xlfn.MAXIFS('MY-REPORT-MAIN'!M:M,'MY-REPORT-MAIN'!C:C,DG98))</f>
        <v>45425.456721516202</v>
      </c>
      <c r="DP98" s="113" cm="1">
        <f t="array" ref="DP98">IFERROR(INDEX('MY-REPORT-MAIN'!A:Z,MATCH(1,(DO98='MY-REPORT-MAIN'!M:M)*('Partner data'!DG98='MY-REPORT-MAIN'!C:C),0),1),"NON è stato convalidato ancora nessun rendiconto")</f>
        <v>197</v>
      </c>
      <c r="DQ98" s="111">
        <f>IFERROR(INDEX('MY-REPORT-MAIN'!A:Z,MATCH('Partner data'!DP98,'MY-REPORT-MAIN'!A:A,0),21),"Nessun Rendiconto ancora convalidato")</f>
        <v>76002.880000000005</v>
      </c>
      <c r="DR98" s="110">
        <f>INDEX('Interreg VI-A Italy-Slovenia_pr'!A:E,MATCH('Partner data'!C98,'Interreg VI-A Italy-Slovenia_pr'!A:A,0),3)</f>
        <v>45170</v>
      </c>
      <c r="DS98" s="118">
        <f t="shared" si="29"/>
        <v>60673</v>
      </c>
      <c r="DT98" s="118">
        <f t="shared" si="30"/>
        <v>152283</v>
      </c>
      <c r="DU98" s="118">
        <f t="shared" si="31"/>
        <v>208893</v>
      </c>
      <c r="DV98" s="118">
        <f t="shared" si="32"/>
        <v>267503</v>
      </c>
      <c r="DW98" s="118">
        <f t="shared" si="33"/>
        <v>267503</v>
      </c>
      <c r="DX98" s="118">
        <f t="shared" si="34"/>
        <v>267503</v>
      </c>
      <c r="DY98" s="118">
        <f t="shared" si="35"/>
        <v>267503</v>
      </c>
      <c r="DZ98" s="118">
        <f t="shared" si="36"/>
        <v>267503</v>
      </c>
      <c r="EA98" s="118">
        <f t="shared" si="37"/>
        <v>267503</v>
      </c>
      <c r="EB98" s="118">
        <f t="shared" si="38"/>
        <v>267503</v>
      </c>
    </row>
    <row r="99" spans="1:132" x14ac:dyDescent="0.25">
      <c r="A99" s="28">
        <v>1</v>
      </c>
      <c r="B99" s="29" t="s">
        <v>487</v>
      </c>
      <c r="C99" s="30" t="s">
        <v>1972</v>
      </c>
      <c r="D99" s="30" t="s">
        <v>346</v>
      </c>
      <c r="E99" s="30" t="s">
        <v>1973</v>
      </c>
      <c r="F99" s="30" t="s">
        <v>1118</v>
      </c>
      <c r="G99" s="30" t="s">
        <v>491</v>
      </c>
      <c r="H99" s="30" t="s">
        <v>691</v>
      </c>
      <c r="I99" s="30" t="s">
        <v>945</v>
      </c>
      <c r="J99" s="31" t="s">
        <v>518</v>
      </c>
      <c r="K99" s="31" t="s">
        <v>495</v>
      </c>
      <c r="L99" s="31" t="s">
        <v>519</v>
      </c>
      <c r="M99" s="31" t="s">
        <v>347</v>
      </c>
      <c r="N99" s="31" t="s">
        <v>1982</v>
      </c>
      <c r="O99" s="31" t="s">
        <v>1983</v>
      </c>
      <c r="P99" s="31" t="s">
        <v>254</v>
      </c>
      <c r="Q99" s="31" t="s">
        <v>499</v>
      </c>
      <c r="R99" s="31" t="s">
        <v>255</v>
      </c>
      <c r="S99" s="32">
        <v>113896</v>
      </c>
      <c r="T99" s="32">
        <v>80</v>
      </c>
      <c r="U99" s="32">
        <v>18.98</v>
      </c>
      <c r="V99" s="32">
        <v>0</v>
      </c>
      <c r="W99" s="32">
        <v>0</v>
      </c>
      <c r="X99" s="32">
        <v>0</v>
      </c>
      <c r="Y99" s="32">
        <v>0</v>
      </c>
      <c r="Z99" s="32">
        <v>0</v>
      </c>
      <c r="AA99" s="32">
        <v>0</v>
      </c>
      <c r="AB99" s="32">
        <v>0</v>
      </c>
      <c r="AC99" s="32">
        <v>0</v>
      </c>
      <c r="AD99" s="32">
        <v>0</v>
      </c>
      <c r="AE99" s="32">
        <v>0</v>
      </c>
      <c r="AF99" s="32">
        <v>0</v>
      </c>
      <c r="AG99" s="32">
        <v>0</v>
      </c>
      <c r="AH99" s="32">
        <v>0</v>
      </c>
      <c r="AI99" s="32">
        <v>0</v>
      </c>
      <c r="AJ99" s="32">
        <v>0</v>
      </c>
      <c r="AK99" s="32">
        <v>0</v>
      </c>
      <c r="AL99" s="32">
        <v>0</v>
      </c>
      <c r="AM99" s="32">
        <v>0</v>
      </c>
      <c r="AN99" s="32">
        <v>0</v>
      </c>
      <c r="AO99" s="32">
        <v>28474</v>
      </c>
      <c r="AP99" s="32">
        <v>0</v>
      </c>
      <c r="AQ99" s="32">
        <v>28474</v>
      </c>
      <c r="AR99" s="32">
        <v>142370</v>
      </c>
      <c r="AS99" s="32">
        <v>18.98</v>
      </c>
      <c r="AT99" s="32">
        <v>23000</v>
      </c>
      <c r="AU99" s="32">
        <v>23000</v>
      </c>
      <c r="AV99" s="32">
        <v>0</v>
      </c>
      <c r="AW99" s="32">
        <v>0</v>
      </c>
      <c r="AX99" s="32">
        <v>3450</v>
      </c>
      <c r="AY99" s="32">
        <v>3450</v>
      </c>
      <c r="AZ99" s="32">
        <v>920</v>
      </c>
      <c r="BA99" s="32">
        <v>920</v>
      </c>
      <c r="BB99" s="32">
        <v>0</v>
      </c>
      <c r="BC99" s="32">
        <v>0</v>
      </c>
      <c r="BD99" s="32">
        <v>25000</v>
      </c>
      <c r="BE99" s="32">
        <v>25000</v>
      </c>
      <c r="BF99" s="32">
        <v>0</v>
      </c>
      <c r="BG99" s="32">
        <v>90000</v>
      </c>
      <c r="BH99" s="32">
        <v>90000</v>
      </c>
      <c r="BI99" s="32">
        <v>0</v>
      </c>
      <c r="BJ99" s="32">
        <v>0</v>
      </c>
      <c r="BK99" s="32">
        <v>0</v>
      </c>
      <c r="BL99" s="32">
        <v>0</v>
      </c>
      <c r="BM99" s="32">
        <v>0</v>
      </c>
      <c r="BN99" s="32">
        <v>0</v>
      </c>
      <c r="BO99" s="32">
        <v>0</v>
      </c>
      <c r="BP99" s="32">
        <v>0</v>
      </c>
      <c r="BQ99" s="32">
        <v>4333</v>
      </c>
      <c r="BR99" s="32">
        <v>4333</v>
      </c>
      <c r="BS99" s="32">
        <v>66233</v>
      </c>
      <c r="BT99" s="32">
        <v>67471</v>
      </c>
      <c r="BU99" s="32">
        <v>0</v>
      </c>
      <c r="BV99" s="32">
        <v>0</v>
      </c>
      <c r="BW99" s="32">
        <v>0</v>
      </c>
      <c r="BX99" s="32">
        <v>0</v>
      </c>
      <c r="BY99" s="32">
        <v>0</v>
      </c>
      <c r="BZ99" s="32">
        <v>0</v>
      </c>
      <c r="CA99" s="32">
        <v>0</v>
      </c>
      <c r="CB99" s="33" t="s">
        <v>212</v>
      </c>
      <c r="CC99" s="33" t="s">
        <v>522</v>
      </c>
      <c r="CD99" s="33"/>
      <c r="CE99" s="33" t="s">
        <v>523</v>
      </c>
      <c r="CF99" s="33" t="s">
        <v>636</v>
      </c>
      <c r="CG99" s="33" t="s">
        <v>1984</v>
      </c>
      <c r="CH99" s="33" t="s">
        <v>526</v>
      </c>
      <c r="CI99" s="33" t="s">
        <v>665</v>
      </c>
      <c r="CJ99" s="33" t="s">
        <v>665</v>
      </c>
      <c r="CK99" s="33" t="s">
        <v>212</v>
      </c>
      <c r="CL99" s="33" t="s">
        <v>212</v>
      </c>
      <c r="CM99" s="33"/>
      <c r="CN99" s="33" t="s">
        <v>254</v>
      </c>
      <c r="CO99" s="33" t="s">
        <v>255</v>
      </c>
      <c r="CP99" s="33" t="s">
        <v>1985</v>
      </c>
      <c r="CQ99" s="33" t="s">
        <v>1986</v>
      </c>
      <c r="CR99" s="33" t="s">
        <v>1987</v>
      </c>
      <c r="CS99" s="33" t="s">
        <v>1988</v>
      </c>
      <c r="CT99" s="33"/>
      <c r="CU99" s="33"/>
      <c r="CV99" s="33"/>
      <c r="CW99" s="33"/>
      <c r="CX99" s="33"/>
      <c r="CY99" s="33" t="s">
        <v>622</v>
      </c>
      <c r="CZ99" s="33" t="s">
        <v>1989</v>
      </c>
      <c r="DA99" s="33" t="s">
        <v>1990</v>
      </c>
      <c r="DB99" s="33" t="s">
        <v>622</v>
      </c>
      <c r="DC99" s="33" t="s">
        <v>1991</v>
      </c>
      <c r="DD99" s="33" t="s">
        <v>1992</v>
      </c>
      <c r="DE99" s="33" t="s">
        <v>1993</v>
      </c>
      <c r="DF99" s="34" t="s">
        <v>1994</v>
      </c>
      <c r="DG99" s="27" cm="1">
        <f t="array" ref="DG99">INDEX('elenco partner'!A:M,MATCH(1,(D99='elenco partner'!A:A)*('Partner data'!M99='elenco partner'!E:E),0),4)</f>
        <v>293</v>
      </c>
      <c r="DH99" s="83" t="str">
        <f t="shared" si="45"/>
        <v>Tasso Forfettario 20%</v>
      </c>
      <c r="DI99" s="20">
        <f>COUNTIFS('MY-REPORT-MAIN'!C:C,'Partner data'!DG99,'MY-REPORT-MAIN'!I:I,"Certified")</f>
        <v>1</v>
      </c>
      <c r="DJ99" s="20">
        <f>COUNTIFS(List_Of_chek_list!M:M,"&lt;&gt;26",List_Of_chek_list!B:B,'Partner data'!DG99)</f>
        <v>1</v>
      </c>
      <c r="DK99" s="20">
        <f t="shared" si="46"/>
        <v>0</v>
      </c>
      <c r="DL99" s="19" t="e">
        <f>IF(DH99="Tasso Forfettario 20%",SUMIFS(List_Of_chek_list!#REF!,List_Of_chek_list!B:B,'Partner data'!DG99),"NON PERTINENTE")</f>
        <v>#REF!</v>
      </c>
      <c r="DM99" s="19" t="e">
        <f t="shared" si="47"/>
        <v>#REF!</v>
      </c>
      <c r="DN99" s="110">
        <f>_xlfn.MAXIFS('MY-REPORT-MAIN'!K:K,'MY-REPORT-MAIN'!C:C,DG99)</f>
        <v>45379.498276840277</v>
      </c>
      <c r="DO99" s="112">
        <f>IF(_xlfn.MAXIFS('MY-REPORT-MAIN'!M:M,'MY-REPORT-MAIN'!C:C,DG99)=0,"Nessun rendiconto  Convalidato",_xlfn.MAXIFS('MY-REPORT-MAIN'!M:M,'MY-REPORT-MAIN'!C:C,DG99))</f>
        <v>45440.63766482639</v>
      </c>
      <c r="DP99" s="113" cm="1">
        <f t="array" ref="DP99">IFERROR(INDEX('MY-REPORT-MAIN'!A:Z,MATCH(1,(DO99='MY-REPORT-MAIN'!M:M)*('Partner data'!DG99='MY-REPORT-MAIN'!C:C),0),1),"NON è stato convalidato ancora nessun rendiconto")</f>
        <v>296</v>
      </c>
      <c r="DQ99" s="111">
        <f>IFERROR(INDEX('MY-REPORT-MAIN'!A:Z,MATCH('Partner data'!DP99,'MY-REPORT-MAIN'!A:A,0),21),"Nessun Rendiconto ancora convalidato")</f>
        <v>1207.05</v>
      </c>
      <c r="DR99" s="110">
        <f>INDEX('Interreg VI-A Italy-Slovenia_pr'!A:E,MATCH('Partner data'!C99,'Interreg VI-A Italy-Slovenia_pr'!A:A,0),3)</f>
        <v>45170</v>
      </c>
      <c r="DS99" s="118">
        <f t="shared" si="29"/>
        <v>4333</v>
      </c>
      <c r="DT99" s="118">
        <f t="shared" si="30"/>
        <v>8666</v>
      </c>
      <c r="DU99" s="118">
        <f t="shared" si="31"/>
        <v>74899</v>
      </c>
      <c r="DV99" s="118">
        <f t="shared" si="32"/>
        <v>142370</v>
      </c>
      <c r="DW99" s="118">
        <f t="shared" si="33"/>
        <v>142370</v>
      </c>
      <c r="DX99" s="118">
        <f t="shared" si="34"/>
        <v>142370</v>
      </c>
      <c r="DY99" s="118">
        <f t="shared" si="35"/>
        <v>142370</v>
      </c>
      <c r="DZ99" s="118">
        <f t="shared" si="36"/>
        <v>142370</v>
      </c>
      <c r="EA99" s="118">
        <f t="shared" si="37"/>
        <v>142370</v>
      </c>
      <c r="EB99" s="118">
        <f t="shared" si="38"/>
        <v>142370</v>
      </c>
    </row>
    <row r="100" spans="1:132" x14ac:dyDescent="0.25">
      <c r="A100" s="28">
        <v>1</v>
      </c>
      <c r="B100" s="29" t="s">
        <v>487</v>
      </c>
      <c r="C100" s="30" t="s">
        <v>1972</v>
      </c>
      <c r="D100" s="30" t="s">
        <v>346</v>
      </c>
      <c r="E100" s="30" t="s">
        <v>1973</v>
      </c>
      <c r="F100" s="30" t="s">
        <v>1118</v>
      </c>
      <c r="G100" s="30" t="s">
        <v>491</v>
      </c>
      <c r="H100" s="30" t="s">
        <v>691</v>
      </c>
      <c r="I100" s="30" t="s">
        <v>945</v>
      </c>
      <c r="J100" s="31" t="s">
        <v>538</v>
      </c>
      <c r="K100" s="31" t="s">
        <v>495</v>
      </c>
      <c r="L100" s="31" t="s">
        <v>519</v>
      </c>
      <c r="M100" s="31" t="s">
        <v>349</v>
      </c>
      <c r="N100" s="31" t="s">
        <v>1577</v>
      </c>
      <c r="O100" s="31" t="s">
        <v>1578</v>
      </c>
      <c r="P100" s="31" t="s">
        <v>254</v>
      </c>
      <c r="Q100" s="31" t="s">
        <v>540</v>
      </c>
      <c r="R100" s="31" t="s">
        <v>260</v>
      </c>
      <c r="S100" s="32">
        <v>106093.32</v>
      </c>
      <c r="T100" s="32">
        <v>80</v>
      </c>
      <c r="U100" s="32">
        <v>17.68</v>
      </c>
      <c r="V100" s="32">
        <v>0</v>
      </c>
      <c r="W100" s="32">
        <v>0</v>
      </c>
      <c r="X100" s="32">
        <v>0</v>
      </c>
      <c r="Y100" s="32">
        <v>0</v>
      </c>
      <c r="Z100" s="32">
        <v>0</v>
      </c>
      <c r="AA100" s="32">
        <v>0</v>
      </c>
      <c r="AB100" s="32">
        <v>0</v>
      </c>
      <c r="AC100" s="32">
        <v>0</v>
      </c>
      <c r="AD100" s="32">
        <v>0</v>
      </c>
      <c r="AE100" s="32">
        <v>0</v>
      </c>
      <c r="AF100" s="32">
        <v>0</v>
      </c>
      <c r="AG100" s="32">
        <v>0</v>
      </c>
      <c r="AH100" s="32">
        <v>0</v>
      </c>
      <c r="AI100" s="32">
        <v>0</v>
      </c>
      <c r="AJ100" s="32">
        <v>0</v>
      </c>
      <c r="AK100" s="32">
        <v>0</v>
      </c>
      <c r="AL100" s="32">
        <v>0</v>
      </c>
      <c r="AM100" s="32">
        <v>0</v>
      </c>
      <c r="AN100" s="32">
        <v>0</v>
      </c>
      <c r="AO100" s="32">
        <v>26523.34</v>
      </c>
      <c r="AP100" s="32">
        <v>0</v>
      </c>
      <c r="AQ100" s="32">
        <v>26523.34</v>
      </c>
      <c r="AR100" s="32">
        <v>132616.66</v>
      </c>
      <c r="AS100" s="32">
        <v>17.68</v>
      </c>
      <c r="AT100" s="32">
        <v>40014</v>
      </c>
      <c r="AU100" s="32">
        <v>0</v>
      </c>
      <c r="AV100" s="32">
        <v>40014</v>
      </c>
      <c r="AW100" s="32">
        <v>0</v>
      </c>
      <c r="AX100" s="32">
        <v>6002.1</v>
      </c>
      <c r="AY100" s="32">
        <v>6002.1</v>
      </c>
      <c r="AZ100" s="32">
        <v>1600.56</v>
      </c>
      <c r="BA100" s="32">
        <v>1600.56</v>
      </c>
      <c r="BB100" s="32">
        <v>0</v>
      </c>
      <c r="BC100" s="32">
        <v>0</v>
      </c>
      <c r="BD100" s="32">
        <v>55000</v>
      </c>
      <c r="BE100" s="32">
        <v>55000</v>
      </c>
      <c r="BF100" s="32">
        <v>0</v>
      </c>
      <c r="BG100" s="32">
        <v>0</v>
      </c>
      <c r="BH100" s="32">
        <v>0</v>
      </c>
      <c r="BI100" s="32">
        <v>0</v>
      </c>
      <c r="BJ100" s="32">
        <v>30000</v>
      </c>
      <c r="BK100" s="32">
        <v>30000</v>
      </c>
      <c r="BL100" s="32">
        <v>0</v>
      </c>
      <c r="BM100" s="32">
        <v>0</v>
      </c>
      <c r="BN100" s="32">
        <v>0</v>
      </c>
      <c r="BO100" s="32">
        <v>0</v>
      </c>
      <c r="BP100" s="32">
        <v>0</v>
      </c>
      <c r="BQ100" s="32">
        <v>21900</v>
      </c>
      <c r="BR100" s="32">
        <v>46900</v>
      </c>
      <c r="BS100" s="32">
        <v>36900</v>
      </c>
      <c r="BT100" s="32">
        <v>26916.66</v>
      </c>
      <c r="BU100" s="32">
        <v>0</v>
      </c>
      <c r="BV100" s="32">
        <v>0</v>
      </c>
      <c r="BW100" s="32">
        <v>0</v>
      </c>
      <c r="BX100" s="32">
        <v>0</v>
      </c>
      <c r="BY100" s="32">
        <v>0</v>
      </c>
      <c r="BZ100" s="32">
        <v>0</v>
      </c>
      <c r="CA100" s="32">
        <v>0</v>
      </c>
      <c r="CB100" s="33" t="s">
        <v>212</v>
      </c>
      <c r="CC100" s="33" t="s">
        <v>500</v>
      </c>
      <c r="CD100" s="33"/>
      <c r="CE100" s="33" t="s">
        <v>684</v>
      </c>
      <c r="CF100" s="33" t="s">
        <v>618</v>
      </c>
      <c r="CG100" s="33" t="s">
        <v>1579</v>
      </c>
      <c r="CH100" s="33" t="s">
        <v>526</v>
      </c>
      <c r="CI100" s="33" t="s">
        <v>665</v>
      </c>
      <c r="CJ100" s="33" t="s">
        <v>665</v>
      </c>
      <c r="CK100" s="33" t="s">
        <v>1580</v>
      </c>
      <c r="CL100" s="33" t="s">
        <v>212</v>
      </c>
      <c r="CM100" s="33"/>
      <c r="CN100" s="33" t="s">
        <v>254</v>
      </c>
      <c r="CO100" s="33" t="s">
        <v>260</v>
      </c>
      <c r="CP100" s="33" t="s">
        <v>1995</v>
      </c>
      <c r="CQ100" s="33" t="s">
        <v>1996</v>
      </c>
      <c r="CR100" s="33" t="s">
        <v>1997</v>
      </c>
      <c r="CS100" s="33" t="s">
        <v>1582</v>
      </c>
      <c r="CT100" s="33"/>
      <c r="CU100" s="33"/>
      <c r="CV100" s="33"/>
      <c r="CW100" s="33"/>
      <c r="CX100" s="33"/>
      <c r="CY100" s="33" t="s">
        <v>622</v>
      </c>
      <c r="CZ100" s="33" t="s">
        <v>1583</v>
      </c>
      <c r="DA100" s="33" t="s">
        <v>1584</v>
      </c>
      <c r="DB100" s="33" t="s">
        <v>602</v>
      </c>
      <c r="DC100" s="33" t="s">
        <v>1998</v>
      </c>
      <c r="DD100" s="33" t="s">
        <v>1999</v>
      </c>
      <c r="DE100" s="33" t="s">
        <v>1587</v>
      </c>
      <c r="DF100" s="34" t="s">
        <v>1588</v>
      </c>
      <c r="DG100" s="27" cm="1">
        <f t="array" ref="DG100">INDEX('elenco partner'!A:M,MATCH(1,(D100='elenco partner'!A:A)*('Partner data'!M100='elenco partner'!E:E),0),4)</f>
        <v>294</v>
      </c>
      <c r="DH100" s="83" t="str">
        <f t="shared" si="45"/>
        <v>COSTO REALE</v>
      </c>
      <c r="DI100" s="20">
        <f>COUNTIFS('MY-REPORT-MAIN'!C:C,'Partner data'!DG100,'MY-REPORT-MAIN'!I:I,"Certified")</f>
        <v>1</v>
      </c>
      <c r="DJ100" s="20">
        <f>COUNTIFS(List_Of_chek_list!M:M,"&lt;&gt;26",List_Of_chek_list!B:B,'Partner data'!DG100)</f>
        <v>0</v>
      </c>
      <c r="DK100" s="20">
        <f t="shared" si="46"/>
        <v>1</v>
      </c>
      <c r="DL100" s="19" t="str">
        <f>IF(DH100="Tasso Forfettario 20%",SUMIFS(List_Of_chek_list!#REF!,List_Of_chek_list!B:B,'Partner data'!DG100),"NON PERTINENTE")</f>
        <v>NON PERTINENTE</v>
      </c>
      <c r="DM100" s="19" t="str">
        <f t="shared" si="47"/>
        <v>NON PERTINENTE</v>
      </c>
      <c r="DN100" s="110">
        <f>_xlfn.MAXIFS('MY-REPORT-MAIN'!K:K,'MY-REPORT-MAIN'!C:C,DG100)</f>
        <v>45380.497358668981</v>
      </c>
      <c r="DO100" s="112">
        <f>IF(_xlfn.MAXIFS('MY-REPORT-MAIN'!M:M,'MY-REPORT-MAIN'!C:C,DG100)=0,"Nessun rendiconto  Convalidato",_xlfn.MAXIFS('MY-REPORT-MAIN'!M:M,'MY-REPORT-MAIN'!C:C,DG100))</f>
        <v>45470.646744583333</v>
      </c>
      <c r="DP100" s="113" cm="1">
        <f t="array" ref="DP100">IFERROR(INDEX('MY-REPORT-MAIN'!A:Z,MATCH(1,(DO100='MY-REPORT-MAIN'!M:M)*('Partner data'!DG100='MY-REPORT-MAIN'!C:C),0),1),"NON è stato convalidato ancora nessun rendiconto")</f>
        <v>312</v>
      </c>
      <c r="DQ100" s="111">
        <f>IFERROR(INDEX('MY-REPORT-MAIN'!A:Z,MATCH('Partner data'!DP100,'MY-REPORT-MAIN'!A:A,0),21),"Nessun Rendiconto ancora convalidato")</f>
        <v>10345.86</v>
      </c>
      <c r="DR100" s="110">
        <f>INDEX('Interreg VI-A Italy-Slovenia_pr'!A:E,MATCH('Partner data'!C100,'Interreg VI-A Italy-Slovenia_pr'!A:A,0),3)</f>
        <v>45170</v>
      </c>
      <c r="DS100" s="118">
        <f t="shared" si="29"/>
        <v>21900</v>
      </c>
      <c r="DT100" s="118">
        <f t="shared" si="30"/>
        <v>68800</v>
      </c>
      <c r="DU100" s="118">
        <f t="shared" si="31"/>
        <v>105700</v>
      </c>
      <c r="DV100" s="118">
        <f t="shared" si="32"/>
        <v>132616.66</v>
      </c>
      <c r="DW100" s="118">
        <f t="shared" si="33"/>
        <v>132616.66</v>
      </c>
      <c r="DX100" s="118">
        <f t="shared" si="34"/>
        <v>132616.66</v>
      </c>
      <c r="DY100" s="118">
        <f t="shared" si="35"/>
        <v>132616.66</v>
      </c>
      <c r="DZ100" s="118">
        <f t="shared" si="36"/>
        <v>132616.66</v>
      </c>
      <c r="EA100" s="118">
        <f t="shared" si="37"/>
        <v>132616.66</v>
      </c>
      <c r="EB100" s="118">
        <f t="shared" si="38"/>
        <v>132616.66</v>
      </c>
    </row>
    <row r="101" spans="1:132" x14ac:dyDescent="0.25">
      <c r="A101" s="28">
        <v>1</v>
      </c>
      <c r="B101" s="29" t="s">
        <v>487</v>
      </c>
      <c r="C101" s="30" t="s">
        <v>1972</v>
      </c>
      <c r="D101" s="30" t="s">
        <v>346</v>
      </c>
      <c r="E101" s="30" t="s">
        <v>1973</v>
      </c>
      <c r="F101" s="30" t="s">
        <v>1118</v>
      </c>
      <c r="G101" s="30" t="s">
        <v>491</v>
      </c>
      <c r="H101" s="30" t="s">
        <v>691</v>
      </c>
      <c r="I101" s="30" t="s">
        <v>945</v>
      </c>
      <c r="J101" s="31" t="s">
        <v>554</v>
      </c>
      <c r="K101" s="31" t="s">
        <v>495</v>
      </c>
      <c r="L101" s="31" t="s">
        <v>519</v>
      </c>
      <c r="M101" s="31" t="s">
        <v>348</v>
      </c>
      <c r="N101" s="31" t="s">
        <v>2000</v>
      </c>
      <c r="O101" s="31" t="s">
        <v>2001</v>
      </c>
      <c r="P101" s="31" t="s">
        <v>257</v>
      </c>
      <c r="Q101" s="31" t="s">
        <v>556</v>
      </c>
      <c r="R101" s="31" t="s">
        <v>270</v>
      </c>
      <c r="S101" s="32">
        <v>166008</v>
      </c>
      <c r="T101" s="32">
        <v>80</v>
      </c>
      <c r="U101" s="32">
        <v>27.67</v>
      </c>
      <c r="V101" s="32">
        <v>0</v>
      </c>
      <c r="W101" s="32">
        <v>0</v>
      </c>
      <c r="X101" s="32">
        <v>0</v>
      </c>
      <c r="Y101" s="32">
        <v>0</v>
      </c>
      <c r="Z101" s="32">
        <v>0</v>
      </c>
      <c r="AA101" s="32">
        <v>0</v>
      </c>
      <c r="AB101" s="32">
        <v>0</v>
      </c>
      <c r="AC101" s="32">
        <v>0</v>
      </c>
      <c r="AD101" s="32">
        <v>0</v>
      </c>
      <c r="AE101" s="32">
        <v>0</v>
      </c>
      <c r="AF101" s="32">
        <v>0</v>
      </c>
      <c r="AG101" s="32">
        <v>0</v>
      </c>
      <c r="AH101" s="32">
        <v>0</v>
      </c>
      <c r="AI101" s="32">
        <v>0</v>
      </c>
      <c r="AJ101" s="32">
        <v>0</v>
      </c>
      <c r="AK101" s="32">
        <v>0</v>
      </c>
      <c r="AL101" s="32">
        <v>0</v>
      </c>
      <c r="AM101" s="32">
        <v>0</v>
      </c>
      <c r="AN101" s="32">
        <v>41502</v>
      </c>
      <c r="AO101" s="32">
        <v>0</v>
      </c>
      <c r="AP101" s="32">
        <v>0</v>
      </c>
      <c r="AQ101" s="32">
        <v>41502</v>
      </c>
      <c r="AR101" s="32">
        <v>207510</v>
      </c>
      <c r="AS101" s="32">
        <v>27.67</v>
      </c>
      <c r="AT101" s="32">
        <v>60000</v>
      </c>
      <c r="AU101" s="32">
        <v>0</v>
      </c>
      <c r="AV101" s="32">
        <v>60000</v>
      </c>
      <c r="AW101" s="32">
        <v>0</v>
      </c>
      <c r="AX101" s="32">
        <v>9000</v>
      </c>
      <c r="AY101" s="32">
        <v>9000</v>
      </c>
      <c r="AZ101" s="32">
        <v>2400</v>
      </c>
      <c r="BA101" s="32">
        <v>2400</v>
      </c>
      <c r="BB101" s="32">
        <v>0</v>
      </c>
      <c r="BC101" s="32">
        <v>0</v>
      </c>
      <c r="BD101" s="32">
        <v>45000</v>
      </c>
      <c r="BE101" s="32">
        <v>45000</v>
      </c>
      <c r="BF101" s="32">
        <v>0</v>
      </c>
      <c r="BG101" s="32">
        <v>0</v>
      </c>
      <c r="BH101" s="32">
        <v>0</v>
      </c>
      <c r="BI101" s="32">
        <v>0</v>
      </c>
      <c r="BJ101" s="32">
        <v>91110</v>
      </c>
      <c r="BK101" s="32">
        <v>91110</v>
      </c>
      <c r="BL101" s="32">
        <v>0</v>
      </c>
      <c r="BM101" s="32">
        <v>0</v>
      </c>
      <c r="BN101" s="32">
        <v>0</v>
      </c>
      <c r="BO101" s="32">
        <v>0</v>
      </c>
      <c r="BP101" s="32">
        <v>0</v>
      </c>
      <c r="BQ101" s="32">
        <v>25350</v>
      </c>
      <c r="BR101" s="32">
        <v>57785</v>
      </c>
      <c r="BS101" s="32">
        <v>61687.5</v>
      </c>
      <c r="BT101" s="32">
        <v>62687.5</v>
      </c>
      <c r="BU101" s="32">
        <v>0</v>
      </c>
      <c r="BV101" s="32">
        <v>0</v>
      </c>
      <c r="BW101" s="32">
        <v>0</v>
      </c>
      <c r="BX101" s="32">
        <v>0</v>
      </c>
      <c r="BY101" s="32">
        <v>0</v>
      </c>
      <c r="BZ101" s="32">
        <v>0</v>
      </c>
      <c r="CA101" s="32">
        <v>0</v>
      </c>
      <c r="CB101" s="33" t="s">
        <v>212</v>
      </c>
      <c r="CC101" s="33" t="s">
        <v>522</v>
      </c>
      <c r="CD101" s="33"/>
      <c r="CE101" s="33" t="s">
        <v>523</v>
      </c>
      <c r="CF101" s="33" t="s">
        <v>829</v>
      </c>
      <c r="CG101" s="33" t="s">
        <v>2002</v>
      </c>
      <c r="CH101" s="33" t="s">
        <v>526</v>
      </c>
      <c r="CI101" s="33" t="s">
        <v>665</v>
      </c>
      <c r="CJ101" s="33" t="s">
        <v>665</v>
      </c>
      <c r="CK101" s="33" t="s">
        <v>212</v>
      </c>
      <c r="CL101" s="33" t="s">
        <v>212</v>
      </c>
      <c r="CM101" s="33"/>
      <c r="CN101" s="33" t="s">
        <v>257</v>
      </c>
      <c r="CO101" s="33" t="s">
        <v>270</v>
      </c>
      <c r="CP101" s="33" t="s">
        <v>2003</v>
      </c>
      <c r="CQ101" s="33" t="s">
        <v>2004</v>
      </c>
      <c r="CR101" s="33" t="s">
        <v>2005</v>
      </c>
      <c r="CS101" s="33" t="s">
        <v>2006</v>
      </c>
      <c r="CT101" s="33"/>
      <c r="CU101" s="33"/>
      <c r="CV101" s="33"/>
      <c r="CW101" s="33"/>
      <c r="CX101" s="33"/>
      <c r="CY101" s="33" t="s">
        <v>602</v>
      </c>
      <c r="CZ101" s="33" t="s">
        <v>2007</v>
      </c>
      <c r="DA101" s="33" t="s">
        <v>2008</v>
      </c>
      <c r="DB101" s="33" t="s">
        <v>602</v>
      </c>
      <c r="DC101" s="33" t="s">
        <v>2009</v>
      </c>
      <c r="DD101" s="33" t="s">
        <v>2010</v>
      </c>
      <c r="DE101" s="33" t="s">
        <v>2011</v>
      </c>
      <c r="DF101" s="34" t="s">
        <v>2012</v>
      </c>
      <c r="DG101" s="27" cm="1">
        <f t="array" ref="DG101">INDEX('elenco partner'!A:M,MATCH(1,(D101='elenco partner'!A:A)*('Partner data'!M101='elenco partner'!E:E),0),4)</f>
        <v>295</v>
      </c>
      <c r="DH101" s="83" t="str">
        <f t="shared" si="45"/>
        <v>COSTO REALE</v>
      </c>
      <c r="DI101" s="20">
        <f>COUNTIFS('MY-REPORT-MAIN'!C:C,'Partner data'!DG101,'MY-REPORT-MAIN'!I:I,"Certified")</f>
        <v>1</v>
      </c>
      <c r="DJ101" s="20">
        <f>COUNTIFS(List_Of_chek_list!M:M,"&lt;&gt;26",List_Of_chek_list!B:B,'Partner data'!DG101)</f>
        <v>1</v>
      </c>
      <c r="DK101" s="20">
        <f t="shared" si="46"/>
        <v>0</v>
      </c>
      <c r="DL101" s="19" t="str">
        <f>IF(DH101="Tasso Forfettario 20%",SUMIFS(List_Of_chek_list!#REF!,List_Of_chek_list!B:B,'Partner data'!DG101),"NON PERTINENTE")</f>
        <v>NON PERTINENTE</v>
      </c>
      <c r="DM101" s="19" t="str">
        <f t="shared" si="47"/>
        <v>NON PERTINENTE</v>
      </c>
      <c r="DN101" s="110">
        <f>_xlfn.MAXIFS('MY-REPORT-MAIN'!K:K,'MY-REPORT-MAIN'!C:C,DG101)</f>
        <v>45380.373928425928</v>
      </c>
      <c r="DO101" s="112">
        <f>IF(_xlfn.MAXIFS('MY-REPORT-MAIN'!M:M,'MY-REPORT-MAIN'!C:C,DG101)=0,"Nessun rendiconto  Convalidato",_xlfn.MAXIFS('MY-REPORT-MAIN'!M:M,'MY-REPORT-MAIN'!C:C,DG101))</f>
        <v>45440.412109606485</v>
      </c>
      <c r="DP101" s="113" cm="1">
        <f t="array" ref="DP101">IFERROR(INDEX('MY-REPORT-MAIN'!A:Z,MATCH(1,(DO101='MY-REPORT-MAIN'!M:M)*('Partner data'!DG101='MY-REPORT-MAIN'!C:C),0),1),"NON è stato convalidato ancora nessun rendiconto")</f>
        <v>190</v>
      </c>
      <c r="DQ101" s="111">
        <f>IFERROR(INDEX('MY-REPORT-MAIN'!A:Z,MATCH('Partner data'!DP101,'MY-REPORT-MAIN'!A:A,0),21),"Nessun Rendiconto ancora convalidato")</f>
        <v>17522.91</v>
      </c>
      <c r="DR101" s="110">
        <f>INDEX('Interreg VI-A Italy-Slovenia_pr'!A:E,MATCH('Partner data'!C101,'Interreg VI-A Italy-Slovenia_pr'!A:A,0),3)</f>
        <v>45170</v>
      </c>
      <c r="DS101" s="118">
        <f t="shared" si="29"/>
        <v>25350</v>
      </c>
      <c r="DT101" s="118">
        <f t="shared" si="30"/>
        <v>83135</v>
      </c>
      <c r="DU101" s="118">
        <f t="shared" si="31"/>
        <v>144822.5</v>
      </c>
      <c r="DV101" s="118">
        <f t="shared" si="32"/>
        <v>207510</v>
      </c>
      <c r="DW101" s="118">
        <f t="shared" si="33"/>
        <v>207510</v>
      </c>
      <c r="DX101" s="118">
        <f t="shared" si="34"/>
        <v>207510</v>
      </c>
      <c r="DY101" s="118">
        <f t="shared" si="35"/>
        <v>207510</v>
      </c>
      <c r="DZ101" s="118">
        <f t="shared" si="36"/>
        <v>207510</v>
      </c>
      <c r="EA101" s="118">
        <f t="shared" si="37"/>
        <v>207510</v>
      </c>
      <c r="EB101" s="118">
        <f t="shared" si="38"/>
        <v>207510</v>
      </c>
    </row>
    <row r="102" spans="1:132" x14ac:dyDescent="0.25">
      <c r="A102" s="28">
        <v>1</v>
      </c>
      <c r="B102" s="29" t="s">
        <v>487</v>
      </c>
      <c r="C102" s="30" t="s">
        <v>2013</v>
      </c>
      <c r="D102" s="30" t="s">
        <v>350</v>
      </c>
      <c r="E102" s="30" t="s">
        <v>2014</v>
      </c>
      <c r="F102" s="30" t="s">
        <v>1118</v>
      </c>
      <c r="G102" s="30" t="s">
        <v>491</v>
      </c>
      <c r="H102" s="30" t="s">
        <v>594</v>
      </c>
      <c r="I102" s="30" t="s">
        <v>595</v>
      </c>
      <c r="J102" s="31" t="s">
        <v>494</v>
      </c>
      <c r="K102" s="31" t="s">
        <v>495</v>
      </c>
      <c r="L102" s="31" t="s">
        <v>496</v>
      </c>
      <c r="M102" s="31" t="s">
        <v>352</v>
      </c>
      <c r="N102" s="31" t="s">
        <v>2015</v>
      </c>
      <c r="O102" s="31" t="s">
        <v>2016</v>
      </c>
      <c r="P102" s="31" t="s">
        <v>254</v>
      </c>
      <c r="Q102" s="31" t="s">
        <v>499</v>
      </c>
      <c r="R102" s="31" t="s">
        <v>255</v>
      </c>
      <c r="S102" s="32">
        <v>141780.32</v>
      </c>
      <c r="T102" s="32">
        <v>80</v>
      </c>
      <c r="U102" s="32">
        <v>29.64</v>
      </c>
      <c r="V102" s="32">
        <v>0</v>
      </c>
      <c r="W102" s="32">
        <v>0</v>
      </c>
      <c r="X102" s="32">
        <v>0</v>
      </c>
      <c r="Y102" s="32">
        <v>0</v>
      </c>
      <c r="Z102" s="32">
        <v>0</v>
      </c>
      <c r="AA102" s="32">
        <v>0</v>
      </c>
      <c r="AB102" s="32">
        <v>0</v>
      </c>
      <c r="AC102" s="32">
        <v>0</v>
      </c>
      <c r="AD102" s="32">
        <v>0</v>
      </c>
      <c r="AE102" s="32">
        <v>0</v>
      </c>
      <c r="AF102" s="32">
        <v>0</v>
      </c>
      <c r="AG102" s="32">
        <v>0</v>
      </c>
      <c r="AH102" s="32">
        <v>0</v>
      </c>
      <c r="AI102" s="32">
        <v>0</v>
      </c>
      <c r="AJ102" s="32">
        <v>0</v>
      </c>
      <c r="AK102" s="32">
        <v>0</v>
      </c>
      <c r="AL102" s="32">
        <v>0</v>
      </c>
      <c r="AM102" s="32">
        <v>0</v>
      </c>
      <c r="AN102" s="32">
        <v>0</v>
      </c>
      <c r="AO102" s="32">
        <v>35445.08</v>
      </c>
      <c r="AP102" s="32">
        <v>0</v>
      </c>
      <c r="AQ102" s="32">
        <v>35445.08</v>
      </c>
      <c r="AR102" s="32">
        <v>177225.4</v>
      </c>
      <c r="AS102" s="32">
        <v>29.64</v>
      </c>
      <c r="AT102" s="32">
        <v>120161</v>
      </c>
      <c r="AU102" s="32">
        <v>0</v>
      </c>
      <c r="AV102" s="32">
        <v>0</v>
      </c>
      <c r="AW102" s="32">
        <v>120161</v>
      </c>
      <c r="AX102" s="32">
        <v>0</v>
      </c>
      <c r="AY102" s="32">
        <v>0</v>
      </c>
      <c r="AZ102" s="32">
        <v>0</v>
      </c>
      <c r="BA102" s="32">
        <v>0</v>
      </c>
      <c r="BB102" s="32">
        <v>0</v>
      </c>
      <c r="BC102" s="32">
        <v>0</v>
      </c>
      <c r="BD102" s="32">
        <v>0</v>
      </c>
      <c r="BE102" s="32">
        <v>0</v>
      </c>
      <c r="BF102" s="32">
        <v>0</v>
      </c>
      <c r="BG102" s="32">
        <v>0</v>
      </c>
      <c r="BH102" s="32">
        <v>0</v>
      </c>
      <c r="BI102" s="32">
        <v>0</v>
      </c>
      <c r="BJ102" s="32">
        <v>0</v>
      </c>
      <c r="BK102" s="32">
        <v>0</v>
      </c>
      <c r="BL102" s="32">
        <v>0</v>
      </c>
      <c r="BM102" s="32">
        <v>48064.4</v>
      </c>
      <c r="BN102" s="32">
        <v>0</v>
      </c>
      <c r="BO102" s="32">
        <v>9000</v>
      </c>
      <c r="BP102" s="32">
        <v>9000</v>
      </c>
      <c r="BQ102" s="32">
        <v>22569.4</v>
      </c>
      <c r="BR102" s="32">
        <v>50204</v>
      </c>
      <c r="BS102" s="32">
        <v>47068</v>
      </c>
      <c r="BT102" s="32">
        <v>48384</v>
      </c>
      <c r="BU102" s="32">
        <v>0</v>
      </c>
      <c r="BV102" s="32">
        <v>0</v>
      </c>
      <c r="BW102" s="32">
        <v>0</v>
      </c>
      <c r="BX102" s="32">
        <v>0</v>
      </c>
      <c r="BY102" s="32">
        <v>0</v>
      </c>
      <c r="BZ102" s="32">
        <v>0</v>
      </c>
      <c r="CA102" s="32">
        <v>0</v>
      </c>
      <c r="CB102" s="33" t="s">
        <v>2017</v>
      </c>
      <c r="CC102" s="33" t="s">
        <v>624</v>
      </c>
      <c r="CD102" s="33"/>
      <c r="CE102" s="33" t="s">
        <v>684</v>
      </c>
      <c r="CF102" s="33" t="s">
        <v>645</v>
      </c>
      <c r="CG102" s="33" t="s">
        <v>735</v>
      </c>
      <c r="CH102" s="33" t="s">
        <v>504</v>
      </c>
      <c r="CI102" s="33" t="s">
        <v>736</v>
      </c>
      <c r="CJ102" s="33" t="s">
        <v>1764</v>
      </c>
      <c r="CK102" s="33" t="s">
        <v>737</v>
      </c>
      <c r="CL102" s="33" t="s">
        <v>212</v>
      </c>
      <c r="CM102" s="33"/>
      <c r="CN102" s="33" t="s">
        <v>254</v>
      </c>
      <c r="CO102" s="33" t="s">
        <v>255</v>
      </c>
      <c r="CP102" s="33" t="s">
        <v>738</v>
      </c>
      <c r="CQ102" s="33" t="s">
        <v>739</v>
      </c>
      <c r="CR102" s="33" t="s">
        <v>529</v>
      </c>
      <c r="CS102" s="33" t="s">
        <v>2018</v>
      </c>
      <c r="CT102" s="33" t="s">
        <v>254</v>
      </c>
      <c r="CU102" s="33" t="s">
        <v>255</v>
      </c>
      <c r="CV102" s="33" t="s">
        <v>2019</v>
      </c>
      <c r="CW102" s="33" t="s">
        <v>739</v>
      </c>
      <c r="CX102" s="33" t="s">
        <v>529</v>
      </c>
      <c r="CY102" s="33" t="s">
        <v>628</v>
      </c>
      <c r="CZ102" s="33" t="s">
        <v>511</v>
      </c>
      <c r="DA102" s="33" t="s">
        <v>2020</v>
      </c>
      <c r="DB102" s="33" t="s">
        <v>628</v>
      </c>
      <c r="DC102" s="33" t="s">
        <v>2021</v>
      </c>
      <c r="DD102" s="33" t="s">
        <v>2022</v>
      </c>
      <c r="DE102" s="33" t="s">
        <v>2023</v>
      </c>
      <c r="DF102" s="34" t="s">
        <v>2024</v>
      </c>
      <c r="DG102" s="27" cm="1">
        <f t="array" ref="DG102">INDEX('elenco partner'!A:M,MATCH(1,(D102='elenco partner'!A:A)*('Partner data'!M102='elenco partner'!E:E),0),4)</f>
        <v>170</v>
      </c>
      <c r="DH102" s="83" t="str">
        <f t="shared" si="45"/>
        <v>Costo Unitario Standard</v>
      </c>
      <c r="DI102" s="20">
        <f>COUNTIFS('MY-REPORT-MAIN'!C:C,'Partner data'!DG102,'MY-REPORT-MAIN'!I:I,"Certified")</f>
        <v>1</v>
      </c>
      <c r="DJ102" s="20">
        <f>COUNTIFS(List_Of_chek_list!M:M,"&lt;&gt;26",List_Of_chek_list!B:B,'Partner data'!DG102)</f>
        <v>0</v>
      </c>
      <c r="DK102" s="20">
        <f t="shared" si="46"/>
        <v>1</v>
      </c>
      <c r="DL102" s="19" t="str">
        <f>IF(DH102="Tasso Forfettario 20%",SUMIFS(List_Of_chek_list!#REF!,List_Of_chek_list!B:B,'Partner data'!DG102),"NON PERTINENTE")</f>
        <v>NON PERTINENTE</v>
      </c>
      <c r="DM102" s="19" t="str">
        <f t="shared" si="47"/>
        <v>NON PERTINENTE</v>
      </c>
      <c r="DN102" s="110">
        <f>_xlfn.MAXIFS('MY-REPORT-MAIN'!K:K,'MY-REPORT-MAIN'!C:C,DG102)</f>
        <v>45386.410463391207</v>
      </c>
      <c r="DO102" s="112">
        <f>IF(_xlfn.MAXIFS('MY-REPORT-MAIN'!M:M,'MY-REPORT-MAIN'!C:C,DG102)=0,"Nessun rendiconto  Convalidato",_xlfn.MAXIFS('MY-REPORT-MAIN'!M:M,'MY-REPORT-MAIN'!C:C,DG102))</f>
        <v>45478.687935173613</v>
      </c>
      <c r="DP102" s="113" cm="1">
        <f t="array" ref="DP102">IFERROR(INDEX('MY-REPORT-MAIN'!A:Z,MATCH(1,(DO102='MY-REPORT-MAIN'!M:M)*('Partner data'!DG102='MY-REPORT-MAIN'!C:C),0),1),"NON è stato convalidato ancora nessun rendiconto")</f>
        <v>277</v>
      </c>
      <c r="DQ102" s="111">
        <f>IFERROR(INDEX('MY-REPORT-MAIN'!A:Z,MATCH('Partner data'!DP102,'MY-REPORT-MAIN'!A:A,0),21),"Nessun Rendiconto ancora convalidato")</f>
        <v>28699.4</v>
      </c>
      <c r="DR102" s="110">
        <f>INDEX('Interreg VI-A Italy-Slovenia_pr'!A:E,MATCH('Partner data'!C102,'Interreg VI-A Italy-Slovenia_pr'!A:A,0),3)</f>
        <v>45200</v>
      </c>
      <c r="DS102" s="118">
        <f t="shared" si="29"/>
        <v>31569.4</v>
      </c>
      <c r="DT102" s="118">
        <f t="shared" si="30"/>
        <v>81773.399999999994</v>
      </c>
      <c r="DU102" s="118">
        <f t="shared" si="31"/>
        <v>128841.4</v>
      </c>
      <c r="DV102" s="118">
        <f t="shared" si="32"/>
        <v>177225.4</v>
      </c>
      <c r="DW102" s="118">
        <f t="shared" si="33"/>
        <v>177225.4</v>
      </c>
      <c r="DX102" s="118">
        <f t="shared" si="34"/>
        <v>177225.4</v>
      </c>
      <c r="DY102" s="118">
        <f t="shared" si="35"/>
        <v>177225.4</v>
      </c>
      <c r="DZ102" s="118">
        <f t="shared" si="36"/>
        <v>177225.4</v>
      </c>
      <c r="EA102" s="118">
        <f t="shared" si="37"/>
        <v>177225.4</v>
      </c>
      <c r="EB102" s="118">
        <f t="shared" si="38"/>
        <v>177225.4</v>
      </c>
    </row>
    <row r="103" spans="1:132" x14ac:dyDescent="0.25">
      <c r="A103" s="28">
        <v>1</v>
      </c>
      <c r="B103" s="29" t="s">
        <v>487</v>
      </c>
      <c r="C103" s="30" t="s">
        <v>2013</v>
      </c>
      <c r="D103" s="30" t="s">
        <v>350</v>
      </c>
      <c r="E103" s="30" t="s">
        <v>2014</v>
      </c>
      <c r="F103" s="30" t="s">
        <v>1118</v>
      </c>
      <c r="G103" s="30" t="s">
        <v>491</v>
      </c>
      <c r="H103" s="30" t="s">
        <v>594</v>
      </c>
      <c r="I103" s="30" t="s">
        <v>595</v>
      </c>
      <c r="J103" s="31" t="s">
        <v>518</v>
      </c>
      <c r="K103" s="31" t="s">
        <v>495</v>
      </c>
      <c r="L103" s="31" t="s">
        <v>519</v>
      </c>
      <c r="M103" s="31" t="s">
        <v>351</v>
      </c>
      <c r="N103" s="31" t="s">
        <v>2025</v>
      </c>
      <c r="O103" s="31" t="s">
        <v>2026</v>
      </c>
      <c r="P103" s="31" t="s">
        <v>254</v>
      </c>
      <c r="Q103" s="31" t="s">
        <v>499</v>
      </c>
      <c r="R103" s="31" t="s">
        <v>273</v>
      </c>
      <c r="S103" s="32">
        <v>56695.199999999997</v>
      </c>
      <c r="T103" s="32">
        <v>80</v>
      </c>
      <c r="U103" s="32">
        <v>11.85</v>
      </c>
      <c r="V103" s="32">
        <v>0</v>
      </c>
      <c r="W103" s="32">
        <v>0</v>
      </c>
      <c r="X103" s="32">
        <v>0</v>
      </c>
      <c r="Y103" s="32">
        <v>0</v>
      </c>
      <c r="Z103" s="32">
        <v>0</v>
      </c>
      <c r="AA103" s="32">
        <v>0</v>
      </c>
      <c r="AB103" s="32">
        <v>0</v>
      </c>
      <c r="AC103" s="32">
        <v>0</v>
      </c>
      <c r="AD103" s="32">
        <v>0</v>
      </c>
      <c r="AE103" s="32">
        <v>0</v>
      </c>
      <c r="AF103" s="32">
        <v>0</v>
      </c>
      <c r="AG103" s="32">
        <v>0</v>
      </c>
      <c r="AH103" s="32">
        <v>0</v>
      </c>
      <c r="AI103" s="32">
        <v>0</v>
      </c>
      <c r="AJ103" s="32">
        <v>0</v>
      </c>
      <c r="AK103" s="32">
        <v>0</v>
      </c>
      <c r="AL103" s="32">
        <v>0</v>
      </c>
      <c r="AM103" s="32">
        <v>0</v>
      </c>
      <c r="AN103" s="32">
        <v>0</v>
      </c>
      <c r="AO103" s="32">
        <v>14173.8</v>
      </c>
      <c r="AP103" s="32">
        <v>0</v>
      </c>
      <c r="AQ103" s="32">
        <v>14173.8</v>
      </c>
      <c r="AR103" s="32">
        <v>70869</v>
      </c>
      <c r="AS103" s="32">
        <v>11.85</v>
      </c>
      <c r="AT103" s="32">
        <v>25100</v>
      </c>
      <c r="AU103" s="32">
        <v>0</v>
      </c>
      <c r="AV103" s="32">
        <v>0</v>
      </c>
      <c r="AW103" s="32">
        <v>25100</v>
      </c>
      <c r="AX103" s="32">
        <v>3765</v>
      </c>
      <c r="AY103" s="32">
        <v>3765</v>
      </c>
      <c r="AZ103" s="32">
        <v>1004</v>
      </c>
      <c r="BA103" s="32">
        <v>1004</v>
      </c>
      <c r="BB103" s="32">
        <v>0</v>
      </c>
      <c r="BC103" s="32">
        <v>0</v>
      </c>
      <c r="BD103" s="32">
        <v>41000</v>
      </c>
      <c r="BE103" s="32">
        <v>41000</v>
      </c>
      <c r="BF103" s="32">
        <v>0</v>
      </c>
      <c r="BG103" s="32">
        <v>0</v>
      </c>
      <c r="BH103" s="32">
        <v>0</v>
      </c>
      <c r="BI103" s="32">
        <v>0</v>
      </c>
      <c r="BJ103" s="32">
        <v>0</v>
      </c>
      <c r="BK103" s="32">
        <v>0</v>
      </c>
      <c r="BL103" s="32">
        <v>0</v>
      </c>
      <c r="BM103" s="32">
        <v>0</v>
      </c>
      <c r="BN103" s="32">
        <v>0</v>
      </c>
      <c r="BO103" s="32">
        <v>0</v>
      </c>
      <c r="BP103" s="32">
        <v>0</v>
      </c>
      <c r="BQ103" s="32">
        <v>10831</v>
      </c>
      <c r="BR103" s="32">
        <v>17973</v>
      </c>
      <c r="BS103" s="32">
        <v>21532.5</v>
      </c>
      <c r="BT103" s="32">
        <v>20532.5</v>
      </c>
      <c r="BU103" s="32">
        <v>0</v>
      </c>
      <c r="BV103" s="32">
        <v>0</v>
      </c>
      <c r="BW103" s="32">
        <v>0</v>
      </c>
      <c r="BX103" s="32">
        <v>0</v>
      </c>
      <c r="BY103" s="32">
        <v>0</v>
      </c>
      <c r="BZ103" s="32">
        <v>0</v>
      </c>
      <c r="CA103" s="32">
        <v>0</v>
      </c>
      <c r="CB103" s="33" t="s">
        <v>212</v>
      </c>
      <c r="CC103" s="33" t="s">
        <v>743</v>
      </c>
      <c r="CD103" s="33"/>
      <c r="CE103" s="33" t="s">
        <v>684</v>
      </c>
      <c r="CF103" s="33" t="s">
        <v>2027</v>
      </c>
      <c r="CG103" s="33" t="s">
        <v>2028</v>
      </c>
      <c r="CH103" s="33" t="s">
        <v>526</v>
      </c>
      <c r="CI103" s="33"/>
      <c r="CJ103" s="33" t="s">
        <v>212</v>
      </c>
      <c r="CK103" s="33"/>
      <c r="CL103" s="33" t="s">
        <v>212</v>
      </c>
      <c r="CM103" s="33"/>
      <c r="CN103" s="33" t="s">
        <v>254</v>
      </c>
      <c r="CO103" s="33" t="s">
        <v>273</v>
      </c>
      <c r="CP103" s="33" t="s">
        <v>2029</v>
      </c>
      <c r="CQ103" s="33" t="s">
        <v>661</v>
      </c>
      <c r="CR103" s="33" t="s">
        <v>662</v>
      </c>
      <c r="CS103" s="33" t="s">
        <v>2030</v>
      </c>
      <c r="CT103" s="33"/>
      <c r="CU103" s="33"/>
      <c r="CV103" s="33"/>
      <c r="CW103" s="33"/>
      <c r="CX103" s="33"/>
      <c r="CY103" s="33" t="s">
        <v>510</v>
      </c>
      <c r="CZ103" s="33" t="s">
        <v>1040</v>
      </c>
      <c r="DA103" s="33" t="s">
        <v>2031</v>
      </c>
      <c r="DB103" s="33" t="s">
        <v>2032</v>
      </c>
      <c r="DC103" s="33" t="s">
        <v>821</v>
      </c>
      <c r="DD103" s="33" t="s">
        <v>2033</v>
      </c>
      <c r="DE103" s="33" t="s">
        <v>2034</v>
      </c>
      <c r="DF103" s="34" t="s">
        <v>2035</v>
      </c>
      <c r="DG103" s="27" cm="1">
        <f t="array" ref="DG103">INDEX('elenco partner'!A:M,MATCH(1,(D103='elenco partner'!A:A)*('Partner data'!M103='elenco partner'!E:E),0),4)</f>
        <v>176</v>
      </c>
      <c r="DH103" s="83" t="str">
        <f t="shared" si="45"/>
        <v>Costo Unitario Standard</v>
      </c>
      <c r="DI103" s="20">
        <f>COUNTIFS('MY-REPORT-MAIN'!C:C,'Partner data'!DG103,'MY-REPORT-MAIN'!I:I,"Certified")</f>
        <v>1</v>
      </c>
      <c r="DJ103" s="20">
        <f>COUNTIFS(List_Of_chek_list!M:M,"&lt;&gt;26",List_Of_chek_list!B:B,'Partner data'!DG103)</f>
        <v>0</v>
      </c>
      <c r="DK103" s="20">
        <f t="shared" si="46"/>
        <v>1</v>
      </c>
      <c r="DL103" s="19" t="str">
        <f>IF(DH103="Tasso Forfettario 20%",SUMIFS(List_Of_chek_list!#REF!,List_Of_chek_list!B:B,'Partner data'!DG103),"NON PERTINENTE")</f>
        <v>NON PERTINENTE</v>
      </c>
      <c r="DM103" s="19" t="str">
        <f t="shared" si="47"/>
        <v>NON PERTINENTE</v>
      </c>
      <c r="DN103" s="110">
        <f>_xlfn.MAXIFS('MY-REPORT-MAIN'!K:K,'MY-REPORT-MAIN'!C:C,DG103)</f>
        <v>45386.924894074073</v>
      </c>
      <c r="DO103" s="112">
        <f>IF(_xlfn.MAXIFS('MY-REPORT-MAIN'!M:M,'MY-REPORT-MAIN'!C:C,DG103)=0,"Nessun rendiconto  Convalidato",_xlfn.MAXIFS('MY-REPORT-MAIN'!M:M,'MY-REPORT-MAIN'!C:C,DG103))</f>
        <v>45470.697925347224</v>
      </c>
      <c r="DP103" s="113" cm="1">
        <f t="array" ref="DP103">IFERROR(INDEX('MY-REPORT-MAIN'!A:Z,MATCH(1,(DO103='MY-REPORT-MAIN'!M:M)*('Partner data'!DG103='MY-REPORT-MAIN'!C:C),0),1),"NON è stato convalidato ancora nessun rendiconto")</f>
        <v>300</v>
      </c>
      <c r="DQ103" s="111">
        <f>IFERROR(INDEX('MY-REPORT-MAIN'!A:Z,MATCH('Partner data'!DP103,'MY-REPORT-MAIN'!A:A,0),21),"Nessun Rendiconto ancora convalidato")</f>
        <v>5829.81</v>
      </c>
      <c r="DR103" s="110">
        <f>INDEX('Interreg VI-A Italy-Slovenia_pr'!A:E,MATCH('Partner data'!C103,'Interreg VI-A Italy-Slovenia_pr'!A:A,0),3)</f>
        <v>45200</v>
      </c>
      <c r="DS103" s="118">
        <f t="shared" si="29"/>
        <v>10831</v>
      </c>
      <c r="DT103" s="118">
        <f t="shared" si="30"/>
        <v>28804</v>
      </c>
      <c r="DU103" s="118">
        <f t="shared" si="31"/>
        <v>50336.5</v>
      </c>
      <c r="DV103" s="118">
        <f t="shared" si="32"/>
        <v>70869</v>
      </c>
      <c r="DW103" s="118">
        <f t="shared" si="33"/>
        <v>70869</v>
      </c>
      <c r="DX103" s="118">
        <f t="shared" si="34"/>
        <v>70869</v>
      </c>
      <c r="DY103" s="118">
        <f t="shared" si="35"/>
        <v>70869</v>
      </c>
      <c r="DZ103" s="118">
        <f t="shared" si="36"/>
        <v>70869</v>
      </c>
      <c r="EA103" s="118">
        <f t="shared" si="37"/>
        <v>70869</v>
      </c>
      <c r="EB103" s="118">
        <f t="shared" si="38"/>
        <v>70869</v>
      </c>
    </row>
    <row r="104" spans="1:132" x14ac:dyDescent="0.25">
      <c r="A104" s="28">
        <v>1</v>
      </c>
      <c r="B104" s="29" t="s">
        <v>487</v>
      </c>
      <c r="C104" s="30" t="s">
        <v>2013</v>
      </c>
      <c r="D104" s="30" t="s">
        <v>350</v>
      </c>
      <c r="E104" s="30" t="s">
        <v>2014</v>
      </c>
      <c r="F104" s="30" t="s">
        <v>1118</v>
      </c>
      <c r="G104" s="30" t="s">
        <v>491</v>
      </c>
      <c r="H104" s="30" t="s">
        <v>594</v>
      </c>
      <c r="I104" s="30" t="s">
        <v>595</v>
      </c>
      <c r="J104" s="31" t="s">
        <v>538</v>
      </c>
      <c r="K104" s="31" t="s">
        <v>495</v>
      </c>
      <c r="L104" s="31" t="s">
        <v>519</v>
      </c>
      <c r="M104" s="31" t="s">
        <v>353</v>
      </c>
      <c r="N104" s="31" t="s">
        <v>2036</v>
      </c>
      <c r="O104" s="31" t="s">
        <v>2036</v>
      </c>
      <c r="P104" s="31" t="s">
        <v>254</v>
      </c>
      <c r="Q104" s="31" t="s">
        <v>499</v>
      </c>
      <c r="R104" s="31" t="s">
        <v>273</v>
      </c>
      <c r="S104" s="32">
        <v>63881.69</v>
      </c>
      <c r="T104" s="32">
        <v>80</v>
      </c>
      <c r="U104" s="32">
        <v>13.36</v>
      </c>
      <c r="V104" s="32">
        <v>0</v>
      </c>
      <c r="W104" s="32">
        <v>0</v>
      </c>
      <c r="X104" s="32">
        <v>0</v>
      </c>
      <c r="Y104" s="32">
        <v>0</v>
      </c>
      <c r="Z104" s="32">
        <v>0</v>
      </c>
      <c r="AA104" s="32">
        <v>0</v>
      </c>
      <c r="AB104" s="32">
        <v>0</v>
      </c>
      <c r="AC104" s="32">
        <v>0</v>
      </c>
      <c r="AD104" s="32">
        <v>0</v>
      </c>
      <c r="AE104" s="32">
        <v>0</v>
      </c>
      <c r="AF104" s="32">
        <v>0</v>
      </c>
      <c r="AG104" s="32">
        <v>0</v>
      </c>
      <c r="AH104" s="32">
        <v>0</v>
      </c>
      <c r="AI104" s="32">
        <v>0</v>
      </c>
      <c r="AJ104" s="32">
        <v>0</v>
      </c>
      <c r="AK104" s="32">
        <v>0</v>
      </c>
      <c r="AL104" s="32">
        <v>0</v>
      </c>
      <c r="AM104" s="32">
        <v>0</v>
      </c>
      <c r="AN104" s="32">
        <v>0</v>
      </c>
      <c r="AO104" s="32">
        <v>0</v>
      </c>
      <c r="AP104" s="32">
        <v>15970.43</v>
      </c>
      <c r="AQ104" s="32">
        <v>15970.43</v>
      </c>
      <c r="AR104" s="32">
        <v>79852.12</v>
      </c>
      <c r="AS104" s="32">
        <v>13.36</v>
      </c>
      <c r="AT104" s="32">
        <v>29287.5</v>
      </c>
      <c r="AU104" s="32">
        <v>0</v>
      </c>
      <c r="AV104" s="32">
        <v>29287.5</v>
      </c>
      <c r="AW104" s="32">
        <v>0</v>
      </c>
      <c r="AX104" s="32">
        <v>4393.12</v>
      </c>
      <c r="AY104" s="32">
        <v>4393.12</v>
      </c>
      <c r="AZ104" s="32">
        <v>1171.5</v>
      </c>
      <c r="BA104" s="32">
        <v>1171.5</v>
      </c>
      <c r="BB104" s="32">
        <v>0</v>
      </c>
      <c r="BC104" s="32">
        <v>0</v>
      </c>
      <c r="BD104" s="32">
        <v>34200</v>
      </c>
      <c r="BE104" s="32">
        <v>34200</v>
      </c>
      <c r="BF104" s="32">
        <v>0</v>
      </c>
      <c r="BG104" s="32">
        <v>10800</v>
      </c>
      <c r="BH104" s="32">
        <v>10800</v>
      </c>
      <c r="BI104" s="32">
        <v>0</v>
      </c>
      <c r="BJ104" s="32">
        <v>0</v>
      </c>
      <c r="BK104" s="32">
        <v>0</v>
      </c>
      <c r="BL104" s="32">
        <v>0</v>
      </c>
      <c r="BM104" s="32">
        <v>0</v>
      </c>
      <c r="BN104" s="32">
        <v>0</v>
      </c>
      <c r="BO104" s="32">
        <v>0</v>
      </c>
      <c r="BP104" s="32">
        <v>0</v>
      </c>
      <c r="BQ104" s="32">
        <v>25519.72</v>
      </c>
      <c r="BR104" s="32">
        <v>16710.8</v>
      </c>
      <c r="BS104" s="32">
        <v>18710.8</v>
      </c>
      <c r="BT104" s="32">
        <v>18910.8</v>
      </c>
      <c r="BU104" s="32">
        <v>0</v>
      </c>
      <c r="BV104" s="32">
        <v>0</v>
      </c>
      <c r="BW104" s="32">
        <v>0</v>
      </c>
      <c r="BX104" s="32">
        <v>0</v>
      </c>
      <c r="BY104" s="32">
        <v>0</v>
      </c>
      <c r="BZ104" s="32">
        <v>0</v>
      </c>
      <c r="CA104" s="32">
        <v>0</v>
      </c>
      <c r="CB104" s="33" t="s">
        <v>2037</v>
      </c>
      <c r="CC104" s="33" t="s">
        <v>675</v>
      </c>
      <c r="CD104" s="33" t="s">
        <v>617</v>
      </c>
      <c r="CE104" s="33" t="s">
        <v>501</v>
      </c>
      <c r="CF104" s="33" t="s">
        <v>2038</v>
      </c>
      <c r="CG104" s="33" t="s">
        <v>2039</v>
      </c>
      <c r="CH104" s="33" t="s">
        <v>504</v>
      </c>
      <c r="CI104" s="33"/>
      <c r="CJ104" s="33" t="s">
        <v>212</v>
      </c>
      <c r="CK104" s="33"/>
      <c r="CL104" s="33" t="s">
        <v>212</v>
      </c>
      <c r="CM104" s="33" t="s">
        <v>2040</v>
      </c>
      <c r="CN104" s="33" t="s">
        <v>254</v>
      </c>
      <c r="CO104" s="33" t="s">
        <v>273</v>
      </c>
      <c r="CP104" s="33" t="s">
        <v>2041</v>
      </c>
      <c r="CQ104" s="33" t="s">
        <v>2042</v>
      </c>
      <c r="CR104" s="33" t="s">
        <v>2043</v>
      </c>
      <c r="CS104" s="33" t="s">
        <v>2044</v>
      </c>
      <c r="CT104" s="33" t="s">
        <v>254</v>
      </c>
      <c r="CU104" s="33" t="s">
        <v>273</v>
      </c>
      <c r="CV104" s="33" t="s">
        <v>2045</v>
      </c>
      <c r="CW104" s="33" t="s">
        <v>2042</v>
      </c>
      <c r="CX104" s="33" t="s">
        <v>2043</v>
      </c>
      <c r="CY104" s="33" t="s">
        <v>531</v>
      </c>
      <c r="CZ104" s="33" t="s">
        <v>1740</v>
      </c>
      <c r="DA104" s="33" t="s">
        <v>2046</v>
      </c>
      <c r="DB104" s="33" t="s">
        <v>2032</v>
      </c>
      <c r="DC104" s="33" t="s">
        <v>2047</v>
      </c>
      <c r="DD104" s="33" t="s">
        <v>2048</v>
      </c>
      <c r="DE104" s="33" t="s">
        <v>2049</v>
      </c>
      <c r="DF104" s="34" t="s">
        <v>2050</v>
      </c>
      <c r="DG104" s="27" cm="1">
        <f t="array" ref="DG104">INDEX('elenco partner'!A:M,MATCH(1,(D104='elenco partner'!A:A)*('Partner data'!M104='elenco partner'!E:E),0),4)</f>
        <v>177</v>
      </c>
      <c r="DH104" s="83" t="str">
        <f t="shared" si="45"/>
        <v>COSTO REALE</v>
      </c>
      <c r="DI104" s="20">
        <f>COUNTIFS('MY-REPORT-MAIN'!C:C,'Partner data'!DG104,'MY-REPORT-MAIN'!I:I,"Certified")</f>
        <v>1</v>
      </c>
      <c r="DJ104" s="20">
        <f>COUNTIFS(List_Of_chek_list!M:M,"&lt;&gt;26",List_Of_chek_list!B:B,'Partner data'!DG104)</f>
        <v>0</v>
      </c>
      <c r="DK104" s="20">
        <f t="shared" si="46"/>
        <v>1</v>
      </c>
      <c r="DL104" s="19" t="str">
        <f>IF(DH104="Tasso Forfettario 20%",SUMIFS(List_Of_chek_list!#REF!,List_Of_chek_list!B:B,'Partner data'!DG104),"NON PERTINENTE")</f>
        <v>NON PERTINENTE</v>
      </c>
      <c r="DM104" s="19" t="str">
        <f t="shared" si="47"/>
        <v>NON PERTINENTE</v>
      </c>
      <c r="DN104" s="110">
        <f>_xlfn.MAXIFS('MY-REPORT-MAIN'!K:K,'MY-REPORT-MAIN'!C:C,DG104)</f>
        <v>45386.674539548614</v>
      </c>
      <c r="DO104" s="112">
        <f>IF(_xlfn.MAXIFS('MY-REPORT-MAIN'!M:M,'MY-REPORT-MAIN'!C:C,DG104)=0,"Nessun rendiconto  Convalidato",_xlfn.MAXIFS('MY-REPORT-MAIN'!M:M,'MY-REPORT-MAIN'!C:C,DG104))</f>
        <v>45477.472293159721</v>
      </c>
      <c r="DP104" s="113" cm="1">
        <f t="array" ref="DP104">IFERROR(INDEX('MY-REPORT-MAIN'!A:Z,MATCH(1,(DO104='MY-REPORT-MAIN'!M:M)*('Partner data'!DG104='MY-REPORT-MAIN'!C:C),0),1),"NON è stato convalidato ancora nessun rendiconto")</f>
        <v>289</v>
      </c>
      <c r="DQ104" s="111">
        <f>IFERROR(INDEX('MY-REPORT-MAIN'!A:Z,MATCH('Partner data'!DP104,'MY-REPORT-MAIN'!A:A,0),21),"Nessun Rendiconto ancora convalidato")</f>
        <v>29539.63</v>
      </c>
      <c r="DR104" s="110">
        <f>INDEX('Interreg VI-A Italy-Slovenia_pr'!A:E,MATCH('Partner data'!C104,'Interreg VI-A Italy-Slovenia_pr'!A:A,0),3)</f>
        <v>45200</v>
      </c>
      <c r="DS104" s="118">
        <f t="shared" si="29"/>
        <v>25519.72</v>
      </c>
      <c r="DT104" s="118">
        <f t="shared" si="30"/>
        <v>42230.520000000004</v>
      </c>
      <c r="DU104" s="118">
        <f t="shared" si="31"/>
        <v>60941.320000000007</v>
      </c>
      <c r="DV104" s="118">
        <f t="shared" si="32"/>
        <v>79852.12000000001</v>
      </c>
      <c r="DW104" s="118">
        <f t="shared" si="33"/>
        <v>79852.12000000001</v>
      </c>
      <c r="DX104" s="118">
        <f t="shared" si="34"/>
        <v>79852.12000000001</v>
      </c>
      <c r="DY104" s="118">
        <f t="shared" si="35"/>
        <v>79852.12000000001</v>
      </c>
      <c r="DZ104" s="118">
        <f t="shared" si="36"/>
        <v>79852.12000000001</v>
      </c>
      <c r="EA104" s="118">
        <f t="shared" si="37"/>
        <v>79852.12000000001</v>
      </c>
      <c r="EB104" s="118">
        <f t="shared" si="38"/>
        <v>79852.12000000001</v>
      </c>
    </row>
    <row r="105" spans="1:132" x14ac:dyDescent="0.25">
      <c r="A105" s="28">
        <v>1</v>
      </c>
      <c r="B105" s="29" t="s">
        <v>487</v>
      </c>
      <c r="C105" s="30" t="s">
        <v>2013</v>
      </c>
      <c r="D105" s="30" t="s">
        <v>350</v>
      </c>
      <c r="E105" s="30" t="s">
        <v>2014</v>
      </c>
      <c r="F105" s="30" t="s">
        <v>1118</v>
      </c>
      <c r="G105" s="30" t="s">
        <v>491</v>
      </c>
      <c r="H105" s="30" t="s">
        <v>594</v>
      </c>
      <c r="I105" s="30" t="s">
        <v>595</v>
      </c>
      <c r="J105" s="31" t="s">
        <v>554</v>
      </c>
      <c r="K105" s="31" t="s">
        <v>495</v>
      </c>
      <c r="L105" s="31" t="s">
        <v>519</v>
      </c>
      <c r="M105" s="31" t="s">
        <v>355</v>
      </c>
      <c r="N105" s="31" t="s">
        <v>2051</v>
      </c>
      <c r="O105" s="31" t="s">
        <v>2052</v>
      </c>
      <c r="P105" s="31" t="s">
        <v>257</v>
      </c>
      <c r="Q105" s="31" t="s">
        <v>556</v>
      </c>
      <c r="R105" s="31" t="s">
        <v>258</v>
      </c>
      <c r="S105" s="32">
        <v>95984</v>
      </c>
      <c r="T105" s="32">
        <v>80</v>
      </c>
      <c r="U105" s="32">
        <v>20.07</v>
      </c>
      <c r="V105" s="32">
        <v>0</v>
      </c>
      <c r="W105" s="32">
        <v>0</v>
      </c>
      <c r="X105" s="32">
        <v>0</v>
      </c>
      <c r="Y105" s="32">
        <v>0</v>
      </c>
      <c r="Z105" s="32">
        <v>0</v>
      </c>
      <c r="AA105" s="32">
        <v>0</v>
      </c>
      <c r="AB105" s="32">
        <v>0</v>
      </c>
      <c r="AC105" s="32">
        <v>0</v>
      </c>
      <c r="AD105" s="32">
        <v>0</v>
      </c>
      <c r="AE105" s="32">
        <v>0</v>
      </c>
      <c r="AF105" s="32">
        <v>0</v>
      </c>
      <c r="AG105" s="32">
        <v>0</v>
      </c>
      <c r="AH105" s="32">
        <v>0</v>
      </c>
      <c r="AI105" s="32">
        <v>0</v>
      </c>
      <c r="AJ105" s="32">
        <v>0</v>
      </c>
      <c r="AK105" s="32">
        <v>0</v>
      </c>
      <c r="AL105" s="32">
        <v>0</v>
      </c>
      <c r="AM105" s="32">
        <v>0</v>
      </c>
      <c r="AN105" s="32">
        <v>23996</v>
      </c>
      <c r="AO105" s="32">
        <v>0</v>
      </c>
      <c r="AP105" s="32">
        <v>0</v>
      </c>
      <c r="AQ105" s="32">
        <v>23996</v>
      </c>
      <c r="AR105" s="32">
        <v>119980</v>
      </c>
      <c r="AS105" s="32">
        <v>20.07</v>
      </c>
      <c r="AT105" s="32">
        <v>85700</v>
      </c>
      <c r="AU105" s="32">
        <v>0</v>
      </c>
      <c r="AV105" s="32">
        <v>85700</v>
      </c>
      <c r="AW105" s="32">
        <v>0</v>
      </c>
      <c r="AX105" s="32">
        <v>0</v>
      </c>
      <c r="AY105" s="32">
        <v>0</v>
      </c>
      <c r="AZ105" s="32">
        <v>0</v>
      </c>
      <c r="BA105" s="32">
        <v>0</v>
      </c>
      <c r="BB105" s="32">
        <v>0</v>
      </c>
      <c r="BC105" s="32">
        <v>0</v>
      </c>
      <c r="BD105" s="32">
        <v>0</v>
      </c>
      <c r="BE105" s="32">
        <v>0</v>
      </c>
      <c r="BF105" s="32">
        <v>0</v>
      </c>
      <c r="BG105" s="32">
        <v>0</v>
      </c>
      <c r="BH105" s="32">
        <v>0</v>
      </c>
      <c r="BI105" s="32">
        <v>0</v>
      </c>
      <c r="BJ105" s="32">
        <v>0</v>
      </c>
      <c r="BK105" s="32">
        <v>0</v>
      </c>
      <c r="BL105" s="32">
        <v>0</v>
      </c>
      <c r="BM105" s="32">
        <v>34280</v>
      </c>
      <c r="BN105" s="32">
        <v>0</v>
      </c>
      <c r="BO105" s="32">
        <v>0</v>
      </c>
      <c r="BP105" s="32">
        <v>0</v>
      </c>
      <c r="BQ105" s="32">
        <v>30016</v>
      </c>
      <c r="BR105" s="32">
        <v>30016</v>
      </c>
      <c r="BS105" s="32">
        <v>30016</v>
      </c>
      <c r="BT105" s="32">
        <v>29932</v>
      </c>
      <c r="BU105" s="32">
        <v>0</v>
      </c>
      <c r="BV105" s="32">
        <v>0</v>
      </c>
      <c r="BW105" s="32">
        <v>0</v>
      </c>
      <c r="BX105" s="32">
        <v>0</v>
      </c>
      <c r="BY105" s="32">
        <v>0</v>
      </c>
      <c r="BZ105" s="32">
        <v>0</v>
      </c>
      <c r="CA105" s="32">
        <v>0</v>
      </c>
      <c r="CB105" s="33" t="s">
        <v>212</v>
      </c>
      <c r="CC105" s="33" t="s">
        <v>624</v>
      </c>
      <c r="CD105" s="33"/>
      <c r="CE105" s="33" t="s">
        <v>523</v>
      </c>
      <c r="CF105" s="33" t="s">
        <v>645</v>
      </c>
      <c r="CG105" s="33" t="s">
        <v>2053</v>
      </c>
      <c r="CH105" s="33" t="s">
        <v>526</v>
      </c>
      <c r="CI105" s="33"/>
      <c r="CJ105" s="33" t="s">
        <v>212</v>
      </c>
      <c r="CK105" s="33"/>
      <c r="CL105" s="33" t="s">
        <v>212</v>
      </c>
      <c r="CM105" s="33"/>
      <c r="CN105" s="33" t="s">
        <v>257</v>
      </c>
      <c r="CO105" s="33" t="s">
        <v>258</v>
      </c>
      <c r="CP105" s="33" t="s">
        <v>2054</v>
      </c>
      <c r="CQ105" s="33" t="s">
        <v>620</v>
      </c>
      <c r="CR105" s="33" t="s">
        <v>621</v>
      </c>
      <c r="CS105" s="33" t="s">
        <v>2055</v>
      </c>
      <c r="CT105" s="33"/>
      <c r="CU105" s="33"/>
      <c r="CV105" s="33"/>
      <c r="CW105" s="33"/>
      <c r="CX105" s="33"/>
      <c r="CY105" s="33" t="s">
        <v>2056</v>
      </c>
      <c r="CZ105" s="33" t="s">
        <v>2057</v>
      </c>
      <c r="DA105" s="33" t="s">
        <v>652</v>
      </c>
      <c r="DB105" s="33" t="s">
        <v>2058</v>
      </c>
      <c r="DC105" s="33" t="s">
        <v>2059</v>
      </c>
      <c r="DD105" s="33" t="s">
        <v>2060</v>
      </c>
      <c r="DE105" s="33" t="s">
        <v>2061</v>
      </c>
      <c r="DF105" s="34" t="s">
        <v>2062</v>
      </c>
      <c r="DG105" s="27" cm="1">
        <f t="array" ref="DG105">INDEX('elenco partner'!A:M,MATCH(1,(D105='elenco partner'!A:A)*('Partner data'!M105='elenco partner'!E:E),0),4)</f>
        <v>178</v>
      </c>
      <c r="DH105" s="83" t="str">
        <f t="shared" si="45"/>
        <v>COSTO REALE</v>
      </c>
      <c r="DI105" s="20">
        <f>COUNTIFS('MY-REPORT-MAIN'!C:C,'Partner data'!DG105,'MY-REPORT-MAIN'!I:I,"Certified")</f>
        <v>1</v>
      </c>
      <c r="DJ105" s="20">
        <f>COUNTIFS(List_Of_chek_list!M:M,"&lt;&gt;26",List_Of_chek_list!B:B,'Partner data'!DG105)</f>
        <v>1</v>
      </c>
      <c r="DK105" s="20">
        <f t="shared" si="46"/>
        <v>0</v>
      </c>
      <c r="DL105" s="19" t="str">
        <f>IF(DH105="Tasso Forfettario 20%",SUMIFS(List_Of_chek_list!#REF!,List_Of_chek_list!B:B,'Partner data'!DG105),"NON PERTINENTE")</f>
        <v>NON PERTINENTE</v>
      </c>
      <c r="DM105" s="19" t="str">
        <f t="shared" si="47"/>
        <v>NON PERTINENTE</v>
      </c>
      <c r="DN105" s="110">
        <f>_xlfn.MAXIFS('MY-REPORT-MAIN'!K:K,'MY-REPORT-MAIN'!C:C,DG105)</f>
        <v>45379.477828958334</v>
      </c>
      <c r="DO105" s="112">
        <f>IF(_xlfn.MAXIFS('MY-REPORT-MAIN'!M:M,'MY-REPORT-MAIN'!C:C,DG105)=0,"Nessun rendiconto  Convalidato",_xlfn.MAXIFS('MY-REPORT-MAIN'!M:M,'MY-REPORT-MAIN'!C:C,DG105))</f>
        <v>45434.337006747686</v>
      </c>
      <c r="DP105" s="113" cm="1">
        <f t="array" ref="DP105">IFERROR(INDEX('MY-REPORT-MAIN'!A:Z,MATCH(1,(DO105='MY-REPORT-MAIN'!M:M)*('Partner data'!DG105='MY-REPORT-MAIN'!C:C),0),1),"NON è stato convalidato ancora nessun rendiconto")</f>
        <v>279</v>
      </c>
      <c r="DQ105" s="111">
        <f>IFERROR(INDEX('MY-REPORT-MAIN'!A:Z,MATCH('Partner data'!DP105,'MY-REPORT-MAIN'!A:A,0),21),"Nessun Rendiconto ancora convalidato")</f>
        <v>16253.93</v>
      </c>
      <c r="DR105" s="110">
        <f>INDEX('Interreg VI-A Italy-Slovenia_pr'!A:E,MATCH('Partner data'!C105,'Interreg VI-A Italy-Slovenia_pr'!A:A,0),3)</f>
        <v>45200</v>
      </c>
      <c r="DS105" s="118">
        <f t="shared" si="29"/>
        <v>30016</v>
      </c>
      <c r="DT105" s="118">
        <f t="shared" si="30"/>
        <v>60032</v>
      </c>
      <c r="DU105" s="118">
        <f t="shared" si="31"/>
        <v>90048</v>
      </c>
      <c r="DV105" s="118">
        <f t="shared" si="32"/>
        <v>119980</v>
      </c>
      <c r="DW105" s="118">
        <f t="shared" si="33"/>
        <v>119980</v>
      </c>
      <c r="DX105" s="118">
        <f t="shared" si="34"/>
        <v>119980</v>
      </c>
      <c r="DY105" s="118">
        <f t="shared" si="35"/>
        <v>119980</v>
      </c>
      <c r="DZ105" s="118">
        <f t="shared" si="36"/>
        <v>119980</v>
      </c>
      <c r="EA105" s="118">
        <f t="shared" si="37"/>
        <v>119980</v>
      </c>
      <c r="EB105" s="118">
        <f t="shared" si="38"/>
        <v>119980</v>
      </c>
    </row>
    <row r="106" spans="1:132" x14ac:dyDescent="0.25">
      <c r="A106" s="28">
        <v>1</v>
      </c>
      <c r="B106" s="29" t="s">
        <v>487</v>
      </c>
      <c r="C106" s="30" t="s">
        <v>2013</v>
      </c>
      <c r="D106" s="30" t="s">
        <v>350</v>
      </c>
      <c r="E106" s="30" t="s">
        <v>2014</v>
      </c>
      <c r="F106" s="30" t="s">
        <v>1118</v>
      </c>
      <c r="G106" s="30" t="s">
        <v>491</v>
      </c>
      <c r="H106" s="30" t="s">
        <v>594</v>
      </c>
      <c r="I106" s="30" t="s">
        <v>595</v>
      </c>
      <c r="J106" s="31" t="s">
        <v>570</v>
      </c>
      <c r="K106" s="31" t="s">
        <v>495</v>
      </c>
      <c r="L106" s="31" t="s">
        <v>519</v>
      </c>
      <c r="M106" s="31" t="s">
        <v>354</v>
      </c>
      <c r="N106" s="31" t="s">
        <v>2063</v>
      </c>
      <c r="O106" s="31" t="s">
        <v>2064</v>
      </c>
      <c r="P106" s="31" t="s">
        <v>257</v>
      </c>
      <c r="Q106" s="31" t="s">
        <v>556</v>
      </c>
      <c r="R106" s="31" t="s">
        <v>258</v>
      </c>
      <c r="S106" s="32">
        <v>63996.800000000003</v>
      </c>
      <c r="T106" s="32">
        <v>80</v>
      </c>
      <c r="U106" s="32">
        <v>13.38</v>
      </c>
      <c r="V106" s="32">
        <v>0</v>
      </c>
      <c r="W106" s="32">
        <v>0</v>
      </c>
      <c r="X106" s="32">
        <v>0</v>
      </c>
      <c r="Y106" s="32">
        <v>0</v>
      </c>
      <c r="Z106" s="32">
        <v>0</v>
      </c>
      <c r="AA106" s="32">
        <v>0</v>
      </c>
      <c r="AB106" s="32">
        <v>0</v>
      </c>
      <c r="AC106" s="32">
        <v>0</v>
      </c>
      <c r="AD106" s="32">
        <v>0</v>
      </c>
      <c r="AE106" s="32">
        <v>0</v>
      </c>
      <c r="AF106" s="32">
        <v>0</v>
      </c>
      <c r="AG106" s="32">
        <v>0</v>
      </c>
      <c r="AH106" s="32">
        <v>0</v>
      </c>
      <c r="AI106" s="32">
        <v>0</v>
      </c>
      <c r="AJ106" s="32">
        <v>0</v>
      </c>
      <c r="AK106" s="32">
        <v>0</v>
      </c>
      <c r="AL106" s="32">
        <v>0</v>
      </c>
      <c r="AM106" s="32">
        <v>0</v>
      </c>
      <c r="AN106" s="32">
        <v>0</v>
      </c>
      <c r="AO106" s="32">
        <v>0</v>
      </c>
      <c r="AP106" s="32">
        <v>15999.2</v>
      </c>
      <c r="AQ106" s="32">
        <v>15999.2</v>
      </c>
      <c r="AR106" s="32">
        <v>79996</v>
      </c>
      <c r="AS106" s="32">
        <v>13.38</v>
      </c>
      <c r="AT106" s="32">
        <v>57140</v>
      </c>
      <c r="AU106" s="32">
        <v>0</v>
      </c>
      <c r="AV106" s="32">
        <v>57140</v>
      </c>
      <c r="AW106" s="32">
        <v>0</v>
      </c>
      <c r="AX106" s="32">
        <v>0</v>
      </c>
      <c r="AY106" s="32">
        <v>0</v>
      </c>
      <c r="AZ106" s="32">
        <v>0</v>
      </c>
      <c r="BA106" s="32">
        <v>0</v>
      </c>
      <c r="BB106" s="32">
        <v>0</v>
      </c>
      <c r="BC106" s="32">
        <v>0</v>
      </c>
      <c r="BD106" s="32">
        <v>0</v>
      </c>
      <c r="BE106" s="32">
        <v>0</v>
      </c>
      <c r="BF106" s="32">
        <v>0</v>
      </c>
      <c r="BG106" s="32">
        <v>0</v>
      </c>
      <c r="BH106" s="32">
        <v>0</v>
      </c>
      <c r="BI106" s="32">
        <v>0</v>
      </c>
      <c r="BJ106" s="32">
        <v>0</v>
      </c>
      <c r="BK106" s="32">
        <v>0</v>
      </c>
      <c r="BL106" s="32">
        <v>0</v>
      </c>
      <c r="BM106" s="32">
        <v>22856</v>
      </c>
      <c r="BN106" s="32">
        <v>0</v>
      </c>
      <c r="BO106" s="32">
        <v>0</v>
      </c>
      <c r="BP106" s="32">
        <v>0</v>
      </c>
      <c r="BQ106" s="32">
        <v>10003</v>
      </c>
      <c r="BR106" s="32">
        <v>23331</v>
      </c>
      <c r="BS106" s="32">
        <v>23331</v>
      </c>
      <c r="BT106" s="32">
        <v>23331</v>
      </c>
      <c r="BU106" s="32">
        <v>0</v>
      </c>
      <c r="BV106" s="32">
        <v>0</v>
      </c>
      <c r="BW106" s="32">
        <v>0</v>
      </c>
      <c r="BX106" s="32">
        <v>0</v>
      </c>
      <c r="BY106" s="32">
        <v>0</v>
      </c>
      <c r="BZ106" s="32">
        <v>0</v>
      </c>
      <c r="CA106" s="32">
        <v>0</v>
      </c>
      <c r="CB106" s="33" t="s">
        <v>212</v>
      </c>
      <c r="CC106" s="33" t="s">
        <v>675</v>
      </c>
      <c r="CD106" s="33" t="s">
        <v>653</v>
      </c>
      <c r="CE106" s="33" t="s">
        <v>501</v>
      </c>
      <c r="CF106" s="33" t="s">
        <v>2065</v>
      </c>
      <c r="CG106" s="33" t="s">
        <v>2066</v>
      </c>
      <c r="CH106" s="33" t="s">
        <v>504</v>
      </c>
      <c r="CI106" s="33"/>
      <c r="CJ106" s="33" t="s">
        <v>212</v>
      </c>
      <c r="CK106" s="33"/>
      <c r="CL106" s="33" t="s">
        <v>212</v>
      </c>
      <c r="CM106" s="33" t="s">
        <v>2040</v>
      </c>
      <c r="CN106" s="33" t="s">
        <v>257</v>
      </c>
      <c r="CO106" s="33" t="s">
        <v>258</v>
      </c>
      <c r="CP106" s="33" t="s">
        <v>2067</v>
      </c>
      <c r="CQ106" s="33" t="s">
        <v>620</v>
      </c>
      <c r="CR106" s="33" t="s">
        <v>621</v>
      </c>
      <c r="CS106" s="33" t="s">
        <v>2068</v>
      </c>
      <c r="CT106" s="33"/>
      <c r="CU106" s="33"/>
      <c r="CV106" s="33"/>
      <c r="CW106" s="33"/>
      <c r="CX106" s="33"/>
      <c r="CY106" s="33" t="s">
        <v>892</v>
      </c>
      <c r="CZ106" s="33" t="s">
        <v>2069</v>
      </c>
      <c r="DA106" s="33" t="s">
        <v>2070</v>
      </c>
      <c r="DB106" s="33" t="s">
        <v>1176</v>
      </c>
      <c r="DC106" s="33" t="s">
        <v>2071</v>
      </c>
      <c r="DD106" s="33" t="s">
        <v>2072</v>
      </c>
      <c r="DE106" s="33" t="s">
        <v>2073</v>
      </c>
      <c r="DF106" s="34" t="s">
        <v>2074</v>
      </c>
      <c r="DG106" s="27" cm="1">
        <f t="array" ref="DG106">INDEX('elenco partner'!A:M,MATCH(1,(D106='elenco partner'!A:A)*('Partner data'!M106='elenco partner'!E:E),0),4)</f>
        <v>194</v>
      </c>
      <c r="DH106" s="83" t="str">
        <f t="shared" si="45"/>
        <v>COSTO REALE</v>
      </c>
      <c r="DI106" s="20">
        <f>COUNTIFS('MY-REPORT-MAIN'!C:C,'Partner data'!DG106,'MY-REPORT-MAIN'!I:I,"Certified")</f>
        <v>1</v>
      </c>
      <c r="DJ106" s="20">
        <f>COUNTIFS(List_Of_chek_list!M:M,"&lt;&gt;26",List_Of_chek_list!B:B,'Partner data'!DG106)</f>
        <v>1</v>
      </c>
      <c r="DK106" s="20">
        <f t="shared" si="46"/>
        <v>0</v>
      </c>
      <c r="DL106" s="19" t="str">
        <f>IF(DH106="Tasso Forfettario 20%",SUMIFS(List_Of_chek_list!#REF!,List_Of_chek_list!B:B,'Partner data'!DG106),"NON PERTINENTE")</f>
        <v>NON PERTINENTE</v>
      </c>
      <c r="DM106" s="19" t="str">
        <f t="shared" si="47"/>
        <v>NON PERTINENTE</v>
      </c>
      <c r="DN106" s="110">
        <f>_xlfn.MAXIFS('MY-REPORT-MAIN'!K:K,'MY-REPORT-MAIN'!C:C,DG106)</f>
        <v>45380.647774143516</v>
      </c>
      <c r="DO106" s="112">
        <f>IF(_xlfn.MAXIFS('MY-REPORT-MAIN'!M:M,'MY-REPORT-MAIN'!C:C,DG106)=0,"Nessun rendiconto  Convalidato",_xlfn.MAXIFS('MY-REPORT-MAIN'!M:M,'MY-REPORT-MAIN'!C:C,DG106))</f>
        <v>45456.416483796296</v>
      </c>
      <c r="DP106" s="113" cm="1">
        <f t="array" ref="DP106">IFERROR(INDEX('MY-REPORT-MAIN'!A:Z,MATCH(1,(DO106='MY-REPORT-MAIN'!M:M)*('Partner data'!DG106='MY-REPORT-MAIN'!C:C),0),1),"NON è stato convalidato ancora nessun rendiconto")</f>
        <v>295</v>
      </c>
      <c r="DQ106" s="111">
        <f>IFERROR(INDEX('MY-REPORT-MAIN'!A:Z,MATCH('Partner data'!DP106,'MY-REPORT-MAIN'!A:A,0),21),"Nessun Rendiconto ancora convalidato")</f>
        <v>9948.93</v>
      </c>
      <c r="DR106" s="110">
        <f>INDEX('Interreg VI-A Italy-Slovenia_pr'!A:E,MATCH('Partner data'!C106,'Interreg VI-A Italy-Slovenia_pr'!A:A,0),3)</f>
        <v>45200</v>
      </c>
      <c r="DS106" s="118">
        <f t="shared" si="29"/>
        <v>10003</v>
      </c>
      <c r="DT106" s="118">
        <f t="shared" si="30"/>
        <v>33334</v>
      </c>
      <c r="DU106" s="118">
        <f t="shared" si="31"/>
        <v>56665</v>
      </c>
      <c r="DV106" s="118">
        <f t="shared" si="32"/>
        <v>79996</v>
      </c>
      <c r="DW106" s="118">
        <f t="shared" si="33"/>
        <v>79996</v>
      </c>
      <c r="DX106" s="118">
        <f t="shared" si="34"/>
        <v>79996</v>
      </c>
      <c r="DY106" s="118">
        <f t="shared" si="35"/>
        <v>79996</v>
      </c>
      <c r="DZ106" s="118">
        <f t="shared" si="36"/>
        <v>79996</v>
      </c>
      <c r="EA106" s="118">
        <f t="shared" si="37"/>
        <v>79996</v>
      </c>
      <c r="EB106" s="118">
        <f t="shared" si="38"/>
        <v>79996</v>
      </c>
    </row>
    <row r="107" spans="1:132" x14ac:dyDescent="0.25">
      <c r="A107" s="28">
        <v>1</v>
      </c>
      <c r="B107" s="29" t="s">
        <v>487</v>
      </c>
      <c r="C107" s="30" t="s">
        <v>2013</v>
      </c>
      <c r="D107" s="30" t="s">
        <v>350</v>
      </c>
      <c r="E107" s="30" t="s">
        <v>2014</v>
      </c>
      <c r="F107" s="30" t="s">
        <v>1118</v>
      </c>
      <c r="G107" s="30" t="s">
        <v>491</v>
      </c>
      <c r="H107" s="30" t="s">
        <v>594</v>
      </c>
      <c r="I107" s="30" t="s">
        <v>595</v>
      </c>
      <c r="J107" s="31" t="s">
        <v>581</v>
      </c>
      <c r="K107" s="31" t="s">
        <v>495</v>
      </c>
      <c r="L107" s="31" t="s">
        <v>519</v>
      </c>
      <c r="M107" s="31" t="s">
        <v>356</v>
      </c>
      <c r="N107" s="31" t="s">
        <v>2075</v>
      </c>
      <c r="O107" s="31" t="s">
        <v>2076</v>
      </c>
      <c r="P107" s="31" t="s">
        <v>257</v>
      </c>
      <c r="Q107" s="31" t="s">
        <v>556</v>
      </c>
      <c r="R107" s="31" t="s">
        <v>258</v>
      </c>
      <c r="S107" s="32">
        <v>55977.599999999999</v>
      </c>
      <c r="T107" s="32">
        <v>80</v>
      </c>
      <c r="U107" s="32">
        <v>11.7</v>
      </c>
      <c r="V107" s="32">
        <v>0</v>
      </c>
      <c r="W107" s="32">
        <v>0</v>
      </c>
      <c r="X107" s="32">
        <v>0</v>
      </c>
      <c r="Y107" s="32">
        <v>0</v>
      </c>
      <c r="Z107" s="32">
        <v>0</v>
      </c>
      <c r="AA107" s="32">
        <v>0</v>
      </c>
      <c r="AB107" s="32">
        <v>0</v>
      </c>
      <c r="AC107" s="32">
        <v>0</v>
      </c>
      <c r="AD107" s="32">
        <v>0</v>
      </c>
      <c r="AE107" s="32">
        <v>0</v>
      </c>
      <c r="AF107" s="32">
        <v>0</v>
      </c>
      <c r="AG107" s="32">
        <v>0</v>
      </c>
      <c r="AH107" s="32">
        <v>0</v>
      </c>
      <c r="AI107" s="32">
        <v>0</v>
      </c>
      <c r="AJ107" s="32">
        <v>0</v>
      </c>
      <c r="AK107" s="32">
        <v>0</v>
      </c>
      <c r="AL107" s="32">
        <v>0</v>
      </c>
      <c r="AM107" s="32">
        <v>0</v>
      </c>
      <c r="AN107" s="32">
        <v>13994.4</v>
      </c>
      <c r="AO107" s="32">
        <v>0</v>
      </c>
      <c r="AP107" s="32">
        <v>0</v>
      </c>
      <c r="AQ107" s="32">
        <v>13994.4</v>
      </c>
      <c r="AR107" s="32">
        <v>69972</v>
      </c>
      <c r="AS107" s="32">
        <v>11.7</v>
      </c>
      <c r="AT107" s="32">
        <v>49980</v>
      </c>
      <c r="AU107" s="32">
        <v>0</v>
      </c>
      <c r="AV107" s="32">
        <v>49980</v>
      </c>
      <c r="AW107" s="32">
        <v>0</v>
      </c>
      <c r="AX107" s="32">
        <v>0</v>
      </c>
      <c r="AY107" s="32">
        <v>0</v>
      </c>
      <c r="AZ107" s="32">
        <v>0</v>
      </c>
      <c r="BA107" s="32">
        <v>0</v>
      </c>
      <c r="BB107" s="32">
        <v>0</v>
      </c>
      <c r="BC107" s="32">
        <v>0</v>
      </c>
      <c r="BD107" s="32">
        <v>0</v>
      </c>
      <c r="BE107" s="32">
        <v>0</v>
      </c>
      <c r="BF107" s="32">
        <v>0</v>
      </c>
      <c r="BG107" s="32">
        <v>0</v>
      </c>
      <c r="BH107" s="32">
        <v>0</v>
      </c>
      <c r="BI107" s="32">
        <v>0</v>
      </c>
      <c r="BJ107" s="32">
        <v>0</v>
      </c>
      <c r="BK107" s="32">
        <v>0</v>
      </c>
      <c r="BL107" s="32">
        <v>0</v>
      </c>
      <c r="BM107" s="32">
        <v>19992</v>
      </c>
      <c r="BN107" s="32">
        <v>0</v>
      </c>
      <c r="BO107" s="32">
        <v>0</v>
      </c>
      <c r="BP107" s="32">
        <v>0</v>
      </c>
      <c r="BQ107" s="32">
        <v>9408</v>
      </c>
      <c r="BR107" s="32">
        <v>9408</v>
      </c>
      <c r="BS107" s="32">
        <v>25578</v>
      </c>
      <c r="BT107" s="32">
        <v>25578</v>
      </c>
      <c r="BU107" s="32">
        <v>0</v>
      </c>
      <c r="BV107" s="32">
        <v>0</v>
      </c>
      <c r="BW107" s="32">
        <v>0</v>
      </c>
      <c r="BX107" s="32">
        <v>0</v>
      </c>
      <c r="BY107" s="32">
        <v>0</v>
      </c>
      <c r="BZ107" s="32">
        <v>0</v>
      </c>
      <c r="CA107" s="32">
        <v>0</v>
      </c>
      <c r="CB107" s="33" t="s">
        <v>212</v>
      </c>
      <c r="CC107" s="33" t="s">
        <v>949</v>
      </c>
      <c r="CD107" s="33"/>
      <c r="CE107" s="33" t="s">
        <v>523</v>
      </c>
      <c r="CF107" s="33" t="s">
        <v>2077</v>
      </c>
      <c r="CG107" s="33" t="s">
        <v>2078</v>
      </c>
      <c r="CH107" s="33" t="s">
        <v>526</v>
      </c>
      <c r="CI107" s="33"/>
      <c r="CJ107" s="33" t="s">
        <v>212</v>
      </c>
      <c r="CK107" s="33"/>
      <c r="CL107" s="33" t="s">
        <v>212</v>
      </c>
      <c r="CM107" s="33"/>
      <c r="CN107" s="33" t="s">
        <v>257</v>
      </c>
      <c r="CO107" s="33" t="s">
        <v>258</v>
      </c>
      <c r="CP107" s="33" t="s">
        <v>2079</v>
      </c>
      <c r="CQ107" s="33" t="s">
        <v>620</v>
      </c>
      <c r="CR107" s="33" t="s">
        <v>621</v>
      </c>
      <c r="CS107" s="33" t="s">
        <v>2080</v>
      </c>
      <c r="CT107" s="33"/>
      <c r="CU107" s="33"/>
      <c r="CV107" s="33"/>
      <c r="CW107" s="33"/>
      <c r="CX107" s="33"/>
      <c r="CY107" s="33" t="s">
        <v>1478</v>
      </c>
      <c r="CZ107" s="33" t="s">
        <v>2081</v>
      </c>
      <c r="DA107" s="33" t="s">
        <v>2082</v>
      </c>
      <c r="DB107" s="33" t="s">
        <v>1478</v>
      </c>
      <c r="DC107" s="33" t="s">
        <v>2083</v>
      </c>
      <c r="DD107" s="33" t="s">
        <v>2084</v>
      </c>
      <c r="DE107" s="33" t="s">
        <v>2085</v>
      </c>
      <c r="DF107" s="34" t="s">
        <v>2086</v>
      </c>
      <c r="DG107" s="27" cm="1">
        <f t="array" ref="DG107">INDEX('elenco partner'!A:M,MATCH(1,(D107='elenco partner'!A:A)*('Partner data'!M107='elenco partner'!E:E),0),4)</f>
        <v>219</v>
      </c>
      <c r="DH107" s="83" t="str">
        <f t="shared" si="45"/>
        <v>COSTO REALE</v>
      </c>
      <c r="DI107" s="20">
        <f>COUNTIFS('MY-REPORT-MAIN'!C:C,'Partner data'!DG107,'MY-REPORT-MAIN'!I:I,"Certified")</f>
        <v>1</v>
      </c>
      <c r="DJ107" s="20">
        <f>COUNTIFS(List_Of_chek_list!M:M,"&lt;&gt;26",List_Of_chek_list!B:B,'Partner data'!DG107)</f>
        <v>1</v>
      </c>
      <c r="DK107" s="20">
        <f t="shared" si="46"/>
        <v>0</v>
      </c>
      <c r="DL107" s="19" t="str">
        <f>IF(DH107="Tasso Forfettario 20%",SUMIFS(List_Of_chek_list!#REF!,List_Of_chek_list!B:B,'Partner data'!DG107),"NON PERTINENTE")</f>
        <v>NON PERTINENTE</v>
      </c>
      <c r="DM107" s="19" t="str">
        <f t="shared" si="47"/>
        <v>NON PERTINENTE</v>
      </c>
      <c r="DN107" s="110">
        <f>_xlfn.MAXIFS('MY-REPORT-MAIN'!K:K,'MY-REPORT-MAIN'!C:C,DG107)</f>
        <v>45380.38318675926</v>
      </c>
      <c r="DO107" s="112">
        <f>IF(_xlfn.MAXIFS('MY-REPORT-MAIN'!M:M,'MY-REPORT-MAIN'!C:C,DG107)=0,"Nessun rendiconto  Convalidato",_xlfn.MAXIFS('MY-REPORT-MAIN'!M:M,'MY-REPORT-MAIN'!C:C,DG107))</f>
        <v>45432.360781192132</v>
      </c>
      <c r="DP107" s="113" cm="1">
        <f t="array" ref="DP107">IFERROR(INDEX('MY-REPORT-MAIN'!A:Z,MATCH(1,(DO107='MY-REPORT-MAIN'!M:M)*('Partner data'!DG107='MY-REPORT-MAIN'!C:C),0),1),"NON è stato convalidato ancora nessun rendiconto")</f>
        <v>285</v>
      </c>
      <c r="DQ107" s="111">
        <f>IFERROR(INDEX('MY-REPORT-MAIN'!A:Z,MATCH('Partner data'!DP107,'MY-REPORT-MAIN'!A:A,0),21),"Nessun Rendiconto ancora convalidato")</f>
        <v>3452.02</v>
      </c>
      <c r="DR107" s="110">
        <f>INDEX('Interreg VI-A Italy-Slovenia_pr'!A:E,MATCH('Partner data'!C107,'Interreg VI-A Italy-Slovenia_pr'!A:A,0),3)</f>
        <v>45200</v>
      </c>
      <c r="DS107" s="118">
        <f t="shared" si="29"/>
        <v>9408</v>
      </c>
      <c r="DT107" s="118">
        <f t="shared" si="30"/>
        <v>18816</v>
      </c>
      <c r="DU107" s="118">
        <f t="shared" si="31"/>
        <v>44394</v>
      </c>
      <c r="DV107" s="118">
        <f t="shared" si="32"/>
        <v>69972</v>
      </c>
      <c r="DW107" s="118">
        <f t="shared" si="33"/>
        <v>69972</v>
      </c>
      <c r="DX107" s="118">
        <f t="shared" si="34"/>
        <v>69972</v>
      </c>
      <c r="DY107" s="118">
        <f t="shared" si="35"/>
        <v>69972</v>
      </c>
      <c r="DZ107" s="118">
        <f t="shared" si="36"/>
        <v>69972</v>
      </c>
      <c r="EA107" s="118">
        <f t="shared" si="37"/>
        <v>69972</v>
      </c>
      <c r="EB107" s="118">
        <f t="shared" si="38"/>
        <v>69972</v>
      </c>
    </row>
    <row r="108" spans="1:132" x14ac:dyDescent="0.25">
      <c r="A108" s="28">
        <v>1</v>
      </c>
      <c r="B108" s="29" t="s">
        <v>487</v>
      </c>
      <c r="C108" s="30" t="s">
        <v>2087</v>
      </c>
      <c r="D108" s="30" t="s">
        <v>357</v>
      </c>
      <c r="E108" s="30" t="s">
        <v>2088</v>
      </c>
      <c r="F108" s="30" t="s">
        <v>1118</v>
      </c>
      <c r="G108" s="30" t="s">
        <v>491</v>
      </c>
      <c r="H108" s="30" t="s">
        <v>691</v>
      </c>
      <c r="I108" s="30" t="s">
        <v>945</v>
      </c>
      <c r="J108" s="31" t="s">
        <v>494</v>
      </c>
      <c r="K108" s="31" t="s">
        <v>495</v>
      </c>
      <c r="L108" s="31" t="s">
        <v>496</v>
      </c>
      <c r="M108" s="31" t="s">
        <v>358</v>
      </c>
      <c r="N108" s="31" t="s">
        <v>2089</v>
      </c>
      <c r="O108" s="31" t="s">
        <v>2090</v>
      </c>
      <c r="P108" s="31" t="s">
        <v>254</v>
      </c>
      <c r="Q108" s="31" t="s">
        <v>540</v>
      </c>
      <c r="R108" s="31" t="s">
        <v>302</v>
      </c>
      <c r="S108" s="32">
        <v>159072.20000000001</v>
      </c>
      <c r="T108" s="32">
        <v>80</v>
      </c>
      <c r="U108" s="32">
        <v>27.53</v>
      </c>
      <c r="V108" s="32">
        <v>0</v>
      </c>
      <c r="W108" s="32">
        <v>0</v>
      </c>
      <c r="X108" s="32">
        <v>0</v>
      </c>
      <c r="Y108" s="32">
        <v>0</v>
      </c>
      <c r="Z108" s="32">
        <v>0</v>
      </c>
      <c r="AA108" s="32">
        <v>0</v>
      </c>
      <c r="AB108" s="32">
        <v>0</v>
      </c>
      <c r="AC108" s="32">
        <v>0</v>
      </c>
      <c r="AD108" s="32">
        <v>0</v>
      </c>
      <c r="AE108" s="32">
        <v>0</v>
      </c>
      <c r="AF108" s="32">
        <v>0</v>
      </c>
      <c r="AG108" s="32">
        <v>0</v>
      </c>
      <c r="AH108" s="32">
        <v>0</v>
      </c>
      <c r="AI108" s="32">
        <v>0</v>
      </c>
      <c r="AJ108" s="32">
        <v>0</v>
      </c>
      <c r="AK108" s="32">
        <v>0</v>
      </c>
      <c r="AL108" s="32">
        <v>0</v>
      </c>
      <c r="AM108" s="32">
        <v>0</v>
      </c>
      <c r="AN108" s="32">
        <v>0</v>
      </c>
      <c r="AO108" s="32">
        <v>39768.050000000003</v>
      </c>
      <c r="AP108" s="32">
        <v>0</v>
      </c>
      <c r="AQ108" s="32">
        <v>39768.050000000003</v>
      </c>
      <c r="AR108" s="32">
        <v>198840.25</v>
      </c>
      <c r="AS108" s="32">
        <v>27.53</v>
      </c>
      <c r="AT108" s="32">
        <v>72975</v>
      </c>
      <c r="AU108" s="32">
        <v>0</v>
      </c>
      <c r="AV108" s="32">
        <v>0</v>
      </c>
      <c r="AW108" s="32">
        <v>72975</v>
      </c>
      <c r="AX108" s="32">
        <v>10946.25</v>
      </c>
      <c r="AY108" s="32">
        <v>10946.25</v>
      </c>
      <c r="AZ108" s="32">
        <v>2919</v>
      </c>
      <c r="BA108" s="32">
        <v>2919</v>
      </c>
      <c r="BB108" s="32">
        <v>0</v>
      </c>
      <c r="BC108" s="32">
        <v>0</v>
      </c>
      <c r="BD108" s="32">
        <v>97200</v>
      </c>
      <c r="BE108" s="32">
        <v>97200</v>
      </c>
      <c r="BF108" s="32">
        <v>0</v>
      </c>
      <c r="BG108" s="32">
        <v>5800</v>
      </c>
      <c r="BH108" s="32">
        <v>5800</v>
      </c>
      <c r="BI108" s="32">
        <v>0</v>
      </c>
      <c r="BJ108" s="32">
        <v>0</v>
      </c>
      <c r="BK108" s="32">
        <v>0</v>
      </c>
      <c r="BL108" s="32">
        <v>0</v>
      </c>
      <c r="BM108" s="32">
        <v>0</v>
      </c>
      <c r="BN108" s="32">
        <v>0</v>
      </c>
      <c r="BO108" s="32">
        <v>9000</v>
      </c>
      <c r="BP108" s="32">
        <v>0</v>
      </c>
      <c r="BQ108" s="32">
        <v>53240.24</v>
      </c>
      <c r="BR108" s="32">
        <v>43083.63</v>
      </c>
      <c r="BS108" s="32">
        <v>53303.76</v>
      </c>
      <c r="BT108" s="32">
        <v>49212.62</v>
      </c>
      <c r="BU108" s="32">
        <v>0</v>
      </c>
      <c r="BV108" s="32">
        <v>0</v>
      </c>
      <c r="BW108" s="32">
        <v>0</v>
      </c>
      <c r="BX108" s="32">
        <v>0</v>
      </c>
      <c r="BY108" s="32">
        <v>0</v>
      </c>
      <c r="BZ108" s="32">
        <v>0</v>
      </c>
      <c r="CA108" s="32">
        <v>0</v>
      </c>
      <c r="CB108" s="33" t="s">
        <v>2091</v>
      </c>
      <c r="CC108" s="33" t="s">
        <v>743</v>
      </c>
      <c r="CD108" s="33"/>
      <c r="CE108" s="33" t="s">
        <v>684</v>
      </c>
      <c r="CF108" s="33" t="s">
        <v>597</v>
      </c>
      <c r="CG108" s="33" t="s">
        <v>2092</v>
      </c>
      <c r="CH108" s="33" t="s">
        <v>526</v>
      </c>
      <c r="CI108" s="33" t="s">
        <v>212</v>
      </c>
      <c r="CJ108" s="33" t="s">
        <v>212</v>
      </c>
      <c r="CK108" s="33" t="s">
        <v>2093</v>
      </c>
      <c r="CL108" s="33" t="s">
        <v>212</v>
      </c>
      <c r="CM108" s="33"/>
      <c r="CN108" s="33" t="s">
        <v>254</v>
      </c>
      <c r="CO108" s="33" t="s">
        <v>302</v>
      </c>
      <c r="CP108" s="33" t="s">
        <v>2094</v>
      </c>
      <c r="CQ108" s="33" t="s">
        <v>2095</v>
      </c>
      <c r="CR108" s="33" t="s">
        <v>2096</v>
      </c>
      <c r="CS108" s="33" t="s">
        <v>2097</v>
      </c>
      <c r="CT108" s="33" t="s">
        <v>254</v>
      </c>
      <c r="CU108" s="33" t="s">
        <v>302</v>
      </c>
      <c r="CV108" s="33" t="s">
        <v>2094</v>
      </c>
      <c r="CW108" s="33" t="s">
        <v>2095</v>
      </c>
      <c r="CX108" s="33" t="s">
        <v>2096</v>
      </c>
      <c r="CY108" s="33" t="s">
        <v>2032</v>
      </c>
      <c r="CZ108" s="33" t="s">
        <v>2098</v>
      </c>
      <c r="DA108" s="33" t="s">
        <v>2099</v>
      </c>
      <c r="DB108" s="33" t="s">
        <v>513</v>
      </c>
      <c r="DC108" s="33" t="s">
        <v>1692</v>
      </c>
      <c r="DD108" s="33" t="s">
        <v>2100</v>
      </c>
      <c r="DE108" s="33" t="s">
        <v>2101</v>
      </c>
      <c r="DF108" s="34" t="s">
        <v>2102</v>
      </c>
      <c r="DG108" s="27" cm="1">
        <f t="array" ref="DG108">INDEX('elenco partner'!A:M,MATCH(1,(D108='elenco partner'!A:A)*('Partner data'!M108='elenco partner'!E:E),0),4)</f>
        <v>160</v>
      </c>
      <c r="DH108" s="83" t="str">
        <f t="shared" si="45"/>
        <v>Costo Unitario Standard</v>
      </c>
      <c r="DI108" s="20">
        <f>COUNTIFS('MY-REPORT-MAIN'!C:C,'Partner data'!DG108,'MY-REPORT-MAIN'!I:I,"Certified")</f>
        <v>1</v>
      </c>
      <c r="DJ108" s="20">
        <f>COUNTIFS(List_Of_chek_list!M:M,"&lt;&gt;26",List_Of_chek_list!B:B,'Partner data'!DG108)</f>
        <v>1</v>
      </c>
      <c r="DK108" s="20">
        <f t="shared" si="46"/>
        <v>0</v>
      </c>
      <c r="DL108" s="19" t="str">
        <f>IF(DH108="Tasso Forfettario 20%",SUMIFS(List_Of_chek_list!#REF!,List_Of_chek_list!B:B,'Partner data'!DG108),"NON PERTINENTE")</f>
        <v>NON PERTINENTE</v>
      </c>
      <c r="DM108" s="19" t="str">
        <f t="shared" si="47"/>
        <v>NON PERTINENTE</v>
      </c>
      <c r="DN108" s="110">
        <f>_xlfn.MAXIFS('MY-REPORT-MAIN'!K:K,'MY-REPORT-MAIN'!C:C,DG108)</f>
        <v>45379.482768437498</v>
      </c>
      <c r="DO108" s="112">
        <f>IF(_xlfn.MAXIFS('MY-REPORT-MAIN'!M:M,'MY-REPORT-MAIN'!C:C,DG108)=0,"Nessun rendiconto  Convalidato",_xlfn.MAXIFS('MY-REPORT-MAIN'!M:M,'MY-REPORT-MAIN'!C:C,DG108))</f>
        <v>45443.679385925927</v>
      </c>
      <c r="DP108" s="113" cm="1">
        <f t="array" ref="DP108">IFERROR(INDEX('MY-REPORT-MAIN'!A:Z,MATCH(1,(DO108='MY-REPORT-MAIN'!M:M)*('Partner data'!DG108='MY-REPORT-MAIN'!C:C),0),1),"NON è stato convalidato ancora nessun rendiconto")</f>
        <v>225</v>
      </c>
      <c r="DQ108" s="111">
        <f>IFERROR(INDEX('MY-REPORT-MAIN'!A:Z,MATCH('Partner data'!DP108,'MY-REPORT-MAIN'!A:A,0),21),"Nessun Rendiconto ancora convalidato")</f>
        <v>21305.79</v>
      </c>
      <c r="DR108" s="110">
        <f>INDEX('Interreg VI-A Italy-Slovenia_pr'!A:E,MATCH('Partner data'!C108,'Interreg VI-A Italy-Slovenia_pr'!A:A,0),3)</f>
        <v>45170</v>
      </c>
      <c r="DS108" s="118">
        <f t="shared" si="29"/>
        <v>53240.24</v>
      </c>
      <c r="DT108" s="118">
        <f t="shared" si="30"/>
        <v>96323.87</v>
      </c>
      <c r="DU108" s="118">
        <f t="shared" si="31"/>
        <v>149627.63</v>
      </c>
      <c r="DV108" s="118">
        <f t="shared" si="32"/>
        <v>198840.25</v>
      </c>
      <c r="DW108" s="118">
        <f t="shared" si="33"/>
        <v>198840.25</v>
      </c>
      <c r="DX108" s="118">
        <f t="shared" si="34"/>
        <v>198840.25</v>
      </c>
      <c r="DY108" s="118">
        <f t="shared" si="35"/>
        <v>198840.25</v>
      </c>
      <c r="DZ108" s="118">
        <f t="shared" si="36"/>
        <v>198840.25</v>
      </c>
      <c r="EA108" s="118">
        <f t="shared" si="37"/>
        <v>198840.25</v>
      </c>
      <c r="EB108" s="118">
        <f t="shared" si="38"/>
        <v>198840.25</v>
      </c>
    </row>
    <row r="109" spans="1:132" x14ac:dyDescent="0.25">
      <c r="A109" s="28">
        <v>1</v>
      </c>
      <c r="B109" s="29" t="s">
        <v>487</v>
      </c>
      <c r="C109" s="30" t="s">
        <v>2087</v>
      </c>
      <c r="D109" s="30" t="s">
        <v>357</v>
      </c>
      <c r="E109" s="30" t="s">
        <v>2088</v>
      </c>
      <c r="F109" s="30" t="s">
        <v>1118</v>
      </c>
      <c r="G109" s="30" t="s">
        <v>491</v>
      </c>
      <c r="H109" s="30" t="s">
        <v>691</v>
      </c>
      <c r="I109" s="30" t="s">
        <v>945</v>
      </c>
      <c r="J109" s="31" t="s">
        <v>518</v>
      </c>
      <c r="K109" s="31" t="s">
        <v>495</v>
      </c>
      <c r="L109" s="31" t="s">
        <v>519</v>
      </c>
      <c r="M109" s="31" t="s">
        <v>359</v>
      </c>
      <c r="N109" s="31" t="s">
        <v>2103</v>
      </c>
      <c r="O109" s="31" t="s">
        <v>2104</v>
      </c>
      <c r="P109" s="31" t="s">
        <v>254</v>
      </c>
      <c r="Q109" s="31" t="s">
        <v>499</v>
      </c>
      <c r="R109" s="31" t="s">
        <v>265</v>
      </c>
      <c r="S109" s="32">
        <v>126810.24000000001</v>
      </c>
      <c r="T109" s="32">
        <v>80</v>
      </c>
      <c r="U109" s="32">
        <v>21.95</v>
      </c>
      <c r="V109" s="32">
        <v>0</v>
      </c>
      <c r="W109" s="32">
        <v>0</v>
      </c>
      <c r="X109" s="32">
        <v>0</v>
      </c>
      <c r="Y109" s="32">
        <v>0</v>
      </c>
      <c r="Z109" s="32">
        <v>0</v>
      </c>
      <c r="AA109" s="32">
        <v>0</v>
      </c>
      <c r="AB109" s="32">
        <v>0</v>
      </c>
      <c r="AC109" s="32">
        <v>0</v>
      </c>
      <c r="AD109" s="32">
        <v>0</v>
      </c>
      <c r="AE109" s="32">
        <v>0</v>
      </c>
      <c r="AF109" s="32">
        <v>0</v>
      </c>
      <c r="AG109" s="32">
        <v>0</v>
      </c>
      <c r="AH109" s="32">
        <v>0</v>
      </c>
      <c r="AI109" s="32">
        <v>0</v>
      </c>
      <c r="AJ109" s="32">
        <v>0</v>
      </c>
      <c r="AK109" s="32">
        <v>0</v>
      </c>
      <c r="AL109" s="32">
        <v>0</v>
      </c>
      <c r="AM109" s="32">
        <v>0</v>
      </c>
      <c r="AN109" s="32">
        <v>0</v>
      </c>
      <c r="AO109" s="32">
        <v>31702.560000000001</v>
      </c>
      <c r="AP109" s="32">
        <v>0</v>
      </c>
      <c r="AQ109" s="32">
        <v>31702.560000000001</v>
      </c>
      <c r="AR109" s="32">
        <v>158512.79999999999</v>
      </c>
      <c r="AS109" s="32">
        <v>21.95</v>
      </c>
      <c r="AT109" s="32">
        <v>55350</v>
      </c>
      <c r="AU109" s="32">
        <v>0</v>
      </c>
      <c r="AV109" s="32">
        <v>55350</v>
      </c>
      <c r="AW109" s="32">
        <v>0</v>
      </c>
      <c r="AX109" s="32">
        <v>8302.5</v>
      </c>
      <c r="AY109" s="32">
        <v>8302.5</v>
      </c>
      <c r="AZ109" s="32">
        <v>2214</v>
      </c>
      <c r="BA109" s="32">
        <v>2214</v>
      </c>
      <c r="BB109" s="32">
        <v>0</v>
      </c>
      <c r="BC109" s="32">
        <v>0</v>
      </c>
      <c r="BD109" s="32">
        <v>87746.3</v>
      </c>
      <c r="BE109" s="32">
        <v>87746.3</v>
      </c>
      <c r="BF109" s="32">
        <v>0</v>
      </c>
      <c r="BG109" s="32">
        <v>4900</v>
      </c>
      <c r="BH109" s="32">
        <v>4900</v>
      </c>
      <c r="BI109" s="32">
        <v>0</v>
      </c>
      <c r="BJ109" s="32">
        <v>0</v>
      </c>
      <c r="BK109" s="32">
        <v>0</v>
      </c>
      <c r="BL109" s="32">
        <v>0</v>
      </c>
      <c r="BM109" s="32">
        <v>0</v>
      </c>
      <c r="BN109" s="32">
        <v>0</v>
      </c>
      <c r="BO109" s="32">
        <v>0</v>
      </c>
      <c r="BP109" s="32">
        <v>0</v>
      </c>
      <c r="BQ109" s="32">
        <v>35063.370000000003</v>
      </c>
      <c r="BR109" s="32">
        <v>39406.32</v>
      </c>
      <c r="BS109" s="32">
        <v>42792.480000000003</v>
      </c>
      <c r="BT109" s="32">
        <v>41250.629999999997</v>
      </c>
      <c r="BU109" s="32">
        <v>0</v>
      </c>
      <c r="BV109" s="32">
        <v>0</v>
      </c>
      <c r="BW109" s="32">
        <v>0</v>
      </c>
      <c r="BX109" s="32">
        <v>0</v>
      </c>
      <c r="BY109" s="32">
        <v>0</v>
      </c>
      <c r="BZ109" s="32">
        <v>0</v>
      </c>
      <c r="CA109" s="32">
        <v>0</v>
      </c>
      <c r="CB109" s="33" t="s">
        <v>2105</v>
      </c>
      <c r="CC109" s="33" t="s">
        <v>500</v>
      </c>
      <c r="CD109" s="33"/>
      <c r="CE109" s="33" t="s">
        <v>684</v>
      </c>
      <c r="CF109" s="33" t="s">
        <v>707</v>
      </c>
      <c r="CG109" s="33" t="s">
        <v>2106</v>
      </c>
      <c r="CH109" s="33" t="s">
        <v>504</v>
      </c>
      <c r="CI109" s="33"/>
      <c r="CJ109" s="33" t="s">
        <v>212</v>
      </c>
      <c r="CK109" s="33"/>
      <c r="CL109" s="33" t="s">
        <v>212</v>
      </c>
      <c r="CM109" s="33"/>
      <c r="CN109" s="33" t="s">
        <v>254</v>
      </c>
      <c r="CO109" s="33" t="s">
        <v>265</v>
      </c>
      <c r="CP109" s="33" t="s">
        <v>2107</v>
      </c>
      <c r="CQ109" s="33" t="s">
        <v>507</v>
      </c>
      <c r="CR109" s="33" t="s">
        <v>508</v>
      </c>
      <c r="CS109" s="33" t="s">
        <v>2108</v>
      </c>
      <c r="CT109" s="33" t="s">
        <v>254</v>
      </c>
      <c r="CU109" s="33" t="s">
        <v>265</v>
      </c>
      <c r="CV109" s="33" t="s">
        <v>2109</v>
      </c>
      <c r="CW109" s="33" t="s">
        <v>507</v>
      </c>
      <c r="CX109" s="33" t="s">
        <v>508</v>
      </c>
      <c r="CY109" s="33" t="s">
        <v>622</v>
      </c>
      <c r="CZ109" s="33" t="s">
        <v>2110</v>
      </c>
      <c r="DA109" s="33" t="s">
        <v>2111</v>
      </c>
      <c r="DB109" s="33" t="s">
        <v>622</v>
      </c>
      <c r="DC109" s="33" t="s">
        <v>2112</v>
      </c>
      <c r="DD109" s="33" t="s">
        <v>2113</v>
      </c>
      <c r="DE109" s="33" t="s">
        <v>2114</v>
      </c>
      <c r="DF109" s="34" t="s">
        <v>2115</v>
      </c>
      <c r="DG109" s="27" cm="1">
        <f t="array" ref="DG109">INDEX('elenco partner'!A:M,MATCH(1,(D109='elenco partner'!A:A)*('Partner data'!M109='elenco partner'!E:E),0),4)</f>
        <v>161</v>
      </c>
      <c r="DH109" s="83" t="str">
        <f t="shared" si="45"/>
        <v>COSTO REALE</v>
      </c>
      <c r="DI109" s="20">
        <f>COUNTIFS('MY-REPORT-MAIN'!C:C,'Partner data'!DG109,'MY-REPORT-MAIN'!I:I,"Certified")</f>
        <v>1</v>
      </c>
      <c r="DJ109" s="20">
        <f>COUNTIFS(List_Of_chek_list!M:M,"&lt;&gt;26",List_Of_chek_list!B:B,'Partner data'!DG109)</f>
        <v>0</v>
      </c>
      <c r="DK109" s="20">
        <f t="shared" si="46"/>
        <v>1</v>
      </c>
      <c r="DL109" s="19" t="str">
        <f>IF(DH109="Tasso Forfettario 20%",SUMIFS(List_Of_chek_list!#REF!,List_Of_chek_list!B:B,'Partner data'!DG109),"NON PERTINENTE")</f>
        <v>NON PERTINENTE</v>
      </c>
      <c r="DM109" s="19" t="str">
        <f t="shared" si="47"/>
        <v>NON PERTINENTE</v>
      </c>
      <c r="DN109" s="110">
        <f>_xlfn.MAXIFS('MY-REPORT-MAIN'!K:K,'MY-REPORT-MAIN'!C:C,DG109)</f>
        <v>45380.729249039352</v>
      </c>
      <c r="DO109" s="112">
        <f>IF(_xlfn.MAXIFS('MY-REPORT-MAIN'!M:M,'MY-REPORT-MAIN'!C:C,DG109)=0,"Nessun rendiconto  Convalidato",_xlfn.MAXIFS('MY-REPORT-MAIN'!M:M,'MY-REPORT-MAIN'!C:C,DG109))</f>
        <v>45477.699232569445</v>
      </c>
      <c r="DP109" s="113" cm="1">
        <f t="array" ref="DP109">IFERROR(INDEX('MY-REPORT-MAIN'!A:Z,MATCH(1,(DO109='MY-REPORT-MAIN'!M:M)*('Partner data'!DG109='MY-REPORT-MAIN'!C:C),0),1),"NON è stato convalidato ancora nessun rendiconto")</f>
        <v>315</v>
      </c>
      <c r="DQ109" s="111">
        <f>IFERROR(INDEX('MY-REPORT-MAIN'!A:Z,MATCH('Partner data'!DP109,'MY-REPORT-MAIN'!A:A,0),21),"Nessun Rendiconto ancora convalidato")</f>
        <v>17006.39</v>
      </c>
      <c r="DR109" s="110">
        <f>INDEX('Interreg VI-A Italy-Slovenia_pr'!A:E,MATCH('Partner data'!C109,'Interreg VI-A Italy-Slovenia_pr'!A:A,0),3)</f>
        <v>45170</v>
      </c>
      <c r="DS109" s="118">
        <f t="shared" si="29"/>
        <v>35063.370000000003</v>
      </c>
      <c r="DT109" s="118">
        <f t="shared" si="30"/>
        <v>74469.69</v>
      </c>
      <c r="DU109" s="118">
        <f t="shared" si="31"/>
        <v>117262.17000000001</v>
      </c>
      <c r="DV109" s="118">
        <f t="shared" si="32"/>
        <v>158512.80000000002</v>
      </c>
      <c r="DW109" s="118">
        <f t="shared" si="33"/>
        <v>158512.80000000002</v>
      </c>
      <c r="DX109" s="118">
        <f t="shared" si="34"/>
        <v>158512.80000000002</v>
      </c>
      <c r="DY109" s="118">
        <f t="shared" si="35"/>
        <v>158512.80000000002</v>
      </c>
      <c r="DZ109" s="118">
        <f t="shared" si="36"/>
        <v>158512.80000000002</v>
      </c>
      <c r="EA109" s="118">
        <f t="shared" si="37"/>
        <v>158512.80000000002</v>
      </c>
      <c r="EB109" s="118">
        <f t="shared" si="38"/>
        <v>158512.80000000002</v>
      </c>
    </row>
    <row r="110" spans="1:132" x14ac:dyDescent="0.25">
      <c r="A110" s="28">
        <v>1</v>
      </c>
      <c r="B110" s="29" t="s">
        <v>487</v>
      </c>
      <c r="C110" s="30" t="s">
        <v>2087</v>
      </c>
      <c r="D110" s="30" t="s">
        <v>357</v>
      </c>
      <c r="E110" s="30" t="s">
        <v>2088</v>
      </c>
      <c r="F110" s="30" t="s">
        <v>1118</v>
      </c>
      <c r="G110" s="30" t="s">
        <v>491</v>
      </c>
      <c r="H110" s="30" t="s">
        <v>691</v>
      </c>
      <c r="I110" s="30" t="s">
        <v>945</v>
      </c>
      <c r="J110" s="31" t="s">
        <v>538</v>
      </c>
      <c r="K110" s="31" t="s">
        <v>495</v>
      </c>
      <c r="L110" s="31" t="s">
        <v>519</v>
      </c>
      <c r="M110" s="31" t="s">
        <v>56</v>
      </c>
      <c r="N110" s="31" t="s">
        <v>1487</v>
      </c>
      <c r="O110" s="31" t="s">
        <v>2116</v>
      </c>
      <c r="P110" s="31" t="s">
        <v>257</v>
      </c>
      <c r="Q110" s="31" t="s">
        <v>556</v>
      </c>
      <c r="R110" s="31" t="s">
        <v>258</v>
      </c>
      <c r="S110" s="32">
        <v>87360</v>
      </c>
      <c r="T110" s="32">
        <v>80</v>
      </c>
      <c r="U110" s="32">
        <v>15.12</v>
      </c>
      <c r="V110" s="32">
        <v>0</v>
      </c>
      <c r="W110" s="32">
        <v>0</v>
      </c>
      <c r="X110" s="32">
        <v>0</v>
      </c>
      <c r="Y110" s="32">
        <v>0</v>
      </c>
      <c r="Z110" s="32">
        <v>0</v>
      </c>
      <c r="AA110" s="32">
        <v>0</v>
      </c>
      <c r="AB110" s="32">
        <v>0</v>
      </c>
      <c r="AC110" s="32">
        <v>0</v>
      </c>
      <c r="AD110" s="32">
        <v>0</v>
      </c>
      <c r="AE110" s="32">
        <v>0</v>
      </c>
      <c r="AF110" s="32">
        <v>0</v>
      </c>
      <c r="AG110" s="32">
        <v>0</v>
      </c>
      <c r="AH110" s="32">
        <v>0</v>
      </c>
      <c r="AI110" s="32">
        <v>0</v>
      </c>
      <c r="AJ110" s="32">
        <v>0</v>
      </c>
      <c r="AK110" s="32">
        <v>0</v>
      </c>
      <c r="AL110" s="32">
        <v>0</v>
      </c>
      <c r="AM110" s="32">
        <v>0</v>
      </c>
      <c r="AN110" s="32">
        <v>21840</v>
      </c>
      <c r="AO110" s="32">
        <v>0</v>
      </c>
      <c r="AP110" s="32">
        <v>0</v>
      </c>
      <c r="AQ110" s="32">
        <v>21840</v>
      </c>
      <c r="AR110" s="32">
        <v>109200</v>
      </c>
      <c r="AS110" s="32">
        <v>15.12</v>
      </c>
      <c r="AT110" s="32">
        <v>78000</v>
      </c>
      <c r="AU110" s="32">
        <v>0</v>
      </c>
      <c r="AV110" s="32">
        <v>78000</v>
      </c>
      <c r="AW110" s="32">
        <v>0</v>
      </c>
      <c r="AX110" s="32">
        <v>0</v>
      </c>
      <c r="AY110" s="32">
        <v>0</v>
      </c>
      <c r="AZ110" s="32">
        <v>0</v>
      </c>
      <c r="BA110" s="32">
        <v>0</v>
      </c>
      <c r="BB110" s="32">
        <v>0</v>
      </c>
      <c r="BC110" s="32">
        <v>0</v>
      </c>
      <c r="BD110" s="32">
        <v>0</v>
      </c>
      <c r="BE110" s="32">
        <v>0</v>
      </c>
      <c r="BF110" s="32">
        <v>0</v>
      </c>
      <c r="BG110" s="32">
        <v>0</v>
      </c>
      <c r="BH110" s="32">
        <v>0</v>
      </c>
      <c r="BI110" s="32">
        <v>0</v>
      </c>
      <c r="BJ110" s="32">
        <v>0</v>
      </c>
      <c r="BK110" s="32">
        <v>0</v>
      </c>
      <c r="BL110" s="32">
        <v>0</v>
      </c>
      <c r="BM110" s="32">
        <v>31200</v>
      </c>
      <c r="BN110" s="32">
        <v>0</v>
      </c>
      <c r="BO110" s="32">
        <v>0</v>
      </c>
      <c r="BP110" s="32">
        <v>0</v>
      </c>
      <c r="BQ110" s="32">
        <v>27300</v>
      </c>
      <c r="BR110" s="32">
        <v>27300</v>
      </c>
      <c r="BS110" s="32">
        <v>27300</v>
      </c>
      <c r="BT110" s="32">
        <v>27300</v>
      </c>
      <c r="BU110" s="32">
        <v>0</v>
      </c>
      <c r="BV110" s="32">
        <v>0</v>
      </c>
      <c r="BW110" s="32">
        <v>0</v>
      </c>
      <c r="BX110" s="32">
        <v>0</v>
      </c>
      <c r="BY110" s="32">
        <v>0</v>
      </c>
      <c r="BZ110" s="32">
        <v>0</v>
      </c>
      <c r="CA110" s="32">
        <v>0</v>
      </c>
      <c r="CB110" s="33" t="s">
        <v>2117</v>
      </c>
      <c r="CC110" s="33" t="s">
        <v>949</v>
      </c>
      <c r="CD110" s="33"/>
      <c r="CE110" s="33" t="s">
        <v>523</v>
      </c>
      <c r="CF110" s="33"/>
      <c r="CG110" s="33" t="s">
        <v>1488</v>
      </c>
      <c r="CH110" s="33" t="s">
        <v>526</v>
      </c>
      <c r="CI110" s="33"/>
      <c r="CJ110" s="33" t="s">
        <v>212</v>
      </c>
      <c r="CK110" s="33" t="s">
        <v>1489</v>
      </c>
      <c r="CL110" s="33" t="s">
        <v>212</v>
      </c>
      <c r="CM110" s="33"/>
      <c r="CN110" s="33" t="s">
        <v>257</v>
      </c>
      <c r="CO110" s="33" t="s">
        <v>258</v>
      </c>
      <c r="CP110" s="33" t="s">
        <v>2118</v>
      </c>
      <c r="CQ110" s="33" t="s">
        <v>620</v>
      </c>
      <c r="CR110" s="33" t="s">
        <v>621</v>
      </c>
      <c r="CS110" s="33" t="s">
        <v>2119</v>
      </c>
      <c r="CT110" s="33" t="s">
        <v>257</v>
      </c>
      <c r="CU110" s="33" t="s">
        <v>258</v>
      </c>
      <c r="CV110" s="33" t="s">
        <v>952</v>
      </c>
      <c r="CW110" s="33" t="s">
        <v>620</v>
      </c>
      <c r="CX110" s="33" t="s">
        <v>621</v>
      </c>
      <c r="CY110" s="33" t="s">
        <v>1077</v>
      </c>
      <c r="CZ110" s="33" t="s">
        <v>835</v>
      </c>
      <c r="DA110" s="33" t="s">
        <v>958</v>
      </c>
      <c r="DB110" s="33" t="s">
        <v>2120</v>
      </c>
      <c r="DC110" s="33" t="s">
        <v>2121</v>
      </c>
      <c r="DD110" s="33" t="s">
        <v>2122</v>
      </c>
      <c r="DE110" s="33" t="s">
        <v>2123</v>
      </c>
      <c r="DF110" s="34" t="s">
        <v>2124</v>
      </c>
      <c r="DG110" s="27" cm="1">
        <f t="array" ref="DG110">INDEX('elenco partner'!A:M,MATCH(1,(D110='elenco partner'!A:A)*('Partner data'!M110='elenco partner'!E:E),0),4)</f>
        <v>209</v>
      </c>
      <c r="DH110" s="83" t="str">
        <f t="shared" si="45"/>
        <v>COSTO REALE</v>
      </c>
      <c r="DI110" s="20">
        <f>COUNTIFS('MY-REPORT-MAIN'!C:C,'Partner data'!DG110,'MY-REPORT-MAIN'!I:I,"Certified")</f>
        <v>1</v>
      </c>
      <c r="DJ110" s="20">
        <f>COUNTIFS(List_Of_chek_list!M:M,"&lt;&gt;26",List_Of_chek_list!B:B,'Partner data'!DG110)</f>
        <v>1</v>
      </c>
      <c r="DK110" s="20">
        <f t="shared" si="46"/>
        <v>0</v>
      </c>
      <c r="DL110" s="19" t="str">
        <f>IF(DH110="Tasso Forfettario 20%",SUMIFS(List_Of_chek_list!#REF!,List_Of_chek_list!B:B,'Partner data'!DG110),"NON PERTINENTE")</f>
        <v>NON PERTINENTE</v>
      </c>
      <c r="DM110" s="19" t="str">
        <f t="shared" si="47"/>
        <v>NON PERTINENTE</v>
      </c>
      <c r="DN110" s="110">
        <f>_xlfn.MAXIFS('MY-REPORT-MAIN'!K:K,'MY-REPORT-MAIN'!C:C,DG110)</f>
        <v>45380.559290914352</v>
      </c>
      <c r="DO110" s="112">
        <f>IF(_xlfn.MAXIFS('MY-REPORT-MAIN'!M:M,'MY-REPORT-MAIN'!C:C,DG110)=0,"Nessun rendiconto  Convalidato",_xlfn.MAXIFS('MY-REPORT-MAIN'!M:M,'MY-REPORT-MAIN'!C:C,DG110))</f>
        <v>45453.597967569447</v>
      </c>
      <c r="DP110" s="113" cm="1">
        <f t="array" ref="DP110">IFERROR(INDEX('MY-REPORT-MAIN'!A:Z,MATCH(1,(DO110='MY-REPORT-MAIN'!M:M)*('Partner data'!DG110='MY-REPORT-MAIN'!C:C),0),1),"NON è stato convalidato ancora nessun rendiconto")</f>
        <v>257</v>
      </c>
      <c r="DQ110" s="111">
        <f>IFERROR(INDEX('MY-REPORT-MAIN'!A:Z,MATCH('Partner data'!DP110,'MY-REPORT-MAIN'!A:A,0),21),"Nessun Rendiconto ancora convalidato")</f>
        <v>19044.919999999998</v>
      </c>
      <c r="DR110" s="110">
        <f>INDEX('Interreg VI-A Italy-Slovenia_pr'!A:E,MATCH('Partner data'!C110,'Interreg VI-A Italy-Slovenia_pr'!A:A,0),3)</f>
        <v>45170</v>
      </c>
      <c r="DS110" s="118">
        <f t="shared" si="29"/>
        <v>27300</v>
      </c>
      <c r="DT110" s="118">
        <f t="shared" si="30"/>
        <v>54600</v>
      </c>
      <c r="DU110" s="118">
        <f t="shared" si="31"/>
        <v>81900</v>
      </c>
      <c r="DV110" s="118">
        <f t="shared" si="32"/>
        <v>109200</v>
      </c>
      <c r="DW110" s="118">
        <f t="shared" si="33"/>
        <v>109200</v>
      </c>
      <c r="DX110" s="118">
        <f t="shared" si="34"/>
        <v>109200</v>
      </c>
      <c r="DY110" s="118">
        <f t="shared" si="35"/>
        <v>109200</v>
      </c>
      <c r="DZ110" s="118">
        <f t="shared" si="36"/>
        <v>109200</v>
      </c>
      <c r="EA110" s="118">
        <f t="shared" si="37"/>
        <v>109200</v>
      </c>
      <c r="EB110" s="118">
        <f t="shared" si="38"/>
        <v>109200</v>
      </c>
    </row>
    <row r="111" spans="1:132" x14ac:dyDescent="0.25">
      <c r="A111" s="28">
        <v>1</v>
      </c>
      <c r="B111" s="29" t="s">
        <v>487</v>
      </c>
      <c r="C111" s="30" t="s">
        <v>2087</v>
      </c>
      <c r="D111" s="30" t="s">
        <v>357</v>
      </c>
      <c r="E111" s="30" t="s">
        <v>2088</v>
      </c>
      <c r="F111" s="30" t="s">
        <v>1118</v>
      </c>
      <c r="G111" s="30" t="s">
        <v>491</v>
      </c>
      <c r="H111" s="30" t="s">
        <v>691</v>
      </c>
      <c r="I111" s="30" t="s">
        <v>945</v>
      </c>
      <c r="J111" s="31" t="s">
        <v>554</v>
      </c>
      <c r="K111" s="31" t="s">
        <v>495</v>
      </c>
      <c r="L111" s="31" t="s">
        <v>519</v>
      </c>
      <c r="M111" s="31" t="s">
        <v>320</v>
      </c>
      <c r="N111" s="31" t="s">
        <v>1553</v>
      </c>
      <c r="O111" s="31" t="s">
        <v>1554</v>
      </c>
      <c r="P111" s="31" t="s">
        <v>257</v>
      </c>
      <c r="Q111" s="31" t="s">
        <v>556</v>
      </c>
      <c r="R111" s="31" t="s">
        <v>269</v>
      </c>
      <c r="S111" s="32">
        <v>101337.60000000001</v>
      </c>
      <c r="T111" s="32">
        <v>80</v>
      </c>
      <c r="U111" s="32">
        <v>17.54</v>
      </c>
      <c r="V111" s="32">
        <v>0</v>
      </c>
      <c r="W111" s="32">
        <v>0</v>
      </c>
      <c r="X111" s="32">
        <v>0</v>
      </c>
      <c r="Y111" s="32">
        <v>0</v>
      </c>
      <c r="Z111" s="32">
        <v>0</v>
      </c>
      <c r="AA111" s="32">
        <v>0</v>
      </c>
      <c r="AB111" s="32">
        <v>0</v>
      </c>
      <c r="AC111" s="32">
        <v>0</v>
      </c>
      <c r="AD111" s="32">
        <v>0</v>
      </c>
      <c r="AE111" s="32">
        <v>0</v>
      </c>
      <c r="AF111" s="32">
        <v>0</v>
      </c>
      <c r="AG111" s="32">
        <v>0</v>
      </c>
      <c r="AH111" s="32">
        <v>0</v>
      </c>
      <c r="AI111" s="32">
        <v>0</v>
      </c>
      <c r="AJ111" s="32">
        <v>0</v>
      </c>
      <c r="AK111" s="32">
        <v>0</v>
      </c>
      <c r="AL111" s="32">
        <v>0</v>
      </c>
      <c r="AM111" s="32">
        <v>0</v>
      </c>
      <c r="AN111" s="32">
        <v>25334.400000000001</v>
      </c>
      <c r="AO111" s="32">
        <v>0</v>
      </c>
      <c r="AP111" s="32">
        <v>0</v>
      </c>
      <c r="AQ111" s="32">
        <v>25334.400000000001</v>
      </c>
      <c r="AR111" s="32">
        <v>126672</v>
      </c>
      <c r="AS111" s="32">
        <v>17.54</v>
      </c>
      <c r="AT111" s="32">
        <v>90480</v>
      </c>
      <c r="AU111" s="32">
        <v>0</v>
      </c>
      <c r="AV111" s="32">
        <v>90480</v>
      </c>
      <c r="AW111" s="32">
        <v>0</v>
      </c>
      <c r="AX111" s="32">
        <v>0</v>
      </c>
      <c r="AY111" s="32">
        <v>0</v>
      </c>
      <c r="AZ111" s="32">
        <v>0</v>
      </c>
      <c r="BA111" s="32">
        <v>0</v>
      </c>
      <c r="BB111" s="32">
        <v>0</v>
      </c>
      <c r="BC111" s="32">
        <v>0</v>
      </c>
      <c r="BD111" s="32">
        <v>0</v>
      </c>
      <c r="BE111" s="32">
        <v>0</v>
      </c>
      <c r="BF111" s="32">
        <v>0</v>
      </c>
      <c r="BG111" s="32">
        <v>0</v>
      </c>
      <c r="BH111" s="32">
        <v>0</v>
      </c>
      <c r="BI111" s="32">
        <v>0</v>
      </c>
      <c r="BJ111" s="32">
        <v>0</v>
      </c>
      <c r="BK111" s="32">
        <v>0</v>
      </c>
      <c r="BL111" s="32">
        <v>0</v>
      </c>
      <c r="BM111" s="32">
        <v>36192</v>
      </c>
      <c r="BN111" s="32">
        <v>0</v>
      </c>
      <c r="BO111" s="32">
        <v>0</v>
      </c>
      <c r="BP111" s="32">
        <v>0</v>
      </c>
      <c r="BQ111" s="32">
        <v>31668</v>
      </c>
      <c r="BR111" s="32">
        <v>31668</v>
      </c>
      <c r="BS111" s="32">
        <v>31668</v>
      </c>
      <c r="BT111" s="32">
        <v>31668</v>
      </c>
      <c r="BU111" s="32">
        <v>0</v>
      </c>
      <c r="BV111" s="32">
        <v>0</v>
      </c>
      <c r="BW111" s="32">
        <v>0</v>
      </c>
      <c r="BX111" s="32">
        <v>0</v>
      </c>
      <c r="BY111" s="32">
        <v>0</v>
      </c>
      <c r="BZ111" s="32">
        <v>0</v>
      </c>
      <c r="CA111" s="32">
        <v>0</v>
      </c>
      <c r="CB111" s="33" t="s">
        <v>1382</v>
      </c>
      <c r="CC111" s="33" t="s">
        <v>606</v>
      </c>
      <c r="CD111" s="33" t="s">
        <v>706</v>
      </c>
      <c r="CE111" s="33" t="s">
        <v>684</v>
      </c>
      <c r="CF111" s="33" t="s">
        <v>685</v>
      </c>
      <c r="CG111" s="33" t="s">
        <v>1555</v>
      </c>
      <c r="CH111" s="33" t="s">
        <v>526</v>
      </c>
      <c r="CI111" s="33"/>
      <c r="CJ111" s="33" t="s">
        <v>212</v>
      </c>
      <c r="CK111" s="33" t="s">
        <v>1556</v>
      </c>
      <c r="CL111" s="33" t="s">
        <v>212</v>
      </c>
      <c r="CM111" s="33"/>
      <c r="CN111" s="33" t="s">
        <v>257</v>
      </c>
      <c r="CO111" s="33" t="s">
        <v>269</v>
      </c>
      <c r="CP111" s="33" t="s">
        <v>1557</v>
      </c>
      <c r="CQ111" s="33" t="s">
        <v>1208</v>
      </c>
      <c r="CR111" s="33" t="s">
        <v>1209</v>
      </c>
      <c r="CS111" s="33" t="s">
        <v>1558</v>
      </c>
      <c r="CT111" s="33" t="s">
        <v>257</v>
      </c>
      <c r="CU111" s="33" t="s">
        <v>269</v>
      </c>
      <c r="CV111" s="33" t="s">
        <v>1557</v>
      </c>
      <c r="CW111" s="33" t="s">
        <v>1208</v>
      </c>
      <c r="CX111" s="33" t="s">
        <v>1209</v>
      </c>
      <c r="CY111" s="33" t="s">
        <v>602</v>
      </c>
      <c r="CZ111" s="33" t="s">
        <v>1559</v>
      </c>
      <c r="DA111" s="33" t="s">
        <v>1560</v>
      </c>
      <c r="DB111" s="33" t="s">
        <v>602</v>
      </c>
      <c r="DC111" s="33" t="s">
        <v>797</v>
      </c>
      <c r="DD111" s="33" t="s">
        <v>2125</v>
      </c>
      <c r="DE111" s="33" t="s">
        <v>2126</v>
      </c>
      <c r="DF111" s="34" t="s">
        <v>2127</v>
      </c>
      <c r="DG111" s="27" cm="1">
        <f t="array" ref="DG111">INDEX('elenco partner'!A:M,MATCH(1,(D111='elenco partner'!A:A)*('Partner data'!M111='elenco partner'!E:E),0),4)</f>
        <v>210</v>
      </c>
      <c r="DH111" s="83" t="str">
        <f t="shared" si="45"/>
        <v>COSTO REALE</v>
      </c>
      <c r="DI111" s="20">
        <f>COUNTIFS('MY-REPORT-MAIN'!C:C,'Partner data'!DG111,'MY-REPORT-MAIN'!I:I,"Certified")</f>
        <v>1</v>
      </c>
      <c r="DJ111" s="20">
        <f>COUNTIFS(List_Of_chek_list!M:M,"&lt;&gt;26",List_Of_chek_list!B:B,'Partner data'!DG111)</f>
        <v>1</v>
      </c>
      <c r="DK111" s="20">
        <f t="shared" si="46"/>
        <v>0</v>
      </c>
      <c r="DL111" s="19" t="str">
        <f>IF(DH111="Tasso Forfettario 20%",SUMIFS(List_Of_chek_list!#REF!,List_Of_chek_list!B:B,'Partner data'!DG111),"NON PERTINENTE")</f>
        <v>NON PERTINENTE</v>
      </c>
      <c r="DM111" s="19" t="str">
        <f t="shared" si="47"/>
        <v>NON PERTINENTE</v>
      </c>
      <c r="DN111" s="110">
        <f>_xlfn.MAXIFS('MY-REPORT-MAIN'!K:K,'MY-REPORT-MAIN'!C:C,DG111)</f>
        <v>45386.456657060182</v>
      </c>
      <c r="DO111" s="112">
        <f>IF(_xlfn.MAXIFS('MY-REPORT-MAIN'!M:M,'MY-REPORT-MAIN'!C:C,DG111)=0,"Nessun rendiconto  Convalidato",_xlfn.MAXIFS('MY-REPORT-MAIN'!M:M,'MY-REPORT-MAIN'!C:C,DG111))</f>
        <v>45469.548508761574</v>
      </c>
      <c r="DP111" s="113" cm="1">
        <f t="array" ref="DP111">IFERROR(INDEX('MY-REPORT-MAIN'!A:Z,MATCH(1,(DO111='MY-REPORT-MAIN'!M:M)*('Partner data'!DG111='MY-REPORT-MAIN'!C:C),0),1),"NON è stato convalidato ancora nessun rendiconto")</f>
        <v>162</v>
      </c>
      <c r="DQ111" s="111">
        <f>IFERROR(INDEX('MY-REPORT-MAIN'!A:Z,MATCH('Partner data'!DP111,'MY-REPORT-MAIN'!A:A,0),21),"Nessun Rendiconto ancora convalidato")</f>
        <v>33468.980000000003</v>
      </c>
      <c r="DR111" s="110">
        <f>INDEX('Interreg VI-A Italy-Slovenia_pr'!A:E,MATCH('Partner data'!C111,'Interreg VI-A Italy-Slovenia_pr'!A:A,0),3)</f>
        <v>45170</v>
      </c>
      <c r="DS111" s="118">
        <f t="shared" si="29"/>
        <v>31668</v>
      </c>
      <c r="DT111" s="118">
        <f t="shared" si="30"/>
        <v>63336</v>
      </c>
      <c r="DU111" s="118">
        <f t="shared" si="31"/>
        <v>95004</v>
      </c>
      <c r="DV111" s="118">
        <f t="shared" si="32"/>
        <v>126672</v>
      </c>
      <c r="DW111" s="118">
        <f t="shared" si="33"/>
        <v>126672</v>
      </c>
      <c r="DX111" s="118">
        <f t="shared" si="34"/>
        <v>126672</v>
      </c>
      <c r="DY111" s="118">
        <f t="shared" si="35"/>
        <v>126672</v>
      </c>
      <c r="DZ111" s="118">
        <f t="shared" si="36"/>
        <v>126672</v>
      </c>
      <c r="EA111" s="118">
        <f t="shared" si="37"/>
        <v>126672</v>
      </c>
      <c r="EB111" s="118">
        <f t="shared" si="38"/>
        <v>126672</v>
      </c>
    </row>
    <row r="112" spans="1:132" x14ac:dyDescent="0.25">
      <c r="A112" s="28">
        <v>1</v>
      </c>
      <c r="B112" s="29" t="s">
        <v>487</v>
      </c>
      <c r="C112" s="30" t="s">
        <v>2087</v>
      </c>
      <c r="D112" s="30" t="s">
        <v>357</v>
      </c>
      <c r="E112" s="30" t="s">
        <v>2088</v>
      </c>
      <c r="F112" s="30" t="s">
        <v>1118</v>
      </c>
      <c r="G112" s="30" t="s">
        <v>491</v>
      </c>
      <c r="H112" s="30" t="s">
        <v>691</v>
      </c>
      <c r="I112" s="30" t="s">
        <v>945</v>
      </c>
      <c r="J112" s="31" t="s">
        <v>570</v>
      </c>
      <c r="K112" s="31" t="s">
        <v>495</v>
      </c>
      <c r="L112" s="31" t="s">
        <v>519</v>
      </c>
      <c r="M112" s="31" t="s">
        <v>290</v>
      </c>
      <c r="N112" s="31" t="s">
        <v>1264</v>
      </c>
      <c r="O112" s="31" t="s">
        <v>1265</v>
      </c>
      <c r="P112" s="31" t="s">
        <v>257</v>
      </c>
      <c r="Q112" s="31" t="s">
        <v>556</v>
      </c>
      <c r="R112" s="31" t="s">
        <v>258</v>
      </c>
      <c r="S112" s="32">
        <v>103182.46</v>
      </c>
      <c r="T112" s="32">
        <v>80</v>
      </c>
      <c r="U112" s="32">
        <v>17.86</v>
      </c>
      <c r="V112" s="32">
        <v>0</v>
      </c>
      <c r="W112" s="32">
        <v>0</v>
      </c>
      <c r="X112" s="32">
        <v>0</v>
      </c>
      <c r="Y112" s="32">
        <v>0</v>
      </c>
      <c r="Z112" s="32">
        <v>0</v>
      </c>
      <c r="AA112" s="32">
        <v>0</v>
      </c>
      <c r="AB112" s="32">
        <v>0</v>
      </c>
      <c r="AC112" s="32">
        <v>0</v>
      </c>
      <c r="AD112" s="32">
        <v>0</v>
      </c>
      <c r="AE112" s="32">
        <v>0</v>
      </c>
      <c r="AF112" s="32">
        <v>0</v>
      </c>
      <c r="AG112" s="32">
        <v>0</v>
      </c>
      <c r="AH112" s="32">
        <v>0</v>
      </c>
      <c r="AI112" s="32">
        <v>0</v>
      </c>
      <c r="AJ112" s="32">
        <v>0</v>
      </c>
      <c r="AK112" s="32">
        <v>0</v>
      </c>
      <c r="AL112" s="32">
        <v>0</v>
      </c>
      <c r="AM112" s="32">
        <v>0</v>
      </c>
      <c r="AN112" s="32">
        <v>25795.62</v>
      </c>
      <c r="AO112" s="32">
        <v>0</v>
      </c>
      <c r="AP112" s="32">
        <v>0</v>
      </c>
      <c r="AQ112" s="32">
        <v>25795.62</v>
      </c>
      <c r="AR112" s="32">
        <v>128978.08</v>
      </c>
      <c r="AS112" s="32">
        <v>17.86</v>
      </c>
      <c r="AT112" s="32">
        <v>86032</v>
      </c>
      <c r="AU112" s="32">
        <v>0</v>
      </c>
      <c r="AV112" s="32">
        <v>0</v>
      </c>
      <c r="AW112" s="32">
        <v>86032</v>
      </c>
      <c r="AX112" s="32">
        <v>12904.8</v>
      </c>
      <c r="AY112" s="32">
        <v>12904.8</v>
      </c>
      <c r="AZ112" s="32">
        <v>3441.28</v>
      </c>
      <c r="BA112" s="32">
        <v>3441.28</v>
      </c>
      <c r="BB112" s="32">
        <v>0</v>
      </c>
      <c r="BC112" s="32">
        <v>0</v>
      </c>
      <c r="BD112" s="32">
        <v>14600</v>
      </c>
      <c r="BE112" s="32">
        <v>14600</v>
      </c>
      <c r="BF112" s="32">
        <v>0</v>
      </c>
      <c r="BG112" s="32">
        <v>12000</v>
      </c>
      <c r="BH112" s="32">
        <v>12000</v>
      </c>
      <c r="BI112" s="32">
        <v>0</v>
      </c>
      <c r="BJ112" s="32">
        <v>0</v>
      </c>
      <c r="BK112" s="32">
        <v>0</v>
      </c>
      <c r="BL112" s="32">
        <v>0</v>
      </c>
      <c r="BM112" s="32">
        <v>0</v>
      </c>
      <c r="BN112" s="32">
        <v>0</v>
      </c>
      <c r="BO112" s="32">
        <v>0</v>
      </c>
      <c r="BP112" s="32">
        <v>0</v>
      </c>
      <c r="BQ112" s="32">
        <v>31660</v>
      </c>
      <c r="BR112" s="32">
        <v>16668.810000000001</v>
      </c>
      <c r="BS112" s="32">
        <v>36724.99</v>
      </c>
      <c r="BT112" s="32">
        <v>43924.28</v>
      </c>
      <c r="BU112" s="32">
        <v>0</v>
      </c>
      <c r="BV112" s="32">
        <v>0</v>
      </c>
      <c r="BW112" s="32">
        <v>0</v>
      </c>
      <c r="BX112" s="32">
        <v>0</v>
      </c>
      <c r="BY112" s="32">
        <v>0</v>
      </c>
      <c r="BZ112" s="32">
        <v>0</v>
      </c>
      <c r="CA112" s="32">
        <v>0</v>
      </c>
      <c r="CB112" s="33" t="s">
        <v>1382</v>
      </c>
      <c r="CC112" s="33" t="s">
        <v>624</v>
      </c>
      <c r="CD112" s="33"/>
      <c r="CE112" s="33" t="s">
        <v>684</v>
      </c>
      <c r="CF112" s="33" t="s">
        <v>734</v>
      </c>
      <c r="CG112" s="33" t="s">
        <v>1073</v>
      </c>
      <c r="CH112" s="33" t="s">
        <v>526</v>
      </c>
      <c r="CI112" s="33"/>
      <c r="CJ112" s="33" t="s">
        <v>212</v>
      </c>
      <c r="CK112" s="33" t="s">
        <v>1074</v>
      </c>
      <c r="CL112" s="33" t="s">
        <v>212</v>
      </c>
      <c r="CM112" s="33"/>
      <c r="CN112" s="33" t="s">
        <v>257</v>
      </c>
      <c r="CO112" s="33" t="s">
        <v>258</v>
      </c>
      <c r="CP112" s="33" t="s">
        <v>1075</v>
      </c>
      <c r="CQ112" s="33" t="s">
        <v>620</v>
      </c>
      <c r="CR112" s="33" t="s">
        <v>621</v>
      </c>
      <c r="CS112" s="33" t="s">
        <v>1267</v>
      </c>
      <c r="CT112" s="33" t="s">
        <v>257</v>
      </c>
      <c r="CU112" s="33" t="s">
        <v>258</v>
      </c>
      <c r="CV112" s="33" t="s">
        <v>1075</v>
      </c>
      <c r="CW112" s="33" t="s">
        <v>620</v>
      </c>
      <c r="CX112" s="33" t="s">
        <v>621</v>
      </c>
      <c r="CY112" s="33" t="s">
        <v>1077</v>
      </c>
      <c r="CZ112" s="33" t="s">
        <v>643</v>
      </c>
      <c r="DA112" s="33" t="s">
        <v>1078</v>
      </c>
      <c r="DB112" s="33" t="s">
        <v>654</v>
      </c>
      <c r="DC112" s="33" t="s">
        <v>2128</v>
      </c>
      <c r="DD112" s="33" t="s">
        <v>2129</v>
      </c>
      <c r="DE112" s="33" t="s">
        <v>2130</v>
      </c>
      <c r="DF112" s="34" t="s">
        <v>2131</v>
      </c>
      <c r="DG112" s="27" cm="1">
        <f t="array" ref="DG112">INDEX('elenco partner'!A:M,MATCH(1,(D112='elenco partner'!A:A)*('Partner data'!M112='elenco partner'!E:E),0),4)</f>
        <v>232</v>
      </c>
      <c r="DH112" s="83" t="str">
        <f t="shared" si="45"/>
        <v>Costo Unitario Standard</v>
      </c>
      <c r="DI112" s="20">
        <f>COUNTIFS('MY-REPORT-MAIN'!C:C,'Partner data'!DG112,'MY-REPORT-MAIN'!I:I,"Certified")</f>
        <v>1</v>
      </c>
      <c r="DJ112" s="20">
        <f>COUNTIFS(List_Of_chek_list!M:M,"&lt;&gt;26",List_Of_chek_list!B:B,'Partner data'!DG112)</f>
        <v>1</v>
      </c>
      <c r="DK112" s="20">
        <f t="shared" si="46"/>
        <v>0</v>
      </c>
      <c r="DL112" s="19" t="str">
        <f>IF(DH112="Tasso Forfettario 20%",SUMIFS(List_Of_chek_list!#REF!,List_Of_chek_list!B:B,'Partner data'!DG112),"NON PERTINENTE")</f>
        <v>NON PERTINENTE</v>
      </c>
      <c r="DM112" s="19" t="str">
        <f t="shared" si="47"/>
        <v>NON PERTINENTE</v>
      </c>
      <c r="DN112" s="110">
        <f>_xlfn.MAXIFS('MY-REPORT-MAIN'!K:K,'MY-REPORT-MAIN'!C:C,DG112)</f>
        <v>45379.437650694446</v>
      </c>
      <c r="DO112" s="112">
        <f>IF(_xlfn.MAXIFS('MY-REPORT-MAIN'!M:M,'MY-REPORT-MAIN'!C:C,DG112)=0,"Nessun rendiconto  Convalidato",_xlfn.MAXIFS('MY-REPORT-MAIN'!M:M,'MY-REPORT-MAIN'!C:C,DG112))</f>
        <v>45422.549058483797</v>
      </c>
      <c r="DP112" s="113" cm="1">
        <f t="array" ref="DP112">IFERROR(INDEX('MY-REPORT-MAIN'!A:Z,MATCH(1,(DO112='MY-REPORT-MAIN'!M:M)*('Partner data'!DG112='MY-REPORT-MAIN'!C:C),0),1),"NON è stato convalidato ancora nessun rendiconto")</f>
        <v>165</v>
      </c>
      <c r="DQ112" s="111">
        <f>IFERROR(INDEX('MY-REPORT-MAIN'!A:Z,MATCH('Partner data'!DP112,'MY-REPORT-MAIN'!A:A,0),21),"Nessun Rendiconto ancora convalidato")</f>
        <v>6031.08</v>
      </c>
      <c r="DR112" s="110">
        <f>INDEX('Interreg VI-A Italy-Slovenia_pr'!A:E,MATCH('Partner data'!C112,'Interreg VI-A Italy-Slovenia_pr'!A:A,0),3)</f>
        <v>45170</v>
      </c>
      <c r="DS112" s="118">
        <f t="shared" si="29"/>
        <v>31660</v>
      </c>
      <c r="DT112" s="118">
        <f t="shared" si="30"/>
        <v>48328.81</v>
      </c>
      <c r="DU112" s="118">
        <f t="shared" si="31"/>
        <v>85053.799999999988</v>
      </c>
      <c r="DV112" s="118">
        <f t="shared" si="32"/>
        <v>128978.07999999999</v>
      </c>
      <c r="DW112" s="118">
        <f t="shared" si="33"/>
        <v>128978.07999999999</v>
      </c>
      <c r="DX112" s="118">
        <f t="shared" si="34"/>
        <v>128978.07999999999</v>
      </c>
      <c r="DY112" s="118">
        <f t="shared" si="35"/>
        <v>128978.07999999999</v>
      </c>
      <c r="DZ112" s="118">
        <f t="shared" si="36"/>
        <v>128978.07999999999</v>
      </c>
      <c r="EA112" s="118">
        <f t="shared" si="37"/>
        <v>128978.07999999999</v>
      </c>
      <c r="EB112" s="118">
        <f t="shared" si="38"/>
        <v>128978.07999999999</v>
      </c>
    </row>
    <row r="113" spans="1:132" x14ac:dyDescent="0.25">
      <c r="A113" s="28">
        <v>1</v>
      </c>
      <c r="B113" s="29" t="s">
        <v>487</v>
      </c>
      <c r="C113" s="30" t="s">
        <v>2132</v>
      </c>
      <c r="D113" s="30" t="s">
        <v>63</v>
      </c>
      <c r="E113" s="30" t="s">
        <v>2133</v>
      </c>
      <c r="F113" s="30" t="s">
        <v>490</v>
      </c>
      <c r="G113" s="30" t="s">
        <v>491</v>
      </c>
      <c r="H113" s="30" t="s">
        <v>766</v>
      </c>
      <c r="I113" s="30" t="s">
        <v>767</v>
      </c>
      <c r="J113" s="31" t="s">
        <v>494</v>
      </c>
      <c r="K113" s="31" t="s">
        <v>495</v>
      </c>
      <c r="L113" s="31" t="s">
        <v>496</v>
      </c>
      <c r="M113" s="31" t="s">
        <v>46</v>
      </c>
      <c r="N113" s="31" t="s">
        <v>1378</v>
      </c>
      <c r="O113" s="31" t="s">
        <v>1379</v>
      </c>
      <c r="P113" s="31" t="s">
        <v>257</v>
      </c>
      <c r="Q113" s="31" t="s">
        <v>556</v>
      </c>
      <c r="R113" s="31" t="s">
        <v>270</v>
      </c>
      <c r="S113" s="32">
        <v>199175.63</v>
      </c>
      <c r="T113" s="32">
        <v>80</v>
      </c>
      <c r="U113" s="32">
        <v>33.22</v>
      </c>
      <c r="V113" s="32">
        <v>0</v>
      </c>
      <c r="W113" s="32">
        <v>0</v>
      </c>
      <c r="X113" s="32">
        <v>0</v>
      </c>
      <c r="Y113" s="32">
        <v>0</v>
      </c>
      <c r="Z113" s="32">
        <v>0</v>
      </c>
      <c r="AA113" s="32">
        <v>0</v>
      </c>
      <c r="AB113" s="32">
        <v>0</v>
      </c>
      <c r="AC113" s="32">
        <v>0</v>
      </c>
      <c r="AD113" s="32">
        <v>0</v>
      </c>
      <c r="AE113" s="32">
        <v>0</v>
      </c>
      <c r="AF113" s="32">
        <v>0</v>
      </c>
      <c r="AG113" s="32">
        <v>0</v>
      </c>
      <c r="AH113" s="32">
        <v>0</v>
      </c>
      <c r="AI113" s="32">
        <v>0</v>
      </c>
      <c r="AJ113" s="32">
        <v>0</v>
      </c>
      <c r="AK113" s="32">
        <v>0</v>
      </c>
      <c r="AL113" s="32">
        <v>0</v>
      </c>
      <c r="AM113" s="32">
        <v>0</v>
      </c>
      <c r="AN113" s="32">
        <v>49793.91</v>
      </c>
      <c r="AO113" s="32">
        <v>0</v>
      </c>
      <c r="AP113" s="32">
        <v>0</v>
      </c>
      <c r="AQ113" s="32">
        <v>49793.91</v>
      </c>
      <c r="AR113" s="32">
        <v>248969.54</v>
      </c>
      <c r="AS113" s="32">
        <v>33.22</v>
      </c>
      <c r="AT113" s="32">
        <v>171406.82</v>
      </c>
      <c r="AU113" s="32">
        <v>0</v>
      </c>
      <c r="AV113" s="32">
        <v>171406.82</v>
      </c>
      <c r="AW113" s="32">
        <v>0</v>
      </c>
      <c r="AX113" s="32">
        <v>0</v>
      </c>
      <c r="AY113" s="32">
        <v>0</v>
      </c>
      <c r="AZ113" s="32">
        <v>0</v>
      </c>
      <c r="BA113" s="32">
        <v>0</v>
      </c>
      <c r="BB113" s="32">
        <v>0</v>
      </c>
      <c r="BC113" s="32">
        <v>0</v>
      </c>
      <c r="BD113" s="32">
        <v>0</v>
      </c>
      <c r="BE113" s="32">
        <v>0</v>
      </c>
      <c r="BF113" s="32">
        <v>0</v>
      </c>
      <c r="BG113" s="32">
        <v>0</v>
      </c>
      <c r="BH113" s="32">
        <v>0</v>
      </c>
      <c r="BI113" s="32">
        <v>0</v>
      </c>
      <c r="BJ113" s="32">
        <v>0</v>
      </c>
      <c r="BK113" s="32">
        <v>0</v>
      </c>
      <c r="BL113" s="32">
        <v>0</v>
      </c>
      <c r="BM113" s="32">
        <v>68562.720000000001</v>
      </c>
      <c r="BN113" s="32">
        <v>0</v>
      </c>
      <c r="BO113" s="32">
        <v>9000</v>
      </c>
      <c r="BP113" s="32">
        <v>9000</v>
      </c>
      <c r="BQ113" s="32">
        <v>59992.39</v>
      </c>
      <c r="BR113" s="32">
        <v>59992.39</v>
      </c>
      <c r="BS113" s="32">
        <v>59992.39</v>
      </c>
      <c r="BT113" s="32">
        <v>59992.37</v>
      </c>
      <c r="BU113" s="32">
        <v>0</v>
      </c>
      <c r="BV113" s="32">
        <v>0</v>
      </c>
      <c r="BW113" s="32">
        <v>0</v>
      </c>
      <c r="BX113" s="32">
        <v>0</v>
      </c>
      <c r="BY113" s="32">
        <v>0</v>
      </c>
      <c r="BZ113" s="32">
        <v>0</v>
      </c>
      <c r="CA113" s="32">
        <v>0</v>
      </c>
      <c r="CB113" s="33" t="s">
        <v>2134</v>
      </c>
      <c r="CC113" s="33" t="s">
        <v>624</v>
      </c>
      <c r="CD113" s="33"/>
      <c r="CE113" s="33" t="s">
        <v>523</v>
      </c>
      <c r="CF113" s="33" t="s">
        <v>734</v>
      </c>
      <c r="CG113" s="33" t="s">
        <v>1381</v>
      </c>
      <c r="CH113" s="33" t="s">
        <v>619</v>
      </c>
      <c r="CI113" s="33" t="s">
        <v>981</v>
      </c>
      <c r="CJ113" s="33" t="s">
        <v>981</v>
      </c>
      <c r="CK113" s="33" t="s">
        <v>1383</v>
      </c>
      <c r="CL113" s="33" t="s">
        <v>212</v>
      </c>
      <c r="CM113" s="33"/>
      <c r="CN113" s="33" t="s">
        <v>257</v>
      </c>
      <c r="CO113" s="33" t="s">
        <v>270</v>
      </c>
      <c r="CP113" s="33" t="s">
        <v>1384</v>
      </c>
      <c r="CQ113" s="33" t="s">
        <v>710</v>
      </c>
      <c r="CR113" s="33" t="s">
        <v>650</v>
      </c>
      <c r="CS113" s="33" t="s">
        <v>1456</v>
      </c>
      <c r="CT113" s="33" t="s">
        <v>257</v>
      </c>
      <c r="CU113" s="33" t="s">
        <v>270</v>
      </c>
      <c r="CV113" s="33" t="s">
        <v>1384</v>
      </c>
      <c r="CW113" s="33" t="s">
        <v>710</v>
      </c>
      <c r="CX113" s="33" t="s">
        <v>650</v>
      </c>
      <c r="CY113" s="33" t="s">
        <v>1176</v>
      </c>
      <c r="CZ113" s="33" t="s">
        <v>1386</v>
      </c>
      <c r="DA113" s="33" t="s">
        <v>1387</v>
      </c>
      <c r="DB113" s="33" t="s">
        <v>1348</v>
      </c>
      <c r="DC113" s="33" t="s">
        <v>1388</v>
      </c>
      <c r="DD113" s="33" t="s">
        <v>1389</v>
      </c>
      <c r="DE113" s="33" t="s">
        <v>1390</v>
      </c>
      <c r="DF113" s="34" t="s">
        <v>1391</v>
      </c>
      <c r="DG113" s="27" cm="1">
        <f t="array" ref="DG113">INDEX('elenco partner'!A:M,MATCH(1,(D113='elenco partner'!A:A)*('Partner data'!M113='elenco partner'!E:E),0),4)</f>
        <v>230</v>
      </c>
      <c r="DH113" s="83" t="str">
        <f t="shared" si="45"/>
        <v>COSTO REALE</v>
      </c>
      <c r="DI113" s="20">
        <f>COUNTIFS('MY-REPORT-MAIN'!C:C,'Partner data'!DG113,'MY-REPORT-MAIN'!I:I,"Certified")</f>
        <v>2</v>
      </c>
      <c r="DJ113" s="20">
        <f>COUNTIFS(List_Of_chek_list!M:M,"&lt;&gt;26",List_Of_chek_list!B:B,'Partner data'!DG113)</f>
        <v>2</v>
      </c>
      <c r="DK113" s="20">
        <f t="shared" si="46"/>
        <v>0</v>
      </c>
      <c r="DL113" s="19" t="str">
        <f>IF(DH113="Tasso Forfettario 20%",SUMIFS(List_Of_chek_list!#REF!,List_Of_chek_list!B:B,'Partner data'!DG113),"NON PERTINENTE")</f>
        <v>NON PERTINENTE</v>
      </c>
      <c r="DM113" s="19" t="str">
        <f t="shared" si="47"/>
        <v>NON PERTINENTE</v>
      </c>
      <c r="DN113" s="110">
        <f>_xlfn.MAXIFS('MY-REPORT-MAIN'!K:K,'MY-REPORT-MAIN'!C:C,DG113)</f>
        <v>45386.687619502314</v>
      </c>
      <c r="DO113" s="112">
        <f>IF(_xlfn.MAXIFS('MY-REPORT-MAIN'!M:M,'MY-REPORT-MAIN'!C:C,DG113)=0,"Nessun rendiconto  Convalidato",_xlfn.MAXIFS('MY-REPORT-MAIN'!M:M,'MY-REPORT-MAIN'!C:C,DG113))</f>
        <v>45475.327043356483</v>
      </c>
      <c r="DP113" s="113" cm="1">
        <f t="array" ref="DP113">IFERROR(INDEX('MY-REPORT-MAIN'!A:Z,MATCH(1,(DO113='MY-REPORT-MAIN'!M:M)*('Partner data'!DG113='MY-REPORT-MAIN'!C:C),0),1),"NON è stato convalidato ancora nessun rendiconto")</f>
        <v>234</v>
      </c>
      <c r="DQ113" s="111">
        <f>IFERROR(INDEX('MY-REPORT-MAIN'!A:Z,MATCH('Partner data'!DP113,'MY-REPORT-MAIN'!A:A,0),21),"Nessun Rendiconto ancora convalidato")</f>
        <v>42144.97</v>
      </c>
      <c r="DR113" s="110">
        <f>INDEX('Interreg VI-A Italy-Slovenia_pr'!A:E,MATCH('Partner data'!C113,'Interreg VI-A Italy-Slovenia_pr'!A:A,0),3)</f>
        <v>45108</v>
      </c>
      <c r="DS113" s="118">
        <f t="shared" si="29"/>
        <v>68992.39</v>
      </c>
      <c r="DT113" s="118">
        <f t="shared" si="30"/>
        <v>128984.78</v>
      </c>
      <c r="DU113" s="118">
        <f t="shared" si="31"/>
        <v>188977.16999999998</v>
      </c>
      <c r="DV113" s="118">
        <f t="shared" si="32"/>
        <v>248969.53999999998</v>
      </c>
      <c r="DW113" s="118">
        <f t="shared" si="33"/>
        <v>248969.53999999998</v>
      </c>
      <c r="DX113" s="118">
        <f t="shared" si="34"/>
        <v>248969.53999999998</v>
      </c>
      <c r="DY113" s="118">
        <f t="shared" si="35"/>
        <v>248969.53999999998</v>
      </c>
      <c r="DZ113" s="118">
        <f t="shared" si="36"/>
        <v>248969.53999999998</v>
      </c>
      <c r="EA113" s="118">
        <f t="shared" si="37"/>
        <v>248969.53999999998</v>
      </c>
      <c r="EB113" s="118">
        <f t="shared" si="38"/>
        <v>248969.53999999998</v>
      </c>
    </row>
    <row r="114" spans="1:132" ht="45" x14ac:dyDescent="0.25">
      <c r="A114" s="28">
        <v>1</v>
      </c>
      <c r="B114" s="29" t="s">
        <v>487</v>
      </c>
      <c r="C114" s="30" t="s">
        <v>2132</v>
      </c>
      <c r="D114" s="30" t="s">
        <v>63</v>
      </c>
      <c r="E114" s="30" t="s">
        <v>2133</v>
      </c>
      <c r="F114" s="30" t="s">
        <v>490</v>
      </c>
      <c r="G114" s="30" t="s">
        <v>491</v>
      </c>
      <c r="H114" s="30" t="s">
        <v>766</v>
      </c>
      <c r="I114" s="30" t="s">
        <v>767</v>
      </c>
      <c r="J114" s="31" t="s">
        <v>518</v>
      </c>
      <c r="K114" s="31" t="s">
        <v>495</v>
      </c>
      <c r="L114" s="31" t="s">
        <v>519</v>
      </c>
      <c r="M114" s="31" t="s">
        <v>360</v>
      </c>
      <c r="N114" s="31" t="s">
        <v>360</v>
      </c>
      <c r="O114" s="31" t="s">
        <v>2135</v>
      </c>
      <c r="P114" s="31" t="s">
        <v>257</v>
      </c>
      <c r="Q114" s="31" t="s">
        <v>556</v>
      </c>
      <c r="R114" s="31" t="s">
        <v>269</v>
      </c>
      <c r="S114" s="32">
        <v>120000</v>
      </c>
      <c r="T114" s="32">
        <v>80</v>
      </c>
      <c r="U114" s="32">
        <v>20.02</v>
      </c>
      <c r="V114" s="32">
        <v>0</v>
      </c>
      <c r="W114" s="32">
        <v>0</v>
      </c>
      <c r="X114" s="32">
        <v>0</v>
      </c>
      <c r="Y114" s="32">
        <v>0</v>
      </c>
      <c r="Z114" s="32">
        <v>0</v>
      </c>
      <c r="AA114" s="32">
        <v>0</v>
      </c>
      <c r="AB114" s="32">
        <v>0</v>
      </c>
      <c r="AC114" s="32">
        <v>0</v>
      </c>
      <c r="AD114" s="32">
        <v>0</v>
      </c>
      <c r="AE114" s="32">
        <v>0</v>
      </c>
      <c r="AF114" s="32">
        <v>0</v>
      </c>
      <c r="AG114" s="32">
        <v>0</v>
      </c>
      <c r="AH114" s="32">
        <v>0</v>
      </c>
      <c r="AI114" s="32">
        <v>0</v>
      </c>
      <c r="AJ114" s="32">
        <v>0</v>
      </c>
      <c r="AK114" s="32">
        <v>0</v>
      </c>
      <c r="AL114" s="32">
        <v>0</v>
      </c>
      <c r="AM114" s="32">
        <v>0</v>
      </c>
      <c r="AN114" s="32">
        <v>30000</v>
      </c>
      <c r="AO114" s="32">
        <v>0</v>
      </c>
      <c r="AP114" s="32">
        <v>0</v>
      </c>
      <c r="AQ114" s="32">
        <v>30000</v>
      </c>
      <c r="AR114" s="32">
        <v>150000</v>
      </c>
      <c r="AS114" s="32">
        <v>20.02</v>
      </c>
      <c r="AT114" s="32">
        <v>0</v>
      </c>
      <c r="AU114" s="32">
        <v>0</v>
      </c>
      <c r="AV114" s="32">
        <v>0</v>
      </c>
      <c r="AW114" s="32">
        <v>0</v>
      </c>
      <c r="AX114" s="32">
        <v>0</v>
      </c>
      <c r="AY114" s="32">
        <v>0</v>
      </c>
      <c r="AZ114" s="32">
        <v>0</v>
      </c>
      <c r="BA114" s="32">
        <v>0</v>
      </c>
      <c r="BB114" s="32">
        <v>0</v>
      </c>
      <c r="BC114" s="32">
        <v>0</v>
      </c>
      <c r="BD114" s="32">
        <v>55000</v>
      </c>
      <c r="BE114" s="32">
        <v>55000</v>
      </c>
      <c r="BF114" s="32">
        <v>0</v>
      </c>
      <c r="BG114" s="32">
        <v>0</v>
      </c>
      <c r="BH114" s="32">
        <v>0</v>
      </c>
      <c r="BI114" s="32">
        <v>0</v>
      </c>
      <c r="BJ114" s="32">
        <v>95000</v>
      </c>
      <c r="BK114" s="32">
        <v>95000</v>
      </c>
      <c r="BL114" s="32">
        <v>0</v>
      </c>
      <c r="BM114" s="32">
        <v>0</v>
      </c>
      <c r="BN114" s="32">
        <v>0</v>
      </c>
      <c r="BO114" s="32">
        <v>0</v>
      </c>
      <c r="BP114" s="32">
        <v>0</v>
      </c>
      <c r="BQ114" s="32">
        <v>1000</v>
      </c>
      <c r="BR114" s="32">
        <v>6500</v>
      </c>
      <c r="BS114" s="32">
        <v>11500</v>
      </c>
      <c r="BT114" s="32">
        <v>131000</v>
      </c>
      <c r="BU114" s="32">
        <v>0</v>
      </c>
      <c r="BV114" s="32">
        <v>0</v>
      </c>
      <c r="BW114" s="32">
        <v>0</v>
      </c>
      <c r="BX114" s="32">
        <v>0</v>
      </c>
      <c r="BY114" s="32">
        <v>0</v>
      </c>
      <c r="BZ114" s="32">
        <v>0</v>
      </c>
      <c r="CA114" s="32">
        <v>0</v>
      </c>
      <c r="CB114" s="33" t="s">
        <v>212</v>
      </c>
      <c r="CC114" s="33" t="s">
        <v>522</v>
      </c>
      <c r="CD114" s="33"/>
      <c r="CE114" s="33" t="s">
        <v>523</v>
      </c>
      <c r="CF114" s="33" t="s">
        <v>636</v>
      </c>
      <c r="CG114" s="33" t="s">
        <v>2136</v>
      </c>
      <c r="CH114" s="33" t="s">
        <v>526</v>
      </c>
      <c r="CI114" s="33" t="s">
        <v>981</v>
      </c>
      <c r="CJ114" s="33" t="s">
        <v>981</v>
      </c>
      <c r="CK114" s="33" t="s">
        <v>212</v>
      </c>
      <c r="CL114" s="33" t="s">
        <v>212</v>
      </c>
      <c r="CM114" s="33"/>
      <c r="CN114" s="33" t="s">
        <v>257</v>
      </c>
      <c r="CO114" s="33" t="s">
        <v>269</v>
      </c>
      <c r="CP114" s="33" t="s">
        <v>2137</v>
      </c>
      <c r="CQ114" s="33" t="s">
        <v>2138</v>
      </c>
      <c r="CR114" s="33" t="s">
        <v>2139</v>
      </c>
      <c r="CS114" s="33" t="s">
        <v>2140</v>
      </c>
      <c r="CT114" s="33"/>
      <c r="CU114" s="33"/>
      <c r="CV114" s="33"/>
      <c r="CW114" s="33"/>
      <c r="CX114" s="33"/>
      <c r="CY114" s="33" t="s">
        <v>895</v>
      </c>
      <c r="CZ114" s="33" t="s">
        <v>2141</v>
      </c>
      <c r="DA114" s="33" t="s">
        <v>2142</v>
      </c>
      <c r="DB114" s="33" t="s">
        <v>892</v>
      </c>
      <c r="DC114" s="33" t="s">
        <v>2143</v>
      </c>
      <c r="DD114" s="33" t="s">
        <v>1193</v>
      </c>
      <c r="DE114" s="33" t="s">
        <v>2144</v>
      </c>
      <c r="DF114" s="34" t="s">
        <v>2145</v>
      </c>
      <c r="DG114" s="27" cm="1">
        <f t="array" ref="DG114">INDEX('elenco partner'!A:M,MATCH(1,(D114='elenco partner'!A:A)*('Partner data'!M114='elenco partner'!E:E),0),4)</f>
        <v>286</v>
      </c>
      <c r="DH114" s="83" t="str">
        <f t="shared" si="45"/>
        <v>BL1 non presente</v>
      </c>
      <c r="DI114" s="20">
        <f>COUNTIFS('MY-REPORT-MAIN'!C:C,'Partner data'!DG114,'MY-REPORT-MAIN'!I:I,"Certified")</f>
        <v>0</v>
      </c>
      <c r="DJ114" s="20">
        <f>COUNTIFS(List_Of_chek_list!M:M,"&lt;&gt;26",List_Of_chek_list!B:B,'Partner data'!DG114)</f>
        <v>0</v>
      </c>
      <c r="DK114" s="20">
        <f t="shared" si="46"/>
        <v>0</v>
      </c>
      <c r="DL114" s="19" t="str">
        <f>IF(DH114="Tasso Forfettario 20%",SUMIFS(List_Of_chek_list!#REF!,List_Of_chek_list!B:B,'Partner data'!DG114),"NON PERTINENTE")</f>
        <v>NON PERTINENTE</v>
      </c>
      <c r="DM114" s="19" t="str">
        <f t="shared" si="47"/>
        <v>NON PERTINENTE</v>
      </c>
      <c r="DN114" s="110">
        <f>_xlfn.MAXIFS('MY-REPORT-MAIN'!K:K,'MY-REPORT-MAIN'!C:C,DG114)</f>
        <v>0</v>
      </c>
      <c r="DO114" s="112" t="str">
        <f>IF(_xlfn.MAXIFS('MY-REPORT-MAIN'!M:M,'MY-REPORT-MAIN'!C:C,DG114)=0,"Nessun rendiconto  Convalidato",_xlfn.MAXIFS('MY-REPORT-MAIN'!M:M,'MY-REPORT-MAIN'!C:C,DG114))</f>
        <v>Nessun rendiconto  Convalidato</v>
      </c>
      <c r="DP114" s="113" t="str" cm="1">
        <f t="array" ref="DP114">IFERROR(INDEX('MY-REPORT-MAIN'!A:Z,MATCH(1,(DO114='MY-REPORT-MAIN'!M:M)*('Partner data'!DG114='MY-REPORT-MAIN'!C:C),0),1),"NON è stato convalidato ancora nessun rendiconto")</f>
        <v>NON è stato convalidato ancora nessun rendiconto</v>
      </c>
      <c r="DQ114" s="111" t="str">
        <f>IFERROR(INDEX('MY-REPORT-MAIN'!A:Z,MATCH('Partner data'!DP114,'MY-REPORT-MAIN'!A:A,0),21),"Nessun Rendiconto ancora convalidato")</f>
        <v>Nessun Rendiconto ancora convalidato</v>
      </c>
      <c r="DR114" s="110">
        <f>INDEX('Interreg VI-A Italy-Slovenia_pr'!A:E,MATCH('Partner data'!C114,'Interreg VI-A Italy-Slovenia_pr'!A:A,0),3)</f>
        <v>45108</v>
      </c>
      <c r="DS114" s="118">
        <f t="shared" si="29"/>
        <v>1000</v>
      </c>
      <c r="DT114" s="118">
        <f t="shared" si="30"/>
        <v>7500</v>
      </c>
      <c r="DU114" s="118">
        <f t="shared" si="31"/>
        <v>19000</v>
      </c>
      <c r="DV114" s="118">
        <f t="shared" si="32"/>
        <v>150000</v>
      </c>
      <c r="DW114" s="118">
        <f t="shared" si="33"/>
        <v>150000</v>
      </c>
      <c r="DX114" s="118">
        <f t="shared" si="34"/>
        <v>150000</v>
      </c>
      <c r="DY114" s="118">
        <f t="shared" si="35"/>
        <v>150000</v>
      </c>
      <c r="DZ114" s="118">
        <f t="shared" si="36"/>
        <v>150000</v>
      </c>
      <c r="EA114" s="118">
        <f t="shared" si="37"/>
        <v>150000</v>
      </c>
      <c r="EB114" s="118">
        <f t="shared" si="38"/>
        <v>150000</v>
      </c>
    </row>
    <row r="115" spans="1:132" x14ac:dyDescent="0.25">
      <c r="A115" s="28">
        <v>1</v>
      </c>
      <c r="B115" s="29" t="s">
        <v>487</v>
      </c>
      <c r="C115" s="30" t="s">
        <v>2132</v>
      </c>
      <c r="D115" s="30" t="s">
        <v>63</v>
      </c>
      <c r="E115" s="30" t="s">
        <v>2133</v>
      </c>
      <c r="F115" s="30" t="s">
        <v>490</v>
      </c>
      <c r="G115" s="30" t="s">
        <v>491</v>
      </c>
      <c r="H115" s="30" t="s">
        <v>766</v>
      </c>
      <c r="I115" s="30" t="s">
        <v>767</v>
      </c>
      <c r="J115" s="31" t="s">
        <v>538</v>
      </c>
      <c r="K115" s="31" t="s">
        <v>495</v>
      </c>
      <c r="L115" s="31" t="s">
        <v>519</v>
      </c>
      <c r="M115" s="31" t="s">
        <v>51</v>
      </c>
      <c r="N115" s="31" t="s">
        <v>2146</v>
      </c>
      <c r="O115" s="31" t="s">
        <v>916</v>
      </c>
      <c r="P115" s="31" t="s">
        <v>254</v>
      </c>
      <c r="Q115" s="31" t="s">
        <v>540</v>
      </c>
      <c r="R115" s="31" t="s">
        <v>260</v>
      </c>
      <c r="S115" s="32">
        <v>140251.24</v>
      </c>
      <c r="T115" s="32">
        <v>80</v>
      </c>
      <c r="U115" s="32">
        <v>23.4</v>
      </c>
      <c r="V115" s="32">
        <v>0</v>
      </c>
      <c r="W115" s="32">
        <v>0</v>
      </c>
      <c r="X115" s="32">
        <v>0</v>
      </c>
      <c r="Y115" s="32">
        <v>0</v>
      </c>
      <c r="Z115" s="32">
        <v>0</v>
      </c>
      <c r="AA115" s="32">
        <v>0</v>
      </c>
      <c r="AB115" s="32">
        <v>0</v>
      </c>
      <c r="AC115" s="32">
        <v>0</v>
      </c>
      <c r="AD115" s="32">
        <v>0</v>
      </c>
      <c r="AE115" s="32">
        <v>0</v>
      </c>
      <c r="AF115" s="32">
        <v>0</v>
      </c>
      <c r="AG115" s="32">
        <v>0</v>
      </c>
      <c r="AH115" s="32">
        <v>0</v>
      </c>
      <c r="AI115" s="32">
        <v>0</v>
      </c>
      <c r="AJ115" s="32">
        <v>0</v>
      </c>
      <c r="AK115" s="32">
        <v>0</v>
      </c>
      <c r="AL115" s="32">
        <v>0</v>
      </c>
      <c r="AM115" s="32">
        <v>0</v>
      </c>
      <c r="AN115" s="32">
        <v>0</v>
      </c>
      <c r="AO115" s="32">
        <v>35062.82</v>
      </c>
      <c r="AP115" s="32">
        <v>0</v>
      </c>
      <c r="AQ115" s="32">
        <v>35062.82</v>
      </c>
      <c r="AR115" s="32">
        <v>175314.06</v>
      </c>
      <c r="AS115" s="32">
        <v>23.4</v>
      </c>
      <c r="AT115" s="32">
        <v>106524.43</v>
      </c>
      <c r="AU115" s="32">
        <v>0</v>
      </c>
      <c r="AV115" s="32">
        <v>106524.43</v>
      </c>
      <c r="AW115" s="32">
        <v>0</v>
      </c>
      <c r="AX115" s="32">
        <v>15978.66</v>
      </c>
      <c r="AY115" s="32">
        <v>15978.66</v>
      </c>
      <c r="AZ115" s="32">
        <v>4260.97</v>
      </c>
      <c r="BA115" s="32">
        <v>4260.97</v>
      </c>
      <c r="BB115" s="32">
        <v>0</v>
      </c>
      <c r="BC115" s="32">
        <v>0</v>
      </c>
      <c r="BD115" s="32">
        <v>48000</v>
      </c>
      <c r="BE115" s="32">
        <v>48000</v>
      </c>
      <c r="BF115" s="32">
        <v>0</v>
      </c>
      <c r="BG115" s="32">
        <v>550</v>
      </c>
      <c r="BH115" s="32">
        <v>550</v>
      </c>
      <c r="BI115" s="32">
        <v>0</v>
      </c>
      <c r="BJ115" s="32">
        <v>0</v>
      </c>
      <c r="BK115" s="32">
        <v>0</v>
      </c>
      <c r="BL115" s="32">
        <v>0</v>
      </c>
      <c r="BM115" s="32">
        <v>0</v>
      </c>
      <c r="BN115" s="32">
        <v>0</v>
      </c>
      <c r="BO115" s="32">
        <v>0</v>
      </c>
      <c r="BP115" s="32">
        <v>0</v>
      </c>
      <c r="BQ115" s="32">
        <v>44241</v>
      </c>
      <c r="BR115" s="32">
        <v>40691</v>
      </c>
      <c r="BS115" s="32">
        <v>46691</v>
      </c>
      <c r="BT115" s="32">
        <v>43691.06</v>
      </c>
      <c r="BU115" s="32">
        <v>0</v>
      </c>
      <c r="BV115" s="32">
        <v>0</v>
      </c>
      <c r="BW115" s="32">
        <v>0</v>
      </c>
      <c r="BX115" s="32">
        <v>0</v>
      </c>
      <c r="BY115" s="32">
        <v>0</v>
      </c>
      <c r="BZ115" s="32">
        <v>0</v>
      </c>
      <c r="CA115" s="32">
        <v>0</v>
      </c>
      <c r="CB115" s="33" t="s">
        <v>2147</v>
      </c>
      <c r="CC115" s="33" t="s">
        <v>675</v>
      </c>
      <c r="CD115" s="33" t="s">
        <v>706</v>
      </c>
      <c r="CE115" s="33" t="s">
        <v>501</v>
      </c>
      <c r="CF115" s="33" t="s">
        <v>685</v>
      </c>
      <c r="CG115" s="33" t="s">
        <v>2148</v>
      </c>
      <c r="CH115" s="33" t="s">
        <v>504</v>
      </c>
      <c r="CI115" s="33" t="s">
        <v>981</v>
      </c>
      <c r="CJ115" s="33" t="s">
        <v>981</v>
      </c>
      <c r="CK115" s="33" t="s">
        <v>918</v>
      </c>
      <c r="CL115" s="33" t="s">
        <v>212</v>
      </c>
      <c r="CM115" s="33"/>
      <c r="CN115" s="33" t="s">
        <v>254</v>
      </c>
      <c r="CO115" s="33" t="s">
        <v>260</v>
      </c>
      <c r="CP115" s="33" t="s">
        <v>2149</v>
      </c>
      <c r="CQ115" s="33" t="s">
        <v>920</v>
      </c>
      <c r="CR115" s="33" t="s">
        <v>599</v>
      </c>
      <c r="CS115" s="33" t="s">
        <v>2150</v>
      </c>
      <c r="CT115" s="33" t="s">
        <v>254</v>
      </c>
      <c r="CU115" s="33" t="s">
        <v>260</v>
      </c>
      <c r="CV115" s="33" t="s">
        <v>2151</v>
      </c>
      <c r="CW115" s="33" t="s">
        <v>2152</v>
      </c>
      <c r="CX115" s="33" t="s">
        <v>2153</v>
      </c>
      <c r="CY115" s="33" t="s">
        <v>892</v>
      </c>
      <c r="CZ115" s="33" t="s">
        <v>2154</v>
      </c>
      <c r="DA115" s="33" t="s">
        <v>922</v>
      </c>
      <c r="DB115" s="33" t="s">
        <v>892</v>
      </c>
      <c r="DC115" s="33" t="s">
        <v>2155</v>
      </c>
      <c r="DD115" s="33" t="s">
        <v>2156</v>
      </c>
      <c r="DE115" s="33" t="s">
        <v>2157</v>
      </c>
      <c r="DF115" s="34" t="s">
        <v>2158</v>
      </c>
      <c r="DG115" s="27" cm="1">
        <f t="array" ref="DG115">INDEX('elenco partner'!A:M,MATCH(1,(D115='elenco partner'!A:A)*('Partner data'!M115='elenco partner'!E:E),0),4)</f>
        <v>287</v>
      </c>
      <c r="DH115" s="83" t="str">
        <f t="shared" si="45"/>
        <v>COSTO REALE</v>
      </c>
      <c r="DI115" s="20">
        <f>COUNTIFS('MY-REPORT-MAIN'!C:C,'Partner data'!DG115,'MY-REPORT-MAIN'!I:I,"Certified")</f>
        <v>2</v>
      </c>
      <c r="DJ115" s="20">
        <f>COUNTIFS(List_Of_chek_list!M:M,"&lt;&gt;26",List_Of_chek_list!B:B,'Partner data'!DG115)</f>
        <v>2</v>
      </c>
      <c r="DK115" s="20">
        <f t="shared" si="46"/>
        <v>0</v>
      </c>
      <c r="DL115" s="19" t="str">
        <f>IF(DH115="Tasso Forfettario 20%",SUMIFS(List_Of_chek_list!#REF!,List_Of_chek_list!B:B,'Partner data'!DG115),"NON PERTINENTE")</f>
        <v>NON PERTINENTE</v>
      </c>
      <c r="DM115" s="19" t="str">
        <f t="shared" si="47"/>
        <v>NON PERTINENTE</v>
      </c>
      <c r="DN115" s="110">
        <f>_xlfn.MAXIFS('MY-REPORT-MAIN'!K:K,'MY-REPORT-MAIN'!C:C,DG115)</f>
        <v>45386.764293055552</v>
      </c>
      <c r="DO115" s="112">
        <f>IF(_xlfn.MAXIFS('MY-REPORT-MAIN'!M:M,'MY-REPORT-MAIN'!C:C,DG115)=0,"Nessun rendiconto  Convalidato",_xlfn.MAXIFS('MY-REPORT-MAIN'!M:M,'MY-REPORT-MAIN'!C:C,DG115))</f>
        <v>45468.746726678241</v>
      </c>
      <c r="DP115" s="113" cm="1">
        <f t="array" ref="DP115">IFERROR(INDEX('MY-REPORT-MAIN'!A:Z,MATCH(1,(DO115='MY-REPORT-MAIN'!M:M)*('Partner data'!DG115='MY-REPORT-MAIN'!C:C),0),1),"NON è stato convalidato ancora nessun rendiconto")</f>
        <v>326</v>
      </c>
      <c r="DQ115" s="111">
        <f>IFERROR(INDEX('MY-REPORT-MAIN'!A:Z,MATCH('Partner data'!DP115,'MY-REPORT-MAIN'!A:A,0),21),"Nessun Rendiconto ancora convalidato")</f>
        <v>21467.65</v>
      </c>
      <c r="DR115" s="110">
        <f>INDEX('Interreg VI-A Italy-Slovenia_pr'!A:E,MATCH('Partner data'!C115,'Interreg VI-A Italy-Slovenia_pr'!A:A,0),3)</f>
        <v>45108</v>
      </c>
      <c r="DS115" s="118">
        <f t="shared" si="29"/>
        <v>44241</v>
      </c>
      <c r="DT115" s="118">
        <f t="shared" si="30"/>
        <v>84932</v>
      </c>
      <c r="DU115" s="118">
        <f t="shared" si="31"/>
        <v>131623</v>
      </c>
      <c r="DV115" s="118">
        <f t="shared" si="32"/>
        <v>175314.06</v>
      </c>
      <c r="DW115" s="118">
        <f t="shared" si="33"/>
        <v>175314.06</v>
      </c>
      <c r="DX115" s="118">
        <f t="shared" si="34"/>
        <v>175314.06</v>
      </c>
      <c r="DY115" s="118">
        <f t="shared" si="35"/>
        <v>175314.06</v>
      </c>
      <c r="DZ115" s="118">
        <f t="shared" si="36"/>
        <v>175314.06</v>
      </c>
      <c r="EA115" s="118">
        <f t="shared" si="37"/>
        <v>175314.06</v>
      </c>
      <c r="EB115" s="118">
        <f t="shared" si="38"/>
        <v>175314.06</v>
      </c>
    </row>
    <row r="116" spans="1:132" x14ac:dyDescent="0.25">
      <c r="A116" s="28">
        <v>1</v>
      </c>
      <c r="B116" s="29" t="s">
        <v>487</v>
      </c>
      <c r="C116" s="30" t="s">
        <v>2132</v>
      </c>
      <c r="D116" s="30" t="s">
        <v>63</v>
      </c>
      <c r="E116" s="30" t="s">
        <v>2133</v>
      </c>
      <c r="F116" s="30" t="s">
        <v>490</v>
      </c>
      <c r="G116" s="30" t="s">
        <v>491</v>
      </c>
      <c r="H116" s="30" t="s">
        <v>766</v>
      </c>
      <c r="I116" s="30" t="s">
        <v>767</v>
      </c>
      <c r="J116" s="31" t="s">
        <v>554</v>
      </c>
      <c r="K116" s="31" t="s">
        <v>495</v>
      </c>
      <c r="L116" s="31" t="s">
        <v>519</v>
      </c>
      <c r="M116" s="31" t="s">
        <v>37</v>
      </c>
      <c r="N116" s="31" t="s">
        <v>2159</v>
      </c>
      <c r="O116" s="31" t="s">
        <v>2160</v>
      </c>
      <c r="P116" s="31" t="s">
        <v>254</v>
      </c>
      <c r="Q116" s="31" t="s">
        <v>499</v>
      </c>
      <c r="R116" s="31" t="s">
        <v>266</v>
      </c>
      <c r="S116" s="32">
        <v>140071.67999999999</v>
      </c>
      <c r="T116" s="32">
        <v>80</v>
      </c>
      <c r="U116" s="32">
        <v>23.37</v>
      </c>
      <c r="V116" s="32">
        <v>0</v>
      </c>
      <c r="W116" s="32">
        <v>0</v>
      </c>
      <c r="X116" s="32">
        <v>0</v>
      </c>
      <c r="Y116" s="32">
        <v>0</v>
      </c>
      <c r="Z116" s="32">
        <v>0</v>
      </c>
      <c r="AA116" s="32">
        <v>0</v>
      </c>
      <c r="AB116" s="32">
        <v>0</v>
      </c>
      <c r="AC116" s="32">
        <v>0</v>
      </c>
      <c r="AD116" s="32">
        <v>0</v>
      </c>
      <c r="AE116" s="32">
        <v>0</v>
      </c>
      <c r="AF116" s="32">
        <v>0</v>
      </c>
      <c r="AG116" s="32">
        <v>0</v>
      </c>
      <c r="AH116" s="32">
        <v>0</v>
      </c>
      <c r="AI116" s="32">
        <v>0</v>
      </c>
      <c r="AJ116" s="32">
        <v>0</v>
      </c>
      <c r="AK116" s="32">
        <v>0</v>
      </c>
      <c r="AL116" s="32">
        <v>0</v>
      </c>
      <c r="AM116" s="32">
        <v>0</v>
      </c>
      <c r="AN116" s="32">
        <v>0</v>
      </c>
      <c r="AO116" s="32">
        <v>35017.919999999998</v>
      </c>
      <c r="AP116" s="32">
        <v>0</v>
      </c>
      <c r="AQ116" s="32">
        <v>35017.919999999998</v>
      </c>
      <c r="AR116" s="32">
        <v>175089.6</v>
      </c>
      <c r="AS116" s="32">
        <v>23.37</v>
      </c>
      <c r="AT116" s="32">
        <v>125064</v>
      </c>
      <c r="AU116" s="32">
        <v>0</v>
      </c>
      <c r="AV116" s="32">
        <v>125064</v>
      </c>
      <c r="AW116" s="32">
        <v>0</v>
      </c>
      <c r="AX116" s="32">
        <v>0</v>
      </c>
      <c r="AY116" s="32">
        <v>0</v>
      </c>
      <c r="AZ116" s="32">
        <v>0</v>
      </c>
      <c r="BA116" s="32">
        <v>0</v>
      </c>
      <c r="BB116" s="32">
        <v>0</v>
      </c>
      <c r="BC116" s="32">
        <v>0</v>
      </c>
      <c r="BD116" s="32">
        <v>0</v>
      </c>
      <c r="BE116" s="32">
        <v>0</v>
      </c>
      <c r="BF116" s="32">
        <v>0</v>
      </c>
      <c r="BG116" s="32">
        <v>0</v>
      </c>
      <c r="BH116" s="32">
        <v>0</v>
      </c>
      <c r="BI116" s="32">
        <v>0</v>
      </c>
      <c r="BJ116" s="32">
        <v>0</v>
      </c>
      <c r="BK116" s="32">
        <v>0</v>
      </c>
      <c r="BL116" s="32">
        <v>0</v>
      </c>
      <c r="BM116" s="32">
        <v>50025.599999999999</v>
      </c>
      <c r="BN116" s="32">
        <v>0</v>
      </c>
      <c r="BO116" s="32">
        <v>0</v>
      </c>
      <c r="BP116" s="32">
        <v>0</v>
      </c>
      <c r="BQ116" s="32">
        <v>32650.799999999999</v>
      </c>
      <c r="BR116" s="32">
        <v>47479.6</v>
      </c>
      <c r="BS116" s="32">
        <v>47479.6</v>
      </c>
      <c r="BT116" s="32">
        <v>47479.6</v>
      </c>
      <c r="BU116" s="32">
        <v>0</v>
      </c>
      <c r="BV116" s="32">
        <v>0</v>
      </c>
      <c r="BW116" s="32">
        <v>0</v>
      </c>
      <c r="BX116" s="32">
        <v>0</v>
      </c>
      <c r="BY116" s="32">
        <v>0</v>
      </c>
      <c r="BZ116" s="32">
        <v>0</v>
      </c>
      <c r="CA116" s="32">
        <v>0</v>
      </c>
      <c r="CB116" s="33" t="s">
        <v>212</v>
      </c>
      <c r="CC116" s="33" t="s">
        <v>743</v>
      </c>
      <c r="CD116" s="33" t="s">
        <v>706</v>
      </c>
      <c r="CE116" s="33" t="s">
        <v>684</v>
      </c>
      <c r="CF116" s="33" t="s">
        <v>636</v>
      </c>
      <c r="CG116" s="33" t="s">
        <v>2161</v>
      </c>
      <c r="CH116" s="33" t="s">
        <v>526</v>
      </c>
      <c r="CI116" s="33" t="s">
        <v>981</v>
      </c>
      <c r="CJ116" s="33" t="s">
        <v>981</v>
      </c>
      <c r="CK116" s="33" t="s">
        <v>2162</v>
      </c>
      <c r="CL116" s="33" t="s">
        <v>212</v>
      </c>
      <c r="CM116" s="33"/>
      <c r="CN116" s="33" t="s">
        <v>254</v>
      </c>
      <c r="CO116" s="33" t="s">
        <v>266</v>
      </c>
      <c r="CP116" s="33" t="s">
        <v>2163</v>
      </c>
      <c r="CQ116" s="33" t="s">
        <v>1690</v>
      </c>
      <c r="CR116" s="33" t="s">
        <v>1691</v>
      </c>
      <c r="CS116" s="33" t="s">
        <v>2164</v>
      </c>
      <c r="CT116" s="33"/>
      <c r="CU116" s="33"/>
      <c r="CV116" s="33"/>
      <c r="CW116" s="33"/>
      <c r="CX116" s="33"/>
      <c r="CY116" s="33" t="s">
        <v>892</v>
      </c>
      <c r="CZ116" s="33" t="s">
        <v>2165</v>
      </c>
      <c r="DA116" s="33" t="s">
        <v>2166</v>
      </c>
      <c r="DB116" s="33" t="s">
        <v>895</v>
      </c>
      <c r="DC116" s="33" t="s">
        <v>2167</v>
      </c>
      <c r="DD116" s="33" t="s">
        <v>2168</v>
      </c>
      <c r="DE116" s="33" t="s">
        <v>2169</v>
      </c>
      <c r="DF116" s="34" t="s">
        <v>2170</v>
      </c>
      <c r="DG116" s="27" cm="1">
        <f t="array" ref="DG116">INDEX('elenco partner'!A:M,MATCH(1,(D116='elenco partner'!A:A)*('Partner data'!M116='elenco partner'!E:E),0),4)</f>
        <v>288</v>
      </c>
      <c r="DH116" s="83" t="str">
        <f t="shared" si="45"/>
        <v>COSTO REALE</v>
      </c>
      <c r="DI116" s="20">
        <f>COUNTIFS('MY-REPORT-MAIN'!C:C,'Partner data'!DG116,'MY-REPORT-MAIN'!I:I,"Certified")</f>
        <v>2</v>
      </c>
      <c r="DJ116" s="20">
        <f>COUNTIFS(List_Of_chek_list!M:M,"&lt;&gt;26",List_Of_chek_list!B:B,'Partner data'!DG116)</f>
        <v>1</v>
      </c>
      <c r="DK116" s="20">
        <f t="shared" si="46"/>
        <v>1</v>
      </c>
      <c r="DL116" s="19" t="str">
        <f>IF(DH116="Tasso Forfettario 20%",SUMIFS(List_Of_chek_list!#REF!,List_Of_chek_list!B:B,'Partner data'!DG116),"NON PERTINENTE")</f>
        <v>NON PERTINENTE</v>
      </c>
      <c r="DM116" s="19" t="str">
        <f t="shared" si="47"/>
        <v>NON PERTINENTE</v>
      </c>
      <c r="DN116" s="110">
        <f>_xlfn.MAXIFS('MY-REPORT-MAIN'!K:K,'MY-REPORT-MAIN'!C:C,DG116)</f>
        <v>45386.441983425924</v>
      </c>
      <c r="DO116" s="112">
        <f>IF(_xlfn.MAXIFS('MY-REPORT-MAIN'!M:M,'MY-REPORT-MAIN'!C:C,DG116)=0,"Nessun rendiconto  Convalidato",_xlfn.MAXIFS('MY-REPORT-MAIN'!M:M,'MY-REPORT-MAIN'!C:C,DG116))</f>
        <v>45470.689785243056</v>
      </c>
      <c r="DP116" s="113" cm="1">
        <f t="array" ref="DP116">IFERROR(INDEX('MY-REPORT-MAIN'!A:Z,MATCH(1,(DO116='MY-REPORT-MAIN'!M:M)*('Partner data'!DG116='MY-REPORT-MAIN'!C:C),0),1),"NON è stato convalidato ancora nessun rendiconto")</f>
        <v>266</v>
      </c>
      <c r="DQ116" s="111">
        <f>IFERROR(INDEX('MY-REPORT-MAIN'!A:Z,MATCH('Partner data'!DP116,'MY-REPORT-MAIN'!A:A,0),21),"Nessun Rendiconto ancora convalidato")</f>
        <v>14667.71</v>
      </c>
      <c r="DR116" s="110">
        <f>INDEX('Interreg VI-A Italy-Slovenia_pr'!A:E,MATCH('Partner data'!C116,'Interreg VI-A Italy-Slovenia_pr'!A:A,0),3)</f>
        <v>45108</v>
      </c>
      <c r="DS116" s="118">
        <f t="shared" si="29"/>
        <v>32650.799999999999</v>
      </c>
      <c r="DT116" s="118">
        <f t="shared" si="30"/>
        <v>80130.399999999994</v>
      </c>
      <c r="DU116" s="118">
        <f t="shared" si="31"/>
        <v>127610</v>
      </c>
      <c r="DV116" s="118">
        <f t="shared" si="32"/>
        <v>175089.6</v>
      </c>
      <c r="DW116" s="118">
        <f t="shared" si="33"/>
        <v>175089.6</v>
      </c>
      <c r="DX116" s="118">
        <f t="shared" si="34"/>
        <v>175089.6</v>
      </c>
      <c r="DY116" s="118">
        <f t="shared" si="35"/>
        <v>175089.6</v>
      </c>
      <c r="DZ116" s="118">
        <f t="shared" si="36"/>
        <v>175089.6</v>
      </c>
      <c r="EA116" s="118">
        <f t="shared" si="37"/>
        <v>175089.6</v>
      </c>
      <c r="EB116" s="118">
        <f t="shared" si="38"/>
        <v>175089.6</v>
      </c>
    </row>
    <row r="117" spans="1:132" x14ac:dyDescent="0.25">
      <c r="A117" s="28">
        <v>1</v>
      </c>
      <c r="B117" s="29" t="s">
        <v>487</v>
      </c>
      <c r="C117" s="30" t="s">
        <v>2171</v>
      </c>
      <c r="D117" s="30" t="s">
        <v>361</v>
      </c>
      <c r="E117" s="30" t="s">
        <v>2172</v>
      </c>
      <c r="F117" s="30" t="s">
        <v>593</v>
      </c>
      <c r="G117" s="30" t="s">
        <v>491</v>
      </c>
      <c r="H117" s="30" t="s">
        <v>691</v>
      </c>
      <c r="I117" s="30" t="s">
        <v>1044</v>
      </c>
      <c r="J117" s="31" t="s">
        <v>494</v>
      </c>
      <c r="K117" s="31" t="s">
        <v>495</v>
      </c>
      <c r="L117" s="31" t="s">
        <v>496</v>
      </c>
      <c r="M117" s="31" t="s">
        <v>300</v>
      </c>
      <c r="N117" s="31" t="s">
        <v>1202</v>
      </c>
      <c r="O117" s="31" t="s">
        <v>1203</v>
      </c>
      <c r="P117" s="31" t="s">
        <v>257</v>
      </c>
      <c r="Q117" s="31" t="s">
        <v>556</v>
      </c>
      <c r="R117" s="31" t="s">
        <v>269</v>
      </c>
      <c r="S117" s="32">
        <v>114120</v>
      </c>
      <c r="T117" s="32">
        <v>80</v>
      </c>
      <c r="U117" s="32">
        <v>19.02</v>
      </c>
      <c r="V117" s="32">
        <v>0</v>
      </c>
      <c r="W117" s="32">
        <v>0</v>
      </c>
      <c r="X117" s="32">
        <v>0</v>
      </c>
      <c r="Y117" s="32">
        <v>0</v>
      </c>
      <c r="Z117" s="32">
        <v>0</v>
      </c>
      <c r="AA117" s="32">
        <v>0</v>
      </c>
      <c r="AB117" s="32">
        <v>0</v>
      </c>
      <c r="AC117" s="32">
        <v>0</v>
      </c>
      <c r="AD117" s="32">
        <v>0</v>
      </c>
      <c r="AE117" s="32">
        <v>0</v>
      </c>
      <c r="AF117" s="32">
        <v>0</v>
      </c>
      <c r="AG117" s="32">
        <v>0</v>
      </c>
      <c r="AH117" s="32">
        <v>0</v>
      </c>
      <c r="AI117" s="32">
        <v>0</v>
      </c>
      <c r="AJ117" s="32">
        <v>0</v>
      </c>
      <c r="AK117" s="32">
        <v>0</v>
      </c>
      <c r="AL117" s="32">
        <v>0</v>
      </c>
      <c r="AM117" s="32">
        <v>0</v>
      </c>
      <c r="AN117" s="32">
        <v>28530</v>
      </c>
      <c r="AO117" s="32">
        <v>0</v>
      </c>
      <c r="AP117" s="32">
        <v>0</v>
      </c>
      <c r="AQ117" s="32">
        <v>28530</v>
      </c>
      <c r="AR117" s="32">
        <v>142650</v>
      </c>
      <c r="AS117" s="32">
        <v>19.02</v>
      </c>
      <c r="AT117" s="32">
        <v>35000</v>
      </c>
      <c r="AU117" s="32">
        <v>0</v>
      </c>
      <c r="AV117" s="32">
        <v>35000</v>
      </c>
      <c r="AW117" s="32">
        <v>0</v>
      </c>
      <c r="AX117" s="32">
        <v>5250</v>
      </c>
      <c r="AY117" s="32">
        <v>5250</v>
      </c>
      <c r="AZ117" s="32">
        <v>1400</v>
      </c>
      <c r="BA117" s="32">
        <v>1400</v>
      </c>
      <c r="BB117" s="32">
        <v>0</v>
      </c>
      <c r="BC117" s="32">
        <v>0</v>
      </c>
      <c r="BD117" s="32">
        <v>62000</v>
      </c>
      <c r="BE117" s="32">
        <v>62000</v>
      </c>
      <c r="BF117" s="32">
        <v>0</v>
      </c>
      <c r="BG117" s="32">
        <v>30000</v>
      </c>
      <c r="BH117" s="32">
        <v>30000</v>
      </c>
      <c r="BI117" s="32">
        <v>0</v>
      </c>
      <c r="BJ117" s="32">
        <v>0</v>
      </c>
      <c r="BK117" s="32">
        <v>0</v>
      </c>
      <c r="BL117" s="32">
        <v>0</v>
      </c>
      <c r="BM117" s="32">
        <v>0</v>
      </c>
      <c r="BN117" s="32">
        <v>0</v>
      </c>
      <c r="BO117" s="32">
        <v>9000</v>
      </c>
      <c r="BP117" s="32">
        <v>9000</v>
      </c>
      <c r="BQ117" s="32">
        <v>21412.5</v>
      </c>
      <c r="BR117" s="32">
        <v>21412.5</v>
      </c>
      <c r="BS117" s="32">
        <v>46412.5</v>
      </c>
      <c r="BT117" s="32">
        <v>44412.5</v>
      </c>
      <c r="BU117" s="32">
        <v>0</v>
      </c>
      <c r="BV117" s="32">
        <v>0</v>
      </c>
      <c r="BW117" s="32">
        <v>0</v>
      </c>
      <c r="BX117" s="32">
        <v>0</v>
      </c>
      <c r="BY117" s="32">
        <v>0</v>
      </c>
      <c r="BZ117" s="32">
        <v>0</v>
      </c>
      <c r="CA117" s="32">
        <v>0</v>
      </c>
      <c r="CB117" s="33" t="s">
        <v>2173</v>
      </c>
      <c r="CC117" s="33" t="s">
        <v>522</v>
      </c>
      <c r="CD117" s="33"/>
      <c r="CE117" s="33" t="s">
        <v>523</v>
      </c>
      <c r="CF117" s="33" t="s">
        <v>607</v>
      </c>
      <c r="CG117" s="33" t="s">
        <v>1205</v>
      </c>
      <c r="CH117" s="33" t="s">
        <v>526</v>
      </c>
      <c r="CI117" s="33"/>
      <c r="CJ117" s="33" t="s">
        <v>212</v>
      </c>
      <c r="CK117" s="33"/>
      <c r="CL117" s="33" t="s">
        <v>212</v>
      </c>
      <c r="CM117" s="33"/>
      <c r="CN117" s="33" t="s">
        <v>257</v>
      </c>
      <c r="CO117" s="33" t="s">
        <v>269</v>
      </c>
      <c r="CP117" s="33" t="s">
        <v>2174</v>
      </c>
      <c r="CQ117" s="33" t="s">
        <v>1208</v>
      </c>
      <c r="CR117" s="33" t="s">
        <v>1209</v>
      </c>
      <c r="CS117" s="33" t="s">
        <v>2175</v>
      </c>
      <c r="CT117" s="33" t="s">
        <v>257</v>
      </c>
      <c r="CU117" s="33" t="s">
        <v>269</v>
      </c>
      <c r="CV117" s="33" t="s">
        <v>2174</v>
      </c>
      <c r="CW117" s="33" t="s">
        <v>1208</v>
      </c>
      <c r="CX117" s="33" t="s">
        <v>1209</v>
      </c>
      <c r="CY117" s="33" t="s">
        <v>531</v>
      </c>
      <c r="CZ117" s="33" t="s">
        <v>1211</v>
      </c>
      <c r="DA117" s="33" t="s">
        <v>1212</v>
      </c>
      <c r="DB117" s="33" t="s">
        <v>531</v>
      </c>
      <c r="DC117" s="33" t="s">
        <v>1213</v>
      </c>
      <c r="DD117" s="33" t="s">
        <v>1214</v>
      </c>
      <c r="DE117" s="33" t="s">
        <v>1215</v>
      </c>
      <c r="DF117" s="34" t="s">
        <v>2176</v>
      </c>
      <c r="DG117" s="27" cm="1">
        <f t="array" ref="DG117">INDEX('elenco partner'!A:M,MATCH(1,(D117='elenco partner'!A:A)*('Partner data'!M117='elenco partner'!E:E),0),4)</f>
        <v>238</v>
      </c>
      <c r="DH117" s="83" t="str">
        <f t="shared" si="45"/>
        <v>COSTO REALE</v>
      </c>
      <c r="DI117" s="20">
        <f>COUNTIFS('MY-REPORT-MAIN'!C:C,'Partner data'!DG117,'MY-REPORT-MAIN'!I:I,"Certified")</f>
        <v>1</v>
      </c>
      <c r="DJ117" s="20">
        <f>COUNTIFS(List_Of_chek_list!M:M,"&lt;&gt;26",List_Of_chek_list!B:B,'Partner data'!DG117)</f>
        <v>1</v>
      </c>
      <c r="DK117" s="20">
        <f t="shared" si="46"/>
        <v>0</v>
      </c>
      <c r="DL117" s="19" t="str">
        <f>IF(DH117="Tasso Forfettario 20%",SUMIFS(List_Of_chek_list!#REF!,List_Of_chek_list!B:B,'Partner data'!DG117),"NON PERTINENTE")</f>
        <v>NON PERTINENTE</v>
      </c>
      <c r="DM117" s="19" t="str">
        <f t="shared" si="47"/>
        <v>NON PERTINENTE</v>
      </c>
      <c r="DN117" s="110">
        <f>_xlfn.MAXIFS('MY-REPORT-MAIN'!K:K,'MY-REPORT-MAIN'!C:C,DG117)</f>
        <v>45380.535099317131</v>
      </c>
      <c r="DO117" s="112">
        <f>IF(_xlfn.MAXIFS('MY-REPORT-MAIN'!M:M,'MY-REPORT-MAIN'!C:C,DG117)=0,"Nessun rendiconto  Convalidato",_xlfn.MAXIFS('MY-REPORT-MAIN'!M:M,'MY-REPORT-MAIN'!C:C,DG117))</f>
        <v>45441.301892199073</v>
      </c>
      <c r="DP117" s="113" cm="1">
        <f t="array" ref="DP117">IFERROR(INDEX('MY-REPORT-MAIN'!A:Z,MATCH(1,(DO117='MY-REPORT-MAIN'!M:M)*('Partner data'!DG117='MY-REPORT-MAIN'!C:C),0),1),"NON è stato convalidato ancora nessun rendiconto")</f>
        <v>143</v>
      </c>
      <c r="DQ117" s="111">
        <f>IFERROR(INDEX('MY-REPORT-MAIN'!A:Z,MATCH('Partner data'!DP117,'MY-REPORT-MAIN'!A:A,0),21),"Nessun Rendiconto ancora convalidato")</f>
        <v>10615.95</v>
      </c>
      <c r="DR117" s="110">
        <f>INDEX('Interreg VI-A Italy-Slovenia_pr'!A:E,MATCH('Partner data'!C117,'Interreg VI-A Italy-Slovenia_pr'!A:A,0),3)</f>
        <v>45200</v>
      </c>
      <c r="DS117" s="118">
        <f t="shared" si="29"/>
        <v>30412.5</v>
      </c>
      <c r="DT117" s="118">
        <f t="shared" si="30"/>
        <v>51825</v>
      </c>
      <c r="DU117" s="118">
        <f t="shared" si="31"/>
        <v>98237.5</v>
      </c>
      <c r="DV117" s="118">
        <f t="shared" si="32"/>
        <v>142650</v>
      </c>
      <c r="DW117" s="118">
        <f t="shared" si="33"/>
        <v>142650</v>
      </c>
      <c r="DX117" s="118">
        <f t="shared" si="34"/>
        <v>142650</v>
      </c>
      <c r="DY117" s="118">
        <f t="shared" si="35"/>
        <v>142650</v>
      </c>
      <c r="DZ117" s="118">
        <f t="shared" si="36"/>
        <v>142650</v>
      </c>
      <c r="EA117" s="118">
        <f t="shared" si="37"/>
        <v>142650</v>
      </c>
      <c r="EB117" s="118">
        <f t="shared" si="38"/>
        <v>142650</v>
      </c>
    </row>
    <row r="118" spans="1:132" x14ac:dyDescent="0.25">
      <c r="A118" s="28">
        <v>1</v>
      </c>
      <c r="B118" s="29" t="s">
        <v>487</v>
      </c>
      <c r="C118" s="30" t="s">
        <v>2171</v>
      </c>
      <c r="D118" s="30" t="s">
        <v>361</v>
      </c>
      <c r="E118" s="30" t="s">
        <v>2172</v>
      </c>
      <c r="F118" s="30" t="s">
        <v>593</v>
      </c>
      <c r="G118" s="30" t="s">
        <v>491</v>
      </c>
      <c r="H118" s="30" t="s">
        <v>691</v>
      </c>
      <c r="I118" s="30" t="s">
        <v>1044</v>
      </c>
      <c r="J118" s="31" t="s">
        <v>518</v>
      </c>
      <c r="K118" s="31" t="s">
        <v>495</v>
      </c>
      <c r="L118" s="31" t="s">
        <v>519</v>
      </c>
      <c r="M118" s="31" t="s">
        <v>363</v>
      </c>
      <c r="N118" s="31" t="s">
        <v>2177</v>
      </c>
      <c r="O118" s="31" t="s">
        <v>2178</v>
      </c>
      <c r="P118" s="31" t="s">
        <v>257</v>
      </c>
      <c r="Q118" s="31" t="s">
        <v>556</v>
      </c>
      <c r="R118" s="31" t="s">
        <v>258</v>
      </c>
      <c r="S118" s="32">
        <v>100800</v>
      </c>
      <c r="T118" s="32">
        <v>80</v>
      </c>
      <c r="U118" s="32">
        <v>16.8</v>
      </c>
      <c r="V118" s="32">
        <v>0</v>
      </c>
      <c r="W118" s="32">
        <v>0</v>
      </c>
      <c r="X118" s="32">
        <v>0</v>
      </c>
      <c r="Y118" s="32">
        <v>0</v>
      </c>
      <c r="Z118" s="32">
        <v>0</v>
      </c>
      <c r="AA118" s="32">
        <v>0</v>
      </c>
      <c r="AB118" s="32">
        <v>0</v>
      </c>
      <c r="AC118" s="32">
        <v>0</v>
      </c>
      <c r="AD118" s="32">
        <v>0</v>
      </c>
      <c r="AE118" s="32">
        <v>0</v>
      </c>
      <c r="AF118" s="32">
        <v>0</v>
      </c>
      <c r="AG118" s="32">
        <v>0</v>
      </c>
      <c r="AH118" s="32">
        <v>0</v>
      </c>
      <c r="AI118" s="32">
        <v>0</v>
      </c>
      <c r="AJ118" s="32">
        <v>0</v>
      </c>
      <c r="AK118" s="32">
        <v>0</v>
      </c>
      <c r="AL118" s="32">
        <v>0</v>
      </c>
      <c r="AM118" s="32">
        <v>0</v>
      </c>
      <c r="AN118" s="32">
        <v>25200</v>
      </c>
      <c r="AO118" s="32">
        <v>0</v>
      </c>
      <c r="AP118" s="32">
        <v>0</v>
      </c>
      <c r="AQ118" s="32">
        <v>25200</v>
      </c>
      <c r="AR118" s="32">
        <v>126000</v>
      </c>
      <c r="AS118" s="32">
        <v>16.8</v>
      </c>
      <c r="AT118" s="32">
        <v>90000</v>
      </c>
      <c r="AU118" s="32">
        <v>0</v>
      </c>
      <c r="AV118" s="32">
        <v>90000</v>
      </c>
      <c r="AW118" s="32">
        <v>0</v>
      </c>
      <c r="AX118" s="32">
        <v>0</v>
      </c>
      <c r="AY118" s="32">
        <v>0</v>
      </c>
      <c r="AZ118" s="32">
        <v>0</v>
      </c>
      <c r="BA118" s="32">
        <v>0</v>
      </c>
      <c r="BB118" s="32">
        <v>0</v>
      </c>
      <c r="BC118" s="32">
        <v>0</v>
      </c>
      <c r="BD118" s="32">
        <v>0</v>
      </c>
      <c r="BE118" s="32">
        <v>0</v>
      </c>
      <c r="BF118" s="32">
        <v>0</v>
      </c>
      <c r="BG118" s="32">
        <v>0</v>
      </c>
      <c r="BH118" s="32">
        <v>0</v>
      </c>
      <c r="BI118" s="32">
        <v>0</v>
      </c>
      <c r="BJ118" s="32">
        <v>0</v>
      </c>
      <c r="BK118" s="32">
        <v>0</v>
      </c>
      <c r="BL118" s="32">
        <v>0</v>
      </c>
      <c r="BM118" s="32">
        <v>36000</v>
      </c>
      <c r="BN118" s="32">
        <v>0</v>
      </c>
      <c r="BO118" s="32">
        <v>0</v>
      </c>
      <c r="BP118" s="32">
        <v>0</v>
      </c>
      <c r="BQ118" s="32">
        <v>61600</v>
      </c>
      <c r="BR118" s="32">
        <v>23800</v>
      </c>
      <c r="BS118" s="32">
        <v>17500</v>
      </c>
      <c r="BT118" s="32">
        <v>23100</v>
      </c>
      <c r="BU118" s="32">
        <v>0</v>
      </c>
      <c r="BV118" s="32">
        <v>0</v>
      </c>
      <c r="BW118" s="32">
        <v>0</v>
      </c>
      <c r="BX118" s="32">
        <v>0</v>
      </c>
      <c r="BY118" s="32">
        <v>0</v>
      </c>
      <c r="BZ118" s="32">
        <v>0</v>
      </c>
      <c r="CA118" s="32">
        <v>0</v>
      </c>
      <c r="CB118" s="33" t="s">
        <v>212</v>
      </c>
      <c r="CC118" s="33" t="s">
        <v>949</v>
      </c>
      <c r="CD118" s="33"/>
      <c r="CE118" s="33" t="s">
        <v>523</v>
      </c>
      <c r="CF118" s="33" t="s">
        <v>707</v>
      </c>
      <c r="CG118" s="33" t="s">
        <v>1084</v>
      </c>
      <c r="CH118" s="33" t="s">
        <v>526</v>
      </c>
      <c r="CI118" s="33"/>
      <c r="CJ118" s="33" t="s">
        <v>212</v>
      </c>
      <c r="CK118" s="33"/>
      <c r="CL118" s="33" t="s">
        <v>212</v>
      </c>
      <c r="CM118" s="33"/>
      <c r="CN118" s="33" t="s">
        <v>257</v>
      </c>
      <c r="CO118" s="33" t="s">
        <v>258</v>
      </c>
      <c r="CP118" s="33" t="s">
        <v>2179</v>
      </c>
      <c r="CQ118" s="33" t="s">
        <v>620</v>
      </c>
      <c r="CR118" s="33" t="s">
        <v>621</v>
      </c>
      <c r="CS118" s="33" t="s">
        <v>1086</v>
      </c>
      <c r="CT118" s="33"/>
      <c r="CU118" s="33"/>
      <c r="CV118" s="33"/>
      <c r="CW118" s="33"/>
      <c r="CX118" s="33"/>
      <c r="CY118" s="33" t="s">
        <v>531</v>
      </c>
      <c r="CZ118" s="33" t="s">
        <v>1087</v>
      </c>
      <c r="DA118" s="33" t="s">
        <v>1088</v>
      </c>
      <c r="DB118" s="33" t="s">
        <v>531</v>
      </c>
      <c r="DC118" s="33" t="s">
        <v>1089</v>
      </c>
      <c r="DD118" s="33" t="s">
        <v>1090</v>
      </c>
      <c r="DE118" s="33" t="s">
        <v>1091</v>
      </c>
      <c r="DF118" s="34" t="s">
        <v>2180</v>
      </c>
      <c r="DG118" s="27" cm="1">
        <f t="array" ref="DG118">INDEX('elenco partner'!A:M,MATCH(1,(D118='elenco partner'!A:A)*('Partner data'!M118='elenco partner'!E:E),0),4)</f>
        <v>239</v>
      </c>
      <c r="DH118" s="83" t="str">
        <f t="shared" si="45"/>
        <v>COSTO REALE</v>
      </c>
      <c r="DI118" s="20">
        <f>COUNTIFS('MY-REPORT-MAIN'!C:C,'Partner data'!DG118,'MY-REPORT-MAIN'!I:I,"Certified")</f>
        <v>1</v>
      </c>
      <c r="DJ118" s="20">
        <f>COUNTIFS(List_Of_chek_list!M:M,"&lt;&gt;26",List_Of_chek_list!B:B,'Partner data'!DG118)</f>
        <v>1</v>
      </c>
      <c r="DK118" s="20">
        <f t="shared" si="46"/>
        <v>0</v>
      </c>
      <c r="DL118" s="19" t="str">
        <f>IF(DH118="Tasso Forfettario 20%",SUMIFS(List_Of_chek_list!#REF!,List_Of_chek_list!B:B,'Partner data'!DG118),"NON PERTINENTE")</f>
        <v>NON PERTINENTE</v>
      </c>
      <c r="DM118" s="19" t="str">
        <f t="shared" si="47"/>
        <v>NON PERTINENTE</v>
      </c>
      <c r="DN118" s="110">
        <f>_xlfn.MAXIFS('MY-REPORT-MAIN'!K:K,'MY-REPORT-MAIN'!C:C,DG118)</f>
        <v>45379.483853483798</v>
      </c>
      <c r="DO118" s="112">
        <f>IF(_xlfn.MAXIFS('MY-REPORT-MAIN'!M:M,'MY-REPORT-MAIN'!C:C,DG118)=0,"Nessun rendiconto  Convalidato",_xlfn.MAXIFS('MY-REPORT-MAIN'!M:M,'MY-REPORT-MAIN'!C:C,DG118))</f>
        <v>45433.388765821757</v>
      </c>
      <c r="DP118" s="113" cm="1">
        <f t="array" ref="DP118">IFERROR(INDEX('MY-REPORT-MAIN'!A:Z,MATCH(1,(DO118='MY-REPORT-MAIN'!M:M)*('Partner data'!DG118='MY-REPORT-MAIN'!C:C),0),1),"NON è stato convalidato ancora nessun rendiconto")</f>
        <v>144</v>
      </c>
      <c r="DQ118" s="111">
        <f>IFERROR(INDEX('MY-REPORT-MAIN'!A:Z,MATCH('Partner data'!DP118,'MY-REPORT-MAIN'!A:A,0),21),"Nessun Rendiconto ancora convalidato")</f>
        <v>52250.96</v>
      </c>
      <c r="DR118" s="110">
        <f>INDEX('Interreg VI-A Italy-Slovenia_pr'!A:E,MATCH('Partner data'!C118,'Interreg VI-A Italy-Slovenia_pr'!A:A,0),3)</f>
        <v>45200</v>
      </c>
      <c r="DS118" s="118">
        <f t="shared" si="29"/>
        <v>61600</v>
      </c>
      <c r="DT118" s="118">
        <f t="shared" si="30"/>
        <v>85400</v>
      </c>
      <c r="DU118" s="118">
        <f t="shared" si="31"/>
        <v>102900</v>
      </c>
      <c r="DV118" s="118">
        <f t="shared" si="32"/>
        <v>126000</v>
      </c>
      <c r="DW118" s="118">
        <f t="shared" si="33"/>
        <v>126000</v>
      </c>
      <c r="DX118" s="118">
        <f t="shared" si="34"/>
        <v>126000</v>
      </c>
      <c r="DY118" s="118">
        <f t="shared" si="35"/>
        <v>126000</v>
      </c>
      <c r="DZ118" s="118">
        <f t="shared" si="36"/>
        <v>126000</v>
      </c>
      <c r="EA118" s="118">
        <f t="shared" si="37"/>
        <v>126000</v>
      </c>
      <c r="EB118" s="118">
        <f t="shared" si="38"/>
        <v>126000</v>
      </c>
    </row>
    <row r="119" spans="1:132" x14ac:dyDescent="0.25">
      <c r="A119" s="28">
        <v>1</v>
      </c>
      <c r="B119" s="29" t="s">
        <v>487</v>
      </c>
      <c r="C119" s="30" t="s">
        <v>2171</v>
      </c>
      <c r="D119" s="30" t="s">
        <v>361</v>
      </c>
      <c r="E119" s="30" t="s">
        <v>2172</v>
      </c>
      <c r="F119" s="30" t="s">
        <v>593</v>
      </c>
      <c r="G119" s="30" t="s">
        <v>491</v>
      </c>
      <c r="H119" s="30" t="s">
        <v>691</v>
      </c>
      <c r="I119" s="30" t="s">
        <v>1044</v>
      </c>
      <c r="J119" s="31" t="s">
        <v>538</v>
      </c>
      <c r="K119" s="31" t="s">
        <v>495</v>
      </c>
      <c r="L119" s="31" t="s">
        <v>519</v>
      </c>
      <c r="M119" s="31" t="s">
        <v>342</v>
      </c>
      <c r="N119" s="31" t="s">
        <v>2181</v>
      </c>
      <c r="O119" s="31" t="s">
        <v>2182</v>
      </c>
      <c r="P119" s="31" t="s">
        <v>257</v>
      </c>
      <c r="Q119" s="31" t="s">
        <v>556</v>
      </c>
      <c r="R119" s="31" t="s">
        <v>269</v>
      </c>
      <c r="S119" s="32">
        <v>88046.56</v>
      </c>
      <c r="T119" s="32">
        <v>80</v>
      </c>
      <c r="U119" s="32">
        <v>14.68</v>
      </c>
      <c r="V119" s="32">
        <v>0</v>
      </c>
      <c r="W119" s="32">
        <v>0</v>
      </c>
      <c r="X119" s="32">
        <v>0</v>
      </c>
      <c r="Y119" s="32">
        <v>0</v>
      </c>
      <c r="Z119" s="32">
        <v>0</v>
      </c>
      <c r="AA119" s="32">
        <v>0</v>
      </c>
      <c r="AB119" s="32">
        <v>0</v>
      </c>
      <c r="AC119" s="32">
        <v>0</v>
      </c>
      <c r="AD119" s="32">
        <v>0</v>
      </c>
      <c r="AE119" s="32">
        <v>0</v>
      </c>
      <c r="AF119" s="32">
        <v>0</v>
      </c>
      <c r="AG119" s="32">
        <v>0</v>
      </c>
      <c r="AH119" s="32">
        <v>0</v>
      </c>
      <c r="AI119" s="32">
        <v>0</v>
      </c>
      <c r="AJ119" s="32">
        <v>0</v>
      </c>
      <c r="AK119" s="32">
        <v>0</v>
      </c>
      <c r="AL119" s="32">
        <v>0</v>
      </c>
      <c r="AM119" s="32">
        <v>0</v>
      </c>
      <c r="AN119" s="32">
        <v>22011.64</v>
      </c>
      <c r="AO119" s="32">
        <v>0</v>
      </c>
      <c r="AP119" s="32">
        <v>0</v>
      </c>
      <c r="AQ119" s="32">
        <v>22011.64</v>
      </c>
      <c r="AR119" s="32">
        <v>110058.2</v>
      </c>
      <c r="AS119" s="32">
        <v>14.68</v>
      </c>
      <c r="AT119" s="32">
        <v>17780</v>
      </c>
      <c r="AU119" s="32">
        <v>17780</v>
      </c>
      <c r="AV119" s="32">
        <v>0</v>
      </c>
      <c r="AW119" s="32">
        <v>0</v>
      </c>
      <c r="AX119" s="32">
        <v>2667</v>
      </c>
      <c r="AY119" s="32">
        <v>2667</v>
      </c>
      <c r="AZ119" s="32">
        <v>711.2</v>
      </c>
      <c r="BA119" s="32">
        <v>711.2</v>
      </c>
      <c r="BB119" s="32">
        <v>0</v>
      </c>
      <c r="BC119" s="32">
        <v>0</v>
      </c>
      <c r="BD119" s="32">
        <v>50500</v>
      </c>
      <c r="BE119" s="32">
        <v>50500</v>
      </c>
      <c r="BF119" s="32">
        <v>0</v>
      </c>
      <c r="BG119" s="32">
        <v>38400</v>
      </c>
      <c r="BH119" s="32">
        <v>38400</v>
      </c>
      <c r="BI119" s="32">
        <v>0</v>
      </c>
      <c r="BJ119" s="32">
        <v>0</v>
      </c>
      <c r="BK119" s="32">
        <v>0</v>
      </c>
      <c r="BL119" s="32">
        <v>0</v>
      </c>
      <c r="BM119" s="32">
        <v>0</v>
      </c>
      <c r="BN119" s="32">
        <v>0</v>
      </c>
      <c r="BO119" s="32">
        <v>0</v>
      </c>
      <c r="BP119" s="32">
        <v>0</v>
      </c>
      <c r="BQ119" s="32">
        <v>17084.400000000001</v>
      </c>
      <c r="BR119" s="32">
        <v>42215.8</v>
      </c>
      <c r="BS119" s="32">
        <v>25998</v>
      </c>
      <c r="BT119" s="32">
        <v>24760</v>
      </c>
      <c r="BU119" s="32">
        <v>0</v>
      </c>
      <c r="BV119" s="32">
        <v>0</v>
      </c>
      <c r="BW119" s="32">
        <v>0</v>
      </c>
      <c r="BX119" s="32">
        <v>0</v>
      </c>
      <c r="BY119" s="32">
        <v>0</v>
      </c>
      <c r="BZ119" s="32">
        <v>0</v>
      </c>
      <c r="CA119" s="32">
        <v>0</v>
      </c>
      <c r="CB119" s="33" t="s">
        <v>212</v>
      </c>
      <c r="CC119" s="33" t="s">
        <v>522</v>
      </c>
      <c r="CD119" s="33"/>
      <c r="CE119" s="33" t="s">
        <v>523</v>
      </c>
      <c r="CF119" s="33" t="s">
        <v>2183</v>
      </c>
      <c r="CG119" s="33" t="s">
        <v>2184</v>
      </c>
      <c r="CH119" s="33" t="s">
        <v>619</v>
      </c>
      <c r="CI119" s="33"/>
      <c r="CJ119" s="33" t="s">
        <v>212</v>
      </c>
      <c r="CK119" s="33"/>
      <c r="CL119" s="33" t="s">
        <v>212</v>
      </c>
      <c r="CM119" s="33"/>
      <c r="CN119" s="33" t="s">
        <v>257</v>
      </c>
      <c r="CO119" s="33" t="s">
        <v>269</v>
      </c>
      <c r="CP119" s="33" t="s">
        <v>2185</v>
      </c>
      <c r="CQ119" s="33" t="s">
        <v>760</v>
      </c>
      <c r="CR119" s="33" t="s">
        <v>761</v>
      </c>
      <c r="CS119" s="33" t="s">
        <v>2186</v>
      </c>
      <c r="CT119" s="33"/>
      <c r="CU119" s="33"/>
      <c r="CV119" s="33"/>
      <c r="CW119" s="33"/>
      <c r="CX119" s="33"/>
      <c r="CY119" s="33" t="s">
        <v>531</v>
      </c>
      <c r="CZ119" s="33" t="s">
        <v>623</v>
      </c>
      <c r="DA119" s="33" t="s">
        <v>1958</v>
      </c>
      <c r="DB119" s="33" t="s">
        <v>531</v>
      </c>
      <c r="DC119" s="33" t="s">
        <v>1959</v>
      </c>
      <c r="DD119" s="33" t="s">
        <v>1960</v>
      </c>
      <c r="DE119" s="33" t="s">
        <v>1961</v>
      </c>
      <c r="DF119" s="34" t="s">
        <v>1962</v>
      </c>
      <c r="DG119" s="27" cm="1">
        <f t="array" ref="DG119">INDEX('elenco partner'!A:M,MATCH(1,(D119='elenco partner'!A:A)*('Partner data'!M119='elenco partner'!E:E),0),4)</f>
        <v>240</v>
      </c>
      <c r="DH119" s="83" t="str">
        <f t="shared" si="45"/>
        <v>Tasso Forfettario 20%</v>
      </c>
      <c r="DI119" s="20">
        <f>COUNTIFS('MY-REPORT-MAIN'!C:C,'Partner data'!DG119,'MY-REPORT-MAIN'!I:I,"Certified")</f>
        <v>1</v>
      </c>
      <c r="DJ119" s="20">
        <f>COUNTIFS(List_Of_chek_list!M:M,"&lt;&gt;26",List_Of_chek_list!B:B,'Partner data'!DG119)</f>
        <v>0</v>
      </c>
      <c r="DK119" s="20">
        <f t="shared" si="46"/>
        <v>1</v>
      </c>
      <c r="DL119" s="19" t="e">
        <f>IF(DH119="Tasso Forfettario 20%",SUMIFS(List_Of_chek_list!#REF!,List_Of_chek_list!B:B,'Partner data'!DG119),"NON PERTINENTE")</f>
        <v>#REF!</v>
      </c>
      <c r="DM119" s="19" t="e">
        <f t="shared" si="47"/>
        <v>#REF!</v>
      </c>
      <c r="DN119" s="110">
        <f>_xlfn.MAXIFS('MY-REPORT-MAIN'!K:K,'MY-REPORT-MAIN'!C:C,DG119)</f>
        <v>45386.553920289349</v>
      </c>
      <c r="DO119" s="112">
        <f>IF(_xlfn.MAXIFS('MY-REPORT-MAIN'!M:M,'MY-REPORT-MAIN'!C:C,DG119)=0,"Nessun rendiconto  Convalidato",_xlfn.MAXIFS('MY-REPORT-MAIN'!M:M,'MY-REPORT-MAIN'!C:C,DG119))</f>
        <v>45482.367462939816</v>
      </c>
      <c r="DP119" s="113" cm="1">
        <f t="array" ref="DP119">IFERROR(INDEX('MY-REPORT-MAIN'!A:Z,MATCH(1,(DO119='MY-REPORT-MAIN'!M:M)*('Partner data'!DG119='MY-REPORT-MAIN'!C:C),0),1),"NON è stato convalidato ancora nessun rendiconto")</f>
        <v>211</v>
      </c>
      <c r="DQ119" s="111">
        <f>IFERROR(INDEX('MY-REPORT-MAIN'!A:Z,MATCH('Partner data'!DP119,'MY-REPORT-MAIN'!A:A,0),21),"Nessun Rendiconto ancora convalidato")</f>
        <v>2442.1999999999998</v>
      </c>
      <c r="DR119" s="110">
        <f>INDEX('Interreg VI-A Italy-Slovenia_pr'!A:E,MATCH('Partner data'!C119,'Interreg VI-A Italy-Slovenia_pr'!A:A,0),3)</f>
        <v>45200</v>
      </c>
      <c r="DS119" s="118">
        <f t="shared" si="29"/>
        <v>17084.400000000001</v>
      </c>
      <c r="DT119" s="118">
        <f t="shared" si="30"/>
        <v>59300.200000000004</v>
      </c>
      <c r="DU119" s="118">
        <f t="shared" si="31"/>
        <v>85298.200000000012</v>
      </c>
      <c r="DV119" s="118">
        <f t="shared" si="32"/>
        <v>110058.20000000001</v>
      </c>
      <c r="DW119" s="118">
        <f t="shared" si="33"/>
        <v>110058.20000000001</v>
      </c>
      <c r="DX119" s="118">
        <f t="shared" si="34"/>
        <v>110058.20000000001</v>
      </c>
      <c r="DY119" s="118">
        <f t="shared" si="35"/>
        <v>110058.20000000001</v>
      </c>
      <c r="DZ119" s="118">
        <f t="shared" si="36"/>
        <v>110058.20000000001</v>
      </c>
      <c r="EA119" s="118">
        <f t="shared" si="37"/>
        <v>110058.20000000001</v>
      </c>
      <c r="EB119" s="118">
        <f t="shared" si="38"/>
        <v>110058.20000000001</v>
      </c>
    </row>
    <row r="120" spans="1:132" x14ac:dyDescent="0.25">
      <c r="A120" s="28">
        <v>1</v>
      </c>
      <c r="B120" s="29" t="s">
        <v>487</v>
      </c>
      <c r="C120" s="30" t="s">
        <v>2171</v>
      </c>
      <c r="D120" s="30" t="s">
        <v>361</v>
      </c>
      <c r="E120" s="30" t="s">
        <v>2172</v>
      </c>
      <c r="F120" s="30" t="s">
        <v>593</v>
      </c>
      <c r="G120" s="30" t="s">
        <v>491</v>
      </c>
      <c r="H120" s="30" t="s">
        <v>691</v>
      </c>
      <c r="I120" s="30" t="s">
        <v>1044</v>
      </c>
      <c r="J120" s="31" t="s">
        <v>554</v>
      </c>
      <c r="K120" s="31" t="s">
        <v>495</v>
      </c>
      <c r="L120" s="31" t="s">
        <v>519</v>
      </c>
      <c r="M120" s="31" t="s">
        <v>364</v>
      </c>
      <c r="N120" s="31" t="s">
        <v>2187</v>
      </c>
      <c r="O120" s="31" t="s">
        <v>2188</v>
      </c>
      <c r="P120" s="31" t="s">
        <v>254</v>
      </c>
      <c r="Q120" s="31" t="s">
        <v>499</v>
      </c>
      <c r="R120" s="31" t="s">
        <v>266</v>
      </c>
      <c r="S120" s="32">
        <v>97492.88</v>
      </c>
      <c r="T120" s="32">
        <v>80</v>
      </c>
      <c r="U120" s="32">
        <v>16.25</v>
      </c>
      <c r="V120" s="32">
        <v>0</v>
      </c>
      <c r="W120" s="32">
        <v>0</v>
      </c>
      <c r="X120" s="32">
        <v>0</v>
      </c>
      <c r="Y120" s="32">
        <v>0</v>
      </c>
      <c r="Z120" s="32">
        <v>0</v>
      </c>
      <c r="AA120" s="32">
        <v>0</v>
      </c>
      <c r="AB120" s="32">
        <v>0</v>
      </c>
      <c r="AC120" s="32">
        <v>0</v>
      </c>
      <c r="AD120" s="32">
        <v>0</v>
      </c>
      <c r="AE120" s="32">
        <v>0</v>
      </c>
      <c r="AF120" s="32">
        <v>0</v>
      </c>
      <c r="AG120" s="32">
        <v>0</v>
      </c>
      <c r="AH120" s="32">
        <v>0</v>
      </c>
      <c r="AI120" s="32">
        <v>0</v>
      </c>
      <c r="AJ120" s="32">
        <v>0</v>
      </c>
      <c r="AK120" s="32">
        <v>0</v>
      </c>
      <c r="AL120" s="32">
        <v>0</v>
      </c>
      <c r="AM120" s="32">
        <v>0</v>
      </c>
      <c r="AN120" s="32">
        <v>0</v>
      </c>
      <c r="AO120" s="32">
        <v>24373.22</v>
      </c>
      <c r="AP120" s="32">
        <v>0</v>
      </c>
      <c r="AQ120" s="32">
        <v>24373.22</v>
      </c>
      <c r="AR120" s="32">
        <v>121866.1</v>
      </c>
      <c r="AS120" s="32">
        <v>16.25</v>
      </c>
      <c r="AT120" s="32">
        <v>56190</v>
      </c>
      <c r="AU120" s="32">
        <v>0</v>
      </c>
      <c r="AV120" s="32">
        <v>56190</v>
      </c>
      <c r="AW120" s="32">
        <v>0</v>
      </c>
      <c r="AX120" s="32">
        <v>8428.5</v>
      </c>
      <c r="AY120" s="32">
        <v>8428.5</v>
      </c>
      <c r="AZ120" s="32">
        <v>2247.6</v>
      </c>
      <c r="BA120" s="32">
        <v>2247.6</v>
      </c>
      <c r="BB120" s="32">
        <v>0</v>
      </c>
      <c r="BC120" s="32">
        <v>0</v>
      </c>
      <c r="BD120" s="32">
        <v>50000</v>
      </c>
      <c r="BE120" s="32">
        <v>50000</v>
      </c>
      <c r="BF120" s="32">
        <v>0</v>
      </c>
      <c r="BG120" s="32">
        <v>5000</v>
      </c>
      <c r="BH120" s="32">
        <v>5000</v>
      </c>
      <c r="BI120" s="32">
        <v>0</v>
      </c>
      <c r="BJ120" s="32">
        <v>0</v>
      </c>
      <c r="BK120" s="32">
        <v>0</v>
      </c>
      <c r="BL120" s="32">
        <v>0</v>
      </c>
      <c r="BM120" s="32">
        <v>0</v>
      </c>
      <c r="BN120" s="32">
        <v>0</v>
      </c>
      <c r="BO120" s="32">
        <v>0</v>
      </c>
      <c r="BP120" s="32">
        <v>0</v>
      </c>
      <c r="BQ120" s="32">
        <v>17744.900000000001</v>
      </c>
      <c r="BR120" s="32">
        <v>26397</v>
      </c>
      <c r="BS120" s="32">
        <v>60944</v>
      </c>
      <c r="BT120" s="32">
        <v>16780.2</v>
      </c>
      <c r="BU120" s="32">
        <v>0</v>
      </c>
      <c r="BV120" s="32">
        <v>0</v>
      </c>
      <c r="BW120" s="32">
        <v>0</v>
      </c>
      <c r="BX120" s="32">
        <v>0</v>
      </c>
      <c r="BY120" s="32">
        <v>0</v>
      </c>
      <c r="BZ120" s="32">
        <v>0</v>
      </c>
      <c r="CA120" s="32">
        <v>0</v>
      </c>
      <c r="CB120" s="33" t="s">
        <v>212</v>
      </c>
      <c r="CC120" s="33" t="s">
        <v>624</v>
      </c>
      <c r="CD120" s="33"/>
      <c r="CE120" s="33" t="s">
        <v>501</v>
      </c>
      <c r="CF120" s="33" t="s">
        <v>734</v>
      </c>
      <c r="CG120" s="33" t="s">
        <v>2189</v>
      </c>
      <c r="CH120" s="33" t="s">
        <v>504</v>
      </c>
      <c r="CI120" s="33"/>
      <c r="CJ120" s="33" t="s">
        <v>212</v>
      </c>
      <c r="CK120" s="33"/>
      <c r="CL120" s="33" t="s">
        <v>212</v>
      </c>
      <c r="CM120" s="33"/>
      <c r="CN120" s="33" t="s">
        <v>254</v>
      </c>
      <c r="CO120" s="33" t="s">
        <v>266</v>
      </c>
      <c r="CP120" s="33" t="s">
        <v>2190</v>
      </c>
      <c r="CQ120" s="33" t="s">
        <v>1690</v>
      </c>
      <c r="CR120" s="33" t="s">
        <v>1691</v>
      </c>
      <c r="CS120" s="33" t="s">
        <v>2191</v>
      </c>
      <c r="CT120" s="33"/>
      <c r="CU120" s="33"/>
      <c r="CV120" s="33"/>
      <c r="CW120" s="33"/>
      <c r="CX120" s="33"/>
      <c r="CY120" s="33" t="s">
        <v>547</v>
      </c>
      <c r="CZ120" s="33" t="s">
        <v>2192</v>
      </c>
      <c r="DA120" s="33" t="s">
        <v>2193</v>
      </c>
      <c r="DB120" s="33" t="s">
        <v>531</v>
      </c>
      <c r="DC120" s="33" t="s">
        <v>550</v>
      </c>
      <c r="DD120" s="33" t="s">
        <v>614</v>
      </c>
      <c r="DE120" s="33" t="s">
        <v>2194</v>
      </c>
      <c r="DF120" s="34" t="s">
        <v>2195</v>
      </c>
      <c r="DG120" s="27" cm="1">
        <f t="array" ref="DG120">INDEX('elenco partner'!A:M,MATCH(1,(D120='elenco partner'!A:A)*('Partner data'!M120='elenco partner'!E:E),0),4)</f>
        <v>242</v>
      </c>
      <c r="DH120" s="83" t="str">
        <f t="shared" si="45"/>
        <v>COSTO REALE</v>
      </c>
      <c r="DI120" s="20">
        <f>COUNTIFS('MY-REPORT-MAIN'!C:C,'Partner data'!DG120,'MY-REPORT-MAIN'!I:I,"Certified")</f>
        <v>1</v>
      </c>
      <c r="DJ120" s="20">
        <f>COUNTIFS(List_Of_chek_list!M:M,"&lt;&gt;26",List_Of_chek_list!B:B,'Partner data'!DG120)</f>
        <v>1</v>
      </c>
      <c r="DK120" s="20">
        <f t="shared" si="46"/>
        <v>0</v>
      </c>
      <c r="DL120" s="19" t="str">
        <f>IF(DH120="Tasso Forfettario 20%",SUMIFS(List_Of_chek_list!#REF!,List_Of_chek_list!B:B,'Partner data'!DG120),"NON PERTINENTE")</f>
        <v>NON PERTINENTE</v>
      </c>
      <c r="DM120" s="19" t="str">
        <f t="shared" si="47"/>
        <v>NON PERTINENTE</v>
      </c>
      <c r="DN120" s="110">
        <f>_xlfn.MAXIFS('MY-REPORT-MAIN'!K:K,'MY-REPORT-MAIN'!C:C,DG120)</f>
        <v>45379.453746608793</v>
      </c>
      <c r="DO120" s="112">
        <f>IF(_xlfn.MAXIFS('MY-REPORT-MAIN'!M:M,'MY-REPORT-MAIN'!C:C,DG120)=0,"Nessun rendiconto  Convalidato",_xlfn.MAXIFS('MY-REPORT-MAIN'!M:M,'MY-REPORT-MAIN'!C:C,DG120))</f>
        <v>45434.445753553242</v>
      </c>
      <c r="DP120" s="113" cm="1">
        <f t="array" ref="DP120">IFERROR(INDEX('MY-REPORT-MAIN'!A:Z,MATCH(1,(DO120='MY-REPORT-MAIN'!M:M)*('Partner data'!DG120='MY-REPORT-MAIN'!C:C),0),1),"NON è stato convalidato ancora nessun rendiconto")</f>
        <v>230</v>
      </c>
      <c r="DQ120" s="111">
        <f>IFERROR(INDEX('MY-REPORT-MAIN'!A:Z,MATCH('Partner data'!DP120,'MY-REPORT-MAIN'!A:A,0),21),"Nessun Rendiconto ancora convalidato")</f>
        <v>14095.16</v>
      </c>
      <c r="DR120" s="110">
        <f>INDEX('Interreg VI-A Italy-Slovenia_pr'!A:E,MATCH('Partner data'!C120,'Interreg VI-A Italy-Slovenia_pr'!A:A,0),3)</f>
        <v>45200</v>
      </c>
      <c r="DS120" s="118">
        <f t="shared" si="29"/>
        <v>17744.900000000001</v>
      </c>
      <c r="DT120" s="118">
        <f t="shared" si="30"/>
        <v>44141.9</v>
      </c>
      <c r="DU120" s="118">
        <f t="shared" si="31"/>
        <v>105085.9</v>
      </c>
      <c r="DV120" s="118">
        <f t="shared" si="32"/>
        <v>121866.09999999999</v>
      </c>
      <c r="DW120" s="118">
        <f t="shared" si="33"/>
        <v>121866.09999999999</v>
      </c>
      <c r="DX120" s="118">
        <f t="shared" si="34"/>
        <v>121866.09999999999</v>
      </c>
      <c r="DY120" s="118">
        <f t="shared" si="35"/>
        <v>121866.09999999999</v>
      </c>
      <c r="DZ120" s="118">
        <f t="shared" si="36"/>
        <v>121866.09999999999</v>
      </c>
      <c r="EA120" s="118">
        <f t="shared" si="37"/>
        <v>121866.09999999999</v>
      </c>
      <c r="EB120" s="118">
        <f t="shared" si="38"/>
        <v>121866.09999999999</v>
      </c>
    </row>
    <row r="121" spans="1:132" ht="45" x14ac:dyDescent="0.25">
      <c r="A121" s="28">
        <v>1</v>
      </c>
      <c r="B121" s="29" t="s">
        <v>487</v>
      </c>
      <c r="C121" s="30" t="s">
        <v>2171</v>
      </c>
      <c r="D121" s="30" t="s">
        <v>361</v>
      </c>
      <c r="E121" s="30" t="s">
        <v>2172</v>
      </c>
      <c r="F121" s="30" t="s">
        <v>593</v>
      </c>
      <c r="G121" s="30" t="s">
        <v>491</v>
      </c>
      <c r="H121" s="30" t="s">
        <v>691</v>
      </c>
      <c r="I121" s="30" t="s">
        <v>1044</v>
      </c>
      <c r="J121" s="31" t="s">
        <v>570</v>
      </c>
      <c r="K121" s="31" t="s">
        <v>495</v>
      </c>
      <c r="L121" s="31" t="s">
        <v>519</v>
      </c>
      <c r="M121" s="31" t="s">
        <v>362</v>
      </c>
      <c r="N121" s="31" t="s">
        <v>2196</v>
      </c>
      <c r="O121" s="31" t="s">
        <v>2197</v>
      </c>
      <c r="P121" s="31" t="s">
        <v>254</v>
      </c>
      <c r="Q121" s="31" t="s">
        <v>540</v>
      </c>
      <c r="R121" s="31" t="s">
        <v>260</v>
      </c>
      <c r="S121" s="32">
        <v>108250.72</v>
      </c>
      <c r="T121" s="32">
        <v>80</v>
      </c>
      <c r="U121" s="32">
        <v>18.04</v>
      </c>
      <c r="V121" s="32">
        <v>0</v>
      </c>
      <c r="W121" s="32">
        <v>0</v>
      </c>
      <c r="X121" s="32">
        <v>0</v>
      </c>
      <c r="Y121" s="32">
        <v>0</v>
      </c>
      <c r="Z121" s="32">
        <v>0</v>
      </c>
      <c r="AA121" s="32">
        <v>0</v>
      </c>
      <c r="AB121" s="32">
        <v>0</v>
      </c>
      <c r="AC121" s="32">
        <v>0</v>
      </c>
      <c r="AD121" s="32">
        <v>0</v>
      </c>
      <c r="AE121" s="32">
        <v>0</v>
      </c>
      <c r="AF121" s="32">
        <v>0</v>
      </c>
      <c r="AG121" s="32">
        <v>0</v>
      </c>
      <c r="AH121" s="32">
        <v>0</v>
      </c>
      <c r="AI121" s="32">
        <v>0</v>
      </c>
      <c r="AJ121" s="32">
        <v>0</v>
      </c>
      <c r="AK121" s="32">
        <v>0</v>
      </c>
      <c r="AL121" s="32">
        <v>0</v>
      </c>
      <c r="AM121" s="32">
        <v>0</v>
      </c>
      <c r="AN121" s="32">
        <v>0</v>
      </c>
      <c r="AO121" s="32">
        <v>27062.68</v>
      </c>
      <c r="AP121" s="32">
        <v>0</v>
      </c>
      <c r="AQ121" s="32">
        <v>27062.68</v>
      </c>
      <c r="AR121" s="32">
        <v>135313.4</v>
      </c>
      <c r="AS121" s="32">
        <v>18.04</v>
      </c>
      <c r="AT121" s="32">
        <v>21860</v>
      </c>
      <c r="AU121" s="32">
        <v>21860</v>
      </c>
      <c r="AV121" s="32">
        <v>0</v>
      </c>
      <c r="AW121" s="32">
        <v>0</v>
      </c>
      <c r="AX121" s="32">
        <v>3279</v>
      </c>
      <c r="AY121" s="32">
        <v>3279</v>
      </c>
      <c r="AZ121" s="32">
        <v>874.4</v>
      </c>
      <c r="BA121" s="32">
        <v>874.4</v>
      </c>
      <c r="BB121" s="32">
        <v>0</v>
      </c>
      <c r="BC121" s="32">
        <v>0</v>
      </c>
      <c r="BD121" s="32">
        <v>103700</v>
      </c>
      <c r="BE121" s="32">
        <v>103700</v>
      </c>
      <c r="BF121" s="32">
        <v>0</v>
      </c>
      <c r="BG121" s="32">
        <v>5600</v>
      </c>
      <c r="BH121" s="32">
        <v>5600</v>
      </c>
      <c r="BI121" s="32">
        <v>0</v>
      </c>
      <c r="BJ121" s="32">
        <v>0</v>
      </c>
      <c r="BK121" s="32">
        <v>0</v>
      </c>
      <c r="BL121" s="32">
        <v>0</v>
      </c>
      <c r="BM121" s="32">
        <v>0</v>
      </c>
      <c r="BN121" s="32">
        <v>0</v>
      </c>
      <c r="BO121" s="32">
        <v>0</v>
      </c>
      <c r="BP121" s="32">
        <v>0</v>
      </c>
      <c r="BQ121" s="32">
        <v>52862.6</v>
      </c>
      <c r="BR121" s="32">
        <v>52862.6</v>
      </c>
      <c r="BS121" s="32">
        <v>18198.599999999999</v>
      </c>
      <c r="BT121" s="32">
        <v>11389.6</v>
      </c>
      <c r="BU121" s="32">
        <v>0</v>
      </c>
      <c r="BV121" s="32">
        <v>0</v>
      </c>
      <c r="BW121" s="32">
        <v>0</v>
      </c>
      <c r="BX121" s="32">
        <v>0</v>
      </c>
      <c r="BY121" s="32">
        <v>0</v>
      </c>
      <c r="BZ121" s="32">
        <v>0</v>
      </c>
      <c r="CA121" s="32">
        <v>0</v>
      </c>
      <c r="CB121" s="33" t="s">
        <v>2198</v>
      </c>
      <c r="CC121" s="33" t="s">
        <v>522</v>
      </c>
      <c r="CD121" s="33"/>
      <c r="CE121" s="33" t="s">
        <v>523</v>
      </c>
      <c r="CF121" s="33" t="s">
        <v>829</v>
      </c>
      <c r="CG121" s="33" t="s">
        <v>2199</v>
      </c>
      <c r="CH121" s="33" t="s">
        <v>526</v>
      </c>
      <c r="CI121" s="33" t="s">
        <v>2199</v>
      </c>
      <c r="CJ121" s="33" t="s">
        <v>1764</v>
      </c>
      <c r="CK121" s="33"/>
      <c r="CL121" s="33" t="s">
        <v>212</v>
      </c>
      <c r="CM121" s="33"/>
      <c r="CN121" s="33" t="s">
        <v>254</v>
      </c>
      <c r="CO121" s="33" t="s">
        <v>260</v>
      </c>
      <c r="CP121" s="33" t="s">
        <v>2200</v>
      </c>
      <c r="CQ121" s="33" t="s">
        <v>920</v>
      </c>
      <c r="CR121" s="33" t="s">
        <v>599</v>
      </c>
      <c r="CS121" s="33" t="s">
        <v>2201</v>
      </c>
      <c r="CT121" s="33" t="s">
        <v>254</v>
      </c>
      <c r="CU121" s="33" t="s">
        <v>260</v>
      </c>
      <c r="CV121" s="33" t="s">
        <v>2202</v>
      </c>
      <c r="CW121" s="33" t="s">
        <v>2203</v>
      </c>
      <c r="CX121" s="33" t="s">
        <v>2204</v>
      </c>
      <c r="CY121" s="33" t="s">
        <v>531</v>
      </c>
      <c r="CZ121" s="33" t="s">
        <v>1817</v>
      </c>
      <c r="DA121" s="33" t="s">
        <v>2205</v>
      </c>
      <c r="DB121" s="33" t="s">
        <v>531</v>
      </c>
      <c r="DC121" s="33" t="s">
        <v>601</v>
      </c>
      <c r="DD121" s="33" t="s">
        <v>2206</v>
      </c>
      <c r="DE121" s="33" t="s">
        <v>2207</v>
      </c>
      <c r="DF121" s="34" t="s">
        <v>2208</v>
      </c>
      <c r="DG121" s="27" cm="1">
        <f t="array" ref="DG121">INDEX('elenco partner'!A:M,MATCH(1,(D121='elenco partner'!A:A)*('Partner data'!M121='elenco partner'!E:E),0),4)</f>
        <v>243</v>
      </c>
      <c r="DH121" s="83" t="str">
        <f t="shared" si="45"/>
        <v>Tasso Forfettario 20%</v>
      </c>
      <c r="DI121" s="20">
        <f>COUNTIFS('MY-REPORT-MAIN'!C:C,'Partner data'!DG121,'MY-REPORT-MAIN'!I:I,"Certified")</f>
        <v>0</v>
      </c>
      <c r="DJ121" s="20">
        <f>COUNTIFS(List_Of_chek_list!M:M,"&lt;&gt;26",List_Of_chek_list!B:B,'Partner data'!DG121)</f>
        <v>0</v>
      </c>
      <c r="DK121" s="20">
        <f t="shared" si="46"/>
        <v>0</v>
      </c>
      <c r="DL121" s="19" t="e">
        <f>IF(DH121="Tasso Forfettario 20%",SUMIFS(List_Of_chek_list!#REF!,List_Of_chek_list!B:B,'Partner data'!DG121),"NON PERTINENTE")</f>
        <v>#REF!</v>
      </c>
      <c r="DM121" s="19" t="e">
        <f t="shared" si="47"/>
        <v>#REF!</v>
      </c>
      <c r="DN121" s="110">
        <f>_xlfn.MAXIFS('MY-REPORT-MAIN'!K:K,'MY-REPORT-MAIN'!C:C,DG121)</f>
        <v>0</v>
      </c>
      <c r="DO121" s="112" t="str">
        <f>IF(_xlfn.MAXIFS('MY-REPORT-MAIN'!M:M,'MY-REPORT-MAIN'!C:C,DG121)=0,"Nessun rendiconto  Convalidato",_xlfn.MAXIFS('MY-REPORT-MAIN'!M:M,'MY-REPORT-MAIN'!C:C,DG121))</f>
        <v>Nessun rendiconto  Convalidato</v>
      </c>
      <c r="DP121" s="113" t="str" cm="1">
        <f t="array" ref="DP121">IFERROR(INDEX('MY-REPORT-MAIN'!A:Z,MATCH(1,(DO121='MY-REPORT-MAIN'!M:M)*('Partner data'!DG121='MY-REPORT-MAIN'!C:C),0),1),"NON è stato convalidato ancora nessun rendiconto")</f>
        <v>NON è stato convalidato ancora nessun rendiconto</v>
      </c>
      <c r="DQ121" s="111" t="str">
        <f>IFERROR(INDEX('MY-REPORT-MAIN'!A:Z,MATCH('Partner data'!DP121,'MY-REPORT-MAIN'!A:A,0),21),"Nessun Rendiconto ancora convalidato")</f>
        <v>Nessun Rendiconto ancora convalidato</v>
      </c>
      <c r="DR121" s="110">
        <f>INDEX('Interreg VI-A Italy-Slovenia_pr'!A:E,MATCH('Partner data'!C121,'Interreg VI-A Italy-Slovenia_pr'!A:A,0),3)</f>
        <v>45200</v>
      </c>
      <c r="DS121" s="118">
        <f t="shared" si="29"/>
        <v>52862.6</v>
      </c>
      <c r="DT121" s="118">
        <f t="shared" si="30"/>
        <v>105725.2</v>
      </c>
      <c r="DU121" s="118">
        <f t="shared" si="31"/>
        <v>123923.79999999999</v>
      </c>
      <c r="DV121" s="118">
        <f t="shared" si="32"/>
        <v>135313.4</v>
      </c>
      <c r="DW121" s="118">
        <f t="shared" si="33"/>
        <v>135313.4</v>
      </c>
      <c r="DX121" s="118">
        <f t="shared" si="34"/>
        <v>135313.4</v>
      </c>
      <c r="DY121" s="118">
        <f t="shared" si="35"/>
        <v>135313.4</v>
      </c>
      <c r="DZ121" s="118">
        <f t="shared" si="36"/>
        <v>135313.4</v>
      </c>
      <c r="EA121" s="118">
        <f t="shared" si="37"/>
        <v>135313.4</v>
      </c>
      <c r="EB121" s="118">
        <f t="shared" si="38"/>
        <v>135313.4</v>
      </c>
    </row>
    <row r="122" spans="1:132" x14ac:dyDescent="0.25">
      <c r="A122" s="28">
        <v>1</v>
      </c>
      <c r="B122" s="29" t="s">
        <v>487</v>
      </c>
      <c r="C122" s="30" t="s">
        <v>2171</v>
      </c>
      <c r="D122" s="30" t="s">
        <v>361</v>
      </c>
      <c r="E122" s="30" t="s">
        <v>2172</v>
      </c>
      <c r="F122" s="30" t="s">
        <v>593</v>
      </c>
      <c r="G122" s="30" t="s">
        <v>491</v>
      </c>
      <c r="H122" s="30" t="s">
        <v>691</v>
      </c>
      <c r="I122" s="30" t="s">
        <v>1044</v>
      </c>
      <c r="J122" s="31" t="s">
        <v>581</v>
      </c>
      <c r="K122" s="31" t="s">
        <v>495</v>
      </c>
      <c r="L122" s="31" t="s">
        <v>519</v>
      </c>
      <c r="M122" s="31" t="s">
        <v>69</v>
      </c>
      <c r="N122" s="31" t="s">
        <v>733</v>
      </c>
      <c r="O122" s="31" t="s">
        <v>1272</v>
      </c>
      <c r="P122" s="31" t="s">
        <v>254</v>
      </c>
      <c r="Q122" s="31" t="s">
        <v>499</v>
      </c>
      <c r="R122" s="31" t="s">
        <v>255</v>
      </c>
      <c r="S122" s="32">
        <v>91257.600000000006</v>
      </c>
      <c r="T122" s="32">
        <v>80</v>
      </c>
      <c r="U122" s="32">
        <v>15.21</v>
      </c>
      <c r="V122" s="32">
        <v>0</v>
      </c>
      <c r="W122" s="32">
        <v>0</v>
      </c>
      <c r="X122" s="32">
        <v>0</v>
      </c>
      <c r="Y122" s="32">
        <v>0</v>
      </c>
      <c r="Z122" s="32">
        <v>0</v>
      </c>
      <c r="AA122" s="32">
        <v>0</v>
      </c>
      <c r="AB122" s="32">
        <v>0</v>
      </c>
      <c r="AC122" s="32">
        <v>0</v>
      </c>
      <c r="AD122" s="32">
        <v>0</v>
      </c>
      <c r="AE122" s="32">
        <v>0</v>
      </c>
      <c r="AF122" s="32">
        <v>0</v>
      </c>
      <c r="AG122" s="32">
        <v>0</v>
      </c>
      <c r="AH122" s="32">
        <v>0</v>
      </c>
      <c r="AI122" s="32">
        <v>0</v>
      </c>
      <c r="AJ122" s="32">
        <v>0</v>
      </c>
      <c r="AK122" s="32">
        <v>0</v>
      </c>
      <c r="AL122" s="32">
        <v>0</v>
      </c>
      <c r="AM122" s="32">
        <v>0</v>
      </c>
      <c r="AN122" s="32">
        <v>0</v>
      </c>
      <c r="AO122" s="32">
        <v>22814.400000000001</v>
      </c>
      <c r="AP122" s="32">
        <v>0</v>
      </c>
      <c r="AQ122" s="32">
        <v>22814.400000000001</v>
      </c>
      <c r="AR122" s="32">
        <v>114072</v>
      </c>
      <c r="AS122" s="32">
        <v>15.21</v>
      </c>
      <c r="AT122" s="32">
        <v>81480</v>
      </c>
      <c r="AU122" s="32">
        <v>0</v>
      </c>
      <c r="AV122" s="32">
        <v>0</v>
      </c>
      <c r="AW122" s="32">
        <v>81480</v>
      </c>
      <c r="AX122" s="32">
        <v>0</v>
      </c>
      <c r="AY122" s="32">
        <v>0</v>
      </c>
      <c r="AZ122" s="32">
        <v>0</v>
      </c>
      <c r="BA122" s="32">
        <v>0</v>
      </c>
      <c r="BB122" s="32">
        <v>0</v>
      </c>
      <c r="BC122" s="32">
        <v>0</v>
      </c>
      <c r="BD122" s="32">
        <v>0</v>
      </c>
      <c r="BE122" s="32">
        <v>0</v>
      </c>
      <c r="BF122" s="32">
        <v>0</v>
      </c>
      <c r="BG122" s="32">
        <v>0</v>
      </c>
      <c r="BH122" s="32">
        <v>0</v>
      </c>
      <c r="BI122" s="32">
        <v>0</v>
      </c>
      <c r="BJ122" s="32">
        <v>0</v>
      </c>
      <c r="BK122" s="32">
        <v>0</v>
      </c>
      <c r="BL122" s="32">
        <v>0</v>
      </c>
      <c r="BM122" s="32">
        <v>32592</v>
      </c>
      <c r="BN122" s="32">
        <v>0</v>
      </c>
      <c r="BO122" s="32">
        <v>0</v>
      </c>
      <c r="BP122" s="32">
        <v>0</v>
      </c>
      <c r="BQ122" s="32">
        <v>18200</v>
      </c>
      <c r="BR122" s="32">
        <v>31766</v>
      </c>
      <c r="BS122" s="32">
        <v>30016</v>
      </c>
      <c r="BT122" s="32">
        <v>34090</v>
      </c>
      <c r="BU122" s="32">
        <v>0</v>
      </c>
      <c r="BV122" s="32">
        <v>0</v>
      </c>
      <c r="BW122" s="32">
        <v>0</v>
      </c>
      <c r="BX122" s="32">
        <v>0</v>
      </c>
      <c r="BY122" s="32">
        <v>0</v>
      </c>
      <c r="BZ122" s="32">
        <v>0</v>
      </c>
      <c r="CA122" s="32">
        <v>0</v>
      </c>
      <c r="CB122" s="33" t="s">
        <v>2017</v>
      </c>
      <c r="CC122" s="33" t="s">
        <v>624</v>
      </c>
      <c r="CD122" s="33"/>
      <c r="CE122" s="33" t="s">
        <v>523</v>
      </c>
      <c r="CF122" s="33" t="s">
        <v>1286</v>
      </c>
      <c r="CG122" s="33" t="s">
        <v>735</v>
      </c>
      <c r="CH122" s="33" t="s">
        <v>526</v>
      </c>
      <c r="CI122" s="33"/>
      <c r="CJ122" s="33" t="s">
        <v>212</v>
      </c>
      <c r="CK122" s="33"/>
      <c r="CL122" s="33" t="s">
        <v>212</v>
      </c>
      <c r="CM122" s="33"/>
      <c r="CN122" s="33" t="s">
        <v>254</v>
      </c>
      <c r="CO122" s="33" t="s">
        <v>255</v>
      </c>
      <c r="CP122" s="33" t="s">
        <v>738</v>
      </c>
      <c r="CQ122" s="33" t="s">
        <v>739</v>
      </c>
      <c r="CR122" s="33" t="s">
        <v>529</v>
      </c>
      <c r="CS122" s="33" t="s">
        <v>2018</v>
      </c>
      <c r="CT122" s="33" t="s">
        <v>254</v>
      </c>
      <c r="CU122" s="33" t="s">
        <v>255</v>
      </c>
      <c r="CV122" s="33" t="s">
        <v>2209</v>
      </c>
      <c r="CW122" s="33" t="s">
        <v>739</v>
      </c>
      <c r="CX122" s="33" t="s">
        <v>529</v>
      </c>
      <c r="CY122" s="33" t="s">
        <v>531</v>
      </c>
      <c r="CZ122" s="33" t="s">
        <v>741</v>
      </c>
      <c r="DA122" s="33" t="s">
        <v>742</v>
      </c>
      <c r="DB122" s="33" t="s">
        <v>547</v>
      </c>
      <c r="DC122" s="33" t="s">
        <v>2210</v>
      </c>
      <c r="DD122" s="33" t="s">
        <v>2211</v>
      </c>
      <c r="DE122" s="33" t="s">
        <v>2212</v>
      </c>
      <c r="DF122" s="34" t="s">
        <v>2213</v>
      </c>
      <c r="DG122" s="27" cm="1">
        <f t="array" ref="DG122">INDEX('elenco partner'!A:M,MATCH(1,(D122='elenco partner'!A:A)*('Partner data'!M122='elenco partner'!E:E),0),4)</f>
        <v>244</v>
      </c>
      <c r="DH122" s="83" t="str">
        <f t="shared" si="45"/>
        <v>Costo Unitario Standard</v>
      </c>
      <c r="DI122" s="20">
        <f>COUNTIFS('MY-REPORT-MAIN'!C:C,'Partner data'!DG122,'MY-REPORT-MAIN'!I:I,"Certified")</f>
        <v>1</v>
      </c>
      <c r="DJ122" s="20">
        <f>COUNTIFS(List_Of_chek_list!M:M,"&lt;&gt;26",List_Of_chek_list!B:B,'Partner data'!DG122)</f>
        <v>1</v>
      </c>
      <c r="DK122" s="20">
        <f t="shared" si="46"/>
        <v>0</v>
      </c>
      <c r="DL122" s="19" t="str">
        <f>IF(DH122="Tasso Forfettario 20%",SUMIFS(List_Of_chek_list!#REF!,List_Of_chek_list!B:B,'Partner data'!DG122),"NON PERTINENTE")</f>
        <v>NON PERTINENTE</v>
      </c>
      <c r="DM122" s="19" t="str">
        <f t="shared" si="47"/>
        <v>NON PERTINENTE</v>
      </c>
      <c r="DN122" s="110">
        <f>_xlfn.MAXIFS('MY-REPORT-MAIN'!K:K,'MY-REPORT-MAIN'!C:C,DG122)</f>
        <v>45371.560717384258</v>
      </c>
      <c r="DO122" s="112">
        <f>IF(_xlfn.MAXIFS('MY-REPORT-MAIN'!M:M,'MY-REPORT-MAIN'!C:C,DG122)=0,"Nessun rendiconto  Convalidato",_xlfn.MAXIFS('MY-REPORT-MAIN'!M:M,'MY-REPORT-MAIN'!C:C,DG122))</f>
        <v>45425.647441365742</v>
      </c>
      <c r="DP122" s="113" cm="1">
        <f t="array" ref="DP122">IFERROR(INDEX('MY-REPORT-MAIN'!A:Z,MATCH(1,(DO122='MY-REPORT-MAIN'!M:M)*('Partner data'!DG122='MY-REPORT-MAIN'!C:C),0),1),"NON è stato convalidato ancora nessun rendiconto")</f>
        <v>193</v>
      </c>
      <c r="DQ122" s="111">
        <f>IFERROR(INDEX('MY-REPORT-MAIN'!A:Z,MATCH('Partner data'!DP122,'MY-REPORT-MAIN'!A:A,0),21),"Nessun Rendiconto ancora convalidato")</f>
        <v>18247.599999999999</v>
      </c>
      <c r="DR122" s="110">
        <f>INDEX('Interreg VI-A Italy-Slovenia_pr'!A:E,MATCH('Partner data'!C122,'Interreg VI-A Italy-Slovenia_pr'!A:A,0),3)</f>
        <v>45200</v>
      </c>
      <c r="DS122" s="118">
        <f t="shared" si="29"/>
        <v>18200</v>
      </c>
      <c r="DT122" s="118">
        <f t="shared" si="30"/>
        <v>49966</v>
      </c>
      <c r="DU122" s="118">
        <f t="shared" si="31"/>
        <v>79982</v>
      </c>
      <c r="DV122" s="118">
        <f t="shared" si="32"/>
        <v>114072</v>
      </c>
      <c r="DW122" s="118">
        <f t="shared" si="33"/>
        <v>114072</v>
      </c>
      <c r="DX122" s="118">
        <f t="shared" si="34"/>
        <v>114072</v>
      </c>
      <c r="DY122" s="118">
        <f t="shared" si="35"/>
        <v>114072</v>
      </c>
      <c r="DZ122" s="118">
        <f t="shared" si="36"/>
        <v>114072</v>
      </c>
      <c r="EA122" s="118">
        <f t="shared" si="37"/>
        <v>114072</v>
      </c>
      <c r="EB122" s="118">
        <f t="shared" si="38"/>
        <v>114072</v>
      </c>
    </row>
    <row r="123" spans="1:132" x14ac:dyDescent="0.25">
      <c r="A123" s="28">
        <v>1</v>
      </c>
      <c r="B123" s="29" t="s">
        <v>487</v>
      </c>
      <c r="C123" s="30" t="s">
        <v>2214</v>
      </c>
      <c r="D123" s="30" t="s">
        <v>365</v>
      </c>
      <c r="E123" s="30" t="s">
        <v>2215</v>
      </c>
      <c r="F123" s="30" t="s">
        <v>490</v>
      </c>
      <c r="G123" s="30" t="s">
        <v>491</v>
      </c>
      <c r="H123" s="30" t="s">
        <v>594</v>
      </c>
      <c r="I123" s="30" t="s">
        <v>595</v>
      </c>
      <c r="J123" s="31" t="s">
        <v>494</v>
      </c>
      <c r="K123" s="31" t="s">
        <v>495</v>
      </c>
      <c r="L123" s="31" t="s">
        <v>496</v>
      </c>
      <c r="M123" s="31" t="s">
        <v>367</v>
      </c>
      <c r="N123" s="31" t="s">
        <v>2216</v>
      </c>
      <c r="O123" s="31" t="s">
        <v>2217</v>
      </c>
      <c r="P123" s="31" t="s">
        <v>254</v>
      </c>
      <c r="Q123" s="31" t="s">
        <v>499</v>
      </c>
      <c r="R123" s="31" t="s">
        <v>255</v>
      </c>
      <c r="S123" s="32">
        <v>145583.09</v>
      </c>
      <c r="T123" s="32">
        <v>80</v>
      </c>
      <c r="U123" s="32">
        <v>30.33</v>
      </c>
      <c r="V123" s="32">
        <v>0</v>
      </c>
      <c r="W123" s="32">
        <v>0</v>
      </c>
      <c r="X123" s="32">
        <v>0</v>
      </c>
      <c r="Y123" s="32">
        <v>0</v>
      </c>
      <c r="Z123" s="32">
        <v>0</v>
      </c>
      <c r="AA123" s="32">
        <v>0</v>
      </c>
      <c r="AB123" s="32">
        <v>0</v>
      </c>
      <c r="AC123" s="32">
        <v>0</v>
      </c>
      <c r="AD123" s="32">
        <v>0</v>
      </c>
      <c r="AE123" s="32">
        <v>0</v>
      </c>
      <c r="AF123" s="32">
        <v>0</v>
      </c>
      <c r="AG123" s="32">
        <v>0</v>
      </c>
      <c r="AH123" s="32">
        <v>0</v>
      </c>
      <c r="AI123" s="32">
        <v>0</v>
      </c>
      <c r="AJ123" s="32">
        <v>0</v>
      </c>
      <c r="AK123" s="32">
        <v>0</v>
      </c>
      <c r="AL123" s="32">
        <v>0</v>
      </c>
      <c r="AM123" s="32">
        <v>0</v>
      </c>
      <c r="AN123" s="32">
        <v>0</v>
      </c>
      <c r="AO123" s="32">
        <v>36395.78</v>
      </c>
      <c r="AP123" s="32">
        <v>0</v>
      </c>
      <c r="AQ123" s="32">
        <v>36395.78</v>
      </c>
      <c r="AR123" s="32">
        <v>181978.87</v>
      </c>
      <c r="AS123" s="32">
        <v>30.33</v>
      </c>
      <c r="AT123" s="32">
        <v>123556.34</v>
      </c>
      <c r="AU123" s="32">
        <v>0</v>
      </c>
      <c r="AV123" s="32">
        <v>123556.34</v>
      </c>
      <c r="AW123" s="32">
        <v>0</v>
      </c>
      <c r="AX123" s="32">
        <v>0</v>
      </c>
      <c r="AY123" s="32">
        <v>0</v>
      </c>
      <c r="AZ123" s="32">
        <v>0</v>
      </c>
      <c r="BA123" s="32">
        <v>0</v>
      </c>
      <c r="BB123" s="32">
        <v>0</v>
      </c>
      <c r="BC123" s="32">
        <v>0</v>
      </c>
      <c r="BD123" s="32">
        <v>0</v>
      </c>
      <c r="BE123" s="32">
        <v>0</v>
      </c>
      <c r="BF123" s="32">
        <v>0</v>
      </c>
      <c r="BG123" s="32">
        <v>0</v>
      </c>
      <c r="BH123" s="32">
        <v>0</v>
      </c>
      <c r="BI123" s="32">
        <v>0</v>
      </c>
      <c r="BJ123" s="32">
        <v>0</v>
      </c>
      <c r="BK123" s="32">
        <v>0</v>
      </c>
      <c r="BL123" s="32">
        <v>0</v>
      </c>
      <c r="BM123" s="32">
        <v>49422.53</v>
      </c>
      <c r="BN123" s="32">
        <v>0</v>
      </c>
      <c r="BO123" s="32">
        <v>9000</v>
      </c>
      <c r="BP123" s="32">
        <v>0</v>
      </c>
      <c r="BQ123" s="32">
        <v>52244.71</v>
      </c>
      <c r="BR123" s="32">
        <v>43244.71</v>
      </c>
      <c r="BS123" s="32">
        <v>43244.71</v>
      </c>
      <c r="BT123" s="32">
        <v>43244.74</v>
      </c>
      <c r="BU123" s="32">
        <v>0</v>
      </c>
      <c r="BV123" s="32">
        <v>0</v>
      </c>
      <c r="BW123" s="32">
        <v>0</v>
      </c>
      <c r="BX123" s="32">
        <v>0</v>
      </c>
      <c r="BY123" s="32">
        <v>0</v>
      </c>
      <c r="BZ123" s="32">
        <v>0</v>
      </c>
      <c r="CA123" s="32">
        <v>0</v>
      </c>
      <c r="CB123" s="33" t="s">
        <v>2218</v>
      </c>
      <c r="CC123" s="33" t="s">
        <v>640</v>
      </c>
      <c r="CD123" s="33"/>
      <c r="CE123" s="33" t="s">
        <v>523</v>
      </c>
      <c r="CF123" s="33" t="s">
        <v>641</v>
      </c>
      <c r="CG123" s="33" t="s">
        <v>727</v>
      </c>
      <c r="CH123" s="33" t="s">
        <v>526</v>
      </c>
      <c r="CI123" s="33" t="s">
        <v>212</v>
      </c>
      <c r="CJ123" s="33" t="s">
        <v>212</v>
      </c>
      <c r="CK123" s="33"/>
      <c r="CL123" s="33" t="s">
        <v>212</v>
      </c>
      <c r="CM123" s="33"/>
      <c r="CN123" s="33" t="s">
        <v>254</v>
      </c>
      <c r="CO123" s="33" t="s">
        <v>255</v>
      </c>
      <c r="CP123" s="33" t="s">
        <v>2219</v>
      </c>
      <c r="CQ123" s="33" t="s">
        <v>728</v>
      </c>
      <c r="CR123" s="33" t="s">
        <v>529</v>
      </c>
      <c r="CS123" s="33"/>
      <c r="CT123" s="33" t="s">
        <v>254</v>
      </c>
      <c r="CU123" s="33" t="s">
        <v>255</v>
      </c>
      <c r="CV123" s="33" t="s">
        <v>2219</v>
      </c>
      <c r="CW123" s="33" t="s">
        <v>728</v>
      </c>
      <c r="CX123" s="33" t="s">
        <v>529</v>
      </c>
      <c r="CY123" s="33" t="s">
        <v>628</v>
      </c>
      <c r="CZ123" s="33" t="s">
        <v>729</v>
      </c>
      <c r="DA123" s="33" t="s">
        <v>730</v>
      </c>
      <c r="DB123" s="33" t="s">
        <v>628</v>
      </c>
      <c r="DC123" s="33" t="s">
        <v>1740</v>
      </c>
      <c r="DD123" s="33" t="s">
        <v>2220</v>
      </c>
      <c r="DE123" s="33" t="s">
        <v>2221</v>
      </c>
      <c r="DF123" s="34" t="s">
        <v>2222</v>
      </c>
      <c r="DG123" s="27" cm="1">
        <f t="array" ref="DG123">INDEX('elenco partner'!A:M,MATCH(1,(D123='elenco partner'!A:A)*('Partner data'!M123='elenco partner'!E:E),0),4)</f>
        <v>241</v>
      </c>
      <c r="DH123" s="83" t="str">
        <f t="shared" si="45"/>
        <v>COSTO REALE</v>
      </c>
      <c r="DI123" s="20">
        <f>COUNTIFS('MY-REPORT-MAIN'!C:C,'Partner data'!DG123,'MY-REPORT-MAIN'!I:I,"Certified")</f>
        <v>1</v>
      </c>
      <c r="DJ123" s="20">
        <f>COUNTIFS(List_Of_chek_list!M:M,"&lt;&gt;26",List_Of_chek_list!B:B,'Partner data'!DG123)</f>
        <v>1</v>
      </c>
      <c r="DK123" s="20">
        <f t="shared" si="46"/>
        <v>0</v>
      </c>
      <c r="DL123" s="19" t="str">
        <f>IF(DH123="Tasso Forfettario 20%",SUMIFS(List_Of_chek_list!#REF!,List_Of_chek_list!B:B,'Partner data'!DG123),"NON PERTINENTE")</f>
        <v>NON PERTINENTE</v>
      </c>
      <c r="DM123" s="19" t="str">
        <f t="shared" si="47"/>
        <v>NON PERTINENTE</v>
      </c>
      <c r="DN123" s="110">
        <f>_xlfn.MAXIFS('MY-REPORT-MAIN'!K:K,'MY-REPORT-MAIN'!C:C,DG123)</f>
        <v>45380.567322430557</v>
      </c>
      <c r="DO123" s="112">
        <f>IF(_xlfn.MAXIFS('MY-REPORT-MAIN'!M:M,'MY-REPORT-MAIN'!C:C,DG123)=0,"Nessun rendiconto  Convalidato",_xlfn.MAXIFS('MY-REPORT-MAIN'!M:M,'MY-REPORT-MAIN'!C:C,DG123))</f>
        <v>45468.69745443287</v>
      </c>
      <c r="DP123" s="113" cm="1">
        <f t="array" ref="DP123">IFERROR(INDEX('MY-REPORT-MAIN'!A:Z,MATCH(1,(DO123='MY-REPORT-MAIN'!M:M)*('Partner data'!DG123='MY-REPORT-MAIN'!C:C),0),1),"NON è stato convalidato ancora nessun rendiconto")</f>
        <v>224</v>
      </c>
      <c r="DQ123" s="111">
        <f>IFERROR(INDEX('MY-REPORT-MAIN'!A:Z,MATCH('Partner data'!DP123,'MY-REPORT-MAIN'!A:A,0),21),"Nessun Rendiconto ancora convalidato")</f>
        <v>15003.95</v>
      </c>
      <c r="DR123" s="110">
        <f>INDEX('Interreg VI-A Italy-Slovenia_pr'!A:E,MATCH('Partner data'!C123,'Interreg VI-A Italy-Slovenia_pr'!A:A,0),3)</f>
        <v>45170</v>
      </c>
      <c r="DS123" s="118">
        <f t="shared" si="29"/>
        <v>52244.71</v>
      </c>
      <c r="DT123" s="118">
        <f t="shared" si="30"/>
        <v>95489.42</v>
      </c>
      <c r="DU123" s="118">
        <f t="shared" si="31"/>
        <v>138734.13</v>
      </c>
      <c r="DV123" s="118">
        <f t="shared" si="32"/>
        <v>181978.87</v>
      </c>
      <c r="DW123" s="118">
        <f t="shared" si="33"/>
        <v>181978.87</v>
      </c>
      <c r="DX123" s="118">
        <f t="shared" si="34"/>
        <v>181978.87</v>
      </c>
      <c r="DY123" s="118">
        <f t="shared" si="35"/>
        <v>181978.87</v>
      </c>
      <c r="DZ123" s="118">
        <f t="shared" si="36"/>
        <v>181978.87</v>
      </c>
      <c r="EA123" s="118">
        <f t="shared" si="37"/>
        <v>181978.87</v>
      </c>
      <c r="EB123" s="118">
        <f t="shared" si="38"/>
        <v>181978.87</v>
      </c>
    </row>
    <row r="124" spans="1:132" ht="45" x14ac:dyDescent="0.25">
      <c r="A124" s="28">
        <v>1</v>
      </c>
      <c r="B124" s="29" t="s">
        <v>487</v>
      </c>
      <c r="C124" s="30" t="s">
        <v>2214</v>
      </c>
      <c r="D124" s="30" t="s">
        <v>365</v>
      </c>
      <c r="E124" s="30" t="s">
        <v>2215</v>
      </c>
      <c r="F124" s="30" t="s">
        <v>490</v>
      </c>
      <c r="G124" s="30" t="s">
        <v>491</v>
      </c>
      <c r="H124" s="30" t="s">
        <v>594</v>
      </c>
      <c r="I124" s="30" t="s">
        <v>595</v>
      </c>
      <c r="J124" s="31" t="s">
        <v>518</v>
      </c>
      <c r="K124" s="31" t="s">
        <v>495</v>
      </c>
      <c r="L124" s="31" t="s">
        <v>519</v>
      </c>
      <c r="M124" s="31" t="s">
        <v>370</v>
      </c>
      <c r="N124" s="31" t="s">
        <v>2223</v>
      </c>
      <c r="O124" s="31" t="s">
        <v>2224</v>
      </c>
      <c r="P124" s="31" t="s">
        <v>257</v>
      </c>
      <c r="Q124" s="31" t="s">
        <v>556</v>
      </c>
      <c r="R124" s="31" t="s">
        <v>258</v>
      </c>
      <c r="S124" s="32">
        <v>111979.52</v>
      </c>
      <c r="T124" s="32">
        <v>80</v>
      </c>
      <c r="U124" s="32">
        <v>23.33</v>
      </c>
      <c r="V124" s="32">
        <v>0</v>
      </c>
      <c r="W124" s="32">
        <v>0</v>
      </c>
      <c r="X124" s="32">
        <v>0</v>
      </c>
      <c r="Y124" s="32">
        <v>0</v>
      </c>
      <c r="Z124" s="32">
        <v>0</v>
      </c>
      <c r="AA124" s="32">
        <v>0</v>
      </c>
      <c r="AB124" s="32">
        <v>0</v>
      </c>
      <c r="AC124" s="32">
        <v>0</v>
      </c>
      <c r="AD124" s="32">
        <v>0</v>
      </c>
      <c r="AE124" s="32">
        <v>0</v>
      </c>
      <c r="AF124" s="32">
        <v>0</v>
      </c>
      <c r="AG124" s="32">
        <v>0</v>
      </c>
      <c r="AH124" s="32">
        <v>0</v>
      </c>
      <c r="AI124" s="32">
        <v>0</v>
      </c>
      <c r="AJ124" s="32">
        <v>0</v>
      </c>
      <c r="AK124" s="32">
        <v>0</v>
      </c>
      <c r="AL124" s="32">
        <v>0</v>
      </c>
      <c r="AM124" s="32">
        <v>0</v>
      </c>
      <c r="AN124" s="32">
        <v>27994.880000000001</v>
      </c>
      <c r="AO124" s="32">
        <v>0</v>
      </c>
      <c r="AP124" s="32">
        <v>0</v>
      </c>
      <c r="AQ124" s="32">
        <v>27994.880000000001</v>
      </c>
      <c r="AR124" s="32">
        <v>139974.39999999999</v>
      </c>
      <c r="AS124" s="32">
        <v>23.33</v>
      </c>
      <c r="AT124" s="32">
        <v>113760</v>
      </c>
      <c r="AU124" s="32">
        <v>0</v>
      </c>
      <c r="AV124" s="32">
        <v>113760</v>
      </c>
      <c r="AW124" s="32">
        <v>0</v>
      </c>
      <c r="AX124" s="32">
        <v>17064</v>
      </c>
      <c r="AY124" s="32">
        <v>17064</v>
      </c>
      <c r="AZ124" s="32">
        <v>4550.3999999999996</v>
      </c>
      <c r="BA124" s="32">
        <v>4550.3999999999996</v>
      </c>
      <c r="BB124" s="32">
        <v>0</v>
      </c>
      <c r="BC124" s="32">
        <v>0</v>
      </c>
      <c r="BD124" s="32">
        <v>4600</v>
      </c>
      <c r="BE124" s="32">
        <v>4600</v>
      </c>
      <c r="BF124" s="32">
        <v>0</v>
      </c>
      <c r="BG124" s="32">
        <v>0</v>
      </c>
      <c r="BH124" s="32">
        <v>0</v>
      </c>
      <c r="BI124" s="32">
        <v>0</v>
      </c>
      <c r="BJ124" s="32">
        <v>0</v>
      </c>
      <c r="BK124" s="32">
        <v>0</v>
      </c>
      <c r="BL124" s="32">
        <v>0</v>
      </c>
      <c r="BM124" s="32">
        <v>0</v>
      </c>
      <c r="BN124" s="32">
        <v>0</v>
      </c>
      <c r="BO124" s="32">
        <v>0</v>
      </c>
      <c r="BP124" s="32">
        <v>0</v>
      </c>
      <c r="BQ124" s="32">
        <v>34843.599999999999</v>
      </c>
      <c r="BR124" s="32">
        <v>34843.599999999999</v>
      </c>
      <c r="BS124" s="32">
        <v>34843.599999999999</v>
      </c>
      <c r="BT124" s="32">
        <v>35443.599999999999</v>
      </c>
      <c r="BU124" s="32">
        <v>0</v>
      </c>
      <c r="BV124" s="32">
        <v>0</v>
      </c>
      <c r="BW124" s="32">
        <v>0</v>
      </c>
      <c r="BX124" s="32">
        <v>0</v>
      </c>
      <c r="BY124" s="32">
        <v>0</v>
      </c>
      <c r="BZ124" s="32">
        <v>0</v>
      </c>
      <c r="CA124" s="32">
        <v>0</v>
      </c>
      <c r="CB124" s="33" t="s">
        <v>2225</v>
      </c>
      <c r="CC124" s="33" t="s">
        <v>640</v>
      </c>
      <c r="CD124" s="33"/>
      <c r="CE124" s="33" t="s">
        <v>523</v>
      </c>
      <c r="CF124" s="33" t="s">
        <v>1472</v>
      </c>
      <c r="CG124" s="33" t="s">
        <v>2226</v>
      </c>
      <c r="CH124" s="33" t="s">
        <v>526</v>
      </c>
      <c r="CI124" s="33"/>
      <c r="CJ124" s="33" t="s">
        <v>212</v>
      </c>
      <c r="CK124" s="33"/>
      <c r="CL124" s="33" t="s">
        <v>212</v>
      </c>
      <c r="CM124" s="33"/>
      <c r="CN124" s="33" t="s">
        <v>257</v>
      </c>
      <c r="CO124" s="33" t="s">
        <v>258</v>
      </c>
      <c r="CP124" s="33" t="s">
        <v>1137</v>
      </c>
      <c r="CQ124" s="33" t="s">
        <v>620</v>
      </c>
      <c r="CR124" s="33" t="s">
        <v>621</v>
      </c>
      <c r="CS124" s="33" t="s">
        <v>2227</v>
      </c>
      <c r="CT124" s="33" t="s">
        <v>257</v>
      </c>
      <c r="CU124" s="33" t="s">
        <v>258</v>
      </c>
      <c r="CV124" s="33" t="s">
        <v>1137</v>
      </c>
      <c r="CW124" s="33" t="s">
        <v>620</v>
      </c>
      <c r="CX124" s="33" t="s">
        <v>621</v>
      </c>
      <c r="CY124" s="33" t="s">
        <v>2058</v>
      </c>
      <c r="CZ124" s="33" t="s">
        <v>698</v>
      </c>
      <c r="DA124" s="33" t="s">
        <v>2228</v>
      </c>
      <c r="DB124" s="33" t="s">
        <v>628</v>
      </c>
      <c r="DC124" s="33" t="s">
        <v>1211</v>
      </c>
      <c r="DD124" s="33" t="s">
        <v>2229</v>
      </c>
      <c r="DE124" s="33" t="s">
        <v>2230</v>
      </c>
      <c r="DF124" s="34" t="s">
        <v>2231</v>
      </c>
      <c r="DG124" s="27" cm="1">
        <f t="array" ref="DG124">INDEX('elenco partner'!A:M,MATCH(1,(D124='elenco partner'!A:A)*('Partner data'!M124='elenco partner'!E:E),0),4)</f>
        <v>249</v>
      </c>
      <c r="DH124" s="83" t="str">
        <f t="shared" si="45"/>
        <v>COSTO REALE</v>
      </c>
      <c r="DI124" s="20">
        <f>COUNTIFS('MY-REPORT-MAIN'!C:C,'Partner data'!DG124,'MY-REPORT-MAIN'!I:I,"Certified")</f>
        <v>0</v>
      </c>
      <c r="DJ124" s="20">
        <f>COUNTIFS(List_Of_chek_list!M:M,"&lt;&gt;26",List_Of_chek_list!B:B,'Partner data'!DG124)</f>
        <v>0</v>
      </c>
      <c r="DK124" s="20">
        <f t="shared" si="46"/>
        <v>0</v>
      </c>
      <c r="DL124" s="19" t="str">
        <f>IF(DH124="Tasso Forfettario 20%",SUMIFS(List_Of_chek_list!#REF!,List_Of_chek_list!B:B,'Partner data'!DG124),"NON PERTINENTE")</f>
        <v>NON PERTINENTE</v>
      </c>
      <c r="DM124" s="19" t="str">
        <f t="shared" si="47"/>
        <v>NON PERTINENTE</v>
      </c>
      <c r="DN124" s="110">
        <f>_xlfn.MAXIFS('MY-REPORT-MAIN'!K:K,'MY-REPORT-MAIN'!C:C,DG124)</f>
        <v>0</v>
      </c>
      <c r="DO124" s="112" t="str">
        <f>IF(_xlfn.MAXIFS('MY-REPORT-MAIN'!M:M,'MY-REPORT-MAIN'!C:C,DG124)=0,"Nessun rendiconto  Convalidato",_xlfn.MAXIFS('MY-REPORT-MAIN'!M:M,'MY-REPORT-MAIN'!C:C,DG124))</f>
        <v>Nessun rendiconto  Convalidato</v>
      </c>
      <c r="DP124" s="113" t="str" cm="1">
        <f t="array" ref="DP124">IFERROR(INDEX('MY-REPORT-MAIN'!A:Z,MATCH(1,(DO124='MY-REPORT-MAIN'!M:M)*('Partner data'!DG124='MY-REPORT-MAIN'!C:C),0),1),"NON è stato convalidato ancora nessun rendiconto")</f>
        <v>NON è stato convalidato ancora nessun rendiconto</v>
      </c>
      <c r="DQ124" s="111" t="str">
        <f>IFERROR(INDEX('MY-REPORT-MAIN'!A:Z,MATCH('Partner data'!DP124,'MY-REPORT-MAIN'!A:A,0),21),"Nessun Rendiconto ancora convalidato")</f>
        <v>Nessun Rendiconto ancora convalidato</v>
      </c>
      <c r="DR124" s="110">
        <f>INDEX('Interreg VI-A Italy-Slovenia_pr'!A:E,MATCH('Partner data'!C124,'Interreg VI-A Italy-Slovenia_pr'!A:A,0),3)</f>
        <v>45170</v>
      </c>
      <c r="DS124" s="118">
        <f t="shared" si="29"/>
        <v>34843.599999999999</v>
      </c>
      <c r="DT124" s="118">
        <f t="shared" si="30"/>
        <v>69687.199999999997</v>
      </c>
      <c r="DU124" s="118">
        <f t="shared" si="31"/>
        <v>104530.79999999999</v>
      </c>
      <c r="DV124" s="118">
        <f t="shared" si="32"/>
        <v>139974.39999999999</v>
      </c>
      <c r="DW124" s="118">
        <f t="shared" si="33"/>
        <v>139974.39999999999</v>
      </c>
      <c r="DX124" s="118">
        <f t="shared" si="34"/>
        <v>139974.39999999999</v>
      </c>
      <c r="DY124" s="118">
        <f t="shared" si="35"/>
        <v>139974.39999999999</v>
      </c>
      <c r="DZ124" s="118">
        <f t="shared" si="36"/>
        <v>139974.39999999999</v>
      </c>
      <c r="EA124" s="118">
        <f t="shared" si="37"/>
        <v>139974.39999999999</v>
      </c>
      <c r="EB124" s="118">
        <f t="shared" si="38"/>
        <v>139974.39999999999</v>
      </c>
    </row>
    <row r="125" spans="1:132" x14ac:dyDescent="0.25">
      <c r="A125" s="28">
        <v>1</v>
      </c>
      <c r="B125" s="29" t="s">
        <v>487</v>
      </c>
      <c r="C125" s="30" t="s">
        <v>2214</v>
      </c>
      <c r="D125" s="30" t="s">
        <v>365</v>
      </c>
      <c r="E125" s="30" t="s">
        <v>2215</v>
      </c>
      <c r="F125" s="30" t="s">
        <v>490</v>
      </c>
      <c r="G125" s="30" t="s">
        <v>491</v>
      </c>
      <c r="H125" s="30" t="s">
        <v>594</v>
      </c>
      <c r="I125" s="30" t="s">
        <v>595</v>
      </c>
      <c r="J125" s="31" t="s">
        <v>538</v>
      </c>
      <c r="K125" s="31" t="s">
        <v>495</v>
      </c>
      <c r="L125" s="31" t="s">
        <v>519</v>
      </c>
      <c r="M125" s="31" t="s">
        <v>366</v>
      </c>
      <c r="N125" s="31" t="s">
        <v>2232</v>
      </c>
      <c r="O125" s="31" t="s">
        <v>366</v>
      </c>
      <c r="P125" s="31" t="s">
        <v>257</v>
      </c>
      <c r="Q125" s="31" t="s">
        <v>556</v>
      </c>
      <c r="R125" s="31" t="s">
        <v>258</v>
      </c>
      <c r="S125" s="32">
        <v>64223.040000000001</v>
      </c>
      <c r="T125" s="32">
        <v>80</v>
      </c>
      <c r="U125" s="32">
        <v>13.38</v>
      </c>
      <c r="V125" s="32">
        <v>0</v>
      </c>
      <c r="W125" s="32">
        <v>0</v>
      </c>
      <c r="X125" s="32">
        <v>0</v>
      </c>
      <c r="Y125" s="32">
        <v>0</v>
      </c>
      <c r="Z125" s="32">
        <v>0</v>
      </c>
      <c r="AA125" s="32">
        <v>0</v>
      </c>
      <c r="AB125" s="32">
        <v>0</v>
      </c>
      <c r="AC125" s="32">
        <v>0</v>
      </c>
      <c r="AD125" s="32">
        <v>0</v>
      </c>
      <c r="AE125" s="32">
        <v>0</v>
      </c>
      <c r="AF125" s="32">
        <v>0</v>
      </c>
      <c r="AG125" s="32">
        <v>0</v>
      </c>
      <c r="AH125" s="32">
        <v>0</v>
      </c>
      <c r="AI125" s="32">
        <v>0</v>
      </c>
      <c r="AJ125" s="32">
        <v>0</v>
      </c>
      <c r="AK125" s="32">
        <v>0</v>
      </c>
      <c r="AL125" s="32">
        <v>0</v>
      </c>
      <c r="AM125" s="32">
        <v>0</v>
      </c>
      <c r="AN125" s="32">
        <v>0</v>
      </c>
      <c r="AO125" s="32">
        <v>0</v>
      </c>
      <c r="AP125" s="32">
        <v>16055.76</v>
      </c>
      <c r="AQ125" s="32">
        <v>16055.76</v>
      </c>
      <c r="AR125" s="32">
        <v>80278.8</v>
      </c>
      <c r="AS125" s="32">
        <v>13.38</v>
      </c>
      <c r="AT125" s="32">
        <v>57342</v>
      </c>
      <c r="AU125" s="32">
        <v>0</v>
      </c>
      <c r="AV125" s="32">
        <v>57342</v>
      </c>
      <c r="AW125" s="32">
        <v>0</v>
      </c>
      <c r="AX125" s="32">
        <v>0</v>
      </c>
      <c r="AY125" s="32">
        <v>0</v>
      </c>
      <c r="AZ125" s="32">
        <v>0</v>
      </c>
      <c r="BA125" s="32">
        <v>0</v>
      </c>
      <c r="BB125" s="32">
        <v>0</v>
      </c>
      <c r="BC125" s="32">
        <v>0</v>
      </c>
      <c r="BD125" s="32">
        <v>0</v>
      </c>
      <c r="BE125" s="32">
        <v>0</v>
      </c>
      <c r="BF125" s="32">
        <v>0</v>
      </c>
      <c r="BG125" s="32">
        <v>0</v>
      </c>
      <c r="BH125" s="32">
        <v>0</v>
      </c>
      <c r="BI125" s="32">
        <v>0</v>
      </c>
      <c r="BJ125" s="32">
        <v>0</v>
      </c>
      <c r="BK125" s="32">
        <v>0</v>
      </c>
      <c r="BL125" s="32">
        <v>0</v>
      </c>
      <c r="BM125" s="32">
        <v>22936.799999999999</v>
      </c>
      <c r="BN125" s="32">
        <v>0</v>
      </c>
      <c r="BO125" s="32">
        <v>0</v>
      </c>
      <c r="BP125" s="32">
        <v>0</v>
      </c>
      <c r="BQ125" s="32">
        <v>20069.7</v>
      </c>
      <c r="BR125" s="32">
        <v>20069.7</v>
      </c>
      <c r="BS125" s="32">
        <v>20069.7</v>
      </c>
      <c r="BT125" s="32">
        <v>20069.7</v>
      </c>
      <c r="BU125" s="32">
        <v>0</v>
      </c>
      <c r="BV125" s="32">
        <v>0</v>
      </c>
      <c r="BW125" s="32">
        <v>0</v>
      </c>
      <c r="BX125" s="32">
        <v>0</v>
      </c>
      <c r="BY125" s="32">
        <v>0</v>
      </c>
      <c r="BZ125" s="32">
        <v>0</v>
      </c>
      <c r="CA125" s="32">
        <v>0</v>
      </c>
      <c r="CB125" s="33" t="s">
        <v>981</v>
      </c>
      <c r="CC125" s="33" t="s">
        <v>675</v>
      </c>
      <c r="CD125" s="33" t="s">
        <v>617</v>
      </c>
      <c r="CE125" s="33" t="s">
        <v>501</v>
      </c>
      <c r="CF125" s="33" t="s">
        <v>1031</v>
      </c>
      <c r="CG125" s="33" t="s">
        <v>2233</v>
      </c>
      <c r="CH125" s="33" t="s">
        <v>504</v>
      </c>
      <c r="CI125" s="33"/>
      <c r="CJ125" s="33" t="s">
        <v>212</v>
      </c>
      <c r="CK125" s="33"/>
      <c r="CL125" s="33" t="s">
        <v>212</v>
      </c>
      <c r="CM125" s="33"/>
      <c r="CN125" s="33" t="s">
        <v>257</v>
      </c>
      <c r="CO125" s="33" t="s">
        <v>258</v>
      </c>
      <c r="CP125" s="33" t="s">
        <v>2234</v>
      </c>
      <c r="CQ125" s="33" t="s">
        <v>620</v>
      </c>
      <c r="CR125" s="33" t="s">
        <v>621</v>
      </c>
      <c r="CS125" s="33" t="s">
        <v>2235</v>
      </c>
      <c r="CT125" s="33" t="s">
        <v>257</v>
      </c>
      <c r="CU125" s="33" t="s">
        <v>258</v>
      </c>
      <c r="CV125" s="33" t="s">
        <v>2234</v>
      </c>
      <c r="CW125" s="33" t="s">
        <v>620</v>
      </c>
      <c r="CX125" s="33" t="s">
        <v>621</v>
      </c>
      <c r="CY125" s="33" t="s">
        <v>2236</v>
      </c>
      <c r="CZ125" s="33" t="s">
        <v>2237</v>
      </c>
      <c r="DA125" s="33" t="s">
        <v>2238</v>
      </c>
      <c r="DB125" s="33" t="s">
        <v>2239</v>
      </c>
      <c r="DC125" s="33" t="s">
        <v>2240</v>
      </c>
      <c r="DD125" s="33" t="s">
        <v>2241</v>
      </c>
      <c r="DE125" s="33" t="s">
        <v>2242</v>
      </c>
      <c r="DF125" s="34" t="s">
        <v>2243</v>
      </c>
      <c r="DG125" s="27" cm="1">
        <f t="array" ref="DG125">INDEX('elenco partner'!A:M,MATCH(1,(D125='elenco partner'!A:A)*('Partner data'!M125='elenco partner'!E:E),0),4)</f>
        <v>263</v>
      </c>
      <c r="DH125" s="83" t="str">
        <f t="shared" si="45"/>
        <v>COSTO REALE</v>
      </c>
      <c r="DI125" s="20">
        <f>COUNTIFS('MY-REPORT-MAIN'!C:C,'Partner data'!DG125,'MY-REPORT-MAIN'!I:I,"Certified")</f>
        <v>1</v>
      </c>
      <c r="DJ125" s="20">
        <f>COUNTIFS(List_Of_chek_list!M:M,"&lt;&gt;26",List_Of_chek_list!B:B,'Partner data'!DG125)</f>
        <v>1</v>
      </c>
      <c r="DK125" s="20">
        <f t="shared" si="46"/>
        <v>0</v>
      </c>
      <c r="DL125" s="19" t="str">
        <f>IF(DH125="Tasso Forfettario 20%",SUMIFS(List_Of_chek_list!#REF!,List_Of_chek_list!B:B,'Partner data'!DG125),"NON PERTINENTE")</f>
        <v>NON PERTINENTE</v>
      </c>
      <c r="DM125" s="19" t="str">
        <f t="shared" si="47"/>
        <v>NON PERTINENTE</v>
      </c>
      <c r="DN125" s="110">
        <f>_xlfn.MAXIFS('MY-REPORT-MAIN'!K:K,'MY-REPORT-MAIN'!C:C,DG125)</f>
        <v>45382.563478310185</v>
      </c>
      <c r="DO125" s="112">
        <f>IF(_xlfn.MAXIFS('MY-REPORT-MAIN'!M:M,'MY-REPORT-MAIN'!C:C,DG125)=0,"Nessun rendiconto  Convalidato",_xlfn.MAXIFS('MY-REPORT-MAIN'!M:M,'MY-REPORT-MAIN'!C:C,DG125))</f>
        <v>45463.390307743059</v>
      </c>
      <c r="DP125" s="113" cm="1">
        <f t="array" ref="DP125">IFERROR(INDEX('MY-REPORT-MAIN'!A:Z,MATCH(1,(DO125='MY-REPORT-MAIN'!M:M)*('Partner data'!DG125='MY-REPORT-MAIN'!C:C),0),1),"NON è stato convalidato ancora nessun rendiconto")</f>
        <v>265</v>
      </c>
      <c r="DQ125" s="111">
        <f>IFERROR(INDEX('MY-REPORT-MAIN'!A:Z,MATCH('Partner data'!DP125,'MY-REPORT-MAIN'!A:A,0),21),"Nessun Rendiconto ancora convalidato")</f>
        <v>19075.89</v>
      </c>
      <c r="DR125" s="110">
        <f>INDEX('Interreg VI-A Italy-Slovenia_pr'!A:E,MATCH('Partner data'!C125,'Interreg VI-A Italy-Slovenia_pr'!A:A,0),3)</f>
        <v>45170</v>
      </c>
      <c r="DS125" s="118">
        <f t="shared" si="29"/>
        <v>20069.7</v>
      </c>
      <c r="DT125" s="118">
        <f t="shared" si="30"/>
        <v>40139.4</v>
      </c>
      <c r="DU125" s="118">
        <f t="shared" si="31"/>
        <v>60209.100000000006</v>
      </c>
      <c r="DV125" s="118">
        <f t="shared" si="32"/>
        <v>80278.8</v>
      </c>
      <c r="DW125" s="118">
        <f t="shared" si="33"/>
        <v>80278.8</v>
      </c>
      <c r="DX125" s="118">
        <f t="shared" si="34"/>
        <v>80278.8</v>
      </c>
      <c r="DY125" s="118">
        <f t="shared" si="35"/>
        <v>80278.8</v>
      </c>
      <c r="DZ125" s="118">
        <f t="shared" si="36"/>
        <v>80278.8</v>
      </c>
      <c r="EA125" s="118">
        <f t="shared" si="37"/>
        <v>80278.8</v>
      </c>
      <c r="EB125" s="118">
        <f t="shared" si="38"/>
        <v>80278.8</v>
      </c>
    </row>
    <row r="126" spans="1:132" x14ac:dyDescent="0.25">
      <c r="A126" s="28">
        <v>1</v>
      </c>
      <c r="B126" s="29" t="s">
        <v>487</v>
      </c>
      <c r="C126" s="30" t="s">
        <v>2214</v>
      </c>
      <c r="D126" s="30" t="s">
        <v>365</v>
      </c>
      <c r="E126" s="30" t="s">
        <v>2215</v>
      </c>
      <c r="F126" s="30" t="s">
        <v>490</v>
      </c>
      <c r="G126" s="30" t="s">
        <v>491</v>
      </c>
      <c r="H126" s="30" t="s">
        <v>594</v>
      </c>
      <c r="I126" s="30" t="s">
        <v>595</v>
      </c>
      <c r="J126" s="31" t="s">
        <v>554</v>
      </c>
      <c r="K126" s="31" t="s">
        <v>495</v>
      </c>
      <c r="L126" s="31" t="s">
        <v>519</v>
      </c>
      <c r="M126" s="31" t="s">
        <v>369</v>
      </c>
      <c r="N126" s="31" t="s">
        <v>2244</v>
      </c>
      <c r="O126" s="31" t="s">
        <v>2244</v>
      </c>
      <c r="P126" s="31" t="s">
        <v>254</v>
      </c>
      <c r="Q126" s="31" t="s">
        <v>540</v>
      </c>
      <c r="R126" s="31" t="s">
        <v>260</v>
      </c>
      <c r="S126" s="32">
        <v>63029.38</v>
      </c>
      <c r="T126" s="32">
        <v>80</v>
      </c>
      <c r="U126" s="32">
        <v>13.13</v>
      </c>
      <c r="V126" s="32">
        <v>0</v>
      </c>
      <c r="W126" s="32">
        <v>0</v>
      </c>
      <c r="X126" s="32">
        <v>0</v>
      </c>
      <c r="Y126" s="32">
        <v>0</v>
      </c>
      <c r="Z126" s="32">
        <v>0</v>
      </c>
      <c r="AA126" s="32">
        <v>0</v>
      </c>
      <c r="AB126" s="32">
        <v>0</v>
      </c>
      <c r="AC126" s="32">
        <v>0</v>
      </c>
      <c r="AD126" s="32">
        <v>0</v>
      </c>
      <c r="AE126" s="32">
        <v>0</v>
      </c>
      <c r="AF126" s="32">
        <v>0</v>
      </c>
      <c r="AG126" s="32">
        <v>0</v>
      </c>
      <c r="AH126" s="32">
        <v>0</v>
      </c>
      <c r="AI126" s="32">
        <v>0</v>
      </c>
      <c r="AJ126" s="32">
        <v>0</v>
      </c>
      <c r="AK126" s="32">
        <v>0</v>
      </c>
      <c r="AL126" s="32">
        <v>0</v>
      </c>
      <c r="AM126" s="32">
        <v>0</v>
      </c>
      <c r="AN126" s="32">
        <v>0</v>
      </c>
      <c r="AO126" s="32">
        <v>0</v>
      </c>
      <c r="AP126" s="32">
        <v>15757.35</v>
      </c>
      <c r="AQ126" s="32">
        <v>15757.35</v>
      </c>
      <c r="AR126" s="32">
        <v>78786.73</v>
      </c>
      <c r="AS126" s="32">
        <v>13.13</v>
      </c>
      <c r="AT126" s="32">
        <v>56276.24</v>
      </c>
      <c r="AU126" s="32">
        <v>0</v>
      </c>
      <c r="AV126" s="32">
        <v>0</v>
      </c>
      <c r="AW126" s="32">
        <v>56276.24</v>
      </c>
      <c r="AX126" s="32">
        <v>0</v>
      </c>
      <c r="AY126" s="32">
        <v>0</v>
      </c>
      <c r="AZ126" s="32">
        <v>0</v>
      </c>
      <c r="BA126" s="32">
        <v>0</v>
      </c>
      <c r="BB126" s="32">
        <v>0</v>
      </c>
      <c r="BC126" s="32">
        <v>0</v>
      </c>
      <c r="BD126" s="32">
        <v>0</v>
      </c>
      <c r="BE126" s="32">
        <v>0</v>
      </c>
      <c r="BF126" s="32">
        <v>0</v>
      </c>
      <c r="BG126" s="32">
        <v>0</v>
      </c>
      <c r="BH126" s="32">
        <v>0</v>
      </c>
      <c r="BI126" s="32">
        <v>0</v>
      </c>
      <c r="BJ126" s="32">
        <v>0</v>
      </c>
      <c r="BK126" s="32">
        <v>0</v>
      </c>
      <c r="BL126" s="32">
        <v>0</v>
      </c>
      <c r="BM126" s="32">
        <v>22510.49</v>
      </c>
      <c r="BN126" s="32">
        <v>0</v>
      </c>
      <c r="BO126" s="32">
        <v>0</v>
      </c>
      <c r="BP126" s="32">
        <v>0</v>
      </c>
      <c r="BQ126" s="32">
        <v>19696.68</v>
      </c>
      <c r="BR126" s="32">
        <v>19696.68</v>
      </c>
      <c r="BS126" s="32">
        <v>19696.68</v>
      </c>
      <c r="BT126" s="32">
        <v>19696.689999999999</v>
      </c>
      <c r="BU126" s="32">
        <v>0</v>
      </c>
      <c r="BV126" s="32">
        <v>0</v>
      </c>
      <c r="BW126" s="32">
        <v>0</v>
      </c>
      <c r="BX126" s="32">
        <v>0</v>
      </c>
      <c r="BY126" s="32">
        <v>0</v>
      </c>
      <c r="BZ126" s="32">
        <v>0</v>
      </c>
      <c r="CA126" s="32">
        <v>0</v>
      </c>
      <c r="CB126" s="33" t="s">
        <v>981</v>
      </c>
      <c r="CC126" s="33" t="s">
        <v>675</v>
      </c>
      <c r="CD126" s="33" t="s">
        <v>653</v>
      </c>
      <c r="CE126" s="33" t="s">
        <v>501</v>
      </c>
      <c r="CF126" s="33" t="s">
        <v>2245</v>
      </c>
      <c r="CG126" s="33" t="s">
        <v>2246</v>
      </c>
      <c r="CH126" s="33" t="s">
        <v>504</v>
      </c>
      <c r="CI126" s="33"/>
      <c r="CJ126" s="33" t="s">
        <v>212</v>
      </c>
      <c r="CK126" s="33"/>
      <c r="CL126" s="33" t="s">
        <v>212</v>
      </c>
      <c r="CM126" s="33"/>
      <c r="CN126" s="33" t="s">
        <v>254</v>
      </c>
      <c r="CO126" s="33" t="s">
        <v>260</v>
      </c>
      <c r="CP126" s="33" t="s">
        <v>2247</v>
      </c>
      <c r="CQ126" s="33" t="s">
        <v>600</v>
      </c>
      <c r="CR126" s="33" t="s">
        <v>2248</v>
      </c>
      <c r="CS126" s="33" t="s">
        <v>2249</v>
      </c>
      <c r="CT126" s="33" t="s">
        <v>254</v>
      </c>
      <c r="CU126" s="33" t="s">
        <v>260</v>
      </c>
      <c r="CV126" s="33" t="s">
        <v>2247</v>
      </c>
      <c r="CW126" s="33" t="s">
        <v>600</v>
      </c>
      <c r="CX126" s="33" t="s">
        <v>2248</v>
      </c>
      <c r="CY126" s="33" t="s">
        <v>510</v>
      </c>
      <c r="CZ126" s="33" t="s">
        <v>2250</v>
      </c>
      <c r="DA126" s="33" t="s">
        <v>2251</v>
      </c>
      <c r="DB126" s="33" t="s">
        <v>513</v>
      </c>
      <c r="DC126" s="33" t="s">
        <v>2252</v>
      </c>
      <c r="DD126" s="33" t="s">
        <v>2253</v>
      </c>
      <c r="DE126" s="33" t="s">
        <v>2254</v>
      </c>
      <c r="DF126" s="34" t="s">
        <v>2255</v>
      </c>
      <c r="DG126" s="27" cm="1">
        <f t="array" ref="DG126">INDEX('elenco partner'!A:M,MATCH(1,(D126='elenco partner'!A:A)*('Partner data'!M126='elenco partner'!E:E),0),4)</f>
        <v>264</v>
      </c>
      <c r="DH126" s="83" t="str">
        <f t="shared" si="45"/>
        <v>Costo Unitario Standard</v>
      </c>
      <c r="DI126" s="20">
        <f>COUNTIFS('MY-REPORT-MAIN'!C:C,'Partner data'!DG126,'MY-REPORT-MAIN'!I:I,"Certified")</f>
        <v>1</v>
      </c>
      <c r="DJ126" s="20">
        <f>COUNTIFS(List_Of_chek_list!M:M,"&lt;&gt;26",List_Of_chek_list!B:B,'Partner data'!DG126)</f>
        <v>0</v>
      </c>
      <c r="DK126" s="20">
        <f t="shared" si="46"/>
        <v>1</v>
      </c>
      <c r="DL126" s="19" t="str">
        <f>IF(DH126="Tasso Forfettario 20%",SUMIFS(List_Of_chek_list!#REF!,List_Of_chek_list!B:B,'Partner data'!DG126),"NON PERTINENTE")</f>
        <v>NON PERTINENTE</v>
      </c>
      <c r="DM126" s="19" t="str">
        <f t="shared" si="47"/>
        <v>NON PERTINENTE</v>
      </c>
      <c r="DN126" s="110">
        <f>_xlfn.MAXIFS('MY-REPORT-MAIN'!K:K,'MY-REPORT-MAIN'!C:C,DG126)</f>
        <v>45380.652767870371</v>
      </c>
      <c r="DO126" s="112">
        <f>IF(_xlfn.MAXIFS('MY-REPORT-MAIN'!M:M,'MY-REPORT-MAIN'!C:C,DG126)=0,"Nessun rendiconto  Convalidato",_xlfn.MAXIFS('MY-REPORT-MAIN'!M:M,'MY-REPORT-MAIN'!C:C,DG126))</f>
        <v>45470.665502777774</v>
      </c>
      <c r="DP126" s="113" cm="1">
        <f t="array" ref="DP126">IFERROR(INDEX('MY-REPORT-MAIN'!A:Z,MATCH(1,(DO126='MY-REPORT-MAIN'!M:M)*('Partner data'!DG126='MY-REPORT-MAIN'!C:C),0),1),"NON è stato convalidato ancora nessun rendiconto")</f>
        <v>270</v>
      </c>
      <c r="DQ126" s="111">
        <f>IFERROR(INDEX('MY-REPORT-MAIN'!A:Z,MATCH('Partner data'!DP126,'MY-REPORT-MAIN'!A:A,0),21),"Nessun Rendiconto ancora convalidato")</f>
        <v>9889.6</v>
      </c>
      <c r="DR126" s="110">
        <f>INDEX('Interreg VI-A Italy-Slovenia_pr'!A:E,MATCH('Partner data'!C126,'Interreg VI-A Italy-Slovenia_pr'!A:A,0),3)</f>
        <v>45170</v>
      </c>
      <c r="DS126" s="118">
        <f t="shared" si="29"/>
        <v>19696.68</v>
      </c>
      <c r="DT126" s="118">
        <f t="shared" si="30"/>
        <v>39393.360000000001</v>
      </c>
      <c r="DU126" s="118">
        <f t="shared" si="31"/>
        <v>59090.04</v>
      </c>
      <c r="DV126" s="118">
        <f t="shared" si="32"/>
        <v>78786.73</v>
      </c>
      <c r="DW126" s="118">
        <f t="shared" si="33"/>
        <v>78786.73</v>
      </c>
      <c r="DX126" s="118">
        <f t="shared" si="34"/>
        <v>78786.73</v>
      </c>
      <c r="DY126" s="118">
        <f t="shared" si="35"/>
        <v>78786.73</v>
      </c>
      <c r="DZ126" s="118">
        <f t="shared" si="36"/>
        <v>78786.73</v>
      </c>
      <c r="EA126" s="118">
        <f t="shared" si="37"/>
        <v>78786.73</v>
      </c>
      <c r="EB126" s="118">
        <f t="shared" si="38"/>
        <v>78786.73</v>
      </c>
    </row>
    <row r="127" spans="1:132" x14ac:dyDescent="0.25">
      <c r="A127" s="28">
        <v>1</v>
      </c>
      <c r="B127" s="29" t="s">
        <v>487</v>
      </c>
      <c r="C127" s="30" t="s">
        <v>2214</v>
      </c>
      <c r="D127" s="30" t="s">
        <v>365</v>
      </c>
      <c r="E127" s="30" t="s">
        <v>2215</v>
      </c>
      <c r="F127" s="30" t="s">
        <v>490</v>
      </c>
      <c r="G127" s="30" t="s">
        <v>491</v>
      </c>
      <c r="H127" s="30" t="s">
        <v>594</v>
      </c>
      <c r="I127" s="30" t="s">
        <v>595</v>
      </c>
      <c r="J127" s="31" t="s">
        <v>570</v>
      </c>
      <c r="K127" s="31" t="s">
        <v>495</v>
      </c>
      <c r="L127" s="31" t="s">
        <v>519</v>
      </c>
      <c r="M127" s="31" t="s">
        <v>368</v>
      </c>
      <c r="N127" s="31" t="s">
        <v>733</v>
      </c>
      <c r="O127" s="31" t="s">
        <v>1272</v>
      </c>
      <c r="P127" s="31" t="s">
        <v>254</v>
      </c>
      <c r="Q127" s="31" t="s">
        <v>499</v>
      </c>
      <c r="R127" s="31" t="s">
        <v>255</v>
      </c>
      <c r="S127" s="32">
        <v>67203.759999999995</v>
      </c>
      <c r="T127" s="32">
        <v>80</v>
      </c>
      <c r="U127" s="32">
        <v>14</v>
      </c>
      <c r="V127" s="32">
        <v>0</v>
      </c>
      <c r="W127" s="32">
        <v>0</v>
      </c>
      <c r="X127" s="32">
        <v>0</v>
      </c>
      <c r="Y127" s="32">
        <v>0</v>
      </c>
      <c r="Z127" s="32">
        <v>0</v>
      </c>
      <c r="AA127" s="32">
        <v>0</v>
      </c>
      <c r="AB127" s="32">
        <v>0</v>
      </c>
      <c r="AC127" s="32">
        <v>0</v>
      </c>
      <c r="AD127" s="32">
        <v>0</v>
      </c>
      <c r="AE127" s="32">
        <v>0</v>
      </c>
      <c r="AF127" s="32">
        <v>0</v>
      </c>
      <c r="AG127" s="32">
        <v>0</v>
      </c>
      <c r="AH127" s="32">
        <v>0</v>
      </c>
      <c r="AI127" s="32">
        <v>0</v>
      </c>
      <c r="AJ127" s="32">
        <v>0</v>
      </c>
      <c r="AK127" s="32">
        <v>0</v>
      </c>
      <c r="AL127" s="32">
        <v>0</v>
      </c>
      <c r="AM127" s="32">
        <v>0</v>
      </c>
      <c r="AN127" s="32">
        <v>0</v>
      </c>
      <c r="AO127" s="32">
        <v>16800.939999999999</v>
      </c>
      <c r="AP127" s="32">
        <v>0</v>
      </c>
      <c r="AQ127" s="32">
        <v>16800.939999999999</v>
      </c>
      <c r="AR127" s="32">
        <v>84004.7</v>
      </c>
      <c r="AS127" s="32">
        <v>14</v>
      </c>
      <c r="AT127" s="32">
        <v>60003.360000000001</v>
      </c>
      <c r="AU127" s="32">
        <v>0</v>
      </c>
      <c r="AV127" s="32">
        <v>60003.360000000001</v>
      </c>
      <c r="AW127" s="32">
        <v>0</v>
      </c>
      <c r="AX127" s="32">
        <v>0</v>
      </c>
      <c r="AY127" s="32">
        <v>0</v>
      </c>
      <c r="AZ127" s="32">
        <v>0</v>
      </c>
      <c r="BA127" s="32">
        <v>0</v>
      </c>
      <c r="BB127" s="32">
        <v>0</v>
      </c>
      <c r="BC127" s="32">
        <v>0</v>
      </c>
      <c r="BD127" s="32">
        <v>0</v>
      </c>
      <c r="BE127" s="32">
        <v>0</v>
      </c>
      <c r="BF127" s="32">
        <v>0</v>
      </c>
      <c r="BG127" s="32">
        <v>0</v>
      </c>
      <c r="BH127" s="32">
        <v>0</v>
      </c>
      <c r="BI127" s="32">
        <v>0</v>
      </c>
      <c r="BJ127" s="32">
        <v>0</v>
      </c>
      <c r="BK127" s="32">
        <v>0</v>
      </c>
      <c r="BL127" s="32">
        <v>0</v>
      </c>
      <c r="BM127" s="32">
        <v>24001.34</v>
      </c>
      <c r="BN127" s="32">
        <v>0</v>
      </c>
      <c r="BO127" s="32">
        <v>0</v>
      </c>
      <c r="BP127" s="32">
        <v>0</v>
      </c>
      <c r="BQ127" s="32">
        <v>21001.17</v>
      </c>
      <c r="BR127" s="32">
        <v>21001.17</v>
      </c>
      <c r="BS127" s="32">
        <v>21001.17</v>
      </c>
      <c r="BT127" s="32">
        <v>21001.19</v>
      </c>
      <c r="BU127" s="32">
        <v>0</v>
      </c>
      <c r="BV127" s="32">
        <v>0</v>
      </c>
      <c r="BW127" s="32">
        <v>0</v>
      </c>
      <c r="BX127" s="32">
        <v>0</v>
      </c>
      <c r="BY127" s="32">
        <v>0</v>
      </c>
      <c r="BZ127" s="32">
        <v>0</v>
      </c>
      <c r="CA127" s="32">
        <v>0</v>
      </c>
      <c r="CB127" s="33" t="s">
        <v>2256</v>
      </c>
      <c r="CC127" s="33" t="s">
        <v>624</v>
      </c>
      <c r="CD127" s="33"/>
      <c r="CE127" s="33" t="s">
        <v>523</v>
      </c>
      <c r="CF127" s="33" t="s">
        <v>1286</v>
      </c>
      <c r="CG127" s="33" t="s">
        <v>1440</v>
      </c>
      <c r="CH127" s="33" t="s">
        <v>526</v>
      </c>
      <c r="CI127" s="33" t="s">
        <v>212</v>
      </c>
      <c r="CJ127" s="33" t="s">
        <v>212</v>
      </c>
      <c r="CK127" s="33"/>
      <c r="CL127" s="33" t="s">
        <v>212</v>
      </c>
      <c r="CM127" s="33"/>
      <c r="CN127" s="33" t="s">
        <v>254</v>
      </c>
      <c r="CO127" s="33" t="s">
        <v>255</v>
      </c>
      <c r="CP127" s="33" t="s">
        <v>738</v>
      </c>
      <c r="CQ127" s="33" t="s">
        <v>739</v>
      </c>
      <c r="CR127" s="33" t="s">
        <v>529</v>
      </c>
      <c r="CS127" s="33" t="s">
        <v>1276</v>
      </c>
      <c r="CT127" s="33" t="s">
        <v>254</v>
      </c>
      <c r="CU127" s="33" t="s">
        <v>255</v>
      </c>
      <c r="CV127" s="33" t="s">
        <v>1443</v>
      </c>
      <c r="CW127" s="33" t="s">
        <v>1342</v>
      </c>
      <c r="CX127" s="33" t="s">
        <v>529</v>
      </c>
      <c r="CY127" s="33" t="s">
        <v>628</v>
      </c>
      <c r="CZ127" s="33" t="s">
        <v>1445</v>
      </c>
      <c r="DA127" s="33" t="s">
        <v>1446</v>
      </c>
      <c r="DB127" s="33" t="s">
        <v>628</v>
      </c>
      <c r="DC127" s="33" t="s">
        <v>2257</v>
      </c>
      <c r="DD127" s="33" t="s">
        <v>2258</v>
      </c>
      <c r="DE127" s="33" t="s">
        <v>2259</v>
      </c>
      <c r="DF127" s="34" t="s">
        <v>2260</v>
      </c>
      <c r="DG127" s="27" cm="1">
        <f t="array" ref="DG127">INDEX('elenco partner'!A:M,MATCH(1,(D127='elenco partner'!A:A)*('Partner data'!M127='elenco partner'!E:E),0),4)</f>
        <v>265</v>
      </c>
      <c r="DH127" s="83" t="str">
        <f t="shared" si="45"/>
        <v>COSTO REALE</v>
      </c>
      <c r="DI127" s="20">
        <f>COUNTIFS('MY-REPORT-MAIN'!C:C,'Partner data'!DG127,'MY-REPORT-MAIN'!I:I,"Certified")</f>
        <v>1</v>
      </c>
      <c r="DJ127" s="20">
        <f>COUNTIFS(List_Of_chek_list!M:M,"&lt;&gt;26",List_Of_chek_list!B:B,'Partner data'!DG127)</f>
        <v>1</v>
      </c>
      <c r="DK127" s="20">
        <f t="shared" si="46"/>
        <v>0</v>
      </c>
      <c r="DL127" s="19" t="str">
        <f>IF(DH127="Tasso Forfettario 20%",SUMIFS(List_Of_chek_list!#REF!,List_Of_chek_list!B:B,'Partner data'!DG127),"NON PERTINENTE")</f>
        <v>NON PERTINENTE</v>
      </c>
      <c r="DM127" s="19" t="str">
        <f t="shared" si="47"/>
        <v>NON PERTINENTE</v>
      </c>
      <c r="DN127" s="110">
        <f>_xlfn.MAXIFS('MY-REPORT-MAIN'!K:K,'MY-REPORT-MAIN'!C:C,DG127)</f>
        <v>45379.519874999998</v>
      </c>
      <c r="DO127" s="112">
        <f>IF(_xlfn.MAXIFS('MY-REPORT-MAIN'!M:M,'MY-REPORT-MAIN'!C:C,DG127)=0,"Nessun rendiconto  Convalidato",_xlfn.MAXIFS('MY-REPORT-MAIN'!M:M,'MY-REPORT-MAIN'!C:C,DG127))</f>
        <v>45434.524321898149</v>
      </c>
      <c r="DP127" s="113" cm="1">
        <f t="array" ref="DP127">IFERROR(INDEX('MY-REPORT-MAIN'!A:Z,MATCH(1,(DO127='MY-REPORT-MAIN'!M:M)*('Partner data'!DG127='MY-REPORT-MAIN'!C:C),0),1),"NON è stato convalidato ancora nessun rendiconto")</f>
        <v>256</v>
      </c>
      <c r="DQ127" s="111">
        <f>IFERROR(INDEX('MY-REPORT-MAIN'!A:Z,MATCH('Partner data'!DP127,'MY-REPORT-MAIN'!A:A,0),21),"Nessun Rendiconto ancora convalidato")</f>
        <v>1401.12</v>
      </c>
      <c r="DR127" s="110">
        <f>INDEX('Interreg VI-A Italy-Slovenia_pr'!A:E,MATCH('Partner data'!C127,'Interreg VI-A Italy-Slovenia_pr'!A:A,0),3)</f>
        <v>45170</v>
      </c>
      <c r="DS127" s="118">
        <f t="shared" si="29"/>
        <v>21001.17</v>
      </c>
      <c r="DT127" s="118">
        <f t="shared" si="30"/>
        <v>42002.34</v>
      </c>
      <c r="DU127" s="118">
        <f t="shared" si="31"/>
        <v>63003.509999999995</v>
      </c>
      <c r="DV127" s="118">
        <f t="shared" si="32"/>
        <v>84004.7</v>
      </c>
      <c r="DW127" s="118">
        <f t="shared" si="33"/>
        <v>84004.7</v>
      </c>
      <c r="DX127" s="118">
        <f t="shared" si="34"/>
        <v>84004.7</v>
      </c>
      <c r="DY127" s="118">
        <f t="shared" si="35"/>
        <v>84004.7</v>
      </c>
      <c r="DZ127" s="118">
        <f t="shared" si="36"/>
        <v>84004.7</v>
      </c>
      <c r="EA127" s="118">
        <f t="shared" si="37"/>
        <v>84004.7</v>
      </c>
      <c r="EB127" s="118">
        <f t="shared" si="38"/>
        <v>84004.7</v>
      </c>
    </row>
    <row r="128" spans="1:132" x14ac:dyDescent="0.25">
      <c r="A128" s="28">
        <v>1</v>
      </c>
      <c r="B128" s="29" t="s">
        <v>487</v>
      </c>
      <c r="C128" s="30" t="s">
        <v>2214</v>
      </c>
      <c r="D128" s="30" t="s">
        <v>365</v>
      </c>
      <c r="E128" s="30" t="s">
        <v>2215</v>
      </c>
      <c r="F128" s="30" t="s">
        <v>490</v>
      </c>
      <c r="G128" s="30" t="s">
        <v>491</v>
      </c>
      <c r="H128" s="30" t="s">
        <v>594</v>
      </c>
      <c r="I128" s="30" t="s">
        <v>595</v>
      </c>
      <c r="J128" s="31" t="s">
        <v>581</v>
      </c>
      <c r="K128" s="31" t="s">
        <v>495</v>
      </c>
      <c r="L128" s="31" t="s">
        <v>519</v>
      </c>
      <c r="M128" s="31" t="s">
        <v>293</v>
      </c>
      <c r="N128" s="31" t="s">
        <v>2261</v>
      </c>
      <c r="O128" s="31" t="s">
        <v>1483</v>
      </c>
      <c r="P128" s="31" t="s">
        <v>254</v>
      </c>
      <c r="Q128" s="31" t="s">
        <v>499</v>
      </c>
      <c r="R128" s="31" t="s">
        <v>273</v>
      </c>
      <c r="S128" s="32">
        <v>27972</v>
      </c>
      <c r="T128" s="32">
        <v>80</v>
      </c>
      <c r="U128" s="32">
        <v>5.83</v>
      </c>
      <c r="V128" s="32">
        <v>0</v>
      </c>
      <c r="W128" s="32">
        <v>0</v>
      </c>
      <c r="X128" s="32">
        <v>0</v>
      </c>
      <c r="Y128" s="32">
        <v>0</v>
      </c>
      <c r="Z128" s="32">
        <v>0</v>
      </c>
      <c r="AA128" s="32">
        <v>0</v>
      </c>
      <c r="AB128" s="32">
        <v>0</v>
      </c>
      <c r="AC128" s="32">
        <v>0</v>
      </c>
      <c r="AD128" s="32">
        <v>0</v>
      </c>
      <c r="AE128" s="32">
        <v>0</v>
      </c>
      <c r="AF128" s="32">
        <v>0</v>
      </c>
      <c r="AG128" s="32">
        <v>0</v>
      </c>
      <c r="AH128" s="32">
        <v>0</v>
      </c>
      <c r="AI128" s="32">
        <v>0</v>
      </c>
      <c r="AJ128" s="32">
        <v>0</v>
      </c>
      <c r="AK128" s="32">
        <v>0</v>
      </c>
      <c r="AL128" s="32">
        <v>0</v>
      </c>
      <c r="AM128" s="32">
        <v>0</v>
      </c>
      <c r="AN128" s="32">
        <v>0</v>
      </c>
      <c r="AO128" s="32">
        <v>6993</v>
      </c>
      <c r="AP128" s="32">
        <v>0</v>
      </c>
      <c r="AQ128" s="32">
        <v>6993</v>
      </c>
      <c r="AR128" s="32">
        <v>34965</v>
      </c>
      <c r="AS128" s="32">
        <v>5.83</v>
      </c>
      <c r="AT128" s="32">
        <v>24975</v>
      </c>
      <c r="AU128" s="32">
        <v>0</v>
      </c>
      <c r="AV128" s="32">
        <v>0</v>
      </c>
      <c r="AW128" s="32">
        <v>24975</v>
      </c>
      <c r="AX128" s="32">
        <v>0</v>
      </c>
      <c r="AY128" s="32">
        <v>0</v>
      </c>
      <c r="AZ128" s="32">
        <v>0</v>
      </c>
      <c r="BA128" s="32">
        <v>0</v>
      </c>
      <c r="BB128" s="32">
        <v>0</v>
      </c>
      <c r="BC128" s="32">
        <v>0</v>
      </c>
      <c r="BD128" s="32">
        <v>0</v>
      </c>
      <c r="BE128" s="32">
        <v>0</v>
      </c>
      <c r="BF128" s="32">
        <v>0</v>
      </c>
      <c r="BG128" s="32">
        <v>0</v>
      </c>
      <c r="BH128" s="32">
        <v>0</v>
      </c>
      <c r="BI128" s="32">
        <v>0</v>
      </c>
      <c r="BJ128" s="32">
        <v>0</v>
      </c>
      <c r="BK128" s="32">
        <v>0</v>
      </c>
      <c r="BL128" s="32">
        <v>0</v>
      </c>
      <c r="BM128" s="32">
        <v>9990</v>
      </c>
      <c r="BN128" s="32">
        <v>0</v>
      </c>
      <c r="BO128" s="32">
        <v>0</v>
      </c>
      <c r="BP128" s="32">
        <v>0</v>
      </c>
      <c r="BQ128" s="32">
        <v>8741.25</v>
      </c>
      <c r="BR128" s="32">
        <v>8741.25</v>
      </c>
      <c r="BS128" s="32">
        <v>8741.25</v>
      </c>
      <c r="BT128" s="32">
        <v>8741.25</v>
      </c>
      <c r="BU128" s="32">
        <v>0</v>
      </c>
      <c r="BV128" s="32">
        <v>0</v>
      </c>
      <c r="BW128" s="32">
        <v>0</v>
      </c>
      <c r="BX128" s="32">
        <v>0</v>
      </c>
      <c r="BY128" s="32">
        <v>0</v>
      </c>
      <c r="BZ128" s="32">
        <v>0</v>
      </c>
      <c r="CA128" s="32">
        <v>0</v>
      </c>
      <c r="CB128" s="33" t="s">
        <v>2262</v>
      </c>
      <c r="CC128" s="33" t="s">
        <v>640</v>
      </c>
      <c r="CD128" s="33"/>
      <c r="CE128" s="33" t="s">
        <v>523</v>
      </c>
      <c r="CF128" s="33"/>
      <c r="CG128" s="33" t="s">
        <v>1172</v>
      </c>
      <c r="CH128" s="33" t="s">
        <v>526</v>
      </c>
      <c r="CI128" s="33"/>
      <c r="CJ128" s="33" t="s">
        <v>212</v>
      </c>
      <c r="CK128" s="33"/>
      <c r="CL128" s="33" t="s">
        <v>212</v>
      </c>
      <c r="CM128" s="33"/>
      <c r="CN128" s="33" t="s">
        <v>254</v>
      </c>
      <c r="CO128" s="33" t="s">
        <v>273</v>
      </c>
      <c r="CP128" s="33" t="s">
        <v>2263</v>
      </c>
      <c r="CQ128" s="33" t="s">
        <v>661</v>
      </c>
      <c r="CR128" s="33" t="s">
        <v>662</v>
      </c>
      <c r="CS128" s="33" t="s">
        <v>2264</v>
      </c>
      <c r="CT128" s="33" t="s">
        <v>254</v>
      </c>
      <c r="CU128" s="33" t="s">
        <v>273</v>
      </c>
      <c r="CV128" s="33" t="s">
        <v>2265</v>
      </c>
      <c r="CW128" s="33" t="s">
        <v>661</v>
      </c>
      <c r="CX128" s="33" t="s">
        <v>662</v>
      </c>
      <c r="CY128" s="33" t="s">
        <v>510</v>
      </c>
      <c r="CZ128" s="33" t="s">
        <v>1484</v>
      </c>
      <c r="DA128" s="33" t="s">
        <v>1178</v>
      </c>
      <c r="DB128" s="33" t="s">
        <v>513</v>
      </c>
      <c r="DC128" s="33" t="s">
        <v>2266</v>
      </c>
      <c r="DD128" s="33" t="s">
        <v>2267</v>
      </c>
      <c r="DE128" s="33" t="s">
        <v>2268</v>
      </c>
      <c r="DF128" s="34" t="s">
        <v>2269</v>
      </c>
      <c r="DG128" s="27" cm="1">
        <f t="array" ref="DG128">INDEX('elenco partner'!A:M,MATCH(1,(D128='elenco partner'!A:A)*('Partner data'!M128='elenco partner'!E:E),0),4)</f>
        <v>266</v>
      </c>
      <c r="DH128" s="83" t="str">
        <f t="shared" si="45"/>
        <v>Costo Unitario Standard</v>
      </c>
      <c r="DI128" s="20">
        <f>COUNTIFS('MY-REPORT-MAIN'!C:C,'Partner data'!DG128,'MY-REPORT-MAIN'!I:I,"Certified")</f>
        <v>1</v>
      </c>
      <c r="DJ128" s="20">
        <f>COUNTIFS(List_Of_chek_list!M:M,"&lt;&gt;26",List_Of_chek_list!B:B,'Partner data'!DG128)</f>
        <v>1</v>
      </c>
      <c r="DK128" s="20">
        <f t="shared" si="46"/>
        <v>0</v>
      </c>
      <c r="DL128" s="19" t="str">
        <f>IF(DH128="Tasso Forfettario 20%",SUMIFS(List_Of_chek_list!#REF!,List_Of_chek_list!B:B,'Partner data'!DG128),"NON PERTINENTE")</f>
        <v>NON PERTINENTE</v>
      </c>
      <c r="DM128" s="19" t="str">
        <f t="shared" si="47"/>
        <v>NON PERTINENTE</v>
      </c>
      <c r="DN128" s="110">
        <f>_xlfn.MAXIFS('MY-REPORT-MAIN'!K:K,'MY-REPORT-MAIN'!C:C,DG128)</f>
        <v>45379.603804953702</v>
      </c>
      <c r="DO128" s="112">
        <f>IF(_xlfn.MAXIFS('MY-REPORT-MAIN'!M:M,'MY-REPORT-MAIN'!C:C,DG128)=0,"Nessun rendiconto  Convalidato",_xlfn.MAXIFS('MY-REPORT-MAIN'!M:M,'MY-REPORT-MAIN'!C:C,DG128))</f>
        <v>45443.402018564811</v>
      </c>
      <c r="DP128" s="113" cm="1">
        <f t="array" ref="DP128">IFERROR(INDEX('MY-REPORT-MAIN'!A:Z,MATCH(1,(DO128='MY-REPORT-MAIN'!M:M)*('Partner data'!DG128='MY-REPORT-MAIN'!C:C),0),1),"NON è stato convalidato ancora nessun rendiconto")</f>
        <v>321</v>
      </c>
      <c r="DQ128" s="111">
        <f>IFERROR(INDEX('MY-REPORT-MAIN'!A:Z,MATCH('Partner data'!DP128,'MY-REPORT-MAIN'!A:A,0),21),"Nessun Rendiconto ancora convalidato")</f>
        <v>945</v>
      </c>
      <c r="DR128" s="110">
        <f>INDEX('Interreg VI-A Italy-Slovenia_pr'!A:E,MATCH('Partner data'!C128,'Interreg VI-A Italy-Slovenia_pr'!A:A,0),3)</f>
        <v>45170</v>
      </c>
      <c r="DS128" s="118">
        <f t="shared" si="29"/>
        <v>8741.25</v>
      </c>
      <c r="DT128" s="118">
        <f t="shared" si="30"/>
        <v>17482.5</v>
      </c>
      <c r="DU128" s="118">
        <f t="shared" si="31"/>
        <v>26223.75</v>
      </c>
      <c r="DV128" s="118">
        <f t="shared" si="32"/>
        <v>34965</v>
      </c>
      <c r="DW128" s="118">
        <f t="shared" si="33"/>
        <v>34965</v>
      </c>
      <c r="DX128" s="118">
        <f t="shared" si="34"/>
        <v>34965</v>
      </c>
      <c r="DY128" s="118">
        <f t="shared" si="35"/>
        <v>34965</v>
      </c>
      <c r="DZ128" s="118">
        <f t="shared" si="36"/>
        <v>34965</v>
      </c>
      <c r="EA128" s="118">
        <f t="shared" si="37"/>
        <v>34965</v>
      </c>
      <c r="EB128" s="118">
        <f t="shared" si="38"/>
        <v>34965</v>
      </c>
    </row>
    <row r="129" spans="1:132" x14ac:dyDescent="0.25">
      <c r="A129" s="28">
        <v>1</v>
      </c>
      <c r="B129" s="29" t="s">
        <v>487</v>
      </c>
      <c r="C129" s="30" t="s">
        <v>2270</v>
      </c>
      <c r="D129" s="30" t="s">
        <v>66</v>
      </c>
      <c r="E129" s="30" t="s">
        <v>2271</v>
      </c>
      <c r="F129" s="30" t="s">
        <v>1118</v>
      </c>
      <c r="G129" s="30" t="s">
        <v>491</v>
      </c>
      <c r="H129" s="30" t="s">
        <v>766</v>
      </c>
      <c r="I129" s="30" t="s">
        <v>767</v>
      </c>
      <c r="J129" s="31" t="s">
        <v>494</v>
      </c>
      <c r="K129" s="31" t="s">
        <v>495</v>
      </c>
      <c r="L129" s="31" t="s">
        <v>496</v>
      </c>
      <c r="M129" s="31" t="s">
        <v>21</v>
      </c>
      <c r="N129" s="31" t="s">
        <v>21</v>
      </c>
      <c r="O129" s="31" t="s">
        <v>21</v>
      </c>
      <c r="P129" s="31" t="s">
        <v>254</v>
      </c>
      <c r="Q129" s="31" t="s">
        <v>499</v>
      </c>
      <c r="R129" s="31" t="s">
        <v>255</v>
      </c>
      <c r="S129" s="32">
        <v>199999.97</v>
      </c>
      <c r="T129" s="32">
        <v>80</v>
      </c>
      <c r="U129" s="32">
        <v>33.340000000000003</v>
      </c>
      <c r="V129" s="32">
        <v>0</v>
      </c>
      <c r="W129" s="32">
        <v>0</v>
      </c>
      <c r="X129" s="32">
        <v>0</v>
      </c>
      <c r="Y129" s="32">
        <v>0</v>
      </c>
      <c r="Z129" s="32">
        <v>0</v>
      </c>
      <c r="AA129" s="32">
        <v>0</v>
      </c>
      <c r="AB129" s="32">
        <v>0</v>
      </c>
      <c r="AC129" s="32">
        <v>0</v>
      </c>
      <c r="AD129" s="32">
        <v>0</v>
      </c>
      <c r="AE129" s="32">
        <v>0</v>
      </c>
      <c r="AF129" s="32">
        <v>0</v>
      </c>
      <c r="AG129" s="32">
        <v>0</v>
      </c>
      <c r="AH129" s="32">
        <v>0</v>
      </c>
      <c r="AI129" s="32">
        <v>0</v>
      </c>
      <c r="AJ129" s="32">
        <v>0</v>
      </c>
      <c r="AK129" s="32">
        <v>0</v>
      </c>
      <c r="AL129" s="32">
        <v>0</v>
      </c>
      <c r="AM129" s="32">
        <v>0</v>
      </c>
      <c r="AN129" s="32">
        <v>0</v>
      </c>
      <c r="AO129" s="32">
        <v>50000</v>
      </c>
      <c r="AP129" s="32">
        <v>0</v>
      </c>
      <c r="AQ129" s="32">
        <v>50000</v>
      </c>
      <c r="AR129" s="32">
        <v>249999.97</v>
      </c>
      <c r="AS129" s="32">
        <v>33.340000000000003</v>
      </c>
      <c r="AT129" s="32">
        <v>38933.760000000002</v>
      </c>
      <c r="AU129" s="32">
        <v>38933.760000000002</v>
      </c>
      <c r="AV129" s="32">
        <v>0</v>
      </c>
      <c r="AW129" s="32">
        <v>0</v>
      </c>
      <c r="AX129" s="32">
        <v>5840.06</v>
      </c>
      <c r="AY129" s="32">
        <v>5840.06</v>
      </c>
      <c r="AZ129" s="32">
        <v>1557.35</v>
      </c>
      <c r="BA129" s="32">
        <v>1557.35</v>
      </c>
      <c r="BB129" s="32">
        <v>0</v>
      </c>
      <c r="BC129" s="32">
        <v>0</v>
      </c>
      <c r="BD129" s="32">
        <v>194668.79999999999</v>
      </c>
      <c r="BE129" s="32">
        <v>194668.79999999999</v>
      </c>
      <c r="BF129" s="32">
        <v>0</v>
      </c>
      <c r="BG129" s="32">
        <v>0</v>
      </c>
      <c r="BH129" s="32">
        <v>0</v>
      </c>
      <c r="BI129" s="32">
        <v>0</v>
      </c>
      <c r="BJ129" s="32">
        <v>0</v>
      </c>
      <c r="BK129" s="32">
        <v>0</v>
      </c>
      <c r="BL129" s="32">
        <v>0</v>
      </c>
      <c r="BM129" s="32">
        <v>0</v>
      </c>
      <c r="BN129" s="32">
        <v>0</v>
      </c>
      <c r="BO129" s="32">
        <v>9000</v>
      </c>
      <c r="BP129" s="32">
        <v>9000</v>
      </c>
      <c r="BQ129" s="32">
        <v>73620.820000000007</v>
      </c>
      <c r="BR129" s="32">
        <v>42941.440000000002</v>
      </c>
      <c r="BS129" s="32">
        <v>44577.34</v>
      </c>
      <c r="BT129" s="32">
        <v>79860.37</v>
      </c>
      <c r="BU129" s="32">
        <v>0</v>
      </c>
      <c r="BV129" s="32">
        <v>0</v>
      </c>
      <c r="BW129" s="32">
        <v>0</v>
      </c>
      <c r="BX129" s="32">
        <v>0</v>
      </c>
      <c r="BY129" s="32">
        <v>0</v>
      </c>
      <c r="BZ129" s="32">
        <v>0</v>
      </c>
      <c r="CA129" s="32">
        <v>0</v>
      </c>
      <c r="CB129" s="33" t="s">
        <v>2272</v>
      </c>
      <c r="CC129" s="33" t="s">
        <v>606</v>
      </c>
      <c r="CD129" s="33"/>
      <c r="CE129" s="33" t="s">
        <v>684</v>
      </c>
      <c r="CF129" s="33" t="s">
        <v>2273</v>
      </c>
      <c r="CG129" s="33" t="s">
        <v>2274</v>
      </c>
      <c r="CH129" s="33" t="s">
        <v>526</v>
      </c>
      <c r="CI129" s="33"/>
      <c r="CJ129" s="33" t="s">
        <v>212</v>
      </c>
      <c r="CK129" s="33"/>
      <c r="CL129" s="33" t="s">
        <v>212</v>
      </c>
      <c r="CM129" s="33"/>
      <c r="CN129" s="33" t="s">
        <v>254</v>
      </c>
      <c r="CO129" s="33" t="s">
        <v>255</v>
      </c>
      <c r="CP129" s="33" t="s">
        <v>2275</v>
      </c>
      <c r="CQ129" s="33" t="s">
        <v>2276</v>
      </c>
      <c r="CR129" s="33" t="s">
        <v>529</v>
      </c>
      <c r="CS129" s="33" t="s">
        <v>2277</v>
      </c>
      <c r="CT129" s="33" t="s">
        <v>254</v>
      </c>
      <c r="CU129" s="33" t="s">
        <v>273</v>
      </c>
      <c r="CV129" s="33" t="s">
        <v>2278</v>
      </c>
      <c r="CW129" s="33" t="s">
        <v>2279</v>
      </c>
      <c r="CX129" s="33" t="s">
        <v>2280</v>
      </c>
      <c r="CY129" s="33"/>
      <c r="CZ129" s="33" t="s">
        <v>635</v>
      </c>
      <c r="DA129" s="33" t="s">
        <v>2281</v>
      </c>
      <c r="DB129" s="33"/>
      <c r="DC129" s="33" t="s">
        <v>2098</v>
      </c>
      <c r="DD129" s="33" t="s">
        <v>1963</v>
      </c>
      <c r="DE129" s="33" t="s">
        <v>2282</v>
      </c>
      <c r="DF129" s="34" t="s">
        <v>2283</v>
      </c>
      <c r="DG129" s="27" cm="1">
        <f t="array" ref="DG129">INDEX('elenco partner'!A:M,MATCH(1,(D129='elenco partner'!A:A)*('Partner data'!M129='elenco partner'!E:E),0),4)</f>
        <v>258</v>
      </c>
      <c r="DH129" s="83" t="str">
        <f t="shared" si="45"/>
        <v>Tasso Forfettario 20%</v>
      </c>
      <c r="DI129" s="20">
        <f>COUNTIFS('MY-REPORT-MAIN'!C:C,'Partner data'!DG129,'MY-REPORT-MAIN'!I:I,"Certified")</f>
        <v>1</v>
      </c>
      <c r="DJ129" s="20">
        <f>COUNTIFS(List_Of_chek_list!M:M,"&lt;&gt;26",List_Of_chek_list!B:B,'Partner data'!DG129)</f>
        <v>1</v>
      </c>
      <c r="DK129" s="20">
        <f t="shared" si="46"/>
        <v>0</v>
      </c>
      <c r="DL129" s="19" t="e">
        <f>IF(DH129="Tasso Forfettario 20%",SUMIFS(List_Of_chek_list!#REF!,List_Of_chek_list!B:B,'Partner data'!DG129),"NON PERTINENTE")</f>
        <v>#REF!</v>
      </c>
      <c r="DM129" s="19" t="e">
        <f t="shared" si="47"/>
        <v>#REF!</v>
      </c>
      <c r="DN129" s="110">
        <f>_xlfn.MAXIFS('MY-REPORT-MAIN'!K:K,'MY-REPORT-MAIN'!C:C,DG129)</f>
        <v>45377.680296516206</v>
      </c>
      <c r="DO129" s="112">
        <f>IF(_xlfn.MAXIFS('MY-REPORT-MAIN'!M:M,'MY-REPORT-MAIN'!C:C,DG129)=0,"Nessun rendiconto  Convalidato",_xlfn.MAXIFS('MY-REPORT-MAIN'!M:M,'MY-REPORT-MAIN'!C:C,DG129))</f>
        <v>45446.488148599536</v>
      </c>
      <c r="DP129" s="113" cm="1">
        <f t="array" ref="DP129">IFERROR(INDEX('MY-REPORT-MAIN'!A:Z,MATCH(1,(DO129='MY-REPORT-MAIN'!M:M)*('Partner data'!DG129='MY-REPORT-MAIN'!C:C),0),1),"NON è stato convalidato ancora nessun rendiconto")</f>
        <v>161</v>
      </c>
      <c r="DQ129" s="111">
        <f>IFERROR(INDEX('MY-REPORT-MAIN'!A:Z,MATCH('Partner data'!DP129,'MY-REPORT-MAIN'!A:A,0),21),"Nessun Rendiconto ancora convalidato")</f>
        <v>20413.88</v>
      </c>
      <c r="DR129" s="110">
        <f>INDEX('Interreg VI-A Italy-Slovenia_pr'!A:E,MATCH('Partner data'!C129,'Interreg VI-A Italy-Slovenia_pr'!A:A,0),3)</f>
        <v>45200</v>
      </c>
      <c r="DS129" s="118">
        <f t="shared" si="29"/>
        <v>82620.820000000007</v>
      </c>
      <c r="DT129" s="118">
        <f t="shared" si="30"/>
        <v>125562.26000000001</v>
      </c>
      <c r="DU129" s="118">
        <f t="shared" si="31"/>
        <v>170139.6</v>
      </c>
      <c r="DV129" s="118">
        <f t="shared" si="32"/>
        <v>249999.97</v>
      </c>
      <c r="DW129" s="118">
        <f t="shared" si="33"/>
        <v>249999.97</v>
      </c>
      <c r="DX129" s="118">
        <f t="shared" si="34"/>
        <v>249999.97</v>
      </c>
      <c r="DY129" s="118">
        <f t="shared" si="35"/>
        <v>249999.97</v>
      </c>
      <c r="DZ129" s="118">
        <f t="shared" si="36"/>
        <v>249999.97</v>
      </c>
      <c r="EA129" s="118">
        <f t="shared" si="37"/>
        <v>249999.97</v>
      </c>
      <c r="EB129" s="118">
        <f t="shared" si="38"/>
        <v>249999.97</v>
      </c>
    </row>
    <row r="130" spans="1:132" x14ac:dyDescent="0.25">
      <c r="A130" s="28">
        <v>1</v>
      </c>
      <c r="B130" s="29" t="s">
        <v>487</v>
      </c>
      <c r="C130" s="30" t="s">
        <v>2270</v>
      </c>
      <c r="D130" s="30" t="s">
        <v>66</v>
      </c>
      <c r="E130" s="30" t="s">
        <v>2271</v>
      </c>
      <c r="F130" s="30" t="s">
        <v>1118</v>
      </c>
      <c r="G130" s="30" t="s">
        <v>491</v>
      </c>
      <c r="H130" s="30" t="s">
        <v>766</v>
      </c>
      <c r="I130" s="30" t="s">
        <v>767</v>
      </c>
      <c r="J130" s="31" t="s">
        <v>518</v>
      </c>
      <c r="K130" s="31" t="s">
        <v>495</v>
      </c>
      <c r="L130" s="31" t="s">
        <v>519</v>
      </c>
      <c r="M130" s="31" t="s">
        <v>55</v>
      </c>
      <c r="N130" s="31" t="s">
        <v>2284</v>
      </c>
      <c r="O130" s="31" t="s">
        <v>2285</v>
      </c>
      <c r="P130" s="31" t="s">
        <v>257</v>
      </c>
      <c r="Q130" s="31" t="s">
        <v>556</v>
      </c>
      <c r="R130" s="31" t="s">
        <v>269</v>
      </c>
      <c r="S130" s="32">
        <v>112000</v>
      </c>
      <c r="T130" s="32">
        <v>80</v>
      </c>
      <c r="U130" s="32">
        <v>18.670000000000002</v>
      </c>
      <c r="V130" s="32">
        <v>0</v>
      </c>
      <c r="W130" s="32">
        <v>0</v>
      </c>
      <c r="X130" s="32">
        <v>0</v>
      </c>
      <c r="Y130" s="32">
        <v>0</v>
      </c>
      <c r="Z130" s="32">
        <v>0</v>
      </c>
      <c r="AA130" s="32">
        <v>0</v>
      </c>
      <c r="AB130" s="32">
        <v>0</v>
      </c>
      <c r="AC130" s="32">
        <v>0</v>
      </c>
      <c r="AD130" s="32">
        <v>0</v>
      </c>
      <c r="AE130" s="32">
        <v>0</v>
      </c>
      <c r="AF130" s="32">
        <v>0</v>
      </c>
      <c r="AG130" s="32">
        <v>0</v>
      </c>
      <c r="AH130" s="32">
        <v>0</v>
      </c>
      <c r="AI130" s="32">
        <v>0</v>
      </c>
      <c r="AJ130" s="32">
        <v>0</v>
      </c>
      <c r="AK130" s="32">
        <v>0</v>
      </c>
      <c r="AL130" s="32">
        <v>0</v>
      </c>
      <c r="AM130" s="32">
        <v>0</v>
      </c>
      <c r="AN130" s="32">
        <v>0</v>
      </c>
      <c r="AO130" s="32">
        <v>0</v>
      </c>
      <c r="AP130" s="32">
        <v>28000</v>
      </c>
      <c r="AQ130" s="32">
        <v>28000</v>
      </c>
      <c r="AR130" s="32">
        <v>140000</v>
      </c>
      <c r="AS130" s="32">
        <v>18.670000000000002</v>
      </c>
      <c r="AT130" s="32">
        <v>100000</v>
      </c>
      <c r="AU130" s="32">
        <v>0</v>
      </c>
      <c r="AV130" s="32">
        <v>100000</v>
      </c>
      <c r="AW130" s="32">
        <v>0</v>
      </c>
      <c r="AX130" s="32">
        <v>0</v>
      </c>
      <c r="AY130" s="32">
        <v>0</v>
      </c>
      <c r="AZ130" s="32">
        <v>0</v>
      </c>
      <c r="BA130" s="32">
        <v>0</v>
      </c>
      <c r="BB130" s="32">
        <v>0</v>
      </c>
      <c r="BC130" s="32">
        <v>0</v>
      </c>
      <c r="BD130" s="32">
        <v>0</v>
      </c>
      <c r="BE130" s="32">
        <v>0</v>
      </c>
      <c r="BF130" s="32">
        <v>0</v>
      </c>
      <c r="BG130" s="32">
        <v>0</v>
      </c>
      <c r="BH130" s="32">
        <v>0</v>
      </c>
      <c r="BI130" s="32">
        <v>0</v>
      </c>
      <c r="BJ130" s="32">
        <v>0</v>
      </c>
      <c r="BK130" s="32">
        <v>0</v>
      </c>
      <c r="BL130" s="32">
        <v>0</v>
      </c>
      <c r="BM130" s="32">
        <v>40000</v>
      </c>
      <c r="BN130" s="32">
        <v>0</v>
      </c>
      <c r="BO130" s="32">
        <v>0</v>
      </c>
      <c r="BP130" s="32">
        <v>0</v>
      </c>
      <c r="BQ130" s="32">
        <v>35000</v>
      </c>
      <c r="BR130" s="32">
        <v>35000</v>
      </c>
      <c r="BS130" s="32">
        <v>35000</v>
      </c>
      <c r="BT130" s="32">
        <v>35000</v>
      </c>
      <c r="BU130" s="32">
        <v>0</v>
      </c>
      <c r="BV130" s="32">
        <v>0</v>
      </c>
      <c r="BW130" s="32">
        <v>0</v>
      </c>
      <c r="BX130" s="32">
        <v>0</v>
      </c>
      <c r="BY130" s="32">
        <v>0</v>
      </c>
      <c r="BZ130" s="32">
        <v>0</v>
      </c>
      <c r="CA130" s="32">
        <v>0</v>
      </c>
      <c r="CB130" s="33" t="s">
        <v>212</v>
      </c>
      <c r="CC130" s="33" t="s">
        <v>887</v>
      </c>
      <c r="CD130" s="33"/>
      <c r="CE130" s="33" t="s">
        <v>501</v>
      </c>
      <c r="CF130" s="33" t="s">
        <v>2286</v>
      </c>
      <c r="CG130" s="33" t="s">
        <v>2287</v>
      </c>
      <c r="CH130" s="33" t="s">
        <v>526</v>
      </c>
      <c r="CI130" s="33" t="s">
        <v>212</v>
      </c>
      <c r="CJ130" s="33" t="s">
        <v>212</v>
      </c>
      <c r="CK130" s="33"/>
      <c r="CL130" s="33" t="s">
        <v>212</v>
      </c>
      <c r="CM130" s="33"/>
      <c r="CN130" s="33" t="s">
        <v>257</v>
      </c>
      <c r="CO130" s="33" t="s">
        <v>269</v>
      </c>
      <c r="CP130" s="33" t="s">
        <v>2288</v>
      </c>
      <c r="CQ130" s="33" t="s">
        <v>2289</v>
      </c>
      <c r="CR130" s="33" t="s">
        <v>2290</v>
      </c>
      <c r="CS130" s="33" t="s">
        <v>2291</v>
      </c>
      <c r="CT130" s="33"/>
      <c r="CU130" s="33"/>
      <c r="CV130" s="33"/>
      <c r="CW130" s="33"/>
      <c r="CX130" s="33"/>
      <c r="CY130" s="33"/>
      <c r="CZ130" s="33" t="s">
        <v>2292</v>
      </c>
      <c r="DA130" s="33" t="s">
        <v>2293</v>
      </c>
      <c r="DB130" s="33"/>
      <c r="DC130" s="33" t="s">
        <v>2294</v>
      </c>
      <c r="DD130" s="33" t="s">
        <v>2295</v>
      </c>
      <c r="DE130" s="33" t="s">
        <v>2296</v>
      </c>
      <c r="DF130" s="34" t="s">
        <v>2297</v>
      </c>
      <c r="DG130" s="27" cm="1">
        <f t="array" ref="DG130">INDEX('elenco partner'!A:M,MATCH(1,(D130='elenco partner'!A:A)*('Partner data'!M130='elenco partner'!E:E),0),4)</f>
        <v>259</v>
      </c>
      <c r="DH130" s="83" t="str">
        <f t="shared" si="45"/>
        <v>COSTO REALE</v>
      </c>
      <c r="DI130" s="20">
        <f>COUNTIFS('MY-REPORT-MAIN'!C:C,'Partner data'!DG130,'MY-REPORT-MAIN'!I:I,"Certified")</f>
        <v>1</v>
      </c>
      <c r="DJ130" s="20">
        <f>COUNTIFS(List_Of_chek_list!M:M,"&lt;&gt;26",List_Of_chek_list!B:B,'Partner data'!DG130)</f>
        <v>1</v>
      </c>
      <c r="DK130" s="20">
        <f t="shared" si="46"/>
        <v>0</v>
      </c>
      <c r="DL130" s="19" t="str">
        <f>IF(DH130="Tasso Forfettario 20%",SUMIFS(List_Of_chek_list!#REF!,List_Of_chek_list!B:B,'Partner data'!DG130),"NON PERTINENTE")</f>
        <v>NON PERTINENTE</v>
      </c>
      <c r="DM130" s="19" t="str">
        <f t="shared" si="47"/>
        <v>NON PERTINENTE</v>
      </c>
      <c r="DN130" s="110">
        <f>_xlfn.MAXIFS('MY-REPORT-MAIN'!K:K,'MY-REPORT-MAIN'!C:C,DG130)</f>
        <v>45373.465814189818</v>
      </c>
      <c r="DO130" s="112">
        <f>IF(_xlfn.MAXIFS('MY-REPORT-MAIN'!M:M,'MY-REPORT-MAIN'!C:C,DG130)=0,"Nessun rendiconto  Convalidato",_xlfn.MAXIFS('MY-REPORT-MAIN'!M:M,'MY-REPORT-MAIN'!C:C,DG130))</f>
        <v>45406.488527256945</v>
      </c>
      <c r="DP130" s="113" cm="1">
        <f t="array" ref="DP130">IFERROR(INDEX('MY-REPORT-MAIN'!A:Z,MATCH(1,(DO130='MY-REPORT-MAIN'!M:M)*('Partner data'!DG130='MY-REPORT-MAIN'!C:C),0),1),"NON è stato convalidato ancora nessun rendiconto")</f>
        <v>100</v>
      </c>
      <c r="DQ130" s="111">
        <f>IFERROR(INDEX('MY-REPORT-MAIN'!A:Z,MATCH('Partner data'!DP130,'MY-REPORT-MAIN'!A:A,0),21),"Nessun Rendiconto ancora convalidato")</f>
        <v>31098.46</v>
      </c>
      <c r="DR130" s="110">
        <f>INDEX('Interreg VI-A Italy-Slovenia_pr'!A:E,MATCH('Partner data'!C130,'Interreg VI-A Italy-Slovenia_pr'!A:A,0),3)</f>
        <v>45200</v>
      </c>
      <c r="DS130" s="118">
        <f t="shared" si="29"/>
        <v>35000</v>
      </c>
      <c r="DT130" s="118">
        <f t="shared" si="30"/>
        <v>70000</v>
      </c>
      <c r="DU130" s="118">
        <f t="shared" si="31"/>
        <v>105000</v>
      </c>
      <c r="DV130" s="118">
        <f t="shared" si="32"/>
        <v>140000</v>
      </c>
      <c r="DW130" s="118">
        <f t="shared" si="33"/>
        <v>140000</v>
      </c>
      <c r="DX130" s="118">
        <f t="shared" si="34"/>
        <v>140000</v>
      </c>
      <c r="DY130" s="118">
        <f t="shared" si="35"/>
        <v>140000</v>
      </c>
      <c r="DZ130" s="118">
        <f t="shared" si="36"/>
        <v>140000</v>
      </c>
      <c r="EA130" s="118">
        <f t="shared" si="37"/>
        <v>140000</v>
      </c>
      <c r="EB130" s="118">
        <f t="shared" si="38"/>
        <v>140000</v>
      </c>
    </row>
    <row r="131" spans="1:132" x14ac:dyDescent="0.25">
      <c r="A131" s="28">
        <v>1</v>
      </c>
      <c r="B131" s="29" t="s">
        <v>487</v>
      </c>
      <c r="C131" s="30" t="s">
        <v>2270</v>
      </c>
      <c r="D131" s="30" t="s">
        <v>66</v>
      </c>
      <c r="E131" s="30" t="s">
        <v>2271</v>
      </c>
      <c r="F131" s="30" t="s">
        <v>1118</v>
      </c>
      <c r="G131" s="30" t="s">
        <v>491</v>
      </c>
      <c r="H131" s="30" t="s">
        <v>766</v>
      </c>
      <c r="I131" s="30" t="s">
        <v>767</v>
      </c>
      <c r="J131" s="31" t="s">
        <v>538</v>
      </c>
      <c r="K131" s="31" t="s">
        <v>495</v>
      </c>
      <c r="L131" s="31" t="s">
        <v>519</v>
      </c>
      <c r="M131" s="31" t="s">
        <v>36</v>
      </c>
      <c r="N131" s="31" t="s">
        <v>2298</v>
      </c>
      <c r="O131" s="31" t="s">
        <v>2299</v>
      </c>
      <c r="P131" s="31" t="s">
        <v>257</v>
      </c>
      <c r="Q131" s="31" t="s">
        <v>556</v>
      </c>
      <c r="R131" s="31" t="s">
        <v>269</v>
      </c>
      <c r="S131" s="32">
        <v>88000</v>
      </c>
      <c r="T131" s="32">
        <v>80</v>
      </c>
      <c r="U131" s="32">
        <v>14.67</v>
      </c>
      <c r="V131" s="32">
        <v>0</v>
      </c>
      <c r="W131" s="32">
        <v>0</v>
      </c>
      <c r="X131" s="32">
        <v>0</v>
      </c>
      <c r="Y131" s="32">
        <v>0</v>
      </c>
      <c r="Z131" s="32">
        <v>0</v>
      </c>
      <c r="AA131" s="32">
        <v>0</v>
      </c>
      <c r="AB131" s="32">
        <v>0</v>
      </c>
      <c r="AC131" s="32">
        <v>0</v>
      </c>
      <c r="AD131" s="32">
        <v>0</v>
      </c>
      <c r="AE131" s="32">
        <v>0</v>
      </c>
      <c r="AF131" s="32">
        <v>0</v>
      </c>
      <c r="AG131" s="32">
        <v>0</v>
      </c>
      <c r="AH131" s="32">
        <v>0</v>
      </c>
      <c r="AI131" s="32">
        <v>0</v>
      </c>
      <c r="AJ131" s="32">
        <v>0</v>
      </c>
      <c r="AK131" s="32">
        <v>0</v>
      </c>
      <c r="AL131" s="32">
        <v>0</v>
      </c>
      <c r="AM131" s="32">
        <v>0</v>
      </c>
      <c r="AN131" s="32">
        <v>22000</v>
      </c>
      <c r="AO131" s="32">
        <v>0</v>
      </c>
      <c r="AP131" s="32">
        <v>0</v>
      </c>
      <c r="AQ131" s="32">
        <v>22000</v>
      </c>
      <c r="AR131" s="32">
        <v>110000</v>
      </c>
      <c r="AS131" s="32">
        <v>14.67</v>
      </c>
      <c r="AT131" s="32">
        <v>51120</v>
      </c>
      <c r="AU131" s="32">
        <v>0</v>
      </c>
      <c r="AV131" s="32">
        <v>51120</v>
      </c>
      <c r="AW131" s="32">
        <v>0</v>
      </c>
      <c r="AX131" s="32">
        <v>7668</v>
      </c>
      <c r="AY131" s="32">
        <v>7668</v>
      </c>
      <c r="AZ131" s="32">
        <v>2044.8</v>
      </c>
      <c r="BA131" s="32">
        <v>2044.8</v>
      </c>
      <c r="BB131" s="32">
        <v>0</v>
      </c>
      <c r="BC131" s="32">
        <v>0</v>
      </c>
      <c r="BD131" s="32">
        <v>45608.6</v>
      </c>
      <c r="BE131" s="32">
        <v>45608.6</v>
      </c>
      <c r="BF131" s="32">
        <v>0</v>
      </c>
      <c r="BG131" s="32">
        <v>3558.6</v>
      </c>
      <c r="BH131" s="32">
        <v>3558.6</v>
      </c>
      <c r="BI131" s="32">
        <v>0</v>
      </c>
      <c r="BJ131" s="32">
        <v>0</v>
      </c>
      <c r="BK131" s="32">
        <v>0</v>
      </c>
      <c r="BL131" s="32">
        <v>0</v>
      </c>
      <c r="BM131" s="32">
        <v>0</v>
      </c>
      <c r="BN131" s="32">
        <v>0</v>
      </c>
      <c r="BO131" s="32">
        <v>0</v>
      </c>
      <c r="BP131" s="32">
        <v>0</v>
      </c>
      <c r="BQ131" s="32">
        <v>26836.799999999999</v>
      </c>
      <c r="BR131" s="32">
        <v>44137.3</v>
      </c>
      <c r="BS131" s="32">
        <v>21067.7</v>
      </c>
      <c r="BT131" s="32">
        <v>17958.2</v>
      </c>
      <c r="BU131" s="32">
        <v>0</v>
      </c>
      <c r="BV131" s="32">
        <v>0</v>
      </c>
      <c r="BW131" s="32">
        <v>0</v>
      </c>
      <c r="BX131" s="32">
        <v>0</v>
      </c>
      <c r="BY131" s="32">
        <v>0</v>
      </c>
      <c r="BZ131" s="32">
        <v>0</v>
      </c>
      <c r="CA131" s="32">
        <v>0</v>
      </c>
      <c r="CB131" s="33" t="s">
        <v>2300</v>
      </c>
      <c r="CC131" s="33" t="s">
        <v>743</v>
      </c>
      <c r="CD131" s="33"/>
      <c r="CE131" s="33" t="s">
        <v>523</v>
      </c>
      <c r="CF131" s="33" t="s">
        <v>2301</v>
      </c>
      <c r="CG131" s="33" t="s">
        <v>2302</v>
      </c>
      <c r="CH131" s="33" t="s">
        <v>526</v>
      </c>
      <c r="CI131" s="33"/>
      <c r="CJ131" s="33" t="s">
        <v>212</v>
      </c>
      <c r="CK131" s="33"/>
      <c r="CL131" s="33" t="s">
        <v>212</v>
      </c>
      <c r="CM131" s="33"/>
      <c r="CN131" s="33" t="s">
        <v>257</v>
      </c>
      <c r="CO131" s="33" t="s">
        <v>269</v>
      </c>
      <c r="CP131" s="33" t="s">
        <v>2303</v>
      </c>
      <c r="CQ131" s="33" t="s">
        <v>2138</v>
      </c>
      <c r="CR131" s="33" t="s">
        <v>2139</v>
      </c>
      <c r="CS131" s="33" t="s">
        <v>2304</v>
      </c>
      <c r="CT131" s="33" t="s">
        <v>257</v>
      </c>
      <c r="CU131" s="33" t="s">
        <v>269</v>
      </c>
      <c r="CV131" s="33" t="s">
        <v>2305</v>
      </c>
      <c r="CW131" s="33" t="s">
        <v>2138</v>
      </c>
      <c r="CX131" s="33" t="s">
        <v>2139</v>
      </c>
      <c r="CY131" s="33"/>
      <c r="CZ131" s="33" t="s">
        <v>1959</v>
      </c>
      <c r="DA131" s="33" t="s">
        <v>2306</v>
      </c>
      <c r="DB131" s="33"/>
      <c r="DC131" s="33" t="s">
        <v>2307</v>
      </c>
      <c r="DD131" s="33" t="s">
        <v>2308</v>
      </c>
      <c r="DE131" s="33" t="s">
        <v>2309</v>
      </c>
      <c r="DF131" s="34" t="s">
        <v>2310</v>
      </c>
      <c r="DG131" s="27" cm="1">
        <f t="array" ref="DG131">INDEX('elenco partner'!A:M,MATCH(1,(D131='elenco partner'!A:A)*('Partner data'!M131='elenco partner'!E:E),0),4)</f>
        <v>260</v>
      </c>
      <c r="DH131" s="83" t="str">
        <f t="shared" si="45"/>
        <v>COSTO REALE</v>
      </c>
      <c r="DI131" s="20">
        <f>COUNTIFS('MY-REPORT-MAIN'!C:C,'Partner data'!DG131,'MY-REPORT-MAIN'!I:I,"Certified")</f>
        <v>1</v>
      </c>
      <c r="DJ131" s="20">
        <f>COUNTIFS(List_Of_chek_list!M:M,"&lt;&gt;26",List_Of_chek_list!B:B,'Partner data'!DG131)</f>
        <v>0</v>
      </c>
      <c r="DK131" s="20">
        <f t="shared" si="46"/>
        <v>1</v>
      </c>
      <c r="DL131" s="19" t="str">
        <f>IF(DH131="Tasso Forfettario 20%",SUMIFS(List_Of_chek_list!#REF!,List_Of_chek_list!B:B,'Partner data'!DG131),"NON PERTINENTE")</f>
        <v>NON PERTINENTE</v>
      </c>
      <c r="DM131" s="19" t="str">
        <f t="shared" si="47"/>
        <v>NON PERTINENTE</v>
      </c>
      <c r="DN131" s="110">
        <f>_xlfn.MAXIFS('MY-REPORT-MAIN'!K:K,'MY-REPORT-MAIN'!C:C,DG131)</f>
        <v>45387.442634930558</v>
      </c>
      <c r="DO131" s="112">
        <f>IF(_xlfn.MAXIFS('MY-REPORT-MAIN'!M:M,'MY-REPORT-MAIN'!C:C,DG131)=0,"Nessun rendiconto  Convalidato",_xlfn.MAXIFS('MY-REPORT-MAIN'!M:M,'MY-REPORT-MAIN'!C:C,DG131))</f>
        <v>45482.377558738423</v>
      </c>
      <c r="DP131" s="113" cm="1">
        <f t="array" ref="DP131">IFERROR(INDEX('MY-REPORT-MAIN'!A:Z,MATCH(1,(DO131='MY-REPORT-MAIN'!M:M)*('Partner data'!DG131='MY-REPORT-MAIN'!C:C),0),1),"NON è stato convalidato ancora nessun rendiconto")</f>
        <v>207</v>
      </c>
      <c r="DQ131" s="111">
        <f>IFERROR(INDEX('MY-REPORT-MAIN'!A:Z,MATCH('Partner data'!DP131,'MY-REPORT-MAIN'!A:A,0),21),"Nessun Rendiconto ancora convalidato")</f>
        <v>13840.45</v>
      </c>
      <c r="DR131" s="110">
        <f>INDEX('Interreg VI-A Italy-Slovenia_pr'!A:E,MATCH('Partner data'!C131,'Interreg VI-A Italy-Slovenia_pr'!A:A,0),3)</f>
        <v>45200</v>
      </c>
      <c r="DS131" s="118">
        <f t="shared" ref="DS131:DS194" si="48">BP131+BQ131</f>
        <v>26836.799999999999</v>
      </c>
      <c r="DT131" s="118">
        <f t="shared" ref="DT131:DT194" si="49">DS131+BR131</f>
        <v>70974.100000000006</v>
      </c>
      <c r="DU131" s="118">
        <f t="shared" ref="DU131:DU194" si="50">DT131+BS131</f>
        <v>92041.8</v>
      </c>
      <c r="DV131" s="118">
        <f t="shared" ref="DV131:DV194" si="51">DU131+BT131</f>
        <v>110000</v>
      </c>
      <c r="DW131" s="118">
        <f t="shared" ref="DW131:DW194" si="52">DV131+BU131</f>
        <v>110000</v>
      </c>
      <c r="DX131" s="118">
        <f t="shared" ref="DX131:DX194" si="53">DW131+BV131</f>
        <v>110000</v>
      </c>
      <c r="DY131" s="118">
        <f t="shared" ref="DY131:DY194" si="54">DX131+BW131</f>
        <v>110000</v>
      </c>
      <c r="DZ131" s="118">
        <f t="shared" ref="DZ131:DZ194" si="55">DY131+BX131</f>
        <v>110000</v>
      </c>
      <c r="EA131" s="118">
        <f t="shared" ref="EA131:EA194" si="56">DZ131+BY131</f>
        <v>110000</v>
      </c>
      <c r="EB131" s="118">
        <f t="shared" ref="EB131:EB194" si="57">EA131+BZ131</f>
        <v>110000</v>
      </c>
    </row>
    <row r="132" spans="1:132" ht="45" x14ac:dyDescent="0.25">
      <c r="A132" s="28">
        <v>1</v>
      </c>
      <c r="B132" s="29" t="s">
        <v>487</v>
      </c>
      <c r="C132" s="30" t="s">
        <v>2270</v>
      </c>
      <c r="D132" s="30" t="s">
        <v>66</v>
      </c>
      <c r="E132" s="30" t="s">
        <v>2271</v>
      </c>
      <c r="F132" s="30" t="s">
        <v>1118</v>
      </c>
      <c r="G132" s="30" t="s">
        <v>491</v>
      </c>
      <c r="H132" s="30" t="s">
        <v>766</v>
      </c>
      <c r="I132" s="30" t="s">
        <v>767</v>
      </c>
      <c r="J132" s="31" t="s">
        <v>554</v>
      </c>
      <c r="K132" s="31" t="s">
        <v>495</v>
      </c>
      <c r="L132" s="31" t="s">
        <v>519</v>
      </c>
      <c r="M132" s="31" t="s">
        <v>372</v>
      </c>
      <c r="N132" s="31" t="s">
        <v>343</v>
      </c>
      <c r="O132" s="31" t="s">
        <v>1936</v>
      </c>
      <c r="P132" s="31" t="s">
        <v>257</v>
      </c>
      <c r="Q132" s="31" t="s">
        <v>556</v>
      </c>
      <c r="R132" s="31" t="s">
        <v>270</v>
      </c>
      <c r="S132" s="32">
        <v>99993.600000000006</v>
      </c>
      <c r="T132" s="32">
        <v>80</v>
      </c>
      <c r="U132" s="32">
        <v>16.670000000000002</v>
      </c>
      <c r="V132" s="32">
        <v>0</v>
      </c>
      <c r="W132" s="32">
        <v>0</v>
      </c>
      <c r="X132" s="32">
        <v>0</v>
      </c>
      <c r="Y132" s="32">
        <v>0</v>
      </c>
      <c r="Z132" s="32">
        <v>0</v>
      </c>
      <c r="AA132" s="32">
        <v>0</v>
      </c>
      <c r="AB132" s="32">
        <v>0</v>
      </c>
      <c r="AC132" s="32">
        <v>0</v>
      </c>
      <c r="AD132" s="32">
        <v>0</v>
      </c>
      <c r="AE132" s="32">
        <v>0</v>
      </c>
      <c r="AF132" s="32">
        <v>0</v>
      </c>
      <c r="AG132" s="32">
        <v>0</v>
      </c>
      <c r="AH132" s="32">
        <v>0</v>
      </c>
      <c r="AI132" s="32">
        <v>0</v>
      </c>
      <c r="AJ132" s="32">
        <v>0</v>
      </c>
      <c r="AK132" s="32">
        <v>0</v>
      </c>
      <c r="AL132" s="32">
        <v>0</v>
      </c>
      <c r="AM132" s="32">
        <v>0</v>
      </c>
      <c r="AN132" s="32">
        <v>24998.400000000001</v>
      </c>
      <c r="AO132" s="32">
        <v>0</v>
      </c>
      <c r="AP132" s="32">
        <v>0</v>
      </c>
      <c r="AQ132" s="32">
        <v>24998.400000000001</v>
      </c>
      <c r="AR132" s="32">
        <v>124992</v>
      </c>
      <c r="AS132" s="32">
        <v>16.670000000000002</v>
      </c>
      <c r="AT132" s="32">
        <v>20832</v>
      </c>
      <c r="AU132" s="32">
        <v>20832</v>
      </c>
      <c r="AV132" s="32">
        <v>0</v>
      </c>
      <c r="AW132" s="32">
        <v>0</v>
      </c>
      <c r="AX132" s="32">
        <v>0</v>
      </c>
      <c r="AY132" s="32">
        <v>0</v>
      </c>
      <c r="AZ132" s="32">
        <v>0</v>
      </c>
      <c r="BA132" s="32">
        <v>0</v>
      </c>
      <c r="BB132" s="32">
        <v>0</v>
      </c>
      <c r="BC132" s="32">
        <v>0</v>
      </c>
      <c r="BD132" s="32">
        <v>104160</v>
      </c>
      <c r="BE132" s="32">
        <v>104160</v>
      </c>
      <c r="BF132" s="32">
        <v>0</v>
      </c>
      <c r="BG132" s="32">
        <v>0</v>
      </c>
      <c r="BH132" s="32">
        <v>0</v>
      </c>
      <c r="BI132" s="32">
        <v>0</v>
      </c>
      <c r="BJ132" s="32">
        <v>0</v>
      </c>
      <c r="BK132" s="32">
        <v>0</v>
      </c>
      <c r="BL132" s="32">
        <v>0</v>
      </c>
      <c r="BM132" s="32">
        <v>0</v>
      </c>
      <c r="BN132" s="32">
        <v>0</v>
      </c>
      <c r="BO132" s="32">
        <v>0</v>
      </c>
      <c r="BP132" s="32">
        <v>0</v>
      </c>
      <c r="BQ132" s="32">
        <v>12000</v>
      </c>
      <c r="BR132" s="32">
        <v>16992</v>
      </c>
      <c r="BS132" s="32">
        <v>57600</v>
      </c>
      <c r="BT132" s="32">
        <v>38400</v>
      </c>
      <c r="BU132" s="32">
        <v>0</v>
      </c>
      <c r="BV132" s="32">
        <v>0</v>
      </c>
      <c r="BW132" s="32">
        <v>0</v>
      </c>
      <c r="BX132" s="32">
        <v>0</v>
      </c>
      <c r="BY132" s="32">
        <v>0</v>
      </c>
      <c r="BZ132" s="32">
        <v>0</v>
      </c>
      <c r="CA132" s="32">
        <v>0</v>
      </c>
      <c r="CB132" s="33" t="s">
        <v>212</v>
      </c>
      <c r="CC132" s="33" t="s">
        <v>522</v>
      </c>
      <c r="CD132" s="33"/>
      <c r="CE132" s="33" t="s">
        <v>523</v>
      </c>
      <c r="CF132" s="33" t="s">
        <v>636</v>
      </c>
      <c r="CG132" s="33" t="s">
        <v>1937</v>
      </c>
      <c r="CH132" s="33" t="s">
        <v>526</v>
      </c>
      <c r="CI132" s="33"/>
      <c r="CJ132" s="33" t="s">
        <v>212</v>
      </c>
      <c r="CK132" s="33"/>
      <c r="CL132" s="33" t="s">
        <v>212</v>
      </c>
      <c r="CM132" s="33"/>
      <c r="CN132" s="33" t="s">
        <v>257</v>
      </c>
      <c r="CO132" s="33" t="s">
        <v>270</v>
      </c>
      <c r="CP132" s="33" t="s">
        <v>1938</v>
      </c>
      <c r="CQ132" s="33" t="s">
        <v>1939</v>
      </c>
      <c r="CR132" s="33" t="s">
        <v>1940</v>
      </c>
      <c r="CS132" s="33" t="s">
        <v>2311</v>
      </c>
      <c r="CT132" s="33"/>
      <c r="CU132" s="33"/>
      <c r="CV132" s="33"/>
      <c r="CW132" s="33"/>
      <c r="CX132" s="33"/>
      <c r="CY132" s="33"/>
      <c r="CZ132" s="33" t="s">
        <v>1942</v>
      </c>
      <c r="DA132" s="33" t="s">
        <v>1943</v>
      </c>
      <c r="DB132" s="33"/>
      <c r="DC132" s="33" t="s">
        <v>1028</v>
      </c>
      <c r="DD132" s="33" t="s">
        <v>1944</v>
      </c>
      <c r="DE132" s="33" t="s">
        <v>1945</v>
      </c>
      <c r="DF132" s="34" t="s">
        <v>1946</v>
      </c>
      <c r="DG132" s="27" cm="1">
        <f t="array" ref="DG132">INDEX('elenco partner'!A:M,MATCH(1,(D132='elenco partner'!A:A)*('Partner data'!M132='elenco partner'!E:E),0),4)</f>
        <v>261</v>
      </c>
      <c r="DH132" s="83" t="str">
        <f t="shared" si="45"/>
        <v>Tasso Forfettario 20%</v>
      </c>
      <c r="DI132" s="20">
        <f>COUNTIFS('MY-REPORT-MAIN'!C:C,'Partner data'!DG132,'MY-REPORT-MAIN'!I:I,"Certified")</f>
        <v>0</v>
      </c>
      <c r="DJ132" s="20">
        <f>COUNTIFS(List_Of_chek_list!M:M,"&lt;&gt;26",List_Of_chek_list!B:B,'Partner data'!DG132)</f>
        <v>0</v>
      </c>
      <c r="DK132" s="20">
        <f t="shared" si="46"/>
        <v>0</v>
      </c>
      <c r="DL132" s="19" t="e">
        <f>IF(DH132="Tasso Forfettario 20%",SUMIFS(List_Of_chek_list!#REF!,List_Of_chek_list!B:B,'Partner data'!DG132),"NON PERTINENTE")</f>
        <v>#REF!</v>
      </c>
      <c r="DM132" s="19" t="e">
        <f t="shared" si="47"/>
        <v>#REF!</v>
      </c>
      <c r="DN132" s="110">
        <f>_xlfn.MAXIFS('MY-REPORT-MAIN'!K:K,'MY-REPORT-MAIN'!C:C,DG132)</f>
        <v>0</v>
      </c>
      <c r="DO132" s="112" t="str">
        <f>IF(_xlfn.MAXIFS('MY-REPORT-MAIN'!M:M,'MY-REPORT-MAIN'!C:C,DG132)=0,"Nessun rendiconto  Convalidato",_xlfn.MAXIFS('MY-REPORT-MAIN'!M:M,'MY-REPORT-MAIN'!C:C,DG132))</f>
        <v>Nessun rendiconto  Convalidato</v>
      </c>
      <c r="DP132" s="113" t="str" cm="1">
        <f t="array" ref="DP132">IFERROR(INDEX('MY-REPORT-MAIN'!A:Z,MATCH(1,(DO132='MY-REPORT-MAIN'!M:M)*('Partner data'!DG132='MY-REPORT-MAIN'!C:C),0),1),"NON è stato convalidato ancora nessun rendiconto")</f>
        <v>NON è stato convalidato ancora nessun rendiconto</v>
      </c>
      <c r="DQ132" s="111" t="str">
        <f>IFERROR(INDEX('MY-REPORT-MAIN'!A:Z,MATCH('Partner data'!DP132,'MY-REPORT-MAIN'!A:A,0),21),"Nessun Rendiconto ancora convalidato")</f>
        <v>Nessun Rendiconto ancora convalidato</v>
      </c>
      <c r="DR132" s="110">
        <f>INDEX('Interreg VI-A Italy-Slovenia_pr'!A:E,MATCH('Partner data'!C132,'Interreg VI-A Italy-Slovenia_pr'!A:A,0),3)</f>
        <v>45200</v>
      </c>
      <c r="DS132" s="118">
        <f t="shared" si="48"/>
        <v>12000</v>
      </c>
      <c r="DT132" s="118">
        <f t="shared" si="49"/>
        <v>28992</v>
      </c>
      <c r="DU132" s="118">
        <f t="shared" si="50"/>
        <v>86592</v>
      </c>
      <c r="DV132" s="118">
        <f t="shared" si="51"/>
        <v>124992</v>
      </c>
      <c r="DW132" s="118">
        <f t="shared" si="52"/>
        <v>124992</v>
      </c>
      <c r="DX132" s="118">
        <f t="shared" si="53"/>
        <v>124992</v>
      </c>
      <c r="DY132" s="118">
        <f t="shared" si="54"/>
        <v>124992</v>
      </c>
      <c r="DZ132" s="118">
        <f t="shared" si="55"/>
        <v>124992</v>
      </c>
      <c r="EA132" s="118">
        <f t="shared" si="56"/>
        <v>124992</v>
      </c>
      <c r="EB132" s="118">
        <f t="shared" si="57"/>
        <v>124992</v>
      </c>
    </row>
    <row r="133" spans="1:132" ht="45" x14ac:dyDescent="0.25">
      <c r="A133" s="28">
        <v>1</v>
      </c>
      <c r="B133" s="29" t="s">
        <v>487</v>
      </c>
      <c r="C133" s="30" t="s">
        <v>2270</v>
      </c>
      <c r="D133" s="30" t="s">
        <v>66</v>
      </c>
      <c r="E133" s="30" t="s">
        <v>2271</v>
      </c>
      <c r="F133" s="30" t="s">
        <v>1118</v>
      </c>
      <c r="G133" s="30" t="s">
        <v>491</v>
      </c>
      <c r="H133" s="30" t="s">
        <v>766</v>
      </c>
      <c r="I133" s="30" t="s">
        <v>767</v>
      </c>
      <c r="J133" s="31" t="s">
        <v>570</v>
      </c>
      <c r="K133" s="31" t="s">
        <v>495</v>
      </c>
      <c r="L133" s="31" t="s">
        <v>519</v>
      </c>
      <c r="M133" s="31" t="s">
        <v>371</v>
      </c>
      <c r="N133" s="31" t="s">
        <v>2312</v>
      </c>
      <c r="O133" s="31" t="s">
        <v>1948</v>
      </c>
      <c r="P133" s="31" t="s">
        <v>254</v>
      </c>
      <c r="Q133" s="31" t="s">
        <v>499</v>
      </c>
      <c r="R133" s="31" t="s">
        <v>255</v>
      </c>
      <c r="S133" s="32">
        <v>99840</v>
      </c>
      <c r="T133" s="32">
        <v>80</v>
      </c>
      <c r="U133" s="32">
        <v>16.649999999999999</v>
      </c>
      <c r="V133" s="32">
        <v>0</v>
      </c>
      <c r="W133" s="32">
        <v>0</v>
      </c>
      <c r="X133" s="32">
        <v>0</v>
      </c>
      <c r="Y133" s="32">
        <v>0</v>
      </c>
      <c r="Z133" s="32">
        <v>0</v>
      </c>
      <c r="AA133" s="32">
        <v>0</v>
      </c>
      <c r="AB133" s="32">
        <v>0</v>
      </c>
      <c r="AC133" s="32">
        <v>0</v>
      </c>
      <c r="AD133" s="32">
        <v>0</v>
      </c>
      <c r="AE133" s="32">
        <v>0</v>
      </c>
      <c r="AF133" s="32">
        <v>0</v>
      </c>
      <c r="AG133" s="32">
        <v>0</v>
      </c>
      <c r="AH133" s="32">
        <v>0</v>
      </c>
      <c r="AI133" s="32">
        <v>0</v>
      </c>
      <c r="AJ133" s="32">
        <v>0</v>
      </c>
      <c r="AK133" s="32">
        <v>0</v>
      </c>
      <c r="AL133" s="32">
        <v>0</v>
      </c>
      <c r="AM133" s="32">
        <v>0</v>
      </c>
      <c r="AN133" s="32">
        <v>0</v>
      </c>
      <c r="AO133" s="32">
        <v>24960</v>
      </c>
      <c r="AP133" s="32">
        <v>0</v>
      </c>
      <c r="AQ133" s="32">
        <v>24960</v>
      </c>
      <c r="AR133" s="32">
        <v>124800</v>
      </c>
      <c r="AS133" s="32">
        <v>16.649999999999999</v>
      </c>
      <c r="AT133" s="32">
        <v>20800</v>
      </c>
      <c r="AU133" s="32">
        <v>20800</v>
      </c>
      <c r="AV133" s="32">
        <v>0</v>
      </c>
      <c r="AW133" s="32">
        <v>0</v>
      </c>
      <c r="AX133" s="32">
        <v>0</v>
      </c>
      <c r="AY133" s="32">
        <v>0</v>
      </c>
      <c r="AZ133" s="32">
        <v>0</v>
      </c>
      <c r="BA133" s="32">
        <v>0</v>
      </c>
      <c r="BB133" s="32">
        <v>0</v>
      </c>
      <c r="BC133" s="32">
        <v>0</v>
      </c>
      <c r="BD133" s="32">
        <v>104000</v>
      </c>
      <c r="BE133" s="32">
        <v>104000</v>
      </c>
      <c r="BF133" s="32">
        <v>0</v>
      </c>
      <c r="BG133" s="32">
        <v>0</v>
      </c>
      <c r="BH133" s="32">
        <v>0</v>
      </c>
      <c r="BI133" s="32">
        <v>0</v>
      </c>
      <c r="BJ133" s="32">
        <v>0</v>
      </c>
      <c r="BK133" s="32">
        <v>0</v>
      </c>
      <c r="BL133" s="32">
        <v>0</v>
      </c>
      <c r="BM133" s="32">
        <v>0</v>
      </c>
      <c r="BN133" s="32">
        <v>0</v>
      </c>
      <c r="BO133" s="32">
        <v>0</v>
      </c>
      <c r="BP133" s="32">
        <v>0</v>
      </c>
      <c r="BQ133" s="32">
        <v>3000</v>
      </c>
      <c r="BR133" s="32">
        <v>41400</v>
      </c>
      <c r="BS133" s="32">
        <v>48600</v>
      </c>
      <c r="BT133" s="32">
        <v>31800</v>
      </c>
      <c r="BU133" s="32">
        <v>0</v>
      </c>
      <c r="BV133" s="32">
        <v>0</v>
      </c>
      <c r="BW133" s="32">
        <v>0</v>
      </c>
      <c r="BX133" s="32">
        <v>0</v>
      </c>
      <c r="BY133" s="32">
        <v>0</v>
      </c>
      <c r="BZ133" s="32">
        <v>0</v>
      </c>
      <c r="CA133" s="32">
        <v>0</v>
      </c>
      <c r="CB133" s="33" t="s">
        <v>212</v>
      </c>
      <c r="CC133" s="33" t="s">
        <v>522</v>
      </c>
      <c r="CD133" s="33"/>
      <c r="CE133" s="33" t="s">
        <v>523</v>
      </c>
      <c r="CF133" s="33" t="s">
        <v>636</v>
      </c>
      <c r="CG133" s="33" t="s">
        <v>2313</v>
      </c>
      <c r="CH133" s="33" t="s">
        <v>526</v>
      </c>
      <c r="CI133" s="33" t="s">
        <v>875</v>
      </c>
      <c r="CJ133" s="33" t="s">
        <v>683</v>
      </c>
      <c r="CK133" s="33"/>
      <c r="CL133" s="33" t="s">
        <v>212</v>
      </c>
      <c r="CM133" s="33"/>
      <c r="CN133" s="33" t="s">
        <v>254</v>
      </c>
      <c r="CO133" s="33" t="s">
        <v>255</v>
      </c>
      <c r="CP133" s="33" t="s">
        <v>1949</v>
      </c>
      <c r="CQ133" s="33" t="s">
        <v>877</v>
      </c>
      <c r="CR133" s="33" t="s">
        <v>2314</v>
      </c>
      <c r="CS133" s="33" t="s">
        <v>879</v>
      </c>
      <c r="CT133" s="33"/>
      <c r="CU133" s="33"/>
      <c r="CV133" s="33"/>
      <c r="CW133" s="33"/>
      <c r="CX133" s="33"/>
      <c r="CY133" s="33"/>
      <c r="CZ133" s="33" t="s">
        <v>833</v>
      </c>
      <c r="DA133" s="33" t="s">
        <v>880</v>
      </c>
      <c r="DB133" s="33"/>
      <c r="DC133" s="33" t="s">
        <v>881</v>
      </c>
      <c r="DD133" s="33" t="s">
        <v>882</v>
      </c>
      <c r="DE133" s="33" t="s">
        <v>883</v>
      </c>
      <c r="DF133" s="34" t="s">
        <v>1952</v>
      </c>
      <c r="DG133" s="27" cm="1">
        <f t="array" ref="DG133">INDEX('elenco partner'!A:M,MATCH(1,(D133='elenco partner'!A:A)*('Partner data'!M133='elenco partner'!E:E),0),4)</f>
        <v>262</v>
      </c>
      <c r="DH133" s="83" t="str">
        <f t="shared" si="45"/>
        <v>Tasso Forfettario 20%</v>
      </c>
      <c r="DI133" s="20">
        <f>COUNTIFS('MY-REPORT-MAIN'!C:C,'Partner data'!DG133,'MY-REPORT-MAIN'!I:I,"Certified")</f>
        <v>0</v>
      </c>
      <c r="DJ133" s="20">
        <f>COUNTIFS(List_Of_chek_list!M:M,"&lt;&gt;26",List_Of_chek_list!B:B,'Partner data'!DG133)</f>
        <v>0</v>
      </c>
      <c r="DK133" s="20">
        <f t="shared" si="46"/>
        <v>0</v>
      </c>
      <c r="DL133" s="19" t="e">
        <f>IF(DH133="Tasso Forfettario 20%",SUMIFS(List_Of_chek_list!#REF!,List_Of_chek_list!B:B,'Partner data'!DG133),"NON PERTINENTE")</f>
        <v>#REF!</v>
      </c>
      <c r="DM133" s="19" t="e">
        <f t="shared" si="47"/>
        <v>#REF!</v>
      </c>
      <c r="DN133" s="110">
        <f>_xlfn.MAXIFS('MY-REPORT-MAIN'!K:K,'MY-REPORT-MAIN'!C:C,DG133)</f>
        <v>0</v>
      </c>
      <c r="DO133" s="112" t="str">
        <f>IF(_xlfn.MAXIFS('MY-REPORT-MAIN'!M:M,'MY-REPORT-MAIN'!C:C,DG133)=0,"Nessun rendiconto  Convalidato",_xlfn.MAXIFS('MY-REPORT-MAIN'!M:M,'MY-REPORT-MAIN'!C:C,DG133))</f>
        <v>Nessun rendiconto  Convalidato</v>
      </c>
      <c r="DP133" s="113" t="str" cm="1">
        <f t="array" ref="DP133">IFERROR(INDEX('MY-REPORT-MAIN'!A:Z,MATCH(1,(DO133='MY-REPORT-MAIN'!M:M)*('Partner data'!DG133='MY-REPORT-MAIN'!C:C),0),1),"NON è stato convalidato ancora nessun rendiconto")</f>
        <v>NON è stato convalidato ancora nessun rendiconto</v>
      </c>
      <c r="DQ133" s="111" t="str">
        <f>IFERROR(INDEX('MY-REPORT-MAIN'!A:Z,MATCH('Partner data'!DP133,'MY-REPORT-MAIN'!A:A,0),21),"Nessun Rendiconto ancora convalidato")</f>
        <v>Nessun Rendiconto ancora convalidato</v>
      </c>
      <c r="DR133" s="110">
        <f>INDEX('Interreg VI-A Italy-Slovenia_pr'!A:E,MATCH('Partner data'!C133,'Interreg VI-A Italy-Slovenia_pr'!A:A,0),3)</f>
        <v>45200</v>
      </c>
      <c r="DS133" s="118">
        <f t="shared" si="48"/>
        <v>3000</v>
      </c>
      <c r="DT133" s="118">
        <f t="shared" si="49"/>
        <v>44400</v>
      </c>
      <c r="DU133" s="118">
        <f t="shared" si="50"/>
        <v>93000</v>
      </c>
      <c r="DV133" s="118">
        <f t="shared" si="51"/>
        <v>124800</v>
      </c>
      <c r="DW133" s="118">
        <f t="shared" si="52"/>
        <v>124800</v>
      </c>
      <c r="DX133" s="118">
        <f t="shared" si="53"/>
        <v>124800</v>
      </c>
      <c r="DY133" s="118">
        <f t="shared" si="54"/>
        <v>124800</v>
      </c>
      <c r="DZ133" s="118">
        <f t="shared" si="55"/>
        <v>124800</v>
      </c>
      <c r="EA133" s="118">
        <f t="shared" si="56"/>
        <v>124800</v>
      </c>
      <c r="EB133" s="118">
        <f t="shared" si="57"/>
        <v>124800</v>
      </c>
    </row>
    <row r="134" spans="1:132" x14ac:dyDescent="0.25">
      <c r="A134" s="28">
        <v>1</v>
      </c>
      <c r="B134" s="29" t="s">
        <v>487</v>
      </c>
      <c r="C134" s="30" t="s">
        <v>2319</v>
      </c>
      <c r="D134" s="30" t="s">
        <v>373</v>
      </c>
      <c r="E134" s="30" t="s">
        <v>2320</v>
      </c>
      <c r="F134" s="30" t="s">
        <v>1118</v>
      </c>
      <c r="G134" s="30" t="s">
        <v>491</v>
      </c>
      <c r="H134" s="30" t="s">
        <v>691</v>
      </c>
      <c r="I134" s="30" t="s">
        <v>692</v>
      </c>
      <c r="J134" s="31" t="s">
        <v>494</v>
      </c>
      <c r="K134" s="31" t="s">
        <v>495</v>
      </c>
      <c r="L134" s="31" t="s">
        <v>496</v>
      </c>
      <c r="M134" s="31" t="s">
        <v>376</v>
      </c>
      <c r="N134" s="31" t="s">
        <v>2103</v>
      </c>
      <c r="O134" s="31" t="s">
        <v>2321</v>
      </c>
      <c r="P134" s="31" t="s">
        <v>254</v>
      </c>
      <c r="Q134" s="31" t="s">
        <v>499</v>
      </c>
      <c r="R134" s="31" t="s">
        <v>265</v>
      </c>
      <c r="S134" s="32">
        <v>102400</v>
      </c>
      <c r="T134" s="32">
        <v>80</v>
      </c>
      <c r="U134" s="32">
        <v>21.49</v>
      </c>
      <c r="V134" s="32">
        <v>0</v>
      </c>
      <c r="W134" s="32">
        <v>0</v>
      </c>
      <c r="X134" s="32">
        <v>0</v>
      </c>
      <c r="Y134" s="32">
        <v>0</v>
      </c>
      <c r="Z134" s="32">
        <v>0</v>
      </c>
      <c r="AA134" s="32">
        <v>0</v>
      </c>
      <c r="AB134" s="32">
        <v>0</v>
      </c>
      <c r="AC134" s="32">
        <v>0</v>
      </c>
      <c r="AD134" s="32">
        <v>0</v>
      </c>
      <c r="AE134" s="32">
        <v>0</v>
      </c>
      <c r="AF134" s="32">
        <v>0</v>
      </c>
      <c r="AG134" s="32">
        <v>0</v>
      </c>
      <c r="AH134" s="32">
        <v>0</v>
      </c>
      <c r="AI134" s="32">
        <v>0</v>
      </c>
      <c r="AJ134" s="32">
        <v>0</v>
      </c>
      <c r="AK134" s="32">
        <v>0</v>
      </c>
      <c r="AL134" s="32">
        <v>0</v>
      </c>
      <c r="AM134" s="32">
        <v>0</v>
      </c>
      <c r="AN134" s="32">
        <v>0</v>
      </c>
      <c r="AO134" s="32">
        <v>25600</v>
      </c>
      <c r="AP134" s="32">
        <v>0</v>
      </c>
      <c r="AQ134" s="32">
        <v>25600</v>
      </c>
      <c r="AR134" s="32">
        <v>128000</v>
      </c>
      <c r="AS134" s="32">
        <v>21.49</v>
      </c>
      <c r="AT134" s="32">
        <v>91261.72</v>
      </c>
      <c r="AU134" s="32">
        <v>0</v>
      </c>
      <c r="AV134" s="32">
        <v>91261.72</v>
      </c>
      <c r="AW134" s="32">
        <v>0</v>
      </c>
      <c r="AX134" s="32">
        <v>13689.25</v>
      </c>
      <c r="AY134" s="32">
        <v>13689.25</v>
      </c>
      <c r="AZ134" s="32">
        <v>3650.46</v>
      </c>
      <c r="BA134" s="32">
        <v>3650.46</v>
      </c>
      <c r="BB134" s="32">
        <v>0</v>
      </c>
      <c r="BC134" s="32">
        <v>0</v>
      </c>
      <c r="BD134" s="32">
        <v>19398.57</v>
      </c>
      <c r="BE134" s="32">
        <v>19398.57</v>
      </c>
      <c r="BF134" s="32">
        <v>0</v>
      </c>
      <c r="BG134" s="32">
        <v>0</v>
      </c>
      <c r="BH134" s="32">
        <v>0</v>
      </c>
      <c r="BI134" s="32">
        <v>0</v>
      </c>
      <c r="BJ134" s="32">
        <v>0</v>
      </c>
      <c r="BK134" s="32">
        <v>0</v>
      </c>
      <c r="BL134" s="32">
        <v>0</v>
      </c>
      <c r="BM134" s="32">
        <v>0</v>
      </c>
      <c r="BN134" s="32">
        <v>0</v>
      </c>
      <c r="BO134" s="32">
        <v>0</v>
      </c>
      <c r="BP134" s="32">
        <v>0</v>
      </c>
      <c r="BQ134" s="32">
        <v>36650.339999999997</v>
      </c>
      <c r="BR134" s="32">
        <v>37048.910000000003</v>
      </c>
      <c r="BS134" s="32">
        <v>27150.34</v>
      </c>
      <c r="BT134" s="32">
        <v>27150.41</v>
      </c>
      <c r="BU134" s="32">
        <v>0</v>
      </c>
      <c r="BV134" s="32">
        <v>0</v>
      </c>
      <c r="BW134" s="32">
        <v>0</v>
      </c>
      <c r="BX134" s="32">
        <v>0</v>
      </c>
      <c r="BY134" s="32">
        <v>0</v>
      </c>
      <c r="BZ134" s="32">
        <v>0</v>
      </c>
      <c r="CA134" s="32">
        <v>0</v>
      </c>
      <c r="CB134" s="33" t="s">
        <v>2322</v>
      </c>
      <c r="CC134" s="33" t="s">
        <v>500</v>
      </c>
      <c r="CD134" s="33" t="s">
        <v>706</v>
      </c>
      <c r="CE134" s="33" t="s">
        <v>684</v>
      </c>
      <c r="CF134" s="33" t="s">
        <v>2323</v>
      </c>
      <c r="CG134" s="33" t="s">
        <v>2106</v>
      </c>
      <c r="CH134" s="33" t="s">
        <v>526</v>
      </c>
      <c r="CI134" s="33"/>
      <c r="CJ134" s="33" t="s">
        <v>212</v>
      </c>
      <c r="CK134" s="33"/>
      <c r="CL134" s="33" t="s">
        <v>212</v>
      </c>
      <c r="CM134" s="33"/>
      <c r="CN134" s="33" t="s">
        <v>254</v>
      </c>
      <c r="CO134" s="33" t="s">
        <v>265</v>
      </c>
      <c r="CP134" s="33" t="s">
        <v>2324</v>
      </c>
      <c r="CQ134" s="33" t="s">
        <v>507</v>
      </c>
      <c r="CR134" s="33" t="s">
        <v>508</v>
      </c>
      <c r="CS134" s="33" t="s">
        <v>2325</v>
      </c>
      <c r="CT134" s="33" t="s">
        <v>254</v>
      </c>
      <c r="CU134" s="33" t="s">
        <v>265</v>
      </c>
      <c r="CV134" s="33" t="s">
        <v>2324</v>
      </c>
      <c r="CW134" s="33" t="s">
        <v>507</v>
      </c>
      <c r="CX134" s="33" t="s">
        <v>508</v>
      </c>
      <c r="CY134" s="33" t="s">
        <v>531</v>
      </c>
      <c r="CZ134" s="33" t="s">
        <v>2110</v>
      </c>
      <c r="DA134" s="33" t="s">
        <v>2111</v>
      </c>
      <c r="DB134" s="33" t="s">
        <v>531</v>
      </c>
      <c r="DC134" s="33" t="s">
        <v>2112</v>
      </c>
      <c r="DD134" s="33" t="s">
        <v>2113</v>
      </c>
      <c r="DE134" s="33" t="s">
        <v>2114</v>
      </c>
      <c r="DF134" s="34" t="s">
        <v>2326</v>
      </c>
      <c r="DG134" s="27" cm="1">
        <f t="array" ref="DG134">INDEX('elenco partner'!A:M,MATCH(1,(D134='elenco partner'!A:A)*('Partner data'!M134='elenco partner'!E:E),0),4)</f>
        <v>297</v>
      </c>
      <c r="DH134" s="83" t="str">
        <f t="shared" ref="DH134:DH158" si="58">IF(AU134&lt;&gt;0,"Tasso Forfettario 20%",IF(AV134&lt;&gt;0,"COSTO REALE",IF(AW134&lt;&gt;0,"Costo Unitario Standard","BL1 non presente")))</f>
        <v>COSTO REALE</v>
      </c>
      <c r="DI134" s="20">
        <f>COUNTIFS('MY-REPORT-MAIN'!C:C,'Partner data'!DG134,'MY-REPORT-MAIN'!I:I,"Certified")</f>
        <v>1</v>
      </c>
      <c r="DJ134" s="20">
        <f>COUNTIFS(List_Of_chek_list!M:M,"&lt;&gt;26",List_Of_chek_list!B:B,'Partner data'!DG134)</f>
        <v>0</v>
      </c>
      <c r="DK134" s="20">
        <f t="shared" ref="DK134:DK158" si="59">DI134-DJ134</f>
        <v>1</v>
      </c>
      <c r="DL134" s="19" t="str">
        <f>IF(DH134="Tasso Forfettario 20%",SUMIFS(List_Of_chek_list!#REF!,List_Of_chek_list!B:B,'Partner data'!DG134),"NON PERTINENTE")</f>
        <v>NON PERTINENTE</v>
      </c>
      <c r="DM134" s="19" t="str">
        <f t="shared" ref="DM134:DM158" si="60">IF(DL134="NON PERTINENTE","NON PERTINENTE",IF(DJ134=DL134,"Rischio basso","Rischio alto"))</f>
        <v>NON PERTINENTE</v>
      </c>
      <c r="DN134" s="110">
        <f>_xlfn.MAXIFS('MY-REPORT-MAIN'!K:K,'MY-REPORT-MAIN'!C:C,DG134)</f>
        <v>45380.562828518516</v>
      </c>
      <c r="DO134" s="112">
        <f>IF(_xlfn.MAXIFS('MY-REPORT-MAIN'!M:M,'MY-REPORT-MAIN'!C:C,DG134)=0,"Nessun rendiconto  Convalidato",_xlfn.MAXIFS('MY-REPORT-MAIN'!M:M,'MY-REPORT-MAIN'!C:C,DG134))</f>
        <v>45477.69158914352</v>
      </c>
      <c r="DP134" s="113" cm="1">
        <f t="array" ref="DP134">IFERROR(INDEX('MY-REPORT-MAIN'!A:Z,MATCH(1,(DO134='MY-REPORT-MAIN'!M:M)*('Partner data'!DG134='MY-REPORT-MAIN'!C:C),0),1),"NON è stato convalidato ancora nessun rendiconto")</f>
        <v>214</v>
      </c>
      <c r="DQ134" s="111">
        <f>IFERROR(INDEX('MY-REPORT-MAIN'!A:Z,MATCH('Partner data'!DP134,'MY-REPORT-MAIN'!A:A,0),21),"Nessun Rendiconto ancora convalidato")</f>
        <v>25609.3</v>
      </c>
      <c r="DR134" s="110">
        <f>INDEX('Interreg VI-A Italy-Slovenia_pr'!A:E,MATCH('Partner data'!C134,'Interreg VI-A Italy-Slovenia_pr'!A:A,0),3)</f>
        <v>45194</v>
      </c>
      <c r="DS134" s="118">
        <f t="shared" si="48"/>
        <v>36650.339999999997</v>
      </c>
      <c r="DT134" s="118">
        <f t="shared" si="49"/>
        <v>73699.25</v>
      </c>
      <c r="DU134" s="118">
        <f t="shared" si="50"/>
        <v>100849.59</v>
      </c>
      <c r="DV134" s="118">
        <f t="shared" si="51"/>
        <v>128000</v>
      </c>
      <c r="DW134" s="118">
        <f t="shared" si="52"/>
        <v>128000</v>
      </c>
      <c r="DX134" s="118">
        <f t="shared" si="53"/>
        <v>128000</v>
      </c>
      <c r="DY134" s="118">
        <f t="shared" si="54"/>
        <v>128000</v>
      </c>
      <c r="DZ134" s="118">
        <f t="shared" si="55"/>
        <v>128000</v>
      </c>
      <c r="EA134" s="118">
        <f t="shared" si="56"/>
        <v>128000</v>
      </c>
      <c r="EB134" s="118">
        <f t="shared" si="57"/>
        <v>128000</v>
      </c>
    </row>
    <row r="135" spans="1:132" ht="45" x14ac:dyDescent="0.25">
      <c r="A135" s="28">
        <v>1</v>
      </c>
      <c r="B135" s="29" t="s">
        <v>487</v>
      </c>
      <c r="C135" s="30" t="s">
        <v>2319</v>
      </c>
      <c r="D135" s="30" t="s">
        <v>373</v>
      </c>
      <c r="E135" s="30" t="s">
        <v>2320</v>
      </c>
      <c r="F135" s="30" t="s">
        <v>1118</v>
      </c>
      <c r="G135" s="30" t="s">
        <v>491</v>
      </c>
      <c r="H135" s="30" t="s">
        <v>691</v>
      </c>
      <c r="I135" s="30" t="s">
        <v>692</v>
      </c>
      <c r="J135" s="31" t="s">
        <v>518</v>
      </c>
      <c r="K135" s="31" t="s">
        <v>495</v>
      </c>
      <c r="L135" s="31" t="s">
        <v>519</v>
      </c>
      <c r="M135" s="31" t="s">
        <v>374</v>
      </c>
      <c r="N135" s="31" t="s">
        <v>2327</v>
      </c>
      <c r="O135" s="31" t="s">
        <v>2327</v>
      </c>
      <c r="P135" s="31" t="s">
        <v>254</v>
      </c>
      <c r="Q135" s="31" t="s">
        <v>499</v>
      </c>
      <c r="R135" s="31" t="s">
        <v>265</v>
      </c>
      <c r="S135" s="32">
        <v>199078.39999999999</v>
      </c>
      <c r="T135" s="32">
        <v>80</v>
      </c>
      <c r="U135" s="32">
        <v>41.77</v>
      </c>
      <c r="V135" s="32">
        <v>0</v>
      </c>
      <c r="W135" s="32">
        <v>0</v>
      </c>
      <c r="X135" s="32">
        <v>0</v>
      </c>
      <c r="Y135" s="32">
        <v>0</v>
      </c>
      <c r="Z135" s="32">
        <v>0</v>
      </c>
      <c r="AA135" s="32">
        <v>0</v>
      </c>
      <c r="AB135" s="32">
        <v>0</v>
      </c>
      <c r="AC135" s="32">
        <v>0</v>
      </c>
      <c r="AD135" s="32">
        <v>0</v>
      </c>
      <c r="AE135" s="32">
        <v>0</v>
      </c>
      <c r="AF135" s="32">
        <v>0</v>
      </c>
      <c r="AG135" s="32">
        <v>0</v>
      </c>
      <c r="AH135" s="32">
        <v>0</v>
      </c>
      <c r="AI135" s="32">
        <v>0</v>
      </c>
      <c r="AJ135" s="32">
        <v>0</v>
      </c>
      <c r="AK135" s="32">
        <v>0</v>
      </c>
      <c r="AL135" s="32">
        <v>0</v>
      </c>
      <c r="AM135" s="32">
        <v>0</v>
      </c>
      <c r="AN135" s="32">
        <v>0</v>
      </c>
      <c r="AO135" s="32">
        <v>0</v>
      </c>
      <c r="AP135" s="32">
        <v>49769.599999999999</v>
      </c>
      <c r="AQ135" s="32">
        <v>49769.599999999999</v>
      </c>
      <c r="AR135" s="32">
        <v>248848</v>
      </c>
      <c r="AS135" s="32">
        <v>41.77</v>
      </c>
      <c r="AT135" s="32">
        <v>41200</v>
      </c>
      <c r="AU135" s="32">
        <v>41200</v>
      </c>
      <c r="AV135" s="32">
        <v>0</v>
      </c>
      <c r="AW135" s="32">
        <v>0</v>
      </c>
      <c r="AX135" s="32">
        <v>0</v>
      </c>
      <c r="AY135" s="32">
        <v>0</v>
      </c>
      <c r="AZ135" s="32">
        <v>1648</v>
      </c>
      <c r="BA135" s="32">
        <v>1648</v>
      </c>
      <c r="BB135" s="32">
        <v>0</v>
      </c>
      <c r="BC135" s="32">
        <v>0</v>
      </c>
      <c r="BD135" s="32">
        <v>76000</v>
      </c>
      <c r="BE135" s="32">
        <v>76000</v>
      </c>
      <c r="BF135" s="32">
        <v>0</v>
      </c>
      <c r="BG135" s="32">
        <v>60000</v>
      </c>
      <c r="BH135" s="32">
        <v>60000</v>
      </c>
      <c r="BI135" s="32">
        <v>0</v>
      </c>
      <c r="BJ135" s="32">
        <v>70000</v>
      </c>
      <c r="BK135" s="32">
        <v>70000</v>
      </c>
      <c r="BL135" s="32">
        <v>0</v>
      </c>
      <c r="BM135" s="32">
        <v>0</v>
      </c>
      <c r="BN135" s="32">
        <v>0</v>
      </c>
      <c r="BO135" s="32">
        <v>0</v>
      </c>
      <c r="BP135" s="32">
        <v>0</v>
      </c>
      <c r="BQ135" s="32">
        <v>0</v>
      </c>
      <c r="BR135" s="32">
        <v>181200</v>
      </c>
      <c r="BS135" s="32">
        <v>48320</v>
      </c>
      <c r="BT135" s="32">
        <v>19328</v>
      </c>
      <c r="BU135" s="32">
        <v>0</v>
      </c>
      <c r="BV135" s="32">
        <v>0</v>
      </c>
      <c r="BW135" s="32">
        <v>0</v>
      </c>
      <c r="BX135" s="32">
        <v>0</v>
      </c>
      <c r="BY135" s="32">
        <v>0</v>
      </c>
      <c r="BZ135" s="32">
        <v>0</v>
      </c>
      <c r="CA135" s="32">
        <v>0</v>
      </c>
      <c r="CB135" s="33" t="s">
        <v>212</v>
      </c>
      <c r="CC135" s="33"/>
      <c r="CD135" s="33"/>
      <c r="CE135" s="33" t="s">
        <v>501</v>
      </c>
      <c r="CF135" s="33"/>
      <c r="CG135" s="33" t="s">
        <v>2328</v>
      </c>
      <c r="CH135" s="33" t="s">
        <v>504</v>
      </c>
      <c r="CI135" s="33"/>
      <c r="CJ135" s="33" t="s">
        <v>2329</v>
      </c>
      <c r="CK135" s="33" t="s">
        <v>212</v>
      </c>
      <c r="CL135" s="33" t="s">
        <v>212</v>
      </c>
      <c r="CM135" s="33" t="s">
        <v>625</v>
      </c>
      <c r="CN135" s="33" t="s">
        <v>254</v>
      </c>
      <c r="CO135" s="33" t="s">
        <v>265</v>
      </c>
      <c r="CP135" s="33" t="s">
        <v>2330</v>
      </c>
      <c r="CQ135" s="33" t="s">
        <v>1036</v>
      </c>
      <c r="CR135" s="33" t="s">
        <v>1037</v>
      </c>
      <c r="CS135" s="33" t="s">
        <v>2331</v>
      </c>
      <c r="CT135" s="33"/>
      <c r="CU135" s="33"/>
      <c r="CV135" s="33"/>
      <c r="CW135" s="33"/>
      <c r="CX135" s="33"/>
      <c r="CY135" s="33" t="s">
        <v>531</v>
      </c>
      <c r="CZ135" s="33" t="s">
        <v>2332</v>
      </c>
      <c r="DA135" s="33" t="s">
        <v>2333</v>
      </c>
      <c r="DB135" s="33" t="s">
        <v>531</v>
      </c>
      <c r="DC135" s="33" t="s">
        <v>1040</v>
      </c>
      <c r="DD135" s="33" t="s">
        <v>2334</v>
      </c>
      <c r="DE135" s="33" t="s">
        <v>2335</v>
      </c>
      <c r="DF135" s="34" t="s">
        <v>2336</v>
      </c>
      <c r="DG135" s="27" cm="1">
        <f t="array" ref="DG135">INDEX('elenco partner'!A:M,MATCH(1,(D135='elenco partner'!A:A)*('Partner data'!M135='elenco partner'!E:E),0),4)</f>
        <v>298</v>
      </c>
      <c r="DH135" s="83" t="str">
        <f t="shared" si="58"/>
        <v>Tasso Forfettario 20%</v>
      </c>
      <c r="DI135" s="20">
        <f>COUNTIFS('MY-REPORT-MAIN'!C:C,'Partner data'!DG135,'MY-REPORT-MAIN'!I:I,"Certified")</f>
        <v>0</v>
      </c>
      <c r="DJ135" s="20">
        <f>COUNTIFS(List_Of_chek_list!M:M,"&lt;&gt;26",List_Of_chek_list!B:B,'Partner data'!DG135)</f>
        <v>0</v>
      </c>
      <c r="DK135" s="20">
        <f t="shared" si="59"/>
        <v>0</v>
      </c>
      <c r="DL135" s="19" t="e">
        <f>IF(DH135="Tasso Forfettario 20%",SUMIFS(List_Of_chek_list!#REF!,List_Of_chek_list!B:B,'Partner data'!DG135),"NON PERTINENTE")</f>
        <v>#REF!</v>
      </c>
      <c r="DM135" s="19" t="e">
        <f t="shared" si="60"/>
        <v>#REF!</v>
      </c>
      <c r="DN135" s="110">
        <f>_xlfn.MAXIFS('MY-REPORT-MAIN'!K:K,'MY-REPORT-MAIN'!C:C,DG135)</f>
        <v>0</v>
      </c>
      <c r="DO135" s="112" t="str">
        <f>IF(_xlfn.MAXIFS('MY-REPORT-MAIN'!M:M,'MY-REPORT-MAIN'!C:C,DG135)=0,"Nessun rendiconto  Convalidato",_xlfn.MAXIFS('MY-REPORT-MAIN'!M:M,'MY-REPORT-MAIN'!C:C,DG135))</f>
        <v>Nessun rendiconto  Convalidato</v>
      </c>
      <c r="DP135" s="113" t="str" cm="1">
        <f t="array" ref="DP135">IFERROR(INDEX('MY-REPORT-MAIN'!A:Z,MATCH(1,(DO135='MY-REPORT-MAIN'!M:M)*('Partner data'!DG135='MY-REPORT-MAIN'!C:C),0),1),"NON è stato convalidato ancora nessun rendiconto")</f>
        <v>NON è stato convalidato ancora nessun rendiconto</v>
      </c>
      <c r="DQ135" s="111" t="str">
        <f>IFERROR(INDEX('MY-REPORT-MAIN'!A:Z,MATCH('Partner data'!DP135,'MY-REPORT-MAIN'!A:A,0),21),"Nessun Rendiconto ancora convalidato")</f>
        <v>Nessun Rendiconto ancora convalidato</v>
      </c>
      <c r="DR135" s="110">
        <f>INDEX('Interreg VI-A Italy-Slovenia_pr'!A:E,MATCH('Partner data'!C135,'Interreg VI-A Italy-Slovenia_pr'!A:A,0),3)</f>
        <v>45194</v>
      </c>
      <c r="DS135" s="118">
        <f t="shared" si="48"/>
        <v>0</v>
      </c>
      <c r="DT135" s="118">
        <f t="shared" si="49"/>
        <v>181200</v>
      </c>
      <c r="DU135" s="118">
        <f t="shared" si="50"/>
        <v>229520</v>
      </c>
      <c r="DV135" s="118">
        <f t="shared" si="51"/>
        <v>248848</v>
      </c>
      <c r="DW135" s="118">
        <f t="shared" si="52"/>
        <v>248848</v>
      </c>
      <c r="DX135" s="118">
        <f t="shared" si="53"/>
        <v>248848</v>
      </c>
      <c r="DY135" s="118">
        <f t="shared" si="54"/>
        <v>248848</v>
      </c>
      <c r="DZ135" s="118">
        <f t="shared" si="55"/>
        <v>248848</v>
      </c>
      <c r="EA135" s="118">
        <f t="shared" si="56"/>
        <v>248848</v>
      </c>
      <c r="EB135" s="118">
        <f t="shared" si="57"/>
        <v>248848</v>
      </c>
    </row>
    <row r="136" spans="1:132" x14ac:dyDescent="0.25">
      <c r="A136" s="28">
        <v>1</v>
      </c>
      <c r="B136" s="29" t="s">
        <v>487</v>
      </c>
      <c r="C136" s="30" t="s">
        <v>2319</v>
      </c>
      <c r="D136" s="30" t="s">
        <v>373</v>
      </c>
      <c r="E136" s="30" t="s">
        <v>2320</v>
      </c>
      <c r="F136" s="30" t="s">
        <v>1118</v>
      </c>
      <c r="G136" s="30" t="s">
        <v>491</v>
      </c>
      <c r="H136" s="30" t="s">
        <v>691</v>
      </c>
      <c r="I136" s="30" t="s">
        <v>692</v>
      </c>
      <c r="J136" s="31" t="s">
        <v>538</v>
      </c>
      <c r="K136" s="31" t="s">
        <v>495</v>
      </c>
      <c r="L136" s="31" t="s">
        <v>519</v>
      </c>
      <c r="M136" s="31" t="s">
        <v>375</v>
      </c>
      <c r="N136" s="31" t="s">
        <v>2337</v>
      </c>
      <c r="O136" s="31" t="s">
        <v>2338</v>
      </c>
      <c r="P136" s="31" t="s">
        <v>257</v>
      </c>
      <c r="Q136" s="31" t="s">
        <v>556</v>
      </c>
      <c r="R136" s="31" t="s">
        <v>258</v>
      </c>
      <c r="S136" s="32">
        <v>35700</v>
      </c>
      <c r="T136" s="32">
        <v>80</v>
      </c>
      <c r="U136" s="32">
        <v>7.49</v>
      </c>
      <c r="V136" s="32">
        <v>0</v>
      </c>
      <c r="W136" s="32">
        <v>0</v>
      </c>
      <c r="X136" s="32">
        <v>0</v>
      </c>
      <c r="Y136" s="32">
        <v>0</v>
      </c>
      <c r="Z136" s="32">
        <v>0</v>
      </c>
      <c r="AA136" s="32">
        <v>0</v>
      </c>
      <c r="AB136" s="32">
        <v>0</v>
      </c>
      <c r="AC136" s="32">
        <v>0</v>
      </c>
      <c r="AD136" s="32">
        <v>0</v>
      </c>
      <c r="AE136" s="32">
        <v>0</v>
      </c>
      <c r="AF136" s="32">
        <v>0</v>
      </c>
      <c r="AG136" s="32">
        <v>0</v>
      </c>
      <c r="AH136" s="32">
        <v>0</v>
      </c>
      <c r="AI136" s="32">
        <v>0</v>
      </c>
      <c r="AJ136" s="32">
        <v>0</v>
      </c>
      <c r="AK136" s="32">
        <v>0</v>
      </c>
      <c r="AL136" s="32">
        <v>0</v>
      </c>
      <c r="AM136" s="32">
        <v>0</v>
      </c>
      <c r="AN136" s="32">
        <v>0</v>
      </c>
      <c r="AO136" s="32">
        <v>0</v>
      </c>
      <c r="AP136" s="32">
        <v>8925</v>
      </c>
      <c r="AQ136" s="32">
        <v>8925</v>
      </c>
      <c r="AR136" s="32">
        <v>44625</v>
      </c>
      <c r="AS136" s="32">
        <v>7.49</v>
      </c>
      <c r="AT136" s="32">
        <v>37500</v>
      </c>
      <c r="AU136" s="32">
        <v>0</v>
      </c>
      <c r="AV136" s="32">
        <v>37500</v>
      </c>
      <c r="AW136" s="32">
        <v>0</v>
      </c>
      <c r="AX136" s="32">
        <v>5625</v>
      </c>
      <c r="AY136" s="32">
        <v>5625</v>
      </c>
      <c r="AZ136" s="32">
        <v>1500</v>
      </c>
      <c r="BA136" s="32">
        <v>1500</v>
      </c>
      <c r="BB136" s="32">
        <v>0</v>
      </c>
      <c r="BC136" s="32">
        <v>0</v>
      </c>
      <c r="BD136" s="32">
        <v>0</v>
      </c>
      <c r="BE136" s="32">
        <v>0</v>
      </c>
      <c r="BF136" s="32">
        <v>0</v>
      </c>
      <c r="BG136" s="32">
        <v>0</v>
      </c>
      <c r="BH136" s="32">
        <v>0</v>
      </c>
      <c r="BI136" s="32">
        <v>0</v>
      </c>
      <c r="BJ136" s="32">
        <v>0</v>
      </c>
      <c r="BK136" s="32">
        <v>0</v>
      </c>
      <c r="BL136" s="32">
        <v>0</v>
      </c>
      <c r="BM136" s="32">
        <v>0</v>
      </c>
      <c r="BN136" s="32">
        <v>0</v>
      </c>
      <c r="BO136" s="32">
        <v>0</v>
      </c>
      <c r="BP136" s="32">
        <v>0</v>
      </c>
      <c r="BQ136" s="32">
        <v>11156.25</v>
      </c>
      <c r="BR136" s="32">
        <v>11156.25</v>
      </c>
      <c r="BS136" s="32">
        <v>11156.25</v>
      </c>
      <c r="BT136" s="32">
        <v>11156.25</v>
      </c>
      <c r="BU136" s="32">
        <v>0</v>
      </c>
      <c r="BV136" s="32">
        <v>0</v>
      </c>
      <c r="BW136" s="32">
        <v>0</v>
      </c>
      <c r="BX136" s="32">
        <v>0</v>
      </c>
      <c r="BY136" s="32">
        <v>0</v>
      </c>
      <c r="BZ136" s="32">
        <v>0</v>
      </c>
      <c r="CA136" s="32">
        <v>0</v>
      </c>
      <c r="CB136" s="33" t="s">
        <v>212</v>
      </c>
      <c r="CC136" s="33" t="s">
        <v>596</v>
      </c>
      <c r="CD136" s="33"/>
      <c r="CE136" s="33" t="s">
        <v>501</v>
      </c>
      <c r="CF136" s="33"/>
      <c r="CG136" s="33" t="s">
        <v>2339</v>
      </c>
      <c r="CH136" s="33" t="s">
        <v>526</v>
      </c>
      <c r="CI136" s="33"/>
      <c r="CJ136" s="33" t="s">
        <v>212</v>
      </c>
      <c r="CK136" s="33"/>
      <c r="CL136" s="33" t="s">
        <v>212</v>
      </c>
      <c r="CM136" s="33" t="s">
        <v>637</v>
      </c>
      <c r="CN136" s="33" t="s">
        <v>257</v>
      </c>
      <c r="CO136" s="33" t="s">
        <v>258</v>
      </c>
      <c r="CP136" s="33" t="s">
        <v>2340</v>
      </c>
      <c r="CQ136" s="33" t="s">
        <v>620</v>
      </c>
      <c r="CR136" s="33" t="s">
        <v>621</v>
      </c>
      <c r="CS136" s="33" t="s">
        <v>2341</v>
      </c>
      <c r="CT136" s="33"/>
      <c r="CU136" s="33"/>
      <c r="CV136" s="33"/>
      <c r="CW136" s="33"/>
      <c r="CX136" s="33"/>
      <c r="CY136" s="33" t="s">
        <v>531</v>
      </c>
      <c r="CZ136" s="33" t="s">
        <v>2342</v>
      </c>
      <c r="DA136" s="33" t="s">
        <v>2343</v>
      </c>
      <c r="DB136" s="33" t="s">
        <v>547</v>
      </c>
      <c r="DC136" s="33" t="s">
        <v>1573</v>
      </c>
      <c r="DD136" s="33" t="s">
        <v>2344</v>
      </c>
      <c r="DE136" s="33" t="s">
        <v>2345</v>
      </c>
      <c r="DF136" s="34" t="s">
        <v>2346</v>
      </c>
      <c r="DG136" s="27" cm="1">
        <f t="array" ref="DG136">INDEX('elenco partner'!A:M,MATCH(1,(D136='elenco partner'!A:A)*('Partner data'!M136='elenco partner'!E:E),0),4)</f>
        <v>299</v>
      </c>
      <c r="DH136" s="83" t="str">
        <f t="shared" si="58"/>
        <v>COSTO REALE</v>
      </c>
      <c r="DI136" s="20">
        <f>COUNTIFS('MY-REPORT-MAIN'!C:C,'Partner data'!DG136,'MY-REPORT-MAIN'!I:I,"Certified")</f>
        <v>1</v>
      </c>
      <c r="DJ136" s="20">
        <f>COUNTIFS(List_Of_chek_list!M:M,"&lt;&gt;26",List_Of_chek_list!B:B,'Partner data'!DG136)</f>
        <v>1</v>
      </c>
      <c r="DK136" s="20">
        <f t="shared" si="59"/>
        <v>0</v>
      </c>
      <c r="DL136" s="19" t="str">
        <f>IF(DH136="Tasso Forfettario 20%",SUMIFS(List_Of_chek_list!#REF!,List_Of_chek_list!B:B,'Partner data'!DG136),"NON PERTINENTE")</f>
        <v>NON PERTINENTE</v>
      </c>
      <c r="DM136" s="19" t="str">
        <f t="shared" si="60"/>
        <v>NON PERTINENTE</v>
      </c>
      <c r="DN136" s="110">
        <f>_xlfn.MAXIFS('MY-REPORT-MAIN'!K:K,'MY-REPORT-MAIN'!C:C,DG136)</f>
        <v>45379.637456493052</v>
      </c>
      <c r="DO136" s="112">
        <f>IF(_xlfn.MAXIFS('MY-REPORT-MAIN'!M:M,'MY-REPORT-MAIN'!C:C,DG136)=0,"Nessun rendiconto  Convalidato",_xlfn.MAXIFS('MY-REPORT-MAIN'!M:M,'MY-REPORT-MAIN'!C:C,DG136))</f>
        <v>45439.417523402779</v>
      </c>
      <c r="DP136" s="113" cm="1">
        <f t="array" ref="DP136">IFERROR(INDEX('MY-REPORT-MAIN'!A:Z,MATCH(1,(DO136='MY-REPORT-MAIN'!M:M)*('Partner data'!DG136='MY-REPORT-MAIN'!C:C),0),1),"NON è stato convalidato ancora nessun rendiconto")</f>
        <v>221</v>
      </c>
      <c r="DQ136" s="111">
        <f>IFERROR(INDEX('MY-REPORT-MAIN'!A:Z,MATCH('Partner data'!DP136,'MY-REPORT-MAIN'!A:A,0),21),"Nessun Rendiconto ancora convalidato")</f>
        <v>10272.9</v>
      </c>
      <c r="DR136" s="110">
        <f>INDEX('Interreg VI-A Italy-Slovenia_pr'!A:E,MATCH('Partner data'!C136,'Interreg VI-A Italy-Slovenia_pr'!A:A,0),3)</f>
        <v>45194</v>
      </c>
      <c r="DS136" s="118">
        <f t="shared" si="48"/>
        <v>11156.25</v>
      </c>
      <c r="DT136" s="118">
        <f t="shared" si="49"/>
        <v>22312.5</v>
      </c>
      <c r="DU136" s="118">
        <f t="shared" si="50"/>
        <v>33468.75</v>
      </c>
      <c r="DV136" s="118">
        <f t="shared" si="51"/>
        <v>44625</v>
      </c>
      <c r="DW136" s="118">
        <f t="shared" si="52"/>
        <v>44625</v>
      </c>
      <c r="DX136" s="118">
        <f t="shared" si="53"/>
        <v>44625</v>
      </c>
      <c r="DY136" s="118">
        <f t="shared" si="54"/>
        <v>44625</v>
      </c>
      <c r="DZ136" s="118">
        <f t="shared" si="55"/>
        <v>44625</v>
      </c>
      <c r="EA136" s="118">
        <f t="shared" si="56"/>
        <v>44625</v>
      </c>
      <c r="EB136" s="118">
        <f t="shared" si="57"/>
        <v>44625</v>
      </c>
    </row>
    <row r="137" spans="1:132" ht="45" x14ac:dyDescent="0.25">
      <c r="A137" s="28">
        <v>1</v>
      </c>
      <c r="B137" s="29" t="s">
        <v>487</v>
      </c>
      <c r="C137" s="30" t="s">
        <v>2319</v>
      </c>
      <c r="D137" s="30" t="s">
        <v>373</v>
      </c>
      <c r="E137" s="30" t="s">
        <v>2320</v>
      </c>
      <c r="F137" s="30" t="s">
        <v>1118</v>
      </c>
      <c r="G137" s="30" t="s">
        <v>491</v>
      </c>
      <c r="H137" s="30" t="s">
        <v>691</v>
      </c>
      <c r="I137" s="30" t="s">
        <v>692</v>
      </c>
      <c r="J137" s="31" t="s">
        <v>554</v>
      </c>
      <c r="K137" s="31" t="s">
        <v>495</v>
      </c>
      <c r="L137" s="31" t="s">
        <v>519</v>
      </c>
      <c r="M137" s="31" t="s">
        <v>379</v>
      </c>
      <c r="N137" s="31" t="s">
        <v>2347</v>
      </c>
      <c r="O137" s="31" t="s">
        <v>2348</v>
      </c>
      <c r="P137" s="31" t="s">
        <v>257</v>
      </c>
      <c r="Q137" s="31" t="s">
        <v>556</v>
      </c>
      <c r="R137" s="31" t="s">
        <v>270</v>
      </c>
      <c r="S137" s="32">
        <v>31200</v>
      </c>
      <c r="T137" s="32">
        <v>80</v>
      </c>
      <c r="U137" s="32">
        <v>6.55</v>
      </c>
      <c r="V137" s="32">
        <v>0</v>
      </c>
      <c r="W137" s="32">
        <v>0</v>
      </c>
      <c r="X137" s="32">
        <v>0</v>
      </c>
      <c r="Y137" s="32">
        <v>0</v>
      </c>
      <c r="Z137" s="32">
        <v>0</v>
      </c>
      <c r="AA137" s="32">
        <v>0</v>
      </c>
      <c r="AB137" s="32">
        <v>0</v>
      </c>
      <c r="AC137" s="32">
        <v>0</v>
      </c>
      <c r="AD137" s="32">
        <v>0</v>
      </c>
      <c r="AE137" s="32">
        <v>0</v>
      </c>
      <c r="AF137" s="32">
        <v>0</v>
      </c>
      <c r="AG137" s="32">
        <v>0</v>
      </c>
      <c r="AH137" s="32">
        <v>0</v>
      </c>
      <c r="AI137" s="32">
        <v>0</v>
      </c>
      <c r="AJ137" s="32">
        <v>0</v>
      </c>
      <c r="AK137" s="32">
        <v>0</v>
      </c>
      <c r="AL137" s="32">
        <v>0</v>
      </c>
      <c r="AM137" s="32">
        <v>0</v>
      </c>
      <c r="AN137" s="32">
        <v>0</v>
      </c>
      <c r="AO137" s="32">
        <v>0</v>
      </c>
      <c r="AP137" s="32">
        <v>7800</v>
      </c>
      <c r="AQ137" s="32">
        <v>7800</v>
      </c>
      <c r="AR137" s="32">
        <v>39000</v>
      </c>
      <c r="AS137" s="32">
        <v>6.55</v>
      </c>
      <c r="AT137" s="32">
        <v>32500</v>
      </c>
      <c r="AU137" s="32">
        <v>0</v>
      </c>
      <c r="AV137" s="32">
        <v>32500</v>
      </c>
      <c r="AW137" s="32">
        <v>0</v>
      </c>
      <c r="AX137" s="32">
        <v>0</v>
      </c>
      <c r="AY137" s="32">
        <v>0</v>
      </c>
      <c r="AZ137" s="32">
        <v>0</v>
      </c>
      <c r="BA137" s="32">
        <v>0</v>
      </c>
      <c r="BB137" s="32">
        <v>0</v>
      </c>
      <c r="BC137" s="32">
        <v>0</v>
      </c>
      <c r="BD137" s="32">
        <v>0</v>
      </c>
      <c r="BE137" s="32">
        <v>0</v>
      </c>
      <c r="BF137" s="32">
        <v>0</v>
      </c>
      <c r="BG137" s="32">
        <v>0</v>
      </c>
      <c r="BH137" s="32">
        <v>0</v>
      </c>
      <c r="BI137" s="32">
        <v>0</v>
      </c>
      <c r="BJ137" s="32">
        <v>0</v>
      </c>
      <c r="BK137" s="32">
        <v>0</v>
      </c>
      <c r="BL137" s="32">
        <v>0</v>
      </c>
      <c r="BM137" s="32">
        <v>6500</v>
      </c>
      <c r="BN137" s="32">
        <v>0</v>
      </c>
      <c r="BO137" s="32">
        <v>0</v>
      </c>
      <c r="BP137" s="32">
        <v>0</v>
      </c>
      <c r="BQ137" s="32">
        <v>0</v>
      </c>
      <c r="BR137" s="32">
        <v>21000</v>
      </c>
      <c r="BS137" s="32">
        <v>18000</v>
      </c>
      <c r="BT137" s="32">
        <v>0</v>
      </c>
      <c r="BU137" s="32">
        <v>0</v>
      </c>
      <c r="BV137" s="32">
        <v>0</v>
      </c>
      <c r="BW137" s="32">
        <v>0</v>
      </c>
      <c r="BX137" s="32">
        <v>0</v>
      </c>
      <c r="BY137" s="32">
        <v>0</v>
      </c>
      <c r="BZ137" s="32">
        <v>0</v>
      </c>
      <c r="CA137" s="32">
        <v>0</v>
      </c>
      <c r="CB137" s="33" t="s">
        <v>2349</v>
      </c>
      <c r="CC137" s="33" t="s">
        <v>675</v>
      </c>
      <c r="CD137" s="33" t="s">
        <v>653</v>
      </c>
      <c r="CE137" s="33" t="s">
        <v>501</v>
      </c>
      <c r="CF137" s="33"/>
      <c r="CG137" s="33" t="s">
        <v>2350</v>
      </c>
      <c r="CH137" s="33" t="s">
        <v>504</v>
      </c>
      <c r="CI137" s="33"/>
      <c r="CJ137" s="33" t="s">
        <v>212</v>
      </c>
      <c r="CK137" s="33"/>
      <c r="CL137" s="33" t="s">
        <v>212</v>
      </c>
      <c r="CM137" s="33" t="s">
        <v>637</v>
      </c>
      <c r="CN137" s="33" t="s">
        <v>257</v>
      </c>
      <c r="CO137" s="33" t="s">
        <v>270</v>
      </c>
      <c r="CP137" s="33" t="s">
        <v>2351</v>
      </c>
      <c r="CQ137" s="33" t="s">
        <v>717</v>
      </c>
      <c r="CR137" s="33" t="s">
        <v>718</v>
      </c>
      <c r="CS137" s="33" t="s">
        <v>2352</v>
      </c>
      <c r="CT137" s="33" t="s">
        <v>257</v>
      </c>
      <c r="CU137" s="33" t="s">
        <v>270</v>
      </c>
      <c r="CV137" s="33" t="s">
        <v>2351</v>
      </c>
      <c r="CW137" s="33" t="s">
        <v>717</v>
      </c>
      <c r="CX137" s="33" t="s">
        <v>718</v>
      </c>
      <c r="CY137" s="33" t="s">
        <v>531</v>
      </c>
      <c r="CZ137" s="33" t="s">
        <v>2353</v>
      </c>
      <c r="DA137" s="33" t="s">
        <v>2354</v>
      </c>
      <c r="DB137" s="33" t="s">
        <v>531</v>
      </c>
      <c r="DC137" s="33" t="s">
        <v>2353</v>
      </c>
      <c r="DD137" s="33" t="s">
        <v>2354</v>
      </c>
      <c r="DE137" s="33" t="s">
        <v>2355</v>
      </c>
      <c r="DF137" s="34" t="s">
        <v>2356</v>
      </c>
      <c r="DG137" s="27" cm="1">
        <f t="array" ref="DG137">INDEX('elenco partner'!A:M,MATCH(1,(D137='elenco partner'!A:A)*('Partner data'!M137='elenco partner'!E:E),0),4)</f>
        <v>300</v>
      </c>
      <c r="DH137" s="83" t="str">
        <f t="shared" si="58"/>
        <v>COSTO REALE</v>
      </c>
      <c r="DI137" s="20">
        <f>COUNTIFS('MY-REPORT-MAIN'!C:C,'Partner data'!DG137,'MY-REPORT-MAIN'!I:I,"Certified")</f>
        <v>0</v>
      </c>
      <c r="DJ137" s="20">
        <f>COUNTIFS(List_Of_chek_list!M:M,"&lt;&gt;26",List_Of_chek_list!B:B,'Partner data'!DG137)</f>
        <v>0</v>
      </c>
      <c r="DK137" s="20">
        <f t="shared" si="59"/>
        <v>0</v>
      </c>
      <c r="DL137" s="19" t="str">
        <f>IF(DH137="Tasso Forfettario 20%",SUMIFS(List_Of_chek_list!#REF!,List_Of_chek_list!B:B,'Partner data'!DG137),"NON PERTINENTE")</f>
        <v>NON PERTINENTE</v>
      </c>
      <c r="DM137" s="19" t="str">
        <f t="shared" si="60"/>
        <v>NON PERTINENTE</v>
      </c>
      <c r="DN137" s="110">
        <f>_xlfn.MAXIFS('MY-REPORT-MAIN'!K:K,'MY-REPORT-MAIN'!C:C,DG137)</f>
        <v>0</v>
      </c>
      <c r="DO137" s="112" t="str">
        <f>IF(_xlfn.MAXIFS('MY-REPORT-MAIN'!M:M,'MY-REPORT-MAIN'!C:C,DG137)=0,"Nessun rendiconto  Convalidato",_xlfn.MAXIFS('MY-REPORT-MAIN'!M:M,'MY-REPORT-MAIN'!C:C,DG137))</f>
        <v>Nessun rendiconto  Convalidato</v>
      </c>
      <c r="DP137" s="113" t="str" cm="1">
        <f t="array" ref="DP137">IFERROR(INDEX('MY-REPORT-MAIN'!A:Z,MATCH(1,(DO137='MY-REPORT-MAIN'!M:M)*('Partner data'!DG137='MY-REPORT-MAIN'!C:C),0),1),"NON è stato convalidato ancora nessun rendiconto")</f>
        <v>NON è stato convalidato ancora nessun rendiconto</v>
      </c>
      <c r="DQ137" s="111" t="str">
        <f>IFERROR(INDEX('MY-REPORT-MAIN'!A:Z,MATCH('Partner data'!DP137,'MY-REPORT-MAIN'!A:A,0),21),"Nessun Rendiconto ancora convalidato")</f>
        <v>Nessun Rendiconto ancora convalidato</v>
      </c>
      <c r="DR137" s="110">
        <f>INDEX('Interreg VI-A Italy-Slovenia_pr'!A:E,MATCH('Partner data'!C137,'Interreg VI-A Italy-Slovenia_pr'!A:A,0),3)</f>
        <v>45194</v>
      </c>
      <c r="DS137" s="118">
        <f t="shared" si="48"/>
        <v>0</v>
      </c>
      <c r="DT137" s="118">
        <f t="shared" si="49"/>
        <v>21000</v>
      </c>
      <c r="DU137" s="118">
        <f t="shared" si="50"/>
        <v>39000</v>
      </c>
      <c r="DV137" s="118">
        <f t="shared" si="51"/>
        <v>39000</v>
      </c>
      <c r="DW137" s="118">
        <f t="shared" si="52"/>
        <v>39000</v>
      </c>
      <c r="DX137" s="118">
        <f t="shared" si="53"/>
        <v>39000</v>
      </c>
      <c r="DY137" s="118">
        <f t="shared" si="54"/>
        <v>39000</v>
      </c>
      <c r="DZ137" s="118">
        <f t="shared" si="55"/>
        <v>39000</v>
      </c>
      <c r="EA137" s="118">
        <f t="shared" si="56"/>
        <v>39000</v>
      </c>
      <c r="EB137" s="118">
        <f t="shared" si="57"/>
        <v>39000</v>
      </c>
    </row>
    <row r="138" spans="1:132" x14ac:dyDescent="0.25">
      <c r="A138" s="28">
        <v>1</v>
      </c>
      <c r="B138" s="29" t="s">
        <v>487</v>
      </c>
      <c r="C138" s="30" t="s">
        <v>2319</v>
      </c>
      <c r="D138" s="30" t="s">
        <v>373</v>
      </c>
      <c r="E138" s="30" t="s">
        <v>2320</v>
      </c>
      <c r="F138" s="30" t="s">
        <v>1118</v>
      </c>
      <c r="G138" s="30" t="s">
        <v>491</v>
      </c>
      <c r="H138" s="30" t="s">
        <v>691</v>
      </c>
      <c r="I138" s="30" t="s">
        <v>692</v>
      </c>
      <c r="J138" s="31" t="s">
        <v>570</v>
      </c>
      <c r="K138" s="31" t="s">
        <v>495</v>
      </c>
      <c r="L138" s="31" t="s">
        <v>519</v>
      </c>
      <c r="M138" s="31" t="s">
        <v>378</v>
      </c>
      <c r="N138" s="31" t="s">
        <v>2357</v>
      </c>
      <c r="O138" s="31" t="s">
        <v>2358</v>
      </c>
      <c r="P138" s="31" t="s">
        <v>254</v>
      </c>
      <c r="Q138" s="31" t="s">
        <v>540</v>
      </c>
      <c r="R138" s="31" t="s">
        <v>260</v>
      </c>
      <c r="S138" s="32">
        <v>56028.56</v>
      </c>
      <c r="T138" s="32">
        <v>80</v>
      </c>
      <c r="U138" s="32">
        <v>11.76</v>
      </c>
      <c r="V138" s="32">
        <v>0</v>
      </c>
      <c r="W138" s="32">
        <v>0</v>
      </c>
      <c r="X138" s="32">
        <v>0</v>
      </c>
      <c r="Y138" s="32">
        <v>0</v>
      </c>
      <c r="Z138" s="32">
        <v>0</v>
      </c>
      <c r="AA138" s="32">
        <v>0</v>
      </c>
      <c r="AB138" s="32">
        <v>0</v>
      </c>
      <c r="AC138" s="32">
        <v>0</v>
      </c>
      <c r="AD138" s="32">
        <v>0</v>
      </c>
      <c r="AE138" s="32">
        <v>0</v>
      </c>
      <c r="AF138" s="32">
        <v>0</v>
      </c>
      <c r="AG138" s="32">
        <v>0</v>
      </c>
      <c r="AH138" s="32">
        <v>0</v>
      </c>
      <c r="AI138" s="32">
        <v>0</v>
      </c>
      <c r="AJ138" s="32">
        <v>0</v>
      </c>
      <c r="AK138" s="32">
        <v>0</v>
      </c>
      <c r="AL138" s="32">
        <v>0</v>
      </c>
      <c r="AM138" s="32">
        <v>0</v>
      </c>
      <c r="AN138" s="32">
        <v>0</v>
      </c>
      <c r="AO138" s="32">
        <v>14007.14</v>
      </c>
      <c r="AP138" s="32">
        <v>0</v>
      </c>
      <c r="AQ138" s="32">
        <v>14007.14</v>
      </c>
      <c r="AR138" s="32">
        <v>70035.7</v>
      </c>
      <c r="AS138" s="32">
        <v>11.76</v>
      </c>
      <c r="AT138" s="32">
        <v>25030</v>
      </c>
      <c r="AU138" s="32">
        <v>0</v>
      </c>
      <c r="AV138" s="32">
        <v>25030</v>
      </c>
      <c r="AW138" s="32">
        <v>0</v>
      </c>
      <c r="AX138" s="32">
        <v>3754.5</v>
      </c>
      <c r="AY138" s="32">
        <v>3754.5</v>
      </c>
      <c r="AZ138" s="32">
        <v>1001.2</v>
      </c>
      <c r="BA138" s="32">
        <v>1001.2</v>
      </c>
      <c r="BB138" s="32">
        <v>0</v>
      </c>
      <c r="BC138" s="32">
        <v>0</v>
      </c>
      <c r="BD138" s="32">
        <v>38250</v>
      </c>
      <c r="BE138" s="32">
        <v>38250</v>
      </c>
      <c r="BF138" s="32">
        <v>0</v>
      </c>
      <c r="BG138" s="32">
        <v>2000</v>
      </c>
      <c r="BH138" s="32">
        <v>2000</v>
      </c>
      <c r="BI138" s="32">
        <v>0</v>
      </c>
      <c r="BJ138" s="32">
        <v>0</v>
      </c>
      <c r="BK138" s="32">
        <v>0</v>
      </c>
      <c r="BL138" s="32">
        <v>0</v>
      </c>
      <c r="BM138" s="32">
        <v>0</v>
      </c>
      <c r="BN138" s="32">
        <v>0</v>
      </c>
      <c r="BO138" s="32">
        <v>0</v>
      </c>
      <c r="BP138" s="32">
        <v>0</v>
      </c>
      <c r="BQ138" s="32">
        <v>19140</v>
      </c>
      <c r="BR138" s="32">
        <v>37770</v>
      </c>
      <c r="BS138" s="32">
        <v>10448.200000000001</v>
      </c>
      <c r="BT138" s="32">
        <v>2677.5</v>
      </c>
      <c r="BU138" s="32">
        <v>0</v>
      </c>
      <c r="BV138" s="32">
        <v>0</v>
      </c>
      <c r="BW138" s="32">
        <v>0</v>
      </c>
      <c r="BX138" s="32">
        <v>0</v>
      </c>
      <c r="BY138" s="32">
        <v>0</v>
      </c>
      <c r="BZ138" s="32">
        <v>0</v>
      </c>
      <c r="CA138" s="32">
        <v>0</v>
      </c>
      <c r="CB138" s="33" t="s">
        <v>212</v>
      </c>
      <c r="CC138" s="33" t="s">
        <v>522</v>
      </c>
      <c r="CD138" s="33"/>
      <c r="CE138" s="33" t="s">
        <v>523</v>
      </c>
      <c r="CF138" s="33"/>
      <c r="CG138" s="33" t="s">
        <v>2359</v>
      </c>
      <c r="CH138" s="33" t="s">
        <v>526</v>
      </c>
      <c r="CI138" s="33"/>
      <c r="CJ138" s="33" t="s">
        <v>212</v>
      </c>
      <c r="CK138" s="33"/>
      <c r="CL138" s="33" t="s">
        <v>212</v>
      </c>
      <c r="CM138" s="33"/>
      <c r="CN138" s="33" t="s">
        <v>254</v>
      </c>
      <c r="CO138" s="33" t="s">
        <v>260</v>
      </c>
      <c r="CP138" s="33" t="s">
        <v>2360</v>
      </c>
      <c r="CQ138" s="33" t="s">
        <v>2152</v>
      </c>
      <c r="CR138" s="33" t="s">
        <v>2153</v>
      </c>
      <c r="CS138" s="33"/>
      <c r="CT138" s="33"/>
      <c r="CU138" s="33"/>
      <c r="CV138" s="33"/>
      <c r="CW138" s="33"/>
      <c r="CX138" s="33"/>
      <c r="CY138" s="33" t="s">
        <v>547</v>
      </c>
      <c r="CZ138" s="33" t="s">
        <v>2361</v>
      </c>
      <c r="DA138" s="33" t="s">
        <v>2362</v>
      </c>
      <c r="DB138" s="33" t="s">
        <v>547</v>
      </c>
      <c r="DC138" s="33" t="s">
        <v>2363</v>
      </c>
      <c r="DD138" s="33" t="s">
        <v>2364</v>
      </c>
      <c r="DE138" s="33" t="s">
        <v>2365</v>
      </c>
      <c r="DF138" s="34" t="s">
        <v>2366</v>
      </c>
      <c r="DG138" s="27" cm="1">
        <f t="array" ref="DG138">INDEX('elenco partner'!A:M,MATCH(1,(D138='elenco partner'!A:A)*('Partner data'!M138='elenco partner'!E:E),0),4)</f>
        <v>301</v>
      </c>
      <c r="DH138" s="83" t="str">
        <f t="shared" si="58"/>
        <v>COSTO REALE</v>
      </c>
      <c r="DI138" s="20">
        <f>COUNTIFS('MY-REPORT-MAIN'!C:C,'Partner data'!DG138,'MY-REPORT-MAIN'!I:I,"Certified")</f>
        <v>1</v>
      </c>
      <c r="DJ138" s="20">
        <f>COUNTIFS(List_Of_chek_list!M:M,"&lt;&gt;26",List_Of_chek_list!B:B,'Partner data'!DG138)</f>
        <v>1</v>
      </c>
      <c r="DK138" s="20">
        <f t="shared" si="59"/>
        <v>0</v>
      </c>
      <c r="DL138" s="19" t="str">
        <f>IF(DH138="Tasso Forfettario 20%",SUMIFS(List_Of_chek_list!#REF!,List_Of_chek_list!B:B,'Partner data'!DG138),"NON PERTINENTE")</f>
        <v>NON PERTINENTE</v>
      </c>
      <c r="DM138" s="19" t="str">
        <f t="shared" si="60"/>
        <v>NON PERTINENTE</v>
      </c>
      <c r="DN138" s="110">
        <f>_xlfn.MAXIFS('MY-REPORT-MAIN'!K:K,'MY-REPORT-MAIN'!C:C,DG138)</f>
        <v>45376.45567422454</v>
      </c>
      <c r="DO138" s="112">
        <f>IF(_xlfn.MAXIFS('MY-REPORT-MAIN'!M:M,'MY-REPORT-MAIN'!C:C,DG138)=0,"Nessun rendiconto  Convalidato",_xlfn.MAXIFS('MY-REPORT-MAIN'!M:M,'MY-REPORT-MAIN'!C:C,DG138))</f>
        <v>45434.54196949074</v>
      </c>
      <c r="DP138" s="113" cm="1">
        <f t="array" ref="DP138">IFERROR(INDEX('MY-REPORT-MAIN'!A:Z,MATCH(1,(DO138='MY-REPORT-MAIN'!M:M)*('Partner data'!DG138='MY-REPORT-MAIN'!C:C),0),1),"NON è stato convalidato ancora nessun rendiconto")</f>
        <v>282</v>
      </c>
      <c r="DQ138" s="111">
        <f>IFERROR(INDEX('MY-REPORT-MAIN'!A:Z,MATCH('Partner data'!DP138,'MY-REPORT-MAIN'!A:A,0),21),"Nessun Rendiconto ancora convalidato")</f>
        <v>5344.09</v>
      </c>
      <c r="DR138" s="110">
        <f>INDEX('Interreg VI-A Italy-Slovenia_pr'!A:E,MATCH('Partner data'!C138,'Interreg VI-A Italy-Slovenia_pr'!A:A,0),3)</f>
        <v>45194</v>
      </c>
      <c r="DS138" s="118">
        <f t="shared" si="48"/>
        <v>19140</v>
      </c>
      <c r="DT138" s="118">
        <f t="shared" si="49"/>
        <v>56910</v>
      </c>
      <c r="DU138" s="118">
        <f t="shared" si="50"/>
        <v>67358.2</v>
      </c>
      <c r="DV138" s="118">
        <f t="shared" si="51"/>
        <v>70035.7</v>
      </c>
      <c r="DW138" s="118">
        <f t="shared" si="52"/>
        <v>70035.7</v>
      </c>
      <c r="DX138" s="118">
        <f t="shared" si="53"/>
        <v>70035.7</v>
      </c>
      <c r="DY138" s="118">
        <f t="shared" si="54"/>
        <v>70035.7</v>
      </c>
      <c r="DZ138" s="118">
        <f t="shared" si="55"/>
        <v>70035.7</v>
      </c>
      <c r="EA138" s="118">
        <f t="shared" si="56"/>
        <v>70035.7</v>
      </c>
      <c r="EB138" s="118">
        <f t="shared" si="57"/>
        <v>70035.7</v>
      </c>
    </row>
    <row r="139" spans="1:132" x14ac:dyDescent="0.25">
      <c r="A139" s="28">
        <v>1</v>
      </c>
      <c r="B139" s="29" t="s">
        <v>487</v>
      </c>
      <c r="C139" s="30" t="s">
        <v>2319</v>
      </c>
      <c r="D139" s="30" t="s">
        <v>373</v>
      </c>
      <c r="E139" s="30" t="s">
        <v>2320</v>
      </c>
      <c r="F139" s="30" t="s">
        <v>1118</v>
      </c>
      <c r="G139" s="30" t="s">
        <v>491</v>
      </c>
      <c r="H139" s="30" t="s">
        <v>691</v>
      </c>
      <c r="I139" s="30" t="s">
        <v>692</v>
      </c>
      <c r="J139" s="31" t="s">
        <v>581</v>
      </c>
      <c r="K139" s="31" t="s">
        <v>495</v>
      </c>
      <c r="L139" s="31" t="s">
        <v>519</v>
      </c>
      <c r="M139" s="31" t="s">
        <v>377</v>
      </c>
      <c r="N139" s="31" t="s">
        <v>2367</v>
      </c>
      <c r="O139" s="31" t="s">
        <v>702</v>
      </c>
      <c r="P139" s="31" t="s">
        <v>254</v>
      </c>
      <c r="Q139" s="31" t="s">
        <v>499</v>
      </c>
      <c r="R139" s="31" t="s">
        <v>255</v>
      </c>
      <c r="S139" s="32">
        <v>52185.599999999999</v>
      </c>
      <c r="T139" s="32">
        <v>80</v>
      </c>
      <c r="U139" s="32">
        <v>10.95</v>
      </c>
      <c r="V139" s="32">
        <v>0</v>
      </c>
      <c r="W139" s="32">
        <v>0</v>
      </c>
      <c r="X139" s="32">
        <v>0</v>
      </c>
      <c r="Y139" s="32">
        <v>0</v>
      </c>
      <c r="Z139" s="32">
        <v>0</v>
      </c>
      <c r="AA139" s="32">
        <v>0</v>
      </c>
      <c r="AB139" s="32">
        <v>0</v>
      </c>
      <c r="AC139" s="32">
        <v>0</v>
      </c>
      <c r="AD139" s="32">
        <v>0</v>
      </c>
      <c r="AE139" s="32">
        <v>0</v>
      </c>
      <c r="AF139" s="32">
        <v>0</v>
      </c>
      <c r="AG139" s="32">
        <v>0</v>
      </c>
      <c r="AH139" s="32">
        <v>0</v>
      </c>
      <c r="AI139" s="32">
        <v>0</v>
      </c>
      <c r="AJ139" s="32">
        <v>0</v>
      </c>
      <c r="AK139" s="32">
        <v>0</v>
      </c>
      <c r="AL139" s="32">
        <v>0</v>
      </c>
      <c r="AM139" s="32">
        <v>0</v>
      </c>
      <c r="AN139" s="32">
        <v>0</v>
      </c>
      <c r="AO139" s="32">
        <v>13046.4</v>
      </c>
      <c r="AP139" s="32">
        <v>0</v>
      </c>
      <c r="AQ139" s="32">
        <v>13046.4</v>
      </c>
      <c r="AR139" s="32">
        <v>65232</v>
      </c>
      <c r="AS139" s="32">
        <v>10.95</v>
      </c>
      <c r="AT139" s="32">
        <v>10800</v>
      </c>
      <c r="AU139" s="32">
        <v>10800</v>
      </c>
      <c r="AV139" s="32">
        <v>0</v>
      </c>
      <c r="AW139" s="32">
        <v>0</v>
      </c>
      <c r="AX139" s="32">
        <v>0</v>
      </c>
      <c r="AY139" s="32">
        <v>0</v>
      </c>
      <c r="AZ139" s="32">
        <v>432</v>
      </c>
      <c r="BA139" s="32">
        <v>432</v>
      </c>
      <c r="BB139" s="32">
        <v>0</v>
      </c>
      <c r="BC139" s="32">
        <v>0</v>
      </c>
      <c r="BD139" s="32">
        <v>54000</v>
      </c>
      <c r="BE139" s="32">
        <v>54000</v>
      </c>
      <c r="BF139" s="32">
        <v>0</v>
      </c>
      <c r="BG139" s="32">
        <v>0</v>
      </c>
      <c r="BH139" s="32">
        <v>0</v>
      </c>
      <c r="BI139" s="32">
        <v>0</v>
      </c>
      <c r="BJ139" s="32">
        <v>0</v>
      </c>
      <c r="BK139" s="32">
        <v>0</v>
      </c>
      <c r="BL139" s="32">
        <v>0</v>
      </c>
      <c r="BM139" s="32">
        <v>0</v>
      </c>
      <c r="BN139" s="32">
        <v>0</v>
      </c>
      <c r="BO139" s="32">
        <v>0</v>
      </c>
      <c r="BP139" s="32">
        <v>0</v>
      </c>
      <c r="BQ139" s="32">
        <v>0</v>
      </c>
      <c r="BR139" s="32">
        <v>32616</v>
      </c>
      <c r="BS139" s="32">
        <v>0</v>
      </c>
      <c r="BT139" s="32">
        <v>32616</v>
      </c>
      <c r="BU139" s="32">
        <v>0</v>
      </c>
      <c r="BV139" s="32">
        <v>0</v>
      </c>
      <c r="BW139" s="32">
        <v>0</v>
      </c>
      <c r="BX139" s="32">
        <v>0</v>
      </c>
      <c r="BY139" s="32">
        <v>0</v>
      </c>
      <c r="BZ139" s="32">
        <v>0</v>
      </c>
      <c r="CA139" s="32">
        <v>0</v>
      </c>
      <c r="CB139" s="33" t="s">
        <v>212</v>
      </c>
      <c r="CC139" s="33" t="s">
        <v>596</v>
      </c>
      <c r="CD139" s="33"/>
      <c r="CE139" s="33" t="s">
        <v>501</v>
      </c>
      <c r="CF139" s="33" t="s">
        <v>618</v>
      </c>
      <c r="CG139" s="33" t="s">
        <v>703</v>
      </c>
      <c r="CH139" s="33" t="s">
        <v>526</v>
      </c>
      <c r="CI139" s="33"/>
      <c r="CJ139" s="33" t="s">
        <v>212</v>
      </c>
      <c r="CK139" s="33" t="s">
        <v>704</v>
      </c>
      <c r="CL139" s="33" t="s">
        <v>212</v>
      </c>
      <c r="CM139" s="33"/>
      <c r="CN139" s="33" t="s">
        <v>254</v>
      </c>
      <c r="CO139" s="33" t="s">
        <v>255</v>
      </c>
      <c r="CP139" s="33" t="s">
        <v>2368</v>
      </c>
      <c r="CQ139" s="33" t="s">
        <v>666</v>
      </c>
      <c r="CR139" s="33" t="s">
        <v>529</v>
      </c>
      <c r="CS139" s="33" t="s">
        <v>667</v>
      </c>
      <c r="CT139" s="33"/>
      <c r="CU139" s="33"/>
      <c r="CV139" s="33"/>
      <c r="CW139" s="33"/>
      <c r="CX139" s="33"/>
      <c r="CY139" s="33" t="s">
        <v>531</v>
      </c>
      <c r="CZ139" s="33" t="s">
        <v>668</v>
      </c>
      <c r="DA139" s="33" t="s">
        <v>669</v>
      </c>
      <c r="DB139" s="33" t="s">
        <v>531</v>
      </c>
      <c r="DC139" s="33" t="s">
        <v>670</v>
      </c>
      <c r="DD139" s="33" t="s">
        <v>671</v>
      </c>
      <c r="DE139" s="33" t="s">
        <v>672</v>
      </c>
      <c r="DF139" s="34" t="s">
        <v>2369</v>
      </c>
      <c r="DG139" s="27" cm="1">
        <f t="array" ref="DG139">INDEX('elenco partner'!A:M,MATCH(1,(D139='elenco partner'!A:A)*('Partner data'!M139='elenco partner'!E:E),0),4)</f>
        <v>302</v>
      </c>
      <c r="DH139" s="83" t="str">
        <f t="shared" si="58"/>
        <v>Tasso Forfettario 20%</v>
      </c>
      <c r="DI139" s="20">
        <f>COUNTIFS('MY-REPORT-MAIN'!C:C,'Partner data'!DG139,'MY-REPORT-MAIN'!I:I,"Certified")</f>
        <v>1</v>
      </c>
      <c r="DJ139" s="20">
        <f>COUNTIFS(List_Of_chek_list!M:M,"&lt;&gt;26",List_Of_chek_list!B:B,'Partner data'!DG139)</f>
        <v>1</v>
      </c>
      <c r="DK139" s="20">
        <f t="shared" si="59"/>
        <v>0</v>
      </c>
      <c r="DL139" s="19" t="e">
        <f>IF(DH139="Tasso Forfettario 20%",SUMIFS(List_Of_chek_list!#REF!,List_Of_chek_list!B:B,'Partner data'!DG139),"NON PERTINENTE")</f>
        <v>#REF!</v>
      </c>
      <c r="DM139" s="19" t="e">
        <f t="shared" si="60"/>
        <v>#REF!</v>
      </c>
      <c r="DN139" s="110">
        <f>_xlfn.MAXIFS('MY-REPORT-MAIN'!K:K,'MY-REPORT-MAIN'!C:C,DG139)</f>
        <v>45379.660239548612</v>
      </c>
      <c r="DO139" s="112">
        <f>IF(_xlfn.MAXIFS('MY-REPORT-MAIN'!M:M,'MY-REPORT-MAIN'!C:C,DG139)=0,"Nessun rendiconto  Convalidato",_xlfn.MAXIFS('MY-REPORT-MAIN'!M:M,'MY-REPORT-MAIN'!C:C,DG139))</f>
        <v>45457.41722570602</v>
      </c>
      <c r="DP139" s="113" cm="1">
        <f t="array" ref="DP139">IFERROR(INDEX('MY-REPORT-MAIN'!A:Z,MATCH(1,(DO139='MY-REPORT-MAIN'!M:M)*('Partner data'!DG139='MY-REPORT-MAIN'!C:C),0),1),"NON è stato convalidato ancora nessun rendiconto")</f>
        <v>228</v>
      </c>
      <c r="DQ139" s="111">
        <f>IFERROR(INDEX('MY-REPORT-MAIN'!A:Z,MATCH('Partner data'!DP139,'MY-REPORT-MAIN'!A:A,0),21),"Nessun Rendiconto ancora convalidato")</f>
        <v>3031.6</v>
      </c>
      <c r="DR139" s="110">
        <f>INDEX('Interreg VI-A Italy-Slovenia_pr'!A:E,MATCH('Partner data'!C139,'Interreg VI-A Italy-Slovenia_pr'!A:A,0),3)</f>
        <v>45194</v>
      </c>
      <c r="DS139" s="118">
        <f t="shared" si="48"/>
        <v>0</v>
      </c>
      <c r="DT139" s="118">
        <f t="shared" si="49"/>
        <v>32616</v>
      </c>
      <c r="DU139" s="118">
        <f t="shared" si="50"/>
        <v>32616</v>
      </c>
      <c r="DV139" s="118">
        <f t="shared" si="51"/>
        <v>65232</v>
      </c>
      <c r="DW139" s="118">
        <f t="shared" si="52"/>
        <v>65232</v>
      </c>
      <c r="DX139" s="118">
        <f t="shared" si="53"/>
        <v>65232</v>
      </c>
      <c r="DY139" s="118">
        <f t="shared" si="54"/>
        <v>65232</v>
      </c>
      <c r="DZ139" s="118">
        <f t="shared" si="55"/>
        <v>65232</v>
      </c>
      <c r="EA139" s="118">
        <f t="shared" si="56"/>
        <v>65232</v>
      </c>
      <c r="EB139" s="118">
        <f t="shared" si="57"/>
        <v>65232</v>
      </c>
    </row>
    <row r="140" spans="1:132" x14ac:dyDescent="0.25">
      <c r="A140" s="28">
        <v>2</v>
      </c>
      <c r="B140" s="29" t="s">
        <v>2370</v>
      </c>
      <c r="C140" s="30" t="s">
        <v>2371</v>
      </c>
      <c r="D140" s="30" t="s">
        <v>58</v>
      </c>
      <c r="E140" s="30" t="s">
        <v>2372</v>
      </c>
      <c r="F140" s="30" t="s">
        <v>2373</v>
      </c>
      <c r="G140" s="30" t="s">
        <v>491</v>
      </c>
      <c r="H140" s="30" t="s">
        <v>766</v>
      </c>
      <c r="I140" s="30" t="s">
        <v>767</v>
      </c>
      <c r="J140" s="31" t="s">
        <v>494</v>
      </c>
      <c r="K140" s="31" t="s">
        <v>495</v>
      </c>
      <c r="L140" s="31" t="s">
        <v>496</v>
      </c>
      <c r="M140" s="31" t="s">
        <v>25</v>
      </c>
      <c r="N140" s="31" t="s">
        <v>2374</v>
      </c>
      <c r="O140" s="31" t="s">
        <v>2375</v>
      </c>
      <c r="P140" s="31" t="s">
        <v>254</v>
      </c>
      <c r="Q140" s="31" t="s">
        <v>499</v>
      </c>
      <c r="R140" s="31" t="s">
        <v>255</v>
      </c>
      <c r="S140" s="32">
        <v>1088000</v>
      </c>
      <c r="T140" s="32">
        <v>80</v>
      </c>
      <c r="U140" s="32">
        <v>31.09</v>
      </c>
      <c r="V140" s="32">
        <v>0</v>
      </c>
      <c r="W140" s="32">
        <v>0</v>
      </c>
      <c r="X140" s="32">
        <v>0</v>
      </c>
      <c r="Y140" s="32">
        <v>0</v>
      </c>
      <c r="Z140" s="32">
        <v>0</v>
      </c>
      <c r="AA140" s="32">
        <v>0</v>
      </c>
      <c r="AB140" s="32">
        <v>0</v>
      </c>
      <c r="AC140" s="32">
        <v>0</v>
      </c>
      <c r="AD140" s="32">
        <v>0</v>
      </c>
      <c r="AE140" s="32">
        <v>0</v>
      </c>
      <c r="AF140" s="32">
        <v>0</v>
      </c>
      <c r="AG140" s="32">
        <v>0</v>
      </c>
      <c r="AH140" s="32">
        <v>0</v>
      </c>
      <c r="AI140" s="32">
        <v>0</v>
      </c>
      <c r="AJ140" s="32">
        <v>0</v>
      </c>
      <c r="AK140" s="32">
        <v>0</v>
      </c>
      <c r="AL140" s="32">
        <v>0</v>
      </c>
      <c r="AM140" s="32">
        <v>0</v>
      </c>
      <c r="AN140" s="32">
        <v>0</v>
      </c>
      <c r="AO140" s="32">
        <v>272000</v>
      </c>
      <c r="AP140" s="32">
        <v>0</v>
      </c>
      <c r="AQ140" s="32">
        <v>272000</v>
      </c>
      <c r="AR140" s="32">
        <v>1360000</v>
      </c>
      <c r="AS140" s="32">
        <v>31.09</v>
      </c>
      <c r="AT140" s="32">
        <v>58080</v>
      </c>
      <c r="AU140" s="32">
        <v>0</v>
      </c>
      <c r="AV140" s="32">
        <v>0</v>
      </c>
      <c r="AW140" s="32">
        <v>58080</v>
      </c>
      <c r="AX140" s="32">
        <v>8712</v>
      </c>
      <c r="AY140" s="32">
        <v>8712</v>
      </c>
      <c r="AZ140" s="32">
        <v>2323.1999999999998</v>
      </c>
      <c r="BA140" s="32">
        <v>2323.1999999999998</v>
      </c>
      <c r="BB140" s="32">
        <v>0</v>
      </c>
      <c r="BC140" s="32">
        <v>0</v>
      </c>
      <c r="BD140" s="32">
        <v>135884.79999999999</v>
      </c>
      <c r="BE140" s="32">
        <v>135884.79999999999</v>
      </c>
      <c r="BF140" s="32">
        <v>0</v>
      </c>
      <c r="BG140" s="32">
        <v>30000</v>
      </c>
      <c r="BH140" s="32">
        <v>30000</v>
      </c>
      <c r="BI140" s="32">
        <v>0</v>
      </c>
      <c r="BJ140" s="32">
        <v>1125000</v>
      </c>
      <c r="BK140" s="32">
        <v>1125000</v>
      </c>
      <c r="BL140" s="32">
        <v>0</v>
      </c>
      <c r="BM140" s="32">
        <v>0</v>
      </c>
      <c r="BN140" s="32">
        <v>0</v>
      </c>
      <c r="BO140" s="32">
        <v>0</v>
      </c>
      <c r="BP140" s="32">
        <v>0</v>
      </c>
      <c r="BQ140" s="32">
        <v>5284</v>
      </c>
      <c r="BR140" s="32">
        <v>20125.12</v>
      </c>
      <c r="BS140" s="32">
        <v>32966.239999999998</v>
      </c>
      <c r="BT140" s="32">
        <v>135466.23999999999</v>
      </c>
      <c r="BU140" s="32">
        <v>471971.04</v>
      </c>
      <c r="BV140" s="32">
        <v>694187.36</v>
      </c>
      <c r="BW140" s="32">
        <v>0</v>
      </c>
      <c r="BX140" s="32">
        <v>0</v>
      </c>
      <c r="BY140" s="32">
        <v>0</v>
      </c>
      <c r="BZ140" s="32">
        <v>0</v>
      </c>
      <c r="CA140" s="32">
        <v>0</v>
      </c>
      <c r="CB140" s="33" t="s">
        <v>2376</v>
      </c>
      <c r="CC140" s="33" t="s">
        <v>606</v>
      </c>
      <c r="CD140" s="33"/>
      <c r="CE140" s="33" t="s">
        <v>523</v>
      </c>
      <c r="CF140" s="33" t="s">
        <v>636</v>
      </c>
      <c r="CG140" s="33" t="s">
        <v>2377</v>
      </c>
      <c r="CH140" s="33" t="s">
        <v>526</v>
      </c>
      <c r="CI140" s="33" t="s">
        <v>2378</v>
      </c>
      <c r="CJ140" s="33" t="s">
        <v>683</v>
      </c>
      <c r="CK140" s="33" t="s">
        <v>609</v>
      </c>
      <c r="CL140" s="33" t="s">
        <v>212</v>
      </c>
      <c r="CM140" s="33"/>
      <c r="CN140" s="33" t="s">
        <v>254</v>
      </c>
      <c r="CO140" s="33" t="s">
        <v>255</v>
      </c>
      <c r="CP140" s="33" t="s">
        <v>2379</v>
      </c>
      <c r="CQ140" s="33" t="s">
        <v>611</v>
      </c>
      <c r="CR140" s="33" t="s">
        <v>529</v>
      </c>
      <c r="CS140" s="33" t="s">
        <v>612</v>
      </c>
      <c r="CT140" s="33" t="s">
        <v>254</v>
      </c>
      <c r="CU140" s="33" t="s">
        <v>255</v>
      </c>
      <c r="CV140" s="33" t="s">
        <v>2380</v>
      </c>
      <c r="CW140" s="33" t="s">
        <v>666</v>
      </c>
      <c r="CX140" s="33" t="s">
        <v>529</v>
      </c>
      <c r="CY140" s="33" t="s">
        <v>212</v>
      </c>
      <c r="CZ140" s="33" t="s">
        <v>2381</v>
      </c>
      <c r="DA140" s="33" t="s">
        <v>2382</v>
      </c>
      <c r="DB140" s="33" t="s">
        <v>212</v>
      </c>
      <c r="DC140" s="33" t="s">
        <v>2383</v>
      </c>
      <c r="DD140" s="33" t="s">
        <v>2384</v>
      </c>
      <c r="DE140" s="33" t="s">
        <v>2385</v>
      </c>
      <c r="DF140" s="34" t="s">
        <v>2386</v>
      </c>
      <c r="DG140" s="27" cm="1">
        <f t="array" ref="DG140">INDEX('elenco partner'!A:M,MATCH(1,(D140='elenco partner'!A:A)*('Partner data'!M140='elenco partner'!E:E),0),4)</f>
        <v>10</v>
      </c>
      <c r="DH140" s="83" t="str">
        <f t="shared" si="58"/>
        <v>Costo Unitario Standard</v>
      </c>
      <c r="DI140" s="20">
        <f>COUNTIFS('MY-REPORT-MAIN'!C:C,'Partner data'!DG140,'MY-REPORT-MAIN'!I:I,"Certified")</f>
        <v>2</v>
      </c>
      <c r="DJ140" s="20">
        <f>COUNTIFS(List_Of_chek_list!M:M,"&lt;&gt;26",List_Of_chek_list!B:B,'Partner data'!DG140)</f>
        <v>1</v>
      </c>
      <c r="DK140" s="20">
        <f t="shared" si="59"/>
        <v>1</v>
      </c>
      <c r="DL140" s="19" t="str">
        <f>IF(DH140="Tasso Forfettario 20%",SUMIFS(List_Of_chek_list!#REF!,List_Of_chek_list!B:B,'Partner data'!DG140),"NON PERTINENTE")</f>
        <v>NON PERTINENTE</v>
      </c>
      <c r="DM140" s="19" t="str">
        <f t="shared" si="60"/>
        <v>NON PERTINENTE</v>
      </c>
      <c r="DN140" s="110">
        <f>_xlfn.MAXIFS('MY-REPORT-MAIN'!K:K,'MY-REPORT-MAIN'!C:C,DG140)</f>
        <v>45536</v>
      </c>
      <c r="DO140" s="112">
        <f>IF(_xlfn.MAXIFS('MY-REPORT-MAIN'!M:M,'MY-REPORT-MAIN'!C:C,DG140)=0,"Nessun rendiconto  Convalidato",_xlfn.MAXIFS('MY-REPORT-MAIN'!M:M,'MY-REPORT-MAIN'!C:C,DG140))</f>
        <v>45470.680145370374</v>
      </c>
      <c r="DP140" s="113" cm="1">
        <f t="array" ref="DP140">IFERROR(INDEX('MY-REPORT-MAIN'!A:Z,MATCH(1,(DO140='MY-REPORT-MAIN'!M:M)*('Partner data'!DG140='MY-REPORT-MAIN'!C:C),0),1),"NON è stato convalidato ancora nessun rendiconto")</f>
        <v>227</v>
      </c>
      <c r="DQ140" s="111">
        <f>IFERROR(INDEX('MY-REPORT-MAIN'!A:Z,MATCH('Partner data'!DP140,'MY-REPORT-MAIN'!A:A,0),21),"Nessun Rendiconto ancora convalidato")</f>
        <v>16910.849999999999</v>
      </c>
      <c r="DR140" s="110">
        <f>INDEX('Interreg VI-A Italy-Slovenia_pr'!A:E,MATCH('Partner data'!C140,'Interreg VI-A Italy-Slovenia_pr'!A:A,0),3)</f>
        <v>44805</v>
      </c>
      <c r="DS140" s="118">
        <f t="shared" si="48"/>
        <v>5284</v>
      </c>
      <c r="DT140" s="118">
        <f t="shared" si="49"/>
        <v>25409.119999999999</v>
      </c>
      <c r="DU140" s="118">
        <f t="shared" si="50"/>
        <v>58375.360000000001</v>
      </c>
      <c r="DV140" s="118">
        <f t="shared" si="51"/>
        <v>193841.59999999998</v>
      </c>
      <c r="DW140" s="118">
        <f t="shared" si="52"/>
        <v>665812.6399999999</v>
      </c>
      <c r="DX140" s="118">
        <f t="shared" si="53"/>
        <v>1360000</v>
      </c>
      <c r="DY140" s="118">
        <f t="shared" si="54"/>
        <v>1360000</v>
      </c>
      <c r="DZ140" s="118">
        <f t="shared" si="55"/>
        <v>1360000</v>
      </c>
      <c r="EA140" s="118">
        <f t="shared" si="56"/>
        <v>1360000</v>
      </c>
      <c r="EB140" s="118">
        <f t="shared" si="57"/>
        <v>1360000</v>
      </c>
    </row>
    <row r="141" spans="1:132" x14ac:dyDescent="0.25">
      <c r="A141" s="28">
        <v>2</v>
      </c>
      <c r="B141" s="29" t="s">
        <v>2370</v>
      </c>
      <c r="C141" s="30" t="s">
        <v>2371</v>
      </c>
      <c r="D141" s="30" t="s">
        <v>58</v>
      </c>
      <c r="E141" s="30" t="s">
        <v>2372</v>
      </c>
      <c r="F141" s="30" t="s">
        <v>2373</v>
      </c>
      <c r="G141" s="30" t="s">
        <v>491</v>
      </c>
      <c r="H141" s="30" t="s">
        <v>766</v>
      </c>
      <c r="I141" s="30" t="s">
        <v>767</v>
      </c>
      <c r="J141" s="31" t="s">
        <v>518</v>
      </c>
      <c r="K141" s="31" t="s">
        <v>495</v>
      </c>
      <c r="L141" s="31" t="s">
        <v>519</v>
      </c>
      <c r="M141" s="31" t="s">
        <v>30</v>
      </c>
      <c r="N141" s="31" t="s">
        <v>1577</v>
      </c>
      <c r="O141" s="31" t="s">
        <v>1578</v>
      </c>
      <c r="P141" s="31" t="s">
        <v>254</v>
      </c>
      <c r="Q141" s="31" t="s">
        <v>540</v>
      </c>
      <c r="R141" s="31" t="s">
        <v>260</v>
      </c>
      <c r="S141" s="32">
        <v>756000</v>
      </c>
      <c r="T141" s="32">
        <v>80</v>
      </c>
      <c r="U141" s="32">
        <v>21.6</v>
      </c>
      <c r="V141" s="32">
        <v>0</v>
      </c>
      <c r="W141" s="32">
        <v>0</v>
      </c>
      <c r="X141" s="32">
        <v>0</v>
      </c>
      <c r="Y141" s="32">
        <v>0</v>
      </c>
      <c r="Z141" s="32">
        <v>0</v>
      </c>
      <c r="AA141" s="32">
        <v>0</v>
      </c>
      <c r="AB141" s="32">
        <v>0</v>
      </c>
      <c r="AC141" s="32">
        <v>0</v>
      </c>
      <c r="AD141" s="32">
        <v>0</v>
      </c>
      <c r="AE141" s="32">
        <v>0</v>
      </c>
      <c r="AF141" s="32">
        <v>0</v>
      </c>
      <c r="AG141" s="32">
        <v>0</v>
      </c>
      <c r="AH141" s="32">
        <v>0</v>
      </c>
      <c r="AI141" s="32">
        <v>0</v>
      </c>
      <c r="AJ141" s="32">
        <v>0</v>
      </c>
      <c r="AK141" s="32">
        <v>0</v>
      </c>
      <c r="AL141" s="32">
        <v>0</v>
      </c>
      <c r="AM141" s="32">
        <v>0</v>
      </c>
      <c r="AN141" s="32">
        <v>0</v>
      </c>
      <c r="AO141" s="32">
        <v>189000</v>
      </c>
      <c r="AP141" s="32">
        <v>0</v>
      </c>
      <c r="AQ141" s="32">
        <v>189000</v>
      </c>
      <c r="AR141" s="32">
        <v>945000</v>
      </c>
      <c r="AS141" s="32">
        <v>21.6</v>
      </c>
      <c r="AT141" s="32">
        <v>105057</v>
      </c>
      <c r="AU141" s="32">
        <v>0</v>
      </c>
      <c r="AV141" s="32">
        <v>0</v>
      </c>
      <c r="AW141" s="32">
        <v>105057</v>
      </c>
      <c r="AX141" s="32">
        <v>15758.55</v>
      </c>
      <c r="AY141" s="32">
        <v>15758.55</v>
      </c>
      <c r="AZ141" s="32">
        <v>4202.28</v>
      </c>
      <c r="BA141" s="32">
        <v>4202.28</v>
      </c>
      <c r="BB141" s="32">
        <v>0</v>
      </c>
      <c r="BC141" s="32">
        <v>0</v>
      </c>
      <c r="BD141" s="32">
        <v>809982.17</v>
      </c>
      <c r="BE141" s="32">
        <v>809982.17</v>
      </c>
      <c r="BF141" s="32">
        <v>0</v>
      </c>
      <c r="BG141" s="32">
        <v>10000</v>
      </c>
      <c r="BH141" s="32">
        <v>10000</v>
      </c>
      <c r="BI141" s="32">
        <v>0</v>
      </c>
      <c r="BJ141" s="32">
        <v>0</v>
      </c>
      <c r="BK141" s="32">
        <v>0</v>
      </c>
      <c r="BL141" s="32">
        <v>0</v>
      </c>
      <c r="BM141" s="32">
        <v>0</v>
      </c>
      <c r="BN141" s="32">
        <v>0</v>
      </c>
      <c r="BO141" s="32">
        <v>0</v>
      </c>
      <c r="BP141" s="32">
        <v>0</v>
      </c>
      <c r="BQ141" s="32">
        <v>9579.5</v>
      </c>
      <c r="BR141" s="32">
        <v>27370</v>
      </c>
      <c r="BS141" s="32">
        <v>50940</v>
      </c>
      <c r="BT141" s="32">
        <v>100420</v>
      </c>
      <c r="BU141" s="32">
        <v>378920</v>
      </c>
      <c r="BV141" s="32">
        <v>377770.5</v>
      </c>
      <c r="BW141" s="32">
        <v>0</v>
      </c>
      <c r="BX141" s="32">
        <v>0</v>
      </c>
      <c r="BY141" s="32">
        <v>0</v>
      </c>
      <c r="BZ141" s="32">
        <v>0</v>
      </c>
      <c r="CA141" s="32">
        <v>0</v>
      </c>
      <c r="CB141" s="33" t="s">
        <v>521</v>
      </c>
      <c r="CC141" s="33" t="s">
        <v>500</v>
      </c>
      <c r="CD141" s="33"/>
      <c r="CE141" s="33" t="s">
        <v>684</v>
      </c>
      <c r="CF141" s="33" t="s">
        <v>618</v>
      </c>
      <c r="CG141" s="33" t="s">
        <v>1579</v>
      </c>
      <c r="CH141" s="33" t="s">
        <v>526</v>
      </c>
      <c r="CI141" s="33" t="s">
        <v>521</v>
      </c>
      <c r="CJ141" s="33" t="s">
        <v>521</v>
      </c>
      <c r="CK141" s="33" t="s">
        <v>1580</v>
      </c>
      <c r="CL141" s="33" t="s">
        <v>212</v>
      </c>
      <c r="CM141" s="33"/>
      <c r="CN141" s="33" t="s">
        <v>254</v>
      </c>
      <c r="CO141" s="33" t="s">
        <v>260</v>
      </c>
      <c r="CP141" s="33" t="s">
        <v>2387</v>
      </c>
      <c r="CQ141" s="33" t="s">
        <v>544</v>
      </c>
      <c r="CR141" s="33" t="s">
        <v>545</v>
      </c>
      <c r="CS141" s="33" t="s">
        <v>2388</v>
      </c>
      <c r="CT141" s="33" t="s">
        <v>254</v>
      </c>
      <c r="CU141" s="33" t="s">
        <v>260</v>
      </c>
      <c r="CV141" s="33" t="s">
        <v>2387</v>
      </c>
      <c r="CW141" s="33" t="s">
        <v>544</v>
      </c>
      <c r="CX141" s="33" t="s">
        <v>545</v>
      </c>
      <c r="CY141" s="33" t="s">
        <v>212</v>
      </c>
      <c r="CZ141" s="33" t="s">
        <v>1583</v>
      </c>
      <c r="DA141" s="33" t="s">
        <v>1584</v>
      </c>
      <c r="DB141" s="33" t="s">
        <v>212</v>
      </c>
      <c r="DC141" s="33" t="s">
        <v>1585</v>
      </c>
      <c r="DD141" s="33" t="s">
        <v>1586</v>
      </c>
      <c r="DE141" s="33" t="s">
        <v>1587</v>
      </c>
      <c r="DF141" s="34" t="s">
        <v>1588</v>
      </c>
      <c r="DG141" s="27" cm="1">
        <f t="array" ref="DG141">INDEX('elenco partner'!A:M,MATCH(1,(D141='elenco partner'!A:A)*('Partner data'!M141='elenco partner'!E:E),0),4)</f>
        <v>12</v>
      </c>
      <c r="DH141" s="83" t="str">
        <f t="shared" si="58"/>
        <v>Costo Unitario Standard</v>
      </c>
      <c r="DI141" s="20">
        <f>COUNTIFS('MY-REPORT-MAIN'!C:C,'Partner data'!DG141,'MY-REPORT-MAIN'!I:I,"Certified")</f>
        <v>2</v>
      </c>
      <c r="DJ141" s="20">
        <f>COUNTIFS(List_Of_chek_list!M:M,"&lt;&gt;26",List_Of_chek_list!B:B,'Partner data'!DG141)</f>
        <v>2</v>
      </c>
      <c r="DK141" s="20">
        <f t="shared" si="59"/>
        <v>0</v>
      </c>
      <c r="DL141" s="19" t="str">
        <f>IF(DH141="Tasso Forfettario 20%",SUMIFS(List_Of_chek_list!#REF!,List_Of_chek_list!B:B,'Partner data'!DG141),"NON PERTINENTE")</f>
        <v>NON PERTINENTE</v>
      </c>
      <c r="DM141" s="19" t="str">
        <f t="shared" si="60"/>
        <v>NON PERTINENTE</v>
      </c>
      <c r="DN141" s="110">
        <f>_xlfn.MAXIFS('MY-REPORT-MAIN'!K:K,'MY-REPORT-MAIN'!C:C,DG141)</f>
        <v>45537</v>
      </c>
      <c r="DO141" s="112">
        <f>IF(_xlfn.MAXIFS('MY-REPORT-MAIN'!M:M,'MY-REPORT-MAIN'!C:C,DG141)=0,"Nessun rendiconto  Convalidato",_xlfn.MAXIFS('MY-REPORT-MAIN'!M:M,'MY-REPORT-MAIN'!C:C,DG141))</f>
        <v>45425.71250386574</v>
      </c>
      <c r="DP141" s="113" cm="1">
        <f t="array" ref="DP141">IFERROR(INDEX('MY-REPORT-MAIN'!A:Z,MATCH(1,(DO141='MY-REPORT-MAIN'!M:M)*('Partner data'!DG141='MY-REPORT-MAIN'!C:C),0),1),"NON è stato convalidato ancora nessun rendiconto")</f>
        <v>222</v>
      </c>
      <c r="DQ141" s="111">
        <f>IFERROR(INDEX('MY-REPORT-MAIN'!A:Z,MATCH('Partner data'!DP141,'MY-REPORT-MAIN'!A:A,0),21),"Nessun Rendiconto ancora convalidato")</f>
        <v>28022.29</v>
      </c>
      <c r="DR141" s="110">
        <f>INDEX('Interreg VI-A Italy-Slovenia_pr'!A:E,MATCH('Partner data'!C141,'Interreg VI-A Italy-Slovenia_pr'!A:A,0),3)</f>
        <v>44805</v>
      </c>
      <c r="DS141" s="118">
        <f t="shared" si="48"/>
        <v>9579.5</v>
      </c>
      <c r="DT141" s="118">
        <f t="shared" si="49"/>
        <v>36949.5</v>
      </c>
      <c r="DU141" s="118">
        <f t="shared" si="50"/>
        <v>87889.5</v>
      </c>
      <c r="DV141" s="118">
        <f t="shared" si="51"/>
        <v>188309.5</v>
      </c>
      <c r="DW141" s="118">
        <f t="shared" si="52"/>
        <v>567229.5</v>
      </c>
      <c r="DX141" s="118">
        <f t="shared" si="53"/>
        <v>945000</v>
      </c>
      <c r="DY141" s="118">
        <f t="shared" si="54"/>
        <v>945000</v>
      </c>
      <c r="DZ141" s="118">
        <f t="shared" si="55"/>
        <v>945000</v>
      </c>
      <c r="EA141" s="118">
        <f t="shared" si="56"/>
        <v>945000</v>
      </c>
      <c r="EB141" s="118">
        <f t="shared" si="57"/>
        <v>945000</v>
      </c>
    </row>
    <row r="142" spans="1:132" x14ac:dyDescent="0.25">
      <c r="A142" s="28">
        <v>2</v>
      </c>
      <c r="B142" s="29" t="s">
        <v>2370</v>
      </c>
      <c r="C142" s="30" t="s">
        <v>2371</v>
      </c>
      <c r="D142" s="30" t="s">
        <v>58</v>
      </c>
      <c r="E142" s="30" t="s">
        <v>2372</v>
      </c>
      <c r="F142" s="30" t="s">
        <v>2373</v>
      </c>
      <c r="G142" s="30" t="s">
        <v>491</v>
      </c>
      <c r="H142" s="30" t="s">
        <v>766</v>
      </c>
      <c r="I142" s="30" t="s">
        <v>767</v>
      </c>
      <c r="J142" s="31" t="s">
        <v>538</v>
      </c>
      <c r="K142" s="31" t="s">
        <v>495</v>
      </c>
      <c r="L142" s="31" t="s">
        <v>519</v>
      </c>
      <c r="M142" s="31" t="s">
        <v>21</v>
      </c>
      <c r="N142" s="31" t="s">
        <v>21</v>
      </c>
      <c r="O142" s="31" t="s">
        <v>21</v>
      </c>
      <c r="P142" s="31" t="s">
        <v>254</v>
      </c>
      <c r="Q142" s="31" t="s">
        <v>499</v>
      </c>
      <c r="R142" s="31" t="s">
        <v>255</v>
      </c>
      <c r="S142" s="32">
        <v>256000</v>
      </c>
      <c r="T142" s="32">
        <v>80</v>
      </c>
      <c r="U142" s="32">
        <v>7.31</v>
      </c>
      <c r="V142" s="32">
        <v>0</v>
      </c>
      <c r="W142" s="32">
        <v>0</v>
      </c>
      <c r="X142" s="32">
        <v>0</v>
      </c>
      <c r="Y142" s="32">
        <v>0</v>
      </c>
      <c r="Z142" s="32">
        <v>0</v>
      </c>
      <c r="AA142" s="32">
        <v>0</v>
      </c>
      <c r="AB142" s="32">
        <v>0</v>
      </c>
      <c r="AC142" s="32">
        <v>0</v>
      </c>
      <c r="AD142" s="32">
        <v>0</v>
      </c>
      <c r="AE142" s="32">
        <v>0</v>
      </c>
      <c r="AF142" s="32">
        <v>0</v>
      </c>
      <c r="AG142" s="32">
        <v>0</v>
      </c>
      <c r="AH142" s="32">
        <v>0</v>
      </c>
      <c r="AI142" s="32">
        <v>0</v>
      </c>
      <c r="AJ142" s="32">
        <v>0</v>
      </c>
      <c r="AK142" s="32">
        <v>0</v>
      </c>
      <c r="AL142" s="32">
        <v>0</v>
      </c>
      <c r="AM142" s="32">
        <v>0</v>
      </c>
      <c r="AN142" s="32">
        <v>0</v>
      </c>
      <c r="AO142" s="32">
        <v>64000</v>
      </c>
      <c r="AP142" s="32">
        <v>0</v>
      </c>
      <c r="AQ142" s="32">
        <v>64000</v>
      </c>
      <c r="AR142" s="32">
        <v>320000</v>
      </c>
      <c r="AS142" s="32">
        <v>7.31</v>
      </c>
      <c r="AT142" s="32">
        <v>51696.28</v>
      </c>
      <c r="AU142" s="32">
        <v>51696.28</v>
      </c>
      <c r="AV142" s="32">
        <v>0</v>
      </c>
      <c r="AW142" s="32">
        <v>0</v>
      </c>
      <c r="AX142" s="32">
        <v>7754.44</v>
      </c>
      <c r="AY142" s="32">
        <v>7754.44</v>
      </c>
      <c r="AZ142" s="32">
        <v>2067.85</v>
      </c>
      <c r="BA142" s="32">
        <v>2067.85</v>
      </c>
      <c r="BB142" s="32">
        <v>0</v>
      </c>
      <c r="BC142" s="32">
        <v>0</v>
      </c>
      <c r="BD142" s="32">
        <v>258481.43</v>
      </c>
      <c r="BE142" s="32">
        <v>258481.43</v>
      </c>
      <c r="BF142" s="32">
        <v>0</v>
      </c>
      <c r="BG142" s="32">
        <v>0</v>
      </c>
      <c r="BH142" s="32">
        <v>0</v>
      </c>
      <c r="BI142" s="32">
        <v>0</v>
      </c>
      <c r="BJ142" s="32">
        <v>0</v>
      </c>
      <c r="BK142" s="32">
        <v>0</v>
      </c>
      <c r="BL142" s="32">
        <v>0</v>
      </c>
      <c r="BM142" s="32">
        <v>0</v>
      </c>
      <c r="BN142" s="32">
        <v>0</v>
      </c>
      <c r="BO142" s="32">
        <v>0</v>
      </c>
      <c r="BP142" s="32">
        <v>0</v>
      </c>
      <c r="BQ142" s="32">
        <v>0</v>
      </c>
      <c r="BR142" s="32">
        <v>24141</v>
      </c>
      <c r="BS142" s="32">
        <v>31569</v>
      </c>
      <c r="BT142" s="32">
        <v>134942</v>
      </c>
      <c r="BU142" s="32">
        <v>82946</v>
      </c>
      <c r="BV142" s="32">
        <v>46402</v>
      </c>
      <c r="BW142" s="32">
        <v>0</v>
      </c>
      <c r="BX142" s="32">
        <v>0</v>
      </c>
      <c r="BY142" s="32">
        <v>0</v>
      </c>
      <c r="BZ142" s="32">
        <v>0</v>
      </c>
      <c r="CA142" s="32">
        <v>0</v>
      </c>
      <c r="CB142" s="33" t="s">
        <v>2389</v>
      </c>
      <c r="CC142" s="33" t="s">
        <v>606</v>
      </c>
      <c r="CD142" s="33"/>
      <c r="CE142" s="33" t="s">
        <v>684</v>
      </c>
      <c r="CF142" s="33" t="s">
        <v>2273</v>
      </c>
      <c r="CG142" s="33" t="s">
        <v>2274</v>
      </c>
      <c r="CH142" s="33" t="s">
        <v>526</v>
      </c>
      <c r="CI142" s="33" t="s">
        <v>521</v>
      </c>
      <c r="CJ142" s="33" t="s">
        <v>521</v>
      </c>
      <c r="CK142" s="33" t="s">
        <v>2390</v>
      </c>
      <c r="CL142" s="33" t="s">
        <v>212</v>
      </c>
      <c r="CM142" s="33"/>
      <c r="CN142" s="33" t="s">
        <v>254</v>
      </c>
      <c r="CO142" s="33" t="s">
        <v>255</v>
      </c>
      <c r="CP142" s="33" t="s">
        <v>2391</v>
      </c>
      <c r="CQ142" s="33" t="s">
        <v>2392</v>
      </c>
      <c r="CR142" s="33" t="s">
        <v>529</v>
      </c>
      <c r="CS142" s="33" t="s">
        <v>2393</v>
      </c>
      <c r="CT142" s="33" t="s">
        <v>254</v>
      </c>
      <c r="CU142" s="33" t="s">
        <v>273</v>
      </c>
      <c r="CV142" s="33" t="s">
        <v>2394</v>
      </c>
      <c r="CW142" s="33" t="s">
        <v>2279</v>
      </c>
      <c r="CX142" s="33" t="s">
        <v>2395</v>
      </c>
      <c r="CY142" s="33" t="s">
        <v>212</v>
      </c>
      <c r="CZ142" s="33" t="s">
        <v>635</v>
      </c>
      <c r="DA142" s="33" t="s">
        <v>2281</v>
      </c>
      <c r="DB142" s="33" t="s">
        <v>212</v>
      </c>
      <c r="DC142" s="33" t="s">
        <v>2396</v>
      </c>
      <c r="DD142" s="33" t="s">
        <v>2397</v>
      </c>
      <c r="DE142" s="33" t="s">
        <v>2398</v>
      </c>
      <c r="DF142" s="34" t="s">
        <v>2399</v>
      </c>
      <c r="DG142" s="27" cm="1">
        <f t="array" ref="DG142">INDEX('elenco partner'!A:M,MATCH(1,(D142='elenco partner'!A:A)*('Partner data'!M142='elenco partner'!E:E),0),4)</f>
        <v>13</v>
      </c>
      <c r="DH142" s="83" t="str">
        <f t="shared" si="58"/>
        <v>Tasso Forfettario 20%</v>
      </c>
      <c r="DI142" s="20">
        <f>COUNTIFS('MY-REPORT-MAIN'!C:C,'Partner data'!DG142,'MY-REPORT-MAIN'!I:I,"Certified")</f>
        <v>2</v>
      </c>
      <c r="DJ142" s="20">
        <f>COUNTIFS(List_Of_chek_list!M:M,"&lt;&gt;26",List_Of_chek_list!B:B,'Partner data'!DG142)</f>
        <v>2</v>
      </c>
      <c r="DK142" s="20">
        <f t="shared" si="59"/>
        <v>0</v>
      </c>
      <c r="DL142" s="19" t="e">
        <f>IF(DH142="Tasso Forfettario 20%",SUMIFS(List_Of_chek_list!#REF!,List_Of_chek_list!B:B,'Partner data'!DG142),"NON PERTINENTE")</f>
        <v>#REF!</v>
      </c>
      <c r="DM142" s="19" t="e">
        <f t="shared" si="60"/>
        <v>#REF!</v>
      </c>
      <c r="DN142" s="110">
        <f>_xlfn.MAXIFS('MY-REPORT-MAIN'!K:K,'MY-REPORT-MAIN'!C:C,DG142)</f>
        <v>45537</v>
      </c>
      <c r="DO142" s="112">
        <f>IF(_xlfn.MAXIFS('MY-REPORT-MAIN'!M:M,'MY-REPORT-MAIN'!C:C,DG142)=0,"Nessun rendiconto  Convalidato",_xlfn.MAXIFS('MY-REPORT-MAIN'!M:M,'MY-REPORT-MAIN'!C:C,DG142))</f>
        <v>45425.595171157409</v>
      </c>
      <c r="DP142" s="113" cm="1">
        <f t="array" ref="DP142">IFERROR(INDEX('MY-REPORT-MAIN'!A:Z,MATCH(1,(DO142='MY-REPORT-MAIN'!M:M)*('Partner data'!DG142='MY-REPORT-MAIN'!C:C),0),1),"NON è stato convalidato ancora nessun rendiconto")</f>
        <v>189</v>
      </c>
      <c r="DQ142" s="111">
        <f>IFERROR(INDEX('MY-REPORT-MAIN'!A:Z,MATCH('Partner data'!DP142,'MY-REPORT-MAIN'!A:A,0),21),"Nessun Rendiconto ancora convalidato")</f>
        <v>15910.59</v>
      </c>
      <c r="DR142" s="110">
        <f>INDEX('Interreg VI-A Italy-Slovenia_pr'!A:E,MATCH('Partner data'!C142,'Interreg VI-A Italy-Slovenia_pr'!A:A,0),3)</f>
        <v>44805</v>
      </c>
      <c r="DS142" s="118">
        <f t="shared" si="48"/>
        <v>0</v>
      </c>
      <c r="DT142" s="118">
        <f t="shared" si="49"/>
        <v>24141</v>
      </c>
      <c r="DU142" s="118">
        <f t="shared" si="50"/>
        <v>55710</v>
      </c>
      <c r="DV142" s="118">
        <f t="shared" si="51"/>
        <v>190652</v>
      </c>
      <c r="DW142" s="118">
        <f t="shared" si="52"/>
        <v>273598</v>
      </c>
      <c r="DX142" s="118">
        <f t="shared" si="53"/>
        <v>320000</v>
      </c>
      <c r="DY142" s="118">
        <f t="shared" si="54"/>
        <v>320000</v>
      </c>
      <c r="DZ142" s="118">
        <f t="shared" si="55"/>
        <v>320000</v>
      </c>
      <c r="EA142" s="118">
        <f t="shared" si="56"/>
        <v>320000</v>
      </c>
      <c r="EB142" s="118">
        <f t="shared" si="57"/>
        <v>320000</v>
      </c>
    </row>
    <row r="143" spans="1:132" x14ac:dyDescent="0.25">
      <c r="A143" s="28">
        <v>2</v>
      </c>
      <c r="B143" s="29" t="s">
        <v>2370</v>
      </c>
      <c r="C143" s="30" t="s">
        <v>2371</v>
      </c>
      <c r="D143" s="30" t="s">
        <v>58</v>
      </c>
      <c r="E143" s="30" t="s">
        <v>2372</v>
      </c>
      <c r="F143" s="30" t="s">
        <v>2373</v>
      </c>
      <c r="G143" s="30" t="s">
        <v>491</v>
      </c>
      <c r="H143" s="30" t="s">
        <v>766</v>
      </c>
      <c r="I143" s="30" t="s">
        <v>767</v>
      </c>
      <c r="J143" s="31" t="s">
        <v>554</v>
      </c>
      <c r="K143" s="31" t="s">
        <v>495</v>
      </c>
      <c r="L143" s="31" t="s">
        <v>519</v>
      </c>
      <c r="M143" s="31" t="s">
        <v>40</v>
      </c>
      <c r="N143" s="31" t="s">
        <v>2400</v>
      </c>
      <c r="O143" s="31" t="s">
        <v>2401</v>
      </c>
      <c r="P143" s="31" t="s">
        <v>257</v>
      </c>
      <c r="Q143" s="31" t="s">
        <v>556</v>
      </c>
      <c r="R143" s="31" t="s">
        <v>267</v>
      </c>
      <c r="S143" s="32">
        <v>253446.39999999999</v>
      </c>
      <c r="T143" s="32">
        <v>80</v>
      </c>
      <c r="U143" s="32">
        <v>7.24</v>
      </c>
      <c r="V143" s="32">
        <v>0</v>
      </c>
      <c r="W143" s="32">
        <v>0</v>
      </c>
      <c r="X143" s="32">
        <v>0</v>
      </c>
      <c r="Y143" s="32">
        <v>0</v>
      </c>
      <c r="Z143" s="32">
        <v>0</v>
      </c>
      <c r="AA143" s="32">
        <v>0</v>
      </c>
      <c r="AB143" s="32">
        <v>0</v>
      </c>
      <c r="AC143" s="32">
        <v>0</v>
      </c>
      <c r="AD143" s="32">
        <v>0</v>
      </c>
      <c r="AE143" s="32">
        <v>0</v>
      </c>
      <c r="AF143" s="32">
        <v>0</v>
      </c>
      <c r="AG143" s="32">
        <v>0</v>
      </c>
      <c r="AH143" s="32">
        <v>0</v>
      </c>
      <c r="AI143" s="32">
        <v>0</v>
      </c>
      <c r="AJ143" s="32">
        <v>0</v>
      </c>
      <c r="AK143" s="32">
        <v>0</v>
      </c>
      <c r="AL143" s="32">
        <v>0</v>
      </c>
      <c r="AM143" s="32">
        <v>0</v>
      </c>
      <c r="AN143" s="32">
        <v>63361.599999999999</v>
      </c>
      <c r="AO143" s="32">
        <v>0</v>
      </c>
      <c r="AP143" s="32">
        <v>0</v>
      </c>
      <c r="AQ143" s="32">
        <v>63361.599999999999</v>
      </c>
      <c r="AR143" s="32">
        <v>316808</v>
      </c>
      <c r="AS143" s="32">
        <v>7.24</v>
      </c>
      <c r="AT143" s="32">
        <v>144000</v>
      </c>
      <c r="AU143" s="32">
        <v>0</v>
      </c>
      <c r="AV143" s="32">
        <v>144000</v>
      </c>
      <c r="AW143" s="32">
        <v>0</v>
      </c>
      <c r="AX143" s="32">
        <v>21600</v>
      </c>
      <c r="AY143" s="32">
        <v>21600</v>
      </c>
      <c r="AZ143" s="32">
        <v>5760</v>
      </c>
      <c r="BA143" s="32">
        <v>5760</v>
      </c>
      <c r="BB143" s="32">
        <v>0</v>
      </c>
      <c r="BC143" s="32">
        <v>0</v>
      </c>
      <c r="BD143" s="32">
        <v>26448</v>
      </c>
      <c r="BE143" s="32">
        <v>26448</v>
      </c>
      <c r="BF143" s="32">
        <v>0</v>
      </c>
      <c r="BG143" s="32">
        <v>119000</v>
      </c>
      <c r="BH143" s="32">
        <v>119000</v>
      </c>
      <c r="BI143" s="32">
        <v>0</v>
      </c>
      <c r="BJ143" s="32">
        <v>0</v>
      </c>
      <c r="BK143" s="32">
        <v>0</v>
      </c>
      <c r="BL143" s="32">
        <v>0</v>
      </c>
      <c r="BM143" s="32">
        <v>0</v>
      </c>
      <c r="BN143" s="32">
        <v>0</v>
      </c>
      <c r="BO143" s="32">
        <v>0</v>
      </c>
      <c r="BP143" s="32">
        <v>0</v>
      </c>
      <c r="BQ143" s="32">
        <v>19040</v>
      </c>
      <c r="BR143" s="32">
        <v>32560</v>
      </c>
      <c r="BS143" s="32">
        <v>52940</v>
      </c>
      <c r="BT143" s="32">
        <v>84580</v>
      </c>
      <c r="BU143" s="32">
        <v>92748</v>
      </c>
      <c r="BV143" s="32">
        <v>34940</v>
      </c>
      <c r="BW143" s="32">
        <v>0</v>
      </c>
      <c r="BX143" s="32">
        <v>0</v>
      </c>
      <c r="BY143" s="32">
        <v>0</v>
      </c>
      <c r="BZ143" s="32">
        <v>0</v>
      </c>
      <c r="CA143" s="32">
        <v>0</v>
      </c>
      <c r="CB143" s="33" t="s">
        <v>2402</v>
      </c>
      <c r="CC143" s="33" t="s">
        <v>743</v>
      </c>
      <c r="CD143" s="33" t="s">
        <v>653</v>
      </c>
      <c r="CE143" s="33" t="s">
        <v>523</v>
      </c>
      <c r="CF143" s="33" t="s">
        <v>829</v>
      </c>
      <c r="CG143" s="33" t="s">
        <v>2403</v>
      </c>
      <c r="CH143" s="33" t="s">
        <v>526</v>
      </c>
      <c r="CI143" s="33" t="s">
        <v>2404</v>
      </c>
      <c r="CJ143" s="33" t="s">
        <v>1123</v>
      </c>
      <c r="CK143" s="33"/>
      <c r="CL143" s="33" t="s">
        <v>212</v>
      </c>
      <c r="CM143" s="33"/>
      <c r="CN143" s="33" t="s">
        <v>257</v>
      </c>
      <c r="CO143" s="33" t="s">
        <v>267</v>
      </c>
      <c r="CP143" s="33" t="s">
        <v>2405</v>
      </c>
      <c r="CQ143" s="33" t="s">
        <v>1888</v>
      </c>
      <c r="CR143" s="33" t="s">
        <v>1889</v>
      </c>
      <c r="CS143" s="33" t="s">
        <v>2406</v>
      </c>
      <c r="CT143" s="33" t="s">
        <v>257</v>
      </c>
      <c r="CU143" s="33" t="s">
        <v>267</v>
      </c>
      <c r="CV143" s="33" t="s">
        <v>2407</v>
      </c>
      <c r="CW143" s="33" t="s">
        <v>1888</v>
      </c>
      <c r="CX143" s="33" t="s">
        <v>1889</v>
      </c>
      <c r="CY143" s="33" t="s">
        <v>212</v>
      </c>
      <c r="CZ143" s="33" t="s">
        <v>2083</v>
      </c>
      <c r="DA143" s="33" t="s">
        <v>2408</v>
      </c>
      <c r="DB143" s="33" t="s">
        <v>212</v>
      </c>
      <c r="DC143" s="33" t="s">
        <v>855</v>
      </c>
      <c r="DD143" s="33" t="s">
        <v>2409</v>
      </c>
      <c r="DE143" s="33" t="s">
        <v>2410</v>
      </c>
      <c r="DF143" s="34" t="s">
        <v>2411</v>
      </c>
      <c r="DG143" s="27" cm="1">
        <f t="array" ref="DG143">INDEX('elenco partner'!A:M,MATCH(1,(D143='elenco partner'!A:A)*('Partner data'!M143='elenco partner'!E:E),0),4)</f>
        <v>14</v>
      </c>
      <c r="DH143" s="83" t="str">
        <f t="shared" si="58"/>
        <v>COSTO REALE</v>
      </c>
      <c r="DI143" s="20">
        <f>COUNTIFS('MY-REPORT-MAIN'!C:C,'Partner data'!DG143,'MY-REPORT-MAIN'!I:I,"Certified")</f>
        <v>2</v>
      </c>
      <c r="DJ143" s="20">
        <f>COUNTIFS(List_Of_chek_list!M:M,"&lt;&gt;26",List_Of_chek_list!B:B,'Partner data'!DG143)</f>
        <v>2</v>
      </c>
      <c r="DK143" s="20">
        <f t="shared" si="59"/>
        <v>0</v>
      </c>
      <c r="DL143" s="19" t="str">
        <f>IF(DH143="Tasso Forfettario 20%",SUMIFS(List_Of_chek_list!#REF!,List_Of_chek_list!B:B,'Partner data'!DG143),"NON PERTINENTE")</f>
        <v>NON PERTINENTE</v>
      </c>
      <c r="DM143" s="19" t="str">
        <f t="shared" si="60"/>
        <v>NON PERTINENTE</v>
      </c>
      <c r="DN143" s="110">
        <f>_xlfn.MAXIFS('MY-REPORT-MAIN'!K:K,'MY-REPORT-MAIN'!C:C,DG143)</f>
        <v>45537</v>
      </c>
      <c r="DO143" s="112">
        <f>IF(_xlfn.MAXIFS('MY-REPORT-MAIN'!M:M,'MY-REPORT-MAIN'!C:C,DG143)=0,"Nessun rendiconto  Convalidato",_xlfn.MAXIFS('MY-REPORT-MAIN'!M:M,'MY-REPORT-MAIN'!C:C,DG143))</f>
        <v>45469.435038090276</v>
      </c>
      <c r="DP143" s="113" cm="1">
        <f t="array" ref="DP143">IFERROR(INDEX('MY-REPORT-MAIN'!A:Z,MATCH(1,(DO143='MY-REPORT-MAIN'!M:M)*('Partner data'!DG143='MY-REPORT-MAIN'!C:C),0),1),"NON è stato convalidato ancora nessun rendiconto")</f>
        <v>297</v>
      </c>
      <c r="DQ143" s="111">
        <f>IFERROR(INDEX('MY-REPORT-MAIN'!A:Z,MATCH('Partner data'!DP143,'MY-REPORT-MAIN'!A:A,0),21),"Nessun Rendiconto ancora convalidato")</f>
        <v>19298.37</v>
      </c>
      <c r="DR143" s="110">
        <f>INDEX('Interreg VI-A Italy-Slovenia_pr'!A:E,MATCH('Partner data'!C143,'Interreg VI-A Italy-Slovenia_pr'!A:A,0),3)</f>
        <v>44805</v>
      </c>
      <c r="DS143" s="118">
        <f t="shared" si="48"/>
        <v>19040</v>
      </c>
      <c r="DT143" s="118">
        <f t="shared" si="49"/>
        <v>51600</v>
      </c>
      <c r="DU143" s="118">
        <f t="shared" si="50"/>
        <v>104540</v>
      </c>
      <c r="DV143" s="118">
        <f t="shared" si="51"/>
        <v>189120</v>
      </c>
      <c r="DW143" s="118">
        <f t="shared" si="52"/>
        <v>281868</v>
      </c>
      <c r="DX143" s="118">
        <f t="shared" si="53"/>
        <v>316808</v>
      </c>
      <c r="DY143" s="118">
        <f t="shared" si="54"/>
        <v>316808</v>
      </c>
      <c r="DZ143" s="118">
        <f t="shared" si="55"/>
        <v>316808</v>
      </c>
      <c r="EA143" s="118">
        <f t="shared" si="56"/>
        <v>316808</v>
      </c>
      <c r="EB143" s="118">
        <f t="shared" si="57"/>
        <v>316808</v>
      </c>
    </row>
    <row r="144" spans="1:132" x14ac:dyDescent="0.25">
      <c r="A144" s="28">
        <v>2</v>
      </c>
      <c r="B144" s="29" t="s">
        <v>2370</v>
      </c>
      <c r="C144" s="30" t="s">
        <v>2371</v>
      </c>
      <c r="D144" s="30" t="s">
        <v>58</v>
      </c>
      <c r="E144" s="30" t="s">
        <v>2372</v>
      </c>
      <c r="F144" s="30" t="s">
        <v>2373</v>
      </c>
      <c r="G144" s="30" t="s">
        <v>491</v>
      </c>
      <c r="H144" s="30" t="s">
        <v>766</v>
      </c>
      <c r="I144" s="30" t="s">
        <v>767</v>
      </c>
      <c r="J144" s="31" t="s">
        <v>570</v>
      </c>
      <c r="K144" s="31" t="s">
        <v>495</v>
      </c>
      <c r="L144" s="31" t="s">
        <v>519</v>
      </c>
      <c r="M144" s="31" t="s">
        <v>33</v>
      </c>
      <c r="N144" s="31" t="s">
        <v>1565</v>
      </c>
      <c r="O144" s="31" t="s">
        <v>2412</v>
      </c>
      <c r="P144" s="31" t="s">
        <v>257</v>
      </c>
      <c r="Q144" s="31" t="s">
        <v>556</v>
      </c>
      <c r="R144" s="31" t="s">
        <v>270</v>
      </c>
      <c r="S144" s="32">
        <v>253203.20000000001</v>
      </c>
      <c r="T144" s="32">
        <v>80</v>
      </c>
      <c r="U144" s="32">
        <v>7.23</v>
      </c>
      <c r="V144" s="32">
        <v>0</v>
      </c>
      <c r="W144" s="32">
        <v>0</v>
      </c>
      <c r="X144" s="32">
        <v>0</v>
      </c>
      <c r="Y144" s="32">
        <v>0</v>
      </c>
      <c r="Z144" s="32">
        <v>0</v>
      </c>
      <c r="AA144" s="32">
        <v>0</v>
      </c>
      <c r="AB144" s="32">
        <v>0</v>
      </c>
      <c r="AC144" s="32">
        <v>0</v>
      </c>
      <c r="AD144" s="32">
        <v>0</v>
      </c>
      <c r="AE144" s="32">
        <v>0</v>
      </c>
      <c r="AF144" s="32">
        <v>0</v>
      </c>
      <c r="AG144" s="32">
        <v>0</v>
      </c>
      <c r="AH144" s="32">
        <v>0</v>
      </c>
      <c r="AI144" s="32">
        <v>0</v>
      </c>
      <c r="AJ144" s="32">
        <v>0</v>
      </c>
      <c r="AK144" s="32">
        <v>0</v>
      </c>
      <c r="AL144" s="32">
        <v>0</v>
      </c>
      <c r="AM144" s="32">
        <v>0</v>
      </c>
      <c r="AN144" s="32">
        <v>63300.800000000003</v>
      </c>
      <c r="AO144" s="32">
        <v>0</v>
      </c>
      <c r="AP144" s="32">
        <v>0</v>
      </c>
      <c r="AQ144" s="32">
        <v>63300.800000000003</v>
      </c>
      <c r="AR144" s="32">
        <v>316504</v>
      </c>
      <c r="AS144" s="32">
        <v>7.23</v>
      </c>
      <c r="AT144" s="32">
        <v>131600</v>
      </c>
      <c r="AU144" s="32">
        <v>0</v>
      </c>
      <c r="AV144" s="32">
        <v>131600</v>
      </c>
      <c r="AW144" s="32">
        <v>0</v>
      </c>
      <c r="AX144" s="32">
        <v>19740</v>
      </c>
      <c r="AY144" s="32">
        <v>19740</v>
      </c>
      <c r="AZ144" s="32">
        <v>5264</v>
      </c>
      <c r="BA144" s="32">
        <v>5264</v>
      </c>
      <c r="BB144" s="32">
        <v>0</v>
      </c>
      <c r="BC144" s="32">
        <v>0</v>
      </c>
      <c r="BD144" s="32">
        <v>158900</v>
      </c>
      <c r="BE144" s="32">
        <v>158900</v>
      </c>
      <c r="BF144" s="32">
        <v>0</v>
      </c>
      <c r="BG144" s="32">
        <v>1000</v>
      </c>
      <c r="BH144" s="32">
        <v>1000</v>
      </c>
      <c r="BI144" s="32">
        <v>0</v>
      </c>
      <c r="BJ144" s="32">
        <v>0</v>
      </c>
      <c r="BK144" s="32">
        <v>0</v>
      </c>
      <c r="BL144" s="32">
        <v>0</v>
      </c>
      <c r="BM144" s="32">
        <v>0</v>
      </c>
      <c r="BN144" s="32">
        <v>0</v>
      </c>
      <c r="BO144" s="32">
        <v>0</v>
      </c>
      <c r="BP144" s="32">
        <v>0</v>
      </c>
      <c r="BQ144" s="32">
        <v>29100.27</v>
      </c>
      <c r="BR144" s="32">
        <v>28800.27</v>
      </c>
      <c r="BS144" s="32">
        <v>103200.27</v>
      </c>
      <c r="BT144" s="32">
        <v>26200.27</v>
      </c>
      <c r="BU144" s="32">
        <v>103100.27</v>
      </c>
      <c r="BV144" s="32">
        <v>26102.65</v>
      </c>
      <c r="BW144" s="32">
        <v>0</v>
      </c>
      <c r="BX144" s="32">
        <v>0</v>
      </c>
      <c r="BY144" s="32">
        <v>0</v>
      </c>
      <c r="BZ144" s="32">
        <v>0</v>
      </c>
      <c r="CA144" s="32">
        <v>0</v>
      </c>
      <c r="CB144" s="33" t="s">
        <v>521</v>
      </c>
      <c r="CC144" s="33" t="s">
        <v>743</v>
      </c>
      <c r="CD144" s="33"/>
      <c r="CE144" s="33" t="s">
        <v>684</v>
      </c>
      <c r="CF144" s="33" t="s">
        <v>685</v>
      </c>
      <c r="CG144" s="33" t="s">
        <v>2413</v>
      </c>
      <c r="CH144" s="33" t="s">
        <v>526</v>
      </c>
      <c r="CI144" s="33" t="s">
        <v>521</v>
      </c>
      <c r="CJ144" s="33" t="s">
        <v>521</v>
      </c>
      <c r="CK144" s="33" t="s">
        <v>1568</v>
      </c>
      <c r="CL144" s="33" t="s">
        <v>212</v>
      </c>
      <c r="CM144" s="33" t="s">
        <v>637</v>
      </c>
      <c r="CN144" s="33" t="s">
        <v>257</v>
      </c>
      <c r="CO144" s="33" t="s">
        <v>270</v>
      </c>
      <c r="CP144" s="33" t="s">
        <v>1569</v>
      </c>
      <c r="CQ144" s="33" t="s">
        <v>710</v>
      </c>
      <c r="CR144" s="33" t="s">
        <v>650</v>
      </c>
      <c r="CS144" s="33" t="s">
        <v>2414</v>
      </c>
      <c r="CT144" s="33" t="s">
        <v>257</v>
      </c>
      <c r="CU144" s="33" t="s">
        <v>270</v>
      </c>
      <c r="CV144" s="33" t="s">
        <v>1569</v>
      </c>
      <c r="CW144" s="33" t="s">
        <v>710</v>
      </c>
      <c r="CX144" s="33" t="s">
        <v>650</v>
      </c>
      <c r="CY144" s="33" t="s">
        <v>212</v>
      </c>
      <c r="CZ144" s="33" t="s">
        <v>1571</v>
      </c>
      <c r="DA144" s="33" t="s">
        <v>1572</v>
      </c>
      <c r="DB144" s="33" t="s">
        <v>212</v>
      </c>
      <c r="DC144" s="33" t="s">
        <v>1573</v>
      </c>
      <c r="DD144" s="33" t="s">
        <v>1574</v>
      </c>
      <c r="DE144" s="33" t="s">
        <v>2415</v>
      </c>
      <c r="DF144" s="34" t="s">
        <v>1576</v>
      </c>
      <c r="DG144" s="27" cm="1">
        <f t="array" ref="DG144">INDEX('elenco partner'!A:M,MATCH(1,(D144='elenco partner'!A:A)*('Partner data'!M144='elenco partner'!E:E),0),4)</f>
        <v>15</v>
      </c>
      <c r="DH144" s="83" t="str">
        <f t="shared" si="58"/>
        <v>COSTO REALE</v>
      </c>
      <c r="DI144" s="20">
        <f>COUNTIFS('MY-REPORT-MAIN'!C:C,'Partner data'!DG144,'MY-REPORT-MAIN'!I:I,"Certified")</f>
        <v>2</v>
      </c>
      <c r="DJ144" s="20">
        <f>COUNTIFS(List_Of_chek_list!M:M,"&lt;&gt;26",List_Of_chek_list!B:B,'Partner data'!DG144)</f>
        <v>1</v>
      </c>
      <c r="DK144" s="20">
        <f t="shared" si="59"/>
        <v>1</v>
      </c>
      <c r="DL144" s="19" t="str">
        <f>IF(DH144="Tasso Forfettario 20%",SUMIFS(List_Of_chek_list!#REF!,List_Of_chek_list!B:B,'Partner data'!DG144),"NON PERTINENTE")</f>
        <v>NON PERTINENTE</v>
      </c>
      <c r="DM144" s="19" t="str">
        <f t="shared" si="60"/>
        <v>NON PERTINENTE</v>
      </c>
      <c r="DN144" s="110">
        <f>_xlfn.MAXIFS('MY-REPORT-MAIN'!K:K,'MY-REPORT-MAIN'!C:C,DG144)</f>
        <v>45537</v>
      </c>
      <c r="DO144" s="112">
        <f>IF(_xlfn.MAXIFS('MY-REPORT-MAIN'!M:M,'MY-REPORT-MAIN'!C:C,DG144)=0,"Nessun rendiconto  Convalidato",_xlfn.MAXIFS('MY-REPORT-MAIN'!M:M,'MY-REPORT-MAIN'!C:C,DG144))</f>
        <v>45482.361483738423</v>
      </c>
      <c r="DP144" s="113" cm="1">
        <f t="array" ref="DP144">IFERROR(INDEX('MY-REPORT-MAIN'!A:Z,MATCH(1,(DO144='MY-REPORT-MAIN'!M:M)*('Partner data'!DG144='MY-REPORT-MAIN'!C:C),0),1),"NON è stato convalidato ancora nessun rendiconto")</f>
        <v>264</v>
      </c>
      <c r="DQ144" s="111">
        <f>IFERROR(INDEX('MY-REPORT-MAIN'!A:Z,MATCH('Partner data'!DP144,'MY-REPORT-MAIN'!A:A,0),21),"Nessun Rendiconto ancora convalidato")</f>
        <v>18925.939999999999</v>
      </c>
      <c r="DR144" s="110">
        <f>INDEX('Interreg VI-A Italy-Slovenia_pr'!A:E,MATCH('Partner data'!C144,'Interreg VI-A Italy-Slovenia_pr'!A:A,0),3)</f>
        <v>44805</v>
      </c>
      <c r="DS144" s="118">
        <f t="shared" si="48"/>
        <v>29100.27</v>
      </c>
      <c r="DT144" s="118">
        <f t="shared" si="49"/>
        <v>57900.54</v>
      </c>
      <c r="DU144" s="118">
        <f t="shared" si="50"/>
        <v>161100.81</v>
      </c>
      <c r="DV144" s="118">
        <f t="shared" si="51"/>
        <v>187301.08</v>
      </c>
      <c r="DW144" s="118">
        <f t="shared" si="52"/>
        <v>290401.34999999998</v>
      </c>
      <c r="DX144" s="118">
        <f t="shared" si="53"/>
        <v>316504</v>
      </c>
      <c r="DY144" s="118">
        <f t="shared" si="54"/>
        <v>316504</v>
      </c>
      <c r="DZ144" s="118">
        <f t="shared" si="55"/>
        <v>316504</v>
      </c>
      <c r="EA144" s="118">
        <f t="shared" si="56"/>
        <v>316504</v>
      </c>
      <c r="EB144" s="118">
        <f t="shared" si="57"/>
        <v>316504</v>
      </c>
    </row>
    <row r="145" spans="1:132" x14ac:dyDescent="0.25">
      <c r="A145" s="28">
        <v>2</v>
      </c>
      <c r="B145" s="29" t="s">
        <v>2370</v>
      </c>
      <c r="C145" s="30" t="s">
        <v>2371</v>
      </c>
      <c r="D145" s="30" t="s">
        <v>58</v>
      </c>
      <c r="E145" s="30" t="s">
        <v>2372</v>
      </c>
      <c r="F145" s="30" t="s">
        <v>2373</v>
      </c>
      <c r="G145" s="30" t="s">
        <v>491</v>
      </c>
      <c r="H145" s="30" t="s">
        <v>766</v>
      </c>
      <c r="I145" s="30" t="s">
        <v>767</v>
      </c>
      <c r="J145" s="31" t="s">
        <v>581</v>
      </c>
      <c r="K145" s="31" t="s">
        <v>495</v>
      </c>
      <c r="L145" s="31" t="s">
        <v>519</v>
      </c>
      <c r="M145" s="31" t="s">
        <v>36</v>
      </c>
      <c r="N145" s="31" t="s">
        <v>2298</v>
      </c>
      <c r="O145" s="31" t="s">
        <v>2416</v>
      </c>
      <c r="P145" s="31" t="s">
        <v>257</v>
      </c>
      <c r="Q145" s="31" t="s">
        <v>556</v>
      </c>
      <c r="R145" s="31" t="s">
        <v>269</v>
      </c>
      <c r="S145" s="32">
        <v>253350.39999999999</v>
      </c>
      <c r="T145" s="32">
        <v>80</v>
      </c>
      <c r="U145" s="32">
        <v>7.24</v>
      </c>
      <c r="V145" s="32">
        <v>0</v>
      </c>
      <c r="W145" s="32">
        <v>0</v>
      </c>
      <c r="X145" s="32">
        <v>0</v>
      </c>
      <c r="Y145" s="32">
        <v>0</v>
      </c>
      <c r="Z145" s="32">
        <v>0</v>
      </c>
      <c r="AA145" s="32">
        <v>0</v>
      </c>
      <c r="AB145" s="32">
        <v>0</v>
      </c>
      <c r="AC145" s="32">
        <v>0</v>
      </c>
      <c r="AD145" s="32">
        <v>0</v>
      </c>
      <c r="AE145" s="32">
        <v>0</v>
      </c>
      <c r="AF145" s="32">
        <v>0</v>
      </c>
      <c r="AG145" s="32">
        <v>0</v>
      </c>
      <c r="AH145" s="32">
        <v>0</v>
      </c>
      <c r="AI145" s="32">
        <v>0</v>
      </c>
      <c r="AJ145" s="32">
        <v>0</v>
      </c>
      <c r="AK145" s="32">
        <v>0</v>
      </c>
      <c r="AL145" s="32">
        <v>0</v>
      </c>
      <c r="AM145" s="32">
        <v>0</v>
      </c>
      <c r="AN145" s="32">
        <v>63337.599999999999</v>
      </c>
      <c r="AO145" s="32">
        <v>0</v>
      </c>
      <c r="AP145" s="32">
        <v>0</v>
      </c>
      <c r="AQ145" s="32">
        <v>63337.599999999999</v>
      </c>
      <c r="AR145" s="32">
        <v>316688</v>
      </c>
      <c r="AS145" s="32">
        <v>7.24</v>
      </c>
      <c r="AT145" s="32">
        <v>105000</v>
      </c>
      <c r="AU145" s="32">
        <v>0</v>
      </c>
      <c r="AV145" s="32">
        <v>105000</v>
      </c>
      <c r="AW145" s="32">
        <v>0</v>
      </c>
      <c r="AX145" s="32">
        <v>15750</v>
      </c>
      <c r="AY145" s="32">
        <v>15750</v>
      </c>
      <c r="AZ145" s="32">
        <v>4200</v>
      </c>
      <c r="BA145" s="32">
        <v>4200</v>
      </c>
      <c r="BB145" s="32">
        <v>0</v>
      </c>
      <c r="BC145" s="32">
        <v>0</v>
      </c>
      <c r="BD145" s="32">
        <v>134738</v>
      </c>
      <c r="BE145" s="32">
        <v>134738</v>
      </c>
      <c r="BF145" s="32">
        <v>0</v>
      </c>
      <c r="BG145" s="32">
        <v>57000</v>
      </c>
      <c r="BH145" s="32">
        <v>57000</v>
      </c>
      <c r="BI145" s="32">
        <v>0</v>
      </c>
      <c r="BJ145" s="32">
        <v>0</v>
      </c>
      <c r="BK145" s="32">
        <v>0</v>
      </c>
      <c r="BL145" s="32">
        <v>0</v>
      </c>
      <c r="BM145" s="32">
        <v>0</v>
      </c>
      <c r="BN145" s="32">
        <v>0</v>
      </c>
      <c r="BO145" s="32">
        <v>0</v>
      </c>
      <c r="BP145" s="32">
        <v>0</v>
      </c>
      <c r="BQ145" s="32">
        <v>14495</v>
      </c>
      <c r="BR145" s="32">
        <v>80491</v>
      </c>
      <c r="BS145" s="32">
        <v>70491</v>
      </c>
      <c r="BT145" s="32">
        <v>55991</v>
      </c>
      <c r="BU145" s="32">
        <v>70229</v>
      </c>
      <c r="BV145" s="32">
        <v>24991</v>
      </c>
      <c r="BW145" s="32">
        <v>0</v>
      </c>
      <c r="BX145" s="32">
        <v>0</v>
      </c>
      <c r="BY145" s="32">
        <v>0</v>
      </c>
      <c r="BZ145" s="32">
        <v>0</v>
      </c>
      <c r="CA145" s="32">
        <v>0</v>
      </c>
      <c r="CB145" s="33" t="s">
        <v>521</v>
      </c>
      <c r="CC145" s="33" t="s">
        <v>743</v>
      </c>
      <c r="CD145" s="33"/>
      <c r="CE145" s="33" t="s">
        <v>523</v>
      </c>
      <c r="CF145" s="33" t="s">
        <v>829</v>
      </c>
      <c r="CG145" s="33" t="s">
        <v>2302</v>
      </c>
      <c r="CH145" s="33" t="s">
        <v>526</v>
      </c>
      <c r="CI145" s="33" t="s">
        <v>521</v>
      </c>
      <c r="CJ145" s="33" t="s">
        <v>521</v>
      </c>
      <c r="CK145" s="33" t="s">
        <v>2417</v>
      </c>
      <c r="CL145" s="33" t="s">
        <v>212</v>
      </c>
      <c r="CM145" s="33"/>
      <c r="CN145" s="33" t="s">
        <v>257</v>
      </c>
      <c r="CO145" s="33" t="s">
        <v>269</v>
      </c>
      <c r="CP145" s="33" t="s">
        <v>2418</v>
      </c>
      <c r="CQ145" s="33" t="s">
        <v>2138</v>
      </c>
      <c r="CR145" s="33" t="s">
        <v>2139</v>
      </c>
      <c r="CS145" s="33" t="s">
        <v>2419</v>
      </c>
      <c r="CT145" s="33" t="s">
        <v>257</v>
      </c>
      <c r="CU145" s="33" t="s">
        <v>269</v>
      </c>
      <c r="CV145" s="33" t="s">
        <v>2418</v>
      </c>
      <c r="CW145" s="33" t="s">
        <v>2138</v>
      </c>
      <c r="CX145" s="33" t="s">
        <v>2139</v>
      </c>
      <c r="CY145" s="33" t="s">
        <v>212</v>
      </c>
      <c r="CZ145" s="33" t="s">
        <v>1959</v>
      </c>
      <c r="DA145" s="33" t="s">
        <v>2306</v>
      </c>
      <c r="DB145" s="33" t="s">
        <v>212</v>
      </c>
      <c r="DC145" s="33" t="s">
        <v>2420</v>
      </c>
      <c r="DD145" s="33" t="s">
        <v>894</v>
      </c>
      <c r="DE145" s="33" t="s">
        <v>2421</v>
      </c>
      <c r="DF145" s="34" t="s">
        <v>2422</v>
      </c>
      <c r="DG145" s="27" cm="1">
        <f t="array" ref="DG145">INDEX('elenco partner'!A:M,MATCH(1,(D145='elenco partner'!A:A)*('Partner data'!M145='elenco partner'!E:E),0),4)</f>
        <v>16</v>
      </c>
      <c r="DH145" s="83" t="str">
        <f t="shared" si="58"/>
        <v>COSTO REALE</v>
      </c>
      <c r="DI145" s="20">
        <f>COUNTIFS('MY-REPORT-MAIN'!C:C,'Partner data'!DG145,'MY-REPORT-MAIN'!I:I,"Certified")</f>
        <v>2</v>
      </c>
      <c r="DJ145" s="20">
        <f>COUNTIFS(List_Of_chek_list!M:M,"&lt;&gt;26",List_Of_chek_list!B:B,'Partner data'!DG145)</f>
        <v>1</v>
      </c>
      <c r="DK145" s="20">
        <f t="shared" si="59"/>
        <v>1</v>
      </c>
      <c r="DL145" s="19" t="str">
        <f>IF(DH145="Tasso Forfettario 20%",SUMIFS(List_Of_chek_list!#REF!,List_Of_chek_list!B:B,'Partner data'!DG145),"NON PERTINENTE")</f>
        <v>NON PERTINENTE</v>
      </c>
      <c r="DM145" s="19" t="str">
        <f t="shared" si="60"/>
        <v>NON PERTINENTE</v>
      </c>
      <c r="DN145" s="110">
        <f>_xlfn.MAXIFS('MY-REPORT-MAIN'!K:K,'MY-REPORT-MAIN'!C:C,DG145)</f>
        <v>45537</v>
      </c>
      <c r="DO145" s="112">
        <f>IF(_xlfn.MAXIFS('MY-REPORT-MAIN'!M:M,'MY-REPORT-MAIN'!C:C,DG145)=0,"Nessun rendiconto  Convalidato",_xlfn.MAXIFS('MY-REPORT-MAIN'!M:M,'MY-REPORT-MAIN'!C:C,DG145))</f>
        <v>45482.37006306713</v>
      </c>
      <c r="DP145" s="113" cm="1">
        <f t="array" ref="DP145">IFERROR(INDEX('MY-REPORT-MAIN'!A:Z,MATCH(1,(DO145='MY-REPORT-MAIN'!M:M)*('Partner data'!DG145='MY-REPORT-MAIN'!C:C),0),1),"NON è stato convalidato ancora nessun rendiconto")</f>
        <v>208</v>
      </c>
      <c r="DQ145" s="111">
        <f>IFERROR(INDEX('MY-REPORT-MAIN'!A:Z,MATCH('Partner data'!DP145,'MY-REPORT-MAIN'!A:A,0),21),"Nessun Rendiconto ancora convalidato")</f>
        <v>52167.88</v>
      </c>
      <c r="DR145" s="110">
        <f>INDEX('Interreg VI-A Italy-Slovenia_pr'!A:E,MATCH('Partner data'!C145,'Interreg VI-A Italy-Slovenia_pr'!A:A,0),3)</f>
        <v>44805</v>
      </c>
      <c r="DS145" s="118">
        <f t="shared" si="48"/>
        <v>14495</v>
      </c>
      <c r="DT145" s="118">
        <f t="shared" si="49"/>
        <v>94986</v>
      </c>
      <c r="DU145" s="118">
        <f t="shared" si="50"/>
        <v>165477</v>
      </c>
      <c r="DV145" s="118">
        <f t="shared" si="51"/>
        <v>221468</v>
      </c>
      <c r="DW145" s="118">
        <f t="shared" si="52"/>
        <v>291697</v>
      </c>
      <c r="DX145" s="118">
        <f t="shared" si="53"/>
        <v>316688</v>
      </c>
      <c r="DY145" s="118">
        <f t="shared" si="54"/>
        <v>316688</v>
      </c>
      <c r="DZ145" s="118">
        <f t="shared" si="55"/>
        <v>316688</v>
      </c>
      <c r="EA145" s="118">
        <f t="shared" si="56"/>
        <v>316688</v>
      </c>
      <c r="EB145" s="118">
        <f t="shared" si="57"/>
        <v>316688</v>
      </c>
    </row>
    <row r="146" spans="1:132" ht="45" x14ac:dyDescent="0.25">
      <c r="A146" s="28">
        <v>2</v>
      </c>
      <c r="B146" s="29" t="s">
        <v>2370</v>
      </c>
      <c r="C146" s="30" t="s">
        <v>2371</v>
      </c>
      <c r="D146" s="30" t="s">
        <v>58</v>
      </c>
      <c r="E146" s="30" t="s">
        <v>2372</v>
      </c>
      <c r="F146" s="30" t="s">
        <v>2373</v>
      </c>
      <c r="G146" s="30" t="s">
        <v>491</v>
      </c>
      <c r="H146" s="30" t="s">
        <v>766</v>
      </c>
      <c r="I146" s="30" t="s">
        <v>767</v>
      </c>
      <c r="J146" s="31" t="s">
        <v>2423</v>
      </c>
      <c r="K146" s="31" t="s">
        <v>495</v>
      </c>
      <c r="L146" s="31" t="s">
        <v>519</v>
      </c>
      <c r="M146" s="31" t="s">
        <v>268</v>
      </c>
      <c r="N146" s="31" t="s">
        <v>268</v>
      </c>
      <c r="O146" s="31" t="s">
        <v>2424</v>
      </c>
      <c r="P146" s="31" t="s">
        <v>257</v>
      </c>
      <c r="Q146" s="31" t="s">
        <v>556</v>
      </c>
      <c r="R146" s="31" t="s">
        <v>269</v>
      </c>
      <c r="S146" s="32">
        <v>640000</v>
      </c>
      <c r="T146" s="32">
        <v>80</v>
      </c>
      <c r="U146" s="32">
        <v>18.29</v>
      </c>
      <c r="V146" s="32">
        <v>0</v>
      </c>
      <c r="W146" s="32">
        <v>0</v>
      </c>
      <c r="X146" s="32">
        <v>0</v>
      </c>
      <c r="Y146" s="32">
        <v>0</v>
      </c>
      <c r="Z146" s="32">
        <v>0</v>
      </c>
      <c r="AA146" s="32">
        <v>0</v>
      </c>
      <c r="AB146" s="32">
        <v>0</v>
      </c>
      <c r="AC146" s="32">
        <v>0</v>
      </c>
      <c r="AD146" s="32">
        <v>0</v>
      </c>
      <c r="AE146" s="32">
        <v>0</v>
      </c>
      <c r="AF146" s="32">
        <v>0</v>
      </c>
      <c r="AG146" s="32">
        <v>0</v>
      </c>
      <c r="AH146" s="32">
        <v>0</v>
      </c>
      <c r="AI146" s="32">
        <v>0</v>
      </c>
      <c r="AJ146" s="32">
        <v>0</v>
      </c>
      <c r="AK146" s="32">
        <v>0</v>
      </c>
      <c r="AL146" s="32">
        <v>0</v>
      </c>
      <c r="AM146" s="32">
        <v>0</v>
      </c>
      <c r="AN146" s="32">
        <v>160000</v>
      </c>
      <c r="AO146" s="32">
        <v>0</v>
      </c>
      <c r="AP146" s="32">
        <v>0</v>
      </c>
      <c r="AQ146" s="32">
        <v>160000</v>
      </c>
      <c r="AR146" s="32">
        <v>800000</v>
      </c>
      <c r="AS146" s="32">
        <v>18.29</v>
      </c>
      <c r="AT146" s="32">
        <v>0</v>
      </c>
      <c r="AU146" s="32">
        <v>0</v>
      </c>
      <c r="AV146" s="32">
        <v>0</v>
      </c>
      <c r="AW146" s="32">
        <v>0</v>
      </c>
      <c r="AX146" s="32">
        <v>0</v>
      </c>
      <c r="AY146" s="32">
        <v>0</v>
      </c>
      <c r="AZ146" s="32">
        <v>0</v>
      </c>
      <c r="BA146" s="32">
        <v>0</v>
      </c>
      <c r="BB146" s="32">
        <v>0</v>
      </c>
      <c r="BC146" s="32">
        <v>0</v>
      </c>
      <c r="BD146" s="32">
        <v>73000</v>
      </c>
      <c r="BE146" s="32">
        <v>73000</v>
      </c>
      <c r="BF146" s="32">
        <v>0</v>
      </c>
      <c r="BG146" s="32">
        <v>0</v>
      </c>
      <c r="BH146" s="32">
        <v>0</v>
      </c>
      <c r="BI146" s="32">
        <v>0</v>
      </c>
      <c r="BJ146" s="32">
        <v>727000</v>
      </c>
      <c r="BK146" s="32">
        <v>727000</v>
      </c>
      <c r="BL146" s="32">
        <v>0</v>
      </c>
      <c r="BM146" s="32">
        <v>0</v>
      </c>
      <c r="BN146" s="32">
        <v>0</v>
      </c>
      <c r="BO146" s="32">
        <v>0</v>
      </c>
      <c r="BP146" s="32">
        <v>0</v>
      </c>
      <c r="BQ146" s="32">
        <v>0</v>
      </c>
      <c r="BR146" s="32">
        <v>0</v>
      </c>
      <c r="BS146" s="32">
        <v>0</v>
      </c>
      <c r="BT146" s="32">
        <v>0</v>
      </c>
      <c r="BU146" s="32">
        <v>400000</v>
      </c>
      <c r="BV146" s="32">
        <v>400000</v>
      </c>
      <c r="BW146" s="32">
        <v>0</v>
      </c>
      <c r="BX146" s="32">
        <v>0</v>
      </c>
      <c r="BY146" s="32">
        <v>0</v>
      </c>
      <c r="BZ146" s="32">
        <v>0</v>
      </c>
      <c r="CA146" s="32">
        <v>0</v>
      </c>
      <c r="CB146" s="33" t="s">
        <v>521</v>
      </c>
      <c r="CC146" s="33" t="s">
        <v>522</v>
      </c>
      <c r="CD146" s="33"/>
      <c r="CE146" s="33" t="s">
        <v>523</v>
      </c>
      <c r="CF146" s="33" t="s">
        <v>636</v>
      </c>
      <c r="CG146" s="33" t="s">
        <v>2425</v>
      </c>
      <c r="CH146" s="33" t="s">
        <v>526</v>
      </c>
      <c r="CI146" s="33" t="s">
        <v>521</v>
      </c>
      <c r="CJ146" s="33" t="s">
        <v>521</v>
      </c>
      <c r="CK146" s="33"/>
      <c r="CL146" s="33" t="s">
        <v>212</v>
      </c>
      <c r="CM146" s="33"/>
      <c r="CN146" s="33" t="s">
        <v>257</v>
      </c>
      <c r="CO146" s="33" t="s">
        <v>269</v>
      </c>
      <c r="CP146" s="33" t="s">
        <v>2426</v>
      </c>
      <c r="CQ146" s="33" t="s">
        <v>2289</v>
      </c>
      <c r="CR146" s="33" t="s">
        <v>2290</v>
      </c>
      <c r="CS146" s="33" t="s">
        <v>2427</v>
      </c>
      <c r="CT146" s="33" t="s">
        <v>257</v>
      </c>
      <c r="CU146" s="33" t="s">
        <v>269</v>
      </c>
      <c r="CV146" s="33" t="s">
        <v>2426</v>
      </c>
      <c r="CW146" s="33" t="s">
        <v>2289</v>
      </c>
      <c r="CX146" s="33" t="s">
        <v>2290</v>
      </c>
      <c r="CY146" s="33" t="s">
        <v>212</v>
      </c>
      <c r="CZ146" s="33" t="s">
        <v>698</v>
      </c>
      <c r="DA146" s="33" t="s">
        <v>2428</v>
      </c>
      <c r="DB146" s="33" t="s">
        <v>212</v>
      </c>
      <c r="DC146" s="33" t="s">
        <v>698</v>
      </c>
      <c r="DD146" s="33" t="s">
        <v>2429</v>
      </c>
      <c r="DE146" s="33" t="s">
        <v>2430</v>
      </c>
      <c r="DF146" s="34" t="s">
        <v>2431</v>
      </c>
      <c r="DG146" s="27" cm="1">
        <f t="array" ref="DG146">INDEX('elenco partner'!A:M,MATCH(1,(D146='elenco partner'!A:A)*('Partner data'!M146='elenco partner'!E:E),0),4)</f>
        <v>17</v>
      </c>
      <c r="DH146" s="83" t="str">
        <f t="shared" si="58"/>
        <v>BL1 non presente</v>
      </c>
      <c r="DI146" s="20">
        <f>COUNTIFS('MY-REPORT-MAIN'!C:C,'Partner data'!DG146,'MY-REPORT-MAIN'!I:I,"Certified")</f>
        <v>0</v>
      </c>
      <c r="DJ146" s="20">
        <f>COUNTIFS(List_Of_chek_list!M:M,"&lt;&gt;26",List_Of_chek_list!B:B,'Partner data'!DG146)</f>
        <v>0</v>
      </c>
      <c r="DK146" s="20">
        <f t="shared" si="59"/>
        <v>0</v>
      </c>
      <c r="DL146" s="19" t="str">
        <f>IF(DH146="Tasso Forfettario 20%",SUMIFS(List_Of_chek_list!#REF!,List_Of_chek_list!B:B,'Partner data'!DG146),"NON PERTINENTE")</f>
        <v>NON PERTINENTE</v>
      </c>
      <c r="DM146" s="19" t="str">
        <f t="shared" si="60"/>
        <v>NON PERTINENTE</v>
      </c>
      <c r="DN146" s="110">
        <f>_xlfn.MAXIFS('MY-REPORT-MAIN'!K:K,'MY-REPORT-MAIN'!C:C,DG146)</f>
        <v>45537</v>
      </c>
      <c r="DO146" s="112" t="str">
        <f>IF(_xlfn.MAXIFS('MY-REPORT-MAIN'!M:M,'MY-REPORT-MAIN'!C:C,DG146)=0,"Nessun rendiconto  Convalidato",_xlfn.MAXIFS('MY-REPORT-MAIN'!M:M,'MY-REPORT-MAIN'!C:C,DG146))</f>
        <v>Nessun rendiconto  Convalidato</v>
      </c>
      <c r="DP146" s="113" t="str" cm="1">
        <f t="array" ref="DP146">IFERROR(INDEX('MY-REPORT-MAIN'!A:Z,MATCH(1,(DO146='MY-REPORT-MAIN'!M:M)*('Partner data'!DG146='MY-REPORT-MAIN'!C:C),0),1),"NON è stato convalidato ancora nessun rendiconto")</f>
        <v>NON è stato convalidato ancora nessun rendiconto</v>
      </c>
      <c r="DQ146" s="111" t="str">
        <f>IFERROR(INDEX('MY-REPORT-MAIN'!A:Z,MATCH('Partner data'!DP146,'MY-REPORT-MAIN'!A:A,0),21),"Nessun Rendiconto ancora convalidato")</f>
        <v>Nessun Rendiconto ancora convalidato</v>
      </c>
      <c r="DR146" s="110">
        <f>INDEX('Interreg VI-A Italy-Slovenia_pr'!A:E,MATCH('Partner data'!C146,'Interreg VI-A Italy-Slovenia_pr'!A:A,0),3)</f>
        <v>44805</v>
      </c>
      <c r="DS146" s="118">
        <f t="shared" si="48"/>
        <v>0</v>
      </c>
      <c r="DT146" s="118">
        <f t="shared" si="49"/>
        <v>0</v>
      </c>
      <c r="DU146" s="118">
        <f t="shared" si="50"/>
        <v>0</v>
      </c>
      <c r="DV146" s="118">
        <f t="shared" si="51"/>
        <v>0</v>
      </c>
      <c r="DW146" s="118">
        <f t="shared" si="52"/>
        <v>400000</v>
      </c>
      <c r="DX146" s="118">
        <f t="shared" si="53"/>
        <v>800000</v>
      </c>
      <c r="DY146" s="118">
        <f t="shared" si="54"/>
        <v>800000</v>
      </c>
      <c r="DZ146" s="118">
        <f t="shared" si="55"/>
        <v>800000</v>
      </c>
      <c r="EA146" s="118">
        <f t="shared" si="56"/>
        <v>800000</v>
      </c>
      <c r="EB146" s="118">
        <f t="shared" si="57"/>
        <v>800000</v>
      </c>
    </row>
    <row r="147" spans="1:132" x14ac:dyDescent="0.25">
      <c r="A147" s="28">
        <v>3</v>
      </c>
      <c r="B147" s="29" t="s">
        <v>2432</v>
      </c>
      <c r="C147" s="30" t="s">
        <v>2433</v>
      </c>
      <c r="D147" s="30" t="s">
        <v>59</v>
      </c>
      <c r="E147" s="30" t="s">
        <v>2434</v>
      </c>
      <c r="F147" s="30" t="s">
        <v>2435</v>
      </c>
      <c r="G147" s="30" t="s">
        <v>491</v>
      </c>
      <c r="H147" s="30" t="s">
        <v>766</v>
      </c>
      <c r="I147" s="30" t="s">
        <v>767</v>
      </c>
      <c r="J147" s="31" t="s">
        <v>494</v>
      </c>
      <c r="K147" s="31" t="s">
        <v>495</v>
      </c>
      <c r="L147" s="31" t="s">
        <v>496</v>
      </c>
      <c r="M147" s="31" t="s">
        <v>52</v>
      </c>
      <c r="N147" s="31" t="s">
        <v>2436</v>
      </c>
      <c r="O147" s="31" t="s">
        <v>2437</v>
      </c>
      <c r="P147" s="31" t="s">
        <v>257</v>
      </c>
      <c r="Q147" s="31" t="s">
        <v>556</v>
      </c>
      <c r="R147" s="31" t="s">
        <v>270</v>
      </c>
      <c r="S147" s="32">
        <v>845156.64</v>
      </c>
      <c r="T147" s="32">
        <v>80</v>
      </c>
      <c r="U147" s="32">
        <v>24.15</v>
      </c>
      <c r="V147" s="32">
        <v>0</v>
      </c>
      <c r="W147" s="32">
        <v>0</v>
      </c>
      <c r="X147" s="32">
        <v>0</v>
      </c>
      <c r="Y147" s="32">
        <v>0</v>
      </c>
      <c r="Z147" s="32">
        <v>0</v>
      </c>
      <c r="AA147" s="32">
        <v>0</v>
      </c>
      <c r="AB147" s="32">
        <v>0</v>
      </c>
      <c r="AC147" s="32">
        <v>0</v>
      </c>
      <c r="AD147" s="32">
        <v>0</v>
      </c>
      <c r="AE147" s="32">
        <v>0</v>
      </c>
      <c r="AF147" s="32">
        <v>0</v>
      </c>
      <c r="AG147" s="32">
        <v>0</v>
      </c>
      <c r="AH147" s="32">
        <v>0</v>
      </c>
      <c r="AI147" s="32">
        <v>0</v>
      </c>
      <c r="AJ147" s="32">
        <v>0</v>
      </c>
      <c r="AK147" s="32">
        <v>0</v>
      </c>
      <c r="AL147" s="32">
        <v>0</v>
      </c>
      <c r="AM147" s="32">
        <v>0</v>
      </c>
      <c r="AN147" s="32">
        <v>211289.16</v>
      </c>
      <c r="AO147" s="32">
        <v>0</v>
      </c>
      <c r="AP147" s="32">
        <v>0</v>
      </c>
      <c r="AQ147" s="32">
        <v>211289.16</v>
      </c>
      <c r="AR147" s="32">
        <v>1056445.8</v>
      </c>
      <c r="AS147" s="32">
        <v>24.15</v>
      </c>
      <c r="AT147" s="32">
        <v>169215.8</v>
      </c>
      <c r="AU147" s="32">
        <v>169215.8</v>
      </c>
      <c r="AV147" s="32">
        <v>0</v>
      </c>
      <c r="AW147" s="32">
        <v>0</v>
      </c>
      <c r="AX147" s="32">
        <v>25382.37</v>
      </c>
      <c r="AY147" s="32">
        <v>25382.37</v>
      </c>
      <c r="AZ147" s="32">
        <v>6768.63</v>
      </c>
      <c r="BA147" s="32">
        <v>6768.63</v>
      </c>
      <c r="BB147" s="32">
        <v>0</v>
      </c>
      <c r="BC147" s="32">
        <v>0</v>
      </c>
      <c r="BD147" s="32">
        <v>788079</v>
      </c>
      <c r="BE147" s="32">
        <v>788079</v>
      </c>
      <c r="BF147" s="32">
        <v>0</v>
      </c>
      <c r="BG147" s="32">
        <v>58000</v>
      </c>
      <c r="BH147" s="32">
        <v>58000</v>
      </c>
      <c r="BI147" s="32">
        <v>0</v>
      </c>
      <c r="BJ147" s="32">
        <v>0</v>
      </c>
      <c r="BK147" s="32">
        <v>0</v>
      </c>
      <c r="BL147" s="32">
        <v>0</v>
      </c>
      <c r="BM147" s="32">
        <v>0</v>
      </c>
      <c r="BN147" s="32">
        <v>0</v>
      </c>
      <c r="BO147" s="32">
        <v>9000</v>
      </c>
      <c r="BP147" s="32">
        <v>9000</v>
      </c>
      <c r="BQ147" s="32">
        <v>41980.58</v>
      </c>
      <c r="BR147" s="32">
        <v>215412</v>
      </c>
      <c r="BS147" s="32">
        <v>66442.22</v>
      </c>
      <c r="BT147" s="32">
        <v>370162</v>
      </c>
      <c r="BU147" s="32">
        <v>256266</v>
      </c>
      <c r="BV147" s="32">
        <v>97183</v>
      </c>
      <c r="BW147" s="32">
        <v>0</v>
      </c>
      <c r="BX147" s="32">
        <v>0</v>
      </c>
      <c r="BY147" s="32">
        <v>0</v>
      </c>
      <c r="BZ147" s="32">
        <v>0</v>
      </c>
      <c r="CA147" s="32">
        <v>0</v>
      </c>
      <c r="CB147" s="33" t="s">
        <v>212</v>
      </c>
      <c r="CC147" s="33" t="s">
        <v>743</v>
      </c>
      <c r="CD147" s="33"/>
      <c r="CE147" s="33" t="s">
        <v>684</v>
      </c>
      <c r="CF147" s="33" t="s">
        <v>1748</v>
      </c>
      <c r="CG147" s="33" t="s">
        <v>2438</v>
      </c>
      <c r="CH147" s="33" t="s">
        <v>619</v>
      </c>
      <c r="CI147" s="33" t="s">
        <v>2438</v>
      </c>
      <c r="CJ147" s="33" t="s">
        <v>212</v>
      </c>
      <c r="CK147" s="33"/>
      <c r="CL147" s="33" t="s">
        <v>212</v>
      </c>
      <c r="CM147" s="33"/>
      <c r="CN147" s="33" t="s">
        <v>257</v>
      </c>
      <c r="CO147" s="33" t="s">
        <v>270</v>
      </c>
      <c r="CP147" s="33" t="s">
        <v>1318</v>
      </c>
      <c r="CQ147" s="33" t="s">
        <v>2439</v>
      </c>
      <c r="CR147" s="33" t="s">
        <v>687</v>
      </c>
      <c r="CS147" s="33" t="s">
        <v>2440</v>
      </c>
      <c r="CT147" s="33"/>
      <c r="CU147" s="33"/>
      <c r="CV147" s="33"/>
      <c r="CW147" s="33"/>
      <c r="CX147" s="33"/>
      <c r="CY147" s="33" t="s">
        <v>892</v>
      </c>
      <c r="CZ147" s="33" t="s">
        <v>623</v>
      </c>
      <c r="DA147" s="33" t="s">
        <v>1321</v>
      </c>
      <c r="DB147" s="33" t="s">
        <v>892</v>
      </c>
      <c r="DC147" s="33" t="s">
        <v>1050</v>
      </c>
      <c r="DD147" s="33" t="s">
        <v>2441</v>
      </c>
      <c r="DE147" s="33" t="s">
        <v>2442</v>
      </c>
      <c r="DF147" s="34" t="s">
        <v>2443</v>
      </c>
      <c r="DG147" s="27" cm="1">
        <f t="array" ref="DG147">INDEX('elenco partner'!A:M,MATCH(1,(D147='elenco partner'!A:A)*('Partner data'!M147='elenco partner'!E:E),0),4)</f>
        <v>314</v>
      </c>
      <c r="DH147" s="83" t="str">
        <f t="shared" si="58"/>
        <v>Tasso Forfettario 20%</v>
      </c>
      <c r="DI147" s="20">
        <f>COUNTIFS('MY-REPORT-MAIN'!C:C,'Partner data'!DG147,'MY-REPORT-MAIN'!I:I,"Certified")</f>
        <v>2</v>
      </c>
      <c r="DJ147" s="20">
        <f>COUNTIFS(List_Of_chek_list!M:M,"&lt;&gt;26",List_Of_chek_list!B:B,'Partner data'!DG147)</f>
        <v>1</v>
      </c>
      <c r="DK147" s="20">
        <f t="shared" si="59"/>
        <v>1</v>
      </c>
      <c r="DL147" s="19" t="e">
        <f>IF(DH147="Tasso Forfettario 20%",SUMIFS(List_Of_chek_list!#REF!,List_Of_chek_list!B:B,'Partner data'!DG147),"NON PERTINENTE")</f>
        <v>#REF!</v>
      </c>
      <c r="DM147" s="19" t="e">
        <f t="shared" si="60"/>
        <v>#REF!</v>
      </c>
      <c r="DN147" s="110">
        <f>_xlfn.MAXIFS('MY-REPORT-MAIN'!K:K,'MY-REPORT-MAIN'!C:C,DG147)</f>
        <v>45387.499542592595</v>
      </c>
      <c r="DO147" s="112">
        <f>IF(_xlfn.MAXIFS('MY-REPORT-MAIN'!M:M,'MY-REPORT-MAIN'!C:C,DG147)=0,"Nessun rendiconto  Convalidato",_xlfn.MAXIFS('MY-REPORT-MAIN'!M:M,'MY-REPORT-MAIN'!C:C,DG147))</f>
        <v>45478.468679224534</v>
      </c>
      <c r="DP147" s="113" cm="1">
        <f t="array" ref="DP147">IFERROR(INDEX('MY-REPORT-MAIN'!A:Z,MATCH(1,(DO147='MY-REPORT-MAIN'!M:M)*('Partner data'!DG147='MY-REPORT-MAIN'!C:C),0),1),"NON è stato convalidato ancora nessun rendiconto")</f>
        <v>166</v>
      </c>
      <c r="DQ147" s="111">
        <f>IFERROR(INDEX('MY-REPORT-MAIN'!A:Z,MATCH('Partner data'!DP147,'MY-REPORT-MAIN'!A:A,0),21),"Nessun Rendiconto ancora convalidato")</f>
        <v>123147.58</v>
      </c>
      <c r="DR147" s="110">
        <f>INDEX('Interreg VI-A Italy-Slovenia_pr'!A:E,MATCH('Partner data'!C147,'Interreg VI-A Italy-Slovenia_pr'!A:A,0),3)</f>
        <v>44927</v>
      </c>
      <c r="DS147" s="118">
        <f t="shared" si="48"/>
        <v>50980.58</v>
      </c>
      <c r="DT147" s="118">
        <f t="shared" si="49"/>
        <v>266392.58</v>
      </c>
      <c r="DU147" s="118">
        <f t="shared" si="50"/>
        <v>332834.80000000005</v>
      </c>
      <c r="DV147" s="118">
        <f t="shared" si="51"/>
        <v>702996.8</v>
      </c>
      <c r="DW147" s="118">
        <f t="shared" si="52"/>
        <v>959262.8</v>
      </c>
      <c r="DX147" s="118">
        <f t="shared" si="53"/>
        <v>1056445.8</v>
      </c>
      <c r="DY147" s="118">
        <f t="shared" si="54"/>
        <v>1056445.8</v>
      </c>
      <c r="DZ147" s="118">
        <f t="shared" si="55"/>
        <v>1056445.8</v>
      </c>
      <c r="EA147" s="118">
        <f t="shared" si="56"/>
        <v>1056445.8</v>
      </c>
      <c r="EB147" s="118">
        <f t="shared" si="57"/>
        <v>1056445.8</v>
      </c>
    </row>
    <row r="148" spans="1:132" ht="45" x14ac:dyDescent="0.25">
      <c r="A148" s="28">
        <v>3</v>
      </c>
      <c r="B148" s="29" t="s">
        <v>2432</v>
      </c>
      <c r="C148" s="30" t="s">
        <v>2433</v>
      </c>
      <c r="D148" s="30" t="s">
        <v>59</v>
      </c>
      <c r="E148" s="30" t="s">
        <v>2434</v>
      </c>
      <c r="F148" s="30" t="s">
        <v>2435</v>
      </c>
      <c r="G148" s="30" t="s">
        <v>491</v>
      </c>
      <c r="H148" s="30" t="s">
        <v>766</v>
      </c>
      <c r="I148" s="30" t="s">
        <v>767</v>
      </c>
      <c r="J148" s="31" t="s">
        <v>518</v>
      </c>
      <c r="K148" s="31" t="s">
        <v>495</v>
      </c>
      <c r="L148" s="31" t="s">
        <v>519</v>
      </c>
      <c r="M148" s="31" t="s">
        <v>344</v>
      </c>
      <c r="N148" s="31" t="s">
        <v>344</v>
      </c>
      <c r="O148" s="31" t="s">
        <v>2444</v>
      </c>
      <c r="P148" s="31" t="s">
        <v>257</v>
      </c>
      <c r="Q148" s="31" t="s">
        <v>556</v>
      </c>
      <c r="R148" s="31" t="s">
        <v>270</v>
      </c>
      <c r="S148" s="32">
        <v>560000.80000000005</v>
      </c>
      <c r="T148" s="32">
        <v>80</v>
      </c>
      <c r="U148" s="32">
        <v>16</v>
      </c>
      <c r="V148" s="32">
        <v>0</v>
      </c>
      <c r="W148" s="32">
        <v>0</v>
      </c>
      <c r="X148" s="32">
        <v>0</v>
      </c>
      <c r="Y148" s="32">
        <v>0</v>
      </c>
      <c r="Z148" s="32">
        <v>0</v>
      </c>
      <c r="AA148" s="32">
        <v>0</v>
      </c>
      <c r="AB148" s="32">
        <v>0</v>
      </c>
      <c r="AC148" s="32">
        <v>0</v>
      </c>
      <c r="AD148" s="32">
        <v>0</v>
      </c>
      <c r="AE148" s="32">
        <v>0</v>
      </c>
      <c r="AF148" s="32">
        <v>0</v>
      </c>
      <c r="AG148" s="32">
        <v>0</v>
      </c>
      <c r="AH148" s="32">
        <v>0</v>
      </c>
      <c r="AI148" s="32">
        <v>0</v>
      </c>
      <c r="AJ148" s="32">
        <v>0</v>
      </c>
      <c r="AK148" s="32">
        <v>0</v>
      </c>
      <c r="AL148" s="32">
        <v>0</v>
      </c>
      <c r="AM148" s="32">
        <v>0</v>
      </c>
      <c r="AN148" s="32">
        <v>140000.20000000001</v>
      </c>
      <c r="AO148" s="32">
        <v>0</v>
      </c>
      <c r="AP148" s="32">
        <v>0</v>
      </c>
      <c r="AQ148" s="32">
        <v>140000.20000000001</v>
      </c>
      <c r="AR148" s="32">
        <v>700001</v>
      </c>
      <c r="AS148" s="32">
        <v>16</v>
      </c>
      <c r="AT148" s="32">
        <v>0</v>
      </c>
      <c r="AU148" s="32">
        <v>0</v>
      </c>
      <c r="AV148" s="32">
        <v>0</v>
      </c>
      <c r="AW148" s="32">
        <v>0</v>
      </c>
      <c r="AX148" s="32">
        <v>0</v>
      </c>
      <c r="AY148" s="32">
        <v>0</v>
      </c>
      <c r="AZ148" s="32">
        <v>0</v>
      </c>
      <c r="BA148" s="32">
        <v>0</v>
      </c>
      <c r="BB148" s="32">
        <v>0</v>
      </c>
      <c r="BC148" s="32">
        <v>0</v>
      </c>
      <c r="BD148" s="32">
        <v>24000</v>
      </c>
      <c r="BE148" s="32">
        <v>24000</v>
      </c>
      <c r="BF148" s="32">
        <v>0</v>
      </c>
      <c r="BG148" s="32">
        <v>100001</v>
      </c>
      <c r="BH148" s="32">
        <v>100001</v>
      </c>
      <c r="BI148" s="32">
        <v>0</v>
      </c>
      <c r="BJ148" s="32">
        <v>576000</v>
      </c>
      <c r="BK148" s="32">
        <v>576000</v>
      </c>
      <c r="BL148" s="32">
        <v>0</v>
      </c>
      <c r="BM148" s="32">
        <v>0</v>
      </c>
      <c r="BN148" s="32">
        <v>0</v>
      </c>
      <c r="BO148" s="32">
        <v>0</v>
      </c>
      <c r="BP148" s="32">
        <v>0</v>
      </c>
      <c r="BQ148" s="32">
        <v>13000</v>
      </c>
      <c r="BR148" s="32">
        <v>100000</v>
      </c>
      <c r="BS148" s="32">
        <v>580001</v>
      </c>
      <c r="BT148" s="32">
        <v>7000</v>
      </c>
      <c r="BU148" s="32">
        <v>0</v>
      </c>
      <c r="BV148" s="32">
        <v>0</v>
      </c>
      <c r="BW148" s="32">
        <v>0</v>
      </c>
      <c r="BX148" s="32">
        <v>0</v>
      </c>
      <c r="BY148" s="32">
        <v>0</v>
      </c>
      <c r="BZ148" s="32">
        <v>0</v>
      </c>
      <c r="CA148" s="32">
        <v>0</v>
      </c>
      <c r="CB148" s="33" t="s">
        <v>212</v>
      </c>
      <c r="CC148" s="33" t="s">
        <v>522</v>
      </c>
      <c r="CD148" s="33"/>
      <c r="CE148" s="33" t="s">
        <v>523</v>
      </c>
      <c r="CF148" s="33" t="s">
        <v>829</v>
      </c>
      <c r="CG148" s="33" t="s">
        <v>2445</v>
      </c>
      <c r="CH148" s="33" t="s">
        <v>526</v>
      </c>
      <c r="CI148" s="33"/>
      <c r="CJ148" s="33" t="s">
        <v>212</v>
      </c>
      <c r="CK148" s="33"/>
      <c r="CL148" s="33" t="s">
        <v>212</v>
      </c>
      <c r="CM148" s="33"/>
      <c r="CN148" s="33" t="s">
        <v>257</v>
      </c>
      <c r="CO148" s="33" t="s">
        <v>270</v>
      </c>
      <c r="CP148" s="33" t="s">
        <v>2446</v>
      </c>
      <c r="CQ148" s="33" t="s">
        <v>686</v>
      </c>
      <c r="CR148" s="33" t="s">
        <v>687</v>
      </c>
      <c r="CS148" s="33" t="s">
        <v>1915</v>
      </c>
      <c r="CT148" s="33"/>
      <c r="CU148" s="33"/>
      <c r="CV148" s="33"/>
      <c r="CW148" s="33"/>
      <c r="CX148" s="33"/>
      <c r="CY148" s="33" t="s">
        <v>892</v>
      </c>
      <c r="CZ148" s="33" t="s">
        <v>643</v>
      </c>
      <c r="DA148" s="33" t="s">
        <v>1917</v>
      </c>
      <c r="DB148" s="33" t="s">
        <v>895</v>
      </c>
      <c r="DC148" s="33" t="s">
        <v>1534</v>
      </c>
      <c r="DD148" s="33" t="s">
        <v>2447</v>
      </c>
      <c r="DE148" s="33" t="s">
        <v>2448</v>
      </c>
      <c r="DF148" s="34" t="s">
        <v>2449</v>
      </c>
      <c r="DG148" s="27" cm="1">
        <f t="array" ref="DG148">INDEX('elenco partner'!A:M,MATCH(1,(D148='elenco partner'!A:A)*('Partner data'!M148='elenco partner'!E:E),0),4)</f>
        <v>315</v>
      </c>
      <c r="DH148" s="83" t="str">
        <f t="shared" si="58"/>
        <v>BL1 non presente</v>
      </c>
      <c r="DI148" s="20">
        <f>COUNTIFS('MY-REPORT-MAIN'!C:C,'Partner data'!DG148,'MY-REPORT-MAIN'!I:I,"Certified")</f>
        <v>0</v>
      </c>
      <c r="DJ148" s="20">
        <f>COUNTIFS(List_Of_chek_list!M:M,"&lt;&gt;26",List_Of_chek_list!B:B,'Partner data'!DG148)</f>
        <v>0</v>
      </c>
      <c r="DK148" s="20">
        <f t="shared" si="59"/>
        <v>0</v>
      </c>
      <c r="DL148" s="19" t="str">
        <f>IF(DH148="Tasso Forfettario 20%",SUMIFS(List_Of_chek_list!#REF!,List_Of_chek_list!B:B,'Partner data'!DG148),"NON PERTINENTE")</f>
        <v>NON PERTINENTE</v>
      </c>
      <c r="DM148" s="19" t="str">
        <f t="shared" si="60"/>
        <v>NON PERTINENTE</v>
      </c>
      <c r="DN148" s="110">
        <f>_xlfn.MAXIFS('MY-REPORT-MAIN'!K:K,'MY-REPORT-MAIN'!C:C,DG148)</f>
        <v>0</v>
      </c>
      <c r="DO148" s="112" t="str">
        <f>IF(_xlfn.MAXIFS('MY-REPORT-MAIN'!M:M,'MY-REPORT-MAIN'!C:C,DG148)=0,"Nessun rendiconto  Convalidato",_xlfn.MAXIFS('MY-REPORT-MAIN'!M:M,'MY-REPORT-MAIN'!C:C,DG148))</f>
        <v>Nessun rendiconto  Convalidato</v>
      </c>
      <c r="DP148" s="113" t="str" cm="1">
        <f t="array" ref="DP148">IFERROR(INDEX('MY-REPORT-MAIN'!A:Z,MATCH(1,(DO148='MY-REPORT-MAIN'!M:M)*('Partner data'!DG148='MY-REPORT-MAIN'!C:C),0),1),"NON è stato convalidato ancora nessun rendiconto")</f>
        <v>NON è stato convalidato ancora nessun rendiconto</v>
      </c>
      <c r="DQ148" s="111" t="str">
        <f>IFERROR(INDEX('MY-REPORT-MAIN'!A:Z,MATCH('Partner data'!DP148,'MY-REPORT-MAIN'!A:A,0),21),"Nessun Rendiconto ancora convalidato")</f>
        <v>Nessun Rendiconto ancora convalidato</v>
      </c>
      <c r="DR148" s="110">
        <f>INDEX('Interreg VI-A Italy-Slovenia_pr'!A:E,MATCH('Partner data'!C148,'Interreg VI-A Italy-Slovenia_pr'!A:A,0),3)</f>
        <v>44927</v>
      </c>
      <c r="DS148" s="118">
        <f t="shared" si="48"/>
        <v>13000</v>
      </c>
      <c r="DT148" s="118">
        <f t="shared" si="49"/>
        <v>113000</v>
      </c>
      <c r="DU148" s="118">
        <f t="shared" si="50"/>
        <v>693001</v>
      </c>
      <c r="DV148" s="118">
        <f t="shared" si="51"/>
        <v>700001</v>
      </c>
      <c r="DW148" s="118">
        <f t="shared" si="52"/>
        <v>700001</v>
      </c>
      <c r="DX148" s="118">
        <f t="shared" si="53"/>
        <v>700001</v>
      </c>
      <c r="DY148" s="118">
        <f t="shared" si="54"/>
        <v>700001</v>
      </c>
      <c r="DZ148" s="118">
        <f t="shared" si="55"/>
        <v>700001</v>
      </c>
      <c r="EA148" s="118">
        <f t="shared" si="56"/>
        <v>700001</v>
      </c>
      <c r="EB148" s="118">
        <f t="shared" si="57"/>
        <v>700001</v>
      </c>
    </row>
    <row r="149" spans="1:132" x14ac:dyDescent="0.25">
      <c r="A149" s="28">
        <v>3</v>
      </c>
      <c r="B149" s="29" t="s">
        <v>2432</v>
      </c>
      <c r="C149" s="30" t="s">
        <v>2433</v>
      </c>
      <c r="D149" s="30" t="s">
        <v>59</v>
      </c>
      <c r="E149" s="30" t="s">
        <v>2434</v>
      </c>
      <c r="F149" s="30" t="s">
        <v>2435</v>
      </c>
      <c r="G149" s="30" t="s">
        <v>491</v>
      </c>
      <c r="H149" s="30" t="s">
        <v>766</v>
      </c>
      <c r="I149" s="30" t="s">
        <v>767</v>
      </c>
      <c r="J149" s="31" t="s">
        <v>538</v>
      </c>
      <c r="K149" s="31" t="s">
        <v>495</v>
      </c>
      <c r="L149" s="31" t="s">
        <v>519</v>
      </c>
      <c r="M149" s="31" t="s">
        <v>28</v>
      </c>
      <c r="N149" s="31" t="s">
        <v>2450</v>
      </c>
      <c r="O149" s="31" t="s">
        <v>2451</v>
      </c>
      <c r="P149" s="31" t="s">
        <v>257</v>
      </c>
      <c r="Q149" s="31" t="s">
        <v>556</v>
      </c>
      <c r="R149" s="31" t="s">
        <v>270</v>
      </c>
      <c r="S149" s="32">
        <v>150640</v>
      </c>
      <c r="T149" s="32">
        <v>80</v>
      </c>
      <c r="U149" s="32">
        <v>4.3</v>
      </c>
      <c r="V149" s="32">
        <v>0</v>
      </c>
      <c r="W149" s="32">
        <v>0</v>
      </c>
      <c r="X149" s="32">
        <v>0</v>
      </c>
      <c r="Y149" s="32">
        <v>0</v>
      </c>
      <c r="Z149" s="32">
        <v>0</v>
      </c>
      <c r="AA149" s="32">
        <v>0</v>
      </c>
      <c r="AB149" s="32">
        <v>0</v>
      </c>
      <c r="AC149" s="32">
        <v>0</v>
      </c>
      <c r="AD149" s="32">
        <v>0</v>
      </c>
      <c r="AE149" s="32">
        <v>0</v>
      </c>
      <c r="AF149" s="32">
        <v>0</v>
      </c>
      <c r="AG149" s="32">
        <v>0</v>
      </c>
      <c r="AH149" s="32">
        <v>0</v>
      </c>
      <c r="AI149" s="32">
        <v>0</v>
      </c>
      <c r="AJ149" s="32">
        <v>0</v>
      </c>
      <c r="AK149" s="32">
        <v>0</v>
      </c>
      <c r="AL149" s="32">
        <v>0</v>
      </c>
      <c r="AM149" s="32">
        <v>0</v>
      </c>
      <c r="AN149" s="32">
        <v>37660</v>
      </c>
      <c r="AO149" s="32">
        <v>0</v>
      </c>
      <c r="AP149" s="32">
        <v>0</v>
      </c>
      <c r="AQ149" s="32">
        <v>37660</v>
      </c>
      <c r="AR149" s="32">
        <v>188300</v>
      </c>
      <c r="AS149" s="32">
        <v>4.3</v>
      </c>
      <c r="AT149" s="32">
        <v>134500</v>
      </c>
      <c r="AU149" s="32">
        <v>0</v>
      </c>
      <c r="AV149" s="32">
        <v>134500</v>
      </c>
      <c r="AW149" s="32">
        <v>0</v>
      </c>
      <c r="AX149" s="32">
        <v>0</v>
      </c>
      <c r="AY149" s="32">
        <v>0</v>
      </c>
      <c r="AZ149" s="32">
        <v>0</v>
      </c>
      <c r="BA149" s="32">
        <v>0</v>
      </c>
      <c r="BB149" s="32">
        <v>0</v>
      </c>
      <c r="BC149" s="32">
        <v>0</v>
      </c>
      <c r="BD149" s="32">
        <v>0</v>
      </c>
      <c r="BE149" s="32">
        <v>0</v>
      </c>
      <c r="BF149" s="32">
        <v>0</v>
      </c>
      <c r="BG149" s="32">
        <v>0</v>
      </c>
      <c r="BH149" s="32">
        <v>0</v>
      </c>
      <c r="BI149" s="32">
        <v>0</v>
      </c>
      <c r="BJ149" s="32">
        <v>0</v>
      </c>
      <c r="BK149" s="32">
        <v>0</v>
      </c>
      <c r="BL149" s="32">
        <v>0</v>
      </c>
      <c r="BM149" s="32">
        <v>53800</v>
      </c>
      <c r="BN149" s="32">
        <v>0</v>
      </c>
      <c r="BO149" s="32">
        <v>0</v>
      </c>
      <c r="BP149" s="32">
        <v>0</v>
      </c>
      <c r="BQ149" s="32">
        <v>23683.32</v>
      </c>
      <c r="BR149" s="32">
        <v>36283.32</v>
      </c>
      <c r="BS149" s="32">
        <v>36283.32</v>
      </c>
      <c r="BT149" s="32">
        <v>32083.32</v>
      </c>
      <c r="BU149" s="32">
        <v>36283.32</v>
      </c>
      <c r="BV149" s="32">
        <v>23683.4</v>
      </c>
      <c r="BW149" s="32">
        <v>0</v>
      </c>
      <c r="BX149" s="32">
        <v>0</v>
      </c>
      <c r="BY149" s="32">
        <v>0</v>
      </c>
      <c r="BZ149" s="32">
        <v>0</v>
      </c>
      <c r="CA149" s="32">
        <v>0</v>
      </c>
      <c r="CB149" s="33" t="s">
        <v>212</v>
      </c>
      <c r="CC149" s="33" t="s">
        <v>743</v>
      </c>
      <c r="CD149" s="33"/>
      <c r="CE149" s="33" t="s">
        <v>523</v>
      </c>
      <c r="CF149" s="33" t="s">
        <v>1303</v>
      </c>
      <c r="CG149" s="33" t="s">
        <v>2452</v>
      </c>
      <c r="CH149" s="33" t="s">
        <v>526</v>
      </c>
      <c r="CI149" s="33"/>
      <c r="CJ149" s="33" t="s">
        <v>212</v>
      </c>
      <c r="CK149" s="33"/>
      <c r="CL149" s="33" t="s">
        <v>212</v>
      </c>
      <c r="CM149" s="33"/>
      <c r="CN149" s="33" t="s">
        <v>257</v>
      </c>
      <c r="CO149" s="33" t="s">
        <v>270</v>
      </c>
      <c r="CP149" s="33" t="s">
        <v>2453</v>
      </c>
      <c r="CQ149" s="33" t="s">
        <v>2454</v>
      </c>
      <c r="CR149" s="33" t="s">
        <v>987</v>
      </c>
      <c r="CS149" s="33" t="s">
        <v>988</v>
      </c>
      <c r="CT149" s="33"/>
      <c r="CU149" s="33"/>
      <c r="CV149" s="33"/>
      <c r="CW149" s="33"/>
      <c r="CX149" s="33"/>
      <c r="CY149" s="33" t="s">
        <v>892</v>
      </c>
      <c r="CZ149" s="33" t="s">
        <v>1978</v>
      </c>
      <c r="DA149" s="33" t="s">
        <v>992</v>
      </c>
      <c r="DB149" s="33" t="s">
        <v>895</v>
      </c>
      <c r="DC149" s="33" t="s">
        <v>2317</v>
      </c>
      <c r="DD149" s="33" t="s">
        <v>2455</v>
      </c>
      <c r="DE149" s="33" t="s">
        <v>2456</v>
      </c>
      <c r="DF149" s="34" t="s">
        <v>2457</v>
      </c>
      <c r="DG149" s="27" cm="1">
        <f t="array" ref="DG149">INDEX('elenco partner'!A:M,MATCH(1,(D149='elenco partner'!A:A)*('Partner data'!M149='elenco partner'!E:E),0),4)</f>
        <v>317</v>
      </c>
      <c r="DH149" s="83" t="str">
        <f t="shared" si="58"/>
        <v>COSTO REALE</v>
      </c>
      <c r="DI149" s="20">
        <f>COUNTIFS('MY-REPORT-MAIN'!C:C,'Partner data'!DG149,'MY-REPORT-MAIN'!I:I,"Certified")</f>
        <v>2</v>
      </c>
      <c r="DJ149" s="20">
        <f>COUNTIFS(List_Of_chek_list!M:M,"&lt;&gt;26",List_Of_chek_list!B:B,'Partner data'!DG149)</f>
        <v>1</v>
      </c>
      <c r="DK149" s="20">
        <f t="shared" si="59"/>
        <v>1</v>
      </c>
      <c r="DL149" s="19" t="str">
        <f>IF(DH149="Tasso Forfettario 20%",SUMIFS(List_Of_chek_list!#REF!,List_Of_chek_list!B:B,'Partner data'!DG149),"NON PERTINENTE")</f>
        <v>NON PERTINENTE</v>
      </c>
      <c r="DM149" s="19" t="str">
        <f t="shared" si="60"/>
        <v>NON PERTINENTE</v>
      </c>
      <c r="DN149" s="110">
        <f>_xlfn.MAXIFS('MY-REPORT-MAIN'!K:K,'MY-REPORT-MAIN'!C:C,DG149)</f>
        <v>45386.448780625004</v>
      </c>
      <c r="DO149" s="112">
        <f>IF(_xlfn.MAXIFS('MY-REPORT-MAIN'!M:M,'MY-REPORT-MAIN'!C:C,DG149)=0,"Nessun rendiconto  Convalidato",_xlfn.MAXIFS('MY-REPORT-MAIN'!M:M,'MY-REPORT-MAIN'!C:C,DG149))</f>
        <v>45482.36493329861</v>
      </c>
      <c r="DP149" s="113" cm="1">
        <f t="array" ref="DP149">IFERROR(INDEX('MY-REPORT-MAIN'!A:Z,MATCH(1,(DO149='MY-REPORT-MAIN'!M:M)*('Partner data'!DG149='MY-REPORT-MAIN'!C:C),0),1),"NON è stato convalidato ancora nessun rendiconto")</f>
        <v>253</v>
      </c>
      <c r="DQ149" s="111">
        <f>IFERROR(INDEX('MY-REPORT-MAIN'!A:Z,MATCH('Partner data'!DP149,'MY-REPORT-MAIN'!A:A,0),21),"Nessun Rendiconto ancora convalidato")</f>
        <v>28260.400000000001</v>
      </c>
      <c r="DR149" s="110">
        <f>INDEX('Interreg VI-A Italy-Slovenia_pr'!A:E,MATCH('Partner data'!C149,'Interreg VI-A Italy-Slovenia_pr'!A:A,0),3)</f>
        <v>44927</v>
      </c>
      <c r="DS149" s="118">
        <f t="shared" si="48"/>
        <v>23683.32</v>
      </c>
      <c r="DT149" s="118">
        <f t="shared" si="49"/>
        <v>59966.64</v>
      </c>
      <c r="DU149" s="118">
        <f t="shared" si="50"/>
        <v>96249.959999999992</v>
      </c>
      <c r="DV149" s="118">
        <f t="shared" si="51"/>
        <v>128333.28</v>
      </c>
      <c r="DW149" s="118">
        <f t="shared" si="52"/>
        <v>164616.6</v>
      </c>
      <c r="DX149" s="118">
        <f t="shared" si="53"/>
        <v>188300</v>
      </c>
      <c r="DY149" s="118">
        <f t="shared" si="54"/>
        <v>188300</v>
      </c>
      <c r="DZ149" s="118">
        <f t="shared" si="55"/>
        <v>188300</v>
      </c>
      <c r="EA149" s="118">
        <f t="shared" si="56"/>
        <v>188300</v>
      </c>
      <c r="EB149" s="118">
        <f t="shared" si="57"/>
        <v>188300</v>
      </c>
    </row>
    <row r="150" spans="1:132" x14ac:dyDescent="0.25">
      <c r="A150" s="28">
        <v>3</v>
      </c>
      <c r="B150" s="29" t="s">
        <v>2432</v>
      </c>
      <c r="C150" s="30" t="s">
        <v>2433</v>
      </c>
      <c r="D150" s="30" t="s">
        <v>59</v>
      </c>
      <c r="E150" s="30" t="s">
        <v>2434</v>
      </c>
      <c r="F150" s="30" t="s">
        <v>2435</v>
      </c>
      <c r="G150" s="30" t="s">
        <v>491</v>
      </c>
      <c r="H150" s="30" t="s">
        <v>766</v>
      </c>
      <c r="I150" s="30" t="s">
        <v>767</v>
      </c>
      <c r="J150" s="31" t="s">
        <v>554</v>
      </c>
      <c r="K150" s="31" t="s">
        <v>495</v>
      </c>
      <c r="L150" s="31" t="s">
        <v>519</v>
      </c>
      <c r="M150" s="31" t="s">
        <v>22</v>
      </c>
      <c r="N150" s="31" t="s">
        <v>2458</v>
      </c>
      <c r="O150" s="31" t="s">
        <v>2459</v>
      </c>
      <c r="P150" s="31" t="s">
        <v>257</v>
      </c>
      <c r="Q150" s="31" t="s">
        <v>556</v>
      </c>
      <c r="R150" s="31" t="s">
        <v>258</v>
      </c>
      <c r="S150" s="32">
        <v>96000.639999999999</v>
      </c>
      <c r="T150" s="32">
        <v>80</v>
      </c>
      <c r="U150" s="32">
        <v>2.74</v>
      </c>
      <c r="V150" s="32">
        <v>0</v>
      </c>
      <c r="W150" s="32">
        <v>0</v>
      </c>
      <c r="X150" s="32">
        <v>0</v>
      </c>
      <c r="Y150" s="32">
        <v>0</v>
      </c>
      <c r="Z150" s="32">
        <v>0</v>
      </c>
      <c r="AA150" s="32">
        <v>0</v>
      </c>
      <c r="AB150" s="32">
        <v>0</v>
      </c>
      <c r="AC150" s="32">
        <v>0</v>
      </c>
      <c r="AD150" s="32">
        <v>0</v>
      </c>
      <c r="AE150" s="32">
        <v>0</v>
      </c>
      <c r="AF150" s="32">
        <v>0</v>
      </c>
      <c r="AG150" s="32">
        <v>0</v>
      </c>
      <c r="AH150" s="32">
        <v>0</v>
      </c>
      <c r="AI150" s="32">
        <v>0</v>
      </c>
      <c r="AJ150" s="32">
        <v>0</v>
      </c>
      <c r="AK150" s="32">
        <v>0</v>
      </c>
      <c r="AL150" s="32">
        <v>0</v>
      </c>
      <c r="AM150" s="32">
        <v>0</v>
      </c>
      <c r="AN150" s="32">
        <v>24000.16</v>
      </c>
      <c r="AO150" s="32">
        <v>0</v>
      </c>
      <c r="AP150" s="32">
        <v>0</v>
      </c>
      <c r="AQ150" s="32">
        <v>24000.16</v>
      </c>
      <c r="AR150" s="32">
        <v>120000.8</v>
      </c>
      <c r="AS150" s="32">
        <v>2.74</v>
      </c>
      <c r="AT150" s="32">
        <v>100841.01</v>
      </c>
      <c r="AU150" s="32">
        <v>0</v>
      </c>
      <c r="AV150" s="32">
        <v>100841.01</v>
      </c>
      <c r="AW150" s="32">
        <v>0</v>
      </c>
      <c r="AX150" s="32">
        <v>15126.15</v>
      </c>
      <c r="AY150" s="32">
        <v>15126.15</v>
      </c>
      <c r="AZ150" s="32">
        <v>4033.64</v>
      </c>
      <c r="BA150" s="32">
        <v>4033.64</v>
      </c>
      <c r="BB150" s="32">
        <v>0</v>
      </c>
      <c r="BC150" s="32">
        <v>0</v>
      </c>
      <c r="BD150" s="32">
        <v>0</v>
      </c>
      <c r="BE150" s="32">
        <v>0</v>
      </c>
      <c r="BF150" s="32">
        <v>0</v>
      </c>
      <c r="BG150" s="32">
        <v>0</v>
      </c>
      <c r="BH150" s="32">
        <v>0</v>
      </c>
      <c r="BI150" s="32">
        <v>0</v>
      </c>
      <c r="BJ150" s="32">
        <v>0</v>
      </c>
      <c r="BK150" s="32">
        <v>0</v>
      </c>
      <c r="BL150" s="32">
        <v>0</v>
      </c>
      <c r="BM150" s="32">
        <v>0</v>
      </c>
      <c r="BN150" s="32">
        <v>0</v>
      </c>
      <c r="BO150" s="32">
        <v>0</v>
      </c>
      <c r="BP150" s="32">
        <v>0</v>
      </c>
      <c r="BQ150" s="32">
        <v>1128.1199999999999</v>
      </c>
      <c r="BR150" s="32">
        <v>15846.04</v>
      </c>
      <c r="BS150" s="32">
        <v>29031.24</v>
      </c>
      <c r="BT150" s="32">
        <v>34624.239999999998</v>
      </c>
      <c r="BU150" s="32">
        <v>30374.76</v>
      </c>
      <c r="BV150" s="32">
        <v>8996.4</v>
      </c>
      <c r="BW150" s="32">
        <v>0</v>
      </c>
      <c r="BX150" s="32">
        <v>0</v>
      </c>
      <c r="BY150" s="32">
        <v>0</v>
      </c>
      <c r="BZ150" s="32">
        <v>0</v>
      </c>
      <c r="CA150" s="32">
        <v>0</v>
      </c>
      <c r="CB150" s="33" t="s">
        <v>2460</v>
      </c>
      <c r="CC150" s="33" t="s">
        <v>949</v>
      </c>
      <c r="CD150" s="33"/>
      <c r="CE150" s="33" t="s">
        <v>523</v>
      </c>
      <c r="CF150" s="33" t="s">
        <v>829</v>
      </c>
      <c r="CG150" s="33" t="s">
        <v>2461</v>
      </c>
      <c r="CH150" s="33" t="s">
        <v>526</v>
      </c>
      <c r="CI150" s="33"/>
      <c r="CJ150" s="33" t="s">
        <v>212</v>
      </c>
      <c r="CK150" s="33"/>
      <c r="CL150" s="33" t="s">
        <v>212</v>
      </c>
      <c r="CM150" s="33"/>
      <c r="CN150" s="33" t="s">
        <v>257</v>
      </c>
      <c r="CO150" s="33" t="s">
        <v>258</v>
      </c>
      <c r="CP150" s="33" t="s">
        <v>2462</v>
      </c>
      <c r="CQ150" s="33" t="s">
        <v>620</v>
      </c>
      <c r="CR150" s="33" t="s">
        <v>621</v>
      </c>
      <c r="CS150" s="33" t="s">
        <v>2463</v>
      </c>
      <c r="CT150" s="33" t="s">
        <v>257</v>
      </c>
      <c r="CU150" s="33" t="s">
        <v>258</v>
      </c>
      <c r="CV150" s="33" t="s">
        <v>2464</v>
      </c>
      <c r="CW150" s="33" t="s">
        <v>2465</v>
      </c>
      <c r="CX150" s="33" t="s">
        <v>724</v>
      </c>
      <c r="CY150" s="33" t="s">
        <v>1077</v>
      </c>
      <c r="CZ150" s="33" t="s">
        <v>2466</v>
      </c>
      <c r="DA150" s="33" t="s">
        <v>2467</v>
      </c>
      <c r="DB150" s="33" t="s">
        <v>895</v>
      </c>
      <c r="DC150" s="33" t="s">
        <v>2468</v>
      </c>
      <c r="DD150" s="33" t="s">
        <v>2469</v>
      </c>
      <c r="DE150" s="33" t="s">
        <v>2470</v>
      </c>
      <c r="DF150" s="34" t="s">
        <v>2471</v>
      </c>
      <c r="DG150" s="27" cm="1">
        <f t="array" ref="DG150">INDEX('elenco partner'!A:M,MATCH(1,(D150='elenco partner'!A:A)*('Partner data'!M150='elenco partner'!E:E),0),4)</f>
        <v>318</v>
      </c>
      <c r="DH150" s="83" t="str">
        <f t="shared" si="58"/>
        <v>COSTO REALE</v>
      </c>
      <c r="DI150" s="20">
        <f>COUNTIFS('MY-REPORT-MAIN'!C:C,'Partner data'!DG150,'MY-REPORT-MAIN'!I:I,"Certified")</f>
        <v>2</v>
      </c>
      <c r="DJ150" s="20">
        <f>COUNTIFS(List_Of_chek_list!M:M,"&lt;&gt;26",List_Of_chek_list!B:B,'Partner data'!DG150)</f>
        <v>2</v>
      </c>
      <c r="DK150" s="20">
        <f t="shared" si="59"/>
        <v>0</v>
      </c>
      <c r="DL150" s="19" t="str">
        <f>IF(DH150="Tasso Forfettario 20%",SUMIFS(List_Of_chek_list!#REF!,List_Of_chek_list!B:B,'Partner data'!DG150),"NON PERTINENTE")</f>
        <v>NON PERTINENTE</v>
      </c>
      <c r="DM150" s="19" t="str">
        <f t="shared" si="60"/>
        <v>NON PERTINENTE</v>
      </c>
      <c r="DN150" s="110">
        <f>_xlfn.MAXIFS('MY-REPORT-MAIN'!K:K,'MY-REPORT-MAIN'!C:C,DG150)</f>
        <v>45380.381681631945</v>
      </c>
      <c r="DO150" s="112">
        <f>IF(_xlfn.MAXIFS('MY-REPORT-MAIN'!M:M,'MY-REPORT-MAIN'!C:C,DG150)=0,"Nessun rendiconto  Convalidato",_xlfn.MAXIFS('MY-REPORT-MAIN'!M:M,'MY-REPORT-MAIN'!C:C,DG150))</f>
        <v>45443.358493506945</v>
      </c>
      <c r="DP150" s="113" cm="1">
        <f t="array" ref="DP150">IFERROR(INDEX('MY-REPORT-MAIN'!A:Z,MATCH(1,(DO150='MY-REPORT-MAIN'!M:M)*('Partner data'!DG150='MY-REPORT-MAIN'!C:C),0),1),"NON è stato convalidato ancora nessun rendiconto")</f>
        <v>292</v>
      </c>
      <c r="DQ150" s="111">
        <f>IFERROR(INDEX('MY-REPORT-MAIN'!A:Z,MATCH('Partner data'!DP150,'MY-REPORT-MAIN'!A:A,0),21),"Nessun Rendiconto ancora convalidato")</f>
        <v>10819.36</v>
      </c>
      <c r="DR150" s="110">
        <f>INDEX('Interreg VI-A Italy-Slovenia_pr'!A:E,MATCH('Partner data'!C150,'Interreg VI-A Italy-Slovenia_pr'!A:A,0),3)</f>
        <v>44927</v>
      </c>
      <c r="DS150" s="118">
        <f t="shared" si="48"/>
        <v>1128.1199999999999</v>
      </c>
      <c r="DT150" s="118">
        <f t="shared" si="49"/>
        <v>16974.16</v>
      </c>
      <c r="DU150" s="118">
        <f t="shared" si="50"/>
        <v>46005.4</v>
      </c>
      <c r="DV150" s="118">
        <f t="shared" si="51"/>
        <v>80629.64</v>
      </c>
      <c r="DW150" s="118">
        <f t="shared" si="52"/>
        <v>111004.4</v>
      </c>
      <c r="DX150" s="118">
        <f t="shared" si="53"/>
        <v>120000.79999999999</v>
      </c>
      <c r="DY150" s="118">
        <f t="shared" si="54"/>
        <v>120000.79999999999</v>
      </c>
      <c r="DZ150" s="118">
        <f t="shared" si="55"/>
        <v>120000.79999999999</v>
      </c>
      <c r="EA150" s="118">
        <f t="shared" si="56"/>
        <v>120000.79999999999</v>
      </c>
      <c r="EB150" s="118">
        <f t="shared" si="57"/>
        <v>120000.79999999999</v>
      </c>
    </row>
    <row r="151" spans="1:132" x14ac:dyDescent="0.25">
      <c r="A151" s="28">
        <v>3</v>
      </c>
      <c r="B151" s="29" t="s">
        <v>2432</v>
      </c>
      <c r="C151" s="30" t="s">
        <v>2433</v>
      </c>
      <c r="D151" s="30" t="s">
        <v>59</v>
      </c>
      <c r="E151" s="30" t="s">
        <v>2434</v>
      </c>
      <c r="F151" s="30" t="s">
        <v>2435</v>
      </c>
      <c r="G151" s="30" t="s">
        <v>491</v>
      </c>
      <c r="H151" s="30" t="s">
        <v>766</v>
      </c>
      <c r="I151" s="30" t="s">
        <v>767</v>
      </c>
      <c r="J151" s="31" t="s">
        <v>570</v>
      </c>
      <c r="K151" s="31" t="s">
        <v>495</v>
      </c>
      <c r="L151" s="31" t="s">
        <v>519</v>
      </c>
      <c r="M151" s="31" t="s">
        <v>48</v>
      </c>
      <c r="N151" s="31" t="s">
        <v>2472</v>
      </c>
      <c r="O151" s="31" t="s">
        <v>2473</v>
      </c>
      <c r="P151" s="31" t="s">
        <v>257</v>
      </c>
      <c r="Q151" s="31" t="s">
        <v>556</v>
      </c>
      <c r="R151" s="31" t="s">
        <v>258</v>
      </c>
      <c r="S151" s="32">
        <v>96000.04</v>
      </c>
      <c r="T151" s="32">
        <v>80</v>
      </c>
      <c r="U151" s="32">
        <v>2.74</v>
      </c>
      <c r="V151" s="32">
        <v>0</v>
      </c>
      <c r="W151" s="32">
        <v>0</v>
      </c>
      <c r="X151" s="32">
        <v>0</v>
      </c>
      <c r="Y151" s="32">
        <v>0</v>
      </c>
      <c r="Z151" s="32">
        <v>0</v>
      </c>
      <c r="AA151" s="32">
        <v>0</v>
      </c>
      <c r="AB151" s="32">
        <v>0</v>
      </c>
      <c r="AC151" s="32">
        <v>0</v>
      </c>
      <c r="AD151" s="32">
        <v>0</v>
      </c>
      <c r="AE151" s="32">
        <v>0</v>
      </c>
      <c r="AF151" s="32">
        <v>0</v>
      </c>
      <c r="AG151" s="32">
        <v>0</v>
      </c>
      <c r="AH151" s="32">
        <v>0</v>
      </c>
      <c r="AI151" s="32">
        <v>0</v>
      </c>
      <c r="AJ151" s="32">
        <v>0</v>
      </c>
      <c r="AK151" s="32">
        <v>0</v>
      </c>
      <c r="AL151" s="32">
        <v>0</v>
      </c>
      <c r="AM151" s="32">
        <v>0</v>
      </c>
      <c r="AN151" s="32">
        <v>24000.01</v>
      </c>
      <c r="AO151" s="32">
        <v>0</v>
      </c>
      <c r="AP151" s="32">
        <v>0</v>
      </c>
      <c r="AQ151" s="32">
        <v>24000.01</v>
      </c>
      <c r="AR151" s="32">
        <v>120000.05</v>
      </c>
      <c r="AS151" s="32">
        <v>2.74</v>
      </c>
      <c r="AT151" s="32">
        <v>94488.23</v>
      </c>
      <c r="AU151" s="32">
        <v>0</v>
      </c>
      <c r="AV151" s="32">
        <v>94488.23</v>
      </c>
      <c r="AW151" s="32">
        <v>0</v>
      </c>
      <c r="AX151" s="32">
        <v>0</v>
      </c>
      <c r="AY151" s="32">
        <v>0</v>
      </c>
      <c r="AZ151" s="32">
        <v>0</v>
      </c>
      <c r="BA151" s="32">
        <v>0</v>
      </c>
      <c r="BB151" s="32">
        <v>0</v>
      </c>
      <c r="BC151" s="32">
        <v>0</v>
      </c>
      <c r="BD151" s="32">
        <v>0</v>
      </c>
      <c r="BE151" s="32">
        <v>0</v>
      </c>
      <c r="BF151" s="32">
        <v>0</v>
      </c>
      <c r="BG151" s="32">
        <v>0</v>
      </c>
      <c r="BH151" s="32">
        <v>0</v>
      </c>
      <c r="BI151" s="32">
        <v>0</v>
      </c>
      <c r="BJ151" s="32">
        <v>0</v>
      </c>
      <c r="BK151" s="32">
        <v>0</v>
      </c>
      <c r="BL151" s="32">
        <v>0</v>
      </c>
      <c r="BM151" s="32">
        <v>25511.82</v>
      </c>
      <c r="BN151" s="32">
        <v>0</v>
      </c>
      <c r="BO151" s="32">
        <v>0</v>
      </c>
      <c r="BP151" s="32">
        <v>0</v>
      </c>
      <c r="BQ151" s="32">
        <v>10415.94</v>
      </c>
      <c r="BR151" s="32">
        <v>16805.310000000001</v>
      </c>
      <c r="BS151" s="32">
        <v>23194.68</v>
      </c>
      <c r="BT151" s="32">
        <v>23194.77</v>
      </c>
      <c r="BU151" s="32">
        <v>23194.67</v>
      </c>
      <c r="BV151" s="32">
        <v>23194.68</v>
      </c>
      <c r="BW151" s="32">
        <v>0</v>
      </c>
      <c r="BX151" s="32">
        <v>0</v>
      </c>
      <c r="BY151" s="32">
        <v>0</v>
      </c>
      <c r="BZ151" s="32">
        <v>0</v>
      </c>
      <c r="CA151" s="32">
        <v>0</v>
      </c>
      <c r="CB151" s="33" t="s">
        <v>2474</v>
      </c>
      <c r="CC151" s="33" t="s">
        <v>949</v>
      </c>
      <c r="CD151" s="33"/>
      <c r="CE151" s="33" t="s">
        <v>523</v>
      </c>
      <c r="CF151" s="33" t="s">
        <v>829</v>
      </c>
      <c r="CG151" s="33" t="s">
        <v>2475</v>
      </c>
      <c r="CH151" s="33" t="s">
        <v>526</v>
      </c>
      <c r="CI151" s="33"/>
      <c r="CJ151" s="33" t="s">
        <v>212</v>
      </c>
      <c r="CK151" s="33"/>
      <c r="CL151" s="33" t="s">
        <v>212</v>
      </c>
      <c r="CM151" s="33"/>
      <c r="CN151" s="33" t="s">
        <v>257</v>
      </c>
      <c r="CO151" s="33" t="s">
        <v>258</v>
      </c>
      <c r="CP151" s="33" t="s">
        <v>2476</v>
      </c>
      <c r="CQ151" s="33" t="s">
        <v>620</v>
      </c>
      <c r="CR151" s="33" t="s">
        <v>621</v>
      </c>
      <c r="CS151" s="33" t="s">
        <v>2477</v>
      </c>
      <c r="CT151" s="33" t="s">
        <v>257</v>
      </c>
      <c r="CU151" s="33" t="s">
        <v>269</v>
      </c>
      <c r="CV151" s="33" t="s">
        <v>2478</v>
      </c>
      <c r="CW151" s="33" t="s">
        <v>760</v>
      </c>
      <c r="CX151" s="33" t="s">
        <v>761</v>
      </c>
      <c r="CY151" s="33" t="s">
        <v>2479</v>
      </c>
      <c r="CZ151" s="33" t="s">
        <v>2480</v>
      </c>
      <c r="DA151" s="33" t="s">
        <v>2481</v>
      </c>
      <c r="DB151" s="33" t="s">
        <v>895</v>
      </c>
      <c r="DC151" s="33" t="s">
        <v>2361</v>
      </c>
      <c r="DD151" s="33" t="s">
        <v>2482</v>
      </c>
      <c r="DE151" s="33" t="s">
        <v>2483</v>
      </c>
      <c r="DF151" s="34" t="s">
        <v>2484</v>
      </c>
      <c r="DG151" s="27" cm="1">
        <f t="array" ref="DG151">INDEX('elenco partner'!A:M,MATCH(1,(D151='elenco partner'!A:A)*('Partner data'!M151='elenco partner'!E:E),0),4)</f>
        <v>319</v>
      </c>
      <c r="DH151" s="83" t="str">
        <f t="shared" si="58"/>
        <v>COSTO REALE</v>
      </c>
      <c r="DI151" s="20">
        <f>COUNTIFS('MY-REPORT-MAIN'!C:C,'Partner data'!DG151,'MY-REPORT-MAIN'!I:I,"Certified")</f>
        <v>2</v>
      </c>
      <c r="DJ151" s="20">
        <f>COUNTIFS(List_Of_chek_list!M:M,"&lt;&gt;26",List_Of_chek_list!B:B,'Partner data'!DG151)</f>
        <v>2</v>
      </c>
      <c r="DK151" s="20">
        <f t="shared" si="59"/>
        <v>0</v>
      </c>
      <c r="DL151" s="19" t="str">
        <f>IF(DH151="Tasso Forfettario 20%",SUMIFS(List_Of_chek_list!#REF!,List_Of_chek_list!B:B,'Partner data'!DG151),"NON PERTINENTE")</f>
        <v>NON PERTINENTE</v>
      </c>
      <c r="DM151" s="19" t="str">
        <f t="shared" si="60"/>
        <v>NON PERTINENTE</v>
      </c>
      <c r="DN151" s="110">
        <f>_xlfn.MAXIFS('MY-REPORT-MAIN'!K:K,'MY-REPORT-MAIN'!C:C,DG151)</f>
        <v>45384.664616793983</v>
      </c>
      <c r="DO151" s="112">
        <f>IF(_xlfn.MAXIFS('MY-REPORT-MAIN'!M:M,'MY-REPORT-MAIN'!C:C,DG151)=0,"Nessun rendiconto  Convalidato",_xlfn.MAXIFS('MY-REPORT-MAIN'!M:M,'MY-REPORT-MAIN'!C:C,DG151))</f>
        <v>45461.346988564816</v>
      </c>
      <c r="DP151" s="113" cm="1">
        <f t="array" ref="DP151">IFERROR(INDEX('MY-REPORT-MAIN'!A:Z,MATCH(1,(DO151='MY-REPORT-MAIN'!M:M)*('Partner data'!DG151='MY-REPORT-MAIN'!C:C),0),1),"NON è stato convalidato ancora nessun rendiconto")</f>
        <v>57</v>
      </c>
      <c r="DQ151" s="111">
        <f>IFERROR(INDEX('MY-REPORT-MAIN'!A:Z,MATCH('Partner data'!DP151,'MY-REPORT-MAIN'!A:A,0),21),"Nessun Rendiconto ancora convalidato")</f>
        <v>10990.71</v>
      </c>
      <c r="DR151" s="110">
        <f>INDEX('Interreg VI-A Italy-Slovenia_pr'!A:E,MATCH('Partner data'!C151,'Interreg VI-A Italy-Slovenia_pr'!A:A,0),3)</f>
        <v>44927</v>
      </c>
      <c r="DS151" s="118">
        <f t="shared" si="48"/>
        <v>10415.94</v>
      </c>
      <c r="DT151" s="118">
        <f t="shared" si="49"/>
        <v>27221.25</v>
      </c>
      <c r="DU151" s="118">
        <f t="shared" si="50"/>
        <v>50415.93</v>
      </c>
      <c r="DV151" s="118">
        <f t="shared" si="51"/>
        <v>73610.7</v>
      </c>
      <c r="DW151" s="118">
        <f t="shared" si="52"/>
        <v>96805.37</v>
      </c>
      <c r="DX151" s="118">
        <f t="shared" si="53"/>
        <v>120000.04999999999</v>
      </c>
      <c r="DY151" s="118">
        <f t="shared" si="54"/>
        <v>120000.04999999999</v>
      </c>
      <c r="DZ151" s="118">
        <f t="shared" si="55"/>
        <v>120000.04999999999</v>
      </c>
      <c r="EA151" s="118">
        <f t="shared" si="56"/>
        <v>120000.04999999999</v>
      </c>
      <c r="EB151" s="118">
        <f t="shared" si="57"/>
        <v>120000.04999999999</v>
      </c>
    </row>
    <row r="152" spans="1:132" x14ac:dyDescent="0.25">
      <c r="A152" s="28">
        <v>3</v>
      </c>
      <c r="B152" s="29" t="s">
        <v>2432</v>
      </c>
      <c r="C152" s="30" t="s">
        <v>2433</v>
      </c>
      <c r="D152" s="30" t="s">
        <v>59</v>
      </c>
      <c r="E152" s="30" t="s">
        <v>2434</v>
      </c>
      <c r="F152" s="30" t="s">
        <v>2435</v>
      </c>
      <c r="G152" s="30" t="s">
        <v>491</v>
      </c>
      <c r="H152" s="30" t="s">
        <v>766</v>
      </c>
      <c r="I152" s="30" t="s">
        <v>767</v>
      </c>
      <c r="J152" s="31" t="s">
        <v>581</v>
      </c>
      <c r="K152" s="31" t="s">
        <v>495</v>
      </c>
      <c r="L152" s="31" t="s">
        <v>519</v>
      </c>
      <c r="M152" s="31" t="s">
        <v>41</v>
      </c>
      <c r="N152" s="31" t="s">
        <v>2485</v>
      </c>
      <c r="O152" s="31" t="s">
        <v>1667</v>
      </c>
      <c r="P152" s="31" t="s">
        <v>257</v>
      </c>
      <c r="Q152" s="31" t="s">
        <v>556</v>
      </c>
      <c r="R152" s="31" t="s">
        <v>270</v>
      </c>
      <c r="S152" s="32">
        <v>191999.92</v>
      </c>
      <c r="T152" s="32">
        <v>80</v>
      </c>
      <c r="U152" s="32">
        <v>5.49</v>
      </c>
      <c r="V152" s="32">
        <v>0</v>
      </c>
      <c r="W152" s="32">
        <v>0</v>
      </c>
      <c r="X152" s="32">
        <v>0</v>
      </c>
      <c r="Y152" s="32">
        <v>0</v>
      </c>
      <c r="Z152" s="32">
        <v>0</v>
      </c>
      <c r="AA152" s="32">
        <v>0</v>
      </c>
      <c r="AB152" s="32">
        <v>0</v>
      </c>
      <c r="AC152" s="32">
        <v>0</v>
      </c>
      <c r="AD152" s="32">
        <v>0</v>
      </c>
      <c r="AE152" s="32">
        <v>0</v>
      </c>
      <c r="AF152" s="32">
        <v>0</v>
      </c>
      <c r="AG152" s="32">
        <v>0</v>
      </c>
      <c r="AH152" s="32">
        <v>0</v>
      </c>
      <c r="AI152" s="32">
        <v>0</v>
      </c>
      <c r="AJ152" s="32">
        <v>0</v>
      </c>
      <c r="AK152" s="32">
        <v>0</v>
      </c>
      <c r="AL152" s="32">
        <v>0</v>
      </c>
      <c r="AM152" s="32">
        <v>0</v>
      </c>
      <c r="AN152" s="32">
        <v>47999.98</v>
      </c>
      <c r="AO152" s="32">
        <v>0</v>
      </c>
      <c r="AP152" s="32">
        <v>0</v>
      </c>
      <c r="AQ152" s="32">
        <v>47999.98</v>
      </c>
      <c r="AR152" s="32">
        <v>239999.9</v>
      </c>
      <c r="AS152" s="32">
        <v>5.49</v>
      </c>
      <c r="AT152" s="32">
        <v>171428.5</v>
      </c>
      <c r="AU152" s="32">
        <v>0</v>
      </c>
      <c r="AV152" s="32">
        <v>171428.5</v>
      </c>
      <c r="AW152" s="32">
        <v>0</v>
      </c>
      <c r="AX152" s="32">
        <v>0</v>
      </c>
      <c r="AY152" s="32">
        <v>0</v>
      </c>
      <c r="AZ152" s="32">
        <v>0</v>
      </c>
      <c r="BA152" s="32">
        <v>0</v>
      </c>
      <c r="BB152" s="32">
        <v>0</v>
      </c>
      <c r="BC152" s="32">
        <v>0</v>
      </c>
      <c r="BD152" s="32">
        <v>0</v>
      </c>
      <c r="BE152" s="32">
        <v>0</v>
      </c>
      <c r="BF152" s="32">
        <v>0</v>
      </c>
      <c r="BG152" s="32">
        <v>0</v>
      </c>
      <c r="BH152" s="32">
        <v>0</v>
      </c>
      <c r="BI152" s="32">
        <v>0</v>
      </c>
      <c r="BJ152" s="32">
        <v>0</v>
      </c>
      <c r="BK152" s="32">
        <v>0</v>
      </c>
      <c r="BL152" s="32">
        <v>0</v>
      </c>
      <c r="BM152" s="32">
        <v>68571.399999999994</v>
      </c>
      <c r="BN152" s="32">
        <v>0</v>
      </c>
      <c r="BO152" s="32">
        <v>0</v>
      </c>
      <c r="BP152" s="32">
        <v>0</v>
      </c>
      <c r="BQ152" s="32">
        <v>22024.11</v>
      </c>
      <c r="BR152" s="32">
        <v>36236.589999999997</v>
      </c>
      <c r="BS152" s="32">
        <v>47797.56</v>
      </c>
      <c r="BT152" s="32">
        <v>47797.58</v>
      </c>
      <c r="BU152" s="32">
        <v>47797.48</v>
      </c>
      <c r="BV152" s="32">
        <v>38346.58</v>
      </c>
      <c r="BW152" s="32">
        <v>0</v>
      </c>
      <c r="BX152" s="32">
        <v>0</v>
      </c>
      <c r="BY152" s="32">
        <v>0</v>
      </c>
      <c r="BZ152" s="32">
        <v>0</v>
      </c>
      <c r="CA152" s="32">
        <v>0</v>
      </c>
      <c r="CB152" s="33" t="s">
        <v>2486</v>
      </c>
      <c r="CC152" s="33" t="s">
        <v>624</v>
      </c>
      <c r="CD152" s="33"/>
      <c r="CE152" s="33" t="s">
        <v>523</v>
      </c>
      <c r="CF152" s="33" t="s">
        <v>1286</v>
      </c>
      <c r="CG152" s="33" t="s">
        <v>2487</v>
      </c>
      <c r="CH152" s="33" t="s">
        <v>526</v>
      </c>
      <c r="CI152" s="33"/>
      <c r="CJ152" s="33" t="s">
        <v>212</v>
      </c>
      <c r="CK152" s="33"/>
      <c r="CL152" s="33" t="s">
        <v>212</v>
      </c>
      <c r="CM152" s="33"/>
      <c r="CN152" s="33" t="s">
        <v>257</v>
      </c>
      <c r="CO152" s="33" t="s">
        <v>270</v>
      </c>
      <c r="CP152" s="33" t="s">
        <v>2488</v>
      </c>
      <c r="CQ152" s="33" t="s">
        <v>710</v>
      </c>
      <c r="CR152" s="33" t="s">
        <v>2489</v>
      </c>
      <c r="CS152" s="33" t="s">
        <v>2490</v>
      </c>
      <c r="CT152" s="33" t="s">
        <v>257</v>
      </c>
      <c r="CU152" s="33" t="s">
        <v>270</v>
      </c>
      <c r="CV152" s="33" t="s">
        <v>2491</v>
      </c>
      <c r="CW152" s="33" t="s">
        <v>2492</v>
      </c>
      <c r="CX152" s="33" t="s">
        <v>2493</v>
      </c>
      <c r="CY152" s="33" t="s">
        <v>895</v>
      </c>
      <c r="CZ152" s="33" t="s">
        <v>1561</v>
      </c>
      <c r="DA152" s="33" t="s">
        <v>720</v>
      </c>
      <c r="DB152" s="33" t="s">
        <v>892</v>
      </c>
      <c r="DC152" s="33" t="s">
        <v>690</v>
      </c>
      <c r="DD152" s="33" t="s">
        <v>2494</v>
      </c>
      <c r="DE152" s="33" t="s">
        <v>2495</v>
      </c>
      <c r="DF152" s="34" t="s">
        <v>2496</v>
      </c>
      <c r="DG152" s="27" cm="1">
        <f t="array" ref="DG152">INDEX('elenco partner'!A:M,MATCH(1,(D152='elenco partner'!A:A)*('Partner data'!M152='elenco partner'!E:E),0),4)</f>
        <v>320</v>
      </c>
      <c r="DH152" s="83" t="str">
        <f t="shared" si="58"/>
        <v>COSTO REALE</v>
      </c>
      <c r="DI152" s="20">
        <f>COUNTIFS('MY-REPORT-MAIN'!C:C,'Partner data'!DG152,'MY-REPORT-MAIN'!I:I,"Certified")</f>
        <v>2</v>
      </c>
      <c r="DJ152" s="20">
        <f>COUNTIFS(List_Of_chek_list!M:M,"&lt;&gt;26",List_Of_chek_list!B:B,'Partner data'!DG152)</f>
        <v>1</v>
      </c>
      <c r="DK152" s="20">
        <f t="shared" si="59"/>
        <v>1</v>
      </c>
      <c r="DL152" s="19" t="str">
        <f>IF(DH152="Tasso Forfettario 20%",SUMIFS(List_Of_chek_list!#REF!,List_Of_chek_list!B:B,'Partner data'!DG152),"NON PERTINENTE")</f>
        <v>NON PERTINENTE</v>
      </c>
      <c r="DM152" s="19" t="str">
        <f t="shared" si="60"/>
        <v>NON PERTINENTE</v>
      </c>
      <c r="DN152" s="110">
        <f>_xlfn.MAXIFS('MY-REPORT-MAIN'!K:K,'MY-REPORT-MAIN'!C:C,DG152)</f>
        <v>45391.418296944445</v>
      </c>
      <c r="DO152" s="112">
        <f>IF(_xlfn.MAXIFS('MY-REPORT-MAIN'!M:M,'MY-REPORT-MAIN'!C:C,DG152)=0,"Nessun rendiconto  Convalidato",_xlfn.MAXIFS('MY-REPORT-MAIN'!M:M,'MY-REPORT-MAIN'!C:C,DG152))</f>
        <v>45475.475127523147</v>
      </c>
      <c r="DP152" s="113" cm="1">
        <f t="array" ref="DP152">IFERROR(INDEX('MY-REPORT-MAIN'!A:Z,MATCH(1,(DO152='MY-REPORT-MAIN'!M:M)*('Partner data'!DG152='MY-REPORT-MAIN'!C:C),0),1),"NON è stato convalidato ancora nessun rendiconto")</f>
        <v>310</v>
      </c>
      <c r="DQ152" s="111">
        <f>IFERROR(INDEX('MY-REPORT-MAIN'!A:Z,MATCH('Partner data'!DP152,'MY-REPORT-MAIN'!A:A,0),21),"Nessun Rendiconto ancora convalidato")</f>
        <v>22612.59</v>
      </c>
      <c r="DR152" s="110">
        <f>INDEX('Interreg VI-A Italy-Slovenia_pr'!A:E,MATCH('Partner data'!C152,'Interreg VI-A Italy-Slovenia_pr'!A:A,0),3)</f>
        <v>44927</v>
      </c>
      <c r="DS152" s="118">
        <f t="shared" si="48"/>
        <v>22024.11</v>
      </c>
      <c r="DT152" s="118">
        <f t="shared" si="49"/>
        <v>58260.7</v>
      </c>
      <c r="DU152" s="118">
        <f t="shared" si="50"/>
        <v>106058.26</v>
      </c>
      <c r="DV152" s="118">
        <f t="shared" si="51"/>
        <v>153855.84</v>
      </c>
      <c r="DW152" s="118">
        <f t="shared" si="52"/>
        <v>201653.32</v>
      </c>
      <c r="DX152" s="118">
        <f t="shared" si="53"/>
        <v>239999.90000000002</v>
      </c>
      <c r="DY152" s="118">
        <f t="shared" si="54"/>
        <v>239999.90000000002</v>
      </c>
      <c r="DZ152" s="118">
        <f t="shared" si="55"/>
        <v>239999.90000000002</v>
      </c>
      <c r="EA152" s="118">
        <f t="shared" si="56"/>
        <v>239999.90000000002</v>
      </c>
      <c r="EB152" s="118">
        <f t="shared" si="57"/>
        <v>239999.90000000002</v>
      </c>
    </row>
    <row r="153" spans="1:132" x14ac:dyDescent="0.25">
      <c r="A153" s="28">
        <v>3</v>
      </c>
      <c r="B153" s="29" t="s">
        <v>2432</v>
      </c>
      <c r="C153" s="30" t="s">
        <v>2433</v>
      </c>
      <c r="D153" s="30" t="s">
        <v>59</v>
      </c>
      <c r="E153" s="30" t="s">
        <v>2434</v>
      </c>
      <c r="F153" s="30" t="s">
        <v>2435</v>
      </c>
      <c r="G153" s="30" t="s">
        <v>491</v>
      </c>
      <c r="H153" s="30" t="s">
        <v>766</v>
      </c>
      <c r="I153" s="30" t="s">
        <v>767</v>
      </c>
      <c r="J153" s="31" t="s">
        <v>2423</v>
      </c>
      <c r="K153" s="31" t="s">
        <v>495</v>
      </c>
      <c r="L153" s="31" t="s">
        <v>519</v>
      </c>
      <c r="M153" s="31" t="s">
        <v>49</v>
      </c>
      <c r="N153" s="31" t="s">
        <v>2497</v>
      </c>
      <c r="O153" s="31" t="s">
        <v>2498</v>
      </c>
      <c r="P153" s="31" t="s">
        <v>257</v>
      </c>
      <c r="Q153" s="31" t="s">
        <v>556</v>
      </c>
      <c r="R153" s="31" t="s">
        <v>258</v>
      </c>
      <c r="S153" s="32">
        <v>96038.92</v>
      </c>
      <c r="T153" s="32">
        <v>80</v>
      </c>
      <c r="U153" s="32">
        <v>2.74</v>
      </c>
      <c r="V153" s="32">
        <v>0</v>
      </c>
      <c r="W153" s="32">
        <v>0</v>
      </c>
      <c r="X153" s="32">
        <v>0</v>
      </c>
      <c r="Y153" s="32">
        <v>0</v>
      </c>
      <c r="Z153" s="32">
        <v>0</v>
      </c>
      <c r="AA153" s="32">
        <v>0</v>
      </c>
      <c r="AB153" s="32">
        <v>0</v>
      </c>
      <c r="AC153" s="32">
        <v>0</v>
      </c>
      <c r="AD153" s="32">
        <v>0</v>
      </c>
      <c r="AE153" s="32">
        <v>0</v>
      </c>
      <c r="AF153" s="32">
        <v>0</v>
      </c>
      <c r="AG153" s="32">
        <v>0</v>
      </c>
      <c r="AH153" s="32">
        <v>0</v>
      </c>
      <c r="AI153" s="32">
        <v>0</v>
      </c>
      <c r="AJ153" s="32">
        <v>0</v>
      </c>
      <c r="AK153" s="32">
        <v>0</v>
      </c>
      <c r="AL153" s="32">
        <v>0</v>
      </c>
      <c r="AM153" s="32">
        <v>0</v>
      </c>
      <c r="AN153" s="32">
        <v>24009.73</v>
      </c>
      <c r="AO153" s="32">
        <v>0</v>
      </c>
      <c r="AP153" s="32">
        <v>0</v>
      </c>
      <c r="AQ153" s="32">
        <v>24009.73</v>
      </c>
      <c r="AR153" s="32">
        <v>120048.65</v>
      </c>
      <c r="AS153" s="32">
        <v>2.74</v>
      </c>
      <c r="AT153" s="32">
        <v>85749.04</v>
      </c>
      <c r="AU153" s="32">
        <v>0</v>
      </c>
      <c r="AV153" s="32">
        <v>85749.04</v>
      </c>
      <c r="AW153" s="32">
        <v>0</v>
      </c>
      <c r="AX153" s="32">
        <v>0</v>
      </c>
      <c r="AY153" s="32">
        <v>0</v>
      </c>
      <c r="AZ153" s="32">
        <v>0</v>
      </c>
      <c r="BA153" s="32">
        <v>0</v>
      </c>
      <c r="BB153" s="32">
        <v>0</v>
      </c>
      <c r="BC153" s="32">
        <v>0</v>
      </c>
      <c r="BD153" s="32">
        <v>0</v>
      </c>
      <c r="BE153" s="32">
        <v>0</v>
      </c>
      <c r="BF153" s="32">
        <v>0</v>
      </c>
      <c r="BG153" s="32">
        <v>0</v>
      </c>
      <c r="BH153" s="32">
        <v>0</v>
      </c>
      <c r="BI153" s="32">
        <v>0</v>
      </c>
      <c r="BJ153" s="32">
        <v>0</v>
      </c>
      <c r="BK153" s="32">
        <v>0</v>
      </c>
      <c r="BL153" s="32">
        <v>0</v>
      </c>
      <c r="BM153" s="32">
        <v>34299.61</v>
      </c>
      <c r="BN153" s="32">
        <v>0</v>
      </c>
      <c r="BO153" s="32">
        <v>0</v>
      </c>
      <c r="BP153" s="32">
        <v>0</v>
      </c>
      <c r="BQ153" s="32">
        <v>14610.4</v>
      </c>
      <c r="BR153" s="32">
        <v>22127</v>
      </c>
      <c r="BS153" s="32">
        <v>22127</v>
      </c>
      <c r="BT153" s="32">
        <v>22127</v>
      </c>
      <c r="BU153" s="32">
        <v>22125.75</v>
      </c>
      <c r="BV153" s="32">
        <v>16931.5</v>
      </c>
      <c r="BW153" s="32">
        <v>0</v>
      </c>
      <c r="BX153" s="32">
        <v>0</v>
      </c>
      <c r="BY153" s="32">
        <v>0</v>
      </c>
      <c r="BZ153" s="32">
        <v>0</v>
      </c>
      <c r="CA153" s="32">
        <v>0</v>
      </c>
      <c r="CB153" s="33" t="s">
        <v>212</v>
      </c>
      <c r="CC153" s="33" t="s">
        <v>949</v>
      </c>
      <c r="CD153" s="33"/>
      <c r="CE153" s="33" t="s">
        <v>523</v>
      </c>
      <c r="CF153" s="33" t="s">
        <v>829</v>
      </c>
      <c r="CG153" s="33" t="s">
        <v>2499</v>
      </c>
      <c r="CH153" s="33" t="s">
        <v>526</v>
      </c>
      <c r="CI153" s="33"/>
      <c r="CJ153" s="33" t="s">
        <v>212</v>
      </c>
      <c r="CK153" s="33"/>
      <c r="CL153" s="33" t="s">
        <v>212</v>
      </c>
      <c r="CM153" s="33"/>
      <c r="CN153" s="33" t="s">
        <v>257</v>
      </c>
      <c r="CO153" s="33" t="s">
        <v>258</v>
      </c>
      <c r="CP153" s="33" t="s">
        <v>2500</v>
      </c>
      <c r="CQ153" s="33" t="s">
        <v>620</v>
      </c>
      <c r="CR153" s="33" t="s">
        <v>621</v>
      </c>
      <c r="CS153" s="33" t="s">
        <v>2501</v>
      </c>
      <c r="CT153" s="33"/>
      <c r="CU153" s="33"/>
      <c r="CV153" s="33"/>
      <c r="CW153" s="33"/>
      <c r="CX153" s="33"/>
      <c r="CY153" s="33" t="s">
        <v>892</v>
      </c>
      <c r="CZ153" s="33" t="s">
        <v>2502</v>
      </c>
      <c r="DA153" s="33" t="s">
        <v>2503</v>
      </c>
      <c r="DB153" s="33" t="s">
        <v>892</v>
      </c>
      <c r="DC153" s="33" t="s">
        <v>2504</v>
      </c>
      <c r="DD153" s="33" t="s">
        <v>2505</v>
      </c>
      <c r="DE153" s="33" t="s">
        <v>2506</v>
      </c>
      <c r="DF153" s="34" t="s">
        <v>2507</v>
      </c>
      <c r="DG153" s="27" cm="1">
        <f t="array" ref="DG153">INDEX('elenco partner'!A:M,MATCH(1,(D153='elenco partner'!A:A)*('Partner data'!M153='elenco partner'!E:E),0),4)</f>
        <v>321</v>
      </c>
      <c r="DH153" s="83" t="str">
        <f t="shared" si="58"/>
        <v>COSTO REALE</v>
      </c>
      <c r="DI153" s="20">
        <f>COUNTIFS('MY-REPORT-MAIN'!C:C,'Partner data'!DG153,'MY-REPORT-MAIN'!I:I,"Certified")</f>
        <v>2</v>
      </c>
      <c r="DJ153" s="20">
        <f>COUNTIFS(List_Of_chek_list!M:M,"&lt;&gt;26",List_Of_chek_list!B:B,'Partner data'!DG153)</f>
        <v>2</v>
      </c>
      <c r="DK153" s="20">
        <f t="shared" si="59"/>
        <v>0</v>
      </c>
      <c r="DL153" s="19" t="str">
        <f>IF(DH153="Tasso Forfettario 20%",SUMIFS(List_Of_chek_list!#REF!,List_Of_chek_list!B:B,'Partner data'!DG153),"NON PERTINENTE")</f>
        <v>NON PERTINENTE</v>
      </c>
      <c r="DM153" s="19" t="str">
        <f t="shared" si="60"/>
        <v>NON PERTINENTE</v>
      </c>
      <c r="DN153" s="110">
        <f>_xlfn.MAXIFS('MY-REPORT-MAIN'!K:K,'MY-REPORT-MAIN'!C:C,DG153)</f>
        <v>45387.410898368056</v>
      </c>
      <c r="DO153" s="112">
        <f>IF(_xlfn.MAXIFS('MY-REPORT-MAIN'!M:M,'MY-REPORT-MAIN'!C:C,DG153)=0,"Nessun rendiconto  Convalidato",_xlfn.MAXIFS('MY-REPORT-MAIN'!M:M,'MY-REPORT-MAIN'!C:C,DG153))</f>
        <v>45471.387168576388</v>
      </c>
      <c r="DP153" s="113" cm="1">
        <f t="array" ref="DP153">IFERROR(INDEX('MY-REPORT-MAIN'!A:Z,MATCH(1,(DO153='MY-REPORT-MAIN'!M:M)*('Partner data'!DG153='MY-REPORT-MAIN'!C:C),0),1),"NON è stato convalidato ancora nessun rendiconto")</f>
        <v>164</v>
      </c>
      <c r="DQ153" s="111">
        <f>IFERROR(INDEX('MY-REPORT-MAIN'!A:Z,MATCH('Partner data'!DP153,'MY-REPORT-MAIN'!A:A,0),21),"Nessun Rendiconto ancora convalidato")</f>
        <v>16410.400000000001</v>
      </c>
      <c r="DR153" s="110">
        <f>INDEX('Interreg VI-A Italy-Slovenia_pr'!A:E,MATCH('Partner data'!C153,'Interreg VI-A Italy-Slovenia_pr'!A:A,0),3)</f>
        <v>44927</v>
      </c>
      <c r="DS153" s="118">
        <f t="shared" si="48"/>
        <v>14610.4</v>
      </c>
      <c r="DT153" s="118">
        <f t="shared" si="49"/>
        <v>36737.4</v>
      </c>
      <c r="DU153" s="118">
        <f t="shared" si="50"/>
        <v>58864.4</v>
      </c>
      <c r="DV153" s="118">
        <f t="shared" si="51"/>
        <v>80991.399999999994</v>
      </c>
      <c r="DW153" s="118">
        <f t="shared" si="52"/>
        <v>103117.15</v>
      </c>
      <c r="DX153" s="118">
        <f t="shared" si="53"/>
        <v>120048.65</v>
      </c>
      <c r="DY153" s="118">
        <f t="shared" si="54"/>
        <v>120048.65</v>
      </c>
      <c r="DZ153" s="118">
        <f t="shared" si="55"/>
        <v>120048.65</v>
      </c>
      <c r="EA153" s="118">
        <f t="shared" si="56"/>
        <v>120048.65</v>
      </c>
      <c r="EB153" s="118">
        <f t="shared" si="57"/>
        <v>120048.65</v>
      </c>
    </row>
    <row r="154" spans="1:132" x14ac:dyDescent="0.25">
      <c r="A154" s="28">
        <v>3</v>
      </c>
      <c r="B154" s="29" t="s">
        <v>2432</v>
      </c>
      <c r="C154" s="30" t="s">
        <v>2433</v>
      </c>
      <c r="D154" s="30" t="s">
        <v>59</v>
      </c>
      <c r="E154" s="30" t="s">
        <v>2434</v>
      </c>
      <c r="F154" s="30" t="s">
        <v>2435</v>
      </c>
      <c r="G154" s="30" t="s">
        <v>491</v>
      </c>
      <c r="H154" s="30" t="s">
        <v>766</v>
      </c>
      <c r="I154" s="30" t="s">
        <v>767</v>
      </c>
      <c r="J154" s="31" t="s">
        <v>2508</v>
      </c>
      <c r="K154" s="31" t="s">
        <v>495</v>
      </c>
      <c r="L154" s="31" t="s">
        <v>519</v>
      </c>
      <c r="M154" s="31" t="s">
        <v>382</v>
      </c>
      <c r="N154" s="31" t="s">
        <v>603</v>
      </c>
      <c r="O154" s="31" t="s">
        <v>2509</v>
      </c>
      <c r="P154" s="31" t="s">
        <v>254</v>
      </c>
      <c r="Q154" s="31" t="s">
        <v>499</v>
      </c>
      <c r="R154" s="31" t="s">
        <v>255</v>
      </c>
      <c r="S154" s="32">
        <v>267200</v>
      </c>
      <c r="T154" s="32">
        <v>80</v>
      </c>
      <c r="U154" s="32">
        <v>7.63</v>
      </c>
      <c r="V154" s="32">
        <v>0</v>
      </c>
      <c r="W154" s="32">
        <v>0</v>
      </c>
      <c r="X154" s="32">
        <v>0</v>
      </c>
      <c r="Y154" s="32">
        <v>0</v>
      </c>
      <c r="Z154" s="32">
        <v>0</v>
      </c>
      <c r="AA154" s="32">
        <v>0</v>
      </c>
      <c r="AB154" s="32">
        <v>0</v>
      </c>
      <c r="AC154" s="32">
        <v>0</v>
      </c>
      <c r="AD154" s="32">
        <v>0</v>
      </c>
      <c r="AE154" s="32">
        <v>0</v>
      </c>
      <c r="AF154" s="32">
        <v>0</v>
      </c>
      <c r="AG154" s="32">
        <v>0</v>
      </c>
      <c r="AH154" s="32">
        <v>0</v>
      </c>
      <c r="AI154" s="32">
        <v>0</v>
      </c>
      <c r="AJ154" s="32">
        <v>0</v>
      </c>
      <c r="AK154" s="32">
        <v>0</v>
      </c>
      <c r="AL154" s="32">
        <v>0</v>
      </c>
      <c r="AM154" s="32">
        <v>0</v>
      </c>
      <c r="AN154" s="32">
        <v>0</v>
      </c>
      <c r="AO154" s="32">
        <v>66800</v>
      </c>
      <c r="AP154" s="32">
        <v>0</v>
      </c>
      <c r="AQ154" s="32">
        <v>66800</v>
      </c>
      <c r="AR154" s="32">
        <v>334000</v>
      </c>
      <c r="AS154" s="32">
        <v>7.63</v>
      </c>
      <c r="AT154" s="32">
        <v>0</v>
      </c>
      <c r="AU154" s="32">
        <v>0</v>
      </c>
      <c r="AV154" s="32">
        <v>0</v>
      </c>
      <c r="AW154" s="32">
        <v>0</v>
      </c>
      <c r="AX154" s="32">
        <v>0</v>
      </c>
      <c r="AY154" s="32">
        <v>0</v>
      </c>
      <c r="AZ154" s="32">
        <v>0</v>
      </c>
      <c r="BA154" s="32">
        <v>0</v>
      </c>
      <c r="BB154" s="32">
        <v>0</v>
      </c>
      <c r="BC154" s="32">
        <v>0</v>
      </c>
      <c r="BD154" s="32">
        <v>325400</v>
      </c>
      <c r="BE154" s="32">
        <v>325400</v>
      </c>
      <c r="BF154" s="32">
        <v>0</v>
      </c>
      <c r="BG154" s="32">
        <v>8600</v>
      </c>
      <c r="BH154" s="32">
        <v>8600</v>
      </c>
      <c r="BI154" s="32">
        <v>0</v>
      </c>
      <c r="BJ154" s="32">
        <v>0</v>
      </c>
      <c r="BK154" s="32">
        <v>0</v>
      </c>
      <c r="BL154" s="32">
        <v>0</v>
      </c>
      <c r="BM154" s="32">
        <v>0</v>
      </c>
      <c r="BN154" s="32">
        <v>0</v>
      </c>
      <c r="BO154" s="32">
        <v>0</v>
      </c>
      <c r="BP154" s="32">
        <v>0</v>
      </c>
      <c r="BQ154" s="32">
        <v>7100</v>
      </c>
      <c r="BR154" s="32">
        <v>55000</v>
      </c>
      <c r="BS154" s="32">
        <v>25500</v>
      </c>
      <c r="BT154" s="32">
        <v>42500</v>
      </c>
      <c r="BU154" s="32">
        <v>78500</v>
      </c>
      <c r="BV154" s="32">
        <v>125400</v>
      </c>
      <c r="BW154" s="32">
        <v>0</v>
      </c>
      <c r="BX154" s="32">
        <v>0</v>
      </c>
      <c r="BY154" s="32">
        <v>0</v>
      </c>
      <c r="BZ154" s="32">
        <v>0</v>
      </c>
      <c r="CA154" s="32">
        <v>0</v>
      </c>
      <c r="CB154" s="33" t="s">
        <v>2510</v>
      </c>
      <c r="CC154" s="33" t="s">
        <v>606</v>
      </c>
      <c r="CD154" s="33"/>
      <c r="CE154" s="33" t="s">
        <v>523</v>
      </c>
      <c r="CF154" s="33" t="s">
        <v>636</v>
      </c>
      <c r="CG154" s="33" t="s">
        <v>2511</v>
      </c>
      <c r="CH154" s="33" t="s">
        <v>526</v>
      </c>
      <c r="CI154" s="33"/>
      <c r="CJ154" s="33" t="s">
        <v>212</v>
      </c>
      <c r="CK154" s="33"/>
      <c r="CL154" s="33" t="s">
        <v>212</v>
      </c>
      <c r="CM154" s="33"/>
      <c r="CN154" s="33" t="s">
        <v>254</v>
      </c>
      <c r="CO154" s="33" t="s">
        <v>255</v>
      </c>
      <c r="CP154" s="33" t="s">
        <v>2512</v>
      </c>
      <c r="CQ154" s="33" t="s">
        <v>2513</v>
      </c>
      <c r="CR154" s="33" t="s">
        <v>529</v>
      </c>
      <c r="CS154" s="33" t="s">
        <v>2514</v>
      </c>
      <c r="CT154" s="33" t="s">
        <v>254</v>
      </c>
      <c r="CU154" s="33" t="s">
        <v>255</v>
      </c>
      <c r="CV154" s="33" t="s">
        <v>2515</v>
      </c>
      <c r="CW154" s="33" t="s">
        <v>2516</v>
      </c>
      <c r="CX154" s="33" t="s">
        <v>529</v>
      </c>
      <c r="CY154" s="33" t="s">
        <v>892</v>
      </c>
      <c r="CZ154" s="33" t="s">
        <v>629</v>
      </c>
      <c r="DA154" s="33" t="s">
        <v>2517</v>
      </c>
      <c r="DB154" s="33" t="s">
        <v>895</v>
      </c>
      <c r="DC154" s="33" t="s">
        <v>2266</v>
      </c>
      <c r="DD154" s="33" t="s">
        <v>2518</v>
      </c>
      <c r="DE154" s="33" t="s">
        <v>2519</v>
      </c>
      <c r="DF154" s="34" t="s">
        <v>2520</v>
      </c>
      <c r="DG154" s="27" cm="1">
        <f t="array" ref="DG154">INDEX('elenco partner'!A:M,MATCH(1,(D154='elenco partner'!A:A)*('Partner data'!M154='elenco partner'!E:E),0),4)</f>
        <v>322</v>
      </c>
      <c r="DH154" s="83" t="str">
        <f t="shared" si="58"/>
        <v>BL1 non presente</v>
      </c>
      <c r="DI154" s="20">
        <f>COUNTIFS('MY-REPORT-MAIN'!C:C,'Partner data'!DG154,'MY-REPORT-MAIN'!I:I,"Certified")</f>
        <v>1</v>
      </c>
      <c r="DJ154" s="20">
        <f>COUNTIFS(List_Of_chek_list!M:M,"&lt;&gt;26",List_Of_chek_list!B:B,'Partner data'!DG154)</f>
        <v>1</v>
      </c>
      <c r="DK154" s="20">
        <f t="shared" si="59"/>
        <v>0</v>
      </c>
      <c r="DL154" s="19" t="str">
        <f>IF(DH154="Tasso Forfettario 20%",SUMIFS(List_Of_chek_list!#REF!,List_Of_chek_list!B:B,'Partner data'!DG154),"NON PERTINENTE")</f>
        <v>NON PERTINENTE</v>
      </c>
      <c r="DM154" s="19" t="str">
        <f t="shared" si="60"/>
        <v>NON PERTINENTE</v>
      </c>
      <c r="DN154" s="110">
        <f>_xlfn.MAXIFS('MY-REPORT-MAIN'!K:K,'MY-REPORT-MAIN'!C:C,DG154)</f>
        <v>45387.471528981485</v>
      </c>
      <c r="DO154" s="112">
        <f>IF(_xlfn.MAXIFS('MY-REPORT-MAIN'!M:M,'MY-REPORT-MAIN'!C:C,DG154)=0,"Nessun rendiconto  Convalidato",_xlfn.MAXIFS('MY-REPORT-MAIN'!M:M,'MY-REPORT-MAIN'!C:C,DG154))</f>
        <v>45471.737301944442</v>
      </c>
      <c r="DP154" s="113" cm="1">
        <f t="array" ref="DP154">IFERROR(INDEX('MY-REPORT-MAIN'!A:Z,MATCH(1,(DO154='MY-REPORT-MAIN'!M:M)*('Partner data'!DG154='MY-REPORT-MAIN'!C:C),0),1),"NON è stato convalidato ancora nessun rendiconto")</f>
        <v>167</v>
      </c>
      <c r="DQ154" s="111">
        <f>IFERROR(INDEX('MY-REPORT-MAIN'!A:Z,MATCH('Partner data'!DP154,'MY-REPORT-MAIN'!A:A,0),21),"Nessun Rendiconto ancora convalidato")</f>
        <v>12584.58</v>
      </c>
      <c r="DR154" s="110">
        <f>INDEX('Interreg VI-A Italy-Slovenia_pr'!A:E,MATCH('Partner data'!C154,'Interreg VI-A Italy-Slovenia_pr'!A:A,0),3)</f>
        <v>44927</v>
      </c>
      <c r="DS154" s="118">
        <f t="shared" si="48"/>
        <v>7100</v>
      </c>
      <c r="DT154" s="118">
        <f t="shared" si="49"/>
        <v>62100</v>
      </c>
      <c r="DU154" s="118">
        <f t="shared" si="50"/>
        <v>87600</v>
      </c>
      <c r="DV154" s="118">
        <f t="shared" si="51"/>
        <v>130100</v>
      </c>
      <c r="DW154" s="118">
        <f t="shared" si="52"/>
        <v>208600</v>
      </c>
      <c r="DX154" s="118">
        <f t="shared" si="53"/>
        <v>334000</v>
      </c>
      <c r="DY154" s="118">
        <f t="shared" si="54"/>
        <v>334000</v>
      </c>
      <c r="DZ154" s="118">
        <f t="shared" si="55"/>
        <v>334000</v>
      </c>
      <c r="EA154" s="118">
        <f t="shared" si="56"/>
        <v>334000</v>
      </c>
      <c r="EB154" s="118">
        <f t="shared" si="57"/>
        <v>334000</v>
      </c>
    </row>
    <row r="155" spans="1:132" x14ac:dyDescent="0.25">
      <c r="A155" s="28">
        <v>3</v>
      </c>
      <c r="B155" s="29" t="s">
        <v>2432</v>
      </c>
      <c r="C155" s="30" t="s">
        <v>2433</v>
      </c>
      <c r="D155" s="30" t="s">
        <v>59</v>
      </c>
      <c r="E155" s="30" t="s">
        <v>2434</v>
      </c>
      <c r="F155" s="30" t="s">
        <v>2435</v>
      </c>
      <c r="G155" s="30" t="s">
        <v>491</v>
      </c>
      <c r="H155" s="30" t="s">
        <v>766</v>
      </c>
      <c r="I155" s="30" t="s">
        <v>767</v>
      </c>
      <c r="J155" s="31" t="s">
        <v>2521</v>
      </c>
      <c r="K155" s="31" t="s">
        <v>495</v>
      </c>
      <c r="L155" s="31" t="s">
        <v>519</v>
      </c>
      <c r="M155" s="31" t="s">
        <v>47</v>
      </c>
      <c r="N155" s="31" t="s">
        <v>2522</v>
      </c>
      <c r="O155" s="31" t="s">
        <v>2523</v>
      </c>
      <c r="P155" s="31" t="s">
        <v>254</v>
      </c>
      <c r="Q155" s="31" t="s">
        <v>499</v>
      </c>
      <c r="R155" s="31" t="s">
        <v>255</v>
      </c>
      <c r="S155" s="32">
        <v>423999.96</v>
      </c>
      <c r="T155" s="32">
        <v>80</v>
      </c>
      <c r="U155" s="32">
        <v>12.11</v>
      </c>
      <c r="V155" s="32">
        <v>0</v>
      </c>
      <c r="W155" s="32">
        <v>0</v>
      </c>
      <c r="X155" s="32">
        <v>0</v>
      </c>
      <c r="Y155" s="32">
        <v>0</v>
      </c>
      <c r="Z155" s="32">
        <v>0</v>
      </c>
      <c r="AA155" s="32">
        <v>0</v>
      </c>
      <c r="AB155" s="32">
        <v>0</v>
      </c>
      <c r="AC155" s="32">
        <v>0</v>
      </c>
      <c r="AD155" s="32">
        <v>0</v>
      </c>
      <c r="AE155" s="32">
        <v>0</v>
      </c>
      <c r="AF155" s="32">
        <v>0</v>
      </c>
      <c r="AG155" s="32">
        <v>0</v>
      </c>
      <c r="AH155" s="32">
        <v>0</v>
      </c>
      <c r="AI155" s="32">
        <v>0</v>
      </c>
      <c r="AJ155" s="32">
        <v>0</v>
      </c>
      <c r="AK155" s="32">
        <v>0</v>
      </c>
      <c r="AL155" s="32">
        <v>0</v>
      </c>
      <c r="AM155" s="32">
        <v>0</v>
      </c>
      <c r="AN155" s="32">
        <v>0</v>
      </c>
      <c r="AO155" s="32">
        <v>105999.99</v>
      </c>
      <c r="AP155" s="32">
        <v>0</v>
      </c>
      <c r="AQ155" s="32">
        <v>105999.99</v>
      </c>
      <c r="AR155" s="32">
        <v>529999.94999999995</v>
      </c>
      <c r="AS155" s="32">
        <v>12.11</v>
      </c>
      <c r="AT155" s="32">
        <v>198143.97</v>
      </c>
      <c r="AU155" s="32">
        <v>0</v>
      </c>
      <c r="AV155" s="32">
        <v>198143.97</v>
      </c>
      <c r="AW155" s="32">
        <v>0</v>
      </c>
      <c r="AX155" s="32">
        <v>29721.59</v>
      </c>
      <c r="AY155" s="32">
        <v>29721.59</v>
      </c>
      <c r="AZ155" s="32">
        <v>7925.75</v>
      </c>
      <c r="BA155" s="32">
        <v>7925.75</v>
      </c>
      <c r="BB155" s="32">
        <v>0</v>
      </c>
      <c r="BC155" s="32">
        <v>0</v>
      </c>
      <c r="BD155" s="32">
        <v>167208.64000000001</v>
      </c>
      <c r="BE155" s="32">
        <v>167208.64000000001</v>
      </c>
      <c r="BF155" s="32">
        <v>0</v>
      </c>
      <c r="BG155" s="32">
        <v>127000</v>
      </c>
      <c r="BH155" s="32">
        <v>127000</v>
      </c>
      <c r="BI155" s="32">
        <v>0</v>
      </c>
      <c r="BJ155" s="32">
        <v>0</v>
      </c>
      <c r="BK155" s="32">
        <v>0</v>
      </c>
      <c r="BL155" s="32">
        <v>0</v>
      </c>
      <c r="BM155" s="32">
        <v>0</v>
      </c>
      <c r="BN155" s="32">
        <v>0</v>
      </c>
      <c r="BO155" s="32">
        <v>0</v>
      </c>
      <c r="BP155" s="32">
        <v>0</v>
      </c>
      <c r="BQ155" s="32">
        <v>39298.559999999998</v>
      </c>
      <c r="BR155" s="32">
        <v>87298.559999999998</v>
      </c>
      <c r="BS155" s="32">
        <v>74798.559999999998</v>
      </c>
      <c r="BT155" s="32">
        <v>136298.56</v>
      </c>
      <c r="BU155" s="32">
        <v>129007.2</v>
      </c>
      <c r="BV155" s="32">
        <v>63298.51</v>
      </c>
      <c r="BW155" s="32">
        <v>0</v>
      </c>
      <c r="BX155" s="32">
        <v>0</v>
      </c>
      <c r="BY155" s="32">
        <v>0</v>
      </c>
      <c r="BZ155" s="32">
        <v>0</v>
      </c>
      <c r="CA155" s="32">
        <v>0</v>
      </c>
      <c r="CB155" s="33" t="s">
        <v>212</v>
      </c>
      <c r="CC155" s="33" t="s">
        <v>743</v>
      </c>
      <c r="CD155" s="33" t="s">
        <v>653</v>
      </c>
      <c r="CE155" s="33" t="s">
        <v>684</v>
      </c>
      <c r="CF155" s="33" t="s">
        <v>1748</v>
      </c>
      <c r="CG155" s="33" t="s">
        <v>1328</v>
      </c>
      <c r="CH155" s="33" t="s">
        <v>526</v>
      </c>
      <c r="CI155" s="33"/>
      <c r="CJ155" s="33" t="s">
        <v>212</v>
      </c>
      <c r="CK155" s="33"/>
      <c r="CL155" s="33" t="s">
        <v>212</v>
      </c>
      <c r="CM155" s="33"/>
      <c r="CN155" s="33" t="s">
        <v>254</v>
      </c>
      <c r="CO155" s="33" t="s">
        <v>255</v>
      </c>
      <c r="CP155" s="33" t="s">
        <v>2524</v>
      </c>
      <c r="CQ155" s="33" t="s">
        <v>2525</v>
      </c>
      <c r="CR155" s="33" t="s">
        <v>529</v>
      </c>
      <c r="CS155" s="33" t="s">
        <v>1933</v>
      </c>
      <c r="CT155" s="33"/>
      <c r="CU155" s="33"/>
      <c r="CV155" s="33"/>
      <c r="CW155" s="33"/>
      <c r="CX155" s="33"/>
      <c r="CY155" s="33" t="s">
        <v>892</v>
      </c>
      <c r="CZ155" s="33" t="s">
        <v>1333</v>
      </c>
      <c r="DA155" s="33" t="s">
        <v>1334</v>
      </c>
      <c r="DB155" s="33" t="s">
        <v>892</v>
      </c>
      <c r="DC155" s="33" t="s">
        <v>623</v>
      </c>
      <c r="DD155" s="33" t="s">
        <v>1335</v>
      </c>
      <c r="DE155" s="33" t="s">
        <v>2526</v>
      </c>
      <c r="DF155" s="34" t="s">
        <v>2527</v>
      </c>
      <c r="DG155" s="27" cm="1">
        <f t="array" ref="DG155">INDEX('elenco partner'!A:M,MATCH(1,(D155='elenco partner'!A:A)*('Partner data'!M155='elenco partner'!E:E),0),4)</f>
        <v>323</v>
      </c>
      <c r="DH155" s="83" t="str">
        <f t="shared" si="58"/>
        <v>COSTO REALE</v>
      </c>
      <c r="DI155" s="20">
        <f>COUNTIFS('MY-REPORT-MAIN'!C:C,'Partner data'!DG155,'MY-REPORT-MAIN'!I:I,"Certified")</f>
        <v>2</v>
      </c>
      <c r="DJ155" s="20">
        <f>COUNTIFS(List_Of_chek_list!M:M,"&lt;&gt;26",List_Of_chek_list!B:B,'Partner data'!DG155)</f>
        <v>2</v>
      </c>
      <c r="DK155" s="20">
        <f t="shared" si="59"/>
        <v>0</v>
      </c>
      <c r="DL155" s="19" t="str">
        <f>IF(DH155="Tasso Forfettario 20%",SUMIFS(List_Of_chek_list!#REF!,List_Of_chek_list!B:B,'Partner data'!DG155),"NON PERTINENTE")</f>
        <v>NON PERTINENTE</v>
      </c>
      <c r="DM155" s="19" t="str">
        <f t="shared" si="60"/>
        <v>NON PERTINENTE</v>
      </c>
      <c r="DN155" s="110">
        <f>_xlfn.MAXIFS('MY-REPORT-MAIN'!K:K,'MY-REPORT-MAIN'!C:C,DG155)</f>
        <v>45387.471732407408</v>
      </c>
      <c r="DO155" s="112">
        <f>IF(_xlfn.MAXIFS('MY-REPORT-MAIN'!M:M,'MY-REPORT-MAIN'!C:C,DG155)=0,"Nessun rendiconto  Convalidato",_xlfn.MAXIFS('MY-REPORT-MAIN'!M:M,'MY-REPORT-MAIN'!C:C,DG155))</f>
        <v>45467.500310057869</v>
      </c>
      <c r="DP155" s="113" cm="1">
        <f t="array" ref="DP155">IFERROR(INDEX('MY-REPORT-MAIN'!A:Z,MATCH(1,(DO155='MY-REPORT-MAIN'!M:M)*('Partner data'!DG155='MY-REPORT-MAIN'!C:C),0),1),"NON è stato convalidato ancora nessun rendiconto")</f>
        <v>339</v>
      </c>
      <c r="DQ155" s="111">
        <f>IFERROR(INDEX('MY-REPORT-MAIN'!A:Z,MATCH('Partner data'!DP155,'MY-REPORT-MAIN'!A:A,0),21),"Nessun Rendiconto ancora convalidato")</f>
        <v>43025.82</v>
      </c>
      <c r="DR155" s="110">
        <f>INDEX('Interreg VI-A Italy-Slovenia_pr'!A:E,MATCH('Partner data'!C155,'Interreg VI-A Italy-Slovenia_pr'!A:A,0),3)</f>
        <v>44927</v>
      </c>
      <c r="DS155" s="118">
        <f t="shared" si="48"/>
        <v>39298.559999999998</v>
      </c>
      <c r="DT155" s="118">
        <f t="shared" si="49"/>
        <v>126597.12</v>
      </c>
      <c r="DU155" s="118">
        <f t="shared" si="50"/>
        <v>201395.68</v>
      </c>
      <c r="DV155" s="118">
        <f t="shared" si="51"/>
        <v>337694.24</v>
      </c>
      <c r="DW155" s="118">
        <f t="shared" si="52"/>
        <v>466701.44</v>
      </c>
      <c r="DX155" s="118">
        <f t="shared" si="53"/>
        <v>529999.94999999995</v>
      </c>
      <c r="DY155" s="118">
        <f t="shared" si="54"/>
        <v>529999.94999999995</v>
      </c>
      <c r="DZ155" s="118">
        <f t="shared" si="55"/>
        <v>529999.94999999995</v>
      </c>
      <c r="EA155" s="118">
        <f t="shared" si="56"/>
        <v>529999.94999999995</v>
      </c>
      <c r="EB155" s="118">
        <f t="shared" si="57"/>
        <v>529999.94999999995</v>
      </c>
    </row>
    <row r="156" spans="1:132" x14ac:dyDescent="0.25">
      <c r="A156" s="28">
        <v>3</v>
      </c>
      <c r="B156" s="29" t="s">
        <v>2432</v>
      </c>
      <c r="C156" s="30" t="s">
        <v>2433</v>
      </c>
      <c r="D156" s="30" t="s">
        <v>59</v>
      </c>
      <c r="E156" s="30" t="s">
        <v>2434</v>
      </c>
      <c r="F156" s="30" t="s">
        <v>2435</v>
      </c>
      <c r="G156" s="30" t="s">
        <v>491</v>
      </c>
      <c r="H156" s="30" t="s">
        <v>766</v>
      </c>
      <c r="I156" s="30" t="s">
        <v>767</v>
      </c>
      <c r="J156" s="31" t="s">
        <v>2528</v>
      </c>
      <c r="K156" s="31" t="s">
        <v>495</v>
      </c>
      <c r="L156" s="31" t="s">
        <v>519</v>
      </c>
      <c r="M156" s="31" t="s">
        <v>21</v>
      </c>
      <c r="N156" s="31" t="s">
        <v>21</v>
      </c>
      <c r="O156" s="31" t="s">
        <v>21</v>
      </c>
      <c r="P156" s="31" t="s">
        <v>254</v>
      </c>
      <c r="Q156" s="31" t="s">
        <v>499</v>
      </c>
      <c r="R156" s="31" t="s">
        <v>255</v>
      </c>
      <c r="S156" s="32">
        <v>361600</v>
      </c>
      <c r="T156" s="32">
        <v>80</v>
      </c>
      <c r="U156" s="32">
        <v>10.33</v>
      </c>
      <c r="V156" s="32">
        <v>0</v>
      </c>
      <c r="W156" s="32">
        <v>0</v>
      </c>
      <c r="X156" s="32">
        <v>0</v>
      </c>
      <c r="Y156" s="32">
        <v>0</v>
      </c>
      <c r="Z156" s="32">
        <v>0</v>
      </c>
      <c r="AA156" s="32">
        <v>0</v>
      </c>
      <c r="AB156" s="32">
        <v>0</v>
      </c>
      <c r="AC156" s="32">
        <v>0</v>
      </c>
      <c r="AD156" s="32">
        <v>0</v>
      </c>
      <c r="AE156" s="32">
        <v>0</v>
      </c>
      <c r="AF156" s="32">
        <v>0</v>
      </c>
      <c r="AG156" s="32">
        <v>0</v>
      </c>
      <c r="AH156" s="32">
        <v>0</v>
      </c>
      <c r="AI156" s="32">
        <v>0</v>
      </c>
      <c r="AJ156" s="32">
        <v>0</v>
      </c>
      <c r="AK156" s="32">
        <v>0</v>
      </c>
      <c r="AL156" s="32">
        <v>0</v>
      </c>
      <c r="AM156" s="32">
        <v>0</v>
      </c>
      <c r="AN156" s="32">
        <v>0</v>
      </c>
      <c r="AO156" s="32">
        <v>90400</v>
      </c>
      <c r="AP156" s="32">
        <v>0</v>
      </c>
      <c r="AQ156" s="32">
        <v>90400</v>
      </c>
      <c r="AR156" s="32">
        <v>452000</v>
      </c>
      <c r="AS156" s="32">
        <v>10.33</v>
      </c>
      <c r="AT156" s="32">
        <v>73021</v>
      </c>
      <c r="AU156" s="32">
        <v>73021</v>
      </c>
      <c r="AV156" s="32">
        <v>0</v>
      </c>
      <c r="AW156" s="32">
        <v>0</v>
      </c>
      <c r="AX156" s="32">
        <v>10953.15</v>
      </c>
      <c r="AY156" s="32">
        <v>10953.15</v>
      </c>
      <c r="AZ156" s="32">
        <v>2920.84</v>
      </c>
      <c r="BA156" s="32">
        <v>2920.84</v>
      </c>
      <c r="BB156" s="32">
        <v>0</v>
      </c>
      <c r="BC156" s="32">
        <v>0</v>
      </c>
      <c r="BD156" s="32">
        <v>328756.05</v>
      </c>
      <c r="BE156" s="32">
        <v>328756.05</v>
      </c>
      <c r="BF156" s="32">
        <v>0</v>
      </c>
      <c r="BG156" s="32">
        <v>36348.959999999999</v>
      </c>
      <c r="BH156" s="32">
        <v>36348.959999999999</v>
      </c>
      <c r="BI156" s="32">
        <v>0</v>
      </c>
      <c r="BJ156" s="32">
        <v>0</v>
      </c>
      <c r="BK156" s="32">
        <v>0</v>
      </c>
      <c r="BL156" s="32">
        <v>0</v>
      </c>
      <c r="BM156" s="32">
        <v>0</v>
      </c>
      <c r="BN156" s="32">
        <v>0</v>
      </c>
      <c r="BO156" s="32">
        <v>0</v>
      </c>
      <c r="BP156" s="32">
        <v>0</v>
      </c>
      <c r="BQ156" s="32">
        <v>13859.1</v>
      </c>
      <c r="BR156" s="32">
        <v>58396.27</v>
      </c>
      <c r="BS156" s="32">
        <v>47883.33</v>
      </c>
      <c r="BT156" s="32">
        <v>74758.45</v>
      </c>
      <c r="BU156" s="32">
        <v>192706.94</v>
      </c>
      <c r="BV156" s="32">
        <v>64395.91</v>
      </c>
      <c r="BW156" s="32">
        <v>0</v>
      </c>
      <c r="BX156" s="32">
        <v>0</v>
      </c>
      <c r="BY156" s="32">
        <v>0</v>
      </c>
      <c r="BZ156" s="32">
        <v>0</v>
      </c>
      <c r="CA156" s="32">
        <v>0</v>
      </c>
      <c r="CB156" s="33" t="s">
        <v>2529</v>
      </c>
      <c r="CC156" s="33" t="s">
        <v>606</v>
      </c>
      <c r="CD156" s="33"/>
      <c r="CE156" s="33" t="s">
        <v>684</v>
      </c>
      <c r="CF156" s="33" t="s">
        <v>744</v>
      </c>
      <c r="CG156" s="33" t="s">
        <v>2530</v>
      </c>
      <c r="CH156" s="33" t="s">
        <v>526</v>
      </c>
      <c r="CI156" s="33"/>
      <c r="CJ156" s="33" t="s">
        <v>212</v>
      </c>
      <c r="CK156" s="33"/>
      <c r="CL156" s="33" t="s">
        <v>212</v>
      </c>
      <c r="CM156" s="33"/>
      <c r="CN156" s="33" t="s">
        <v>254</v>
      </c>
      <c r="CO156" s="33" t="s">
        <v>255</v>
      </c>
      <c r="CP156" s="33" t="s">
        <v>2531</v>
      </c>
      <c r="CQ156" s="33" t="s">
        <v>2532</v>
      </c>
      <c r="CR156" s="33" t="s">
        <v>529</v>
      </c>
      <c r="CS156" s="33" t="s">
        <v>2533</v>
      </c>
      <c r="CT156" s="33" t="s">
        <v>254</v>
      </c>
      <c r="CU156" s="33" t="s">
        <v>273</v>
      </c>
      <c r="CV156" s="33" t="s">
        <v>2394</v>
      </c>
      <c r="CW156" s="33" t="s">
        <v>2534</v>
      </c>
      <c r="CX156" s="33" t="s">
        <v>2395</v>
      </c>
      <c r="CY156" s="33" t="s">
        <v>212</v>
      </c>
      <c r="CZ156" s="33" t="s">
        <v>2535</v>
      </c>
      <c r="DA156" s="33" t="s">
        <v>2281</v>
      </c>
      <c r="DB156" s="33" t="s">
        <v>892</v>
      </c>
      <c r="DC156" s="33" t="s">
        <v>2098</v>
      </c>
      <c r="DD156" s="33" t="s">
        <v>1963</v>
      </c>
      <c r="DE156" s="33" t="s">
        <v>2282</v>
      </c>
      <c r="DF156" s="34" t="s">
        <v>2536</v>
      </c>
      <c r="DG156" s="27" cm="1">
        <f t="array" ref="DG156">INDEX('elenco partner'!A:M,MATCH(1,(D156='elenco partner'!A:A)*('Partner data'!M156='elenco partner'!E:E),0),4)</f>
        <v>324</v>
      </c>
      <c r="DH156" s="83" t="str">
        <f t="shared" si="58"/>
        <v>Tasso Forfettario 20%</v>
      </c>
      <c r="DI156" s="20">
        <f>COUNTIFS('MY-REPORT-MAIN'!C:C,'Partner data'!DG156,'MY-REPORT-MAIN'!I:I,"Certified")</f>
        <v>1</v>
      </c>
      <c r="DJ156" s="20">
        <f>COUNTIFS(List_Of_chek_list!M:M,"&lt;&gt;26",List_Of_chek_list!B:B,'Partner data'!DG156)</f>
        <v>1</v>
      </c>
      <c r="DK156" s="20">
        <f t="shared" si="59"/>
        <v>0</v>
      </c>
      <c r="DL156" s="19" t="e">
        <f>IF(DH156="Tasso Forfettario 20%",SUMIFS(List_Of_chek_list!#REF!,List_Of_chek_list!B:B,'Partner data'!DG156),"NON PERTINENTE")</f>
        <v>#REF!</v>
      </c>
      <c r="DM156" s="19" t="e">
        <f t="shared" si="60"/>
        <v>#REF!</v>
      </c>
      <c r="DN156" s="110">
        <f>_xlfn.MAXIFS('MY-REPORT-MAIN'!K:K,'MY-REPORT-MAIN'!C:C,DG156)</f>
        <v>45377.590691689817</v>
      </c>
      <c r="DO156" s="112">
        <f>IF(_xlfn.MAXIFS('MY-REPORT-MAIN'!M:M,'MY-REPORT-MAIN'!C:C,DG156)=0,"Nessun rendiconto  Convalidato",_xlfn.MAXIFS('MY-REPORT-MAIN'!M:M,'MY-REPORT-MAIN'!C:C,DG156))</f>
        <v>45446.505126979166</v>
      </c>
      <c r="DP156" s="113" cm="1">
        <f t="array" ref="DP156">IFERROR(INDEX('MY-REPORT-MAIN'!A:Z,MATCH(1,(DO156='MY-REPORT-MAIN'!M:M)*('Partner data'!DG156='MY-REPORT-MAIN'!C:C),0),1),"NON è stato convalidato ancora nessun rendiconto")</f>
        <v>163</v>
      </c>
      <c r="DQ156" s="111">
        <f>IFERROR(INDEX('MY-REPORT-MAIN'!A:Z,MATCH('Partner data'!DP156,'MY-REPORT-MAIN'!A:A,0),21),"Nessun Rendiconto ancora convalidato")</f>
        <v>4595.4799999999996</v>
      </c>
      <c r="DR156" s="110">
        <f>INDEX('Interreg VI-A Italy-Slovenia_pr'!A:E,MATCH('Partner data'!C156,'Interreg VI-A Italy-Slovenia_pr'!A:A,0),3)</f>
        <v>44927</v>
      </c>
      <c r="DS156" s="118">
        <f t="shared" si="48"/>
        <v>13859.1</v>
      </c>
      <c r="DT156" s="118">
        <f t="shared" si="49"/>
        <v>72255.37</v>
      </c>
      <c r="DU156" s="118">
        <f t="shared" si="50"/>
        <v>120138.7</v>
      </c>
      <c r="DV156" s="118">
        <f t="shared" si="51"/>
        <v>194897.15</v>
      </c>
      <c r="DW156" s="118">
        <f t="shared" si="52"/>
        <v>387604.08999999997</v>
      </c>
      <c r="DX156" s="118">
        <f t="shared" si="53"/>
        <v>452000</v>
      </c>
      <c r="DY156" s="118">
        <f t="shared" si="54"/>
        <v>452000</v>
      </c>
      <c r="DZ156" s="118">
        <f t="shared" si="55"/>
        <v>452000</v>
      </c>
      <c r="EA156" s="118">
        <f t="shared" si="56"/>
        <v>452000</v>
      </c>
      <c r="EB156" s="118">
        <f t="shared" si="57"/>
        <v>452000</v>
      </c>
    </row>
    <row r="157" spans="1:132" x14ac:dyDescent="0.25">
      <c r="A157" s="28">
        <v>3</v>
      </c>
      <c r="B157" s="29" t="s">
        <v>2432</v>
      </c>
      <c r="C157" s="30" t="s">
        <v>2433</v>
      </c>
      <c r="D157" s="30" t="s">
        <v>59</v>
      </c>
      <c r="E157" s="30" t="s">
        <v>2434</v>
      </c>
      <c r="F157" s="30" t="s">
        <v>2435</v>
      </c>
      <c r="G157" s="30" t="s">
        <v>491</v>
      </c>
      <c r="H157" s="30" t="s">
        <v>766</v>
      </c>
      <c r="I157" s="30" t="s">
        <v>767</v>
      </c>
      <c r="J157" s="31" t="s">
        <v>2537</v>
      </c>
      <c r="K157" s="31" t="s">
        <v>495</v>
      </c>
      <c r="L157" s="31" t="s">
        <v>519</v>
      </c>
      <c r="M157" s="31" t="s">
        <v>69</v>
      </c>
      <c r="N157" s="31" t="s">
        <v>733</v>
      </c>
      <c r="O157" s="31" t="s">
        <v>1272</v>
      </c>
      <c r="P157" s="31" t="s">
        <v>254</v>
      </c>
      <c r="Q157" s="31" t="s">
        <v>499</v>
      </c>
      <c r="R157" s="31" t="s">
        <v>255</v>
      </c>
      <c r="S157" s="32">
        <v>267360.08</v>
      </c>
      <c r="T157" s="32">
        <v>80</v>
      </c>
      <c r="U157" s="32">
        <v>7.64</v>
      </c>
      <c r="V157" s="32">
        <v>0</v>
      </c>
      <c r="W157" s="32">
        <v>0</v>
      </c>
      <c r="X157" s="32">
        <v>0</v>
      </c>
      <c r="Y157" s="32">
        <v>0</v>
      </c>
      <c r="Z157" s="32">
        <v>0</v>
      </c>
      <c r="AA157" s="32">
        <v>0</v>
      </c>
      <c r="AB157" s="32">
        <v>0</v>
      </c>
      <c r="AC157" s="32">
        <v>0</v>
      </c>
      <c r="AD157" s="32">
        <v>0</v>
      </c>
      <c r="AE157" s="32">
        <v>0</v>
      </c>
      <c r="AF157" s="32">
        <v>0</v>
      </c>
      <c r="AG157" s="32">
        <v>0</v>
      </c>
      <c r="AH157" s="32">
        <v>0</v>
      </c>
      <c r="AI157" s="32">
        <v>0</v>
      </c>
      <c r="AJ157" s="32">
        <v>0</v>
      </c>
      <c r="AK157" s="32">
        <v>0</v>
      </c>
      <c r="AL157" s="32">
        <v>0</v>
      </c>
      <c r="AM157" s="32">
        <v>0</v>
      </c>
      <c r="AN157" s="32">
        <v>0</v>
      </c>
      <c r="AO157" s="32">
        <v>66840.02</v>
      </c>
      <c r="AP157" s="32">
        <v>0</v>
      </c>
      <c r="AQ157" s="32">
        <v>66840.02</v>
      </c>
      <c r="AR157" s="32">
        <v>334200.09999999998</v>
      </c>
      <c r="AS157" s="32">
        <v>7.64</v>
      </c>
      <c r="AT157" s="32">
        <v>259069.85</v>
      </c>
      <c r="AU157" s="32">
        <v>0</v>
      </c>
      <c r="AV157" s="32">
        <v>259069.85</v>
      </c>
      <c r="AW157" s="32">
        <v>0</v>
      </c>
      <c r="AX157" s="32">
        <v>0</v>
      </c>
      <c r="AY157" s="32">
        <v>0</v>
      </c>
      <c r="AZ157" s="32">
        <v>0</v>
      </c>
      <c r="BA157" s="32">
        <v>0</v>
      </c>
      <c r="BB157" s="32">
        <v>0</v>
      </c>
      <c r="BC157" s="32">
        <v>0</v>
      </c>
      <c r="BD157" s="32">
        <v>0</v>
      </c>
      <c r="BE157" s="32">
        <v>0</v>
      </c>
      <c r="BF157" s="32">
        <v>0</v>
      </c>
      <c r="BG157" s="32">
        <v>0</v>
      </c>
      <c r="BH157" s="32">
        <v>0</v>
      </c>
      <c r="BI157" s="32">
        <v>0</v>
      </c>
      <c r="BJ157" s="32">
        <v>0</v>
      </c>
      <c r="BK157" s="32">
        <v>0</v>
      </c>
      <c r="BL157" s="32">
        <v>0</v>
      </c>
      <c r="BM157" s="32">
        <v>75130.25</v>
      </c>
      <c r="BN157" s="32">
        <v>0</v>
      </c>
      <c r="BO157" s="32">
        <v>0</v>
      </c>
      <c r="BP157" s="32">
        <v>0</v>
      </c>
      <c r="BQ157" s="32">
        <v>30947.279999999999</v>
      </c>
      <c r="BR157" s="32">
        <v>68072.19</v>
      </c>
      <c r="BS157" s="32">
        <v>68072.19</v>
      </c>
      <c r="BT157" s="32">
        <v>68072.19</v>
      </c>
      <c r="BU157" s="32">
        <v>68077.22</v>
      </c>
      <c r="BV157" s="32">
        <v>30959.03</v>
      </c>
      <c r="BW157" s="32">
        <v>0</v>
      </c>
      <c r="BX157" s="32">
        <v>0</v>
      </c>
      <c r="BY157" s="32">
        <v>0</v>
      </c>
      <c r="BZ157" s="32">
        <v>0</v>
      </c>
      <c r="CA157" s="32">
        <v>0</v>
      </c>
      <c r="CB157" s="33" t="s">
        <v>2538</v>
      </c>
      <c r="CC157" s="33" t="s">
        <v>624</v>
      </c>
      <c r="CD157" s="33"/>
      <c r="CE157" s="33" t="s">
        <v>523</v>
      </c>
      <c r="CF157" s="33" t="s">
        <v>1286</v>
      </c>
      <c r="CG157" s="33" t="s">
        <v>735</v>
      </c>
      <c r="CH157" s="33" t="s">
        <v>526</v>
      </c>
      <c r="CI157" s="33"/>
      <c r="CJ157" s="33" t="s">
        <v>212</v>
      </c>
      <c r="CK157" s="33"/>
      <c r="CL157" s="33" t="s">
        <v>212</v>
      </c>
      <c r="CM157" s="33"/>
      <c r="CN157" s="33" t="s">
        <v>254</v>
      </c>
      <c r="CO157" s="33" t="s">
        <v>255</v>
      </c>
      <c r="CP157" s="33" t="s">
        <v>2539</v>
      </c>
      <c r="CQ157" s="33" t="s">
        <v>2540</v>
      </c>
      <c r="CR157" s="33" t="s">
        <v>529</v>
      </c>
      <c r="CS157" s="33" t="s">
        <v>2541</v>
      </c>
      <c r="CT157" s="33" t="s">
        <v>254</v>
      </c>
      <c r="CU157" s="33" t="s">
        <v>255</v>
      </c>
      <c r="CV157" s="33" t="s">
        <v>2539</v>
      </c>
      <c r="CW157" s="33" t="s">
        <v>2540</v>
      </c>
      <c r="CX157" s="33" t="s">
        <v>529</v>
      </c>
      <c r="CY157" s="33" t="s">
        <v>628</v>
      </c>
      <c r="CZ157" s="33" t="s">
        <v>550</v>
      </c>
      <c r="DA157" s="33" t="s">
        <v>2542</v>
      </c>
      <c r="DB157" s="33" t="s">
        <v>892</v>
      </c>
      <c r="DC157" s="33" t="s">
        <v>2543</v>
      </c>
      <c r="DD157" s="33" t="s">
        <v>2544</v>
      </c>
      <c r="DE157" s="33" t="s">
        <v>2545</v>
      </c>
      <c r="DF157" s="34" t="s">
        <v>2546</v>
      </c>
      <c r="DG157" s="27" cm="1">
        <f t="array" ref="DG157">INDEX('elenco partner'!A:M,MATCH(1,(D157='elenco partner'!A:A)*('Partner data'!M157='elenco partner'!E:E),0),4)</f>
        <v>325</v>
      </c>
      <c r="DH157" s="83" t="str">
        <f t="shared" si="58"/>
        <v>COSTO REALE</v>
      </c>
      <c r="DI157" s="20">
        <f>COUNTIFS('MY-REPORT-MAIN'!C:C,'Partner data'!DG157,'MY-REPORT-MAIN'!I:I,"Certified")</f>
        <v>2</v>
      </c>
      <c r="DJ157" s="20">
        <f>COUNTIFS(List_Of_chek_list!M:M,"&lt;&gt;26",List_Of_chek_list!B:B,'Partner data'!DG157)</f>
        <v>3</v>
      </c>
      <c r="DK157" s="20">
        <f t="shared" si="59"/>
        <v>-1</v>
      </c>
      <c r="DL157" s="19" t="str">
        <f>IF(DH157="Tasso Forfettario 20%",SUMIFS(List_Of_chek_list!#REF!,List_Of_chek_list!B:B,'Partner data'!DG157),"NON PERTINENTE")</f>
        <v>NON PERTINENTE</v>
      </c>
      <c r="DM157" s="19" t="str">
        <f t="shared" si="60"/>
        <v>NON PERTINENTE</v>
      </c>
      <c r="DN157" s="110">
        <f>_xlfn.MAXIFS('MY-REPORT-MAIN'!K:K,'MY-REPORT-MAIN'!C:C,DG157)</f>
        <v>45378.446597650465</v>
      </c>
      <c r="DO157" s="112">
        <f>IF(_xlfn.MAXIFS('MY-REPORT-MAIN'!M:M,'MY-REPORT-MAIN'!C:C,DG157)=0,"Nessun rendiconto  Convalidato",_xlfn.MAXIFS('MY-REPORT-MAIN'!M:M,'MY-REPORT-MAIN'!C:C,DG157))</f>
        <v>45434.70783767361</v>
      </c>
      <c r="DP157" s="113" cm="1">
        <f t="array" ref="DP157">IFERROR(INDEX('MY-REPORT-MAIN'!A:Z,MATCH(1,(DO157='MY-REPORT-MAIN'!M:M)*('Partner data'!DG157='MY-REPORT-MAIN'!C:C),0),1),"NON è stato convalidato ancora nessun rendiconto")</f>
        <v>244</v>
      </c>
      <c r="DQ157" s="111">
        <f>IFERROR(INDEX('MY-REPORT-MAIN'!A:Z,MATCH('Partner data'!DP157,'MY-REPORT-MAIN'!A:A,0),21),"Nessun Rendiconto ancora convalidato")</f>
        <v>61000.26</v>
      </c>
      <c r="DR157" s="110">
        <f>INDEX('Interreg VI-A Italy-Slovenia_pr'!A:E,MATCH('Partner data'!C157,'Interreg VI-A Italy-Slovenia_pr'!A:A,0),3)</f>
        <v>44927</v>
      </c>
      <c r="DS157" s="118">
        <f t="shared" si="48"/>
        <v>30947.279999999999</v>
      </c>
      <c r="DT157" s="118">
        <f t="shared" si="49"/>
        <v>99019.47</v>
      </c>
      <c r="DU157" s="118">
        <f t="shared" si="50"/>
        <v>167091.66</v>
      </c>
      <c r="DV157" s="118">
        <f t="shared" si="51"/>
        <v>235163.85</v>
      </c>
      <c r="DW157" s="118">
        <f t="shared" si="52"/>
        <v>303241.07</v>
      </c>
      <c r="DX157" s="118">
        <f t="shared" si="53"/>
        <v>334200.09999999998</v>
      </c>
      <c r="DY157" s="118">
        <f t="shared" si="54"/>
        <v>334200.09999999998</v>
      </c>
      <c r="DZ157" s="118">
        <f t="shared" si="55"/>
        <v>334200.09999999998</v>
      </c>
      <c r="EA157" s="118">
        <f t="shared" si="56"/>
        <v>334200.09999999998</v>
      </c>
      <c r="EB157" s="118">
        <f t="shared" si="57"/>
        <v>334200.09999999998</v>
      </c>
    </row>
    <row r="158" spans="1:132" x14ac:dyDescent="0.25">
      <c r="A158" s="28">
        <v>3</v>
      </c>
      <c r="B158" s="29" t="s">
        <v>2432</v>
      </c>
      <c r="C158" s="30" t="s">
        <v>2433</v>
      </c>
      <c r="D158" s="30" t="s">
        <v>59</v>
      </c>
      <c r="E158" s="30" t="s">
        <v>2434</v>
      </c>
      <c r="F158" s="30" t="s">
        <v>2435</v>
      </c>
      <c r="G158" s="30" t="s">
        <v>491</v>
      </c>
      <c r="H158" s="30" t="s">
        <v>766</v>
      </c>
      <c r="I158" s="30" t="s">
        <v>767</v>
      </c>
      <c r="J158" s="31" t="s">
        <v>2547</v>
      </c>
      <c r="K158" s="31" t="s">
        <v>495</v>
      </c>
      <c r="L158" s="31" t="s">
        <v>519</v>
      </c>
      <c r="M158" s="31" t="s">
        <v>44</v>
      </c>
      <c r="N158" s="31" t="s">
        <v>2548</v>
      </c>
      <c r="O158" s="31" t="s">
        <v>2549</v>
      </c>
      <c r="P158" s="31" t="s">
        <v>254</v>
      </c>
      <c r="Q158" s="31" t="s">
        <v>540</v>
      </c>
      <c r="R158" s="31" t="s">
        <v>302</v>
      </c>
      <c r="S158" s="32">
        <v>144003</v>
      </c>
      <c r="T158" s="32">
        <v>80</v>
      </c>
      <c r="U158" s="32">
        <v>4.1100000000000003</v>
      </c>
      <c r="V158" s="32">
        <v>0</v>
      </c>
      <c r="W158" s="32">
        <v>0</v>
      </c>
      <c r="X158" s="32">
        <v>0</v>
      </c>
      <c r="Y158" s="32">
        <v>0</v>
      </c>
      <c r="Z158" s="32">
        <v>0</v>
      </c>
      <c r="AA158" s="32">
        <v>0</v>
      </c>
      <c r="AB158" s="32">
        <v>0</v>
      </c>
      <c r="AC158" s="32">
        <v>0</v>
      </c>
      <c r="AD158" s="32">
        <v>0</v>
      </c>
      <c r="AE158" s="32">
        <v>0</v>
      </c>
      <c r="AF158" s="32">
        <v>0</v>
      </c>
      <c r="AG158" s="32">
        <v>0</v>
      </c>
      <c r="AH158" s="32">
        <v>0</v>
      </c>
      <c r="AI158" s="32">
        <v>0</v>
      </c>
      <c r="AJ158" s="32">
        <v>0</v>
      </c>
      <c r="AK158" s="32">
        <v>0</v>
      </c>
      <c r="AL158" s="32">
        <v>0</v>
      </c>
      <c r="AM158" s="32">
        <v>0</v>
      </c>
      <c r="AN158" s="32">
        <v>0</v>
      </c>
      <c r="AO158" s="32">
        <v>36000.75</v>
      </c>
      <c r="AP158" s="32">
        <v>0</v>
      </c>
      <c r="AQ158" s="32">
        <v>36000.75</v>
      </c>
      <c r="AR158" s="32">
        <v>180003.75</v>
      </c>
      <c r="AS158" s="32">
        <v>4.1100000000000003</v>
      </c>
      <c r="AT158" s="32">
        <v>128574.11</v>
      </c>
      <c r="AU158" s="32">
        <v>0</v>
      </c>
      <c r="AV158" s="32">
        <v>128574.11</v>
      </c>
      <c r="AW158" s="32">
        <v>0</v>
      </c>
      <c r="AX158" s="32">
        <v>0</v>
      </c>
      <c r="AY158" s="32">
        <v>0</v>
      </c>
      <c r="AZ158" s="32">
        <v>0</v>
      </c>
      <c r="BA158" s="32">
        <v>0</v>
      </c>
      <c r="BB158" s="32">
        <v>0</v>
      </c>
      <c r="BC158" s="32">
        <v>0</v>
      </c>
      <c r="BD158" s="32">
        <v>0</v>
      </c>
      <c r="BE158" s="32">
        <v>0</v>
      </c>
      <c r="BF158" s="32">
        <v>0</v>
      </c>
      <c r="BG158" s="32">
        <v>0</v>
      </c>
      <c r="BH158" s="32">
        <v>0</v>
      </c>
      <c r="BI158" s="32">
        <v>0</v>
      </c>
      <c r="BJ158" s="32">
        <v>0</v>
      </c>
      <c r="BK158" s="32">
        <v>0</v>
      </c>
      <c r="BL158" s="32">
        <v>0</v>
      </c>
      <c r="BM158" s="32">
        <v>51429.64</v>
      </c>
      <c r="BN158" s="32">
        <v>0</v>
      </c>
      <c r="BO158" s="32">
        <v>0</v>
      </c>
      <c r="BP158" s="32">
        <v>0</v>
      </c>
      <c r="BQ158" s="32">
        <v>6099.5</v>
      </c>
      <c r="BR158" s="32">
        <v>11872.68</v>
      </c>
      <c r="BS158" s="32">
        <v>49292.74</v>
      </c>
      <c r="BT158" s="32">
        <v>51931.09</v>
      </c>
      <c r="BU158" s="32">
        <v>30136.21</v>
      </c>
      <c r="BV158" s="32">
        <v>30671.53</v>
      </c>
      <c r="BW158" s="32">
        <v>0</v>
      </c>
      <c r="BX158" s="32">
        <v>0</v>
      </c>
      <c r="BY158" s="32">
        <v>0</v>
      </c>
      <c r="BZ158" s="32">
        <v>0</v>
      </c>
      <c r="CA158" s="32">
        <v>0</v>
      </c>
      <c r="CB158" s="33" t="s">
        <v>2550</v>
      </c>
      <c r="CC158" s="33" t="s">
        <v>624</v>
      </c>
      <c r="CD158" s="33"/>
      <c r="CE158" s="33" t="s">
        <v>523</v>
      </c>
      <c r="CF158" s="33" t="s">
        <v>1286</v>
      </c>
      <c r="CG158" s="33" t="s">
        <v>2551</v>
      </c>
      <c r="CH158" s="33" t="s">
        <v>526</v>
      </c>
      <c r="CI158" s="33" t="s">
        <v>1397</v>
      </c>
      <c r="CJ158" s="33" t="s">
        <v>683</v>
      </c>
      <c r="CK158" s="33"/>
      <c r="CL158" s="33" t="s">
        <v>212</v>
      </c>
      <c r="CM158" s="33"/>
      <c r="CN158" s="33" t="s">
        <v>254</v>
      </c>
      <c r="CO158" s="33" t="s">
        <v>302</v>
      </c>
      <c r="CP158" s="33" t="s">
        <v>2552</v>
      </c>
      <c r="CQ158" s="33" t="s">
        <v>1404</v>
      </c>
      <c r="CR158" s="33" t="s">
        <v>1308</v>
      </c>
      <c r="CS158" s="33" t="s">
        <v>2553</v>
      </c>
      <c r="CT158" s="33" t="s">
        <v>254</v>
      </c>
      <c r="CU158" s="33" t="s">
        <v>302</v>
      </c>
      <c r="CV158" s="33" t="s">
        <v>2552</v>
      </c>
      <c r="CW158" s="33" t="s">
        <v>1404</v>
      </c>
      <c r="CX158" s="33" t="s">
        <v>1308</v>
      </c>
      <c r="CY158" s="33" t="s">
        <v>628</v>
      </c>
      <c r="CZ158" s="33" t="s">
        <v>2098</v>
      </c>
      <c r="DA158" s="33" t="s">
        <v>2554</v>
      </c>
      <c r="DB158" s="33" t="s">
        <v>2555</v>
      </c>
      <c r="DC158" s="33" t="s">
        <v>2556</v>
      </c>
      <c r="DD158" s="33" t="s">
        <v>2557</v>
      </c>
      <c r="DE158" s="33" t="s">
        <v>2558</v>
      </c>
      <c r="DF158" s="34" t="s">
        <v>2559</v>
      </c>
      <c r="DG158" s="27" cm="1">
        <f t="array" ref="DG158">INDEX('elenco partner'!A:M,MATCH(1,(D158='elenco partner'!A:A)*('Partner data'!M158='elenco partner'!E:E),0),4)</f>
        <v>326</v>
      </c>
      <c r="DH158" s="83" t="str">
        <f t="shared" si="58"/>
        <v>COSTO REALE</v>
      </c>
      <c r="DI158" s="20">
        <f>COUNTIFS('MY-REPORT-MAIN'!C:C,'Partner data'!DG158,'MY-REPORT-MAIN'!I:I,"Certified")</f>
        <v>2</v>
      </c>
      <c r="DJ158" s="20">
        <f>COUNTIFS(List_Of_chek_list!M:M,"&lt;&gt;26",List_Of_chek_list!B:B,'Partner data'!DG158)</f>
        <v>1</v>
      </c>
      <c r="DK158" s="20">
        <f t="shared" si="59"/>
        <v>1</v>
      </c>
      <c r="DL158" s="19" t="str">
        <f>IF(DH158="Tasso Forfettario 20%",SUMIFS(List_Of_chek_list!#REF!,List_Of_chek_list!B:B,'Partner data'!DG158),"NON PERTINENTE")</f>
        <v>NON PERTINENTE</v>
      </c>
      <c r="DM158" s="19" t="str">
        <f t="shared" si="60"/>
        <v>NON PERTINENTE</v>
      </c>
      <c r="DN158" s="110">
        <f>_xlfn.MAXIFS('MY-REPORT-MAIN'!K:K,'MY-REPORT-MAIN'!C:C,DG158)</f>
        <v>45381.856543483795</v>
      </c>
      <c r="DO158" s="112">
        <f>IF(_xlfn.MAXIFS('MY-REPORT-MAIN'!M:M,'MY-REPORT-MAIN'!C:C,DG158)=0,"Nessun rendiconto  Convalidato",_xlfn.MAXIFS('MY-REPORT-MAIN'!M:M,'MY-REPORT-MAIN'!C:C,DG158))</f>
        <v>45470.662414270832</v>
      </c>
      <c r="DP158" s="113" cm="1">
        <f t="array" ref="DP158">IFERROR(INDEX('MY-REPORT-MAIN'!A:Z,MATCH(1,(DO158='MY-REPORT-MAIN'!M:M)*('Partner data'!DG158='MY-REPORT-MAIN'!C:C),0),1),"NON è stato convalidato ancora nessun rendiconto")</f>
        <v>324</v>
      </c>
      <c r="DQ158" s="111">
        <f>IFERROR(INDEX('MY-REPORT-MAIN'!A:Z,MATCH('Partner data'!DP158,'MY-REPORT-MAIN'!A:A,0),21),"Nessun Rendiconto ancora convalidato")</f>
        <v>21223.14</v>
      </c>
      <c r="DR158" s="110">
        <f>INDEX('Interreg VI-A Italy-Slovenia_pr'!A:E,MATCH('Partner data'!C158,'Interreg VI-A Italy-Slovenia_pr'!A:A,0),3)</f>
        <v>44927</v>
      </c>
      <c r="DS158" s="118">
        <f t="shared" si="48"/>
        <v>6099.5</v>
      </c>
      <c r="DT158" s="118">
        <f t="shared" si="49"/>
        <v>17972.18</v>
      </c>
      <c r="DU158" s="118">
        <f t="shared" si="50"/>
        <v>67264.92</v>
      </c>
      <c r="DV158" s="118">
        <f t="shared" si="51"/>
        <v>119196.01</v>
      </c>
      <c r="DW158" s="118">
        <f t="shared" si="52"/>
        <v>149332.22</v>
      </c>
      <c r="DX158" s="118">
        <f t="shared" si="53"/>
        <v>180003.75</v>
      </c>
      <c r="DY158" s="118">
        <f t="shared" si="54"/>
        <v>180003.75</v>
      </c>
      <c r="DZ158" s="118">
        <f t="shared" si="55"/>
        <v>180003.75</v>
      </c>
      <c r="EA158" s="118">
        <f t="shared" si="56"/>
        <v>180003.75</v>
      </c>
      <c r="EB158" s="118">
        <f t="shared" si="57"/>
        <v>180003.75</v>
      </c>
    </row>
    <row r="159" spans="1:132" x14ac:dyDescent="0.25">
      <c r="A159" s="28">
        <v>4</v>
      </c>
      <c r="B159" s="29" t="s">
        <v>2560</v>
      </c>
      <c r="C159" s="30" t="s">
        <v>2561</v>
      </c>
      <c r="D159" s="30" t="s">
        <v>57</v>
      </c>
      <c r="E159" s="30" t="s">
        <v>2562</v>
      </c>
      <c r="F159" s="30" t="s">
        <v>2563</v>
      </c>
      <c r="G159" s="30" t="s">
        <v>491</v>
      </c>
      <c r="H159" s="30" t="s">
        <v>691</v>
      </c>
      <c r="I159" s="30" t="s">
        <v>945</v>
      </c>
      <c r="J159" s="31" t="s">
        <v>494</v>
      </c>
      <c r="K159" s="31" t="s">
        <v>495</v>
      </c>
      <c r="L159" s="31" t="s">
        <v>496</v>
      </c>
      <c r="M159" s="31" t="s">
        <v>39</v>
      </c>
      <c r="N159" s="31" t="s">
        <v>2564</v>
      </c>
      <c r="O159" s="31" t="s">
        <v>2565</v>
      </c>
      <c r="P159" s="31" t="s">
        <v>254</v>
      </c>
      <c r="Q159" s="31" t="s">
        <v>540</v>
      </c>
      <c r="R159" s="31" t="s">
        <v>260</v>
      </c>
      <c r="S159" s="32">
        <v>500451.52</v>
      </c>
      <c r="T159" s="32">
        <v>80</v>
      </c>
      <c r="U159" s="32">
        <v>14.3</v>
      </c>
      <c r="V159" s="32">
        <v>0</v>
      </c>
      <c r="W159" s="32">
        <v>0</v>
      </c>
      <c r="X159" s="32">
        <v>0</v>
      </c>
      <c r="Y159" s="32">
        <v>0</v>
      </c>
      <c r="Z159" s="32">
        <v>0</v>
      </c>
      <c r="AA159" s="32">
        <v>0</v>
      </c>
      <c r="AB159" s="32">
        <v>0</v>
      </c>
      <c r="AC159" s="32">
        <v>0</v>
      </c>
      <c r="AD159" s="32">
        <v>0</v>
      </c>
      <c r="AE159" s="32">
        <v>0</v>
      </c>
      <c r="AF159" s="32">
        <v>0</v>
      </c>
      <c r="AG159" s="32">
        <v>0</v>
      </c>
      <c r="AH159" s="32">
        <v>0</v>
      </c>
      <c r="AI159" s="32">
        <v>0</v>
      </c>
      <c r="AJ159" s="32">
        <v>0</v>
      </c>
      <c r="AK159" s="32">
        <v>0</v>
      </c>
      <c r="AL159" s="32">
        <v>0</v>
      </c>
      <c r="AM159" s="32">
        <v>0</v>
      </c>
      <c r="AN159" s="32">
        <v>0</v>
      </c>
      <c r="AO159" s="32">
        <v>125112.88</v>
      </c>
      <c r="AP159" s="32">
        <v>0</v>
      </c>
      <c r="AQ159" s="32">
        <v>125112.88</v>
      </c>
      <c r="AR159" s="32">
        <v>625564.4</v>
      </c>
      <c r="AS159" s="32">
        <v>14.3</v>
      </c>
      <c r="AT159" s="32">
        <v>174420</v>
      </c>
      <c r="AU159" s="32">
        <v>0</v>
      </c>
      <c r="AV159" s="32">
        <v>0</v>
      </c>
      <c r="AW159" s="32">
        <v>174420</v>
      </c>
      <c r="AX159" s="32">
        <v>26163</v>
      </c>
      <c r="AY159" s="32">
        <v>26163</v>
      </c>
      <c r="AZ159" s="32">
        <v>6976.8</v>
      </c>
      <c r="BA159" s="32">
        <v>6976.8</v>
      </c>
      <c r="BB159" s="32">
        <v>0</v>
      </c>
      <c r="BC159" s="32">
        <v>0</v>
      </c>
      <c r="BD159" s="32">
        <v>379000</v>
      </c>
      <c r="BE159" s="32">
        <v>379000</v>
      </c>
      <c r="BF159" s="32">
        <v>0</v>
      </c>
      <c r="BG159" s="32">
        <v>30004.6</v>
      </c>
      <c r="BH159" s="32">
        <v>30004.6</v>
      </c>
      <c r="BI159" s="32">
        <v>0</v>
      </c>
      <c r="BJ159" s="32">
        <v>0</v>
      </c>
      <c r="BK159" s="32">
        <v>0</v>
      </c>
      <c r="BL159" s="32">
        <v>0</v>
      </c>
      <c r="BM159" s="32">
        <v>0</v>
      </c>
      <c r="BN159" s="32">
        <v>0</v>
      </c>
      <c r="BO159" s="32">
        <v>9000</v>
      </c>
      <c r="BP159" s="32">
        <v>0</v>
      </c>
      <c r="BQ159" s="32">
        <v>41403.129999999997</v>
      </c>
      <c r="BR159" s="32">
        <v>148740.6</v>
      </c>
      <c r="BS159" s="32">
        <v>134020.82999999999</v>
      </c>
      <c r="BT159" s="32">
        <v>119020.83</v>
      </c>
      <c r="BU159" s="32">
        <v>96456.57</v>
      </c>
      <c r="BV159" s="32">
        <v>85922.44</v>
      </c>
      <c r="BW159" s="32">
        <v>0</v>
      </c>
      <c r="BX159" s="32">
        <v>0</v>
      </c>
      <c r="BY159" s="32">
        <v>0</v>
      </c>
      <c r="BZ159" s="32">
        <v>0</v>
      </c>
      <c r="CA159" s="32">
        <v>0</v>
      </c>
      <c r="CB159" s="33" t="s">
        <v>212</v>
      </c>
      <c r="CC159" s="33" t="s">
        <v>500</v>
      </c>
      <c r="CD159" s="33"/>
      <c r="CE159" s="33" t="s">
        <v>684</v>
      </c>
      <c r="CF159" s="33" t="s">
        <v>618</v>
      </c>
      <c r="CG159" s="33" t="s">
        <v>1579</v>
      </c>
      <c r="CH159" s="33" t="s">
        <v>526</v>
      </c>
      <c r="CI159" s="33"/>
      <c r="CJ159" s="33" t="s">
        <v>212</v>
      </c>
      <c r="CK159" s="33" t="s">
        <v>1580</v>
      </c>
      <c r="CL159" s="33" t="s">
        <v>212</v>
      </c>
      <c r="CM159" s="33"/>
      <c r="CN159" s="33" t="s">
        <v>254</v>
      </c>
      <c r="CO159" s="33" t="s">
        <v>260</v>
      </c>
      <c r="CP159" s="33" t="s">
        <v>2566</v>
      </c>
      <c r="CQ159" s="33" t="s">
        <v>544</v>
      </c>
      <c r="CR159" s="33" t="s">
        <v>545</v>
      </c>
      <c r="CS159" s="33" t="s">
        <v>2567</v>
      </c>
      <c r="CT159" s="33"/>
      <c r="CU159" s="33"/>
      <c r="CV159" s="33"/>
      <c r="CW159" s="33"/>
      <c r="CX159" s="33"/>
      <c r="CY159" s="33" t="s">
        <v>531</v>
      </c>
      <c r="CZ159" s="33" t="s">
        <v>1583</v>
      </c>
      <c r="DA159" s="33" t="s">
        <v>1584</v>
      </c>
      <c r="DB159" s="33" t="s">
        <v>547</v>
      </c>
      <c r="DC159" s="33" t="s">
        <v>1585</v>
      </c>
      <c r="DD159" s="33" t="s">
        <v>1586</v>
      </c>
      <c r="DE159" s="33" t="s">
        <v>1587</v>
      </c>
      <c r="DF159" s="34" t="s">
        <v>2568</v>
      </c>
      <c r="DG159" s="27" cm="1">
        <f t="array" ref="DG159">INDEX('elenco partner'!A:M,MATCH(1,(D159='elenco partner'!A:A)*('Partner data'!M159='elenco partner'!E:E),0),4)</f>
        <v>303</v>
      </c>
      <c r="DH159" s="83" t="str">
        <f t="shared" ref="DH159:DH171" si="61">IF(AU159&lt;&gt;0,"Tasso Forfettario 20%",IF(AV159&lt;&gt;0,"COSTO REALE",IF(AW159&lt;&gt;0,"Costo Unitario Standard","BL1 non presente")))</f>
        <v>Costo Unitario Standard</v>
      </c>
      <c r="DI159" s="20">
        <f>COUNTIFS('MY-REPORT-MAIN'!C:C,'Partner data'!DG159,'MY-REPORT-MAIN'!I:I,"Certified")</f>
        <v>2</v>
      </c>
      <c r="DJ159" s="20">
        <f>COUNTIFS(List_Of_chek_list!M:M,"&lt;&gt;26",List_Of_chek_list!B:B,'Partner data'!DG159)</f>
        <v>1</v>
      </c>
      <c r="DK159" s="20">
        <f t="shared" ref="DK159:DK171" si="62">DI159-DJ159</f>
        <v>1</v>
      </c>
      <c r="DL159" s="19" t="str">
        <f>IF(DH159="Tasso Forfettario 20%",SUMIFS(List_Of_chek_list!#REF!,List_Of_chek_list!B:B,'Partner data'!DG159),"NON PERTINENTE")</f>
        <v>NON PERTINENTE</v>
      </c>
      <c r="DM159" s="19" t="str">
        <f t="shared" ref="DM159:DM171" si="63">IF(DL159="NON PERTINENTE","NON PERTINENTE",IF(DJ159=DL159,"Rischio basso","Rischio alto"))</f>
        <v>NON PERTINENTE</v>
      </c>
      <c r="DN159" s="110">
        <f>_xlfn.MAXIFS('MY-REPORT-MAIN'!K:K,'MY-REPORT-MAIN'!C:C,DG159)</f>
        <v>45380.544960405095</v>
      </c>
      <c r="DO159" s="112">
        <f>IF(_xlfn.MAXIFS('MY-REPORT-MAIN'!M:M,'MY-REPORT-MAIN'!C:C,DG159)=0,"Nessun rendiconto  Convalidato",_xlfn.MAXIFS('MY-REPORT-MAIN'!M:M,'MY-REPORT-MAIN'!C:C,DG159))</f>
        <v>45470.639409224539</v>
      </c>
      <c r="DP159" s="113" cm="1">
        <f t="array" ref="DP159">IFERROR(INDEX('MY-REPORT-MAIN'!A:Z,MATCH(1,(DO159='MY-REPORT-MAIN'!M:M)*('Partner data'!DG159='MY-REPORT-MAIN'!C:C),0),1),"NON è stato convalidato ancora nessun rendiconto")</f>
        <v>217</v>
      </c>
      <c r="DQ159" s="111">
        <f>IFERROR(INDEX('MY-REPORT-MAIN'!A:Z,MATCH('Partner data'!DP159,'MY-REPORT-MAIN'!A:A,0),21),"Nessun Rendiconto ancora convalidato")</f>
        <v>26997.72</v>
      </c>
      <c r="DR159" s="110">
        <f>INDEX('Interreg VI-A Italy-Slovenia_pr'!A:E,MATCH('Partner data'!C159,'Interreg VI-A Italy-Slovenia_pr'!A:A,0),3)</f>
        <v>44927</v>
      </c>
      <c r="DS159" s="118">
        <f t="shared" si="48"/>
        <v>41403.129999999997</v>
      </c>
      <c r="DT159" s="118">
        <f t="shared" si="49"/>
        <v>190143.73</v>
      </c>
      <c r="DU159" s="118">
        <f t="shared" si="50"/>
        <v>324164.56</v>
      </c>
      <c r="DV159" s="118">
        <f t="shared" si="51"/>
        <v>443185.39</v>
      </c>
      <c r="DW159" s="118">
        <f t="shared" si="52"/>
        <v>539641.96</v>
      </c>
      <c r="DX159" s="118">
        <f t="shared" si="53"/>
        <v>625564.39999999991</v>
      </c>
      <c r="DY159" s="118">
        <f t="shared" si="54"/>
        <v>625564.39999999991</v>
      </c>
      <c r="DZ159" s="118">
        <f t="shared" si="55"/>
        <v>625564.39999999991</v>
      </c>
      <c r="EA159" s="118">
        <f t="shared" si="56"/>
        <v>625564.39999999991</v>
      </c>
      <c r="EB159" s="118">
        <f t="shared" si="57"/>
        <v>625564.39999999991</v>
      </c>
    </row>
    <row r="160" spans="1:132" x14ac:dyDescent="0.25">
      <c r="A160" s="28">
        <v>4</v>
      </c>
      <c r="B160" s="29" t="s">
        <v>2560</v>
      </c>
      <c r="C160" s="30" t="s">
        <v>2561</v>
      </c>
      <c r="D160" s="30" t="s">
        <v>57</v>
      </c>
      <c r="E160" s="30" t="s">
        <v>2562</v>
      </c>
      <c r="F160" s="30" t="s">
        <v>2563</v>
      </c>
      <c r="G160" s="30" t="s">
        <v>491</v>
      </c>
      <c r="H160" s="30" t="s">
        <v>691</v>
      </c>
      <c r="I160" s="30" t="s">
        <v>945</v>
      </c>
      <c r="J160" s="31" t="s">
        <v>518</v>
      </c>
      <c r="K160" s="31" t="s">
        <v>495</v>
      </c>
      <c r="L160" s="31" t="s">
        <v>519</v>
      </c>
      <c r="M160" s="31" t="s">
        <v>20</v>
      </c>
      <c r="N160" s="31" t="s">
        <v>2569</v>
      </c>
      <c r="O160" s="31" t="s">
        <v>2570</v>
      </c>
      <c r="P160" s="31" t="s">
        <v>254</v>
      </c>
      <c r="Q160" s="31" t="s">
        <v>540</v>
      </c>
      <c r="R160" s="31" t="s">
        <v>260</v>
      </c>
      <c r="S160" s="32">
        <v>350000</v>
      </c>
      <c r="T160" s="32">
        <v>80</v>
      </c>
      <c r="U160" s="32">
        <v>10</v>
      </c>
      <c r="V160" s="32">
        <v>0</v>
      </c>
      <c r="W160" s="32">
        <v>0</v>
      </c>
      <c r="X160" s="32">
        <v>0</v>
      </c>
      <c r="Y160" s="32">
        <v>0</v>
      </c>
      <c r="Z160" s="32">
        <v>0</v>
      </c>
      <c r="AA160" s="32">
        <v>0</v>
      </c>
      <c r="AB160" s="32">
        <v>0</v>
      </c>
      <c r="AC160" s="32">
        <v>0</v>
      </c>
      <c r="AD160" s="32">
        <v>0</v>
      </c>
      <c r="AE160" s="32">
        <v>0</v>
      </c>
      <c r="AF160" s="32">
        <v>0</v>
      </c>
      <c r="AG160" s="32">
        <v>0</v>
      </c>
      <c r="AH160" s="32">
        <v>0</v>
      </c>
      <c r="AI160" s="32">
        <v>0</v>
      </c>
      <c r="AJ160" s="32">
        <v>0</v>
      </c>
      <c r="AK160" s="32">
        <v>0</v>
      </c>
      <c r="AL160" s="32">
        <v>0</v>
      </c>
      <c r="AM160" s="32">
        <v>0</v>
      </c>
      <c r="AN160" s="32">
        <v>0</v>
      </c>
      <c r="AO160" s="32">
        <v>87500</v>
      </c>
      <c r="AP160" s="32">
        <v>0</v>
      </c>
      <c r="AQ160" s="32">
        <v>87500</v>
      </c>
      <c r="AR160" s="32">
        <v>437500</v>
      </c>
      <c r="AS160" s="32">
        <v>10</v>
      </c>
      <c r="AT160" s="32">
        <v>70678.509999999995</v>
      </c>
      <c r="AU160" s="32">
        <v>70678.509999999995</v>
      </c>
      <c r="AV160" s="32">
        <v>0</v>
      </c>
      <c r="AW160" s="32">
        <v>0</v>
      </c>
      <c r="AX160" s="32">
        <v>10601.77</v>
      </c>
      <c r="AY160" s="32">
        <v>10601.77</v>
      </c>
      <c r="AZ160" s="32">
        <v>2827.14</v>
      </c>
      <c r="BA160" s="32">
        <v>2827.14</v>
      </c>
      <c r="BB160" s="32">
        <v>0</v>
      </c>
      <c r="BC160" s="32">
        <v>0</v>
      </c>
      <c r="BD160" s="32">
        <v>353392.58</v>
      </c>
      <c r="BE160" s="32">
        <v>353392.58</v>
      </c>
      <c r="BF160" s="32">
        <v>0</v>
      </c>
      <c r="BG160" s="32">
        <v>0</v>
      </c>
      <c r="BH160" s="32">
        <v>0</v>
      </c>
      <c r="BI160" s="32">
        <v>0</v>
      </c>
      <c r="BJ160" s="32">
        <v>0</v>
      </c>
      <c r="BK160" s="32">
        <v>0</v>
      </c>
      <c r="BL160" s="32">
        <v>0</v>
      </c>
      <c r="BM160" s="32">
        <v>0</v>
      </c>
      <c r="BN160" s="32">
        <v>0</v>
      </c>
      <c r="BO160" s="32">
        <v>0</v>
      </c>
      <c r="BP160" s="32">
        <v>0</v>
      </c>
      <c r="BQ160" s="32">
        <v>55710</v>
      </c>
      <c r="BR160" s="32">
        <v>123800</v>
      </c>
      <c r="BS160" s="32">
        <v>30950</v>
      </c>
      <c r="BT160" s="32">
        <v>105230</v>
      </c>
      <c r="BU160" s="32">
        <v>47530</v>
      </c>
      <c r="BV160" s="32">
        <v>74280</v>
      </c>
      <c r="BW160" s="32">
        <v>0</v>
      </c>
      <c r="BX160" s="32">
        <v>0</v>
      </c>
      <c r="BY160" s="32">
        <v>0</v>
      </c>
      <c r="BZ160" s="32">
        <v>0</v>
      </c>
      <c r="CA160" s="32">
        <v>0</v>
      </c>
      <c r="CB160" s="33" t="s">
        <v>2571</v>
      </c>
      <c r="CC160" s="33" t="s">
        <v>606</v>
      </c>
      <c r="CD160" s="33"/>
      <c r="CE160" s="33" t="s">
        <v>523</v>
      </c>
      <c r="CF160" s="33"/>
      <c r="CG160" s="33" t="s">
        <v>1810</v>
      </c>
      <c r="CH160" s="33" t="s">
        <v>526</v>
      </c>
      <c r="CI160" s="33"/>
      <c r="CJ160" s="33" t="s">
        <v>212</v>
      </c>
      <c r="CK160" s="33" t="s">
        <v>2572</v>
      </c>
      <c r="CL160" s="33" t="s">
        <v>212</v>
      </c>
      <c r="CM160" s="33"/>
      <c r="CN160" s="33" t="s">
        <v>254</v>
      </c>
      <c r="CO160" s="33" t="s">
        <v>260</v>
      </c>
      <c r="CP160" s="33" t="s">
        <v>2573</v>
      </c>
      <c r="CQ160" s="33" t="s">
        <v>598</v>
      </c>
      <c r="CR160" s="33" t="s">
        <v>599</v>
      </c>
      <c r="CS160" s="33" t="s">
        <v>2574</v>
      </c>
      <c r="CT160" s="33" t="s">
        <v>254</v>
      </c>
      <c r="CU160" s="33" t="s">
        <v>260</v>
      </c>
      <c r="CV160" s="33" t="s">
        <v>2575</v>
      </c>
      <c r="CW160" s="33" t="s">
        <v>1359</v>
      </c>
      <c r="CX160" s="33" t="s">
        <v>599</v>
      </c>
      <c r="CY160" s="33" t="s">
        <v>531</v>
      </c>
      <c r="CZ160" s="33" t="s">
        <v>2576</v>
      </c>
      <c r="DA160" s="33" t="s">
        <v>2577</v>
      </c>
      <c r="DB160" s="33" t="s">
        <v>531</v>
      </c>
      <c r="DC160" s="33" t="s">
        <v>938</v>
      </c>
      <c r="DD160" s="33" t="s">
        <v>2578</v>
      </c>
      <c r="DE160" s="33" t="s">
        <v>2579</v>
      </c>
      <c r="DF160" s="34" t="s">
        <v>2580</v>
      </c>
      <c r="DG160" s="27" cm="1">
        <f t="array" ref="DG160">INDEX('elenco partner'!A:M,MATCH(1,(D160='elenco partner'!A:A)*('Partner data'!M160='elenco partner'!E:E),0),4)</f>
        <v>304</v>
      </c>
      <c r="DH160" s="83" t="str">
        <f t="shared" si="61"/>
        <v>Tasso Forfettario 20%</v>
      </c>
      <c r="DI160" s="20">
        <f>COUNTIFS('MY-REPORT-MAIN'!C:C,'Partner data'!DG160,'MY-REPORT-MAIN'!I:I,"Certified")</f>
        <v>2</v>
      </c>
      <c r="DJ160" s="20">
        <f>COUNTIFS(List_Of_chek_list!M:M,"&lt;&gt;26",List_Of_chek_list!B:B,'Partner data'!DG160)</f>
        <v>3</v>
      </c>
      <c r="DK160" s="20">
        <f t="shared" si="62"/>
        <v>-1</v>
      </c>
      <c r="DL160" s="19" t="e">
        <f>IF(DH160="Tasso Forfettario 20%",SUMIFS(List_Of_chek_list!#REF!,List_Of_chek_list!B:B,'Partner data'!DG160),"NON PERTINENTE")</f>
        <v>#REF!</v>
      </c>
      <c r="DM160" s="19" t="e">
        <f t="shared" si="63"/>
        <v>#REF!</v>
      </c>
      <c r="DN160" s="110">
        <f>_xlfn.MAXIFS('MY-REPORT-MAIN'!K:K,'MY-REPORT-MAIN'!C:C,DG160)</f>
        <v>45373.463433078701</v>
      </c>
      <c r="DO160" s="112">
        <f>IF(_xlfn.MAXIFS('MY-REPORT-MAIN'!M:M,'MY-REPORT-MAIN'!C:C,DG160)=0,"Nessun rendiconto  Convalidato",_xlfn.MAXIFS('MY-REPORT-MAIN'!M:M,'MY-REPORT-MAIN'!C:C,DG160))</f>
        <v>45446.675345648146</v>
      </c>
      <c r="DP160" s="113" cm="1">
        <f t="array" ref="DP160">IFERROR(INDEX('MY-REPORT-MAIN'!A:Z,MATCH(1,(DO160='MY-REPORT-MAIN'!M:M)*('Partner data'!DG160='MY-REPORT-MAIN'!C:C),0),1),"NON è stato convalidato ancora nessun rendiconto")</f>
        <v>243</v>
      </c>
      <c r="DQ160" s="111">
        <f>IFERROR(INDEX('MY-REPORT-MAIN'!A:Z,MATCH('Partner data'!DP160,'MY-REPORT-MAIN'!A:A,0),21),"Nessun Rendiconto ancora convalidato")</f>
        <v>17825.96</v>
      </c>
      <c r="DR160" s="110">
        <f>INDEX('Interreg VI-A Italy-Slovenia_pr'!A:E,MATCH('Partner data'!C160,'Interreg VI-A Italy-Slovenia_pr'!A:A,0),3)</f>
        <v>44927</v>
      </c>
      <c r="DS160" s="118">
        <f t="shared" si="48"/>
        <v>55710</v>
      </c>
      <c r="DT160" s="118">
        <f t="shared" si="49"/>
        <v>179510</v>
      </c>
      <c r="DU160" s="118">
        <f t="shared" si="50"/>
        <v>210460</v>
      </c>
      <c r="DV160" s="118">
        <f t="shared" si="51"/>
        <v>315690</v>
      </c>
      <c r="DW160" s="118">
        <f t="shared" si="52"/>
        <v>363220</v>
      </c>
      <c r="DX160" s="118">
        <f t="shared" si="53"/>
        <v>437500</v>
      </c>
      <c r="DY160" s="118">
        <f t="shared" si="54"/>
        <v>437500</v>
      </c>
      <c r="DZ160" s="118">
        <f t="shared" si="55"/>
        <v>437500</v>
      </c>
      <c r="EA160" s="118">
        <f t="shared" si="56"/>
        <v>437500</v>
      </c>
      <c r="EB160" s="118">
        <f t="shared" si="57"/>
        <v>437500</v>
      </c>
    </row>
    <row r="161" spans="1:132" x14ac:dyDescent="0.25">
      <c r="A161" s="28">
        <v>4</v>
      </c>
      <c r="B161" s="29" t="s">
        <v>2560</v>
      </c>
      <c r="C161" s="30" t="s">
        <v>2561</v>
      </c>
      <c r="D161" s="30" t="s">
        <v>57</v>
      </c>
      <c r="E161" s="30" t="s">
        <v>2562</v>
      </c>
      <c r="F161" s="30" t="s">
        <v>2563</v>
      </c>
      <c r="G161" s="30" t="s">
        <v>491</v>
      </c>
      <c r="H161" s="30" t="s">
        <v>691</v>
      </c>
      <c r="I161" s="30" t="s">
        <v>945</v>
      </c>
      <c r="J161" s="31" t="s">
        <v>538</v>
      </c>
      <c r="K161" s="31" t="s">
        <v>495</v>
      </c>
      <c r="L161" s="31" t="s">
        <v>519</v>
      </c>
      <c r="M161" s="31" t="s">
        <v>0</v>
      </c>
      <c r="N161" s="31" t="s">
        <v>1235</v>
      </c>
      <c r="O161" s="31" t="s">
        <v>2581</v>
      </c>
      <c r="P161" s="31" t="s">
        <v>254</v>
      </c>
      <c r="Q161" s="31" t="s">
        <v>540</v>
      </c>
      <c r="R161" s="31" t="s">
        <v>260</v>
      </c>
      <c r="S161" s="32">
        <v>350000</v>
      </c>
      <c r="T161" s="32">
        <v>80</v>
      </c>
      <c r="U161" s="32">
        <v>10</v>
      </c>
      <c r="V161" s="32">
        <v>0</v>
      </c>
      <c r="W161" s="32">
        <v>0</v>
      </c>
      <c r="X161" s="32">
        <v>0</v>
      </c>
      <c r="Y161" s="32">
        <v>0</v>
      </c>
      <c r="Z161" s="32">
        <v>0</v>
      </c>
      <c r="AA161" s="32">
        <v>0</v>
      </c>
      <c r="AB161" s="32">
        <v>0</v>
      </c>
      <c r="AC161" s="32">
        <v>0</v>
      </c>
      <c r="AD161" s="32">
        <v>0</v>
      </c>
      <c r="AE161" s="32">
        <v>0</v>
      </c>
      <c r="AF161" s="32">
        <v>0</v>
      </c>
      <c r="AG161" s="32">
        <v>0</v>
      </c>
      <c r="AH161" s="32">
        <v>0</v>
      </c>
      <c r="AI161" s="32">
        <v>0</v>
      </c>
      <c r="AJ161" s="32">
        <v>0</v>
      </c>
      <c r="AK161" s="32">
        <v>0</v>
      </c>
      <c r="AL161" s="32">
        <v>0</v>
      </c>
      <c r="AM161" s="32">
        <v>0</v>
      </c>
      <c r="AN161" s="32">
        <v>0</v>
      </c>
      <c r="AO161" s="32">
        <v>87500</v>
      </c>
      <c r="AP161" s="32">
        <v>0</v>
      </c>
      <c r="AQ161" s="32">
        <v>87500</v>
      </c>
      <c r="AR161" s="32">
        <v>437500</v>
      </c>
      <c r="AS161" s="32">
        <v>10</v>
      </c>
      <c r="AT161" s="32">
        <v>86958</v>
      </c>
      <c r="AU161" s="32">
        <v>0</v>
      </c>
      <c r="AV161" s="32">
        <v>0</v>
      </c>
      <c r="AW161" s="32">
        <v>86958</v>
      </c>
      <c r="AX161" s="32">
        <v>13043.7</v>
      </c>
      <c r="AY161" s="32">
        <v>13043.7</v>
      </c>
      <c r="AZ161" s="32">
        <v>3478.32</v>
      </c>
      <c r="BA161" s="32">
        <v>3478.32</v>
      </c>
      <c r="BB161" s="32">
        <v>0</v>
      </c>
      <c r="BC161" s="32">
        <v>0</v>
      </c>
      <c r="BD161" s="32">
        <v>187009.98</v>
      </c>
      <c r="BE161" s="32">
        <v>187009.98</v>
      </c>
      <c r="BF161" s="32">
        <v>0</v>
      </c>
      <c r="BG161" s="32">
        <v>147010</v>
      </c>
      <c r="BH161" s="32">
        <v>147010</v>
      </c>
      <c r="BI161" s="32">
        <v>0</v>
      </c>
      <c r="BJ161" s="32">
        <v>0</v>
      </c>
      <c r="BK161" s="32">
        <v>0</v>
      </c>
      <c r="BL161" s="32">
        <v>0</v>
      </c>
      <c r="BM161" s="32">
        <v>0</v>
      </c>
      <c r="BN161" s="32">
        <v>0</v>
      </c>
      <c r="BO161" s="32">
        <v>0</v>
      </c>
      <c r="BP161" s="32">
        <v>0</v>
      </c>
      <c r="BQ161" s="32">
        <v>22044.75</v>
      </c>
      <c r="BR161" s="32">
        <v>26577.200000000001</v>
      </c>
      <c r="BS161" s="32">
        <v>274322.83</v>
      </c>
      <c r="BT161" s="32">
        <v>16013.83</v>
      </c>
      <c r="BU161" s="32">
        <v>69806.36</v>
      </c>
      <c r="BV161" s="32">
        <v>28735.03</v>
      </c>
      <c r="BW161" s="32">
        <v>0</v>
      </c>
      <c r="BX161" s="32">
        <v>0</v>
      </c>
      <c r="BY161" s="32">
        <v>0</v>
      </c>
      <c r="BZ161" s="32">
        <v>0</v>
      </c>
      <c r="CA161" s="32">
        <v>0</v>
      </c>
      <c r="CB161" s="33" t="s">
        <v>1237</v>
      </c>
      <c r="CC161" s="33" t="s">
        <v>541</v>
      </c>
      <c r="CD161" s="33"/>
      <c r="CE161" s="33" t="s">
        <v>523</v>
      </c>
      <c r="CF161" s="33" t="s">
        <v>2582</v>
      </c>
      <c r="CG161" s="33" t="s">
        <v>1238</v>
      </c>
      <c r="CH161" s="33" t="s">
        <v>526</v>
      </c>
      <c r="CI161" s="33"/>
      <c r="CJ161" s="33" t="s">
        <v>212</v>
      </c>
      <c r="CK161" s="33"/>
      <c r="CL161" s="33" t="s">
        <v>212</v>
      </c>
      <c r="CM161" s="33"/>
      <c r="CN161" s="33" t="s">
        <v>254</v>
      </c>
      <c r="CO161" s="33" t="s">
        <v>260</v>
      </c>
      <c r="CP161" s="33" t="s">
        <v>1428</v>
      </c>
      <c r="CQ161" s="33" t="s">
        <v>1240</v>
      </c>
      <c r="CR161" s="33" t="s">
        <v>2583</v>
      </c>
      <c r="CS161" s="33" t="s">
        <v>2584</v>
      </c>
      <c r="CT161" s="33" t="s">
        <v>254</v>
      </c>
      <c r="CU161" s="33" t="s">
        <v>260</v>
      </c>
      <c r="CV161" s="33" t="s">
        <v>1428</v>
      </c>
      <c r="CW161" s="33" t="s">
        <v>1240</v>
      </c>
      <c r="CX161" s="33" t="s">
        <v>2583</v>
      </c>
      <c r="CY161" s="33" t="s">
        <v>531</v>
      </c>
      <c r="CZ161" s="33" t="s">
        <v>1040</v>
      </c>
      <c r="DA161" s="33" t="s">
        <v>1243</v>
      </c>
      <c r="DB161" s="33" t="s">
        <v>531</v>
      </c>
      <c r="DC161" s="33" t="s">
        <v>2585</v>
      </c>
      <c r="DD161" s="33" t="s">
        <v>1245</v>
      </c>
      <c r="DE161" s="33" t="s">
        <v>1246</v>
      </c>
      <c r="DF161" s="34" t="s">
        <v>2586</v>
      </c>
      <c r="DG161" s="27" cm="1">
        <f t="array" ref="DG161">INDEX('elenco partner'!A:M,MATCH(1,(D161='elenco partner'!A:A)*('Partner data'!M161='elenco partner'!E:E),0),4)</f>
        <v>305</v>
      </c>
      <c r="DH161" s="83" t="str">
        <f t="shared" si="61"/>
        <v>Costo Unitario Standard</v>
      </c>
      <c r="DI161" s="20">
        <f>COUNTIFS('MY-REPORT-MAIN'!C:C,'Partner data'!DG161,'MY-REPORT-MAIN'!I:I,"Certified")</f>
        <v>2</v>
      </c>
      <c r="DJ161" s="20">
        <f>COUNTIFS(List_Of_chek_list!M:M,"&lt;&gt;26",List_Of_chek_list!B:B,'Partner data'!DG161)</f>
        <v>2</v>
      </c>
      <c r="DK161" s="20">
        <f t="shared" si="62"/>
        <v>0</v>
      </c>
      <c r="DL161" s="19" t="str">
        <f>IF(DH161="Tasso Forfettario 20%",SUMIFS(List_Of_chek_list!#REF!,List_Of_chek_list!B:B,'Partner data'!DG161),"NON PERTINENTE")</f>
        <v>NON PERTINENTE</v>
      </c>
      <c r="DM161" s="19" t="str">
        <f t="shared" si="63"/>
        <v>NON PERTINENTE</v>
      </c>
      <c r="DN161" s="110">
        <f>_xlfn.MAXIFS('MY-REPORT-MAIN'!K:K,'MY-REPORT-MAIN'!C:C,DG161)</f>
        <v>45378.48422366898</v>
      </c>
      <c r="DO161" s="112">
        <f>IF(_xlfn.MAXIFS('MY-REPORT-MAIN'!M:M,'MY-REPORT-MAIN'!C:C,DG161)=0,"Nessun rendiconto  Convalidato",_xlfn.MAXIFS('MY-REPORT-MAIN'!M:M,'MY-REPORT-MAIN'!C:C,DG161))</f>
        <v>45469.658434108795</v>
      </c>
      <c r="DP161" s="113" cm="1">
        <f t="array" ref="DP161">IFERROR(INDEX('MY-REPORT-MAIN'!A:Z,MATCH(1,(DO161='MY-REPORT-MAIN'!M:M)*('Partner data'!DG161='MY-REPORT-MAIN'!C:C),0),1),"NON è stato convalidato ancora nessun rendiconto")</f>
        <v>274</v>
      </c>
      <c r="DQ161" s="111">
        <f>IFERROR(INDEX('MY-REPORT-MAIN'!A:Z,MATCH('Partner data'!DP161,'MY-REPORT-MAIN'!A:A,0),21),"Nessun Rendiconto ancora convalidato")</f>
        <v>26577.200000000001</v>
      </c>
      <c r="DR161" s="110">
        <f>INDEX('Interreg VI-A Italy-Slovenia_pr'!A:E,MATCH('Partner data'!C161,'Interreg VI-A Italy-Slovenia_pr'!A:A,0),3)</f>
        <v>44927</v>
      </c>
      <c r="DS161" s="118">
        <f t="shared" si="48"/>
        <v>22044.75</v>
      </c>
      <c r="DT161" s="118">
        <f t="shared" si="49"/>
        <v>48621.95</v>
      </c>
      <c r="DU161" s="118">
        <f t="shared" si="50"/>
        <v>322944.78000000003</v>
      </c>
      <c r="DV161" s="118">
        <f t="shared" si="51"/>
        <v>338958.61000000004</v>
      </c>
      <c r="DW161" s="118">
        <f t="shared" si="52"/>
        <v>408764.97000000003</v>
      </c>
      <c r="DX161" s="118">
        <f t="shared" si="53"/>
        <v>437500</v>
      </c>
      <c r="DY161" s="118">
        <f t="shared" si="54"/>
        <v>437500</v>
      </c>
      <c r="DZ161" s="118">
        <f t="shared" si="55"/>
        <v>437500</v>
      </c>
      <c r="EA161" s="118">
        <f t="shared" si="56"/>
        <v>437500</v>
      </c>
      <c r="EB161" s="118">
        <f t="shared" si="57"/>
        <v>437500</v>
      </c>
    </row>
    <row r="162" spans="1:132" x14ac:dyDescent="0.25">
      <c r="A162" s="28">
        <v>4</v>
      </c>
      <c r="B162" s="29" t="s">
        <v>2560</v>
      </c>
      <c r="C162" s="30" t="s">
        <v>2561</v>
      </c>
      <c r="D162" s="30" t="s">
        <v>57</v>
      </c>
      <c r="E162" s="30" t="s">
        <v>2562</v>
      </c>
      <c r="F162" s="30" t="s">
        <v>2563</v>
      </c>
      <c r="G162" s="30" t="s">
        <v>491</v>
      </c>
      <c r="H162" s="30" t="s">
        <v>691</v>
      </c>
      <c r="I162" s="30" t="s">
        <v>945</v>
      </c>
      <c r="J162" s="31" t="s">
        <v>554</v>
      </c>
      <c r="K162" s="31" t="s">
        <v>495</v>
      </c>
      <c r="L162" s="31" t="s">
        <v>519</v>
      </c>
      <c r="M162" s="31" t="s">
        <v>34</v>
      </c>
      <c r="N162" s="31" t="s">
        <v>2587</v>
      </c>
      <c r="O162" s="31" t="s">
        <v>2588</v>
      </c>
      <c r="P162" s="31" t="s">
        <v>254</v>
      </c>
      <c r="Q162" s="31" t="s">
        <v>540</v>
      </c>
      <c r="R162" s="31" t="s">
        <v>260</v>
      </c>
      <c r="S162" s="32">
        <v>280000</v>
      </c>
      <c r="T162" s="32">
        <v>80</v>
      </c>
      <c r="U162" s="32">
        <v>8</v>
      </c>
      <c r="V162" s="32">
        <v>0</v>
      </c>
      <c r="W162" s="32">
        <v>0</v>
      </c>
      <c r="X162" s="32">
        <v>0</v>
      </c>
      <c r="Y162" s="32">
        <v>0</v>
      </c>
      <c r="Z162" s="32">
        <v>0</v>
      </c>
      <c r="AA162" s="32">
        <v>0</v>
      </c>
      <c r="AB162" s="32">
        <v>0</v>
      </c>
      <c r="AC162" s="32">
        <v>0</v>
      </c>
      <c r="AD162" s="32">
        <v>0</v>
      </c>
      <c r="AE162" s="32">
        <v>0</v>
      </c>
      <c r="AF162" s="32">
        <v>0</v>
      </c>
      <c r="AG162" s="32">
        <v>0</v>
      </c>
      <c r="AH162" s="32">
        <v>0</v>
      </c>
      <c r="AI162" s="32">
        <v>0</v>
      </c>
      <c r="AJ162" s="32">
        <v>0</v>
      </c>
      <c r="AK162" s="32">
        <v>0</v>
      </c>
      <c r="AL162" s="32">
        <v>0</v>
      </c>
      <c r="AM162" s="32">
        <v>0</v>
      </c>
      <c r="AN162" s="32">
        <v>0</v>
      </c>
      <c r="AO162" s="32">
        <v>70000</v>
      </c>
      <c r="AP162" s="32">
        <v>0</v>
      </c>
      <c r="AQ162" s="32">
        <v>70000</v>
      </c>
      <c r="AR162" s="32">
        <v>350000</v>
      </c>
      <c r="AS162" s="32">
        <v>8</v>
      </c>
      <c r="AT162" s="32">
        <v>110140</v>
      </c>
      <c r="AU162" s="32">
        <v>0</v>
      </c>
      <c r="AV162" s="32">
        <v>110140</v>
      </c>
      <c r="AW162" s="32">
        <v>0</v>
      </c>
      <c r="AX162" s="32">
        <v>16521</v>
      </c>
      <c r="AY162" s="32">
        <v>16521</v>
      </c>
      <c r="AZ162" s="32">
        <v>4405.6000000000004</v>
      </c>
      <c r="BA162" s="32">
        <v>4405.6000000000004</v>
      </c>
      <c r="BB162" s="32">
        <v>0</v>
      </c>
      <c r="BC162" s="32">
        <v>0</v>
      </c>
      <c r="BD162" s="32">
        <v>217000</v>
      </c>
      <c r="BE162" s="32">
        <v>217000</v>
      </c>
      <c r="BF162" s="32">
        <v>0</v>
      </c>
      <c r="BG162" s="32">
        <v>1933.4</v>
      </c>
      <c r="BH162" s="32">
        <v>1933.4</v>
      </c>
      <c r="BI162" s="32">
        <v>0</v>
      </c>
      <c r="BJ162" s="32">
        <v>0</v>
      </c>
      <c r="BK162" s="32">
        <v>0</v>
      </c>
      <c r="BL162" s="32">
        <v>0</v>
      </c>
      <c r="BM162" s="32">
        <v>0</v>
      </c>
      <c r="BN162" s="32">
        <v>0</v>
      </c>
      <c r="BO162" s="32">
        <v>0</v>
      </c>
      <c r="BP162" s="32">
        <v>0</v>
      </c>
      <c r="BQ162" s="32">
        <v>61027.83</v>
      </c>
      <c r="BR162" s="32">
        <v>59844.43</v>
      </c>
      <c r="BS162" s="32">
        <v>53844.43</v>
      </c>
      <c r="BT162" s="32">
        <v>63594.43</v>
      </c>
      <c r="BU162" s="32">
        <v>55844.43</v>
      </c>
      <c r="BV162" s="32">
        <v>55844.45</v>
      </c>
      <c r="BW162" s="32">
        <v>0</v>
      </c>
      <c r="BX162" s="32">
        <v>0</v>
      </c>
      <c r="BY162" s="32">
        <v>0</v>
      </c>
      <c r="BZ162" s="32">
        <v>0</v>
      </c>
      <c r="CA162" s="32">
        <v>0</v>
      </c>
      <c r="CB162" s="33" t="s">
        <v>212</v>
      </c>
      <c r="CC162" s="33" t="s">
        <v>624</v>
      </c>
      <c r="CD162" s="33"/>
      <c r="CE162" s="33" t="s">
        <v>523</v>
      </c>
      <c r="CF162" s="33"/>
      <c r="CG162" s="33" t="s">
        <v>2589</v>
      </c>
      <c r="CH162" s="33" t="s">
        <v>526</v>
      </c>
      <c r="CI162" s="33"/>
      <c r="CJ162" s="33" t="s">
        <v>212</v>
      </c>
      <c r="CK162" s="33" t="s">
        <v>2590</v>
      </c>
      <c r="CL162" s="33" t="s">
        <v>212</v>
      </c>
      <c r="CM162" s="33"/>
      <c r="CN162" s="33" t="s">
        <v>254</v>
      </c>
      <c r="CO162" s="33" t="s">
        <v>260</v>
      </c>
      <c r="CP162" s="33" t="s">
        <v>2591</v>
      </c>
      <c r="CQ162" s="33" t="s">
        <v>2592</v>
      </c>
      <c r="CR162" s="33" t="s">
        <v>599</v>
      </c>
      <c r="CS162" s="33" t="s">
        <v>2593</v>
      </c>
      <c r="CT162" s="33"/>
      <c r="CU162" s="33"/>
      <c r="CV162" s="33"/>
      <c r="CW162" s="33"/>
      <c r="CX162" s="33"/>
      <c r="CY162" s="33" t="s">
        <v>531</v>
      </c>
      <c r="CZ162" s="33" t="s">
        <v>635</v>
      </c>
      <c r="DA162" s="33" t="s">
        <v>2594</v>
      </c>
      <c r="DB162" s="33"/>
      <c r="DC162" s="33" t="s">
        <v>2595</v>
      </c>
      <c r="DD162" s="33" t="s">
        <v>2596</v>
      </c>
      <c r="DE162" s="33" t="s">
        <v>2597</v>
      </c>
      <c r="DF162" s="34" t="s">
        <v>2598</v>
      </c>
      <c r="DG162" s="27" cm="1">
        <f t="array" ref="DG162">INDEX('elenco partner'!A:M,MATCH(1,(D162='elenco partner'!A:A)*('Partner data'!M162='elenco partner'!E:E),0),4)</f>
        <v>306</v>
      </c>
      <c r="DH162" s="83" t="str">
        <f t="shared" si="61"/>
        <v>COSTO REALE</v>
      </c>
      <c r="DI162" s="20">
        <f>COUNTIFS('MY-REPORT-MAIN'!C:C,'Partner data'!DG162,'MY-REPORT-MAIN'!I:I,"Certified")</f>
        <v>2</v>
      </c>
      <c r="DJ162" s="20">
        <f>COUNTIFS(List_Of_chek_list!M:M,"&lt;&gt;26",List_Of_chek_list!B:B,'Partner data'!DG162)</f>
        <v>1</v>
      </c>
      <c r="DK162" s="20">
        <f t="shared" si="62"/>
        <v>1</v>
      </c>
      <c r="DL162" s="19" t="str">
        <f>IF(DH162="Tasso Forfettario 20%",SUMIFS(List_Of_chek_list!#REF!,List_Of_chek_list!B:B,'Partner data'!DG162),"NON PERTINENTE")</f>
        <v>NON PERTINENTE</v>
      </c>
      <c r="DM162" s="19" t="str">
        <f t="shared" si="63"/>
        <v>NON PERTINENTE</v>
      </c>
      <c r="DN162" s="110">
        <f>_xlfn.MAXIFS('MY-REPORT-MAIN'!K:K,'MY-REPORT-MAIN'!C:C,DG162)</f>
        <v>45387.396488310187</v>
      </c>
      <c r="DO162" s="112">
        <f>IF(_xlfn.MAXIFS('MY-REPORT-MAIN'!M:M,'MY-REPORT-MAIN'!C:C,DG162)=0,"Nessun rendiconto  Convalidato",_xlfn.MAXIFS('MY-REPORT-MAIN'!M:M,'MY-REPORT-MAIN'!C:C,DG162))</f>
        <v>45489.697183530094</v>
      </c>
      <c r="DP162" s="113" cm="1">
        <f t="array" ref="DP162">IFERROR(INDEX('MY-REPORT-MAIN'!A:Z,MATCH(1,(DO162='MY-REPORT-MAIN'!M:M)*('Partner data'!DG162='MY-REPORT-MAIN'!C:C),0),1),"NON è stato convalidato ancora nessun rendiconto")</f>
        <v>261</v>
      </c>
      <c r="DQ162" s="111">
        <f>IFERROR(INDEX('MY-REPORT-MAIN'!A:Z,MATCH('Partner data'!DP162,'MY-REPORT-MAIN'!A:A,0),21),"Nessun Rendiconto ancora convalidato")</f>
        <v>46956.11</v>
      </c>
      <c r="DR162" s="110">
        <f>INDEX('Interreg VI-A Italy-Slovenia_pr'!A:E,MATCH('Partner data'!C162,'Interreg VI-A Italy-Slovenia_pr'!A:A,0),3)</f>
        <v>44927</v>
      </c>
      <c r="DS162" s="118">
        <f t="shared" si="48"/>
        <v>61027.83</v>
      </c>
      <c r="DT162" s="118">
        <f t="shared" si="49"/>
        <v>120872.26000000001</v>
      </c>
      <c r="DU162" s="118">
        <f t="shared" si="50"/>
        <v>174716.69</v>
      </c>
      <c r="DV162" s="118">
        <f t="shared" si="51"/>
        <v>238311.12</v>
      </c>
      <c r="DW162" s="118">
        <f t="shared" si="52"/>
        <v>294155.55</v>
      </c>
      <c r="DX162" s="118">
        <f t="shared" si="53"/>
        <v>350000</v>
      </c>
      <c r="DY162" s="118">
        <f t="shared" si="54"/>
        <v>350000</v>
      </c>
      <c r="DZ162" s="118">
        <f t="shared" si="55"/>
        <v>350000</v>
      </c>
      <c r="EA162" s="118">
        <f t="shared" si="56"/>
        <v>350000</v>
      </c>
      <c r="EB162" s="118">
        <f t="shared" si="57"/>
        <v>350000</v>
      </c>
    </row>
    <row r="163" spans="1:132" ht="45" x14ac:dyDescent="0.25">
      <c r="A163" s="28">
        <v>4</v>
      </c>
      <c r="B163" s="29" t="s">
        <v>2560</v>
      </c>
      <c r="C163" s="30" t="s">
        <v>2561</v>
      </c>
      <c r="D163" s="30" t="s">
        <v>57</v>
      </c>
      <c r="E163" s="30" t="s">
        <v>2562</v>
      </c>
      <c r="F163" s="30" t="s">
        <v>2563</v>
      </c>
      <c r="G163" s="30" t="s">
        <v>491</v>
      </c>
      <c r="H163" s="30" t="s">
        <v>691</v>
      </c>
      <c r="I163" s="30" t="s">
        <v>945</v>
      </c>
      <c r="J163" s="31" t="s">
        <v>570</v>
      </c>
      <c r="K163" s="31" t="s">
        <v>495</v>
      </c>
      <c r="L163" s="31" t="s">
        <v>519</v>
      </c>
      <c r="M163" s="31" t="s">
        <v>380</v>
      </c>
      <c r="N163" s="31" t="s">
        <v>2599</v>
      </c>
      <c r="O163" s="31" t="s">
        <v>2600</v>
      </c>
      <c r="P163" s="31" t="s">
        <v>254</v>
      </c>
      <c r="Q163" s="31" t="s">
        <v>499</v>
      </c>
      <c r="R163" s="31" t="s">
        <v>266</v>
      </c>
      <c r="S163" s="32">
        <v>249991.84</v>
      </c>
      <c r="T163" s="32">
        <v>80</v>
      </c>
      <c r="U163" s="32">
        <v>7.14</v>
      </c>
      <c r="V163" s="32">
        <v>0</v>
      </c>
      <c r="W163" s="32">
        <v>0</v>
      </c>
      <c r="X163" s="32">
        <v>0</v>
      </c>
      <c r="Y163" s="32">
        <v>0</v>
      </c>
      <c r="Z163" s="32">
        <v>0</v>
      </c>
      <c r="AA163" s="32">
        <v>0</v>
      </c>
      <c r="AB163" s="32">
        <v>0</v>
      </c>
      <c r="AC163" s="32">
        <v>0</v>
      </c>
      <c r="AD163" s="32">
        <v>0</v>
      </c>
      <c r="AE163" s="32">
        <v>0</v>
      </c>
      <c r="AF163" s="32">
        <v>0</v>
      </c>
      <c r="AG163" s="32">
        <v>0</v>
      </c>
      <c r="AH163" s="32">
        <v>0</v>
      </c>
      <c r="AI163" s="32">
        <v>0</v>
      </c>
      <c r="AJ163" s="32">
        <v>0</v>
      </c>
      <c r="AK163" s="32">
        <v>0</v>
      </c>
      <c r="AL163" s="32">
        <v>0</v>
      </c>
      <c r="AM163" s="32">
        <v>0</v>
      </c>
      <c r="AN163" s="32">
        <v>0</v>
      </c>
      <c r="AO163" s="32">
        <v>62497.96</v>
      </c>
      <c r="AP163" s="32">
        <v>0</v>
      </c>
      <c r="AQ163" s="32">
        <v>62497.96</v>
      </c>
      <c r="AR163" s="32">
        <v>312489.8</v>
      </c>
      <c r="AS163" s="32">
        <v>7.14</v>
      </c>
      <c r="AT163" s="32">
        <v>50483</v>
      </c>
      <c r="AU163" s="32">
        <v>50483</v>
      </c>
      <c r="AV163" s="32">
        <v>0</v>
      </c>
      <c r="AW163" s="32">
        <v>0</v>
      </c>
      <c r="AX163" s="32">
        <v>7572.45</v>
      </c>
      <c r="AY163" s="32">
        <v>7572.45</v>
      </c>
      <c r="AZ163" s="32">
        <v>2019.32</v>
      </c>
      <c r="BA163" s="32">
        <v>2019.32</v>
      </c>
      <c r="BB163" s="32">
        <v>0</v>
      </c>
      <c r="BC163" s="32">
        <v>0</v>
      </c>
      <c r="BD163" s="32">
        <v>232415.02</v>
      </c>
      <c r="BE163" s="32">
        <v>232415.02</v>
      </c>
      <c r="BF163" s="32">
        <v>0</v>
      </c>
      <c r="BG163" s="32">
        <v>0</v>
      </c>
      <c r="BH163" s="32">
        <v>0</v>
      </c>
      <c r="BI163" s="32">
        <v>0</v>
      </c>
      <c r="BJ163" s="32">
        <v>20000.009999999998</v>
      </c>
      <c r="BK163" s="32">
        <v>20000.009999999998</v>
      </c>
      <c r="BL163" s="32">
        <v>0</v>
      </c>
      <c r="BM163" s="32">
        <v>0</v>
      </c>
      <c r="BN163" s="32">
        <v>0</v>
      </c>
      <c r="BO163" s="32">
        <v>0</v>
      </c>
      <c r="BP163" s="32">
        <v>0</v>
      </c>
      <c r="BQ163" s="32">
        <v>18570.009999999998</v>
      </c>
      <c r="BR163" s="32">
        <v>191784.79</v>
      </c>
      <c r="BS163" s="32">
        <v>102135</v>
      </c>
      <c r="BT163" s="32">
        <v>0</v>
      </c>
      <c r="BU163" s="32">
        <v>0</v>
      </c>
      <c r="BV163" s="32">
        <v>0</v>
      </c>
      <c r="BW163" s="32">
        <v>0</v>
      </c>
      <c r="BX163" s="32">
        <v>0</v>
      </c>
      <c r="BY163" s="32">
        <v>0</v>
      </c>
      <c r="BZ163" s="32">
        <v>0</v>
      </c>
      <c r="CA163" s="32">
        <v>0</v>
      </c>
      <c r="CB163" s="33" t="s">
        <v>212</v>
      </c>
      <c r="CC163" s="33" t="s">
        <v>522</v>
      </c>
      <c r="CD163" s="33"/>
      <c r="CE163" s="33" t="s">
        <v>523</v>
      </c>
      <c r="CF163" s="33"/>
      <c r="CG163" s="33" t="s">
        <v>2601</v>
      </c>
      <c r="CH163" s="33" t="s">
        <v>526</v>
      </c>
      <c r="CI163" s="33"/>
      <c r="CJ163" s="33" t="s">
        <v>212</v>
      </c>
      <c r="CK163" s="33"/>
      <c r="CL163" s="33" t="s">
        <v>212</v>
      </c>
      <c r="CM163" s="33"/>
      <c r="CN163" s="33" t="s">
        <v>254</v>
      </c>
      <c r="CO163" s="33" t="s">
        <v>266</v>
      </c>
      <c r="CP163" s="33" t="s">
        <v>2602</v>
      </c>
      <c r="CQ163" s="33" t="s">
        <v>2603</v>
      </c>
      <c r="CR163" s="33" t="s">
        <v>2604</v>
      </c>
      <c r="CS163" s="33" t="s">
        <v>2605</v>
      </c>
      <c r="CT163" s="33"/>
      <c r="CU163" s="33"/>
      <c r="CV163" s="33"/>
      <c r="CW163" s="33"/>
      <c r="CX163" s="33"/>
      <c r="CY163" s="33" t="s">
        <v>531</v>
      </c>
      <c r="CZ163" s="33" t="s">
        <v>1686</v>
      </c>
      <c r="DA163" s="33" t="s">
        <v>2606</v>
      </c>
      <c r="DB163" s="33" t="s">
        <v>547</v>
      </c>
      <c r="DC163" s="33" t="s">
        <v>2607</v>
      </c>
      <c r="DD163" s="33" t="s">
        <v>2608</v>
      </c>
      <c r="DE163" s="33" t="s">
        <v>2609</v>
      </c>
      <c r="DF163" s="34" t="s">
        <v>2610</v>
      </c>
      <c r="DG163" s="27" cm="1">
        <f t="array" ref="DG163">INDEX('elenco partner'!A:M,MATCH(1,(D163='elenco partner'!A:A)*('Partner data'!M163='elenco partner'!E:E),0),4)</f>
        <v>307</v>
      </c>
      <c r="DH163" s="83" t="str">
        <f t="shared" si="61"/>
        <v>Tasso Forfettario 20%</v>
      </c>
      <c r="DI163" s="20">
        <f>COUNTIFS('MY-REPORT-MAIN'!C:C,'Partner data'!DG163,'MY-REPORT-MAIN'!I:I,"Certified")</f>
        <v>0</v>
      </c>
      <c r="DJ163" s="20">
        <f>COUNTIFS(List_Of_chek_list!M:M,"&lt;&gt;26",List_Of_chek_list!B:B,'Partner data'!DG163)</f>
        <v>0</v>
      </c>
      <c r="DK163" s="20">
        <f t="shared" si="62"/>
        <v>0</v>
      </c>
      <c r="DL163" s="19" t="e">
        <f>IF(DH163="Tasso Forfettario 20%",SUMIFS(List_Of_chek_list!#REF!,List_Of_chek_list!B:B,'Partner data'!DG163),"NON PERTINENTE")</f>
        <v>#REF!</v>
      </c>
      <c r="DM163" s="19" t="e">
        <f t="shared" si="63"/>
        <v>#REF!</v>
      </c>
      <c r="DN163" s="110">
        <f>_xlfn.MAXIFS('MY-REPORT-MAIN'!K:K,'MY-REPORT-MAIN'!C:C,DG163)</f>
        <v>0</v>
      </c>
      <c r="DO163" s="112" t="str">
        <f>IF(_xlfn.MAXIFS('MY-REPORT-MAIN'!M:M,'MY-REPORT-MAIN'!C:C,DG163)=0,"Nessun rendiconto  Convalidato",_xlfn.MAXIFS('MY-REPORT-MAIN'!M:M,'MY-REPORT-MAIN'!C:C,DG163))</f>
        <v>Nessun rendiconto  Convalidato</v>
      </c>
      <c r="DP163" s="113" t="str" cm="1">
        <f t="array" ref="DP163">IFERROR(INDEX('MY-REPORT-MAIN'!A:Z,MATCH(1,(DO163='MY-REPORT-MAIN'!M:M)*('Partner data'!DG163='MY-REPORT-MAIN'!C:C),0),1),"NON è stato convalidato ancora nessun rendiconto")</f>
        <v>NON è stato convalidato ancora nessun rendiconto</v>
      </c>
      <c r="DQ163" s="111" t="str">
        <f>IFERROR(INDEX('MY-REPORT-MAIN'!A:Z,MATCH('Partner data'!DP163,'MY-REPORT-MAIN'!A:A,0),21),"Nessun Rendiconto ancora convalidato")</f>
        <v>Nessun Rendiconto ancora convalidato</v>
      </c>
      <c r="DR163" s="110">
        <f>INDEX('Interreg VI-A Italy-Slovenia_pr'!A:E,MATCH('Partner data'!C163,'Interreg VI-A Italy-Slovenia_pr'!A:A,0),3)</f>
        <v>44927</v>
      </c>
      <c r="DS163" s="118">
        <f t="shared" si="48"/>
        <v>18570.009999999998</v>
      </c>
      <c r="DT163" s="118">
        <f t="shared" si="49"/>
        <v>210354.80000000002</v>
      </c>
      <c r="DU163" s="118">
        <f t="shared" si="50"/>
        <v>312489.80000000005</v>
      </c>
      <c r="DV163" s="118">
        <f t="shared" si="51"/>
        <v>312489.80000000005</v>
      </c>
      <c r="DW163" s="118">
        <f t="shared" si="52"/>
        <v>312489.80000000005</v>
      </c>
      <c r="DX163" s="118">
        <f t="shared" si="53"/>
        <v>312489.80000000005</v>
      </c>
      <c r="DY163" s="118">
        <f t="shared" si="54"/>
        <v>312489.80000000005</v>
      </c>
      <c r="DZ163" s="118">
        <f t="shared" si="55"/>
        <v>312489.80000000005</v>
      </c>
      <c r="EA163" s="118">
        <f t="shared" si="56"/>
        <v>312489.80000000005</v>
      </c>
      <c r="EB163" s="118">
        <f t="shared" si="57"/>
        <v>312489.80000000005</v>
      </c>
    </row>
    <row r="164" spans="1:132" x14ac:dyDescent="0.25">
      <c r="A164" s="28">
        <v>4</v>
      </c>
      <c r="B164" s="29" t="s">
        <v>2560</v>
      </c>
      <c r="C164" s="30" t="s">
        <v>2561</v>
      </c>
      <c r="D164" s="30" t="s">
        <v>57</v>
      </c>
      <c r="E164" s="30" t="s">
        <v>2562</v>
      </c>
      <c r="F164" s="30" t="s">
        <v>2563</v>
      </c>
      <c r="G164" s="30" t="s">
        <v>491</v>
      </c>
      <c r="H164" s="30" t="s">
        <v>691</v>
      </c>
      <c r="I164" s="30" t="s">
        <v>945</v>
      </c>
      <c r="J164" s="31" t="s">
        <v>581</v>
      </c>
      <c r="K164" s="31" t="s">
        <v>495</v>
      </c>
      <c r="L164" s="31" t="s">
        <v>519</v>
      </c>
      <c r="M164" s="31" t="s">
        <v>23</v>
      </c>
      <c r="N164" s="31" t="s">
        <v>2611</v>
      </c>
      <c r="O164" s="31" t="s">
        <v>2612</v>
      </c>
      <c r="P164" s="31" t="s">
        <v>254</v>
      </c>
      <c r="Q164" s="31" t="s">
        <v>1338</v>
      </c>
      <c r="R164" s="31" t="s">
        <v>381</v>
      </c>
      <c r="S164" s="32">
        <v>220000.08</v>
      </c>
      <c r="T164" s="32">
        <v>80</v>
      </c>
      <c r="U164" s="32">
        <v>6.29</v>
      </c>
      <c r="V164" s="32">
        <v>0</v>
      </c>
      <c r="W164" s="32">
        <v>0</v>
      </c>
      <c r="X164" s="32">
        <v>0</v>
      </c>
      <c r="Y164" s="32">
        <v>0</v>
      </c>
      <c r="Z164" s="32">
        <v>0</v>
      </c>
      <c r="AA164" s="32">
        <v>0</v>
      </c>
      <c r="AB164" s="32">
        <v>0</v>
      </c>
      <c r="AC164" s="32">
        <v>0</v>
      </c>
      <c r="AD164" s="32">
        <v>0</v>
      </c>
      <c r="AE164" s="32">
        <v>0</v>
      </c>
      <c r="AF164" s="32">
        <v>0</v>
      </c>
      <c r="AG164" s="32">
        <v>0</v>
      </c>
      <c r="AH164" s="32">
        <v>0</v>
      </c>
      <c r="AI164" s="32">
        <v>0</v>
      </c>
      <c r="AJ164" s="32">
        <v>0</v>
      </c>
      <c r="AK164" s="32">
        <v>0</v>
      </c>
      <c r="AL164" s="32">
        <v>0</v>
      </c>
      <c r="AM164" s="32">
        <v>0</v>
      </c>
      <c r="AN164" s="32">
        <v>0</v>
      </c>
      <c r="AO164" s="32">
        <v>55000.02</v>
      </c>
      <c r="AP164" s="32">
        <v>0</v>
      </c>
      <c r="AQ164" s="32">
        <v>55000.02</v>
      </c>
      <c r="AR164" s="32">
        <v>275000.09999999998</v>
      </c>
      <c r="AS164" s="32">
        <v>6.29</v>
      </c>
      <c r="AT164" s="32">
        <v>143640</v>
      </c>
      <c r="AU164" s="32">
        <v>0</v>
      </c>
      <c r="AV164" s="32">
        <v>0</v>
      </c>
      <c r="AW164" s="32">
        <v>143640</v>
      </c>
      <c r="AX164" s="32">
        <v>21546</v>
      </c>
      <c r="AY164" s="32">
        <v>21546</v>
      </c>
      <c r="AZ164" s="32">
        <v>5745.6</v>
      </c>
      <c r="BA164" s="32">
        <v>5745.6</v>
      </c>
      <c r="BB164" s="32">
        <v>0</v>
      </c>
      <c r="BC164" s="32">
        <v>0</v>
      </c>
      <c r="BD164" s="32">
        <v>104068.5</v>
      </c>
      <c r="BE164" s="32">
        <v>104068.5</v>
      </c>
      <c r="BF164" s="32">
        <v>0</v>
      </c>
      <c r="BG164" s="32">
        <v>0</v>
      </c>
      <c r="BH164" s="32">
        <v>0</v>
      </c>
      <c r="BI164" s="32">
        <v>0</v>
      </c>
      <c r="BJ164" s="32">
        <v>0</v>
      </c>
      <c r="BK164" s="32">
        <v>0</v>
      </c>
      <c r="BL164" s="32">
        <v>0</v>
      </c>
      <c r="BM164" s="32">
        <v>0</v>
      </c>
      <c r="BN164" s="32">
        <v>0</v>
      </c>
      <c r="BO164" s="32">
        <v>0</v>
      </c>
      <c r="BP164" s="32">
        <v>0</v>
      </c>
      <c r="BQ164" s="32">
        <v>36121.1</v>
      </c>
      <c r="BR164" s="32">
        <v>48924.58</v>
      </c>
      <c r="BS164" s="32">
        <v>48488.6</v>
      </c>
      <c r="BT164" s="32">
        <v>54488.62</v>
      </c>
      <c r="BU164" s="32">
        <v>43488.6</v>
      </c>
      <c r="BV164" s="32">
        <v>43488.6</v>
      </c>
      <c r="BW164" s="32">
        <v>0</v>
      </c>
      <c r="BX164" s="32">
        <v>0</v>
      </c>
      <c r="BY164" s="32">
        <v>0</v>
      </c>
      <c r="BZ164" s="32">
        <v>0</v>
      </c>
      <c r="CA164" s="32">
        <v>0</v>
      </c>
      <c r="CB164" s="33" t="s">
        <v>2613</v>
      </c>
      <c r="CC164" s="33" t="s">
        <v>500</v>
      </c>
      <c r="CD164" s="33"/>
      <c r="CE164" s="33" t="s">
        <v>501</v>
      </c>
      <c r="CF164" s="33" t="s">
        <v>1413</v>
      </c>
      <c r="CG164" s="33" t="s">
        <v>2614</v>
      </c>
      <c r="CH164" s="33" t="s">
        <v>526</v>
      </c>
      <c r="CI164" s="33" t="s">
        <v>2615</v>
      </c>
      <c r="CJ164" s="33" t="s">
        <v>212</v>
      </c>
      <c r="CK164" s="33" t="s">
        <v>2616</v>
      </c>
      <c r="CL164" s="33" t="s">
        <v>212</v>
      </c>
      <c r="CM164" s="33"/>
      <c r="CN164" s="33" t="s">
        <v>254</v>
      </c>
      <c r="CO164" s="33" t="s">
        <v>381</v>
      </c>
      <c r="CP164" s="33" t="s">
        <v>2617</v>
      </c>
      <c r="CQ164" s="33" t="s">
        <v>2618</v>
      </c>
      <c r="CR164" s="33" t="s">
        <v>1341</v>
      </c>
      <c r="CS164" s="33" t="s">
        <v>2619</v>
      </c>
      <c r="CT164" s="33" t="s">
        <v>254</v>
      </c>
      <c r="CU164" s="33" t="s">
        <v>255</v>
      </c>
      <c r="CV164" s="33" t="s">
        <v>2620</v>
      </c>
      <c r="CW164" s="33" t="s">
        <v>611</v>
      </c>
      <c r="CX164" s="33" t="s">
        <v>529</v>
      </c>
      <c r="CY164" s="33" t="s">
        <v>547</v>
      </c>
      <c r="CZ164" s="33" t="s">
        <v>2621</v>
      </c>
      <c r="DA164" s="33" t="s">
        <v>2622</v>
      </c>
      <c r="DB164" s="33" t="s">
        <v>531</v>
      </c>
      <c r="DC164" s="33" t="s">
        <v>2155</v>
      </c>
      <c r="DD164" s="33" t="s">
        <v>2623</v>
      </c>
      <c r="DE164" s="33" t="s">
        <v>2624</v>
      </c>
      <c r="DF164" s="34" t="s">
        <v>2625</v>
      </c>
      <c r="DG164" s="27" cm="1">
        <f t="array" ref="DG164">INDEX('elenco partner'!A:M,MATCH(1,(D164='elenco partner'!A:A)*('Partner data'!M164='elenco partner'!E:E),0),4)</f>
        <v>308</v>
      </c>
      <c r="DH164" s="83" t="str">
        <f t="shared" si="61"/>
        <v>Costo Unitario Standard</v>
      </c>
      <c r="DI164" s="20">
        <f>COUNTIFS('MY-REPORT-MAIN'!C:C,'Partner data'!DG164,'MY-REPORT-MAIN'!I:I,"Certified")</f>
        <v>2</v>
      </c>
      <c r="DJ164" s="20">
        <f>COUNTIFS(List_Of_chek_list!M:M,"&lt;&gt;26",List_Of_chek_list!B:B,'Partner data'!DG164)</f>
        <v>1</v>
      </c>
      <c r="DK164" s="20">
        <f t="shared" si="62"/>
        <v>1</v>
      </c>
      <c r="DL164" s="19" t="str">
        <f>IF(DH164="Tasso Forfettario 20%",SUMIFS(List_Of_chek_list!#REF!,List_Of_chek_list!B:B,'Partner data'!DG164),"NON PERTINENTE")</f>
        <v>NON PERTINENTE</v>
      </c>
      <c r="DM164" s="19" t="str">
        <f t="shared" si="63"/>
        <v>NON PERTINENTE</v>
      </c>
      <c r="DN164" s="110">
        <f>_xlfn.MAXIFS('MY-REPORT-MAIN'!K:K,'MY-REPORT-MAIN'!C:C,DG164)</f>
        <v>45386.660621655094</v>
      </c>
      <c r="DO164" s="112">
        <f>IF(_xlfn.MAXIFS('MY-REPORT-MAIN'!M:M,'MY-REPORT-MAIN'!C:C,DG164)=0,"Nessun rendiconto  Convalidato",_xlfn.MAXIFS('MY-REPORT-MAIN'!M:M,'MY-REPORT-MAIN'!C:C,DG164))</f>
        <v>45477.397131782411</v>
      </c>
      <c r="DP164" s="113" cm="1">
        <f t="array" ref="DP164">IFERROR(INDEX('MY-REPORT-MAIN'!A:Z,MATCH(1,(DO164='MY-REPORT-MAIN'!M:M)*('Partner data'!DG164='MY-REPORT-MAIN'!C:C),0),1),"NON è stato convalidato ancora nessun rendiconto")</f>
        <v>309</v>
      </c>
      <c r="DQ164" s="111">
        <f>IFERROR(INDEX('MY-REPORT-MAIN'!A:Z,MATCH('Partner data'!DP164,'MY-REPORT-MAIN'!A:A,0),21),"Nessun Rendiconto ancora convalidato")</f>
        <v>51193.01</v>
      </c>
      <c r="DR164" s="110">
        <f>INDEX('Interreg VI-A Italy-Slovenia_pr'!A:E,MATCH('Partner data'!C164,'Interreg VI-A Italy-Slovenia_pr'!A:A,0),3)</f>
        <v>44927</v>
      </c>
      <c r="DS164" s="118">
        <f t="shared" si="48"/>
        <v>36121.1</v>
      </c>
      <c r="DT164" s="118">
        <f t="shared" si="49"/>
        <v>85045.68</v>
      </c>
      <c r="DU164" s="118">
        <f t="shared" si="50"/>
        <v>133534.28</v>
      </c>
      <c r="DV164" s="118">
        <f t="shared" si="51"/>
        <v>188022.9</v>
      </c>
      <c r="DW164" s="118">
        <f t="shared" si="52"/>
        <v>231511.5</v>
      </c>
      <c r="DX164" s="118">
        <f t="shared" si="53"/>
        <v>275000.09999999998</v>
      </c>
      <c r="DY164" s="118">
        <f t="shared" si="54"/>
        <v>275000.09999999998</v>
      </c>
      <c r="DZ164" s="118">
        <f t="shared" si="55"/>
        <v>275000.09999999998</v>
      </c>
      <c r="EA164" s="118">
        <f t="shared" si="56"/>
        <v>275000.09999999998</v>
      </c>
      <c r="EB164" s="118">
        <f t="shared" si="57"/>
        <v>275000.09999999998</v>
      </c>
    </row>
    <row r="165" spans="1:132" x14ac:dyDescent="0.25">
      <c r="A165" s="28">
        <v>4</v>
      </c>
      <c r="B165" s="29" t="s">
        <v>2560</v>
      </c>
      <c r="C165" s="30" t="s">
        <v>2561</v>
      </c>
      <c r="D165" s="30" t="s">
        <v>57</v>
      </c>
      <c r="E165" s="30" t="s">
        <v>2562</v>
      </c>
      <c r="F165" s="30" t="s">
        <v>2563</v>
      </c>
      <c r="G165" s="30" t="s">
        <v>491</v>
      </c>
      <c r="H165" s="30" t="s">
        <v>691</v>
      </c>
      <c r="I165" s="30" t="s">
        <v>945</v>
      </c>
      <c r="J165" s="31" t="s">
        <v>2423</v>
      </c>
      <c r="K165" s="31" t="s">
        <v>495</v>
      </c>
      <c r="L165" s="31" t="s">
        <v>519</v>
      </c>
      <c r="M165" s="31" t="s">
        <v>27</v>
      </c>
      <c r="N165" s="31" t="s">
        <v>1565</v>
      </c>
      <c r="O165" s="31" t="s">
        <v>2412</v>
      </c>
      <c r="P165" s="31" t="s">
        <v>257</v>
      </c>
      <c r="Q165" s="31" t="s">
        <v>556</v>
      </c>
      <c r="R165" s="31" t="s">
        <v>270</v>
      </c>
      <c r="S165" s="32">
        <v>300000</v>
      </c>
      <c r="T165" s="32">
        <v>80</v>
      </c>
      <c r="U165" s="32">
        <v>8.57</v>
      </c>
      <c r="V165" s="32">
        <v>0</v>
      </c>
      <c r="W165" s="32">
        <v>0</v>
      </c>
      <c r="X165" s="32">
        <v>0</v>
      </c>
      <c r="Y165" s="32">
        <v>0</v>
      </c>
      <c r="Z165" s="32">
        <v>0</v>
      </c>
      <c r="AA165" s="32">
        <v>0</v>
      </c>
      <c r="AB165" s="32">
        <v>0</v>
      </c>
      <c r="AC165" s="32">
        <v>0</v>
      </c>
      <c r="AD165" s="32">
        <v>0</v>
      </c>
      <c r="AE165" s="32">
        <v>0</v>
      </c>
      <c r="AF165" s="32">
        <v>0</v>
      </c>
      <c r="AG165" s="32">
        <v>0</v>
      </c>
      <c r="AH165" s="32">
        <v>0</v>
      </c>
      <c r="AI165" s="32">
        <v>0</v>
      </c>
      <c r="AJ165" s="32">
        <v>0</v>
      </c>
      <c r="AK165" s="32">
        <v>0</v>
      </c>
      <c r="AL165" s="32">
        <v>0</v>
      </c>
      <c r="AM165" s="32">
        <v>0</v>
      </c>
      <c r="AN165" s="32">
        <v>75000</v>
      </c>
      <c r="AO165" s="32">
        <v>0</v>
      </c>
      <c r="AP165" s="32">
        <v>0</v>
      </c>
      <c r="AQ165" s="32">
        <v>75000</v>
      </c>
      <c r="AR165" s="32">
        <v>375000</v>
      </c>
      <c r="AS165" s="32">
        <v>8.57</v>
      </c>
      <c r="AT165" s="32">
        <v>210000</v>
      </c>
      <c r="AU165" s="32">
        <v>0</v>
      </c>
      <c r="AV165" s="32">
        <v>210000</v>
      </c>
      <c r="AW165" s="32">
        <v>0</v>
      </c>
      <c r="AX165" s="32">
        <v>31500</v>
      </c>
      <c r="AY165" s="32">
        <v>31500</v>
      </c>
      <c r="AZ165" s="32">
        <v>8400</v>
      </c>
      <c r="BA165" s="32">
        <v>8400</v>
      </c>
      <c r="BB165" s="32">
        <v>0</v>
      </c>
      <c r="BC165" s="32">
        <v>0</v>
      </c>
      <c r="BD165" s="32">
        <v>88800</v>
      </c>
      <c r="BE165" s="32">
        <v>88800</v>
      </c>
      <c r="BF165" s="32">
        <v>0</v>
      </c>
      <c r="BG165" s="32">
        <v>16100</v>
      </c>
      <c r="BH165" s="32">
        <v>16100</v>
      </c>
      <c r="BI165" s="32">
        <v>0</v>
      </c>
      <c r="BJ165" s="32">
        <v>20200</v>
      </c>
      <c r="BK165" s="32">
        <v>20200</v>
      </c>
      <c r="BL165" s="32">
        <v>0</v>
      </c>
      <c r="BM165" s="32">
        <v>0</v>
      </c>
      <c r="BN165" s="32">
        <v>0</v>
      </c>
      <c r="BO165" s="32">
        <v>0</v>
      </c>
      <c r="BP165" s="32">
        <v>0</v>
      </c>
      <c r="BQ165" s="32">
        <v>26136.57</v>
      </c>
      <c r="BR165" s="32">
        <v>55905.22</v>
      </c>
      <c r="BS165" s="32">
        <v>62439.55</v>
      </c>
      <c r="BT165" s="32">
        <v>67439.55</v>
      </c>
      <c r="BU165" s="32">
        <v>92139.55</v>
      </c>
      <c r="BV165" s="32">
        <v>70939.56</v>
      </c>
      <c r="BW165" s="32">
        <v>0</v>
      </c>
      <c r="BX165" s="32">
        <v>0</v>
      </c>
      <c r="BY165" s="32">
        <v>0</v>
      </c>
      <c r="BZ165" s="32">
        <v>0</v>
      </c>
      <c r="CA165" s="32">
        <v>0</v>
      </c>
      <c r="CB165" s="33" t="s">
        <v>212</v>
      </c>
      <c r="CC165" s="33" t="s">
        <v>743</v>
      </c>
      <c r="CD165" s="33"/>
      <c r="CE165" s="33" t="s">
        <v>684</v>
      </c>
      <c r="CF165" s="33" t="s">
        <v>685</v>
      </c>
      <c r="CG165" s="33" t="s">
        <v>2413</v>
      </c>
      <c r="CH165" s="33" t="s">
        <v>526</v>
      </c>
      <c r="CI165" s="33"/>
      <c r="CJ165" s="33" t="s">
        <v>212</v>
      </c>
      <c r="CK165" s="33" t="s">
        <v>1568</v>
      </c>
      <c r="CL165" s="33" t="s">
        <v>212</v>
      </c>
      <c r="CM165" s="33"/>
      <c r="CN165" s="33" t="s">
        <v>257</v>
      </c>
      <c r="CO165" s="33" t="s">
        <v>270</v>
      </c>
      <c r="CP165" s="33" t="s">
        <v>1569</v>
      </c>
      <c r="CQ165" s="33" t="s">
        <v>710</v>
      </c>
      <c r="CR165" s="33" t="s">
        <v>650</v>
      </c>
      <c r="CS165" s="33" t="s">
        <v>2626</v>
      </c>
      <c r="CT165" s="33"/>
      <c r="CU165" s="33"/>
      <c r="CV165" s="33"/>
      <c r="CW165" s="33"/>
      <c r="CX165" s="33"/>
      <c r="CY165" s="33" t="s">
        <v>531</v>
      </c>
      <c r="CZ165" s="33" t="s">
        <v>1571</v>
      </c>
      <c r="DA165" s="33" t="s">
        <v>1572</v>
      </c>
      <c r="DB165" s="33" t="s">
        <v>547</v>
      </c>
      <c r="DC165" s="33" t="s">
        <v>2627</v>
      </c>
      <c r="DD165" s="33" t="s">
        <v>2628</v>
      </c>
      <c r="DE165" s="33" t="s">
        <v>2629</v>
      </c>
      <c r="DF165" s="34" t="s">
        <v>2630</v>
      </c>
      <c r="DG165" s="27" cm="1">
        <f t="array" ref="DG165">INDEX('elenco partner'!A:M,MATCH(1,(D165='elenco partner'!A:A)*('Partner data'!M165='elenco partner'!E:E),0),4)</f>
        <v>309</v>
      </c>
      <c r="DH165" s="83" t="str">
        <f t="shared" si="61"/>
        <v>COSTO REALE</v>
      </c>
      <c r="DI165" s="20">
        <f>COUNTIFS('MY-REPORT-MAIN'!C:C,'Partner data'!DG165,'MY-REPORT-MAIN'!I:I,"Certified")</f>
        <v>2</v>
      </c>
      <c r="DJ165" s="20">
        <f>COUNTIFS(List_Of_chek_list!M:M,"&lt;&gt;26",List_Of_chek_list!B:B,'Partner data'!DG165)</f>
        <v>2</v>
      </c>
      <c r="DK165" s="20">
        <f t="shared" si="62"/>
        <v>0</v>
      </c>
      <c r="DL165" s="19" t="str">
        <f>IF(DH165="Tasso Forfettario 20%",SUMIFS(List_Of_chek_list!#REF!,List_Of_chek_list!B:B,'Partner data'!DG165),"NON PERTINENTE")</f>
        <v>NON PERTINENTE</v>
      </c>
      <c r="DM165" s="19" t="str">
        <f t="shared" si="63"/>
        <v>NON PERTINENTE</v>
      </c>
      <c r="DN165" s="110">
        <f>_xlfn.MAXIFS('MY-REPORT-MAIN'!K:K,'MY-REPORT-MAIN'!C:C,DG165)</f>
        <v>45371.462641655089</v>
      </c>
      <c r="DO165" s="112">
        <f>IF(_xlfn.MAXIFS('MY-REPORT-MAIN'!M:M,'MY-REPORT-MAIN'!C:C,DG165)=0,"Nessun rendiconto  Convalidato",_xlfn.MAXIFS('MY-REPORT-MAIN'!M:M,'MY-REPORT-MAIN'!C:C,DG165))</f>
        <v>45393.468401932871</v>
      </c>
      <c r="DP165" s="113" cm="1">
        <f t="array" ref="DP165">IFERROR(INDEX('MY-REPORT-MAIN'!A:Z,MATCH(1,(DO165='MY-REPORT-MAIN'!M:M)*('Partner data'!DG165='MY-REPORT-MAIN'!C:C),0),1),"NON è stato convalidato ancora nessun rendiconto")</f>
        <v>216</v>
      </c>
      <c r="DQ165" s="111">
        <f>IFERROR(INDEX('MY-REPORT-MAIN'!A:Z,MATCH('Partner data'!DP165,'MY-REPORT-MAIN'!A:A,0),21),"Nessun Rendiconto ancora convalidato")</f>
        <v>45739.57</v>
      </c>
      <c r="DR165" s="110">
        <f>INDEX('Interreg VI-A Italy-Slovenia_pr'!A:E,MATCH('Partner data'!C165,'Interreg VI-A Italy-Slovenia_pr'!A:A,0),3)</f>
        <v>44927</v>
      </c>
      <c r="DS165" s="118">
        <f t="shared" si="48"/>
        <v>26136.57</v>
      </c>
      <c r="DT165" s="118">
        <f t="shared" si="49"/>
        <v>82041.790000000008</v>
      </c>
      <c r="DU165" s="118">
        <f t="shared" si="50"/>
        <v>144481.34000000003</v>
      </c>
      <c r="DV165" s="118">
        <f t="shared" si="51"/>
        <v>211920.89</v>
      </c>
      <c r="DW165" s="118">
        <f t="shared" si="52"/>
        <v>304060.44</v>
      </c>
      <c r="DX165" s="118">
        <f t="shared" si="53"/>
        <v>375000</v>
      </c>
      <c r="DY165" s="118">
        <f t="shared" si="54"/>
        <v>375000</v>
      </c>
      <c r="DZ165" s="118">
        <f t="shared" si="55"/>
        <v>375000</v>
      </c>
      <c r="EA165" s="118">
        <f t="shared" si="56"/>
        <v>375000</v>
      </c>
      <c r="EB165" s="118">
        <f t="shared" si="57"/>
        <v>375000</v>
      </c>
    </row>
    <row r="166" spans="1:132" x14ac:dyDescent="0.25">
      <c r="A166" s="28">
        <v>4</v>
      </c>
      <c r="B166" s="29" t="s">
        <v>2560</v>
      </c>
      <c r="C166" s="30" t="s">
        <v>2561</v>
      </c>
      <c r="D166" s="30" t="s">
        <v>57</v>
      </c>
      <c r="E166" s="30" t="s">
        <v>2562</v>
      </c>
      <c r="F166" s="30" t="s">
        <v>2563</v>
      </c>
      <c r="G166" s="30" t="s">
        <v>491</v>
      </c>
      <c r="H166" s="30" t="s">
        <v>691</v>
      </c>
      <c r="I166" s="30" t="s">
        <v>945</v>
      </c>
      <c r="J166" s="31" t="s">
        <v>2508</v>
      </c>
      <c r="K166" s="31" t="s">
        <v>495</v>
      </c>
      <c r="L166" s="31" t="s">
        <v>519</v>
      </c>
      <c r="M166" s="31" t="s">
        <v>50</v>
      </c>
      <c r="N166" s="31" t="s">
        <v>2631</v>
      </c>
      <c r="O166" s="31" t="s">
        <v>2632</v>
      </c>
      <c r="P166" s="31" t="s">
        <v>257</v>
      </c>
      <c r="Q166" s="31" t="s">
        <v>556</v>
      </c>
      <c r="R166" s="31" t="s">
        <v>270</v>
      </c>
      <c r="S166" s="32">
        <v>250000</v>
      </c>
      <c r="T166" s="32">
        <v>80</v>
      </c>
      <c r="U166" s="32">
        <v>7.14</v>
      </c>
      <c r="V166" s="32">
        <v>0</v>
      </c>
      <c r="W166" s="32">
        <v>0</v>
      </c>
      <c r="X166" s="32">
        <v>0</v>
      </c>
      <c r="Y166" s="32">
        <v>0</v>
      </c>
      <c r="Z166" s="32">
        <v>0</v>
      </c>
      <c r="AA166" s="32">
        <v>0</v>
      </c>
      <c r="AB166" s="32">
        <v>0</v>
      </c>
      <c r="AC166" s="32">
        <v>0</v>
      </c>
      <c r="AD166" s="32">
        <v>0</v>
      </c>
      <c r="AE166" s="32">
        <v>0</v>
      </c>
      <c r="AF166" s="32">
        <v>0</v>
      </c>
      <c r="AG166" s="32">
        <v>0</v>
      </c>
      <c r="AH166" s="32">
        <v>0</v>
      </c>
      <c r="AI166" s="32">
        <v>0</v>
      </c>
      <c r="AJ166" s="32">
        <v>0</v>
      </c>
      <c r="AK166" s="32">
        <v>0</v>
      </c>
      <c r="AL166" s="32">
        <v>0</v>
      </c>
      <c r="AM166" s="32">
        <v>0</v>
      </c>
      <c r="AN166" s="32">
        <v>62500</v>
      </c>
      <c r="AO166" s="32">
        <v>0</v>
      </c>
      <c r="AP166" s="32">
        <v>0</v>
      </c>
      <c r="AQ166" s="32">
        <v>62500</v>
      </c>
      <c r="AR166" s="32">
        <v>312500</v>
      </c>
      <c r="AS166" s="32">
        <v>7.14</v>
      </c>
      <c r="AT166" s="32">
        <v>181452</v>
      </c>
      <c r="AU166" s="32">
        <v>0</v>
      </c>
      <c r="AV166" s="32">
        <v>181452</v>
      </c>
      <c r="AW166" s="32">
        <v>0</v>
      </c>
      <c r="AX166" s="32">
        <v>27217.8</v>
      </c>
      <c r="AY166" s="32">
        <v>27217.8</v>
      </c>
      <c r="AZ166" s="32">
        <v>7258.08</v>
      </c>
      <c r="BA166" s="32">
        <v>7258.08</v>
      </c>
      <c r="BB166" s="32">
        <v>0</v>
      </c>
      <c r="BC166" s="32">
        <v>0</v>
      </c>
      <c r="BD166" s="32">
        <v>54962.74</v>
      </c>
      <c r="BE166" s="32">
        <v>54962.74</v>
      </c>
      <c r="BF166" s="32">
        <v>0</v>
      </c>
      <c r="BG166" s="32">
        <v>9000</v>
      </c>
      <c r="BH166" s="32">
        <v>9000</v>
      </c>
      <c r="BI166" s="32">
        <v>0</v>
      </c>
      <c r="BJ166" s="32">
        <v>32609.38</v>
      </c>
      <c r="BK166" s="32">
        <v>32609.38</v>
      </c>
      <c r="BL166" s="32">
        <v>0</v>
      </c>
      <c r="BM166" s="32">
        <v>0</v>
      </c>
      <c r="BN166" s="32">
        <v>0</v>
      </c>
      <c r="BO166" s="32">
        <v>0</v>
      </c>
      <c r="BP166" s="32">
        <v>0</v>
      </c>
      <c r="BQ166" s="32">
        <v>32037.18</v>
      </c>
      <c r="BR166" s="32">
        <v>84837.18</v>
      </c>
      <c r="BS166" s="32">
        <v>52263.38</v>
      </c>
      <c r="BT166" s="32">
        <v>55685.5</v>
      </c>
      <c r="BU166" s="32">
        <v>44713.38</v>
      </c>
      <c r="BV166" s="32">
        <v>42963.38</v>
      </c>
      <c r="BW166" s="32">
        <v>0</v>
      </c>
      <c r="BX166" s="32">
        <v>0</v>
      </c>
      <c r="BY166" s="32">
        <v>0</v>
      </c>
      <c r="BZ166" s="32">
        <v>0</v>
      </c>
      <c r="CA166" s="32">
        <v>0</v>
      </c>
      <c r="CB166" s="33" t="s">
        <v>212</v>
      </c>
      <c r="CC166" s="33" t="s">
        <v>522</v>
      </c>
      <c r="CD166" s="33"/>
      <c r="CE166" s="33" t="s">
        <v>523</v>
      </c>
      <c r="CF166" s="33" t="s">
        <v>2633</v>
      </c>
      <c r="CG166" s="33" t="s">
        <v>2634</v>
      </c>
      <c r="CH166" s="33" t="s">
        <v>526</v>
      </c>
      <c r="CI166" s="33"/>
      <c r="CJ166" s="33" t="s">
        <v>212</v>
      </c>
      <c r="CK166" s="33" t="s">
        <v>212</v>
      </c>
      <c r="CL166" s="33" t="s">
        <v>212</v>
      </c>
      <c r="CM166" s="33"/>
      <c r="CN166" s="33" t="s">
        <v>257</v>
      </c>
      <c r="CO166" s="33" t="s">
        <v>270</v>
      </c>
      <c r="CP166" s="33" t="s">
        <v>2635</v>
      </c>
      <c r="CQ166" s="33" t="s">
        <v>2636</v>
      </c>
      <c r="CR166" s="33" t="s">
        <v>2637</v>
      </c>
      <c r="CS166" s="33" t="s">
        <v>2638</v>
      </c>
      <c r="CT166" s="33"/>
      <c r="CU166" s="33"/>
      <c r="CV166" s="33"/>
      <c r="CW166" s="33"/>
      <c r="CX166" s="33"/>
      <c r="CY166" s="33" t="s">
        <v>1729</v>
      </c>
      <c r="CZ166" s="33" t="s">
        <v>698</v>
      </c>
      <c r="DA166" s="33" t="s">
        <v>2639</v>
      </c>
      <c r="DB166" s="33" t="s">
        <v>547</v>
      </c>
      <c r="DC166" s="33" t="s">
        <v>1485</v>
      </c>
      <c r="DD166" s="33" t="s">
        <v>2640</v>
      </c>
      <c r="DE166" s="33" t="s">
        <v>2641</v>
      </c>
      <c r="DF166" s="34" t="s">
        <v>2642</v>
      </c>
      <c r="DG166" s="27" cm="1">
        <f t="array" ref="DG166">INDEX('elenco partner'!A:M,MATCH(1,(D166='elenco partner'!A:A)*('Partner data'!M166='elenco partner'!E:E),0),4)</f>
        <v>310</v>
      </c>
      <c r="DH166" s="83" t="str">
        <f t="shared" si="61"/>
        <v>COSTO REALE</v>
      </c>
      <c r="DI166" s="20">
        <f>COUNTIFS('MY-REPORT-MAIN'!C:C,'Partner data'!DG166,'MY-REPORT-MAIN'!I:I,"Certified")</f>
        <v>2</v>
      </c>
      <c r="DJ166" s="20">
        <f>COUNTIFS(List_Of_chek_list!M:M,"&lt;&gt;26",List_Of_chek_list!B:B,'Partner data'!DG166)</f>
        <v>2</v>
      </c>
      <c r="DK166" s="20">
        <f t="shared" si="62"/>
        <v>0</v>
      </c>
      <c r="DL166" s="19" t="str">
        <f>IF(DH166="Tasso Forfettario 20%",SUMIFS(List_Of_chek_list!#REF!,List_Of_chek_list!B:B,'Partner data'!DG166),"NON PERTINENTE")</f>
        <v>NON PERTINENTE</v>
      </c>
      <c r="DM166" s="19" t="str">
        <f t="shared" si="63"/>
        <v>NON PERTINENTE</v>
      </c>
      <c r="DN166" s="110">
        <f>_xlfn.MAXIFS('MY-REPORT-MAIN'!K:K,'MY-REPORT-MAIN'!C:C,DG166)</f>
        <v>45380.62386</v>
      </c>
      <c r="DO166" s="112">
        <f>IF(_xlfn.MAXIFS('MY-REPORT-MAIN'!M:M,'MY-REPORT-MAIN'!C:C,DG166)=0,"Nessun rendiconto  Convalidato",_xlfn.MAXIFS('MY-REPORT-MAIN'!M:M,'MY-REPORT-MAIN'!C:C,DG166))</f>
        <v>45457.499793668983</v>
      </c>
      <c r="DP166" s="113" cm="1">
        <f t="array" ref="DP166">IFERROR(INDEX('MY-REPORT-MAIN'!A:Z,MATCH(1,(DO166='MY-REPORT-MAIN'!M:M)*('Partner data'!DG166='MY-REPORT-MAIN'!C:C),0),1),"NON è stato convalidato ancora nessun rendiconto")</f>
        <v>210</v>
      </c>
      <c r="DQ166" s="111">
        <f>IFERROR(INDEX('MY-REPORT-MAIN'!A:Z,MATCH('Partner data'!DP166,'MY-REPORT-MAIN'!A:A,0),21),"Nessun Rendiconto ancora convalidato")</f>
        <v>70173.31</v>
      </c>
      <c r="DR166" s="110">
        <f>INDEX('Interreg VI-A Italy-Slovenia_pr'!A:E,MATCH('Partner data'!C166,'Interreg VI-A Italy-Slovenia_pr'!A:A,0),3)</f>
        <v>44927</v>
      </c>
      <c r="DS166" s="118">
        <f t="shared" si="48"/>
        <v>32037.18</v>
      </c>
      <c r="DT166" s="118">
        <f t="shared" si="49"/>
        <v>116874.35999999999</v>
      </c>
      <c r="DU166" s="118">
        <f t="shared" si="50"/>
        <v>169137.74</v>
      </c>
      <c r="DV166" s="118">
        <f t="shared" si="51"/>
        <v>224823.24</v>
      </c>
      <c r="DW166" s="118">
        <f t="shared" si="52"/>
        <v>269536.62</v>
      </c>
      <c r="DX166" s="118">
        <f t="shared" si="53"/>
        <v>312500</v>
      </c>
      <c r="DY166" s="118">
        <f t="shared" si="54"/>
        <v>312500</v>
      </c>
      <c r="DZ166" s="118">
        <f t="shared" si="55"/>
        <v>312500</v>
      </c>
      <c r="EA166" s="118">
        <f t="shared" si="56"/>
        <v>312500</v>
      </c>
      <c r="EB166" s="118">
        <f t="shared" si="57"/>
        <v>312500</v>
      </c>
    </row>
    <row r="167" spans="1:132" x14ac:dyDescent="0.25">
      <c r="A167" s="28">
        <v>4</v>
      </c>
      <c r="B167" s="29" t="s">
        <v>2560</v>
      </c>
      <c r="C167" s="30" t="s">
        <v>2561</v>
      </c>
      <c r="D167" s="30" t="s">
        <v>57</v>
      </c>
      <c r="E167" s="30" t="s">
        <v>2562</v>
      </c>
      <c r="F167" s="30" t="s">
        <v>2563</v>
      </c>
      <c r="G167" s="30" t="s">
        <v>491</v>
      </c>
      <c r="H167" s="30" t="s">
        <v>691</v>
      </c>
      <c r="I167" s="30" t="s">
        <v>945</v>
      </c>
      <c r="J167" s="31" t="s">
        <v>2521</v>
      </c>
      <c r="K167" s="31" t="s">
        <v>495</v>
      </c>
      <c r="L167" s="31" t="s">
        <v>519</v>
      </c>
      <c r="M167" s="31" t="s">
        <v>45</v>
      </c>
      <c r="N167" s="31" t="s">
        <v>2643</v>
      </c>
      <c r="O167" s="31" t="s">
        <v>2644</v>
      </c>
      <c r="P167" s="31" t="s">
        <v>257</v>
      </c>
      <c r="Q167" s="31" t="s">
        <v>556</v>
      </c>
      <c r="R167" s="31" t="s">
        <v>270</v>
      </c>
      <c r="S167" s="32">
        <v>250000</v>
      </c>
      <c r="T167" s="32">
        <v>80</v>
      </c>
      <c r="U167" s="32">
        <v>7.14</v>
      </c>
      <c r="V167" s="32">
        <v>0</v>
      </c>
      <c r="W167" s="32">
        <v>0</v>
      </c>
      <c r="X167" s="32">
        <v>0</v>
      </c>
      <c r="Y167" s="32">
        <v>0</v>
      </c>
      <c r="Z167" s="32">
        <v>0</v>
      </c>
      <c r="AA167" s="32">
        <v>0</v>
      </c>
      <c r="AB167" s="32">
        <v>0</v>
      </c>
      <c r="AC167" s="32">
        <v>0</v>
      </c>
      <c r="AD167" s="32">
        <v>0</v>
      </c>
      <c r="AE167" s="32">
        <v>0</v>
      </c>
      <c r="AF167" s="32">
        <v>0</v>
      </c>
      <c r="AG167" s="32">
        <v>0</v>
      </c>
      <c r="AH167" s="32">
        <v>0</v>
      </c>
      <c r="AI167" s="32">
        <v>0</v>
      </c>
      <c r="AJ167" s="32">
        <v>0</v>
      </c>
      <c r="AK167" s="32">
        <v>0</v>
      </c>
      <c r="AL167" s="32">
        <v>0</v>
      </c>
      <c r="AM167" s="32">
        <v>0</v>
      </c>
      <c r="AN167" s="32">
        <v>0</v>
      </c>
      <c r="AO167" s="32">
        <v>0</v>
      </c>
      <c r="AP167" s="32">
        <v>62500</v>
      </c>
      <c r="AQ167" s="32">
        <v>62500</v>
      </c>
      <c r="AR167" s="32">
        <v>312500</v>
      </c>
      <c r="AS167" s="32">
        <v>7.14</v>
      </c>
      <c r="AT167" s="32">
        <v>141863.88</v>
      </c>
      <c r="AU167" s="32">
        <v>0</v>
      </c>
      <c r="AV167" s="32">
        <v>141863.88</v>
      </c>
      <c r="AW167" s="32">
        <v>0</v>
      </c>
      <c r="AX167" s="32">
        <v>21279.58</v>
      </c>
      <c r="AY167" s="32">
        <v>21279.58</v>
      </c>
      <c r="AZ167" s="32">
        <v>5674.55</v>
      </c>
      <c r="BA167" s="32">
        <v>5674.55</v>
      </c>
      <c r="BB167" s="32">
        <v>0</v>
      </c>
      <c r="BC167" s="32">
        <v>0</v>
      </c>
      <c r="BD167" s="32">
        <v>45181.98</v>
      </c>
      <c r="BE167" s="32">
        <v>45181.98</v>
      </c>
      <c r="BF167" s="32">
        <v>0</v>
      </c>
      <c r="BG167" s="32">
        <v>22500.01</v>
      </c>
      <c r="BH167" s="32">
        <v>22500.01</v>
      </c>
      <c r="BI167" s="32">
        <v>0</v>
      </c>
      <c r="BJ167" s="32">
        <v>76000</v>
      </c>
      <c r="BK167" s="32">
        <v>76000</v>
      </c>
      <c r="BL167" s="32">
        <v>0</v>
      </c>
      <c r="BM167" s="32">
        <v>0</v>
      </c>
      <c r="BN167" s="32">
        <v>0</v>
      </c>
      <c r="BO167" s="32">
        <v>0</v>
      </c>
      <c r="BP167" s="32">
        <v>0</v>
      </c>
      <c r="BQ167" s="32">
        <v>106936.32000000001</v>
      </c>
      <c r="BR167" s="32">
        <v>30736.32</v>
      </c>
      <c r="BS167" s="32">
        <v>31736.32</v>
      </c>
      <c r="BT167" s="32">
        <v>31636.32</v>
      </c>
      <c r="BU167" s="32">
        <v>49236.33</v>
      </c>
      <c r="BV167" s="32">
        <v>62218.39</v>
      </c>
      <c r="BW167" s="32">
        <v>0</v>
      </c>
      <c r="BX167" s="32">
        <v>0</v>
      </c>
      <c r="BY167" s="32">
        <v>0</v>
      </c>
      <c r="BZ167" s="32">
        <v>0</v>
      </c>
      <c r="CA167" s="32">
        <v>0</v>
      </c>
      <c r="CB167" s="33" t="s">
        <v>2645</v>
      </c>
      <c r="CC167" s="33" t="s">
        <v>887</v>
      </c>
      <c r="CD167" s="33" t="s">
        <v>706</v>
      </c>
      <c r="CE167" s="33" t="s">
        <v>501</v>
      </c>
      <c r="CF167" s="33" t="s">
        <v>2646</v>
      </c>
      <c r="CG167" s="33" t="s">
        <v>2647</v>
      </c>
      <c r="CH167" s="33" t="s">
        <v>504</v>
      </c>
      <c r="CI167" s="33"/>
      <c r="CJ167" s="33" t="s">
        <v>212</v>
      </c>
      <c r="CK167" s="33" t="s">
        <v>2648</v>
      </c>
      <c r="CL167" s="33" t="s">
        <v>212</v>
      </c>
      <c r="CM167" s="33"/>
      <c r="CN167" s="33" t="s">
        <v>257</v>
      </c>
      <c r="CO167" s="33" t="s">
        <v>270</v>
      </c>
      <c r="CP167" s="33" t="s">
        <v>2649</v>
      </c>
      <c r="CQ167" s="33" t="s">
        <v>620</v>
      </c>
      <c r="CR167" s="33" t="s">
        <v>621</v>
      </c>
      <c r="CS167" s="33" t="s">
        <v>2650</v>
      </c>
      <c r="CT167" s="33" t="s">
        <v>257</v>
      </c>
      <c r="CU167" s="33" t="s">
        <v>270</v>
      </c>
      <c r="CV167" s="33" t="s">
        <v>2651</v>
      </c>
      <c r="CW167" s="33" t="s">
        <v>710</v>
      </c>
      <c r="CX167" s="33" t="s">
        <v>650</v>
      </c>
      <c r="CY167" s="33" t="s">
        <v>547</v>
      </c>
      <c r="CZ167" s="33" t="s">
        <v>908</v>
      </c>
      <c r="DA167" s="33" t="s">
        <v>2652</v>
      </c>
      <c r="DB167" s="33" t="s">
        <v>547</v>
      </c>
      <c r="DC167" s="33" t="s">
        <v>910</v>
      </c>
      <c r="DD167" s="33" t="s">
        <v>2653</v>
      </c>
      <c r="DE167" s="33" t="s">
        <v>2654</v>
      </c>
      <c r="DF167" s="34" t="s">
        <v>2655</v>
      </c>
      <c r="DG167" s="27" cm="1">
        <f t="array" ref="DG167">INDEX('elenco partner'!A:M,MATCH(1,(D167='elenco partner'!A:A)*('Partner data'!M167='elenco partner'!E:E),0),4)</f>
        <v>311</v>
      </c>
      <c r="DH167" s="83" t="str">
        <f t="shared" si="61"/>
        <v>COSTO REALE</v>
      </c>
      <c r="DI167" s="20">
        <f>COUNTIFS('MY-REPORT-MAIN'!C:C,'Partner data'!DG167,'MY-REPORT-MAIN'!I:I,"Certified")</f>
        <v>2</v>
      </c>
      <c r="DJ167" s="20">
        <f>COUNTIFS(List_Of_chek_list!M:M,"&lt;&gt;26",List_Of_chek_list!B:B,'Partner data'!DG167)</f>
        <v>1</v>
      </c>
      <c r="DK167" s="20">
        <f t="shared" si="62"/>
        <v>1</v>
      </c>
      <c r="DL167" s="19" t="str">
        <f>IF(DH167="Tasso Forfettario 20%",SUMIFS(List_Of_chek_list!#REF!,List_Of_chek_list!B:B,'Partner data'!DG167),"NON PERTINENTE")</f>
        <v>NON PERTINENTE</v>
      </c>
      <c r="DM167" s="19" t="str">
        <f t="shared" si="63"/>
        <v>NON PERTINENTE</v>
      </c>
      <c r="DN167" s="110">
        <f>_xlfn.MAXIFS('MY-REPORT-MAIN'!K:K,'MY-REPORT-MAIN'!C:C,DG167)</f>
        <v>45387.045961307871</v>
      </c>
      <c r="DO167" s="112">
        <f>IF(_xlfn.MAXIFS('MY-REPORT-MAIN'!M:M,'MY-REPORT-MAIN'!C:C,DG167)=0,"Nessun rendiconto  Convalidato",_xlfn.MAXIFS('MY-REPORT-MAIN'!M:M,'MY-REPORT-MAIN'!C:C,DG167))</f>
        <v>45482.375182222226</v>
      </c>
      <c r="DP167" s="113" cm="1">
        <f t="array" ref="DP167">IFERROR(INDEX('MY-REPORT-MAIN'!A:Z,MATCH(1,(DO167='MY-REPORT-MAIN'!M:M)*('Partner data'!DG167='MY-REPORT-MAIN'!C:C),0),1),"NON è stato convalidato ancora nessun rendiconto")</f>
        <v>199</v>
      </c>
      <c r="DQ167" s="111">
        <f>IFERROR(INDEX('MY-REPORT-MAIN'!A:Z,MATCH('Partner data'!DP167,'MY-REPORT-MAIN'!A:A,0),21),"Nessun Rendiconto ancora convalidato")</f>
        <v>21930.63</v>
      </c>
      <c r="DR167" s="110">
        <f>INDEX('Interreg VI-A Italy-Slovenia_pr'!A:E,MATCH('Partner data'!C167,'Interreg VI-A Italy-Slovenia_pr'!A:A,0),3)</f>
        <v>44927</v>
      </c>
      <c r="DS167" s="118">
        <f t="shared" si="48"/>
        <v>106936.32000000001</v>
      </c>
      <c r="DT167" s="118">
        <f t="shared" si="49"/>
        <v>137672.64000000001</v>
      </c>
      <c r="DU167" s="118">
        <f t="shared" si="50"/>
        <v>169408.96000000002</v>
      </c>
      <c r="DV167" s="118">
        <f t="shared" si="51"/>
        <v>201045.28000000003</v>
      </c>
      <c r="DW167" s="118">
        <f t="shared" si="52"/>
        <v>250281.61000000004</v>
      </c>
      <c r="DX167" s="118">
        <f t="shared" si="53"/>
        <v>312500.00000000006</v>
      </c>
      <c r="DY167" s="118">
        <f t="shared" si="54"/>
        <v>312500.00000000006</v>
      </c>
      <c r="DZ167" s="118">
        <f t="shared" si="55"/>
        <v>312500.00000000006</v>
      </c>
      <c r="EA167" s="118">
        <f t="shared" si="56"/>
        <v>312500.00000000006</v>
      </c>
      <c r="EB167" s="118">
        <f t="shared" si="57"/>
        <v>312500.00000000006</v>
      </c>
    </row>
    <row r="168" spans="1:132" x14ac:dyDescent="0.25">
      <c r="A168" s="28">
        <v>4</v>
      </c>
      <c r="B168" s="29" t="s">
        <v>2560</v>
      </c>
      <c r="C168" s="30" t="s">
        <v>2561</v>
      </c>
      <c r="D168" s="30" t="s">
        <v>57</v>
      </c>
      <c r="E168" s="30" t="s">
        <v>2562</v>
      </c>
      <c r="F168" s="30" t="s">
        <v>2563</v>
      </c>
      <c r="G168" s="30" t="s">
        <v>491</v>
      </c>
      <c r="H168" s="30" t="s">
        <v>691</v>
      </c>
      <c r="I168" s="30" t="s">
        <v>945</v>
      </c>
      <c r="J168" s="31" t="s">
        <v>2528</v>
      </c>
      <c r="K168" s="31" t="s">
        <v>495</v>
      </c>
      <c r="L168" s="31" t="s">
        <v>519</v>
      </c>
      <c r="M168" s="31" t="s">
        <v>29</v>
      </c>
      <c r="N168" s="31" t="s">
        <v>2656</v>
      </c>
      <c r="O168" s="31" t="s">
        <v>2657</v>
      </c>
      <c r="P168" s="31" t="s">
        <v>257</v>
      </c>
      <c r="Q168" s="31" t="s">
        <v>556</v>
      </c>
      <c r="R168" s="31" t="s">
        <v>270</v>
      </c>
      <c r="S168" s="32">
        <v>249670.39999999999</v>
      </c>
      <c r="T168" s="32">
        <v>80</v>
      </c>
      <c r="U168" s="32">
        <v>7.13</v>
      </c>
      <c r="V168" s="32">
        <v>0</v>
      </c>
      <c r="W168" s="32">
        <v>0</v>
      </c>
      <c r="X168" s="32">
        <v>0</v>
      </c>
      <c r="Y168" s="32">
        <v>0</v>
      </c>
      <c r="Z168" s="32">
        <v>0</v>
      </c>
      <c r="AA168" s="32">
        <v>0</v>
      </c>
      <c r="AB168" s="32">
        <v>0</v>
      </c>
      <c r="AC168" s="32">
        <v>0</v>
      </c>
      <c r="AD168" s="32">
        <v>0</v>
      </c>
      <c r="AE168" s="32">
        <v>0</v>
      </c>
      <c r="AF168" s="32">
        <v>0</v>
      </c>
      <c r="AG168" s="32">
        <v>0</v>
      </c>
      <c r="AH168" s="32">
        <v>0</v>
      </c>
      <c r="AI168" s="32">
        <v>0</v>
      </c>
      <c r="AJ168" s="32">
        <v>0</v>
      </c>
      <c r="AK168" s="32">
        <v>0</v>
      </c>
      <c r="AL168" s="32">
        <v>0</v>
      </c>
      <c r="AM168" s="32">
        <v>0</v>
      </c>
      <c r="AN168" s="32">
        <v>62417.599999999999</v>
      </c>
      <c r="AO168" s="32">
        <v>0</v>
      </c>
      <c r="AP168" s="32">
        <v>0</v>
      </c>
      <c r="AQ168" s="32">
        <v>62417.599999999999</v>
      </c>
      <c r="AR168" s="32">
        <v>312088</v>
      </c>
      <c r="AS168" s="32">
        <v>7.13</v>
      </c>
      <c r="AT168" s="32">
        <v>104000</v>
      </c>
      <c r="AU168" s="32">
        <v>0</v>
      </c>
      <c r="AV168" s="32">
        <v>104000</v>
      </c>
      <c r="AW168" s="32">
        <v>0</v>
      </c>
      <c r="AX168" s="32">
        <v>15600</v>
      </c>
      <c r="AY168" s="32">
        <v>15600</v>
      </c>
      <c r="AZ168" s="32">
        <v>4160</v>
      </c>
      <c r="BA168" s="32">
        <v>4160</v>
      </c>
      <c r="BB168" s="32">
        <v>0</v>
      </c>
      <c r="BC168" s="32">
        <v>0</v>
      </c>
      <c r="BD168" s="32">
        <v>84000</v>
      </c>
      <c r="BE168" s="32">
        <v>84000</v>
      </c>
      <c r="BF168" s="32">
        <v>0</v>
      </c>
      <c r="BG168" s="32">
        <v>31249</v>
      </c>
      <c r="BH168" s="32">
        <v>31249</v>
      </c>
      <c r="BI168" s="32">
        <v>0</v>
      </c>
      <c r="BJ168" s="32">
        <v>73079</v>
      </c>
      <c r="BK168" s="32">
        <v>73079</v>
      </c>
      <c r="BL168" s="32">
        <v>0</v>
      </c>
      <c r="BM168" s="32">
        <v>0</v>
      </c>
      <c r="BN168" s="32">
        <v>0</v>
      </c>
      <c r="BO168" s="32">
        <v>0</v>
      </c>
      <c r="BP168" s="32">
        <v>0</v>
      </c>
      <c r="BQ168" s="32">
        <v>21944</v>
      </c>
      <c r="BR168" s="32">
        <v>120752</v>
      </c>
      <c r="BS168" s="32">
        <v>45348</v>
      </c>
      <c r="BT168" s="32">
        <v>55348</v>
      </c>
      <c r="BU168" s="32">
        <v>44848</v>
      </c>
      <c r="BV168" s="32">
        <v>23848</v>
      </c>
      <c r="BW168" s="32">
        <v>0</v>
      </c>
      <c r="BX168" s="32">
        <v>0</v>
      </c>
      <c r="BY168" s="32">
        <v>0</v>
      </c>
      <c r="BZ168" s="32">
        <v>0</v>
      </c>
      <c r="CA168" s="32">
        <v>0</v>
      </c>
      <c r="CB168" s="33" t="s">
        <v>2658</v>
      </c>
      <c r="CC168" s="33" t="s">
        <v>522</v>
      </c>
      <c r="CD168" s="33"/>
      <c r="CE168" s="33" t="s">
        <v>523</v>
      </c>
      <c r="CF168" s="33" t="s">
        <v>2633</v>
      </c>
      <c r="CG168" s="33" t="s">
        <v>2634</v>
      </c>
      <c r="CH168" s="33" t="s">
        <v>526</v>
      </c>
      <c r="CI168" s="33"/>
      <c r="CJ168" s="33" t="s">
        <v>212</v>
      </c>
      <c r="CK168" s="33"/>
      <c r="CL168" s="33" t="s">
        <v>212</v>
      </c>
      <c r="CM168" s="33"/>
      <c r="CN168" s="33" t="s">
        <v>257</v>
      </c>
      <c r="CO168" s="33" t="s">
        <v>270</v>
      </c>
      <c r="CP168" s="33" t="s">
        <v>2659</v>
      </c>
      <c r="CQ168" s="33" t="s">
        <v>642</v>
      </c>
      <c r="CR168" s="33" t="s">
        <v>2660</v>
      </c>
      <c r="CS168" s="33" t="s">
        <v>2661</v>
      </c>
      <c r="CT168" s="33" t="s">
        <v>257</v>
      </c>
      <c r="CU168" s="33" t="s">
        <v>270</v>
      </c>
      <c r="CV168" s="33" t="s">
        <v>2659</v>
      </c>
      <c r="CW168" s="33" t="s">
        <v>642</v>
      </c>
      <c r="CX168" s="33" t="s">
        <v>2660</v>
      </c>
      <c r="CY168" s="33" t="s">
        <v>531</v>
      </c>
      <c r="CZ168" s="33" t="s">
        <v>651</v>
      </c>
      <c r="DA168" s="33" t="s">
        <v>2662</v>
      </c>
      <c r="DB168" s="33" t="s">
        <v>547</v>
      </c>
      <c r="DC168" s="33" t="s">
        <v>2663</v>
      </c>
      <c r="DD168" s="33" t="s">
        <v>2664</v>
      </c>
      <c r="DE168" s="33" t="s">
        <v>2665</v>
      </c>
      <c r="DF168" s="34" t="s">
        <v>2666</v>
      </c>
      <c r="DG168" s="27" cm="1">
        <f t="array" ref="DG168">INDEX('elenco partner'!A:M,MATCH(1,(D168='elenco partner'!A:A)*('Partner data'!M168='elenco partner'!E:E),0),4)</f>
        <v>312</v>
      </c>
      <c r="DH168" s="83" t="str">
        <f t="shared" si="61"/>
        <v>COSTO REALE</v>
      </c>
      <c r="DI168" s="20">
        <f>COUNTIFS('MY-REPORT-MAIN'!C:C,'Partner data'!DG168,'MY-REPORT-MAIN'!I:I,"Certified")</f>
        <v>2</v>
      </c>
      <c r="DJ168" s="20">
        <f>COUNTIFS(List_Of_chek_list!M:M,"&lt;&gt;26",List_Of_chek_list!B:B,'Partner data'!DG168)</f>
        <v>2</v>
      </c>
      <c r="DK168" s="20">
        <f t="shared" si="62"/>
        <v>0</v>
      </c>
      <c r="DL168" s="19" t="str">
        <f>IF(DH168="Tasso Forfettario 20%",SUMIFS(List_Of_chek_list!#REF!,List_Of_chek_list!B:B,'Partner data'!DG168),"NON PERTINENTE")</f>
        <v>NON PERTINENTE</v>
      </c>
      <c r="DM168" s="19" t="str">
        <f t="shared" si="63"/>
        <v>NON PERTINENTE</v>
      </c>
      <c r="DN168" s="110">
        <f>_xlfn.MAXIFS('MY-REPORT-MAIN'!K:K,'MY-REPORT-MAIN'!C:C,DG168)</f>
        <v>45384.435038645832</v>
      </c>
      <c r="DO168" s="112">
        <f>IF(_xlfn.MAXIFS('MY-REPORT-MAIN'!M:M,'MY-REPORT-MAIN'!C:C,DG168)=0,"Nessun rendiconto  Convalidato",_xlfn.MAXIFS('MY-REPORT-MAIN'!M:M,'MY-REPORT-MAIN'!C:C,DG168))</f>
        <v>45474.415912222219</v>
      </c>
      <c r="DP168" s="113" cm="1">
        <f t="array" ref="DP168">IFERROR(INDEX('MY-REPORT-MAIN'!A:Z,MATCH(1,(DO168='MY-REPORT-MAIN'!M:M)*('Partner data'!DG168='MY-REPORT-MAIN'!C:C),0),1),"NON è stato convalidato ancora nessun rendiconto")</f>
        <v>218</v>
      </c>
      <c r="DQ168" s="111">
        <f>IFERROR(INDEX('MY-REPORT-MAIN'!A:Z,MATCH('Partner data'!DP168,'MY-REPORT-MAIN'!A:A,0),21),"Nessun Rendiconto ancora convalidato")</f>
        <v>39980.620000000003</v>
      </c>
      <c r="DR168" s="110">
        <f>INDEX('Interreg VI-A Italy-Slovenia_pr'!A:E,MATCH('Partner data'!C168,'Interreg VI-A Italy-Slovenia_pr'!A:A,0),3)</f>
        <v>44927</v>
      </c>
      <c r="DS168" s="118">
        <f t="shared" si="48"/>
        <v>21944</v>
      </c>
      <c r="DT168" s="118">
        <f t="shared" si="49"/>
        <v>142696</v>
      </c>
      <c r="DU168" s="118">
        <f t="shared" si="50"/>
        <v>188044</v>
      </c>
      <c r="DV168" s="118">
        <f t="shared" si="51"/>
        <v>243392</v>
      </c>
      <c r="DW168" s="118">
        <f t="shared" si="52"/>
        <v>288240</v>
      </c>
      <c r="DX168" s="118">
        <f t="shared" si="53"/>
        <v>312088</v>
      </c>
      <c r="DY168" s="118">
        <f t="shared" si="54"/>
        <v>312088</v>
      </c>
      <c r="DZ168" s="118">
        <f t="shared" si="55"/>
        <v>312088</v>
      </c>
      <c r="EA168" s="118">
        <f t="shared" si="56"/>
        <v>312088</v>
      </c>
      <c r="EB168" s="118">
        <f t="shared" si="57"/>
        <v>312088</v>
      </c>
    </row>
    <row r="169" spans="1:132" x14ac:dyDescent="0.25">
      <c r="A169" s="28">
        <v>4</v>
      </c>
      <c r="B169" s="29" t="s">
        <v>2560</v>
      </c>
      <c r="C169" s="30" t="s">
        <v>2561</v>
      </c>
      <c r="D169" s="30" t="s">
        <v>57</v>
      </c>
      <c r="E169" s="30" t="s">
        <v>2562</v>
      </c>
      <c r="F169" s="30" t="s">
        <v>2563</v>
      </c>
      <c r="G169" s="30" t="s">
        <v>491</v>
      </c>
      <c r="H169" s="30" t="s">
        <v>691</v>
      </c>
      <c r="I169" s="30" t="s">
        <v>945</v>
      </c>
      <c r="J169" s="31" t="s">
        <v>2537</v>
      </c>
      <c r="K169" s="31" t="s">
        <v>495</v>
      </c>
      <c r="L169" s="31" t="s">
        <v>519</v>
      </c>
      <c r="M169" s="31" t="s">
        <v>24</v>
      </c>
      <c r="N169" s="31" t="s">
        <v>1378</v>
      </c>
      <c r="O169" s="31" t="s">
        <v>1379</v>
      </c>
      <c r="P169" s="31" t="s">
        <v>257</v>
      </c>
      <c r="Q169" s="31" t="s">
        <v>556</v>
      </c>
      <c r="R169" s="31" t="s">
        <v>270</v>
      </c>
      <c r="S169" s="32">
        <v>249886.16</v>
      </c>
      <c r="T169" s="32">
        <v>80</v>
      </c>
      <c r="U169" s="32">
        <v>7.14</v>
      </c>
      <c r="V169" s="32">
        <v>0</v>
      </c>
      <c r="W169" s="32">
        <v>0</v>
      </c>
      <c r="X169" s="32">
        <v>0</v>
      </c>
      <c r="Y169" s="32">
        <v>0</v>
      </c>
      <c r="Z169" s="32">
        <v>0</v>
      </c>
      <c r="AA169" s="32">
        <v>0</v>
      </c>
      <c r="AB169" s="32">
        <v>0</v>
      </c>
      <c r="AC169" s="32">
        <v>0</v>
      </c>
      <c r="AD169" s="32">
        <v>0</v>
      </c>
      <c r="AE169" s="32">
        <v>0</v>
      </c>
      <c r="AF169" s="32">
        <v>0</v>
      </c>
      <c r="AG169" s="32">
        <v>0</v>
      </c>
      <c r="AH169" s="32">
        <v>0</v>
      </c>
      <c r="AI169" s="32">
        <v>0</v>
      </c>
      <c r="AJ169" s="32">
        <v>0</v>
      </c>
      <c r="AK169" s="32">
        <v>0</v>
      </c>
      <c r="AL169" s="32">
        <v>0</v>
      </c>
      <c r="AM169" s="32">
        <v>0</v>
      </c>
      <c r="AN169" s="32">
        <v>62471.54</v>
      </c>
      <c r="AO169" s="32">
        <v>0</v>
      </c>
      <c r="AP169" s="32">
        <v>0</v>
      </c>
      <c r="AQ169" s="32">
        <v>62471.54</v>
      </c>
      <c r="AR169" s="32">
        <v>312357.7</v>
      </c>
      <c r="AS169" s="32">
        <v>7.14</v>
      </c>
      <c r="AT169" s="32">
        <v>236435.04</v>
      </c>
      <c r="AU169" s="32">
        <v>0</v>
      </c>
      <c r="AV169" s="32">
        <v>236435.04</v>
      </c>
      <c r="AW169" s="32">
        <v>0</v>
      </c>
      <c r="AX169" s="32">
        <v>35465.25</v>
      </c>
      <c r="AY169" s="32">
        <v>35465.25</v>
      </c>
      <c r="AZ169" s="32">
        <v>9457.4</v>
      </c>
      <c r="BA169" s="32">
        <v>9457.4</v>
      </c>
      <c r="BB169" s="32">
        <v>0</v>
      </c>
      <c r="BC169" s="32">
        <v>0</v>
      </c>
      <c r="BD169" s="32">
        <v>31000.01</v>
      </c>
      <c r="BE169" s="32">
        <v>31000.01</v>
      </c>
      <c r="BF169" s="32">
        <v>0</v>
      </c>
      <c r="BG169" s="32">
        <v>0</v>
      </c>
      <c r="BH169" s="32">
        <v>0</v>
      </c>
      <c r="BI169" s="32">
        <v>0</v>
      </c>
      <c r="BJ169" s="32">
        <v>0</v>
      </c>
      <c r="BK169" s="32">
        <v>0</v>
      </c>
      <c r="BL169" s="32">
        <v>0</v>
      </c>
      <c r="BM169" s="32">
        <v>0</v>
      </c>
      <c r="BN169" s="32">
        <v>0</v>
      </c>
      <c r="BO169" s="32">
        <v>0</v>
      </c>
      <c r="BP169" s="32">
        <v>0</v>
      </c>
      <c r="BQ169" s="32">
        <v>48652.99</v>
      </c>
      <c r="BR169" s="32">
        <v>62232.98</v>
      </c>
      <c r="BS169" s="32">
        <v>49692.98</v>
      </c>
      <c r="BT169" s="32">
        <v>53192.98</v>
      </c>
      <c r="BU169" s="32">
        <v>48592.98</v>
      </c>
      <c r="BV169" s="32">
        <v>49992.79</v>
      </c>
      <c r="BW169" s="32">
        <v>0</v>
      </c>
      <c r="BX169" s="32">
        <v>0</v>
      </c>
      <c r="BY169" s="32">
        <v>0</v>
      </c>
      <c r="BZ169" s="32">
        <v>0</v>
      </c>
      <c r="CA169" s="32">
        <v>0</v>
      </c>
      <c r="CB169" s="33" t="s">
        <v>212</v>
      </c>
      <c r="CC169" s="33" t="s">
        <v>624</v>
      </c>
      <c r="CD169" s="33"/>
      <c r="CE169" s="33" t="s">
        <v>523</v>
      </c>
      <c r="CF169" s="33" t="s">
        <v>655</v>
      </c>
      <c r="CG169" s="33" t="s">
        <v>1381</v>
      </c>
      <c r="CH169" s="33" t="s">
        <v>619</v>
      </c>
      <c r="CI169" s="33"/>
      <c r="CJ169" s="33" t="s">
        <v>212</v>
      </c>
      <c r="CK169" s="33" t="s">
        <v>1383</v>
      </c>
      <c r="CL169" s="33" t="s">
        <v>212</v>
      </c>
      <c r="CM169" s="33"/>
      <c r="CN169" s="33" t="s">
        <v>257</v>
      </c>
      <c r="CO169" s="33" t="s">
        <v>270</v>
      </c>
      <c r="CP169" s="33" t="s">
        <v>1455</v>
      </c>
      <c r="CQ169" s="33" t="s">
        <v>710</v>
      </c>
      <c r="CR169" s="33" t="s">
        <v>650</v>
      </c>
      <c r="CS169" s="33" t="s">
        <v>1385</v>
      </c>
      <c r="CT169" s="33"/>
      <c r="CU169" s="33"/>
      <c r="CV169" s="33"/>
      <c r="CW169" s="33"/>
      <c r="CX169" s="33"/>
      <c r="CY169" s="33" t="s">
        <v>531</v>
      </c>
      <c r="CZ169" s="33" t="s">
        <v>1386</v>
      </c>
      <c r="DA169" s="33" t="s">
        <v>1387</v>
      </c>
      <c r="DB169" s="33" t="s">
        <v>547</v>
      </c>
      <c r="DC169" s="33" t="s">
        <v>1388</v>
      </c>
      <c r="DD169" s="33" t="s">
        <v>1389</v>
      </c>
      <c r="DE169" s="33" t="s">
        <v>1390</v>
      </c>
      <c r="DF169" s="34" t="s">
        <v>2667</v>
      </c>
      <c r="DG169" s="27" cm="1">
        <f t="array" ref="DG169">INDEX('elenco partner'!A:M,MATCH(1,(D169='elenco partner'!A:A)*('Partner data'!M169='elenco partner'!E:E),0),4)</f>
        <v>313</v>
      </c>
      <c r="DH169" s="83" t="str">
        <f t="shared" si="61"/>
        <v>COSTO REALE</v>
      </c>
      <c r="DI169" s="20">
        <f>COUNTIFS('MY-REPORT-MAIN'!C:C,'Partner data'!DG169,'MY-REPORT-MAIN'!I:I,"Certified")</f>
        <v>2</v>
      </c>
      <c r="DJ169" s="20">
        <f>COUNTIFS(List_Of_chek_list!M:M,"&lt;&gt;26",List_Of_chek_list!B:B,'Partner data'!DG169)</f>
        <v>1</v>
      </c>
      <c r="DK169" s="20">
        <f t="shared" si="62"/>
        <v>1</v>
      </c>
      <c r="DL169" s="19" t="str">
        <f>IF(DH169="Tasso Forfettario 20%",SUMIFS(List_Of_chek_list!#REF!,List_Of_chek_list!B:B,'Partner data'!DG169),"NON PERTINENTE")</f>
        <v>NON PERTINENTE</v>
      </c>
      <c r="DM169" s="19" t="str">
        <f t="shared" si="63"/>
        <v>NON PERTINENTE</v>
      </c>
      <c r="DN169" s="110">
        <f>_xlfn.MAXIFS('MY-REPORT-MAIN'!K:K,'MY-REPORT-MAIN'!C:C,DG169)</f>
        <v>45386.662269791668</v>
      </c>
      <c r="DO169" s="112">
        <f>IF(_xlfn.MAXIFS('MY-REPORT-MAIN'!M:M,'MY-REPORT-MAIN'!C:C,DG169)=0,"Nessun rendiconto  Convalidato",_xlfn.MAXIFS('MY-REPORT-MAIN'!M:M,'MY-REPORT-MAIN'!C:C,DG169))</f>
        <v>45478.391633252315</v>
      </c>
      <c r="DP169" s="113" cm="1">
        <f t="array" ref="DP169">IFERROR(INDEX('MY-REPORT-MAIN'!A:Z,MATCH(1,(DO169='MY-REPORT-MAIN'!M:M)*('Partner data'!DG169='MY-REPORT-MAIN'!C:C),0),1),"NON è stato convalidato ancora nessun rendiconto")</f>
        <v>237</v>
      </c>
      <c r="DQ169" s="111">
        <f>IFERROR(INDEX('MY-REPORT-MAIN'!A:Z,MATCH('Partner data'!DP169,'MY-REPORT-MAIN'!A:A,0),21),"Nessun Rendiconto ancora convalidato")</f>
        <v>37837.440000000002</v>
      </c>
      <c r="DR169" s="110">
        <f>INDEX('Interreg VI-A Italy-Slovenia_pr'!A:E,MATCH('Partner data'!C169,'Interreg VI-A Italy-Slovenia_pr'!A:A,0),3)</f>
        <v>44927</v>
      </c>
      <c r="DS169" s="118">
        <f t="shared" si="48"/>
        <v>48652.99</v>
      </c>
      <c r="DT169" s="118">
        <f t="shared" si="49"/>
        <v>110885.97</v>
      </c>
      <c r="DU169" s="118">
        <f t="shared" si="50"/>
        <v>160578.95000000001</v>
      </c>
      <c r="DV169" s="118">
        <f t="shared" si="51"/>
        <v>213771.93000000002</v>
      </c>
      <c r="DW169" s="118">
        <f t="shared" si="52"/>
        <v>262364.91000000003</v>
      </c>
      <c r="DX169" s="118">
        <f t="shared" si="53"/>
        <v>312357.7</v>
      </c>
      <c r="DY169" s="118">
        <f t="shared" si="54"/>
        <v>312357.7</v>
      </c>
      <c r="DZ169" s="118">
        <f t="shared" si="55"/>
        <v>312357.7</v>
      </c>
      <c r="EA169" s="118">
        <f t="shared" si="56"/>
        <v>312357.7</v>
      </c>
      <c r="EB169" s="118">
        <f t="shared" si="57"/>
        <v>312357.7</v>
      </c>
    </row>
    <row r="170" spans="1:132" x14ac:dyDescent="0.25">
      <c r="A170" s="28">
        <v>4</v>
      </c>
      <c r="B170" s="29" t="s">
        <v>2560</v>
      </c>
      <c r="C170" s="30" t="s">
        <v>2561</v>
      </c>
      <c r="D170" s="30" t="s">
        <v>57</v>
      </c>
      <c r="E170" s="30" t="s">
        <v>2562</v>
      </c>
      <c r="F170" s="30" t="s">
        <v>2563</v>
      </c>
      <c r="G170" s="30" t="s">
        <v>491</v>
      </c>
      <c r="H170" s="30" t="s">
        <v>691</v>
      </c>
      <c r="I170" s="30" t="s">
        <v>945</v>
      </c>
      <c r="J170" s="31" t="s">
        <v>2547</v>
      </c>
      <c r="K170" s="31" t="s">
        <v>495</v>
      </c>
      <c r="L170" s="31" t="s">
        <v>519</v>
      </c>
      <c r="M170" s="31" t="s">
        <v>42</v>
      </c>
      <c r="N170" s="31" t="s">
        <v>2668</v>
      </c>
      <c r="O170" s="31" t="s">
        <v>2669</v>
      </c>
      <c r="P170" s="31" t="s">
        <v>257</v>
      </c>
      <c r="Q170" s="31" t="s">
        <v>556</v>
      </c>
      <c r="R170" s="31" t="s">
        <v>269</v>
      </c>
      <c r="S170" s="32">
        <v>250000</v>
      </c>
      <c r="T170" s="32">
        <v>80</v>
      </c>
      <c r="U170" s="32">
        <v>7.14</v>
      </c>
      <c r="V170" s="32">
        <v>0</v>
      </c>
      <c r="W170" s="32">
        <v>0</v>
      </c>
      <c r="X170" s="32">
        <v>0</v>
      </c>
      <c r="Y170" s="32">
        <v>0</v>
      </c>
      <c r="Z170" s="32">
        <v>0</v>
      </c>
      <c r="AA170" s="32">
        <v>0</v>
      </c>
      <c r="AB170" s="32">
        <v>0</v>
      </c>
      <c r="AC170" s="32">
        <v>0</v>
      </c>
      <c r="AD170" s="32">
        <v>0</v>
      </c>
      <c r="AE170" s="32">
        <v>0</v>
      </c>
      <c r="AF170" s="32">
        <v>0</v>
      </c>
      <c r="AG170" s="32">
        <v>0</v>
      </c>
      <c r="AH170" s="32">
        <v>0</v>
      </c>
      <c r="AI170" s="32">
        <v>0</v>
      </c>
      <c r="AJ170" s="32">
        <v>0</v>
      </c>
      <c r="AK170" s="32">
        <v>0</v>
      </c>
      <c r="AL170" s="32">
        <v>0</v>
      </c>
      <c r="AM170" s="32">
        <v>0</v>
      </c>
      <c r="AN170" s="32">
        <v>62500</v>
      </c>
      <c r="AO170" s="32">
        <v>0</v>
      </c>
      <c r="AP170" s="32">
        <v>0</v>
      </c>
      <c r="AQ170" s="32">
        <v>62500</v>
      </c>
      <c r="AR170" s="32">
        <v>312500</v>
      </c>
      <c r="AS170" s="32">
        <v>7.14</v>
      </c>
      <c r="AT170" s="32">
        <v>141840</v>
      </c>
      <c r="AU170" s="32">
        <v>0</v>
      </c>
      <c r="AV170" s="32">
        <v>141840</v>
      </c>
      <c r="AW170" s="32">
        <v>0</v>
      </c>
      <c r="AX170" s="32">
        <v>21276</v>
      </c>
      <c r="AY170" s="32">
        <v>21276</v>
      </c>
      <c r="AZ170" s="32">
        <v>5673.6</v>
      </c>
      <c r="BA170" s="32">
        <v>5673.6</v>
      </c>
      <c r="BB170" s="32">
        <v>0</v>
      </c>
      <c r="BC170" s="32">
        <v>0</v>
      </c>
      <c r="BD170" s="32">
        <v>20710.400000000001</v>
      </c>
      <c r="BE170" s="32">
        <v>20710.400000000001</v>
      </c>
      <c r="BF170" s="32">
        <v>0</v>
      </c>
      <c r="BG170" s="32">
        <v>123000</v>
      </c>
      <c r="BH170" s="32">
        <v>123000</v>
      </c>
      <c r="BI170" s="32">
        <v>0</v>
      </c>
      <c r="BJ170" s="32">
        <v>0</v>
      </c>
      <c r="BK170" s="32">
        <v>0</v>
      </c>
      <c r="BL170" s="32">
        <v>0</v>
      </c>
      <c r="BM170" s="32">
        <v>0</v>
      </c>
      <c r="BN170" s="32">
        <v>0</v>
      </c>
      <c r="BO170" s="32">
        <v>0</v>
      </c>
      <c r="BP170" s="32">
        <v>0</v>
      </c>
      <c r="BQ170" s="32">
        <v>143131.6</v>
      </c>
      <c r="BR170" s="32">
        <v>29381.599999999999</v>
      </c>
      <c r="BS170" s="32">
        <v>33881.599999999999</v>
      </c>
      <c r="BT170" s="32">
        <v>31986.799999999999</v>
      </c>
      <c r="BU170" s="32">
        <v>44131.6</v>
      </c>
      <c r="BV170" s="32">
        <v>29986.799999999999</v>
      </c>
      <c r="BW170" s="32">
        <v>0</v>
      </c>
      <c r="BX170" s="32">
        <v>0</v>
      </c>
      <c r="BY170" s="32">
        <v>0</v>
      </c>
      <c r="BZ170" s="32">
        <v>0</v>
      </c>
      <c r="CA170" s="32">
        <v>0</v>
      </c>
      <c r="CB170" s="33" t="s">
        <v>212</v>
      </c>
      <c r="CC170" s="33" t="s">
        <v>500</v>
      </c>
      <c r="CD170" s="33"/>
      <c r="CE170" s="33" t="s">
        <v>684</v>
      </c>
      <c r="CF170" s="33" t="s">
        <v>597</v>
      </c>
      <c r="CG170" s="33" t="s">
        <v>2670</v>
      </c>
      <c r="CH170" s="33" t="s">
        <v>526</v>
      </c>
      <c r="CI170" s="33"/>
      <c r="CJ170" s="33" t="s">
        <v>212</v>
      </c>
      <c r="CK170" s="33" t="s">
        <v>2671</v>
      </c>
      <c r="CL170" s="33" t="s">
        <v>212</v>
      </c>
      <c r="CM170" s="33"/>
      <c r="CN170" s="33" t="s">
        <v>257</v>
      </c>
      <c r="CO170" s="33" t="s">
        <v>269</v>
      </c>
      <c r="CP170" s="33" t="s">
        <v>2672</v>
      </c>
      <c r="CQ170" s="33" t="s">
        <v>760</v>
      </c>
      <c r="CR170" s="33" t="s">
        <v>761</v>
      </c>
      <c r="CS170" s="33" t="s">
        <v>2673</v>
      </c>
      <c r="CT170" s="33"/>
      <c r="CU170" s="33"/>
      <c r="CV170" s="33"/>
      <c r="CW170" s="33"/>
      <c r="CX170" s="33"/>
      <c r="CY170" s="33" t="s">
        <v>547</v>
      </c>
      <c r="CZ170" s="33" t="s">
        <v>1346</v>
      </c>
      <c r="DA170" s="33" t="s">
        <v>2674</v>
      </c>
      <c r="DB170" s="33" t="s">
        <v>531</v>
      </c>
      <c r="DC170" s="33" t="s">
        <v>2675</v>
      </c>
      <c r="DD170" s="33" t="s">
        <v>2676</v>
      </c>
      <c r="DE170" s="33" t="s">
        <v>2677</v>
      </c>
      <c r="DF170" s="34" t="s">
        <v>2678</v>
      </c>
      <c r="DG170" s="27" cm="1">
        <f t="array" ref="DG170">INDEX('elenco partner'!A:M,MATCH(1,(D170='elenco partner'!A:A)*('Partner data'!M170='elenco partner'!E:E),0),4)</f>
        <v>316</v>
      </c>
      <c r="DH170" s="83" t="str">
        <f t="shared" si="61"/>
        <v>COSTO REALE</v>
      </c>
      <c r="DI170" s="20">
        <f>COUNTIFS('MY-REPORT-MAIN'!C:C,'Partner data'!DG170,'MY-REPORT-MAIN'!I:I,"Certified")</f>
        <v>2</v>
      </c>
      <c r="DJ170" s="20">
        <f>COUNTIFS(List_Of_chek_list!M:M,"&lt;&gt;26",List_Of_chek_list!B:B,'Partner data'!DG170)</f>
        <v>2</v>
      </c>
      <c r="DK170" s="20">
        <f t="shared" si="62"/>
        <v>0</v>
      </c>
      <c r="DL170" s="19" t="str">
        <f>IF(DH170="Tasso Forfettario 20%",SUMIFS(List_Of_chek_list!#REF!,List_Of_chek_list!B:B,'Partner data'!DG170),"NON PERTINENTE")</f>
        <v>NON PERTINENTE</v>
      </c>
      <c r="DM170" s="19" t="str">
        <f t="shared" si="63"/>
        <v>NON PERTINENTE</v>
      </c>
      <c r="DN170" s="110">
        <f>_xlfn.MAXIFS('MY-REPORT-MAIN'!K:K,'MY-REPORT-MAIN'!C:C,DG170)</f>
        <v>45385.653943310186</v>
      </c>
      <c r="DO170" s="112">
        <f>IF(_xlfn.MAXIFS('MY-REPORT-MAIN'!M:M,'MY-REPORT-MAIN'!C:C,DG170)=0,"Nessun rendiconto  Convalidato",_xlfn.MAXIFS('MY-REPORT-MAIN'!M:M,'MY-REPORT-MAIN'!C:C,DG170))</f>
        <v>45463.326399490739</v>
      </c>
      <c r="DP170" s="113" cm="1">
        <f t="array" ref="DP170">IFERROR(INDEX('MY-REPORT-MAIN'!A:Z,MATCH(1,(DO170='MY-REPORT-MAIN'!M:M)*('Partner data'!DG170='MY-REPORT-MAIN'!C:C),0),1),"NON è stato convalidato ancora nessun rendiconto")</f>
        <v>283</v>
      </c>
      <c r="DQ170" s="111">
        <f>IFERROR(INDEX('MY-REPORT-MAIN'!A:Z,MATCH('Partner data'!DP170,'MY-REPORT-MAIN'!A:A,0),21),"Nessun Rendiconto ancora convalidato")</f>
        <v>22714.48</v>
      </c>
      <c r="DR170" s="110">
        <f>INDEX('Interreg VI-A Italy-Slovenia_pr'!A:E,MATCH('Partner data'!C170,'Interreg VI-A Italy-Slovenia_pr'!A:A,0),3)</f>
        <v>44927</v>
      </c>
      <c r="DS170" s="118">
        <f t="shared" si="48"/>
        <v>143131.6</v>
      </c>
      <c r="DT170" s="118">
        <f t="shared" si="49"/>
        <v>172513.2</v>
      </c>
      <c r="DU170" s="118">
        <f t="shared" si="50"/>
        <v>206394.80000000002</v>
      </c>
      <c r="DV170" s="118">
        <f t="shared" si="51"/>
        <v>238381.6</v>
      </c>
      <c r="DW170" s="118">
        <f t="shared" si="52"/>
        <v>282513.2</v>
      </c>
      <c r="DX170" s="118">
        <f t="shared" si="53"/>
        <v>312500</v>
      </c>
      <c r="DY170" s="118">
        <f t="shared" si="54"/>
        <v>312500</v>
      </c>
      <c r="DZ170" s="118">
        <f t="shared" si="55"/>
        <v>312500</v>
      </c>
      <c r="EA170" s="118">
        <f t="shared" si="56"/>
        <v>312500</v>
      </c>
      <c r="EB170" s="118">
        <f t="shared" si="57"/>
        <v>312500</v>
      </c>
    </row>
    <row r="171" spans="1:132" x14ac:dyDescent="0.25">
      <c r="A171" s="28">
        <v>5</v>
      </c>
      <c r="B171" s="29" t="s">
        <v>2679</v>
      </c>
      <c r="C171" s="30" t="s">
        <v>2680</v>
      </c>
      <c r="D171" s="30" t="s">
        <v>64</v>
      </c>
      <c r="E171" s="30" t="s">
        <v>2681</v>
      </c>
      <c r="F171" s="30" t="s">
        <v>593</v>
      </c>
      <c r="G171" s="30" t="s">
        <v>491</v>
      </c>
      <c r="H171" s="30" t="s">
        <v>766</v>
      </c>
      <c r="I171" s="30" t="s">
        <v>767</v>
      </c>
      <c r="J171" s="31" t="s">
        <v>494</v>
      </c>
      <c r="K171" s="31" t="s">
        <v>495</v>
      </c>
      <c r="L171" s="31" t="s">
        <v>496</v>
      </c>
      <c r="M171" s="31" t="s">
        <v>43</v>
      </c>
      <c r="N171" s="31" t="s">
        <v>2682</v>
      </c>
      <c r="O171" s="31" t="s">
        <v>2683</v>
      </c>
      <c r="P171" s="31" t="s">
        <v>254</v>
      </c>
      <c r="Q171" s="31" t="s">
        <v>499</v>
      </c>
      <c r="R171" s="31" t="s">
        <v>266</v>
      </c>
      <c r="S171" s="32">
        <v>989036.4</v>
      </c>
      <c r="T171" s="32">
        <v>80</v>
      </c>
      <c r="U171" s="32">
        <v>100</v>
      </c>
      <c r="V171" s="32">
        <v>0</v>
      </c>
      <c r="W171" s="32">
        <v>0</v>
      </c>
      <c r="X171" s="32">
        <v>0</v>
      </c>
      <c r="Y171" s="32">
        <v>0</v>
      </c>
      <c r="Z171" s="32">
        <v>0</v>
      </c>
      <c r="AA171" s="32">
        <v>0</v>
      </c>
      <c r="AB171" s="32">
        <v>0</v>
      </c>
      <c r="AC171" s="32">
        <v>0</v>
      </c>
      <c r="AD171" s="32">
        <v>0</v>
      </c>
      <c r="AE171" s="32">
        <v>0</v>
      </c>
      <c r="AF171" s="32">
        <v>0</v>
      </c>
      <c r="AG171" s="32">
        <v>0</v>
      </c>
      <c r="AH171" s="32">
        <v>0</v>
      </c>
      <c r="AI171" s="32">
        <v>0</v>
      </c>
      <c r="AJ171" s="32">
        <v>0</v>
      </c>
      <c r="AK171" s="32">
        <v>0</v>
      </c>
      <c r="AL171" s="32">
        <v>0</v>
      </c>
      <c r="AM171" s="32">
        <v>0</v>
      </c>
      <c r="AN171" s="32">
        <v>0</v>
      </c>
      <c r="AO171" s="32">
        <v>247259.1</v>
      </c>
      <c r="AP171" s="32">
        <v>0</v>
      </c>
      <c r="AQ171" s="32">
        <v>247259.1</v>
      </c>
      <c r="AR171" s="32">
        <v>1236295.5</v>
      </c>
      <c r="AS171" s="32">
        <v>100</v>
      </c>
      <c r="AT171" s="32">
        <v>799073</v>
      </c>
      <c r="AU171" s="32">
        <v>0</v>
      </c>
      <c r="AV171" s="32">
        <v>799073</v>
      </c>
      <c r="AW171" s="32">
        <v>0</v>
      </c>
      <c r="AX171" s="32">
        <v>119860.95</v>
      </c>
      <c r="AY171" s="32">
        <v>119860.95</v>
      </c>
      <c r="AZ171" s="32">
        <v>31962.92</v>
      </c>
      <c r="BA171" s="32">
        <v>31962.92</v>
      </c>
      <c r="BB171" s="32">
        <v>0</v>
      </c>
      <c r="BC171" s="32">
        <v>0</v>
      </c>
      <c r="BD171" s="32">
        <v>285398.63</v>
      </c>
      <c r="BE171" s="32">
        <v>285398.63</v>
      </c>
      <c r="BF171" s="32">
        <v>0</v>
      </c>
      <c r="BG171" s="32">
        <v>0</v>
      </c>
      <c r="BH171" s="32">
        <v>0</v>
      </c>
      <c r="BI171" s="32">
        <v>0</v>
      </c>
      <c r="BJ171" s="32">
        <v>0</v>
      </c>
      <c r="BK171" s="32">
        <v>0</v>
      </c>
      <c r="BL171" s="32">
        <v>0</v>
      </c>
      <c r="BM171" s="32">
        <v>0</v>
      </c>
      <c r="BN171" s="32">
        <v>0</v>
      </c>
      <c r="BO171" s="32">
        <v>0</v>
      </c>
      <c r="BP171" s="32">
        <v>0</v>
      </c>
      <c r="BQ171" s="32">
        <v>3000000</v>
      </c>
      <c r="BR171" s="32">
        <v>1500000</v>
      </c>
      <c r="BS171" s="32">
        <v>1455674.5</v>
      </c>
      <c r="BT171" s="32">
        <v>0</v>
      </c>
      <c r="BU171" s="32">
        <v>850000</v>
      </c>
      <c r="BV171" s="32">
        <v>0</v>
      </c>
      <c r="BW171" s="32">
        <v>200000</v>
      </c>
      <c r="BX171" s="32">
        <v>0</v>
      </c>
      <c r="BY171" s="32">
        <v>0</v>
      </c>
      <c r="BZ171" s="32">
        <v>0</v>
      </c>
      <c r="CA171" s="32">
        <v>0</v>
      </c>
      <c r="CB171" s="33" t="s">
        <v>2684</v>
      </c>
      <c r="CC171" s="33" t="s">
        <v>1964</v>
      </c>
      <c r="CD171" s="33"/>
      <c r="CE171" s="33" t="s">
        <v>684</v>
      </c>
      <c r="CF171" s="33" t="s">
        <v>636</v>
      </c>
      <c r="CG171" s="33" t="s">
        <v>665</v>
      </c>
      <c r="CH171" s="33" t="s">
        <v>526</v>
      </c>
      <c r="CI171" s="33" t="s">
        <v>1965</v>
      </c>
      <c r="CJ171" s="33" t="s">
        <v>1764</v>
      </c>
      <c r="CK171" s="33" t="s">
        <v>2685</v>
      </c>
      <c r="CL171" s="33" t="s">
        <v>212</v>
      </c>
      <c r="CM171" s="33"/>
      <c r="CN171" s="33" t="s">
        <v>254</v>
      </c>
      <c r="CO171" s="33" t="s">
        <v>266</v>
      </c>
      <c r="CP171" s="33" t="s">
        <v>1966</v>
      </c>
      <c r="CQ171" s="33" t="s">
        <v>1690</v>
      </c>
      <c r="CR171" s="33" t="s">
        <v>1691</v>
      </c>
      <c r="CS171" s="33" t="s">
        <v>2686</v>
      </c>
      <c r="CT171" s="33" t="s">
        <v>254</v>
      </c>
      <c r="CU171" s="33" t="s">
        <v>266</v>
      </c>
      <c r="CV171" s="33" t="s">
        <v>1967</v>
      </c>
      <c r="CW171" s="33" t="s">
        <v>1690</v>
      </c>
      <c r="CX171" s="33" t="s">
        <v>1691</v>
      </c>
      <c r="CY171" s="33" t="s">
        <v>531</v>
      </c>
      <c r="CZ171" s="33" t="s">
        <v>511</v>
      </c>
      <c r="DA171" s="33" t="s">
        <v>1968</v>
      </c>
      <c r="DB171" s="33" t="s">
        <v>531</v>
      </c>
      <c r="DC171" s="33" t="s">
        <v>1969</v>
      </c>
      <c r="DD171" s="33" t="s">
        <v>1970</v>
      </c>
      <c r="DE171" s="33" t="s">
        <v>1971</v>
      </c>
      <c r="DF171" s="34" t="s">
        <v>2687</v>
      </c>
      <c r="DG171" s="27" cm="1">
        <f t="array" ref="DG171">INDEX('elenco partner'!A:M,MATCH(1,(D171='elenco partner'!A:A)*('Partner data'!M171='elenco partner'!E:E),0),4)</f>
        <v>333</v>
      </c>
      <c r="DH171" s="83" t="str">
        <f t="shared" si="61"/>
        <v>COSTO REALE</v>
      </c>
      <c r="DI171" s="20">
        <f>COUNTIFS('MY-REPORT-MAIN'!C:C,'Partner data'!DG171,'MY-REPORT-MAIN'!I:I,"Certified")</f>
        <v>2</v>
      </c>
      <c r="DJ171" s="20">
        <f>COUNTIFS(List_Of_chek_list!M:M,"&lt;&gt;26",List_Of_chek_list!B:B,'Partner data'!DG171)</f>
        <v>2</v>
      </c>
      <c r="DK171" s="20">
        <f t="shared" si="62"/>
        <v>0</v>
      </c>
      <c r="DL171" s="19" t="str">
        <f>IF(DH171="Tasso Forfettario 20%",SUMIFS(List_Of_chek_list!#REF!,List_Of_chek_list!B:B,'Partner data'!DG171),"NON PERTINENTE")</f>
        <v>NON PERTINENTE</v>
      </c>
      <c r="DM171" s="19" t="str">
        <f t="shared" si="63"/>
        <v>NON PERTINENTE</v>
      </c>
      <c r="DN171" s="110">
        <f>_xlfn.MAXIFS('MY-REPORT-MAIN'!K:K,'MY-REPORT-MAIN'!C:C,DG171)</f>
        <v>45378.635708472226</v>
      </c>
      <c r="DO171" s="112">
        <f>IF(_xlfn.MAXIFS('MY-REPORT-MAIN'!M:M,'MY-REPORT-MAIN'!C:C,DG171)=0,"Nessun rendiconto  Convalidato",_xlfn.MAXIFS('MY-REPORT-MAIN'!M:M,'MY-REPORT-MAIN'!C:C,DG171))</f>
        <v>45434.3725346875</v>
      </c>
      <c r="DP171" s="113" cm="1">
        <f t="array" ref="DP171">IFERROR(INDEX('MY-REPORT-MAIN'!A:Z,MATCH(1,(DO171='MY-REPORT-MAIN'!M:M)*('Partner data'!DG171='MY-REPORT-MAIN'!C:C),0),1),"NON è stato convalidato ancora nessun rendiconto")</f>
        <v>263</v>
      </c>
      <c r="DQ171" s="111">
        <f>IFERROR(INDEX('MY-REPORT-MAIN'!A:Z,MATCH('Partner data'!DP171,'MY-REPORT-MAIN'!A:A,0),21),"Nessun Rendiconto ancora convalidato")</f>
        <v>71138.61</v>
      </c>
      <c r="DR171" s="110">
        <f>INDEX('Interreg VI-A Italy-Slovenia_pr'!A:E,MATCH('Partner data'!C171,'Interreg VI-A Italy-Slovenia_pr'!A:A,0),3)</f>
        <v>44805</v>
      </c>
      <c r="DS171" s="118">
        <f t="shared" si="48"/>
        <v>3000000</v>
      </c>
      <c r="DT171" s="118">
        <f t="shared" si="49"/>
        <v>4500000</v>
      </c>
      <c r="DU171" s="118">
        <f t="shared" si="50"/>
        <v>5955674.5</v>
      </c>
      <c r="DV171" s="118">
        <f t="shared" si="51"/>
        <v>5955674.5</v>
      </c>
      <c r="DW171" s="118">
        <f t="shared" si="52"/>
        <v>6805674.5</v>
      </c>
      <c r="DX171" s="118">
        <f t="shared" si="53"/>
        <v>6805674.5</v>
      </c>
      <c r="DY171" s="118">
        <f t="shared" si="54"/>
        <v>7005674.5</v>
      </c>
      <c r="DZ171" s="118">
        <f t="shared" si="55"/>
        <v>7005674.5</v>
      </c>
      <c r="EA171" s="118">
        <f t="shared" si="56"/>
        <v>7005674.5</v>
      </c>
      <c r="EB171" s="118">
        <f t="shared" si="57"/>
        <v>7005674.5</v>
      </c>
    </row>
    <row r="172" spans="1:132" ht="45" x14ac:dyDescent="0.25">
      <c r="A172" s="121">
        <v>6</v>
      </c>
      <c r="B172" s="122" t="s">
        <v>2688</v>
      </c>
      <c r="C172" s="123" t="s">
        <v>2703</v>
      </c>
      <c r="D172" s="123" t="s">
        <v>2704</v>
      </c>
      <c r="E172" s="123" t="s">
        <v>2705</v>
      </c>
      <c r="F172" s="123" t="s">
        <v>1118</v>
      </c>
      <c r="G172" s="123" t="s">
        <v>6118</v>
      </c>
      <c r="H172" s="123" t="s">
        <v>766</v>
      </c>
      <c r="I172" s="123" t="s">
        <v>767</v>
      </c>
      <c r="J172" s="124" t="s">
        <v>494</v>
      </c>
      <c r="K172" s="124" t="s">
        <v>495</v>
      </c>
      <c r="L172" s="124" t="s">
        <v>496</v>
      </c>
      <c r="M172" s="124" t="s">
        <v>2706</v>
      </c>
      <c r="N172" s="124" t="s">
        <v>2707</v>
      </c>
      <c r="O172" s="124" t="s">
        <v>2708</v>
      </c>
      <c r="P172" s="124" t="s">
        <v>257</v>
      </c>
      <c r="Q172" s="124" t="s">
        <v>556</v>
      </c>
      <c r="R172" s="124" t="s">
        <v>270</v>
      </c>
      <c r="S172" s="32">
        <v>318384.62</v>
      </c>
      <c r="T172" s="32">
        <v>80</v>
      </c>
      <c r="U172" s="32">
        <v>28.98</v>
      </c>
      <c r="V172" s="32">
        <v>0</v>
      </c>
      <c r="W172" s="32">
        <v>0</v>
      </c>
      <c r="X172" s="32">
        <v>0</v>
      </c>
      <c r="Y172" s="32">
        <v>0</v>
      </c>
      <c r="Z172" s="32">
        <v>0</v>
      </c>
      <c r="AA172" s="32">
        <v>0</v>
      </c>
      <c r="AB172" s="32">
        <v>0</v>
      </c>
      <c r="AC172" s="32">
        <v>0</v>
      </c>
      <c r="AD172" s="32">
        <v>0</v>
      </c>
      <c r="AE172" s="32">
        <v>0</v>
      </c>
      <c r="AF172" s="32">
        <v>0</v>
      </c>
      <c r="AG172" s="32">
        <v>0</v>
      </c>
      <c r="AH172" s="32">
        <v>0</v>
      </c>
      <c r="AI172" s="32">
        <v>0</v>
      </c>
      <c r="AJ172" s="32">
        <v>0</v>
      </c>
      <c r="AK172" s="32">
        <v>0</v>
      </c>
      <c r="AL172" s="32">
        <v>0</v>
      </c>
      <c r="AM172" s="32">
        <v>0</v>
      </c>
      <c r="AN172" s="32">
        <v>79596.160000000003</v>
      </c>
      <c r="AO172" s="32">
        <v>0</v>
      </c>
      <c r="AP172" s="32">
        <v>0</v>
      </c>
      <c r="AQ172" s="32">
        <v>79596.160000000003</v>
      </c>
      <c r="AR172" s="32">
        <v>397980.78</v>
      </c>
      <c r="AS172" s="32">
        <v>28.98</v>
      </c>
      <c r="AT172" s="32">
        <v>64294.15</v>
      </c>
      <c r="AU172" s="32">
        <v>64294.15</v>
      </c>
      <c r="AV172" s="32">
        <v>0</v>
      </c>
      <c r="AW172" s="32">
        <v>0</v>
      </c>
      <c r="AX172" s="32">
        <v>9644.1200000000008</v>
      </c>
      <c r="AY172" s="32">
        <v>9644.1200000000008</v>
      </c>
      <c r="AZ172" s="32">
        <v>2571.7600000000002</v>
      </c>
      <c r="BA172" s="32">
        <v>2571.7600000000002</v>
      </c>
      <c r="BB172" s="32">
        <v>0</v>
      </c>
      <c r="BC172" s="32">
        <v>0</v>
      </c>
      <c r="BD172" s="32">
        <v>141500</v>
      </c>
      <c r="BE172" s="32">
        <v>141500</v>
      </c>
      <c r="BF172" s="32">
        <v>0</v>
      </c>
      <c r="BG172" s="32">
        <v>14970.75</v>
      </c>
      <c r="BH172" s="32">
        <v>14970.75</v>
      </c>
      <c r="BI172" s="32">
        <v>0</v>
      </c>
      <c r="BJ172" s="32">
        <v>165000</v>
      </c>
      <c r="BK172" s="32">
        <v>165000</v>
      </c>
      <c r="BL172" s="32">
        <v>0</v>
      </c>
      <c r="BM172" s="32">
        <v>0</v>
      </c>
      <c r="BN172" s="32">
        <v>0</v>
      </c>
      <c r="BO172" s="32">
        <v>0</v>
      </c>
      <c r="BP172" s="32">
        <v>0</v>
      </c>
      <c r="BQ172" s="32">
        <v>13494.2</v>
      </c>
      <c r="BR172" s="32">
        <v>22779.200000000001</v>
      </c>
      <c r="BS172" s="32">
        <v>33921.199999999997</v>
      </c>
      <c r="BT172" s="32">
        <v>25255.200000000001</v>
      </c>
      <c r="BU172" s="32">
        <v>302530.98</v>
      </c>
      <c r="BV172" s="32">
        <v>0</v>
      </c>
      <c r="BW172" s="32">
        <v>0</v>
      </c>
      <c r="BX172" s="32">
        <v>0</v>
      </c>
      <c r="BY172" s="32">
        <v>0</v>
      </c>
      <c r="BZ172" s="32">
        <v>0</v>
      </c>
      <c r="CA172" s="32">
        <v>0</v>
      </c>
      <c r="CB172" s="125" t="s">
        <v>212</v>
      </c>
      <c r="CC172" s="125" t="s">
        <v>522</v>
      </c>
      <c r="CD172" s="125"/>
      <c r="CE172" s="125" t="s">
        <v>523</v>
      </c>
      <c r="CF172" s="125" t="s">
        <v>636</v>
      </c>
      <c r="CG172" s="125" t="s">
        <v>2709</v>
      </c>
      <c r="CH172" s="125" t="s">
        <v>526</v>
      </c>
      <c r="CI172" s="125"/>
      <c r="CJ172" s="125" t="s">
        <v>212</v>
      </c>
      <c r="CK172" s="125"/>
      <c r="CL172" s="125" t="s">
        <v>212</v>
      </c>
      <c r="CM172" s="125"/>
      <c r="CN172" s="125" t="s">
        <v>257</v>
      </c>
      <c r="CO172" s="125" t="s">
        <v>270</v>
      </c>
      <c r="CP172" s="125" t="s">
        <v>2710</v>
      </c>
      <c r="CQ172" s="125" t="s">
        <v>717</v>
      </c>
      <c r="CR172" s="125" t="s">
        <v>1521</v>
      </c>
      <c r="CS172" s="125" t="s">
        <v>2711</v>
      </c>
      <c r="CT172" s="125"/>
      <c r="CU172" s="125"/>
      <c r="CV172" s="125"/>
      <c r="CW172" s="125"/>
      <c r="CX172" s="125"/>
      <c r="CY172" s="125" t="s">
        <v>892</v>
      </c>
      <c r="CZ172" s="125" t="s">
        <v>1087</v>
      </c>
      <c r="DA172" s="125" t="s">
        <v>2712</v>
      </c>
      <c r="DB172" s="125" t="s">
        <v>892</v>
      </c>
      <c r="DC172" s="125" t="s">
        <v>6119</v>
      </c>
      <c r="DD172" s="125" t="s">
        <v>6120</v>
      </c>
      <c r="DE172" s="125" t="s">
        <v>6121</v>
      </c>
      <c r="DF172" s="126" t="s">
        <v>6122</v>
      </c>
      <c r="DG172" s="27" cm="1">
        <f t="array" ref="DG172">INDEX('elenco partner'!A:M,MATCH(1,(D172='elenco partner'!A:A)*('Partner data'!M172='elenco partner'!E:E),0),4)</f>
        <v>475</v>
      </c>
      <c r="DH172" s="83" t="str">
        <f t="shared" ref="DH172:DH177" si="64">IF(AU172&lt;&gt;0,"Tasso Forfettario 20%",IF(AV172&lt;&gt;0,"COSTO REALE",IF(AW172&lt;&gt;0,"Costo Unitario Standard","BL1 non presente")))</f>
        <v>Tasso Forfettario 20%</v>
      </c>
      <c r="DI172" s="20">
        <f>COUNTIFS('MY-REPORT-MAIN'!C:C,'Partner data'!DG172,'MY-REPORT-MAIN'!I:I,"Certified")</f>
        <v>0</v>
      </c>
      <c r="DJ172" s="20">
        <f>COUNTIFS(List_Of_chek_list!M:M,"&lt;&gt;26",List_Of_chek_list!B:B,'Partner data'!DG172)</f>
        <v>0</v>
      </c>
      <c r="DK172" s="20">
        <f t="shared" ref="DK172:DK177" si="65">DI172-DJ172</f>
        <v>0</v>
      </c>
      <c r="DL172" s="19" t="e">
        <f>IF(DH172="Tasso Forfettario 20%",SUMIFS(List_Of_chek_list!#REF!,List_Of_chek_list!B:B,'Partner data'!DG172),"NON PERTINENTE")</f>
        <v>#REF!</v>
      </c>
      <c r="DM172" s="19" t="e">
        <f t="shared" ref="DM172:DM177" si="66">IF(DL172="NON PERTINENTE","NON PERTINENTE",IF(DJ172=DL172,"Rischio basso","Rischio alto"))</f>
        <v>#REF!</v>
      </c>
      <c r="DN172" s="110">
        <f>_xlfn.MAXIFS('MY-REPORT-MAIN'!K:K,'MY-REPORT-MAIN'!C:C,DG172)</f>
        <v>0</v>
      </c>
      <c r="DO172" s="112" t="str">
        <f>IF(_xlfn.MAXIFS('MY-REPORT-MAIN'!M:M,'MY-REPORT-MAIN'!C:C,DG172)=0,"Nessun rendiconto  Convalidato",_xlfn.MAXIFS('MY-REPORT-MAIN'!M:M,'MY-REPORT-MAIN'!C:C,DG172))</f>
        <v>Nessun rendiconto  Convalidato</v>
      </c>
      <c r="DP172" s="113" t="str" cm="1">
        <f t="array" ref="DP172">IFERROR(INDEX('MY-REPORT-MAIN'!A:Z,MATCH(1,(DO172='MY-REPORT-MAIN'!M:M)*('Partner data'!DG172='MY-REPORT-MAIN'!C:C),0),1),"NON è stato convalidato ancora nessun rendiconto")</f>
        <v>NON è stato convalidato ancora nessun rendiconto</v>
      </c>
      <c r="DQ172" s="111" t="str">
        <f>IFERROR(INDEX('MY-REPORT-MAIN'!A:Z,MATCH('Partner data'!DP172,'MY-REPORT-MAIN'!A:A,0),21),"Nessun Rendiconto ancora convalidato")</f>
        <v>Nessun Rendiconto ancora convalidato</v>
      </c>
      <c r="DR172" s="110" t="e">
        <f>INDEX('Interreg VI-A Italy-Slovenia_pr'!A:E,MATCH('Partner data'!C172,'Interreg VI-A Italy-Slovenia_pr'!A:A,0),3)</f>
        <v>#N/A</v>
      </c>
      <c r="DS172" s="118">
        <f t="shared" si="48"/>
        <v>13494.2</v>
      </c>
      <c r="DT172" s="118">
        <f t="shared" si="49"/>
        <v>36273.4</v>
      </c>
      <c r="DU172" s="118">
        <f t="shared" si="50"/>
        <v>70194.600000000006</v>
      </c>
      <c r="DV172" s="118">
        <f t="shared" si="51"/>
        <v>95449.8</v>
      </c>
      <c r="DW172" s="118">
        <f t="shared" si="52"/>
        <v>397980.77999999997</v>
      </c>
      <c r="DX172" s="118">
        <f t="shared" si="53"/>
        <v>397980.77999999997</v>
      </c>
      <c r="DY172" s="118">
        <f t="shared" si="54"/>
        <v>397980.77999999997</v>
      </c>
      <c r="DZ172" s="118">
        <f t="shared" si="55"/>
        <v>397980.77999999997</v>
      </c>
      <c r="EA172" s="118">
        <f t="shared" si="56"/>
        <v>397980.77999999997</v>
      </c>
      <c r="EB172" s="118">
        <f t="shared" si="57"/>
        <v>397980.77999999997</v>
      </c>
    </row>
    <row r="173" spans="1:132" ht="45" x14ac:dyDescent="0.25">
      <c r="A173" s="121">
        <v>6</v>
      </c>
      <c r="B173" s="122" t="s">
        <v>2688</v>
      </c>
      <c r="C173" s="123" t="s">
        <v>2703</v>
      </c>
      <c r="D173" s="123" t="s">
        <v>2704</v>
      </c>
      <c r="E173" s="123" t="s">
        <v>2705</v>
      </c>
      <c r="F173" s="123" t="s">
        <v>1118</v>
      </c>
      <c r="G173" s="123" t="s">
        <v>6118</v>
      </c>
      <c r="H173" s="123" t="s">
        <v>766</v>
      </c>
      <c r="I173" s="123" t="s">
        <v>767</v>
      </c>
      <c r="J173" s="124" t="s">
        <v>518</v>
      </c>
      <c r="K173" s="124" t="s">
        <v>495</v>
      </c>
      <c r="L173" s="124" t="s">
        <v>519</v>
      </c>
      <c r="M173" s="124" t="s">
        <v>334</v>
      </c>
      <c r="N173" s="124" t="s">
        <v>603</v>
      </c>
      <c r="O173" s="124" t="s">
        <v>2713</v>
      </c>
      <c r="P173" s="124" t="s">
        <v>254</v>
      </c>
      <c r="Q173" s="124" t="s">
        <v>499</v>
      </c>
      <c r="R173" s="124" t="s">
        <v>255</v>
      </c>
      <c r="S173" s="32">
        <v>262529.59999999998</v>
      </c>
      <c r="T173" s="32">
        <v>80</v>
      </c>
      <c r="U173" s="32">
        <v>23.9</v>
      </c>
      <c r="V173" s="32">
        <v>0</v>
      </c>
      <c r="W173" s="32">
        <v>0</v>
      </c>
      <c r="X173" s="32">
        <v>0</v>
      </c>
      <c r="Y173" s="32">
        <v>0</v>
      </c>
      <c r="Z173" s="32">
        <v>0</v>
      </c>
      <c r="AA173" s="32">
        <v>0</v>
      </c>
      <c r="AB173" s="32">
        <v>0</v>
      </c>
      <c r="AC173" s="32">
        <v>0</v>
      </c>
      <c r="AD173" s="32">
        <v>0</v>
      </c>
      <c r="AE173" s="32">
        <v>0</v>
      </c>
      <c r="AF173" s="32">
        <v>0</v>
      </c>
      <c r="AG173" s="32">
        <v>0</v>
      </c>
      <c r="AH173" s="32">
        <v>0</v>
      </c>
      <c r="AI173" s="32">
        <v>0</v>
      </c>
      <c r="AJ173" s="32">
        <v>0</v>
      </c>
      <c r="AK173" s="32">
        <v>0</v>
      </c>
      <c r="AL173" s="32">
        <v>0</v>
      </c>
      <c r="AM173" s="32">
        <v>0</v>
      </c>
      <c r="AN173" s="32">
        <v>0</v>
      </c>
      <c r="AO173" s="32">
        <v>65632.399999999994</v>
      </c>
      <c r="AP173" s="32">
        <v>0</v>
      </c>
      <c r="AQ173" s="32">
        <v>65632.399999999994</v>
      </c>
      <c r="AR173" s="32">
        <v>328162</v>
      </c>
      <c r="AS173" s="32">
        <v>23.9</v>
      </c>
      <c r="AT173" s="32">
        <v>79800</v>
      </c>
      <c r="AU173" s="32">
        <v>0</v>
      </c>
      <c r="AV173" s="32">
        <v>0</v>
      </c>
      <c r="AW173" s="32">
        <v>79800</v>
      </c>
      <c r="AX173" s="32">
        <v>11970</v>
      </c>
      <c r="AY173" s="32">
        <v>11970</v>
      </c>
      <c r="AZ173" s="32">
        <v>3192</v>
      </c>
      <c r="BA173" s="32">
        <v>3192</v>
      </c>
      <c r="BB173" s="32">
        <v>0</v>
      </c>
      <c r="BC173" s="32">
        <v>0</v>
      </c>
      <c r="BD173" s="32">
        <v>233200</v>
      </c>
      <c r="BE173" s="32">
        <v>233200</v>
      </c>
      <c r="BF173" s="32">
        <v>0</v>
      </c>
      <c r="BG173" s="32">
        <v>0</v>
      </c>
      <c r="BH173" s="32">
        <v>0</v>
      </c>
      <c r="BI173" s="32">
        <v>0</v>
      </c>
      <c r="BJ173" s="32">
        <v>0</v>
      </c>
      <c r="BK173" s="32">
        <v>0</v>
      </c>
      <c r="BL173" s="32">
        <v>0</v>
      </c>
      <c r="BM173" s="32">
        <v>0</v>
      </c>
      <c r="BN173" s="32">
        <v>0</v>
      </c>
      <c r="BO173" s="32">
        <v>0</v>
      </c>
      <c r="BP173" s="32">
        <v>0</v>
      </c>
      <c r="BQ173" s="32">
        <v>41303</v>
      </c>
      <c r="BR173" s="32">
        <v>49039</v>
      </c>
      <c r="BS173" s="32">
        <v>38800</v>
      </c>
      <c r="BT173" s="32">
        <v>47704.7</v>
      </c>
      <c r="BU173" s="32">
        <v>151315.29999999999</v>
      </c>
      <c r="BV173" s="32">
        <v>0</v>
      </c>
      <c r="BW173" s="32">
        <v>0</v>
      </c>
      <c r="BX173" s="32">
        <v>0</v>
      </c>
      <c r="BY173" s="32">
        <v>0</v>
      </c>
      <c r="BZ173" s="32">
        <v>0</v>
      </c>
      <c r="CA173" s="32">
        <v>0</v>
      </c>
      <c r="CB173" s="125" t="s">
        <v>605</v>
      </c>
      <c r="CC173" s="125" t="s">
        <v>606</v>
      </c>
      <c r="CD173" s="125"/>
      <c r="CE173" s="125" t="s">
        <v>523</v>
      </c>
      <c r="CF173" s="125" t="s">
        <v>636</v>
      </c>
      <c r="CG173" s="125" t="s">
        <v>2377</v>
      </c>
      <c r="CH173" s="125" t="s">
        <v>526</v>
      </c>
      <c r="CI173" s="125"/>
      <c r="CJ173" s="125" t="s">
        <v>212</v>
      </c>
      <c r="CK173" s="125" t="s">
        <v>609</v>
      </c>
      <c r="CL173" s="125" t="s">
        <v>212</v>
      </c>
      <c r="CM173" s="125"/>
      <c r="CN173" s="125" t="s">
        <v>254</v>
      </c>
      <c r="CO173" s="125" t="s">
        <v>255</v>
      </c>
      <c r="CP173" s="125" t="s">
        <v>2714</v>
      </c>
      <c r="CQ173" s="125" t="s">
        <v>1331</v>
      </c>
      <c r="CR173" s="125" t="s">
        <v>529</v>
      </c>
      <c r="CS173" s="125" t="s">
        <v>612</v>
      </c>
      <c r="CT173" s="125" t="s">
        <v>254</v>
      </c>
      <c r="CU173" s="125" t="s">
        <v>255</v>
      </c>
      <c r="CV173" s="125" t="s">
        <v>1804</v>
      </c>
      <c r="CW173" s="125" t="s">
        <v>1331</v>
      </c>
      <c r="CX173" s="125" t="s">
        <v>529</v>
      </c>
      <c r="CY173" s="125" t="s">
        <v>513</v>
      </c>
      <c r="CZ173" s="125" t="s">
        <v>613</v>
      </c>
      <c r="DA173" s="125" t="s">
        <v>614</v>
      </c>
      <c r="DB173" s="125" t="s">
        <v>513</v>
      </c>
      <c r="DC173" s="125" t="s">
        <v>1805</v>
      </c>
      <c r="DD173" s="125" t="s">
        <v>615</v>
      </c>
      <c r="DE173" s="125" t="s">
        <v>616</v>
      </c>
      <c r="DF173" s="126" t="s">
        <v>2715</v>
      </c>
      <c r="DG173" s="27" cm="1">
        <f t="array" ref="DG173">INDEX('elenco partner'!A:M,MATCH(1,(D173='elenco partner'!A:A)*('Partner data'!M173='elenco partner'!E:E),0),4)</f>
        <v>479</v>
      </c>
      <c r="DH173" s="83" t="str">
        <f t="shared" si="64"/>
        <v>Costo Unitario Standard</v>
      </c>
      <c r="DI173" s="20">
        <f>COUNTIFS('MY-REPORT-MAIN'!C:C,'Partner data'!DG173,'MY-REPORT-MAIN'!I:I,"Certified")</f>
        <v>0</v>
      </c>
      <c r="DJ173" s="20">
        <f>COUNTIFS(List_Of_chek_list!M:M,"&lt;&gt;26",List_Of_chek_list!B:B,'Partner data'!DG173)</f>
        <v>0</v>
      </c>
      <c r="DK173" s="20">
        <f t="shared" si="65"/>
        <v>0</v>
      </c>
      <c r="DL173" s="19" t="str">
        <f>IF(DH173="Tasso Forfettario 20%",SUMIFS(List_Of_chek_list!#REF!,List_Of_chek_list!B:B,'Partner data'!DG173),"NON PERTINENTE")</f>
        <v>NON PERTINENTE</v>
      </c>
      <c r="DM173" s="19" t="str">
        <f t="shared" si="66"/>
        <v>NON PERTINENTE</v>
      </c>
      <c r="DN173" s="110">
        <f>_xlfn.MAXIFS('MY-REPORT-MAIN'!K:K,'MY-REPORT-MAIN'!C:C,DG173)</f>
        <v>0</v>
      </c>
      <c r="DO173" s="112" t="str">
        <f>IF(_xlfn.MAXIFS('MY-REPORT-MAIN'!M:M,'MY-REPORT-MAIN'!C:C,DG173)=0,"Nessun rendiconto  Convalidato",_xlfn.MAXIFS('MY-REPORT-MAIN'!M:M,'MY-REPORT-MAIN'!C:C,DG173))</f>
        <v>Nessun rendiconto  Convalidato</v>
      </c>
      <c r="DP173" s="113" t="str" cm="1">
        <f t="array" ref="DP173">IFERROR(INDEX('MY-REPORT-MAIN'!A:Z,MATCH(1,(DO173='MY-REPORT-MAIN'!M:M)*('Partner data'!DG173='MY-REPORT-MAIN'!C:C),0),1),"NON è stato convalidato ancora nessun rendiconto")</f>
        <v>NON è stato convalidato ancora nessun rendiconto</v>
      </c>
      <c r="DQ173" s="111" t="str">
        <f>IFERROR(INDEX('MY-REPORT-MAIN'!A:Z,MATCH('Partner data'!DP173,'MY-REPORT-MAIN'!A:A,0),21),"Nessun Rendiconto ancora convalidato")</f>
        <v>Nessun Rendiconto ancora convalidato</v>
      </c>
      <c r="DR173" s="110" t="e">
        <f>INDEX('Interreg VI-A Italy-Slovenia_pr'!A:E,MATCH('Partner data'!C173,'Interreg VI-A Italy-Slovenia_pr'!A:A,0),3)</f>
        <v>#N/A</v>
      </c>
      <c r="DS173" s="118">
        <f t="shared" si="48"/>
        <v>41303</v>
      </c>
      <c r="DT173" s="118">
        <f t="shared" si="49"/>
        <v>90342</v>
      </c>
      <c r="DU173" s="118">
        <f t="shared" si="50"/>
        <v>129142</v>
      </c>
      <c r="DV173" s="118">
        <f t="shared" si="51"/>
        <v>176846.7</v>
      </c>
      <c r="DW173" s="118">
        <f t="shared" si="52"/>
        <v>328162</v>
      </c>
      <c r="DX173" s="118">
        <f t="shared" si="53"/>
        <v>328162</v>
      </c>
      <c r="DY173" s="118">
        <f t="shared" si="54"/>
        <v>328162</v>
      </c>
      <c r="DZ173" s="118">
        <f t="shared" si="55"/>
        <v>328162</v>
      </c>
      <c r="EA173" s="118">
        <f t="shared" si="56"/>
        <v>328162</v>
      </c>
      <c r="EB173" s="118">
        <f t="shared" si="57"/>
        <v>328162</v>
      </c>
    </row>
    <row r="174" spans="1:132" ht="45" x14ac:dyDescent="0.25">
      <c r="A174" s="121">
        <v>6</v>
      </c>
      <c r="B174" s="122" t="s">
        <v>2688</v>
      </c>
      <c r="C174" s="123" t="s">
        <v>2703</v>
      </c>
      <c r="D174" s="123" t="s">
        <v>2704</v>
      </c>
      <c r="E174" s="123" t="s">
        <v>2705</v>
      </c>
      <c r="F174" s="123" t="s">
        <v>1118</v>
      </c>
      <c r="G174" s="123" t="s">
        <v>6118</v>
      </c>
      <c r="H174" s="123" t="s">
        <v>766</v>
      </c>
      <c r="I174" s="123" t="s">
        <v>767</v>
      </c>
      <c r="J174" s="124" t="s">
        <v>538</v>
      </c>
      <c r="K174" s="124" t="s">
        <v>495</v>
      </c>
      <c r="L174" s="124" t="s">
        <v>519</v>
      </c>
      <c r="M174" s="124" t="s">
        <v>2716</v>
      </c>
      <c r="N174" s="124" t="s">
        <v>2717</v>
      </c>
      <c r="O174" s="124" t="s">
        <v>2718</v>
      </c>
      <c r="P174" s="124" t="s">
        <v>257</v>
      </c>
      <c r="Q174" s="124" t="s">
        <v>556</v>
      </c>
      <c r="R174" s="124" t="s">
        <v>269</v>
      </c>
      <c r="S174" s="32">
        <v>128788.8</v>
      </c>
      <c r="T174" s="32">
        <v>80</v>
      </c>
      <c r="U174" s="32">
        <v>11.72</v>
      </c>
      <c r="V174" s="32">
        <v>0</v>
      </c>
      <c r="W174" s="32">
        <v>0</v>
      </c>
      <c r="X174" s="32">
        <v>0</v>
      </c>
      <c r="Y174" s="32">
        <v>0</v>
      </c>
      <c r="Z174" s="32">
        <v>0</v>
      </c>
      <c r="AA174" s="32">
        <v>0</v>
      </c>
      <c r="AB174" s="32">
        <v>0</v>
      </c>
      <c r="AC174" s="32">
        <v>0</v>
      </c>
      <c r="AD174" s="32">
        <v>0</v>
      </c>
      <c r="AE174" s="32">
        <v>0</v>
      </c>
      <c r="AF174" s="32">
        <v>0</v>
      </c>
      <c r="AG174" s="32">
        <v>0</v>
      </c>
      <c r="AH174" s="32">
        <v>0</v>
      </c>
      <c r="AI174" s="32">
        <v>0</v>
      </c>
      <c r="AJ174" s="32">
        <v>0</v>
      </c>
      <c r="AK174" s="32">
        <v>0</v>
      </c>
      <c r="AL174" s="32">
        <v>0</v>
      </c>
      <c r="AM174" s="32">
        <v>0</v>
      </c>
      <c r="AN174" s="32">
        <v>32197.200000000001</v>
      </c>
      <c r="AO174" s="32">
        <v>0</v>
      </c>
      <c r="AP174" s="32">
        <v>0</v>
      </c>
      <c r="AQ174" s="32">
        <v>32197.200000000001</v>
      </c>
      <c r="AR174" s="32">
        <v>160986</v>
      </c>
      <c r="AS174" s="32">
        <v>11.72</v>
      </c>
      <c r="AT174" s="32">
        <v>114990</v>
      </c>
      <c r="AU174" s="32">
        <v>0</v>
      </c>
      <c r="AV174" s="32">
        <v>114990</v>
      </c>
      <c r="AW174" s="32">
        <v>0</v>
      </c>
      <c r="AX174" s="32">
        <v>0</v>
      </c>
      <c r="AY174" s="32">
        <v>0</v>
      </c>
      <c r="AZ174" s="32">
        <v>0</v>
      </c>
      <c r="BA174" s="32">
        <v>0</v>
      </c>
      <c r="BB174" s="32">
        <v>0</v>
      </c>
      <c r="BC174" s="32">
        <v>0</v>
      </c>
      <c r="BD174" s="32">
        <v>0</v>
      </c>
      <c r="BE174" s="32">
        <v>0</v>
      </c>
      <c r="BF174" s="32">
        <v>0</v>
      </c>
      <c r="BG174" s="32">
        <v>0</v>
      </c>
      <c r="BH174" s="32">
        <v>0</v>
      </c>
      <c r="BI174" s="32">
        <v>0</v>
      </c>
      <c r="BJ174" s="32">
        <v>0</v>
      </c>
      <c r="BK174" s="32">
        <v>0</v>
      </c>
      <c r="BL174" s="32">
        <v>0</v>
      </c>
      <c r="BM174" s="32">
        <v>45996</v>
      </c>
      <c r="BN174" s="32">
        <v>0</v>
      </c>
      <c r="BO174" s="32">
        <v>0</v>
      </c>
      <c r="BP174" s="32">
        <v>0</v>
      </c>
      <c r="BQ174" s="32">
        <v>32197.200000000001</v>
      </c>
      <c r="BR174" s="32">
        <v>32197.200000000001</v>
      </c>
      <c r="BS174" s="32">
        <v>32197.200000000001</v>
      </c>
      <c r="BT174" s="32">
        <v>32197.200000000001</v>
      </c>
      <c r="BU174" s="32">
        <v>32197.200000000001</v>
      </c>
      <c r="BV174" s="32">
        <v>0</v>
      </c>
      <c r="BW174" s="32">
        <v>0</v>
      </c>
      <c r="BX174" s="32">
        <v>0</v>
      </c>
      <c r="BY174" s="32">
        <v>0</v>
      </c>
      <c r="BZ174" s="32">
        <v>0</v>
      </c>
      <c r="CA174" s="32">
        <v>0</v>
      </c>
      <c r="CB174" s="125" t="s">
        <v>212</v>
      </c>
      <c r="CC174" s="125" t="s">
        <v>500</v>
      </c>
      <c r="CD174" s="125"/>
      <c r="CE174" s="125" t="s">
        <v>523</v>
      </c>
      <c r="CF174" s="125" t="s">
        <v>2719</v>
      </c>
      <c r="CG174" s="125" t="s">
        <v>665</v>
      </c>
      <c r="CH174" s="125" t="s">
        <v>526</v>
      </c>
      <c r="CI174" s="125" t="s">
        <v>2720</v>
      </c>
      <c r="CJ174" s="125" t="s">
        <v>683</v>
      </c>
      <c r="CK174" s="125" t="s">
        <v>2721</v>
      </c>
      <c r="CL174" s="125" t="s">
        <v>212</v>
      </c>
      <c r="CM174" s="125"/>
      <c r="CN174" s="125" t="s">
        <v>257</v>
      </c>
      <c r="CO174" s="125" t="s">
        <v>269</v>
      </c>
      <c r="CP174" s="125" t="s">
        <v>2722</v>
      </c>
      <c r="CQ174" s="125" t="s">
        <v>2138</v>
      </c>
      <c r="CR174" s="125" t="s">
        <v>2139</v>
      </c>
      <c r="CS174" s="125" t="s">
        <v>2723</v>
      </c>
      <c r="CT174" s="125"/>
      <c r="CU174" s="125"/>
      <c r="CV174" s="125"/>
      <c r="CW174" s="125"/>
      <c r="CX174" s="125"/>
      <c r="CY174" s="125" t="s">
        <v>892</v>
      </c>
      <c r="CZ174" s="125" t="s">
        <v>1211</v>
      </c>
      <c r="DA174" s="125" t="s">
        <v>2724</v>
      </c>
      <c r="DB174" s="125" t="s">
        <v>892</v>
      </c>
      <c r="DC174" s="125" t="s">
        <v>1211</v>
      </c>
      <c r="DD174" s="125" t="s">
        <v>2724</v>
      </c>
      <c r="DE174" s="125" t="s">
        <v>2725</v>
      </c>
      <c r="DF174" s="126" t="s">
        <v>2726</v>
      </c>
      <c r="DG174" s="27" cm="1">
        <f t="array" ref="DG174">INDEX('elenco partner'!A:M,MATCH(1,(D174='elenco partner'!A:A)*('Partner data'!M174='elenco partner'!E:E),0),4)</f>
        <v>480</v>
      </c>
      <c r="DH174" s="83" t="str">
        <f t="shared" si="64"/>
        <v>COSTO REALE</v>
      </c>
      <c r="DI174" s="20">
        <f>COUNTIFS('MY-REPORT-MAIN'!C:C,'Partner data'!DG174,'MY-REPORT-MAIN'!I:I,"Certified")</f>
        <v>0</v>
      </c>
      <c r="DJ174" s="20">
        <f>COUNTIFS(List_Of_chek_list!M:M,"&lt;&gt;26",List_Of_chek_list!B:B,'Partner data'!DG174)</f>
        <v>0</v>
      </c>
      <c r="DK174" s="20">
        <f t="shared" si="65"/>
        <v>0</v>
      </c>
      <c r="DL174" s="19" t="str">
        <f>IF(DH174="Tasso Forfettario 20%",SUMIFS(List_Of_chek_list!#REF!,List_Of_chek_list!B:B,'Partner data'!DG174),"NON PERTINENTE")</f>
        <v>NON PERTINENTE</v>
      </c>
      <c r="DM174" s="19" t="str">
        <f t="shared" si="66"/>
        <v>NON PERTINENTE</v>
      </c>
      <c r="DN174" s="110">
        <f>_xlfn.MAXIFS('MY-REPORT-MAIN'!K:K,'MY-REPORT-MAIN'!C:C,DG174)</f>
        <v>0</v>
      </c>
      <c r="DO174" s="112" t="str">
        <f>IF(_xlfn.MAXIFS('MY-REPORT-MAIN'!M:M,'MY-REPORT-MAIN'!C:C,DG174)=0,"Nessun rendiconto  Convalidato",_xlfn.MAXIFS('MY-REPORT-MAIN'!M:M,'MY-REPORT-MAIN'!C:C,DG174))</f>
        <v>Nessun rendiconto  Convalidato</v>
      </c>
      <c r="DP174" s="113" t="str" cm="1">
        <f t="array" ref="DP174">IFERROR(INDEX('MY-REPORT-MAIN'!A:Z,MATCH(1,(DO174='MY-REPORT-MAIN'!M:M)*('Partner data'!DG174='MY-REPORT-MAIN'!C:C),0),1),"NON è stato convalidato ancora nessun rendiconto")</f>
        <v>NON è stato convalidato ancora nessun rendiconto</v>
      </c>
      <c r="DQ174" s="111" t="str">
        <f>IFERROR(INDEX('MY-REPORT-MAIN'!A:Z,MATCH('Partner data'!DP174,'MY-REPORT-MAIN'!A:A,0),21),"Nessun Rendiconto ancora convalidato")</f>
        <v>Nessun Rendiconto ancora convalidato</v>
      </c>
      <c r="DR174" s="110" t="e">
        <f>INDEX('Interreg VI-A Italy-Slovenia_pr'!A:E,MATCH('Partner data'!C174,'Interreg VI-A Italy-Slovenia_pr'!A:A,0),3)</f>
        <v>#N/A</v>
      </c>
      <c r="DS174" s="118">
        <f t="shared" si="48"/>
        <v>32197.200000000001</v>
      </c>
      <c r="DT174" s="118">
        <f t="shared" si="49"/>
        <v>64394.400000000001</v>
      </c>
      <c r="DU174" s="118">
        <f t="shared" si="50"/>
        <v>96591.6</v>
      </c>
      <c r="DV174" s="118">
        <f t="shared" si="51"/>
        <v>128788.8</v>
      </c>
      <c r="DW174" s="118">
        <f t="shared" si="52"/>
        <v>160986</v>
      </c>
      <c r="DX174" s="118">
        <f t="shared" si="53"/>
        <v>160986</v>
      </c>
      <c r="DY174" s="118">
        <f t="shared" si="54"/>
        <v>160986</v>
      </c>
      <c r="DZ174" s="118">
        <f t="shared" si="55"/>
        <v>160986</v>
      </c>
      <c r="EA174" s="118">
        <f t="shared" si="56"/>
        <v>160986</v>
      </c>
      <c r="EB174" s="118">
        <f t="shared" si="57"/>
        <v>160986</v>
      </c>
    </row>
    <row r="175" spans="1:132" ht="45" x14ac:dyDescent="0.25">
      <c r="A175" s="121">
        <v>6</v>
      </c>
      <c r="B175" s="122" t="s">
        <v>2688</v>
      </c>
      <c r="C175" s="123" t="s">
        <v>2703</v>
      </c>
      <c r="D175" s="123" t="s">
        <v>2704</v>
      </c>
      <c r="E175" s="123" t="s">
        <v>2705</v>
      </c>
      <c r="F175" s="123" t="s">
        <v>1118</v>
      </c>
      <c r="G175" s="123" t="s">
        <v>6118</v>
      </c>
      <c r="H175" s="123" t="s">
        <v>766</v>
      </c>
      <c r="I175" s="123" t="s">
        <v>767</v>
      </c>
      <c r="J175" s="124" t="s">
        <v>554</v>
      </c>
      <c r="K175" s="124" t="s">
        <v>495</v>
      </c>
      <c r="L175" s="124" t="s">
        <v>519</v>
      </c>
      <c r="M175" s="124" t="s">
        <v>2727</v>
      </c>
      <c r="N175" s="124" t="s">
        <v>2728</v>
      </c>
      <c r="O175" s="124" t="s">
        <v>2729</v>
      </c>
      <c r="P175" s="124" t="s">
        <v>254</v>
      </c>
      <c r="Q175" s="124" t="s">
        <v>499</v>
      </c>
      <c r="R175" s="124" t="s">
        <v>273</v>
      </c>
      <c r="S175" s="32">
        <v>129742.39999999999</v>
      </c>
      <c r="T175" s="32">
        <v>80</v>
      </c>
      <c r="U175" s="32">
        <v>11.81</v>
      </c>
      <c r="V175" s="32">
        <v>0</v>
      </c>
      <c r="W175" s="32">
        <v>0</v>
      </c>
      <c r="X175" s="32">
        <v>0</v>
      </c>
      <c r="Y175" s="32">
        <v>0</v>
      </c>
      <c r="Z175" s="32">
        <v>0</v>
      </c>
      <c r="AA175" s="32">
        <v>0</v>
      </c>
      <c r="AB175" s="32">
        <v>0</v>
      </c>
      <c r="AC175" s="32">
        <v>0</v>
      </c>
      <c r="AD175" s="32">
        <v>0</v>
      </c>
      <c r="AE175" s="32">
        <v>0</v>
      </c>
      <c r="AF175" s="32">
        <v>0</v>
      </c>
      <c r="AG175" s="32">
        <v>0</v>
      </c>
      <c r="AH175" s="32">
        <v>0</v>
      </c>
      <c r="AI175" s="32">
        <v>0</v>
      </c>
      <c r="AJ175" s="32">
        <v>0</v>
      </c>
      <c r="AK175" s="32">
        <v>0</v>
      </c>
      <c r="AL175" s="32">
        <v>0</v>
      </c>
      <c r="AM175" s="32">
        <v>0</v>
      </c>
      <c r="AN175" s="32">
        <v>0</v>
      </c>
      <c r="AO175" s="32">
        <v>32435.599999999999</v>
      </c>
      <c r="AP175" s="32">
        <v>0</v>
      </c>
      <c r="AQ175" s="32">
        <v>32435.599999999999</v>
      </c>
      <c r="AR175" s="32">
        <v>162178</v>
      </c>
      <c r="AS175" s="32">
        <v>11.81</v>
      </c>
      <c r="AT175" s="32">
        <v>26200</v>
      </c>
      <c r="AU175" s="32">
        <v>26200</v>
      </c>
      <c r="AV175" s="32">
        <v>0</v>
      </c>
      <c r="AW175" s="32">
        <v>0</v>
      </c>
      <c r="AX175" s="32">
        <v>3930</v>
      </c>
      <c r="AY175" s="32">
        <v>3930</v>
      </c>
      <c r="AZ175" s="32">
        <v>1048</v>
      </c>
      <c r="BA175" s="32">
        <v>1048</v>
      </c>
      <c r="BB175" s="32">
        <v>0</v>
      </c>
      <c r="BC175" s="32">
        <v>0</v>
      </c>
      <c r="BD175" s="32">
        <v>131000</v>
      </c>
      <c r="BE175" s="32">
        <v>131000</v>
      </c>
      <c r="BF175" s="32">
        <v>0</v>
      </c>
      <c r="BG175" s="32">
        <v>0</v>
      </c>
      <c r="BH175" s="32">
        <v>0</v>
      </c>
      <c r="BI175" s="32">
        <v>0</v>
      </c>
      <c r="BJ175" s="32">
        <v>0</v>
      </c>
      <c r="BK175" s="32">
        <v>0</v>
      </c>
      <c r="BL175" s="32">
        <v>0</v>
      </c>
      <c r="BM175" s="32">
        <v>0</v>
      </c>
      <c r="BN175" s="32">
        <v>0</v>
      </c>
      <c r="BO175" s="32">
        <v>0</v>
      </c>
      <c r="BP175" s="32">
        <v>0</v>
      </c>
      <c r="BQ175" s="32">
        <v>3961.6</v>
      </c>
      <c r="BR175" s="32">
        <v>3961.6</v>
      </c>
      <c r="BS175" s="32">
        <v>8913.6</v>
      </c>
      <c r="BT175" s="32">
        <v>36149.599999999999</v>
      </c>
      <c r="BU175" s="32">
        <v>109191.6</v>
      </c>
      <c r="BV175" s="32">
        <v>0</v>
      </c>
      <c r="BW175" s="32">
        <v>0</v>
      </c>
      <c r="BX175" s="32">
        <v>0</v>
      </c>
      <c r="BY175" s="32">
        <v>0</v>
      </c>
      <c r="BZ175" s="32">
        <v>0</v>
      </c>
      <c r="CA175" s="32">
        <v>0</v>
      </c>
      <c r="CB175" s="125" t="s">
        <v>212</v>
      </c>
      <c r="CC175" s="125" t="s">
        <v>522</v>
      </c>
      <c r="CD175" s="125"/>
      <c r="CE175" s="125" t="s">
        <v>523</v>
      </c>
      <c r="CF175" s="125" t="s">
        <v>636</v>
      </c>
      <c r="CG175" s="125" t="s">
        <v>2730</v>
      </c>
      <c r="CH175" s="125" t="s">
        <v>526</v>
      </c>
      <c r="CI175" s="125"/>
      <c r="CJ175" s="125" t="s">
        <v>212</v>
      </c>
      <c r="CK175" s="125"/>
      <c r="CL175" s="125" t="s">
        <v>212</v>
      </c>
      <c r="CM175" s="125"/>
      <c r="CN175" s="125" t="s">
        <v>254</v>
      </c>
      <c r="CO175" s="125" t="s">
        <v>273</v>
      </c>
      <c r="CP175" s="125" t="s">
        <v>2731</v>
      </c>
      <c r="CQ175" s="125" t="s">
        <v>2732</v>
      </c>
      <c r="CR175" s="125" t="s">
        <v>2733</v>
      </c>
      <c r="CS175" s="125" t="s">
        <v>2734</v>
      </c>
      <c r="CT175" s="125"/>
      <c r="CU175" s="125"/>
      <c r="CV175" s="125"/>
      <c r="CW175" s="125"/>
      <c r="CX175" s="125"/>
      <c r="CY175" s="125" t="s">
        <v>510</v>
      </c>
      <c r="CZ175" s="125" t="s">
        <v>668</v>
      </c>
      <c r="DA175" s="125" t="s">
        <v>2735</v>
      </c>
      <c r="DB175" s="125" t="s">
        <v>510</v>
      </c>
      <c r="DC175" s="125" t="s">
        <v>2736</v>
      </c>
      <c r="DD175" s="125" t="s">
        <v>2737</v>
      </c>
      <c r="DE175" s="125" t="s">
        <v>2738</v>
      </c>
      <c r="DF175" s="126" t="s">
        <v>2739</v>
      </c>
      <c r="DG175" s="27" cm="1">
        <f t="array" ref="DG175">INDEX('elenco partner'!A:M,MATCH(1,(D175='elenco partner'!A:A)*('Partner data'!M175='elenco partner'!E:E),0),4)</f>
        <v>489</v>
      </c>
      <c r="DH175" s="83" t="str">
        <f t="shared" si="64"/>
        <v>Tasso Forfettario 20%</v>
      </c>
      <c r="DI175" s="20">
        <f>COUNTIFS('MY-REPORT-MAIN'!C:C,'Partner data'!DG175,'MY-REPORT-MAIN'!I:I,"Certified")</f>
        <v>0</v>
      </c>
      <c r="DJ175" s="20">
        <f>COUNTIFS(List_Of_chek_list!M:M,"&lt;&gt;26",List_Of_chek_list!B:B,'Partner data'!DG175)</f>
        <v>0</v>
      </c>
      <c r="DK175" s="20">
        <f t="shared" si="65"/>
        <v>0</v>
      </c>
      <c r="DL175" s="19" t="e">
        <f>IF(DH175="Tasso Forfettario 20%",SUMIFS(List_Of_chek_list!#REF!,List_Of_chek_list!B:B,'Partner data'!DG175),"NON PERTINENTE")</f>
        <v>#REF!</v>
      </c>
      <c r="DM175" s="19" t="e">
        <f t="shared" si="66"/>
        <v>#REF!</v>
      </c>
      <c r="DN175" s="110">
        <f>_xlfn.MAXIFS('MY-REPORT-MAIN'!K:K,'MY-REPORT-MAIN'!C:C,DG175)</f>
        <v>0</v>
      </c>
      <c r="DO175" s="112" t="str">
        <f>IF(_xlfn.MAXIFS('MY-REPORT-MAIN'!M:M,'MY-REPORT-MAIN'!C:C,DG175)=0,"Nessun rendiconto  Convalidato",_xlfn.MAXIFS('MY-REPORT-MAIN'!M:M,'MY-REPORT-MAIN'!C:C,DG175))</f>
        <v>Nessun rendiconto  Convalidato</v>
      </c>
      <c r="DP175" s="113" t="str" cm="1">
        <f t="array" ref="DP175">IFERROR(INDEX('MY-REPORT-MAIN'!A:Z,MATCH(1,(DO175='MY-REPORT-MAIN'!M:M)*('Partner data'!DG175='MY-REPORT-MAIN'!C:C),0),1),"NON è stato convalidato ancora nessun rendiconto")</f>
        <v>NON è stato convalidato ancora nessun rendiconto</v>
      </c>
      <c r="DQ175" s="111" t="str">
        <f>IFERROR(INDEX('MY-REPORT-MAIN'!A:Z,MATCH('Partner data'!DP175,'MY-REPORT-MAIN'!A:A,0),21),"Nessun Rendiconto ancora convalidato")</f>
        <v>Nessun Rendiconto ancora convalidato</v>
      </c>
      <c r="DR175" s="110" t="e">
        <f>INDEX('Interreg VI-A Italy-Slovenia_pr'!A:E,MATCH('Partner data'!C175,'Interreg VI-A Italy-Slovenia_pr'!A:A,0),3)</f>
        <v>#N/A</v>
      </c>
      <c r="DS175" s="118">
        <f t="shared" si="48"/>
        <v>3961.6</v>
      </c>
      <c r="DT175" s="118">
        <f t="shared" si="49"/>
        <v>7923.2</v>
      </c>
      <c r="DU175" s="118">
        <f t="shared" si="50"/>
        <v>16836.8</v>
      </c>
      <c r="DV175" s="118">
        <f t="shared" si="51"/>
        <v>52986.399999999994</v>
      </c>
      <c r="DW175" s="118">
        <f t="shared" si="52"/>
        <v>162178</v>
      </c>
      <c r="DX175" s="118">
        <f t="shared" si="53"/>
        <v>162178</v>
      </c>
      <c r="DY175" s="118">
        <f t="shared" si="54"/>
        <v>162178</v>
      </c>
      <c r="DZ175" s="118">
        <f t="shared" si="55"/>
        <v>162178</v>
      </c>
      <c r="EA175" s="118">
        <f t="shared" si="56"/>
        <v>162178</v>
      </c>
      <c r="EB175" s="118">
        <f t="shared" si="57"/>
        <v>162178</v>
      </c>
    </row>
    <row r="176" spans="1:132" ht="45" x14ac:dyDescent="0.25">
      <c r="A176" s="121">
        <v>6</v>
      </c>
      <c r="B176" s="122" t="s">
        <v>2688</v>
      </c>
      <c r="C176" s="123" t="s">
        <v>2703</v>
      </c>
      <c r="D176" s="123" t="s">
        <v>2704</v>
      </c>
      <c r="E176" s="123" t="s">
        <v>2705</v>
      </c>
      <c r="F176" s="123" t="s">
        <v>1118</v>
      </c>
      <c r="G176" s="123" t="s">
        <v>6118</v>
      </c>
      <c r="H176" s="123" t="s">
        <v>766</v>
      </c>
      <c r="I176" s="123" t="s">
        <v>767</v>
      </c>
      <c r="J176" s="124" t="s">
        <v>570</v>
      </c>
      <c r="K176" s="124" t="s">
        <v>495</v>
      </c>
      <c r="L176" s="124" t="s">
        <v>519</v>
      </c>
      <c r="M176" s="124" t="s">
        <v>2740</v>
      </c>
      <c r="N176" s="124" t="s">
        <v>2741</v>
      </c>
      <c r="O176" s="124" t="s">
        <v>2742</v>
      </c>
      <c r="P176" s="124" t="s">
        <v>257</v>
      </c>
      <c r="Q176" s="124" t="s">
        <v>556</v>
      </c>
      <c r="R176" s="124" t="s">
        <v>270</v>
      </c>
      <c r="S176" s="32">
        <v>115584</v>
      </c>
      <c r="T176" s="32">
        <v>80</v>
      </c>
      <c r="U176" s="32">
        <v>10.52</v>
      </c>
      <c r="V176" s="32">
        <v>0</v>
      </c>
      <c r="W176" s="32">
        <v>0</v>
      </c>
      <c r="X176" s="32">
        <v>0</v>
      </c>
      <c r="Y176" s="32">
        <v>0</v>
      </c>
      <c r="Z176" s="32">
        <v>0</v>
      </c>
      <c r="AA176" s="32">
        <v>0</v>
      </c>
      <c r="AB176" s="32">
        <v>0</v>
      </c>
      <c r="AC176" s="32">
        <v>0</v>
      </c>
      <c r="AD176" s="32">
        <v>0</v>
      </c>
      <c r="AE176" s="32">
        <v>0</v>
      </c>
      <c r="AF176" s="32">
        <v>0</v>
      </c>
      <c r="AG176" s="32">
        <v>0</v>
      </c>
      <c r="AH176" s="32">
        <v>0</v>
      </c>
      <c r="AI176" s="32">
        <v>0</v>
      </c>
      <c r="AJ176" s="32">
        <v>0</v>
      </c>
      <c r="AK176" s="32">
        <v>0</v>
      </c>
      <c r="AL176" s="32">
        <v>0</v>
      </c>
      <c r="AM176" s="32">
        <v>0</v>
      </c>
      <c r="AN176" s="32">
        <v>0</v>
      </c>
      <c r="AO176" s="32">
        <v>0</v>
      </c>
      <c r="AP176" s="32">
        <v>28896</v>
      </c>
      <c r="AQ176" s="32">
        <v>28896</v>
      </c>
      <c r="AR176" s="32">
        <v>144480</v>
      </c>
      <c r="AS176" s="32">
        <v>10.52</v>
      </c>
      <c r="AT176" s="32">
        <v>103200</v>
      </c>
      <c r="AU176" s="32">
        <v>0</v>
      </c>
      <c r="AV176" s="32">
        <v>103200</v>
      </c>
      <c r="AW176" s="32">
        <v>0</v>
      </c>
      <c r="AX176" s="32">
        <v>0</v>
      </c>
      <c r="AY176" s="32">
        <v>0</v>
      </c>
      <c r="AZ176" s="32">
        <v>0</v>
      </c>
      <c r="BA176" s="32">
        <v>0</v>
      </c>
      <c r="BB176" s="32">
        <v>0</v>
      </c>
      <c r="BC176" s="32">
        <v>0</v>
      </c>
      <c r="BD176" s="32">
        <v>0</v>
      </c>
      <c r="BE176" s="32">
        <v>0</v>
      </c>
      <c r="BF176" s="32">
        <v>0</v>
      </c>
      <c r="BG176" s="32">
        <v>0</v>
      </c>
      <c r="BH176" s="32">
        <v>0</v>
      </c>
      <c r="BI176" s="32">
        <v>0</v>
      </c>
      <c r="BJ176" s="32">
        <v>0</v>
      </c>
      <c r="BK176" s="32">
        <v>0</v>
      </c>
      <c r="BL176" s="32">
        <v>0</v>
      </c>
      <c r="BM176" s="32">
        <v>41280</v>
      </c>
      <c r="BN176" s="32">
        <v>0</v>
      </c>
      <c r="BO176" s="32">
        <v>0</v>
      </c>
      <c r="BP176" s="32">
        <v>0</v>
      </c>
      <c r="BQ176" s="32">
        <v>28896</v>
      </c>
      <c r="BR176" s="32">
        <v>28896</v>
      </c>
      <c r="BS176" s="32">
        <v>28896</v>
      </c>
      <c r="BT176" s="32">
        <v>28896</v>
      </c>
      <c r="BU176" s="32">
        <v>28896</v>
      </c>
      <c r="BV176" s="32">
        <v>0</v>
      </c>
      <c r="BW176" s="32">
        <v>0</v>
      </c>
      <c r="BX176" s="32">
        <v>0</v>
      </c>
      <c r="BY176" s="32">
        <v>0</v>
      </c>
      <c r="BZ176" s="32">
        <v>0</v>
      </c>
      <c r="CA176" s="32">
        <v>0</v>
      </c>
      <c r="CB176" s="125" t="s">
        <v>212</v>
      </c>
      <c r="CC176" s="125" t="s">
        <v>624</v>
      </c>
      <c r="CD176" s="125" t="s">
        <v>706</v>
      </c>
      <c r="CE176" s="125" t="s">
        <v>501</v>
      </c>
      <c r="CF176" s="125" t="s">
        <v>2743</v>
      </c>
      <c r="CG176" s="125" t="s">
        <v>665</v>
      </c>
      <c r="CH176" s="125" t="s">
        <v>526</v>
      </c>
      <c r="CI176" s="125" t="s">
        <v>2744</v>
      </c>
      <c r="CJ176" s="125" t="s">
        <v>683</v>
      </c>
      <c r="CK176" s="125" t="s">
        <v>2745</v>
      </c>
      <c r="CL176" s="125" t="s">
        <v>212</v>
      </c>
      <c r="CM176" s="125"/>
      <c r="CN176" s="125" t="s">
        <v>257</v>
      </c>
      <c r="CO176" s="125" t="s">
        <v>270</v>
      </c>
      <c r="CP176" s="125" t="s">
        <v>2746</v>
      </c>
      <c r="CQ176" s="125" t="s">
        <v>2747</v>
      </c>
      <c r="CR176" s="125" t="s">
        <v>2748</v>
      </c>
      <c r="CS176" s="125" t="s">
        <v>2749</v>
      </c>
      <c r="CT176" s="125"/>
      <c r="CU176" s="125"/>
      <c r="CV176" s="125"/>
      <c r="CW176" s="125"/>
      <c r="CX176" s="125"/>
      <c r="CY176" s="125" t="s">
        <v>1294</v>
      </c>
      <c r="CZ176" s="125" t="s">
        <v>2750</v>
      </c>
      <c r="DA176" s="125" t="s">
        <v>2751</v>
      </c>
      <c r="DB176" s="125" t="s">
        <v>1294</v>
      </c>
      <c r="DC176" s="125" t="s">
        <v>2752</v>
      </c>
      <c r="DD176" s="125" t="s">
        <v>2751</v>
      </c>
      <c r="DE176" s="125" t="s">
        <v>2753</v>
      </c>
      <c r="DF176" s="126" t="s">
        <v>2754</v>
      </c>
      <c r="DG176" s="27" cm="1">
        <f t="array" ref="DG176">INDEX('elenco partner'!A:M,MATCH(1,(D176='elenco partner'!A:A)*('Partner data'!M176='elenco partner'!E:E),0),4)</f>
        <v>490</v>
      </c>
      <c r="DH176" s="83" t="str">
        <f t="shared" si="64"/>
        <v>COSTO REALE</v>
      </c>
      <c r="DI176" s="20">
        <f>COUNTIFS('MY-REPORT-MAIN'!C:C,'Partner data'!DG176,'MY-REPORT-MAIN'!I:I,"Certified")</f>
        <v>0</v>
      </c>
      <c r="DJ176" s="20">
        <f>COUNTIFS(List_Of_chek_list!M:M,"&lt;&gt;26",List_Of_chek_list!B:B,'Partner data'!DG176)</f>
        <v>0</v>
      </c>
      <c r="DK176" s="20">
        <f t="shared" si="65"/>
        <v>0</v>
      </c>
      <c r="DL176" s="19" t="str">
        <f>IF(DH176="Tasso Forfettario 20%",SUMIFS(List_Of_chek_list!#REF!,List_Of_chek_list!B:B,'Partner data'!DG176),"NON PERTINENTE")</f>
        <v>NON PERTINENTE</v>
      </c>
      <c r="DM176" s="19" t="str">
        <f t="shared" si="66"/>
        <v>NON PERTINENTE</v>
      </c>
      <c r="DN176" s="110">
        <f>_xlfn.MAXIFS('MY-REPORT-MAIN'!K:K,'MY-REPORT-MAIN'!C:C,DG176)</f>
        <v>0</v>
      </c>
      <c r="DO176" s="112" t="str">
        <f>IF(_xlfn.MAXIFS('MY-REPORT-MAIN'!M:M,'MY-REPORT-MAIN'!C:C,DG176)=0,"Nessun rendiconto  Convalidato",_xlfn.MAXIFS('MY-REPORT-MAIN'!M:M,'MY-REPORT-MAIN'!C:C,DG176))</f>
        <v>Nessun rendiconto  Convalidato</v>
      </c>
      <c r="DP176" s="113" t="str" cm="1">
        <f t="array" ref="DP176">IFERROR(INDEX('MY-REPORT-MAIN'!A:Z,MATCH(1,(DO176='MY-REPORT-MAIN'!M:M)*('Partner data'!DG176='MY-REPORT-MAIN'!C:C),0),1),"NON è stato convalidato ancora nessun rendiconto")</f>
        <v>NON è stato convalidato ancora nessun rendiconto</v>
      </c>
      <c r="DQ176" s="111" t="str">
        <f>IFERROR(INDEX('MY-REPORT-MAIN'!A:Z,MATCH('Partner data'!DP176,'MY-REPORT-MAIN'!A:A,0),21),"Nessun Rendiconto ancora convalidato")</f>
        <v>Nessun Rendiconto ancora convalidato</v>
      </c>
      <c r="DR176" s="110" t="e">
        <f>INDEX('Interreg VI-A Italy-Slovenia_pr'!A:E,MATCH('Partner data'!C176,'Interreg VI-A Italy-Slovenia_pr'!A:A,0),3)</f>
        <v>#N/A</v>
      </c>
      <c r="DS176" s="118">
        <f t="shared" si="48"/>
        <v>28896</v>
      </c>
      <c r="DT176" s="118">
        <f t="shared" si="49"/>
        <v>57792</v>
      </c>
      <c r="DU176" s="118">
        <f t="shared" si="50"/>
        <v>86688</v>
      </c>
      <c r="DV176" s="118">
        <f t="shared" si="51"/>
        <v>115584</v>
      </c>
      <c r="DW176" s="118">
        <f t="shared" si="52"/>
        <v>144480</v>
      </c>
      <c r="DX176" s="118">
        <f t="shared" si="53"/>
        <v>144480</v>
      </c>
      <c r="DY176" s="118">
        <f t="shared" si="54"/>
        <v>144480</v>
      </c>
      <c r="DZ176" s="118">
        <f t="shared" si="55"/>
        <v>144480</v>
      </c>
      <c r="EA176" s="118">
        <f t="shared" si="56"/>
        <v>144480</v>
      </c>
      <c r="EB176" s="118">
        <f t="shared" si="57"/>
        <v>144480</v>
      </c>
    </row>
    <row r="177" spans="1:132" ht="45" x14ac:dyDescent="0.25">
      <c r="A177" s="121">
        <v>6</v>
      </c>
      <c r="B177" s="122" t="s">
        <v>2688</v>
      </c>
      <c r="C177" s="123" t="s">
        <v>2703</v>
      </c>
      <c r="D177" s="123" t="s">
        <v>2704</v>
      </c>
      <c r="E177" s="123" t="s">
        <v>2705</v>
      </c>
      <c r="F177" s="123" t="s">
        <v>1118</v>
      </c>
      <c r="G177" s="123" t="s">
        <v>6118</v>
      </c>
      <c r="H177" s="123" t="s">
        <v>766</v>
      </c>
      <c r="I177" s="123" t="s">
        <v>767</v>
      </c>
      <c r="J177" s="124" t="s">
        <v>581</v>
      </c>
      <c r="K177" s="124" t="s">
        <v>495</v>
      </c>
      <c r="L177" s="124" t="s">
        <v>519</v>
      </c>
      <c r="M177" s="124" t="s">
        <v>2755</v>
      </c>
      <c r="N177" s="124" t="s">
        <v>2756</v>
      </c>
      <c r="O177" s="124" t="s">
        <v>2757</v>
      </c>
      <c r="P177" s="124" t="s">
        <v>254</v>
      </c>
      <c r="Q177" s="124" t="s">
        <v>540</v>
      </c>
      <c r="R177" s="124" t="s">
        <v>260</v>
      </c>
      <c r="S177" s="32">
        <v>143603.04</v>
      </c>
      <c r="T177" s="32">
        <v>80</v>
      </c>
      <c r="U177" s="32">
        <v>13.07</v>
      </c>
      <c r="V177" s="32">
        <v>0</v>
      </c>
      <c r="W177" s="32">
        <v>0</v>
      </c>
      <c r="X177" s="32">
        <v>0</v>
      </c>
      <c r="Y177" s="32">
        <v>0</v>
      </c>
      <c r="Z177" s="32">
        <v>0</v>
      </c>
      <c r="AA177" s="32">
        <v>0</v>
      </c>
      <c r="AB177" s="32">
        <v>0</v>
      </c>
      <c r="AC177" s="32">
        <v>0</v>
      </c>
      <c r="AD177" s="32">
        <v>0</v>
      </c>
      <c r="AE177" s="32">
        <v>0</v>
      </c>
      <c r="AF177" s="32">
        <v>0</v>
      </c>
      <c r="AG177" s="32">
        <v>0</v>
      </c>
      <c r="AH177" s="32">
        <v>0</v>
      </c>
      <c r="AI177" s="32">
        <v>0</v>
      </c>
      <c r="AJ177" s="32">
        <v>0</v>
      </c>
      <c r="AK177" s="32">
        <v>0</v>
      </c>
      <c r="AL177" s="32">
        <v>0</v>
      </c>
      <c r="AM177" s="32">
        <v>0</v>
      </c>
      <c r="AN177" s="32">
        <v>0</v>
      </c>
      <c r="AO177" s="32">
        <v>35900.769999999997</v>
      </c>
      <c r="AP177" s="32">
        <v>0</v>
      </c>
      <c r="AQ177" s="32">
        <v>35900.769999999997</v>
      </c>
      <c r="AR177" s="32">
        <v>179503.81</v>
      </c>
      <c r="AS177" s="32">
        <v>13.07</v>
      </c>
      <c r="AT177" s="32">
        <v>28999</v>
      </c>
      <c r="AU177" s="32">
        <v>28999</v>
      </c>
      <c r="AV177" s="32">
        <v>0</v>
      </c>
      <c r="AW177" s="32">
        <v>0</v>
      </c>
      <c r="AX177" s="32">
        <v>4349.8500000000004</v>
      </c>
      <c r="AY177" s="32">
        <v>4349.8500000000004</v>
      </c>
      <c r="AZ177" s="32">
        <v>1159.96</v>
      </c>
      <c r="BA177" s="32">
        <v>1159.96</v>
      </c>
      <c r="BB177" s="32">
        <v>0</v>
      </c>
      <c r="BC177" s="32">
        <v>0</v>
      </c>
      <c r="BD177" s="32">
        <v>121700</v>
      </c>
      <c r="BE177" s="32">
        <v>121700</v>
      </c>
      <c r="BF177" s="32">
        <v>0</v>
      </c>
      <c r="BG177" s="32">
        <v>23295</v>
      </c>
      <c r="BH177" s="32">
        <v>23295</v>
      </c>
      <c r="BI177" s="32">
        <v>0</v>
      </c>
      <c r="BJ177" s="32">
        <v>0</v>
      </c>
      <c r="BK177" s="32">
        <v>0</v>
      </c>
      <c r="BL177" s="32">
        <v>0</v>
      </c>
      <c r="BM177" s="32">
        <v>0</v>
      </c>
      <c r="BN177" s="32">
        <v>0</v>
      </c>
      <c r="BO177" s="32">
        <v>0</v>
      </c>
      <c r="BP177" s="32">
        <v>0</v>
      </c>
      <c r="BQ177" s="32">
        <v>17332</v>
      </c>
      <c r="BR177" s="32">
        <v>52862.6</v>
      </c>
      <c r="BS177" s="32">
        <v>32188</v>
      </c>
      <c r="BT177" s="32">
        <v>21046</v>
      </c>
      <c r="BU177" s="32">
        <v>56075.21</v>
      </c>
      <c r="BV177" s="32">
        <v>0</v>
      </c>
      <c r="BW177" s="32">
        <v>0</v>
      </c>
      <c r="BX177" s="32">
        <v>0</v>
      </c>
      <c r="BY177" s="32">
        <v>0</v>
      </c>
      <c r="BZ177" s="32">
        <v>0</v>
      </c>
      <c r="CA177" s="32">
        <v>0</v>
      </c>
      <c r="CB177" s="125" t="s">
        <v>212</v>
      </c>
      <c r="CC177" s="125" t="s">
        <v>522</v>
      </c>
      <c r="CD177" s="125"/>
      <c r="CE177" s="125" t="s">
        <v>523</v>
      </c>
      <c r="CF177" s="125" t="s">
        <v>636</v>
      </c>
      <c r="CG177" s="125" t="s">
        <v>2758</v>
      </c>
      <c r="CH177" s="125" t="s">
        <v>526</v>
      </c>
      <c r="CI177" s="125"/>
      <c r="CJ177" s="125" t="s">
        <v>212</v>
      </c>
      <c r="CK177" s="125" t="s">
        <v>2759</v>
      </c>
      <c r="CL177" s="125" t="s">
        <v>212</v>
      </c>
      <c r="CM177" s="125"/>
      <c r="CN177" s="125" t="s">
        <v>254</v>
      </c>
      <c r="CO177" s="125" t="s">
        <v>260</v>
      </c>
      <c r="CP177" s="125" t="s">
        <v>2760</v>
      </c>
      <c r="CQ177" s="125" t="s">
        <v>2761</v>
      </c>
      <c r="CR177" s="125" t="s">
        <v>2762</v>
      </c>
      <c r="CS177" s="125" t="s">
        <v>2763</v>
      </c>
      <c r="CT177" s="125"/>
      <c r="CU177" s="125"/>
      <c r="CV177" s="125"/>
      <c r="CW177" s="125"/>
      <c r="CX177" s="125"/>
      <c r="CY177" s="125" t="s">
        <v>2032</v>
      </c>
      <c r="CZ177" s="125" t="s">
        <v>2764</v>
      </c>
      <c r="DA177" s="125" t="s">
        <v>2765</v>
      </c>
      <c r="DB177" s="125" t="s">
        <v>510</v>
      </c>
      <c r="DC177" s="125" t="s">
        <v>2332</v>
      </c>
      <c r="DD177" s="125" t="s">
        <v>2766</v>
      </c>
      <c r="DE177" s="125" t="s">
        <v>2767</v>
      </c>
      <c r="DF177" s="126" t="s">
        <v>2768</v>
      </c>
      <c r="DG177" s="27" cm="1">
        <f t="array" ref="DG177">INDEX('elenco partner'!A:M,MATCH(1,(D177='elenco partner'!A:A)*('Partner data'!M177='elenco partner'!E:E),0),4)</f>
        <v>491</v>
      </c>
      <c r="DH177" s="83" t="str">
        <f t="shared" si="64"/>
        <v>Tasso Forfettario 20%</v>
      </c>
      <c r="DI177" s="20">
        <f>COUNTIFS('MY-REPORT-MAIN'!C:C,'Partner data'!DG177,'MY-REPORT-MAIN'!I:I,"Certified")</f>
        <v>0</v>
      </c>
      <c r="DJ177" s="20">
        <f>COUNTIFS(List_Of_chek_list!M:M,"&lt;&gt;26",List_Of_chek_list!B:B,'Partner data'!DG177)</f>
        <v>0</v>
      </c>
      <c r="DK177" s="20">
        <f t="shared" si="65"/>
        <v>0</v>
      </c>
      <c r="DL177" s="19" t="e">
        <f>IF(DH177="Tasso Forfettario 20%",SUMIFS(List_Of_chek_list!#REF!,List_Of_chek_list!B:B,'Partner data'!DG177),"NON PERTINENTE")</f>
        <v>#REF!</v>
      </c>
      <c r="DM177" s="19" t="e">
        <f t="shared" si="66"/>
        <v>#REF!</v>
      </c>
      <c r="DN177" s="110">
        <f>_xlfn.MAXIFS('MY-REPORT-MAIN'!K:K,'MY-REPORT-MAIN'!C:C,DG177)</f>
        <v>0</v>
      </c>
      <c r="DO177" s="112" t="str">
        <f>IF(_xlfn.MAXIFS('MY-REPORT-MAIN'!M:M,'MY-REPORT-MAIN'!C:C,DG177)=0,"Nessun rendiconto  Convalidato",_xlfn.MAXIFS('MY-REPORT-MAIN'!M:M,'MY-REPORT-MAIN'!C:C,DG177))</f>
        <v>Nessun rendiconto  Convalidato</v>
      </c>
      <c r="DP177" s="113" t="str" cm="1">
        <f t="array" ref="DP177">IFERROR(INDEX('MY-REPORT-MAIN'!A:Z,MATCH(1,(DO177='MY-REPORT-MAIN'!M:M)*('Partner data'!DG177='MY-REPORT-MAIN'!C:C),0),1),"NON è stato convalidato ancora nessun rendiconto")</f>
        <v>NON è stato convalidato ancora nessun rendiconto</v>
      </c>
      <c r="DQ177" s="111" t="str">
        <f>IFERROR(INDEX('MY-REPORT-MAIN'!A:Z,MATCH('Partner data'!DP177,'MY-REPORT-MAIN'!A:A,0),21),"Nessun Rendiconto ancora convalidato")</f>
        <v>Nessun Rendiconto ancora convalidato</v>
      </c>
      <c r="DR177" s="110" t="e">
        <f>INDEX('Interreg VI-A Italy-Slovenia_pr'!A:E,MATCH('Partner data'!C177,'Interreg VI-A Italy-Slovenia_pr'!A:A,0),3)</f>
        <v>#N/A</v>
      </c>
      <c r="DS177" s="118">
        <f t="shared" si="48"/>
        <v>17332</v>
      </c>
      <c r="DT177" s="118">
        <f t="shared" si="49"/>
        <v>70194.600000000006</v>
      </c>
      <c r="DU177" s="118">
        <f t="shared" si="50"/>
        <v>102382.6</v>
      </c>
      <c r="DV177" s="118">
        <f t="shared" si="51"/>
        <v>123428.6</v>
      </c>
      <c r="DW177" s="118">
        <f t="shared" si="52"/>
        <v>179503.81</v>
      </c>
      <c r="DX177" s="118">
        <f t="shared" si="53"/>
        <v>179503.81</v>
      </c>
      <c r="DY177" s="118">
        <f t="shared" si="54"/>
        <v>179503.81</v>
      </c>
      <c r="DZ177" s="118">
        <f t="shared" si="55"/>
        <v>179503.81</v>
      </c>
      <c r="EA177" s="118">
        <f t="shared" si="56"/>
        <v>179503.81</v>
      </c>
      <c r="EB177" s="118">
        <f t="shared" si="57"/>
        <v>179503.81</v>
      </c>
    </row>
    <row r="178" spans="1:132" ht="45" x14ac:dyDescent="0.25">
      <c r="A178" s="121">
        <v>6</v>
      </c>
      <c r="B178" s="122" t="s">
        <v>2688</v>
      </c>
      <c r="C178" s="123" t="s">
        <v>2793</v>
      </c>
      <c r="D178" s="123" t="s">
        <v>2794</v>
      </c>
      <c r="E178" s="123" t="s">
        <v>2795</v>
      </c>
      <c r="F178" s="123" t="s">
        <v>1118</v>
      </c>
      <c r="G178" s="123" t="s">
        <v>6118</v>
      </c>
      <c r="H178" s="123" t="s">
        <v>766</v>
      </c>
      <c r="I178" s="123" t="s">
        <v>767</v>
      </c>
      <c r="J178" s="124" t="s">
        <v>494</v>
      </c>
      <c r="K178" s="124" t="s">
        <v>495</v>
      </c>
      <c r="L178" s="124" t="s">
        <v>496</v>
      </c>
      <c r="M178" s="124" t="s">
        <v>747</v>
      </c>
      <c r="N178" s="124" t="s">
        <v>630</v>
      </c>
      <c r="O178" s="124" t="s">
        <v>631</v>
      </c>
      <c r="P178" s="124" t="s">
        <v>254</v>
      </c>
      <c r="Q178" s="124" t="s">
        <v>499</v>
      </c>
      <c r="R178" s="124" t="s">
        <v>265</v>
      </c>
      <c r="S178" s="32">
        <v>174924.24</v>
      </c>
      <c r="T178" s="32">
        <v>80</v>
      </c>
      <c r="U178" s="32">
        <v>21.76</v>
      </c>
      <c r="V178" s="32">
        <v>0</v>
      </c>
      <c r="W178" s="32">
        <v>0</v>
      </c>
      <c r="X178" s="32">
        <v>0</v>
      </c>
      <c r="Y178" s="32">
        <v>0</v>
      </c>
      <c r="Z178" s="32">
        <v>0</v>
      </c>
      <c r="AA178" s="32">
        <v>0</v>
      </c>
      <c r="AB178" s="32">
        <v>0</v>
      </c>
      <c r="AC178" s="32">
        <v>0</v>
      </c>
      <c r="AD178" s="32">
        <v>0</v>
      </c>
      <c r="AE178" s="32">
        <v>0</v>
      </c>
      <c r="AF178" s="32">
        <v>0</v>
      </c>
      <c r="AG178" s="32">
        <v>0</v>
      </c>
      <c r="AH178" s="32">
        <v>0</v>
      </c>
      <c r="AI178" s="32">
        <v>0</v>
      </c>
      <c r="AJ178" s="32">
        <v>0</v>
      </c>
      <c r="AK178" s="32">
        <v>0</v>
      </c>
      <c r="AL178" s="32">
        <v>0</v>
      </c>
      <c r="AM178" s="32">
        <v>0</v>
      </c>
      <c r="AN178" s="32">
        <v>0</v>
      </c>
      <c r="AO178" s="32">
        <v>43731.06</v>
      </c>
      <c r="AP178" s="32">
        <v>0</v>
      </c>
      <c r="AQ178" s="32">
        <v>43731.06</v>
      </c>
      <c r="AR178" s="32">
        <v>218655.3</v>
      </c>
      <c r="AS178" s="32">
        <v>21.76</v>
      </c>
      <c r="AT178" s="32">
        <v>33870</v>
      </c>
      <c r="AU178" s="32">
        <v>33870</v>
      </c>
      <c r="AV178" s="32">
        <v>0</v>
      </c>
      <c r="AW178" s="32">
        <v>0</v>
      </c>
      <c r="AX178" s="32">
        <v>5080.5</v>
      </c>
      <c r="AY178" s="32">
        <v>5080.5</v>
      </c>
      <c r="AZ178" s="32">
        <v>1354.8</v>
      </c>
      <c r="BA178" s="32">
        <v>1354.8</v>
      </c>
      <c r="BB178" s="32">
        <v>0</v>
      </c>
      <c r="BC178" s="32">
        <v>0</v>
      </c>
      <c r="BD178" s="32">
        <v>169350</v>
      </c>
      <c r="BE178" s="32">
        <v>169350</v>
      </c>
      <c r="BF178" s="32">
        <v>0</v>
      </c>
      <c r="BG178" s="32">
        <v>0</v>
      </c>
      <c r="BH178" s="32">
        <v>0</v>
      </c>
      <c r="BI178" s="32">
        <v>0</v>
      </c>
      <c r="BJ178" s="32">
        <v>0</v>
      </c>
      <c r="BK178" s="32">
        <v>0</v>
      </c>
      <c r="BL178" s="32">
        <v>0</v>
      </c>
      <c r="BM178" s="32">
        <v>0</v>
      </c>
      <c r="BN178" s="32">
        <v>0</v>
      </c>
      <c r="BO178" s="32">
        <v>9000</v>
      </c>
      <c r="BP178" s="32">
        <v>9000</v>
      </c>
      <c r="BQ178" s="32">
        <v>24202.9</v>
      </c>
      <c r="BR178" s="32">
        <v>24017.200000000001</v>
      </c>
      <c r="BS178" s="32">
        <v>32930.800000000003</v>
      </c>
      <c r="BT178" s="32">
        <v>104487.2</v>
      </c>
      <c r="BU178" s="32">
        <v>24017.200000000001</v>
      </c>
      <c r="BV178" s="32">
        <v>0</v>
      </c>
      <c r="BW178" s="32">
        <v>0</v>
      </c>
      <c r="BX178" s="32">
        <v>0</v>
      </c>
      <c r="BY178" s="32">
        <v>0</v>
      </c>
      <c r="BZ178" s="32">
        <v>0</v>
      </c>
      <c r="CA178" s="32">
        <v>0</v>
      </c>
      <c r="CB178" s="125" t="s">
        <v>2796</v>
      </c>
      <c r="CC178" s="125" t="s">
        <v>522</v>
      </c>
      <c r="CD178" s="125"/>
      <c r="CE178" s="125" t="s">
        <v>523</v>
      </c>
      <c r="CF178" s="125" t="s">
        <v>636</v>
      </c>
      <c r="CG178" s="125" t="s">
        <v>2797</v>
      </c>
      <c r="CH178" s="125" t="s">
        <v>526</v>
      </c>
      <c r="CI178" s="125" t="s">
        <v>2798</v>
      </c>
      <c r="CJ178" s="125" t="s">
        <v>1047</v>
      </c>
      <c r="CK178" s="125" t="s">
        <v>748</v>
      </c>
      <c r="CL178" s="125" t="s">
        <v>212</v>
      </c>
      <c r="CM178" s="125"/>
      <c r="CN178" s="125" t="s">
        <v>254</v>
      </c>
      <c r="CO178" s="125" t="s">
        <v>265</v>
      </c>
      <c r="CP178" s="125" t="s">
        <v>2799</v>
      </c>
      <c r="CQ178" s="125" t="s">
        <v>507</v>
      </c>
      <c r="CR178" s="125" t="s">
        <v>508</v>
      </c>
      <c r="CS178" s="125" t="s">
        <v>749</v>
      </c>
      <c r="CT178" s="125" t="s">
        <v>254</v>
      </c>
      <c r="CU178" s="125" t="s">
        <v>265</v>
      </c>
      <c r="CV178" s="125" t="s">
        <v>632</v>
      </c>
      <c r="CW178" s="125" t="s">
        <v>507</v>
      </c>
      <c r="CX178" s="125" t="s">
        <v>508</v>
      </c>
      <c r="CY178" s="125" t="s">
        <v>531</v>
      </c>
      <c r="CZ178" s="125" t="s">
        <v>633</v>
      </c>
      <c r="DA178" s="125" t="s">
        <v>634</v>
      </c>
      <c r="DB178" s="125" t="s">
        <v>547</v>
      </c>
      <c r="DC178" s="125" t="s">
        <v>750</v>
      </c>
      <c r="DD178" s="125" t="s">
        <v>751</v>
      </c>
      <c r="DE178" s="125" t="s">
        <v>2800</v>
      </c>
      <c r="DF178" s="126" t="s">
        <v>2801</v>
      </c>
      <c r="DG178" s="27" cm="1">
        <f t="array" ref="DG178">INDEX('elenco partner'!A:M,MATCH(1,(D178='elenco partner'!A:A)*('Partner data'!M178='elenco partner'!E:E),0),4)</f>
        <v>372</v>
      </c>
      <c r="DH178" s="83" t="str">
        <f t="shared" ref="DH178:DH183" si="67">IF(AU178&lt;&gt;0,"Tasso Forfettario 20%",IF(AV178&lt;&gt;0,"COSTO REALE",IF(AW178&lt;&gt;0,"Costo Unitario Standard","BL1 non presente")))</f>
        <v>Tasso Forfettario 20%</v>
      </c>
      <c r="DI178" s="20">
        <f>COUNTIFS('MY-REPORT-MAIN'!C:C,'Partner data'!DG178,'MY-REPORT-MAIN'!I:I,"Certified")</f>
        <v>0</v>
      </c>
      <c r="DJ178" s="20">
        <f>COUNTIFS(List_Of_chek_list!M:M,"&lt;&gt;26",List_Of_chek_list!B:B,'Partner data'!DG178)</f>
        <v>0</v>
      </c>
      <c r="DK178" s="20">
        <f t="shared" ref="DK178:DK183" si="68">DI178-DJ178</f>
        <v>0</v>
      </c>
      <c r="DL178" s="19" t="e">
        <f>IF(DH178="Tasso Forfettario 20%",SUMIFS(List_Of_chek_list!#REF!,List_Of_chek_list!B:B,'Partner data'!DG178),"NON PERTINENTE")</f>
        <v>#REF!</v>
      </c>
      <c r="DM178" s="19" t="e">
        <f t="shared" ref="DM178:DM183" si="69">IF(DL178="NON PERTINENTE","NON PERTINENTE",IF(DJ178=DL178,"Rischio basso","Rischio alto"))</f>
        <v>#REF!</v>
      </c>
      <c r="DN178" s="110">
        <f>_xlfn.MAXIFS('MY-REPORT-MAIN'!K:K,'MY-REPORT-MAIN'!C:C,DG178)</f>
        <v>0</v>
      </c>
      <c r="DO178" s="112" t="str">
        <f>IF(_xlfn.MAXIFS('MY-REPORT-MAIN'!M:M,'MY-REPORT-MAIN'!C:C,DG178)=0,"Nessun rendiconto  Convalidato",_xlfn.MAXIFS('MY-REPORT-MAIN'!M:M,'MY-REPORT-MAIN'!C:C,DG178))</f>
        <v>Nessun rendiconto  Convalidato</v>
      </c>
      <c r="DP178" s="113" t="str" cm="1">
        <f t="array" ref="DP178">IFERROR(INDEX('MY-REPORT-MAIN'!A:Z,MATCH(1,(DO178='MY-REPORT-MAIN'!M:M)*('Partner data'!DG178='MY-REPORT-MAIN'!C:C),0),1),"NON è stato convalidato ancora nessun rendiconto")</f>
        <v>NON è stato convalidato ancora nessun rendiconto</v>
      </c>
      <c r="DQ178" s="111" t="str">
        <f>IFERROR(INDEX('MY-REPORT-MAIN'!A:Z,MATCH('Partner data'!DP178,'MY-REPORT-MAIN'!A:A,0),21),"Nessun Rendiconto ancora convalidato")</f>
        <v>Nessun Rendiconto ancora convalidato</v>
      </c>
      <c r="DR178" s="110" t="e">
        <f>INDEX('Interreg VI-A Italy-Slovenia_pr'!A:E,MATCH('Partner data'!C178,'Interreg VI-A Italy-Slovenia_pr'!A:A,0),3)</f>
        <v>#N/A</v>
      </c>
      <c r="DS178" s="118">
        <f t="shared" si="48"/>
        <v>33202.9</v>
      </c>
      <c r="DT178" s="118">
        <f t="shared" si="49"/>
        <v>57220.100000000006</v>
      </c>
      <c r="DU178" s="118">
        <f t="shared" si="50"/>
        <v>90150.900000000009</v>
      </c>
      <c r="DV178" s="118">
        <f t="shared" si="51"/>
        <v>194638.1</v>
      </c>
      <c r="DW178" s="118">
        <f t="shared" si="52"/>
        <v>218655.30000000002</v>
      </c>
      <c r="DX178" s="118">
        <f t="shared" si="53"/>
        <v>218655.30000000002</v>
      </c>
      <c r="DY178" s="118">
        <f t="shared" si="54"/>
        <v>218655.30000000002</v>
      </c>
      <c r="DZ178" s="118">
        <f t="shared" si="55"/>
        <v>218655.30000000002</v>
      </c>
      <c r="EA178" s="118">
        <f t="shared" si="56"/>
        <v>218655.30000000002</v>
      </c>
      <c r="EB178" s="118">
        <f t="shared" si="57"/>
        <v>218655.30000000002</v>
      </c>
    </row>
    <row r="179" spans="1:132" ht="45" x14ac:dyDescent="0.25">
      <c r="A179" s="121">
        <v>6</v>
      </c>
      <c r="B179" s="122" t="s">
        <v>2688</v>
      </c>
      <c r="C179" s="123" t="s">
        <v>2793</v>
      </c>
      <c r="D179" s="123" t="s">
        <v>2794</v>
      </c>
      <c r="E179" s="123" t="s">
        <v>2795</v>
      </c>
      <c r="F179" s="123" t="s">
        <v>1118</v>
      </c>
      <c r="G179" s="123" t="s">
        <v>6118</v>
      </c>
      <c r="H179" s="123" t="s">
        <v>766</v>
      </c>
      <c r="I179" s="123" t="s">
        <v>767</v>
      </c>
      <c r="J179" s="124" t="s">
        <v>518</v>
      </c>
      <c r="K179" s="124" t="s">
        <v>495</v>
      </c>
      <c r="L179" s="124" t="s">
        <v>519</v>
      </c>
      <c r="M179" s="124" t="s">
        <v>2802</v>
      </c>
      <c r="N179" s="124" t="s">
        <v>2803</v>
      </c>
      <c r="O179" s="124" t="s">
        <v>2804</v>
      </c>
      <c r="P179" s="124" t="s">
        <v>254</v>
      </c>
      <c r="Q179" s="124" t="s">
        <v>499</v>
      </c>
      <c r="R179" s="124" t="s">
        <v>265</v>
      </c>
      <c r="S179" s="32">
        <v>108944</v>
      </c>
      <c r="T179" s="32">
        <v>80</v>
      </c>
      <c r="U179" s="32">
        <v>13.55</v>
      </c>
      <c r="V179" s="32">
        <v>0</v>
      </c>
      <c r="W179" s="32">
        <v>0</v>
      </c>
      <c r="X179" s="32">
        <v>0</v>
      </c>
      <c r="Y179" s="32">
        <v>0</v>
      </c>
      <c r="Z179" s="32">
        <v>0</v>
      </c>
      <c r="AA179" s="32">
        <v>0</v>
      </c>
      <c r="AB179" s="32">
        <v>0</v>
      </c>
      <c r="AC179" s="32">
        <v>0</v>
      </c>
      <c r="AD179" s="32">
        <v>0</v>
      </c>
      <c r="AE179" s="32">
        <v>0</v>
      </c>
      <c r="AF179" s="32">
        <v>0</v>
      </c>
      <c r="AG179" s="32">
        <v>0</v>
      </c>
      <c r="AH179" s="32">
        <v>0</v>
      </c>
      <c r="AI179" s="32">
        <v>0</v>
      </c>
      <c r="AJ179" s="32">
        <v>0</v>
      </c>
      <c r="AK179" s="32">
        <v>0</v>
      </c>
      <c r="AL179" s="32">
        <v>0</v>
      </c>
      <c r="AM179" s="32">
        <v>0</v>
      </c>
      <c r="AN179" s="32">
        <v>0</v>
      </c>
      <c r="AO179" s="32">
        <v>27236</v>
      </c>
      <c r="AP179" s="32">
        <v>0</v>
      </c>
      <c r="AQ179" s="32">
        <v>27236</v>
      </c>
      <c r="AR179" s="32">
        <v>136180</v>
      </c>
      <c r="AS179" s="32">
        <v>13.55</v>
      </c>
      <c r="AT179" s="32">
        <v>22000</v>
      </c>
      <c r="AU179" s="32">
        <v>22000</v>
      </c>
      <c r="AV179" s="32">
        <v>0</v>
      </c>
      <c r="AW179" s="32">
        <v>0</v>
      </c>
      <c r="AX179" s="32">
        <v>3300</v>
      </c>
      <c r="AY179" s="32">
        <v>3300</v>
      </c>
      <c r="AZ179" s="32">
        <v>880</v>
      </c>
      <c r="BA179" s="32">
        <v>880</v>
      </c>
      <c r="BB179" s="32">
        <v>0</v>
      </c>
      <c r="BC179" s="32">
        <v>0</v>
      </c>
      <c r="BD179" s="32">
        <v>85000</v>
      </c>
      <c r="BE179" s="32">
        <v>85000</v>
      </c>
      <c r="BF179" s="32">
        <v>0</v>
      </c>
      <c r="BG179" s="32">
        <v>25000</v>
      </c>
      <c r="BH179" s="32">
        <v>25000</v>
      </c>
      <c r="BI179" s="32">
        <v>0</v>
      </c>
      <c r="BJ179" s="32">
        <v>0</v>
      </c>
      <c r="BK179" s="32">
        <v>0</v>
      </c>
      <c r="BL179" s="32">
        <v>0</v>
      </c>
      <c r="BM179" s="32">
        <v>0</v>
      </c>
      <c r="BN179" s="32">
        <v>0</v>
      </c>
      <c r="BO179" s="32">
        <v>0</v>
      </c>
      <c r="BP179" s="32">
        <v>0</v>
      </c>
      <c r="BQ179" s="32">
        <v>2476</v>
      </c>
      <c r="BR179" s="32">
        <v>21046</v>
      </c>
      <c r="BS179" s="32">
        <v>45806</v>
      </c>
      <c r="BT179" s="32">
        <v>64376</v>
      </c>
      <c r="BU179" s="32">
        <v>2476</v>
      </c>
      <c r="BV179" s="32">
        <v>0</v>
      </c>
      <c r="BW179" s="32">
        <v>0</v>
      </c>
      <c r="BX179" s="32">
        <v>0</v>
      </c>
      <c r="BY179" s="32">
        <v>0</v>
      </c>
      <c r="BZ179" s="32">
        <v>0</v>
      </c>
      <c r="CA179" s="32">
        <v>0</v>
      </c>
      <c r="CB179" s="125" t="s">
        <v>2805</v>
      </c>
      <c r="CC179" s="125" t="s">
        <v>500</v>
      </c>
      <c r="CD179" s="125"/>
      <c r="CE179" s="125" t="s">
        <v>501</v>
      </c>
      <c r="CF179" s="125" t="s">
        <v>2806</v>
      </c>
      <c r="CG179" s="125" t="s">
        <v>2807</v>
      </c>
      <c r="CH179" s="125" t="s">
        <v>526</v>
      </c>
      <c r="CI179" s="125" t="s">
        <v>2807</v>
      </c>
      <c r="CJ179" s="125" t="s">
        <v>212</v>
      </c>
      <c r="CK179" s="125"/>
      <c r="CL179" s="125" t="s">
        <v>212</v>
      </c>
      <c r="CM179" s="125"/>
      <c r="CN179" s="125" t="s">
        <v>254</v>
      </c>
      <c r="CO179" s="125" t="s">
        <v>265</v>
      </c>
      <c r="CP179" s="125" t="s">
        <v>2808</v>
      </c>
      <c r="CQ179" s="125" t="s">
        <v>2809</v>
      </c>
      <c r="CR179" s="125" t="s">
        <v>2810</v>
      </c>
      <c r="CS179" s="125" t="s">
        <v>2811</v>
      </c>
      <c r="CT179" s="125" t="s">
        <v>254</v>
      </c>
      <c r="CU179" s="125" t="s">
        <v>265</v>
      </c>
      <c r="CV179" s="125" t="s">
        <v>2808</v>
      </c>
      <c r="CW179" s="125" t="s">
        <v>2809</v>
      </c>
      <c r="CX179" s="125" t="s">
        <v>2810</v>
      </c>
      <c r="CY179" s="125" t="s">
        <v>547</v>
      </c>
      <c r="CZ179" s="125" t="s">
        <v>1155</v>
      </c>
      <c r="DA179" s="125" t="s">
        <v>2812</v>
      </c>
      <c r="DB179" s="125" t="s">
        <v>547</v>
      </c>
      <c r="DC179" s="125" t="s">
        <v>1155</v>
      </c>
      <c r="DD179" s="125" t="s">
        <v>2812</v>
      </c>
      <c r="DE179" s="125" t="s">
        <v>2813</v>
      </c>
      <c r="DF179" s="126" t="s">
        <v>2814</v>
      </c>
      <c r="DG179" s="27" cm="1">
        <f t="array" ref="DG179">INDEX('elenco partner'!A:M,MATCH(1,(D179='elenco partner'!A:A)*('Partner data'!M179='elenco partner'!E:E),0),4)</f>
        <v>481</v>
      </c>
      <c r="DH179" s="83" t="str">
        <f t="shared" si="67"/>
        <v>Tasso Forfettario 20%</v>
      </c>
      <c r="DI179" s="20">
        <f>COUNTIFS('MY-REPORT-MAIN'!C:C,'Partner data'!DG179,'MY-REPORT-MAIN'!I:I,"Certified")</f>
        <v>0</v>
      </c>
      <c r="DJ179" s="20">
        <f>COUNTIFS(List_Of_chek_list!M:M,"&lt;&gt;26",List_Of_chek_list!B:B,'Partner data'!DG179)</f>
        <v>0</v>
      </c>
      <c r="DK179" s="20">
        <f t="shared" si="68"/>
        <v>0</v>
      </c>
      <c r="DL179" s="19" t="e">
        <f>IF(DH179="Tasso Forfettario 20%",SUMIFS(List_Of_chek_list!#REF!,List_Of_chek_list!B:B,'Partner data'!DG179),"NON PERTINENTE")</f>
        <v>#REF!</v>
      </c>
      <c r="DM179" s="19" t="e">
        <f t="shared" si="69"/>
        <v>#REF!</v>
      </c>
      <c r="DN179" s="110">
        <f>_xlfn.MAXIFS('MY-REPORT-MAIN'!K:K,'MY-REPORT-MAIN'!C:C,DG179)</f>
        <v>0</v>
      </c>
      <c r="DO179" s="112" t="str">
        <f>IF(_xlfn.MAXIFS('MY-REPORT-MAIN'!M:M,'MY-REPORT-MAIN'!C:C,DG179)=0,"Nessun rendiconto  Convalidato",_xlfn.MAXIFS('MY-REPORT-MAIN'!M:M,'MY-REPORT-MAIN'!C:C,DG179))</f>
        <v>Nessun rendiconto  Convalidato</v>
      </c>
      <c r="DP179" s="113" t="str" cm="1">
        <f t="array" ref="DP179">IFERROR(INDEX('MY-REPORT-MAIN'!A:Z,MATCH(1,(DO179='MY-REPORT-MAIN'!M:M)*('Partner data'!DG179='MY-REPORT-MAIN'!C:C),0),1),"NON è stato convalidato ancora nessun rendiconto")</f>
        <v>NON è stato convalidato ancora nessun rendiconto</v>
      </c>
      <c r="DQ179" s="111" t="str">
        <f>IFERROR(INDEX('MY-REPORT-MAIN'!A:Z,MATCH('Partner data'!DP179,'MY-REPORT-MAIN'!A:A,0),21),"Nessun Rendiconto ancora convalidato")</f>
        <v>Nessun Rendiconto ancora convalidato</v>
      </c>
      <c r="DR179" s="110" t="e">
        <f>INDEX('Interreg VI-A Italy-Slovenia_pr'!A:E,MATCH('Partner data'!C179,'Interreg VI-A Italy-Slovenia_pr'!A:A,0),3)</f>
        <v>#N/A</v>
      </c>
      <c r="DS179" s="118">
        <f t="shared" si="48"/>
        <v>2476</v>
      </c>
      <c r="DT179" s="118">
        <f t="shared" si="49"/>
        <v>23522</v>
      </c>
      <c r="DU179" s="118">
        <f t="shared" si="50"/>
        <v>69328</v>
      </c>
      <c r="DV179" s="118">
        <f t="shared" si="51"/>
        <v>133704</v>
      </c>
      <c r="DW179" s="118">
        <f t="shared" si="52"/>
        <v>136180</v>
      </c>
      <c r="DX179" s="118">
        <f t="shared" si="53"/>
        <v>136180</v>
      </c>
      <c r="DY179" s="118">
        <f t="shared" si="54"/>
        <v>136180</v>
      </c>
      <c r="DZ179" s="118">
        <f t="shared" si="55"/>
        <v>136180</v>
      </c>
      <c r="EA179" s="118">
        <f t="shared" si="56"/>
        <v>136180</v>
      </c>
      <c r="EB179" s="118">
        <f t="shared" si="57"/>
        <v>136180</v>
      </c>
    </row>
    <row r="180" spans="1:132" ht="45" x14ac:dyDescent="0.25">
      <c r="A180" s="121">
        <v>6</v>
      </c>
      <c r="B180" s="122" t="s">
        <v>2688</v>
      </c>
      <c r="C180" s="123" t="s">
        <v>2793</v>
      </c>
      <c r="D180" s="123" t="s">
        <v>2794</v>
      </c>
      <c r="E180" s="123" t="s">
        <v>2795</v>
      </c>
      <c r="F180" s="123" t="s">
        <v>1118</v>
      </c>
      <c r="G180" s="123" t="s">
        <v>6118</v>
      </c>
      <c r="H180" s="123" t="s">
        <v>766</v>
      </c>
      <c r="I180" s="123" t="s">
        <v>767</v>
      </c>
      <c r="J180" s="124" t="s">
        <v>538</v>
      </c>
      <c r="K180" s="124" t="s">
        <v>495</v>
      </c>
      <c r="L180" s="124" t="s">
        <v>519</v>
      </c>
      <c r="M180" s="124" t="s">
        <v>51</v>
      </c>
      <c r="N180" s="124" t="s">
        <v>916</v>
      </c>
      <c r="O180" s="124" t="s">
        <v>916</v>
      </c>
      <c r="P180" s="124" t="s">
        <v>254</v>
      </c>
      <c r="Q180" s="124" t="s">
        <v>540</v>
      </c>
      <c r="R180" s="124" t="s">
        <v>260</v>
      </c>
      <c r="S180" s="32">
        <v>134848</v>
      </c>
      <c r="T180" s="32">
        <v>80</v>
      </c>
      <c r="U180" s="32">
        <v>16.77</v>
      </c>
      <c r="V180" s="32">
        <v>0</v>
      </c>
      <c r="W180" s="32">
        <v>0</v>
      </c>
      <c r="X180" s="32">
        <v>0</v>
      </c>
      <c r="Y180" s="32">
        <v>0</v>
      </c>
      <c r="Z180" s="32">
        <v>0</v>
      </c>
      <c r="AA180" s="32">
        <v>0</v>
      </c>
      <c r="AB180" s="32">
        <v>0</v>
      </c>
      <c r="AC180" s="32">
        <v>0</v>
      </c>
      <c r="AD180" s="32">
        <v>0</v>
      </c>
      <c r="AE180" s="32">
        <v>0</v>
      </c>
      <c r="AF180" s="32">
        <v>0</v>
      </c>
      <c r="AG180" s="32">
        <v>0</v>
      </c>
      <c r="AH180" s="32">
        <v>0</v>
      </c>
      <c r="AI180" s="32">
        <v>0</v>
      </c>
      <c r="AJ180" s="32">
        <v>0</v>
      </c>
      <c r="AK180" s="32">
        <v>0</v>
      </c>
      <c r="AL180" s="32">
        <v>0</v>
      </c>
      <c r="AM180" s="32">
        <v>0</v>
      </c>
      <c r="AN180" s="32">
        <v>0</v>
      </c>
      <c r="AO180" s="32">
        <v>33712</v>
      </c>
      <c r="AP180" s="32">
        <v>0</v>
      </c>
      <c r="AQ180" s="32">
        <v>33712</v>
      </c>
      <c r="AR180" s="32">
        <v>168560</v>
      </c>
      <c r="AS180" s="32">
        <v>16.77</v>
      </c>
      <c r="AT180" s="32">
        <v>120400</v>
      </c>
      <c r="AU180" s="32">
        <v>0</v>
      </c>
      <c r="AV180" s="32">
        <v>0</v>
      </c>
      <c r="AW180" s="32">
        <v>120400</v>
      </c>
      <c r="AX180" s="32">
        <v>0</v>
      </c>
      <c r="AY180" s="32">
        <v>0</v>
      </c>
      <c r="AZ180" s="32">
        <v>0</v>
      </c>
      <c r="BA180" s="32">
        <v>0</v>
      </c>
      <c r="BB180" s="32">
        <v>0</v>
      </c>
      <c r="BC180" s="32">
        <v>0</v>
      </c>
      <c r="BD180" s="32">
        <v>0</v>
      </c>
      <c r="BE180" s="32">
        <v>0</v>
      </c>
      <c r="BF180" s="32">
        <v>0</v>
      </c>
      <c r="BG180" s="32">
        <v>0</v>
      </c>
      <c r="BH180" s="32">
        <v>0</v>
      </c>
      <c r="BI180" s="32">
        <v>0</v>
      </c>
      <c r="BJ180" s="32">
        <v>0</v>
      </c>
      <c r="BK180" s="32">
        <v>0</v>
      </c>
      <c r="BL180" s="32">
        <v>0</v>
      </c>
      <c r="BM180" s="32">
        <v>48160</v>
      </c>
      <c r="BN180" s="32">
        <v>0</v>
      </c>
      <c r="BO180" s="32">
        <v>0</v>
      </c>
      <c r="BP180" s="32">
        <v>0</v>
      </c>
      <c r="BQ180" s="32">
        <v>33712</v>
      </c>
      <c r="BR180" s="32">
        <v>33712</v>
      </c>
      <c r="BS180" s="32">
        <v>33712</v>
      </c>
      <c r="BT180" s="32">
        <v>33712</v>
      </c>
      <c r="BU180" s="32">
        <v>33712</v>
      </c>
      <c r="BV180" s="32">
        <v>0</v>
      </c>
      <c r="BW180" s="32">
        <v>0</v>
      </c>
      <c r="BX180" s="32">
        <v>0</v>
      </c>
      <c r="BY180" s="32">
        <v>0</v>
      </c>
      <c r="BZ180" s="32">
        <v>0</v>
      </c>
      <c r="CA180" s="32">
        <v>0</v>
      </c>
      <c r="CB180" s="125" t="s">
        <v>2815</v>
      </c>
      <c r="CC180" s="125" t="s">
        <v>675</v>
      </c>
      <c r="CD180" s="125" t="s">
        <v>706</v>
      </c>
      <c r="CE180" s="125" t="s">
        <v>501</v>
      </c>
      <c r="CF180" s="125" t="s">
        <v>685</v>
      </c>
      <c r="CG180" s="125" t="s">
        <v>2148</v>
      </c>
      <c r="CH180" s="125" t="s">
        <v>504</v>
      </c>
      <c r="CI180" s="125"/>
      <c r="CJ180" s="125" t="s">
        <v>212</v>
      </c>
      <c r="CK180" s="125" t="s">
        <v>918</v>
      </c>
      <c r="CL180" s="125" t="s">
        <v>212</v>
      </c>
      <c r="CM180" s="125"/>
      <c r="CN180" s="125" t="s">
        <v>254</v>
      </c>
      <c r="CO180" s="125" t="s">
        <v>260</v>
      </c>
      <c r="CP180" s="125" t="s">
        <v>2816</v>
      </c>
      <c r="CQ180" s="125" t="s">
        <v>2817</v>
      </c>
      <c r="CR180" s="125" t="s">
        <v>599</v>
      </c>
      <c r="CS180" s="125" t="s">
        <v>2818</v>
      </c>
      <c r="CT180" s="125" t="s">
        <v>254</v>
      </c>
      <c r="CU180" s="125" t="s">
        <v>260</v>
      </c>
      <c r="CV180" s="125" t="s">
        <v>2816</v>
      </c>
      <c r="CW180" s="125" t="s">
        <v>2817</v>
      </c>
      <c r="CX180" s="125" t="s">
        <v>599</v>
      </c>
      <c r="CY180" s="125" t="s">
        <v>531</v>
      </c>
      <c r="CZ180" s="125" t="s">
        <v>921</v>
      </c>
      <c r="DA180" s="125" t="s">
        <v>922</v>
      </c>
      <c r="DB180" s="125" t="s">
        <v>531</v>
      </c>
      <c r="DC180" s="125" t="s">
        <v>923</v>
      </c>
      <c r="DD180" s="125" t="s">
        <v>924</v>
      </c>
      <c r="DE180" s="125" t="s">
        <v>925</v>
      </c>
      <c r="DF180" s="126" t="s">
        <v>2819</v>
      </c>
      <c r="DG180" s="27" cm="1">
        <f t="array" ref="DG180">INDEX('elenco partner'!A:M,MATCH(1,(D180='elenco partner'!A:A)*('Partner data'!M180='elenco partner'!E:E),0),4)</f>
        <v>482</v>
      </c>
      <c r="DH180" s="83" t="str">
        <f t="shared" si="67"/>
        <v>Costo Unitario Standard</v>
      </c>
      <c r="DI180" s="20">
        <f>COUNTIFS('MY-REPORT-MAIN'!C:C,'Partner data'!DG180,'MY-REPORT-MAIN'!I:I,"Certified")</f>
        <v>0</v>
      </c>
      <c r="DJ180" s="20">
        <f>COUNTIFS(List_Of_chek_list!M:M,"&lt;&gt;26",List_Of_chek_list!B:B,'Partner data'!DG180)</f>
        <v>0</v>
      </c>
      <c r="DK180" s="20">
        <f t="shared" si="68"/>
        <v>0</v>
      </c>
      <c r="DL180" s="19" t="str">
        <f>IF(DH180="Tasso Forfettario 20%",SUMIFS(List_Of_chek_list!#REF!,List_Of_chek_list!B:B,'Partner data'!DG180),"NON PERTINENTE")</f>
        <v>NON PERTINENTE</v>
      </c>
      <c r="DM180" s="19" t="str">
        <f t="shared" si="69"/>
        <v>NON PERTINENTE</v>
      </c>
      <c r="DN180" s="110">
        <f>_xlfn.MAXIFS('MY-REPORT-MAIN'!K:K,'MY-REPORT-MAIN'!C:C,DG180)</f>
        <v>0</v>
      </c>
      <c r="DO180" s="112" t="str">
        <f>IF(_xlfn.MAXIFS('MY-REPORT-MAIN'!M:M,'MY-REPORT-MAIN'!C:C,DG180)=0,"Nessun rendiconto  Convalidato",_xlfn.MAXIFS('MY-REPORT-MAIN'!M:M,'MY-REPORT-MAIN'!C:C,DG180))</f>
        <v>Nessun rendiconto  Convalidato</v>
      </c>
      <c r="DP180" s="113" t="str" cm="1">
        <f t="array" ref="DP180">IFERROR(INDEX('MY-REPORT-MAIN'!A:Z,MATCH(1,(DO180='MY-REPORT-MAIN'!M:M)*('Partner data'!DG180='MY-REPORT-MAIN'!C:C),0),1),"NON è stato convalidato ancora nessun rendiconto")</f>
        <v>NON è stato convalidato ancora nessun rendiconto</v>
      </c>
      <c r="DQ180" s="111" t="str">
        <f>IFERROR(INDEX('MY-REPORT-MAIN'!A:Z,MATCH('Partner data'!DP180,'MY-REPORT-MAIN'!A:A,0),21),"Nessun Rendiconto ancora convalidato")</f>
        <v>Nessun Rendiconto ancora convalidato</v>
      </c>
      <c r="DR180" s="110" t="e">
        <f>INDEX('Interreg VI-A Italy-Slovenia_pr'!A:E,MATCH('Partner data'!C180,'Interreg VI-A Italy-Slovenia_pr'!A:A,0),3)</f>
        <v>#N/A</v>
      </c>
      <c r="DS180" s="118">
        <f t="shared" si="48"/>
        <v>33712</v>
      </c>
      <c r="DT180" s="118">
        <f t="shared" si="49"/>
        <v>67424</v>
      </c>
      <c r="DU180" s="118">
        <f t="shared" si="50"/>
        <v>101136</v>
      </c>
      <c r="DV180" s="118">
        <f t="shared" si="51"/>
        <v>134848</v>
      </c>
      <c r="DW180" s="118">
        <f t="shared" si="52"/>
        <v>168560</v>
      </c>
      <c r="DX180" s="118">
        <f t="shared" si="53"/>
        <v>168560</v>
      </c>
      <c r="DY180" s="118">
        <f t="shared" si="54"/>
        <v>168560</v>
      </c>
      <c r="DZ180" s="118">
        <f t="shared" si="55"/>
        <v>168560</v>
      </c>
      <c r="EA180" s="118">
        <f t="shared" si="56"/>
        <v>168560</v>
      </c>
      <c r="EB180" s="118">
        <f t="shared" si="57"/>
        <v>168560</v>
      </c>
    </row>
    <row r="181" spans="1:132" ht="45" x14ac:dyDescent="0.25">
      <c r="A181" s="121">
        <v>6</v>
      </c>
      <c r="B181" s="122" t="s">
        <v>2688</v>
      </c>
      <c r="C181" s="123" t="s">
        <v>2793</v>
      </c>
      <c r="D181" s="123" t="s">
        <v>2794</v>
      </c>
      <c r="E181" s="123" t="s">
        <v>2795</v>
      </c>
      <c r="F181" s="123" t="s">
        <v>1118</v>
      </c>
      <c r="G181" s="123" t="s">
        <v>6118</v>
      </c>
      <c r="H181" s="123" t="s">
        <v>766</v>
      </c>
      <c r="I181" s="123" t="s">
        <v>767</v>
      </c>
      <c r="J181" s="124" t="s">
        <v>554</v>
      </c>
      <c r="K181" s="124" t="s">
        <v>495</v>
      </c>
      <c r="L181" s="124" t="s">
        <v>519</v>
      </c>
      <c r="M181" s="124" t="s">
        <v>2820</v>
      </c>
      <c r="N181" s="124" t="s">
        <v>2821</v>
      </c>
      <c r="O181" s="124" t="s">
        <v>2822</v>
      </c>
      <c r="P181" s="124" t="s">
        <v>257</v>
      </c>
      <c r="Q181" s="124" t="s">
        <v>556</v>
      </c>
      <c r="R181" s="124" t="s">
        <v>267</v>
      </c>
      <c r="S181" s="32">
        <v>148560</v>
      </c>
      <c r="T181" s="32">
        <v>80</v>
      </c>
      <c r="U181" s="32">
        <v>18.48</v>
      </c>
      <c r="V181" s="32">
        <v>0</v>
      </c>
      <c r="W181" s="32">
        <v>0</v>
      </c>
      <c r="X181" s="32">
        <v>0</v>
      </c>
      <c r="Y181" s="32">
        <v>0</v>
      </c>
      <c r="Z181" s="32">
        <v>0</v>
      </c>
      <c r="AA181" s="32">
        <v>0</v>
      </c>
      <c r="AB181" s="32">
        <v>0</v>
      </c>
      <c r="AC181" s="32">
        <v>0</v>
      </c>
      <c r="AD181" s="32">
        <v>0</v>
      </c>
      <c r="AE181" s="32">
        <v>0</v>
      </c>
      <c r="AF181" s="32">
        <v>0</v>
      </c>
      <c r="AG181" s="32">
        <v>0</v>
      </c>
      <c r="AH181" s="32">
        <v>0</v>
      </c>
      <c r="AI181" s="32">
        <v>0</v>
      </c>
      <c r="AJ181" s="32">
        <v>0</v>
      </c>
      <c r="AK181" s="32">
        <v>0</v>
      </c>
      <c r="AL181" s="32">
        <v>0</v>
      </c>
      <c r="AM181" s="32">
        <v>0</v>
      </c>
      <c r="AN181" s="32">
        <v>37140</v>
      </c>
      <c r="AO181" s="32">
        <v>0</v>
      </c>
      <c r="AP181" s="32">
        <v>0</v>
      </c>
      <c r="AQ181" s="32">
        <v>37140</v>
      </c>
      <c r="AR181" s="32">
        <v>185700</v>
      </c>
      <c r="AS181" s="32">
        <v>18.48</v>
      </c>
      <c r="AT181" s="32">
        <v>30000</v>
      </c>
      <c r="AU181" s="32">
        <v>30000</v>
      </c>
      <c r="AV181" s="32">
        <v>0</v>
      </c>
      <c r="AW181" s="32">
        <v>0</v>
      </c>
      <c r="AX181" s="32">
        <v>4500</v>
      </c>
      <c r="AY181" s="32">
        <v>4500</v>
      </c>
      <c r="AZ181" s="32">
        <v>1200</v>
      </c>
      <c r="BA181" s="32">
        <v>1200</v>
      </c>
      <c r="BB181" s="32">
        <v>0</v>
      </c>
      <c r="BC181" s="32">
        <v>0</v>
      </c>
      <c r="BD181" s="32">
        <v>92000</v>
      </c>
      <c r="BE181" s="32">
        <v>92000</v>
      </c>
      <c r="BF181" s="32">
        <v>0</v>
      </c>
      <c r="BG181" s="32">
        <v>58000</v>
      </c>
      <c r="BH181" s="32">
        <v>58000</v>
      </c>
      <c r="BI181" s="32">
        <v>0</v>
      </c>
      <c r="BJ181" s="32">
        <v>0</v>
      </c>
      <c r="BK181" s="32">
        <v>0</v>
      </c>
      <c r="BL181" s="32">
        <v>0</v>
      </c>
      <c r="BM181" s="32">
        <v>0</v>
      </c>
      <c r="BN181" s="32">
        <v>0</v>
      </c>
      <c r="BO181" s="32">
        <v>0</v>
      </c>
      <c r="BP181" s="32">
        <v>0</v>
      </c>
      <c r="BQ181" s="32">
        <v>9656.4</v>
      </c>
      <c r="BR181" s="32">
        <v>28845.4</v>
      </c>
      <c r="BS181" s="32">
        <v>65366.400000000001</v>
      </c>
      <c r="BT181" s="32">
        <v>72175.399999999994</v>
      </c>
      <c r="BU181" s="32">
        <v>9656.4</v>
      </c>
      <c r="BV181" s="32">
        <v>0</v>
      </c>
      <c r="BW181" s="32">
        <v>0</v>
      </c>
      <c r="BX181" s="32">
        <v>0</v>
      </c>
      <c r="BY181" s="32">
        <v>0</v>
      </c>
      <c r="BZ181" s="32">
        <v>0</v>
      </c>
      <c r="CA181" s="32">
        <v>0</v>
      </c>
      <c r="CB181" s="125" t="s">
        <v>2823</v>
      </c>
      <c r="CC181" s="125" t="s">
        <v>522</v>
      </c>
      <c r="CD181" s="125"/>
      <c r="CE181" s="125" t="s">
        <v>523</v>
      </c>
      <c r="CF181" s="125" t="s">
        <v>636</v>
      </c>
      <c r="CG181" s="125" t="s">
        <v>2824</v>
      </c>
      <c r="CH181" s="125" t="s">
        <v>526</v>
      </c>
      <c r="CI181" s="125"/>
      <c r="CJ181" s="125" t="s">
        <v>212</v>
      </c>
      <c r="CK181" s="125" t="s">
        <v>2825</v>
      </c>
      <c r="CL181" s="125" t="s">
        <v>212</v>
      </c>
      <c r="CM181" s="125"/>
      <c r="CN181" s="125" t="s">
        <v>257</v>
      </c>
      <c r="CO181" s="125" t="s">
        <v>267</v>
      </c>
      <c r="CP181" s="125" t="s">
        <v>2826</v>
      </c>
      <c r="CQ181" s="125" t="s">
        <v>2827</v>
      </c>
      <c r="CR181" s="125" t="s">
        <v>2828</v>
      </c>
      <c r="CS181" s="125" t="s">
        <v>2829</v>
      </c>
      <c r="CT181" s="125" t="s">
        <v>257</v>
      </c>
      <c r="CU181" s="125" t="s">
        <v>267</v>
      </c>
      <c r="CV181" s="125" t="s">
        <v>2826</v>
      </c>
      <c r="CW181" s="125" t="s">
        <v>2827</v>
      </c>
      <c r="CX181" s="125" t="s">
        <v>2828</v>
      </c>
      <c r="CY181" s="125" t="s">
        <v>531</v>
      </c>
      <c r="CZ181" s="125" t="s">
        <v>2830</v>
      </c>
      <c r="DA181" s="125" t="s">
        <v>2831</v>
      </c>
      <c r="DB181" s="125" t="s">
        <v>547</v>
      </c>
      <c r="DC181" s="125" t="s">
        <v>2832</v>
      </c>
      <c r="DD181" s="125" t="s">
        <v>2833</v>
      </c>
      <c r="DE181" s="125" t="s">
        <v>2834</v>
      </c>
      <c r="DF181" s="126" t="s">
        <v>2835</v>
      </c>
      <c r="DG181" s="27" cm="1">
        <f t="array" ref="DG181">INDEX('elenco partner'!A:M,MATCH(1,(D181='elenco partner'!A:A)*('Partner data'!M181='elenco partner'!E:E),0),4)</f>
        <v>483</v>
      </c>
      <c r="DH181" s="83" t="str">
        <f t="shared" si="67"/>
        <v>Tasso Forfettario 20%</v>
      </c>
      <c r="DI181" s="20">
        <f>COUNTIFS('MY-REPORT-MAIN'!C:C,'Partner data'!DG181,'MY-REPORT-MAIN'!I:I,"Certified")</f>
        <v>0</v>
      </c>
      <c r="DJ181" s="20">
        <f>COUNTIFS(List_Of_chek_list!M:M,"&lt;&gt;26",List_Of_chek_list!B:B,'Partner data'!DG181)</f>
        <v>0</v>
      </c>
      <c r="DK181" s="20">
        <f t="shared" si="68"/>
        <v>0</v>
      </c>
      <c r="DL181" s="19" t="e">
        <f>IF(DH181="Tasso Forfettario 20%",SUMIFS(List_Of_chek_list!#REF!,List_Of_chek_list!B:B,'Partner data'!DG181),"NON PERTINENTE")</f>
        <v>#REF!</v>
      </c>
      <c r="DM181" s="19" t="e">
        <f t="shared" si="69"/>
        <v>#REF!</v>
      </c>
      <c r="DN181" s="110">
        <f>_xlfn.MAXIFS('MY-REPORT-MAIN'!K:K,'MY-REPORT-MAIN'!C:C,DG181)</f>
        <v>0</v>
      </c>
      <c r="DO181" s="112" t="str">
        <f>IF(_xlfn.MAXIFS('MY-REPORT-MAIN'!M:M,'MY-REPORT-MAIN'!C:C,DG181)=0,"Nessun rendiconto  Convalidato",_xlfn.MAXIFS('MY-REPORT-MAIN'!M:M,'MY-REPORT-MAIN'!C:C,DG181))</f>
        <v>Nessun rendiconto  Convalidato</v>
      </c>
      <c r="DP181" s="113" t="str" cm="1">
        <f t="array" ref="DP181">IFERROR(INDEX('MY-REPORT-MAIN'!A:Z,MATCH(1,(DO181='MY-REPORT-MAIN'!M:M)*('Partner data'!DG181='MY-REPORT-MAIN'!C:C),0),1),"NON è stato convalidato ancora nessun rendiconto")</f>
        <v>NON è stato convalidato ancora nessun rendiconto</v>
      </c>
      <c r="DQ181" s="111" t="str">
        <f>IFERROR(INDEX('MY-REPORT-MAIN'!A:Z,MATCH('Partner data'!DP181,'MY-REPORT-MAIN'!A:A,0),21),"Nessun Rendiconto ancora convalidato")</f>
        <v>Nessun Rendiconto ancora convalidato</v>
      </c>
      <c r="DR181" s="110" t="e">
        <f>INDEX('Interreg VI-A Italy-Slovenia_pr'!A:E,MATCH('Partner data'!C181,'Interreg VI-A Italy-Slovenia_pr'!A:A,0),3)</f>
        <v>#N/A</v>
      </c>
      <c r="DS181" s="118">
        <f t="shared" si="48"/>
        <v>9656.4</v>
      </c>
      <c r="DT181" s="118">
        <f t="shared" si="49"/>
        <v>38501.800000000003</v>
      </c>
      <c r="DU181" s="118">
        <f t="shared" si="50"/>
        <v>103868.20000000001</v>
      </c>
      <c r="DV181" s="118">
        <f t="shared" si="51"/>
        <v>176043.6</v>
      </c>
      <c r="DW181" s="118">
        <f t="shared" si="52"/>
        <v>185700</v>
      </c>
      <c r="DX181" s="118">
        <f t="shared" si="53"/>
        <v>185700</v>
      </c>
      <c r="DY181" s="118">
        <f t="shared" si="54"/>
        <v>185700</v>
      </c>
      <c r="DZ181" s="118">
        <f t="shared" si="55"/>
        <v>185700</v>
      </c>
      <c r="EA181" s="118">
        <f t="shared" si="56"/>
        <v>185700</v>
      </c>
      <c r="EB181" s="118">
        <f t="shared" si="57"/>
        <v>185700</v>
      </c>
    </row>
    <row r="182" spans="1:132" ht="45" x14ac:dyDescent="0.25">
      <c r="A182" s="121">
        <v>6</v>
      </c>
      <c r="B182" s="122" t="s">
        <v>2688</v>
      </c>
      <c r="C182" s="123" t="s">
        <v>2793</v>
      </c>
      <c r="D182" s="123" t="s">
        <v>2794</v>
      </c>
      <c r="E182" s="123" t="s">
        <v>2795</v>
      </c>
      <c r="F182" s="123" t="s">
        <v>1118</v>
      </c>
      <c r="G182" s="123" t="s">
        <v>6118</v>
      </c>
      <c r="H182" s="123" t="s">
        <v>766</v>
      </c>
      <c r="I182" s="123" t="s">
        <v>767</v>
      </c>
      <c r="J182" s="124" t="s">
        <v>570</v>
      </c>
      <c r="K182" s="124" t="s">
        <v>495</v>
      </c>
      <c r="L182" s="124" t="s">
        <v>519</v>
      </c>
      <c r="M182" s="124" t="s">
        <v>2836</v>
      </c>
      <c r="N182" s="124" t="s">
        <v>2837</v>
      </c>
      <c r="O182" s="124" t="s">
        <v>2838</v>
      </c>
      <c r="P182" s="124" t="s">
        <v>257</v>
      </c>
      <c r="Q182" s="124" t="s">
        <v>556</v>
      </c>
      <c r="R182" s="124" t="s">
        <v>267</v>
      </c>
      <c r="S182" s="32">
        <v>106184.96000000001</v>
      </c>
      <c r="T182" s="32">
        <v>80</v>
      </c>
      <c r="U182" s="32">
        <v>13.21</v>
      </c>
      <c r="V182" s="32">
        <v>0</v>
      </c>
      <c r="W182" s="32">
        <v>0</v>
      </c>
      <c r="X182" s="32">
        <v>0</v>
      </c>
      <c r="Y182" s="32">
        <v>0</v>
      </c>
      <c r="Z182" s="32">
        <v>0</v>
      </c>
      <c r="AA182" s="32">
        <v>0</v>
      </c>
      <c r="AB182" s="32">
        <v>0</v>
      </c>
      <c r="AC182" s="32">
        <v>0</v>
      </c>
      <c r="AD182" s="32">
        <v>0</v>
      </c>
      <c r="AE182" s="32">
        <v>0</v>
      </c>
      <c r="AF182" s="32">
        <v>0</v>
      </c>
      <c r="AG182" s="32">
        <v>0</v>
      </c>
      <c r="AH182" s="32">
        <v>0</v>
      </c>
      <c r="AI182" s="32">
        <v>0</v>
      </c>
      <c r="AJ182" s="32">
        <v>0</v>
      </c>
      <c r="AK182" s="32">
        <v>0</v>
      </c>
      <c r="AL182" s="32">
        <v>0</v>
      </c>
      <c r="AM182" s="32">
        <v>0</v>
      </c>
      <c r="AN182" s="32">
        <v>26546.240000000002</v>
      </c>
      <c r="AO182" s="32">
        <v>0</v>
      </c>
      <c r="AP182" s="32">
        <v>0</v>
      </c>
      <c r="AQ182" s="32">
        <v>26546.240000000002</v>
      </c>
      <c r="AR182" s="32">
        <v>132731.20000000001</v>
      </c>
      <c r="AS182" s="32">
        <v>13.21</v>
      </c>
      <c r="AT182" s="32">
        <v>94808</v>
      </c>
      <c r="AU182" s="32">
        <v>0</v>
      </c>
      <c r="AV182" s="32">
        <v>94808</v>
      </c>
      <c r="AW182" s="32">
        <v>0</v>
      </c>
      <c r="AX182" s="32">
        <v>0</v>
      </c>
      <c r="AY182" s="32">
        <v>0</v>
      </c>
      <c r="AZ182" s="32">
        <v>0</v>
      </c>
      <c r="BA182" s="32">
        <v>0</v>
      </c>
      <c r="BB182" s="32">
        <v>0</v>
      </c>
      <c r="BC182" s="32">
        <v>0</v>
      </c>
      <c r="BD182" s="32">
        <v>0</v>
      </c>
      <c r="BE182" s="32">
        <v>0</v>
      </c>
      <c r="BF182" s="32">
        <v>0</v>
      </c>
      <c r="BG182" s="32">
        <v>0</v>
      </c>
      <c r="BH182" s="32">
        <v>0</v>
      </c>
      <c r="BI182" s="32">
        <v>0</v>
      </c>
      <c r="BJ182" s="32">
        <v>0</v>
      </c>
      <c r="BK182" s="32">
        <v>0</v>
      </c>
      <c r="BL182" s="32">
        <v>0</v>
      </c>
      <c r="BM182" s="32">
        <v>37923.199999999997</v>
      </c>
      <c r="BN182" s="32">
        <v>0</v>
      </c>
      <c r="BO182" s="32">
        <v>0</v>
      </c>
      <c r="BP182" s="32">
        <v>0</v>
      </c>
      <c r="BQ182" s="32">
        <v>26546.240000000002</v>
      </c>
      <c r="BR182" s="32">
        <v>26546.240000000002</v>
      </c>
      <c r="BS182" s="32">
        <v>26546.240000000002</v>
      </c>
      <c r="BT182" s="32">
        <v>26546.240000000002</v>
      </c>
      <c r="BU182" s="32">
        <v>26546.240000000002</v>
      </c>
      <c r="BV182" s="32">
        <v>0</v>
      </c>
      <c r="BW182" s="32">
        <v>0</v>
      </c>
      <c r="BX182" s="32">
        <v>0</v>
      </c>
      <c r="BY182" s="32">
        <v>0</v>
      </c>
      <c r="BZ182" s="32">
        <v>0</v>
      </c>
      <c r="CA182" s="32">
        <v>0</v>
      </c>
      <c r="CB182" s="125" t="s">
        <v>2839</v>
      </c>
      <c r="CC182" s="125" t="s">
        <v>743</v>
      </c>
      <c r="CD182" s="125"/>
      <c r="CE182" s="125" t="s">
        <v>684</v>
      </c>
      <c r="CF182" s="125" t="s">
        <v>636</v>
      </c>
      <c r="CG182" s="125" t="s">
        <v>2840</v>
      </c>
      <c r="CH182" s="125" t="s">
        <v>526</v>
      </c>
      <c r="CI182" s="125"/>
      <c r="CJ182" s="125" t="s">
        <v>212</v>
      </c>
      <c r="CK182" s="125" t="s">
        <v>2841</v>
      </c>
      <c r="CL182" s="125" t="s">
        <v>212</v>
      </c>
      <c r="CM182" s="125"/>
      <c r="CN182" s="125" t="s">
        <v>257</v>
      </c>
      <c r="CO182" s="125" t="s">
        <v>267</v>
      </c>
      <c r="CP182" s="125" t="s">
        <v>2842</v>
      </c>
      <c r="CQ182" s="125" t="s">
        <v>2827</v>
      </c>
      <c r="CR182" s="125" t="s">
        <v>2828</v>
      </c>
      <c r="CS182" s="125" t="s">
        <v>2843</v>
      </c>
      <c r="CT182" s="125" t="s">
        <v>257</v>
      </c>
      <c r="CU182" s="125" t="s">
        <v>267</v>
      </c>
      <c r="CV182" s="125" t="s">
        <v>2842</v>
      </c>
      <c r="CW182" s="125" t="s">
        <v>2827</v>
      </c>
      <c r="CX182" s="125" t="s">
        <v>2828</v>
      </c>
      <c r="CY182" s="125" t="s">
        <v>547</v>
      </c>
      <c r="CZ182" s="125" t="s">
        <v>2844</v>
      </c>
      <c r="DA182" s="125" t="s">
        <v>2295</v>
      </c>
      <c r="DB182" s="125" t="s">
        <v>547</v>
      </c>
      <c r="DC182" s="125" t="s">
        <v>2845</v>
      </c>
      <c r="DD182" s="125" t="s">
        <v>2846</v>
      </c>
      <c r="DE182" s="125" t="s">
        <v>2847</v>
      </c>
      <c r="DF182" s="126" t="s">
        <v>2848</v>
      </c>
      <c r="DG182" s="27" cm="1">
        <f t="array" ref="DG182">INDEX('elenco partner'!A:M,MATCH(1,(D182='elenco partner'!A:A)*('Partner data'!M182='elenco partner'!E:E),0),4)</f>
        <v>484</v>
      </c>
      <c r="DH182" s="83" t="str">
        <f t="shared" si="67"/>
        <v>COSTO REALE</v>
      </c>
      <c r="DI182" s="20">
        <f>COUNTIFS('MY-REPORT-MAIN'!C:C,'Partner data'!DG182,'MY-REPORT-MAIN'!I:I,"Certified")</f>
        <v>0</v>
      </c>
      <c r="DJ182" s="20">
        <f>COUNTIFS(List_Of_chek_list!M:M,"&lt;&gt;26",List_Of_chek_list!B:B,'Partner data'!DG182)</f>
        <v>0</v>
      </c>
      <c r="DK182" s="20">
        <f t="shared" si="68"/>
        <v>0</v>
      </c>
      <c r="DL182" s="19" t="str">
        <f>IF(DH182="Tasso Forfettario 20%",SUMIFS(List_Of_chek_list!#REF!,List_Of_chek_list!B:B,'Partner data'!DG182),"NON PERTINENTE")</f>
        <v>NON PERTINENTE</v>
      </c>
      <c r="DM182" s="19" t="str">
        <f t="shared" si="69"/>
        <v>NON PERTINENTE</v>
      </c>
      <c r="DN182" s="110">
        <f>_xlfn.MAXIFS('MY-REPORT-MAIN'!K:K,'MY-REPORT-MAIN'!C:C,DG182)</f>
        <v>0</v>
      </c>
      <c r="DO182" s="112" t="str">
        <f>IF(_xlfn.MAXIFS('MY-REPORT-MAIN'!M:M,'MY-REPORT-MAIN'!C:C,DG182)=0,"Nessun rendiconto  Convalidato",_xlfn.MAXIFS('MY-REPORT-MAIN'!M:M,'MY-REPORT-MAIN'!C:C,DG182))</f>
        <v>Nessun rendiconto  Convalidato</v>
      </c>
      <c r="DP182" s="113" t="str" cm="1">
        <f t="array" ref="DP182">IFERROR(INDEX('MY-REPORT-MAIN'!A:Z,MATCH(1,(DO182='MY-REPORT-MAIN'!M:M)*('Partner data'!DG182='MY-REPORT-MAIN'!C:C),0),1),"NON è stato convalidato ancora nessun rendiconto")</f>
        <v>NON è stato convalidato ancora nessun rendiconto</v>
      </c>
      <c r="DQ182" s="111" t="str">
        <f>IFERROR(INDEX('MY-REPORT-MAIN'!A:Z,MATCH('Partner data'!DP182,'MY-REPORT-MAIN'!A:A,0),21),"Nessun Rendiconto ancora convalidato")</f>
        <v>Nessun Rendiconto ancora convalidato</v>
      </c>
      <c r="DR182" s="110" t="e">
        <f>INDEX('Interreg VI-A Italy-Slovenia_pr'!A:E,MATCH('Partner data'!C182,'Interreg VI-A Italy-Slovenia_pr'!A:A,0),3)</f>
        <v>#N/A</v>
      </c>
      <c r="DS182" s="118">
        <f t="shared" si="48"/>
        <v>26546.240000000002</v>
      </c>
      <c r="DT182" s="118">
        <f t="shared" si="49"/>
        <v>53092.480000000003</v>
      </c>
      <c r="DU182" s="118">
        <f t="shared" si="50"/>
        <v>79638.720000000001</v>
      </c>
      <c r="DV182" s="118">
        <f t="shared" si="51"/>
        <v>106184.96000000001</v>
      </c>
      <c r="DW182" s="118">
        <f t="shared" si="52"/>
        <v>132731.20000000001</v>
      </c>
      <c r="DX182" s="118">
        <f t="shared" si="53"/>
        <v>132731.20000000001</v>
      </c>
      <c r="DY182" s="118">
        <f t="shared" si="54"/>
        <v>132731.20000000001</v>
      </c>
      <c r="DZ182" s="118">
        <f t="shared" si="55"/>
        <v>132731.20000000001</v>
      </c>
      <c r="EA182" s="118">
        <f t="shared" si="56"/>
        <v>132731.20000000001</v>
      </c>
      <c r="EB182" s="118">
        <f t="shared" si="57"/>
        <v>132731.20000000001</v>
      </c>
    </row>
    <row r="183" spans="1:132" ht="45" x14ac:dyDescent="0.25">
      <c r="A183" s="121">
        <v>6</v>
      </c>
      <c r="B183" s="122" t="s">
        <v>2688</v>
      </c>
      <c r="C183" s="123" t="s">
        <v>2793</v>
      </c>
      <c r="D183" s="123" t="s">
        <v>2794</v>
      </c>
      <c r="E183" s="123" t="s">
        <v>2795</v>
      </c>
      <c r="F183" s="123" t="s">
        <v>1118</v>
      </c>
      <c r="G183" s="123" t="s">
        <v>6118</v>
      </c>
      <c r="H183" s="123" t="s">
        <v>766</v>
      </c>
      <c r="I183" s="123" t="s">
        <v>767</v>
      </c>
      <c r="J183" s="124" t="s">
        <v>581</v>
      </c>
      <c r="K183" s="124" t="s">
        <v>495</v>
      </c>
      <c r="L183" s="124" t="s">
        <v>519</v>
      </c>
      <c r="M183" s="124" t="s">
        <v>70</v>
      </c>
      <c r="N183" s="124" t="s">
        <v>2698</v>
      </c>
      <c r="O183" s="124" t="s">
        <v>2849</v>
      </c>
      <c r="P183" s="124" t="s">
        <v>257</v>
      </c>
      <c r="Q183" s="124" t="s">
        <v>556</v>
      </c>
      <c r="R183" s="124" t="s">
        <v>269</v>
      </c>
      <c r="S183" s="32">
        <v>130564.22</v>
      </c>
      <c r="T183" s="32">
        <v>80</v>
      </c>
      <c r="U183" s="32">
        <v>16.239999999999998</v>
      </c>
      <c r="V183" s="32">
        <v>0</v>
      </c>
      <c r="W183" s="32">
        <v>0</v>
      </c>
      <c r="X183" s="32">
        <v>0</v>
      </c>
      <c r="Y183" s="32">
        <v>0</v>
      </c>
      <c r="Z183" s="32">
        <v>0</v>
      </c>
      <c r="AA183" s="32">
        <v>0</v>
      </c>
      <c r="AB183" s="32">
        <v>0</v>
      </c>
      <c r="AC183" s="32">
        <v>0</v>
      </c>
      <c r="AD183" s="32">
        <v>0</v>
      </c>
      <c r="AE183" s="32">
        <v>0</v>
      </c>
      <c r="AF183" s="32">
        <v>0</v>
      </c>
      <c r="AG183" s="32">
        <v>0</v>
      </c>
      <c r="AH183" s="32">
        <v>0</v>
      </c>
      <c r="AI183" s="32">
        <v>0</v>
      </c>
      <c r="AJ183" s="32">
        <v>0</v>
      </c>
      <c r="AK183" s="32">
        <v>0</v>
      </c>
      <c r="AL183" s="32">
        <v>0</v>
      </c>
      <c r="AM183" s="32">
        <v>0</v>
      </c>
      <c r="AN183" s="32">
        <v>32641.06</v>
      </c>
      <c r="AO183" s="32">
        <v>0</v>
      </c>
      <c r="AP183" s="32">
        <v>0</v>
      </c>
      <c r="AQ183" s="32">
        <v>32641.06</v>
      </c>
      <c r="AR183" s="32">
        <v>163205.28</v>
      </c>
      <c r="AS183" s="32">
        <v>16.239999999999998</v>
      </c>
      <c r="AT183" s="32">
        <v>116575.2</v>
      </c>
      <c r="AU183" s="32">
        <v>0</v>
      </c>
      <c r="AV183" s="32">
        <v>116575.2</v>
      </c>
      <c r="AW183" s="32">
        <v>0</v>
      </c>
      <c r="AX183" s="32">
        <v>0</v>
      </c>
      <c r="AY183" s="32">
        <v>0</v>
      </c>
      <c r="AZ183" s="32">
        <v>0</v>
      </c>
      <c r="BA183" s="32">
        <v>0</v>
      </c>
      <c r="BB183" s="32">
        <v>0</v>
      </c>
      <c r="BC183" s="32">
        <v>0</v>
      </c>
      <c r="BD183" s="32">
        <v>0</v>
      </c>
      <c r="BE183" s="32">
        <v>0</v>
      </c>
      <c r="BF183" s="32">
        <v>0</v>
      </c>
      <c r="BG183" s="32">
        <v>0</v>
      </c>
      <c r="BH183" s="32">
        <v>0</v>
      </c>
      <c r="BI183" s="32">
        <v>0</v>
      </c>
      <c r="BJ183" s="32">
        <v>0</v>
      </c>
      <c r="BK183" s="32">
        <v>0</v>
      </c>
      <c r="BL183" s="32">
        <v>0</v>
      </c>
      <c r="BM183" s="32">
        <v>46630.080000000002</v>
      </c>
      <c r="BN183" s="32">
        <v>0</v>
      </c>
      <c r="BO183" s="32">
        <v>0</v>
      </c>
      <c r="BP183" s="32">
        <v>0</v>
      </c>
      <c r="BQ183" s="32">
        <v>32641.08</v>
      </c>
      <c r="BR183" s="32">
        <v>32641.07</v>
      </c>
      <c r="BS183" s="32">
        <v>32641.040000000001</v>
      </c>
      <c r="BT183" s="32">
        <v>32641.040000000001</v>
      </c>
      <c r="BU183" s="32">
        <v>32641.05</v>
      </c>
      <c r="BV183" s="32">
        <v>0</v>
      </c>
      <c r="BW183" s="32">
        <v>0</v>
      </c>
      <c r="BX183" s="32">
        <v>0</v>
      </c>
      <c r="BY183" s="32">
        <v>0</v>
      </c>
      <c r="BZ183" s="32">
        <v>0</v>
      </c>
      <c r="CA183" s="32">
        <v>0</v>
      </c>
      <c r="CB183" s="125" t="s">
        <v>212</v>
      </c>
      <c r="CC183" s="125" t="s">
        <v>624</v>
      </c>
      <c r="CD183" s="125"/>
      <c r="CE183" s="125" t="s">
        <v>684</v>
      </c>
      <c r="CF183" s="125" t="s">
        <v>1286</v>
      </c>
      <c r="CG183" s="125" t="s">
        <v>2850</v>
      </c>
      <c r="CH183" s="125" t="s">
        <v>526</v>
      </c>
      <c r="CI183" s="125"/>
      <c r="CJ183" s="125" t="s">
        <v>212</v>
      </c>
      <c r="CK183" s="125" t="s">
        <v>1288</v>
      </c>
      <c r="CL183" s="125" t="s">
        <v>212</v>
      </c>
      <c r="CM183" s="125"/>
      <c r="CN183" s="125" t="s">
        <v>257</v>
      </c>
      <c r="CO183" s="125" t="s">
        <v>269</v>
      </c>
      <c r="CP183" s="125" t="s">
        <v>2851</v>
      </c>
      <c r="CQ183" s="125" t="s">
        <v>760</v>
      </c>
      <c r="CR183" s="125" t="s">
        <v>761</v>
      </c>
      <c r="CS183" s="125" t="s">
        <v>2699</v>
      </c>
      <c r="CT183" s="125" t="s">
        <v>257</v>
      </c>
      <c r="CU183" s="125" t="s">
        <v>269</v>
      </c>
      <c r="CV183" s="125" t="s">
        <v>2851</v>
      </c>
      <c r="CW183" s="125" t="s">
        <v>760</v>
      </c>
      <c r="CX183" s="125" t="s">
        <v>761</v>
      </c>
      <c r="CY183" s="125" t="s">
        <v>2852</v>
      </c>
      <c r="CZ183" s="125" t="s">
        <v>2853</v>
      </c>
      <c r="DA183" s="125" t="s">
        <v>2854</v>
      </c>
      <c r="DB183" s="125" t="s">
        <v>2855</v>
      </c>
      <c r="DC183" s="125" t="s">
        <v>1680</v>
      </c>
      <c r="DD183" s="125" t="s">
        <v>2856</v>
      </c>
      <c r="DE183" s="125" t="s">
        <v>2857</v>
      </c>
      <c r="DF183" s="126" t="s">
        <v>2858</v>
      </c>
      <c r="DG183" s="27" cm="1">
        <f t="array" ref="DG183">INDEX('elenco partner'!A:M,MATCH(1,(D183='elenco partner'!A:A)*('Partner data'!M183='elenco partner'!E:E),0),4)</f>
        <v>485</v>
      </c>
      <c r="DH183" s="83" t="str">
        <f t="shared" si="67"/>
        <v>COSTO REALE</v>
      </c>
      <c r="DI183" s="20">
        <f>COUNTIFS('MY-REPORT-MAIN'!C:C,'Partner data'!DG183,'MY-REPORT-MAIN'!I:I,"Certified")</f>
        <v>0</v>
      </c>
      <c r="DJ183" s="20">
        <f>COUNTIFS(List_Of_chek_list!M:M,"&lt;&gt;26",List_Of_chek_list!B:B,'Partner data'!DG183)</f>
        <v>0</v>
      </c>
      <c r="DK183" s="20">
        <f t="shared" si="68"/>
        <v>0</v>
      </c>
      <c r="DL183" s="19" t="str">
        <f>IF(DH183="Tasso Forfettario 20%",SUMIFS(List_Of_chek_list!#REF!,List_Of_chek_list!B:B,'Partner data'!DG183),"NON PERTINENTE")</f>
        <v>NON PERTINENTE</v>
      </c>
      <c r="DM183" s="19" t="str">
        <f t="shared" si="69"/>
        <v>NON PERTINENTE</v>
      </c>
      <c r="DN183" s="110">
        <f>_xlfn.MAXIFS('MY-REPORT-MAIN'!K:K,'MY-REPORT-MAIN'!C:C,DG183)</f>
        <v>0</v>
      </c>
      <c r="DO183" s="112" t="str">
        <f>IF(_xlfn.MAXIFS('MY-REPORT-MAIN'!M:M,'MY-REPORT-MAIN'!C:C,DG183)=0,"Nessun rendiconto  Convalidato",_xlfn.MAXIFS('MY-REPORT-MAIN'!M:M,'MY-REPORT-MAIN'!C:C,DG183))</f>
        <v>Nessun rendiconto  Convalidato</v>
      </c>
      <c r="DP183" s="113" t="str" cm="1">
        <f t="array" ref="DP183">IFERROR(INDEX('MY-REPORT-MAIN'!A:Z,MATCH(1,(DO183='MY-REPORT-MAIN'!M:M)*('Partner data'!DG183='MY-REPORT-MAIN'!C:C),0),1),"NON è stato convalidato ancora nessun rendiconto")</f>
        <v>NON è stato convalidato ancora nessun rendiconto</v>
      </c>
      <c r="DQ183" s="111" t="str">
        <f>IFERROR(INDEX('MY-REPORT-MAIN'!A:Z,MATCH('Partner data'!DP183,'MY-REPORT-MAIN'!A:A,0),21),"Nessun Rendiconto ancora convalidato")</f>
        <v>Nessun Rendiconto ancora convalidato</v>
      </c>
      <c r="DR183" s="110" t="e">
        <f>INDEX('Interreg VI-A Italy-Slovenia_pr'!A:E,MATCH('Partner data'!C183,'Interreg VI-A Italy-Slovenia_pr'!A:A,0),3)</f>
        <v>#N/A</v>
      </c>
      <c r="DS183" s="118">
        <f t="shared" si="48"/>
        <v>32641.08</v>
      </c>
      <c r="DT183" s="118">
        <f t="shared" si="49"/>
        <v>65282.15</v>
      </c>
      <c r="DU183" s="118">
        <f t="shared" si="50"/>
        <v>97923.19</v>
      </c>
      <c r="DV183" s="118">
        <f t="shared" si="51"/>
        <v>130564.23000000001</v>
      </c>
      <c r="DW183" s="118">
        <f t="shared" si="52"/>
        <v>163205.28</v>
      </c>
      <c r="DX183" s="118">
        <f t="shared" si="53"/>
        <v>163205.28</v>
      </c>
      <c r="DY183" s="118">
        <f t="shared" si="54"/>
        <v>163205.28</v>
      </c>
      <c r="DZ183" s="118">
        <f t="shared" si="55"/>
        <v>163205.28</v>
      </c>
      <c r="EA183" s="118">
        <f t="shared" si="56"/>
        <v>163205.28</v>
      </c>
      <c r="EB183" s="118">
        <f t="shared" si="57"/>
        <v>163205.28</v>
      </c>
    </row>
    <row r="184" spans="1:132" ht="45" x14ac:dyDescent="0.25">
      <c r="A184" s="121">
        <v>6</v>
      </c>
      <c r="B184" s="122" t="s">
        <v>2688</v>
      </c>
      <c r="C184" s="123" t="s">
        <v>2859</v>
      </c>
      <c r="D184" s="123" t="s">
        <v>2860</v>
      </c>
      <c r="E184" s="123" t="s">
        <v>2861</v>
      </c>
      <c r="F184" s="123" t="s">
        <v>490</v>
      </c>
      <c r="G184" s="123" t="s">
        <v>491</v>
      </c>
      <c r="H184" s="123" t="s">
        <v>691</v>
      </c>
      <c r="I184" s="123" t="s">
        <v>692</v>
      </c>
      <c r="J184" s="124" t="s">
        <v>494</v>
      </c>
      <c r="K184" s="124" t="s">
        <v>495</v>
      </c>
      <c r="L184" s="124" t="s">
        <v>496</v>
      </c>
      <c r="M184" s="124" t="s">
        <v>286</v>
      </c>
      <c r="N184" s="124" t="s">
        <v>1045</v>
      </c>
      <c r="O184" s="124" t="s">
        <v>658</v>
      </c>
      <c r="P184" s="124" t="s">
        <v>254</v>
      </c>
      <c r="Q184" s="124" t="s">
        <v>499</v>
      </c>
      <c r="R184" s="124" t="s">
        <v>273</v>
      </c>
      <c r="S184" s="32">
        <v>329231.56</v>
      </c>
      <c r="T184" s="32">
        <v>80</v>
      </c>
      <c r="U184" s="32">
        <v>38.799999999999997</v>
      </c>
      <c r="V184" s="32">
        <v>0</v>
      </c>
      <c r="W184" s="32">
        <v>0</v>
      </c>
      <c r="X184" s="32">
        <v>0</v>
      </c>
      <c r="Y184" s="32">
        <v>0</v>
      </c>
      <c r="Z184" s="32">
        <v>0</v>
      </c>
      <c r="AA184" s="32">
        <v>0</v>
      </c>
      <c r="AB184" s="32">
        <v>0</v>
      </c>
      <c r="AC184" s="32">
        <v>0</v>
      </c>
      <c r="AD184" s="32">
        <v>0</v>
      </c>
      <c r="AE184" s="32">
        <v>0</v>
      </c>
      <c r="AF184" s="32">
        <v>0</v>
      </c>
      <c r="AG184" s="32">
        <v>0</v>
      </c>
      <c r="AH184" s="32">
        <v>0</v>
      </c>
      <c r="AI184" s="32">
        <v>0</v>
      </c>
      <c r="AJ184" s="32">
        <v>0</v>
      </c>
      <c r="AK184" s="32">
        <v>0</v>
      </c>
      <c r="AL184" s="32">
        <v>0</v>
      </c>
      <c r="AM184" s="32">
        <v>0</v>
      </c>
      <c r="AN184" s="32">
        <v>0</v>
      </c>
      <c r="AO184" s="32">
        <v>82307.89</v>
      </c>
      <c r="AP184" s="32">
        <v>0</v>
      </c>
      <c r="AQ184" s="32">
        <v>82307.89</v>
      </c>
      <c r="AR184" s="32">
        <v>411539.45</v>
      </c>
      <c r="AS184" s="32">
        <v>38.799999999999997</v>
      </c>
      <c r="AT184" s="32">
        <v>196033.16</v>
      </c>
      <c r="AU184" s="32">
        <v>0</v>
      </c>
      <c r="AV184" s="32">
        <v>196033.16</v>
      </c>
      <c r="AW184" s="32">
        <v>0</v>
      </c>
      <c r="AX184" s="32">
        <v>29404.97</v>
      </c>
      <c r="AY184" s="32">
        <v>29404.97</v>
      </c>
      <c r="AZ184" s="32">
        <v>7841.32</v>
      </c>
      <c r="BA184" s="32">
        <v>7841.32</v>
      </c>
      <c r="BB184" s="32">
        <v>0</v>
      </c>
      <c r="BC184" s="32">
        <v>0</v>
      </c>
      <c r="BD184" s="32">
        <v>69260</v>
      </c>
      <c r="BE184" s="32">
        <v>69260</v>
      </c>
      <c r="BF184" s="32">
        <v>0</v>
      </c>
      <c r="BG184" s="32">
        <v>100000</v>
      </c>
      <c r="BH184" s="32">
        <v>100000</v>
      </c>
      <c r="BI184" s="32">
        <v>0</v>
      </c>
      <c r="BJ184" s="32">
        <v>0</v>
      </c>
      <c r="BK184" s="32">
        <v>0</v>
      </c>
      <c r="BL184" s="32">
        <v>0</v>
      </c>
      <c r="BM184" s="32">
        <v>0</v>
      </c>
      <c r="BN184" s="32">
        <v>0</v>
      </c>
      <c r="BO184" s="32">
        <v>9000</v>
      </c>
      <c r="BP184" s="32">
        <v>9000</v>
      </c>
      <c r="BQ184" s="32">
        <v>104808.25</v>
      </c>
      <c r="BR184" s="32">
        <v>112888.97</v>
      </c>
      <c r="BS184" s="32">
        <v>98193.25</v>
      </c>
      <c r="BT184" s="32">
        <v>86648.98</v>
      </c>
      <c r="BU184" s="32">
        <v>0</v>
      </c>
      <c r="BV184" s="32">
        <v>0</v>
      </c>
      <c r="BW184" s="32">
        <v>0</v>
      </c>
      <c r="BX184" s="32">
        <v>0</v>
      </c>
      <c r="BY184" s="32">
        <v>0</v>
      </c>
      <c r="BZ184" s="32">
        <v>0</v>
      </c>
      <c r="CA184" s="32">
        <v>0</v>
      </c>
      <c r="CB184" s="125" t="s">
        <v>1046</v>
      </c>
      <c r="CC184" s="125" t="s">
        <v>624</v>
      </c>
      <c r="CD184" s="125"/>
      <c r="CE184" s="125" t="s">
        <v>523</v>
      </c>
      <c r="CF184" s="125" t="s">
        <v>645</v>
      </c>
      <c r="CG184" s="125" t="s">
        <v>659</v>
      </c>
      <c r="CH184" s="125" t="s">
        <v>526</v>
      </c>
      <c r="CI184" s="125" t="s">
        <v>682</v>
      </c>
      <c r="CJ184" s="125" t="s">
        <v>1060</v>
      </c>
      <c r="CK184" s="125" t="s">
        <v>212</v>
      </c>
      <c r="CL184" s="125" t="s">
        <v>212</v>
      </c>
      <c r="CM184" s="125"/>
      <c r="CN184" s="125" t="s">
        <v>254</v>
      </c>
      <c r="CO184" s="125" t="s">
        <v>273</v>
      </c>
      <c r="CP184" s="125" t="s">
        <v>731</v>
      </c>
      <c r="CQ184" s="125" t="s">
        <v>661</v>
      </c>
      <c r="CR184" s="125" t="s">
        <v>2862</v>
      </c>
      <c r="CS184" s="125" t="s">
        <v>663</v>
      </c>
      <c r="CT184" s="125" t="s">
        <v>254</v>
      </c>
      <c r="CU184" s="125" t="s">
        <v>273</v>
      </c>
      <c r="CV184" s="125" t="s">
        <v>2863</v>
      </c>
      <c r="CW184" s="125" t="s">
        <v>661</v>
      </c>
      <c r="CX184" s="125" t="s">
        <v>2862</v>
      </c>
      <c r="CY184" s="125" t="s">
        <v>1049</v>
      </c>
      <c r="CZ184" s="125" t="s">
        <v>2864</v>
      </c>
      <c r="DA184" s="125" t="s">
        <v>1005</v>
      </c>
      <c r="DB184" s="125" t="s">
        <v>547</v>
      </c>
      <c r="DC184" s="125" t="s">
        <v>6123</v>
      </c>
      <c r="DD184" s="125" t="s">
        <v>6124</v>
      </c>
      <c r="DE184" s="125" t="s">
        <v>6125</v>
      </c>
      <c r="DF184" s="126" t="s">
        <v>6126</v>
      </c>
      <c r="DG184" s="27" cm="1">
        <f t="array" ref="DG184">INDEX('elenco partner'!A:M,MATCH(1,(D184='elenco partner'!A:A)*('Partner data'!M184='elenco partner'!E:E),0),4)</f>
        <v>360</v>
      </c>
      <c r="DH184" s="83" t="str">
        <f t="shared" ref="DH184:DH187" si="70">IF(AU184&lt;&gt;0,"Tasso Forfettario 20%",IF(AV184&lt;&gt;0,"COSTO REALE",IF(AW184&lt;&gt;0,"Costo Unitario Standard","BL1 non presente")))</f>
        <v>COSTO REALE</v>
      </c>
      <c r="DI184" s="20">
        <f>COUNTIFS('MY-REPORT-MAIN'!C:C,'Partner data'!DG184,'MY-REPORT-MAIN'!I:I,"Certified")</f>
        <v>0</v>
      </c>
      <c r="DJ184" s="20">
        <f>COUNTIFS(List_Of_chek_list!M:M,"&lt;&gt;26",List_Of_chek_list!B:B,'Partner data'!DG184)</f>
        <v>0</v>
      </c>
      <c r="DK184" s="20">
        <f t="shared" ref="DK184:DK187" si="71">DI184-DJ184</f>
        <v>0</v>
      </c>
      <c r="DL184" s="19" t="str">
        <f>IF(DH184="Tasso Forfettario 20%",SUMIFS(List_Of_chek_list!#REF!,List_Of_chek_list!B:B,'Partner data'!DG184),"NON PERTINENTE")</f>
        <v>NON PERTINENTE</v>
      </c>
      <c r="DM184" s="19" t="str">
        <f t="shared" ref="DM184:DM187" si="72">IF(DL184="NON PERTINENTE","NON PERTINENTE",IF(DJ184=DL184,"Rischio basso","Rischio alto"))</f>
        <v>NON PERTINENTE</v>
      </c>
      <c r="DN184" s="110">
        <f>_xlfn.MAXIFS('MY-REPORT-MAIN'!K:K,'MY-REPORT-MAIN'!C:C,DG184)</f>
        <v>0</v>
      </c>
      <c r="DO184" s="112" t="str">
        <f>IF(_xlfn.MAXIFS('MY-REPORT-MAIN'!M:M,'MY-REPORT-MAIN'!C:C,DG184)=0,"Nessun rendiconto  Convalidato",_xlfn.MAXIFS('MY-REPORT-MAIN'!M:M,'MY-REPORT-MAIN'!C:C,DG184))</f>
        <v>Nessun rendiconto  Convalidato</v>
      </c>
      <c r="DP184" s="113" t="str" cm="1">
        <f t="array" ref="DP184">IFERROR(INDEX('MY-REPORT-MAIN'!A:Z,MATCH(1,(DO184='MY-REPORT-MAIN'!M:M)*('Partner data'!DG184='MY-REPORT-MAIN'!C:C),0),1),"NON è stato convalidato ancora nessun rendiconto")</f>
        <v>NON è stato convalidato ancora nessun rendiconto</v>
      </c>
      <c r="DQ184" s="111" t="str">
        <f>IFERROR(INDEX('MY-REPORT-MAIN'!A:Z,MATCH('Partner data'!DP184,'MY-REPORT-MAIN'!A:A,0),21),"Nessun Rendiconto ancora convalidato")</f>
        <v>Nessun Rendiconto ancora convalidato</v>
      </c>
      <c r="DR184" s="110">
        <f>INDEX('Interreg VI-A Italy-Slovenia_pr'!A:E,MATCH('Partner data'!C184,'Interreg VI-A Italy-Slovenia_pr'!A:A,0),3)</f>
        <v>45397</v>
      </c>
      <c r="DS184" s="118">
        <f t="shared" si="48"/>
        <v>113808.25</v>
      </c>
      <c r="DT184" s="118">
        <f t="shared" si="49"/>
        <v>226697.22</v>
      </c>
      <c r="DU184" s="118">
        <f t="shared" si="50"/>
        <v>324890.46999999997</v>
      </c>
      <c r="DV184" s="118">
        <f t="shared" si="51"/>
        <v>411539.44999999995</v>
      </c>
      <c r="DW184" s="118">
        <f t="shared" si="52"/>
        <v>411539.44999999995</v>
      </c>
      <c r="DX184" s="118">
        <f t="shared" si="53"/>
        <v>411539.44999999995</v>
      </c>
      <c r="DY184" s="118">
        <f t="shared" si="54"/>
        <v>411539.44999999995</v>
      </c>
      <c r="DZ184" s="118">
        <f t="shared" si="55"/>
        <v>411539.44999999995</v>
      </c>
      <c r="EA184" s="118">
        <f t="shared" si="56"/>
        <v>411539.44999999995</v>
      </c>
      <c r="EB184" s="118">
        <f t="shared" si="57"/>
        <v>411539.44999999995</v>
      </c>
    </row>
    <row r="185" spans="1:132" ht="45" x14ac:dyDescent="0.25">
      <c r="A185" s="121">
        <v>6</v>
      </c>
      <c r="B185" s="122" t="s">
        <v>2688</v>
      </c>
      <c r="C185" s="123" t="s">
        <v>2859</v>
      </c>
      <c r="D185" s="123" t="s">
        <v>2860</v>
      </c>
      <c r="E185" s="123" t="s">
        <v>2861</v>
      </c>
      <c r="F185" s="123" t="s">
        <v>490</v>
      </c>
      <c r="G185" s="123" t="s">
        <v>491</v>
      </c>
      <c r="H185" s="123" t="s">
        <v>691</v>
      </c>
      <c r="I185" s="123" t="s">
        <v>692</v>
      </c>
      <c r="J185" s="124" t="s">
        <v>518</v>
      </c>
      <c r="K185" s="124" t="s">
        <v>495</v>
      </c>
      <c r="L185" s="124" t="s">
        <v>519</v>
      </c>
      <c r="M185" s="124" t="s">
        <v>2865</v>
      </c>
      <c r="N185" s="124" t="s">
        <v>753</v>
      </c>
      <c r="O185" s="124" t="s">
        <v>2866</v>
      </c>
      <c r="P185" s="124" t="s">
        <v>257</v>
      </c>
      <c r="Q185" s="124" t="s">
        <v>556</v>
      </c>
      <c r="R185" s="124" t="s">
        <v>258</v>
      </c>
      <c r="S185" s="32">
        <v>231413.32</v>
      </c>
      <c r="T185" s="32">
        <v>80</v>
      </c>
      <c r="U185" s="32">
        <v>27.27</v>
      </c>
      <c r="V185" s="32">
        <v>0</v>
      </c>
      <c r="W185" s="32">
        <v>0</v>
      </c>
      <c r="X185" s="32">
        <v>0</v>
      </c>
      <c r="Y185" s="32">
        <v>0</v>
      </c>
      <c r="Z185" s="32">
        <v>0</v>
      </c>
      <c r="AA185" s="32">
        <v>0</v>
      </c>
      <c r="AB185" s="32">
        <v>0</v>
      </c>
      <c r="AC185" s="32">
        <v>0</v>
      </c>
      <c r="AD185" s="32">
        <v>0</v>
      </c>
      <c r="AE185" s="32">
        <v>0</v>
      </c>
      <c r="AF185" s="32">
        <v>0</v>
      </c>
      <c r="AG185" s="32">
        <v>0</v>
      </c>
      <c r="AH185" s="32">
        <v>0</v>
      </c>
      <c r="AI185" s="32">
        <v>0</v>
      </c>
      <c r="AJ185" s="32">
        <v>0</v>
      </c>
      <c r="AK185" s="32">
        <v>0</v>
      </c>
      <c r="AL185" s="32">
        <v>0</v>
      </c>
      <c r="AM185" s="32">
        <v>0</v>
      </c>
      <c r="AN185" s="32">
        <v>57853.34</v>
      </c>
      <c r="AO185" s="32">
        <v>0</v>
      </c>
      <c r="AP185" s="32">
        <v>0</v>
      </c>
      <c r="AQ185" s="32">
        <v>57853.34</v>
      </c>
      <c r="AR185" s="32">
        <v>289266.65999999997</v>
      </c>
      <c r="AS185" s="32">
        <v>27.27</v>
      </c>
      <c r="AT185" s="32">
        <v>169014</v>
      </c>
      <c r="AU185" s="32">
        <v>0</v>
      </c>
      <c r="AV185" s="32">
        <v>169014</v>
      </c>
      <c r="AW185" s="32">
        <v>0</v>
      </c>
      <c r="AX185" s="32">
        <v>25352.1</v>
      </c>
      <c r="AY185" s="32">
        <v>25352.1</v>
      </c>
      <c r="AZ185" s="32">
        <v>6760.56</v>
      </c>
      <c r="BA185" s="32">
        <v>6760.56</v>
      </c>
      <c r="BB185" s="32">
        <v>0</v>
      </c>
      <c r="BC185" s="32">
        <v>0</v>
      </c>
      <c r="BD185" s="32">
        <v>88140</v>
      </c>
      <c r="BE185" s="32">
        <v>88140</v>
      </c>
      <c r="BF185" s="32">
        <v>0</v>
      </c>
      <c r="BG185" s="32">
        <v>0</v>
      </c>
      <c r="BH185" s="32">
        <v>0</v>
      </c>
      <c r="BI185" s="32">
        <v>0</v>
      </c>
      <c r="BJ185" s="32">
        <v>0</v>
      </c>
      <c r="BK185" s="32">
        <v>0</v>
      </c>
      <c r="BL185" s="32">
        <v>0</v>
      </c>
      <c r="BM185" s="32">
        <v>0</v>
      </c>
      <c r="BN185" s="32">
        <v>0</v>
      </c>
      <c r="BO185" s="32">
        <v>0</v>
      </c>
      <c r="BP185" s="32">
        <v>0</v>
      </c>
      <c r="BQ185" s="32">
        <v>88066.66</v>
      </c>
      <c r="BR185" s="32">
        <v>78566.66</v>
      </c>
      <c r="BS185" s="32">
        <v>61566.66</v>
      </c>
      <c r="BT185" s="32">
        <v>61066.68</v>
      </c>
      <c r="BU185" s="32">
        <v>0</v>
      </c>
      <c r="BV185" s="32">
        <v>0</v>
      </c>
      <c r="BW185" s="32">
        <v>0</v>
      </c>
      <c r="BX185" s="32">
        <v>0</v>
      </c>
      <c r="BY185" s="32">
        <v>0</v>
      </c>
      <c r="BZ185" s="32">
        <v>0</v>
      </c>
      <c r="CA185" s="32">
        <v>0</v>
      </c>
      <c r="CB185" s="125" t="s">
        <v>2867</v>
      </c>
      <c r="CC185" s="125" t="s">
        <v>624</v>
      </c>
      <c r="CD185" s="125"/>
      <c r="CE185" s="125" t="s">
        <v>523</v>
      </c>
      <c r="CF185" s="125" t="s">
        <v>645</v>
      </c>
      <c r="CG185" s="125" t="s">
        <v>1885</v>
      </c>
      <c r="CH185" s="125" t="s">
        <v>526</v>
      </c>
      <c r="CI185" s="125" t="s">
        <v>665</v>
      </c>
      <c r="CJ185" s="125" t="s">
        <v>212</v>
      </c>
      <c r="CK185" s="125" t="s">
        <v>647</v>
      </c>
      <c r="CL185" s="125" t="s">
        <v>212</v>
      </c>
      <c r="CM185" s="125"/>
      <c r="CN185" s="125" t="s">
        <v>257</v>
      </c>
      <c r="CO185" s="125" t="s">
        <v>258</v>
      </c>
      <c r="CP185" s="125" t="s">
        <v>754</v>
      </c>
      <c r="CQ185" s="125" t="s">
        <v>620</v>
      </c>
      <c r="CR185" s="125" t="s">
        <v>2868</v>
      </c>
      <c r="CS185" s="125" t="s">
        <v>2869</v>
      </c>
      <c r="CT185" s="125" t="s">
        <v>257</v>
      </c>
      <c r="CU185" s="125" t="s">
        <v>258</v>
      </c>
      <c r="CV185" s="125" t="s">
        <v>2870</v>
      </c>
      <c r="CW185" s="125" t="s">
        <v>2871</v>
      </c>
      <c r="CX185" s="125" t="s">
        <v>2872</v>
      </c>
      <c r="CY185" s="125" t="s">
        <v>2873</v>
      </c>
      <c r="CZ185" s="125" t="s">
        <v>651</v>
      </c>
      <c r="DA185" s="125" t="s">
        <v>2874</v>
      </c>
      <c r="DB185" s="125" t="s">
        <v>2875</v>
      </c>
      <c r="DC185" s="125" t="s">
        <v>2876</v>
      </c>
      <c r="DD185" s="125" t="s">
        <v>2877</v>
      </c>
      <c r="DE185" s="125" t="s">
        <v>2878</v>
      </c>
      <c r="DF185" s="126" t="s">
        <v>2879</v>
      </c>
      <c r="DG185" s="27" cm="1">
        <f t="array" ref="DG185">INDEX('elenco partner'!A:M,MATCH(1,(D185='elenco partner'!A:A)*('Partner data'!M185='elenco partner'!E:E),0),4)</f>
        <v>361</v>
      </c>
      <c r="DH185" s="83" t="str">
        <f t="shared" si="70"/>
        <v>COSTO REALE</v>
      </c>
      <c r="DI185" s="20">
        <f>COUNTIFS('MY-REPORT-MAIN'!C:C,'Partner data'!DG185,'MY-REPORT-MAIN'!I:I,"Certified")</f>
        <v>0</v>
      </c>
      <c r="DJ185" s="20">
        <f>COUNTIFS(List_Of_chek_list!M:M,"&lt;&gt;26",List_Of_chek_list!B:B,'Partner data'!DG185)</f>
        <v>0</v>
      </c>
      <c r="DK185" s="20">
        <f t="shared" si="71"/>
        <v>0</v>
      </c>
      <c r="DL185" s="19" t="str">
        <f>IF(DH185="Tasso Forfettario 20%",SUMIFS(List_Of_chek_list!#REF!,List_Of_chek_list!B:B,'Partner data'!DG185),"NON PERTINENTE")</f>
        <v>NON PERTINENTE</v>
      </c>
      <c r="DM185" s="19" t="str">
        <f t="shared" si="72"/>
        <v>NON PERTINENTE</v>
      </c>
      <c r="DN185" s="110">
        <f>_xlfn.MAXIFS('MY-REPORT-MAIN'!K:K,'MY-REPORT-MAIN'!C:C,DG185)</f>
        <v>0</v>
      </c>
      <c r="DO185" s="112" t="str">
        <f>IF(_xlfn.MAXIFS('MY-REPORT-MAIN'!M:M,'MY-REPORT-MAIN'!C:C,DG185)=0,"Nessun rendiconto  Convalidato",_xlfn.MAXIFS('MY-REPORT-MAIN'!M:M,'MY-REPORT-MAIN'!C:C,DG185))</f>
        <v>Nessun rendiconto  Convalidato</v>
      </c>
      <c r="DP185" s="113" t="str" cm="1">
        <f t="array" ref="DP185">IFERROR(INDEX('MY-REPORT-MAIN'!A:Z,MATCH(1,(DO185='MY-REPORT-MAIN'!M:M)*('Partner data'!DG185='MY-REPORT-MAIN'!C:C),0),1),"NON è stato convalidato ancora nessun rendiconto")</f>
        <v>NON è stato convalidato ancora nessun rendiconto</v>
      </c>
      <c r="DQ185" s="111" t="str">
        <f>IFERROR(INDEX('MY-REPORT-MAIN'!A:Z,MATCH('Partner data'!DP185,'MY-REPORT-MAIN'!A:A,0),21),"Nessun Rendiconto ancora convalidato")</f>
        <v>Nessun Rendiconto ancora convalidato</v>
      </c>
      <c r="DR185" s="110">
        <f>INDEX('Interreg VI-A Italy-Slovenia_pr'!A:E,MATCH('Partner data'!C185,'Interreg VI-A Italy-Slovenia_pr'!A:A,0),3)</f>
        <v>45397</v>
      </c>
      <c r="DS185" s="118">
        <f t="shared" si="48"/>
        <v>88066.66</v>
      </c>
      <c r="DT185" s="118">
        <f t="shared" si="49"/>
        <v>166633.32</v>
      </c>
      <c r="DU185" s="118">
        <f t="shared" si="50"/>
        <v>228199.98</v>
      </c>
      <c r="DV185" s="118">
        <f t="shared" si="51"/>
        <v>289266.66000000003</v>
      </c>
      <c r="DW185" s="118">
        <f t="shared" si="52"/>
        <v>289266.66000000003</v>
      </c>
      <c r="DX185" s="118">
        <f t="shared" si="53"/>
        <v>289266.66000000003</v>
      </c>
      <c r="DY185" s="118">
        <f t="shared" si="54"/>
        <v>289266.66000000003</v>
      </c>
      <c r="DZ185" s="118">
        <f t="shared" si="55"/>
        <v>289266.66000000003</v>
      </c>
      <c r="EA185" s="118">
        <f t="shared" si="56"/>
        <v>289266.66000000003</v>
      </c>
      <c r="EB185" s="118">
        <f t="shared" si="57"/>
        <v>289266.66000000003</v>
      </c>
    </row>
    <row r="186" spans="1:132" ht="45" x14ac:dyDescent="0.25">
      <c r="A186" s="121">
        <v>6</v>
      </c>
      <c r="B186" s="122" t="s">
        <v>2688</v>
      </c>
      <c r="C186" s="123" t="s">
        <v>2859</v>
      </c>
      <c r="D186" s="123" t="s">
        <v>2860</v>
      </c>
      <c r="E186" s="123" t="s">
        <v>2861</v>
      </c>
      <c r="F186" s="123" t="s">
        <v>490</v>
      </c>
      <c r="G186" s="123" t="s">
        <v>491</v>
      </c>
      <c r="H186" s="123" t="s">
        <v>691</v>
      </c>
      <c r="I186" s="123" t="s">
        <v>692</v>
      </c>
      <c r="J186" s="124" t="s">
        <v>538</v>
      </c>
      <c r="K186" s="124" t="s">
        <v>495</v>
      </c>
      <c r="L186" s="124" t="s">
        <v>519</v>
      </c>
      <c r="M186" s="124" t="s">
        <v>2880</v>
      </c>
      <c r="N186" s="124" t="s">
        <v>2881</v>
      </c>
      <c r="O186" s="124" t="s">
        <v>2881</v>
      </c>
      <c r="P186" s="124" t="s">
        <v>254</v>
      </c>
      <c r="Q186" s="124" t="s">
        <v>540</v>
      </c>
      <c r="R186" s="124" t="s">
        <v>260</v>
      </c>
      <c r="S186" s="32">
        <v>159685.76000000001</v>
      </c>
      <c r="T186" s="32">
        <v>80</v>
      </c>
      <c r="U186" s="32">
        <v>18.82</v>
      </c>
      <c r="V186" s="32">
        <v>0</v>
      </c>
      <c r="W186" s="32">
        <v>0</v>
      </c>
      <c r="X186" s="32">
        <v>0</v>
      </c>
      <c r="Y186" s="32">
        <v>0</v>
      </c>
      <c r="Z186" s="32">
        <v>0</v>
      </c>
      <c r="AA186" s="32">
        <v>0</v>
      </c>
      <c r="AB186" s="32">
        <v>0</v>
      </c>
      <c r="AC186" s="32">
        <v>0</v>
      </c>
      <c r="AD186" s="32">
        <v>0</v>
      </c>
      <c r="AE186" s="32">
        <v>0</v>
      </c>
      <c r="AF186" s="32">
        <v>0</v>
      </c>
      <c r="AG186" s="32">
        <v>0</v>
      </c>
      <c r="AH186" s="32">
        <v>0</v>
      </c>
      <c r="AI186" s="32">
        <v>0</v>
      </c>
      <c r="AJ186" s="32">
        <v>0</v>
      </c>
      <c r="AK186" s="32">
        <v>0</v>
      </c>
      <c r="AL186" s="32">
        <v>0</v>
      </c>
      <c r="AM186" s="32">
        <v>0</v>
      </c>
      <c r="AN186" s="32">
        <v>0</v>
      </c>
      <c r="AO186" s="32">
        <v>39921.440000000002</v>
      </c>
      <c r="AP186" s="32">
        <v>0</v>
      </c>
      <c r="AQ186" s="32">
        <v>39921.440000000002</v>
      </c>
      <c r="AR186" s="32">
        <v>199607.2</v>
      </c>
      <c r="AS186" s="32">
        <v>18.82</v>
      </c>
      <c r="AT186" s="32">
        <v>92880</v>
      </c>
      <c r="AU186" s="32">
        <v>0</v>
      </c>
      <c r="AV186" s="32">
        <v>0</v>
      </c>
      <c r="AW186" s="32">
        <v>92880</v>
      </c>
      <c r="AX186" s="32">
        <v>13932</v>
      </c>
      <c r="AY186" s="32">
        <v>13932</v>
      </c>
      <c r="AZ186" s="32">
        <v>3715.2</v>
      </c>
      <c r="BA186" s="32">
        <v>3715.2</v>
      </c>
      <c r="BB186" s="32">
        <v>0</v>
      </c>
      <c r="BC186" s="32">
        <v>0</v>
      </c>
      <c r="BD186" s="32">
        <v>84080</v>
      </c>
      <c r="BE186" s="32">
        <v>84080</v>
      </c>
      <c r="BF186" s="32">
        <v>0</v>
      </c>
      <c r="BG186" s="32">
        <v>5000</v>
      </c>
      <c r="BH186" s="32">
        <v>5000</v>
      </c>
      <c r="BI186" s="32">
        <v>0</v>
      </c>
      <c r="BJ186" s="32">
        <v>0</v>
      </c>
      <c r="BK186" s="32">
        <v>0</v>
      </c>
      <c r="BL186" s="32">
        <v>0</v>
      </c>
      <c r="BM186" s="32">
        <v>0</v>
      </c>
      <c r="BN186" s="32">
        <v>0</v>
      </c>
      <c r="BO186" s="32">
        <v>0</v>
      </c>
      <c r="BP186" s="32">
        <v>0</v>
      </c>
      <c r="BQ186" s="32">
        <v>42151.8</v>
      </c>
      <c r="BR186" s="32">
        <v>50151.8</v>
      </c>
      <c r="BS186" s="32">
        <v>54651.8</v>
      </c>
      <c r="BT186" s="32">
        <v>52651.8</v>
      </c>
      <c r="BU186" s="32">
        <v>0</v>
      </c>
      <c r="BV186" s="32">
        <v>0</v>
      </c>
      <c r="BW186" s="32">
        <v>0</v>
      </c>
      <c r="BX186" s="32">
        <v>0</v>
      </c>
      <c r="BY186" s="32">
        <v>0</v>
      </c>
      <c r="BZ186" s="32">
        <v>0</v>
      </c>
      <c r="CA186" s="32">
        <v>0</v>
      </c>
      <c r="CB186" s="125" t="s">
        <v>2805</v>
      </c>
      <c r="CC186" s="125" t="s">
        <v>675</v>
      </c>
      <c r="CD186" s="125" t="s">
        <v>706</v>
      </c>
      <c r="CE186" s="125" t="s">
        <v>501</v>
      </c>
      <c r="CF186" s="125" t="s">
        <v>2882</v>
      </c>
      <c r="CG186" s="125" t="s">
        <v>2883</v>
      </c>
      <c r="CH186" s="125" t="s">
        <v>504</v>
      </c>
      <c r="CI186" s="125" t="s">
        <v>665</v>
      </c>
      <c r="CJ186" s="125" t="s">
        <v>2884</v>
      </c>
      <c r="CK186" s="125" t="s">
        <v>2885</v>
      </c>
      <c r="CL186" s="125" t="s">
        <v>212</v>
      </c>
      <c r="CM186" s="125" t="s">
        <v>625</v>
      </c>
      <c r="CN186" s="125" t="s">
        <v>254</v>
      </c>
      <c r="CO186" s="125" t="s">
        <v>260</v>
      </c>
      <c r="CP186" s="125" t="s">
        <v>2886</v>
      </c>
      <c r="CQ186" s="125" t="s">
        <v>1311</v>
      </c>
      <c r="CR186" s="125" t="s">
        <v>599</v>
      </c>
      <c r="CS186" s="125" t="s">
        <v>2887</v>
      </c>
      <c r="CT186" s="125" t="s">
        <v>254</v>
      </c>
      <c r="CU186" s="125" t="s">
        <v>260</v>
      </c>
      <c r="CV186" s="125" t="s">
        <v>2888</v>
      </c>
      <c r="CW186" s="125" t="s">
        <v>1311</v>
      </c>
      <c r="CX186" s="125" t="s">
        <v>599</v>
      </c>
      <c r="CY186" s="125" t="s">
        <v>705</v>
      </c>
      <c r="CZ186" s="125" t="s">
        <v>1038</v>
      </c>
      <c r="DA186" s="125" t="s">
        <v>2889</v>
      </c>
      <c r="DB186" s="125" t="s">
        <v>2318</v>
      </c>
      <c r="DC186" s="125" t="s">
        <v>1038</v>
      </c>
      <c r="DD186" s="125" t="s">
        <v>2889</v>
      </c>
      <c r="DE186" s="125" t="s">
        <v>2890</v>
      </c>
      <c r="DF186" s="126" t="s">
        <v>2891</v>
      </c>
      <c r="DG186" s="27" cm="1">
        <f t="array" ref="DG186">INDEX('elenco partner'!A:M,MATCH(1,(D186='elenco partner'!A:A)*('Partner data'!M186='elenco partner'!E:E),0),4)</f>
        <v>362</v>
      </c>
      <c r="DH186" s="83" t="str">
        <f t="shared" si="70"/>
        <v>Costo Unitario Standard</v>
      </c>
      <c r="DI186" s="20">
        <f>COUNTIFS('MY-REPORT-MAIN'!C:C,'Partner data'!DG186,'MY-REPORT-MAIN'!I:I,"Certified")</f>
        <v>0</v>
      </c>
      <c r="DJ186" s="20">
        <f>COUNTIFS(List_Of_chek_list!M:M,"&lt;&gt;26",List_Of_chek_list!B:B,'Partner data'!DG186)</f>
        <v>0</v>
      </c>
      <c r="DK186" s="20">
        <f t="shared" si="71"/>
        <v>0</v>
      </c>
      <c r="DL186" s="19" t="str">
        <f>IF(DH186="Tasso Forfettario 20%",SUMIFS(List_Of_chek_list!#REF!,List_Of_chek_list!B:B,'Partner data'!DG186),"NON PERTINENTE")</f>
        <v>NON PERTINENTE</v>
      </c>
      <c r="DM186" s="19" t="str">
        <f t="shared" si="72"/>
        <v>NON PERTINENTE</v>
      </c>
      <c r="DN186" s="110">
        <f>_xlfn.MAXIFS('MY-REPORT-MAIN'!K:K,'MY-REPORT-MAIN'!C:C,DG186)</f>
        <v>0</v>
      </c>
      <c r="DO186" s="112" t="str">
        <f>IF(_xlfn.MAXIFS('MY-REPORT-MAIN'!M:M,'MY-REPORT-MAIN'!C:C,DG186)=0,"Nessun rendiconto  Convalidato",_xlfn.MAXIFS('MY-REPORT-MAIN'!M:M,'MY-REPORT-MAIN'!C:C,DG186))</f>
        <v>Nessun rendiconto  Convalidato</v>
      </c>
      <c r="DP186" s="113" t="str" cm="1">
        <f t="array" ref="DP186">IFERROR(INDEX('MY-REPORT-MAIN'!A:Z,MATCH(1,(DO186='MY-REPORT-MAIN'!M:M)*('Partner data'!DG186='MY-REPORT-MAIN'!C:C),0),1),"NON è stato convalidato ancora nessun rendiconto")</f>
        <v>NON è stato convalidato ancora nessun rendiconto</v>
      </c>
      <c r="DQ186" s="111" t="str">
        <f>IFERROR(INDEX('MY-REPORT-MAIN'!A:Z,MATCH('Partner data'!DP186,'MY-REPORT-MAIN'!A:A,0),21),"Nessun Rendiconto ancora convalidato")</f>
        <v>Nessun Rendiconto ancora convalidato</v>
      </c>
      <c r="DR186" s="110">
        <f>INDEX('Interreg VI-A Italy-Slovenia_pr'!A:E,MATCH('Partner data'!C186,'Interreg VI-A Italy-Slovenia_pr'!A:A,0),3)</f>
        <v>45397</v>
      </c>
      <c r="DS186" s="118">
        <f t="shared" si="48"/>
        <v>42151.8</v>
      </c>
      <c r="DT186" s="118">
        <f t="shared" si="49"/>
        <v>92303.6</v>
      </c>
      <c r="DU186" s="118">
        <f t="shared" si="50"/>
        <v>146955.40000000002</v>
      </c>
      <c r="DV186" s="118">
        <f t="shared" si="51"/>
        <v>199607.2</v>
      </c>
      <c r="DW186" s="118">
        <f t="shared" si="52"/>
        <v>199607.2</v>
      </c>
      <c r="DX186" s="118">
        <f t="shared" si="53"/>
        <v>199607.2</v>
      </c>
      <c r="DY186" s="118">
        <f t="shared" si="54"/>
        <v>199607.2</v>
      </c>
      <c r="DZ186" s="118">
        <f t="shared" si="55"/>
        <v>199607.2</v>
      </c>
      <c r="EA186" s="118">
        <f t="shared" si="56"/>
        <v>199607.2</v>
      </c>
      <c r="EB186" s="118">
        <f t="shared" si="57"/>
        <v>199607.2</v>
      </c>
    </row>
    <row r="187" spans="1:132" ht="45" x14ac:dyDescent="0.25">
      <c r="A187" s="121">
        <v>6</v>
      </c>
      <c r="B187" s="122" t="s">
        <v>2688</v>
      </c>
      <c r="C187" s="123" t="s">
        <v>2859</v>
      </c>
      <c r="D187" s="123" t="s">
        <v>2860</v>
      </c>
      <c r="E187" s="123" t="s">
        <v>2861</v>
      </c>
      <c r="F187" s="123" t="s">
        <v>490</v>
      </c>
      <c r="G187" s="123" t="s">
        <v>491</v>
      </c>
      <c r="H187" s="123" t="s">
        <v>691</v>
      </c>
      <c r="I187" s="123" t="s">
        <v>692</v>
      </c>
      <c r="J187" s="124" t="s">
        <v>554</v>
      </c>
      <c r="K187" s="124" t="s">
        <v>495</v>
      </c>
      <c r="L187" s="124" t="s">
        <v>519</v>
      </c>
      <c r="M187" s="124" t="s">
        <v>2892</v>
      </c>
      <c r="N187" s="124" t="s">
        <v>2893</v>
      </c>
      <c r="O187" s="124" t="s">
        <v>2894</v>
      </c>
      <c r="P187" s="124" t="s">
        <v>257</v>
      </c>
      <c r="Q187" s="124" t="s">
        <v>556</v>
      </c>
      <c r="R187" s="124" t="s">
        <v>267</v>
      </c>
      <c r="S187" s="32">
        <v>128254.56</v>
      </c>
      <c r="T187" s="32">
        <v>80</v>
      </c>
      <c r="U187" s="32">
        <v>15.11</v>
      </c>
      <c r="V187" s="32">
        <v>0</v>
      </c>
      <c r="W187" s="32">
        <v>0</v>
      </c>
      <c r="X187" s="32">
        <v>0</v>
      </c>
      <c r="Y187" s="32">
        <v>0</v>
      </c>
      <c r="Z187" s="32">
        <v>0</v>
      </c>
      <c r="AA187" s="32">
        <v>0</v>
      </c>
      <c r="AB187" s="32">
        <v>0</v>
      </c>
      <c r="AC187" s="32">
        <v>0</v>
      </c>
      <c r="AD187" s="32">
        <v>0</v>
      </c>
      <c r="AE187" s="32">
        <v>0</v>
      </c>
      <c r="AF187" s="32">
        <v>0</v>
      </c>
      <c r="AG187" s="32">
        <v>0</v>
      </c>
      <c r="AH187" s="32">
        <v>0</v>
      </c>
      <c r="AI187" s="32">
        <v>0</v>
      </c>
      <c r="AJ187" s="32">
        <v>0</v>
      </c>
      <c r="AK187" s="32">
        <v>0</v>
      </c>
      <c r="AL187" s="32">
        <v>0</v>
      </c>
      <c r="AM187" s="32">
        <v>0</v>
      </c>
      <c r="AN187" s="32">
        <v>32063.64</v>
      </c>
      <c r="AO187" s="32">
        <v>0</v>
      </c>
      <c r="AP187" s="32">
        <v>0</v>
      </c>
      <c r="AQ187" s="32">
        <v>32063.64</v>
      </c>
      <c r="AR187" s="32">
        <v>160318.20000000001</v>
      </c>
      <c r="AS187" s="32">
        <v>15.11</v>
      </c>
      <c r="AT187" s="32">
        <v>114513</v>
      </c>
      <c r="AU187" s="32">
        <v>0</v>
      </c>
      <c r="AV187" s="32">
        <v>114513</v>
      </c>
      <c r="AW187" s="32">
        <v>0</v>
      </c>
      <c r="AX187" s="32">
        <v>0</v>
      </c>
      <c r="AY187" s="32">
        <v>0</v>
      </c>
      <c r="AZ187" s="32">
        <v>0</v>
      </c>
      <c r="BA187" s="32">
        <v>0</v>
      </c>
      <c r="BB187" s="32">
        <v>0</v>
      </c>
      <c r="BC187" s="32">
        <v>0</v>
      </c>
      <c r="BD187" s="32">
        <v>0</v>
      </c>
      <c r="BE187" s="32">
        <v>0</v>
      </c>
      <c r="BF187" s="32">
        <v>0</v>
      </c>
      <c r="BG187" s="32">
        <v>0</v>
      </c>
      <c r="BH187" s="32">
        <v>0</v>
      </c>
      <c r="BI187" s="32">
        <v>0</v>
      </c>
      <c r="BJ187" s="32">
        <v>0</v>
      </c>
      <c r="BK187" s="32">
        <v>0</v>
      </c>
      <c r="BL187" s="32">
        <v>0</v>
      </c>
      <c r="BM187" s="32">
        <v>45805.2</v>
      </c>
      <c r="BN187" s="32">
        <v>0</v>
      </c>
      <c r="BO187" s="32">
        <v>0</v>
      </c>
      <c r="BP187" s="32">
        <v>0</v>
      </c>
      <c r="BQ187" s="32">
        <v>40079.550000000003</v>
      </c>
      <c r="BR187" s="32">
        <v>40079.550000000003</v>
      </c>
      <c r="BS187" s="32">
        <v>40079.550000000003</v>
      </c>
      <c r="BT187" s="32">
        <v>40079.550000000003</v>
      </c>
      <c r="BU187" s="32">
        <v>0</v>
      </c>
      <c r="BV187" s="32">
        <v>0</v>
      </c>
      <c r="BW187" s="32">
        <v>0</v>
      </c>
      <c r="BX187" s="32">
        <v>0</v>
      </c>
      <c r="BY187" s="32">
        <v>0</v>
      </c>
      <c r="BZ187" s="32">
        <v>0</v>
      </c>
      <c r="CA187" s="32">
        <v>0</v>
      </c>
      <c r="CB187" s="125" t="s">
        <v>2805</v>
      </c>
      <c r="CC187" s="125" t="s">
        <v>743</v>
      </c>
      <c r="CD187" s="125"/>
      <c r="CE187" s="125" t="s">
        <v>684</v>
      </c>
      <c r="CF187" s="125" t="s">
        <v>597</v>
      </c>
      <c r="CG187" s="125" t="s">
        <v>2895</v>
      </c>
      <c r="CH187" s="125" t="s">
        <v>526</v>
      </c>
      <c r="CI187" s="125" t="s">
        <v>665</v>
      </c>
      <c r="CJ187" s="125" t="s">
        <v>665</v>
      </c>
      <c r="CK187" s="125" t="s">
        <v>1886</v>
      </c>
      <c r="CL187" s="125" t="s">
        <v>212</v>
      </c>
      <c r="CM187" s="125"/>
      <c r="CN187" s="125" t="s">
        <v>257</v>
      </c>
      <c r="CO187" s="125" t="s">
        <v>267</v>
      </c>
      <c r="CP187" s="125" t="s">
        <v>2896</v>
      </c>
      <c r="CQ187" s="125" t="s">
        <v>2897</v>
      </c>
      <c r="CR187" s="125" t="s">
        <v>2898</v>
      </c>
      <c r="CS187" s="125" t="s">
        <v>2899</v>
      </c>
      <c r="CT187" s="125" t="s">
        <v>257</v>
      </c>
      <c r="CU187" s="125" t="s">
        <v>267</v>
      </c>
      <c r="CV187" s="125" t="s">
        <v>2896</v>
      </c>
      <c r="CW187" s="125" t="s">
        <v>1888</v>
      </c>
      <c r="CX187" s="125" t="s">
        <v>2898</v>
      </c>
      <c r="CY187" s="125" t="s">
        <v>2900</v>
      </c>
      <c r="CZ187" s="125" t="s">
        <v>1891</v>
      </c>
      <c r="DA187" s="125" t="s">
        <v>1892</v>
      </c>
      <c r="DB187" s="125" t="s">
        <v>2900</v>
      </c>
      <c r="DC187" s="125" t="s">
        <v>2901</v>
      </c>
      <c r="DD187" s="125" t="s">
        <v>1895</v>
      </c>
      <c r="DE187" s="125" t="s">
        <v>1896</v>
      </c>
      <c r="DF187" s="126" t="s">
        <v>2902</v>
      </c>
      <c r="DG187" s="27" cm="1">
        <f t="array" ref="DG187">INDEX('elenco partner'!A:M,MATCH(1,(D187='elenco partner'!A:A)*('Partner data'!M187='elenco partner'!E:E),0),4)</f>
        <v>383</v>
      </c>
      <c r="DH187" s="83" t="str">
        <f t="shared" si="70"/>
        <v>COSTO REALE</v>
      </c>
      <c r="DI187" s="20">
        <f>COUNTIFS('MY-REPORT-MAIN'!C:C,'Partner data'!DG187,'MY-REPORT-MAIN'!I:I,"Certified")</f>
        <v>0</v>
      </c>
      <c r="DJ187" s="20">
        <f>COUNTIFS(List_Of_chek_list!M:M,"&lt;&gt;26",List_Of_chek_list!B:B,'Partner data'!DG187)</f>
        <v>0</v>
      </c>
      <c r="DK187" s="20">
        <f t="shared" si="71"/>
        <v>0</v>
      </c>
      <c r="DL187" s="19" t="str">
        <f>IF(DH187="Tasso Forfettario 20%",SUMIFS(List_Of_chek_list!#REF!,List_Of_chek_list!B:B,'Partner data'!DG187),"NON PERTINENTE")</f>
        <v>NON PERTINENTE</v>
      </c>
      <c r="DM187" s="19" t="str">
        <f t="shared" si="72"/>
        <v>NON PERTINENTE</v>
      </c>
      <c r="DN187" s="110">
        <f>_xlfn.MAXIFS('MY-REPORT-MAIN'!K:K,'MY-REPORT-MAIN'!C:C,DG187)</f>
        <v>0</v>
      </c>
      <c r="DO187" s="112" t="str">
        <f>IF(_xlfn.MAXIFS('MY-REPORT-MAIN'!M:M,'MY-REPORT-MAIN'!C:C,DG187)=0,"Nessun rendiconto  Convalidato",_xlfn.MAXIFS('MY-REPORT-MAIN'!M:M,'MY-REPORT-MAIN'!C:C,DG187))</f>
        <v>Nessun rendiconto  Convalidato</v>
      </c>
      <c r="DP187" s="113" t="str" cm="1">
        <f t="array" ref="DP187">IFERROR(INDEX('MY-REPORT-MAIN'!A:Z,MATCH(1,(DO187='MY-REPORT-MAIN'!M:M)*('Partner data'!DG187='MY-REPORT-MAIN'!C:C),0),1),"NON è stato convalidato ancora nessun rendiconto")</f>
        <v>NON è stato convalidato ancora nessun rendiconto</v>
      </c>
      <c r="DQ187" s="111" t="str">
        <f>IFERROR(INDEX('MY-REPORT-MAIN'!A:Z,MATCH('Partner data'!DP187,'MY-REPORT-MAIN'!A:A,0),21),"Nessun Rendiconto ancora convalidato")</f>
        <v>Nessun Rendiconto ancora convalidato</v>
      </c>
      <c r="DR187" s="110">
        <f>INDEX('Interreg VI-A Italy-Slovenia_pr'!A:E,MATCH('Partner data'!C187,'Interreg VI-A Italy-Slovenia_pr'!A:A,0),3)</f>
        <v>45397</v>
      </c>
      <c r="DS187" s="118">
        <f t="shared" si="48"/>
        <v>40079.550000000003</v>
      </c>
      <c r="DT187" s="118">
        <f t="shared" si="49"/>
        <v>80159.100000000006</v>
      </c>
      <c r="DU187" s="118">
        <f t="shared" si="50"/>
        <v>120238.65000000001</v>
      </c>
      <c r="DV187" s="118">
        <f t="shared" si="51"/>
        <v>160318.20000000001</v>
      </c>
      <c r="DW187" s="118">
        <f t="shared" si="52"/>
        <v>160318.20000000001</v>
      </c>
      <c r="DX187" s="118">
        <f t="shared" si="53"/>
        <v>160318.20000000001</v>
      </c>
      <c r="DY187" s="118">
        <f t="shared" si="54"/>
        <v>160318.20000000001</v>
      </c>
      <c r="DZ187" s="118">
        <f t="shared" si="55"/>
        <v>160318.20000000001</v>
      </c>
      <c r="EA187" s="118">
        <f t="shared" si="56"/>
        <v>160318.20000000001</v>
      </c>
      <c r="EB187" s="118">
        <f t="shared" si="57"/>
        <v>160318.20000000001</v>
      </c>
    </row>
    <row r="188" spans="1:132" ht="45" x14ac:dyDescent="0.25">
      <c r="A188" s="121">
        <v>6</v>
      </c>
      <c r="B188" s="122" t="s">
        <v>2688</v>
      </c>
      <c r="C188" s="123" t="s">
        <v>2918</v>
      </c>
      <c r="D188" s="123" t="s">
        <v>2919</v>
      </c>
      <c r="E188" s="123" t="s">
        <v>2920</v>
      </c>
      <c r="F188" s="123" t="s">
        <v>1043</v>
      </c>
      <c r="G188" s="123" t="s">
        <v>6118</v>
      </c>
      <c r="H188" s="123" t="s">
        <v>594</v>
      </c>
      <c r="I188" s="123" t="s">
        <v>595</v>
      </c>
      <c r="J188" s="124" t="s">
        <v>494</v>
      </c>
      <c r="K188" s="124" t="s">
        <v>495</v>
      </c>
      <c r="L188" s="124" t="s">
        <v>496</v>
      </c>
      <c r="M188" s="124" t="s">
        <v>2921</v>
      </c>
      <c r="N188" s="124" t="s">
        <v>2922</v>
      </c>
      <c r="O188" s="124" t="s">
        <v>2923</v>
      </c>
      <c r="P188" s="124" t="s">
        <v>254</v>
      </c>
      <c r="Q188" s="124" t="s">
        <v>1338</v>
      </c>
      <c r="R188" s="124" t="s">
        <v>381</v>
      </c>
      <c r="S188" s="32">
        <v>244644.8</v>
      </c>
      <c r="T188" s="32">
        <v>80</v>
      </c>
      <c r="U188" s="32">
        <v>27.18</v>
      </c>
      <c r="V188" s="32">
        <v>0</v>
      </c>
      <c r="W188" s="32">
        <v>0</v>
      </c>
      <c r="X188" s="32">
        <v>0</v>
      </c>
      <c r="Y188" s="32">
        <v>0</v>
      </c>
      <c r="Z188" s="32">
        <v>0</v>
      </c>
      <c r="AA188" s="32">
        <v>0</v>
      </c>
      <c r="AB188" s="32">
        <v>0</v>
      </c>
      <c r="AC188" s="32">
        <v>0</v>
      </c>
      <c r="AD188" s="32">
        <v>0</v>
      </c>
      <c r="AE188" s="32">
        <v>0</v>
      </c>
      <c r="AF188" s="32">
        <v>0</v>
      </c>
      <c r="AG188" s="32">
        <v>0</v>
      </c>
      <c r="AH188" s="32">
        <v>0</v>
      </c>
      <c r="AI188" s="32">
        <v>0</v>
      </c>
      <c r="AJ188" s="32">
        <v>0</v>
      </c>
      <c r="AK188" s="32">
        <v>0</v>
      </c>
      <c r="AL188" s="32">
        <v>0</v>
      </c>
      <c r="AM188" s="32">
        <v>0</v>
      </c>
      <c r="AN188" s="32">
        <v>0</v>
      </c>
      <c r="AO188" s="32">
        <v>61161.2</v>
      </c>
      <c r="AP188" s="32">
        <v>0</v>
      </c>
      <c r="AQ188" s="32">
        <v>61161.2</v>
      </c>
      <c r="AR188" s="32">
        <v>305806</v>
      </c>
      <c r="AS188" s="32">
        <v>27.18</v>
      </c>
      <c r="AT188" s="32">
        <v>107400</v>
      </c>
      <c r="AU188" s="32">
        <v>0</v>
      </c>
      <c r="AV188" s="32">
        <v>0</v>
      </c>
      <c r="AW188" s="32">
        <v>107400</v>
      </c>
      <c r="AX188" s="32">
        <v>16110</v>
      </c>
      <c r="AY188" s="32">
        <v>16110</v>
      </c>
      <c r="AZ188" s="32">
        <v>4296</v>
      </c>
      <c r="BA188" s="32">
        <v>4296</v>
      </c>
      <c r="BB188" s="32">
        <v>0</v>
      </c>
      <c r="BC188" s="32">
        <v>0</v>
      </c>
      <c r="BD188" s="32">
        <v>164000</v>
      </c>
      <c r="BE188" s="32">
        <v>164000</v>
      </c>
      <c r="BF188" s="32">
        <v>0</v>
      </c>
      <c r="BG188" s="32">
        <v>5000</v>
      </c>
      <c r="BH188" s="32">
        <v>5000</v>
      </c>
      <c r="BI188" s="32">
        <v>0</v>
      </c>
      <c r="BJ188" s="32">
        <v>0</v>
      </c>
      <c r="BK188" s="32">
        <v>0</v>
      </c>
      <c r="BL188" s="32">
        <v>0</v>
      </c>
      <c r="BM188" s="32">
        <v>0</v>
      </c>
      <c r="BN188" s="32">
        <v>0</v>
      </c>
      <c r="BO188" s="32">
        <v>9000</v>
      </c>
      <c r="BP188" s="32">
        <v>0</v>
      </c>
      <c r="BQ188" s="32">
        <v>38612</v>
      </c>
      <c r="BR188" s="32">
        <v>182130</v>
      </c>
      <c r="BS188" s="32">
        <v>42898</v>
      </c>
      <c r="BT188" s="32">
        <v>42166</v>
      </c>
      <c r="BU188" s="32">
        <v>0</v>
      </c>
      <c r="BV188" s="32">
        <v>0</v>
      </c>
      <c r="BW188" s="32">
        <v>0</v>
      </c>
      <c r="BX188" s="32">
        <v>0</v>
      </c>
      <c r="BY188" s="32">
        <v>0</v>
      </c>
      <c r="BZ188" s="32">
        <v>0</v>
      </c>
      <c r="CA188" s="32">
        <v>0</v>
      </c>
      <c r="CB188" s="125" t="s">
        <v>2924</v>
      </c>
      <c r="CC188" s="125" t="s">
        <v>541</v>
      </c>
      <c r="CD188" s="125" t="s">
        <v>558</v>
      </c>
      <c r="CE188" s="125" t="s">
        <v>684</v>
      </c>
      <c r="CF188" s="125" t="s">
        <v>2925</v>
      </c>
      <c r="CG188" s="125" t="s">
        <v>2926</v>
      </c>
      <c r="CH188" s="125" t="s">
        <v>526</v>
      </c>
      <c r="CI188" s="125" t="s">
        <v>2927</v>
      </c>
      <c r="CJ188" s="125" t="s">
        <v>683</v>
      </c>
      <c r="CK188" s="125" t="s">
        <v>2928</v>
      </c>
      <c r="CL188" s="125" t="s">
        <v>212</v>
      </c>
      <c r="CM188" s="125"/>
      <c r="CN188" s="125" t="s">
        <v>254</v>
      </c>
      <c r="CO188" s="125" t="s">
        <v>381</v>
      </c>
      <c r="CP188" s="125" t="s">
        <v>2929</v>
      </c>
      <c r="CQ188" s="125" t="s">
        <v>2930</v>
      </c>
      <c r="CR188" s="125" t="s">
        <v>1341</v>
      </c>
      <c r="CS188" s="125" t="s">
        <v>2931</v>
      </c>
      <c r="CT188" s="125" t="s">
        <v>254</v>
      </c>
      <c r="CU188" s="125" t="s">
        <v>381</v>
      </c>
      <c r="CV188" s="125" t="s">
        <v>2932</v>
      </c>
      <c r="CW188" s="125" t="s">
        <v>2930</v>
      </c>
      <c r="CX188" s="125" t="s">
        <v>1341</v>
      </c>
      <c r="CY188" s="125" t="s">
        <v>531</v>
      </c>
      <c r="CZ188" s="125" t="s">
        <v>2933</v>
      </c>
      <c r="DA188" s="125" t="s">
        <v>2934</v>
      </c>
      <c r="DB188" s="125" t="s">
        <v>547</v>
      </c>
      <c r="DC188" s="125" t="s">
        <v>2935</v>
      </c>
      <c r="DD188" s="125" t="s">
        <v>2936</v>
      </c>
      <c r="DE188" s="125" t="s">
        <v>2937</v>
      </c>
      <c r="DF188" s="126" t="s">
        <v>2938</v>
      </c>
      <c r="DG188" s="27" cm="1">
        <f t="array" ref="DG188">INDEX('elenco partner'!A:M,MATCH(1,(D188='elenco partner'!A:A)*('Partner data'!M188='elenco partner'!E:E),0),4)</f>
        <v>414</v>
      </c>
      <c r="DH188" s="83" t="str">
        <f t="shared" ref="DH188:DH195" si="73">IF(AU188&lt;&gt;0,"Tasso Forfettario 20%",IF(AV188&lt;&gt;0,"COSTO REALE",IF(AW188&lt;&gt;0,"Costo Unitario Standard","BL1 non presente")))</f>
        <v>Costo Unitario Standard</v>
      </c>
      <c r="DI188" s="20">
        <f>COUNTIFS('MY-REPORT-MAIN'!C:C,'Partner data'!DG188,'MY-REPORT-MAIN'!I:I,"Certified")</f>
        <v>0</v>
      </c>
      <c r="DJ188" s="20">
        <f>COUNTIFS(List_Of_chek_list!M:M,"&lt;&gt;26",List_Of_chek_list!B:B,'Partner data'!DG188)</f>
        <v>0</v>
      </c>
      <c r="DK188" s="20">
        <f t="shared" ref="DK188:DK195" si="74">DI188-DJ188</f>
        <v>0</v>
      </c>
      <c r="DL188" s="19" t="str">
        <f>IF(DH188="Tasso Forfettario 20%",SUMIFS(List_Of_chek_list!#REF!,List_Of_chek_list!B:B,'Partner data'!DG188),"NON PERTINENTE")</f>
        <v>NON PERTINENTE</v>
      </c>
      <c r="DM188" s="19" t="str">
        <f t="shared" ref="DM188:DM195" si="75">IF(DL188="NON PERTINENTE","NON PERTINENTE",IF(DJ188=DL188,"Rischio basso","Rischio alto"))</f>
        <v>NON PERTINENTE</v>
      </c>
      <c r="DN188" s="110">
        <f>_xlfn.MAXIFS('MY-REPORT-MAIN'!K:K,'MY-REPORT-MAIN'!C:C,DG188)</f>
        <v>0</v>
      </c>
      <c r="DO188" s="112" t="str">
        <f>IF(_xlfn.MAXIFS('MY-REPORT-MAIN'!M:M,'MY-REPORT-MAIN'!C:C,DG188)=0,"Nessun rendiconto  Convalidato",_xlfn.MAXIFS('MY-REPORT-MAIN'!M:M,'MY-REPORT-MAIN'!C:C,DG188))</f>
        <v>Nessun rendiconto  Convalidato</v>
      </c>
      <c r="DP188" s="113" t="str" cm="1">
        <f t="array" ref="DP188">IFERROR(INDEX('MY-REPORT-MAIN'!A:Z,MATCH(1,(DO188='MY-REPORT-MAIN'!M:M)*('Partner data'!DG188='MY-REPORT-MAIN'!C:C),0),1),"NON è stato convalidato ancora nessun rendiconto")</f>
        <v>NON è stato convalidato ancora nessun rendiconto</v>
      </c>
      <c r="DQ188" s="111" t="str">
        <f>IFERROR(INDEX('MY-REPORT-MAIN'!A:Z,MATCH('Partner data'!DP188,'MY-REPORT-MAIN'!A:A,0),21),"Nessun Rendiconto ancora convalidato")</f>
        <v>Nessun Rendiconto ancora convalidato</v>
      </c>
      <c r="DR188" s="110" t="e">
        <f>INDEX('Interreg VI-A Italy-Slovenia_pr'!A:E,MATCH('Partner data'!C188,'Interreg VI-A Italy-Slovenia_pr'!A:A,0),3)</f>
        <v>#N/A</v>
      </c>
      <c r="DS188" s="118">
        <f t="shared" si="48"/>
        <v>38612</v>
      </c>
      <c r="DT188" s="118">
        <f t="shared" si="49"/>
        <v>220742</v>
      </c>
      <c r="DU188" s="118">
        <f t="shared" si="50"/>
        <v>263640</v>
      </c>
      <c r="DV188" s="118">
        <f t="shared" si="51"/>
        <v>305806</v>
      </c>
      <c r="DW188" s="118">
        <f t="shared" si="52"/>
        <v>305806</v>
      </c>
      <c r="DX188" s="118">
        <f t="shared" si="53"/>
        <v>305806</v>
      </c>
      <c r="DY188" s="118">
        <f t="shared" si="54"/>
        <v>305806</v>
      </c>
      <c r="DZ188" s="118">
        <f t="shared" si="55"/>
        <v>305806</v>
      </c>
      <c r="EA188" s="118">
        <f t="shared" si="56"/>
        <v>305806</v>
      </c>
      <c r="EB188" s="118">
        <f t="shared" si="57"/>
        <v>305806</v>
      </c>
    </row>
    <row r="189" spans="1:132" ht="45" x14ac:dyDescent="0.25">
      <c r="A189" s="121">
        <v>6</v>
      </c>
      <c r="B189" s="122" t="s">
        <v>2688</v>
      </c>
      <c r="C189" s="123" t="s">
        <v>2918</v>
      </c>
      <c r="D189" s="123" t="s">
        <v>2919</v>
      </c>
      <c r="E189" s="123" t="s">
        <v>2920</v>
      </c>
      <c r="F189" s="123" t="s">
        <v>1043</v>
      </c>
      <c r="G189" s="123" t="s">
        <v>6118</v>
      </c>
      <c r="H189" s="123" t="s">
        <v>594</v>
      </c>
      <c r="I189" s="123" t="s">
        <v>595</v>
      </c>
      <c r="J189" s="124" t="s">
        <v>518</v>
      </c>
      <c r="K189" s="124" t="s">
        <v>495</v>
      </c>
      <c r="L189" s="124" t="s">
        <v>519</v>
      </c>
      <c r="M189" s="124" t="s">
        <v>2939</v>
      </c>
      <c r="N189" s="124" t="s">
        <v>2940</v>
      </c>
      <c r="O189" s="124" t="s">
        <v>2941</v>
      </c>
      <c r="P189" s="124" t="s">
        <v>257</v>
      </c>
      <c r="Q189" s="124" t="s">
        <v>556</v>
      </c>
      <c r="R189" s="124" t="s">
        <v>258</v>
      </c>
      <c r="S189" s="32">
        <v>151625.60000000001</v>
      </c>
      <c r="T189" s="32">
        <v>80</v>
      </c>
      <c r="U189" s="32">
        <v>16.850000000000001</v>
      </c>
      <c r="V189" s="32">
        <v>0</v>
      </c>
      <c r="W189" s="32">
        <v>0</v>
      </c>
      <c r="X189" s="32">
        <v>0</v>
      </c>
      <c r="Y189" s="32">
        <v>0</v>
      </c>
      <c r="Z189" s="32">
        <v>0</v>
      </c>
      <c r="AA189" s="32">
        <v>0</v>
      </c>
      <c r="AB189" s="32">
        <v>0</v>
      </c>
      <c r="AC189" s="32">
        <v>0</v>
      </c>
      <c r="AD189" s="32">
        <v>0</v>
      </c>
      <c r="AE189" s="32">
        <v>0</v>
      </c>
      <c r="AF189" s="32">
        <v>0</v>
      </c>
      <c r="AG189" s="32">
        <v>0</v>
      </c>
      <c r="AH189" s="32">
        <v>0</v>
      </c>
      <c r="AI189" s="32">
        <v>0</v>
      </c>
      <c r="AJ189" s="32">
        <v>0</v>
      </c>
      <c r="AK189" s="32">
        <v>0</v>
      </c>
      <c r="AL189" s="32">
        <v>0</v>
      </c>
      <c r="AM189" s="32">
        <v>0</v>
      </c>
      <c r="AN189" s="32">
        <v>37906.400000000001</v>
      </c>
      <c r="AO189" s="32">
        <v>0</v>
      </c>
      <c r="AP189" s="32">
        <v>0</v>
      </c>
      <c r="AQ189" s="32">
        <v>37906.400000000001</v>
      </c>
      <c r="AR189" s="32">
        <v>189532</v>
      </c>
      <c r="AS189" s="32">
        <v>16.850000000000001</v>
      </c>
      <c r="AT189" s="32">
        <v>135380</v>
      </c>
      <c r="AU189" s="32">
        <v>0</v>
      </c>
      <c r="AV189" s="32">
        <v>135380</v>
      </c>
      <c r="AW189" s="32">
        <v>0</v>
      </c>
      <c r="AX189" s="32">
        <v>0</v>
      </c>
      <c r="AY189" s="32">
        <v>0</v>
      </c>
      <c r="AZ189" s="32">
        <v>0</v>
      </c>
      <c r="BA189" s="32">
        <v>0</v>
      </c>
      <c r="BB189" s="32">
        <v>0</v>
      </c>
      <c r="BC189" s="32">
        <v>0</v>
      </c>
      <c r="BD189" s="32">
        <v>0</v>
      </c>
      <c r="BE189" s="32">
        <v>0</v>
      </c>
      <c r="BF189" s="32">
        <v>0</v>
      </c>
      <c r="BG189" s="32">
        <v>0</v>
      </c>
      <c r="BH189" s="32">
        <v>0</v>
      </c>
      <c r="BI189" s="32">
        <v>0</v>
      </c>
      <c r="BJ189" s="32">
        <v>0</v>
      </c>
      <c r="BK189" s="32">
        <v>0</v>
      </c>
      <c r="BL189" s="32">
        <v>0</v>
      </c>
      <c r="BM189" s="32">
        <v>54152</v>
      </c>
      <c r="BN189" s="32">
        <v>0</v>
      </c>
      <c r="BO189" s="32">
        <v>0</v>
      </c>
      <c r="BP189" s="32">
        <v>0</v>
      </c>
      <c r="BQ189" s="32">
        <v>47455.8</v>
      </c>
      <c r="BR189" s="32">
        <v>47455.8</v>
      </c>
      <c r="BS189" s="32">
        <v>47455.8</v>
      </c>
      <c r="BT189" s="32">
        <v>47164.6</v>
      </c>
      <c r="BU189" s="32">
        <v>0</v>
      </c>
      <c r="BV189" s="32">
        <v>0</v>
      </c>
      <c r="BW189" s="32">
        <v>0</v>
      </c>
      <c r="BX189" s="32">
        <v>0</v>
      </c>
      <c r="BY189" s="32">
        <v>0</v>
      </c>
      <c r="BZ189" s="32">
        <v>0</v>
      </c>
      <c r="CA189" s="32">
        <v>0</v>
      </c>
      <c r="CB189" s="125" t="s">
        <v>212</v>
      </c>
      <c r="CC189" s="125" t="s">
        <v>541</v>
      </c>
      <c r="CD189" s="125" t="s">
        <v>558</v>
      </c>
      <c r="CE189" s="125" t="s">
        <v>523</v>
      </c>
      <c r="CF189" s="125"/>
      <c r="CG189" s="125" t="s">
        <v>2942</v>
      </c>
      <c r="CH189" s="125" t="s">
        <v>504</v>
      </c>
      <c r="CI189" s="125"/>
      <c r="CJ189" s="125" t="s">
        <v>212</v>
      </c>
      <c r="CK189" s="125"/>
      <c r="CL189" s="125" t="s">
        <v>212</v>
      </c>
      <c r="CM189" s="125"/>
      <c r="CN189" s="125" t="s">
        <v>257</v>
      </c>
      <c r="CO189" s="125" t="s">
        <v>258</v>
      </c>
      <c r="CP189" s="125" t="s">
        <v>2943</v>
      </c>
      <c r="CQ189" s="125" t="s">
        <v>620</v>
      </c>
      <c r="CR189" s="125" t="s">
        <v>621</v>
      </c>
      <c r="CS189" s="125" t="s">
        <v>2944</v>
      </c>
      <c r="CT189" s="125"/>
      <c r="CU189" s="125"/>
      <c r="CV189" s="125"/>
      <c r="CW189" s="125"/>
      <c r="CX189" s="125"/>
      <c r="CY189" s="125" t="s">
        <v>892</v>
      </c>
      <c r="CZ189" s="125" t="s">
        <v>2945</v>
      </c>
      <c r="DA189" s="125" t="s">
        <v>565</v>
      </c>
      <c r="DB189" s="125" t="s">
        <v>895</v>
      </c>
      <c r="DC189" s="125" t="s">
        <v>2946</v>
      </c>
      <c r="DD189" s="125" t="s">
        <v>894</v>
      </c>
      <c r="DE189" s="125" t="s">
        <v>2947</v>
      </c>
      <c r="DF189" s="126" t="s">
        <v>2948</v>
      </c>
      <c r="DG189" s="27" cm="1">
        <f t="array" ref="DG189">INDEX('elenco partner'!A:M,MATCH(1,(D189='elenco partner'!A:A)*('Partner data'!M189='elenco partner'!E:E),0),4)</f>
        <v>427</v>
      </c>
      <c r="DH189" s="83" t="str">
        <f t="shared" si="73"/>
        <v>COSTO REALE</v>
      </c>
      <c r="DI189" s="20">
        <f>COUNTIFS('MY-REPORT-MAIN'!C:C,'Partner data'!DG189,'MY-REPORT-MAIN'!I:I,"Certified")</f>
        <v>0</v>
      </c>
      <c r="DJ189" s="20">
        <f>COUNTIFS(List_Of_chek_list!M:M,"&lt;&gt;26",List_Of_chek_list!B:B,'Partner data'!DG189)</f>
        <v>0</v>
      </c>
      <c r="DK189" s="20">
        <f t="shared" si="74"/>
        <v>0</v>
      </c>
      <c r="DL189" s="19" t="str">
        <f>IF(DH189="Tasso Forfettario 20%",SUMIFS(List_Of_chek_list!#REF!,List_Of_chek_list!B:B,'Partner data'!DG189),"NON PERTINENTE")</f>
        <v>NON PERTINENTE</v>
      </c>
      <c r="DM189" s="19" t="str">
        <f t="shared" si="75"/>
        <v>NON PERTINENTE</v>
      </c>
      <c r="DN189" s="110">
        <f>_xlfn.MAXIFS('MY-REPORT-MAIN'!K:K,'MY-REPORT-MAIN'!C:C,DG189)</f>
        <v>0</v>
      </c>
      <c r="DO189" s="112" t="str">
        <f>IF(_xlfn.MAXIFS('MY-REPORT-MAIN'!M:M,'MY-REPORT-MAIN'!C:C,DG189)=0,"Nessun rendiconto  Convalidato",_xlfn.MAXIFS('MY-REPORT-MAIN'!M:M,'MY-REPORT-MAIN'!C:C,DG189))</f>
        <v>Nessun rendiconto  Convalidato</v>
      </c>
      <c r="DP189" s="113" t="str" cm="1">
        <f t="array" ref="DP189">IFERROR(INDEX('MY-REPORT-MAIN'!A:Z,MATCH(1,(DO189='MY-REPORT-MAIN'!M:M)*('Partner data'!DG189='MY-REPORT-MAIN'!C:C),0),1),"NON è stato convalidato ancora nessun rendiconto")</f>
        <v>NON è stato convalidato ancora nessun rendiconto</v>
      </c>
      <c r="DQ189" s="111" t="str">
        <f>IFERROR(INDEX('MY-REPORT-MAIN'!A:Z,MATCH('Partner data'!DP189,'MY-REPORT-MAIN'!A:A,0),21),"Nessun Rendiconto ancora convalidato")</f>
        <v>Nessun Rendiconto ancora convalidato</v>
      </c>
      <c r="DR189" s="110" t="e">
        <f>INDEX('Interreg VI-A Italy-Slovenia_pr'!A:E,MATCH('Partner data'!C189,'Interreg VI-A Italy-Slovenia_pr'!A:A,0),3)</f>
        <v>#N/A</v>
      </c>
      <c r="DS189" s="118">
        <f t="shared" si="48"/>
        <v>47455.8</v>
      </c>
      <c r="DT189" s="118">
        <f t="shared" si="49"/>
        <v>94911.6</v>
      </c>
      <c r="DU189" s="118">
        <f t="shared" si="50"/>
        <v>142367.40000000002</v>
      </c>
      <c r="DV189" s="118">
        <f t="shared" si="51"/>
        <v>189532.00000000003</v>
      </c>
      <c r="DW189" s="118">
        <f t="shared" si="52"/>
        <v>189532.00000000003</v>
      </c>
      <c r="DX189" s="118">
        <f t="shared" si="53"/>
        <v>189532.00000000003</v>
      </c>
      <c r="DY189" s="118">
        <f t="shared" si="54"/>
        <v>189532.00000000003</v>
      </c>
      <c r="DZ189" s="118">
        <f t="shared" si="55"/>
        <v>189532.00000000003</v>
      </c>
      <c r="EA189" s="118">
        <f t="shared" si="56"/>
        <v>189532.00000000003</v>
      </c>
      <c r="EB189" s="118">
        <f t="shared" si="57"/>
        <v>189532.00000000003</v>
      </c>
    </row>
    <row r="190" spans="1:132" ht="45" x14ac:dyDescent="0.25">
      <c r="A190" s="121">
        <v>6</v>
      </c>
      <c r="B190" s="122" t="s">
        <v>2688</v>
      </c>
      <c r="C190" s="123" t="s">
        <v>2918</v>
      </c>
      <c r="D190" s="123" t="s">
        <v>2919</v>
      </c>
      <c r="E190" s="123" t="s">
        <v>2920</v>
      </c>
      <c r="F190" s="123" t="s">
        <v>1043</v>
      </c>
      <c r="G190" s="123" t="s">
        <v>6118</v>
      </c>
      <c r="H190" s="123" t="s">
        <v>594</v>
      </c>
      <c r="I190" s="123" t="s">
        <v>595</v>
      </c>
      <c r="J190" s="124" t="s">
        <v>538</v>
      </c>
      <c r="K190" s="124" t="s">
        <v>495</v>
      </c>
      <c r="L190" s="124" t="s">
        <v>519</v>
      </c>
      <c r="M190" s="124" t="s">
        <v>2949</v>
      </c>
      <c r="N190" s="124" t="s">
        <v>2950</v>
      </c>
      <c r="O190" s="124" t="s">
        <v>2950</v>
      </c>
      <c r="P190" s="124" t="s">
        <v>254</v>
      </c>
      <c r="Q190" s="124" t="s">
        <v>2951</v>
      </c>
      <c r="R190" s="124" t="s">
        <v>2952</v>
      </c>
      <c r="S190" s="32">
        <v>90497.279999999999</v>
      </c>
      <c r="T190" s="32">
        <v>80</v>
      </c>
      <c r="U190" s="32">
        <v>10.06</v>
      </c>
      <c r="V190" s="32">
        <v>0</v>
      </c>
      <c r="W190" s="32">
        <v>0</v>
      </c>
      <c r="X190" s="32">
        <v>0</v>
      </c>
      <c r="Y190" s="32">
        <v>0</v>
      </c>
      <c r="Z190" s="32">
        <v>0</v>
      </c>
      <c r="AA190" s="32">
        <v>0</v>
      </c>
      <c r="AB190" s="32">
        <v>0</v>
      </c>
      <c r="AC190" s="32">
        <v>0</v>
      </c>
      <c r="AD190" s="32">
        <v>0</v>
      </c>
      <c r="AE190" s="32">
        <v>0</v>
      </c>
      <c r="AF190" s="32">
        <v>0</v>
      </c>
      <c r="AG190" s="32">
        <v>0</v>
      </c>
      <c r="AH190" s="32">
        <v>0</v>
      </c>
      <c r="AI190" s="32">
        <v>0</v>
      </c>
      <c r="AJ190" s="32">
        <v>0</v>
      </c>
      <c r="AK190" s="32">
        <v>0</v>
      </c>
      <c r="AL190" s="32">
        <v>0</v>
      </c>
      <c r="AM190" s="32">
        <v>0</v>
      </c>
      <c r="AN190" s="32">
        <v>0</v>
      </c>
      <c r="AO190" s="32">
        <v>0</v>
      </c>
      <c r="AP190" s="32">
        <v>22624.32</v>
      </c>
      <c r="AQ190" s="32">
        <v>22624.32</v>
      </c>
      <c r="AR190" s="32">
        <v>113121.60000000001</v>
      </c>
      <c r="AS190" s="32">
        <v>10.06</v>
      </c>
      <c r="AT190" s="32">
        <v>94268</v>
      </c>
      <c r="AU190" s="32">
        <v>0</v>
      </c>
      <c r="AV190" s="32">
        <v>0</v>
      </c>
      <c r="AW190" s="32">
        <v>94268</v>
      </c>
      <c r="AX190" s="32">
        <v>0</v>
      </c>
      <c r="AY190" s="32">
        <v>0</v>
      </c>
      <c r="AZ190" s="32">
        <v>0</v>
      </c>
      <c r="BA190" s="32">
        <v>0</v>
      </c>
      <c r="BB190" s="32">
        <v>0</v>
      </c>
      <c r="BC190" s="32">
        <v>0</v>
      </c>
      <c r="BD190" s="32">
        <v>0</v>
      </c>
      <c r="BE190" s="32">
        <v>0</v>
      </c>
      <c r="BF190" s="32">
        <v>0</v>
      </c>
      <c r="BG190" s="32">
        <v>0</v>
      </c>
      <c r="BH190" s="32">
        <v>0</v>
      </c>
      <c r="BI190" s="32">
        <v>0</v>
      </c>
      <c r="BJ190" s="32">
        <v>0</v>
      </c>
      <c r="BK190" s="32">
        <v>0</v>
      </c>
      <c r="BL190" s="32">
        <v>0</v>
      </c>
      <c r="BM190" s="32">
        <v>18853.599999999999</v>
      </c>
      <c r="BN190" s="32">
        <v>0</v>
      </c>
      <c r="BO190" s="32">
        <v>0</v>
      </c>
      <c r="BP190" s="32">
        <v>0</v>
      </c>
      <c r="BQ190" s="32">
        <v>56560.800000000003</v>
      </c>
      <c r="BR190" s="32">
        <v>56560.800000000003</v>
      </c>
      <c r="BS190" s="32">
        <v>0</v>
      </c>
      <c r="BT190" s="32">
        <v>0</v>
      </c>
      <c r="BU190" s="32">
        <v>0</v>
      </c>
      <c r="BV190" s="32">
        <v>0</v>
      </c>
      <c r="BW190" s="32">
        <v>0</v>
      </c>
      <c r="BX190" s="32">
        <v>0</v>
      </c>
      <c r="BY190" s="32">
        <v>0</v>
      </c>
      <c r="BZ190" s="32">
        <v>0</v>
      </c>
      <c r="CA190" s="32">
        <v>0</v>
      </c>
      <c r="CB190" s="125" t="s">
        <v>2953</v>
      </c>
      <c r="CC190" s="125" t="s">
        <v>557</v>
      </c>
      <c r="CD190" s="125" t="s">
        <v>558</v>
      </c>
      <c r="CE190" s="125" t="s">
        <v>501</v>
      </c>
      <c r="CF190" s="125" t="s">
        <v>2954</v>
      </c>
      <c r="CG190" s="125" t="s">
        <v>2955</v>
      </c>
      <c r="CH190" s="125" t="s">
        <v>619</v>
      </c>
      <c r="CI190" s="125"/>
      <c r="CJ190" s="125" t="s">
        <v>212</v>
      </c>
      <c r="CK190" s="125"/>
      <c r="CL190" s="125" t="s">
        <v>212</v>
      </c>
      <c r="CM190" s="125" t="s">
        <v>2040</v>
      </c>
      <c r="CN190" s="125" t="s">
        <v>254</v>
      </c>
      <c r="CO190" s="125" t="s">
        <v>2952</v>
      </c>
      <c r="CP190" s="125" t="s">
        <v>2956</v>
      </c>
      <c r="CQ190" s="125" t="s">
        <v>2957</v>
      </c>
      <c r="CR190" s="125" t="s">
        <v>2958</v>
      </c>
      <c r="CS190" s="125"/>
      <c r="CT190" s="125" t="s">
        <v>254</v>
      </c>
      <c r="CU190" s="125" t="s">
        <v>255</v>
      </c>
      <c r="CV190" s="125" t="s">
        <v>2959</v>
      </c>
      <c r="CW190" s="125" t="s">
        <v>2276</v>
      </c>
      <c r="CX190" s="125" t="s">
        <v>1417</v>
      </c>
      <c r="CY190" s="125" t="s">
        <v>705</v>
      </c>
      <c r="CZ190" s="125" t="s">
        <v>668</v>
      </c>
      <c r="DA190" s="125" t="s">
        <v>2960</v>
      </c>
      <c r="DB190" s="125" t="s">
        <v>705</v>
      </c>
      <c r="DC190" s="125" t="s">
        <v>1613</v>
      </c>
      <c r="DD190" s="125" t="s">
        <v>2961</v>
      </c>
      <c r="DE190" s="125" t="s">
        <v>2962</v>
      </c>
      <c r="DF190" s="126" t="s">
        <v>2963</v>
      </c>
      <c r="DG190" s="27" cm="1">
        <f t="array" ref="DG190">INDEX('elenco partner'!A:M,MATCH(1,(D190='elenco partner'!A:A)*('Partner data'!M190='elenco partner'!E:E),0),4)</f>
        <v>428</v>
      </c>
      <c r="DH190" s="83" t="str">
        <f t="shared" si="73"/>
        <v>Costo Unitario Standard</v>
      </c>
      <c r="DI190" s="20">
        <f>COUNTIFS('MY-REPORT-MAIN'!C:C,'Partner data'!DG190,'MY-REPORT-MAIN'!I:I,"Certified")</f>
        <v>0</v>
      </c>
      <c r="DJ190" s="20">
        <f>COUNTIFS(List_Of_chek_list!M:M,"&lt;&gt;26",List_Of_chek_list!B:B,'Partner data'!DG190)</f>
        <v>0</v>
      </c>
      <c r="DK190" s="20">
        <f t="shared" si="74"/>
        <v>0</v>
      </c>
      <c r="DL190" s="19" t="str">
        <f>IF(DH190="Tasso Forfettario 20%",SUMIFS(List_Of_chek_list!#REF!,List_Of_chek_list!B:B,'Partner data'!DG190),"NON PERTINENTE")</f>
        <v>NON PERTINENTE</v>
      </c>
      <c r="DM190" s="19" t="str">
        <f t="shared" si="75"/>
        <v>NON PERTINENTE</v>
      </c>
      <c r="DN190" s="110">
        <f>_xlfn.MAXIFS('MY-REPORT-MAIN'!K:K,'MY-REPORT-MAIN'!C:C,DG190)</f>
        <v>0</v>
      </c>
      <c r="DO190" s="112" t="str">
        <f>IF(_xlfn.MAXIFS('MY-REPORT-MAIN'!M:M,'MY-REPORT-MAIN'!C:C,DG190)=0,"Nessun rendiconto  Convalidato",_xlfn.MAXIFS('MY-REPORT-MAIN'!M:M,'MY-REPORT-MAIN'!C:C,DG190))</f>
        <v>Nessun rendiconto  Convalidato</v>
      </c>
      <c r="DP190" s="113" t="str" cm="1">
        <f t="array" ref="DP190">IFERROR(INDEX('MY-REPORT-MAIN'!A:Z,MATCH(1,(DO190='MY-REPORT-MAIN'!M:M)*('Partner data'!DG190='MY-REPORT-MAIN'!C:C),0),1),"NON è stato convalidato ancora nessun rendiconto")</f>
        <v>NON è stato convalidato ancora nessun rendiconto</v>
      </c>
      <c r="DQ190" s="111" t="str">
        <f>IFERROR(INDEX('MY-REPORT-MAIN'!A:Z,MATCH('Partner data'!DP190,'MY-REPORT-MAIN'!A:A,0),21),"Nessun Rendiconto ancora convalidato")</f>
        <v>Nessun Rendiconto ancora convalidato</v>
      </c>
      <c r="DR190" s="110" t="e">
        <f>INDEX('Interreg VI-A Italy-Slovenia_pr'!A:E,MATCH('Partner data'!C190,'Interreg VI-A Italy-Slovenia_pr'!A:A,0),3)</f>
        <v>#N/A</v>
      </c>
      <c r="DS190" s="118">
        <f t="shared" si="48"/>
        <v>56560.800000000003</v>
      </c>
      <c r="DT190" s="118">
        <f t="shared" si="49"/>
        <v>113121.60000000001</v>
      </c>
      <c r="DU190" s="118">
        <f t="shared" si="50"/>
        <v>113121.60000000001</v>
      </c>
      <c r="DV190" s="118">
        <f t="shared" si="51"/>
        <v>113121.60000000001</v>
      </c>
      <c r="DW190" s="118">
        <f t="shared" si="52"/>
        <v>113121.60000000001</v>
      </c>
      <c r="DX190" s="118">
        <f t="shared" si="53"/>
        <v>113121.60000000001</v>
      </c>
      <c r="DY190" s="118">
        <f t="shared" si="54"/>
        <v>113121.60000000001</v>
      </c>
      <c r="DZ190" s="118">
        <f t="shared" si="55"/>
        <v>113121.60000000001</v>
      </c>
      <c r="EA190" s="118">
        <f t="shared" si="56"/>
        <v>113121.60000000001</v>
      </c>
      <c r="EB190" s="118">
        <f t="shared" si="57"/>
        <v>113121.60000000001</v>
      </c>
    </row>
    <row r="191" spans="1:132" ht="45" x14ac:dyDescent="0.25">
      <c r="A191" s="121">
        <v>6</v>
      </c>
      <c r="B191" s="122" t="s">
        <v>2688</v>
      </c>
      <c r="C191" s="123" t="s">
        <v>2918</v>
      </c>
      <c r="D191" s="123" t="s">
        <v>2919</v>
      </c>
      <c r="E191" s="123" t="s">
        <v>2920</v>
      </c>
      <c r="F191" s="123" t="s">
        <v>1043</v>
      </c>
      <c r="G191" s="123" t="s">
        <v>6118</v>
      </c>
      <c r="H191" s="123" t="s">
        <v>594</v>
      </c>
      <c r="I191" s="123" t="s">
        <v>595</v>
      </c>
      <c r="J191" s="124" t="s">
        <v>554</v>
      </c>
      <c r="K191" s="124" t="s">
        <v>495</v>
      </c>
      <c r="L191" s="124" t="s">
        <v>519</v>
      </c>
      <c r="M191" s="124" t="s">
        <v>2964</v>
      </c>
      <c r="N191" s="124" t="s">
        <v>6127</v>
      </c>
      <c r="O191" s="124" t="s">
        <v>2965</v>
      </c>
      <c r="P191" s="124" t="s">
        <v>257</v>
      </c>
      <c r="Q191" s="124" t="s">
        <v>556</v>
      </c>
      <c r="R191" s="124" t="s">
        <v>258</v>
      </c>
      <c r="S191" s="32">
        <v>97146.4</v>
      </c>
      <c r="T191" s="32">
        <v>80</v>
      </c>
      <c r="U191" s="32">
        <v>10.79</v>
      </c>
      <c r="V191" s="32">
        <v>0</v>
      </c>
      <c r="W191" s="32">
        <v>0</v>
      </c>
      <c r="X191" s="32">
        <v>0</v>
      </c>
      <c r="Y191" s="32">
        <v>0</v>
      </c>
      <c r="Z191" s="32">
        <v>0</v>
      </c>
      <c r="AA191" s="32">
        <v>0</v>
      </c>
      <c r="AB191" s="32">
        <v>0</v>
      </c>
      <c r="AC191" s="32">
        <v>0</v>
      </c>
      <c r="AD191" s="32">
        <v>0</v>
      </c>
      <c r="AE191" s="32">
        <v>0</v>
      </c>
      <c r="AF191" s="32">
        <v>0</v>
      </c>
      <c r="AG191" s="32">
        <v>0</v>
      </c>
      <c r="AH191" s="32">
        <v>0</v>
      </c>
      <c r="AI191" s="32">
        <v>0</v>
      </c>
      <c r="AJ191" s="32">
        <v>0</v>
      </c>
      <c r="AK191" s="32">
        <v>0</v>
      </c>
      <c r="AL191" s="32">
        <v>0</v>
      </c>
      <c r="AM191" s="32">
        <v>0</v>
      </c>
      <c r="AN191" s="32">
        <v>0</v>
      </c>
      <c r="AO191" s="32">
        <v>0</v>
      </c>
      <c r="AP191" s="32">
        <v>24286.6</v>
      </c>
      <c r="AQ191" s="32">
        <v>24286.6</v>
      </c>
      <c r="AR191" s="32">
        <v>121433</v>
      </c>
      <c r="AS191" s="32">
        <v>10.79</v>
      </c>
      <c r="AT191" s="32">
        <v>93410</v>
      </c>
      <c r="AU191" s="32">
        <v>0</v>
      </c>
      <c r="AV191" s="32">
        <v>93410</v>
      </c>
      <c r="AW191" s="32">
        <v>0</v>
      </c>
      <c r="AX191" s="32">
        <v>0</v>
      </c>
      <c r="AY191" s="32">
        <v>0</v>
      </c>
      <c r="AZ191" s="32">
        <v>0</v>
      </c>
      <c r="BA191" s="32">
        <v>0</v>
      </c>
      <c r="BB191" s="32">
        <v>0</v>
      </c>
      <c r="BC191" s="32">
        <v>0</v>
      </c>
      <c r="BD191" s="32">
        <v>0</v>
      </c>
      <c r="BE191" s="32">
        <v>0</v>
      </c>
      <c r="BF191" s="32">
        <v>0</v>
      </c>
      <c r="BG191" s="32">
        <v>0</v>
      </c>
      <c r="BH191" s="32">
        <v>0</v>
      </c>
      <c r="BI191" s="32">
        <v>0</v>
      </c>
      <c r="BJ191" s="32">
        <v>0</v>
      </c>
      <c r="BK191" s="32">
        <v>0</v>
      </c>
      <c r="BL191" s="32">
        <v>0</v>
      </c>
      <c r="BM191" s="32">
        <v>28023</v>
      </c>
      <c r="BN191" s="32">
        <v>0</v>
      </c>
      <c r="BO191" s="32">
        <v>0</v>
      </c>
      <c r="BP191" s="32">
        <v>0</v>
      </c>
      <c r="BQ191" s="32">
        <v>28340</v>
      </c>
      <c r="BR191" s="32">
        <v>27430</v>
      </c>
      <c r="BS191" s="32">
        <v>33150</v>
      </c>
      <c r="BT191" s="32">
        <v>32513</v>
      </c>
      <c r="BU191" s="32">
        <v>0</v>
      </c>
      <c r="BV191" s="32">
        <v>0</v>
      </c>
      <c r="BW191" s="32">
        <v>0</v>
      </c>
      <c r="BX191" s="32">
        <v>0</v>
      </c>
      <c r="BY191" s="32">
        <v>0</v>
      </c>
      <c r="BZ191" s="32">
        <v>0</v>
      </c>
      <c r="CA191" s="32">
        <v>0</v>
      </c>
      <c r="CB191" s="125" t="s">
        <v>2091</v>
      </c>
      <c r="CC191" s="125" t="s">
        <v>557</v>
      </c>
      <c r="CD191" s="125" t="s">
        <v>617</v>
      </c>
      <c r="CE191" s="125" t="s">
        <v>501</v>
      </c>
      <c r="CF191" s="125" t="s">
        <v>2954</v>
      </c>
      <c r="CG191" s="125" t="s">
        <v>2966</v>
      </c>
      <c r="CH191" s="125" t="s">
        <v>504</v>
      </c>
      <c r="CI191" s="125"/>
      <c r="CJ191" s="125" t="s">
        <v>212</v>
      </c>
      <c r="CK191" s="125"/>
      <c r="CL191" s="125" t="s">
        <v>212</v>
      </c>
      <c r="CM191" s="125" t="s">
        <v>2040</v>
      </c>
      <c r="CN191" s="125" t="s">
        <v>257</v>
      </c>
      <c r="CO191" s="125" t="s">
        <v>258</v>
      </c>
      <c r="CP191" s="125" t="s">
        <v>2967</v>
      </c>
      <c r="CQ191" s="125" t="s">
        <v>620</v>
      </c>
      <c r="CR191" s="125" t="s">
        <v>621</v>
      </c>
      <c r="CS191" s="125" t="s">
        <v>2968</v>
      </c>
      <c r="CT191" s="125" t="s">
        <v>257</v>
      </c>
      <c r="CU191" s="125" t="s">
        <v>258</v>
      </c>
      <c r="CV191" s="125" t="s">
        <v>2967</v>
      </c>
      <c r="CW191" s="125" t="s">
        <v>620</v>
      </c>
      <c r="CX191" s="125" t="s">
        <v>621</v>
      </c>
      <c r="CY191" s="125" t="s">
        <v>892</v>
      </c>
      <c r="CZ191" s="125" t="s">
        <v>1192</v>
      </c>
      <c r="DA191" s="125" t="s">
        <v>2969</v>
      </c>
      <c r="DB191" s="125" t="s">
        <v>892</v>
      </c>
      <c r="DC191" s="125" t="s">
        <v>2970</v>
      </c>
      <c r="DD191" s="125" t="s">
        <v>2971</v>
      </c>
      <c r="DE191" s="125" t="s">
        <v>2972</v>
      </c>
      <c r="DF191" s="126" t="s">
        <v>2973</v>
      </c>
      <c r="DG191" s="27" cm="1">
        <f t="array" ref="DG191">INDEX('elenco partner'!A:M,MATCH(1,(D191='elenco partner'!A:A)*('Partner data'!M191='elenco partner'!E:E),0),4)</f>
        <v>429</v>
      </c>
      <c r="DH191" s="83" t="str">
        <f t="shared" si="73"/>
        <v>COSTO REALE</v>
      </c>
      <c r="DI191" s="20">
        <f>COUNTIFS('MY-REPORT-MAIN'!C:C,'Partner data'!DG191,'MY-REPORT-MAIN'!I:I,"Certified")</f>
        <v>0</v>
      </c>
      <c r="DJ191" s="20">
        <f>COUNTIFS(List_Of_chek_list!M:M,"&lt;&gt;26",List_Of_chek_list!B:B,'Partner data'!DG191)</f>
        <v>0</v>
      </c>
      <c r="DK191" s="20">
        <f t="shared" si="74"/>
        <v>0</v>
      </c>
      <c r="DL191" s="19" t="str">
        <f>IF(DH191="Tasso Forfettario 20%",SUMIFS(List_Of_chek_list!#REF!,List_Of_chek_list!B:B,'Partner data'!DG191),"NON PERTINENTE")</f>
        <v>NON PERTINENTE</v>
      </c>
      <c r="DM191" s="19" t="str">
        <f t="shared" si="75"/>
        <v>NON PERTINENTE</v>
      </c>
      <c r="DN191" s="110">
        <f>_xlfn.MAXIFS('MY-REPORT-MAIN'!K:K,'MY-REPORT-MAIN'!C:C,DG191)</f>
        <v>0</v>
      </c>
      <c r="DO191" s="112" t="str">
        <f>IF(_xlfn.MAXIFS('MY-REPORT-MAIN'!M:M,'MY-REPORT-MAIN'!C:C,DG191)=0,"Nessun rendiconto  Convalidato",_xlfn.MAXIFS('MY-REPORT-MAIN'!M:M,'MY-REPORT-MAIN'!C:C,DG191))</f>
        <v>Nessun rendiconto  Convalidato</v>
      </c>
      <c r="DP191" s="113" t="str" cm="1">
        <f t="array" ref="DP191">IFERROR(INDEX('MY-REPORT-MAIN'!A:Z,MATCH(1,(DO191='MY-REPORT-MAIN'!M:M)*('Partner data'!DG191='MY-REPORT-MAIN'!C:C),0),1),"NON è stato convalidato ancora nessun rendiconto")</f>
        <v>NON è stato convalidato ancora nessun rendiconto</v>
      </c>
      <c r="DQ191" s="111" t="str">
        <f>IFERROR(INDEX('MY-REPORT-MAIN'!A:Z,MATCH('Partner data'!DP191,'MY-REPORT-MAIN'!A:A,0),21),"Nessun Rendiconto ancora convalidato")</f>
        <v>Nessun Rendiconto ancora convalidato</v>
      </c>
      <c r="DR191" s="110" t="e">
        <f>INDEX('Interreg VI-A Italy-Slovenia_pr'!A:E,MATCH('Partner data'!C191,'Interreg VI-A Italy-Slovenia_pr'!A:A,0),3)</f>
        <v>#N/A</v>
      </c>
      <c r="DS191" s="118">
        <f t="shared" si="48"/>
        <v>28340</v>
      </c>
      <c r="DT191" s="118">
        <f t="shared" si="49"/>
        <v>55770</v>
      </c>
      <c r="DU191" s="118">
        <f t="shared" si="50"/>
        <v>88920</v>
      </c>
      <c r="DV191" s="118">
        <f t="shared" si="51"/>
        <v>121433</v>
      </c>
      <c r="DW191" s="118">
        <f t="shared" si="52"/>
        <v>121433</v>
      </c>
      <c r="DX191" s="118">
        <f t="shared" si="53"/>
        <v>121433</v>
      </c>
      <c r="DY191" s="118">
        <f t="shared" si="54"/>
        <v>121433</v>
      </c>
      <c r="DZ191" s="118">
        <f t="shared" si="55"/>
        <v>121433</v>
      </c>
      <c r="EA191" s="118">
        <f t="shared" si="56"/>
        <v>121433</v>
      </c>
      <c r="EB191" s="118">
        <f t="shared" si="57"/>
        <v>121433</v>
      </c>
    </row>
    <row r="192" spans="1:132" ht="45" x14ac:dyDescent="0.25">
      <c r="A192" s="121">
        <v>6</v>
      </c>
      <c r="B192" s="122" t="s">
        <v>2688</v>
      </c>
      <c r="C192" s="123" t="s">
        <v>2918</v>
      </c>
      <c r="D192" s="123" t="s">
        <v>2919</v>
      </c>
      <c r="E192" s="123" t="s">
        <v>2920</v>
      </c>
      <c r="F192" s="123" t="s">
        <v>1043</v>
      </c>
      <c r="G192" s="123" t="s">
        <v>6118</v>
      </c>
      <c r="H192" s="123" t="s">
        <v>594</v>
      </c>
      <c r="I192" s="123" t="s">
        <v>595</v>
      </c>
      <c r="J192" s="124" t="s">
        <v>570</v>
      </c>
      <c r="K192" s="124" t="s">
        <v>495</v>
      </c>
      <c r="L192" s="124" t="s">
        <v>519</v>
      </c>
      <c r="M192" s="124" t="s">
        <v>69</v>
      </c>
      <c r="N192" s="124" t="s">
        <v>2974</v>
      </c>
      <c r="O192" s="124" t="s">
        <v>1272</v>
      </c>
      <c r="P192" s="124" t="s">
        <v>254</v>
      </c>
      <c r="Q192" s="124" t="s">
        <v>499</v>
      </c>
      <c r="R192" s="124" t="s">
        <v>255</v>
      </c>
      <c r="S192" s="32">
        <v>79407.360000000001</v>
      </c>
      <c r="T192" s="32">
        <v>80</v>
      </c>
      <c r="U192" s="32">
        <v>8.82</v>
      </c>
      <c r="V192" s="32">
        <v>0</v>
      </c>
      <c r="W192" s="32">
        <v>0</v>
      </c>
      <c r="X192" s="32">
        <v>0</v>
      </c>
      <c r="Y192" s="32">
        <v>0</v>
      </c>
      <c r="Z192" s="32">
        <v>0</v>
      </c>
      <c r="AA192" s="32">
        <v>0</v>
      </c>
      <c r="AB192" s="32">
        <v>0</v>
      </c>
      <c r="AC192" s="32">
        <v>0</v>
      </c>
      <c r="AD192" s="32">
        <v>0</v>
      </c>
      <c r="AE192" s="32">
        <v>0</v>
      </c>
      <c r="AF192" s="32">
        <v>0</v>
      </c>
      <c r="AG192" s="32">
        <v>0</v>
      </c>
      <c r="AH192" s="32">
        <v>0</v>
      </c>
      <c r="AI192" s="32">
        <v>0</v>
      </c>
      <c r="AJ192" s="32">
        <v>0</v>
      </c>
      <c r="AK192" s="32">
        <v>0</v>
      </c>
      <c r="AL192" s="32">
        <v>0</v>
      </c>
      <c r="AM192" s="32">
        <v>0</v>
      </c>
      <c r="AN192" s="32">
        <v>0</v>
      </c>
      <c r="AO192" s="32">
        <v>19851.84</v>
      </c>
      <c r="AP192" s="32">
        <v>0</v>
      </c>
      <c r="AQ192" s="32">
        <v>19851.84</v>
      </c>
      <c r="AR192" s="32">
        <v>99259.199999999997</v>
      </c>
      <c r="AS192" s="32">
        <v>8.82</v>
      </c>
      <c r="AT192" s="32">
        <v>82716</v>
      </c>
      <c r="AU192" s="32">
        <v>0</v>
      </c>
      <c r="AV192" s="32">
        <v>82716</v>
      </c>
      <c r="AW192" s="32">
        <v>0</v>
      </c>
      <c r="AX192" s="32">
        <v>0</v>
      </c>
      <c r="AY192" s="32">
        <v>0</v>
      </c>
      <c r="AZ192" s="32">
        <v>0</v>
      </c>
      <c r="BA192" s="32">
        <v>0</v>
      </c>
      <c r="BB192" s="32">
        <v>0</v>
      </c>
      <c r="BC192" s="32">
        <v>0</v>
      </c>
      <c r="BD192" s="32">
        <v>0</v>
      </c>
      <c r="BE192" s="32">
        <v>0</v>
      </c>
      <c r="BF192" s="32">
        <v>0</v>
      </c>
      <c r="BG192" s="32">
        <v>0</v>
      </c>
      <c r="BH192" s="32">
        <v>0</v>
      </c>
      <c r="BI192" s="32">
        <v>0</v>
      </c>
      <c r="BJ192" s="32">
        <v>0</v>
      </c>
      <c r="BK192" s="32">
        <v>0</v>
      </c>
      <c r="BL192" s="32">
        <v>0</v>
      </c>
      <c r="BM192" s="32">
        <v>16543.2</v>
      </c>
      <c r="BN192" s="32">
        <v>0</v>
      </c>
      <c r="BO192" s="32">
        <v>0</v>
      </c>
      <c r="BP192" s="32">
        <v>0</v>
      </c>
      <c r="BQ192" s="32">
        <v>24813.599999999999</v>
      </c>
      <c r="BR192" s="32">
        <v>24812.400000000001</v>
      </c>
      <c r="BS192" s="32">
        <v>24816</v>
      </c>
      <c r="BT192" s="32">
        <v>24817.200000000001</v>
      </c>
      <c r="BU192" s="32">
        <v>0</v>
      </c>
      <c r="BV192" s="32">
        <v>0</v>
      </c>
      <c r="BW192" s="32">
        <v>0</v>
      </c>
      <c r="BX192" s="32">
        <v>0</v>
      </c>
      <c r="BY192" s="32">
        <v>0</v>
      </c>
      <c r="BZ192" s="32">
        <v>0</v>
      </c>
      <c r="CA192" s="32">
        <v>0</v>
      </c>
      <c r="CB192" s="125" t="s">
        <v>2975</v>
      </c>
      <c r="CC192" s="125" t="s">
        <v>624</v>
      </c>
      <c r="CD192" s="125"/>
      <c r="CE192" s="125" t="s">
        <v>684</v>
      </c>
      <c r="CF192" s="125" t="s">
        <v>1286</v>
      </c>
      <c r="CG192" s="125" t="s">
        <v>1274</v>
      </c>
      <c r="CH192" s="125" t="s">
        <v>526</v>
      </c>
      <c r="CI192" s="125" t="s">
        <v>2976</v>
      </c>
      <c r="CJ192" s="125" t="s">
        <v>1764</v>
      </c>
      <c r="CK192" s="125" t="s">
        <v>737</v>
      </c>
      <c r="CL192" s="125" t="s">
        <v>212</v>
      </c>
      <c r="CM192" s="125"/>
      <c r="CN192" s="125" t="s">
        <v>254</v>
      </c>
      <c r="CO192" s="125" t="s">
        <v>255</v>
      </c>
      <c r="CP192" s="125" t="s">
        <v>2977</v>
      </c>
      <c r="CQ192" s="125" t="s">
        <v>739</v>
      </c>
      <c r="CR192" s="125" t="s">
        <v>529</v>
      </c>
      <c r="CS192" s="125" t="s">
        <v>2978</v>
      </c>
      <c r="CT192" s="125" t="s">
        <v>254</v>
      </c>
      <c r="CU192" s="125" t="s">
        <v>255</v>
      </c>
      <c r="CV192" s="125" t="s">
        <v>2977</v>
      </c>
      <c r="CW192" s="125" t="s">
        <v>739</v>
      </c>
      <c r="CX192" s="125" t="s">
        <v>529</v>
      </c>
      <c r="CY192" s="125" t="s">
        <v>1179</v>
      </c>
      <c r="CZ192" s="125" t="s">
        <v>2979</v>
      </c>
      <c r="DA192" s="125" t="s">
        <v>2980</v>
      </c>
      <c r="DB192" s="125" t="s">
        <v>1179</v>
      </c>
      <c r="DC192" s="125" t="s">
        <v>2691</v>
      </c>
      <c r="DD192" s="125" t="s">
        <v>2981</v>
      </c>
      <c r="DE192" s="125" t="s">
        <v>2982</v>
      </c>
      <c r="DF192" s="126" t="s">
        <v>2983</v>
      </c>
      <c r="DG192" s="27" cm="1">
        <f t="array" ref="DG192">INDEX('elenco partner'!A:M,MATCH(1,(D192='elenco partner'!A:A)*('Partner data'!M192='elenco partner'!E:E),0),4)</f>
        <v>430</v>
      </c>
      <c r="DH192" s="83" t="str">
        <f t="shared" si="73"/>
        <v>COSTO REALE</v>
      </c>
      <c r="DI192" s="20">
        <f>COUNTIFS('MY-REPORT-MAIN'!C:C,'Partner data'!DG192,'MY-REPORT-MAIN'!I:I,"Certified")</f>
        <v>0</v>
      </c>
      <c r="DJ192" s="20">
        <f>COUNTIFS(List_Of_chek_list!M:M,"&lt;&gt;26",List_Of_chek_list!B:B,'Partner data'!DG192)</f>
        <v>0</v>
      </c>
      <c r="DK192" s="20">
        <f t="shared" si="74"/>
        <v>0</v>
      </c>
      <c r="DL192" s="19" t="str">
        <f>IF(DH192="Tasso Forfettario 20%",SUMIFS(List_Of_chek_list!#REF!,List_Of_chek_list!B:B,'Partner data'!DG192),"NON PERTINENTE")</f>
        <v>NON PERTINENTE</v>
      </c>
      <c r="DM192" s="19" t="str">
        <f t="shared" si="75"/>
        <v>NON PERTINENTE</v>
      </c>
      <c r="DN192" s="110">
        <f>_xlfn.MAXIFS('MY-REPORT-MAIN'!K:K,'MY-REPORT-MAIN'!C:C,DG192)</f>
        <v>0</v>
      </c>
      <c r="DO192" s="112" t="str">
        <f>IF(_xlfn.MAXIFS('MY-REPORT-MAIN'!M:M,'MY-REPORT-MAIN'!C:C,DG192)=0,"Nessun rendiconto  Convalidato",_xlfn.MAXIFS('MY-REPORT-MAIN'!M:M,'MY-REPORT-MAIN'!C:C,DG192))</f>
        <v>Nessun rendiconto  Convalidato</v>
      </c>
      <c r="DP192" s="113" t="str" cm="1">
        <f t="array" ref="DP192">IFERROR(INDEX('MY-REPORT-MAIN'!A:Z,MATCH(1,(DO192='MY-REPORT-MAIN'!M:M)*('Partner data'!DG192='MY-REPORT-MAIN'!C:C),0),1),"NON è stato convalidato ancora nessun rendiconto")</f>
        <v>NON è stato convalidato ancora nessun rendiconto</v>
      </c>
      <c r="DQ192" s="111" t="str">
        <f>IFERROR(INDEX('MY-REPORT-MAIN'!A:Z,MATCH('Partner data'!DP192,'MY-REPORT-MAIN'!A:A,0),21),"Nessun Rendiconto ancora convalidato")</f>
        <v>Nessun Rendiconto ancora convalidato</v>
      </c>
      <c r="DR192" s="110" t="e">
        <f>INDEX('Interreg VI-A Italy-Slovenia_pr'!A:E,MATCH('Partner data'!C192,'Interreg VI-A Italy-Slovenia_pr'!A:A,0),3)</f>
        <v>#N/A</v>
      </c>
      <c r="DS192" s="118">
        <f t="shared" si="48"/>
        <v>24813.599999999999</v>
      </c>
      <c r="DT192" s="118">
        <f t="shared" si="49"/>
        <v>49626</v>
      </c>
      <c r="DU192" s="118">
        <f t="shared" si="50"/>
        <v>74442</v>
      </c>
      <c r="DV192" s="118">
        <f t="shared" si="51"/>
        <v>99259.199999999997</v>
      </c>
      <c r="DW192" s="118">
        <f t="shared" si="52"/>
        <v>99259.199999999997</v>
      </c>
      <c r="DX192" s="118">
        <f t="shared" si="53"/>
        <v>99259.199999999997</v>
      </c>
      <c r="DY192" s="118">
        <f t="shared" si="54"/>
        <v>99259.199999999997</v>
      </c>
      <c r="DZ192" s="118">
        <f t="shared" si="55"/>
        <v>99259.199999999997</v>
      </c>
      <c r="EA192" s="118">
        <f t="shared" si="56"/>
        <v>99259.199999999997</v>
      </c>
      <c r="EB192" s="118">
        <f t="shared" si="57"/>
        <v>99259.199999999997</v>
      </c>
    </row>
    <row r="193" spans="1:132" ht="45" x14ac:dyDescent="0.25">
      <c r="A193" s="121">
        <v>6</v>
      </c>
      <c r="B193" s="122" t="s">
        <v>2688</v>
      </c>
      <c r="C193" s="123" t="s">
        <v>2918</v>
      </c>
      <c r="D193" s="123" t="s">
        <v>2919</v>
      </c>
      <c r="E193" s="123" t="s">
        <v>2920</v>
      </c>
      <c r="F193" s="123" t="s">
        <v>1043</v>
      </c>
      <c r="G193" s="123" t="s">
        <v>6118</v>
      </c>
      <c r="H193" s="123" t="s">
        <v>594</v>
      </c>
      <c r="I193" s="123" t="s">
        <v>595</v>
      </c>
      <c r="J193" s="124" t="s">
        <v>581</v>
      </c>
      <c r="K193" s="124" t="s">
        <v>495</v>
      </c>
      <c r="L193" s="124" t="s">
        <v>519</v>
      </c>
      <c r="M193" s="124" t="s">
        <v>2984</v>
      </c>
      <c r="N193" s="124" t="s">
        <v>2985</v>
      </c>
      <c r="O193" s="124" t="s">
        <v>2986</v>
      </c>
      <c r="P193" s="124" t="s">
        <v>257</v>
      </c>
      <c r="Q193" s="124" t="s">
        <v>556</v>
      </c>
      <c r="R193" s="124" t="s">
        <v>258</v>
      </c>
      <c r="S193" s="32">
        <v>66080</v>
      </c>
      <c r="T193" s="32">
        <v>80</v>
      </c>
      <c r="U193" s="32">
        <v>7.34</v>
      </c>
      <c r="V193" s="32">
        <v>0</v>
      </c>
      <c r="W193" s="32">
        <v>0</v>
      </c>
      <c r="X193" s="32">
        <v>0</v>
      </c>
      <c r="Y193" s="32">
        <v>0</v>
      </c>
      <c r="Z193" s="32">
        <v>0</v>
      </c>
      <c r="AA193" s="32">
        <v>0</v>
      </c>
      <c r="AB193" s="32">
        <v>0</v>
      </c>
      <c r="AC193" s="32">
        <v>0</v>
      </c>
      <c r="AD193" s="32">
        <v>0</v>
      </c>
      <c r="AE193" s="32">
        <v>0</v>
      </c>
      <c r="AF193" s="32">
        <v>0</v>
      </c>
      <c r="AG193" s="32">
        <v>0</v>
      </c>
      <c r="AH193" s="32">
        <v>0</v>
      </c>
      <c r="AI193" s="32">
        <v>0</v>
      </c>
      <c r="AJ193" s="32">
        <v>0</v>
      </c>
      <c r="AK193" s="32">
        <v>0</v>
      </c>
      <c r="AL193" s="32">
        <v>0</v>
      </c>
      <c r="AM193" s="32">
        <v>0</v>
      </c>
      <c r="AN193" s="32">
        <v>16520</v>
      </c>
      <c r="AO193" s="32">
        <v>0</v>
      </c>
      <c r="AP193" s="32">
        <v>0</v>
      </c>
      <c r="AQ193" s="32">
        <v>16520</v>
      </c>
      <c r="AR193" s="32">
        <v>82600</v>
      </c>
      <c r="AS193" s="32">
        <v>7.34</v>
      </c>
      <c r="AT193" s="32">
        <v>59000</v>
      </c>
      <c r="AU193" s="32">
        <v>0</v>
      </c>
      <c r="AV193" s="32">
        <v>59000</v>
      </c>
      <c r="AW193" s="32">
        <v>0</v>
      </c>
      <c r="AX193" s="32">
        <v>0</v>
      </c>
      <c r="AY193" s="32">
        <v>0</v>
      </c>
      <c r="AZ193" s="32">
        <v>0</v>
      </c>
      <c r="BA193" s="32">
        <v>0</v>
      </c>
      <c r="BB193" s="32">
        <v>0</v>
      </c>
      <c r="BC193" s="32">
        <v>0</v>
      </c>
      <c r="BD193" s="32">
        <v>0</v>
      </c>
      <c r="BE193" s="32">
        <v>0</v>
      </c>
      <c r="BF193" s="32">
        <v>0</v>
      </c>
      <c r="BG193" s="32">
        <v>0</v>
      </c>
      <c r="BH193" s="32">
        <v>0</v>
      </c>
      <c r="BI193" s="32">
        <v>0</v>
      </c>
      <c r="BJ193" s="32">
        <v>0</v>
      </c>
      <c r="BK193" s="32">
        <v>0</v>
      </c>
      <c r="BL193" s="32">
        <v>0</v>
      </c>
      <c r="BM193" s="32">
        <v>23600</v>
      </c>
      <c r="BN193" s="32">
        <v>0</v>
      </c>
      <c r="BO193" s="32">
        <v>0</v>
      </c>
      <c r="BP193" s="32">
        <v>0</v>
      </c>
      <c r="BQ193" s="32">
        <v>11760</v>
      </c>
      <c r="BR193" s="32">
        <v>20160</v>
      </c>
      <c r="BS193" s="32">
        <v>23520</v>
      </c>
      <c r="BT193" s="32">
        <v>27160</v>
      </c>
      <c r="BU193" s="32">
        <v>0</v>
      </c>
      <c r="BV193" s="32">
        <v>0</v>
      </c>
      <c r="BW193" s="32">
        <v>0</v>
      </c>
      <c r="BX193" s="32">
        <v>0</v>
      </c>
      <c r="BY193" s="32">
        <v>0</v>
      </c>
      <c r="BZ193" s="32">
        <v>0</v>
      </c>
      <c r="CA193" s="32">
        <v>0</v>
      </c>
      <c r="CB193" s="125" t="s">
        <v>2987</v>
      </c>
      <c r="CC193" s="125" t="s">
        <v>624</v>
      </c>
      <c r="CD193" s="125"/>
      <c r="CE193" s="125" t="s">
        <v>523</v>
      </c>
      <c r="CF193" s="125" t="s">
        <v>1286</v>
      </c>
      <c r="CG193" s="125" t="s">
        <v>646</v>
      </c>
      <c r="CH193" s="125" t="s">
        <v>619</v>
      </c>
      <c r="CI193" s="125"/>
      <c r="CJ193" s="125" t="s">
        <v>212</v>
      </c>
      <c r="CK193" s="125"/>
      <c r="CL193" s="125" t="s">
        <v>212</v>
      </c>
      <c r="CM193" s="125"/>
      <c r="CN193" s="125" t="s">
        <v>257</v>
      </c>
      <c r="CO193" s="125" t="s">
        <v>258</v>
      </c>
      <c r="CP193" s="125" t="s">
        <v>2988</v>
      </c>
      <c r="CQ193" s="125" t="s">
        <v>620</v>
      </c>
      <c r="CR193" s="125" t="s">
        <v>621</v>
      </c>
      <c r="CS193" s="125" t="s">
        <v>649</v>
      </c>
      <c r="CT193" s="125" t="s">
        <v>257</v>
      </c>
      <c r="CU193" s="125" t="s">
        <v>270</v>
      </c>
      <c r="CV193" s="125" t="s">
        <v>2792</v>
      </c>
      <c r="CW193" s="125" t="s">
        <v>2636</v>
      </c>
      <c r="CX193" s="125" t="s">
        <v>2637</v>
      </c>
      <c r="CY193" s="125" t="s">
        <v>1294</v>
      </c>
      <c r="CZ193" s="125" t="s">
        <v>651</v>
      </c>
      <c r="DA193" s="125" t="s">
        <v>652</v>
      </c>
      <c r="DB193" s="125" t="s">
        <v>1141</v>
      </c>
      <c r="DC193" s="125" t="s">
        <v>564</v>
      </c>
      <c r="DD193" s="125" t="s">
        <v>2989</v>
      </c>
      <c r="DE193" s="125" t="s">
        <v>2990</v>
      </c>
      <c r="DF193" s="126" t="s">
        <v>2991</v>
      </c>
      <c r="DG193" s="27" cm="1">
        <f t="array" ref="DG193">INDEX('elenco partner'!A:M,MATCH(1,(D193='elenco partner'!A:A)*('Partner data'!M193='elenco partner'!E:E),0),4)</f>
        <v>431</v>
      </c>
      <c r="DH193" s="83" t="str">
        <f t="shared" si="73"/>
        <v>COSTO REALE</v>
      </c>
      <c r="DI193" s="20">
        <f>COUNTIFS('MY-REPORT-MAIN'!C:C,'Partner data'!DG193,'MY-REPORT-MAIN'!I:I,"Certified")</f>
        <v>0</v>
      </c>
      <c r="DJ193" s="20">
        <f>COUNTIFS(List_Of_chek_list!M:M,"&lt;&gt;26",List_Of_chek_list!B:B,'Partner data'!DG193)</f>
        <v>0</v>
      </c>
      <c r="DK193" s="20">
        <f t="shared" si="74"/>
        <v>0</v>
      </c>
      <c r="DL193" s="19" t="str">
        <f>IF(DH193="Tasso Forfettario 20%",SUMIFS(List_Of_chek_list!#REF!,List_Of_chek_list!B:B,'Partner data'!DG193),"NON PERTINENTE")</f>
        <v>NON PERTINENTE</v>
      </c>
      <c r="DM193" s="19" t="str">
        <f t="shared" si="75"/>
        <v>NON PERTINENTE</v>
      </c>
      <c r="DN193" s="110">
        <f>_xlfn.MAXIFS('MY-REPORT-MAIN'!K:K,'MY-REPORT-MAIN'!C:C,DG193)</f>
        <v>0</v>
      </c>
      <c r="DO193" s="112" t="str">
        <f>IF(_xlfn.MAXIFS('MY-REPORT-MAIN'!M:M,'MY-REPORT-MAIN'!C:C,DG193)=0,"Nessun rendiconto  Convalidato",_xlfn.MAXIFS('MY-REPORT-MAIN'!M:M,'MY-REPORT-MAIN'!C:C,DG193))</f>
        <v>Nessun rendiconto  Convalidato</v>
      </c>
      <c r="DP193" s="113" t="str" cm="1">
        <f t="array" ref="DP193">IFERROR(INDEX('MY-REPORT-MAIN'!A:Z,MATCH(1,(DO193='MY-REPORT-MAIN'!M:M)*('Partner data'!DG193='MY-REPORT-MAIN'!C:C),0),1),"NON è stato convalidato ancora nessun rendiconto")</f>
        <v>NON è stato convalidato ancora nessun rendiconto</v>
      </c>
      <c r="DQ193" s="111" t="str">
        <f>IFERROR(INDEX('MY-REPORT-MAIN'!A:Z,MATCH('Partner data'!DP193,'MY-REPORT-MAIN'!A:A,0),21),"Nessun Rendiconto ancora convalidato")</f>
        <v>Nessun Rendiconto ancora convalidato</v>
      </c>
      <c r="DR193" s="110" t="e">
        <f>INDEX('Interreg VI-A Italy-Slovenia_pr'!A:E,MATCH('Partner data'!C193,'Interreg VI-A Italy-Slovenia_pr'!A:A,0),3)</f>
        <v>#N/A</v>
      </c>
      <c r="DS193" s="118">
        <f t="shared" si="48"/>
        <v>11760</v>
      </c>
      <c r="DT193" s="118">
        <f t="shared" si="49"/>
        <v>31920</v>
      </c>
      <c r="DU193" s="118">
        <f t="shared" si="50"/>
        <v>55440</v>
      </c>
      <c r="DV193" s="118">
        <f t="shared" si="51"/>
        <v>82600</v>
      </c>
      <c r="DW193" s="118">
        <f t="shared" si="52"/>
        <v>82600</v>
      </c>
      <c r="DX193" s="118">
        <f t="shared" si="53"/>
        <v>82600</v>
      </c>
      <c r="DY193" s="118">
        <f t="shared" si="54"/>
        <v>82600</v>
      </c>
      <c r="DZ193" s="118">
        <f t="shared" si="55"/>
        <v>82600</v>
      </c>
      <c r="EA193" s="118">
        <f t="shared" si="56"/>
        <v>82600</v>
      </c>
      <c r="EB193" s="118">
        <f t="shared" si="57"/>
        <v>82600</v>
      </c>
    </row>
    <row r="194" spans="1:132" ht="45" x14ac:dyDescent="0.25">
      <c r="A194" s="121">
        <v>6</v>
      </c>
      <c r="B194" s="122" t="s">
        <v>2688</v>
      </c>
      <c r="C194" s="123" t="s">
        <v>2918</v>
      </c>
      <c r="D194" s="123" t="s">
        <v>2919</v>
      </c>
      <c r="E194" s="123" t="s">
        <v>2920</v>
      </c>
      <c r="F194" s="123" t="s">
        <v>1043</v>
      </c>
      <c r="G194" s="123" t="s">
        <v>6118</v>
      </c>
      <c r="H194" s="123" t="s">
        <v>594</v>
      </c>
      <c r="I194" s="123" t="s">
        <v>595</v>
      </c>
      <c r="J194" s="124" t="s">
        <v>2423</v>
      </c>
      <c r="K194" s="124" t="s">
        <v>495</v>
      </c>
      <c r="L194" s="124" t="s">
        <v>519</v>
      </c>
      <c r="M194" s="124" t="s">
        <v>2992</v>
      </c>
      <c r="N194" s="124" t="s">
        <v>2993</v>
      </c>
      <c r="O194" s="124" t="s">
        <v>2993</v>
      </c>
      <c r="P194" s="124" t="s">
        <v>254</v>
      </c>
      <c r="Q194" s="124" t="s">
        <v>2994</v>
      </c>
      <c r="R194" s="124" t="s">
        <v>2995</v>
      </c>
      <c r="S194" s="32">
        <v>97223.360000000001</v>
      </c>
      <c r="T194" s="32">
        <v>80</v>
      </c>
      <c r="U194" s="32">
        <v>10.8</v>
      </c>
      <c r="V194" s="32">
        <v>0</v>
      </c>
      <c r="W194" s="32">
        <v>0</v>
      </c>
      <c r="X194" s="32">
        <v>0</v>
      </c>
      <c r="Y194" s="32">
        <v>0</v>
      </c>
      <c r="Z194" s="32">
        <v>0</v>
      </c>
      <c r="AA194" s="32">
        <v>0</v>
      </c>
      <c r="AB194" s="32">
        <v>0</v>
      </c>
      <c r="AC194" s="32">
        <v>0</v>
      </c>
      <c r="AD194" s="32">
        <v>0</v>
      </c>
      <c r="AE194" s="32">
        <v>0</v>
      </c>
      <c r="AF194" s="32">
        <v>0</v>
      </c>
      <c r="AG194" s="32">
        <v>0</v>
      </c>
      <c r="AH194" s="32">
        <v>0</v>
      </c>
      <c r="AI194" s="32">
        <v>0</v>
      </c>
      <c r="AJ194" s="32">
        <v>0</v>
      </c>
      <c r="AK194" s="32">
        <v>0</v>
      </c>
      <c r="AL194" s="32">
        <v>0</v>
      </c>
      <c r="AM194" s="32">
        <v>0</v>
      </c>
      <c r="AN194" s="32">
        <v>0</v>
      </c>
      <c r="AO194" s="32">
        <v>24305.84</v>
      </c>
      <c r="AP194" s="32">
        <v>0</v>
      </c>
      <c r="AQ194" s="32">
        <v>24305.84</v>
      </c>
      <c r="AR194" s="32">
        <v>121529.2</v>
      </c>
      <c r="AS194" s="32">
        <v>10.8</v>
      </c>
      <c r="AT194" s="32">
        <v>93484</v>
      </c>
      <c r="AU194" s="32">
        <v>0</v>
      </c>
      <c r="AV194" s="32">
        <v>0</v>
      </c>
      <c r="AW194" s="32">
        <v>93484</v>
      </c>
      <c r="AX194" s="32">
        <v>0</v>
      </c>
      <c r="AY194" s="32">
        <v>0</v>
      </c>
      <c r="AZ194" s="32">
        <v>0</v>
      </c>
      <c r="BA194" s="32">
        <v>0</v>
      </c>
      <c r="BB194" s="32">
        <v>0</v>
      </c>
      <c r="BC194" s="32">
        <v>0</v>
      </c>
      <c r="BD194" s="32">
        <v>0</v>
      </c>
      <c r="BE194" s="32">
        <v>0</v>
      </c>
      <c r="BF194" s="32">
        <v>0</v>
      </c>
      <c r="BG194" s="32">
        <v>0</v>
      </c>
      <c r="BH194" s="32">
        <v>0</v>
      </c>
      <c r="BI194" s="32">
        <v>0</v>
      </c>
      <c r="BJ194" s="32">
        <v>0</v>
      </c>
      <c r="BK194" s="32">
        <v>0</v>
      </c>
      <c r="BL194" s="32">
        <v>0</v>
      </c>
      <c r="BM194" s="32">
        <v>28045.200000000001</v>
      </c>
      <c r="BN194" s="32">
        <v>0</v>
      </c>
      <c r="BO194" s="32">
        <v>0</v>
      </c>
      <c r="BP194" s="32">
        <v>0</v>
      </c>
      <c r="BQ194" s="32">
        <v>25663.95</v>
      </c>
      <c r="BR194" s="32">
        <v>33112.949999999997</v>
      </c>
      <c r="BS194" s="32">
        <v>31841.55</v>
      </c>
      <c r="BT194" s="32">
        <v>30910.75</v>
      </c>
      <c r="BU194" s="32">
        <v>0</v>
      </c>
      <c r="BV194" s="32">
        <v>0</v>
      </c>
      <c r="BW194" s="32">
        <v>0</v>
      </c>
      <c r="BX194" s="32">
        <v>0</v>
      </c>
      <c r="BY194" s="32">
        <v>0</v>
      </c>
      <c r="BZ194" s="32">
        <v>0</v>
      </c>
      <c r="CA194" s="32">
        <v>0</v>
      </c>
      <c r="CB194" s="125" t="s">
        <v>2996</v>
      </c>
      <c r="CC194" s="125" t="s">
        <v>557</v>
      </c>
      <c r="CD194" s="125" t="s">
        <v>558</v>
      </c>
      <c r="CE194" s="125" t="s">
        <v>501</v>
      </c>
      <c r="CF194" s="125" t="s">
        <v>2997</v>
      </c>
      <c r="CG194" s="125" t="s">
        <v>2998</v>
      </c>
      <c r="CH194" s="125" t="s">
        <v>619</v>
      </c>
      <c r="CI194" s="125"/>
      <c r="CJ194" s="125" t="s">
        <v>212</v>
      </c>
      <c r="CK194" s="125"/>
      <c r="CL194" s="125" t="s">
        <v>212</v>
      </c>
      <c r="CM194" s="125" t="s">
        <v>625</v>
      </c>
      <c r="CN194" s="125" t="s">
        <v>254</v>
      </c>
      <c r="CO194" s="125" t="s">
        <v>2995</v>
      </c>
      <c r="CP194" s="125" t="s">
        <v>2999</v>
      </c>
      <c r="CQ194" s="125" t="s">
        <v>3000</v>
      </c>
      <c r="CR194" s="125" t="s">
        <v>3001</v>
      </c>
      <c r="CS194" s="125" t="s">
        <v>3002</v>
      </c>
      <c r="CT194" s="125" t="s">
        <v>254</v>
      </c>
      <c r="CU194" s="125" t="s">
        <v>273</v>
      </c>
      <c r="CV194" s="125" t="s">
        <v>3003</v>
      </c>
      <c r="CW194" s="125" t="s">
        <v>661</v>
      </c>
      <c r="CX194" s="125" t="s">
        <v>662</v>
      </c>
      <c r="CY194" s="125" t="s">
        <v>531</v>
      </c>
      <c r="CZ194" s="125" t="s">
        <v>2777</v>
      </c>
      <c r="DA194" s="125" t="s">
        <v>3004</v>
      </c>
      <c r="DB194" s="125" t="s">
        <v>547</v>
      </c>
      <c r="DC194" s="125" t="s">
        <v>1689</v>
      </c>
      <c r="DD194" s="125" t="s">
        <v>3005</v>
      </c>
      <c r="DE194" s="125" t="s">
        <v>3006</v>
      </c>
      <c r="DF194" s="126" t="s">
        <v>3007</v>
      </c>
      <c r="DG194" s="27" cm="1">
        <f t="array" ref="DG194">INDEX('elenco partner'!A:M,MATCH(1,(D194='elenco partner'!A:A)*('Partner data'!M194='elenco partner'!E:E),0),4)</f>
        <v>575</v>
      </c>
      <c r="DH194" s="83" t="str">
        <f t="shared" si="73"/>
        <v>Costo Unitario Standard</v>
      </c>
      <c r="DI194" s="20">
        <f>COUNTIFS('MY-REPORT-MAIN'!C:C,'Partner data'!DG194,'MY-REPORT-MAIN'!I:I,"Certified")</f>
        <v>0</v>
      </c>
      <c r="DJ194" s="20">
        <f>COUNTIFS(List_Of_chek_list!M:M,"&lt;&gt;26",List_Of_chek_list!B:B,'Partner data'!DG194)</f>
        <v>0</v>
      </c>
      <c r="DK194" s="20">
        <f t="shared" si="74"/>
        <v>0</v>
      </c>
      <c r="DL194" s="19" t="str">
        <f>IF(DH194="Tasso Forfettario 20%",SUMIFS(List_Of_chek_list!#REF!,List_Of_chek_list!B:B,'Partner data'!DG194),"NON PERTINENTE")</f>
        <v>NON PERTINENTE</v>
      </c>
      <c r="DM194" s="19" t="str">
        <f t="shared" si="75"/>
        <v>NON PERTINENTE</v>
      </c>
      <c r="DN194" s="110">
        <f>_xlfn.MAXIFS('MY-REPORT-MAIN'!K:K,'MY-REPORT-MAIN'!C:C,DG194)</f>
        <v>0</v>
      </c>
      <c r="DO194" s="112" t="str">
        <f>IF(_xlfn.MAXIFS('MY-REPORT-MAIN'!M:M,'MY-REPORT-MAIN'!C:C,DG194)=0,"Nessun rendiconto  Convalidato",_xlfn.MAXIFS('MY-REPORT-MAIN'!M:M,'MY-REPORT-MAIN'!C:C,DG194))</f>
        <v>Nessun rendiconto  Convalidato</v>
      </c>
      <c r="DP194" s="113" t="str" cm="1">
        <f t="array" ref="DP194">IFERROR(INDEX('MY-REPORT-MAIN'!A:Z,MATCH(1,(DO194='MY-REPORT-MAIN'!M:M)*('Partner data'!DG194='MY-REPORT-MAIN'!C:C),0),1),"NON è stato convalidato ancora nessun rendiconto")</f>
        <v>NON è stato convalidato ancora nessun rendiconto</v>
      </c>
      <c r="DQ194" s="111" t="str">
        <f>IFERROR(INDEX('MY-REPORT-MAIN'!A:Z,MATCH('Partner data'!DP194,'MY-REPORT-MAIN'!A:A,0),21),"Nessun Rendiconto ancora convalidato")</f>
        <v>Nessun Rendiconto ancora convalidato</v>
      </c>
      <c r="DR194" s="110" t="e">
        <f>INDEX('Interreg VI-A Italy-Slovenia_pr'!A:E,MATCH('Partner data'!C194,'Interreg VI-A Italy-Slovenia_pr'!A:A,0),3)</f>
        <v>#N/A</v>
      </c>
      <c r="DS194" s="118">
        <f t="shared" si="48"/>
        <v>25663.95</v>
      </c>
      <c r="DT194" s="118">
        <f t="shared" si="49"/>
        <v>58776.899999999994</v>
      </c>
      <c r="DU194" s="118">
        <f t="shared" si="50"/>
        <v>90618.45</v>
      </c>
      <c r="DV194" s="118">
        <f t="shared" si="51"/>
        <v>121529.2</v>
      </c>
      <c r="DW194" s="118">
        <f t="shared" si="52"/>
        <v>121529.2</v>
      </c>
      <c r="DX194" s="118">
        <f t="shared" si="53"/>
        <v>121529.2</v>
      </c>
      <c r="DY194" s="118">
        <f t="shared" si="54"/>
        <v>121529.2</v>
      </c>
      <c r="DZ194" s="118">
        <f t="shared" si="55"/>
        <v>121529.2</v>
      </c>
      <c r="EA194" s="118">
        <f t="shared" si="56"/>
        <v>121529.2</v>
      </c>
      <c r="EB194" s="118">
        <f t="shared" si="57"/>
        <v>121529.2</v>
      </c>
    </row>
    <row r="195" spans="1:132" ht="45" x14ac:dyDescent="0.25">
      <c r="A195" s="121">
        <v>6</v>
      </c>
      <c r="B195" s="122" t="s">
        <v>2688</v>
      </c>
      <c r="C195" s="123" t="s">
        <v>2918</v>
      </c>
      <c r="D195" s="123" t="s">
        <v>2919</v>
      </c>
      <c r="E195" s="123" t="s">
        <v>2920</v>
      </c>
      <c r="F195" s="123" t="s">
        <v>1043</v>
      </c>
      <c r="G195" s="123" t="s">
        <v>6118</v>
      </c>
      <c r="H195" s="123" t="s">
        <v>594</v>
      </c>
      <c r="I195" s="123" t="s">
        <v>595</v>
      </c>
      <c r="J195" s="124" t="s">
        <v>2508</v>
      </c>
      <c r="K195" s="124" t="s">
        <v>495</v>
      </c>
      <c r="L195" s="124" t="s">
        <v>519</v>
      </c>
      <c r="M195" s="124" t="s">
        <v>3008</v>
      </c>
      <c r="N195" s="124" t="s">
        <v>3009</v>
      </c>
      <c r="O195" s="124" t="s">
        <v>3010</v>
      </c>
      <c r="P195" s="124" t="s">
        <v>257</v>
      </c>
      <c r="Q195" s="124" t="s">
        <v>556</v>
      </c>
      <c r="R195" s="124" t="s">
        <v>258</v>
      </c>
      <c r="S195" s="32">
        <v>73360</v>
      </c>
      <c r="T195" s="32">
        <v>80</v>
      </c>
      <c r="U195" s="32">
        <v>8.15</v>
      </c>
      <c r="V195" s="32">
        <v>0</v>
      </c>
      <c r="W195" s="32">
        <v>0</v>
      </c>
      <c r="X195" s="32">
        <v>0</v>
      </c>
      <c r="Y195" s="32">
        <v>0</v>
      </c>
      <c r="Z195" s="32">
        <v>0</v>
      </c>
      <c r="AA195" s="32">
        <v>0</v>
      </c>
      <c r="AB195" s="32">
        <v>0</v>
      </c>
      <c r="AC195" s="32">
        <v>0</v>
      </c>
      <c r="AD195" s="32">
        <v>0</v>
      </c>
      <c r="AE195" s="32">
        <v>0</v>
      </c>
      <c r="AF195" s="32">
        <v>0</v>
      </c>
      <c r="AG195" s="32">
        <v>0</v>
      </c>
      <c r="AH195" s="32">
        <v>0</v>
      </c>
      <c r="AI195" s="32">
        <v>0</v>
      </c>
      <c r="AJ195" s="32">
        <v>0</v>
      </c>
      <c r="AK195" s="32">
        <v>0</v>
      </c>
      <c r="AL195" s="32">
        <v>0</v>
      </c>
      <c r="AM195" s="32">
        <v>0</v>
      </c>
      <c r="AN195" s="32">
        <v>0</v>
      </c>
      <c r="AO195" s="32">
        <v>0</v>
      </c>
      <c r="AP195" s="32">
        <v>18340</v>
      </c>
      <c r="AQ195" s="32">
        <v>18340</v>
      </c>
      <c r="AR195" s="32">
        <v>91700</v>
      </c>
      <c r="AS195" s="32">
        <v>8.15</v>
      </c>
      <c r="AT195" s="32">
        <v>65500</v>
      </c>
      <c r="AU195" s="32">
        <v>0</v>
      </c>
      <c r="AV195" s="32">
        <v>65500</v>
      </c>
      <c r="AW195" s="32">
        <v>0</v>
      </c>
      <c r="AX195" s="32">
        <v>0</v>
      </c>
      <c r="AY195" s="32">
        <v>0</v>
      </c>
      <c r="AZ195" s="32">
        <v>0</v>
      </c>
      <c r="BA195" s="32">
        <v>0</v>
      </c>
      <c r="BB195" s="32">
        <v>0</v>
      </c>
      <c r="BC195" s="32">
        <v>0</v>
      </c>
      <c r="BD195" s="32">
        <v>0</v>
      </c>
      <c r="BE195" s="32">
        <v>0</v>
      </c>
      <c r="BF195" s="32">
        <v>0</v>
      </c>
      <c r="BG195" s="32">
        <v>0</v>
      </c>
      <c r="BH195" s="32">
        <v>0</v>
      </c>
      <c r="BI195" s="32">
        <v>0</v>
      </c>
      <c r="BJ195" s="32">
        <v>0</v>
      </c>
      <c r="BK195" s="32">
        <v>0</v>
      </c>
      <c r="BL195" s="32">
        <v>0</v>
      </c>
      <c r="BM195" s="32">
        <v>26200</v>
      </c>
      <c r="BN195" s="32">
        <v>0</v>
      </c>
      <c r="BO195" s="32">
        <v>0</v>
      </c>
      <c r="BP195" s="32">
        <v>0</v>
      </c>
      <c r="BQ195" s="32">
        <v>25620</v>
      </c>
      <c r="BR195" s="32">
        <v>25480</v>
      </c>
      <c r="BS195" s="32">
        <v>24360</v>
      </c>
      <c r="BT195" s="32">
        <v>16240</v>
      </c>
      <c r="BU195" s="32">
        <v>0</v>
      </c>
      <c r="BV195" s="32">
        <v>0</v>
      </c>
      <c r="BW195" s="32">
        <v>0</v>
      </c>
      <c r="BX195" s="32">
        <v>0</v>
      </c>
      <c r="BY195" s="32">
        <v>0</v>
      </c>
      <c r="BZ195" s="32">
        <v>0</v>
      </c>
      <c r="CA195" s="32">
        <v>0</v>
      </c>
      <c r="CB195" s="125" t="s">
        <v>212</v>
      </c>
      <c r="CC195" s="125" t="s">
        <v>557</v>
      </c>
      <c r="CD195" s="125" t="s">
        <v>558</v>
      </c>
      <c r="CE195" s="125" t="s">
        <v>501</v>
      </c>
      <c r="CF195" s="125" t="s">
        <v>2954</v>
      </c>
      <c r="CG195" s="125" t="s">
        <v>3011</v>
      </c>
      <c r="CH195" s="125" t="s">
        <v>504</v>
      </c>
      <c r="CI195" s="125"/>
      <c r="CJ195" s="125" t="s">
        <v>212</v>
      </c>
      <c r="CK195" s="125"/>
      <c r="CL195" s="125" t="s">
        <v>212</v>
      </c>
      <c r="CM195" s="125" t="s">
        <v>2040</v>
      </c>
      <c r="CN195" s="125" t="s">
        <v>257</v>
      </c>
      <c r="CO195" s="125" t="s">
        <v>258</v>
      </c>
      <c r="CP195" s="125" t="s">
        <v>3012</v>
      </c>
      <c r="CQ195" s="125" t="s">
        <v>620</v>
      </c>
      <c r="CR195" s="125" t="s">
        <v>621</v>
      </c>
      <c r="CS195" s="125"/>
      <c r="CT195" s="125"/>
      <c r="CU195" s="125"/>
      <c r="CV195" s="125"/>
      <c r="CW195" s="125"/>
      <c r="CX195" s="125"/>
      <c r="CY195" s="125" t="s">
        <v>3013</v>
      </c>
      <c r="CZ195" s="125" t="s">
        <v>2700</v>
      </c>
      <c r="DA195" s="125" t="s">
        <v>3014</v>
      </c>
      <c r="DB195" s="125"/>
      <c r="DC195" s="125" t="s">
        <v>698</v>
      </c>
      <c r="DD195" s="125" t="s">
        <v>3015</v>
      </c>
      <c r="DE195" s="125" t="s">
        <v>3016</v>
      </c>
      <c r="DF195" s="126" t="s">
        <v>3017</v>
      </c>
      <c r="DG195" s="27" cm="1">
        <f t="array" ref="DG195">INDEX('elenco partner'!A:M,MATCH(1,(D195='elenco partner'!A:A)*('Partner data'!M195='elenco partner'!E:E),0),4)</f>
        <v>629</v>
      </c>
      <c r="DH195" s="83" t="str">
        <f t="shared" si="73"/>
        <v>COSTO REALE</v>
      </c>
      <c r="DI195" s="20">
        <f>COUNTIFS('MY-REPORT-MAIN'!C:C,'Partner data'!DG195,'MY-REPORT-MAIN'!I:I,"Certified")</f>
        <v>0</v>
      </c>
      <c r="DJ195" s="20">
        <f>COUNTIFS(List_Of_chek_list!M:M,"&lt;&gt;26",List_Of_chek_list!B:B,'Partner data'!DG195)</f>
        <v>0</v>
      </c>
      <c r="DK195" s="20">
        <f t="shared" si="74"/>
        <v>0</v>
      </c>
      <c r="DL195" s="19" t="str">
        <f>IF(DH195="Tasso Forfettario 20%",SUMIFS(List_Of_chek_list!#REF!,List_Of_chek_list!B:B,'Partner data'!DG195),"NON PERTINENTE")</f>
        <v>NON PERTINENTE</v>
      </c>
      <c r="DM195" s="19" t="str">
        <f t="shared" si="75"/>
        <v>NON PERTINENTE</v>
      </c>
      <c r="DN195" s="110">
        <f>_xlfn.MAXIFS('MY-REPORT-MAIN'!K:K,'MY-REPORT-MAIN'!C:C,DG195)</f>
        <v>0</v>
      </c>
      <c r="DO195" s="112" t="str">
        <f>IF(_xlfn.MAXIFS('MY-REPORT-MAIN'!M:M,'MY-REPORT-MAIN'!C:C,DG195)=0,"Nessun rendiconto  Convalidato",_xlfn.MAXIFS('MY-REPORT-MAIN'!M:M,'MY-REPORT-MAIN'!C:C,DG195))</f>
        <v>Nessun rendiconto  Convalidato</v>
      </c>
      <c r="DP195" s="113" t="str" cm="1">
        <f t="array" ref="DP195">IFERROR(INDEX('MY-REPORT-MAIN'!A:Z,MATCH(1,(DO195='MY-REPORT-MAIN'!M:M)*('Partner data'!DG195='MY-REPORT-MAIN'!C:C),0),1),"NON è stato convalidato ancora nessun rendiconto")</f>
        <v>NON è stato convalidato ancora nessun rendiconto</v>
      </c>
      <c r="DQ195" s="111" t="str">
        <f>IFERROR(INDEX('MY-REPORT-MAIN'!A:Z,MATCH('Partner data'!DP195,'MY-REPORT-MAIN'!A:A,0),21),"Nessun Rendiconto ancora convalidato")</f>
        <v>Nessun Rendiconto ancora convalidato</v>
      </c>
      <c r="DR195" s="110" t="e">
        <f>INDEX('Interreg VI-A Italy-Slovenia_pr'!A:E,MATCH('Partner data'!C195,'Interreg VI-A Italy-Slovenia_pr'!A:A,0),3)</f>
        <v>#N/A</v>
      </c>
      <c r="DS195" s="118">
        <f t="shared" ref="DS195:DS258" si="76">BP195+BQ195</f>
        <v>25620</v>
      </c>
      <c r="DT195" s="118">
        <f t="shared" ref="DT195:DT258" si="77">DS195+BR195</f>
        <v>51100</v>
      </c>
      <c r="DU195" s="118">
        <f t="shared" ref="DU195:DU258" si="78">DT195+BS195</f>
        <v>75460</v>
      </c>
      <c r="DV195" s="118">
        <f t="shared" ref="DV195:DV258" si="79">DU195+BT195</f>
        <v>91700</v>
      </c>
      <c r="DW195" s="118">
        <f t="shared" ref="DW195:DW258" si="80">DV195+BU195</f>
        <v>91700</v>
      </c>
      <c r="DX195" s="118">
        <f t="shared" ref="DX195:DX258" si="81">DW195+BV195</f>
        <v>91700</v>
      </c>
      <c r="DY195" s="118">
        <f t="shared" ref="DY195:DY258" si="82">DX195+BW195</f>
        <v>91700</v>
      </c>
      <c r="DZ195" s="118">
        <f t="shared" ref="DZ195:DZ258" si="83">DY195+BX195</f>
        <v>91700</v>
      </c>
      <c r="EA195" s="118">
        <f t="shared" ref="EA195:EA258" si="84">DZ195+BY195</f>
        <v>91700</v>
      </c>
      <c r="EB195" s="118">
        <f t="shared" ref="EB195:EB258" si="85">EA195+BZ195</f>
        <v>91700</v>
      </c>
    </row>
    <row r="196" spans="1:132" ht="45" x14ac:dyDescent="0.25">
      <c r="A196" s="121">
        <v>6</v>
      </c>
      <c r="B196" s="122" t="s">
        <v>2688</v>
      </c>
      <c r="C196" s="123" t="s">
        <v>3035</v>
      </c>
      <c r="D196" s="123" t="s">
        <v>3036</v>
      </c>
      <c r="E196" s="123" t="s">
        <v>3037</v>
      </c>
      <c r="F196" s="123" t="s">
        <v>1118</v>
      </c>
      <c r="G196" s="123" t="s">
        <v>6118</v>
      </c>
      <c r="H196" s="123" t="s">
        <v>691</v>
      </c>
      <c r="I196" s="123" t="s">
        <v>1044</v>
      </c>
      <c r="J196" s="124" t="s">
        <v>494</v>
      </c>
      <c r="K196" s="124" t="s">
        <v>495</v>
      </c>
      <c r="L196" s="124" t="s">
        <v>496</v>
      </c>
      <c r="M196" s="124" t="s">
        <v>279</v>
      </c>
      <c r="N196" s="124" t="s">
        <v>3038</v>
      </c>
      <c r="O196" s="124" t="s">
        <v>3039</v>
      </c>
      <c r="P196" s="124" t="s">
        <v>254</v>
      </c>
      <c r="Q196" s="124" t="s">
        <v>540</v>
      </c>
      <c r="R196" s="124" t="s">
        <v>260</v>
      </c>
      <c r="S196" s="32">
        <v>173510.39999999999</v>
      </c>
      <c r="T196" s="32">
        <v>80</v>
      </c>
      <c r="U196" s="32">
        <v>20.6</v>
      </c>
      <c r="V196" s="32">
        <v>0</v>
      </c>
      <c r="W196" s="32">
        <v>0</v>
      </c>
      <c r="X196" s="32">
        <v>0</v>
      </c>
      <c r="Y196" s="32">
        <v>0</v>
      </c>
      <c r="Z196" s="32">
        <v>0</v>
      </c>
      <c r="AA196" s="32">
        <v>0</v>
      </c>
      <c r="AB196" s="32">
        <v>0</v>
      </c>
      <c r="AC196" s="32">
        <v>0</v>
      </c>
      <c r="AD196" s="32">
        <v>0</v>
      </c>
      <c r="AE196" s="32">
        <v>0</v>
      </c>
      <c r="AF196" s="32">
        <v>0</v>
      </c>
      <c r="AG196" s="32">
        <v>0</v>
      </c>
      <c r="AH196" s="32">
        <v>0</v>
      </c>
      <c r="AI196" s="32">
        <v>0</v>
      </c>
      <c r="AJ196" s="32">
        <v>0</v>
      </c>
      <c r="AK196" s="32">
        <v>0</v>
      </c>
      <c r="AL196" s="32">
        <v>0</v>
      </c>
      <c r="AM196" s="32">
        <v>0</v>
      </c>
      <c r="AN196" s="32">
        <v>0</v>
      </c>
      <c r="AO196" s="32">
        <v>43377.599999999999</v>
      </c>
      <c r="AP196" s="32">
        <v>0</v>
      </c>
      <c r="AQ196" s="32">
        <v>43377.599999999999</v>
      </c>
      <c r="AR196" s="32">
        <v>216888</v>
      </c>
      <c r="AS196" s="32">
        <v>20.6</v>
      </c>
      <c r="AT196" s="32">
        <v>154920</v>
      </c>
      <c r="AU196" s="32">
        <v>0</v>
      </c>
      <c r="AV196" s="32">
        <v>154920</v>
      </c>
      <c r="AW196" s="32">
        <v>0</v>
      </c>
      <c r="AX196" s="32">
        <v>0</v>
      </c>
      <c r="AY196" s="32">
        <v>0</v>
      </c>
      <c r="AZ196" s="32">
        <v>0</v>
      </c>
      <c r="BA196" s="32">
        <v>0</v>
      </c>
      <c r="BB196" s="32">
        <v>0</v>
      </c>
      <c r="BC196" s="32">
        <v>0</v>
      </c>
      <c r="BD196" s="32">
        <v>0</v>
      </c>
      <c r="BE196" s="32">
        <v>0</v>
      </c>
      <c r="BF196" s="32">
        <v>0</v>
      </c>
      <c r="BG196" s="32">
        <v>0</v>
      </c>
      <c r="BH196" s="32">
        <v>0</v>
      </c>
      <c r="BI196" s="32">
        <v>0</v>
      </c>
      <c r="BJ196" s="32">
        <v>0</v>
      </c>
      <c r="BK196" s="32">
        <v>0</v>
      </c>
      <c r="BL196" s="32">
        <v>0</v>
      </c>
      <c r="BM196" s="32">
        <v>61968</v>
      </c>
      <c r="BN196" s="32">
        <v>0</v>
      </c>
      <c r="BO196" s="32">
        <v>0</v>
      </c>
      <c r="BP196" s="32">
        <v>0</v>
      </c>
      <c r="BQ196" s="32">
        <v>47600</v>
      </c>
      <c r="BR196" s="32">
        <v>56000</v>
      </c>
      <c r="BS196" s="32">
        <v>56000</v>
      </c>
      <c r="BT196" s="32">
        <v>57288</v>
      </c>
      <c r="BU196" s="32">
        <v>0</v>
      </c>
      <c r="BV196" s="32">
        <v>0</v>
      </c>
      <c r="BW196" s="32">
        <v>0</v>
      </c>
      <c r="BX196" s="32">
        <v>0</v>
      </c>
      <c r="BY196" s="32">
        <v>0</v>
      </c>
      <c r="BZ196" s="32">
        <v>0</v>
      </c>
      <c r="CA196" s="32">
        <v>0</v>
      </c>
      <c r="CB196" s="125" t="s">
        <v>3040</v>
      </c>
      <c r="CC196" s="125" t="s">
        <v>624</v>
      </c>
      <c r="CD196" s="125"/>
      <c r="CE196" s="125" t="s">
        <v>523</v>
      </c>
      <c r="CF196" s="125" t="s">
        <v>645</v>
      </c>
      <c r="CG196" s="125" t="s">
        <v>863</v>
      </c>
      <c r="CH196" s="125" t="s">
        <v>526</v>
      </c>
      <c r="CI196" s="125"/>
      <c r="CJ196" s="125" t="s">
        <v>212</v>
      </c>
      <c r="CK196" s="125" t="s">
        <v>3041</v>
      </c>
      <c r="CL196" s="125" t="s">
        <v>212</v>
      </c>
      <c r="CM196" s="125"/>
      <c r="CN196" s="125" t="s">
        <v>254</v>
      </c>
      <c r="CO196" s="125" t="s">
        <v>260</v>
      </c>
      <c r="CP196" s="125" t="s">
        <v>3042</v>
      </c>
      <c r="CQ196" s="125" t="s">
        <v>865</v>
      </c>
      <c r="CR196" s="125" t="s">
        <v>599</v>
      </c>
      <c r="CS196" s="125" t="s">
        <v>3043</v>
      </c>
      <c r="CT196" s="125" t="s">
        <v>254</v>
      </c>
      <c r="CU196" s="125" t="s">
        <v>260</v>
      </c>
      <c r="CV196" s="125" t="s">
        <v>3042</v>
      </c>
      <c r="CW196" s="125" t="s">
        <v>865</v>
      </c>
      <c r="CX196" s="125" t="s">
        <v>599</v>
      </c>
      <c r="CY196" s="125" t="s">
        <v>622</v>
      </c>
      <c r="CZ196" s="125" t="s">
        <v>867</v>
      </c>
      <c r="DA196" s="125" t="s">
        <v>868</v>
      </c>
      <c r="DB196" s="125" t="s">
        <v>622</v>
      </c>
      <c r="DC196" s="125" t="s">
        <v>534</v>
      </c>
      <c r="DD196" s="125" t="s">
        <v>3044</v>
      </c>
      <c r="DE196" s="125" t="s">
        <v>3045</v>
      </c>
      <c r="DF196" s="126" t="s">
        <v>3046</v>
      </c>
      <c r="DG196" s="27" cm="1">
        <f t="array" ref="DG196">INDEX('elenco partner'!A:M,MATCH(1,(D196='elenco partner'!A:A)*('Partner data'!M196='elenco partner'!E:E),0),4)</f>
        <v>506</v>
      </c>
      <c r="DH196" s="83" t="str">
        <f t="shared" ref="DH196:DH201" si="86">IF(AU196&lt;&gt;0,"Tasso Forfettario 20%",IF(AV196&lt;&gt;0,"COSTO REALE",IF(AW196&lt;&gt;0,"Costo Unitario Standard","BL1 non presente")))</f>
        <v>COSTO REALE</v>
      </c>
      <c r="DI196" s="20">
        <f>COUNTIFS('MY-REPORT-MAIN'!C:C,'Partner data'!DG196,'MY-REPORT-MAIN'!I:I,"Certified")</f>
        <v>0</v>
      </c>
      <c r="DJ196" s="20">
        <f>COUNTIFS(List_Of_chek_list!M:M,"&lt;&gt;26",List_Of_chek_list!B:B,'Partner data'!DG196)</f>
        <v>0</v>
      </c>
      <c r="DK196" s="20">
        <f t="shared" ref="DK196:DK201" si="87">DI196-DJ196</f>
        <v>0</v>
      </c>
      <c r="DL196" s="19" t="str">
        <f>IF(DH196="Tasso Forfettario 20%",SUMIFS(List_Of_chek_list!#REF!,List_Of_chek_list!B:B,'Partner data'!DG196),"NON PERTINENTE")</f>
        <v>NON PERTINENTE</v>
      </c>
      <c r="DM196" s="19" t="str">
        <f t="shared" ref="DM196:DM201" si="88">IF(DL196="NON PERTINENTE","NON PERTINENTE",IF(DJ196=DL196,"Rischio basso","Rischio alto"))</f>
        <v>NON PERTINENTE</v>
      </c>
      <c r="DN196" s="110">
        <f>_xlfn.MAXIFS('MY-REPORT-MAIN'!K:K,'MY-REPORT-MAIN'!C:C,DG196)</f>
        <v>0</v>
      </c>
      <c r="DO196" s="112" t="str">
        <f>IF(_xlfn.MAXIFS('MY-REPORT-MAIN'!M:M,'MY-REPORT-MAIN'!C:C,DG196)=0,"Nessun rendiconto  Convalidato",_xlfn.MAXIFS('MY-REPORT-MAIN'!M:M,'MY-REPORT-MAIN'!C:C,DG196))</f>
        <v>Nessun rendiconto  Convalidato</v>
      </c>
      <c r="DP196" s="113" t="str" cm="1">
        <f t="array" ref="DP196">IFERROR(INDEX('MY-REPORT-MAIN'!A:Z,MATCH(1,(DO196='MY-REPORT-MAIN'!M:M)*('Partner data'!DG196='MY-REPORT-MAIN'!C:C),0),1),"NON è stato convalidato ancora nessun rendiconto")</f>
        <v>NON è stato convalidato ancora nessun rendiconto</v>
      </c>
      <c r="DQ196" s="111" t="str">
        <f>IFERROR(INDEX('MY-REPORT-MAIN'!A:Z,MATCH('Partner data'!DP196,'MY-REPORT-MAIN'!A:A,0),21),"Nessun Rendiconto ancora convalidato")</f>
        <v>Nessun Rendiconto ancora convalidato</v>
      </c>
      <c r="DR196" s="110" t="e">
        <f>INDEX('Interreg VI-A Italy-Slovenia_pr'!A:E,MATCH('Partner data'!C196,'Interreg VI-A Italy-Slovenia_pr'!A:A,0),3)</f>
        <v>#N/A</v>
      </c>
      <c r="DS196" s="118">
        <f t="shared" si="76"/>
        <v>47600</v>
      </c>
      <c r="DT196" s="118">
        <f t="shared" si="77"/>
        <v>103600</v>
      </c>
      <c r="DU196" s="118">
        <f t="shared" si="78"/>
        <v>159600</v>
      </c>
      <c r="DV196" s="118">
        <f t="shared" si="79"/>
        <v>216888</v>
      </c>
      <c r="DW196" s="118">
        <f t="shared" si="80"/>
        <v>216888</v>
      </c>
      <c r="DX196" s="118">
        <f t="shared" si="81"/>
        <v>216888</v>
      </c>
      <c r="DY196" s="118">
        <f t="shared" si="82"/>
        <v>216888</v>
      </c>
      <c r="DZ196" s="118">
        <f t="shared" si="83"/>
        <v>216888</v>
      </c>
      <c r="EA196" s="118">
        <f t="shared" si="84"/>
        <v>216888</v>
      </c>
      <c r="EB196" s="118">
        <f t="shared" si="85"/>
        <v>216888</v>
      </c>
    </row>
    <row r="197" spans="1:132" ht="45" x14ac:dyDescent="0.25">
      <c r="A197" s="121">
        <v>6</v>
      </c>
      <c r="B197" s="122" t="s">
        <v>2688</v>
      </c>
      <c r="C197" s="123" t="s">
        <v>3035</v>
      </c>
      <c r="D197" s="123" t="s">
        <v>3036</v>
      </c>
      <c r="E197" s="123" t="s">
        <v>3037</v>
      </c>
      <c r="F197" s="123" t="s">
        <v>1118</v>
      </c>
      <c r="G197" s="123" t="s">
        <v>6118</v>
      </c>
      <c r="H197" s="123" t="s">
        <v>691</v>
      </c>
      <c r="I197" s="123" t="s">
        <v>1044</v>
      </c>
      <c r="J197" s="124" t="s">
        <v>518</v>
      </c>
      <c r="K197" s="124" t="s">
        <v>495</v>
      </c>
      <c r="L197" s="124" t="s">
        <v>519</v>
      </c>
      <c r="M197" s="124" t="s">
        <v>3047</v>
      </c>
      <c r="N197" s="124" t="s">
        <v>3048</v>
      </c>
      <c r="O197" s="124" t="s">
        <v>3049</v>
      </c>
      <c r="P197" s="124" t="s">
        <v>254</v>
      </c>
      <c r="Q197" s="124" t="s">
        <v>499</v>
      </c>
      <c r="R197" s="124" t="s">
        <v>255</v>
      </c>
      <c r="S197" s="32">
        <v>162688.95999999999</v>
      </c>
      <c r="T197" s="32">
        <v>80</v>
      </c>
      <c r="U197" s="32">
        <v>19.309999999999999</v>
      </c>
      <c r="V197" s="32">
        <v>0</v>
      </c>
      <c r="W197" s="32">
        <v>0</v>
      </c>
      <c r="X197" s="32">
        <v>0</v>
      </c>
      <c r="Y197" s="32">
        <v>0</v>
      </c>
      <c r="Z197" s="32">
        <v>0</v>
      </c>
      <c r="AA197" s="32">
        <v>0</v>
      </c>
      <c r="AB197" s="32">
        <v>0</v>
      </c>
      <c r="AC197" s="32">
        <v>0</v>
      </c>
      <c r="AD197" s="32">
        <v>0</v>
      </c>
      <c r="AE197" s="32">
        <v>0</v>
      </c>
      <c r="AF197" s="32">
        <v>0</v>
      </c>
      <c r="AG197" s="32">
        <v>0</v>
      </c>
      <c r="AH197" s="32">
        <v>0</v>
      </c>
      <c r="AI197" s="32">
        <v>0</v>
      </c>
      <c r="AJ197" s="32">
        <v>0</v>
      </c>
      <c r="AK197" s="32">
        <v>0</v>
      </c>
      <c r="AL197" s="32">
        <v>0</v>
      </c>
      <c r="AM197" s="32">
        <v>0</v>
      </c>
      <c r="AN197" s="32">
        <v>0</v>
      </c>
      <c r="AO197" s="32">
        <v>40672.239999999998</v>
      </c>
      <c r="AP197" s="32">
        <v>0</v>
      </c>
      <c r="AQ197" s="32">
        <v>40672.239999999998</v>
      </c>
      <c r="AR197" s="32">
        <v>203361.2</v>
      </c>
      <c r="AS197" s="32">
        <v>19.309999999999999</v>
      </c>
      <c r="AT197" s="32">
        <v>141480</v>
      </c>
      <c r="AU197" s="32">
        <v>0</v>
      </c>
      <c r="AV197" s="32">
        <v>141480</v>
      </c>
      <c r="AW197" s="32">
        <v>0</v>
      </c>
      <c r="AX197" s="32">
        <v>21222</v>
      </c>
      <c r="AY197" s="32">
        <v>21222</v>
      </c>
      <c r="AZ197" s="32">
        <v>5659.2</v>
      </c>
      <c r="BA197" s="32">
        <v>5659.2</v>
      </c>
      <c r="BB197" s="32">
        <v>0</v>
      </c>
      <c r="BC197" s="32">
        <v>0</v>
      </c>
      <c r="BD197" s="32">
        <v>35000</v>
      </c>
      <c r="BE197" s="32">
        <v>35000</v>
      </c>
      <c r="BF197" s="32">
        <v>0</v>
      </c>
      <c r="BG197" s="32">
        <v>0</v>
      </c>
      <c r="BH197" s="32">
        <v>0</v>
      </c>
      <c r="BI197" s="32">
        <v>0</v>
      </c>
      <c r="BJ197" s="32">
        <v>0</v>
      </c>
      <c r="BK197" s="32">
        <v>0</v>
      </c>
      <c r="BL197" s="32">
        <v>0</v>
      </c>
      <c r="BM197" s="32">
        <v>0</v>
      </c>
      <c r="BN197" s="32">
        <v>0</v>
      </c>
      <c r="BO197" s="32">
        <v>0</v>
      </c>
      <c r="BP197" s="32">
        <v>0</v>
      </c>
      <c r="BQ197" s="32">
        <v>50940</v>
      </c>
      <c r="BR197" s="32">
        <v>54740</v>
      </c>
      <c r="BS197" s="32">
        <v>58790</v>
      </c>
      <c r="BT197" s="32">
        <v>38891.199999999997</v>
      </c>
      <c r="BU197" s="32">
        <v>0</v>
      </c>
      <c r="BV197" s="32">
        <v>0</v>
      </c>
      <c r="BW197" s="32">
        <v>0</v>
      </c>
      <c r="BX197" s="32">
        <v>0</v>
      </c>
      <c r="BY197" s="32">
        <v>0</v>
      </c>
      <c r="BZ197" s="32">
        <v>0</v>
      </c>
      <c r="CA197" s="32">
        <v>0</v>
      </c>
      <c r="CB197" s="125" t="s">
        <v>212</v>
      </c>
      <c r="CC197" s="125" t="s">
        <v>675</v>
      </c>
      <c r="CD197" s="125" t="s">
        <v>653</v>
      </c>
      <c r="CE197" s="125" t="s">
        <v>501</v>
      </c>
      <c r="CF197" s="125" t="s">
        <v>693</v>
      </c>
      <c r="CG197" s="125" t="s">
        <v>3050</v>
      </c>
      <c r="CH197" s="125" t="s">
        <v>526</v>
      </c>
      <c r="CI197" s="125"/>
      <c r="CJ197" s="125" t="s">
        <v>212</v>
      </c>
      <c r="CK197" s="125" t="s">
        <v>694</v>
      </c>
      <c r="CL197" s="125" t="s">
        <v>212</v>
      </c>
      <c r="CM197" s="125" t="s">
        <v>625</v>
      </c>
      <c r="CN197" s="125" t="s">
        <v>254</v>
      </c>
      <c r="CO197" s="125" t="s">
        <v>255</v>
      </c>
      <c r="CP197" s="125" t="s">
        <v>695</v>
      </c>
      <c r="CQ197" s="125" t="s">
        <v>696</v>
      </c>
      <c r="CR197" s="125" t="s">
        <v>529</v>
      </c>
      <c r="CS197" s="125" t="s">
        <v>697</v>
      </c>
      <c r="CT197" s="125"/>
      <c r="CU197" s="125"/>
      <c r="CV197" s="125"/>
      <c r="CW197" s="125"/>
      <c r="CX197" s="125"/>
      <c r="CY197" s="125" t="s">
        <v>622</v>
      </c>
      <c r="CZ197" s="125" t="s">
        <v>698</v>
      </c>
      <c r="DA197" s="125" t="s">
        <v>699</v>
      </c>
      <c r="DB197" s="125" t="s">
        <v>622</v>
      </c>
      <c r="DC197" s="125" t="s">
        <v>698</v>
      </c>
      <c r="DD197" s="125" t="s">
        <v>699</v>
      </c>
      <c r="DE197" s="125" t="s">
        <v>701</v>
      </c>
      <c r="DF197" s="126" t="s">
        <v>3051</v>
      </c>
      <c r="DG197" s="27" cm="1">
        <f t="array" ref="DG197">INDEX('elenco partner'!A:M,MATCH(1,(D197='elenco partner'!A:A)*('Partner data'!M197='elenco partner'!E:E),0),4)</f>
        <v>507</v>
      </c>
      <c r="DH197" s="83" t="str">
        <f t="shared" si="86"/>
        <v>COSTO REALE</v>
      </c>
      <c r="DI197" s="20">
        <f>COUNTIFS('MY-REPORT-MAIN'!C:C,'Partner data'!DG197,'MY-REPORT-MAIN'!I:I,"Certified")</f>
        <v>0</v>
      </c>
      <c r="DJ197" s="20">
        <f>COUNTIFS(List_Of_chek_list!M:M,"&lt;&gt;26",List_Of_chek_list!B:B,'Partner data'!DG197)</f>
        <v>0</v>
      </c>
      <c r="DK197" s="20">
        <f t="shared" si="87"/>
        <v>0</v>
      </c>
      <c r="DL197" s="19" t="str">
        <f>IF(DH197="Tasso Forfettario 20%",SUMIFS(List_Of_chek_list!#REF!,List_Of_chek_list!B:B,'Partner data'!DG197),"NON PERTINENTE")</f>
        <v>NON PERTINENTE</v>
      </c>
      <c r="DM197" s="19" t="str">
        <f t="shared" si="88"/>
        <v>NON PERTINENTE</v>
      </c>
      <c r="DN197" s="110">
        <f>_xlfn.MAXIFS('MY-REPORT-MAIN'!K:K,'MY-REPORT-MAIN'!C:C,DG197)</f>
        <v>0</v>
      </c>
      <c r="DO197" s="112" t="str">
        <f>IF(_xlfn.MAXIFS('MY-REPORT-MAIN'!M:M,'MY-REPORT-MAIN'!C:C,DG197)=0,"Nessun rendiconto  Convalidato",_xlfn.MAXIFS('MY-REPORT-MAIN'!M:M,'MY-REPORT-MAIN'!C:C,DG197))</f>
        <v>Nessun rendiconto  Convalidato</v>
      </c>
      <c r="DP197" s="113" t="str" cm="1">
        <f t="array" ref="DP197">IFERROR(INDEX('MY-REPORT-MAIN'!A:Z,MATCH(1,(DO197='MY-REPORT-MAIN'!M:M)*('Partner data'!DG197='MY-REPORT-MAIN'!C:C),0),1),"NON è stato convalidato ancora nessun rendiconto")</f>
        <v>NON è stato convalidato ancora nessun rendiconto</v>
      </c>
      <c r="DQ197" s="111" t="str">
        <f>IFERROR(INDEX('MY-REPORT-MAIN'!A:Z,MATCH('Partner data'!DP197,'MY-REPORT-MAIN'!A:A,0),21),"Nessun Rendiconto ancora convalidato")</f>
        <v>Nessun Rendiconto ancora convalidato</v>
      </c>
      <c r="DR197" s="110" t="e">
        <f>INDEX('Interreg VI-A Italy-Slovenia_pr'!A:E,MATCH('Partner data'!C197,'Interreg VI-A Italy-Slovenia_pr'!A:A,0),3)</f>
        <v>#N/A</v>
      </c>
      <c r="DS197" s="118">
        <f t="shared" si="76"/>
        <v>50940</v>
      </c>
      <c r="DT197" s="118">
        <f t="shared" si="77"/>
        <v>105680</v>
      </c>
      <c r="DU197" s="118">
        <f t="shared" si="78"/>
        <v>164470</v>
      </c>
      <c r="DV197" s="118">
        <f t="shared" si="79"/>
        <v>203361.2</v>
      </c>
      <c r="DW197" s="118">
        <f t="shared" si="80"/>
        <v>203361.2</v>
      </c>
      <c r="DX197" s="118">
        <f t="shared" si="81"/>
        <v>203361.2</v>
      </c>
      <c r="DY197" s="118">
        <f t="shared" si="82"/>
        <v>203361.2</v>
      </c>
      <c r="DZ197" s="118">
        <f t="shared" si="83"/>
        <v>203361.2</v>
      </c>
      <c r="EA197" s="118">
        <f t="shared" si="84"/>
        <v>203361.2</v>
      </c>
      <c r="EB197" s="118">
        <f t="shared" si="85"/>
        <v>203361.2</v>
      </c>
    </row>
    <row r="198" spans="1:132" ht="45" x14ac:dyDescent="0.25">
      <c r="A198" s="121">
        <v>6</v>
      </c>
      <c r="B198" s="122" t="s">
        <v>2688</v>
      </c>
      <c r="C198" s="123" t="s">
        <v>3035</v>
      </c>
      <c r="D198" s="123" t="s">
        <v>3036</v>
      </c>
      <c r="E198" s="123" t="s">
        <v>3037</v>
      </c>
      <c r="F198" s="123" t="s">
        <v>1118</v>
      </c>
      <c r="G198" s="123" t="s">
        <v>6118</v>
      </c>
      <c r="H198" s="123" t="s">
        <v>691</v>
      </c>
      <c r="I198" s="123" t="s">
        <v>1044</v>
      </c>
      <c r="J198" s="124" t="s">
        <v>538</v>
      </c>
      <c r="K198" s="124" t="s">
        <v>495</v>
      </c>
      <c r="L198" s="124" t="s">
        <v>519</v>
      </c>
      <c r="M198" s="124" t="s">
        <v>3052</v>
      </c>
      <c r="N198" s="124" t="s">
        <v>1947</v>
      </c>
      <c r="O198" s="124" t="s">
        <v>3053</v>
      </c>
      <c r="P198" s="124" t="s">
        <v>254</v>
      </c>
      <c r="Q198" s="124" t="s">
        <v>499</v>
      </c>
      <c r="R198" s="124" t="s">
        <v>255</v>
      </c>
      <c r="S198" s="32">
        <v>123998.08</v>
      </c>
      <c r="T198" s="32">
        <v>80</v>
      </c>
      <c r="U198" s="32">
        <v>14.72</v>
      </c>
      <c r="V198" s="32">
        <v>0</v>
      </c>
      <c r="W198" s="32">
        <v>0</v>
      </c>
      <c r="X198" s="32">
        <v>0</v>
      </c>
      <c r="Y198" s="32">
        <v>0</v>
      </c>
      <c r="Z198" s="32">
        <v>0</v>
      </c>
      <c r="AA198" s="32">
        <v>0</v>
      </c>
      <c r="AB198" s="32">
        <v>0</v>
      </c>
      <c r="AC198" s="32">
        <v>0</v>
      </c>
      <c r="AD198" s="32">
        <v>0</v>
      </c>
      <c r="AE198" s="32">
        <v>0</v>
      </c>
      <c r="AF198" s="32">
        <v>0</v>
      </c>
      <c r="AG198" s="32">
        <v>0</v>
      </c>
      <c r="AH198" s="32">
        <v>0</v>
      </c>
      <c r="AI198" s="32">
        <v>0</v>
      </c>
      <c r="AJ198" s="32">
        <v>0</v>
      </c>
      <c r="AK198" s="32">
        <v>0</v>
      </c>
      <c r="AL198" s="32">
        <v>0</v>
      </c>
      <c r="AM198" s="32">
        <v>0</v>
      </c>
      <c r="AN198" s="32">
        <v>0</v>
      </c>
      <c r="AO198" s="32">
        <v>30999.52</v>
      </c>
      <c r="AP198" s="32">
        <v>0</v>
      </c>
      <c r="AQ198" s="32">
        <v>30999.52</v>
      </c>
      <c r="AR198" s="32">
        <v>154997.6</v>
      </c>
      <c r="AS198" s="32">
        <v>14.72</v>
      </c>
      <c r="AT198" s="32">
        <v>25040</v>
      </c>
      <c r="AU198" s="32">
        <v>25040</v>
      </c>
      <c r="AV198" s="32">
        <v>0</v>
      </c>
      <c r="AW198" s="32">
        <v>0</v>
      </c>
      <c r="AX198" s="32">
        <v>3756</v>
      </c>
      <c r="AY198" s="32">
        <v>3756</v>
      </c>
      <c r="AZ198" s="32">
        <v>1001.6</v>
      </c>
      <c r="BA198" s="32">
        <v>1001.6</v>
      </c>
      <c r="BB198" s="32">
        <v>0</v>
      </c>
      <c r="BC198" s="32">
        <v>0</v>
      </c>
      <c r="BD198" s="32">
        <v>99200</v>
      </c>
      <c r="BE198" s="32">
        <v>99200</v>
      </c>
      <c r="BF198" s="32">
        <v>0</v>
      </c>
      <c r="BG198" s="32">
        <v>26000</v>
      </c>
      <c r="BH198" s="32">
        <v>26000</v>
      </c>
      <c r="BI198" s="32">
        <v>0</v>
      </c>
      <c r="BJ198" s="32">
        <v>0</v>
      </c>
      <c r="BK198" s="32">
        <v>0</v>
      </c>
      <c r="BL198" s="32">
        <v>0</v>
      </c>
      <c r="BM198" s="32">
        <v>0</v>
      </c>
      <c r="BN198" s="32">
        <v>0</v>
      </c>
      <c r="BO198" s="32">
        <v>0</v>
      </c>
      <c r="BP198" s="32">
        <v>0</v>
      </c>
      <c r="BQ198" s="32">
        <v>2476</v>
      </c>
      <c r="BR198" s="32">
        <v>70813.600000000006</v>
      </c>
      <c r="BS198" s="32">
        <v>42092</v>
      </c>
      <c r="BT198" s="32">
        <v>39616</v>
      </c>
      <c r="BU198" s="32">
        <v>0</v>
      </c>
      <c r="BV198" s="32">
        <v>0</v>
      </c>
      <c r="BW198" s="32">
        <v>0</v>
      </c>
      <c r="BX198" s="32">
        <v>0</v>
      </c>
      <c r="BY198" s="32">
        <v>0</v>
      </c>
      <c r="BZ198" s="32">
        <v>0</v>
      </c>
      <c r="CA198" s="32">
        <v>0</v>
      </c>
      <c r="CB198" s="125" t="s">
        <v>212</v>
      </c>
      <c r="CC198" s="125" t="s">
        <v>522</v>
      </c>
      <c r="CD198" s="125"/>
      <c r="CE198" s="125" t="s">
        <v>523</v>
      </c>
      <c r="CF198" s="125" t="s">
        <v>636</v>
      </c>
      <c r="CG198" s="125" t="s">
        <v>875</v>
      </c>
      <c r="CH198" s="125" t="s">
        <v>526</v>
      </c>
      <c r="CI198" s="125"/>
      <c r="CJ198" s="125" t="s">
        <v>212</v>
      </c>
      <c r="CK198" s="125"/>
      <c r="CL198" s="125" t="s">
        <v>212</v>
      </c>
      <c r="CM198" s="125"/>
      <c r="CN198" s="125" t="s">
        <v>254</v>
      </c>
      <c r="CO198" s="125" t="s">
        <v>255</v>
      </c>
      <c r="CP198" s="125" t="s">
        <v>3054</v>
      </c>
      <c r="CQ198" s="125" t="s">
        <v>877</v>
      </c>
      <c r="CR198" s="125" t="s">
        <v>3055</v>
      </c>
      <c r="CS198" s="125" t="s">
        <v>879</v>
      </c>
      <c r="CT198" s="125"/>
      <c r="CU198" s="125"/>
      <c r="CV198" s="125"/>
      <c r="CW198" s="125"/>
      <c r="CX198" s="125"/>
      <c r="CY198" s="125" t="s">
        <v>622</v>
      </c>
      <c r="CZ198" s="125" t="s">
        <v>833</v>
      </c>
      <c r="DA198" s="125" t="s">
        <v>880</v>
      </c>
      <c r="DB198" s="125" t="s">
        <v>622</v>
      </c>
      <c r="DC198" s="125" t="s">
        <v>1613</v>
      </c>
      <c r="DD198" s="125" t="s">
        <v>3056</v>
      </c>
      <c r="DE198" s="125" t="s">
        <v>3057</v>
      </c>
      <c r="DF198" s="126" t="s">
        <v>3058</v>
      </c>
      <c r="DG198" s="27" cm="1">
        <f t="array" ref="DG198">INDEX('elenco partner'!A:M,MATCH(1,(D198='elenco partner'!A:A)*('Partner data'!M198='elenco partner'!E:E),0),4)</f>
        <v>508</v>
      </c>
      <c r="DH198" s="83" t="str">
        <f t="shared" si="86"/>
        <v>Tasso Forfettario 20%</v>
      </c>
      <c r="DI198" s="20">
        <f>COUNTIFS('MY-REPORT-MAIN'!C:C,'Partner data'!DG198,'MY-REPORT-MAIN'!I:I,"Certified")</f>
        <v>0</v>
      </c>
      <c r="DJ198" s="20">
        <f>COUNTIFS(List_Of_chek_list!M:M,"&lt;&gt;26",List_Of_chek_list!B:B,'Partner data'!DG198)</f>
        <v>0</v>
      </c>
      <c r="DK198" s="20">
        <f t="shared" si="87"/>
        <v>0</v>
      </c>
      <c r="DL198" s="19" t="e">
        <f>IF(DH198="Tasso Forfettario 20%",SUMIFS(List_Of_chek_list!#REF!,List_Of_chek_list!B:B,'Partner data'!DG198),"NON PERTINENTE")</f>
        <v>#REF!</v>
      </c>
      <c r="DM198" s="19" t="e">
        <f t="shared" si="88"/>
        <v>#REF!</v>
      </c>
      <c r="DN198" s="110">
        <f>_xlfn.MAXIFS('MY-REPORT-MAIN'!K:K,'MY-REPORT-MAIN'!C:C,DG198)</f>
        <v>0</v>
      </c>
      <c r="DO198" s="112" t="str">
        <f>IF(_xlfn.MAXIFS('MY-REPORT-MAIN'!M:M,'MY-REPORT-MAIN'!C:C,DG198)=0,"Nessun rendiconto  Convalidato",_xlfn.MAXIFS('MY-REPORT-MAIN'!M:M,'MY-REPORT-MAIN'!C:C,DG198))</f>
        <v>Nessun rendiconto  Convalidato</v>
      </c>
      <c r="DP198" s="113" t="str" cm="1">
        <f t="array" ref="DP198">IFERROR(INDEX('MY-REPORT-MAIN'!A:Z,MATCH(1,(DO198='MY-REPORT-MAIN'!M:M)*('Partner data'!DG198='MY-REPORT-MAIN'!C:C),0),1),"NON è stato convalidato ancora nessun rendiconto")</f>
        <v>NON è stato convalidato ancora nessun rendiconto</v>
      </c>
      <c r="DQ198" s="111" t="str">
        <f>IFERROR(INDEX('MY-REPORT-MAIN'!A:Z,MATCH('Partner data'!DP198,'MY-REPORT-MAIN'!A:A,0),21),"Nessun Rendiconto ancora convalidato")</f>
        <v>Nessun Rendiconto ancora convalidato</v>
      </c>
      <c r="DR198" s="110" t="e">
        <f>INDEX('Interreg VI-A Italy-Slovenia_pr'!A:E,MATCH('Partner data'!C198,'Interreg VI-A Italy-Slovenia_pr'!A:A,0),3)</f>
        <v>#N/A</v>
      </c>
      <c r="DS198" s="118">
        <f t="shared" si="76"/>
        <v>2476</v>
      </c>
      <c r="DT198" s="118">
        <f t="shared" si="77"/>
        <v>73289.600000000006</v>
      </c>
      <c r="DU198" s="118">
        <f t="shared" si="78"/>
        <v>115381.6</v>
      </c>
      <c r="DV198" s="118">
        <f t="shared" si="79"/>
        <v>154997.6</v>
      </c>
      <c r="DW198" s="118">
        <f t="shared" si="80"/>
        <v>154997.6</v>
      </c>
      <c r="DX198" s="118">
        <f t="shared" si="81"/>
        <v>154997.6</v>
      </c>
      <c r="DY198" s="118">
        <f t="shared" si="82"/>
        <v>154997.6</v>
      </c>
      <c r="DZ198" s="118">
        <f t="shared" si="83"/>
        <v>154997.6</v>
      </c>
      <c r="EA198" s="118">
        <f t="shared" si="84"/>
        <v>154997.6</v>
      </c>
      <c r="EB198" s="118">
        <f t="shared" si="85"/>
        <v>154997.6</v>
      </c>
    </row>
    <row r="199" spans="1:132" ht="45" x14ac:dyDescent="0.25">
      <c r="A199" s="121">
        <v>6</v>
      </c>
      <c r="B199" s="122" t="s">
        <v>2688</v>
      </c>
      <c r="C199" s="123" t="s">
        <v>3035</v>
      </c>
      <c r="D199" s="123" t="s">
        <v>3036</v>
      </c>
      <c r="E199" s="123" t="s">
        <v>3037</v>
      </c>
      <c r="F199" s="123" t="s">
        <v>1118</v>
      </c>
      <c r="G199" s="123" t="s">
        <v>6118</v>
      </c>
      <c r="H199" s="123" t="s">
        <v>691</v>
      </c>
      <c r="I199" s="123" t="s">
        <v>1044</v>
      </c>
      <c r="J199" s="124" t="s">
        <v>554</v>
      </c>
      <c r="K199" s="124" t="s">
        <v>495</v>
      </c>
      <c r="L199" s="124" t="s">
        <v>519</v>
      </c>
      <c r="M199" s="124" t="s">
        <v>299</v>
      </c>
      <c r="N199" s="124" t="s">
        <v>3059</v>
      </c>
      <c r="O199" s="124" t="s">
        <v>1218</v>
      </c>
      <c r="P199" s="124" t="s">
        <v>257</v>
      </c>
      <c r="Q199" s="124" t="s">
        <v>556</v>
      </c>
      <c r="R199" s="124" t="s">
        <v>269</v>
      </c>
      <c r="S199" s="32">
        <v>130138.56</v>
      </c>
      <c r="T199" s="32">
        <v>80</v>
      </c>
      <c r="U199" s="32">
        <v>15.45</v>
      </c>
      <c r="V199" s="32">
        <v>0</v>
      </c>
      <c r="W199" s="32">
        <v>0</v>
      </c>
      <c r="X199" s="32">
        <v>0</v>
      </c>
      <c r="Y199" s="32">
        <v>0</v>
      </c>
      <c r="Z199" s="32">
        <v>0</v>
      </c>
      <c r="AA199" s="32">
        <v>0</v>
      </c>
      <c r="AB199" s="32">
        <v>0</v>
      </c>
      <c r="AC199" s="32">
        <v>0</v>
      </c>
      <c r="AD199" s="32">
        <v>0</v>
      </c>
      <c r="AE199" s="32">
        <v>0</v>
      </c>
      <c r="AF199" s="32">
        <v>0</v>
      </c>
      <c r="AG199" s="32">
        <v>0</v>
      </c>
      <c r="AH199" s="32">
        <v>0</v>
      </c>
      <c r="AI199" s="32">
        <v>0</v>
      </c>
      <c r="AJ199" s="32">
        <v>0</v>
      </c>
      <c r="AK199" s="32">
        <v>0</v>
      </c>
      <c r="AL199" s="32">
        <v>0</v>
      </c>
      <c r="AM199" s="32">
        <v>0</v>
      </c>
      <c r="AN199" s="32">
        <v>32534.639999999999</v>
      </c>
      <c r="AO199" s="32">
        <v>0</v>
      </c>
      <c r="AP199" s="32">
        <v>0</v>
      </c>
      <c r="AQ199" s="32">
        <v>32534.639999999999</v>
      </c>
      <c r="AR199" s="32">
        <v>162673.20000000001</v>
      </c>
      <c r="AS199" s="32">
        <v>15.45</v>
      </c>
      <c r="AT199" s="32">
        <v>26280</v>
      </c>
      <c r="AU199" s="32">
        <v>26280</v>
      </c>
      <c r="AV199" s="32">
        <v>0</v>
      </c>
      <c r="AW199" s="32">
        <v>0</v>
      </c>
      <c r="AX199" s="32">
        <v>3942</v>
      </c>
      <c r="AY199" s="32">
        <v>3942</v>
      </c>
      <c r="AZ199" s="32">
        <v>1051.2</v>
      </c>
      <c r="BA199" s="32">
        <v>1051.2</v>
      </c>
      <c r="BB199" s="32">
        <v>0</v>
      </c>
      <c r="BC199" s="32">
        <v>0</v>
      </c>
      <c r="BD199" s="32">
        <v>55400</v>
      </c>
      <c r="BE199" s="32">
        <v>55400</v>
      </c>
      <c r="BF199" s="32">
        <v>0</v>
      </c>
      <c r="BG199" s="32">
        <v>76000</v>
      </c>
      <c r="BH199" s="32">
        <v>76000</v>
      </c>
      <c r="BI199" s="32">
        <v>0</v>
      </c>
      <c r="BJ199" s="32">
        <v>0</v>
      </c>
      <c r="BK199" s="32">
        <v>0</v>
      </c>
      <c r="BL199" s="32">
        <v>0</v>
      </c>
      <c r="BM199" s="32">
        <v>0</v>
      </c>
      <c r="BN199" s="32">
        <v>0</v>
      </c>
      <c r="BO199" s="32">
        <v>0</v>
      </c>
      <c r="BP199" s="32">
        <v>0</v>
      </c>
      <c r="BQ199" s="32">
        <v>0</v>
      </c>
      <c r="BR199" s="32">
        <v>125533.2</v>
      </c>
      <c r="BS199" s="32">
        <v>18570</v>
      </c>
      <c r="BT199" s="32">
        <v>18570</v>
      </c>
      <c r="BU199" s="32">
        <v>0</v>
      </c>
      <c r="BV199" s="32">
        <v>0</v>
      </c>
      <c r="BW199" s="32">
        <v>0</v>
      </c>
      <c r="BX199" s="32">
        <v>0</v>
      </c>
      <c r="BY199" s="32">
        <v>0</v>
      </c>
      <c r="BZ199" s="32">
        <v>0</v>
      </c>
      <c r="CA199" s="32">
        <v>0</v>
      </c>
      <c r="CB199" s="125" t="s">
        <v>212</v>
      </c>
      <c r="CC199" s="125" t="s">
        <v>522</v>
      </c>
      <c r="CD199" s="125"/>
      <c r="CE199" s="125" t="s">
        <v>523</v>
      </c>
      <c r="CF199" s="125" t="s">
        <v>636</v>
      </c>
      <c r="CG199" s="125" t="s">
        <v>926</v>
      </c>
      <c r="CH199" s="125" t="s">
        <v>526</v>
      </c>
      <c r="CI199" s="125"/>
      <c r="CJ199" s="125" t="s">
        <v>212</v>
      </c>
      <c r="CK199" s="125"/>
      <c r="CL199" s="125" t="s">
        <v>212</v>
      </c>
      <c r="CM199" s="125"/>
      <c r="CN199" s="125" t="s">
        <v>257</v>
      </c>
      <c r="CO199" s="125" t="s">
        <v>269</v>
      </c>
      <c r="CP199" s="125" t="s">
        <v>927</v>
      </c>
      <c r="CQ199" s="125" t="s">
        <v>928</v>
      </c>
      <c r="CR199" s="125" t="s">
        <v>929</v>
      </c>
      <c r="CS199" s="125"/>
      <c r="CT199" s="125"/>
      <c r="CU199" s="125"/>
      <c r="CV199" s="125"/>
      <c r="CW199" s="125"/>
      <c r="CX199" s="125"/>
      <c r="CY199" s="125" t="s">
        <v>622</v>
      </c>
      <c r="CZ199" s="125" t="s">
        <v>3060</v>
      </c>
      <c r="DA199" s="125" t="s">
        <v>932</v>
      </c>
      <c r="DB199" s="125" t="s">
        <v>602</v>
      </c>
      <c r="DC199" s="125" t="s">
        <v>3061</v>
      </c>
      <c r="DD199" s="125" t="s">
        <v>934</v>
      </c>
      <c r="DE199" s="125" t="s">
        <v>3062</v>
      </c>
      <c r="DF199" s="126" t="s">
        <v>1219</v>
      </c>
      <c r="DG199" s="27" cm="1">
        <f t="array" ref="DG199">INDEX('elenco partner'!A:M,MATCH(1,(D199='elenco partner'!A:A)*('Partner data'!M199='elenco partner'!E:E),0),4)</f>
        <v>509</v>
      </c>
      <c r="DH199" s="83" t="str">
        <f t="shared" si="86"/>
        <v>Tasso Forfettario 20%</v>
      </c>
      <c r="DI199" s="20">
        <f>COUNTIFS('MY-REPORT-MAIN'!C:C,'Partner data'!DG199,'MY-REPORT-MAIN'!I:I,"Certified")</f>
        <v>0</v>
      </c>
      <c r="DJ199" s="20">
        <f>COUNTIFS(List_Of_chek_list!M:M,"&lt;&gt;26",List_Of_chek_list!B:B,'Partner data'!DG199)</f>
        <v>0</v>
      </c>
      <c r="DK199" s="20">
        <f t="shared" si="87"/>
        <v>0</v>
      </c>
      <c r="DL199" s="19" t="e">
        <f>IF(DH199="Tasso Forfettario 20%",SUMIFS(List_Of_chek_list!#REF!,List_Of_chek_list!B:B,'Partner data'!DG199),"NON PERTINENTE")</f>
        <v>#REF!</v>
      </c>
      <c r="DM199" s="19" t="e">
        <f t="shared" si="88"/>
        <v>#REF!</v>
      </c>
      <c r="DN199" s="110">
        <f>_xlfn.MAXIFS('MY-REPORT-MAIN'!K:K,'MY-REPORT-MAIN'!C:C,DG199)</f>
        <v>0</v>
      </c>
      <c r="DO199" s="112" t="str">
        <f>IF(_xlfn.MAXIFS('MY-REPORT-MAIN'!M:M,'MY-REPORT-MAIN'!C:C,DG199)=0,"Nessun rendiconto  Convalidato",_xlfn.MAXIFS('MY-REPORT-MAIN'!M:M,'MY-REPORT-MAIN'!C:C,DG199))</f>
        <v>Nessun rendiconto  Convalidato</v>
      </c>
      <c r="DP199" s="113" t="str" cm="1">
        <f t="array" ref="DP199">IFERROR(INDEX('MY-REPORT-MAIN'!A:Z,MATCH(1,(DO199='MY-REPORT-MAIN'!M:M)*('Partner data'!DG199='MY-REPORT-MAIN'!C:C),0),1),"NON è stato convalidato ancora nessun rendiconto")</f>
        <v>NON è stato convalidato ancora nessun rendiconto</v>
      </c>
      <c r="DQ199" s="111" t="str">
        <f>IFERROR(INDEX('MY-REPORT-MAIN'!A:Z,MATCH('Partner data'!DP199,'MY-REPORT-MAIN'!A:A,0),21),"Nessun Rendiconto ancora convalidato")</f>
        <v>Nessun Rendiconto ancora convalidato</v>
      </c>
      <c r="DR199" s="110" t="e">
        <f>INDEX('Interreg VI-A Italy-Slovenia_pr'!A:E,MATCH('Partner data'!C199,'Interreg VI-A Italy-Slovenia_pr'!A:A,0),3)</f>
        <v>#N/A</v>
      </c>
      <c r="DS199" s="118">
        <f t="shared" si="76"/>
        <v>0</v>
      </c>
      <c r="DT199" s="118">
        <f t="shared" si="77"/>
        <v>125533.2</v>
      </c>
      <c r="DU199" s="118">
        <f t="shared" si="78"/>
        <v>144103.20000000001</v>
      </c>
      <c r="DV199" s="118">
        <f t="shared" si="79"/>
        <v>162673.20000000001</v>
      </c>
      <c r="DW199" s="118">
        <f t="shared" si="80"/>
        <v>162673.20000000001</v>
      </c>
      <c r="DX199" s="118">
        <f t="shared" si="81"/>
        <v>162673.20000000001</v>
      </c>
      <c r="DY199" s="118">
        <f t="shared" si="82"/>
        <v>162673.20000000001</v>
      </c>
      <c r="DZ199" s="118">
        <f t="shared" si="83"/>
        <v>162673.20000000001</v>
      </c>
      <c r="EA199" s="118">
        <f t="shared" si="84"/>
        <v>162673.20000000001</v>
      </c>
      <c r="EB199" s="118">
        <f t="shared" si="85"/>
        <v>162673.20000000001</v>
      </c>
    </row>
    <row r="200" spans="1:132" ht="45" x14ac:dyDescent="0.25">
      <c r="A200" s="121">
        <v>6</v>
      </c>
      <c r="B200" s="122" t="s">
        <v>2688</v>
      </c>
      <c r="C200" s="123" t="s">
        <v>3035</v>
      </c>
      <c r="D200" s="123" t="s">
        <v>3036</v>
      </c>
      <c r="E200" s="123" t="s">
        <v>3037</v>
      </c>
      <c r="F200" s="123" t="s">
        <v>1118</v>
      </c>
      <c r="G200" s="123" t="s">
        <v>6118</v>
      </c>
      <c r="H200" s="123" t="s">
        <v>691</v>
      </c>
      <c r="I200" s="123" t="s">
        <v>1044</v>
      </c>
      <c r="J200" s="124" t="s">
        <v>570</v>
      </c>
      <c r="K200" s="124" t="s">
        <v>495</v>
      </c>
      <c r="L200" s="124" t="s">
        <v>519</v>
      </c>
      <c r="M200" s="124" t="s">
        <v>3063</v>
      </c>
      <c r="N200" s="124" t="s">
        <v>3064</v>
      </c>
      <c r="O200" s="124" t="s">
        <v>3065</v>
      </c>
      <c r="P200" s="124" t="s">
        <v>257</v>
      </c>
      <c r="Q200" s="124" t="s">
        <v>556</v>
      </c>
      <c r="R200" s="124" t="s">
        <v>270</v>
      </c>
      <c r="S200" s="32">
        <v>121805.5</v>
      </c>
      <c r="T200" s="32">
        <v>80</v>
      </c>
      <c r="U200" s="32">
        <v>14.46</v>
      </c>
      <c r="V200" s="32">
        <v>0</v>
      </c>
      <c r="W200" s="32">
        <v>0</v>
      </c>
      <c r="X200" s="32">
        <v>0</v>
      </c>
      <c r="Y200" s="32">
        <v>0</v>
      </c>
      <c r="Z200" s="32">
        <v>0</v>
      </c>
      <c r="AA200" s="32">
        <v>0</v>
      </c>
      <c r="AB200" s="32">
        <v>0</v>
      </c>
      <c r="AC200" s="32">
        <v>0</v>
      </c>
      <c r="AD200" s="32">
        <v>0</v>
      </c>
      <c r="AE200" s="32">
        <v>0</v>
      </c>
      <c r="AF200" s="32">
        <v>0</v>
      </c>
      <c r="AG200" s="32">
        <v>0</v>
      </c>
      <c r="AH200" s="32">
        <v>0</v>
      </c>
      <c r="AI200" s="32">
        <v>0</v>
      </c>
      <c r="AJ200" s="32">
        <v>0</v>
      </c>
      <c r="AK200" s="32">
        <v>0</v>
      </c>
      <c r="AL200" s="32">
        <v>0</v>
      </c>
      <c r="AM200" s="32">
        <v>0</v>
      </c>
      <c r="AN200" s="32">
        <v>0</v>
      </c>
      <c r="AO200" s="32">
        <v>0</v>
      </c>
      <c r="AP200" s="32">
        <v>30451.38</v>
      </c>
      <c r="AQ200" s="32">
        <v>30451.38</v>
      </c>
      <c r="AR200" s="32">
        <v>152256.88</v>
      </c>
      <c r="AS200" s="32">
        <v>14.46</v>
      </c>
      <c r="AT200" s="32">
        <v>90552</v>
      </c>
      <c r="AU200" s="32">
        <v>0</v>
      </c>
      <c r="AV200" s="32">
        <v>90552</v>
      </c>
      <c r="AW200" s="32">
        <v>0</v>
      </c>
      <c r="AX200" s="32">
        <v>13582.8</v>
      </c>
      <c r="AY200" s="32">
        <v>13582.8</v>
      </c>
      <c r="AZ200" s="32">
        <v>3622.08</v>
      </c>
      <c r="BA200" s="32">
        <v>3622.08</v>
      </c>
      <c r="BB200" s="32">
        <v>0</v>
      </c>
      <c r="BC200" s="32">
        <v>0</v>
      </c>
      <c r="BD200" s="32">
        <v>44500</v>
      </c>
      <c r="BE200" s="32">
        <v>44500</v>
      </c>
      <c r="BF200" s="32">
        <v>0</v>
      </c>
      <c r="BG200" s="32">
        <v>0</v>
      </c>
      <c r="BH200" s="32">
        <v>0</v>
      </c>
      <c r="BI200" s="32">
        <v>0</v>
      </c>
      <c r="BJ200" s="32">
        <v>0</v>
      </c>
      <c r="BK200" s="32">
        <v>0</v>
      </c>
      <c r="BL200" s="32">
        <v>0</v>
      </c>
      <c r="BM200" s="32">
        <v>0</v>
      </c>
      <c r="BN200" s="32">
        <v>0</v>
      </c>
      <c r="BO200" s="32">
        <v>0</v>
      </c>
      <c r="BP200" s="32">
        <v>0</v>
      </c>
      <c r="BQ200" s="32">
        <v>21932.5</v>
      </c>
      <c r="BR200" s="32">
        <v>30622.5</v>
      </c>
      <c r="BS200" s="32">
        <v>45975.5</v>
      </c>
      <c r="BT200" s="32">
        <v>53726.38</v>
      </c>
      <c r="BU200" s="32">
        <v>0</v>
      </c>
      <c r="BV200" s="32">
        <v>0</v>
      </c>
      <c r="BW200" s="32">
        <v>0</v>
      </c>
      <c r="BX200" s="32">
        <v>0</v>
      </c>
      <c r="BY200" s="32">
        <v>0</v>
      </c>
      <c r="BZ200" s="32">
        <v>0</v>
      </c>
      <c r="CA200" s="32">
        <v>0</v>
      </c>
      <c r="CB200" s="125" t="s">
        <v>212</v>
      </c>
      <c r="CC200" s="125" t="s">
        <v>887</v>
      </c>
      <c r="CD200" s="125" t="s">
        <v>653</v>
      </c>
      <c r="CE200" s="125" t="s">
        <v>501</v>
      </c>
      <c r="CF200" s="125" t="s">
        <v>3066</v>
      </c>
      <c r="CG200" s="125" t="s">
        <v>3067</v>
      </c>
      <c r="CH200" s="125" t="s">
        <v>526</v>
      </c>
      <c r="CI200" s="125"/>
      <c r="CJ200" s="125" t="s">
        <v>212</v>
      </c>
      <c r="CK200" s="125" t="s">
        <v>3068</v>
      </c>
      <c r="CL200" s="125" t="s">
        <v>212</v>
      </c>
      <c r="CM200" s="125"/>
      <c r="CN200" s="125" t="s">
        <v>257</v>
      </c>
      <c r="CO200" s="125" t="s">
        <v>270</v>
      </c>
      <c r="CP200" s="125" t="s">
        <v>3069</v>
      </c>
      <c r="CQ200" s="125" t="s">
        <v>710</v>
      </c>
      <c r="CR200" s="125" t="s">
        <v>650</v>
      </c>
      <c r="CS200" s="125" t="s">
        <v>3070</v>
      </c>
      <c r="CT200" s="125"/>
      <c r="CU200" s="125"/>
      <c r="CV200" s="125"/>
      <c r="CW200" s="125"/>
      <c r="CX200" s="125"/>
      <c r="CY200" s="125" t="s">
        <v>622</v>
      </c>
      <c r="CZ200" s="125" t="s">
        <v>3071</v>
      </c>
      <c r="DA200" s="125" t="s">
        <v>3072</v>
      </c>
      <c r="DB200" s="125" t="s">
        <v>622</v>
      </c>
      <c r="DC200" s="125" t="s">
        <v>3071</v>
      </c>
      <c r="DD200" s="125" t="s">
        <v>3072</v>
      </c>
      <c r="DE200" s="125" t="s">
        <v>3073</v>
      </c>
      <c r="DF200" s="126" t="s">
        <v>3074</v>
      </c>
      <c r="DG200" s="27" cm="1">
        <f t="array" ref="DG200">INDEX('elenco partner'!A:M,MATCH(1,(D200='elenco partner'!A:A)*('Partner data'!M200='elenco partner'!E:E),0),4)</f>
        <v>511</v>
      </c>
      <c r="DH200" s="83" t="str">
        <f t="shared" si="86"/>
        <v>COSTO REALE</v>
      </c>
      <c r="DI200" s="20">
        <f>COUNTIFS('MY-REPORT-MAIN'!C:C,'Partner data'!DG200,'MY-REPORT-MAIN'!I:I,"Certified")</f>
        <v>0</v>
      </c>
      <c r="DJ200" s="20">
        <f>COUNTIFS(List_Of_chek_list!M:M,"&lt;&gt;26",List_Of_chek_list!B:B,'Partner data'!DG200)</f>
        <v>0</v>
      </c>
      <c r="DK200" s="20">
        <f t="shared" si="87"/>
        <v>0</v>
      </c>
      <c r="DL200" s="19" t="str">
        <f>IF(DH200="Tasso Forfettario 20%",SUMIFS(List_Of_chek_list!#REF!,List_Of_chek_list!B:B,'Partner data'!DG200),"NON PERTINENTE")</f>
        <v>NON PERTINENTE</v>
      </c>
      <c r="DM200" s="19" t="str">
        <f t="shared" si="88"/>
        <v>NON PERTINENTE</v>
      </c>
      <c r="DN200" s="110">
        <f>_xlfn.MAXIFS('MY-REPORT-MAIN'!K:K,'MY-REPORT-MAIN'!C:C,DG200)</f>
        <v>0</v>
      </c>
      <c r="DO200" s="112" t="str">
        <f>IF(_xlfn.MAXIFS('MY-REPORT-MAIN'!M:M,'MY-REPORT-MAIN'!C:C,DG200)=0,"Nessun rendiconto  Convalidato",_xlfn.MAXIFS('MY-REPORT-MAIN'!M:M,'MY-REPORT-MAIN'!C:C,DG200))</f>
        <v>Nessun rendiconto  Convalidato</v>
      </c>
      <c r="DP200" s="113" t="str" cm="1">
        <f t="array" ref="DP200">IFERROR(INDEX('MY-REPORT-MAIN'!A:Z,MATCH(1,(DO200='MY-REPORT-MAIN'!M:M)*('Partner data'!DG200='MY-REPORT-MAIN'!C:C),0),1),"NON è stato convalidato ancora nessun rendiconto")</f>
        <v>NON è stato convalidato ancora nessun rendiconto</v>
      </c>
      <c r="DQ200" s="111" t="str">
        <f>IFERROR(INDEX('MY-REPORT-MAIN'!A:Z,MATCH('Partner data'!DP200,'MY-REPORT-MAIN'!A:A,0),21),"Nessun Rendiconto ancora convalidato")</f>
        <v>Nessun Rendiconto ancora convalidato</v>
      </c>
      <c r="DR200" s="110" t="e">
        <f>INDEX('Interreg VI-A Italy-Slovenia_pr'!A:E,MATCH('Partner data'!C200,'Interreg VI-A Italy-Slovenia_pr'!A:A,0),3)</f>
        <v>#N/A</v>
      </c>
      <c r="DS200" s="118">
        <f t="shared" si="76"/>
        <v>21932.5</v>
      </c>
      <c r="DT200" s="118">
        <f t="shared" si="77"/>
        <v>52555</v>
      </c>
      <c r="DU200" s="118">
        <f t="shared" si="78"/>
        <v>98530.5</v>
      </c>
      <c r="DV200" s="118">
        <f t="shared" si="79"/>
        <v>152256.88</v>
      </c>
      <c r="DW200" s="118">
        <f t="shared" si="80"/>
        <v>152256.88</v>
      </c>
      <c r="DX200" s="118">
        <f t="shared" si="81"/>
        <v>152256.88</v>
      </c>
      <c r="DY200" s="118">
        <f t="shared" si="82"/>
        <v>152256.88</v>
      </c>
      <c r="DZ200" s="118">
        <f t="shared" si="83"/>
        <v>152256.88</v>
      </c>
      <c r="EA200" s="118">
        <f t="shared" si="84"/>
        <v>152256.88</v>
      </c>
      <c r="EB200" s="118">
        <f t="shared" si="85"/>
        <v>152256.88</v>
      </c>
    </row>
    <row r="201" spans="1:132" ht="45" x14ac:dyDescent="0.25">
      <c r="A201" s="121">
        <v>6</v>
      </c>
      <c r="B201" s="122" t="s">
        <v>2688</v>
      </c>
      <c r="C201" s="123" t="s">
        <v>3035</v>
      </c>
      <c r="D201" s="123" t="s">
        <v>3036</v>
      </c>
      <c r="E201" s="123" t="s">
        <v>3037</v>
      </c>
      <c r="F201" s="123" t="s">
        <v>1118</v>
      </c>
      <c r="G201" s="123" t="s">
        <v>6118</v>
      </c>
      <c r="H201" s="123" t="s">
        <v>691</v>
      </c>
      <c r="I201" s="123" t="s">
        <v>1044</v>
      </c>
      <c r="J201" s="124" t="s">
        <v>581</v>
      </c>
      <c r="K201" s="124" t="s">
        <v>495</v>
      </c>
      <c r="L201" s="124" t="s">
        <v>519</v>
      </c>
      <c r="M201" s="124" t="s">
        <v>3075</v>
      </c>
      <c r="N201" s="124" t="s">
        <v>3076</v>
      </c>
      <c r="O201" s="124" t="s">
        <v>3077</v>
      </c>
      <c r="P201" s="124" t="s">
        <v>257</v>
      </c>
      <c r="Q201" s="124" t="s">
        <v>556</v>
      </c>
      <c r="R201" s="124" t="s">
        <v>258</v>
      </c>
      <c r="S201" s="32">
        <v>130222.84</v>
      </c>
      <c r="T201" s="32">
        <v>80</v>
      </c>
      <c r="U201" s="32">
        <v>15.46</v>
      </c>
      <c r="V201" s="32">
        <v>0</v>
      </c>
      <c r="W201" s="32">
        <v>0</v>
      </c>
      <c r="X201" s="32">
        <v>0</v>
      </c>
      <c r="Y201" s="32">
        <v>0</v>
      </c>
      <c r="Z201" s="32">
        <v>0</v>
      </c>
      <c r="AA201" s="32">
        <v>0</v>
      </c>
      <c r="AB201" s="32">
        <v>0</v>
      </c>
      <c r="AC201" s="32">
        <v>0</v>
      </c>
      <c r="AD201" s="32">
        <v>0</v>
      </c>
      <c r="AE201" s="32">
        <v>0</v>
      </c>
      <c r="AF201" s="32">
        <v>0</v>
      </c>
      <c r="AG201" s="32">
        <v>0</v>
      </c>
      <c r="AH201" s="32">
        <v>0</v>
      </c>
      <c r="AI201" s="32">
        <v>0</v>
      </c>
      <c r="AJ201" s="32">
        <v>0</v>
      </c>
      <c r="AK201" s="32">
        <v>0</v>
      </c>
      <c r="AL201" s="32">
        <v>0</v>
      </c>
      <c r="AM201" s="32">
        <v>0</v>
      </c>
      <c r="AN201" s="32">
        <v>32555.72</v>
      </c>
      <c r="AO201" s="32">
        <v>0</v>
      </c>
      <c r="AP201" s="32">
        <v>0</v>
      </c>
      <c r="AQ201" s="32">
        <v>32555.72</v>
      </c>
      <c r="AR201" s="32">
        <v>162778.56</v>
      </c>
      <c r="AS201" s="32">
        <v>15.46</v>
      </c>
      <c r="AT201" s="32">
        <v>125024</v>
      </c>
      <c r="AU201" s="32">
        <v>0</v>
      </c>
      <c r="AV201" s="32">
        <v>125024</v>
      </c>
      <c r="AW201" s="32">
        <v>0</v>
      </c>
      <c r="AX201" s="32">
        <v>18753.599999999999</v>
      </c>
      <c r="AY201" s="32">
        <v>18753.599999999999</v>
      </c>
      <c r="AZ201" s="32">
        <v>5000.96</v>
      </c>
      <c r="BA201" s="32">
        <v>5000.96</v>
      </c>
      <c r="BB201" s="32">
        <v>0</v>
      </c>
      <c r="BC201" s="32">
        <v>0</v>
      </c>
      <c r="BD201" s="32">
        <v>10000</v>
      </c>
      <c r="BE201" s="32">
        <v>10000</v>
      </c>
      <c r="BF201" s="32">
        <v>0</v>
      </c>
      <c r="BG201" s="32">
        <v>4000</v>
      </c>
      <c r="BH201" s="32">
        <v>4000</v>
      </c>
      <c r="BI201" s="32">
        <v>0</v>
      </c>
      <c r="BJ201" s="32">
        <v>0</v>
      </c>
      <c r="BK201" s="32">
        <v>0</v>
      </c>
      <c r="BL201" s="32">
        <v>0</v>
      </c>
      <c r="BM201" s="32">
        <v>0</v>
      </c>
      <c r="BN201" s="32">
        <v>0</v>
      </c>
      <c r="BO201" s="32">
        <v>0</v>
      </c>
      <c r="BP201" s="32">
        <v>0</v>
      </c>
      <c r="BQ201" s="32">
        <v>40295</v>
      </c>
      <c r="BR201" s="32">
        <v>38675</v>
      </c>
      <c r="BS201" s="32">
        <v>42485</v>
      </c>
      <c r="BT201" s="32">
        <v>41323.56</v>
      </c>
      <c r="BU201" s="32">
        <v>0</v>
      </c>
      <c r="BV201" s="32">
        <v>0</v>
      </c>
      <c r="BW201" s="32">
        <v>0</v>
      </c>
      <c r="BX201" s="32">
        <v>0</v>
      </c>
      <c r="BY201" s="32">
        <v>0</v>
      </c>
      <c r="BZ201" s="32">
        <v>0</v>
      </c>
      <c r="CA201" s="32">
        <v>0</v>
      </c>
      <c r="CB201" s="125" t="s">
        <v>3078</v>
      </c>
      <c r="CC201" s="125" t="s">
        <v>624</v>
      </c>
      <c r="CD201" s="125"/>
      <c r="CE201" s="125" t="s">
        <v>523</v>
      </c>
      <c r="CF201" s="125" t="s">
        <v>2743</v>
      </c>
      <c r="CG201" s="125" t="s">
        <v>2461</v>
      </c>
      <c r="CH201" s="125" t="s">
        <v>526</v>
      </c>
      <c r="CI201" s="125"/>
      <c r="CJ201" s="125" t="s">
        <v>212</v>
      </c>
      <c r="CK201" s="125" t="s">
        <v>3079</v>
      </c>
      <c r="CL201" s="125" t="s">
        <v>212</v>
      </c>
      <c r="CM201" s="125"/>
      <c r="CN201" s="125" t="s">
        <v>257</v>
      </c>
      <c r="CO201" s="125" t="s">
        <v>258</v>
      </c>
      <c r="CP201" s="125" t="s">
        <v>2462</v>
      </c>
      <c r="CQ201" s="125" t="s">
        <v>620</v>
      </c>
      <c r="CR201" s="125" t="s">
        <v>621</v>
      </c>
      <c r="CS201" s="125" t="s">
        <v>3080</v>
      </c>
      <c r="CT201" s="125" t="s">
        <v>257</v>
      </c>
      <c r="CU201" s="125" t="s">
        <v>258</v>
      </c>
      <c r="CV201" s="125" t="s">
        <v>2462</v>
      </c>
      <c r="CW201" s="125" t="s">
        <v>620</v>
      </c>
      <c r="CX201" s="125" t="s">
        <v>621</v>
      </c>
      <c r="CY201" s="125" t="s">
        <v>1486</v>
      </c>
      <c r="CZ201" s="125" t="s">
        <v>3081</v>
      </c>
      <c r="DA201" s="125" t="s">
        <v>2467</v>
      </c>
      <c r="DB201" s="125" t="s">
        <v>1486</v>
      </c>
      <c r="DC201" s="125" t="s">
        <v>2845</v>
      </c>
      <c r="DD201" s="125" t="s">
        <v>3082</v>
      </c>
      <c r="DE201" s="125" t="s">
        <v>3083</v>
      </c>
      <c r="DF201" s="126" t="s">
        <v>3084</v>
      </c>
      <c r="DG201" s="27" cm="1">
        <f t="array" ref="DG201">INDEX('elenco partner'!A:M,MATCH(1,(D201='elenco partner'!A:A)*('Partner data'!M201='elenco partner'!E:E),0),4)</f>
        <v>512</v>
      </c>
      <c r="DH201" s="83" t="str">
        <f t="shared" si="86"/>
        <v>COSTO REALE</v>
      </c>
      <c r="DI201" s="20">
        <f>COUNTIFS('MY-REPORT-MAIN'!C:C,'Partner data'!DG201,'MY-REPORT-MAIN'!I:I,"Certified")</f>
        <v>0</v>
      </c>
      <c r="DJ201" s="20">
        <f>COUNTIFS(List_Of_chek_list!M:M,"&lt;&gt;26",List_Of_chek_list!B:B,'Partner data'!DG201)</f>
        <v>0</v>
      </c>
      <c r="DK201" s="20">
        <f t="shared" si="87"/>
        <v>0</v>
      </c>
      <c r="DL201" s="19" t="str">
        <f>IF(DH201="Tasso Forfettario 20%",SUMIFS(List_Of_chek_list!#REF!,List_Of_chek_list!B:B,'Partner data'!DG201),"NON PERTINENTE")</f>
        <v>NON PERTINENTE</v>
      </c>
      <c r="DM201" s="19" t="str">
        <f t="shared" si="88"/>
        <v>NON PERTINENTE</v>
      </c>
      <c r="DN201" s="110">
        <f>_xlfn.MAXIFS('MY-REPORT-MAIN'!K:K,'MY-REPORT-MAIN'!C:C,DG201)</f>
        <v>0</v>
      </c>
      <c r="DO201" s="112" t="str">
        <f>IF(_xlfn.MAXIFS('MY-REPORT-MAIN'!M:M,'MY-REPORT-MAIN'!C:C,DG201)=0,"Nessun rendiconto  Convalidato",_xlfn.MAXIFS('MY-REPORT-MAIN'!M:M,'MY-REPORT-MAIN'!C:C,DG201))</f>
        <v>Nessun rendiconto  Convalidato</v>
      </c>
      <c r="DP201" s="113" t="str" cm="1">
        <f t="array" ref="DP201">IFERROR(INDEX('MY-REPORT-MAIN'!A:Z,MATCH(1,(DO201='MY-REPORT-MAIN'!M:M)*('Partner data'!DG201='MY-REPORT-MAIN'!C:C),0),1),"NON è stato convalidato ancora nessun rendiconto")</f>
        <v>NON è stato convalidato ancora nessun rendiconto</v>
      </c>
      <c r="DQ201" s="111" t="str">
        <f>IFERROR(INDEX('MY-REPORT-MAIN'!A:Z,MATCH('Partner data'!DP201,'MY-REPORT-MAIN'!A:A,0),21),"Nessun Rendiconto ancora convalidato")</f>
        <v>Nessun Rendiconto ancora convalidato</v>
      </c>
      <c r="DR201" s="110" t="e">
        <f>INDEX('Interreg VI-A Italy-Slovenia_pr'!A:E,MATCH('Partner data'!C201,'Interreg VI-A Italy-Slovenia_pr'!A:A,0),3)</f>
        <v>#N/A</v>
      </c>
      <c r="DS201" s="118">
        <f t="shared" si="76"/>
        <v>40295</v>
      </c>
      <c r="DT201" s="118">
        <f t="shared" si="77"/>
        <v>78970</v>
      </c>
      <c r="DU201" s="118">
        <f t="shared" si="78"/>
        <v>121455</v>
      </c>
      <c r="DV201" s="118">
        <f t="shared" si="79"/>
        <v>162778.56</v>
      </c>
      <c r="DW201" s="118">
        <f t="shared" si="80"/>
        <v>162778.56</v>
      </c>
      <c r="DX201" s="118">
        <f t="shared" si="81"/>
        <v>162778.56</v>
      </c>
      <c r="DY201" s="118">
        <f t="shared" si="82"/>
        <v>162778.56</v>
      </c>
      <c r="DZ201" s="118">
        <f t="shared" si="83"/>
        <v>162778.56</v>
      </c>
      <c r="EA201" s="118">
        <f t="shared" si="84"/>
        <v>162778.56</v>
      </c>
      <c r="EB201" s="118">
        <f t="shared" si="85"/>
        <v>162778.56</v>
      </c>
    </row>
    <row r="202" spans="1:132" ht="45" x14ac:dyDescent="0.25">
      <c r="A202" s="121">
        <v>6</v>
      </c>
      <c r="B202" s="122" t="s">
        <v>2688</v>
      </c>
      <c r="C202" s="123" t="s">
        <v>3090</v>
      </c>
      <c r="D202" s="123" t="s">
        <v>3091</v>
      </c>
      <c r="E202" s="123" t="s">
        <v>3092</v>
      </c>
      <c r="F202" s="123" t="s">
        <v>490</v>
      </c>
      <c r="G202" s="123" t="s">
        <v>491</v>
      </c>
      <c r="H202" s="123" t="s">
        <v>691</v>
      </c>
      <c r="I202" s="123" t="s">
        <v>1044</v>
      </c>
      <c r="J202" s="124" t="s">
        <v>494</v>
      </c>
      <c r="K202" s="124" t="s">
        <v>495</v>
      </c>
      <c r="L202" s="124" t="s">
        <v>496</v>
      </c>
      <c r="M202" s="124" t="s">
        <v>286</v>
      </c>
      <c r="N202" s="124" t="s">
        <v>3093</v>
      </c>
      <c r="O202" s="124" t="s">
        <v>1160</v>
      </c>
      <c r="P202" s="124" t="s">
        <v>254</v>
      </c>
      <c r="Q202" s="124" t="s">
        <v>499</v>
      </c>
      <c r="R202" s="124" t="s">
        <v>273</v>
      </c>
      <c r="S202" s="32">
        <v>165762.23999999999</v>
      </c>
      <c r="T202" s="32">
        <v>80</v>
      </c>
      <c r="U202" s="32">
        <v>28.9</v>
      </c>
      <c r="V202" s="32">
        <v>0</v>
      </c>
      <c r="W202" s="32">
        <v>0</v>
      </c>
      <c r="X202" s="32">
        <v>0</v>
      </c>
      <c r="Y202" s="32">
        <v>0</v>
      </c>
      <c r="Z202" s="32">
        <v>0</v>
      </c>
      <c r="AA202" s="32">
        <v>0</v>
      </c>
      <c r="AB202" s="32">
        <v>0</v>
      </c>
      <c r="AC202" s="32">
        <v>0</v>
      </c>
      <c r="AD202" s="32">
        <v>0</v>
      </c>
      <c r="AE202" s="32">
        <v>0</v>
      </c>
      <c r="AF202" s="32">
        <v>0</v>
      </c>
      <c r="AG202" s="32">
        <v>0</v>
      </c>
      <c r="AH202" s="32">
        <v>0</v>
      </c>
      <c r="AI202" s="32">
        <v>0</v>
      </c>
      <c r="AJ202" s="32">
        <v>0</v>
      </c>
      <c r="AK202" s="32">
        <v>0</v>
      </c>
      <c r="AL202" s="32">
        <v>0</v>
      </c>
      <c r="AM202" s="32">
        <v>0</v>
      </c>
      <c r="AN202" s="32">
        <v>0</v>
      </c>
      <c r="AO202" s="32">
        <v>41440.559999999998</v>
      </c>
      <c r="AP202" s="32">
        <v>0</v>
      </c>
      <c r="AQ202" s="32">
        <v>41440.559999999998</v>
      </c>
      <c r="AR202" s="32">
        <v>207202.8</v>
      </c>
      <c r="AS202" s="32">
        <v>28.9</v>
      </c>
      <c r="AT202" s="32">
        <v>148002</v>
      </c>
      <c r="AU202" s="32">
        <v>0</v>
      </c>
      <c r="AV202" s="32">
        <v>148002</v>
      </c>
      <c r="AW202" s="32">
        <v>0</v>
      </c>
      <c r="AX202" s="32">
        <v>0</v>
      </c>
      <c r="AY202" s="32">
        <v>0</v>
      </c>
      <c r="AZ202" s="32">
        <v>0</v>
      </c>
      <c r="BA202" s="32">
        <v>0</v>
      </c>
      <c r="BB202" s="32">
        <v>0</v>
      </c>
      <c r="BC202" s="32">
        <v>0</v>
      </c>
      <c r="BD202" s="32">
        <v>0</v>
      </c>
      <c r="BE202" s="32">
        <v>0</v>
      </c>
      <c r="BF202" s="32">
        <v>0</v>
      </c>
      <c r="BG202" s="32">
        <v>0</v>
      </c>
      <c r="BH202" s="32">
        <v>0</v>
      </c>
      <c r="BI202" s="32">
        <v>0</v>
      </c>
      <c r="BJ202" s="32">
        <v>0</v>
      </c>
      <c r="BK202" s="32">
        <v>0</v>
      </c>
      <c r="BL202" s="32">
        <v>0</v>
      </c>
      <c r="BM202" s="32">
        <v>59200.800000000003</v>
      </c>
      <c r="BN202" s="32">
        <v>0</v>
      </c>
      <c r="BO202" s="32">
        <v>0</v>
      </c>
      <c r="BP202" s="32">
        <v>0</v>
      </c>
      <c r="BQ202" s="32">
        <v>33740.699999999997</v>
      </c>
      <c r="BR202" s="32">
        <v>57820.7</v>
      </c>
      <c r="BS202" s="32">
        <v>57820.7</v>
      </c>
      <c r="BT202" s="32">
        <v>57820.7</v>
      </c>
      <c r="BU202" s="32">
        <v>0</v>
      </c>
      <c r="BV202" s="32">
        <v>0</v>
      </c>
      <c r="BW202" s="32">
        <v>0</v>
      </c>
      <c r="BX202" s="32">
        <v>0</v>
      </c>
      <c r="BY202" s="32">
        <v>0</v>
      </c>
      <c r="BZ202" s="32">
        <v>0</v>
      </c>
      <c r="CA202" s="32">
        <v>0</v>
      </c>
      <c r="CB202" s="125" t="s">
        <v>3094</v>
      </c>
      <c r="CC202" s="125" t="s">
        <v>624</v>
      </c>
      <c r="CD202" s="125"/>
      <c r="CE202" s="125" t="s">
        <v>523</v>
      </c>
      <c r="CF202" s="125" t="s">
        <v>645</v>
      </c>
      <c r="CG202" s="125" t="s">
        <v>681</v>
      </c>
      <c r="CH202" s="125" t="s">
        <v>526</v>
      </c>
      <c r="CI202" s="125"/>
      <c r="CJ202" s="125" t="s">
        <v>212</v>
      </c>
      <c r="CK202" s="125" t="s">
        <v>660</v>
      </c>
      <c r="CL202" s="125" t="s">
        <v>212</v>
      </c>
      <c r="CM202" s="125"/>
      <c r="CN202" s="125" t="s">
        <v>254</v>
      </c>
      <c r="CO202" s="125" t="s">
        <v>273</v>
      </c>
      <c r="CP202" s="125" t="s">
        <v>731</v>
      </c>
      <c r="CQ202" s="125" t="s">
        <v>661</v>
      </c>
      <c r="CR202" s="125" t="s">
        <v>662</v>
      </c>
      <c r="CS202" s="125" t="s">
        <v>3032</v>
      </c>
      <c r="CT202" s="125" t="s">
        <v>254</v>
      </c>
      <c r="CU202" s="125" t="s">
        <v>273</v>
      </c>
      <c r="CV202" s="125" t="s">
        <v>1048</v>
      </c>
      <c r="CW202" s="125" t="s">
        <v>661</v>
      </c>
      <c r="CX202" s="125" t="s">
        <v>662</v>
      </c>
      <c r="CY202" s="125" t="s">
        <v>1049</v>
      </c>
      <c r="CZ202" s="125" t="s">
        <v>1050</v>
      </c>
      <c r="DA202" s="125" t="s">
        <v>1005</v>
      </c>
      <c r="DB202" s="125" t="s">
        <v>1051</v>
      </c>
      <c r="DC202" s="125" t="s">
        <v>2701</v>
      </c>
      <c r="DD202" s="125" t="s">
        <v>1008</v>
      </c>
      <c r="DE202" s="125" t="s">
        <v>2702</v>
      </c>
      <c r="DF202" s="126" t="s">
        <v>1055</v>
      </c>
      <c r="DG202" s="27" cm="1">
        <f t="array" ref="DG202">INDEX('elenco partner'!A:M,MATCH(1,(D202='elenco partner'!A:A)*('Partner data'!M202='elenco partner'!E:E),0),4)</f>
        <v>494</v>
      </c>
      <c r="DH202" s="83" t="str">
        <f t="shared" ref="DH202:DH226" si="89">IF(AU202&lt;&gt;0,"Tasso Forfettario 20%",IF(AV202&lt;&gt;0,"COSTO REALE",IF(AW202&lt;&gt;0,"Costo Unitario Standard","BL1 non presente")))</f>
        <v>COSTO REALE</v>
      </c>
      <c r="DI202" s="20">
        <f>COUNTIFS('MY-REPORT-MAIN'!C:C,'Partner data'!DG202,'MY-REPORT-MAIN'!I:I,"Certified")</f>
        <v>0</v>
      </c>
      <c r="DJ202" s="20">
        <f>COUNTIFS(List_Of_chek_list!M:M,"&lt;&gt;26",List_Of_chek_list!B:B,'Partner data'!DG202)</f>
        <v>0</v>
      </c>
      <c r="DK202" s="20">
        <f t="shared" ref="DK202:DK226" si="90">DI202-DJ202</f>
        <v>0</v>
      </c>
      <c r="DL202" s="19" t="str">
        <f>IF(DH202="Tasso Forfettario 20%",SUMIFS(List_Of_chek_list!#REF!,List_Of_chek_list!B:B,'Partner data'!DG202),"NON PERTINENTE")</f>
        <v>NON PERTINENTE</v>
      </c>
      <c r="DM202" s="19" t="str">
        <f t="shared" ref="DM202:DM226" si="91">IF(DL202="NON PERTINENTE","NON PERTINENTE",IF(DJ202=DL202,"Rischio basso","Rischio alto"))</f>
        <v>NON PERTINENTE</v>
      </c>
      <c r="DN202" s="110">
        <f>_xlfn.MAXIFS('MY-REPORT-MAIN'!K:K,'MY-REPORT-MAIN'!C:C,DG202)</f>
        <v>0</v>
      </c>
      <c r="DO202" s="112" t="str">
        <f>IF(_xlfn.MAXIFS('MY-REPORT-MAIN'!M:M,'MY-REPORT-MAIN'!C:C,DG202)=0,"Nessun rendiconto  Convalidato",_xlfn.MAXIFS('MY-REPORT-MAIN'!M:M,'MY-REPORT-MAIN'!C:C,DG202))</f>
        <v>Nessun rendiconto  Convalidato</v>
      </c>
      <c r="DP202" s="113" t="str" cm="1">
        <f t="array" ref="DP202">IFERROR(INDEX('MY-REPORT-MAIN'!A:Z,MATCH(1,(DO202='MY-REPORT-MAIN'!M:M)*('Partner data'!DG202='MY-REPORT-MAIN'!C:C),0),1),"NON è stato convalidato ancora nessun rendiconto")</f>
        <v>NON è stato convalidato ancora nessun rendiconto</v>
      </c>
      <c r="DQ202" s="111" t="str">
        <f>IFERROR(INDEX('MY-REPORT-MAIN'!A:Z,MATCH('Partner data'!DP202,'MY-REPORT-MAIN'!A:A,0),21),"Nessun Rendiconto ancora convalidato")</f>
        <v>Nessun Rendiconto ancora convalidato</v>
      </c>
      <c r="DR202" s="110">
        <f>INDEX('Interreg VI-A Italy-Slovenia_pr'!A:E,MATCH('Partner data'!C202,'Interreg VI-A Italy-Slovenia_pr'!A:A,0),3)</f>
        <v>45400</v>
      </c>
      <c r="DS202" s="118">
        <f t="shared" si="76"/>
        <v>33740.699999999997</v>
      </c>
      <c r="DT202" s="118">
        <f t="shared" si="77"/>
        <v>91561.4</v>
      </c>
      <c r="DU202" s="118">
        <f t="shared" si="78"/>
        <v>149382.09999999998</v>
      </c>
      <c r="DV202" s="118">
        <f t="shared" si="79"/>
        <v>207202.8</v>
      </c>
      <c r="DW202" s="118">
        <f t="shared" si="80"/>
        <v>207202.8</v>
      </c>
      <c r="DX202" s="118">
        <f t="shared" si="81"/>
        <v>207202.8</v>
      </c>
      <c r="DY202" s="118">
        <f t="shared" si="82"/>
        <v>207202.8</v>
      </c>
      <c r="DZ202" s="118">
        <f t="shared" si="83"/>
        <v>207202.8</v>
      </c>
      <c r="EA202" s="118">
        <f t="shared" si="84"/>
        <v>207202.8</v>
      </c>
      <c r="EB202" s="118">
        <f t="shared" si="85"/>
        <v>207202.8</v>
      </c>
    </row>
    <row r="203" spans="1:132" ht="45" x14ac:dyDescent="0.25">
      <c r="A203" s="121">
        <v>6</v>
      </c>
      <c r="B203" s="122" t="s">
        <v>2688</v>
      </c>
      <c r="C203" s="123" t="s">
        <v>3090</v>
      </c>
      <c r="D203" s="123" t="s">
        <v>3091</v>
      </c>
      <c r="E203" s="123" t="s">
        <v>3092</v>
      </c>
      <c r="F203" s="123" t="s">
        <v>490</v>
      </c>
      <c r="G203" s="123" t="s">
        <v>491</v>
      </c>
      <c r="H203" s="123" t="s">
        <v>691</v>
      </c>
      <c r="I203" s="123" t="s">
        <v>1044</v>
      </c>
      <c r="J203" s="124" t="s">
        <v>518</v>
      </c>
      <c r="K203" s="124" t="s">
        <v>495</v>
      </c>
      <c r="L203" s="124" t="s">
        <v>519</v>
      </c>
      <c r="M203" s="124" t="s">
        <v>3095</v>
      </c>
      <c r="N203" s="124" t="s">
        <v>3096</v>
      </c>
      <c r="O203" s="124" t="s">
        <v>3097</v>
      </c>
      <c r="P203" s="124" t="s">
        <v>254</v>
      </c>
      <c r="Q203" s="124" t="s">
        <v>499</v>
      </c>
      <c r="R203" s="124" t="s">
        <v>255</v>
      </c>
      <c r="S203" s="32">
        <v>138656</v>
      </c>
      <c r="T203" s="32">
        <v>80</v>
      </c>
      <c r="U203" s="32">
        <v>24.17</v>
      </c>
      <c r="V203" s="32">
        <v>0</v>
      </c>
      <c r="W203" s="32">
        <v>0</v>
      </c>
      <c r="X203" s="32">
        <v>0</v>
      </c>
      <c r="Y203" s="32">
        <v>0</v>
      </c>
      <c r="Z203" s="32">
        <v>0</v>
      </c>
      <c r="AA203" s="32">
        <v>0</v>
      </c>
      <c r="AB203" s="32">
        <v>0</v>
      </c>
      <c r="AC203" s="32">
        <v>0</v>
      </c>
      <c r="AD203" s="32">
        <v>0</v>
      </c>
      <c r="AE203" s="32">
        <v>0</v>
      </c>
      <c r="AF203" s="32">
        <v>0</v>
      </c>
      <c r="AG203" s="32">
        <v>0</v>
      </c>
      <c r="AH203" s="32">
        <v>0</v>
      </c>
      <c r="AI203" s="32">
        <v>0</v>
      </c>
      <c r="AJ203" s="32">
        <v>0</v>
      </c>
      <c r="AK203" s="32">
        <v>0</v>
      </c>
      <c r="AL203" s="32">
        <v>0</v>
      </c>
      <c r="AM203" s="32">
        <v>0</v>
      </c>
      <c r="AN203" s="32">
        <v>0</v>
      </c>
      <c r="AO203" s="32">
        <v>34664</v>
      </c>
      <c r="AP203" s="32">
        <v>0</v>
      </c>
      <c r="AQ203" s="32">
        <v>34664</v>
      </c>
      <c r="AR203" s="32">
        <v>173320</v>
      </c>
      <c r="AS203" s="32">
        <v>24.17</v>
      </c>
      <c r="AT203" s="32">
        <v>28000</v>
      </c>
      <c r="AU203" s="32">
        <v>28000</v>
      </c>
      <c r="AV203" s="32">
        <v>0</v>
      </c>
      <c r="AW203" s="32">
        <v>0</v>
      </c>
      <c r="AX203" s="32">
        <v>4200</v>
      </c>
      <c r="AY203" s="32">
        <v>4200</v>
      </c>
      <c r="AZ203" s="32">
        <v>1120</v>
      </c>
      <c r="BA203" s="32">
        <v>1120</v>
      </c>
      <c r="BB203" s="32">
        <v>0</v>
      </c>
      <c r="BC203" s="32">
        <v>0</v>
      </c>
      <c r="BD203" s="32">
        <v>140000</v>
      </c>
      <c r="BE203" s="32">
        <v>140000</v>
      </c>
      <c r="BF203" s="32">
        <v>0</v>
      </c>
      <c r="BG203" s="32">
        <v>0</v>
      </c>
      <c r="BH203" s="32">
        <v>0</v>
      </c>
      <c r="BI203" s="32">
        <v>0</v>
      </c>
      <c r="BJ203" s="32">
        <v>0</v>
      </c>
      <c r="BK203" s="32">
        <v>0</v>
      </c>
      <c r="BL203" s="32">
        <v>0</v>
      </c>
      <c r="BM203" s="32">
        <v>0</v>
      </c>
      <c r="BN203" s="32">
        <v>0</v>
      </c>
      <c r="BO203" s="32">
        <v>0</v>
      </c>
      <c r="BP203" s="32">
        <v>0</v>
      </c>
      <c r="BQ203" s="32">
        <v>43330</v>
      </c>
      <c r="BR203" s="32">
        <v>43330</v>
      </c>
      <c r="BS203" s="32">
        <v>43330</v>
      </c>
      <c r="BT203" s="32">
        <v>43330</v>
      </c>
      <c r="BU203" s="32">
        <v>0</v>
      </c>
      <c r="BV203" s="32">
        <v>0</v>
      </c>
      <c r="BW203" s="32">
        <v>0</v>
      </c>
      <c r="BX203" s="32">
        <v>0</v>
      </c>
      <c r="BY203" s="32">
        <v>0</v>
      </c>
      <c r="BZ203" s="32">
        <v>0</v>
      </c>
      <c r="CA203" s="32">
        <v>0</v>
      </c>
      <c r="CB203" s="125" t="s">
        <v>3098</v>
      </c>
      <c r="CC203" s="125" t="s">
        <v>522</v>
      </c>
      <c r="CD203" s="125"/>
      <c r="CE203" s="125" t="s">
        <v>523</v>
      </c>
      <c r="CF203" s="125" t="s">
        <v>2301</v>
      </c>
      <c r="CG203" s="125" t="s">
        <v>608</v>
      </c>
      <c r="CH203" s="125" t="s">
        <v>526</v>
      </c>
      <c r="CI203" s="125" t="s">
        <v>2378</v>
      </c>
      <c r="CJ203" s="125" t="s">
        <v>3099</v>
      </c>
      <c r="CK203" s="125"/>
      <c r="CL203" s="125" t="s">
        <v>212</v>
      </c>
      <c r="CM203" s="125"/>
      <c r="CN203" s="125" t="s">
        <v>254</v>
      </c>
      <c r="CO203" s="125" t="s">
        <v>255</v>
      </c>
      <c r="CP203" s="125" t="s">
        <v>2905</v>
      </c>
      <c r="CQ203" s="125" t="s">
        <v>611</v>
      </c>
      <c r="CR203" s="125" t="s">
        <v>529</v>
      </c>
      <c r="CS203" s="125" t="s">
        <v>1803</v>
      </c>
      <c r="CT203" s="125" t="s">
        <v>254</v>
      </c>
      <c r="CU203" s="125" t="s">
        <v>273</v>
      </c>
      <c r="CV203" s="125" t="s">
        <v>3100</v>
      </c>
      <c r="CW203" s="125" t="s">
        <v>661</v>
      </c>
      <c r="CX203" s="125" t="s">
        <v>662</v>
      </c>
      <c r="CY203" s="125" t="s">
        <v>3101</v>
      </c>
      <c r="CZ203" s="125" t="s">
        <v>1611</v>
      </c>
      <c r="DA203" s="125" t="s">
        <v>3102</v>
      </c>
      <c r="DB203" s="125" t="s">
        <v>3101</v>
      </c>
      <c r="DC203" s="125" t="s">
        <v>1611</v>
      </c>
      <c r="DD203" s="125" t="s">
        <v>3102</v>
      </c>
      <c r="DE203" s="125" t="s">
        <v>3103</v>
      </c>
      <c r="DF203" s="126" t="s">
        <v>3104</v>
      </c>
      <c r="DG203" s="27" cm="1">
        <f t="array" ref="DG203">INDEX('elenco partner'!A:M,MATCH(1,(D203='elenco partner'!A:A)*('Partner data'!M203='elenco partner'!E:E),0),4)</f>
        <v>620</v>
      </c>
      <c r="DH203" s="83" t="str">
        <f t="shared" si="89"/>
        <v>Tasso Forfettario 20%</v>
      </c>
      <c r="DI203" s="20">
        <f>COUNTIFS('MY-REPORT-MAIN'!C:C,'Partner data'!DG203,'MY-REPORT-MAIN'!I:I,"Certified")</f>
        <v>0</v>
      </c>
      <c r="DJ203" s="20">
        <f>COUNTIFS(List_Of_chek_list!M:M,"&lt;&gt;26",List_Of_chek_list!B:B,'Partner data'!DG203)</f>
        <v>0</v>
      </c>
      <c r="DK203" s="20">
        <f t="shared" si="90"/>
        <v>0</v>
      </c>
      <c r="DL203" s="19" t="e">
        <f>IF(DH203="Tasso Forfettario 20%",SUMIFS(List_Of_chek_list!#REF!,List_Of_chek_list!B:B,'Partner data'!DG203),"NON PERTINENTE")</f>
        <v>#REF!</v>
      </c>
      <c r="DM203" s="19" t="e">
        <f t="shared" si="91"/>
        <v>#REF!</v>
      </c>
      <c r="DN203" s="110">
        <f>_xlfn.MAXIFS('MY-REPORT-MAIN'!K:K,'MY-REPORT-MAIN'!C:C,DG203)</f>
        <v>0</v>
      </c>
      <c r="DO203" s="112" t="str">
        <f>IF(_xlfn.MAXIFS('MY-REPORT-MAIN'!M:M,'MY-REPORT-MAIN'!C:C,DG203)=0,"Nessun rendiconto  Convalidato",_xlfn.MAXIFS('MY-REPORT-MAIN'!M:M,'MY-REPORT-MAIN'!C:C,DG203))</f>
        <v>Nessun rendiconto  Convalidato</v>
      </c>
      <c r="DP203" s="113" t="str" cm="1">
        <f t="array" ref="DP203">IFERROR(INDEX('MY-REPORT-MAIN'!A:Z,MATCH(1,(DO203='MY-REPORT-MAIN'!M:M)*('Partner data'!DG203='MY-REPORT-MAIN'!C:C),0),1),"NON è stato convalidato ancora nessun rendiconto")</f>
        <v>NON è stato convalidato ancora nessun rendiconto</v>
      </c>
      <c r="DQ203" s="111" t="str">
        <f>IFERROR(INDEX('MY-REPORT-MAIN'!A:Z,MATCH('Partner data'!DP203,'MY-REPORT-MAIN'!A:A,0),21),"Nessun Rendiconto ancora convalidato")</f>
        <v>Nessun Rendiconto ancora convalidato</v>
      </c>
      <c r="DR203" s="110">
        <f>INDEX('Interreg VI-A Italy-Slovenia_pr'!A:E,MATCH('Partner data'!C203,'Interreg VI-A Italy-Slovenia_pr'!A:A,0),3)</f>
        <v>45400</v>
      </c>
      <c r="DS203" s="118">
        <f t="shared" si="76"/>
        <v>43330</v>
      </c>
      <c r="DT203" s="118">
        <f t="shared" si="77"/>
        <v>86660</v>
      </c>
      <c r="DU203" s="118">
        <f t="shared" si="78"/>
        <v>129990</v>
      </c>
      <c r="DV203" s="118">
        <f t="shared" si="79"/>
        <v>173320</v>
      </c>
      <c r="DW203" s="118">
        <f t="shared" si="80"/>
        <v>173320</v>
      </c>
      <c r="DX203" s="118">
        <f t="shared" si="81"/>
        <v>173320</v>
      </c>
      <c r="DY203" s="118">
        <f t="shared" si="82"/>
        <v>173320</v>
      </c>
      <c r="DZ203" s="118">
        <f t="shared" si="83"/>
        <v>173320</v>
      </c>
      <c r="EA203" s="118">
        <f t="shared" si="84"/>
        <v>173320</v>
      </c>
      <c r="EB203" s="118">
        <f t="shared" si="85"/>
        <v>173320</v>
      </c>
    </row>
    <row r="204" spans="1:132" ht="45" x14ac:dyDescent="0.25">
      <c r="A204" s="121">
        <v>6</v>
      </c>
      <c r="B204" s="122" t="s">
        <v>2688</v>
      </c>
      <c r="C204" s="123" t="s">
        <v>3090</v>
      </c>
      <c r="D204" s="123" t="s">
        <v>3091</v>
      </c>
      <c r="E204" s="123" t="s">
        <v>3092</v>
      </c>
      <c r="F204" s="123" t="s">
        <v>490</v>
      </c>
      <c r="G204" s="123" t="s">
        <v>491</v>
      </c>
      <c r="H204" s="123" t="s">
        <v>691</v>
      </c>
      <c r="I204" s="123" t="s">
        <v>1044</v>
      </c>
      <c r="J204" s="124" t="s">
        <v>538</v>
      </c>
      <c r="K204" s="124" t="s">
        <v>495</v>
      </c>
      <c r="L204" s="124" t="s">
        <v>519</v>
      </c>
      <c r="M204" s="124" t="s">
        <v>321</v>
      </c>
      <c r="N204" s="124" t="s">
        <v>1565</v>
      </c>
      <c r="O204" s="124" t="s">
        <v>2412</v>
      </c>
      <c r="P204" s="124" t="s">
        <v>257</v>
      </c>
      <c r="Q204" s="124" t="s">
        <v>556</v>
      </c>
      <c r="R204" s="124" t="s">
        <v>270</v>
      </c>
      <c r="S204" s="32">
        <v>133947.32999999999</v>
      </c>
      <c r="T204" s="32">
        <v>80</v>
      </c>
      <c r="U204" s="32">
        <v>23.35</v>
      </c>
      <c r="V204" s="32">
        <v>0</v>
      </c>
      <c r="W204" s="32">
        <v>0</v>
      </c>
      <c r="X204" s="32">
        <v>0</v>
      </c>
      <c r="Y204" s="32">
        <v>0</v>
      </c>
      <c r="Z204" s="32">
        <v>0</v>
      </c>
      <c r="AA204" s="32">
        <v>0</v>
      </c>
      <c r="AB204" s="32">
        <v>0</v>
      </c>
      <c r="AC204" s="32">
        <v>0</v>
      </c>
      <c r="AD204" s="32">
        <v>0</v>
      </c>
      <c r="AE204" s="32">
        <v>0</v>
      </c>
      <c r="AF204" s="32">
        <v>0</v>
      </c>
      <c r="AG204" s="32">
        <v>0</v>
      </c>
      <c r="AH204" s="32">
        <v>0</v>
      </c>
      <c r="AI204" s="32">
        <v>0</v>
      </c>
      <c r="AJ204" s="32">
        <v>0</v>
      </c>
      <c r="AK204" s="32">
        <v>0</v>
      </c>
      <c r="AL204" s="32">
        <v>0</v>
      </c>
      <c r="AM204" s="32">
        <v>0</v>
      </c>
      <c r="AN204" s="32">
        <v>33486.839999999997</v>
      </c>
      <c r="AO204" s="32">
        <v>0</v>
      </c>
      <c r="AP204" s="32">
        <v>0</v>
      </c>
      <c r="AQ204" s="32">
        <v>33486.839999999997</v>
      </c>
      <c r="AR204" s="32">
        <v>167434.17000000001</v>
      </c>
      <c r="AS204" s="32">
        <v>23.35</v>
      </c>
      <c r="AT204" s="32">
        <v>119595.84</v>
      </c>
      <c r="AU204" s="32">
        <v>0</v>
      </c>
      <c r="AV204" s="32">
        <v>119595.84</v>
      </c>
      <c r="AW204" s="32">
        <v>0</v>
      </c>
      <c r="AX204" s="32">
        <v>0</v>
      </c>
      <c r="AY204" s="32">
        <v>0</v>
      </c>
      <c r="AZ204" s="32">
        <v>0</v>
      </c>
      <c r="BA204" s="32">
        <v>0</v>
      </c>
      <c r="BB204" s="32">
        <v>0</v>
      </c>
      <c r="BC204" s="32">
        <v>0</v>
      </c>
      <c r="BD204" s="32">
        <v>0</v>
      </c>
      <c r="BE204" s="32">
        <v>0</v>
      </c>
      <c r="BF204" s="32">
        <v>0</v>
      </c>
      <c r="BG204" s="32">
        <v>0</v>
      </c>
      <c r="BH204" s="32">
        <v>0</v>
      </c>
      <c r="BI204" s="32">
        <v>0</v>
      </c>
      <c r="BJ204" s="32">
        <v>0</v>
      </c>
      <c r="BK204" s="32">
        <v>0</v>
      </c>
      <c r="BL204" s="32">
        <v>0</v>
      </c>
      <c r="BM204" s="32">
        <v>47838.33</v>
      </c>
      <c r="BN204" s="32">
        <v>0</v>
      </c>
      <c r="BO204" s="32">
        <v>0</v>
      </c>
      <c r="BP204" s="32">
        <v>0</v>
      </c>
      <c r="BQ204" s="32">
        <v>41858.54</v>
      </c>
      <c r="BR204" s="32">
        <v>41858.54</v>
      </c>
      <c r="BS204" s="32">
        <v>41858.54</v>
      </c>
      <c r="BT204" s="32">
        <v>41858.550000000003</v>
      </c>
      <c r="BU204" s="32">
        <v>0</v>
      </c>
      <c r="BV204" s="32">
        <v>0</v>
      </c>
      <c r="BW204" s="32">
        <v>0</v>
      </c>
      <c r="BX204" s="32">
        <v>0</v>
      </c>
      <c r="BY204" s="32">
        <v>0</v>
      </c>
      <c r="BZ204" s="32">
        <v>0</v>
      </c>
      <c r="CA204" s="32">
        <v>0</v>
      </c>
      <c r="CB204" s="125" t="s">
        <v>3105</v>
      </c>
      <c r="CC204" s="125" t="s">
        <v>743</v>
      </c>
      <c r="CD204" s="125"/>
      <c r="CE204" s="125" t="s">
        <v>684</v>
      </c>
      <c r="CF204" s="125" t="s">
        <v>685</v>
      </c>
      <c r="CG204" s="125" t="s">
        <v>1567</v>
      </c>
      <c r="CH204" s="125" t="s">
        <v>526</v>
      </c>
      <c r="CI204" s="125"/>
      <c r="CJ204" s="125" t="s">
        <v>212</v>
      </c>
      <c r="CK204" s="125" t="s">
        <v>1568</v>
      </c>
      <c r="CL204" s="125" t="s">
        <v>212</v>
      </c>
      <c r="CM204" s="125"/>
      <c r="CN204" s="125" t="s">
        <v>257</v>
      </c>
      <c r="CO204" s="125" t="s">
        <v>270</v>
      </c>
      <c r="CP204" s="125" t="s">
        <v>3106</v>
      </c>
      <c r="CQ204" s="125" t="s">
        <v>710</v>
      </c>
      <c r="CR204" s="125" t="s">
        <v>650</v>
      </c>
      <c r="CS204" s="125" t="s">
        <v>2785</v>
      </c>
      <c r="CT204" s="125" t="s">
        <v>257</v>
      </c>
      <c r="CU204" s="125" t="s">
        <v>270</v>
      </c>
      <c r="CV204" s="125" t="s">
        <v>3106</v>
      </c>
      <c r="CW204" s="125" t="s">
        <v>710</v>
      </c>
      <c r="CX204" s="125" t="s">
        <v>650</v>
      </c>
      <c r="CY204" s="125" t="s">
        <v>212</v>
      </c>
      <c r="CZ204" s="125" t="s">
        <v>1571</v>
      </c>
      <c r="DA204" s="125" t="s">
        <v>1572</v>
      </c>
      <c r="DB204" s="125" t="s">
        <v>212</v>
      </c>
      <c r="DC204" s="125" t="s">
        <v>1030</v>
      </c>
      <c r="DD204" s="125" t="s">
        <v>3107</v>
      </c>
      <c r="DE204" s="125" t="s">
        <v>3108</v>
      </c>
      <c r="DF204" s="126" t="s">
        <v>3109</v>
      </c>
      <c r="DG204" s="27" cm="1">
        <f t="array" ref="DG204">INDEX('elenco partner'!A:M,MATCH(1,(D204='elenco partner'!A:A)*('Partner data'!M204='elenco partner'!E:E),0),4)</f>
        <v>623</v>
      </c>
      <c r="DH204" s="83" t="str">
        <f t="shared" si="89"/>
        <v>COSTO REALE</v>
      </c>
      <c r="DI204" s="20">
        <f>COUNTIFS('MY-REPORT-MAIN'!C:C,'Partner data'!DG204,'MY-REPORT-MAIN'!I:I,"Certified")</f>
        <v>0</v>
      </c>
      <c r="DJ204" s="20">
        <f>COUNTIFS(List_Of_chek_list!M:M,"&lt;&gt;26",List_Of_chek_list!B:B,'Partner data'!DG204)</f>
        <v>0</v>
      </c>
      <c r="DK204" s="20">
        <f t="shared" si="90"/>
        <v>0</v>
      </c>
      <c r="DL204" s="19" t="str">
        <f>IF(DH204="Tasso Forfettario 20%",SUMIFS(List_Of_chek_list!#REF!,List_Of_chek_list!B:B,'Partner data'!DG204),"NON PERTINENTE")</f>
        <v>NON PERTINENTE</v>
      </c>
      <c r="DM204" s="19" t="str">
        <f t="shared" si="91"/>
        <v>NON PERTINENTE</v>
      </c>
      <c r="DN204" s="110">
        <f>_xlfn.MAXIFS('MY-REPORT-MAIN'!K:K,'MY-REPORT-MAIN'!C:C,DG204)</f>
        <v>0</v>
      </c>
      <c r="DO204" s="112" t="str">
        <f>IF(_xlfn.MAXIFS('MY-REPORT-MAIN'!M:M,'MY-REPORT-MAIN'!C:C,DG204)=0,"Nessun rendiconto  Convalidato",_xlfn.MAXIFS('MY-REPORT-MAIN'!M:M,'MY-REPORT-MAIN'!C:C,DG204))</f>
        <v>Nessun rendiconto  Convalidato</v>
      </c>
      <c r="DP204" s="113" t="str" cm="1">
        <f t="array" ref="DP204">IFERROR(INDEX('MY-REPORT-MAIN'!A:Z,MATCH(1,(DO204='MY-REPORT-MAIN'!M:M)*('Partner data'!DG204='MY-REPORT-MAIN'!C:C),0),1),"NON è stato convalidato ancora nessun rendiconto")</f>
        <v>NON è stato convalidato ancora nessun rendiconto</v>
      </c>
      <c r="DQ204" s="111" t="str">
        <f>IFERROR(INDEX('MY-REPORT-MAIN'!A:Z,MATCH('Partner data'!DP204,'MY-REPORT-MAIN'!A:A,0),21),"Nessun Rendiconto ancora convalidato")</f>
        <v>Nessun Rendiconto ancora convalidato</v>
      </c>
      <c r="DR204" s="110">
        <f>INDEX('Interreg VI-A Italy-Slovenia_pr'!A:E,MATCH('Partner data'!C204,'Interreg VI-A Italy-Slovenia_pr'!A:A,0),3)</f>
        <v>45400</v>
      </c>
      <c r="DS204" s="118">
        <f t="shared" si="76"/>
        <v>41858.54</v>
      </c>
      <c r="DT204" s="118">
        <f t="shared" si="77"/>
        <v>83717.08</v>
      </c>
      <c r="DU204" s="118">
        <f t="shared" si="78"/>
        <v>125575.62</v>
      </c>
      <c r="DV204" s="118">
        <f t="shared" si="79"/>
        <v>167434.16999999998</v>
      </c>
      <c r="DW204" s="118">
        <f t="shared" si="80"/>
        <v>167434.16999999998</v>
      </c>
      <c r="DX204" s="118">
        <f t="shared" si="81"/>
        <v>167434.16999999998</v>
      </c>
      <c r="DY204" s="118">
        <f t="shared" si="82"/>
        <v>167434.16999999998</v>
      </c>
      <c r="DZ204" s="118">
        <f t="shared" si="83"/>
        <v>167434.16999999998</v>
      </c>
      <c r="EA204" s="118">
        <f t="shared" si="84"/>
        <v>167434.16999999998</v>
      </c>
      <c r="EB204" s="118">
        <f t="shared" si="85"/>
        <v>167434.16999999998</v>
      </c>
    </row>
    <row r="205" spans="1:132" ht="45" x14ac:dyDescent="0.25">
      <c r="A205" s="121">
        <v>6</v>
      </c>
      <c r="B205" s="122" t="s">
        <v>2688</v>
      </c>
      <c r="C205" s="123" t="s">
        <v>3090</v>
      </c>
      <c r="D205" s="123" t="s">
        <v>3091</v>
      </c>
      <c r="E205" s="123" t="s">
        <v>3092</v>
      </c>
      <c r="F205" s="123" t="s">
        <v>490</v>
      </c>
      <c r="G205" s="123" t="s">
        <v>491</v>
      </c>
      <c r="H205" s="123" t="s">
        <v>691</v>
      </c>
      <c r="I205" s="123" t="s">
        <v>1044</v>
      </c>
      <c r="J205" s="124" t="s">
        <v>554</v>
      </c>
      <c r="K205" s="124" t="s">
        <v>495</v>
      </c>
      <c r="L205" s="124" t="s">
        <v>519</v>
      </c>
      <c r="M205" s="124" t="s">
        <v>752</v>
      </c>
      <c r="N205" s="124" t="s">
        <v>753</v>
      </c>
      <c r="O205" s="124" t="s">
        <v>644</v>
      </c>
      <c r="P205" s="124" t="s">
        <v>257</v>
      </c>
      <c r="Q205" s="124" t="s">
        <v>556</v>
      </c>
      <c r="R205" s="124" t="s">
        <v>258</v>
      </c>
      <c r="S205" s="32">
        <v>135310.32999999999</v>
      </c>
      <c r="T205" s="32">
        <v>80</v>
      </c>
      <c r="U205" s="32">
        <v>23.59</v>
      </c>
      <c r="V205" s="32">
        <v>0</v>
      </c>
      <c r="W205" s="32">
        <v>0</v>
      </c>
      <c r="X205" s="32">
        <v>0</v>
      </c>
      <c r="Y205" s="32">
        <v>0</v>
      </c>
      <c r="Z205" s="32">
        <v>0</v>
      </c>
      <c r="AA205" s="32">
        <v>0</v>
      </c>
      <c r="AB205" s="32">
        <v>0</v>
      </c>
      <c r="AC205" s="32">
        <v>0</v>
      </c>
      <c r="AD205" s="32">
        <v>0</v>
      </c>
      <c r="AE205" s="32">
        <v>0</v>
      </c>
      <c r="AF205" s="32">
        <v>0</v>
      </c>
      <c r="AG205" s="32">
        <v>0</v>
      </c>
      <c r="AH205" s="32">
        <v>0</v>
      </c>
      <c r="AI205" s="32">
        <v>0</v>
      </c>
      <c r="AJ205" s="32">
        <v>0</v>
      </c>
      <c r="AK205" s="32">
        <v>0</v>
      </c>
      <c r="AL205" s="32">
        <v>0</v>
      </c>
      <c r="AM205" s="32">
        <v>0</v>
      </c>
      <c r="AN205" s="32">
        <v>33827.589999999997</v>
      </c>
      <c r="AO205" s="32">
        <v>0</v>
      </c>
      <c r="AP205" s="32">
        <v>0</v>
      </c>
      <c r="AQ205" s="32">
        <v>33827.589999999997</v>
      </c>
      <c r="AR205" s="32">
        <v>169137.92000000001</v>
      </c>
      <c r="AS205" s="32">
        <v>23.59</v>
      </c>
      <c r="AT205" s="32">
        <v>120812.8</v>
      </c>
      <c r="AU205" s="32">
        <v>0</v>
      </c>
      <c r="AV205" s="32">
        <v>120812.8</v>
      </c>
      <c r="AW205" s="32">
        <v>0</v>
      </c>
      <c r="AX205" s="32">
        <v>0</v>
      </c>
      <c r="AY205" s="32">
        <v>0</v>
      </c>
      <c r="AZ205" s="32">
        <v>0</v>
      </c>
      <c r="BA205" s="32">
        <v>0</v>
      </c>
      <c r="BB205" s="32">
        <v>0</v>
      </c>
      <c r="BC205" s="32">
        <v>0</v>
      </c>
      <c r="BD205" s="32">
        <v>0</v>
      </c>
      <c r="BE205" s="32">
        <v>0</v>
      </c>
      <c r="BF205" s="32">
        <v>0</v>
      </c>
      <c r="BG205" s="32">
        <v>0</v>
      </c>
      <c r="BH205" s="32">
        <v>0</v>
      </c>
      <c r="BI205" s="32">
        <v>0</v>
      </c>
      <c r="BJ205" s="32">
        <v>0</v>
      </c>
      <c r="BK205" s="32">
        <v>0</v>
      </c>
      <c r="BL205" s="32">
        <v>0</v>
      </c>
      <c r="BM205" s="32">
        <v>48325.120000000003</v>
      </c>
      <c r="BN205" s="32">
        <v>0</v>
      </c>
      <c r="BO205" s="32">
        <v>0</v>
      </c>
      <c r="BP205" s="32">
        <v>0</v>
      </c>
      <c r="BQ205" s="32">
        <v>42284.480000000003</v>
      </c>
      <c r="BR205" s="32">
        <v>42284.480000000003</v>
      </c>
      <c r="BS205" s="32">
        <v>42284.480000000003</v>
      </c>
      <c r="BT205" s="32">
        <v>42284.480000000003</v>
      </c>
      <c r="BU205" s="32">
        <v>0</v>
      </c>
      <c r="BV205" s="32">
        <v>0</v>
      </c>
      <c r="BW205" s="32">
        <v>0</v>
      </c>
      <c r="BX205" s="32">
        <v>0</v>
      </c>
      <c r="BY205" s="32">
        <v>0</v>
      </c>
      <c r="BZ205" s="32">
        <v>0</v>
      </c>
      <c r="CA205" s="32">
        <v>0</v>
      </c>
      <c r="CB205" s="125" t="s">
        <v>3110</v>
      </c>
      <c r="CC205" s="125" t="s">
        <v>624</v>
      </c>
      <c r="CD205" s="125"/>
      <c r="CE205" s="125" t="s">
        <v>523</v>
      </c>
      <c r="CF205" s="125" t="s">
        <v>645</v>
      </c>
      <c r="CG205" s="125" t="s">
        <v>3111</v>
      </c>
      <c r="CH205" s="125" t="s">
        <v>526</v>
      </c>
      <c r="CI205" s="125"/>
      <c r="CJ205" s="125" t="s">
        <v>212</v>
      </c>
      <c r="CK205" s="125" t="s">
        <v>647</v>
      </c>
      <c r="CL205" s="125" t="s">
        <v>212</v>
      </c>
      <c r="CM205" s="125"/>
      <c r="CN205" s="125" t="s">
        <v>257</v>
      </c>
      <c r="CO205" s="125" t="s">
        <v>258</v>
      </c>
      <c r="CP205" s="125" t="s">
        <v>2870</v>
      </c>
      <c r="CQ205" s="125" t="s">
        <v>620</v>
      </c>
      <c r="CR205" s="125" t="s">
        <v>621</v>
      </c>
      <c r="CS205" s="125" t="s">
        <v>1859</v>
      </c>
      <c r="CT205" s="125" t="s">
        <v>257</v>
      </c>
      <c r="CU205" s="125" t="s">
        <v>258</v>
      </c>
      <c r="CV205" s="125" t="s">
        <v>2870</v>
      </c>
      <c r="CW205" s="125" t="s">
        <v>620</v>
      </c>
      <c r="CX205" s="125" t="s">
        <v>621</v>
      </c>
      <c r="CY205" s="125" t="s">
        <v>1179</v>
      </c>
      <c r="CZ205" s="125" t="s">
        <v>651</v>
      </c>
      <c r="DA205" s="125" t="s">
        <v>652</v>
      </c>
      <c r="DB205" s="125" t="s">
        <v>1141</v>
      </c>
      <c r="DC205" s="125" t="s">
        <v>2307</v>
      </c>
      <c r="DD205" s="125" t="s">
        <v>3112</v>
      </c>
      <c r="DE205" s="125" t="s">
        <v>3113</v>
      </c>
      <c r="DF205" s="126" t="s">
        <v>3114</v>
      </c>
      <c r="DG205" s="27" cm="1">
        <f t="array" ref="DG205">INDEX('elenco partner'!A:M,MATCH(1,(D205='elenco partner'!A:A)*('Partner data'!M205='elenco partner'!E:E),0),4)</f>
        <v>625</v>
      </c>
      <c r="DH205" s="83" t="str">
        <f t="shared" si="89"/>
        <v>COSTO REALE</v>
      </c>
      <c r="DI205" s="20">
        <f>COUNTIFS('MY-REPORT-MAIN'!C:C,'Partner data'!DG205,'MY-REPORT-MAIN'!I:I,"Certified")</f>
        <v>0</v>
      </c>
      <c r="DJ205" s="20">
        <f>COUNTIFS(List_Of_chek_list!M:M,"&lt;&gt;26",List_Of_chek_list!B:B,'Partner data'!DG205)</f>
        <v>0</v>
      </c>
      <c r="DK205" s="20">
        <f t="shared" si="90"/>
        <v>0</v>
      </c>
      <c r="DL205" s="19" t="str">
        <f>IF(DH205="Tasso Forfettario 20%",SUMIFS(List_Of_chek_list!#REF!,List_Of_chek_list!B:B,'Partner data'!DG205),"NON PERTINENTE")</f>
        <v>NON PERTINENTE</v>
      </c>
      <c r="DM205" s="19" t="str">
        <f t="shared" si="91"/>
        <v>NON PERTINENTE</v>
      </c>
      <c r="DN205" s="110">
        <f>_xlfn.MAXIFS('MY-REPORT-MAIN'!K:K,'MY-REPORT-MAIN'!C:C,DG205)</f>
        <v>0</v>
      </c>
      <c r="DO205" s="112" t="str">
        <f>IF(_xlfn.MAXIFS('MY-REPORT-MAIN'!M:M,'MY-REPORT-MAIN'!C:C,DG205)=0,"Nessun rendiconto  Convalidato",_xlfn.MAXIFS('MY-REPORT-MAIN'!M:M,'MY-REPORT-MAIN'!C:C,DG205))</f>
        <v>Nessun rendiconto  Convalidato</v>
      </c>
      <c r="DP205" s="113" t="str" cm="1">
        <f t="array" ref="DP205">IFERROR(INDEX('MY-REPORT-MAIN'!A:Z,MATCH(1,(DO205='MY-REPORT-MAIN'!M:M)*('Partner data'!DG205='MY-REPORT-MAIN'!C:C),0),1),"NON è stato convalidato ancora nessun rendiconto")</f>
        <v>NON è stato convalidato ancora nessun rendiconto</v>
      </c>
      <c r="DQ205" s="111" t="str">
        <f>IFERROR(INDEX('MY-REPORT-MAIN'!A:Z,MATCH('Partner data'!DP205,'MY-REPORT-MAIN'!A:A,0),21),"Nessun Rendiconto ancora convalidato")</f>
        <v>Nessun Rendiconto ancora convalidato</v>
      </c>
      <c r="DR205" s="110">
        <f>INDEX('Interreg VI-A Italy-Slovenia_pr'!A:E,MATCH('Partner data'!C205,'Interreg VI-A Italy-Slovenia_pr'!A:A,0),3)</f>
        <v>45400</v>
      </c>
      <c r="DS205" s="118">
        <f t="shared" si="76"/>
        <v>42284.480000000003</v>
      </c>
      <c r="DT205" s="118">
        <f t="shared" si="77"/>
        <v>84568.960000000006</v>
      </c>
      <c r="DU205" s="118">
        <f t="shared" si="78"/>
        <v>126853.44</v>
      </c>
      <c r="DV205" s="118">
        <f t="shared" si="79"/>
        <v>169137.92000000001</v>
      </c>
      <c r="DW205" s="118">
        <f t="shared" si="80"/>
        <v>169137.92000000001</v>
      </c>
      <c r="DX205" s="118">
        <f t="shared" si="81"/>
        <v>169137.92000000001</v>
      </c>
      <c r="DY205" s="118">
        <f t="shared" si="82"/>
        <v>169137.92000000001</v>
      </c>
      <c r="DZ205" s="118">
        <f t="shared" si="83"/>
        <v>169137.92000000001</v>
      </c>
      <c r="EA205" s="118">
        <f t="shared" si="84"/>
        <v>169137.92000000001</v>
      </c>
      <c r="EB205" s="118">
        <f t="shared" si="85"/>
        <v>169137.92000000001</v>
      </c>
    </row>
    <row r="206" spans="1:132" ht="45" x14ac:dyDescent="0.25">
      <c r="A206" s="121">
        <v>6</v>
      </c>
      <c r="B206" s="122" t="s">
        <v>2688</v>
      </c>
      <c r="C206" s="123" t="s">
        <v>3115</v>
      </c>
      <c r="D206" s="123" t="s">
        <v>3116</v>
      </c>
      <c r="E206" s="123" t="s">
        <v>3117</v>
      </c>
      <c r="F206" s="123" t="s">
        <v>490</v>
      </c>
      <c r="G206" s="123" t="s">
        <v>491</v>
      </c>
      <c r="H206" s="123" t="s">
        <v>691</v>
      </c>
      <c r="I206" s="123" t="s">
        <v>1044</v>
      </c>
      <c r="J206" s="124" t="s">
        <v>494</v>
      </c>
      <c r="K206" s="124" t="s">
        <v>495</v>
      </c>
      <c r="L206" s="124" t="s">
        <v>496</v>
      </c>
      <c r="M206" s="124" t="s">
        <v>3118</v>
      </c>
      <c r="N206" s="124" t="s">
        <v>2668</v>
      </c>
      <c r="O206" s="124" t="s">
        <v>3119</v>
      </c>
      <c r="P206" s="124" t="s">
        <v>257</v>
      </c>
      <c r="Q206" s="124" t="s">
        <v>556</v>
      </c>
      <c r="R206" s="124" t="s">
        <v>269</v>
      </c>
      <c r="S206" s="32">
        <v>159520</v>
      </c>
      <c r="T206" s="32">
        <v>80</v>
      </c>
      <c r="U206" s="32">
        <v>20.28</v>
      </c>
      <c r="V206" s="32">
        <v>0</v>
      </c>
      <c r="W206" s="32">
        <v>0</v>
      </c>
      <c r="X206" s="32">
        <v>0</v>
      </c>
      <c r="Y206" s="32">
        <v>0</v>
      </c>
      <c r="Z206" s="32">
        <v>0</v>
      </c>
      <c r="AA206" s="32">
        <v>0</v>
      </c>
      <c r="AB206" s="32">
        <v>0</v>
      </c>
      <c r="AC206" s="32">
        <v>0</v>
      </c>
      <c r="AD206" s="32">
        <v>0</v>
      </c>
      <c r="AE206" s="32">
        <v>0</v>
      </c>
      <c r="AF206" s="32">
        <v>0</v>
      </c>
      <c r="AG206" s="32">
        <v>0</v>
      </c>
      <c r="AH206" s="32">
        <v>0</v>
      </c>
      <c r="AI206" s="32">
        <v>0</v>
      </c>
      <c r="AJ206" s="32">
        <v>0</v>
      </c>
      <c r="AK206" s="32">
        <v>0</v>
      </c>
      <c r="AL206" s="32">
        <v>0</v>
      </c>
      <c r="AM206" s="32">
        <v>0</v>
      </c>
      <c r="AN206" s="32">
        <v>39880</v>
      </c>
      <c r="AO206" s="32">
        <v>0</v>
      </c>
      <c r="AP206" s="32">
        <v>0</v>
      </c>
      <c r="AQ206" s="32">
        <v>39880</v>
      </c>
      <c r="AR206" s="32">
        <v>199400</v>
      </c>
      <c r="AS206" s="32">
        <v>20.28</v>
      </c>
      <c r="AT206" s="32">
        <v>136000</v>
      </c>
      <c r="AU206" s="32">
        <v>0</v>
      </c>
      <c r="AV206" s="32">
        <v>136000</v>
      </c>
      <c r="AW206" s="32">
        <v>0</v>
      </c>
      <c r="AX206" s="32">
        <v>0</v>
      </c>
      <c r="AY206" s="32">
        <v>0</v>
      </c>
      <c r="AZ206" s="32">
        <v>0</v>
      </c>
      <c r="BA206" s="32">
        <v>0</v>
      </c>
      <c r="BB206" s="32">
        <v>0</v>
      </c>
      <c r="BC206" s="32">
        <v>0</v>
      </c>
      <c r="BD206" s="32">
        <v>0</v>
      </c>
      <c r="BE206" s="32">
        <v>0</v>
      </c>
      <c r="BF206" s="32">
        <v>0</v>
      </c>
      <c r="BG206" s="32">
        <v>0</v>
      </c>
      <c r="BH206" s="32">
        <v>0</v>
      </c>
      <c r="BI206" s="32">
        <v>0</v>
      </c>
      <c r="BJ206" s="32">
        <v>0</v>
      </c>
      <c r="BK206" s="32">
        <v>0</v>
      </c>
      <c r="BL206" s="32">
        <v>0</v>
      </c>
      <c r="BM206" s="32">
        <v>54400</v>
      </c>
      <c r="BN206" s="32">
        <v>0</v>
      </c>
      <c r="BO206" s="32">
        <v>9000</v>
      </c>
      <c r="BP206" s="32">
        <v>0</v>
      </c>
      <c r="BQ206" s="32">
        <v>56600</v>
      </c>
      <c r="BR206" s="32">
        <v>47600</v>
      </c>
      <c r="BS206" s="32">
        <v>47600</v>
      </c>
      <c r="BT206" s="32">
        <v>47600</v>
      </c>
      <c r="BU206" s="32">
        <v>0</v>
      </c>
      <c r="BV206" s="32">
        <v>0</v>
      </c>
      <c r="BW206" s="32">
        <v>0</v>
      </c>
      <c r="BX206" s="32">
        <v>0</v>
      </c>
      <c r="BY206" s="32">
        <v>0</v>
      </c>
      <c r="BZ206" s="32">
        <v>0</v>
      </c>
      <c r="CA206" s="32">
        <v>0</v>
      </c>
      <c r="CB206" s="125" t="s">
        <v>665</v>
      </c>
      <c r="CC206" s="125" t="s">
        <v>500</v>
      </c>
      <c r="CD206" s="125"/>
      <c r="CE206" s="125" t="s">
        <v>684</v>
      </c>
      <c r="CF206" s="125" t="s">
        <v>597</v>
      </c>
      <c r="CG206" s="125" t="s">
        <v>2670</v>
      </c>
      <c r="CH206" s="125" t="s">
        <v>526</v>
      </c>
      <c r="CI206" s="125" t="s">
        <v>665</v>
      </c>
      <c r="CJ206" s="125" t="s">
        <v>665</v>
      </c>
      <c r="CK206" s="125" t="s">
        <v>2671</v>
      </c>
      <c r="CL206" s="125" t="s">
        <v>212</v>
      </c>
      <c r="CM206" s="125"/>
      <c r="CN206" s="125" t="s">
        <v>257</v>
      </c>
      <c r="CO206" s="125" t="s">
        <v>269</v>
      </c>
      <c r="CP206" s="125" t="s">
        <v>2672</v>
      </c>
      <c r="CQ206" s="125" t="s">
        <v>760</v>
      </c>
      <c r="CR206" s="125" t="s">
        <v>761</v>
      </c>
      <c r="CS206" s="125" t="s">
        <v>2673</v>
      </c>
      <c r="CT206" s="125" t="s">
        <v>257</v>
      </c>
      <c r="CU206" s="125" t="s">
        <v>269</v>
      </c>
      <c r="CV206" s="125" t="s">
        <v>725</v>
      </c>
      <c r="CW206" s="125" t="s">
        <v>665</v>
      </c>
      <c r="CX206" s="125" t="s">
        <v>665</v>
      </c>
      <c r="CY206" s="125" t="s">
        <v>2479</v>
      </c>
      <c r="CZ206" s="125" t="s">
        <v>1346</v>
      </c>
      <c r="DA206" s="125" t="s">
        <v>2674</v>
      </c>
      <c r="DB206" s="125" t="s">
        <v>654</v>
      </c>
      <c r="DC206" s="125" t="s">
        <v>3120</v>
      </c>
      <c r="DD206" s="125" t="s">
        <v>2676</v>
      </c>
      <c r="DE206" s="125" t="s">
        <v>2677</v>
      </c>
      <c r="DF206" s="126" t="s">
        <v>2678</v>
      </c>
      <c r="DG206" s="27" cm="1">
        <f t="array" ref="DG206">INDEX('elenco partner'!A:M,MATCH(1,(D206='elenco partner'!A:A)*('Partner data'!M206='elenco partner'!E:E),0),4)</f>
        <v>514</v>
      </c>
      <c r="DH206" s="83" t="str">
        <f t="shared" si="89"/>
        <v>COSTO REALE</v>
      </c>
      <c r="DI206" s="20">
        <f>COUNTIFS('MY-REPORT-MAIN'!C:C,'Partner data'!DG206,'MY-REPORT-MAIN'!I:I,"Certified")</f>
        <v>0</v>
      </c>
      <c r="DJ206" s="20">
        <f>COUNTIFS(List_Of_chek_list!M:M,"&lt;&gt;26",List_Of_chek_list!B:B,'Partner data'!DG206)</f>
        <v>0</v>
      </c>
      <c r="DK206" s="20">
        <f t="shared" si="90"/>
        <v>0</v>
      </c>
      <c r="DL206" s="19" t="str">
        <f>IF(DH206="Tasso Forfettario 20%",SUMIFS(List_Of_chek_list!#REF!,List_Of_chek_list!B:B,'Partner data'!DG206),"NON PERTINENTE")</f>
        <v>NON PERTINENTE</v>
      </c>
      <c r="DM206" s="19" t="str">
        <f t="shared" si="91"/>
        <v>NON PERTINENTE</v>
      </c>
      <c r="DN206" s="110">
        <f>_xlfn.MAXIFS('MY-REPORT-MAIN'!K:K,'MY-REPORT-MAIN'!C:C,DG206)</f>
        <v>0</v>
      </c>
      <c r="DO206" s="112" t="str">
        <f>IF(_xlfn.MAXIFS('MY-REPORT-MAIN'!M:M,'MY-REPORT-MAIN'!C:C,DG206)=0,"Nessun rendiconto  Convalidato",_xlfn.MAXIFS('MY-REPORT-MAIN'!M:M,'MY-REPORT-MAIN'!C:C,DG206))</f>
        <v>Nessun rendiconto  Convalidato</v>
      </c>
      <c r="DP206" s="113" t="str" cm="1">
        <f t="array" ref="DP206">IFERROR(INDEX('MY-REPORT-MAIN'!A:Z,MATCH(1,(DO206='MY-REPORT-MAIN'!M:M)*('Partner data'!DG206='MY-REPORT-MAIN'!C:C),0),1),"NON è stato convalidato ancora nessun rendiconto")</f>
        <v>NON è stato convalidato ancora nessun rendiconto</v>
      </c>
      <c r="DQ206" s="111" t="str">
        <f>IFERROR(INDEX('MY-REPORT-MAIN'!A:Z,MATCH('Partner data'!DP206,'MY-REPORT-MAIN'!A:A,0),21),"Nessun Rendiconto ancora convalidato")</f>
        <v>Nessun Rendiconto ancora convalidato</v>
      </c>
      <c r="DR206" s="110">
        <f>INDEX('Interreg VI-A Italy-Slovenia_pr'!A:E,MATCH('Partner data'!C206,'Interreg VI-A Italy-Slovenia_pr'!A:A,0),3)</f>
        <v>45397</v>
      </c>
      <c r="DS206" s="118">
        <f t="shared" si="76"/>
        <v>56600</v>
      </c>
      <c r="DT206" s="118">
        <f t="shared" si="77"/>
        <v>104200</v>
      </c>
      <c r="DU206" s="118">
        <f t="shared" si="78"/>
        <v>151800</v>
      </c>
      <c r="DV206" s="118">
        <f t="shared" si="79"/>
        <v>199400</v>
      </c>
      <c r="DW206" s="118">
        <f t="shared" si="80"/>
        <v>199400</v>
      </c>
      <c r="DX206" s="118">
        <f t="shared" si="81"/>
        <v>199400</v>
      </c>
      <c r="DY206" s="118">
        <f t="shared" si="82"/>
        <v>199400</v>
      </c>
      <c r="DZ206" s="118">
        <f t="shared" si="83"/>
        <v>199400</v>
      </c>
      <c r="EA206" s="118">
        <f t="shared" si="84"/>
        <v>199400</v>
      </c>
      <c r="EB206" s="118">
        <f t="shared" si="85"/>
        <v>199400</v>
      </c>
    </row>
    <row r="207" spans="1:132" ht="45" x14ac:dyDescent="0.25">
      <c r="A207" s="121">
        <v>6</v>
      </c>
      <c r="B207" s="122" t="s">
        <v>2688</v>
      </c>
      <c r="C207" s="123" t="s">
        <v>3115</v>
      </c>
      <c r="D207" s="123" t="s">
        <v>3116</v>
      </c>
      <c r="E207" s="123" t="s">
        <v>3117</v>
      </c>
      <c r="F207" s="123" t="s">
        <v>490</v>
      </c>
      <c r="G207" s="123" t="s">
        <v>491</v>
      </c>
      <c r="H207" s="123" t="s">
        <v>691</v>
      </c>
      <c r="I207" s="123" t="s">
        <v>1044</v>
      </c>
      <c r="J207" s="124" t="s">
        <v>518</v>
      </c>
      <c r="K207" s="124" t="s">
        <v>495</v>
      </c>
      <c r="L207" s="124" t="s">
        <v>519</v>
      </c>
      <c r="M207" s="124" t="s">
        <v>300</v>
      </c>
      <c r="N207" s="124" t="s">
        <v>1202</v>
      </c>
      <c r="O207" s="124" t="s">
        <v>1203</v>
      </c>
      <c r="P207" s="124" t="s">
        <v>257</v>
      </c>
      <c r="Q207" s="124" t="s">
        <v>556</v>
      </c>
      <c r="R207" s="124" t="s">
        <v>269</v>
      </c>
      <c r="S207" s="32">
        <v>176432</v>
      </c>
      <c r="T207" s="32">
        <v>80</v>
      </c>
      <c r="U207" s="32">
        <v>22.43</v>
      </c>
      <c r="V207" s="32">
        <v>0</v>
      </c>
      <c r="W207" s="32">
        <v>0</v>
      </c>
      <c r="X207" s="32">
        <v>0</v>
      </c>
      <c r="Y207" s="32">
        <v>0</v>
      </c>
      <c r="Z207" s="32">
        <v>0</v>
      </c>
      <c r="AA207" s="32">
        <v>0</v>
      </c>
      <c r="AB207" s="32">
        <v>0</v>
      </c>
      <c r="AC207" s="32">
        <v>0</v>
      </c>
      <c r="AD207" s="32">
        <v>0</v>
      </c>
      <c r="AE207" s="32">
        <v>0</v>
      </c>
      <c r="AF207" s="32">
        <v>0</v>
      </c>
      <c r="AG207" s="32">
        <v>0</v>
      </c>
      <c r="AH207" s="32">
        <v>0</v>
      </c>
      <c r="AI207" s="32">
        <v>0</v>
      </c>
      <c r="AJ207" s="32">
        <v>0</v>
      </c>
      <c r="AK207" s="32">
        <v>0</v>
      </c>
      <c r="AL207" s="32">
        <v>0</v>
      </c>
      <c r="AM207" s="32">
        <v>0</v>
      </c>
      <c r="AN207" s="32">
        <v>44108</v>
      </c>
      <c r="AO207" s="32">
        <v>0</v>
      </c>
      <c r="AP207" s="32">
        <v>0</v>
      </c>
      <c r="AQ207" s="32">
        <v>44108</v>
      </c>
      <c r="AR207" s="32">
        <v>220540</v>
      </c>
      <c r="AS207" s="32">
        <v>22.43</v>
      </c>
      <c r="AT207" s="32">
        <v>66000</v>
      </c>
      <c r="AU207" s="32">
        <v>0</v>
      </c>
      <c r="AV207" s="32">
        <v>66000</v>
      </c>
      <c r="AW207" s="32">
        <v>0</v>
      </c>
      <c r="AX207" s="32">
        <v>9900</v>
      </c>
      <c r="AY207" s="32">
        <v>9900</v>
      </c>
      <c r="AZ207" s="32">
        <v>2640</v>
      </c>
      <c r="BA207" s="32">
        <v>2640</v>
      </c>
      <c r="BB207" s="32">
        <v>0</v>
      </c>
      <c r="BC207" s="32">
        <v>0</v>
      </c>
      <c r="BD207" s="32">
        <v>142000</v>
      </c>
      <c r="BE207" s="32">
        <v>142000</v>
      </c>
      <c r="BF207" s="32">
        <v>0</v>
      </c>
      <c r="BG207" s="32">
        <v>0</v>
      </c>
      <c r="BH207" s="32">
        <v>0</v>
      </c>
      <c r="BI207" s="32">
        <v>0</v>
      </c>
      <c r="BJ207" s="32">
        <v>0</v>
      </c>
      <c r="BK207" s="32">
        <v>0</v>
      </c>
      <c r="BL207" s="32">
        <v>0</v>
      </c>
      <c r="BM207" s="32">
        <v>0</v>
      </c>
      <c r="BN207" s="32">
        <v>0</v>
      </c>
      <c r="BO207" s="32">
        <v>0</v>
      </c>
      <c r="BP207" s="32">
        <v>0</v>
      </c>
      <c r="BQ207" s="32">
        <v>31135</v>
      </c>
      <c r="BR207" s="32">
        <v>81635</v>
      </c>
      <c r="BS207" s="32">
        <v>49635</v>
      </c>
      <c r="BT207" s="32">
        <v>58135</v>
      </c>
      <c r="BU207" s="32">
        <v>0</v>
      </c>
      <c r="BV207" s="32">
        <v>0</v>
      </c>
      <c r="BW207" s="32">
        <v>0</v>
      </c>
      <c r="BX207" s="32">
        <v>0</v>
      </c>
      <c r="BY207" s="32">
        <v>0</v>
      </c>
      <c r="BZ207" s="32">
        <v>0</v>
      </c>
      <c r="CA207" s="32">
        <v>0</v>
      </c>
      <c r="CB207" s="125" t="s">
        <v>665</v>
      </c>
      <c r="CC207" s="125" t="s">
        <v>522</v>
      </c>
      <c r="CD207" s="125"/>
      <c r="CE207" s="125" t="s">
        <v>523</v>
      </c>
      <c r="CF207" s="125" t="s">
        <v>636</v>
      </c>
      <c r="CG207" s="125" t="s">
        <v>1205</v>
      </c>
      <c r="CH207" s="125" t="s">
        <v>526</v>
      </c>
      <c r="CI207" s="125" t="s">
        <v>665</v>
      </c>
      <c r="CJ207" s="125" t="s">
        <v>665</v>
      </c>
      <c r="CK207" s="125" t="s">
        <v>1206</v>
      </c>
      <c r="CL207" s="125" t="s">
        <v>212</v>
      </c>
      <c r="CM207" s="125"/>
      <c r="CN207" s="125" t="s">
        <v>257</v>
      </c>
      <c r="CO207" s="125" t="s">
        <v>269</v>
      </c>
      <c r="CP207" s="125" t="s">
        <v>3121</v>
      </c>
      <c r="CQ207" s="125" t="s">
        <v>1208</v>
      </c>
      <c r="CR207" s="125" t="s">
        <v>1209</v>
      </c>
      <c r="CS207" s="125" t="s">
        <v>1210</v>
      </c>
      <c r="CT207" s="125" t="s">
        <v>257</v>
      </c>
      <c r="CU207" s="125" t="s">
        <v>269</v>
      </c>
      <c r="CV207" s="125" t="s">
        <v>725</v>
      </c>
      <c r="CW207" s="125" t="s">
        <v>665</v>
      </c>
      <c r="CX207" s="125" t="s">
        <v>665</v>
      </c>
      <c r="CY207" s="125" t="s">
        <v>892</v>
      </c>
      <c r="CZ207" s="125" t="s">
        <v>1211</v>
      </c>
      <c r="DA207" s="125" t="s">
        <v>1212</v>
      </c>
      <c r="DB207" s="125" t="s">
        <v>3122</v>
      </c>
      <c r="DC207" s="125" t="s">
        <v>908</v>
      </c>
      <c r="DD207" s="125" t="s">
        <v>3123</v>
      </c>
      <c r="DE207" s="125" t="s">
        <v>3124</v>
      </c>
      <c r="DF207" s="126" t="s">
        <v>3125</v>
      </c>
      <c r="DG207" s="27" cm="1">
        <f t="array" ref="DG207">INDEX('elenco partner'!A:M,MATCH(1,(D207='elenco partner'!A:A)*('Partner data'!M207='elenco partner'!E:E),0),4)</f>
        <v>516</v>
      </c>
      <c r="DH207" s="83" t="str">
        <f t="shared" si="89"/>
        <v>COSTO REALE</v>
      </c>
      <c r="DI207" s="20">
        <f>COUNTIFS('MY-REPORT-MAIN'!C:C,'Partner data'!DG207,'MY-REPORT-MAIN'!I:I,"Certified")</f>
        <v>0</v>
      </c>
      <c r="DJ207" s="20">
        <f>COUNTIFS(List_Of_chek_list!M:M,"&lt;&gt;26",List_Of_chek_list!B:B,'Partner data'!DG207)</f>
        <v>0</v>
      </c>
      <c r="DK207" s="20">
        <f t="shared" si="90"/>
        <v>0</v>
      </c>
      <c r="DL207" s="19" t="str">
        <f>IF(DH207="Tasso Forfettario 20%",SUMIFS(List_Of_chek_list!#REF!,List_Of_chek_list!B:B,'Partner data'!DG207),"NON PERTINENTE")</f>
        <v>NON PERTINENTE</v>
      </c>
      <c r="DM207" s="19" t="str">
        <f t="shared" si="91"/>
        <v>NON PERTINENTE</v>
      </c>
      <c r="DN207" s="110">
        <f>_xlfn.MAXIFS('MY-REPORT-MAIN'!K:K,'MY-REPORT-MAIN'!C:C,DG207)</f>
        <v>0</v>
      </c>
      <c r="DO207" s="112" t="str">
        <f>IF(_xlfn.MAXIFS('MY-REPORT-MAIN'!M:M,'MY-REPORT-MAIN'!C:C,DG207)=0,"Nessun rendiconto  Convalidato",_xlfn.MAXIFS('MY-REPORT-MAIN'!M:M,'MY-REPORT-MAIN'!C:C,DG207))</f>
        <v>Nessun rendiconto  Convalidato</v>
      </c>
      <c r="DP207" s="113" t="str" cm="1">
        <f t="array" ref="DP207">IFERROR(INDEX('MY-REPORT-MAIN'!A:Z,MATCH(1,(DO207='MY-REPORT-MAIN'!M:M)*('Partner data'!DG207='MY-REPORT-MAIN'!C:C),0),1),"NON è stato convalidato ancora nessun rendiconto")</f>
        <v>NON è stato convalidato ancora nessun rendiconto</v>
      </c>
      <c r="DQ207" s="111" t="str">
        <f>IFERROR(INDEX('MY-REPORT-MAIN'!A:Z,MATCH('Partner data'!DP207,'MY-REPORT-MAIN'!A:A,0),21),"Nessun Rendiconto ancora convalidato")</f>
        <v>Nessun Rendiconto ancora convalidato</v>
      </c>
      <c r="DR207" s="110">
        <f>INDEX('Interreg VI-A Italy-Slovenia_pr'!A:E,MATCH('Partner data'!C207,'Interreg VI-A Italy-Slovenia_pr'!A:A,0),3)</f>
        <v>45397</v>
      </c>
      <c r="DS207" s="118">
        <f t="shared" si="76"/>
        <v>31135</v>
      </c>
      <c r="DT207" s="118">
        <f t="shared" si="77"/>
        <v>112770</v>
      </c>
      <c r="DU207" s="118">
        <f t="shared" si="78"/>
        <v>162405</v>
      </c>
      <c r="DV207" s="118">
        <f t="shared" si="79"/>
        <v>220540</v>
      </c>
      <c r="DW207" s="118">
        <f t="shared" si="80"/>
        <v>220540</v>
      </c>
      <c r="DX207" s="118">
        <f t="shared" si="81"/>
        <v>220540</v>
      </c>
      <c r="DY207" s="118">
        <f t="shared" si="82"/>
        <v>220540</v>
      </c>
      <c r="DZ207" s="118">
        <f t="shared" si="83"/>
        <v>220540</v>
      </c>
      <c r="EA207" s="118">
        <f t="shared" si="84"/>
        <v>220540</v>
      </c>
      <c r="EB207" s="118">
        <f t="shared" si="85"/>
        <v>220540</v>
      </c>
    </row>
    <row r="208" spans="1:132" ht="45" x14ac:dyDescent="0.25">
      <c r="A208" s="121">
        <v>6</v>
      </c>
      <c r="B208" s="122" t="s">
        <v>2688</v>
      </c>
      <c r="C208" s="123" t="s">
        <v>3115</v>
      </c>
      <c r="D208" s="123" t="s">
        <v>3116</v>
      </c>
      <c r="E208" s="123" t="s">
        <v>3117</v>
      </c>
      <c r="F208" s="123" t="s">
        <v>490</v>
      </c>
      <c r="G208" s="123" t="s">
        <v>491</v>
      </c>
      <c r="H208" s="123" t="s">
        <v>691</v>
      </c>
      <c r="I208" s="123" t="s">
        <v>1044</v>
      </c>
      <c r="J208" s="124" t="s">
        <v>538</v>
      </c>
      <c r="K208" s="124" t="s">
        <v>495</v>
      </c>
      <c r="L208" s="124" t="s">
        <v>519</v>
      </c>
      <c r="M208" s="124" t="s">
        <v>371</v>
      </c>
      <c r="N208" s="124" t="s">
        <v>3126</v>
      </c>
      <c r="O208" s="124" t="s">
        <v>3127</v>
      </c>
      <c r="P208" s="124" t="s">
        <v>254</v>
      </c>
      <c r="Q208" s="124" t="s">
        <v>499</v>
      </c>
      <c r="R208" s="124" t="s">
        <v>255</v>
      </c>
      <c r="S208" s="32">
        <v>52792</v>
      </c>
      <c r="T208" s="32">
        <v>80</v>
      </c>
      <c r="U208" s="32">
        <v>6.71</v>
      </c>
      <c r="V208" s="32">
        <v>0</v>
      </c>
      <c r="W208" s="32">
        <v>0</v>
      </c>
      <c r="X208" s="32">
        <v>0</v>
      </c>
      <c r="Y208" s="32">
        <v>0</v>
      </c>
      <c r="Z208" s="32">
        <v>0</v>
      </c>
      <c r="AA208" s="32">
        <v>0</v>
      </c>
      <c r="AB208" s="32">
        <v>0</v>
      </c>
      <c r="AC208" s="32">
        <v>0</v>
      </c>
      <c r="AD208" s="32">
        <v>0</v>
      </c>
      <c r="AE208" s="32">
        <v>0</v>
      </c>
      <c r="AF208" s="32">
        <v>0</v>
      </c>
      <c r="AG208" s="32">
        <v>0</v>
      </c>
      <c r="AH208" s="32">
        <v>0</v>
      </c>
      <c r="AI208" s="32">
        <v>0</v>
      </c>
      <c r="AJ208" s="32">
        <v>0</v>
      </c>
      <c r="AK208" s="32">
        <v>0</v>
      </c>
      <c r="AL208" s="32">
        <v>0</v>
      </c>
      <c r="AM208" s="32">
        <v>0</v>
      </c>
      <c r="AN208" s="32">
        <v>0</v>
      </c>
      <c r="AO208" s="32">
        <v>13198</v>
      </c>
      <c r="AP208" s="32">
        <v>0</v>
      </c>
      <c r="AQ208" s="32">
        <v>13198</v>
      </c>
      <c r="AR208" s="32">
        <v>65990</v>
      </c>
      <c r="AS208" s="32">
        <v>6.71</v>
      </c>
      <c r="AT208" s="32">
        <v>21000</v>
      </c>
      <c r="AU208" s="32">
        <v>0</v>
      </c>
      <c r="AV208" s="32">
        <v>21000</v>
      </c>
      <c r="AW208" s="32">
        <v>0</v>
      </c>
      <c r="AX208" s="32">
        <v>3150</v>
      </c>
      <c r="AY208" s="32">
        <v>3150</v>
      </c>
      <c r="AZ208" s="32">
        <v>840</v>
      </c>
      <c r="BA208" s="32">
        <v>840</v>
      </c>
      <c r="BB208" s="32">
        <v>0</v>
      </c>
      <c r="BC208" s="32">
        <v>0</v>
      </c>
      <c r="BD208" s="32">
        <v>41000</v>
      </c>
      <c r="BE208" s="32">
        <v>41000</v>
      </c>
      <c r="BF208" s="32">
        <v>0</v>
      </c>
      <c r="BG208" s="32">
        <v>0</v>
      </c>
      <c r="BH208" s="32">
        <v>0</v>
      </c>
      <c r="BI208" s="32">
        <v>0</v>
      </c>
      <c r="BJ208" s="32">
        <v>0</v>
      </c>
      <c r="BK208" s="32">
        <v>0</v>
      </c>
      <c r="BL208" s="32">
        <v>0</v>
      </c>
      <c r="BM208" s="32">
        <v>0</v>
      </c>
      <c r="BN208" s="32">
        <v>0</v>
      </c>
      <c r="BO208" s="32">
        <v>0</v>
      </c>
      <c r="BP208" s="32">
        <v>0</v>
      </c>
      <c r="BQ208" s="32">
        <v>19247.5</v>
      </c>
      <c r="BR208" s="32">
        <v>9747.5</v>
      </c>
      <c r="BS208" s="32">
        <v>26247.5</v>
      </c>
      <c r="BT208" s="32">
        <v>10747.5</v>
      </c>
      <c r="BU208" s="32">
        <v>0</v>
      </c>
      <c r="BV208" s="32">
        <v>0</v>
      </c>
      <c r="BW208" s="32">
        <v>0</v>
      </c>
      <c r="BX208" s="32">
        <v>0</v>
      </c>
      <c r="BY208" s="32">
        <v>0</v>
      </c>
      <c r="BZ208" s="32">
        <v>0</v>
      </c>
      <c r="CA208" s="32">
        <v>0</v>
      </c>
      <c r="CB208" s="125" t="s">
        <v>665</v>
      </c>
      <c r="CC208" s="125" t="s">
        <v>522</v>
      </c>
      <c r="CD208" s="125"/>
      <c r="CE208" s="125" t="s">
        <v>523</v>
      </c>
      <c r="CF208" s="125" t="s">
        <v>636</v>
      </c>
      <c r="CG208" s="125" t="s">
        <v>2313</v>
      </c>
      <c r="CH208" s="125" t="s">
        <v>526</v>
      </c>
      <c r="CI208" s="125" t="s">
        <v>665</v>
      </c>
      <c r="CJ208" s="125" t="s">
        <v>665</v>
      </c>
      <c r="CK208" s="125" t="s">
        <v>3128</v>
      </c>
      <c r="CL208" s="125" t="s">
        <v>212</v>
      </c>
      <c r="CM208" s="125"/>
      <c r="CN208" s="125" t="s">
        <v>254</v>
      </c>
      <c r="CO208" s="125" t="s">
        <v>255</v>
      </c>
      <c r="CP208" s="125" t="s">
        <v>3129</v>
      </c>
      <c r="CQ208" s="125" t="s">
        <v>877</v>
      </c>
      <c r="CR208" s="125" t="s">
        <v>878</v>
      </c>
      <c r="CS208" s="125" t="s">
        <v>3130</v>
      </c>
      <c r="CT208" s="125" t="s">
        <v>254</v>
      </c>
      <c r="CU208" s="125" t="s">
        <v>255</v>
      </c>
      <c r="CV208" s="125" t="s">
        <v>725</v>
      </c>
      <c r="CW208" s="125" t="s">
        <v>665</v>
      </c>
      <c r="CX208" s="125" t="s">
        <v>665</v>
      </c>
      <c r="CY208" s="125" t="s">
        <v>892</v>
      </c>
      <c r="CZ208" s="125" t="s">
        <v>833</v>
      </c>
      <c r="DA208" s="125" t="s">
        <v>880</v>
      </c>
      <c r="DB208" s="125" t="s">
        <v>531</v>
      </c>
      <c r="DC208" s="125" t="s">
        <v>3131</v>
      </c>
      <c r="DD208" s="125" t="s">
        <v>3132</v>
      </c>
      <c r="DE208" s="125" t="s">
        <v>3133</v>
      </c>
      <c r="DF208" s="126" t="s">
        <v>3134</v>
      </c>
      <c r="DG208" s="27" cm="1">
        <f t="array" ref="DG208">INDEX('elenco partner'!A:M,MATCH(1,(D208='elenco partner'!A:A)*('Partner data'!M208='elenco partner'!E:E),0),4)</f>
        <v>517</v>
      </c>
      <c r="DH208" s="83" t="str">
        <f t="shared" si="89"/>
        <v>COSTO REALE</v>
      </c>
      <c r="DI208" s="20">
        <f>COUNTIFS('MY-REPORT-MAIN'!C:C,'Partner data'!DG208,'MY-REPORT-MAIN'!I:I,"Certified")</f>
        <v>0</v>
      </c>
      <c r="DJ208" s="20">
        <f>COUNTIFS(List_Of_chek_list!M:M,"&lt;&gt;26",List_Of_chek_list!B:B,'Partner data'!DG208)</f>
        <v>0</v>
      </c>
      <c r="DK208" s="20">
        <f t="shared" si="90"/>
        <v>0</v>
      </c>
      <c r="DL208" s="19" t="str">
        <f>IF(DH208="Tasso Forfettario 20%",SUMIFS(List_Of_chek_list!#REF!,List_Of_chek_list!B:B,'Partner data'!DG208),"NON PERTINENTE")</f>
        <v>NON PERTINENTE</v>
      </c>
      <c r="DM208" s="19" t="str">
        <f t="shared" si="91"/>
        <v>NON PERTINENTE</v>
      </c>
      <c r="DN208" s="110">
        <f>_xlfn.MAXIFS('MY-REPORT-MAIN'!K:K,'MY-REPORT-MAIN'!C:C,DG208)</f>
        <v>0</v>
      </c>
      <c r="DO208" s="112" t="str">
        <f>IF(_xlfn.MAXIFS('MY-REPORT-MAIN'!M:M,'MY-REPORT-MAIN'!C:C,DG208)=0,"Nessun rendiconto  Convalidato",_xlfn.MAXIFS('MY-REPORT-MAIN'!M:M,'MY-REPORT-MAIN'!C:C,DG208))</f>
        <v>Nessun rendiconto  Convalidato</v>
      </c>
      <c r="DP208" s="113" t="str" cm="1">
        <f t="array" ref="DP208">IFERROR(INDEX('MY-REPORT-MAIN'!A:Z,MATCH(1,(DO208='MY-REPORT-MAIN'!M:M)*('Partner data'!DG208='MY-REPORT-MAIN'!C:C),0),1),"NON è stato convalidato ancora nessun rendiconto")</f>
        <v>NON è stato convalidato ancora nessun rendiconto</v>
      </c>
      <c r="DQ208" s="111" t="str">
        <f>IFERROR(INDEX('MY-REPORT-MAIN'!A:Z,MATCH('Partner data'!DP208,'MY-REPORT-MAIN'!A:A,0),21),"Nessun Rendiconto ancora convalidato")</f>
        <v>Nessun Rendiconto ancora convalidato</v>
      </c>
      <c r="DR208" s="110">
        <f>INDEX('Interreg VI-A Italy-Slovenia_pr'!A:E,MATCH('Partner data'!C208,'Interreg VI-A Italy-Slovenia_pr'!A:A,0),3)</f>
        <v>45397</v>
      </c>
      <c r="DS208" s="118">
        <f t="shared" si="76"/>
        <v>19247.5</v>
      </c>
      <c r="DT208" s="118">
        <f t="shared" si="77"/>
        <v>28995</v>
      </c>
      <c r="DU208" s="118">
        <f t="shared" si="78"/>
        <v>55242.5</v>
      </c>
      <c r="DV208" s="118">
        <f t="shared" si="79"/>
        <v>65990</v>
      </c>
      <c r="DW208" s="118">
        <f t="shared" si="80"/>
        <v>65990</v>
      </c>
      <c r="DX208" s="118">
        <f t="shared" si="81"/>
        <v>65990</v>
      </c>
      <c r="DY208" s="118">
        <f t="shared" si="82"/>
        <v>65990</v>
      </c>
      <c r="DZ208" s="118">
        <f t="shared" si="83"/>
        <v>65990</v>
      </c>
      <c r="EA208" s="118">
        <f t="shared" si="84"/>
        <v>65990</v>
      </c>
      <c r="EB208" s="118">
        <f t="shared" si="85"/>
        <v>65990</v>
      </c>
    </row>
    <row r="209" spans="1:132" ht="45" x14ac:dyDescent="0.25">
      <c r="A209" s="121">
        <v>6</v>
      </c>
      <c r="B209" s="122" t="s">
        <v>2688</v>
      </c>
      <c r="C209" s="123" t="s">
        <v>3115</v>
      </c>
      <c r="D209" s="123" t="s">
        <v>3116</v>
      </c>
      <c r="E209" s="123" t="s">
        <v>3117</v>
      </c>
      <c r="F209" s="123" t="s">
        <v>490</v>
      </c>
      <c r="G209" s="123" t="s">
        <v>491</v>
      </c>
      <c r="H209" s="123" t="s">
        <v>691</v>
      </c>
      <c r="I209" s="123" t="s">
        <v>1044</v>
      </c>
      <c r="J209" s="124" t="s">
        <v>554</v>
      </c>
      <c r="K209" s="124" t="s">
        <v>495</v>
      </c>
      <c r="L209" s="124" t="s">
        <v>519</v>
      </c>
      <c r="M209" s="124" t="s">
        <v>3135</v>
      </c>
      <c r="N209" s="124" t="s">
        <v>2564</v>
      </c>
      <c r="O209" s="124" t="s">
        <v>2565</v>
      </c>
      <c r="P209" s="124" t="s">
        <v>254</v>
      </c>
      <c r="Q209" s="124" t="s">
        <v>540</v>
      </c>
      <c r="R209" s="124" t="s">
        <v>260</v>
      </c>
      <c r="S209" s="32">
        <v>113896</v>
      </c>
      <c r="T209" s="32">
        <v>80</v>
      </c>
      <c r="U209" s="32">
        <v>14.48</v>
      </c>
      <c r="V209" s="32">
        <v>0</v>
      </c>
      <c r="W209" s="32">
        <v>0</v>
      </c>
      <c r="X209" s="32">
        <v>0</v>
      </c>
      <c r="Y209" s="32">
        <v>0</v>
      </c>
      <c r="Z209" s="32">
        <v>0</v>
      </c>
      <c r="AA209" s="32">
        <v>0</v>
      </c>
      <c r="AB209" s="32">
        <v>0</v>
      </c>
      <c r="AC209" s="32">
        <v>0</v>
      </c>
      <c r="AD209" s="32">
        <v>0</v>
      </c>
      <c r="AE209" s="32">
        <v>0</v>
      </c>
      <c r="AF209" s="32">
        <v>0</v>
      </c>
      <c r="AG209" s="32">
        <v>0</v>
      </c>
      <c r="AH209" s="32">
        <v>0</v>
      </c>
      <c r="AI209" s="32">
        <v>0</v>
      </c>
      <c r="AJ209" s="32">
        <v>0</v>
      </c>
      <c r="AK209" s="32">
        <v>0</v>
      </c>
      <c r="AL209" s="32">
        <v>0</v>
      </c>
      <c r="AM209" s="32">
        <v>0</v>
      </c>
      <c r="AN209" s="32">
        <v>0</v>
      </c>
      <c r="AO209" s="32">
        <v>28474</v>
      </c>
      <c r="AP209" s="32">
        <v>0</v>
      </c>
      <c r="AQ209" s="32">
        <v>28474</v>
      </c>
      <c r="AR209" s="32">
        <v>142370</v>
      </c>
      <c r="AS209" s="32">
        <v>14.48</v>
      </c>
      <c r="AT209" s="32">
        <v>23000</v>
      </c>
      <c r="AU209" s="32">
        <v>23000</v>
      </c>
      <c r="AV209" s="32">
        <v>0</v>
      </c>
      <c r="AW209" s="32">
        <v>0</v>
      </c>
      <c r="AX209" s="32">
        <v>3450</v>
      </c>
      <c r="AY209" s="32">
        <v>3450</v>
      </c>
      <c r="AZ209" s="32">
        <v>920</v>
      </c>
      <c r="BA209" s="32">
        <v>920</v>
      </c>
      <c r="BB209" s="32">
        <v>0</v>
      </c>
      <c r="BC209" s="32">
        <v>0</v>
      </c>
      <c r="BD209" s="32">
        <v>105000</v>
      </c>
      <c r="BE209" s="32">
        <v>105000</v>
      </c>
      <c r="BF209" s="32">
        <v>0</v>
      </c>
      <c r="BG209" s="32">
        <v>10000</v>
      </c>
      <c r="BH209" s="32">
        <v>10000</v>
      </c>
      <c r="BI209" s="32">
        <v>0</v>
      </c>
      <c r="BJ209" s="32">
        <v>0</v>
      </c>
      <c r="BK209" s="32">
        <v>0</v>
      </c>
      <c r="BL209" s="32">
        <v>0</v>
      </c>
      <c r="BM209" s="32">
        <v>0</v>
      </c>
      <c r="BN209" s="32">
        <v>0</v>
      </c>
      <c r="BO209" s="32">
        <v>0</v>
      </c>
      <c r="BP209" s="32">
        <v>0</v>
      </c>
      <c r="BQ209" s="32">
        <v>22284</v>
      </c>
      <c r="BR209" s="32">
        <v>35902</v>
      </c>
      <c r="BS209" s="32">
        <v>53234</v>
      </c>
      <c r="BT209" s="32">
        <v>30950</v>
      </c>
      <c r="BU209" s="32">
        <v>0</v>
      </c>
      <c r="BV209" s="32">
        <v>0</v>
      </c>
      <c r="BW209" s="32">
        <v>0</v>
      </c>
      <c r="BX209" s="32">
        <v>0</v>
      </c>
      <c r="BY209" s="32">
        <v>0</v>
      </c>
      <c r="BZ209" s="32">
        <v>0</v>
      </c>
      <c r="CA209" s="32">
        <v>0</v>
      </c>
      <c r="CB209" s="125" t="s">
        <v>665</v>
      </c>
      <c r="CC209" s="125" t="s">
        <v>500</v>
      </c>
      <c r="CD209" s="125"/>
      <c r="CE209" s="125" t="s">
        <v>684</v>
      </c>
      <c r="CF209" s="125" t="s">
        <v>618</v>
      </c>
      <c r="CG209" s="125" t="s">
        <v>3136</v>
      </c>
      <c r="CH209" s="125" t="s">
        <v>526</v>
      </c>
      <c r="CI209" s="125" t="s">
        <v>665</v>
      </c>
      <c r="CJ209" s="125" t="s">
        <v>665</v>
      </c>
      <c r="CK209" s="125" t="s">
        <v>1580</v>
      </c>
      <c r="CL209" s="125" t="s">
        <v>212</v>
      </c>
      <c r="CM209" s="125"/>
      <c r="CN209" s="125" t="s">
        <v>254</v>
      </c>
      <c r="CO209" s="125" t="s">
        <v>260</v>
      </c>
      <c r="CP209" s="125" t="s">
        <v>3137</v>
      </c>
      <c r="CQ209" s="125" t="s">
        <v>544</v>
      </c>
      <c r="CR209" s="125" t="s">
        <v>545</v>
      </c>
      <c r="CS209" s="125" t="s">
        <v>2567</v>
      </c>
      <c r="CT209" s="125" t="s">
        <v>254</v>
      </c>
      <c r="CU209" s="125" t="s">
        <v>260</v>
      </c>
      <c r="CV209" s="125" t="s">
        <v>725</v>
      </c>
      <c r="CW209" s="125" t="s">
        <v>665</v>
      </c>
      <c r="CX209" s="125" t="s">
        <v>665</v>
      </c>
      <c r="CY209" s="125" t="s">
        <v>531</v>
      </c>
      <c r="CZ209" s="125" t="s">
        <v>1583</v>
      </c>
      <c r="DA209" s="125" t="s">
        <v>1584</v>
      </c>
      <c r="DB209" s="125" t="s">
        <v>547</v>
      </c>
      <c r="DC209" s="125" t="s">
        <v>1586</v>
      </c>
      <c r="DD209" s="125" t="s">
        <v>1585</v>
      </c>
      <c r="DE209" s="125" t="s">
        <v>1587</v>
      </c>
      <c r="DF209" s="126" t="s">
        <v>3138</v>
      </c>
      <c r="DG209" s="27" cm="1">
        <f t="array" ref="DG209">INDEX('elenco partner'!A:M,MATCH(1,(D209='elenco partner'!A:A)*('Partner data'!M209='elenco partner'!E:E),0),4)</f>
        <v>518</v>
      </c>
      <c r="DH209" s="83" t="str">
        <f t="shared" si="89"/>
        <v>Tasso Forfettario 20%</v>
      </c>
      <c r="DI209" s="20">
        <f>COUNTIFS('MY-REPORT-MAIN'!C:C,'Partner data'!DG209,'MY-REPORT-MAIN'!I:I,"Certified")</f>
        <v>0</v>
      </c>
      <c r="DJ209" s="20">
        <f>COUNTIFS(List_Of_chek_list!M:M,"&lt;&gt;26",List_Of_chek_list!B:B,'Partner data'!DG209)</f>
        <v>0</v>
      </c>
      <c r="DK209" s="20">
        <f t="shared" si="90"/>
        <v>0</v>
      </c>
      <c r="DL209" s="19" t="e">
        <f>IF(DH209="Tasso Forfettario 20%",SUMIFS(List_Of_chek_list!#REF!,List_Of_chek_list!B:B,'Partner data'!DG209),"NON PERTINENTE")</f>
        <v>#REF!</v>
      </c>
      <c r="DM209" s="19" t="e">
        <f t="shared" si="91"/>
        <v>#REF!</v>
      </c>
      <c r="DN209" s="110">
        <f>_xlfn.MAXIFS('MY-REPORT-MAIN'!K:K,'MY-REPORT-MAIN'!C:C,DG209)</f>
        <v>0</v>
      </c>
      <c r="DO209" s="112" t="str">
        <f>IF(_xlfn.MAXIFS('MY-REPORT-MAIN'!M:M,'MY-REPORT-MAIN'!C:C,DG209)=0,"Nessun rendiconto  Convalidato",_xlfn.MAXIFS('MY-REPORT-MAIN'!M:M,'MY-REPORT-MAIN'!C:C,DG209))</f>
        <v>Nessun rendiconto  Convalidato</v>
      </c>
      <c r="DP209" s="113" t="str" cm="1">
        <f t="array" ref="DP209">IFERROR(INDEX('MY-REPORT-MAIN'!A:Z,MATCH(1,(DO209='MY-REPORT-MAIN'!M:M)*('Partner data'!DG209='MY-REPORT-MAIN'!C:C),0),1),"NON è stato convalidato ancora nessun rendiconto")</f>
        <v>NON è stato convalidato ancora nessun rendiconto</v>
      </c>
      <c r="DQ209" s="111" t="str">
        <f>IFERROR(INDEX('MY-REPORT-MAIN'!A:Z,MATCH('Partner data'!DP209,'MY-REPORT-MAIN'!A:A,0),21),"Nessun Rendiconto ancora convalidato")</f>
        <v>Nessun Rendiconto ancora convalidato</v>
      </c>
      <c r="DR209" s="110">
        <f>INDEX('Interreg VI-A Italy-Slovenia_pr'!A:E,MATCH('Partner data'!C209,'Interreg VI-A Italy-Slovenia_pr'!A:A,0),3)</f>
        <v>45397</v>
      </c>
      <c r="DS209" s="118">
        <f t="shared" si="76"/>
        <v>22284</v>
      </c>
      <c r="DT209" s="118">
        <f t="shared" si="77"/>
        <v>58186</v>
      </c>
      <c r="DU209" s="118">
        <f t="shared" si="78"/>
        <v>111420</v>
      </c>
      <c r="DV209" s="118">
        <f t="shared" si="79"/>
        <v>142370</v>
      </c>
      <c r="DW209" s="118">
        <f t="shared" si="80"/>
        <v>142370</v>
      </c>
      <c r="DX209" s="118">
        <f t="shared" si="81"/>
        <v>142370</v>
      </c>
      <c r="DY209" s="118">
        <f t="shared" si="82"/>
        <v>142370</v>
      </c>
      <c r="DZ209" s="118">
        <f t="shared" si="83"/>
        <v>142370</v>
      </c>
      <c r="EA209" s="118">
        <f t="shared" si="84"/>
        <v>142370</v>
      </c>
      <c r="EB209" s="118">
        <f t="shared" si="85"/>
        <v>142370</v>
      </c>
    </row>
    <row r="210" spans="1:132" ht="45" x14ac:dyDescent="0.25">
      <c r="A210" s="121">
        <v>6</v>
      </c>
      <c r="B210" s="122" t="s">
        <v>2688</v>
      </c>
      <c r="C210" s="123" t="s">
        <v>3115</v>
      </c>
      <c r="D210" s="123" t="s">
        <v>3116</v>
      </c>
      <c r="E210" s="123" t="s">
        <v>3117</v>
      </c>
      <c r="F210" s="123" t="s">
        <v>490</v>
      </c>
      <c r="G210" s="123" t="s">
        <v>491</v>
      </c>
      <c r="H210" s="123" t="s">
        <v>691</v>
      </c>
      <c r="I210" s="123" t="s">
        <v>1044</v>
      </c>
      <c r="J210" s="124" t="s">
        <v>570</v>
      </c>
      <c r="K210" s="124" t="s">
        <v>495</v>
      </c>
      <c r="L210" s="124" t="s">
        <v>519</v>
      </c>
      <c r="M210" s="124" t="s">
        <v>752</v>
      </c>
      <c r="N210" s="124" t="s">
        <v>753</v>
      </c>
      <c r="O210" s="124" t="s">
        <v>644</v>
      </c>
      <c r="P210" s="124" t="s">
        <v>257</v>
      </c>
      <c r="Q210" s="124" t="s">
        <v>556</v>
      </c>
      <c r="R210" s="124" t="s">
        <v>258</v>
      </c>
      <c r="S210" s="32">
        <v>128912</v>
      </c>
      <c r="T210" s="32">
        <v>80</v>
      </c>
      <c r="U210" s="32">
        <v>16.39</v>
      </c>
      <c r="V210" s="32">
        <v>0</v>
      </c>
      <c r="W210" s="32">
        <v>0</v>
      </c>
      <c r="X210" s="32">
        <v>0</v>
      </c>
      <c r="Y210" s="32">
        <v>0</v>
      </c>
      <c r="Z210" s="32">
        <v>0</v>
      </c>
      <c r="AA210" s="32">
        <v>0</v>
      </c>
      <c r="AB210" s="32">
        <v>0</v>
      </c>
      <c r="AC210" s="32">
        <v>0</v>
      </c>
      <c r="AD210" s="32">
        <v>0</v>
      </c>
      <c r="AE210" s="32">
        <v>0</v>
      </c>
      <c r="AF210" s="32">
        <v>0</v>
      </c>
      <c r="AG210" s="32">
        <v>0</v>
      </c>
      <c r="AH210" s="32">
        <v>0</v>
      </c>
      <c r="AI210" s="32">
        <v>0</v>
      </c>
      <c r="AJ210" s="32">
        <v>0</v>
      </c>
      <c r="AK210" s="32">
        <v>0</v>
      </c>
      <c r="AL210" s="32">
        <v>0</v>
      </c>
      <c r="AM210" s="32">
        <v>0</v>
      </c>
      <c r="AN210" s="32">
        <v>32228</v>
      </c>
      <c r="AO210" s="32">
        <v>0</v>
      </c>
      <c r="AP210" s="32">
        <v>0</v>
      </c>
      <c r="AQ210" s="32">
        <v>32228</v>
      </c>
      <c r="AR210" s="32">
        <v>161140</v>
      </c>
      <c r="AS210" s="32">
        <v>16.39</v>
      </c>
      <c r="AT210" s="32">
        <v>115100</v>
      </c>
      <c r="AU210" s="32">
        <v>0</v>
      </c>
      <c r="AV210" s="32">
        <v>115100</v>
      </c>
      <c r="AW210" s="32">
        <v>0</v>
      </c>
      <c r="AX210" s="32">
        <v>0</v>
      </c>
      <c r="AY210" s="32">
        <v>0</v>
      </c>
      <c r="AZ210" s="32">
        <v>0</v>
      </c>
      <c r="BA210" s="32">
        <v>0</v>
      </c>
      <c r="BB210" s="32">
        <v>0</v>
      </c>
      <c r="BC210" s="32">
        <v>0</v>
      </c>
      <c r="BD210" s="32">
        <v>0</v>
      </c>
      <c r="BE210" s="32">
        <v>0</v>
      </c>
      <c r="BF210" s="32">
        <v>0</v>
      </c>
      <c r="BG210" s="32">
        <v>0</v>
      </c>
      <c r="BH210" s="32">
        <v>0</v>
      </c>
      <c r="BI210" s="32">
        <v>0</v>
      </c>
      <c r="BJ210" s="32">
        <v>0</v>
      </c>
      <c r="BK210" s="32">
        <v>0</v>
      </c>
      <c r="BL210" s="32">
        <v>0</v>
      </c>
      <c r="BM210" s="32">
        <v>46040</v>
      </c>
      <c r="BN210" s="32">
        <v>0</v>
      </c>
      <c r="BO210" s="32">
        <v>0</v>
      </c>
      <c r="BP210" s="32">
        <v>0</v>
      </c>
      <c r="BQ210" s="32">
        <v>40285</v>
      </c>
      <c r="BR210" s="32">
        <v>40285</v>
      </c>
      <c r="BS210" s="32">
        <v>40285</v>
      </c>
      <c r="BT210" s="32">
        <v>40285</v>
      </c>
      <c r="BU210" s="32">
        <v>0</v>
      </c>
      <c r="BV210" s="32">
        <v>0</v>
      </c>
      <c r="BW210" s="32">
        <v>0</v>
      </c>
      <c r="BX210" s="32">
        <v>0</v>
      </c>
      <c r="BY210" s="32">
        <v>0</v>
      </c>
      <c r="BZ210" s="32">
        <v>0</v>
      </c>
      <c r="CA210" s="32">
        <v>0</v>
      </c>
      <c r="CB210" s="125" t="s">
        <v>665</v>
      </c>
      <c r="CC210" s="125" t="s">
        <v>624</v>
      </c>
      <c r="CD210" s="125"/>
      <c r="CE210" s="125" t="s">
        <v>684</v>
      </c>
      <c r="CF210" s="125" t="s">
        <v>1286</v>
      </c>
      <c r="CG210" s="125" t="s">
        <v>646</v>
      </c>
      <c r="CH210" s="125" t="s">
        <v>526</v>
      </c>
      <c r="CI210" s="125" t="s">
        <v>665</v>
      </c>
      <c r="CJ210" s="125" t="s">
        <v>665</v>
      </c>
      <c r="CK210" s="125" t="s">
        <v>647</v>
      </c>
      <c r="CL210" s="125" t="s">
        <v>212</v>
      </c>
      <c r="CM210" s="125"/>
      <c r="CN210" s="125" t="s">
        <v>257</v>
      </c>
      <c r="CO210" s="125" t="s">
        <v>258</v>
      </c>
      <c r="CP210" s="125" t="s">
        <v>648</v>
      </c>
      <c r="CQ210" s="125" t="s">
        <v>620</v>
      </c>
      <c r="CR210" s="125" t="s">
        <v>621</v>
      </c>
      <c r="CS210" s="125" t="s">
        <v>3030</v>
      </c>
      <c r="CT210" s="125" t="s">
        <v>257</v>
      </c>
      <c r="CU210" s="125" t="s">
        <v>258</v>
      </c>
      <c r="CV210" s="125" t="s">
        <v>725</v>
      </c>
      <c r="CW210" s="125" t="s">
        <v>665</v>
      </c>
      <c r="CX210" s="125" t="s">
        <v>665</v>
      </c>
      <c r="CY210" s="125" t="s">
        <v>892</v>
      </c>
      <c r="CZ210" s="125" t="s">
        <v>651</v>
      </c>
      <c r="DA210" s="125" t="s">
        <v>652</v>
      </c>
      <c r="DB210" s="125" t="s">
        <v>895</v>
      </c>
      <c r="DC210" s="125" t="s">
        <v>3139</v>
      </c>
      <c r="DD210" s="125" t="s">
        <v>3140</v>
      </c>
      <c r="DE210" s="125" t="s">
        <v>3141</v>
      </c>
      <c r="DF210" s="126" t="s">
        <v>3142</v>
      </c>
      <c r="DG210" s="27" cm="1">
        <f t="array" ref="DG210">INDEX('elenco partner'!A:M,MATCH(1,(D210='elenco partner'!A:A)*('Partner data'!M210='elenco partner'!E:E),0),4)</f>
        <v>519</v>
      </c>
      <c r="DH210" s="83" t="str">
        <f t="shared" si="89"/>
        <v>COSTO REALE</v>
      </c>
      <c r="DI210" s="20">
        <f>COUNTIFS('MY-REPORT-MAIN'!C:C,'Partner data'!DG210,'MY-REPORT-MAIN'!I:I,"Certified")</f>
        <v>0</v>
      </c>
      <c r="DJ210" s="20">
        <f>COUNTIFS(List_Of_chek_list!M:M,"&lt;&gt;26",List_Of_chek_list!B:B,'Partner data'!DG210)</f>
        <v>0</v>
      </c>
      <c r="DK210" s="20">
        <f t="shared" si="90"/>
        <v>0</v>
      </c>
      <c r="DL210" s="19" t="str">
        <f>IF(DH210="Tasso Forfettario 20%",SUMIFS(List_Of_chek_list!#REF!,List_Of_chek_list!B:B,'Partner data'!DG210),"NON PERTINENTE")</f>
        <v>NON PERTINENTE</v>
      </c>
      <c r="DM210" s="19" t="str">
        <f t="shared" si="91"/>
        <v>NON PERTINENTE</v>
      </c>
      <c r="DN210" s="110">
        <f>_xlfn.MAXIFS('MY-REPORT-MAIN'!K:K,'MY-REPORT-MAIN'!C:C,DG210)</f>
        <v>0</v>
      </c>
      <c r="DO210" s="112" t="str">
        <f>IF(_xlfn.MAXIFS('MY-REPORT-MAIN'!M:M,'MY-REPORT-MAIN'!C:C,DG210)=0,"Nessun rendiconto  Convalidato",_xlfn.MAXIFS('MY-REPORT-MAIN'!M:M,'MY-REPORT-MAIN'!C:C,DG210))</f>
        <v>Nessun rendiconto  Convalidato</v>
      </c>
      <c r="DP210" s="113" t="str" cm="1">
        <f t="array" ref="DP210">IFERROR(INDEX('MY-REPORT-MAIN'!A:Z,MATCH(1,(DO210='MY-REPORT-MAIN'!M:M)*('Partner data'!DG210='MY-REPORT-MAIN'!C:C),0),1),"NON è stato convalidato ancora nessun rendiconto")</f>
        <v>NON è stato convalidato ancora nessun rendiconto</v>
      </c>
      <c r="DQ210" s="111" t="str">
        <f>IFERROR(INDEX('MY-REPORT-MAIN'!A:Z,MATCH('Partner data'!DP210,'MY-REPORT-MAIN'!A:A,0),21),"Nessun Rendiconto ancora convalidato")</f>
        <v>Nessun Rendiconto ancora convalidato</v>
      </c>
      <c r="DR210" s="110">
        <f>INDEX('Interreg VI-A Italy-Slovenia_pr'!A:E,MATCH('Partner data'!C210,'Interreg VI-A Italy-Slovenia_pr'!A:A,0),3)</f>
        <v>45397</v>
      </c>
      <c r="DS210" s="118">
        <f t="shared" si="76"/>
        <v>40285</v>
      </c>
      <c r="DT210" s="118">
        <f t="shared" si="77"/>
        <v>80570</v>
      </c>
      <c r="DU210" s="118">
        <f t="shared" si="78"/>
        <v>120855</v>
      </c>
      <c r="DV210" s="118">
        <f t="shared" si="79"/>
        <v>161140</v>
      </c>
      <c r="DW210" s="118">
        <f t="shared" si="80"/>
        <v>161140</v>
      </c>
      <c r="DX210" s="118">
        <f t="shared" si="81"/>
        <v>161140</v>
      </c>
      <c r="DY210" s="118">
        <f t="shared" si="82"/>
        <v>161140</v>
      </c>
      <c r="DZ210" s="118">
        <f t="shared" si="83"/>
        <v>161140</v>
      </c>
      <c r="EA210" s="118">
        <f t="shared" si="84"/>
        <v>161140</v>
      </c>
      <c r="EB210" s="118">
        <f t="shared" si="85"/>
        <v>161140</v>
      </c>
    </row>
    <row r="211" spans="1:132" ht="45" x14ac:dyDescent="0.25">
      <c r="A211" s="121">
        <v>6</v>
      </c>
      <c r="B211" s="122" t="s">
        <v>2688</v>
      </c>
      <c r="C211" s="123" t="s">
        <v>3115</v>
      </c>
      <c r="D211" s="123" t="s">
        <v>3116</v>
      </c>
      <c r="E211" s="123" t="s">
        <v>3117</v>
      </c>
      <c r="F211" s="123" t="s">
        <v>490</v>
      </c>
      <c r="G211" s="123" t="s">
        <v>491</v>
      </c>
      <c r="H211" s="123" t="s">
        <v>691</v>
      </c>
      <c r="I211" s="123" t="s">
        <v>1044</v>
      </c>
      <c r="J211" s="124" t="s">
        <v>581</v>
      </c>
      <c r="K211" s="124" t="s">
        <v>495</v>
      </c>
      <c r="L211" s="124" t="s">
        <v>519</v>
      </c>
      <c r="M211" s="124" t="s">
        <v>279</v>
      </c>
      <c r="N211" s="124" t="s">
        <v>3143</v>
      </c>
      <c r="O211" s="124" t="s">
        <v>3039</v>
      </c>
      <c r="P211" s="124" t="s">
        <v>254</v>
      </c>
      <c r="Q211" s="124" t="s">
        <v>540</v>
      </c>
      <c r="R211" s="124" t="s">
        <v>260</v>
      </c>
      <c r="S211" s="32">
        <v>155176</v>
      </c>
      <c r="T211" s="32">
        <v>80</v>
      </c>
      <c r="U211" s="32">
        <v>19.72</v>
      </c>
      <c r="V211" s="32">
        <v>0</v>
      </c>
      <c r="W211" s="32">
        <v>0</v>
      </c>
      <c r="X211" s="32">
        <v>0</v>
      </c>
      <c r="Y211" s="32">
        <v>0</v>
      </c>
      <c r="Z211" s="32">
        <v>0</v>
      </c>
      <c r="AA211" s="32">
        <v>0</v>
      </c>
      <c r="AB211" s="32">
        <v>0</v>
      </c>
      <c r="AC211" s="32">
        <v>0</v>
      </c>
      <c r="AD211" s="32">
        <v>0</v>
      </c>
      <c r="AE211" s="32">
        <v>0</v>
      </c>
      <c r="AF211" s="32">
        <v>0</v>
      </c>
      <c r="AG211" s="32">
        <v>0</v>
      </c>
      <c r="AH211" s="32">
        <v>0</v>
      </c>
      <c r="AI211" s="32">
        <v>0</v>
      </c>
      <c r="AJ211" s="32">
        <v>0</v>
      </c>
      <c r="AK211" s="32">
        <v>0</v>
      </c>
      <c r="AL211" s="32">
        <v>0</v>
      </c>
      <c r="AM211" s="32">
        <v>0</v>
      </c>
      <c r="AN211" s="32">
        <v>0</v>
      </c>
      <c r="AO211" s="32">
        <v>38794</v>
      </c>
      <c r="AP211" s="32">
        <v>0</v>
      </c>
      <c r="AQ211" s="32">
        <v>38794</v>
      </c>
      <c r="AR211" s="32">
        <v>193970</v>
      </c>
      <c r="AS211" s="32">
        <v>19.72</v>
      </c>
      <c r="AT211" s="32">
        <v>163000</v>
      </c>
      <c r="AU211" s="32">
        <v>0</v>
      </c>
      <c r="AV211" s="32">
        <v>163000</v>
      </c>
      <c r="AW211" s="32">
        <v>0</v>
      </c>
      <c r="AX211" s="32">
        <v>24450</v>
      </c>
      <c r="AY211" s="32">
        <v>24450</v>
      </c>
      <c r="AZ211" s="32">
        <v>6520</v>
      </c>
      <c r="BA211" s="32">
        <v>6520</v>
      </c>
      <c r="BB211" s="32">
        <v>0</v>
      </c>
      <c r="BC211" s="32">
        <v>0</v>
      </c>
      <c r="BD211" s="32">
        <v>0</v>
      </c>
      <c r="BE211" s="32">
        <v>0</v>
      </c>
      <c r="BF211" s="32">
        <v>0</v>
      </c>
      <c r="BG211" s="32">
        <v>0</v>
      </c>
      <c r="BH211" s="32">
        <v>0</v>
      </c>
      <c r="BI211" s="32">
        <v>0</v>
      </c>
      <c r="BJ211" s="32">
        <v>0</v>
      </c>
      <c r="BK211" s="32">
        <v>0</v>
      </c>
      <c r="BL211" s="32">
        <v>0</v>
      </c>
      <c r="BM211" s="32">
        <v>0</v>
      </c>
      <c r="BN211" s="32">
        <v>0</v>
      </c>
      <c r="BO211" s="32">
        <v>0</v>
      </c>
      <c r="BP211" s="32">
        <v>0</v>
      </c>
      <c r="BQ211" s="32">
        <v>48492.5</v>
      </c>
      <c r="BR211" s="32">
        <v>48492.5</v>
      </c>
      <c r="BS211" s="32">
        <v>48492.5</v>
      </c>
      <c r="BT211" s="32">
        <v>48492.5</v>
      </c>
      <c r="BU211" s="32">
        <v>0</v>
      </c>
      <c r="BV211" s="32">
        <v>0</v>
      </c>
      <c r="BW211" s="32">
        <v>0</v>
      </c>
      <c r="BX211" s="32">
        <v>0</v>
      </c>
      <c r="BY211" s="32">
        <v>0</v>
      </c>
      <c r="BZ211" s="32">
        <v>0</v>
      </c>
      <c r="CA211" s="32">
        <v>0</v>
      </c>
      <c r="CB211" s="125" t="s">
        <v>3040</v>
      </c>
      <c r="CC211" s="125" t="s">
        <v>624</v>
      </c>
      <c r="CD211" s="125"/>
      <c r="CE211" s="125" t="s">
        <v>684</v>
      </c>
      <c r="CF211" s="125"/>
      <c r="CG211" s="125" t="s">
        <v>3144</v>
      </c>
      <c r="CH211" s="125" t="s">
        <v>526</v>
      </c>
      <c r="CI211" s="125" t="s">
        <v>665</v>
      </c>
      <c r="CJ211" s="125" t="s">
        <v>665</v>
      </c>
      <c r="CK211" s="125" t="s">
        <v>3041</v>
      </c>
      <c r="CL211" s="125" t="s">
        <v>212</v>
      </c>
      <c r="CM211" s="125"/>
      <c r="CN211" s="125" t="s">
        <v>254</v>
      </c>
      <c r="CO211" s="125" t="s">
        <v>260</v>
      </c>
      <c r="CP211" s="125" t="s">
        <v>3145</v>
      </c>
      <c r="CQ211" s="125" t="s">
        <v>865</v>
      </c>
      <c r="CR211" s="125" t="s">
        <v>599</v>
      </c>
      <c r="CS211" s="125" t="s">
        <v>3146</v>
      </c>
      <c r="CT211" s="125" t="s">
        <v>254</v>
      </c>
      <c r="CU211" s="125" t="s">
        <v>260</v>
      </c>
      <c r="CV211" s="125" t="s">
        <v>725</v>
      </c>
      <c r="CW211" s="125" t="s">
        <v>665</v>
      </c>
      <c r="CX211" s="125" t="s">
        <v>665</v>
      </c>
      <c r="CY211" s="125" t="s">
        <v>531</v>
      </c>
      <c r="CZ211" s="125" t="s">
        <v>3147</v>
      </c>
      <c r="DA211" s="125" t="s">
        <v>3148</v>
      </c>
      <c r="DB211" s="125" t="s">
        <v>547</v>
      </c>
      <c r="DC211" s="125" t="s">
        <v>3149</v>
      </c>
      <c r="DD211" s="125" t="s">
        <v>3150</v>
      </c>
      <c r="DE211" s="125" t="s">
        <v>3151</v>
      </c>
      <c r="DF211" s="126" t="s">
        <v>3152</v>
      </c>
      <c r="DG211" s="27" cm="1">
        <f t="array" ref="DG211">INDEX('elenco partner'!A:M,MATCH(1,(D211='elenco partner'!A:A)*('Partner data'!M211='elenco partner'!E:E),0),4)</f>
        <v>520</v>
      </c>
      <c r="DH211" s="83" t="str">
        <f t="shared" si="89"/>
        <v>COSTO REALE</v>
      </c>
      <c r="DI211" s="20">
        <f>COUNTIFS('MY-REPORT-MAIN'!C:C,'Partner data'!DG211,'MY-REPORT-MAIN'!I:I,"Certified")</f>
        <v>0</v>
      </c>
      <c r="DJ211" s="20">
        <f>COUNTIFS(List_Of_chek_list!M:M,"&lt;&gt;26",List_Of_chek_list!B:B,'Partner data'!DG211)</f>
        <v>0</v>
      </c>
      <c r="DK211" s="20">
        <f t="shared" si="90"/>
        <v>0</v>
      </c>
      <c r="DL211" s="19" t="str">
        <f>IF(DH211="Tasso Forfettario 20%",SUMIFS(List_Of_chek_list!#REF!,List_Of_chek_list!B:B,'Partner data'!DG211),"NON PERTINENTE")</f>
        <v>NON PERTINENTE</v>
      </c>
      <c r="DM211" s="19" t="str">
        <f t="shared" si="91"/>
        <v>NON PERTINENTE</v>
      </c>
      <c r="DN211" s="110">
        <f>_xlfn.MAXIFS('MY-REPORT-MAIN'!K:K,'MY-REPORT-MAIN'!C:C,DG211)</f>
        <v>0</v>
      </c>
      <c r="DO211" s="112" t="str">
        <f>IF(_xlfn.MAXIFS('MY-REPORT-MAIN'!M:M,'MY-REPORT-MAIN'!C:C,DG211)=0,"Nessun rendiconto  Convalidato",_xlfn.MAXIFS('MY-REPORT-MAIN'!M:M,'MY-REPORT-MAIN'!C:C,DG211))</f>
        <v>Nessun rendiconto  Convalidato</v>
      </c>
      <c r="DP211" s="113" t="str" cm="1">
        <f t="array" ref="DP211">IFERROR(INDEX('MY-REPORT-MAIN'!A:Z,MATCH(1,(DO211='MY-REPORT-MAIN'!M:M)*('Partner data'!DG211='MY-REPORT-MAIN'!C:C),0),1),"NON è stato convalidato ancora nessun rendiconto")</f>
        <v>NON è stato convalidato ancora nessun rendiconto</v>
      </c>
      <c r="DQ211" s="111" t="str">
        <f>IFERROR(INDEX('MY-REPORT-MAIN'!A:Z,MATCH('Partner data'!DP211,'MY-REPORT-MAIN'!A:A,0),21),"Nessun Rendiconto ancora convalidato")</f>
        <v>Nessun Rendiconto ancora convalidato</v>
      </c>
      <c r="DR211" s="110">
        <f>INDEX('Interreg VI-A Italy-Slovenia_pr'!A:E,MATCH('Partner data'!C211,'Interreg VI-A Italy-Slovenia_pr'!A:A,0),3)</f>
        <v>45397</v>
      </c>
      <c r="DS211" s="118">
        <f t="shared" si="76"/>
        <v>48492.5</v>
      </c>
      <c r="DT211" s="118">
        <f t="shared" si="77"/>
        <v>96985</v>
      </c>
      <c r="DU211" s="118">
        <f t="shared" si="78"/>
        <v>145477.5</v>
      </c>
      <c r="DV211" s="118">
        <f t="shared" si="79"/>
        <v>193970</v>
      </c>
      <c r="DW211" s="118">
        <f t="shared" si="80"/>
        <v>193970</v>
      </c>
      <c r="DX211" s="118">
        <f t="shared" si="81"/>
        <v>193970</v>
      </c>
      <c r="DY211" s="118">
        <f t="shared" si="82"/>
        <v>193970</v>
      </c>
      <c r="DZ211" s="118">
        <f t="shared" si="83"/>
        <v>193970</v>
      </c>
      <c r="EA211" s="118">
        <f t="shared" si="84"/>
        <v>193970</v>
      </c>
      <c r="EB211" s="118">
        <f t="shared" si="85"/>
        <v>193970</v>
      </c>
    </row>
    <row r="212" spans="1:132" ht="45" x14ac:dyDescent="0.25">
      <c r="A212" s="121">
        <v>6</v>
      </c>
      <c r="B212" s="122" t="s">
        <v>2688</v>
      </c>
      <c r="C212" s="123" t="s">
        <v>3153</v>
      </c>
      <c r="D212" s="123" t="s">
        <v>3154</v>
      </c>
      <c r="E212" s="123" t="s">
        <v>3155</v>
      </c>
      <c r="F212" s="123" t="s">
        <v>490</v>
      </c>
      <c r="G212" s="123" t="s">
        <v>6118</v>
      </c>
      <c r="H212" s="123" t="s">
        <v>691</v>
      </c>
      <c r="I212" s="123" t="s">
        <v>692</v>
      </c>
      <c r="J212" s="124" t="s">
        <v>494</v>
      </c>
      <c r="K212" s="124" t="s">
        <v>495</v>
      </c>
      <c r="L212" s="124" t="s">
        <v>496</v>
      </c>
      <c r="M212" s="124" t="s">
        <v>3156</v>
      </c>
      <c r="N212" s="124" t="s">
        <v>673</v>
      </c>
      <c r="O212" s="124" t="s">
        <v>673</v>
      </c>
      <c r="P212" s="124" t="s">
        <v>254</v>
      </c>
      <c r="Q212" s="124" t="s">
        <v>540</v>
      </c>
      <c r="R212" s="124" t="s">
        <v>260</v>
      </c>
      <c r="S212" s="32">
        <v>172379.2</v>
      </c>
      <c r="T212" s="32">
        <v>80</v>
      </c>
      <c r="U212" s="32">
        <v>22.72</v>
      </c>
      <c r="V212" s="32">
        <v>0</v>
      </c>
      <c r="W212" s="32">
        <v>0</v>
      </c>
      <c r="X212" s="32">
        <v>0</v>
      </c>
      <c r="Y212" s="32">
        <v>0</v>
      </c>
      <c r="Z212" s="32">
        <v>0</v>
      </c>
      <c r="AA212" s="32">
        <v>0</v>
      </c>
      <c r="AB212" s="32">
        <v>0</v>
      </c>
      <c r="AC212" s="32">
        <v>0</v>
      </c>
      <c r="AD212" s="32">
        <v>0</v>
      </c>
      <c r="AE212" s="32">
        <v>0</v>
      </c>
      <c r="AF212" s="32">
        <v>0</v>
      </c>
      <c r="AG212" s="32">
        <v>0</v>
      </c>
      <c r="AH212" s="32">
        <v>0</v>
      </c>
      <c r="AI212" s="32">
        <v>0</v>
      </c>
      <c r="AJ212" s="32">
        <v>0</v>
      </c>
      <c r="AK212" s="32">
        <v>0</v>
      </c>
      <c r="AL212" s="32">
        <v>0</v>
      </c>
      <c r="AM212" s="32">
        <v>0</v>
      </c>
      <c r="AN212" s="32">
        <v>0</v>
      </c>
      <c r="AO212" s="32">
        <v>0</v>
      </c>
      <c r="AP212" s="32">
        <v>43094.8</v>
      </c>
      <c r="AQ212" s="32">
        <v>43094.8</v>
      </c>
      <c r="AR212" s="32">
        <v>215474</v>
      </c>
      <c r="AS212" s="32">
        <v>22.72</v>
      </c>
      <c r="AT212" s="32">
        <v>153910</v>
      </c>
      <c r="AU212" s="32">
        <v>0</v>
      </c>
      <c r="AV212" s="32">
        <v>0</v>
      </c>
      <c r="AW212" s="32">
        <v>153910</v>
      </c>
      <c r="AX212" s="32">
        <v>0</v>
      </c>
      <c r="AY212" s="32">
        <v>0</v>
      </c>
      <c r="AZ212" s="32">
        <v>0</v>
      </c>
      <c r="BA212" s="32">
        <v>0</v>
      </c>
      <c r="BB212" s="32">
        <v>0</v>
      </c>
      <c r="BC212" s="32">
        <v>0</v>
      </c>
      <c r="BD212" s="32">
        <v>0</v>
      </c>
      <c r="BE212" s="32">
        <v>0</v>
      </c>
      <c r="BF212" s="32">
        <v>0</v>
      </c>
      <c r="BG212" s="32">
        <v>0</v>
      </c>
      <c r="BH212" s="32">
        <v>0</v>
      </c>
      <c r="BI212" s="32">
        <v>0</v>
      </c>
      <c r="BJ212" s="32">
        <v>0</v>
      </c>
      <c r="BK212" s="32">
        <v>0</v>
      </c>
      <c r="BL212" s="32">
        <v>0</v>
      </c>
      <c r="BM212" s="32">
        <v>61564</v>
      </c>
      <c r="BN212" s="32">
        <v>0</v>
      </c>
      <c r="BO212" s="32">
        <v>0</v>
      </c>
      <c r="BP212" s="32">
        <v>0</v>
      </c>
      <c r="BQ212" s="32">
        <v>51989</v>
      </c>
      <c r="BR212" s="32">
        <v>49889</v>
      </c>
      <c r="BS212" s="32">
        <v>53529</v>
      </c>
      <c r="BT212" s="32">
        <v>60067</v>
      </c>
      <c r="BU212" s="32">
        <v>0</v>
      </c>
      <c r="BV212" s="32">
        <v>0</v>
      </c>
      <c r="BW212" s="32">
        <v>0</v>
      </c>
      <c r="BX212" s="32">
        <v>0</v>
      </c>
      <c r="BY212" s="32">
        <v>0</v>
      </c>
      <c r="BZ212" s="32">
        <v>0</v>
      </c>
      <c r="CA212" s="32">
        <v>0</v>
      </c>
      <c r="CB212" s="125" t="s">
        <v>3157</v>
      </c>
      <c r="CC212" s="125" t="s">
        <v>675</v>
      </c>
      <c r="CD212" s="125" t="s">
        <v>653</v>
      </c>
      <c r="CE212" s="125" t="s">
        <v>501</v>
      </c>
      <c r="CF212" s="125" t="s">
        <v>676</v>
      </c>
      <c r="CG212" s="125" t="s">
        <v>677</v>
      </c>
      <c r="CH212" s="125" t="s">
        <v>504</v>
      </c>
      <c r="CI212" s="125" t="s">
        <v>677</v>
      </c>
      <c r="CJ212" s="125" t="s">
        <v>1047</v>
      </c>
      <c r="CK212" s="125" t="s">
        <v>678</v>
      </c>
      <c r="CL212" s="125" t="s">
        <v>212</v>
      </c>
      <c r="CM212" s="125" t="s">
        <v>2040</v>
      </c>
      <c r="CN212" s="125" t="s">
        <v>254</v>
      </c>
      <c r="CO212" s="125" t="s">
        <v>260</v>
      </c>
      <c r="CP212" s="125" t="s">
        <v>3158</v>
      </c>
      <c r="CQ212" s="125" t="s">
        <v>600</v>
      </c>
      <c r="CR212" s="125" t="s">
        <v>3159</v>
      </c>
      <c r="CS212" s="125" t="s">
        <v>2315</v>
      </c>
      <c r="CT212" s="125" t="s">
        <v>254</v>
      </c>
      <c r="CU212" s="125" t="s">
        <v>260</v>
      </c>
      <c r="CV212" s="125" t="s">
        <v>3158</v>
      </c>
      <c r="CW212" s="125" t="s">
        <v>600</v>
      </c>
      <c r="CX212" s="125" t="s">
        <v>3159</v>
      </c>
      <c r="CY212" s="125" t="s">
        <v>3160</v>
      </c>
      <c r="CZ212" s="125" t="s">
        <v>3161</v>
      </c>
      <c r="DA212" s="125" t="s">
        <v>3162</v>
      </c>
      <c r="DB212" s="125" t="s">
        <v>3163</v>
      </c>
      <c r="DC212" s="125" t="s">
        <v>1038</v>
      </c>
      <c r="DD212" s="125" t="s">
        <v>3164</v>
      </c>
      <c r="DE212" s="125" t="s">
        <v>3165</v>
      </c>
      <c r="DF212" s="126" t="s">
        <v>3166</v>
      </c>
      <c r="DG212" s="27" cm="1">
        <f t="array" ref="DG212">INDEX('elenco partner'!A:M,MATCH(1,(D212='elenco partner'!A:A)*('Partner data'!M212='elenco partner'!E:E),0),4)</f>
        <v>378</v>
      </c>
      <c r="DH212" s="83" t="str">
        <f t="shared" si="89"/>
        <v>Costo Unitario Standard</v>
      </c>
      <c r="DI212" s="20">
        <f>COUNTIFS('MY-REPORT-MAIN'!C:C,'Partner data'!DG212,'MY-REPORT-MAIN'!I:I,"Certified")</f>
        <v>0</v>
      </c>
      <c r="DJ212" s="20">
        <f>COUNTIFS(List_Of_chek_list!M:M,"&lt;&gt;26",List_Of_chek_list!B:B,'Partner data'!DG212)</f>
        <v>0</v>
      </c>
      <c r="DK212" s="20">
        <f t="shared" si="90"/>
        <v>0</v>
      </c>
      <c r="DL212" s="19" t="str">
        <f>IF(DH212="Tasso Forfettario 20%",SUMIFS(List_Of_chek_list!#REF!,List_Of_chek_list!B:B,'Partner data'!DG212),"NON PERTINENTE")</f>
        <v>NON PERTINENTE</v>
      </c>
      <c r="DM212" s="19" t="str">
        <f t="shared" si="91"/>
        <v>NON PERTINENTE</v>
      </c>
      <c r="DN212" s="110">
        <f>_xlfn.MAXIFS('MY-REPORT-MAIN'!K:K,'MY-REPORT-MAIN'!C:C,DG212)</f>
        <v>0</v>
      </c>
      <c r="DO212" s="112" t="str">
        <f>IF(_xlfn.MAXIFS('MY-REPORT-MAIN'!M:M,'MY-REPORT-MAIN'!C:C,DG212)=0,"Nessun rendiconto  Convalidato",_xlfn.MAXIFS('MY-REPORT-MAIN'!M:M,'MY-REPORT-MAIN'!C:C,DG212))</f>
        <v>Nessun rendiconto  Convalidato</v>
      </c>
      <c r="DP212" s="113" t="str" cm="1">
        <f t="array" ref="DP212">IFERROR(INDEX('MY-REPORT-MAIN'!A:Z,MATCH(1,(DO212='MY-REPORT-MAIN'!M:M)*('Partner data'!DG212='MY-REPORT-MAIN'!C:C),0),1),"NON è stato convalidato ancora nessun rendiconto")</f>
        <v>NON è stato convalidato ancora nessun rendiconto</v>
      </c>
      <c r="DQ212" s="111" t="str">
        <f>IFERROR(INDEX('MY-REPORT-MAIN'!A:Z,MATCH('Partner data'!DP212,'MY-REPORT-MAIN'!A:A,0),21),"Nessun Rendiconto ancora convalidato")</f>
        <v>Nessun Rendiconto ancora convalidato</v>
      </c>
      <c r="DR212" s="110" t="e">
        <f>INDEX('Interreg VI-A Italy-Slovenia_pr'!A:E,MATCH('Partner data'!C212,'Interreg VI-A Italy-Slovenia_pr'!A:A,0),3)</f>
        <v>#N/A</v>
      </c>
      <c r="DS212" s="118">
        <f t="shared" si="76"/>
        <v>51989</v>
      </c>
      <c r="DT212" s="118">
        <f t="shared" si="77"/>
        <v>101878</v>
      </c>
      <c r="DU212" s="118">
        <f t="shared" si="78"/>
        <v>155407</v>
      </c>
      <c r="DV212" s="118">
        <f t="shared" si="79"/>
        <v>215474</v>
      </c>
      <c r="DW212" s="118">
        <f t="shared" si="80"/>
        <v>215474</v>
      </c>
      <c r="DX212" s="118">
        <f t="shared" si="81"/>
        <v>215474</v>
      </c>
      <c r="DY212" s="118">
        <f t="shared" si="82"/>
        <v>215474</v>
      </c>
      <c r="DZ212" s="118">
        <f t="shared" si="83"/>
        <v>215474</v>
      </c>
      <c r="EA212" s="118">
        <f t="shared" si="84"/>
        <v>215474</v>
      </c>
      <c r="EB212" s="118">
        <f t="shared" si="85"/>
        <v>215474</v>
      </c>
    </row>
    <row r="213" spans="1:132" ht="45" x14ac:dyDescent="0.25">
      <c r="A213" s="121">
        <v>6</v>
      </c>
      <c r="B213" s="122" t="s">
        <v>2688</v>
      </c>
      <c r="C213" s="123" t="s">
        <v>3153</v>
      </c>
      <c r="D213" s="123" t="s">
        <v>3154</v>
      </c>
      <c r="E213" s="123" t="s">
        <v>3155</v>
      </c>
      <c r="F213" s="123" t="s">
        <v>490</v>
      </c>
      <c r="G213" s="123" t="s">
        <v>6118</v>
      </c>
      <c r="H213" s="123" t="s">
        <v>691</v>
      </c>
      <c r="I213" s="123" t="s">
        <v>692</v>
      </c>
      <c r="J213" s="124" t="s">
        <v>518</v>
      </c>
      <c r="K213" s="124" t="s">
        <v>495</v>
      </c>
      <c r="L213" s="124" t="s">
        <v>519</v>
      </c>
      <c r="M213" s="124" t="s">
        <v>899</v>
      </c>
      <c r="N213" s="124" t="s">
        <v>3167</v>
      </c>
      <c r="O213" s="124" t="s">
        <v>3168</v>
      </c>
      <c r="P213" s="124" t="s">
        <v>257</v>
      </c>
      <c r="Q213" s="124" t="s">
        <v>556</v>
      </c>
      <c r="R213" s="124" t="s">
        <v>269</v>
      </c>
      <c r="S213" s="32">
        <v>103001.2</v>
      </c>
      <c r="T213" s="32">
        <v>80</v>
      </c>
      <c r="U213" s="32">
        <v>13.58</v>
      </c>
      <c r="V213" s="32">
        <v>0</v>
      </c>
      <c r="W213" s="32">
        <v>0</v>
      </c>
      <c r="X213" s="32">
        <v>0</v>
      </c>
      <c r="Y213" s="32">
        <v>0</v>
      </c>
      <c r="Z213" s="32">
        <v>0</v>
      </c>
      <c r="AA213" s="32">
        <v>0</v>
      </c>
      <c r="AB213" s="32">
        <v>0</v>
      </c>
      <c r="AC213" s="32">
        <v>0</v>
      </c>
      <c r="AD213" s="32">
        <v>0</v>
      </c>
      <c r="AE213" s="32">
        <v>0</v>
      </c>
      <c r="AF213" s="32">
        <v>0</v>
      </c>
      <c r="AG213" s="32">
        <v>0</v>
      </c>
      <c r="AH213" s="32">
        <v>0</v>
      </c>
      <c r="AI213" s="32">
        <v>0</v>
      </c>
      <c r="AJ213" s="32">
        <v>0</v>
      </c>
      <c r="AK213" s="32">
        <v>0</v>
      </c>
      <c r="AL213" s="32">
        <v>0</v>
      </c>
      <c r="AM213" s="32">
        <v>0</v>
      </c>
      <c r="AN213" s="32">
        <v>25750.3</v>
      </c>
      <c r="AO213" s="32">
        <v>0</v>
      </c>
      <c r="AP213" s="32">
        <v>0</v>
      </c>
      <c r="AQ213" s="32">
        <v>25750.3</v>
      </c>
      <c r="AR213" s="32">
        <v>128751.5</v>
      </c>
      <c r="AS213" s="32">
        <v>13.58</v>
      </c>
      <c r="AT213" s="32">
        <v>91965.36</v>
      </c>
      <c r="AU213" s="32">
        <v>0</v>
      </c>
      <c r="AV213" s="32">
        <v>91965.36</v>
      </c>
      <c r="AW213" s="32">
        <v>0</v>
      </c>
      <c r="AX213" s="32">
        <v>0</v>
      </c>
      <c r="AY213" s="32">
        <v>0</v>
      </c>
      <c r="AZ213" s="32">
        <v>0</v>
      </c>
      <c r="BA213" s="32">
        <v>0</v>
      </c>
      <c r="BB213" s="32">
        <v>0</v>
      </c>
      <c r="BC213" s="32">
        <v>0</v>
      </c>
      <c r="BD213" s="32">
        <v>0</v>
      </c>
      <c r="BE213" s="32">
        <v>0</v>
      </c>
      <c r="BF213" s="32">
        <v>0</v>
      </c>
      <c r="BG213" s="32">
        <v>0</v>
      </c>
      <c r="BH213" s="32">
        <v>0</v>
      </c>
      <c r="BI213" s="32">
        <v>0</v>
      </c>
      <c r="BJ213" s="32">
        <v>0</v>
      </c>
      <c r="BK213" s="32">
        <v>0</v>
      </c>
      <c r="BL213" s="32">
        <v>0</v>
      </c>
      <c r="BM213" s="32">
        <v>36786.14</v>
      </c>
      <c r="BN213" s="32">
        <v>0</v>
      </c>
      <c r="BO213" s="32">
        <v>0</v>
      </c>
      <c r="BP213" s="32">
        <v>0</v>
      </c>
      <c r="BQ213" s="32">
        <v>32187.87</v>
      </c>
      <c r="BR213" s="32">
        <v>32187.87</v>
      </c>
      <c r="BS213" s="32">
        <v>32187.87</v>
      </c>
      <c r="BT213" s="32">
        <v>32187.89</v>
      </c>
      <c r="BU213" s="32">
        <v>0</v>
      </c>
      <c r="BV213" s="32">
        <v>0</v>
      </c>
      <c r="BW213" s="32">
        <v>0</v>
      </c>
      <c r="BX213" s="32">
        <v>0</v>
      </c>
      <c r="BY213" s="32">
        <v>0</v>
      </c>
      <c r="BZ213" s="32">
        <v>0</v>
      </c>
      <c r="CA213" s="32">
        <v>0</v>
      </c>
      <c r="CB213" s="125" t="s">
        <v>212</v>
      </c>
      <c r="CC213" s="125" t="s">
        <v>596</v>
      </c>
      <c r="CD213" s="125"/>
      <c r="CE213" s="125" t="s">
        <v>684</v>
      </c>
      <c r="CF213" s="125" t="s">
        <v>744</v>
      </c>
      <c r="CG213" s="125" t="s">
        <v>3169</v>
      </c>
      <c r="CH213" s="125" t="s">
        <v>526</v>
      </c>
      <c r="CI213" s="125" t="s">
        <v>1347</v>
      </c>
      <c r="CJ213" s="125" t="s">
        <v>3170</v>
      </c>
      <c r="CK213" s="125" t="s">
        <v>903</v>
      </c>
      <c r="CL213" s="125" t="s">
        <v>212</v>
      </c>
      <c r="CM213" s="125"/>
      <c r="CN213" s="125" t="s">
        <v>257</v>
      </c>
      <c r="CO213" s="125" t="s">
        <v>269</v>
      </c>
      <c r="CP213" s="125" t="s">
        <v>904</v>
      </c>
      <c r="CQ213" s="125" t="s">
        <v>3018</v>
      </c>
      <c r="CR213" s="125" t="s">
        <v>3171</v>
      </c>
      <c r="CS213" s="125" t="s">
        <v>907</v>
      </c>
      <c r="CT213" s="125"/>
      <c r="CU213" s="125"/>
      <c r="CV213" s="125"/>
      <c r="CW213" s="125"/>
      <c r="CX213" s="125"/>
      <c r="CY213" s="125" t="s">
        <v>3172</v>
      </c>
      <c r="CZ213" s="125" t="s">
        <v>908</v>
      </c>
      <c r="DA213" s="125" t="s">
        <v>909</v>
      </c>
      <c r="DB213" s="125" t="s">
        <v>3172</v>
      </c>
      <c r="DC213" s="125" t="s">
        <v>1534</v>
      </c>
      <c r="DD213" s="125" t="s">
        <v>2906</v>
      </c>
      <c r="DE213" s="125" t="s">
        <v>3019</v>
      </c>
      <c r="DF213" s="126" t="s">
        <v>3020</v>
      </c>
      <c r="DG213" s="27" cm="1">
        <f t="array" ref="DG213">INDEX('elenco partner'!A:M,MATCH(1,(D213='elenco partner'!A:A)*('Partner data'!M213='elenco partner'!E:E),0),4)</f>
        <v>748</v>
      </c>
      <c r="DH213" s="83" t="str">
        <f t="shared" si="89"/>
        <v>COSTO REALE</v>
      </c>
      <c r="DI213" s="20">
        <f>COUNTIFS('MY-REPORT-MAIN'!C:C,'Partner data'!DG213,'MY-REPORT-MAIN'!I:I,"Certified")</f>
        <v>0</v>
      </c>
      <c r="DJ213" s="20">
        <f>COUNTIFS(List_Of_chek_list!M:M,"&lt;&gt;26",List_Of_chek_list!B:B,'Partner data'!DG213)</f>
        <v>0</v>
      </c>
      <c r="DK213" s="20">
        <f t="shared" si="90"/>
        <v>0</v>
      </c>
      <c r="DL213" s="19" t="str">
        <f>IF(DH213="Tasso Forfettario 20%",SUMIFS(List_Of_chek_list!#REF!,List_Of_chek_list!B:B,'Partner data'!DG213),"NON PERTINENTE")</f>
        <v>NON PERTINENTE</v>
      </c>
      <c r="DM213" s="19" t="str">
        <f t="shared" si="91"/>
        <v>NON PERTINENTE</v>
      </c>
      <c r="DN213" s="110">
        <f>_xlfn.MAXIFS('MY-REPORT-MAIN'!K:K,'MY-REPORT-MAIN'!C:C,DG213)</f>
        <v>0</v>
      </c>
      <c r="DO213" s="112" t="str">
        <f>IF(_xlfn.MAXIFS('MY-REPORT-MAIN'!M:M,'MY-REPORT-MAIN'!C:C,DG213)=0,"Nessun rendiconto  Convalidato",_xlfn.MAXIFS('MY-REPORT-MAIN'!M:M,'MY-REPORT-MAIN'!C:C,DG213))</f>
        <v>Nessun rendiconto  Convalidato</v>
      </c>
      <c r="DP213" s="113" t="str" cm="1">
        <f t="array" ref="DP213">IFERROR(INDEX('MY-REPORT-MAIN'!A:Z,MATCH(1,(DO213='MY-REPORT-MAIN'!M:M)*('Partner data'!DG213='MY-REPORT-MAIN'!C:C),0),1),"NON è stato convalidato ancora nessun rendiconto")</f>
        <v>NON è stato convalidato ancora nessun rendiconto</v>
      </c>
      <c r="DQ213" s="111" t="str">
        <f>IFERROR(INDEX('MY-REPORT-MAIN'!A:Z,MATCH('Partner data'!DP213,'MY-REPORT-MAIN'!A:A,0),21),"Nessun Rendiconto ancora convalidato")</f>
        <v>Nessun Rendiconto ancora convalidato</v>
      </c>
      <c r="DR213" s="110" t="e">
        <f>INDEX('Interreg VI-A Italy-Slovenia_pr'!A:E,MATCH('Partner data'!C213,'Interreg VI-A Italy-Slovenia_pr'!A:A,0),3)</f>
        <v>#N/A</v>
      </c>
      <c r="DS213" s="118">
        <f t="shared" si="76"/>
        <v>32187.87</v>
      </c>
      <c r="DT213" s="118">
        <f t="shared" si="77"/>
        <v>64375.74</v>
      </c>
      <c r="DU213" s="118">
        <f t="shared" si="78"/>
        <v>96563.61</v>
      </c>
      <c r="DV213" s="118">
        <f t="shared" si="79"/>
        <v>128751.5</v>
      </c>
      <c r="DW213" s="118">
        <f t="shared" si="80"/>
        <v>128751.5</v>
      </c>
      <c r="DX213" s="118">
        <f t="shared" si="81"/>
        <v>128751.5</v>
      </c>
      <c r="DY213" s="118">
        <f t="shared" si="82"/>
        <v>128751.5</v>
      </c>
      <c r="DZ213" s="118">
        <f t="shared" si="83"/>
        <v>128751.5</v>
      </c>
      <c r="EA213" s="118">
        <f t="shared" si="84"/>
        <v>128751.5</v>
      </c>
      <c r="EB213" s="118">
        <f t="shared" si="85"/>
        <v>128751.5</v>
      </c>
    </row>
    <row r="214" spans="1:132" ht="45" x14ac:dyDescent="0.25">
      <c r="A214" s="121">
        <v>6</v>
      </c>
      <c r="B214" s="122" t="s">
        <v>2688</v>
      </c>
      <c r="C214" s="123" t="s">
        <v>3153</v>
      </c>
      <c r="D214" s="123" t="s">
        <v>3154</v>
      </c>
      <c r="E214" s="123" t="s">
        <v>3155</v>
      </c>
      <c r="F214" s="123" t="s">
        <v>490</v>
      </c>
      <c r="G214" s="123" t="s">
        <v>6118</v>
      </c>
      <c r="H214" s="123" t="s">
        <v>691</v>
      </c>
      <c r="I214" s="123" t="s">
        <v>692</v>
      </c>
      <c r="J214" s="124" t="s">
        <v>538</v>
      </c>
      <c r="K214" s="124" t="s">
        <v>495</v>
      </c>
      <c r="L214" s="124" t="s">
        <v>519</v>
      </c>
      <c r="M214" s="124" t="s">
        <v>3173</v>
      </c>
      <c r="N214" s="124" t="s">
        <v>3174</v>
      </c>
      <c r="O214" s="124" t="s">
        <v>1160</v>
      </c>
      <c r="P214" s="124" t="s">
        <v>254</v>
      </c>
      <c r="Q214" s="124" t="s">
        <v>499</v>
      </c>
      <c r="R214" s="124" t="s">
        <v>273</v>
      </c>
      <c r="S214" s="32">
        <v>114943.36</v>
      </c>
      <c r="T214" s="32">
        <v>80</v>
      </c>
      <c r="U214" s="32">
        <v>15.15</v>
      </c>
      <c r="V214" s="32">
        <v>0</v>
      </c>
      <c r="W214" s="32">
        <v>0</v>
      </c>
      <c r="X214" s="32">
        <v>0</v>
      </c>
      <c r="Y214" s="32">
        <v>0</v>
      </c>
      <c r="Z214" s="32">
        <v>0</v>
      </c>
      <c r="AA214" s="32">
        <v>0</v>
      </c>
      <c r="AB214" s="32">
        <v>0</v>
      </c>
      <c r="AC214" s="32">
        <v>0</v>
      </c>
      <c r="AD214" s="32">
        <v>0</v>
      </c>
      <c r="AE214" s="32">
        <v>0</v>
      </c>
      <c r="AF214" s="32">
        <v>0</v>
      </c>
      <c r="AG214" s="32">
        <v>0</v>
      </c>
      <c r="AH214" s="32">
        <v>0</v>
      </c>
      <c r="AI214" s="32">
        <v>0</v>
      </c>
      <c r="AJ214" s="32">
        <v>0</v>
      </c>
      <c r="AK214" s="32">
        <v>0</v>
      </c>
      <c r="AL214" s="32">
        <v>0</v>
      </c>
      <c r="AM214" s="32">
        <v>0</v>
      </c>
      <c r="AN214" s="32">
        <v>0</v>
      </c>
      <c r="AO214" s="32">
        <v>28735.84</v>
      </c>
      <c r="AP214" s="32">
        <v>0</v>
      </c>
      <c r="AQ214" s="32">
        <v>28735.84</v>
      </c>
      <c r="AR214" s="32">
        <v>143679.20000000001</v>
      </c>
      <c r="AS214" s="32">
        <v>15.15</v>
      </c>
      <c r="AT214" s="32">
        <v>102628</v>
      </c>
      <c r="AU214" s="32">
        <v>0</v>
      </c>
      <c r="AV214" s="32">
        <v>0</v>
      </c>
      <c r="AW214" s="32">
        <v>102628</v>
      </c>
      <c r="AX214" s="32">
        <v>0</v>
      </c>
      <c r="AY214" s="32">
        <v>0</v>
      </c>
      <c r="AZ214" s="32">
        <v>0</v>
      </c>
      <c r="BA214" s="32">
        <v>0</v>
      </c>
      <c r="BB214" s="32">
        <v>0</v>
      </c>
      <c r="BC214" s="32">
        <v>0</v>
      </c>
      <c r="BD214" s="32">
        <v>0</v>
      </c>
      <c r="BE214" s="32">
        <v>0</v>
      </c>
      <c r="BF214" s="32">
        <v>0</v>
      </c>
      <c r="BG214" s="32">
        <v>0</v>
      </c>
      <c r="BH214" s="32">
        <v>0</v>
      </c>
      <c r="BI214" s="32">
        <v>0</v>
      </c>
      <c r="BJ214" s="32">
        <v>0</v>
      </c>
      <c r="BK214" s="32">
        <v>0</v>
      </c>
      <c r="BL214" s="32">
        <v>0</v>
      </c>
      <c r="BM214" s="32">
        <v>41051.199999999997</v>
      </c>
      <c r="BN214" s="32">
        <v>0</v>
      </c>
      <c r="BO214" s="32">
        <v>0</v>
      </c>
      <c r="BP214" s="32">
        <v>0</v>
      </c>
      <c r="BQ214" s="32">
        <v>25083.8</v>
      </c>
      <c r="BR214" s="32">
        <v>25083.8</v>
      </c>
      <c r="BS214" s="32">
        <v>46755.8</v>
      </c>
      <c r="BT214" s="32">
        <v>46755.8</v>
      </c>
      <c r="BU214" s="32">
        <v>0</v>
      </c>
      <c r="BV214" s="32">
        <v>0</v>
      </c>
      <c r="BW214" s="32">
        <v>0</v>
      </c>
      <c r="BX214" s="32">
        <v>0</v>
      </c>
      <c r="BY214" s="32">
        <v>0</v>
      </c>
      <c r="BZ214" s="32">
        <v>0</v>
      </c>
      <c r="CA214" s="32">
        <v>0</v>
      </c>
      <c r="CB214" s="125" t="s">
        <v>3175</v>
      </c>
      <c r="CC214" s="125" t="s">
        <v>624</v>
      </c>
      <c r="CD214" s="125"/>
      <c r="CE214" s="125" t="s">
        <v>523</v>
      </c>
      <c r="CF214" s="125" t="s">
        <v>645</v>
      </c>
      <c r="CG214" s="125" t="s">
        <v>659</v>
      </c>
      <c r="CH214" s="125" t="s">
        <v>526</v>
      </c>
      <c r="CI214" s="125" t="s">
        <v>3176</v>
      </c>
      <c r="CJ214" s="125" t="s">
        <v>3176</v>
      </c>
      <c r="CK214" s="125" t="s">
        <v>660</v>
      </c>
      <c r="CL214" s="125" t="s">
        <v>212</v>
      </c>
      <c r="CM214" s="125"/>
      <c r="CN214" s="125" t="s">
        <v>254</v>
      </c>
      <c r="CO214" s="125" t="s">
        <v>273</v>
      </c>
      <c r="CP214" s="125" t="s">
        <v>1001</v>
      </c>
      <c r="CQ214" s="125" t="s">
        <v>661</v>
      </c>
      <c r="CR214" s="125" t="s">
        <v>2862</v>
      </c>
      <c r="CS214" s="125" t="s">
        <v>3177</v>
      </c>
      <c r="CT214" s="125" t="s">
        <v>254</v>
      </c>
      <c r="CU214" s="125" t="s">
        <v>273</v>
      </c>
      <c r="CV214" s="125" t="s">
        <v>1001</v>
      </c>
      <c r="CW214" s="125" t="s">
        <v>661</v>
      </c>
      <c r="CX214" s="125" t="s">
        <v>2862</v>
      </c>
      <c r="CY214" s="125" t="s">
        <v>654</v>
      </c>
      <c r="CZ214" s="125" t="s">
        <v>633</v>
      </c>
      <c r="DA214" s="125" t="s">
        <v>2908</v>
      </c>
      <c r="DB214" s="125" t="s">
        <v>3178</v>
      </c>
      <c r="DC214" s="125" t="s">
        <v>3179</v>
      </c>
      <c r="DD214" s="125" t="s">
        <v>3180</v>
      </c>
      <c r="DE214" s="125" t="s">
        <v>3181</v>
      </c>
      <c r="DF214" s="126" t="s">
        <v>3182</v>
      </c>
      <c r="DG214" s="27" cm="1">
        <f t="array" ref="DG214">INDEX('elenco partner'!A:M,MATCH(1,(D214='elenco partner'!A:A)*('Partner data'!M214='elenco partner'!E:E),0),4)</f>
        <v>749</v>
      </c>
      <c r="DH214" s="83" t="str">
        <f t="shared" si="89"/>
        <v>Costo Unitario Standard</v>
      </c>
      <c r="DI214" s="20">
        <f>COUNTIFS('MY-REPORT-MAIN'!C:C,'Partner data'!DG214,'MY-REPORT-MAIN'!I:I,"Certified")</f>
        <v>0</v>
      </c>
      <c r="DJ214" s="20">
        <f>COUNTIFS(List_Of_chek_list!M:M,"&lt;&gt;26",List_Of_chek_list!B:B,'Partner data'!DG214)</f>
        <v>0</v>
      </c>
      <c r="DK214" s="20">
        <f t="shared" si="90"/>
        <v>0</v>
      </c>
      <c r="DL214" s="19" t="str">
        <f>IF(DH214="Tasso Forfettario 20%",SUMIFS(List_Of_chek_list!#REF!,List_Of_chek_list!B:B,'Partner data'!DG214),"NON PERTINENTE")</f>
        <v>NON PERTINENTE</v>
      </c>
      <c r="DM214" s="19" t="str">
        <f t="shared" si="91"/>
        <v>NON PERTINENTE</v>
      </c>
      <c r="DN214" s="110">
        <f>_xlfn.MAXIFS('MY-REPORT-MAIN'!K:K,'MY-REPORT-MAIN'!C:C,DG214)</f>
        <v>0</v>
      </c>
      <c r="DO214" s="112" t="str">
        <f>IF(_xlfn.MAXIFS('MY-REPORT-MAIN'!M:M,'MY-REPORT-MAIN'!C:C,DG214)=0,"Nessun rendiconto  Convalidato",_xlfn.MAXIFS('MY-REPORT-MAIN'!M:M,'MY-REPORT-MAIN'!C:C,DG214))</f>
        <v>Nessun rendiconto  Convalidato</v>
      </c>
      <c r="DP214" s="113" t="str" cm="1">
        <f t="array" ref="DP214">IFERROR(INDEX('MY-REPORT-MAIN'!A:Z,MATCH(1,(DO214='MY-REPORT-MAIN'!M:M)*('Partner data'!DG214='MY-REPORT-MAIN'!C:C),0),1),"NON è stato convalidato ancora nessun rendiconto")</f>
        <v>NON è stato convalidato ancora nessun rendiconto</v>
      </c>
      <c r="DQ214" s="111" t="str">
        <f>IFERROR(INDEX('MY-REPORT-MAIN'!A:Z,MATCH('Partner data'!DP214,'MY-REPORT-MAIN'!A:A,0),21),"Nessun Rendiconto ancora convalidato")</f>
        <v>Nessun Rendiconto ancora convalidato</v>
      </c>
      <c r="DR214" s="110" t="e">
        <f>INDEX('Interreg VI-A Italy-Slovenia_pr'!A:E,MATCH('Partner data'!C214,'Interreg VI-A Italy-Slovenia_pr'!A:A,0),3)</f>
        <v>#N/A</v>
      </c>
      <c r="DS214" s="118">
        <f t="shared" si="76"/>
        <v>25083.8</v>
      </c>
      <c r="DT214" s="118">
        <f t="shared" si="77"/>
        <v>50167.6</v>
      </c>
      <c r="DU214" s="118">
        <f t="shared" si="78"/>
        <v>96923.4</v>
      </c>
      <c r="DV214" s="118">
        <f t="shared" si="79"/>
        <v>143679.20000000001</v>
      </c>
      <c r="DW214" s="118">
        <f t="shared" si="80"/>
        <v>143679.20000000001</v>
      </c>
      <c r="DX214" s="118">
        <f t="shared" si="81"/>
        <v>143679.20000000001</v>
      </c>
      <c r="DY214" s="118">
        <f t="shared" si="82"/>
        <v>143679.20000000001</v>
      </c>
      <c r="DZ214" s="118">
        <f t="shared" si="83"/>
        <v>143679.20000000001</v>
      </c>
      <c r="EA214" s="118">
        <f t="shared" si="84"/>
        <v>143679.20000000001</v>
      </c>
      <c r="EB214" s="118">
        <f t="shared" si="85"/>
        <v>143679.20000000001</v>
      </c>
    </row>
    <row r="215" spans="1:132" ht="45" x14ac:dyDescent="0.25">
      <c r="A215" s="121">
        <v>6</v>
      </c>
      <c r="B215" s="122" t="s">
        <v>2688</v>
      </c>
      <c r="C215" s="123" t="s">
        <v>3153</v>
      </c>
      <c r="D215" s="123" t="s">
        <v>3154</v>
      </c>
      <c r="E215" s="123" t="s">
        <v>3155</v>
      </c>
      <c r="F215" s="123" t="s">
        <v>490</v>
      </c>
      <c r="G215" s="123" t="s">
        <v>6118</v>
      </c>
      <c r="H215" s="123" t="s">
        <v>691</v>
      </c>
      <c r="I215" s="123" t="s">
        <v>692</v>
      </c>
      <c r="J215" s="124" t="s">
        <v>554</v>
      </c>
      <c r="K215" s="124" t="s">
        <v>495</v>
      </c>
      <c r="L215" s="124" t="s">
        <v>519</v>
      </c>
      <c r="M215" s="124" t="s">
        <v>375</v>
      </c>
      <c r="N215" s="124" t="s">
        <v>3183</v>
      </c>
      <c r="O215" s="124" t="s">
        <v>3184</v>
      </c>
      <c r="P215" s="124" t="s">
        <v>257</v>
      </c>
      <c r="Q215" s="124" t="s">
        <v>556</v>
      </c>
      <c r="R215" s="124" t="s">
        <v>258</v>
      </c>
      <c r="S215" s="32">
        <v>119227.67</v>
      </c>
      <c r="T215" s="32">
        <v>80</v>
      </c>
      <c r="U215" s="32">
        <v>15.72</v>
      </c>
      <c r="V215" s="32">
        <v>0</v>
      </c>
      <c r="W215" s="32">
        <v>0</v>
      </c>
      <c r="X215" s="32">
        <v>0</v>
      </c>
      <c r="Y215" s="32">
        <v>0</v>
      </c>
      <c r="Z215" s="32">
        <v>0</v>
      </c>
      <c r="AA215" s="32">
        <v>0</v>
      </c>
      <c r="AB215" s="32">
        <v>0</v>
      </c>
      <c r="AC215" s="32">
        <v>0</v>
      </c>
      <c r="AD215" s="32">
        <v>0</v>
      </c>
      <c r="AE215" s="32">
        <v>0</v>
      </c>
      <c r="AF215" s="32">
        <v>0</v>
      </c>
      <c r="AG215" s="32">
        <v>0</v>
      </c>
      <c r="AH215" s="32">
        <v>0</v>
      </c>
      <c r="AI215" s="32">
        <v>0</v>
      </c>
      <c r="AJ215" s="32">
        <v>0</v>
      </c>
      <c r="AK215" s="32">
        <v>0</v>
      </c>
      <c r="AL215" s="32">
        <v>0</v>
      </c>
      <c r="AM215" s="32">
        <v>0</v>
      </c>
      <c r="AN215" s="32">
        <v>29806.92</v>
      </c>
      <c r="AO215" s="32">
        <v>0</v>
      </c>
      <c r="AP215" s="32">
        <v>0</v>
      </c>
      <c r="AQ215" s="32">
        <v>29806.92</v>
      </c>
      <c r="AR215" s="32">
        <v>149034.59</v>
      </c>
      <c r="AS215" s="32">
        <v>15.72</v>
      </c>
      <c r="AT215" s="32">
        <v>102550.08</v>
      </c>
      <c r="AU215" s="32">
        <v>0</v>
      </c>
      <c r="AV215" s="32">
        <v>102550.08</v>
      </c>
      <c r="AW215" s="32">
        <v>0</v>
      </c>
      <c r="AX215" s="32">
        <v>15382.51</v>
      </c>
      <c r="AY215" s="32">
        <v>15382.51</v>
      </c>
      <c r="AZ215" s="32">
        <v>4102</v>
      </c>
      <c r="BA215" s="32">
        <v>4102</v>
      </c>
      <c r="BB215" s="32">
        <v>0</v>
      </c>
      <c r="BC215" s="32">
        <v>0</v>
      </c>
      <c r="BD215" s="32">
        <v>27000</v>
      </c>
      <c r="BE215" s="32">
        <v>27000</v>
      </c>
      <c r="BF215" s="32">
        <v>0</v>
      </c>
      <c r="BG215" s="32">
        <v>0</v>
      </c>
      <c r="BH215" s="32">
        <v>0</v>
      </c>
      <c r="BI215" s="32">
        <v>0</v>
      </c>
      <c r="BJ215" s="32">
        <v>0</v>
      </c>
      <c r="BK215" s="32">
        <v>0</v>
      </c>
      <c r="BL215" s="32">
        <v>0</v>
      </c>
      <c r="BM215" s="32">
        <v>0</v>
      </c>
      <c r="BN215" s="32">
        <v>0</v>
      </c>
      <c r="BO215" s="32">
        <v>0</v>
      </c>
      <c r="BP215" s="32">
        <v>0</v>
      </c>
      <c r="BQ215" s="32">
        <v>35508.639999999999</v>
      </c>
      <c r="BR215" s="32">
        <v>35508.639999999999</v>
      </c>
      <c r="BS215" s="32">
        <v>39008.639999999999</v>
      </c>
      <c r="BT215" s="32">
        <v>39008.67</v>
      </c>
      <c r="BU215" s="32">
        <v>0</v>
      </c>
      <c r="BV215" s="32">
        <v>0</v>
      </c>
      <c r="BW215" s="32">
        <v>0</v>
      </c>
      <c r="BX215" s="32">
        <v>0</v>
      </c>
      <c r="BY215" s="32">
        <v>0</v>
      </c>
      <c r="BZ215" s="32">
        <v>0</v>
      </c>
      <c r="CA215" s="32">
        <v>0</v>
      </c>
      <c r="CB215" s="125" t="s">
        <v>3185</v>
      </c>
      <c r="CC215" s="125" t="s">
        <v>949</v>
      </c>
      <c r="CD215" s="125"/>
      <c r="CE215" s="125" t="s">
        <v>523</v>
      </c>
      <c r="CF215" s="125" t="s">
        <v>618</v>
      </c>
      <c r="CG215" s="125" t="s">
        <v>3186</v>
      </c>
      <c r="CH215" s="125" t="s">
        <v>504</v>
      </c>
      <c r="CI215" s="125" t="s">
        <v>3187</v>
      </c>
      <c r="CJ215" s="125" t="s">
        <v>3187</v>
      </c>
      <c r="CK215" s="125" t="s">
        <v>3188</v>
      </c>
      <c r="CL215" s="125" t="s">
        <v>212</v>
      </c>
      <c r="CM215" s="125"/>
      <c r="CN215" s="125" t="s">
        <v>257</v>
      </c>
      <c r="CO215" s="125" t="s">
        <v>258</v>
      </c>
      <c r="CP215" s="125" t="s">
        <v>3189</v>
      </c>
      <c r="CQ215" s="125" t="s">
        <v>620</v>
      </c>
      <c r="CR215" s="125" t="s">
        <v>621</v>
      </c>
      <c r="CS215" s="125" t="s">
        <v>2341</v>
      </c>
      <c r="CT215" s="125" t="s">
        <v>257</v>
      </c>
      <c r="CU215" s="125" t="s">
        <v>258</v>
      </c>
      <c r="CV215" s="125" t="s">
        <v>3189</v>
      </c>
      <c r="CW215" s="125" t="s">
        <v>620</v>
      </c>
      <c r="CX215" s="125" t="s">
        <v>621</v>
      </c>
      <c r="CY215" s="125" t="s">
        <v>3190</v>
      </c>
      <c r="CZ215" s="125" t="s">
        <v>2342</v>
      </c>
      <c r="DA215" s="125" t="s">
        <v>2343</v>
      </c>
      <c r="DB215" s="125" t="s">
        <v>3172</v>
      </c>
      <c r="DC215" s="125" t="s">
        <v>1650</v>
      </c>
      <c r="DD215" s="125" t="s">
        <v>3191</v>
      </c>
      <c r="DE215" s="125" t="s">
        <v>3192</v>
      </c>
      <c r="DF215" s="126" t="s">
        <v>3193</v>
      </c>
      <c r="DG215" s="27" cm="1">
        <f t="array" ref="DG215">INDEX('elenco partner'!A:M,MATCH(1,(D215='elenco partner'!A:A)*('Partner data'!M215='elenco partner'!E:E),0),4)</f>
        <v>750</v>
      </c>
      <c r="DH215" s="83" t="str">
        <f t="shared" si="89"/>
        <v>COSTO REALE</v>
      </c>
      <c r="DI215" s="20">
        <f>COUNTIFS('MY-REPORT-MAIN'!C:C,'Partner data'!DG215,'MY-REPORT-MAIN'!I:I,"Certified")</f>
        <v>0</v>
      </c>
      <c r="DJ215" s="20">
        <f>COUNTIFS(List_Of_chek_list!M:M,"&lt;&gt;26",List_Of_chek_list!B:B,'Partner data'!DG215)</f>
        <v>0</v>
      </c>
      <c r="DK215" s="20">
        <f t="shared" si="90"/>
        <v>0</v>
      </c>
      <c r="DL215" s="19" t="str">
        <f>IF(DH215="Tasso Forfettario 20%",SUMIFS(List_Of_chek_list!#REF!,List_Of_chek_list!B:B,'Partner data'!DG215),"NON PERTINENTE")</f>
        <v>NON PERTINENTE</v>
      </c>
      <c r="DM215" s="19" t="str">
        <f t="shared" si="91"/>
        <v>NON PERTINENTE</v>
      </c>
      <c r="DN215" s="110">
        <f>_xlfn.MAXIFS('MY-REPORT-MAIN'!K:K,'MY-REPORT-MAIN'!C:C,DG215)</f>
        <v>0</v>
      </c>
      <c r="DO215" s="112" t="str">
        <f>IF(_xlfn.MAXIFS('MY-REPORT-MAIN'!M:M,'MY-REPORT-MAIN'!C:C,DG215)=0,"Nessun rendiconto  Convalidato",_xlfn.MAXIFS('MY-REPORT-MAIN'!M:M,'MY-REPORT-MAIN'!C:C,DG215))</f>
        <v>Nessun rendiconto  Convalidato</v>
      </c>
      <c r="DP215" s="113" t="str" cm="1">
        <f t="array" ref="DP215">IFERROR(INDEX('MY-REPORT-MAIN'!A:Z,MATCH(1,(DO215='MY-REPORT-MAIN'!M:M)*('Partner data'!DG215='MY-REPORT-MAIN'!C:C),0),1),"NON è stato convalidato ancora nessun rendiconto")</f>
        <v>NON è stato convalidato ancora nessun rendiconto</v>
      </c>
      <c r="DQ215" s="111" t="str">
        <f>IFERROR(INDEX('MY-REPORT-MAIN'!A:Z,MATCH('Partner data'!DP215,'MY-REPORT-MAIN'!A:A,0),21),"Nessun Rendiconto ancora convalidato")</f>
        <v>Nessun Rendiconto ancora convalidato</v>
      </c>
      <c r="DR215" s="110" t="e">
        <f>INDEX('Interreg VI-A Italy-Slovenia_pr'!A:E,MATCH('Partner data'!C215,'Interreg VI-A Italy-Slovenia_pr'!A:A,0),3)</f>
        <v>#N/A</v>
      </c>
      <c r="DS215" s="118">
        <f t="shared" si="76"/>
        <v>35508.639999999999</v>
      </c>
      <c r="DT215" s="118">
        <f t="shared" si="77"/>
        <v>71017.279999999999</v>
      </c>
      <c r="DU215" s="118">
        <f t="shared" si="78"/>
        <v>110025.92</v>
      </c>
      <c r="DV215" s="118">
        <f t="shared" si="79"/>
        <v>149034.59</v>
      </c>
      <c r="DW215" s="118">
        <f t="shared" si="80"/>
        <v>149034.59</v>
      </c>
      <c r="DX215" s="118">
        <f t="shared" si="81"/>
        <v>149034.59</v>
      </c>
      <c r="DY215" s="118">
        <f t="shared" si="82"/>
        <v>149034.59</v>
      </c>
      <c r="DZ215" s="118">
        <f t="shared" si="83"/>
        <v>149034.59</v>
      </c>
      <c r="EA215" s="118">
        <f t="shared" si="84"/>
        <v>149034.59</v>
      </c>
      <c r="EB215" s="118">
        <f t="shared" si="85"/>
        <v>149034.59</v>
      </c>
    </row>
    <row r="216" spans="1:132" ht="45" x14ac:dyDescent="0.25">
      <c r="A216" s="121">
        <v>6</v>
      </c>
      <c r="B216" s="122" t="s">
        <v>2688</v>
      </c>
      <c r="C216" s="123" t="s">
        <v>3153</v>
      </c>
      <c r="D216" s="123" t="s">
        <v>3154</v>
      </c>
      <c r="E216" s="123" t="s">
        <v>3155</v>
      </c>
      <c r="F216" s="123" t="s">
        <v>490</v>
      </c>
      <c r="G216" s="123" t="s">
        <v>6118</v>
      </c>
      <c r="H216" s="123" t="s">
        <v>691</v>
      </c>
      <c r="I216" s="123" t="s">
        <v>692</v>
      </c>
      <c r="J216" s="124" t="s">
        <v>570</v>
      </c>
      <c r="K216" s="124" t="s">
        <v>495</v>
      </c>
      <c r="L216" s="124" t="s">
        <v>519</v>
      </c>
      <c r="M216" s="124" t="s">
        <v>377</v>
      </c>
      <c r="N216" s="124" t="s">
        <v>2367</v>
      </c>
      <c r="O216" s="124" t="s">
        <v>702</v>
      </c>
      <c r="P216" s="124" t="s">
        <v>254</v>
      </c>
      <c r="Q216" s="124" t="s">
        <v>499</v>
      </c>
      <c r="R216" s="124" t="s">
        <v>255</v>
      </c>
      <c r="S216" s="32">
        <v>115001.60000000001</v>
      </c>
      <c r="T216" s="32">
        <v>80</v>
      </c>
      <c r="U216" s="32">
        <v>15.16</v>
      </c>
      <c r="V216" s="32">
        <v>0</v>
      </c>
      <c r="W216" s="32">
        <v>0</v>
      </c>
      <c r="X216" s="32">
        <v>0</v>
      </c>
      <c r="Y216" s="32">
        <v>0</v>
      </c>
      <c r="Z216" s="32">
        <v>0</v>
      </c>
      <c r="AA216" s="32">
        <v>0</v>
      </c>
      <c r="AB216" s="32">
        <v>0</v>
      </c>
      <c r="AC216" s="32">
        <v>0</v>
      </c>
      <c r="AD216" s="32">
        <v>0</v>
      </c>
      <c r="AE216" s="32">
        <v>0</v>
      </c>
      <c r="AF216" s="32">
        <v>0</v>
      </c>
      <c r="AG216" s="32">
        <v>0</v>
      </c>
      <c r="AH216" s="32">
        <v>0</v>
      </c>
      <c r="AI216" s="32">
        <v>0</v>
      </c>
      <c r="AJ216" s="32">
        <v>0</v>
      </c>
      <c r="AK216" s="32">
        <v>0</v>
      </c>
      <c r="AL216" s="32">
        <v>0</v>
      </c>
      <c r="AM216" s="32">
        <v>0</v>
      </c>
      <c r="AN216" s="32">
        <v>0</v>
      </c>
      <c r="AO216" s="32">
        <v>28750.400000000001</v>
      </c>
      <c r="AP216" s="32">
        <v>0</v>
      </c>
      <c r="AQ216" s="32">
        <v>28750.400000000001</v>
      </c>
      <c r="AR216" s="32">
        <v>143752</v>
      </c>
      <c r="AS216" s="32">
        <v>15.16</v>
      </c>
      <c r="AT216" s="32">
        <v>102680</v>
      </c>
      <c r="AU216" s="32">
        <v>0</v>
      </c>
      <c r="AV216" s="32">
        <v>0</v>
      </c>
      <c r="AW216" s="32">
        <v>102680</v>
      </c>
      <c r="AX216" s="32">
        <v>0</v>
      </c>
      <c r="AY216" s="32">
        <v>0</v>
      </c>
      <c r="AZ216" s="32">
        <v>0</v>
      </c>
      <c r="BA216" s="32">
        <v>0</v>
      </c>
      <c r="BB216" s="32">
        <v>0</v>
      </c>
      <c r="BC216" s="32">
        <v>0</v>
      </c>
      <c r="BD216" s="32">
        <v>0</v>
      </c>
      <c r="BE216" s="32">
        <v>0</v>
      </c>
      <c r="BF216" s="32">
        <v>0</v>
      </c>
      <c r="BG216" s="32">
        <v>0</v>
      </c>
      <c r="BH216" s="32">
        <v>0</v>
      </c>
      <c r="BI216" s="32">
        <v>0</v>
      </c>
      <c r="BJ216" s="32">
        <v>0</v>
      </c>
      <c r="BK216" s="32">
        <v>0</v>
      </c>
      <c r="BL216" s="32">
        <v>0</v>
      </c>
      <c r="BM216" s="32">
        <v>41072</v>
      </c>
      <c r="BN216" s="32">
        <v>0</v>
      </c>
      <c r="BO216" s="32">
        <v>0</v>
      </c>
      <c r="BP216" s="32">
        <v>0</v>
      </c>
      <c r="BQ216" s="32">
        <v>23520</v>
      </c>
      <c r="BR216" s="32">
        <v>38010</v>
      </c>
      <c r="BS216" s="32">
        <v>41300</v>
      </c>
      <c r="BT216" s="32">
        <v>40922</v>
      </c>
      <c r="BU216" s="32">
        <v>0</v>
      </c>
      <c r="BV216" s="32">
        <v>0</v>
      </c>
      <c r="BW216" s="32">
        <v>0</v>
      </c>
      <c r="BX216" s="32">
        <v>0</v>
      </c>
      <c r="BY216" s="32">
        <v>0</v>
      </c>
      <c r="BZ216" s="32">
        <v>0</v>
      </c>
      <c r="CA216" s="32">
        <v>0</v>
      </c>
      <c r="CB216" s="125" t="s">
        <v>212</v>
      </c>
      <c r="CC216" s="125" t="s">
        <v>596</v>
      </c>
      <c r="CD216" s="125"/>
      <c r="CE216" s="125" t="s">
        <v>501</v>
      </c>
      <c r="CF216" s="125" t="s">
        <v>618</v>
      </c>
      <c r="CG216" s="125" t="s">
        <v>2781</v>
      </c>
      <c r="CH216" s="125" t="s">
        <v>526</v>
      </c>
      <c r="CI216" s="125" t="s">
        <v>3187</v>
      </c>
      <c r="CJ216" s="125" t="s">
        <v>3176</v>
      </c>
      <c r="CK216" s="125" t="s">
        <v>704</v>
      </c>
      <c r="CL216" s="125" t="s">
        <v>212</v>
      </c>
      <c r="CM216" s="125"/>
      <c r="CN216" s="125" t="s">
        <v>254</v>
      </c>
      <c r="CO216" s="125" t="s">
        <v>255</v>
      </c>
      <c r="CP216" s="125" t="s">
        <v>2782</v>
      </c>
      <c r="CQ216" s="125" t="s">
        <v>666</v>
      </c>
      <c r="CR216" s="125" t="s">
        <v>529</v>
      </c>
      <c r="CS216" s="125" t="s">
        <v>667</v>
      </c>
      <c r="CT216" s="125"/>
      <c r="CU216" s="125"/>
      <c r="CV216" s="125"/>
      <c r="CW216" s="125"/>
      <c r="CX216" s="125"/>
      <c r="CY216" s="125" t="s">
        <v>3194</v>
      </c>
      <c r="CZ216" s="125" t="s">
        <v>668</v>
      </c>
      <c r="DA216" s="125" t="s">
        <v>669</v>
      </c>
      <c r="DB216" s="125" t="s">
        <v>531</v>
      </c>
      <c r="DC216" s="125" t="s">
        <v>670</v>
      </c>
      <c r="DD216" s="125" t="s">
        <v>671</v>
      </c>
      <c r="DE216" s="125" t="s">
        <v>672</v>
      </c>
      <c r="DF216" s="126" t="s">
        <v>3195</v>
      </c>
      <c r="DG216" s="27" cm="1">
        <f t="array" ref="DG216">INDEX('elenco partner'!A:M,MATCH(1,(D216='elenco partner'!A:A)*('Partner data'!M216='elenco partner'!E:E),0),4)</f>
        <v>753</v>
      </c>
      <c r="DH216" s="83" t="str">
        <f t="shared" si="89"/>
        <v>Costo Unitario Standard</v>
      </c>
      <c r="DI216" s="20">
        <f>COUNTIFS('MY-REPORT-MAIN'!C:C,'Partner data'!DG216,'MY-REPORT-MAIN'!I:I,"Certified")</f>
        <v>0</v>
      </c>
      <c r="DJ216" s="20">
        <f>COUNTIFS(List_Of_chek_list!M:M,"&lt;&gt;26",List_Of_chek_list!B:B,'Partner data'!DG216)</f>
        <v>0</v>
      </c>
      <c r="DK216" s="20">
        <f t="shared" si="90"/>
        <v>0</v>
      </c>
      <c r="DL216" s="19" t="str">
        <f>IF(DH216="Tasso Forfettario 20%",SUMIFS(List_Of_chek_list!#REF!,List_Of_chek_list!B:B,'Partner data'!DG216),"NON PERTINENTE")</f>
        <v>NON PERTINENTE</v>
      </c>
      <c r="DM216" s="19" t="str">
        <f t="shared" si="91"/>
        <v>NON PERTINENTE</v>
      </c>
      <c r="DN216" s="110">
        <f>_xlfn.MAXIFS('MY-REPORT-MAIN'!K:K,'MY-REPORT-MAIN'!C:C,DG216)</f>
        <v>0</v>
      </c>
      <c r="DO216" s="112" t="str">
        <f>IF(_xlfn.MAXIFS('MY-REPORT-MAIN'!M:M,'MY-REPORT-MAIN'!C:C,DG216)=0,"Nessun rendiconto  Convalidato",_xlfn.MAXIFS('MY-REPORT-MAIN'!M:M,'MY-REPORT-MAIN'!C:C,DG216))</f>
        <v>Nessun rendiconto  Convalidato</v>
      </c>
      <c r="DP216" s="113" t="str" cm="1">
        <f t="array" ref="DP216">IFERROR(INDEX('MY-REPORT-MAIN'!A:Z,MATCH(1,(DO216='MY-REPORT-MAIN'!M:M)*('Partner data'!DG216='MY-REPORT-MAIN'!C:C),0),1),"NON è stato convalidato ancora nessun rendiconto")</f>
        <v>NON è stato convalidato ancora nessun rendiconto</v>
      </c>
      <c r="DQ216" s="111" t="str">
        <f>IFERROR(INDEX('MY-REPORT-MAIN'!A:Z,MATCH('Partner data'!DP216,'MY-REPORT-MAIN'!A:A,0),21),"Nessun Rendiconto ancora convalidato")</f>
        <v>Nessun Rendiconto ancora convalidato</v>
      </c>
      <c r="DR216" s="110" t="e">
        <f>INDEX('Interreg VI-A Italy-Slovenia_pr'!A:E,MATCH('Partner data'!C216,'Interreg VI-A Italy-Slovenia_pr'!A:A,0),3)</f>
        <v>#N/A</v>
      </c>
      <c r="DS216" s="118">
        <f t="shared" si="76"/>
        <v>23520</v>
      </c>
      <c r="DT216" s="118">
        <f t="shared" si="77"/>
        <v>61530</v>
      </c>
      <c r="DU216" s="118">
        <f t="shared" si="78"/>
        <v>102830</v>
      </c>
      <c r="DV216" s="118">
        <f t="shared" si="79"/>
        <v>143752</v>
      </c>
      <c r="DW216" s="118">
        <f t="shared" si="80"/>
        <v>143752</v>
      </c>
      <c r="DX216" s="118">
        <f t="shared" si="81"/>
        <v>143752</v>
      </c>
      <c r="DY216" s="118">
        <f t="shared" si="82"/>
        <v>143752</v>
      </c>
      <c r="DZ216" s="118">
        <f t="shared" si="83"/>
        <v>143752</v>
      </c>
      <c r="EA216" s="118">
        <f t="shared" si="84"/>
        <v>143752</v>
      </c>
      <c r="EB216" s="118">
        <f t="shared" si="85"/>
        <v>143752</v>
      </c>
    </row>
    <row r="217" spans="1:132" ht="45" x14ac:dyDescent="0.25">
      <c r="A217" s="121">
        <v>6</v>
      </c>
      <c r="B217" s="122" t="s">
        <v>2688</v>
      </c>
      <c r="C217" s="123" t="s">
        <v>3153</v>
      </c>
      <c r="D217" s="123" t="s">
        <v>3154</v>
      </c>
      <c r="E217" s="123" t="s">
        <v>3155</v>
      </c>
      <c r="F217" s="123" t="s">
        <v>490</v>
      </c>
      <c r="G217" s="123" t="s">
        <v>6118</v>
      </c>
      <c r="H217" s="123" t="s">
        <v>691</v>
      </c>
      <c r="I217" s="123" t="s">
        <v>692</v>
      </c>
      <c r="J217" s="124" t="s">
        <v>581</v>
      </c>
      <c r="K217" s="124" t="s">
        <v>495</v>
      </c>
      <c r="L217" s="124" t="s">
        <v>519</v>
      </c>
      <c r="M217" s="124" t="s">
        <v>1025</v>
      </c>
      <c r="N217" s="124" t="s">
        <v>3196</v>
      </c>
      <c r="O217" s="124" t="s">
        <v>2778</v>
      </c>
      <c r="P217" s="124" t="s">
        <v>257</v>
      </c>
      <c r="Q217" s="124" t="s">
        <v>556</v>
      </c>
      <c r="R217" s="124" t="s">
        <v>258</v>
      </c>
      <c r="S217" s="32">
        <v>134104.79999999999</v>
      </c>
      <c r="T217" s="32">
        <v>80</v>
      </c>
      <c r="U217" s="32">
        <v>17.68</v>
      </c>
      <c r="V217" s="32">
        <v>0</v>
      </c>
      <c r="W217" s="32">
        <v>0</v>
      </c>
      <c r="X217" s="32">
        <v>0</v>
      </c>
      <c r="Y217" s="32">
        <v>0</v>
      </c>
      <c r="Z217" s="32">
        <v>0</v>
      </c>
      <c r="AA217" s="32">
        <v>0</v>
      </c>
      <c r="AB217" s="32">
        <v>0</v>
      </c>
      <c r="AC217" s="32">
        <v>0</v>
      </c>
      <c r="AD217" s="32">
        <v>0</v>
      </c>
      <c r="AE217" s="32">
        <v>0</v>
      </c>
      <c r="AF217" s="32">
        <v>0</v>
      </c>
      <c r="AG217" s="32">
        <v>0</v>
      </c>
      <c r="AH217" s="32">
        <v>0</v>
      </c>
      <c r="AI217" s="32">
        <v>0</v>
      </c>
      <c r="AJ217" s="32">
        <v>0</v>
      </c>
      <c r="AK217" s="32">
        <v>0</v>
      </c>
      <c r="AL217" s="32">
        <v>0</v>
      </c>
      <c r="AM217" s="32">
        <v>0</v>
      </c>
      <c r="AN217" s="32">
        <v>33526.21</v>
      </c>
      <c r="AO217" s="32">
        <v>0</v>
      </c>
      <c r="AP217" s="32">
        <v>0</v>
      </c>
      <c r="AQ217" s="32">
        <v>33526.21</v>
      </c>
      <c r="AR217" s="32">
        <v>167631.01</v>
      </c>
      <c r="AS217" s="32">
        <v>17.68</v>
      </c>
      <c r="AT217" s="32">
        <v>140866.4</v>
      </c>
      <c r="AU217" s="32">
        <v>0</v>
      </c>
      <c r="AV217" s="32">
        <v>140866.4</v>
      </c>
      <c r="AW217" s="32">
        <v>0</v>
      </c>
      <c r="AX217" s="32">
        <v>21129.96</v>
      </c>
      <c r="AY217" s="32">
        <v>21129.96</v>
      </c>
      <c r="AZ217" s="32">
        <v>5634.65</v>
      </c>
      <c r="BA217" s="32">
        <v>5634.65</v>
      </c>
      <c r="BB217" s="32">
        <v>0</v>
      </c>
      <c r="BC217" s="32">
        <v>0</v>
      </c>
      <c r="BD217" s="32">
        <v>0</v>
      </c>
      <c r="BE217" s="32">
        <v>0</v>
      </c>
      <c r="BF217" s="32">
        <v>0</v>
      </c>
      <c r="BG217" s="32">
        <v>0</v>
      </c>
      <c r="BH217" s="32">
        <v>0</v>
      </c>
      <c r="BI217" s="32">
        <v>0</v>
      </c>
      <c r="BJ217" s="32">
        <v>0</v>
      </c>
      <c r="BK217" s="32">
        <v>0</v>
      </c>
      <c r="BL217" s="32">
        <v>0</v>
      </c>
      <c r="BM217" s="32">
        <v>0</v>
      </c>
      <c r="BN217" s="32">
        <v>0</v>
      </c>
      <c r="BO217" s="32">
        <v>0</v>
      </c>
      <c r="BP217" s="32">
        <v>0</v>
      </c>
      <c r="BQ217" s="32">
        <v>75434</v>
      </c>
      <c r="BR217" s="32">
        <v>45260.39</v>
      </c>
      <c r="BS217" s="32">
        <v>30173.56</v>
      </c>
      <c r="BT217" s="32">
        <v>16763.060000000001</v>
      </c>
      <c r="BU217" s="32">
        <v>0</v>
      </c>
      <c r="BV217" s="32">
        <v>0</v>
      </c>
      <c r="BW217" s="32">
        <v>0</v>
      </c>
      <c r="BX217" s="32">
        <v>0</v>
      </c>
      <c r="BY217" s="32">
        <v>0</v>
      </c>
      <c r="BZ217" s="32">
        <v>0</v>
      </c>
      <c r="CA217" s="32">
        <v>0</v>
      </c>
      <c r="CB217" s="125" t="s">
        <v>212</v>
      </c>
      <c r="CC217" s="125" t="s">
        <v>624</v>
      </c>
      <c r="CD217" s="125"/>
      <c r="CE217" s="125" t="s">
        <v>523</v>
      </c>
      <c r="CF217" s="125" t="s">
        <v>950</v>
      </c>
      <c r="CG217" s="125" t="s">
        <v>1026</v>
      </c>
      <c r="CH217" s="125" t="s">
        <v>619</v>
      </c>
      <c r="CI217" s="125" t="s">
        <v>3197</v>
      </c>
      <c r="CJ217" s="125" t="s">
        <v>3198</v>
      </c>
      <c r="CK217" s="125" t="s">
        <v>1027</v>
      </c>
      <c r="CL217" s="125" t="s">
        <v>212</v>
      </c>
      <c r="CM217" s="125"/>
      <c r="CN217" s="125" t="s">
        <v>257</v>
      </c>
      <c r="CO217" s="125" t="s">
        <v>258</v>
      </c>
      <c r="CP217" s="125" t="s">
        <v>3199</v>
      </c>
      <c r="CQ217" s="125" t="s">
        <v>620</v>
      </c>
      <c r="CR217" s="125" t="s">
        <v>953</v>
      </c>
      <c r="CS217" s="125" t="s">
        <v>3200</v>
      </c>
      <c r="CT217" s="125"/>
      <c r="CU217" s="125"/>
      <c r="CV217" s="125"/>
      <c r="CW217" s="125"/>
      <c r="CX217" s="125"/>
      <c r="CY217" s="125" t="s">
        <v>3201</v>
      </c>
      <c r="CZ217" s="125" t="s">
        <v>3202</v>
      </c>
      <c r="DA217" s="125" t="s">
        <v>3203</v>
      </c>
      <c r="DB217" s="125" t="s">
        <v>3201</v>
      </c>
      <c r="DC217" s="125" t="s">
        <v>3204</v>
      </c>
      <c r="DD217" s="125" t="s">
        <v>3205</v>
      </c>
      <c r="DE217" s="125" t="s">
        <v>3206</v>
      </c>
      <c r="DF217" s="126" t="s">
        <v>3207</v>
      </c>
      <c r="DG217" s="27" cm="1">
        <f t="array" ref="DG217">INDEX('elenco partner'!A:M,MATCH(1,(D217='elenco partner'!A:A)*('Partner data'!M217='elenco partner'!E:E),0),4)</f>
        <v>757</v>
      </c>
      <c r="DH217" s="83" t="str">
        <f t="shared" si="89"/>
        <v>COSTO REALE</v>
      </c>
      <c r="DI217" s="20">
        <f>COUNTIFS('MY-REPORT-MAIN'!C:C,'Partner data'!DG217,'MY-REPORT-MAIN'!I:I,"Certified")</f>
        <v>0</v>
      </c>
      <c r="DJ217" s="20">
        <f>COUNTIFS(List_Of_chek_list!M:M,"&lt;&gt;26",List_Of_chek_list!B:B,'Partner data'!DG217)</f>
        <v>0</v>
      </c>
      <c r="DK217" s="20">
        <f t="shared" si="90"/>
        <v>0</v>
      </c>
      <c r="DL217" s="19" t="str">
        <f>IF(DH217="Tasso Forfettario 20%",SUMIFS(List_Of_chek_list!#REF!,List_Of_chek_list!B:B,'Partner data'!DG217),"NON PERTINENTE")</f>
        <v>NON PERTINENTE</v>
      </c>
      <c r="DM217" s="19" t="str">
        <f t="shared" si="91"/>
        <v>NON PERTINENTE</v>
      </c>
      <c r="DN217" s="110">
        <f>_xlfn.MAXIFS('MY-REPORT-MAIN'!K:K,'MY-REPORT-MAIN'!C:C,DG217)</f>
        <v>0</v>
      </c>
      <c r="DO217" s="112" t="str">
        <f>IF(_xlfn.MAXIFS('MY-REPORT-MAIN'!M:M,'MY-REPORT-MAIN'!C:C,DG217)=0,"Nessun rendiconto  Convalidato",_xlfn.MAXIFS('MY-REPORT-MAIN'!M:M,'MY-REPORT-MAIN'!C:C,DG217))</f>
        <v>Nessun rendiconto  Convalidato</v>
      </c>
      <c r="DP217" s="113" t="str" cm="1">
        <f t="array" ref="DP217">IFERROR(INDEX('MY-REPORT-MAIN'!A:Z,MATCH(1,(DO217='MY-REPORT-MAIN'!M:M)*('Partner data'!DG217='MY-REPORT-MAIN'!C:C),0),1),"NON è stato convalidato ancora nessun rendiconto")</f>
        <v>NON è stato convalidato ancora nessun rendiconto</v>
      </c>
      <c r="DQ217" s="111" t="str">
        <f>IFERROR(INDEX('MY-REPORT-MAIN'!A:Z,MATCH('Partner data'!DP217,'MY-REPORT-MAIN'!A:A,0),21),"Nessun Rendiconto ancora convalidato")</f>
        <v>Nessun Rendiconto ancora convalidato</v>
      </c>
      <c r="DR217" s="110" t="e">
        <f>INDEX('Interreg VI-A Italy-Slovenia_pr'!A:E,MATCH('Partner data'!C217,'Interreg VI-A Italy-Slovenia_pr'!A:A,0),3)</f>
        <v>#N/A</v>
      </c>
      <c r="DS217" s="118">
        <f t="shared" si="76"/>
        <v>75434</v>
      </c>
      <c r="DT217" s="118">
        <f t="shared" si="77"/>
        <v>120694.39</v>
      </c>
      <c r="DU217" s="118">
        <f t="shared" si="78"/>
        <v>150867.95000000001</v>
      </c>
      <c r="DV217" s="118">
        <f t="shared" si="79"/>
        <v>167631.01</v>
      </c>
      <c r="DW217" s="118">
        <f t="shared" si="80"/>
        <v>167631.01</v>
      </c>
      <c r="DX217" s="118">
        <f t="shared" si="81"/>
        <v>167631.01</v>
      </c>
      <c r="DY217" s="118">
        <f t="shared" si="82"/>
        <v>167631.01</v>
      </c>
      <c r="DZ217" s="118">
        <f t="shared" si="83"/>
        <v>167631.01</v>
      </c>
      <c r="EA217" s="118">
        <f t="shared" si="84"/>
        <v>167631.01</v>
      </c>
      <c r="EB217" s="118">
        <f t="shared" si="85"/>
        <v>167631.01</v>
      </c>
    </row>
    <row r="218" spans="1:132" ht="45" x14ac:dyDescent="0.25">
      <c r="A218" s="121">
        <v>6</v>
      </c>
      <c r="B218" s="122" t="s">
        <v>2688</v>
      </c>
      <c r="C218" s="123" t="s">
        <v>3208</v>
      </c>
      <c r="D218" s="123" t="s">
        <v>3209</v>
      </c>
      <c r="E218" s="123" t="s">
        <v>3210</v>
      </c>
      <c r="F218" s="123" t="s">
        <v>490</v>
      </c>
      <c r="G218" s="123" t="s">
        <v>6118</v>
      </c>
      <c r="H218" s="123" t="s">
        <v>691</v>
      </c>
      <c r="I218" s="123" t="s">
        <v>945</v>
      </c>
      <c r="J218" s="124" t="s">
        <v>494</v>
      </c>
      <c r="K218" s="124" t="s">
        <v>495</v>
      </c>
      <c r="L218" s="124" t="s">
        <v>496</v>
      </c>
      <c r="M218" s="124" t="s">
        <v>285</v>
      </c>
      <c r="N218" s="124" t="s">
        <v>3211</v>
      </c>
      <c r="O218" s="124" t="s">
        <v>3212</v>
      </c>
      <c r="P218" s="124" t="s">
        <v>257</v>
      </c>
      <c r="Q218" s="124" t="s">
        <v>556</v>
      </c>
      <c r="R218" s="124" t="s">
        <v>270</v>
      </c>
      <c r="S218" s="32">
        <v>241132.48</v>
      </c>
      <c r="T218" s="32">
        <v>80</v>
      </c>
      <c r="U218" s="32">
        <v>28.51</v>
      </c>
      <c r="V218" s="32">
        <v>0</v>
      </c>
      <c r="W218" s="32">
        <v>0</v>
      </c>
      <c r="X218" s="32">
        <v>0</v>
      </c>
      <c r="Y218" s="32">
        <v>0</v>
      </c>
      <c r="Z218" s="32">
        <v>0</v>
      </c>
      <c r="AA218" s="32">
        <v>0</v>
      </c>
      <c r="AB218" s="32">
        <v>0</v>
      </c>
      <c r="AC218" s="32">
        <v>0</v>
      </c>
      <c r="AD218" s="32">
        <v>0</v>
      </c>
      <c r="AE218" s="32">
        <v>0</v>
      </c>
      <c r="AF218" s="32">
        <v>0</v>
      </c>
      <c r="AG218" s="32">
        <v>0</v>
      </c>
      <c r="AH218" s="32">
        <v>0</v>
      </c>
      <c r="AI218" s="32">
        <v>0</v>
      </c>
      <c r="AJ218" s="32">
        <v>0</v>
      </c>
      <c r="AK218" s="32">
        <v>0</v>
      </c>
      <c r="AL218" s="32">
        <v>0</v>
      </c>
      <c r="AM218" s="32">
        <v>0</v>
      </c>
      <c r="AN218" s="32">
        <v>60283.12</v>
      </c>
      <c r="AO218" s="32">
        <v>0</v>
      </c>
      <c r="AP218" s="32">
        <v>0</v>
      </c>
      <c r="AQ218" s="32">
        <v>60283.12</v>
      </c>
      <c r="AR218" s="32">
        <v>301415.59999999998</v>
      </c>
      <c r="AS218" s="32">
        <v>28.51</v>
      </c>
      <c r="AT218" s="32">
        <v>47240</v>
      </c>
      <c r="AU218" s="32">
        <v>47240</v>
      </c>
      <c r="AV218" s="32">
        <v>0</v>
      </c>
      <c r="AW218" s="32">
        <v>0</v>
      </c>
      <c r="AX218" s="32">
        <v>7086</v>
      </c>
      <c r="AY218" s="32">
        <v>7086</v>
      </c>
      <c r="AZ218" s="32">
        <v>1889.6</v>
      </c>
      <c r="BA218" s="32">
        <v>1889.6</v>
      </c>
      <c r="BB218" s="32">
        <v>0</v>
      </c>
      <c r="BC218" s="32">
        <v>0</v>
      </c>
      <c r="BD218" s="32">
        <v>230200</v>
      </c>
      <c r="BE218" s="32">
        <v>230200</v>
      </c>
      <c r="BF218" s="32">
        <v>0</v>
      </c>
      <c r="BG218" s="32">
        <v>6000</v>
      </c>
      <c r="BH218" s="32">
        <v>6000</v>
      </c>
      <c r="BI218" s="32">
        <v>0</v>
      </c>
      <c r="BJ218" s="32">
        <v>0</v>
      </c>
      <c r="BK218" s="32">
        <v>0</v>
      </c>
      <c r="BL218" s="32">
        <v>0</v>
      </c>
      <c r="BM218" s="32">
        <v>0</v>
      </c>
      <c r="BN218" s="32">
        <v>0</v>
      </c>
      <c r="BO218" s="32">
        <v>9000</v>
      </c>
      <c r="BP218" s="32">
        <v>9000</v>
      </c>
      <c r="BQ218" s="32">
        <v>96564</v>
      </c>
      <c r="BR218" s="32">
        <v>49024.800000000003</v>
      </c>
      <c r="BS218" s="32">
        <v>92354.8</v>
      </c>
      <c r="BT218" s="32">
        <v>54472</v>
      </c>
      <c r="BU218" s="32">
        <v>0</v>
      </c>
      <c r="BV218" s="32">
        <v>0</v>
      </c>
      <c r="BW218" s="32">
        <v>0</v>
      </c>
      <c r="BX218" s="32">
        <v>0</v>
      </c>
      <c r="BY218" s="32">
        <v>0</v>
      </c>
      <c r="BZ218" s="32">
        <v>0</v>
      </c>
      <c r="CA218" s="32">
        <v>0</v>
      </c>
      <c r="CB218" s="125" t="s">
        <v>3213</v>
      </c>
      <c r="CC218" s="125" t="s">
        <v>949</v>
      </c>
      <c r="CD218" s="125"/>
      <c r="CE218" s="125" t="s">
        <v>523</v>
      </c>
      <c r="CF218" s="125" t="s">
        <v>967</v>
      </c>
      <c r="CG218" s="125" t="s">
        <v>2452</v>
      </c>
      <c r="CH218" s="125" t="s">
        <v>526</v>
      </c>
      <c r="CI218" s="125" t="s">
        <v>983</v>
      </c>
      <c r="CJ218" s="125" t="s">
        <v>3214</v>
      </c>
      <c r="CK218" s="125" t="s">
        <v>984</v>
      </c>
      <c r="CL218" s="125" t="s">
        <v>212</v>
      </c>
      <c r="CM218" s="125"/>
      <c r="CN218" s="125" t="s">
        <v>257</v>
      </c>
      <c r="CO218" s="125" t="s">
        <v>270</v>
      </c>
      <c r="CP218" s="125" t="s">
        <v>2453</v>
      </c>
      <c r="CQ218" s="125" t="s">
        <v>3215</v>
      </c>
      <c r="CR218" s="125" t="s">
        <v>987</v>
      </c>
      <c r="CS218" s="125" t="s">
        <v>988</v>
      </c>
      <c r="CT218" s="125" t="s">
        <v>257</v>
      </c>
      <c r="CU218" s="125" t="s">
        <v>270</v>
      </c>
      <c r="CV218" s="125" t="s">
        <v>3216</v>
      </c>
      <c r="CW218" s="125" t="s">
        <v>3213</v>
      </c>
      <c r="CX218" s="125" t="s">
        <v>3213</v>
      </c>
      <c r="CY218" s="125" t="s">
        <v>892</v>
      </c>
      <c r="CZ218" s="125" t="s">
        <v>1978</v>
      </c>
      <c r="DA218" s="125" t="s">
        <v>992</v>
      </c>
      <c r="DB218" s="125" t="s">
        <v>895</v>
      </c>
      <c r="DC218" s="125" t="s">
        <v>639</v>
      </c>
      <c r="DD218" s="125" t="s">
        <v>995</v>
      </c>
      <c r="DE218" s="125" t="s">
        <v>6128</v>
      </c>
      <c r="DF218" s="126" t="s">
        <v>3217</v>
      </c>
      <c r="DG218" s="27" cm="1">
        <f t="array" ref="DG218">INDEX('elenco partner'!A:M,MATCH(1,(D218='elenco partner'!A:A)*('Partner data'!M218='elenco partner'!E:E),0),4)</f>
        <v>577</v>
      </c>
      <c r="DH218" s="83" t="str">
        <f t="shared" si="89"/>
        <v>Tasso Forfettario 20%</v>
      </c>
      <c r="DI218" s="20">
        <f>COUNTIFS('MY-REPORT-MAIN'!C:C,'Partner data'!DG218,'MY-REPORT-MAIN'!I:I,"Certified")</f>
        <v>0</v>
      </c>
      <c r="DJ218" s="20">
        <f>COUNTIFS(List_Of_chek_list!M:M,"&lt;&gt;26",List_Of_chek_list!B:B,'Partner data'!DG218)</f>
        <v>0</v>
      </c>
      <c r="DK218" s="20">
        <f t="shared" si="90"/>
        <v>0</v>
      </c>
      <c r="DL218" s="19" t="e">
        <f>IF(DH218="Tasso Forfettario 20%",SUMIFS(List_Of_chek_list!#REF!,List_Of_chek_list!B:B,'Partner data'!DG218),"NON PERTINENTE")</f>
        <v>#REF!</v>
      </c>
      <c r="DM218" s="19" t="e">
        <f t="shared" si="91"/>
        <v>#REF!</v>
      </c>
      <c r="DN218" s="110">
        <f>_xlfn.MAXIFS('MY-REPORT-MAIN'!K:K,'MY-REPORT-MAIN'!C:C,DG218)</f>
        <v>0</v>
      </c>
      <c r="DO218" s="112" t="str">
        <f>IF(_xlfn.MAXIFS('MY-REPORT-MAIN'!M:M,'MY-REPORT-MAIN'!C:C,DG218)=0,"Nessun rendiconto  Convalidato",_xlfn.MAXIFS('MY-REPORT-MAIN'!M:M,'MY-REPORT-MAIN'!C:C,DG218))</f>
        <v>Nessun rendiconto  Convalidato</v>
      </c>
      <c r="DP218" s="113" t="str" cm="1">
        <f t="array" ref="DP218">IFERROR(INDEX('MY-REPORT-MAIN'!A:Z,MATCH(1,(DO218='MY-REPORT-MAIN'!M:M)*('Partner data'!DG218='MY-REPORT-MAIN'!C:C),0),1),"NON è stato convalidato ancora nessun rendiconto")</f>
        <v>NON è stato convalidato ancora nessun rendiconto</v>
      </c>
      <c r="DQ218" s="111" t="str">
        <f>IFERROR(INDEX('MY-REPORT-MAIN'!A:Z,MATCH('Partner data'!DP218,'MY-REPORT-MAIN'!A:A,0),21),"Nessun Rendiconto ancora convalidato")</f>
        <v>Nessun Rendiconto ancora convalidato</v>
      </c>
      <c r="DR218" s="110" t="e">
        <f>INDEX('Interreg VI-A Italy-Slovenia_pr'!A:E,MATCH('Partner data'!C218,'Interreg VI-A Italy-Slovenia_pr'!A:A,0),3)</f>
        <v>#N/A</v>
      </c>
      <c r="DS218" s="118">
        <f t="shared" si="76"/>
        <v>105564</v>
      </c>
      <c r="DT218" s="118">
        <f t="shared" si="77"/>
        <v>154588.79999999999</v>
      </c>
      <c r="DU218" s="118">
        <f t="shared" si="78"/>
        <v>246943.59999999998</v>
      </c>
      <c r="DV218" s="118">
        <f t="shared" si="79"/>
        <v>301415.59999999998</v>
      </c>
      <c r="DW218" s="118">
        <f t="shared" si="80"/>
        <v>301415.59999999998</v>
      </c>
      <c r="DX218" s="118">
        <f t="shared" si="81"/>
        <v>301415.59999999998</v>
      </c>
      <c r="DY218" s="118">
        <f t="shared" si="82"/>
        <v>301415.59999999998</v>
      </c>
      <c r="DZ218" s="118">
        <f t="shared" si="83"/>
        <v>301415.59999999998</v>
      </c>
      <c r="EA218" s="118">
        <f t="shared" si="84"/>
        <v>301415.59999999998</v>
      </c>
      <c r="EB218" s="118">
        <f t="shared" si="85"/>
        <v>301415.59999999998</v>
      </c>
    </row>
    <row r="219" spans="1:132" ht="45" x14ac:dyDescent="0.25">
      <c r="A219" s="121">
        <v>6</v>
      </c>
      <c r="B219" s="122" t="s">
        <v>2688</v>
      </c>
      <c r="C219" s="123" t="s">
        <v>3208</v>
      </c>
      <c r="D219" s="123" t="s">
        <v>3209</v>
      </c>
      <c r="E219" s="123" t="s">
        <v>3210</v>
      </c>
      <c r="F219" s="123" t="s">
        <v>490</v>
      </c>
      <c r="G219" s="123" t="s">
        <v>6118</v>
      </c>
      <c r="H219" s="123" t="s">
        <v>691</v>
      </c>
      <c r="I219" s="123" t="s">
        <v>945</v>
      </c>
      <c r="J219" s="124" t="s">
        <v>518</v>
      </c>
      <c r="K219" s="124" t="s">
        <v>495</v>
      </c>
      <c r="L219" s="124" t="s">
        <v>519</v>
      </c>
      <c r="M219" s="124" t="s">
        <v>3218</v>
      </c>
      <c r="N219" s="124" t="s">
        <v>733</v>
      </c>
      <c r="O219" s="124" t="s">
        <v>3219</v>
      </c>
      <c r="P219" s="124" t="s">
        <v>254</v>
      </c>
      <c r="Q219" s="124" t="s">
        <v>499</v>
      </c>
      <c r="R219" s="124" t="s">
        <v>255</v>
      </c>
      <c r="S219" s="32">
        <v>200023.35</v>
      </c>
      <c r="T219" s="32">
        <v>80</v>
      </c>
      <c r="U219" s="32">
        <v>23.65</v>
      </c>
      <c r="V219" s="32">
        <v>0</v>
      </c>
      <c r="W219" s="32">
        <v>0</v>
      </c>
      <c r="X219" s="32">
        <v>0</v>
      </c>
      <c r="Y219" s="32">
        <v>0</v>
      </c>
      <c r="Z219" s="32">
        <v>0</v>
      </c>
      <c r="AA219" s="32">
        <v>0</v>
      </c>
      <c r="AB219" s="32">
        <v>0</v>
      </c>
      <c r="AC219" s="32">
        <v>0</v>
      </c>
      <c r="AD219" s="32">
        <v>0</v>
      </c>
      <c r="AE219" s="32">
        <v>0</v>
      </c>
      <c r="AF219" s="32">
        <v>0</v>
      </c>
      <c r="AG219" s="32">
        <v>0</v>
      </c>
      <c r="AH219" s="32">
        <v>0</v>
      </c>
      <c r="AI219" s="32">
        <v>0</v>
      </c>
      <c r="AJ219" s="32">
        <v>0</v>
      </c>
      <c r="AK219" s="32">
        <v>0</v>
      </c>
      <c r="AL219" s="32">
        <v>0</v>
      </c>
      <c r="AM219" s="32">
        <v>0</v>
      </c>
      <c r="AN219" s="32">
        <v>0</v>
      </c>
      <c r="AO219" s="32">
        <v>50005.84</v>
      </c>
      <c r="AP219" s="32">
        <v>0</v>
      </c>
      <c r="AQ219" s="32">
        <v>50005.84</v>
      </c>
      <c r="AR219" s="32">
        <v>250029.19</v>
      </c>
      <c r="AS219" s="32">
        <v>23.65</v>
      </c>
      <c r="AT219" s="32">
        <v>178592.28</v>
      </c>
      <c r="AU219" s="32">
        <v>0</v>
      </c>
      <c r="AV219" s="32">
        <v>178592.28</v>
      </c>
      <c r="AW219" s="32">
        <v>0</v>
      </c>
      <c r="AX219" s="32">
        <v>0</v>
      </c>
      <c r="AY219" s="32">
        <v>0</v>
      </c>
      <c r="AZ219" s="32">
        <v>0</v>
      </c>
      <c r="BA219" s="32">
        <v>0</v>
      </c>
      <c r="BB219" s="32">
        <v>0</v>
      </c>
      <c r="BC219" s="32">
        <v>0</v>
      </c>
      <c r="BD219" s="32">
        <v>0</v>
      </c>
      <c r="BE219" s="32">
        <v>0</v>
      </c>
      <c r="BF219" s="32">
        <v>0</v>
      </c>
      <c r="BG219" s="32">
        <v>0</v>
      </c>
      <c r="BH219" s="32">
        <v>0</v>
      </c>
      <c r="BI219" s="32">
        <v>0</v>
      </c>
      <c r="BJ219" s="32">
        <v>0</v>
      </c>
      <c r="BK219" s="32">
        <v>0</v>
      </c>
      <c r="BL219" s="32">
        <v>0</v>
      </c>
      <c r="BM219" s="32">
        <v>71436.91</v>
      </c>
      <c r="BN219" s="32">
        <v>0</v>
      </c>
      <c r="BO219" s="32">
        <v>0</v>
      </c>
      <c r="BP219" s="32">
        <v>0</v>
      </c>
      <c r="BQ219" s="32">
        <v>62505.919999999998</v>
      </c>
      <c r="BR219" s="32">
        <v>62505.919999999998</v>
      </c>
      <c r="BS219" s="32">
        <v>62505.919999999998</v>
      </c>
      <c r="BT219" s="32">
        <v>62511.43</v>
      </c>
      <c r="BU219" s="32">
        <v>0</v>
      </c>
      <c r="BV219" s="32">
        <v>0</v>
      </c>
      <c r="BW219" s="32">
        <v>0</v>
      </c>
      <c r="BX219" s="32">
        <v>0</v>
      </c>
      <c r="BY219" s="32">
        <v>0</v>
      </c>
      <c r="BZ219" s="32">
        <v>0</v>
      </c>
      <c r="CA219" s="32">
        <v>0</v>
      </c>
      <c r="CB219" s="125" t="s">
        <v>3220</v>
      </c>
      <c r="CC219" s="125" t="s">
        <v>624</v>
      </c>
      <c r="CD219" s="125"/>
      <c r="CE219" s="125" t="s">
        <v>523</v>
      </c>
      <c r="CF219" s="125" t="s">
        <v>1286</v>
      </c>
      <c r="CG219" s="125" t="s">
        <v>1274</v>
      </c>
      <c r="CH219" s="125" t="s">
        <v>526</v>
      </c>
      <c r="CI219" s="125" t="s">
        <v>3213</v>
      </c>
      <c r="CJ219" s="125" t="s">
        <v>3213</v>
      </c>
      <c r="CK219" s="125" t="s">
        <v>737</v>
      </c>
      <c r="CL219" s="125" t="s">
        <v>212</v>
      </c>
      <c r="CM219" s="125"/>
      <c r="CN219" s="125" t="s">
        <v>254</v>
      </c>
      <c r="CO219" s="125" t="s">
        <v>255</v>
      </c>
      <c r="CP219" s="125" t="s">
        <v>3221</v>
      </c>
      <c r="CQ219" s="125" t="s">
        <v>739</v>
      </c>
      <c r="CR219" s="125" t="s">
        <v>3222</v>
      </c>
      <c r="CS219" s="125" t="s">
        <v>2018</v>
      </c>
      <c r="CT219" s="125" t="s">
        <v>254</v>
      </c>
      <c r="CU219" s="125" t="s">
        <v>255</v>
      </c>
      <c r="CV219" s="125" t="s">
        <v>3223</v>
      </c>
      <c r="CW219" s="125" t="s">
        <v>1278</v>
      </c>
      <c r="CX219" s="125" t="s">
        <v>3222</v>
      </c>
      <c r="CY219" s="125" t="s">
        <v>892</v>
      </c>
      <c r="CZ219" s="125" t="s">
        <v>938</v>
      </c>
      <c r="DA219" s="125" t="s">
        <v>1279</v>
      </c>
      <c r="DB219" s="125" t="s">
        <v>895</v>
      </c>
      <c r="DC219" s="125" t="s">
        <v>2701</v>
      </c>
      <c r="DD219" s="125" t="s">
        <v>3224</v>
      </c>
      <c r="DE219" s="125" t="s">
        <v>3225</v>
      </c>
      <c r="DF219" s="126" t="s">
        <v>3226</v>
      </c>
      <c r="DG219" s="27" cm="1">
        <f t="array" ref="DG219">INDEX('elenco partner'!A:M,MATCH(1,(D219='elenco partner'!A:A)*('Partner data'!M219='elenco partner'!E:E),0),4)</f>
        <v>578</v>
      </c>
      <c r="DH219" s="83" t="str">
        <f t="shared" si="89"/>
        <v>COSTO REALE</v>
      </c>
      <c r="DI219" s="20">
        <f>COUNTIFS('MY-REPORT-MAIN'!C:C,'Partner data'!DG219,'MY-REPORT-MAIN'!I:I,"Certified")</f>
        <v>0</v>
      </c>
      <c r="DJ219" s="20">
        <f>COUNTIFS(List_Of_chek_list!M:M,"&lt;&gt;26",List_Of_chek_list!B:B,'Partner data'!DG219)</f>
        <v>0</v>
      </c>
      <c r="DK219" s="20">
        <f t="shared" si="90"/>
        <v>0</v>
      </c>
      <c r="DL219" s="19" t="str">
        <f>IF(DH219="Tasso Forfettario 20%",SUMIFS(List_Of_chek_list!#REF!,List_Of_chek_list!B:B,'Partner data'!DG219),"NON PERTINENTE")</f>
        <v>NON PERTINENTE</v>
      </c>
      <c r="DM219" s="19" t="str">
        <f t="shared" si="91"/>
        <v>NON PERTINENTE</v>
      </c>
      <c r="DN219" s="110">
        <f>_xlfn.MAXIFS('MY-REPORT-MAIN'!K:K,'MY-REPORT-MAIN'!C:C,DG219)</f>
        <v>0</v>
      </c>
      <c r="DO219" s="112" t="str">
        <f>IF(_xlfn.MAXIFS('MY-REPORT-MAIN'!M:M,'MY-REPORT-MAIN'!C:C,DG219)=0,"Nessun rendiconto  Convalidato",_xlfn.MAXIFS('MY-REPORT-MAIN'!M:M,'MY-REPORT-MAIN'!C:C,DG219))</f>
        <v>Nessun rendiconto  Convalidato</v>
      </c>
      <c r="DP219" s="113" t="str" cm="1">
        <f t="array" ref="DP219">IFERROR(INDEX('MY-REPORT-MAIN'!A:Z,MATCH(1,(DO219='MY-REPORT-MAIN'!M:M)*('Partner data'!DG219='MY-REPORT-MAIN'!C:C),0),1),"NON è stato convalidato ancora nessun rendiconto")</f>
        <v>NON è stato convalidato ancora nessun rendiconto</v>
      </c>
      <c r="DQ219" s="111" t="str">
        <f>IFERROR(INDEX('MY-REPORT-MAIN'!A:Z,MATCH('Partner data'!DP219,'MY-REPORT-MAIN'!A:A,0),21),"Nessun Rendiconto ancora convalidato")</f>
        <v>Nessun Rendiconto ancora convalidato</v>
      </c>
      <c r="DR219" s="110" t="e">
        <f>INDEX('Interreg VI-A Italy-Slovenia_pr'!A:E,MATCH('Partner data'!C219,'Interreg VI-A Italy-Slovenia_pr'!A:A,0),3)</f>
        <v>#N/A</v>
      </c>
      <c r="DS219" s="118">
        <f t="shared" si="76"/>
        <v>62505.919999999998</v>
      </c>
      <c r="DT219" s="118">
        <f t="shared" si="77"/>
        <v>125011.84</v>
      </c>
      <c r="DU219" s="118">
        <f t="shared" si="78"/>
        <v>187517.76</v>
      </c>
      <c r="DV219" s="118">
        <f t="shared" si="79"/>
        <v>250029.19</v>
      </c>
      <c r="DW219" s="118">
        <f t="shared" si="80"/>
        <v>250029.19</v>
      </c>
      <c r="DX219" s="118">
        <f t="shared" si="81"/>
        <v>250029.19</v>
      </c>
      <c r="DY219" s="118">
        <f t="shared" si="82"/>
        <v>250029.19</v>
      </c>
      <c r="DZ219" s="118">
        <f t="shared" si="83"/>
        <v>250029.19</v>
      </c>
      <c r="EA219" s="118">
        <f t="shared" si="84"/>
        <v>250029.19</v>
      </c>
      <c r="EB219" s="118">
        <f t="shared" si="85"/>
        <v>250029.19</v>
      </c>
    </row>
    <row r="220" spans="1:132" ht="45" x14ac:dyDescent="0.25">
      <c r="A220" s="121">
        <v>6</v>
      </c>
      <c r="B220" s="122" t="s">
        <v>2688</v>
      </c>
      <c r="C220" s="123" t="s">
        <v>3208</v>
      </c>
      <c r="D220" s="123" t="s">
        <v>3209</v>
      </c>
      <c r="E220" s="123" t="s">
        <v>3210</v>
      </c>
      <c r="F220" s="123" t="s">
        <v>490</v>
      </c>
      <c r="G220" s="123" t="s">
        <v>6118</v>
      </c>
      <c r="H220" s="123" t="s">
        <v>691</v>
      </c>
      <c r="I220" s="123" t="s">
        <v>945</v>
      </c>
      <c r="J220" s="124" t="s">
        <v>538</v>
      </c>
      <c r="K220" s="124" t="s">
        <v>495</v>
      </c>
      <c r="L220" s="124" t="s">
        <v>519</v>
      </c>
      <c r="M220" s="124" t="s">
        <v>3227</v>
      </c>
      <c r="N220" s="124" t="s">
        <v>3228</v>
      </c>
      <c r="O220" s="124" t="s">
        <v>3229</v>
      </c>
      <c r="P220" s="124" t="s">
        <v>257</v>
      </c>
      <c r="Q220" s="124" t="s">
        <v>722</v>
      </c>
      <c r="R220" s="124" t="s">
        <v>282</v>
      </c>
      <c r="S220" s="32">
        <v>212936</v>
      </c>
      <c r="T220" s="32">
        <v>80</v>
      </c>
      <c r="U220" s="32">
        <v>25.18</v>
      </c>
      <c r="V220" s="32">
        <v>0</v>
      </c>
      <c r="W220" s="32">
        <v>0</v>
      </c>
      <c r="X220" s="32">
        <v>0</v>
      </c>
      <c r="Y220" s="32">
        <v>0</v>
      </c>
      <c r="Z220" s="32">
        <v>0</v>
      </c>
      <c r="AA220" s="32">
        <v>0</v>
      </c>
      <c r="AB220" s="32">
        <v>0</v>
      </c>
      <c r="AC220" s="32">
        <v>0</v>
      </c>
      <c r="AD220" s="32">
        <v>0</v>
      </c>
      <c r="AE220" s="32">
        <v>0</v>
      </c>
      <c r="AF220" s="32">
        <v>0</v>
      </c>
      <c r="AG220" s="32">
        <v>0</v>
      </c>
      <c r="AH220" s="32">
        <v>0</v>
      </c>
      <c r="AI220" s="32">
        <v>0</v>
      </c>
      <c r="AJ220" s="32">
        <v>0</v>
      </c>
      <c r="AK220" s="32">
        <v>0</v>
      </c>
      <c r="AL220" s="32">
        <v>0</v>
      </c>
      <c r="AM220" s="32">
        <v>0</v>
      </c>
      <c r="AN220" s="32">
        <v>53234</v>
      </c>
      <c r="AO220" s="32">
        <v>0</v>
      </c>
      <c r="AP220" s="32">
        <v>0</v>
      </c>
      <c r="AQ220" s="32">
        <v>53234</v>
      </c>
      <c r="AR220" s="32">
        <v>266170</v>
      </c>
      <c r="AS220" s="32">
        <v>25.18</v>
      </c>
      <c r="AT220" s="32">
        <v>43000</v>
      </c>
      <c r="AU220" s="32">
        <v>43000</v>
      </c>
      <c r="AV220" s="32">
        <v>0</v>
      </c>
      <c r="AW220" s="32">
        <v>0</v>
      </c>
      <c r="AX220" s="32">
        <v>6450</v>
      </c>
      <c r="AY220" s="32">
        <v>6450</v>
      </c>
      <c r="AZ220" s="32">
        <v>1720</v>
      </c>
      <c r="BA220" s="32">
        <v>1720</v>
      </c>
      <c r="BB220" s="32">
        <v>0</v>
      </c>
      <c r="BC220" s="32">
        <v>0</v>
      </c>
      <c r="BD220" s="32">
        <v>27000</v>
      </c>
      <c r="BE220" s="32">
        <v>27000</v>
      </c>
      <c r="BF220" s="32">
        <v>0</v>
      </c>
      <c r="BG220" s="32">
        <v>188000</v>
      </c>
      <c r="BH220" s="32">
        <v>188000</v>
      </c>
      <c r="BI220" s="32">
        <v>0</v>
      </c>
      <c r="BJ220" s="32">
        <v>0</v>
      </c>
      <c r="BK220" s="32">
        <v>0</v>
      </c>
      <c r="BL220" s="32">
        <v>0</v>
      </c>
      <c r="BM220" s="32">
        <v>0</v>
      </c>
      <c r="BN220" s="32">
        <v>0</v>
      </c>
      <c r="BO220" s="32">
        <v>0</v>
      </c>
      <c r="BP220" s="32">
        <v>0</v>
      </c>
      <c r="BQ220" s="32">
        <v>6190</v>
      </c>
      <c r="BR220" s="32">
        <v>7428</v>
      </c>
      <c r="BS220" s="32">
        <v>178272</v>
      </c>
      <c r="BT220" s="32">
        <v>74280</v>
      </c>
      <c r="BU220" s="32">
        <v>0</v>
      </c>
      <c r="BV220" s="32">
        <v>0</v>
      </c>
      <c r="BW220" s="32">
        <v>0</v>
      </c>
      <c r="BX220" s="32">
        <v>0</v>
      </c>
      <c r="BY220" s="32">
        <v>0</v>
      </c>
      <c r="BZ220" s="32">
        <v>0</v>
      </c>
      <c r="CA220" s="32">
        <v>0</v>
      </c>
      <c r="CB220" s="125" t="s">
        <v>3213</v>
      </c>
      <c r="CC220" s="125" t="s">
        <v>541</v>
      </c>
      <c r="CD220" s="125" t="s">
        <v>653</v>
      </c>
      <c r="CE220" s="125" t="s">
        <v>684</v>
      </c>
      <c r="CF220" s="125" t="s">
        <v>3230</v>
      </c>
      <c r="CG220" s="125" t="s">
        <v>3231</v>
      </c>
      <c r="CH220" s="125" t="s">
        <v>526</v>
      </c>
      <c r="CI220" s="125" t="s">
        <v>665</v>
      </c>
      <c r="CJ220" s="125" t="s">
        <v>665</v>
      </c>
      <c r="CK220" s="125"/>
      <c r="CL220" s="125" t="s">
        <v>212</v>
      </c>
      <c r="CM220" s="125"/>
      <c r="CN220" s="125" t="s">
        <v>257</v>
      </c>
      <c r="CO220" s="125" t="s">
        <v>282</v>
      </c>
      <c r="CP220" s="125" t="s">
        <v>3232</v>
      </c>
      <c r="CQ220" s="125" t="s">
        <v>1594</v>
      </c>
      <c r="CR220" s="125" t="s">
        <v>1595</v>
      </c>
      <c r="CS220" s="125" t="s">
        <v>3233</v>
      </c>
      <c r="CT220" s="125" t="s">
        <v>257</v>
      </c>
      <c r="CU220" s="125" t="s">
        <v>282</v>
      </c>
      <c r="CV220" s="125" t="s">
        <v>3216</v>
      </c>
      <c r="CW220" s="125" t="s">
        <v>3213</v>
      </c>
      <c r="CX220" s="125" t="s">
        <v>3213</v>
      </c>
      <c r="CY220" s="125" t="s">
        <v>892</v>
      </c>
      <c r="CZ220" s="125" t="s">
        <v>1969</v>
      </c>
      <c r="DA220" s="125" t="s">
        <v>3234</v>
      </c>
      <c r="DB220" s="125" t="s">
        <v>3235</v>
      </c>
      <c r="DC220" s="125" t="s">
        <v>3236</v>
      </c>
      <c r="DD220" s="125" t="s">
        <v>721</v>
      </c>
      <c r="DE220" s="125" t="s">
        <v>3237</v>
      </c>
      <c r="DF220" s="126" t="s">
        <v>3238</v>
      </c>
      <c r="DG220" s="27" cm="1">
        <f t="array" ref="DG220">INDEX('elenco partner'!A:M,MATCH(1,(D220='elenco partner'!A:A)*('Partner data'!M220='elenco partner'!E:E),0),4)</f>
        <v>580</v>
      </c>
      <c r="DH220" s="83" t="str">
        <f t="shared" si="89"/>
        <v>Tasso Forfettario 20%</v>
      </c>
      <c r="DI220" s="20">
        <f>COUNTIFS('MY-REPORT-MAIN'!C:C,'Partner data'!DG220,'MY-REPORT-MAIN'!I:I,"Certified")</f>
        <v>0</v>
      </c>
      <c r="DJ220" s="20">
        <f>COUNTIFS(List_Of_chek_list!M:M,"&lt;&gt;26",List_Of_chek_list!B:B,'Partner data'!DG220)</f>
        <v>0</v>
      </c>
      <c r="DK220" s="20">
        <f t="shared" si="90"/>
        <v>0</v>
      </c>
      <c r="DL220" s="19" t="e">
        <f>IF(DH220="Tasso Forfettario 20%",SUMIFS(List_Of_chek_list!#REF!,List_Of_chek_list!B:B,'Partner data'!DG220),"NON PERTINENTE")</f>
        <v>#REF!</v>
      </c>
      <c r="DM220" s="19" t="e">
        <f t="shared" si="91"/>
        <v>#REF!</v>
      </c>
      <c r="DN220" s="110">
        <f>_xlfn.MAXIFS('MY-REPORT-MAIN'!K:K,'MY-REPORT-MAIN'!C:C,DG220)</f>
        <v>0</v>
      </c>
      <c r="DO220" s="112" t="str">
        <f>IF(_xlfn.MAXIFS('MY-REPORT-MAIN'!M:M,'MY-REPORT-MAIN'!C:C,DG220)=0,"Nessun rendiconto  Convalidato",_xlfn.MAXIFS('MY-REPORT-MAIN'!M:M,'MY-REPORT-MAIN'!C:C,DG220))</f>
        <v>Nessun rendiconto  Convalidato</v>
      </c>
      <c r="DP220" s="113" t="str" cm="1">
        <f t="array" ref="DP220">IFERROR(INDEX('MY-REPORT-MAIN'!A:Z,MATCH(1,(DO220='MY-REPORT-MAIN'!M:M)*('Partner data'!DG220='MY-REPORT-MAIN'!C:C),0),1),"NON è stato convalidato ancora nessun rendiconto")</f>
        <v>NON è stato convalidato ancora nessun rendiconto</v>
      </c>
      <c r="DQ220" s="111" t="str">
        <f>IFERROR(INDEX('MY-REPORT-MAIN'!A:Z,MATCH('Partner data'!DP220,'MY-REPORT-MAIN'!A:A,0),21),"Nessun Rendiconto ancora convalidato")</f>
        <v>Nessun Rendiconto ancora convalidato</v>
      </c>
      <c r="DR220" s="110" t="e">
        <f>INDEX('Interreg VI-A Italy-Slovenia_pr'!A:E,MATCH('Partner data'!C220,'Interreg VI-A Italy-Slovenia_pr'!A:A,0),3)</f>
        <v>#N/A</v>
      </c>
      <c r="DS220" s="118">
        <f t="shared" si="76"/>
        <v>6190</v>
      </c>
      <c r="DT220" s="118">
        <f t="shared" si="77"/>
        <v>13618</v>
      </c>
      <c r="DU220" s="118">
        <f t="shared" si="78"/>
        <v>191890</v>
      </c>
      <c r="DV220" s="118">
        <f t="shared" si="79"/>
        <v>266170</v>
      </c>
      <c r="DW220" s="118">
        <f t="shared" si="80"/>
        <v>266170</v>
      </c>
      <c r="DX220" s="118">
        <f t="shared" si="81"/>
        <v>266170</v>
      </c>
      <c r="DY220" s="118">
        <f t="shared" si="82"/>
        <v>266170</v>
      </c>
      <c r="DZ220" s="118">
        <f t="shared" si="83"/>
        <v>266170</v>
      </c>
      <c r="EA220" s="118">
        <f t="shared" si="84"/>
        <v>266170</v>
      </c>
      <c r="EB220" s="118">
        <f t="shared" si="85"/>
        <v>266170</v>
      </c>
    </row>
    <row r="221" spans="1:132" ht="45" x14ac:dyDescent="0.25">
      <c r="A221" s="121">
        <v>6</v>
      </c>
      <c r="B221" s="122" t="s">
        <v>2688</v>
      </c>
      <c r="C221" s="123" t="s">
        <v>3208</v>
      </c>
      <c r="D221" s="123" t="s">
        <v>3209</v>
      </c>
      <c r="E221" s="123" t="s">
        <v>3210</v>
      </c>
      <c r="F221" s="123" t="s">
        <v>490</v>
      </c>
      <c r="G221" s="123" t="s">
        <v>6118</v>
      </c>
      <c r="H221" s="123" t="s">
        <v>691</v>
      </c>
      <c r="I221" s="123" t="s">
        <v>945</v>
      </c>
      <c r="J221" s="124" t="s">
        <v>554</v>
      </c>
      <c r="K221" s="124" t="s">
        <v>495</v>
      </c>
      <c r="L221" s="124" t="s">
        <v>519</v>
      </c>
      <c r="M221" s="124" t="s">
        <v>3239</v>
      </c>
      <c r="N221" s="124" t="s">
        <v>3240</v>
      </c>
      <c r="O221" s="124" t="s">
        <v>3241</v>
      </c>
      <c r="P221" s="124" t="s">
        <v>254</v>
      </c>
      <c r="Q221" s="124" t="s">
        <v>499</v>
      </c>
      <c r="R221" s="124" t="s">
        <v>273</v>
      </c>
      <c r="S221" s="32">
        <v>191642.4</v>
      </c>
      <c r="T221" s="32">
        <v>80</v>
      </c>
      <c r="U221" s="32">
        <v>22.66</v>
      </c>
      <c r="V221" s="32">
        <v>0</v>
      </c>
      <c r="W221" s="32">
        <v>0</v>
      </c>
      <c r="X221" s="32">
        <v>0</v>
      </c>
      <c r="Y221" s="32">
        <v>0</v>
      </c>
      <c r="Z221" s="32">
        <v>0</v>
      </c>
      <c r="AA221" s="32">
        <v>0</v>
      </c>
      <c r="AB221" s="32">
        <v>0</v>
      </c>
      <c r="AC221" s="32">
        <v>0</v>
      </c>
      <c r="AD221" s="32">
        <v>0</v>
      </c>
      <c r="AE221" s="32">
        <v>0</v>
      </c>
      <c r="AF221" s="32">
        <v>0</v>
      </c>
      <c r="AG221" s="32">
        <v>0</v>
      </c>
      <c r="AH221" s="32">
        <v>0</v>
      </c>
      <c r="AI221" s="32">
        <v>0</v>
      </c>
      <c r="AJ221" s="32">
        <v>0</v>
      </c>
      <c r="AK221" s="32">
        <v>0</v>
      </c>
      <c r="AL221" s="32">
        <v>0</v>
      </c>
      <c r="AM221" s="32">
        <v>0</v>
      </c>
      <c r="AN221" s="32">
        <v>0</v>
      </c>
      <c r="AO221" s="32">
        <v>47910.6</v>
      </c>
      <c r="AP221" s="32">
        <v>0</v>
      </c>
      <c r="AQ221" s="32">
        <v>47910.6</v>
      </c>
      <c r="AR221" s="32">
        <v>239553</v>
      </c>
      <c r="AS221" s="32">
        <v>22.66</v>
      </c>
      <c r="AT221" s="32">
        <v>38700</v>
      </c>
      <c r="AU221" s="32">
        <v>38700</v>
      </c>
      <c r="AV221" s="32">
        <v>0</v>
      </c>
      <c r="AW221" s="32">
        <v>0</v>
      </c>
      <c r="AX221" s="32">
        <v>5805</v>
      </c>
      <c r="AY221" s="32">
        <v>5805</v>
      </c>
      <c r="AZ221" s="32">
        <v>1548</v>
      </c>
      <c r="BA221" s="32">
        <v>1548</v>
      </c>
      <c r="BB221" s="32">
        <v>0</v>
      </c>
      <c r="BC221" s="32">
        <v>0</v>
      </c>
      <c r="BD221" s="32">
        <v>186000</v>
      </c>
      <c r="BE221" s="32">
        <v>186000</v>
      </c>
      <c r="BF221" s="32">
        <v>0</v>
      </c>
      <c r="BG221" s="32">
        <v>7500</v>
      </c>
      <c r="BH221" s="32">
        <v>7500</v>
      </c>
      <c r="BI221" s="32">
        <v>0</v>
      </c>
      <c r="BJ221" s="32">
        <v>0</v>
      </c>
      <c r="BK221" s="32">
        <v>0</v>
      </c>
      <c r="BL221" s="32">
        <v>0</v>
      </c>
      <c r="BM221" s="32">
        <v>0</v>
      </c>
      <c r="BN221" s="32">
        <v>0</v>
      </c>
      <c r="BO221" s="32">
        <v>0</v>
      </c>
      <c r="BP221" s="32">
        <v>0</v>
      </c>
      <c r="BQ221" s="32">
        <v>55400.5</v>
      </c>
      <c r="BR221" s="32">
        <v>64685.5</v>
      </c>
      <c r="BS221" s="32">
        <v>64066.5</v>
      </c>
      <c r="BT221" s="32">
        <v>55400.5</v>
      </c>
      <c r="BU221" s="32">
        <v>0</v>
      </c>
      <c r="BV221" s="32">
        <v>0</v>
      </c>
      <c r="BW221" s="32">
        <v>0</v>
      </c>
      <c r="BX221" s="32">
        <v>0</v>
      </c>
      <c r="BY221" s="32">
        <v>0</v>
      </c>
      <c r="BZ221" s="32">
        <v>0</v>
      </c>
      <c r="CA221" s="32">
        <v>0</v>
      </c>
      <c r="CB221" s="125" t="s">
        <v>212</v>
      </c>
      <c r="CC221" s="125" t="s">
        <v>606</v>
      </c>
      <c r="CD221" s="125"/>
      <c r="CE221" s="125" t="s">
        <v>523</v>
      </c>
      <c r="CF221" s="125" t="s">
        <v>1884</v>
      </c>
      <c r="CG221" s="125" t="s">
        <v>3242</v>
      </c>
      <c r="CH221" s="125" t="s">
        <v>526</v>
      </c>
      <c r="CI221" s="125" t="s">
        <v>3213</v>
      </c>
      <c r="CJ221" s="125" t="s">
        <v>212</v>
      </c>
      <c r="CK221" s="125"/>
      <c r="CL221" s="125" t="s">
        <v>212</v>
      </c>
      <c r="CM221" s="125"/>
      <c r="CN221" s="125" t="s">
        <v>254</v>
      </c>
      <c r="CO221" s="125" t="s">
        <v>273</v>
      </c>
      <c r="CP221" s="125" t="s">
        <v>3243</v>
      </c>
      <c r="CQ221" s="125" t="s">
        <v>661</v>
      </c>
      <c r="CR221" s="125" t="s">
        <v>2862</v>
      </c>
      <c r="CS221" s="125" t="s">
        <v>3244</v>
      </c>
      <c r="CT221" s="125" t="s">
        <v>254</v>
      </c>
      <c r="CU221" s="125" t="s">
        <v>273</v>
      </c>
      <c r="CV221" s="125" t="s">
        <v>3216</v>
      </c>
      <c r="CW221" s="125" t="s">
        <v>3213</v>
      </c>
      <c r="CX221" s="125" t="s">
        <v>3213</v>
      </c>
      <c r="CY221" s="125" t="s">
        <v>892</v>
      </c>
      <c r="CZ221" s="125" t="s">
        <v>3245</v>
      </c>
      <c r="DA221" s="125" t="s">
        <v>3246</v>
      </c>
      <c r="DB221" s="125" t="s">
        <v>892</v>
      </c>
      <c r="DC221" s="125" t="s">
        <v>1039</v>
      </c>
      <c r="DD221" s="125" t="s">
        <v>6129</v>
      </c>
      <c r="DE221" s="125" t="s">
        <v>6130</v>
      </c>
      <c r="DF221" s="126" t="s">
        <v>6131</v>
      </c>
      <c r="DG221" s="27" cm="1">
        <f t="array" ref="DG221">INDEX('elenco partner'!A:M,MATCH(1,(D221='elenco partner'!A:A)*('Partner data'!M221='elenco partner'!E:E),0),4)</f>
        <v>582</v>
      </c>
      <c r="DH221" s="83" t="str">
        <f t="shared" si="89"/>
        <v>Tasso Forfettario 20%</v>
      </c>
      <c r="DI221" s="20">
        <f>COUNTIFS('MY-REPORT-MAIN'!C:C,'Partner data'!DG221,'MY-REPORT-MAIN'!I:I,"Certified")</f>
        <v>0</v>
      </c>
      <c r="DJ221" s="20">
        <f>COUNTIFS(List_Of_chek_list!M:M,"&lt;&gt;26",List_Of_chek_list!B:B,'Partner data'!DG221)</f>
        <v>0</v>
      </c>
      <c r="DK221" s="20">
        <f t="shared" si="90"/>
        <v>0</v>
      </c>
      <c r="DL221" s="19" t="e">
        <f>IF(DH221="Tasso Forfettario 20%",SUMIFS(List_Of_chek_list!#REF!,List_Of_chek_list!B:B,'Partner data'!DG221),"NON PERTINENTE")</f>
        <v>#REF!</v>
      </c>
      <c r="DM221" s="19" t="e">
        <f t="shared" si="91"/>
        <v>#REF!</v>
      </c>
      <c r="DN221" s="110">
        <f>_xlfn.MAXIFS('MY-REPORT-MAIN'!K:K,'MY-REPORT-MAIN'!C:C,DG221)</f>
        <v>0</v>
      </c>
      <c r="DO221" s="112" t="str">
        <f>IF(_xlfn.MAXIFS('MY-REPORT-MAIN'!M:M,'MY-REPORT-MAIN'!C:C,DG221)=0,"Nessun rendiconto  Convalidato",_xlfn.MAXIFS('MY-REPORT-MAIN'!M:M,'MY-REPORT-MAIN'!C:C,DG221))</f>
        <v>Nessun rendiconto  Convalidato</v>
      </c>
      <c r="DP221" s="113" t="str" cm="1">
        <f t="array" ref="DP221">IFERROR(INDEX('MY-REPORT-MAIN'!A:Z,MATCH(1,(DO221='MY-REPORT-MAIN'!M:M)*('Partner data'!DG221='MY-REPORT-MAIN'!C:C),0),1),"NON è stato convalidato ancora nessun rendiconto")</f>
        <v>NON è stato convalidato ancora nessun rendiconto</v>
      </c>
      <c r="DQ221" s="111" t="str">
        <f>IFERROR(INDEX('MY-REPORT-MAIN'!A:Z,MATCH('Partner data'!DP221,'MY-REPORT-MAIN'!A:A,0),21),"Nessun Rendiconto ancora convalidato")</f>
        <v>Nessun Rendiconto ancora convalidato</v>
      </c>
      <c r="DR221" s="110" t="e">
        <f>INDEX('Interreg VI-A Italy-Slovenia_pr'!A:E,MATCH('Partner data'!C221,'Interreg VI-A Italy-Slovenia_pr'!A:A,0),3)</f>
        <v>#N/A</v>
      </c>
      <c r="DS221" s="118">
        <f t="shared" si="76"/>
        <v>55400.5</v>
      </c>
      <c r="DT221" s="118">
        <f t="shared" si="77"/>
        <v>120086</v>
      </c>
      <c r="DU221" s="118">
        <f t="shared" si="78"/>
        <v>184152.5</v>
      </c>
      <c r="DV221" s="118">
        <f t="shared" si="79"/>
        <v>239553</v>
      </c>
      <c r="DW221" s="118">
        <f t="shared" si="80"/>
        <v>239553</v>
      </c>
      <c r="DX221" s="118">
        <f t="shared" si="81"/>
        <v>239553</v>
      </c>
      <c r="DY221" s="118">
        <f t="shared" si="82"/>
        <v>239553</v>
      </c>
      <c r="DZ221" s="118">
        <f t="shared" si="83"/>
        <v>239553</v>
      </c>
      <c r="EA221" s="118">
        <f t="shared" si="84"/>
        <v>239553</v>
      </c>
      <c r="EB221" s="118">
        <f t="shared" si="85"/>
        <v>239553</v>
      </c>
    </row>
    <row r="222" spans="1:132" ht="45" x14ac:dyDescent="0.25">
      <c r="A222" s="121">
        <v>6</v>
      </c>
      <c r="B222" s="122" t="s">
        <v>2688</v>
      </c>
      <c r="C222" s="123" t="s">
        <v>3247</v>
      </c>
      <c r="D222" s="123" t="s">
        <v>3248</v>
      </c>
      <c r="E222" s="123" t="s">
        <v>3249</v>
      </c>
      <c r="F222" s="123" t="s">
        <v>490</v>
      </c>
      <c r="G222" s="123" t="s">
        <v>6118</v>
      </c>
      <c r="H222" s="123" t="s">
        <v>691</v>
      </c>
      <c r="I222" s="123" t="s">
        <v>1044</v>
      </c>
      <c r="J222" s="124" t="s">
        <v>494</v>
      </c>
      <c r="K222" s="124" t="s">
        <v>495</v>
      </c>
      <c r="L222" s="124" t="s">
        <v>496</v>
      </c>
      <c r="M222" s="124" t="s">
        <v>359</v>
      </c>
      <c r="N222" s="124" t="s">
        <v>3250</v>
      </c>
      <c r="O222" s="124" t="s">
        <v>3251</v>
      </c>
      <c r="P222" s="124" t="s">
        <v>254</v>
      </c>
      <c r="Q222" s="124" t="s">
        <v>499</v>
      </c>
      <c r="R222" s="124" t="s">
        <v>265</v>
      </c>
      <c r="S222" s="32">
        <v>184177.94</v>
      </c>
      <c r="T222" s="32">
        <v>80</v>
      </c>
      <c r="U222" s="32">
        <v>25.52</v>
      </c>
      <c r="V222" s="32">
        <v>0</v>
      </c>
      <c r="W222" s="32">
        <v>0</v>
      </c>
      <c r="X222" s="32">
        <v>0</v>
      </c>
      <c r="Y222" s="32">
        <v>0</v>
      </c>
      <c r="Z222" s="32">
        <v>0</v>
      </c>
      <c r="AA222" s="32">
        <v>0</v>
      </c>
      <c r="AB222" s="32">
        <v>0</v>
      </c>
      <c r="AC222" s="32">
        <v>0</v>
      </c>
      <c r="AD222" s="32">
        <v>0</v>
      </c>
      <c r="AE222" s="32">
        <v>0</v>
      </c>
      <c r="AF222" s="32">
        <v>0</v>
      </c>
      <c r="AG222" s="32">
        <v>0</v>
      </c>
      <c r="AH222" s="32">
        <v>0</v>
      </c>
      <c r="AI222" s="32">
        <v>0</v>
      </c>
      <c r="AJ222" s="32">
        <v>0</v>
      </c>
      <c r="AK222" s="32">
        <v>0</v>
      </c>
      <c r="AL222" s="32">
        <v>0</v>
      </c>
      <c r="AM222" s="32">
        <v>0</v>
      </c>
      <c r="AN222" s="32">
        <v>0</v>
      </c>
      <c r="AO222" s="32">
        <v>46044.49</v>
      </c>
      <c r="AP222" s="32">
        <v>0</v>
      </c>
      <c r="AQ222" s="32">
        <v>46044.49</v>
      </c>
      <c r="AR222" s="32">
        <v>230222.43</v>
      </c>
      <c r="AS222" s="32">
        <v>25.52</v>
      </c>
      <c r="AT222" s="32">
        <v>114892.8</v>
      </c>
      <c r="AU222" s="32">
        <v>0</v>
      </c>
      <c r="AV222" s="32">
        <v>114892.8</v>
      </c>
      <c r="AW222" s="32">
        <v>0</v>
      </c>
      <c r="AX222" s="32">
        <v>17233.919999999998</v>
      </c>
      <c r="AY222" s="32">
        <v>17233.919999999998</v>
      </c>
      <c r="AZ222" s="32">
        <v>4595.71</v>
      </c>
      <c r="BA222" s="32">
        <v>4595.71</v>
      </c>
      <c r="BB222" s="32">
        <v>0</v>
      </c>
      <c r="BC222" s="32">
        <v>0</v>
      </c>
      <c r="BD222" s="32">
        <v>84500</v>
      </c>
      <c r="BE222" s="32">
        <v>84500</v>
      </c>
      <c r="BF222" s="32">
        <v>0</v>
      </c>
      <c r="BG222" s="32">
        <v>0</v>
      </c>
      <c r="BH222" s="32">
        <v>0</v>
      </c>
      <c r="BI222" s="32">
        <v>0</v>
      </c>
      <c r="BJ222" s="32">
        <v>0</v>
      </c>
      <c r="BK222" s="32">
        <v>0</v>
      </c>
      <c r="BL222" s="32">
        <v>0</v>
      </c>
      <c r="BM222" s="32">
        <v>0</v>
      </c>
      <c r="BN222" s="32">
        <v>0</v>
      </c>
      <c r="BO222" s="32">
        <v>9000</v>
      </c>
      <c r="BP222" s="32">
        <v>9000</v>
      </c>
      <c r="BQ222" s="32">
        <v>44680.6</v>
      </c>
      <c r="BR222" s="32">
        <v>59180.6</v>
      </c>
      <c r="BS222" s="32">
        <v>54180.6</v>
      </c>
      <c r="BT222" s="32">
        <v>63180.63</v>
      </c>
      <c r="BU222" s="32">
        <v>0</v>
      </c>
      <c r="BV222" s="32">
        <v>0</v>
      </c>
      <c r="BW222" s="32">
        <v>0</v>
      </c>
      <c r="BX222" s="32">
        <v>0</v>
      </c>
      <c r="BY222" s="32">
        <v>0</v>
      </c>
      <c r="BZ222" s="32">
        <v>0</v>
      </c>
      <c r="CA222" s="32">
        <v>0</v>
      </c>
      <c r="CB222" s="125" t="s">
        <v>3252</v>
      </c>
      <c r="CC222" s="125" t="s">
        <v>500</v>
      </c>
      <c r="CD222" s="125"/>
      <c r="CE222" s="125" t="s">
        <v>684</v>
      </c>
      <c r="CF222" s="125"/>
      <c r="CG222" s="125" t="s">
        <v>2106</v>
      </c>
      <c r="CH222" s="125" t="s">
        <v>504</v>
      </c>
      <c r="CI222" s="125"/>
      <c r="CJ222" s="125" t="s">
        <v>212</v>
      </c>
      <c r="CK222" s="125" t="s">
        <v>3253</v>
      </c>
      <c r="CL222" s="125" t="s">
        <v>212</v>
      </c>
      <c r="CM222" s="125"/>
      <c r="CN222" s="125" t="s">
        <v>254</v>
      </c>
      <c r="CO222" s="125" t="s">
        <v>265</v>
      </c>
      <c r="CP222" s="125" t="s">
        <v>3254</v>
      </c>
      <c r="CQ222" s="125" t="s">
        <v>507</v>
      </c>
      <c r="CR222" s="125" t="s">
        <v>508</v>
      </c>
      <c r="CS222" s="125" t="s">
        <v>3255</v>
      </c>
      <c r="CT222" s="125" t="s">
        <v>254</v>
      </c>
      <c r="CU222" s="125" t="s">
        <v>265</v>
      </c>
      <c r="CV222" s="125" t="s">
        <v>3254</v>
      </c>
      <c r="CW222" s="125" t="s">
        <v>507</v>
      </c>
      <c r="CX222" s="125" t="s">
        <v>508</v>
      </c>
      <c r="CY222" s="125" t="s">
        <v>2032</v>
      </c>
      <c r="CZ222" s="125" t="s">
        <v>3256</v>
      </c>
      <c r="DA222" s="125" t="s">
        <v>2111</v>
      </c>
      <c r="DB222" s="125" t="s">
        <v>1703</v>
      </c>
      <c r="DC222" s="125" t="s">
        <v>2112</v>
      </c>
      <c r="DD222" s="125" t="s">
        <v>2113</v>
      </c>
      <c r="DE222" s="125" t="s">
        <v>3257</v>
      </c>
      <c r="DF222" s="126" t="s">
        <v>3258</v>
      </c>
      <c r="DG222" s="27" cm="1">
        <f t="array" ref="DG222">INDEX('elenco partner'!A:M,MATCH(1,(D222='elenco partner'!A:A)*('Partner data'!M222='elenco partner'!E:E),0),4)</f>
        <v>389</v>
      </c>
      <c r="DH222" s="83" t="str">
        <f t="shared" si="89"/>
        <v>COSTO REALE</v>
      </c>
      <c r="DI222" s="20">
        <f>COUNTIFS('MY-REPORT-MAIN'!C:C,'Partner data'!DG222,'MY-REPORT-MAIN'!I:I,"Certified")</f>
        <v>0</v>
      </c>
      <c r="DJ222" s="20">
        <f>COUNTIFS(List_Of_chek_list!M:M,"&lt;&gt;26",List_Of_chek_list!B:B,'Partner data'!DG222)</f>
        <v>0</v>
      </c>
      <c r="DK222" s="20">
        <f t="shared" si="90"/>
        <v>0</v>
      </c>
      <c r="DL222" s="19" t="str">
        <f>IF(DH222="Tasso Forfettario 20%",SUMIFS(List_Of_chek_list!#REF!,List_Of_chek_list!B:B,'Partner data'!DG222),"NON PERTINENTE")</f>
        <v>NON PERTINENTE</v>
      </c>
      <c r="DM222" s="19" t="str">
        <f t="shared" si="91"/>
        <v>NON PERTINENTE</v>
      </c>
      <c r="DN222" s="110">
        <f>_xlfn.MAXIFS('MY-REPORT-MAIN'!K:K,'MY-REPORT-MAIN'!C:C,DG222)</f>
        <v>0</v>
      </c>
      <c r="DO222" s="112" t="str">
        <f>IF(_xlfn.MAXIFS('MY-REPORT-MAIN'!M:M,'MY-REPORT-MAIN'!C:C,DG222)=0,"Nessun rendiconto  Convalidato",_xlfn.MAXIFS('MY-REPORT-MAIN'!M:M,'MY-REPORT-MAIN'!C:C,DG222))</f>
        <v>Nessun rendiconto  Convalidato</v>
      </c>
      <c r="DP222" s="113" t="str" cm="1">
        <f t="array" ref="DP222">IFERROR(INDEX('MY-REPORT-MAIN'!A:Z,MATCH(1,(DO222='MY-REPORT-MAIN'!M:M)*('Partner data'!DG222='MY-REPORT-MAIN'!C:C),0),1),"NON è stato convalidato ancora nessun rendiconto")</f>
        <v>NON è stato convalidato ancora nessun rendiconto</v>
      </c>
      <c r="DQ222" s="111" t="str">
        <f>IFERROR(INDEX('MY-REPORT-MAIN'!A:Z,MATCH('Partner data'!DP222,'MY-REPORT-MAIN'!A:A,0),21),"Nessun Rendiconto ancora convalidato")</f>
        <v>Nessun Rendiconto ancora convalidato</v>
      </c>
      <c r="DR222" s="110" t="e">
        <f>INDEX('Interreg VI-A Italy-Slovenia_pr'!A:E,MATCH('Partner data'!C222,'Interreg VI-A Italy-Slovenia_pr'!A:A,0),3)</f>
        <v>#N/A</v>
      </c>
      <c r="DS222" s="118">
        <f t="shared" si="76"/>
        <v>53680.6</v>
      </c>
      <c r="DT222" s="118">
        <f t="shared" si="77"/>
        <v>112861.2</v>
      </c>
      <c r="DU222" s="118">
        <f t="shared" si="78"/>
        <v>167041.79999999999</v>
      </c>
      <c r="DV222" s="118">
        <f t="shared" si="79"/>
        <v>230222.43</v>
      </c>
      <c r="DW222" s="118">
        <f t="shared" si="80"/>
        <v>230222.43</v>
      </c>
      <c r="DX222" s="118">
        <f t="shared" si="81"/>
        <v>230222.43</v>
      </c>
      <c r="DY222" s="118">
        <f t="shared" si="82"/>
        <v>230222.43</v>
      </c>
      <c r="DZ222" s="118">
        <f t="shared" si="83"/>
        <v>230222.43</v>
      </c>
      <c r="EA222" s="118">
        <f t="shared" si="84"/>
        <v>230222.43</v>
      </c>
      <c r="EB222" s="118">
        <f t="shared" si="85"/>
        <v>230222.43</v>
      </c>
    </row>
    <row r="223" spans="1:132" ht="45" x14ac:dyDescent="0.25">
      <c r="A223" s="121">
        <v>6</v>
      </c>
      <c r="B223" s="122" t="s">
        <v>2688</v>
      </c>
      <c r="C223" s="123" t="s">
        <v>3247</v>
      </c>
      <c r="D223" s="123" t="s">
        <v>3248</v>
      </c>
      <c r="E223" s="123" t="s">
        <v>3249</v>
      </c>
      <c r="F223" s="123" t="s">
        <v>490</v>
      </c>
      <c r="G223" s="123" t="s">
        <v>6118</v>
      </c>
      <c r="H223" s="123" t="s">
        <v>691</v>
      </c>
      <c r="I223" s="123" t="s">
        <v>1044</v>
      </c>
      <c r="J223" s="124" t="s">
        <v>518</v>
      </c>
      <c r="K223" s="124" t="s">
        <v>495</v>
      </c>
      <c r="L223" s="124" t="s">
        <v>519</v>
      </c>
      <c r="M223" s="124" t="s">
        <v>3259</v>
      </c>
      <c r="N223" s="124" t="s">
        <v>3260</v>
      </c>
      <c r="O223" s="124" t="s">
        <v>3261</v>
      </c>
      <c r="P223" s="124" t="s">
        <v>257</v>
      </c>
      <c r="Q223" s="124" t="s">
        <v>556</v>
      </c>
      <c r="R223" s="124" t="s">
        <v>258</v>
      </c>
      <c r="S223" s="32">
        <v>158282.03</v>
      </c>
      <c r="T223" s="32">
        <v>80</v>
      </c>
      <c r="U223" s="32">
        <v>21.93</v>
      </c>
      <c r="V223" s="32">
        <v>0</v>
      </c>
      <c r="W223" s="32">
        <v>0</v>
      </c>
      <c r="X223" s="32">
        <v>0</v>
      </c>
      <c r="Y223" s="32">
        <v>0</v>
      </c>
      <c r="Z223" s="32">
        <v>0</v>
      </c>
      <c r="AA223" s="32">
        <v>0</v>
      </c>
      <c r="AB223" s="32">
        <v>0</v>
      </c>
      <c r="AC223" s="32">
        <v>0</v>
      </c>
      <c r="AD223" s="32">
        <v>0</v>
      </c>
      <c r="AE223" s="32">
        <v>0</v>
      </c>
      <c r="AF223" s="32">
        <v>0</v>
      </c>
      <c r="AG223" s="32">
        <v>0</v>
      </c>
      <c r="AH223" s="32">
        <v>0</v>
      </c>
      <c r="AI223" s="32">
        <v>0</v>
      </c>
      <c r="AJ223" s="32">
        <v>0</v>
      </c>
      <c r="AK223" s="32">
        <v>0</v>
      </c>
      <c r="AL223" s="32">
        <v>0</v>
      </c>
      <c r="AM223" s="32">
        <v>0</v>
      </c>
      <c r="AN223" s="32">
        <v>39570.51</v>
      </c>
      <c r="AO223" s="32">
        <v>0</v>
      </c>
      <c r="AP223" s="32">
        <v>0</v>
      </c>
      <c r="AQ223" s="32">
        <v>39570.51</v>
      </c>
      <c r="AR223" s="32">
        <v>197852.54</v>
      </c>
      <c r="AS223" s="32">
        <v>21.93</v>
      </c>
      <c r="AT223" s="32">
        <v>132649.20000000001</v>
      </c>
      <c r="AU223" s="32">
        <v>0</v>
      </c>
      <c r="AV223" s="32">
        <v>132649.20000000001</v>
      </c>
      <c r="AW223" s="32">
        <v>0</v>
      </c>
      <c r="AX223" s="32">
        <v>19897.38</v>
      </c>
      <c r="AY223" s="32">
        <v>19897.38</v>
      </c>
      <c r="AZ223" s="32">
        <v>5305.96</v>
      </c>
      <c r="BA223" s="32">
        <v>5305.96</v>
      </c>
      <c r="BB223" s="32">
        <v>0</v>
      </c>
      <c r="BC223" s="32">
        <v>0</v>
      </c>
      <c r="BD223" s="32">
        <v>40000</v>
      </c>
      <c r="BE223" s="32">
        <v>40000</v>
      </c>
      <c r="BF223" s="32">
        <v>0</v>
      </c>
      <c r="BG223" s="32">
        <v>0</v>
      </c>
      <c r="BH223" s="32">
        <v>0</v>
      </c>
      <c r="BI223" s="32">
        <v>0</v>
      </c>
      <c r="BJ223" s="32">
        <v>0</v>
      </c>
      <c r="BK223" s="32">
        <v>0</v>
      </c>
      <c r="BL223" s="32">
        <v>0</v>
      </c>
      <c r="BM223" s="32">
        <v>0</v>
      </c>
      <c r="BN223" s="32">
        <v>0</v>
      </c>
      <c r="BO223" s="32">
        <v>0</v>
      </c>
      <c r="BP223" s="32">
        <v>0</v>
      </c>
      <c r="BQ223" s="32">
        <v>39963.129999999997</v>
      </c>
      <c r="BR223" s="32">
        <v>59263.13</v>
      </c>
      <c r="BS223" s="32">
        <v>39460.99</v>
      </c>
      <c r="BT223" s="32">
        <v>59165.29</v>
      </c>
      <c r="BU223" s="32">
        <v>0</v>
      </c>
      <c r="BV223" s="32">
        <v>0</v>
      </c>
      <c r="BW223" s="32">
        <v>0</v>
      </c>
      <c r="BX223" s="32">
        <v>0</v>
      </c>
      <c r="BY223" s="32">
        <v>0</v>
      </c>
      <c r="BZ223" s="32">
        <v>0</v>
      </c>
      <c r="CA223" s="32">
        <v>0</v>
      </c>
      <c r="CB223" s="125" t="s">
        <v>3262</v>
      </c>
      <c r="CC223" s="125" t="s">
        <v>624</v>
      </c>
      <c r="CD223" s="125"/>
      <c r="CE223" s="125" t="s">
        <v>523</v>
      </c>
      <c r="CF223" s="125" t="s">
        <v>645</v>
      </c>
      <c r="CG223" s="125" t="s">
        <v>646</v>
      </c>
      <c r="CH223" s="125" t="s">
        <v>526</v>
      </c>
      <c r="CI223" s="125"/>
      <c r="CJ223" s="125" t="s">
        <v>212</v>
      </c>
      <c r="CK223" s="125" t="s">
        <v>647</v>
      </c>
      <c r="CL223" s="125" t="s">
        <v>212</v>
      </c>
      <c r="CM223" s="125"/>
      <c r="CN223" s="125" t="s">
        <v>257</v>
      </c>
      <c r="CO223" s="125" t="s">
        <v>258</v>
      </c>
      <c r="CP223" s="125" t="s">
        <v>3263</v>
      </c>
      <c r="CQ223" s="125" t="s">
        <v>620</v>
      </c>
      <c r="CR223" s="125" t="s">
        <v>621</v>
      </c>
      <c r="CS223" s="125" t="s">
        <v>1859</v>
      </c>
      <c r="CT223" s="125" t="s">
        <v>257</v>
      </c>
      <c r="CU223" s="125" t="s">
        <v>258</v>
      </c>
      <c r="CV223" s="125" t="s">
        <v>3264</v>
      </c>
      <c r="CW223" s="125" t="s">
        <v>620</v>
      </c>
      <c r="CX223" s="125" t="s">
        <v>621</v>
      </c>
      <c r="CY223" s="125" t="s">
        <v>3265</v>
      </c>
      <c r="CZ223" s="125" t="s">
        <v>651</v>
      </c>
      <c r="DA223" s="125" t="s">
        <v>652</v>
      </c>
      <c r="DB223" s="125" t="s">
        <v>3266</v>
      </c>
      <c r="DC223" s="125" t="s">
        <v>3267</v>
      </c>
      <c r="DD223" s="125" t="s">
        <v>3268</v>
      </c>
      <c r="DE223" s="125" t="s">
        <v>3269</v>
      </c>
      <c r="DF223" s="126" t="s">
        <v>3270</v>
      </c>
      <c r="DG223" s="27" cm="1">
        <f t="array" ref="DG223">INDEX('elenco partner'!A:M,MATCH(1,(D223='elenco partner'!A:A)*('Partner data'!M223='elenco partner'!E:E),0),4)</f>
        <v>648</v>
      </c>
      <c r="DH223" s="83" t="str">
        <f t="shared" si="89"/>
        <v>COSTO REALE</v>
      </c>
      <c r="DI223" s="20">
        <f>COUNTIFS('MY-REPORT-MAIN'!C:C,'Partner data'!DG223,'MY-REPORT-MAIN'!I:I,"Certified")</f>
        <v>0</v>
      </c>
      <c r="DJ223" s="20">
        <f>COUNTIFS(List_Of_chek_list!M:M,"&lt;&gt;26",List_Of_chek_list!B:B,'Partner data'!DG223)</f>
        <v>0</v>
      </c>
      <c r="DK223" s="20">
        <f t="shared" si="90"/>
        <v>0</v>
      </c>
      <c r="DL223" s="19" t="str">
        <f>IF(DH223="Tasso Forfettario 20%",SUMIFS(List_Of_chek_list!#REF!,List_Of_chek_list!B:B,'Partner data'!DG223),"NON PERTINENTE")</f>
        <v>NON PERTINENTE</v>
      </c>
      <c r="DM223" s="19" t="str">
        <f t="shared" si="91"/>
        <v>NON PERTINENTE</v>
      </c>
      <c r="DN223" s="110">
        <f>_xlfn.MAXIFS('MY-REPORT-MAIN'!K:K,'MY-REPORT-MAIN'!C:C,DG223)</f>
        <v>0</v>
      </c>
      <c r="DO223" s="112" t="str">
        <f>IF(_xlfn.MAXIFS('MY-REPORT-MAIN'!M:M,'MY-REPORT-MAIN'!C:C,DG223)=0,"Nessun rendiconto  Convalidato",_xlfn.MAXIFS('MY-REPORT-MAIN'!M:M,'MY-REPORT-MAIN'!C:C,DG223))</f>
        <v>Nessun rendiconto  Convalidato</v>
      </c>
      <c r="DP223" s="113" t="str" cm="1">
        <f t="array" ref="DP223">IFERROR(INDEX('MY-REPORT-MAIN'!A:Z,MATCH(1,(DO223='MY-REPORT-MAIN'!M:M)*('Partner data'!DG223='MY-REPORT-MAIN'!C:C),0),1),"NON è stato convalidato ancora nessun rendiconto")</f>
        <v>NON è stato convalidato ancora nessun rendiconto</v>
      </c>
      <c r="DQ223" s="111" t="str">
        <f>IFERROR(INDEX('MY-REPORT-MAIN'!A:Z,MATCH('Partner data'!DP223,'MY-REPORT-MAIN'!A:A,0),21),"Nessun Rendiconto ancora convalidato")</f>
        <v>Nessun Rendiconto ancora convalidato</v>
      </c>
      <c r="DR223" s="110" t="e">
        <f>INDEX('Interreg VI-A Italy-Slovenia_pr'!A:E,MATCH('Partner data'!C223,'Interreg VI-A Italy-Slovenia_pr'!A:A,0),3)</f>
        <v>#N/A</v>
      </c>
      <c r="DS223" s="118">
        <f t="shared" si="76"/>
        <v>39963.129999999997</v>
      </c>
      <c r="DT223" s="118">
        <f t="shared" si="77"/>
        <v>99226.26</v>
      </c>
      <c r="DU223" s="118">
        <f t="shared" si="78"/>
        <v>138687.25</v>
      </c>
      <c r="DV223" s="118">
        <f t="shared" si="79"/>
        <v>197852.54</v>
      </c>
      <c r="DW223" s="118">
        <f t="shared" si="80"/>
        <v>197852.54</v>
      </c>
      <c r="DX223" s="118">
        <f t="shared" si="81"/>
        <v>197852.54</v>
      </c>
      <c r="DY223" s="118">
        <f t="shared" si="82"/>
        <v>197852.54</v>
      </c>
      <c r="DZ223" s="118">
        <f t="shared" si="83"/>
        <v>197852.54</v>
      </c>
      <c r="EA223" s="118">
        <f t="shared" si="84"/>
        <v>197852.54</v>
      </c>
      <c r="EB223" s="118">
        <f t="shared" si="85"/>
        <v>197852.54</v>
      </c>
    </row>
    <row r="224" spans="1:132" ht="45" x14ac:dyDescent="0.25">
      <c r="A224" s="121">
        <v>6</v>
      </c>
      <c r="B224" s="122" t="s">
        <v>2688</v>
      </c>
      <c r="C224" s="123" t="s">
        <v>3247</v>
      </c>
      <c r="D224" s="123" t="s">
        <v>3248</v>
      </c>
      <c r="E224" s="123" t="s">
        <v>3249</v>
      </c>
      <c r="F224" s="123" t="s">
        <v>490</v>
      </c>
      <c r="G224" s="123" t="s">
        <v>6118</v>
      </c>
      <c r="H224" s="123" t="s">
        <v>691</v>
      </c>
      <c r="I224" s="123" t="s">
        <v>1044</v>
      </c>
      <c r="J224" s="124" t="s">
        <v>538</v>
      </c>
      <c r="K224" s="124" t="s">
        <v>495</v>
      </c>
      <c r="L224" s="124" t="s">
        <v>519</v>
      </c>
      <c r="M224" s="124" t="s">
        <v>325</v>
      </c>
      <c r="N224" s="124" t="s">
        <v>3271</v>
      </c>
      <c r="O224" s="124" t="s">
        <v>3272</v>
      </c>
      <c r="P224" s="124" t="s">
        <v>254</v>
      </c>
      <c r="Q224" s="124" t="s">
        <v>499</v>
      </c>
      <c r="R224" s="124" t="s">
        <v>255</v>
      </c>
      <c r="S224" s="32">
        <v>168748.08</v>
      </c>
      <c r="T224" s="32">
        <v>80</v>
      </c>
      <c r="U224" s="32">
        <v>23.38</v>
      </c>
      <c r="V224" s="32">
        <v>0</v>
      </c>
      <c r="W224" s="32">
        <v>0</v>
      </c>
      <c r="X224" s="32">
        <v>0</v>
      </c>
      <c r="Y224" s="32">
        <v>0</v>
      </c>
      <c r="Z224" s="32">
        <v>0</v>
      </c>
      <c r="AA224" s="32">
        <v>0</v>
      </c>
      <c r="AB224" s="32">
        <v>0</v>
      </c>
      <c r="AC224" s="32">
        <v>0</v>
      </c>
      <c r="AD224" s="32">
        <v>0</v>
      </c>
      <c r="AE224" s="32">
        <v>0</v>
      </c>
      <c r="AF224" s="32">
        <v>0</v>
      </c>
      <c r="AG224" s="32">
        <v>0</v>
      </c>
      <c r="AH224" s="32">
        <v>0</v>
      </c>
      <c r="AI224" s="32">
        <v>0</v>
      </c>
      <c r="AJ224" s="32">
        <v>0</v>
      </c>
      <c r="AK224" s="32">
        <v>0</v>
      </c>
      <c r="AL224" s="32">
        <v>0</v>
      </c>
      <c r="AM224" s="32">
        <v>0</v>
      </c>
      <c r="AN224" s="32">
        <v>0</v>
      </c>
      <c r="AO224" s="32">
        <v>42187.02</v>
      </c>
      <c r="AP224" s="32">
        <v>0</v>
      </c>
      <c r="AQ224" s="32">
        <v>42187.02</v>
      </c>
      <c r="AR224" s="32">
        <v>210935.1</v>
      </c>
      <c r="AS224" s="32">
        <v>23.38</v>
      </c>
      <c r="AT224" s="32">
        <v>150667.93</v>
      </c>
      <c r="AU224" s="32">
        <v>0</v>
      </c>
      <c r="AV224" s="32">
        <v>150667.93</v>
      </c>
      <c r="AW224" s="32">
        <v>0</v>
      </c>
      <c r="AX224" s="32">
        <v>0</v>
      </c>
      <c r="AY224" s="32">
        <v>0</v>
      </c>
      <c r="AZ224" s="32">
        <v>0</v>
      </c>
      <c r="BA224" s="32">
        <v>0</v>
      </c>
      <c r="BB224" s="32">
        <v>0</v>
      </c>
      <c r="BC224" s="32">
        <v>0</v>
      </c>
      <c r="BD224" s="32">
        <v>0</v>
      </c>
      <c r="BE224" s="32">
        <v>0</v>
      </c>
      <c r="BF224" s="32">
        <v>0</v>
      </c>
      <c r="BG224" s="32">
        <v>0</v>
      </c>
      <c r="BH224" s="32">
        <v>0</v>
      </c>
      <c r="BI224" s="32">
        <v>0</v>
      </c>
      <c r="BJ224" s="32">
        <v>0</v>
      </c>
      <c r="BK224" s="32">
        <v>0</v>
      </c>
      <c r="BL224" s="32">
        <v>0</v>
      </c>
      <c r="BM224" s="32">
        <v>60267.17</v>
      </c>
      <c r="BN224" s="32">
        <v>0</v>
      </c>
      <c r="BO224" s="32">
        <v>0</v>
      </c>
      <c r="BP224" s="32">
        <v>0</v>
      </c>
      <c r="BQ224" s="32">
        <v>52733.49</v>
      </c>
      <c r="BR224" s="32">
        <v>52733.77</v>
      </c>
      <c r="BS224" s="32">
        <v>52733.77</v>
      </c>
      <c r="BT224" s="32">
        <v>52734.07</v>
      </c>
      <c r="BU224" s="32">
        <v>0</v>
      </c>
      <c r="BV224" s="32">
        <v>0</v>
      </c>
      <c r="BW224" s="32">
        <v>0</v>
      </c>
      <c r="BX224" s="32">
        <v>0</v>
      </c>
      <c r="BY224" s="32">
        <v>0</v>
      </c>
      <c r="BZ224" s="32">
        <v>0</v>
      </c>
      <c r="CA224" s="32">
        <v>0</v>
      </c>
      <c r="CB224" s="125" t="s">
        <v>3273</v>
      </c>
      <c r="CC224" s="125" t="s">
        <v>624</v>
      </c>
      <c r="CD224" s="125"/>
      <c r="CE224" s="125" t="s">
        <v>523</v>
      </c>
      <c r="CF224" s="125" t="s">
        <v>707</v>
      </c>
      <c r="CG224" s="125" t="s">
        <v>1626</v>
      </c>
      <c r="CH224" s="125" t="s">
        <v>526</v>
      </c>
      <c r="CI224" s="125"/>
      <c r="CJ224" s="125" t="s">
        <v>212</v>
      </c>
      <c r="CK224" s="125" t="s">
        <v>1627</v>
      </c>
      <c r="CL224" s="125" t="s">
        <v>212</v>
      </c>
      <c r="CM224" s="125"/>
      <c r="CN224" s="125" t="s">
        <v>254</v>
      </c>
      <c r="CO224" s="125" t="s">
        <v>255</v>
      </c>
      <c r="CP224" s="125" t="s">
        <v>3274</v>
      </c>
      <c r="CQ224" s="125" t="s">
        <v>1629</v>
      </c>
      <c r="CR224" s="125" t="s">
        <v>1630</v>
      </c>
      <c r="CS224" s="125" t="s">
        <v>3275</v>
      </c>
      <c r="CT224" s="125" t="s">
        <v>254</v>
      </c>
      <c r="CU224" s="125" t="s">
        <v>255</v>
      </c>
      <c r="CV224" s="125" t="s">
        <v>3274</v>
      </c>
      <c r="CW224" s="125" t="s">
        <v>1629</v>
      </c>
      <c r="CX224" s="125" t="s">
        <v>529</v>
      </c>
      <c r="CY224" s="125" t="s">
        <v>628</v>
      </c>
      <c r="CZ224" s="125" t="s">
        <v>3276</v>
      </c>
      <c r="DA224" s="125" t="s">
        <v>1633</v>
      </c>
      <c r="DB224" s="125" t="s">
        <v>1703</v>
      </c>
      <c r="DC224" s="125" t="s">
        <v>1035</v>
      </c>
      <c r="DD224" s="125" t="s">
        <v>3277</v>
      </c>
      <c r="DE224" s="125" t="s">
        <v>3278</v>
      </c>
      <c r="DF224" s="126" t="s">
        <v>3279</v>
      </c>
      <c r="DG224" s="27" cm="1">
        <f t="array" ref="DG224">INDEX('elenco partner'!A:M,MATCH(1,(D224='elenco partner'!A:A)*('Partner data'!M224='elenco partner'!E:E),0),4)</f>
        <v>656</v>
      </c>
      <c r="DH224" s="83" t="str">
        <f t="shared" si="89"/>
        <v>COSTO REALE</v>
      </c>
      <c r="DI224" s="20">
        <f>COUNTIFS('MY-REPORT-MAIN'!C:C,'Partner data'!DG224,'MY-REPORT-MAIN'!I:I,"Certified")</f>
        <v>0</v>
      </c>
      <c r="DJ224" s="20">
        <f>COUNTIFS(List_Of_chek_list!M:M,"&lt;&gt;26",List_Of_chek_list!B:B,'Partner data'!DG224)</f>
        <v>0</v>
      </c>
      <c r="DK224" s="20">
        <f t="shared" si="90"/>
        <v>0</v>
      </c>
      <c r="DL224" s="19" t="str">
        <f>IF(DH224="Tasso Forfettario 20%",SUMIFS(List_Of_chek_list!#REF!,List_Of_chek_list!B:B,'Partner data'!DG224),"NON PERTINENTE")</f>
        <v>NON PERTINENTE</v>
      </c>
      <c r="DM224" s="19" t="str">
        <f t="shared" si="91"/>
        <v>NON PERTINENTE</v>
      </c>
      <c r="DN224" s="110">
        <f>_xlfn.MAXIFS('MY-REPORT-MAIN'!K:K,'MY-REPORT-MAIN'!C:C,DG224)</f>
        <v>0</v>
      </c>
      <c r="DO224" s="112" t="str">
        <f>IF(_xlfn.MAXIFS('MY-REPORT-MAIN'!M:M,'MY-REPORT-MAIN'!C:C,DG224)=0,"Nessun rendiconto  Convalidato",_xlfn.MAXIFS('MY-REPORT-MAIN'!M:M,'MY-REPORT-MAIN'!C:C,DG224))</f>
        <v>Nessun rendiconto  Convalidato</v>
      </c>
      <c r="DP224" s="113" t="str" cm="1">
        <f t="array" ref="DP224">IFERROR(INDEX('MY-REPORT-MAIN'!A:Z,MATCH(1,(DO224='MY-REPORT-MAIN'!M:M)*('Partner data'!DG224='MY-REPORT-MAIN'!C:C),0),1),"NON è stato convalidato ancora nessun rendiconto")</f>
        <v>NON è stato convalidato ancora nessun rendiconto</v>
      </c>
      <c r="DQ224" s="111" t="str">
        <f>IFERROR(INDEX('MY-REPORT-MAIN'!A:Z,MATCH('Partner data'!DP224,'MY-REPORT-MAIN'!A:A,0),21),"Nessun Rendiconto ancora convalidato")</f>
        <v>Nessun Rendiconto ancora convalidato</v>
      </c>
      <c r="DR224" s="110" t="e">
        <f>INDEX('Interreg VI-A Italy-Slovenia_pr'!A:E,MATCH('Partner data'!C224,'Interreg VI-A Italy-Slovenia_pr'!A:A,0),3)</f>
        <v>#N/A</v>
      </c>
      <c r="DS224" s="118">
        <f t="shared" si="76"/>
        <v>52733.49</v>
      </c>
      <c r="DT224" s="118">
        <f t="shared" si="77"/>
        <v>105467.26</v>
      </c>
      <c r="DU224" s="118">
        <f t="shared" si="78"/>
        <v>158201.03</v>
      </c>
      <c r="DV224" s="118">
        <f t="shared" si="79"/>
        <v>210935.1</v>
      </c>
      <c r="DW224" s="118">
        <f t="shared" si="80"/>
        <v>210935.1</v>
      </c>
      <c r="DX224" s="118">
        <f t="shared" si="81"/>
        <v>210935.1</v>
      </c>
      <c r="DY224" s="118">
        <f t="shared" si="82"/>
        <v>210935.1</v>
      </c>
      <c r="DZ224" s="118">
        <f t="shared" si="83"/>
        <v>210935.1</v>
      </c>
      <c r="EA224" s="118">
        <f t="shared" si="84"/>
        <v>210935.1</v>
      </c>
      <c r="EB224" s="118">
        <f t="shared" si="85"/>
        <v>210935.1</v>
      </c>
    </row>
    <row r="225" spans="1:132" ht="45" x14ac:dyDescent="0.25">
      <c r="A225" s="121">
        <v>6</v>
      </c>
      <c r="B225" s="122" t="s">
        <v>2688</v>
      </c>
      <c r="C225" s="123" t="s">
        <v>3247</v>
      </c>
      <c r="D225" s="123" t="s">
        <v>3248</v>
      </c>
      <c r="E225" s="123" t="s">
        <v>3249</v>
      </c>
      <c r="F225" s="123" t="s">
        <v>490</v>
      </c>
      <c r="G225" s="123" t="s">
        <v>6118</v>
      </c>
      <c r="H225" s="123" t="s">
        <v>691</v>
      </c>
      <c r="I225" s="123" t="s">
        <v>1044</v>
      </c>
      <c r="J225" s="124" t="s">
        <v>554</v>
      </c>
      <c r="K225" s="124" t="s">
        <v>495</v>
      </c>
      <c r="L225" s="124" t="s">
        <v>519</v>
      </c>
      <c r="M225" s="124" t="s">
        <v>3280</v>
      </c>
      <c r="N225" s="124" t="s">
        <v>3281</v>
      </c>
      <c r="O225" s="124" t="s">
        <v>3281</v>
      </c>
      <c r="P225" s="124" t="s">
        <v>257</v>
      </c>
      <c r="Q225" s="124" t="s">
        <v>556</v>
      </c>
      <c r="R225" s="124" t="s">
        <v>270</v>
      </c>
      <c r="S225" s="32">
        <v>77921.919999999998</v>
      </c>
      <c r="T225" s="32">
        <v>80</v>
      </c>
      <c r="U225" s="32">
        <v>10.8</v>
      </c>
      <c r="V225" s="32">
        <v>0</v>
      </c>
      <c r="W225" s="32">
        <v>0</v>
      </c>
      <c r="X225" s="32">
        <v>0</v>
      </c>
      <c r="Y225" s="32">
        <v>0</v>
      </c>
      <c r="Z225" s="32">
        <v>0</v>
      </c>
      <c r="AA225" s="32">
        <v>0</v>
      </c>
      <c r="AB225" s="32">
        <v>0</v>
      </c>
      <c r="AC225" s="32">
        <v>0</v>
      </c>
      <c r="AD225" s="32">
        <v>0</v>
      </c>
      <c r="AE225" s="32">
        <v>0</v>
      </c>
      <c r="AF225" s="32">
        <v>0</v>
      </c>
      <c r="AG225" s="32">
        <v>0</v>
      </c>
      <c r="AH225" s="32">
        <v>0</v>
      </c>
      <c r="AI225" s="32">
        <v>0</v>
      </c>
      <c r="AJ225" s="32">
        <v>0</v>
      </c>
      <c r="AK225" s="32">
        <v>0</v>
      </c>
      <c r="AL225" s="32">
        <v>0</v>
      </c>
      <c r="AM225" s="32">
        <v>0</v>
      </c>
      <c r="AN225" s="32">
        <v>0</v>
      </c>
      <c r="AO225" s="32">
        <v>0</v>
      </c>
      <c r="AP225" s="32">
        <v>19480.48</v>
      </c>
      <c r="AQ225" s="32">
        <v>19480.48</v>
      </c>
      <c r="AR225" s="32">
        <v>97402.4</v>
      </c>
      <c r="AS225" s="32">
        <v>10.8</v>
      </c>
      <c r="AT225" s="32">
        <v>54960</v>
      </c>
      <c r="AU225" s="32">
        <v>0</v>
      </c>
      <c r="AV225" s="32">
        <v>54960</v>
      </c>
      <c r="AW225" s="32">
        <v>0</v>
      </c>
      <c r="AX225" s="32">
        <v>8244</v>
      </c>
      <c r="AY225" s="32">
        <v>8244</v>
      </c>
      <c r="AZ225" s="32">
        <v>2198.4</v>
      </c>
      <c r="BA225" s="32">
        <v>2198.4</v>
      </c>
      <c r="BB225" s="32">
        <v>0</v>
      </c>
      <c r="BC225" s="32">
        <v>0</v>
      </c>
      <c r="BD225" s="32">
        <v>32000</v>
      </c>
      <c r="BE225" s="32">
        <v>32000</v>
      </c>
      <c r="BF225" s="32">
        <v>0</v>
      </c>
      <c r="BG225" s="32">
        <v>0</v>
      </c>
      <c r="BH225" s="32">
        <v>0</v>
      </c>
      <c r="BI225" s="32">
        <v>0</v>
      </c>
      <c r="BJ225" s="32">
        <v>0</v>
      </c>
      <c r="BK225" s="32">
        <v>0</v>
      </c>
      <c r="BL225" s="32">
        <v>0</v>
      </c>
      <c r="BM225" s="32">
        <v>0</v>
      </c>
      <c r="BN225" s="32">
        <v>0</v>
      </c>
      <c r="BO225" s="32">
        <v>0</v>
      </c>
      <c r="BP225" s="32">
        <v>0</v>
      </c>
      <c r="BQ225" s="32">
        <v>16850.599999999999</v>
      </c>
      <c r="BR225" s="32">
        <v>28850.6</v>
      </c>
      <c r="BS225" s="32">
        <v>21350.6</v>
      </c>
      <c r="BT225" s="32">
        <v>30350.6</v>
      </c>
      <c r="BU225" s="32">
        <v>0</v>
      </c>
      <c r="BV225" s="32">
        <v>0</v>
      </c>
      <c r="BW225" s="32">
        <v>0</v>
      </c>
      <c r="BX225" s="32">
        <v>0</v>
      </c>
      <c r="BY225" s="32">
        <v>0</v>
      </c>
      <c r="BZ225" s="32">
        <v>0</v>
      </c>
      <c r="CA225" s="32">
        <v>0</v>
      </c>
      <c r="CB225" s="125" t="s">
        <v>212</v>
      </c>
      <c r="CC225" s="125" t="s">
        <v>675</v>
      </c>
      <c r="CD225" s="125" t="s">
        <v>706</v>
      </c>
      <c r="CE225" s="125" t="s">
        <v>501</v>
      </c>
      <c r="CF225" s="125"/>
      <c r="CG225" s="125" t="s">
        <v>708</v>
      </c>
      <c r="CH225" s="125" t="s">
        <v>504</v>
      </c>
      <c r="CI225" s="125"/>
      <c r="CJ225" s="125" t="s">
        <v>212</v>
      </c>
      <c r="CK225" s="125" t="s">
        <v>709</v>
      </c>
      <c r="CL225" s="125" t="s">
        <v>212</v>
      </c>
      <c r="CM225" s="125" t="s">
        <v>2040</v>
      </c>
      <c r="CN225" s="125" t="s">
        <v>257</v>
      </c>
      <c r="CO225" s="125" t="s">
        <v>270</v>
      </c>
      <c r="CP225" s="125" t="s">
        <v>3282</v>
      </c>
      <c r="CQ225" s="125" t="s">
        <v>710</v>
      </c>
      <c r="CR225" s="125" t="s">
        <v>650</v>
      </c>
      <c r="CS225" s="125" t="s">
        <v>3283</v>
      </c>
      <c r="CT225" s="125"/>
      <c r="CU225" s="125"/>
      <c r="CV225" s="125"/>
      <c r="CW225" s="125"/>
      <c r="CX225" s="125"/>
      <c r="CY225" s="125" t="s">
        <v>510</v>
      </c>
      <c r="CZ225" s="125" t="s">
        <v>3284</v>
      </c>
      <c r="DA225" s="125" t="s">
        <v>712</v>
      </c>
      <c r="DB225" s="125" t="s">
        <v>510</v>
      </c>
      <c r="DC225" s="125" t="s">
        <v>711</v>
      </c>
      <c r="DD225" s="125" t="s">
        <v>712</v>
      </c>
      <c r="DE225" s="125" t="s">
        <v>3285</v>
      </c>
      <c r="DF225" s="126" t="s">
        <v>3286</v>
      </c>
      <c r="DG225" s="27" cm="1">
        <f t="array" ref="DG225">INDEX('elenco partner'!A:M,MATCH(1,(D225='elenco partner'!A:A)*('Partner data'!M225='elenco partner'!E:E),0),4)</f>
        <v>657</v>
      </c>
      <c r="DH225" s="83" t="str">
        <f t="shared" si="89"/>
        <v>COSTO REALE</v>
      </c>
      <c r="DI225" s="20">
        <f>COUNTIFS('MY-REPORT-MAIN'!C:C,'Partner data'!DG225,'MY-REPORT-MAIN'!I:I,"Certified")</f>
        <v>0</v>
      </c>
      <c r="DJ225" s="20">
        <f>COUNTIFS(List_Of_chek_list!M:M,"&lt;&gt;26",List_Of_chek_list!B:B,'Partner data'!DG225)</f>
        <v>0</v>
      </c>
      <c r="DK225" s="20">
        <f t="shared" si="90"/>
        <v>0</v>
      </c>
      <c r="DL225" s="19" t="str">
        <f>IF(DH225="Tasso Forfettario 20%",SUMIFS(List_Of_chek_list!#REF!,List_Of_chek_list!B:B,'Partner data'!DG225),"NON PERTINENTE")</f>
        <v>NON PERTINENTE</v>
      </c>
      <c r="DM225" s="19" t="str">
        <f t="shared" si="91"/>
        <v>NON PERTINENTE</v>
      </c>
      <c r="DN225" s="110">
        <f>_xlfn.MAXIFS('MY-REPORT-MAIN'!K:K,'MY-REPORT-MAIN'!C:C,DG225)</f>
        <v>0</v>
      </c>
      <c r="DO225" s="112" t="str">
        <f>IF(_xlfn.MAXIFS('MY-REPORT-MAIN'!M:M,'MY-REPORT-MAIN'!C:C,DG225)=0,"Nessun rendiconto  Convalidato",_xlfn.MAXIFS('MY-REPORT-MAIN'!M:M,'MY-REPORT-MAIN'!C:C,DG225))</f>
        <v>Nessun rendiconto  Convalidato</v>
      </c>
      <c r="DP225" s="113" t="str" cm="1">
        <f t="array" ref="DP225">IFERROR(INDEX('MY-REPORT-MAIN'!A:Z,MATCH(1,(DO225='MY-REPORT-MAIN'!M:M)*('Partner data'!DG225='MY-REPORT-MAIN'!C:C),0),1),"NON è stato convalidato ancora nessun rendiconto")</f>
        <v>NON è stato convalidato ancora nessun rendiconto</v>
      </c>
      <c r="DQ225" s="111" t="str">
        <f>IFERROR(INDEX('MY-REPORT-MAIN'!A:Z,MATCH('Partner data'!DP225,'MY-REPORT-MAIN'!A:A,0),21),"Nessun Rendiconto ancora convalidato")</f>
        <v>Nessun Rendiconto ancora convalidato</v>
      </c>
      <c r="DR225" s="110" t="e">
        <f>INDEX('Interreg VI-A Italy-Slovenia_pr'!A:E,MATCH('Partner data'!C225,'Interreg VI-A Italy-Slovenia_pr'!A:A,0),3)</f>
        <v>#N/A</v>
      </c>
      <c r="DS225" s="118">
        <f t="shared" si="76"/>
        <v>16850.599999999999</v>
      </c>
      <c r="DT225" s="118">
        <f t="shared" si="77"/>
        <v>45701.2</v>
      </c>
      <c r="DU225" s="118">
        <f t="shared" si="78"/>
        <v>67051.799999999988</v>
      </c>
      <c r="DV225" s="118">
        <f t="shared" si="79"/>
        <v>97402.4</v>
      </c>
      <c r="DW225" s="118">
        <f t="shared" si="80"/>
        <v>97402.4</v>
      </c>
      <c r="DX225" s="118">
        <f t="shared" si="81"/>
        <v>97402.4</v>
      </c>
      <c r="DY225" s="118">
        <f t="shared" si="82"/>
        <v>97402.4</v>
      </c>
      <c r="DZ225" s="118">
        <f t="shared" si="83"/>
        <v>97402.4</v>
      </c>
      <c r="EA225" s="118">
        <f t="shared" si="84"/>
        <v>97402.4</v>
      </c>
      <c r="EB225" s="118">
        <f t="shared" si="85"/>
        <v>97402.4</v>
      </c>
    </row>
    <row r="226" spans="1:132" ht="45" x14ac:dyDescent="0.25">
      <c r="A226" s="121">
        <v>6</v>
      </c>
      <c r="B226" s="122" t="s">
        <v>2688</v>
      </c>
      <c r="C226" s="123" t="s">
        <v>3247</v>
      </c>
      <c r="D226" s="123" t="s">
        <v>3248</v>
      </c>
      <c r="E226" s="123" t="s">
        <v>3249</v>
      </c>
      <c r="F226" s="123" t="s">
        <v>490</v>
      </c>
      <c r="G226" s="123" t="s">
        <v>6118</v>
      </c>
      <c r="H226" s="123" t="s">
        <v>691</v>
      </c>
      <c r="I226" s="123" t="s">
        <v>1044</v>
      </c>
      <c r="J226" s="124" t="s">
        <v>570</v>
      </c>
      <c r="K226" s="124" t="s">
        <v>495</v>
      </c>
      <c r="L226" s="124" t="s">
        <v>519</v>
      </c>
      <c r="M226" s="124" t="s">
        <v>3287</v>
      </c>
      <c r="N226" s="124" t="s">
        <v>3288</v>
      </c>
      <c r="O226" s="124" t="s">
        <v>3289</v>
      </c>
      <c r="P226" s="124" t="s">
        <v>254</v>
      </c>
      <c r="Q226" s="124" t="s">
        <v>540</v>
      </c>
      <c r="R226" s="124" t="s">
        <v>302</v>
      </c>
      <c r="S226" s="32">
        <v>132573.56</v>
      </c>
      <c r="T226" s="32">
        <v>80</v>
      </c>
      <c r="U226" s="32">
        <v>18.37</v>
      </c>
      <c r="V226" s="32">
        <v>0</v>
      </c>
      <c r="W226" s="32">
        <v>0</v>
      </c>
      <c r="X226" s="32">
        <v>0</v>
      </c>
      <c r="Y226" s="32">
        <v>0</v>
      </c>
      <c r="Z226" s="32">
        <v>0</v>
      </c>
      <c r="AA226" s="32">
        <v>0</v>
      </c>
      <c r="AB226" s="32">
        <v>0</v>
      </c>
      <c r="AC226" s="32">
        <v>0</v>
      </c>
      <c r="AD226" s="32">
        <v>0</v>
      </c>
      <c r="AE226" s="32">
        <v>0</v>
      </c>
      <c r="AF226" s="32">
        <v>0</v>
      </c>
      <c r="AG226" s="32">
        <v>0</v>
      </c>
      <c r="AH226" s="32">
        <v>0</v>
      </c>
      <c r="AI226" s="32">
        <v>0</v>
      </c>
      <c r="AJ226" s="32">
        <v>0</v>
      </c>
      <c r="AK226" s="32">
        <v>0</v>
      </c>
      <c r="AL226" s="32">
        <v>0</v>
      </c>
      <c r="AM226" s="32">
        <v>0</v>
      </c>
      <c r="AN226" s="32">
        <v>0</v>
      </c>
      <c r="AO226" s="32">
        <v>33143.4</v>
      </c>
      <c r="AP226" s="32">
        <v>0</v>
      </c>
      <c r="AQ226" s="32">
        <v>33143.4</v>
      </c>
      <c r="AR226" s="32">
        <v>165716.96</v>
      </c>
      <c r="AS226" s="32">
        <v>18.37</v>
      </c>
      <c r="AT226" s="32">
        <v>114384</v>
      </c>
      <c r="AU226" s="32">
        <v>0</v>
      </c>
      <c r="AV226" s="32">
        <v>114384</v>
      </c>
      <c r="AW226" s="32">
        <v>0</v>
      </c>
      <c r="AX226" s="32">
        <v>17157.599999999999</v>
      </c>
      <c r="AY226" s="32">
        <v>17157.599999999999</v>
      </c>
      <c r="AZ226" s="32">
        <v>4575.3599999999997</v>
      </c>
      <c r="BA226" s="32">
        <v>4575.3599999999997</v>
      </c>
      <c r="BB226" s="32">
        <v>0</v>
      </c>
      <c r="BC226" s="32">
        <v>0</v>
      </c>
      <c r="BD226" s="32">
        <v>29600</v>
      </c>
      <c r="BE226" s="32">
        <v>29600</v>
      </c>
      <c r="BF226" s="32">
        <v>0</v>
      </c>
      <c r="BG226" s="32">
        <v>0</v>
      </c>
      <c r="BH226" s="32">
        <v>0</v>
      </c>
      <c r="BI226" s="32">
        <v>0</v>
      </c>
      <c r="BJ226" s="32">
        <v>0</v>
      </c>
      <c r="BK226" s="32">
        <v>0</v>
      </c>
      <c r="BL226" s="32">
        <v>0</v>
      </c>
      <c r="BM226" s="32">
        <v>0</v>
      </c>
      <c r="BN226" s="32">
        <v>0</v>
      </c>
      <c r="BO226" s="32">
        <v>0</v>
      </c>
      <c r="BP226" s="32">
        <v>0</v>
      </c>
      <c r="BQ226" s="32">
        <v>39779.24</v>
      </c>
      <c r="BR226" s="32">
        <v>41429.24</v>
      </c>
      <c r="BS226" s="32">
        <v>42579.24</v>
      </c>
      <c r="BT226" s="32">
        <v>41929.24</v>
      </c>
      <c r="BU226" s="32">
        <v>0</v>
      </c>
      <c r="BV226" s="32">
        <v>0</v>
      </c>
      <c r="BW226" s="32">
        <v>0</v>
      </c>
      <c r="BX226" s="32">
        <v>0</v>
      </c>
      <c r="BY226" s="32">
        <v>0</v>
      </c>
      <c r="BZ226" s="32">
        <v>0</v>
      </c>
      <c r="CA226" s="32">
        <v>0</v>
      </c>
      <c r="CB226" s="125" t="s">
        <v>2996</v>
      </c>
      <c r="CC226" s="125" t="s">
        <v>500</v>
      </c>
      <c r="CD226" s="125"/>
      <c r="CE226" s="125" t="s">
        <v>501</v>
      </c>
      <c r="CF226" s="125"/>
      <c r="CG226" s="125" t="s">
        <v>3290</v>
      </c>
      <c r="CH226" s="125" t="s">
        <v>526</v>
      </c>
      <c r="CI226" s="125" t="s">
        <v>3290</v>
      </c>
      <c r="CJ226" s="125" t="s">
        <v>1764</v>
      </c>
      <c r="CK226" s="125" t="s">
        <v>3291</v>
      </c>
      <c r="CL226" s="125" t="s">
        <v>212</v>
      </c>
      <c r="CM226" s="125"/>
      <c r="CN226" s="125" t="s">
        <v>254</v>
      </c>
      <c r="CO226" s="125" t="s">
        <v>302</v>
      </c>
      <c r="CP226" s="125" t="s">
        <v>3292</v>
      </c>
      <c r="CQ226" s="125" t="s">
        <v>3293</v>
      </c>
      <c r="CR226" s="125" t="s">
        <v>3294</v>
      </c>
      <c r="CS226" s="125" t="s">
        <v>3295</v>
      </c>
      <c r="CT226" s="125" t="s">
        <v>254</v>
      </c>
      <c r="CU226" s="125" t="s">
        <v>273</v>
      </c>
      <c r="CV226" s="125" t="s">
        <v>3296</v>
      </c>
      <c r="CW226" s="125" t="s">
        <v>661</v>
      </c>
      <c r="CX226" s="125" t="s">
        <v>662</v>
      </c>
      <c r="CY226" s="125" t="s">
        <v>1729</v>
      </c>
      <c r="CZ226" s="125" t="s">
        <v>3297</v>
      </c>
      <c r="DA226" s="125" t="s">
        <v>3298</v>
      </c>
      <c r="DB226" s="125" t="s">
        <v>531</v>
      </c>
      <c r="DC226" s="125" t="s">
        <v>3297</v>
      </c>
      <c r="DD226" s="125" t="s">
        <v>3298</v>
      </c>
      <c r="DE226" s="125" t="s">
        <v>3299</v>
      </c>
      <c r="DF226" s="126" t="s">
        <v>3300</v>
      </c>
      <c r="DG226" s="27" cm="1">
        <f t="array" ref="DG226">INDEX('elenco partner'!A:M,MATCH(1,(D226='elenco partner'!A:A)*('Partner data'!M226='elenco partner'!E:E),0),4)</f>
        <v>660</v>
      </c>
      <c r="DH226" s="83" t="str">
        <f t="shared" si="89"/>
        <v>COSTO REALE</v>
      </c>
      <c r="DI226" s="20">
        <f>COUNTIFS('MY-REPORT-MAIN'!C:C,'Partner data'!DG226,'MY-REPORT-MAIN'!I:I,"Certified")</f>
        <v>0</v>
      </c>
      <c r="DJ226" s="20">
        <f>COUNTIFS(List_Of_chek_list!M:M,"&lt;&gt;26",List_Of_chek_list!B:B,'Partner data'!DG226)</f>
        <v>0</v>
      </c>
      <c r="DK226" s="20">
        <f t="shared" si="90"/>
        <v>0</v>
      </c>
      <c r="DL226" s="19" t="str">
        <f>IF(DH226="Tasso Forfettario 20%",SUMIFS(List_Of_chek_list!#REF!,List_Of_chek_list!B:B,'Partner data'!DG226),"NON PERTINENTE")</f>
        <v>NON PERTINENTE</v>
      </c>
      <c r="DM226" s="19" t="str">
        <f t="shared" si="91"/>
        <v>NON PERTINENTE</v>
      </c>
      <c r="DN226" s="110">
        <f>_xlfn.MAXIFS('MY-REPORT-MAIN'!K:K,'MY-REPORT-MAIN'!C:C,DG226)</f>
        <v>0</v>
      </c>
      <c r="DO226" s="112" t="str">
        <f>IF(_xlfn.MAXIFS('MY-REPORT-MAIN'!M:M,'MY-REPORT-MAIN'!C:C,DG226)=0,"Nessun rendiconto  Convalidato",_xlfn.MAXIFS('MY-REPORT-MAIN'!M:M,'MY-REPORT-MAIN'!C:C,DG226))</f>
        <v>Nessun rendiconto  Convalidato</v>
      </c>
      <c r="DP226" s="113" t="str" cm="1">
        <f t="array" ref="DP226">IFERROR(INDEX('MY-REPORT-MAIN'!A:Z,MATCH(1,(DO226='MY-REPORT-MAIN'!M:M)*('Partner data'!DG226='MY-REPORT-MAIN'!C:C),0),1),"NON è stato convalidato ancora nessun rendiconto")</f>
        <v>NON è stato convalidato ancora nessun rendiconto</v>
      </c>
      <c r="DQ226" s="111" t="str">
        <f>IFERROR(INDEX('MY-REPORT-MAIN'!A:Z,MATCH('Partner data'!DP226,'MY-REPORT-MAIN'!A:A,0),21),"Nessun Rendiconto ancora convalidato")</f>
        <v>Nessun Rendiconto ancora convalidato</v>
      </c>
      <c r="DR226" s="110" t="e">
        <f>INDEX('Interreg VI-A Italy-Slovenia_pr'!A:E,MATCH('Partner data'!C226,'Interreg VI-A Italy-Slovenia_pr'!A:A,0),3)</f>
        <v>#N/A</v>
      </c>
      <c r="DS226" s="118">
        <f t="shared" si="76"/>
        <v>39779.24</v>
      </c>
      <c r="DT226" s="118">
        <f t="shared" si="77"/>
        <v>81208.479999999996</v>
      </c>
      <c r="DU226" s="118">
        <f t="shared" si="78"/>
        <v>123787.72</v>
      </c>
      <c r="DV226" s="118">
        <f t="shared" si="79"/>
        <v>165716.96</v>
      </c>
      <c r="DW226" s="118">
        <f t="shared" si="80"/>
        <v>165716.96</v>
      </c>
      <c r="DX226" s="118">
        <f t="shared" si="81"/>
        <v>165716.96</v>
      </c>
      <c r="DY226" s="118">
        <f t="shared" si="82"/>
        <v>165716.96</v>
      </c>
      <c r="DZ226" s="118">
        <f t="shared" si="83"/>
        <v>165716.96</v>
      </c>
      <c r="EA226" s="118">
        <f t="shared" si="84"/>
        <v>165716.96</v>
      </c>
      <c r="EB226" s="118">
        <f t="shared" si="85"/>
        <v>165716.96</v>
      </c>
    </row>
    <row r="227" spans="1:132" ht="45" x14ac:dyDescent="0.25">
      <c r="A227" s="121">
        <v>6</v>
      </c>
      <c r="B227" s="122" t="s">
        <v>2688</v>
      </c>
      <c r="C227" s="123" t="s">
        <v>3304</v>
      </c>
      <c r="D227" s="123" t="s">
        <v>3305</v>
      </c>
      <c r="E227" s="123" t="s">
        <v>3306</v>
      </c>
      <c r="F227" s="123" t="s">
        <v>593</v>
      </c>
      <c r="G227" s="123" t="s">
        <v>491</v>
      </c>
      <c r="H227" s="123" t="s">
        <v>766</v>
      </c>
      <c r="I227" s="123" t="s">
        <v>767</v>
      </c>
      <c r="J227" s="124" t="s">
        <v>494</v>
      </c>
      <c r="K227" s="124" t="s">
        <v>495</v>
      </c>
      <c r="L227" s="124" t="s">
        <v>496</v>
      </c>
      <c r="M227" s="124" t="s">
        <v>3307</v>
      </c>
      <c r="N227" s="124" t="s">
        <v>3308</v>
      </c>
      <c r="O227" s="124" t="s">
        <v>3309</v>
      </c>
      <c r="P227" s="124" t="s">
        <v>254</v>
      </c>
      <c r="Q227" s="124" t="s">
        <v>499</v>
      </c>
      <c r="R227" s="124" t="s">
        <v>266</v>
      </c>
      <c r="S227" s="32">
        <v>313728.8</v>
      </c>
      <c r="T227" s="32">
        <v>80</v>
      </c>
      <c r="U227" s="32">
        <v>29.43</v>
      </c>
      <c r="V227" s="32">
        <v>0</v>
      </c>
      <c r="W227" s="32">
        <v>0</v>
      </c>
      <c r="X227" s="32">
        <v>0</v>
      </c>
      <c r="Y227" s="32">
        <v>0</v>
      </c>
      <c r="Z227" s="32">
        <v>0</v>
      </c>
      <c r="AA227" s="32">
        <v>0</v>
      </c>
      <c r="AB227" s="32">
        <v>0</v>
      </c>
      <c r="AC227" s="32">
        <v>0</v>
      </c>
      <c r="AD227" s="32">
        <v>0</v>
      </c>
      <c r="AE227" s="32">
        <v>0</v>
      </c>
      <c r="AF227" s="32">
        <v>0</v>
      </c>
      <c r="AG227" s="32">
        <v>0</v>
      </c>
      <c r="AH227" s="32">
        <v>0</v>
      </c>
      <c r="AI227" s="32">
        <v>0</v>
      </c>
      <c r="AJ227" s="32">
        <v>0</v>
      </c>
      <c r="AK227" s="32">
        <v>0</v>
      </c>
      <c r="AL227" s="32">
        <v>0</v>
      </c>
      <c r="AM227" s="32">
        <v>0</v>
      </c>
      <c r="AN227" s="32">
        <v>0</v>
      </c>
      <c r="AO227" s="32">
        <v>78432.2</v>
      </c>
      <c r="AP227" s="32">
        <v>0</v>
      </c>
      <c r="AQ227" s="32">
        <v>78432.2</v>
      </c>
      <c r="AR227" s="32">
        <v>392161</v>
      </c>
      <c r="AS227" s="32">
        <v>29.43</v>
      </c>
      <c r="AT227" s="32">
        <v>61900</v>
      </c>
      <c r="AU227" s="32">
        <v>61900</v>
      </c>
      <c r="AV227" s="32">
        <v>0</v>
      </c>
      <c r="AW227" s="32">
        <v>0</v>
      </c>
      <c r="AX227" s="32">
        <v>9285</v>
      </c>
      <c r="AY227" s="32">
        <v>9285</v>
      </c>
      <c r="AZ227" s="32">
        <v>2476</v>
      </c>
      <c r="BA227" s="32">
        <v>2476</v>
      </c>
      <c r="BB227" s="32">
        <v>0</v>
      </c>
      <c r="BC227" s="32">
        <v>0</v>
      </c>
      <c r="BD227" s="32">
        <v>90000</v>
      </c>
      <c r="BE227" s="32">
        <v>90000</v>
      </c>
      <c r="BF227" s="32">
        <v>0</v>
      </c>
      <c r="BG227" s="32">
        <v>10500</v>
      </c>
      <c r="BH227" s="32">
        <v>10500</v>
      </c>
      <c r="BI227" s="32">
        <v>0</v>
      </c>
      <c r="BJ227" s="32">
        <v>209000</v>
      </c>
      <c r="BK227" s="32">
        <v>209000</v>
      </c>
      <c r="BL227" s="32">
        <v>0</v>
      </c>
      <c r="BM227" s="32">
        <v>0</v>
      </c>
      <c r="BN227" s="32">
        <v>0</v>
      </c>
      <c r="BO227" s="32">
        <v>9000</v>
      </c>
      <c r="BP227" s="32">
        <v>9000</v>
      </c>
      <c r="BQ227" s="32">
        <v>8666</v>
      </c>
      <c r="BR227" s="32">
        <v>84184</v>
      </c>
      <c r="BS227" s="32">
        <v>183224</v>
      </c>
      <c r="BT227" s="32">
        <v>72423</v>
      </c>
      <c r="BU227" s="32">
        <v>34664</v>
      </c>
      <c r="BV227" s="32">
        <v>0</v>
      </c>
      <c r="BW227" s="32">
        <v>0</v>
      </c>
      <c r="BX227" s="32">
        <v>0</v>
      </c>
      <c r="BY227" s="32">
        <v>0</v>
      </c>
      <c r="BZ227" s="32">
        <v>0</v>
      </c>
      <c r="CA227" s="32">
        <v>0</v>
      </c>
      <c r="CB227" s="125" t="s">
        <v>665</v>
      </c>
      <c r="CC227" s="125" t="s">
        <v>557</v>
      </c>
      <c r="CD227" s="125" t="s">
        <v>558</v>
      </c>
      <c r="CE227" s="125" t="s">
        <v>501</v>
      </c>
      <c r="CF227" s="125" t="s">
        <v>3310</v>
      </c>
      <c r="CG227" s="125" t="s">
        <v>3311</v>
      </c>
      <c r="CH227" s="125" t="s">
        <v>504</v>
      </c>
      <c r="CI227" s="125"/>
      <c r="CJ227" s="125" t="s">
        <v>665</v>
      </c>
      <c r="CK227" s="125" t="s">
        <v>3312</v>
      </c>
      <c r="CL227" s="125" t="s">
        <v>212</v>
      </c>
      <c r="CM227" s="125"/>
      <c r="CN227" s="125" t="s">
        <v>254</v>
      </c>
      <c r="CO227" s="125" t="s">
        <v>266</v>
      </c>
      <c r="CP227" s="125" t="s">
        <v>3313</v>
      </c>
      <c r="CQ227" s="125" t="s">
        <v>1690</v>
      </c>
      <c r="CR227" s="125" t="s">
        <v>1691</v>
      </c>
      <c r="CS227" s="125" t="s">
        <v>3314</v>
      </c>
      <c r="CT227" s="125" t="s">
        <v>254</v>
      </c>
      <c r="CU227" s="125" t="s">
        <v>266</v>
      </c>
      <c r="CV227" s="125" t="s">
        <v>3313</v>
      </c>
      <c r="CW227" s="125" t="s">
        <v>1690</v>
      </c>
      <c r="CX227" s="125" t="s">
        <v>1691</v>
      </c>
      <c r="CY227" s="125" t="s">
        <v>531</v>
      </c>
      <c r="CZ227" s="125" t="s">
        <v>1571</v>
      </c>
      <c r="DA227" s="125" t="s">
        <v>3315</v>
      </c>
      <c r="DB227" s="125" t="s">
        <v>547</v>
      </c>
      <c r="DC227" s="125" t="s">
        <v>3316</v>
      </c>
      <c r="DD227" s="125" t="s">
        <v>3317</v>
      </c>
      <c r="DE227" s="125" t="s">
        <v>3318</v>
      </c>
      <c r="DF227" s="126" t="s">
        <v>3319</v>
      </c>
      <c r="DG227" s="27" cm="1">
        <f t="array" ref="DG227">INDEX('elenco partner'!A:M,MATCH(1,(D227='elenco partner'!A:A)*('Partner data'!M227='elenco partner'!E:E),0),4)</f>
        <v>385</v>
      </c>
      <c r="DH227" s="83" t="str">
        <f t="shared" ref="DH227:DH231" si="92">IF(AU227&lt;&gt;0,"Tasso Forfettario 20%",IF(AV227&lt;&gt;0,"COSTO REALE",IF(AW227&lt;&gt;0,"Costo Unitario Standard","BL1 non presente")))</f>
        <v>Tasso Forfettario 20%</v>
      </c>
      <c r="DI227" s="20">
        <f>COUNTIFS('MY-REPORT-MAIN'!C:C,'Partner data'!DG227,'MY-REPORT-MAIN'!I:I,"Certified")</f>
        <v>0</v>
      </c>
      <c r="DJ227" s="20">
        <f>COUNTIFS(List_Of_chek_list!M:M,"&lt;&gt;26",List_Of_chek_list!B:B,'Partner data'!DG227)</f>
        <v>0</v>
      </c>
      <c r="DK227" s="20">
        <f t="shared" ref="DK227:DK231" si="93">DI227-DJ227</f>
        <v>0</v>
      </c>
      <c r="DL227" s="19" t="e">
        <f>IF(DH227="Tasso Forfettario 20%",SUMIFS(List_Of_chek_list!#REF!,List_Of_chek_list!B:B,'Partner data'!DG227),"NON PERTINENTE")</f>
        <v>#REF!</v>
      </c>
      <c r="DM227" s="19" t="e">
        <f t="shared" ref="DM227:DM231" si="94">IF(DL227="NON PERTINENTE","NON PERTINENTE",IF(DJ227=DL227,"Rischio basso","Rischio alto"))</f>
        <v>#REF!</v>
      </c>
      <c r="DN227" s="110">
        <f>_xlfn.MAXIFS('MY-REPORT-MAIN'!K:K,'MY-REPORT-MAIN'!C:C,DG227)</f>
        <v>45537</v>
      </c>
      <c r="DO227" s="112" t="str">
        <f>IF(_xlfn.MAXIFS('MY-REPORT-MAIN'!M:M,'MY-REPORT-MAIN'!C:C,DG227)=0,"Nessun rendiconto  Convalidato",_xlfn.MAXIFS('MY-REPORT-MAIN'!M:M,'MY-REPORT-MAIN'!C:C,DG227))</f>
        <v>Nessun rendiconto  Convalidato</v>
      </c>
      <c r="DP227" s="113" t="str" cm="1">
        <f t="array" ref="DP227">IFERROR(INDEX('MY-REPORT-MAIN'!A:Z,MATCH(1,(DO227='MY-REPORT-MAIN'!M:M)*('Partner data'!DG227='MY-REPORT-MAIN'!C:C),0),1),"NON è stato convalidato ancora nessun rendiconto")</f>
        <v>NON è stato convalidato ancora nessun rendiconto</v>
      </c>
      <c r="DQ227" s="111" t="str">
        <f>IFERROR(INDEX('MY-REPORT-MAIN'!A:Z,MATCH('Partner data'!DP227,'MY-REPORT-MAIN'!A:A,0),21),"Nessun Rendiconto ancora convalidato")</f>
        <v>Nessun Rendiconto ancora convalidato</v>
      </c>
      <c r="DR227" s="110">
        <f>INDEX('Interreg VI-A Italy-Slovenia_pr'!A:E,MATCH('Partner data'!C227,'Interreg VI-A Italy-Slovenia_pr'!A:A,0),3)</f>
        <v>45401</v>
      </c>
      <c r="DS227" s="118">
        <f t="shared" si="76"/>
        <v>17666</v>
      </c>
      <c r="DT227" s="118">
        <f t="shared" si="77"/>
        <v>101850</v>
      </c>
      <c r="DU227" s="118">
        <f t="shared" si="78"/>
        <v>285074</v>
      </c>
      <c r="DV227" s="118">
        <f t="shared" si="79"/>
        <v>357497</v>
      </c>
      <c r="DW227" s="118">
        <f t="shared" si="80"/>
        <v>392161</v>
      </c>
      <c r="DX227" s="118">
        <f t="shared" si="81"/>
        <v>392161</v>
      </c>
      <c r="DY227" s="118">
        <f t="shared" si="82"/>
        <v>392161</v>
      </c>
      <c r="DZ227" s="118">
        <f t="shared" si="83"/>
        <v>392161</v>
      </c>
      <c r="EA227" s="118">
        <f t="shared" si="84"/>
        <v>392161</v>
      </c>
      <c r="EB227" s="118">
        <f t="shared" si="85"/>
        <v>392161</v>
      </c>
    </row>
    <row r="228" spans="1:132" ht="45" x14ac:dyDescent="0.25">
      <c r="A228" s="121">
        <v>6</v>
      </c>
      <c r="B228" s="122" t="s">
        <v>2688</v>
      </c>
      <c r="C228" s="123" t="s">
        <v>3304</v>
      </c>
      <c r="D228" s="123" t="s">
        <v>3305</v>
      </c>
      <c r="E228" s="123" t="s">
        <v>3306</v>
      </c>
      <c r="F228" s="123" t="s">
        <v>593</v>
      </c>
      <c r="G228" s="123" t="s">
        <v>491</v>
      </c>
      <c r="H228" s="123" t="s">
        <v>766</v>
      </c>
      <c r="I228" s="123" t="s">
        <v>767</v>
      </c>
      <c r="J228" s="124" t="s">
        <v>518</v>
      </c>
      <c r="K228" s="124" t="s">
        <v>495</v>
      </c>
      <c r="L228" s="124" t="s">
        <v>519</v>
      </c>
      <c r="M228" s="124" t="s">
        <v>3320</v>
      </c>
      <c r="N228" s="124" t="s">
        <v>3321</v>
      </c>
      <c r="O228" s="124" t="s">
        <v>3322</v>
      </c>
      <c r="P228" s="124" t="s">
        <v>257</v>
      </c>
      <c r="Q228" s="124" t="s">
        <v>556</v>
      </c>
      <c r="R228" s="124" t="s">
        <v>269</v>
      </c>
      <c r="S228" s="32">
        <v>223776</v>
      </c>
      <c r="T228" s="32">
        <v>80</v>
      </c>
      <c r="U228" s="32">
        <v>20.99</v>
      </c>
      <c r="V228" s="32">
        <v>0</v>
      </c>
      <c r="W228" s="32">
        <v>0</v>
      </c>
      <c r="X228" s="32">
        <v>0</v>
      </c>
      <c r="Y228" s="32">
        <v>0</v>
      </c>
      <c r="Z228" s="32">
        <v>0</v>
      </c>
      <c r="AA228" s="32">
        <v>0</v>
      </c>
      <c r="AB228" s="32">
        <v>0</v>
      </c>
      <c r="AC228" s="32">
        <v>0</v>
      </c>
      <c r="AD228" s="32">
        <v>0</v>
      </c>
      <c r="AE228" s="32">
        <v>0</v>
      </c>
      <c r="AF228" s="32">
        <v>0</v>
      </c>
      <c r="AG228" s="32">
        <v>0</v>
      </c>
      <c r="AH228" s="32">
        <v>0</v>
      </c>
      <c r="AI228" s="32">
        <v>0</v>
      </c>
      <c r="AJ228" s="32">
        <v>0</v>
      </c>
      <c r="AK228" s="32">
        <v>0</v>
      </c>
      <c r="AL228" s="32">
        <v>0</v>
      </c>
      <c r="AM228" s="32">
        <v>0</v>
      </c>
      <c r="AN228" s="32">
        <v>55944</v>
      </c>
      <c r="AO228" s="32">
        <v>0</v>
      </c>
      <c r="AP228" s="32">
        <v>0</v>
      </c>
      <c r="AQ228" s="32">
        <v>55944</v>
      </c>
      <c r="AR228" s="32">
        <v>279720</v>
      </c>
      <c r="AS228" s="32">
        <v>20.99</v>
      </c>
      <c r="AT228" s="32">
        <v>78000</v>
      </c>
      <c r="AU228" s="32">
        <v>0</v>
      </c>
      <c r="AV228" s="32">
        <v>78000</v>
      </c>
      <c r="AW228" s="32">
        <v>0</v>
      </c>
      <c r="AX228" s="32">
        <v>11700</v>
      </c>
      <c r="AY228" s="32">
        <v>11700</v>
      </c>
      <c r="AZ228" s="32">
        <v>3120</v>
      </c>
      <c r="BA228" s="32">
        <v>3120</v>
      </c>
      <c r="BB228" s="32">
        <v>0</v>
      </c>
      <c r="BC228" s="32">
        <v>0</v>
      </c>
      <c r="BD228" s="32">
        <v>21900</v>
      </c>
      <c r="BE228" s="32">
        <v>21900</v>
      </c>
      <c r="BF228" s="32">
        <v>0</v>
      </c>
      <c r="BG228" s="32">
        <v>165000</v>
      </c>
      <c r="BH228" s="32">
        <v>165000</v>
      </c>
      <c r="BI228" s="32">
        <v>0</v>
      </c>
      <c r="BJ228" s="32">
        <v>0</v>
      </c>
      <c r="BK228" s="32">
        <v>0</v>
      </c>
      <c r="BL228" s="32">
        <v>0</v>
      </c>
      <c r="BM228" s="32">
        <v>0</v>
      </c>
      <c r="BN228" s="32">
        <v>0</v>
      </c>
      <c r="BO228" s="32">
        <v>0</v>
      </c>
      <c r="BP228" s="32">
        <v>0</v>
      </c>
      <c r="BQ228" s="32">
        <v>20764</v>
      </c>
      <c r="BR228" s="32">
        <v>86564</v>
      </c>
      <c r="BS228" s="32">
        <v>128564</v>
      </c>
      <c r="BT228" s="32">
        <v>22564</v>
      </c>
      <c r="BU228" s="32">
        <v>21264</v>
      </c>
      <c r="BV228" s="32">
        <v>0</v>
      </c>
      <c r="BW228" s="32">
        <v>0</v>
      </c>
      <c r="BX228" s="32">
        <v>0</v>
      </c>
      <c r="BY228" s="32">
        <v>0</v>
      </c>
      <c r="BZ228" s="32">
        <v>0</v>
      </c>
      <c r="CA228" s="32">
        <v>0</v>
      </c>
      <c r="CB228" s="125" t="s">
        <v>665</v>
      </c>
      <c r="CC228" s="125" t="s">
        <v>522</v>
      </c>
      <c r="CD228" s="125"/>
      <c r="CE228" s="125" t="s">
        <v>523</v>
      </c>
      <c r="CF228" s="125"/>
      <c r="CG228" s="125" t="s">
        <v>3323</v>
      </c>
      <c r="CH228" s="125" t="s">
        <v>526</v>
      </c>
      <c r="CI228" s="125"/>
      <c r="CJ228" s="125" t="s">
        <v>665</v>
      </c>
      <c r="CK228" s="125" t="s">
        <v>212</v>
      </c>
      <c r="CL228" s="125" t="s">
        <v>212</v>
      </c>
      <c r="CM228" s="125"/>
      <c r="CN228" s="125" t="s">
        <v>257</v>
      </c>
      <c r="CO228" s="125" t="s">
        <v>269</v>
      </c>
      <c r="CP228" s="125" t="s">
        <v>3324</v>
      </c>
      <c r="CQ228" s="125" t="s">
        <v>905</v>
      </c>
      <c r="CR228" s="125" t="s">
        <v>906</v>
      </c>
      <c r="CS228" s="125" t="s">
        <v>3325</v>
      </c>
      <c r="CT228" s="125" t="s">
        <v>257</v>
      </c>
      <c r="CU228" s="125" t="s">
        <v>269</v>
      </c>
      <c r="CV228" s="125" t="s">
        <v>3324</v>
      </c>
      <c r="CW228" s="125" t="s">
        <v>905</v>
      </c>
      <c r="CX228" s="125" t="s">
        <v>906</v>
      </c>
      <c r="CY228" s="125" t="s">
        <v>531</v>
      </c>
      <c r="CZ228" s="125" t="s">
        <v>3326</v>
      </c>
      <c r="DA228" s="125" t="s">
        <v>3327</v>
      </c>
      <c r="DB228" s="125" t="s">
        <v>2318</v>
      </c>
      <c r="DC228" s="125" t="s">
        <v>3328</v>
      </c>
      <c r="DD228" s="125" t="s">
        <v>3329</v>
      </c>
      <c r="DE228" s="125" t="s">
        <v>3330</v>
      </c>
      <c r="DF228" s="126" t="s">
        <v>3331</v>
      </c>
      <c r="DG228" s="27" cm="1">
        <f t="array" ref="DG228">INDEX('elenco partner'!A:M,MATCH(1,(D228='elenco partner'!A:A)*('Partner data'!M228='elenco partner'!E:E),0),4)</f>
        <v>551</v>
      </c>
      <c r="DH228" s="83" t="str">
        <f t="shared" si="92"/>
        <v>COSTO REALE</v>
      </c>
      <c r="DI228" s="20">
        <f>COUNTIFS('MY-REPORT-MAIN'!C:C,'Partner data'!DG228,'MY-REPORT-MAIN'!I:I,"Certified")</f>
        <v>0</v>
      </c>
      <c r="DJ228" s="20">
        <f>COUNTIFS(List_Of_chek_list!M:M,"&lt;&gt;26",List_Of_chek_list!B:B,'Partner data'!DG228)</f>
        <v>0</v>
      </c>
      <c r="DK228" s="20">
        <f t="shared" si="93"/>
        <v>0</v>
      </c>
      <c r="DL228" s="19" t="str">
        <f>IF(DH228="Tasso Forfettario 20%",SUMIFS(List_Of_chek_list!#REF!,List_Of_chek_list!B:B,'Partner data'!DG228),"NON PERTINENTE")</f>
        <v>NON PERTINENTE</v>
      </c>
      <c r="DM228" s="19" t="str">
        <f t="shared" si="94"/>
        <v>NON PERTINENTE</v>
      </c>
      <c r="DN228" s="110">
        <f>_xlfn.MAXIFS('MY-REPORT-MAIN'!K:K,'MY-REPORT-MAIN'!C:C,DG228)</f>
        <v>45537</v>
      </c>
      <c r="DO228" s="112" t="str">
        <f>IF(_xlfn.MAXIFS('MY-REPORT-MAIN'!M:M,'MY-REPORT-MAIN'!C:C,DG228)=0,"Nessun rendiconto  Convalidato",_xlfn.MAXIFS('MY-REPORT-MAIN'!M:M,'MY-REPORT-MAIN'!C:C,DG228))</f>
        <v>Nessun rendiconto  Convalidato</v>
      </c>
      <c r="DP228" s="113" t="str" cm="1">
        <f t="array" ref="DP228">IFERROR(INDEX('MY-REPORT-MAIN'!A:Z,MATCH(1,(DO228='MY-REPORT-MAIN'!M:M)*('Partner data'!DG228='MY-REPORT-MAIN'!C:C),0),1),"NON è stato convalidato ancora nessun rendiconto")</f>
        <v>NON è stato convalidato ancora nessun rendiconto</v>
      </c>
      <c r="DQ228" s="111" t="str">
        <f>IFERROR(INDEX('MY-REPORT-MAIN'!A:Z,MATCH('Partner data'!DP228,'MY-REPORT-MAIN'!A:A,0),21),"Nessun Rendiconto ancora convalidato")</f>
        <v>Nessun Rendiconto ancora convalidato</v>
      </c>
      <c r="DR228" s="110">
        <f>INDEX('Interreg VI-A Italy-Slovenia_pr'!A:E,MATCH('Partner data'!C228,'Interreg VI-A Italy-Slovenia_pr'!A:A,0),3)</f>
        <v>45401</v>
      </c>
      <c r="DS228" s="118">
        <f t="shared" si="76"/>
        <v>20764</v>
      </c>
      <c r="DT228" s="118">
        <f t="shared" si="77"/>
        <v>107328</v>
      </c>
      <c r="DU228" s="118">
        <f t="shared" si="78"/>
        <v>235892</v>
      </c>
      <c r="DV228" s="118">
        <f t="shared" si="79"/>
        <v>258456</v>
      </c>
      <c r="DW228" s="118">
        <f t="shared" si="80"/>
        <v>279720</v>
      </c>
      <c r="DX228" s="118">
        <f t="shared" si="81"/>
        <v>279720</v>
      </c>
      <c r="DY228" s="118">
        <f t="shared" si="82"/>
        <v>279720</v>
      </c>
      <c r="DZ228" s="118">
        <f t="shared" si="83"/>
        <v>279720</v>
      </c>
      <c r="EA228" s="118">
        <f t="shared" si="84"/>
        <v>279720</v>
      </c>
      <c r="EB228" s="118">
        <f t="shared" si="85"/>
        <v>279720</v>
      </c>
    </row>
    <row r="229" spans="1:132" ht="45" x14ac:dyDescent="0.25">
      <c r="A229" s="121">
        <v>6</v>
      </c>
      <c r="B229" s="122" t="s">
        <v>2688</v>
      </c>
      <c r="C229" s="123" t="s">
        <v>3304</v>
      </c>
      <c r="D229" s="123" t="s">
        <v>3305</v>
      </c>
      <c r="E229" s="123" t="s">
        <v>3306</v>
      </c>
      <c r="F229" s="123" t="s">
        <v>593</v>
      </c>
      <c r="G229" s="123" t="s">
        <v>491</v>
      </c>
      <c r="H229" s="123" t="s">
        <v>766</v>
      </c>
      <c r="I229" s="123" t="s">
        <v>767</v>
      </c>
      <c r="J229" s="124" t="s">
        <v>538</v>
      </c>
      <c r="K229" s="124" t="s">
        <v>495</v>
      </c>
      <c r="L229" s="124" t="s">
        <v>519</v>
      </c>
      <c r="M229" s="124" t="s">
        <v>3332</v>
      </c>
      <c r="N229" s="124" t="s">
        <v>3333</v>
      </c>
      <c r="O229" s="124" t="s">
        <v>3334</v>
      </c>
      <c r="P229" s="124" t="s">
        <v>254</v>
      </c>
      <c r="Q229" s="124" t="s">
        <v>540</v>
      </c>
      <c r="R229" s="124" t="s">
        <v>260</v>
      </c>
      <c r="S229" s="32">
        <v>200000.3</v>
      </c>
      <c r="T229" s="32">
        <v>80</v>
      </c>
      <c r="U229" s="32">
        <v>18.760000000000002</v>
      </c>
      <c r="V229" s="32">
        <v>0</v>
      </c>
      <c r="W229" s="32">
        <v>0</v>
      </c>
      <c r="X229" s="32">
        <v>0</v>
      </c>
      <c r="Y229" s="32">
        <v>0</v>
      </c>
      <c r="Z229" s="32">
        <v>0</v>
      </c>
      <c r="AA229" s="32">
        <v>0</v>
      </c>
      <c r="AB229" s="32">
        <v>0</v>
      </c>
      <c r="AC229" s="32">
        <v>0</v>
      </c>
      <c r="AD229" s="32">
        <v>0</v>
      </c>
      <c r="AE229" s="32">
        <v>0</v>
      </c>
      <c r="AF229" s="32">
        <v>0</v>
      </c>
      <c r="AG229" s="32">
        <v>0</v>
      </c>
      <c r="AH229" s="32">
        <v>0</v>
      </c>
      <c r="AI229" s="32">
        <v>0</v>
      </c>
      <c r="AJ229" s="32">
        <v>0</v>
      </c>
      <c r="AK229" s="32">
        <v>0</v>
      </c>
      <c r="AL229" s="32">
        <v>0</v>
      </c>
      <c r="AM229" s="32">
        <v>0</v>
      </c>
      <c r="AN229" s="32">
        <v>0</v>
      </c>
      <c r="AO229" s="32">
        <v>50000.08</v>
      </c>
      <c r="AP229" s="32">
        <v>0</v>
      </c>
      <c r="AQ229" s="32">
        <v>50000.08</v>
      </c>
      <c r="AR229" s="32">
        <v>250000.38</v>
      </c>
      <c r="AS229" s="32">
        <v>18.760000000000002</v>
      </c>
      <c r="AT229" s="32">
        <v>178571.7</v>
      </c>
      <c r="AU229" s="32">
        <v>0</v>
      </c>
      <c r="AV229" s="32">
        <v>178571.7</v>
      </c>
      <c r="AW229" s="32">
        <v>0</v>
      </c>
      <c r="AX229" s="32">
        <v>0</v>
      </c>
      <c r="AY229" s="32">
        <v>0</v>
      </c>
      <c r="AZ229" s="32">
        <v>0</v>
      </c>
      <c r="BA229" s="32">
        <v>0</v>
      </c>
      <c r="BB229" s="32">
        <v>0</v>
      </c>
      <c r="BC229" s="32">
        <v>0</v>
      </c>
      <c r="BD229" s="32">
        <v>0</v>
      </c>
      <c r="BE229" s="32">
        <v>0</v>
      </c>
      <c r="BF229" s="32">
        <v>0</v>
      </c>
      <c r="BG229" s="32">
        <v>0</v>
      </c>
      <c r="BH229" s="32">
        <v>0</v>
      </c>
      <c r="BI229" s="32">
        <v>0</v>
      </c>
      <c r="BJ229" s="32">
        <v>0</v>
      </c>
      <c r="BK229" s="32">
        <v>0</v>
      </c>
      <c r="BL229" s="32">
        <v>0</v>
      </c>
      <c r="BM229" s="32">
        <v>71428.679999999993</v>
      </c>
      <c r="BN229" s="32">
        <v>0</v>
      </c>
      <c r="BO229" s="32">
        <v>0</v>
      </c>
      <c r="BP229" s="32">
        <v>0</v>
      </c>
      <c r="BQ229" s="32">
        <v>39900</v>
      </c>
      <c r="BR229" s="32">
        <v>54600</v>
      </c>
      <c r="BS229" s="32">
        <v>58310</v>
      </c>
      <c r="BT229" s="32">
        <v>58450</v>
      </c>
      <c r="BU229" s="32">
        <v>38740.379999999997</v>
      </c>
      <c r="BV229" s="32">
        <v>0</v>
      </c>
      <c r="BW229" s="32">
        <v>0</v>
      </c>
      <c r="BX229" s="32">
        <v>0</v>
      </c>
      <c r="BY229" s="32">
        <v>0</v>
      </c>
      <c r="BZ229" s="32">
        <v>0</v>
      </c>
      <c r="CA229" s="32">
        <v>0</v>
      </c>
      <c r="CB229" s="125" t="s">
        <v>665</v>
      </c>
      <c r="CC229" s="125" t="s">
        <v>624</v>
      </c>
      <c r="CD229" s="125"/>
      <c r="CE229" s="125" t="s">
        <v>523</v>
      </c>
      <c r="CF229" s="125" t="s">
        <v>1286</v>
      </c>
      <c r="CG229" s="125" t="s">
        <v>863</v>
      </c>
      <c r="CH229" s="125" t="s">
        <v>526</v>
      </c>
      <c r="CI229" s="125"/>
      <c r="CJ229" s="125" t="s">
        <v>665</v>
      </c>
      <c r="CK229" s="125" t="s">
        <v>3041</v>
      </c>
      <c r="CL229" s="125" t="s">
        <v>212</v>
      </c>
      <c r="CM229" s="125"/>
      <c r="CN229" s="125" t="s">
        <v>254</v>
      </c>
      <c r="CO229" s="125" t="s">
        <v>260</v>
      </c>
      <c r="CP229" s="125" t="s">
        <v>3335</v>
      </c>
      <c r="CQ229" s="125" t="s">
        <v>865</v>
      </c>
      <c r="CR229" s="125" t="s">
        <v>3021</v>
      </c>
      <c r="CS229" s="125" t="s">
        <v>3146</v>
      </c>
      <c r="CT229" s="125" t="s">
        <v>254</v>
      </c>
      <c r="CU229" s="125" t="s">
        <v>260</v>
      </c>
      <c r="CV229" s="125" t="s">
        <v>3335</v>
      </c>
      <c r="CW229" s="125" t="s">
        <v>865</v>
      </c>
      <c r="CX229" s="125" t="s">
        <v>599</v>
      </c>
      <c r="CY229" s="125" t="s">
        <v>1729</v>
      </c>
      <c r="CZ229" s="125" t="s">
        <v>3336</v>
      </c>
      <c r="DA229" s="125" t="s">
        <v>3337</v>
      </c>
      <c r="DB229" s="125" t="s">
        <v>1729</v>
      </c>
      <c r="DC229" s="125" t="s">
        <v>3338</v>
      </c>
      <c r="DD229" s="125" t="s">
        <v>3339</v>
      </c>
      <c r="DE229" s="125" t="s">
        <v>3340</v>
      </c>
      <c r="DF229" s="126" t="s">
        <v>3341</v>
      </c>
      <c r="DG229" s="27" cm="1">
        <f t="array" ref="DG229">INDEX('elenco partner'!A:M,MATCH(1,(D229='elenco partner'!A:A)*('Partner data'!M229='elenco partner'!E:E),0),4)</f>
        <v>602</v>
      </c>
      <c r="DH229" s="83" t="str">
        <f t="shared" si="92"/>
        <v>COSTO REALE</v>
      </c>
      <c r="DI229" s="20">
        <f>COUNTIFS('MY-REPORT-MAIN'!C:C,'Partner data'!DG229,'MY-REPORT-MAIN'!I:I,"Certified")</f>
        <v>0</v>
      </c>
      <c r="DJ229" s="20">
        <f>COUNTIFS(List_Of_chek_list!M:M,"&lt;&gt;26",List_Of_chek_list!B:B,'Partner data'!DG229)</f>
        <v>0</v>
      </c>
      <c r="DK229" s="20">
        <f t="shared" si="93"/>
        <v>0</v>
      </c>
      <c r="DL229" s="19" t="str">
        <f>IF(DH229="Tasso Forfettario 20%",SUMIFS(List_Of_chek_list!#REF!,List_Of_chek_list!B:B,'Partner data'!DG229),"NON PERTINENTE")</f>
        <v>NON PERTINENTE</v>
      </c>
      <c r="DM229" s="19" t="str">
        <f t="shared" si="94"/>
        <v>NON PERTINENTE</v>
      </c>
      <c r="DN229" s="110">
        <f>_xlfn.MAXIFS('MY-REPORT-MAIN'!K:K,'MY-REPORT-MAIN'!C:C,DG229)</f>
        <v>45537</v>
      </c>
      <c r="DO229" s="112" t="str">
        <f>IF(_xlfn.MAXIFS('MY-REPORT-MAIN'!M:M,'MY-REPORT-MAIN'!C:C,DG229)=0,"Nessun rendiconto  Convalidato",_xlfn.MAXIFS('MY-REPORT-MAIN'!M:M,'MY-REPORT-MAIN'!C:C,DG229))</f>
        <v>Nessun rendiconto  Convalidato</v>
      </c>
      <c r="DP229" s="113" t="str" cm="1">
        <f t="array" ref="DP229">IFERROR(INDEX('MY-REPORT-MAIN'!A:Z,MATCH(1,(DO229='MY-REPORT-MAIN'!M:M)*('Partner data'!DG229='MY-REPORT-MAIN'!C:C),0),1),"NON è stato convalidato ancora nessun rendiconto")</f>
        <v>NON è stato convalidato ancora nessun rendiconto</v>
      </c>
      <c r="DQ229" s="111" t="str">
        <f>IFERROR(INDEX('MY-REPORT-MAIN'!A:Z,MATCH('Partner data'!DP229,'MY-REPORT-MAIN'!A:A,0),21),"Nessun Rendiconto ancora convalidato")</f>
        <v>Nessun Rendiconto ancora convalidato</v>
      </c>
      <c r="DR229" s="110">
        <f>INDEX('Interreg VI-A Italy-Slovenia_pr'!A:E,MATCH('Partner data'!C229,'Interreg VI-A Italy-Slovenia_pr'!A:A,0),3)</f>
        <v>45401</v>
      </c>
      <c r="DS229" s="118">
        <f t="shared" si="76"/>
        <v>39900</v>
      </c>
      <c r="DT229" s="118">
        <f t="shared" si="77"/>
        <v>94500</v>
      </c>
      <c r="DU229" s="118">
        <f t="shared" si="78"/>
        <v>152810</v>
      </c>
      <c r="DV229" s="118">
        <f t="shared" si="79"/>
        <v>211260</v>
      </c>
      <c r="DW229" s="118">
        <f t="shared" si="80"/>
        <v>250000.38</v>
      </c>
      <c r="DX229" s="118">
        <f t="shared" si="81"/>
        <v>250000.38</v>
      </c>
      <c r="DY229" s="118">
        <f t="shared" si="82"/>
        <v>250000.38</v>
      </c>
      <c r="DZ229" s="118">
        <f t="shared" si="83"/>
        <v>250000.38</v>
      </c>
      <c r="EA229" s="118">
        <f t="shared" si="84"/>
        <v>250000.38</v>
      </c>
      <c r="EB229" s="118">
        <f t="shared" si="85"/>
        <v>250000.38</v>
      </c>
    </row>
    <row r="230" spans="1:132" ht="45" x14ac:dyDescent="0.25">
      <c r="A230" s="121">
        <v>6</v>
      </c>
      <c r="B230" s="122" t="s">
        <v>2688</v>
      </c>
      <c r="C230" s="123" t="s">
        <v>3304</v>
      </c>
      <c r="D230" s="123" t="s">
        <v>3305</v>
      </c>
      <c r="E230" s="123" t="s">
        <v>3306</v>
      </c>
      <c r="F230" s="123" t="s">
        <v>593</v>
      </c>
      <c r="G230" s="123" t="s">
        <v>491</v>
      </c>
      <c r="H230" s="123" t="s">
        <v>766</v>
      </c>
      <c r="I230" s="123" t="s">
        <v>767</v>
      </c>
      <c r="J230" s="124" t="s">
        <v>554</v>
      </c>
      <c r="K230" s="124" t="s">
        <v>495</v>
      </c>
      <c r="L230" s="124" t="s">
        <v>519</v>
      </c>
      <c r="M230" s="124" t="s">
        <v>2791</v>
      </c>
      <c r="N230" s="124" t="s">
        <v>753</v>
      </c>
      <c r="O230" s="124" t="s">
        <v>2866</v>
      </c>
      <c r="P230" s="124" t="s">
        <v>257</v>
      </c>
      <c r="Q230" s="124" t="s">
        <v>556</v>
      </c>
      <c r="R230" s="124" t="s">
        <v>258</v>
      </c>
      <c r="S230" s="32">
        <v>199780.8</v>
      </c>
      <c r="T230" s="32">
        <v>80</v>
      </c>
      <c r="U230" s="32">
        <v>18.739999999999998</v>
      </c>
      <c r="V230" s="32">
        <v>0</v>
      </c>
      <c r="W230" s="32">
        <v>0</v>
      </c>
      <c r="X230" s="32">
        <v>0</v>
      </c>
      <c r="Y230" s="32">
        <v>0</v>
      </c>
      <c r="Z230" s="32">
        <v>0</v>
      </c>
      <c r="AA230" s="32">
        <v>0</v>
      </c>
      <c r="AB230" s="32">
        <v>0</v>
      </c>
      <c r="AC230" s="32">
        <v>0</v>
      </c>
      <c r="AD230" s="32">
        <v>0</v>
      </c>
      <c r="AE230" s="32">
        <v>0</v>
      </c>
      <c r="AF230" s="32">
        <v>0</v>
      </c>
      <c r="AG230" s="32">
        <v>0</v>
      </c>
      <c r="AH230" s="32">
        <v>0</v>
      </c>
      <c r="AI230" s="32">
        <v>0</v>
      </c>
      <c r="AJ230" s="32">
        <v>0</v>
      </c>
      <c r="AK230" s="32">
        <v>0</v>
      </c>
      <c r="AL230" s="32">
        <v>0</v>
      </c>
      <c r="AM230" s="32">
        <v>0</v>
      </c>
      <c r="AN230" s="32">
        <v>49945.2</v>
      </c>
      <c r="AO230" s="32">
        <v>0</v>
      </c>
      <c r="AP230" s="32">
        <v>0</v>
      </c>
      <c r="AQ230" s="32">
        <v>49945.2</v>
      </c>
      <c r="AR230" s="32">
        <v>249726</v>
      </c>
      <c r="AS230" s="32">
        <v>18.739999999999998</v>
      </c>
      <c r="AT230" s="32">
        <v>175400</v>
      </c>
      <c r="AU230" s="32">
        <v>0</v>
      </c>
      <c r="AV230" s="32">
        <v>175400</v>
      </c>
      <c r="AW230" s="32">
        <v>0</v>
      </c>
      <c r="AX230" s="32">
        <v>26310</v>
      </c>
      <c r="AY230" s="32">
        <v>26310</v>
      </c>
      <c r="AZ230" s="32">
        <v>7016</v>
      </c>
      <c r="BA230" s="32">
        <v>7016</v>
      </c>
      <c r="BB230" s="32">
        <v>0</v>
      </c>
      <c r="BC230" s="32">
        <v>0</v>
      </c>
      <c r="BD230" s="32">
        <v>31000</v>
      </c>
      <c r="BE230" s="32">
        <v>31000</v>
      </c>
      <c r="BF230" s="32">
        <v>0</v>
      </c>
      <c r="BG230" s="32">
        <v>10000</v>
      </c>
      <c r="BH230" s="32">
        <v>10000</v>
      </c>
      <c r="BI230" s="32">
        <v>0</v>
      </c>
      <c r="BJ230" s="32">
        <v>0</v>
      </c>
      <c r="BK230" s="32">
        <v>0</v>
      </c>
      <c r="BL230" s="32">
        <v>0</v>
      </c>
      <c r="BM230" s="32">
        <v>0</v>
      </c>
      <c r="BN230" s="32">
        <v>0</v>
      </c>
      <c r="BO230" s="32">
        <v>0</v>
      </c>
      <c r="BP230" s="32">
        <v>0</v>
      </c>
      <c r="BQ230" s="32">
        <v>39940</v>
      </c>
      <c r="BR230" s="32">
        <v>55815</v>
      </c>
      <c r="BS230" s="32">
        <v>53195</v>
      </c>
      <c r="BT230" s="32">
        <v>53790</v>
      </c>
      <c r="BU230" s="32">
        <v>46986</v>
      </c>
      <c r="BV230" s="32">
        <v>0</v>
      </c>
      <c r="BW230" s="32">
        <v>0</v>
      </c>
      <c r="BX230" s="32">
        <v>0</v>
      </c>
      <c r="BY230" s="32">
        <v>0</v>
      </c>
      <c r="BZ230" s="32">
        <v>0</v>
      </c>
      <c r="CA230" s="32">
        <v>0</v>
      </c>
      <c r="CB230" s="125" t="s">
        <v>3342</v>
      </c>
      <c r="CC230" s="125" t="s">
        <v>624</v>
      </c>
      <c r="CD230" s="125"/>
      <c r="CE230" s="125" t="s">
        <v>523</v>
      </c>
      <c r="CF230" s="125" t="s">
        <v>1286</v>
      </c>
      <c r="CG230" s="125" t="s">
        <v>3343</v>
      </c>
      <c r="CH230" s="125" t="s">
        <v>526</v>
      </c>
      <c r="CI230" s="125"/>
      <c r="CJ230" s="125" t="s">
        <v>665</v>
      </c>
      <c r="CK230" s="125" t="s">
        <v>647</v>
      </c>
      <c r="CL230" s="125" t="s">
        <v>212</v>
      </c>
      <c r="CM230" s="125"/>
      <c r="CN230" s="125" t="s">
        <v>257</v>
      </c>
      <c r="CO230" s="125" t="s">
        <v>258</v>
      </c>
      <c r="CP230" s="125" t="s">
        <v>648</v>
      </c>
      <c r="CQ230" s="125" t="s">
        <v>620</v>
      </c>
      <c r="CR230" s="125" t="s">
        <v>621</v>
      </c>
      <c r="CS230" s="125" t="s">
        <v>3344</v>
      </c>
      <c r="CT230" s="125" t="s">
        <v>257</v>
      </c>
      <c r="CU230" s="125" t="s">
        <v>258</v>
      </c>
      <c r="CV230" s="125" t="s">
        <v>3345</v>
      </c>
      <c r="CW230" s="125" t="s">
        <v>620</v>
      </c>
      <c r="CX230" s="125" t="s">
        <v>621</v>
      </c>
      <c r="CY230" s="125" t="s">
        <v>3346</v>
      </c>
      <c r="CZ230" s="125" t="s">
        <v>2057</v>
      </c>
      <c r="DA230" s="125" t="s">
        <v>3347</v>
      </c>
      <c r="DB230" s="125" t="s">
        <v>1729</v>
      </c>
      <c r="DC230" s="125" t="s">
        <v>2504</v>
      </c>
      <c r="DD230" s="125" t="s">
        <v>2692</v>
      </c>
      <c r="DE230" s="125" t="s">
        <v>3348</v>
      </c>
      <c r="DF230" s="126" t="s">
        <v>3349</v>
      </c>
      <c r="DG230" s="27" cm="1">
        <f t="array" ref="DG230">INDEX('elenco partner'!A:M,MATCH(1,(D230='elenco partner'!A:A)*('Partner data'!M230='elenco partner'!E:E),0),4)</f>
        <v>603</v>
      </c>
      <c r="DH230" s="83" t="str">
        <f t="shared" si="92"/>
        <v>COSTO REALE</v>
      </c>
      <c r="DI230" s="20">
        <f>COUNTIFS('MY-REPORT-MAIN'!C:C,'Partner data'!DG230,'MY-REPORT-MAIN'!I:I,"Certified")</f>
        <v>0</v>
      </c>
      <c r="DJ230" s="20">
        <f>COUNTIFS(List_Of_chek_list!M:M,"&lt;&gt;26",List_Of_chek_list!B:B,'Partner data'!DG230)</f>
        <v>0</v>
      </c>
      <c r="DK230" s="20">
        <f t="shared" si="93"/>
        <v>0</v>
      </c>
      <c r="DL230" s="19" t="str">
        <f>IF(DH230="Tasso Forfettario 20%",SUMIFS(List_Of_chek_list!#REF!,List_Of_chek_list!B:B,'Partner data'!DG230),"NON PERTINENTE")</f>
        <v>NON PERTINENTE</v>
      </c>
      <c r="DM230" s="19" t="str">
        <f t="shared" si="94"/>
        <v>NON PERTINENTE</v>
      </c>
      <c r="DN230" s="110">
        <f>_xlfn.MAXIFS('MY-REPORT-MAIN'!K:K,'MY-REPORT-MAIN'!C:C,DG230)</f>
        <v>45537</v>
      </c>
      <c r="DO230" s="112" t="str">
        <f>IF(_xlfn.MAXIFS('MY-REPORT-MAIN'!M:M,'MY-REPORT-MAIN'!C:C,DG230)=0,"Nessun rendiconto  Convalidato",_xlfn.MAXIFS('MY-REPORT-MAIN'!M:M,'MY-REPORT-MAIN'!C:C,DG230))</f>
        <v>Nessun rendiconto  Convalidato</v>
      </c>
      <c r="DP230" s="113" t="str" cm="1">
        <f t="array" ref="DP230">IFERROR(INDEX('MY-REPORT-MAIN'!A:Z,MATCH(1,(DO230='MY-REPORT-MAIN'!M:M)*('Partner data'!DG230='MY-REPORT-MAIN'!C:C),0),1),"NON è stato convalidato ancora nessun rendiconto")</f>
        <v>NON è stato convalidato ancora nessun rendiconto</v>
      </c>
      <c r="DQ230" s="111" t="str">
        <f>IFERROR(INDEX('MY-REPORT-MAIN'!A:Z,MATCH('Partner data'!DP230,'MY-REPORT-MAIN'!A:A,0),21),"Nessun Rendiconto ancora convalidato")</f>
        <v>Nessun Rendiconto ancora convalidato</v>
      </c>
      <c r="DR230" s="110">
        <f>INDEX('Interreg VI-A Italy-Slovenia_pr'!A:E,MATCH('Partner data'!C230,'Interreg VI-A Italy-Slovenia_pr'!A:A,0),3)</f>
        <v>45401</v>
      </c>
      <c r="DS230" s="118">
        <f t="shared" si="76"/>
        <v>39940</v>
      </c>
      <c r="DT230" s="118">
        <f t="shared" si="77"/>
        <v>95755</v>
      </c>
      <c r="DU230" s="118">
        <f t="shared" si="78"/>
        <v>148950</v>
      </c>
      <c r="DV230" s="118">
        <f t="shared" si="79"/>
        <v>202740</v>
      </c>
      <c r="DW230" s="118">
        <f t="shared" si="80"/>
        <v>249726</v>
      </c>
      <c r="DX230" s="118">
        <f t="shared" si="81"/>
        <v>249726</v>
      </c>
      <c r="DY230" s="118">
        <f t="shared" si="82"/>
        <v>249726</v>
      </c>
      <c r="DZ230" s="118">
        <f t="shared" si="83"/>
        <v>249726</v>
      </c>
      <c r="EA230" s="118">
        <f t="shared" si="84"/>
        <v>249726</v>
      </c>
      <c r="EB230" s="118">
        <f t="shared" si="85"/>
        <v>249726</v>
      </c>
    </row>
    <row r="231" spans="1:132" ht="45" x14ac:dyDescent="0.25">
      <c r="A231" s="121">
        <v>6</v>
      </c>
      <c r="B231" s="122" t="s">
        <v>2688</v>
      </c>
      <c r="C231" s="123" t="s">
        <v>3304</v>
      </c>
      <c r="D231" s="123" t="s">
        <v>3305</v>
      </c>
      <c r="E231" s="123" t="s">
        <v>3306</v>
      </c>
      <c r="F231" s="123" t="s">
        <v>593</v>
      </c>
      <c r="G231" s="123" t="s">
        <v>491</v>
      </c>
      <c r="H231" s="123" t="s">
        <v>766</v>
      </c>
      <c r="I231" s="123" t="s">
        <v>767</v>
      </c>
      <c r="J231" s="124" t="s">
        <v>570</v>
      </c>
      <c r="K231" s="124" t="s">
        <v>495</v>
      </c>
      <c r="L231" s="124" t="s">
        <v>519</v>
      </c>
      <c r="M231" s="124" t="s">
        <v>3350</v>
      </c>
      <c r="N231" s="124" t="s">
        <v>3351</v>
      </c>
      <c r="O231" s="124" t="s">
        <v>3352</v>
      </c>
      <c r="P231" s="124" t="s">
        <v>257</v>
      </c>
      <c r="Q231" s="124" t="s">
        <v>556</v>
      </c>
      <c r="R231" s="124" t="s">
        <v>269</v>
      </c>
      <c r="S231" s="32">
        <v>128752</v>
      </c>
      <c r="T231" s="32">
        <v>80</v>
      </c>
      <c r="U231" s="32">
        <v>12.08</v>
      </c>
      <c r="V231" s="32">
        <v>0</v>
      </c>
      <c r="W231" s="32">
        <v>0</v>
      </c>
      <c r="X231" s="32">
        <v>0</v>
      </c>
      <c r="Y231" s="32">
        <v>0</v>
      </c>
      <c r="Z231" s="32">
        <v>0</v>
      </c>
      <c r="AA231" s="32">
        <v>0</v>
      </c>
      <c r="AB231" s="32">
        <v>0</v>
      </c>
      <c r="AC231" s="32">
        <v>0</v>
      </c>
      <c r="AD231" s="32">
        <v>0</v>
      </c>
      <c r="AE231" s="32">
        <v>0</v>
      </c>
      <c r="AF231" s="32">
        <v>0</v>
      </c>
      <c r="AG231" s="32">
        <v>0</v>
      </c>
      <c r="AH231" s="32">
        <v>0</v>
      </c>
      <c r="AI231" s="32">
        <v>0</v>
      </c>
      <c r="AJ231" s="32">
        <v>0</v>
      </c>
      <c r="AK231" s="32">
        <v>0</v>
      </c>
      <c r="AL231" s="32">
        <v>0</v>
      </c>
      <c r="AM231" s="32">
        <v>0</v>
      </c>
      <c r="AN231" s="32">
        <v>32188</v>
      </c>
      <c r="AO231" s="32">
        <v>0</v>
      </c>
      <c r="AP231" s="32">
        <v>0</v>
      </c>
      <c r="AQ231" s="32">
        <v>32188</v>
      </c>
      <c r="AR231" s="32">
        <v>160940</v>
      </c>
      <c r="AS231" s="32">
        <v>12.08</v>
      </c>
      <c r="AT231" s="32">
        <v>26000</v>
      </c>
      <c r="AU231" s="32">
        <v>26000</v>
      </c>
      <c r="AV231" s="32">
        <v>0</v>
      </c>
      <c r="AW231" s="32">
        <v>0</v>
      </c>
      <c r="AX231" s="32">
        <v>3900</v>
      </c>
      <c r="AY231" s="32">
        <v>3900</v>
      </c>
      <c r="AZ231" s="32">
        <v>1040</v>
      </c>
      <c r="BA231" s="32">
        <v>1040</v>
      </c>
      <c r="BB231" s="32">
        <v>0</v>
      </c>
      <c r="BC231" s="32">
        <v>0</v>
      </c>
      <c r="BD231" s="32">
        <v>130000</v>
      </c>
      <c r="BE231" s="32">
        <v>130000</v>
      </c>
      <c r="BF231" s="32">
        <v>0</v>
      </c>
      <c r="BG231" s="32">
        <v>0</v>
      </c>
      <c r="BH231" s="32">
        <v>0</v>
      </c>
      <c r="BI231" s="32">
        <v>0</v>
      </c>
      <c r="BJ231" s="32">
        <v>0</v>
      </c>
      <c r="BK231" s="32">
        <v>0</v>
      </c>
      <c r="BL231" s="32">
        <v>0</v>
      </c>
      <c r="BM231" s="32">
        <v>0</v>
      </c>
      <c r="BN231" s="32">
        <v>0</v>
      </c>
      <c r="BO231" s="32">
        <v>0</v>
      </c>
      <c r="BP231" s="32">
        <v>0</v>
      </c>
      <c r="BQ231" s="32">
        <v>3714</v>
      </c>
      <c r="BR231" s="32">
        <v>43330</v>
      </c>
      <c r="BS231" s="32">
        <v>35902</v>
      </c>
      <c r="BT231" s="32">
        <v>43330</v>
      </c>
      <c r="BU231" s="32">
        <v>34664</v>
      </c>
      <c r="BV231" s="32">
        <v>0</v>
      </c>
      <c r="BW231" s="32">
        <v>0</v>
      </c>
      <c r="BX231" s="32">
        <v>0</v>
      </c>
      <c r="BY231" s="32">
        <v>0</v>
      </c>
      <c r="BZ231" s="32">
        <v>0</v>
      </c>
      <c r="CA231" s="32">
        <v>0</v>
      </c>
      <c r="CB231" s="125" t="s">
        <v>665</v>
      </c>
      <c r="CC231" s="125" t="s">
        <v>500</v>
      </c>
      <c r="CD231" s="125"/>
      <c r="CE231" s="125" t="s">
        <v>523</v>
      </c>
      <c r="CF231" s="125" t="s">
        <v>1735</v>
      </c>
      <c r="CG231" s="125" t="s">
        <v>3353</v>
      </c>
      <c r="CH231" s="125" t="s">
        <v>526</v>
      </c>
      <c r="CI231" s="125"/>
      <c r="CJ231" s="125" t="s">
        <v>665</v>
      </c>
      <c r="CK231" s="125"/>
      <c r="CL231" s="125" t="s">
        <v>212</v>
      </c>
      <c r="CM231" s="125"/>
      <c r="CN231" s="125" t="s">
        <v>257</v>
      </c>
      <c r="CO231" s="125" t="s">
        <v>269</v>
      </c>
      <c r="CP231" s="125" t="s">
        <v>3354</v>
      </c>
      <c r="CQ231" s="125" t="s">
        <v>760</v>
      </c>
      <c r="CR231" s="125" t="s">
        <v>761</v>
      </c>
      <c r="CS231" s="125" t="s">
        <v>3355</v>
      </c>
      <c r="CT231" s="125" t="s">
        <v>257</v>
      </c>
      <c r="CU231" s="125" t="s">
        <v>269</v>
      </c>
      <c r="CV231" s="125" t="s">
        <v>3354</v>
      </c>
      <c r="CW231" s="125" t="s">
        <v>760</v>
      </c>
      <c r="CX231" s="125" t="s">
        <v>761</v>
      </c>
      <c r="CY231" s="125" t="s">
        <v>547</v>
      </c>
      <c r="CZ231" s="125" t="s">
        <v>3356</v>
      </c>
      <c r="DA231" s="125" t="s">
        <v>3357</v>
      </c>
      <c r="DB231" s="125" t="s">
        <v>547</v>
      </c>
      <c r="DC231" s="125" t="s">
        <v>3356</v>
      </c>
      <c r="DD231" s="125" t="s">
        <v>3358</v>
      </c>
      <c r="DE231" s="125" t="s">
        <v>3359</v>
      </c>
      <c r="DF231" s="126" t="s">
        <v>3360</v>
      </c>
      <c r="DG231" s="27" cm="1">
        <f t="array" ref="DG231">INDEX('elenco partner'!A:M,MATCH(1,(D231='elenco partner'!A:A)*('Partner data'!M231='elenco partner'!E:E),0),4)</f>
        <v>604</v>
      </c>
      <c r="DH231" s="83" t="str">
        <f t="shared" si="92"/>
        <v>Tasso Forfettario 20%</v>
      </c>
      <c r="DI231" s="20">
        <f>COUNTIFS('MY-REPORT-MAIN'!C:C,'Partner data'!DG231,'MY-REPORT-MAIN'!I:I,"Certified")</f>
        <v>0</v>
      </c>
      <c r="DJ231" s="20">
        <f>COUNTIFS(List_Of_chek_list!M:M,"&lt;&gt;26",List_Of_chek_list!B:B,'Partner data'!DG231)</f>
        <v>0</v>
      </c>
      <c r="DK231" s="20">
        <f t="shared" si="93"/>
        <v>0</v>
      </c>
      <c r="DL231" s="19" t="e">
        <f>IF(DH231="Tasso Forfettario 20%",SUMIFS(List_Of_chek_list!#REF!,List_Of_chek_list!B:B,'Partner data'!DG231),"NON PERTINENTE")</f>
        <v>#REF!</v>
      </c>
      <c r="DM231" s="19" t="e">
        <f t="shared" si="94"/>
        <v>#REF!</v>
      </c>
      <c r="DN231" s="110">
        <f>_xlfn.MAXIFS('MY-REPORT-MAIN'!K:K,'MY-REPORT-MAIN'!C:C,DG231)</f>
        <v>45537</v>
      </c>
      <c r="DO231" s="112" t="str">
        <f>IF(_xlfn.MAXIFS('MY-REPORT-MAIN'!M:M,'MY-REPORT-MAIN'!C:C,DG231)=0,"Nessun rendiconto  Convalidato",_xlfn.MAXIFS('MY-REPORT-MAIN'!M:M,'MY-REPORT-MAIN'!C:C,DG231))</f>
        <v>Nessun rendiconto  Convalidato</v>
      </c>
      <c r="DP231" s="113" t="str" cm="1">
        <f t="array" ref="DP231">IFERROR(INDEX('MY-REPORT-MAIN'!A:Z,MATCH(1,(DO231='MY-REPORT-MAIN'!M:M)*('Partner data'!DG231='MY-REPORT-MAIN'!C:C),0),1),"NON è stato convalidato ancora nessun rendiconto")</f>
        <v>NON è stato convalidato ancora nessun rendiconto</v>
      </c>
      <c r="DQ231" s="111" t="str">
        <f>IFERROR(INDEX('MY-REPORT-MAIN'!A:Z,MATCH('Partner data'!DP231,'MY-REPORT-MAIN'!A:A,0),21),"Nessun Rendiconto ancora convalidato")</f>
        <v>Nessun Rendiconto ancora convalidato</v>
      </c>
      <c r="DR231" s="110">
        <f>INDEX('Interreg VI-A Italy-Slovenia_pr'!A:E,MATCH('Partner data'!C231,'Interreg VI-A Italy-Slovenia_pr'!A:A,0),3)</f>
        <v>45401</v>
      </c>
      <c r="DS231" s="118">
        <f t="shared" si="76"/>
        <v>3714</v>
      </c>
      <c r="DT231" s="118">
        <f t="shared" si="77"/>
        <v>47044</v>
      </c>
      <c r="DU231" s="118">
        <f t="shared" si="78"/>
        <v>82946</v>
      </c>
      <c r="DV231" s="118">
        <f t="shared" si="79"/>
        <v>126276</v>
      </c>
      <c r="DW231" s="118">
        <f t="shared" si="80"/>
        <v>160940</v>
      </c>
      <c r="DX231" s="118">
        <f t="shared" si="81"/>
        <v>160940</v>
      </c>
      <c r="DY231" s="118">
        <f t="shared" si="82"/>
        <v>160940</v>
      </c>
      <c r="DZ231" s="118">
        <f t="shared" si="83"/>
        <v>160940</v>
      </c>
      <c r="EA231" s="118">
        <f t="shared" si="84"/>
        <v>160940</v>
      </c>
      <c r="EB231" s="118">
        <f t="shared" si="85"/>
        <v>160940</v>
      </c>
    </row>
    <row r="232" spans="1:132" ht="45" x14ac:dyDescent="0.25">
      <c r="A232" s="121">
        <v>6</v>
      </c>
      <c r="B232" s="122" t="s">
        <v>2688</v>
      </c>
      <c r="C232" s="123" t="s">
        <v>3375</v>
      </c>
      <c r="D232" s="123" t="s">
        <v>3376</v>
      </c>
      <c r="E232" s="123" t="s">
        <v>3377</v>
      </c>
      <c r="F232" s="123" t="s">
        <v>490</v>
      </c>
      <c r="G232" s="123" t="s">
        <v>6118</v>
      </c>
      <c r="H232" s="123" t="s">
        <v>594</v>
      </c>
      <c r="I232" s="123" t="s">
        <v>595</v>
      </c>
      <c r="J232" s="124" t="s">
        <v>494</v>
      </c>
      <c r="K232" s="124" t="s">
        <v>495</v>
      </c>
      <c r="L232" s="124" t="s">
        <v>496</v>
      </c>
      <c r="M232" s="124" t="s">
        <v>3378</v>
      </c>
      <c r="N232" s="124" t="s">
        <v>733</v>
      </c>
      <c r="O232" s="124" t="s">
        <v>1272</v>
      </c>
      <c r="P232" s="124" t="s">
        <v>254</v>
      </c>
      <c r="Q232" s="124" t="s">
        <v>499</v>
      </c>
      <c r="R232" s="124" t="s">
        <v>255</v>
      </c>
      <c r="S232" s="32">
        <v>200109.89</v>
      </c>
      <c r="T232" s="32">
        <v>80</v>
      </c>
      <c r="U232" s="32">
        <v>22.92</v>
      </c>
      <c r="V232" s="32">
        <v>0</v>
      </c>
      <c r="W232" s="32">
        <v>0</v>
      </c>
      <c r="X232" s="32">
        <v>0</v>
      </c>
      <c r="Y232" s="32">
        <v>0</v>
      </c>
      <c r="Z232" s="32">
        <v>0</v>
      </c>
      <c r="AA232" s="32">
        <v>0</v>
      </c>
      <c r="AB232" s="32">
        <v>0</v>
      </c>
      <c r="AC232" s="32">
        <v>0</v>
      </c>
      <c r="AD232" s="32">
        <v>0</v>
      </c>
      <c r="AE232" s="32">
        <v>0</v>
      </c>
      <c r="AF232" s="32">
        <v>0</v>
      </c>
      <c r="AG232" s="32">
        <v>0</v>
      </c>
      <c r="AH232" s="32">
        <v>0</v>
      </c>
      <c r="AI232" s="32">
        <v>0</v>
      </c>
      <c r="AJ232" s="32">
        <v>0</v>
      </c>
      <c r="AK232" s="32">
        <v>0</v>
      </c>
      <c r="AL232" s="32">
        <v>0</v>
      </c>
      <c r="AM232" s="32">
        <v>0</v>
      </c>
      <c r="AN232" s="32">
        <v>0</v>
      </c>
      <c r="AO232" s="32">
        <v>50027.48</v>
      </c>
      <c r="AP232" s="32">
        <v>0</v>
      </c>
      <c r="AQ232" s="32">
        <v>50027.48</v>
      </c>
      <c r="AR232" s="32">
        <v>250137.37</v>
      </c>
      <c r="AS232" s="32">
        <v>22.92</v>
      </c>
      <c r="AT232" s="32">
        <v>172240.98</v>
      </c>
      <c r="AU232" s="32">
        <v>0</v>
      </c>
      <c r="AV232" s="32">
        <v>172240.98</v>
      </c>
      <c r="AW232" s="32">
        <v>0</v>
      </c>
      <c r="AX232" s="32">
        <v>0</v>
      </c>
      <c r="AY232" s="32">
        <v>0</v>
      </c>
      <c r="AZ232" s="32">
        <v>0</v>
      </c>
      <c r="BA232" s="32">
        <v>0</v>
      </c>
      <c r="BB232" s="32">
        <v>0</v>
      </c>
      <c r="BC232" s="32">
        <v>0</v>
      </c>
      <c r="BD232" s="32">
        <v>0</v>
      </c>
      <c r="BE232" s="32">
        <v>0</v>
      </c>
      <c r="BF232" s="32">
        <v>0</v>
      </c>
      <c r="BG232" s="32">
        <v>0</v>
      </c>
      <c r="BH232" s="32">
        <v>0</v>
      </c>
      <c r="BI232" s="32">
        <v>0</v>
      </c>
      <c r="BJ232" s="32">
        <v>0</v>
      </c>
      <c r="BK232" s="32">
        <v>0</v>
      </c>
      <c r="BL232" s="32">
        <v>0</v>
      </c>
      <c r="BM232" s="32">
        <v>68896.39</v>
      </c>
      <c r="BN232" s="32">
        <v>0</v>
      </c>
      <c r="BO232" s="32">
        <v>9000</v>
      </c>
      <c r="BP232" s="32">
        <v>9000</v>
      </c>
      <c r="BQ232" s="32">
        <v>45704.14</v>
      </c>
      <c r="BR232" s="32">
        <v>65144.4</v>
      </c>
      <c r="BS232" s="32">
        <v>65144.4</v>
      </c>
      <c r="BT232" s="32">
        <v>65144.43</v>
      </c>
      <c r="BU232" s="32">
        <v>0</v>
      </c>
      <c r="BV232" s="32">
        <v>0</v>
      </c>
      <c r="BW232" s="32">
        <v>0</v>
      </c>
      <c r="BX232" s="32">
        <v>0</v>
      </c>
      <c r="BY232" s="32">
        <v>0</v>
      </c>
      <c r="BZ232" s="32">
        <v>0</v>
      </c>
      <c r="CA232" s="32">
        <v>0</v>
      </c>
      <c r="CB232" s="125" t="s">
        <v>1273</v>
      </c>
      <c r="CC232" s="125" t="s">
        <v>624</v>
      </c>
      <c r="CD232" s="125"/>
      <c r="CE232" s="125" t="s">
        <v>523</v>
      </c>
      <c r="CF232" s="125" t="s">
        <v>645</v>
      </c>
      <c r="CG232" s="125" t="s">
        <v>735</v>
      </c>
      <c r="CH232" s="125" t="s">
        <v>526</v>
      </c>
      <c r="CI232" s="125" t="s">
        <v>521</v>
      </c>
      <c r="CJ232" s="125" t="s">
        <v>521</v>
      </c>
      <c r="CK232" s="125" t="s">
        <v>737</v>
      </c>
      <c r="CL232" s="125" t="s">
        <v>212</v>
      </c>
      <c r="CM232" s="125"/>
      <c r="CN232" s="125" t="s">
        <v>254</v>
      </c>
      <c r="CO232" s="125" t="s">
        <v>255</v>
      </c>
      <c r="CP232" s="125" t="s">
        <v>3379</v>
      </c>
      <c r="CQ232" s="125" t="s">
        <v>739</v>
      </c>
      <c r="CR232" s="125" t="s">
        <v>1417</v>
      </c>
      <c r="CS232" s="125" t="s">
        <v>2775</v>
      </c>
      <c r="CT232" s="125" t="s">
        <v>254</v>
      </c>
      <c r="CU232" s="125" t="s">
        <v>255</v>
      </c>
      <c r="CV232" s="125" t="s">
        <v>3380</v>
      </c>
      <c r="CW232" s="125" t="s">
        <v>1278</v>
      </c>
      <c r="CX232" s="125" t="s">
        <v>1417</v>
      </c>
      <c r="CY232" s="125" t="s">
        <v>1405</v>
      </c>
      <c r="CZ232" s="125" t="s">
        <v>3381</v>
      </c>
      <c r="DA232" s="125" t="s">
        <v>3382</v>
      </c>
      <c r="DB232" s="125" t="s">
        <v>1405</v>
      </c>
      <c r="DC232" s="125" t="s">
        <v>3383</v>
      </c>
      <c r="DD232" s="125" t="s">
        <v>3384</v>
      </c>
      <c r="DE232" s="125" t="s">
        <v>3385</v>
      </c>
      <c r="DF232" s="126" t="s">
        <v>3386</v>
      </c>
      <c r="DG232" s="27" cm="1">
        <f t="array" ref="DG232">INDEX('elenco partner'!A:M,MATCH(1,(D232='elenco partner'!A:A)*('Partner data'!M232='elenco partner'!E:E),0),4)</f>
        <v>440</v>
      </c>
      <c r="DH232" s="83" t="str">
        <f t="shared" ref="DH232:DH249" si="95">IF(AU232&lt;&gt;0,"Tasso Forfettario 20%",IF(AV232&lt;&gt;0,"COSTO REALE",IF(AW232&lt;&gt;0,"Costo Unitario Standard","BL1 non presente")))</f>
        <v>COSTO REALE</v>
      </c>
      <c r="DI232" s="20">
        <f>COUNTIFS('MY-REPORT-MAIN'!C:C,'Partner data'!DG232,'MY-REPORT-MAIN'!I:I,"Certified")</f>
        <v>0</v>
      </c>
      <c r="DJ232" s="20">
        <f>COUNTIFS(List_Of_chek_list!M:M,"&lt;&gt;26",List_Of_chek_list!B:B,'Partner data'!DG232)</f>
        <v>0</v>
      </c>
      <c r="DK232" s="20">
        <f t="shared" ref="DK232:DK249" si="96">DI232-DJ232</f>
        <v>0</v>
      </c>
      <c r="DL232" s="19" t="str">
        <f>IF(DH232="Tasso Forfettario 20%",SUMIFS(List_Of_chek_list!#REF!,List_Of_chek_list!B:B,'Partner data'!DG232),"NON PERTINENTE")</f>
        <v>NON PERTINENTE</v>
      </c>
      <c r="DM232" s="19" t="str">
        <f t="shared" ref="DM232:DM249" si="97">IF(DL232="NON PERTINENTE","NON PERTINENTE",IF(DJ232=DL232,"Rischio basso","Rischio alto"))</f>
        <v>NON PERTINENTE</v>
      </c>
      <c r="DN232" s="110">
        <f>_xlfn.MAXIFS('MY-REPORT-MAIN'!K:K,'MY-REPORT-MAIN'!C:C,DG232)</f>
        <v>0</v>
      </c>
      <c r="DO232" s="112" t="str">
        <f>IF(_xlfn.MAXIFS('MY-REPORT-MAIN'!M:M,'MY-REPORT-MAIN'!C:C,DG232)=0,"Nessun rendiconto  Convalidato",_xlfn.MAXIFS('MY-REPORT-MAIN'!M:M,'MY-REPORT-MAIN'!C:C,DG232))</f>
        <v>Nessun rendiconto  Convalidato</v>
      </c>
      <c r="DP232" s="113" t="str" cm="1">
        <f t="array" ref="DP232">IFERROR(INDEX('MY-REPORT-MAIN'!A:Z,MATCH(1,(DO232='MY-REPORT-MAIN'!M:M)*('Partner data'!DG232='MY-REPORT-MAIN'!C:C),0),1),"NON è stato convalidato ancora nessun rendiconto")</f>
        <v>NON è stato convalidato ancora nessun rendiconto</v>
      </c>
      <c r="DQ232" s="111" t="str">
        <f>IFERROR(INDEX('MY-REPORT-MAIN'!A:Z,MATCH('Partner data'!DP232,'MY-REPORT-MAIN'!A:A,0),21),"Nessun Rendiconto ancora convalidato")</f>
        <v>Nessun Rendiconto ancora convalidato</v>
      </c>
      <c r="DR232" s="110" t="e">
        <f>INDEX('Interreg VI-A Italy-Slovenia_pr'!A:E,MATCH('Partner data'!C232,'Interreg VI-A Italy-Slovenia_pr'!A:A,0),3)</f>
        <v>#N/A</v>
      </c>
      <c r="DS232" s="118">
        <f t="shared" si="76"/>
        <v>54704.14</v>
      </c>
      <c r="DT232" s="118">
        <f t="shared" si="77"/>
        <v>119848.54000000001</v>
      </c>
      <c r="DU232" s="118">
        <f t="shared" si="78"/>
        <v>184992.94</v>
      </c>
      <c r="DV232" s="118">
        <f t="shared" si="79"/>
        <v>250137.37</v>
      </c>
      <c r="DW232" s="118">
        <f t="shared" si="80"/>
        <v>250137.37</v>
      </c>
      <c r="DX232" s="118">
        <f t="shared" si="81"/>
        <v>250137.37</v>
      </c>
      <c r="DY232" s="118">
        <f t="shared" si="82"/>
        <v>250137.37</v>
      </c>
      <c r="DZ232" s="118">
        <f t="shared" si="83"/>
        <v>250137.37</v>
      </c>
      <c r="EA232" s="118">
        <f t="shared" si="84"/>
        <v>250137.37</v>
      </c>
      <c r="EB232" s="118">
        <f t="shared" si="85"/>
        <v>250137.37</v>
      </c>
    </row>
    <row r="233" spans="1:132" ht="45" x14ac:dyDescent="0.25">
      <c r="A233" s="121">
        <v>6</v>
      </c>
      <c r="B233" s="122" t="s">
        <v>2688</v>
      </c>
      <c r="C233" s="123" t="s">
        <v>3375</v>
      </c>
      <c r="D233" s="123" t="s">
        <v>3376</v>
      </c>
      <c r="E233" s="123" t="s">
        <v>3377</v>
      </c>
      <c r="F233" s="123" t="s">
        <v>490</v>
      </c>
      <c r="G233" s="123" t="s">
        <v>6118</v>
      </c>
      <c r="H233" s="123" t="s">
        <v>594</v>
      </c>
      <c r="I233" s="123" t="s">
        <v>595</v>
      </c>
      <c r="J233" s="124" t="s">
        <v>518</v>
      </c>
      <c r="K233" s="124" t="s">
        <v>495</v>
      </c>
      <c r="L233" s="124" t="s">
        <v>519</v>
      </c>
      <c r="M233" s="124" t="s">
        <v>3387</v>
      </c>
      <c r="N233" s="124" t="s">
        <v>3388</v>
      </c>
      <c r="O233" s="124" t="s">
        <v>3389</v>
      </c>
      <c r="P233" s="124" t="s">
        <v>257</v>
      </c>
      <c r="Q233" s="124" t="s">
        <v>556</v>
      </c>
      <c r="R233" s="124" t="s">
        <v>258</v>
      </c>
      <c r="S233" s="32">
        <v>145783.23000000001</v>
      </c>
      <c r="T233" s="32">
        <v>80</v>
      </c>
      <c r="U233" s="32">
        <v>16.7</v>
      </c>
      <c r="V233" s="32">
        <v>0</v>
      </c>
      <c r="W233" s="32">
        <v>0</v>
      </c>
      <c r="X233" s="32">
        <v>0</v>
      </c>
      <c r="Y233" s="32">
        <v>0</v>
      </c>
      <c r="Z233" s="32">
        <v>0</v>
      </c>
      <c r="AA233" s="32">
        <v>0</v>
      </c>
      <c r="AB233" s="32">
        <v>0</v>
      </c>
      <c r="AC233" s="32">
        <v>0</v>
      </c>
      <c r="AD233" s="32">
        <v>0</v>
      </c>
      <c r="AE233" s="32">
        <v>0</v>
      </c>
      <c r="AF233" s="32">
        <v>0</v>
      </c>
      <c r="AG233" s="32">
        <v>0</v>
      </c>
      <c r="AH233" s="32">
        <v>0</v>
      </c>
      <c r="AI233" s="32">
        <v>0</v>
      </c>
      <c r="AJ233" s="32">
        <v>0</v>
      </c>
      <c r="AK233" s="32">
        <v>0</v>
      </c>
      <c r="AL233" s="32">
        <v>0</v>
      </c>
      <c r="AM233" s="32">
        <v>0</v>
      </c>
      <c r="AN233" s="32">
        <v>0</v>
      </c>
      <c r="AO233" s="32">
        <v>0</v>
      </c>
      <c r="AP233" s="32">
        <v>36445.81</v>
      </c>
      <c r="AQ233" s="32">
        <v>36445.81</v>
      </c>
      <c r="AR233" s="32">
        <v>182229.04</v>
      </c>
      <c r="AS233" s="32">
        <v>16.7</v>
      </c>
      <c r="AT233" s="32">
        <v>130163.6</v>
      </c>
      <c r="AU233" s="32">
        <v>0</v>
      </c>
      <c r="AV233" s="32">
        <v>130163.6</v>
      </c>
      <c r="AW233" s="32">
        <v>0</v>
      </c>
      <c r="AX233" s="32">
        <v>0</v>
      </c>
      <c r="AY233" s="32">
        <v>0</v>
      </c>
      <c r="AZ233" s="32">
        <v>0</v>
      </c>
      <c r="BA233" s="32">
        <v>0</v>
      </c>
      <c r="BB233" s="32">
        <v>0</v>
      </c>
      <c r="BC233" s="32">
        <v>0</v>
      </c>
      <c r="BD233" s="32">
        <v>0</v>
      </c>
      <c r="BE233" s="32">
        <v>0</v>
      </c>
      <c r="BF233" s="32">
        <v>0</v>
      </c>
      <c r="BG233" s="32">
        <v>0</v>
      </c>
      <c r="BH233" s="32">
        <v>0</v>
      </c>
      <c r="BI233" s="32">
        <v>0</v>
      </c>
      <c r="BJ233" s="32">
        <v>0</v>
      </c>
      <c r="BK233" s="32">
        <v>0</v>
      </c>
      <c r="BL233" s="32">
        <v>0</v>
      </c>
      <c r="BM233" s="32">
        <v>52065.440000000002</v>
      </c>
      <c r="BN233" s="32">
        <v>0</v>
      </c>
      <c r="BO233" s="32">
        <v>0</v>
      </c>
      <c r="BP233" s="32">
        <v>0</v>
      </c>
      <c r="BQ233" s="32">
        <v>45557.26</v>
      </c>
      <c r="BR233" s="32">
        <v>45557.26</v>
      </c>
      <c r="BS233" s="32">
        <v>45557.26</v>
      </c>
      <c r="BT233" s="32">
        <v>45557.26</v>
      </c>
      <c r="BU233" s="32">
        <v>0</v>
      </c>
      <c r="BV233" s="32">
        <v>0</v>
      </c>
      <c r="BW233" s="32">
        <v>0</v>
      </c>
      <c r="BX233" s="32">
        <v>0</v>
      </c>
      <c r="BY233" s="32">
        <v>0</v>
      </c>
      <c r="BZ233" s="32">
        <v>0</v>
      </c>
      <c r="CA233" s="32">
        <v>0</v>
      </c>
      <c r="CB233" s="125" t="s">
        <v>981</v>
      </c>
      <c r="CC233" s="125" t="s">
        <v>624</v>
      </c>
      <c r="CD233" s="125"/>
      <c r="CE233" s="125" t="s">
        <v>501</v>
      </c>
      <c r="CF233" s="125" t="s">
        <v>950</v>
      </c>
      <c r="CG233" s="125" t="s">
        <v>3390</v>
      </c>
      <c r="CH233" s="125" t="s">
        <v>504</v>
      </c>
      <c r="CI233" s="125" t="s">
        <v>521</v>
      </c>
      <c r="CJ233" s="125" t="s">
        <v>521</v>
      </c>
      <c r="CK233" s="125"/>
      <c r="CL233" s="125" t="s">
        <v>212</v>
      </c>
      <c r="CM233" s="125"/>
      <c r="CN233" s="125" t="s">
        <v>257</v>
      </c>
      <c r="CO233" s="125" t="s">
        <v>258</v>
      </c>
      <c r="CP233" s="125" t="s">
        <v>3391</v>
      </c>
      <c r="CQ233" s="125" t="s">
        <v>3392</v>
      </c>
      <c r="CR233" s="125" t="s">
        <v>621</v>
      </c>
      <c r="CS233" s="125" t="s">
        <v>3393</v>
      </c>
      <c r="CT233" s="125" t="s">
        <v>257</v>
      </c>
      <c r="CU233" s="125" t="s">
        <v>258</v>
      </c>
      <c r="CV233" s="125" t="s">
        <v>3394</v>
      </c>
      <c r="CW233" s="125" t="s">
        <v>521</v>
      </c>
      <c r="CX233" s="125" t="s">
        <v>521</v>
      </c>
      <c r="CY233" s="125" t="s">
        <v>1490</v>
      </c>
      <c r="CZ233" s="125" t="s">
        <v>3395</v>
      </c>
      <c r="DA233" s="125" t="s">
        <v>3396</v>
      </c>
      <c r="DB233" s="125" t="s">
        <v>602</v>
      </c>
      <c r="DC233" s="125" t="s">
        <v>2361</v>
      </c>
      <c r="DD233" s="125" t="s">
        <v>3397</v>
      </c>
      <c r="DE233" s="125" t="s">
        <v>3398</v>
      </c>
      <c r="DF233" s="126" t="s">
        <v>3399</v>
      </c>
      <c r="DG233" s="27" cm="1">
        <f t="array" ref="DG233">INDEX('elenco partner'!A:M,MATCH(1,(D233='elenco partner'!A:A)*('Partner data'!M233='elenco partner'!E:E),0),4)</f>
        <v>800</v>
      </c>
      <c r="DH233" s="83" t="str">
        <f t="shared" si="95"/>
        <v>COSTO REALE</v>
      </c>
      <c r="DI233" s="20">
        <f>COUNTIFS('MY-REPORT-MAIN'!C:C,'Partner data'!DG233,'MY-REPORT-MAIN'!I:I,"Certified")</f>
        <v>0</v>
      </c>
      <c r="DJ233" s="20">
        <f>COUNTIFS(List_Of_chek_list!M:M,"&lt;&gt;26",List_Of_chek_list!B:B,'Partner data'!DG233)</f>
        <v>0</v>
      </c>
      <c r="DK233" s="20">
        <f t="shared" si="96"/>
        <v>0</v>
      </c>
      <c r="DL233" s="19" t="str">
        <f>IF(DH233="Tasso Forfettario 20%",SUMIFS(List_Of_chek_list!#REF!,List_Of_chek_list!B:B,'Partner data'!DG233),"NON PERTINENTE")</f>
        <v>NON PERTINENTE</v>
      </c>
      <c r="DM233" s="19" t="str">
        <f t="shared" si="97"/>
        <v>NON PERTINENTE</v>
      </c>
      <c r="DN233" s="110">
        <f>_xlfn.MAXIFS('MY-REPORT-MAIN'!K:K,'MY-REPORT-MAIN'!C:C,DG233)</f>
        <v>0</v>
      </c>
      <c r="DO233" s="112" t="str">
        <f>IF(_xlfn.MAXIFS('MY-REPORT-MAIN'!M:M,'MY-REPORT-MAIN'!C:C,DG233)=0,"Nessun rendiconto  Convalidato",_xlfn.MAXIFS('MY-REPORT-MAIN'!M:M,'MY-REPORT-MAIN'!C:C,DG233))</f>
        <v>Nessun rendiconto  Convalidato</v>
      </c>
      <c r="DP233" s="113" t="str" cm="1">
        <f t="array" ref="DP233">IFERROR(INDEX('MY-REPORT-MAIN'!A:Z,MATCH(1,(DO233='MY-REPORT-MAIN'!M:M)*('Partner data'!DG233='MY-REPORT-MAIN'!C:C),0),1),"NON è stato convalidato ancora nessun rendiconto")</f>
        <v>NON è stato convalidato ancora nessun rendiconto</v>
      </c>
      <c r="DQ233" s="111" t="str">
        <f>IFERROR(INDEX('MY-REPORT-MAIN'!A:Z,MATCH('Partner data'!DP233,'MY-REPORT-MAIN'!A:A,0),21),"Nessun Rendiconto ancora convalidato")</f>
        <v>Nessun Rendiconto ancora convalidato</v>
      </c>
      <c r="DR233" s="110" t="e">
        <f>INDEX('Interreg VI-A Italy-Slovenia_pr'!A:E,MATCH('Partner data'!C233,'Interreg VI-A Italy-Slovenia_pr'!A:A,0),3)</f>
        <v>#N/A</v>
      </c>
      <c r="DS233" s="118">
        <f t="shared" si="76"/>
        <v>45557.26</v>
      </c>
      <c r="DT233" s="118">
        <f t="shared" si="77"/>
        <v>91114.52</v>
      </c>
      <c r="DU233" s="118">
        <f t="shared" si="78"/>
        <v>136671.78</v>
      </c>
      <c r="DV233" s="118">
        <f t="shared" si="79"/>
        <v>182229.04</v>
      </c>
      <c r="DW233" s="118">
        <f t="shared" si="80"/>
        <v>182229.04</v>
      </c>
      <c r="DX233" s="118">
        <f t="shared" si="81"/>
        <v>182229.04</v>
      </c>
      <c r="DY233" s="118">
        <f t="shared" si="82"/>
        <v>182229.04</v>
      </c>
      <c r="DZ233" s="118">
        <f t="shared" si="83"/>
        <v>182229.04</v>
      </c>
      <c r="EA233" s="118">
        <f t="shared" si="84"/>
        <v>182229.04</v>
      </c>
      <c r="EB233" s="118">
        <f t="shared" si="85"/>
        <v>182229.04</v>
      </c>
    </row>
    <row r="234" spans="1:132" ht="45" x14ac:dyDescent="0.25">
      <c r="A234" s="121">
        <v>6</v>
      </c>
      <c r="B234" s="122" t="s">
        <v>2688</v>
      </c>
      <c r="C234" s="123" t="s">
        <v>3375</v>
      </c>
      <c r="D234" s="123" t="s">
        <v>3376</v>
      </c>
      <c r="E234" s="123" t="s">
        <v>3377</v>
      </c>
      <c r="F234" s="123" t="s">
        <v>490</v>
      </c>
      <c r="G234" s="123" t="s">
        <v>6118</v>
      </c>
      <c r="H234" s="123" t="s">
        <v>594</v>
      </c>
      <c r="I234" s="123" t="s">
        <v>595</v>
      </c>
      <c r="J234" s="124" t="s">
        <v>538</v>
      </c>
      <c r="K234" s="124" t="s">
        <v>495</v>
      </c>
      <c r="L234" s="124" t="s">
        <v>519</v>
      </c>
      <c r="M234" s="124" t="s">
        <v>899</v>
      </c>
      <c r="N234" s="124" t="s">
        <v>3400</v>
      </c>
      <c r="O234" s="124" t="s">
        <v>901</v>
      </c>
      <c r="P234" s="124" t="s">
        <v>257</v>
      </c>
      <c r="Q234" s="124" t="s">
        <v>556</v>
      </c>
      <c r="R234" s="124" t="s">
        <v>269</v>
      </c>
      <c r="S234" s="32">
        <v>109760</v>
      </c>
      <c r="T234" s="32">
        <v>80</v>
      </c>
      <c r="U234" s="32">
        <v>12.57</v>
      </c>
      <c r="V234" s="32">
        <v>0</v>
      </c>
      <c r="W234" s="32">
        <v>0</v>
      </c>
      <c r="X234" s="32">
        <v>0</v>
      </c>
      <c r="Y234" s="32">
        <v>0</v>
      </c>
      <c r="Z234" s="32">
        <v>0</v>
      </c>
      <c r="AA234" s="32">
        <v>0</v>
      </c>
      <c r="AB234" s="32">
        <v>0</v>
      </c>
      <c r="AC234" s="32">
        <v>0</v>
      </c>
      <c r="AD234" s="32">
        <v>0</v>
      </c>
      <c r="AE234" s="32">
        <v>0</v>
      </c>
      <c r="AF234" s="32">
        <v>0</v>
      </c>
      <c r="AG234" s="32">
        <v>0</v>
      </c>
      <c r="AH234" s="32">
        <v>0</v>
      </c>
      <c r="AI234" s="32">
        <v>0</v>
      </c>
      <c r="AJ234" s="32">
        <v>0</v>
      </c>
      <c r="AK234" s="32">
        <v>0</v>
      </c>
      <c r="AL234" s="32">
        <v>0</v>
      </c>
      <c r="AM234" s="32">
        <v>0</v>
      </c>
      <c r="AN234" s="32">
        <v>27440</v>
      </c>
      <c r="AO234" s="32">
        <v>0</v>
      </c>
      <c r="AP234" s="32">
        <v>0</v>
      </c>
      <c r="AQ234" s="32">
        <v>27440</v>
      </c>
      <c r="AR234" s="32">
        <v>137200</v>
      </c>
      <c r="AS234" s="32">
        <v>12.57</v>
      </c>
      <c r="AT234" s="32">
        <v>98000</v>
      </c>
      <c r="AU234" s="32">
        <v>0</v>
      </c>
      <c r="AV234" s="32">
        <v>98000</v>
      </c>
      <c r="AW234" s="32">
        <v>0</v>
      </c>
      <c r="AX234" s="32">
        <v>0</v>
      </c>
      <c r="AY234" s="32">
        <v>0</v>
      </c>
      <c r="AZ234" s="32">
        <v>0</v>
      </c>
      <c r="BA234" s="32">
        <v>0</v>
      </c>
      <c r="BB234" s="32">
        <v>0</v>
      </c>
      <c r="BC234" s="32">
        <v>0</v>
      </c>
      <c r="BD234" s="32">
        <v>0</v>
      </c>
      <c r="BE234" s="32">
        <v>0</v>
      </c>
      <c r="BF234" s="32">
        <v>0</v>
      </c>
      <c r="BG234" s="32">
        <v>0</v>
      </c>
      <c r="BH234" s="32">
        <v>0</v>
      </c>
      <c r="BI234" s="32">
        <v>0</v>
      </c>
      <c r="BJ234" s="32">
        <v>0</v>
      </c>
      <c r="BK234" s="32">
        <v>0</v>
      </c>
      <c r="BL234" s="32">
        <v>0</v>
      </c>
      <c r="BM234" s="32">
        <v>39200</v>
      </c>
      <c r="BN234" s="32">
        <v>0</v>
      </c>
      <c r="BO234" s="32">
        <v>0</v>
      </c>
      <c r="BP234" s="32">
        <v>0</v>
      </c>
      <c r="BQ234" s="32">
        <v>34300</v>
      </c>
      <c r="BR234" s="32">
        <v>34300</v>
      </c>
      <c r="BS234" s="32">
        <v>34300</v>
      </c>
      <c r="BT234" s="32">
        <v>34300</v>
      </c>
      <c r="BU234" s="32">
        <v>0</v>
      </c>
      <c r="BV234" s="32">
        <v>0</v>
      </c>
      <c r="BW234" s="32">
        <v>0</v>
      </c>
      <c r="BX234" s="32">
        <v>0</v>
      </c>
      <c r="BY234" s="32">
        <v>0</v>
      </c>
      <c r="BZ234" s="32">
        <v>0</v>
      </c>
      <c r="CA234" s="32">
        <v>0</v>
      </c>
      <c r="CB234" s="125" t="s">
        <v>521</v>
      </c>
      <c r="CC234" s="125" t="s">
        <v>596</v>
      </c>
      <c r="CD234" s="125"/>
      <c r="CE234" s="125" t="s">
        <v>684</v>
      </c>
      <c r="CF234" s="125" t="s">
        <v>744</v>
      </c>
      <c r="CG234" s="125" t="s">
        <v>902</v>
      </c>
      <c r="CH234" s="125" t="s">
        <v>619</v>
      </c>
      <c r="CI234" s="125" t="s">
        <v>1347</v>
      </c>
      <c r="CJ234" s="125" t="s">
        <v>521</v>
      </c>
      <c r="CK234" s="125"/>
      <c r="CL234" s="125" t="s">
        <v>212</v>
      </c>
      <c r="CM234" s="125"/>
      <c r="CN234" s="125" t="s">
        <v>257</v>
      </c>
      <c r="CO234" s="125" t="s">
        <v>269</v>
      </c>
      <c r="CP234" s="125" t="s">
        <v>904</v>
      </c>
      <c r="CQ234" s="125" t="s">
        <v>905</v>
      </c>
      <c r="CR234" s="125" t="s">
        <v>906</v>
      </c>
      <c r="CS234" s="125" t="s">
        <v>907</v>
      </c>
      <c r="CT234" s="125" t="s">
        <v>257</v>
      </c>
      <c r="CU234" s="125" t="s">
        <v>269</v>
      </c>
      <c r="CV234" s="125" t="s">
        <v>3394</v>
      </c>
      <c r="CW234" s="125" t="s">
        <v>521</v>
      </c>
      <c r="CX234" s="125" t="s">
        <v>521</v>
      </c>
      <c r="CY234" s="125" t="s">
        <v>3401</v>
      </c>
      <c r="CZ234" s="125" t="s">
        <v>908</v>
      </c>
      <c r="DA234" s="125" t="s">
        <v>909</v>
      </c>
      <c r="DB234" s="125" t="s">
        <v>602</v>
      </c>
      <c r="DC234" s="125" t="s">
        <v>3402</v>
      </c>
      <c r="DD234" s="125" t="s">
        <v>911</v>
      </c>
      <c r="DE234" s="125" t="s">
        <v>912</v>
      </c>
      <c r="DF234" s="126" t="s">
        <v>1350</v>
      </c>
      <c r="DG234" s="27" cm="1">
        <f t="array" ref="DG234">INDEX('elenco partner'!A:M,MATCH(1,(D234='elenco partner'!A:A)*('Partner data'!M234='elenco partner'!E:E),0),4)</f>
        <v>801</v>
      </c>
      <c r="DH234" s="83" t="str">
        <f t="shared" si="95"/>
        <v>COSTO REALE</v>
      </c>
      <c r="DI234" s="20">
        <f>COUNTIFS('MY-REPORT-MAIN'!C:C,'Partner data'!DG234,'MY-REPORT-MAIN'!I:I,"Certified")</f>
        <v>0</v>
      </c>
      <c r="DJ234" s="20">
        <f>COUNTIFS(List_Of_chek_list!M:M,"&lt;&gt;26",List_Of_chek_list!B:B,'Partner data'!DG234)</f>
        <v>0</v>
      </c>
      <c r="DK234" s="20">
        <f t="shared" si="96"/>
        <v>0</v>
      </c>
      <c r="DL234" s="19" t="str">
        <f>IF(DH234="Tasso Forfettario 20%",SUMIFS(List_Of_chek_list!#REF!,List_Of_chek_list!B:B,'Partner data'!DG234),"NON PERTINENTE")</f>
        <v>NON PERTINENTE</v>
      </c>
      <c r="DM234" s="19" t="str">
        <f t="shared" si="97"/>
        <v>NON PERTINENTE</v>
      </c>
      <c r="DN234" s="110">
        <f>_xlfn.MAXIFS('MY-REPORT-MAIN'!K:K,'MY-REPORT-MAIN'!C:C,DG234)</f>
        <v>0</v>
      </c>
      <c r="DO234" s="112" t="str">
        <f>IF(_xlfn.MAXIFS('MY-REPORT-MAIN'!M:M,'MY-REPORT-MAIN'!C:C,DG234)=0,"Nessun rendiconto  Convalidato",_xlfn.MAXIFS('MY-REPORT-MAIN'!M:M,'MY-REPORT-MAIN'!C:C,DG234))</f>
        <v>Nessun rendiconto  Convalidato</v>
      </c>
      <c r="DP234" s="113" t="str" cm="1">
        <f t="array" ref="DP234">IFERROR(INDEX('MY-REPORT-MAIN'!A:Z,MATCH(1,(DO234='MY-REPORT-MAIN'!M:M)*('Partner data'!DG234='MY-REPORT-MAIN'!C:C),0),1),"NON è stato convalidato ancora nessun rendiconto")</f>
        <v>NON è stato convalidato ancora nessun rendiconto</v>
      </c>
      <c r="DQ234" s="111" t="str">
        <f>IFERROR(INDEX('MY-REPORT-MAIN'!A:Z,MATCH('Partner data'!DP234,'MY-REPORT-MAIN'!A:A,0),21),"Nessun Rendiconto ancora convalidato")</f>
        <v>Nessun Rendiconto ancora convalidato</v>
      </c>
      <c r="DR234" s="110" t="e">
        <f>INDEX('Interreg VI-A Italy-Slovenia_pr'!A:E,MATCH('Partner data'!C234,'Interreg VI-A Italy-Slovenia_pr'!A:A,0),3)</f>
        <v>#N/A</v>
      </c>
      <c r="DS234" s="118">
        <f t="shared" si="76"/>
        <v>34300</v>
      </c>
      <c r="DT234" s="118">
        <f t="shared" si="77"/>
        <v>68600</v>
      </c>
      <c r="DU234" s="118">
        <f t="shared" si="78"/>
        <v>102900</v>
      </c>
      <c r="DV234" s="118">
        <f t="shared" si="79"/>
        <v>137200</v>
      </c>
      <c r="DW234" s="118">
        <f t="shared" si="80"/>
        <v>137200</v>
      </c>
      <c r="DX234" s="118">
        <f t="shared" si="81"/>
        <v>137200</v>
      </c>
      <c r="DY234" s="118">
        <f t="shared" si="82"/>
        <v>137200</v>
      </c>
      <c r="DZ234" s="118">
        <f t="shared" si="83"/>
        <v>137200</v>
      </c>
      <c r="EA234" s="118">
        <f t="shared" si="84"/>
        <v>137200</v>
      </c>
      <c r="EB234" s="118">
        <f t="shared" si="85"/>
        <v>137200</v>
      </c>
    </row>
    <row r="235" spans="1:132" ht="45" x14ac:dyDescent="0.25">
      <c r="A235" s="121">
        <v>6</v>
      </c>
      <c r="B235" s="122" t="s">
        <v>2688</v>
      </c>
      <c r="C235" s="123" t="s">
        <v>3375</v>
      </c>
      <c r="D235" s="123" t="s">
        <v>3376</v>
      </c>
      <c r="E235" s="123" t="s">
        <v>3377</v>
      </c>
      <c r="F235" s="123" t="s">
        <v>490</v>
      </c>
      <c r="G235" s="123" t="s">
        <v>6118</v>
      </c>
      <c r="H235" s="123" t="s">
        <v>594</v>
      </c>
      <c r="I235" s="123" t="s">
        <v>595</v>
      </c>
      <c r="J235" s="124" t="s">
        <v>554</v>
      </c>
      <c r="K235" s="124" t="s">
        <v>495</v>
      </c>
      <c r="L235" s="124" t="s">
        <v>519</v>
      </c>
      <c r="M235" s="124" t="s">
        <v>70</v>
      </c>
      <c r="N235" s="124" t="s">
        <v>1283</v>
      </c>
      <c r="O235" s="124" t="s">
        <v>1284</v>
      </c>
      <c r="P235" s="124" t="s">
        <v>257</v>
      </c>
      <c r="Q235" s="124" t="s">
        <v>556</v>
      </c>
      <c r="R235" s="124" t="s">
        <v>269</v>
      </c>
      <c r="S235" s="32">
        <v>157980.48000000001</v>
      </c>
      <c r="T235" s="32">
        <v>80</v>
      </c>
      <c r="U235" s="32">
        <v>18.09</v>
      </c>
      <c r="V235" s="32">
        <v>0</v>
      </c>
      <c r="W235" s="32">
        <v>0</v>
      </c>
      <c r="X235" s="32">
        <v>0</v>
      </c>
      <c r="Y235" s="32">
        <v>0</v>
      </c>
      <c r="Z235" s="32">
        <v>0</v>
      </c>
      <c r="AA235" s="32">
        <v>0</v>
      </c>
      <c r="AB235" s="32">
        <v>0</v>
      </c>
      <c r="AC235" s="32">
        <v>0</v>
      </c>
      <c r="AD235" s="32">
        <v>0</v>
      </c>
      <c r="AE235" s="32">
        <v>0</v>
      </c>
      <c r="AF235" s="32">
        <v>0</v>
      </c>
      <c r="AG235" s="32">
        <v>0</v>
      </c>
      <c r="AH235" s="32">
        <v>0</v>
      </c>
      <c r="AI235" s="32">
        <v>0</v>
      </c>
      <c r="AJ235" s="32">
        <v>0</v>
      </c>
      <c r="AK235" s="32">
        <v>0</v>
      </c>
      <c r="AL235" s="32">
        <v>0</v>
      </c>
      <c r="AM235" s="32">
        <v>0</v>
      </c>
      <c r="AN235" s="32">
        <v>39495.120000000003</v>
      </c>
      <c r="AO235" s="32">
        <v>0</v>
      </c>
      <c r="AP235" s="32">
        <v>0</v>
      </c>
      <c r="AQ235" s="32">
        <v>39495.120000000003</v>
      </c>
      <c r="AR235" s="32">
        <v>197475.6</v>
      </c>
      <c r="AS235" s="32">
        <v>18.09</v>
      </c>
      <c r="AT235" s="32">
        <v>141054</v>
      </c>
      <c r="AU235" s="32">
        <v>0</v>
      </c>
      <c r="AV235" s="32">
        <v>141054</v>
      </c>
      <c r="AW235" s="32">
        <v>0</v>
      </c>
      <c r="AX235" s="32">
        <v>0</v>
      </c>
      <c r="AY235" s="32">
        <v>0</v>
      </c>
      <c r="AZ235" s="32">
        <v>0</v>
      </c>
      <c r="BA235" s="32">
        <v>0</v>
      </c>
      <c r="BB235" s="32">
        <v>0</v>
      </c>
      <c r="BC235" s="32">
        <v>0</v>
      </c>
      <c r="BD235" s="32">
        <v>0</v>
      </c>
      <c r="BE235" s="32">
        <v>0</v>
      </c>
      <c r="BF235" s="32">
        <v>0</v>
      </c>
      <c r="BG235" s="32">
        <v>0</v>
      </c>
      <c r="BH235" s="32">
        <v>0</v>
      </c>
      <c r="BI235" s="32">
        <v>0</v>
      </c>
      <c r="BJ235" s="32">
        <v>0</v>
      </c>
      <c r="BK235" s="32">
        <v>0</v>
      </c>
      <c r="BL235" s="32">
        <v>0</v>
      </c>
      <c r="BM235" s="32">
        <v>56421.599999999999</v>
      </c>
      <c r="BN235" s="32">
        <v>0</v>
      </c>
      <c r="BO235" s="32">
        <v>0</v>
      </c>
      <c r="BP235" s="32">
        <v>0</v>
      </c>
      <c r="BQ235" s="32">
        <v>49368.9</v>
      </c>
      <c r="BR235" s="32">
        <v>49368.9</v>
      </c>
      <c r="BS235" s="32">
        <v>49368.9</v>
      </c>
      <c r="BT235" s="32">
        <v>49368.9</v>
      </c>
      <c r="BU235" s="32">
        <v>0</v>
      </c>
      <c r="BV235" s="32">
        <v>0</v>
      </c>
      <c r="BW235" s="32">
        <v>0</v>
      </c>
      <c r="BX235" s="32">
        <v>0</v>
      </c>
      <c r="BY235" s="32">
        <v>0</v>
      </c>
      <c r="BZ235" s="32">
        <v>0</v>
      </c>
      <c r="CA235" s="32">
        <v>0</v>
      </c>
      <c r="CB235" s="125" t="s">
        <v>3403</v>
      </c>
      <c r="CC235" s="125" t="s">
        <v>624</v>
      </c>
      <c r="CD235" s="125"/>
      <c r="CE235" s="125" t="s">
        <v>684</v>
      </c>
      <c r="CF235" s="125" t="s">
        <v>1286</v>
      </c>
      <c r="CG235" s="125" t="s">
        <v>1351</v>
      </c>
      <c r="CH235" s="125" t="s">
        <v>526</v>
      </c>
      <c r="CI235" s="125" t="s">
        <v>521</v>
      </c>
      <c r="CJ235" s="125" t="s">
        <v>521</v>
      </c>
      <c r="CK235" s="125"/>
      <c r="CL235" s="125" t="s">
        <v>212</v>
      </c>
      <c r="CM235" s="125"/>
      <c r="CN235" s="125" t="s">
        <v>257</v>
      </c>
      <c r="CO235" s="125" t="s">
        <v>269</v>
      </c>
      <c r="CP235" s="125" t="s">
        <v>3404</v>
      </c>
      <c r="CQ235" s="125" t="s">
        <v>1352</v>
      </c>
      <c r="CR235" s="125" t="s">
        <v>761</v>
      </c>
      <c r="CS235" s="125" t="s">
        <v>1290</v>
      </c>
      <c r="CT235" s="125" t="s">
        <v>257</v>
      </c>
      <c r="CU235" s="125" t="s">
        <v>269</v>
      </c>
      <c r="CV235" s="125" t="s">
        <v>2690</v>
      </c>
      <c r="CW235" s="125" t="s">
        <v>1353</v>
      </c>
      <c r="CX235" s="125" t="s">
        <v>1209</v>
      </c>
      <c r="CY235" s="125" t="s">
        <v>1077</v>
      </c>
      <c r="CZ235" s="125" t="s">
        <v>1028</v>
      </c>
      <c r="DA235" s="125" t="s">
        <v>1295</v>
      </c>
      <c r="DB235" s="125" t="s">
        <v>3405</v>
      </c>
      <c r="DC235" s="125" t="s">
        <v>1354</v>
      </c>
      <c r="DD235" s="125" t="s">
        <v>1355</v>
      </c>
      <c r="DE235" s="125" t="s">
        <v>1356</v>
      </c>
      <c r="DF235" s="126" t="s">
        <v>3406</v>
      </c>
      <c r="DG235" s="27" cm="1">
        <f t="array" ref="DG235">INDEX('elenco partner'!A:M,MATCH(1,(D235='elenco partner'!A:A)*('Partner data'!M235='elenco partner'!E:E),0),4)</f>
        <v>802</v>
      </c>
      <c r="DH235" s="83" t="str">
        <f t="shared" si="95"/>
        <v>COSTO REALE</v>
      </c>
      <c r="DI235" s="20">
        <f>COUNTIFS('MY-REPORT-MAIN'!C:C,'Partner data'!DG235,'MY-REPORT-MAIN'!I:I,"Certified")</f>
        <v>0</v>
      </c>
      <c r="DJ235" s="20">
        <f>COUNTIFS(List_Of_chek_list!M:M,"&lt;&gt;26",List_Of_chek_list!B:B,'Partner data'!DG235)</f>
        <v>0</v>
      </c>
      <c r="DK235" s="20">
        <f t="shared" si="96"/>
        <v>0</v>
      </c>
      <c r="DL235" s="19" t="str">
        <f>IF(DH235="Tasso Forfettario 20%",SUMIFS(List_Of_chek_list!#REF!,List_Of_chek_list!B:B,'Partner data'!DG235),"NON PERTINENTE")</f>
        <v>NON PERTINENTE</v>
      </c>
      <c r="DM235" s="19" t="str">
        <f t="shared" si="97"/>
        <v>NON PERTINENTE</v>
      </c>
      <c r="DN235" s="110">
        <f>_xlfn.MAXIFS('MY-REPORT-MAIN'!K:K,'MY-REPORT-MAIN'!C:C,DG235)</f>
        <v>0</v>
      </c>
      <c r="DO235" s="112" t="str">
        <f>IF(_xlfn.MAXIFS('MY-REPORT-MAIN'!M:M,'MY-REPORT-MAIN'!C:C,DG235)=0,"Nessun rendiconto  Convalidato",_xlfn.MAXIFS('MY-REPORT-MAIN'!M:M,'MY-REPORT-MAIN'!C:C,DG235))</f>
        <v>Nessun rendiconto  Convalidato</v>
      </c>
      <c r="DP235" s="113" t="str" cm="1">
        <f t="array" ref="DP235">IFERROR(INDEX('MY-REPORT-MAIN'!A:Z,MATCH(1,(DO235='MY-REPORT-MAIN'!M:M)*('Partner data'!DG235='MY-REPORT-MAIN'!C:C),0),1),"NON è stato convalidato ancora nessun rendiconto")</f>
        <v>NON è stato convalidato ancora nessun rendiconto</v>
      </c>
      <c r="DQ235" s="111" t="str">
        <f>IFERROR(INDEX('MY-REPORT-MAIN'!A:Z,MATCH('Partner data'!DP235,'MY-REPORT-MAIN'!A:A,0),21),"Nessun Rendiconto ancora convalidato")</f>
        <v>Nessun Rendiconto ancora convalidato</v>
      </c>
      <c r="DR235" s="110" t="e">
        <f>INDEX('Interreg VI-A Italy-Slovenia_pr'!A:E,MATCH('Partner data'!C235,'Interreg VI-A Italy-Slovenia_pr'!A:A,0),3)</f>
        <v>#N/A</v>
      </c>
      <c r="DS235" s="118">
        <f t="shared" si="76"/>
        <v>49368.9</v>
      </c>
      <c r="DT235" s="118">
        <f t="shared" si="77"/>
        <v>98737.8</v>
      </c>
      <c r="DU235" s="118">
        <f t="shared" si="78"/>
        <v>148106.70000000001</v>
      </c>
      <c r="DV235" s="118">
        <f t="shared" si="79"/>
        <v>197475.6</v>
      </c>
      <c r="DW235" s="118">
        <f t="shared" si="80"/>
        <v>197475.6</v>
      </c>
      <c r="DX235" s="118">
        <f t="shared" si="81"/>
        <v>197475.6</v>
      </c>
      <c r="DY235" s="118">
        <f t="shared" si="82"/>
        <v>197475.6</v>
      </c>
      <c r="DZ235" s="118">
        <f t="shared" si="83"/>
        <v>197475.6</v>
      </c>
      <c r="EA235" s="118">
        <f t="shared" si="84"/>
        <v>197475.6</v>
      </c>
      <c r="EB235" s="118">
        <f t="shared" si="85"/>
        <v>197475.6</v>
      </c>
    </row>
    <row r="236" spans="1:132" ht="45" x14ac:dyDescent="0.25">
      <c r="A236" s="121">
        <v>6</v>
      </c>
      <c r="B236" s="122" t="s">
        <v>2688</v>
      </c>
      <c r="C236" s="123" t="s">
        <v>3375</v>
      </c>
      <c r="D236" s="123" t="s">
        <v>3376</v>
      </c>
      <c r="E236" s="123" t="s">
        <v>3377</v>
      </c>
      <c r="F236" s="123" t="s">
        <v>490</v>
      </c>
      <c r="G236" s="123" t="s">
        <v>6118</v>
      </c>
      <c r="H236" s="123" t="s">
        <v>594</v>
      </c>
      <c r="I236" s="123" t="s">
        <v>595</v>
      </c>
      <c r="J236" s="124" t="s">
        <v>570</v>
      </c>
      <c r="K236" s="124" t="s">
        <v>495</v>
      </c>
      <c r="L236" s="124" t="s">
        <v>519</v>
      </c>
      <c r="M236" s="124" t="s">
        <v>3407</v>
      </c>
      <c r="N236" s="124" t="s">
        <v>3408</v>
      </c>
      <c r="O236" s="124" t="s">
        <v>1655</v>
      </c>
      <c r="P236" s="124" t="s">
        <v>254</v>
      </c>
      <c r="Q236" s="124" t="s">
        <v>1338</v>
      </c>
      <c r="R236" s="124" t="s">
        <v>381</v>
      </c>
      <c r="S236" s="32">
        <v>149780.91</v>
      </c>
      <c r="T236" s="32">
        <v>80</v>
      </c>
      <c r="U236" s="32">
        <v>17.149999999999999</v>
      </c>
      <c r="V236" s="32">
        <v>0</v>
      </c>
      <c r="W236" s="32">
        <v>0</v>
      </c>
      <c r="X236" s="32">
        <v>0</v>
      </c>
      <c r="Y236" s="32">
        <v>0</v>
      </c>
      <c r="Z236" s="32">
        <v>0</v>
      </c>
      <c r="AA236" s="32">
        <v>0</v>
      </c>
      <c r="AB236" s="32">
        <v>0</v>
      </c>
      <c r="AC236" s="32">
        <v>0</v>
      </c>
      <c r="AD236" s="32">
        <v>0</v>
      </c>
      <c r="AE236" s="32">
        <v>0</v>
      </c>
      <c r="AF236" s="32">
        <v>0</v>
      </c>
      <c r="AG236" s="32">
        <v>0</v>
      </c>
      <c r="AH236" s="32">
        <v>0</v>
      </c>
      <c r="AI236" s="32">
        <v>0</v>
      </c>
      <c r="AJ236" s="32">
        <v>0</v>
      </c>
      <c r="AK236" s="32">
        <v>0</v>
      </c>
      <c r="AL236" s="32">
        <v>0</v>
      </c>
      <c r="AM236" s="32">
        <v>0</v>
      </c>
      <c r="AN236" s="32">
        <v>0</v>
      </c>
      <c r="AO236" s="32">
        <v>37445.230000000003</v>
      </c>
      <c r="AP236" s="32">
        <v>0</v>
      </c>
      <c r="AQ236" s="32">
        <v>37445.230000000003</v>
      </c>
      <c r="AR236" s="32">
        <v>187226.14</v>
      </c>
      <c r="AS236" s="32">
        <v>17.149999999999999</v>
      </c>
      <c r="AT236" s="32">
        <v>133732.96</v>
      </c>
      <c r="AU236" s="32">
        <v>0</v>
      </c>
      <c r="AV236" s="32">
        <v>133732.96</v>
      </c>
      <c r="AW236" s="32">
        <v>0</v>
      </c>
      <c r="AX236" s="32">
        <v>0</v>
      </c>
      <c r="AY236" s="32">
        <v>0</v>
      </c>
      <c r="AZ236" s="32">
        <v>0</v>
      </c>
      <c r="BA236" s="32">
        <v>0</v>
      </c>
      <c r="BB236" s="32">
        <v>0</v>
      </c>
      <c r="BC236" s="32">
        <v>0</v>
      </c>
      <c r="BD236" s="32">
        <v>0</v>
      </c>
      <c r="BE236" s="32">
        <v>0</v>
      </c>
      <c r="BF236" s="32">
        <v>0</v>
      </c>
      <c r="BG236" s="32">
        <v>0</v>
      </c>
      <c r="BH236" s="32">
        <v>0</v>
      </c>
      <c r="BI236" s="32">
        <v>0</v>
      </c>
      <c r="BJ236" s="32">
        <v>0</v>
      </c>
      <c r="BK236" s="32">
        <v>0</v>
      </c>
      <c r="BL236" s="32">
        <v>0</v>
      </c>
      <c r="BM236" s="32">
        <v>53493.18</v>
      </c>
      <c r="BN236" s="32">
        <v>0</v>
      </c>
      <c r="BO236" s="32">
        <v>0</v>
      </c>
      <c r="BP236" s="32">
        <v>0</v>
      </c>
      <c r="BQ236" s="32">
        <v>27810.1</v>
      </c>
      <c r="BR236" s="32">
        <v>53138.68</v>
      </c>
      <c r="BS236" s="32">
        <v>53138.68</v>
      </c>
      <c r="BT236" s="32">
        <v>53138.68</v>
      </c>
      <c r="BU236" s="32">
        <v>0</v>
      </c>
      <c r="BV236" s="32">
        <v>0</v>
      </c>
      <c r="BW236" s="32">
        <v>0</v>
      </c>
      <c r="BX236" s="32">
        <v>0</v>
      </c>
      <c r="BY236" s="32">
        <v>0</v>
      </c>
      <c r="BZ236" s="32">
        <v>0</v>
      </c>
      <c r="CA236" s="32">
        <v>0</v>
      </c>
      <c r="CB236" s="125" t="s">
        <v>3409</v>
      </c>
      <c r="CC236" s="125" t="s">
        <v>624</v>
      </c>
      <c r="CD236" s="125"/>
      <c r="CE236" s="125" t="s">
        <v>523</v>
      </c>
      <c r="CF236" s="125" t="s">
        <v>734</v>
      </c>
      <c r="CG236" s="125" t="s">
        <v>1339</v>
      </c>
      <c r="CH236" s="125" t="s">
        <v>526</v>
      </c>
      <c r="CI236" s="125" t="s">
        <v>521</v>
      </c>
      <c r="CJ236" s="125" t="s">
        <v>521</v>
      </c>
      <c r="CK236" s="125"/>
      <c r="CL236" s="125" t="s">
        <v>212</v>
      </c>
      <c r="CM236" s="125"/>
      <c r="CN236" s="125" t="s">
        <v>254</v>
      </c>
      <c r="CO236" s="125" t="s">
        <v>381</v>
      </c>
      <c r="CP236" s="125" t="s">
        <v>3410</v>
      </c>
      <c r="CQ236" s="125" t="s">
        <v>3411</v>
      </c>
      <c r="CR236" s="125" t="s">
        <v>1341</v>
      </c>
      <c r="CS236" s="125" t="s">
        <v>3412</v>
      </c>
      <c r="CT236" s="125" t="s">
        <v>254</v>
      </c>
      <c r="CU236" s="125" t="s">
        <v>255</v>
      </c>
      <c r="CV236" s="125" t="s">
        <v>3413</v>
      </c>
      <c r="CW236" s="125" t="s">
        <v>3414</v>
      </c>
      <c r="CX236" s="125" t="s">
        <v>529</v>
      </c>
      <c r="CY236" s="125" t="s">
        <v>510</v>
      </c>
      <c r="CZ236" s="125" t="s">
        <v>3415</v>
      </c>
      <c r="DA236" s="125" t="s">
        <v>2689</v>
      </c>
      <c r="DB236" s="125" t="s">
        <v>510</v>
      </c>
      <c r="DC236" s="125" t="s">
        <v>587</v>
      </c>
      <c r="DD236" s="125" t="s">
        <v>1343</v>
      </c>
      <c r="DE236" s="125" t="s">
        <v>1344</v>
      </c>
      <c r="DF236" s="126" t="s">
        <v>1345</v>
      </c>
      <c r="DG236" s="27" cm="1">
        <f t="array" ref="DG236">INDEX('elenco partner'!A:M,MATCH(1,(D236='elenco partner'!A:A)*('Partner data'!M236='elenco partner'!E:E),0),4)</f>
        <v>804</v>
      </c>
      <c r="DH236" s="83" t="str">
        <f t="shared" si="95"/>
        <v>COSTO REALE</v>
      </c>
      <c r="DI236" s="20">
        <f>COUNTIFS('MY-REPORT-MAIN'!C:C,'Partner data'!DG236,'MY-REPORT-MAIN'!I:I,"Certified")</f>
        <v>0</v>
      </c>
      <c r="DJ236" s="20">
        <f>COUNTIFS(List_Of_chek_list!M:M,"&lt;&gt;26",List_Of_chek_list!B:B,'Partner data'!DG236)</f>
        <v>0</v>
      </c>
      <c r="DK236" s="20">
        <f t="shared" si="96"/>
        <v>0</v>
      </c>
      <c r="DL236" s="19" t="str">
        <f>IF(DH236="Tasso Forfettario 20%",SUMIFS(List_Of_chek_list!#REF!,List_Of_chek_list!B:B,'Partner data'!DG236),"NON PERTINENTE")</f>
        <v>NON PERTINENTE</v>
      </c>
      <c r="DM236" s="19" t="str">
        <f t="shared" si="97"/>
        <v>NON PERTINENTE</v>
      </c>
      <c r="DN236" s="110">
        <f>_xlfn.MAXIFS('MY-REPORT-MAIN'!K:K,'MY-REPORT-MAIN'!C:C,DG236)</f>
        <v>0</v>
      </c>
      <c r="DO236" s="112" t="str">
        <f>IF(_xlfn.MAXIFS('MY-REPORT-MAIN'!M:M,'MY-REPORT-MAIN'!C:C,DG236)=0,"Nessun rendiconto  Convalidato",_xlfn.MAXIFS('MY-REPORT-MAIN'!M:M,'MY-REPORT-MAIN'!C:C,DG236))</f>
        <v>Nessun rendiconto  Convalidato</v>
      </c>
      <c r="DP236" s="113" t="str" cm="1">
        <f t="array" ref="DP236">IFERROR(INDEX('MY-REPORT-MAIN'!A:Z,MATCH(1,(DO236='MY-REPORT-MAIN'!M:M)*('Partner data'!DG236='MY-REPORT-MAIN'!C:C),0),1),"NON è stato convalidato ancora nessun rendiconto")</f>
        <v>NON è stato convalidato ancora nessun rendiconto</v>
      </c>
      <c r="DQ236" s="111" t="str">
        <f>IFERROR(INDEX('MY-REPORT-MAIN'!A:Z,MATCH('Partner data'!DP236,'MY-REPORT-MAIN'!A:A,0),21),"Nessun Rendiconto ancora convalidato")</f>
        <v>Nessun Rendiconto ancora convalidato</v>
      </c>
      <c r="DR236" s="110" t="e">
        <f>INDEX('Interreg VI-A Italy-Slovenia_pr'!A:E,MATCH('Partner data'!C236,'Interreg VI-A Italy-Slovenia_pr'!A:A,0),3)</f>
        <v>#N/A</v>
      </c>
      <c r="DS236" s="118">
        <f t="shared" si="76"/>
        <v>27810.1</v>
      </c>
      <c r="DT236" s="118">
        <f t="shared" si="77"/>
        <v>80948.78</v>
      </c>
      <c r="DU236" s="118">
        <f t="shared" si="78"/>
        <v>134087.46</v>
      </c>
      <c r="DV236" s="118">
        <f t="shared" si="79"/>
        <v>187226.13999999998</v>
      </c>
      <c r="DW236" s="118">
        <f t="shared" si="80"/>
        <v>187226.13999999998</v>
      </c>
      <c r="DX236" s="118">
        <f t="shared" si="81"/>
        <v>187226.13999999998</v>
      </c>
      <c r="DY236" s="118">
        <f t="shared" si="82"/>
        <v>187226.13999999998</v>
      </c>
      <c r="DZ236" s="118">
        <f t="shared" si="83"/>
        <v>187226.13999999998</v>
      </c>
      <c r="EA236" s="118">
        <f t="shared" si="84"/>
        <v>187226.13999999998</v>
      </c>
      <c r="EB236" s="118">
        <f t="shared" si="85"/>
        <v>187226.13999999998</v>
      </c>
    </row>
    <row r="237" spans="1:132" ht="45" x14ac:dyDescent="0.25">
      <c r="A237" s="121">
        <v>6</v>
      </c>
      <c r="B237" s="122" t="s">
        <v>2688</v>
      </c>
      <c r="C237" s="123" t="s">
        <v>3375</v>
      </c>
      <c r="D237" s="123" t="s">
        <v>3376</v>
      </c>
      <c r="E237" s="123" t="s">
        <v>3377</v>
      </c>
      <c r="F237" s="123" t="s">
        <v>490</v>
      </c>
      <c r="G237" s="123" t="s">
        <v>6118</v>
      </c>
      <c r="H237" s="123" t="s">
        <v>594</v>
      </c>
      <c r="I237" s="123" t="s">
        <v>595</v>
      </c>
      <c r="J237" s="124" t="s">
        <v>581</v>
      </c>
      <c r="K237" s="124" t="s">
        <v>495</v>
      </c>
      <c r="L237" s="124" t="s">
        <v>519</v>
      </c>
      <c r="M237" s="124" t="s">
        <v>3416</v>
      </c>
      <c r="N237" s="124" t="s">
        <v>3417</v>
      </c>
      <c r="O237" s="124" t="s">
        <v>3417</v>
      </c>
      <c r="P237" s="124" t="s">
        <v>254</v>
      </c>
      <c r="Q237" s="124" t="s">
        <v>499</v>
      </c>
      <c r="R237" s="124" t="s">
        <v>273</v>
      </c>
      <c r="S237" s="32">
        <v>109753.28</v>
      </c>
      <c r="T237" s="32">
        <v>80</v>
      </c>
      <c r="U237" s="32">
        <v>12.57</v>
      </c>
      <c r="V237" s="32">
        <v>0</v>
      </c>
      <c r="W237" s="32">
        <v>0</v>
      </c>
      <c r="X237" s="32">
        <v>0</v>
      </c>
      <c r="Y237" s="32">
        <v>0</v>
      </c>
      <c r="Z237" s="32">
        <v>0</v>
      </c>
      <c r="AA237" s="32">
        <v>0</v>
      </c>
      <c r="AB237" s="32">
        <v>0</v>
      </c>
      <c r="AC237" s="32">
        <v>0</v>
      </c>
      <c r="AD237" s="32">
        <v>0</v>
      </c>
      <c r="AE237" s="32">
        <v>0</v>
      </c>
      <c r="AF237" s="32">
        <v>0</v>
      </c>
      <c r="AG237" s="32">
        <v>0</v>
      </c>
      <c r="AH237" s="32">
        <v>0</v>
      </c>
      <c r="AI237" s="32">
        <v>0</v>
      </c>
      <c r="AJ237" s="32">
        <v>0</v>
      </c>
      <c r="AK237" s="32">
        <v>0</v>
      </c>
      <c r="AL237" s="32">
        <v>0</v>
      </c>
      <c r="AM237" s="32">
        <v>0</v>
      </c>
      <c r="AN237" s="32">
        <v>0</v>
      </c>
      <c r="AO237" s="32">
        <v>27438.32</v>
      </c>
      <c r="AP237" s="32">
        <v>0</v>
      </c>
      <c r="AQ237" s="32">
        <v>27438.32</v>
      </c>
      <c r="AR237" s="32">
        <v>137191.6</v>
      </c>
      <c r="AS237" s="32">
        <v>12.57</v>
      </c>
      <c r="AT237" s="32">
        <v>97994</v>
      </c>
      <c r="AU237" s="32">
        <v>0</v>
      </c>
      <c r="AV237" s="32">
        <v>0</v>
      </c>
      <c r="AW237" s="32">
        <v>97994</v>
      </c>
      <c r="AX237" s="32">
        <v>0</v>
      </c>
      <c r="AY237" s="32">
        <v>0</v>
      </c>
      <c r="AZ237" s="32">
        <v>0</v>
      </c>
      <c r="BA237" s="32">
        <v>0</v>
      </c>
      <c r="BB237" s="32">
        <v>0</v>
      </c>
      <c r="BC237" s="32">
        <v>0</v>
      </c>
      <c r="BD237" s="32">
        <v>0</v>
      </c>
      <c r="BE237" s="32">
        <v>0</v>
      </c>
      <c r="BF237" s="32">
        <v>0</v>
      </c>
      <c r="BG237" s="32">
        <v>0</v>
      </c>
      <c r="BH237" s="32">
        <v>0</v>
      </c>
      <c r="BI237" s="32">
        <v>0</v>
      </c>
      <c r="BJ237" s="32">
        <v>0</v>
      </c>
      <c r="BK237" s="32">
        <v>0</v>
      </c>
      <c r="BL237" s="32">
        <v>0</v>
      </c>
      <c r="BM237" s="32">
        <v>39197.599999999999</v>
      </c>
      <c r="BN237" s="32">
        <v>0</v>
      </c>
      <c r="BO237" s="32">
        <v>0</v>
      </c>
      <c r="BP237" s="32">
        <v>0</v>
      </c>
      <c r="BQ237" s="32">
        <v>34371.4</v>
      </c>
      <c r="BR237" s="32">
        <v>34290.199999999997</v>
      </c>
      <c r="BS237" s="32">
        <v>34265</v>
      </c>
      <c r="BT237" s="32">
        <v>34265</v>
      </c>
      <c r="BU237" s="32">
        <v>0</v>
      </c>
      <c r="BV237" s="32">
        <v>0</v>
      </c>
      <c r="BW237" s="32">
        <v>0</v>
      </c>
      <c r="BX237" s="32">
        <v>0</v>
      </c>
      <c r="BY237" s="32">
        <v>0</v>
      </c>
      <c r="BZ237" s="32">
        <v>0</v>
      </c>
      <c r="CA237" s="32">
        <v>0</v>
      </c>
      <c r="CB237" s="125" t="s">
        <v>521</v>
      </c>
      <c r="CC237" s="125" t="s">
        <v>500</v>
      </c>
      <c r="CD237" s="125"/>
      <c r="CE237" s="125" t="s">
        <v>684</v>
      </c>
      <c r="CF237" s="125" t="s">
        <v>950</v>
      </c>
      <c r="CG237" s="125" t="s">
        <v>3418</v>
      </c>
      <c r="CH237" s="125" t="s">
        <v>504</v>
      </c>
      <c r="CI237" s="125" t="s">
        <v>521</v>
      </c>
      <c r="CJ237" s="125" t="s">
        <v>521</v>
      </c>
      <c r="CK237" s="125"/>
      <c r="CL237" s="125" t="s">
        <v>212</v>
      </c>
      <c r="CM237" s="125"/>
      <c r="CN237" s="125" t="s">
        <v>254</v>
      </c>
      <c r="CO237" s="125" t="s">
        <v>273</v>
      </c>
      <c r="CP237" s="125" t="s">
        <v>3419</v>
      </c>
      <c r="CQ237" s="125" t="s">
        <v>3420</v>
      </c>
      <c r="CR237" s="125" t="s">
        <v>662</v>
      </c>
      <c r="CS237" s="125" t="s">
        <v>3421</v>
      </c>
      <c r="CT237" s="125" t="s">
        <v>254</v>
      </c>
      <c r="CU237" s="125" t="s">
        <v>273</v>
      </c>
      <c r="CV237" s="125" t="s">
        <v>3394</v>
      </c>
      <c r="CW237" s="125" t="s">
        <v>521</v>
      </c>
      <c r="CX237" s="125" t="s">
        <v>521</v>
      </c>
      <c r="CY237" s="125" t="s">
        <v>510</v>
      </c>
      <c r="CZ237" s="125" t="s">
        <v>3422</v>
      </c>
      <c r="DA237" s="125" t="s">
        <v>3423</v>
      </c>
      <c r="DB237" s="125" t="s">
        <v>513</v>
      </c>
      <c r="DC237" s="125" t="s">
        <v>3424</v>
      </c>
      <c r="DD237" s="125" t="s">
        <v>3425</v>
      </c>
      <c r="DE237" s="125" t="s">
        <v>3426</v>
      </c>
      <c r="DF237" s="126" t="s">
        <v>3427</v>
      </c>
      <c r="DG237" s="27" cm="1">
        <f t="array" ref="DG237">INDEX('elenco partner'!A:M,MATCH(1,(D237='elenco partner'!A:A)*('Partner data'!M237='elenco partner'!E:E),0),4)</f>
        <v>805</v>
      </c>
      <c r="DH237" s="83" t="str">
        <f t="shared" si="95"/>
        <v>Costo Unitario Standard</v>
      </c>
      <c r="DI237" s="20">
        <f>COUNTIFS('MY-REPORT-MAIN'!C:C,'Partner data'!DG237,'MY-REPORT-MAIN'!I:I,"Certified")</f>
        <v>0</v>
      </c>
      <c r="DJ237" s="20">
        <f>COUNTIFS(List_Of_chek_list!M:M,"&lt;&gt;26",List_Of_chek_list!B:B,'Partner data'!DG237)</f>
        <v>0</v>
      </c>
      <c r="DK237" s="20">
        <f t="shared" si="96"/>
        <v>0</v>
      </c>
      <c r="DL237" s="19" t="str">
        <f>IF(DH237="Tasso Forfettario 20%",SUMIFS(List_Of_chek_list!#REF!,List_Of_chek_list!B:B,'Partner data'!DG237),"NON PERTINENTE")</f>
        <v>NON PERTINENTE</v>
      </c>
      <c r="DM237" s="19" t="str">
        <f t="shared" si="97"/>
        <v>NON PERTINENTE</v>
      </c>
      <c r="DN237" s="110">
        <f>_xlfn.MAXIFS('MY-REPORT-MAIN'!K:K,'MY-REPORT-MAIN'!C:C,DG237)</f>
        <v>0</v>
      </c>
      <c r="DO237" s="112" t="str">
        <f>IF(_xlfn.MAXIFS('MY-REPORT-MAIN'!M:M,'MY-REPORT-MAIN'!C:C,DG237)=0,"Nessun rendiconto  Convalidato",_xlfn.MAXIFS('MY-REPORT-MAIN'!M:M,'MY-REPORT-MAIN'!C:C,DG237))</f>
        <v>Nessun rendiconto  Convalidato</v>
      </c>
      <c r="DP237" s="113" t="str" cm="1">
        <f t="array" ref="DP237">IFERROR(INDEX('MY-REPORT-MAIN'!A:Z,MATCH(1,(DO237='MY-REPORT-MAIN'!M:M)*('Partner data'!DG237='MY-REPORT-MAIN'!C:C),0),1),"NON è stato convalidato ancora nessun rendiconto")</f>
        <v>NON è stato convalidato ancora nessun rendiconto</v>
      </c>
      <c r="DQ237" s="111" t="str">
        <f>IFERROR(INDEX('MY-REPORT-MAIN'!A:Z,MATCH('Partner data'!DP237,'MY-REPORT-MAIN'!A:A,0),21),"Nessun Rendiconto ancora convalidato")</f>
        <v>Nessun Rendiconto ancora convalidato</v>
      </c>
      <c r="DR237" s="110" t="e">
        <f>INDEX('Interreg VI-A Italy-Slovenia_pr'!A:E,MATCH('Partner data'!C237,'Interreg VI-A Italy-Slovenia_pr'!A:A,0),3)</f>
        <v>#N/A</v>
      </c>
      <c r="DS237" s="118">
        <f t="shared" si="76"/>
        <v>34371.4</v>
      </c>
      <c r="DT237" s="118">
        <f t="shared" si="77"/>
        <v>68661.600000000006</v>
      </c>
      <c r="DU237" s="118">
        <f t="shared" si="78"/>
        <v>102926.6</v>
      </c>
      <c r="DV237" s="118">
        <f t="shared" si="79"/>
        <v>137191.6</v>
      </c>
      <c r="DW237" s="118">
        <f t="shared" si="80"/>
        <v>137191.6</v>
      </c>
      <c r="DX237" s="118">
        <f t="shared" si="81"/>
        <v>137191.6</v>
      </c>
      <c r="DY237" s="118">
        <f t="shared" si="82"/>
        <v>137191.6</v>
      </c>
      <c r="DZ237" s="118">
        <f t="shared" si="83"/>
        <v>137191.6</v>
      </c>
      <c r="EA237" s="118">
        <f t="shared" si="84"/>
        <v>137191.6</v>
      </c>
      <c r="EB237" s="118">
        <f t="shared" si="85"/>
        <v>137191.6</v>
      </c>
    </row>
    <row r="238" spans="1:132" ht="45" x14ac:dyDescent="0.25">
      <c r="A238" s="121">
        <v>6</v>
      </c>
      <c r="B238" s="122" t="s">
        <v>2688</v>
      </c>
      <c r="C238" s="123" t="s">
        <v>3428</v>
      </c>
      <c r="D238" s="123" t="s">
        <v>3429</v>
      </c>
      <c r="E238" s="123" t="s">
        <v>3430</v>
      </c>
      <c r="F238" s="123" t="s">
        <v>490</v>
      </c>
      <c r="G238" s="123" t="s">
        <v>491</v>
      </c>
      <c r="H238" s="123" t="s">
        <v>766</v>
      </c>
      <c r="I238" s="123" t="s">
        <v>767</v>
      </c>
      <c r="J238" s="124" t="s">
        <v>494</v>
      </c>
      <c r="K238" s="124" t="s">
        <v>495</v>
      </c>
      <c r="L238" s="124" t="s">
        <v>496</v>
      </c>
      <c r="M238" s="124" t="s">
        <v>899</v>
      </c>
      <c r="N238" s="124" t="s">
        <v>900</v>
      </c>
      <c r="O238" s="124" t="s">
        <v>901</v>
      </c>
      <c r="P238" s="124" t="s">
        <v>257</v>
      </c>
      <c r="Q238" s="124" t="s">
        <v>556</v>
      </c>
      <c r="R238" s="124" t="s">
        <v>269</v>
      </c>
      <c r="S238" s="32">
        <v>173376</v>
      </c>
      <c r="T238" s="32">
        <v>80</v>
      </c>
      <c r="U238" s="32">
        <v>21.66</v>
      </c>
      <c r="V238" s="32">
        <v>0</v>
      </c>
      <c r="W238" s="32">
        <v>0</v>
      </c>
      <c r="X238" s="32">
        <v>0</v>
      </c>
      <c r="Y238" s="32">
        <v>0</v>
      </c>
      <c r="Z238" s="32">
        <v>0</v>
      </c>
      <c r="AA238" s="32">
        <v>0</v>
      </c>
      <c r="AB238" s="32">
        <v>0</v>
      </c>
      <c r="AC238" s="32">
        <v>0</v>
      </c>
      <c r="AD238" s="32">
        <v>0</v>
      </c>
      <c r="AE238" s="32">
        <v>0</v>
      </c>
      <c r="AF238" s="32">
        <v>0</v>
      </c>
      <c r="AG238" s="32">
        <v>0</v>
      </c>
      <c r="AH238" s="32">
        <v>0</v>
      </c>
      <c r="AI238" s="32">
        <v>0</v>
      </c>
      <c r="AJ238" s="32">
        <v>0</v>
      </c>
      <c r="AK238" s="32">
        <v>0</v>
      </c>
      <c r="AL238" s="32">
        <v>0</v>
      </c>
      <c r="AM238" s="32">
        <v>0</v>
      </c>
      <c r="AN238" s="32">
        <v>43344</v>
      </c>
      <c r="AO238" s="32">
        <v>0</v>
      </c>
      <c r="AP238" s="32">
        <v>0</v>
      </c>
      <c r="AQ238" s="32">
        <v>43344</v>
      </c>
      <c r="AR238" s="32">
        <v>216720</v>
      </c>
      <c r="AS238" s="32">
        <v>21.66</v>
      </c>
      <c r="AT238" s="32">
        <v>154800</v>
      </c>
      <c r="AU238" s="32">
        <v>0</v>
      </c>
      <c r="AV238" s="32">
        <v>0</v>
      </c>
      <c r="AW238" s="32">
        <v>154800</v>
      </c>
      <c r="AX238" s="32">
        <v>0</v>
      </c>
      <c r="AY238" s="32">
        <v>0</v>
      </c>
      <c r="AZ238" s="32">
        <v>0</v>
      </c>
      <c r="BA238" s="32">
        <v>0</v>
      </c>
      <c r="BB238" s="32">
        <v>0</v>
      </c>
      <c r="BC238" s="32">
        <v>0</v>
      </c>
      <c r="BD238" s="32">
        <v>0</v>
      </c>
      <c r="BE238" s="32">
        <v>0</v>
      </c>
      <c r="BF238" s="32">
        <v>0</v>
      </c>
      <c r="BG238" s="32">
        <v>0</v>
      </c>
      <c r="BH238" s="32">
        <v>0</v>
      </c>
      <c r="BI238" s="32">
        <v>0</v>
      </c>
      <c r="BJ238" s="32">
        <v>0</v>
      </c>
      <c r="BK238" s="32">
        <v>0</v>
      </c>
      <c r="BL238" s="32">
        <v>0</v>
      </c>
      <c r="BM238" s="32">
        <v>61920</v>
      </c>
      <c r="BN238" s="32">
        <v>0</v>
      </c>
      <c r="BO238" s="32">
        <v>0</v>
      </c>
      <c r="BP238" s="32">
        <v>0</v>
      </c>
      <c r="BQ238" s="32">
        <v>43344</v>
      </c>
      <c r="BR238" s="32">
        <v>43344</v>
      </c>
      <c r="BS238" s="32">
        <v>43344</v>
      </c>
      <c r="BT238" s="32">
        <v>43344</v>
      </c>
      <c r="BU238" s="32">
        <v>43344</v>
      </c>
      <c r="BV238" s="32">
        <v>0</v>
      </c>
      <c r="BW238" s="32">
        <v>0</v>
      </c>
      <c r="BX238" s="32">
        <v>0</v>
      </c>
      <c r="BY238" s="32">
        <v>0</v>
      </c>
      <c r="BZ238" s="32">
        <v>0</v>
      </c>
      <c r="CA238" s="32">
        <v>0</v>
      </c>
      <c r="CB238" s="125" t="s">
        <v>665</v>
      </c>
      <c r="CC238" s="125" t="s">
        <v>596</v>
      </c>
      <c r="CD238" s="125" t="s">
        <v>653</v>
      </c>
      <c r="CE238" s="125" t="s">
        <v>684</v>
      </c>
      <c r="CF238" s="125" t="s">
        <v>744</v>
      </c>
      <c r="CG238" s="125" t="s">
        <v>902</v>
      </c>
      <c r="CH238" s="125" t="s">
        <v>619</v>
      </c>
      <c r="CI238" s="125" t="s">
        <v>665</v>
      </c>
      <c r="CJ238" s="125" t="s">
        <v>665</v>
      </c>
      <c r="CK238" s="125" t="s">
        <v>903</v>
      </c>
      <c r="CL238" s="125" t="s">
        <v>212</v>
      </c>
      <c r="CM238" s="125"/>
      <c r="CN238" s="125" t="s">
        <v>257</v>
      </c>
      <c r="CO238" s="125" t="s">
        <v>269</v>
      </c>
      <c r="CP238" s="125" t="s">
        <v>904</v>
      </c>
      <c r="CQ238" s="125" t="s">
        <v>905</v>
      </c>
      <c r="CR238" s="125" t="s">
        <v>906</v>
      </c>
      <c r="CS238" s="125" t="s">
        <v>907</v>
      </c>
      <c r="CT238" s="125" t="s">
        <v>257</v>
      </c>
      <c r="CU238" s="125" t="s">
        <v>269</v>
      </c>
      <c r="CV238" s="125" t="s">
        <v>904</v>
      </c>
      <c r="CW238" s="125" t="s">
        <v>905</v>
      </c>
      <c r="CX238" s="125" t="s">
        <v>906</v>
      </c>
      <c r="CY238" s="125" t="s">
        <v>602</v>
      </c>
      <c r="CZ238" s="125" t="s">
        <v>908</v>
      </c>
      <c r="DA238" s="125" t="s">
        <v>909</v>
      </c>
      <c r="DB238" s="125" t="s">
        <v>602</v>
      </c>
      <c r="DC238" s="125" t="s">
        <v>910</v>
      </c>
      <c r="DD238" s="125" t="s">
        <v>911</v>
      </c>
      <c r="DE238" s="125" t="s">
        <v>1349</v>
      </c>
      <c r="DF238" s="126" t="s">
        <v>913</v>
      </c>
      <c r="DG238" s="27" cm="1">
        <f t="array" ref="DG238">INDEX('elenco partner'!A:M,MATCH(1,(D238='elenco partner'!A:A)*('Partner data'!M238='elenco partner'!E:E),0),4)</f>
        <v>683</v>
      </c>
      <c r="DH238" s="83" t="str">
        <f t="shared" si="95"/>
        <v>Costo Unitario Standard</v>
      </c>
      <c r="DI238" s="20">
        <f>COUNTIFS('MY-REPORT-MAIN'!C:C,'Partner data'!DG238,'MY-REPORT-MAIN'!I:I,"Certified")</f>
        <v>0</v>
      </c>
      <c r="DJ238" s="20">
        <f>COUNTIFS(List_Of_chek_list!M:M,"&lt;&gt;26",List_Of_chek_list!B:B,'Partner data'!DG238)</f>
        <v>0</v>
      </c>
      <c r="DK238" s="20">
        <f t="shared" si="96"/>
        <v>0</v>
      </c>
      <c r="DL238" s="19" t="str">
        <f>IF(DH238="Tasso Forfettario 20%",SUMIFS(List_Of_chek_list!#REF!,List_Of_chek_list!B:B,'Partner data'!DG238),"NON PERTINENTE")</f>
        <v>NON PERTINENTE</v>
      </c>
      <c r="DM238" s="19" t="str">
        <f t="shared" si="97"/>
        <v>NON PERTINENTE</v>
      </c>
      <c r="DN238" s="110">
        <f>_xlfn.MAXIFS('MY-REPORT-MAIN'!K:K,'MY-REPORT-MAIN'!C:C,DG238)</f>
        <v>0</v>
      </c>
      <c r="DO238" s="112" t="str">
        <f>IF(_xlfn.MAXIFS('MY-REPORT-MAIN'!M:M,'MY-REPORT-MAIN'!C:C,DG238)=0,"Nessun rendiconto  Convalidato",_xlfn.MAXIFS('MY-REPORT-MAIN'!M:M,'MY-REPORT-MAIN'!C:C,DG238))</f>
        <v>Nessun rendiconto  Convalidato</v>
      </c>
      <c r="DP238" s="113" t="str" cm="1">
        <f t="array" ref="DP238">IFERROR(INDEX('MY-REPORT-MAIN'!A:Z,MATCH(1,(DO238='MY-REPORT-MAIN'!M:M)*('Partner data'!DG238='MY-REPORT-MAIN'!C:C),0),1),"NON è stato convalidato ancora nessun rendiconto")</f>
        <v>NON è stato convalidato ancora nessun rendiconto</v>
      </c>
      <c r="DQ238" s="111" t="str">
        <f>IFERROR(INDEX('MY-REPORT-MAIN'!A:Z,MATCH('Partner data'!DP238,'MY-REPORT-MAIN'!A:A,0),21),"Nessun Rendiconto ancora convalidato")</f>
        <v>Nessun Rendiconto ancora convalidato</v>
      </c>
      <c r="DR238" s="110">
        <f>INDEX('Interreg VI-A Italy-Slovenia_pr'!A:E,MATCH('Partner data'!C238,'Interreg VI-A Italy-Slovenia_pr'!A:A,0),3)</f>
        <v>45402</v>
      </c>
      <c r="DS238" s="118">
        <f t="shared" si="76"/>
        <v>43344</v>
      </c>
      <c r="DT238" s="118">
        <f t="shared" si="77"/>
        <v>86688</v>
      </c>
      <c r="DU238" s="118">
        <f t="shared" si="78"/>
        <v>130032</v>
      </c>
      <c r="DV238" s="118">
        <f t="shared" si="79"/>
        <v>173376</v>
      </c>
      <c r="DW238" s="118">
        <f t="shared" si="80"/>
        <v>216720</v>
      </c>
      <c r="DX238" s="118">
        <f t="shared" si="81"/>
        <v>216720</v>
      </c>
      <c r="DY238" s="118">
        <f t="shared" si="82"/>
        <v>216720</v>
      </c>
      <c r="DZ238" s="118">
        <f t="shared" si="83"/>
        <v>216720</v>
      </c>
      <c r="EA238" s="118">
        <f t="shared" si="84"/>
        <v>216720</v>
      </c>
      <c r="EB238" s="118">
        <f t="shared" si="85"/>
        <v>216720</v>
      </c>
    </row>
    <row r="239" spans="1:132" ht="45" x14ac:dyDescent="0.25">
      <c r="A239" s="121">
        <v>6</v>
      </c>
      <c r="B239" s="122" t="s">
        <v>2688</v>
      </c>
      <c r="C239" s="123" t="s">
        <v>3428</v>
      </c>
      <c r="D239" s="123" t="s">
        <v>3429</v>
      </c>
      <c r="E239" s="123" t="s">
        <v>3430</v>
      </c>
      <c r="F239" s="123" t="s">
        <v>490</v>
      </c>
      <c r="G239" s="123" t="s">
        <v>491</v>
      </c>
      <c r="H239" s="123" t="s">
        <v>766</v>
      </c>
      <c r="I239" s="123" t="s">
        <v>767</v>
      </c>
      <c r="J239" s="124" t="s">
        <v>518</v>
      </c>
      <c r="K239" s="124" t="s">
        <v>495</v>
      </c>
      <c r="L239" s="124" t="s">
        <v>519</v>
      </c>
      <c r="M239" s="124" t="s">
        <v>673</v>
      </c>
      <c r="N239" s="124" t="s">
        <v>674</v>
      </c>
      <c r="O239" s="124" t="s">
        <v>673</v>
      </c>
      <c r="P239" s="124" t="s">
        <v>254</v>
      </c>
      <c r="Q239" s="124" t="s">
        <v>540</v>
      </c>
      <c r="R239" s="124" t="s">
        <v>260</v>
      </c>
      <c r="S239" s="32">
        <v>145594.4</v>
      </c>
      <c r="T239" s="32">
        <v>80</v>
      </c>
      <c r="U239" s="32">
        <v>18.190000000000001</v>
      </c>
      <c r="V239" s="32">
        <v>0</v>
      </c>
      <c r="W239" s="32">
        <v>0</v>
      </c>
      <c r="X239" s="32">
        <v>0</v>
      </c>
      <c r="Y239" s="32">
        <v>0</v>
      </c>
      <c r="Z239" s="32">
        <v>0</v>
      </c>
      <c r="AA239" s="32">
        <v>0</v>
      </c>
      <c r="AB239" s="32">
        <v>0</v>
      </c>
      <c r="AC239" s="32">
        <v>0</v>
      </c>
      <c r="AD239" s="32">
        <v>0</v>
      </c>
      <c r="AE239" s="32">
        <v>0</v>
      </c>
      <c r="AF239" s="32">
        <v>0</v>
      </c>
      <c r="AG239" s="32">
        <v>0</v>
      </c>
      <c r="AH239" s="32">
        <v>0</v>
      </c>
      <c r="AI239" s="32">
        <v>0</v>
      </c>
      <c r="AJ239" s="32">
        <v>0</v>
      </c>
      <c r="AK239" s="32">
        <v>0</v>
      </c>
      <c r="AL239" s="32">
        <v>0</v>
      </c>
      <c r="AM239" s="32">
        <v>0</v>
      </c>
      <c r="AN239" s="32">
        <v>0</v>
      </c>
      <c r="AO239" s="32">
        <v>0</v>
      </c>
      <c r="AP239" s="32">
        <v>36398.6</v>
      </c>
      <c r="AQ239" s="32">
        <v>36398.6</v>
      </c>
      <c r="AR239" s="32">
        <v>181993</v>
      </c>
      <c r="AS239" s="32">
        <v>18.190000000000001</v>
      </c>
      <c r="AT239" s="32">
        <v>129995</v>
      </c>
      <c r="AU239" s="32">
        <v>0</v>
      </c>
      <c r="AV239" s="32">
        <v>0</v>
      </c>
      <c r="AW239" s="32">
        <v>129995</v>
      </c>
      <c r="AX239" s="32">
        <v>0</v>
      </c>
      <c r="AY239" s="32">
        <v>0</v>
      </c>
      <c r="AZ239" s="32">
        <v>0</v>
      </c>
      <c r="BA239" s="32">
        <v>0</v>
      </c>
      <c r="BB239" s="32">
        <v>0</v>
      </c>
      <c r="BC239" s="32">
        <v>0</v>
      </c>
      <c r="BD239" s="32">
        <v>0</v>
      </c>
      <c r="BE239" s="32">
        <v>0</v>
      </c>
      <c r="BF239" s="32">
        <v>0</v>
      </c>
      <c r="BG239" s="32">
        <v>0</v>
      </c>
      <c r="BH239" s="32">
        <v>0</v>
      </c>
      <c r="BI239" s="32">
        <v>0</v>
      </c>
      <c r="BJ239" s="32">
        <v>0</v>
      </c>
      <c r="BK239" s="32">
        <v>0</v>
      </c>
      <c r="BL239" s="32">
        <v>0</v>
      </c>
      <c r="BM239" s="32">
        <v>51998</v>
      </c>
      <c r="BN239" s="32">
        <v>0</v>
      </c>
      <c r="BO239" s="32">
        <v>0</v>
      </c>
      <c r="BP239" s="32">
        <v>0</v>
      </c>
      <c r="BQ239" s="32">
        <v>37884</v>
      </c>
      <c r="BR239" s="32">
        <v>35028</v>
      </c>
      <c r="BS239" s="32">
        <v>34944</v>
      </c>
      <c r="BT239" s="32">
        <v>36344</v>
      </c>
      <c r="BU239" s="32">
        <v>37793</v>
      </c>
      <c r="BV239" s="32">
        <v>0</v>
      </c>
      <c r="BW239" s="32">
        <v>0</v>
      </c>
      <c r="BX239" s="32">
        <v>0</v>
      </c>
      <c r="BY239" s="32">
        <v>0</v>
      </c>
      <c r="BZ239" s="32">
        <v>0</v>
      </c>
      <c r="CA239" s="32">
        <v>0</v>
      </c>
      <c r="CB239" s="125" t="s">
        <v>3431</v>
      </c>
      <c r="CC239" s="125" t="s">
        <v>675</v>
      </c>
      <c r="CD239" s="125" t="s">
        <v>653</v>
      </c>
      <c r="CE239" s="125" t="s">
        <v>501</v>
      </c>
      <c r="CF239" s="125" t="s">
        <v>676</v>
      </c>
      <c r="CG239" s="125" t="s">
        <v>914</v>
      </c>
      <c r="CH239" s="125" t="s">
        <v>504</v>
      </c>
      <c r="CI239" s="125" t="s">
        <v>665</v>
      </c>
      <c r="CJ239" s="125" t="s">
        <v>665</v>
      </c>
      <c r="CK239" s="125" t="s">
        <v>678</v>
      </c>
      <c r="CL239" s="125" t="s">
        <v>212</v>
      </c>
      <c r="CM239" s="125"/>
      <c r="CN239" s="125" t="s">
        <v>254</v>
      </c>
      <c r="CO239" s="125" t="s">
        <v>260</v>
      </c>
      <c r="CP239" s="125" t="s">
        <v>3432</v>
      </c>
      <c r="CQ239" s="125" t="s">
        <v>600</v>
      </c>
      <c r="CR239" s="125" t="s">
        <v>3159</v>
      </c>
      <c r="CS239" s="125" t="s">
        <v>679</v>
      </c>
      <c r="CT239" s="125" t="s">
        <v>254</v>
      </c>
      <c r="CU239" s="125" t="s">
        <v>260</v>
      </c>
      <c r="CV239" s="125" t="s">
        <v>3432</v>
      </c>
      <c r="CW239" s="125" t="s">
        <v>600</v>
      </c>
      <c r="CX239" s="125" t="s">
        <v>3159</v>
      </c>
      <c r="CY239" s="125" t="s">
        <v>3301</v>
      </c>
      <c r="CZ239" s="125" t="s">
        <v>670</v>
      </c>
      <c r="DA239" s="125" t="s">
        <v>680</v>
      </c>
      <c r="DB239" s="125" t="s">
        <v>602</v>
      </c>
      <c r="DC239" s="125" t="s">
        <v>1038</v>
      </c>
      <c r="DD239" s="125" t="s">
        <v>3164</v>
      </c>
      <c r="DE239" s="125" t="s">
        <v>3165</v>
      </c>
      <c r="DF239" s="126" t="s">
        <v>3302</v>
      </c>
      <c r="DG239" s="27" cm="1">
        <f t="array" ref="DG239">INDEX('elenco partner'!A:M,MATCH(1,(D239='elenco partner'!A:A)*('Partner data'!M239='elenco partner'!E:E),0),4)</f>
        <v>694</v>
      </c>
      <c r="DH239" s="83" t="str">
        <f t="shared" si="95"/>
        <v>Costo Unitario Standard</v>
      </c>
      <c r="DI239" s="20">
        <f>COUNTIFS('MY-REPORT-MAIN'!C:C,'Partner data'!DG239,'MY-REPORT-MAIN'!I:I,"Certified")</f>
        <v>0</v>
      </c>
      <c r="DJ239" s="20">
        <f>COUNTIFS(List_Of_chek_list!M:M,"&lt;&gt;26",List_Of_chek_list!B:B,'Partner data'!DG239)</f>
        <v>0</v>
      </c>
      <c r="DK239" s="20">
        <f t="shared" si="96"/>
        <v>0</v>
      </c>
      <c r="DL239" s="19" t="str">
        <f>IF(DH239="Tasso Forfettario 20%",SUMIFS(List_Of_chek_list!#REF!,List_Of_chek_list!B:B,'Partner data'!DG239),"NON PERTINENTE")</f>
        <v>NON PERTINENTE</v>
      </c>
      <c r="DM239" s="19" t="str">
        <f t="shared" si="97"/>
        <v>NON PERTINENTE</v>
      </c>
      <c r="DN239" s="110">
        <f>_xlfn.MAXIFS('MY-REPORT-MAIN'!K:K,'MY-REPORT-MAIN'!C:C,DG239)</f>
        <v>0</v>
      </c>
      <c r="DO239" s="112" t="str">
        <f>IF(_xlfn.MAXIFS('MY-REPORT-MAIN'!M:M,'MY-REPORT-MAIN'!C:C,DG239)=0,"Nessun rendiconto  Convalidato",_xlfn.MAXIFS('MY-REPORT-MAIN'!M:M,'MY-REPORT-MAIN'!C:C,DG239))</f>
        <v>Nessun rendiconto  Convalidato</v>
      </c>
      <c r="DP239" s="113" t="str" cm="1">
        <f t="array" ref="DP239">IFERROR(INDEX('MY-REPORT-MAIN'!A:Z,MATCH(1,(DO239='MY-REPORT-MAIN'!M:M)*('Partner data'!DG239='MY-REPORT-MAIN'!C:C),0),1),"NON è stato convalidato ancora nessun rendiconto")</f>
        <v>NON è stato convalidato ancora nessun rendiconto</v>
      </c>
      <c r="DQ239" s="111" t="str">
        <f>IFERROR(INDEX('MY-REPORT-MAIN'!A:Z,MATCH('Partner data'!DP239,'MY-REPORT-MAIN'!A:A,0),21),"Nessun Rendiconto ancora convalidato")</f>
        <v>Nessun Rendiconto ancora convalidato</v>
      </c>
      <c r="DR239" s="110">
        <f>INDEX('Interreg VI-A Italy-Slovenia_pr'!A:E,MATCH('Partner data'!C239,'Interreg VI-A Italy-Slovenia_pr'!A:A,0),3)</f>
        <v>45402</v>
      </c>
      <c r="DS239" s="118">
        <f t="shared" si="76"/>
        <v>37884</v>
      </c>
      <c r="DT239" s="118">
        <f t="shared" si="77"/>
        <v>72912</v>
      </c>
      <c r="DU239" s="118">
        <f t="shared" si="78"/>
        <v>107856</v>
      </c>
      <c r="DV239" s="118">
        <f t="shared" si="79"/>
        <v>144200</v>
      </c>
      <c r="DW239" s="118">
        <f t="shared" si="80"/>
        <v>181993</v>
      </c>
      <c r="DX239" s="118">
        <f t="shared" si="81"/>
        <v>181993</v>
      </c>
      <c r="DY239" s="118">
        <f t="shared" si="82"/>
        <v>181993</v>
      </c>
      <c r="DZ239" s="118">
        <f t="shared" si="83"/>
        <v>181993</v>
      </c>
      <c r="EA239" s="118">
        <f t="shared" si="84"/>
        <v>181993</v>
      </c>
      <c r="EB239" s="118">
        <f t="shared" si="85"/>
        <v>181993</v>
      </c>
    </row>
    <row r="240" spans="1:132" ht="45" x14ac:dyDescent="0.25">
      <c r="A240" s="121">
        <v>6</v>
      </c>
      <c r="B240" s="122" t="s">
        <v>2688</v>
      </c>
      <c r="C240" s="123" t="s">
        <v>3428</v>
      </c>
      <c r="D240" s="123" t="s">
        <v>3429</v>
      </c>
      <c r="E240" s="123" t="s">
        <v>3430</v>
      </c>
      <c r="F240" s="123" t="s">
        <v>490</v>
      </c>
      <c r="G240" s="123" t="s">
        <v>491</v>
      </c>
      <c r="H240" s="123" t="s">
        <v>766</v>
      </c>
      <c r="I240" s="123" t="s">
        <v>767</v>
      </c>
      <c r="J240" s="124" t="s">
        <v>538</v>
      </c>
      <c r="K240" s="124" t="s">
        <v>495</v>
      </c>
      <c r="L240" s="124" t="s">
        <v>519</v>
      </c>
      <c r="M240" s="124" t="s">
        <v>280</v>
      </c>
      <c r="N240" s="124" t="s">
        <v>885</v>
      </c>
      <c r="O240" s="124" t="s">
        <v>886</v>
      </c>
      <c r="P240" s="124" t="s">
        <v>257</v>
      </c>
      <c r="Q240" s="124" t="s">
        <v>556</v>
      </c>
      <c r="R240" s="124" t="s">
        <v>258</v>
      </c>
      <c r="S240" s="32">
        <v>145443.20000000001</v>
      </c>
      <c r="T240" s="32">
        <v>80</v>
      </c>
      <c r="U240" s="32">
        <v>18.170000000000002</v>
      </c>
      <c r="V240" s="32">
        <v>0</v>
      </c>
      <c r="W240" s="32">
        <v>0</v>
      </c>
      <c r="X240" s="32">
        <v>0</v>
      </c>
      <c r="Y240" s="32">
        <v>0</v>
      </c>
      <c r="Z240" s="32">
        <v>0</v>
      </c>
      <c r="AA240" s="32">
        <v>0</v>
      </c>
      <c r="AB240" s="32">
        <v>0</v>
      </c>
      <c r="AC240" s="32">
        <v>0</v>
      </c>
      <c r="AD240" s="32">
        <v>0</v>
      </c>
      <c r="AE240" s="32">
        <v>0</v>
      </c>
      <c r="AF240" s="32">
        <v>0</v>
      </c>
      <c r="AG240" s="32">
        <v>0</v>
      </c>
      <c r="AH240" s="32">
        <v>0</v>
      </c>
      <c r="AI240" s="32">
        <v>0</v>
      </c>
      <c r="AJ240" s="32">
        <v>0</v>
      </c>
      <c r="AK240" s="32">
        <v>0</v>
      </c>
      <c r="AL240" s="32">
        <v>0</v>
      </c>
      <c r="AM240" s="32">
        <v>0</v>
      </c>
      <c r="AN240" s="32">
        <v>0</v>
      </c>
      <c r="AO240" s="32">
        <v>0</v>
      </c>
      <c r="AP240" s="32">
        <v>36360.800000000003</v>
      </c>
      <c r="AQ240" s="32">
        <v>36360.800000000003</v>
      </c>
      <c r="AR240" s="32">
        <v>181804</v>
      </c>
      <c r="AS240" s="32">
        <v>18.170000000000002</v>
      </c>
      <c r="AT240" s="32">
        <v>129860</v>
      </c>
      <c r="AU240" s="32">
        <v>0</v>
      </c>
      <c r="AV240" s="32">
        <v>0</v>
      </c>
      <c r="AW240" s="32">
        <v>129860</v>
      </c>
      <c r="AX240" s="32">
        <v>0</v>
      </c>
      <c r="AY240" s="32">
        <v>0</v>
      </c>
      <c r="AZ240" s="32">
        <v>0</v>
      </c>
      <c r="BA240" s="32">
        <v>0</v>
      </c>
      <c r="BB240" s="32">
        <v>0</v>
      </c>
      <c r="BC240" s="32">
        <v>0</v>
      </c>
      <c r="BD240" s="32">
        <v>0</v>
      </c>
      <c r="BE240" s="32">
        <v>0</v>
      </c>
      <c r="BF240" s="32">
        <v>0</v>
      </c>
      <c r="BG240" s="32">
        <v>0</v>
      </c>
      <c r="BH240" s="32">
        <v>0</v>
      </c>
      <c r="BI240" s="32">
        <v>0</v>
      </c>
      <c r="BJ240" s="32">
        <v>0</v>
      </c>
      <c r="BK240" s="32">
        <v>0</v>
      </c>
      <c r="BL240" s="32">
        <v>0</v>
      </c>
      <c r="BM240" s="32">
        <v>51944</v>
      </c>
      <c r="BN240" s="32">
        <v>0</v>
      </c>
      <c r="BO240" s="32">
        <v>0</v>
      </c>
      <c r="BP240" s="32">
        <v>0</v>
      </c>
      <c r="BQ240" s="32">
        <v>36360.800000000003</v>
      </c>
      <c r="BR240" s="32">
        <v>36360.800000000003</v>
      </c>
      <c r="BS240" s="32">
        <v>36360.800000000003</v>
      </c>
      <c r="BT240" s="32">
        <v>36360.800000000003</v>
      </c>
      <c r="BU240" s="32">
        <v>36360.800000000003</v>
      </c>
      <c r="BV240" s="32">
        <v>0</v>
      </c>
      <c r="BW240" s="32">
        <v>0</v>
      </c>
      <c r="BX240" s="32">
        <v>0</v>
      </c>
      <c r="BY240" s="32">
        <v>0</v>
      </c>
      <c r="BZ240" s="32">
        <v>0</v>
      </c>
      <c r="CA240" s="32">
        <v>0</v>
      </c>
      <c r="CB240" s="125" t="s">
        <v>665</v>
      </c>
      <c r="CC240" s="125" t="s">
        <v>887</v>
      </c>
      <c r="CD240" s="125" t="s">
        <v>706</v>
      </c>
      <c r="CE240" s="125" t="s">
        <v>501</v>
      </c>
      <c r="CF240" s="125" t="s">
        <v>888</v>
      </c>
      <c r="CG240" s="125" t="s">
        <v>3433</v>
      </c>
      <c r="CH240" s="125" t="s">
        <v>619</v>
      </c>
      <c r="CI240" s="125" t="s">
        <v>665</v>
      </c>
      <c r="CJ240" s="125" t="s">
        <v>665</v>
      </c>
      <c r="CK240" s="125" t="s">
        <v>889</v>
      </c>
      <c r="CL240" s="125" t="s">
        <v>212</v>
      </c>
      <c r="CM240" s="125"/>
      <c r="CN240" s="125" t="s">
        <v>257</v>
      </c>
      <c r="CO240" s="125" t="s">
        <v>258</v>
      </c>
      <c r="CP240" s="125" t="s">
        <v>890</v>
      </c>
      <c r="CQ240" s="125" t="s">
        <v>620</v>
      </c>
      <c r="CR240" s="125" t="s">
        <v>621</v>
      </c>
      <c r="CS240" s="125" t="s">
        <v>891</v>
      </c>
      <c r="CT240" s="125" t="s">
        <v>257</v>
      </c>
      <c r="CU240" s="125" t="s">
        <v>258</v>
      </c>
      <c r="CV240" s="125" t="s">
        <v>725</v>
      </c>
      <c r="CW240" s="125" t="s">
        <v>665</v>
      </c>
      <c r="CX240" s="125" t="s">
        <v>665</v>
      </c>
      <c r="CY240" s="125" t="s">
        <v>892</v>
      </c>
      <c r="CZ240" s="125" t="s">
        <v>893</v>
      </c>
      <c r="DA240" s="125" t="s">
        <v>894</v>
      </c>
      <c r="DB240" s="125" t="s">
        <v>895</v>
      </c>
      <c r="DC240" s="125" t="s">
        <v>896</v>
      </c>
      <c r="DD240" s="125" t="s">
        <v>897</v>
      </c>
      <c r="DE240" s="125" t="s">
        <v>898</v>
      </c>
      <c r="DF240" s="126" t="s">
        <v>3434</v>
      </c>
      <c r="DG240" s="27" cm="1">
        <f t="array" ref="DG240">INDEX('elenco partner'!A:M,MATCH(1,(D240='elenco partner'!A:A)*('Partner data'!M240='elenco partner'!E:E),0),4)</f>
        <v>695</v>
      </c>
      <c r="DH240" s="83" t="str">
        <f t="shared" si="95"/>
        <v>Costo Unitario Standard</v>
      </c>
      <c r="DI240" s="20">
        <f>COUNTIFS('MY-REPORT-MAIN'!C:C,'Partner data'!DG240,'MY-REPORT-MAIN'!I:I,"Certified")</f>
        <v>0</v>
      </c>
      <c r="DJ240" s="20">
        <f>COUNTIFS(List_Of_chek_list!M:M,"&lt;&gt;26",List_Of_chek_list!B:B,'Partner data'!DG240)</f>
        <v>0</v>
      </c>
      <c r="DK240" s="20">
        <f t="shared" si="96"/>
        <v>0</v>
      </c>
      <c r="DL240" s="19" t="str">
        <f>IF(DH240="Tasso Forfettario 20%",SUMIFS(List_Of_chek_list!#REF!,List_Of_chek_list!B:B,'Partner data'!DG240),"NON PERTINENTE")</f>
        <v>NON PERTINENTE</v>
      </c>
      <c r="DM240" s="19" t="str">
        <f t="shared" si="97"/>
        <v>NON PERTINENTE</v>
      </c>
      <c r="DN240" s="110">
        <f>_xlfn.MAXIFS('MY-REPORT-MAIN'!K:K,'MY-REPORT-MAIN'!C:C,DG240)</f>
        <v>0</v>
      </c>
      <c r="DO240" s="112" t="str">
        <f>IF(_xlfn.MAXIFS('MY-REPORT-MAIN'!M:M,'MY-REPORT-MAIN'!C:C,DG240)=0,"Nessun rendiconto  Convalidato",_xlfn.MAXIFS('MY-REPORT-MAIN'!M:M,'MY-REPORT-MAIN'!C:C,DG240))</f>
        <v>Nessun rendiconto  Convalidato</v>
      </c>
      <c r="DP240" s="113" t="str" cm="1">
        <f t="array" ref="DP240">IFERROR(INDEX('MY-REPORT-MAIN'!A:Z,MATCH(1,(DO240='MY-REPORT-MAIN'!M:M)*('Partner data'!DG240='MY-REPORT-MAIN'!C:C),0),1),"NON è stato convalidato ancora nessun rendiconto")</f>
        <v>NON è stato convalidato ancora nessun rendiconto</v>
      </c>
      <c r="DQ240" s="111" t="str">
        <f>IFERROR(INDEX('MY-REPORT-MAIN'!A:Z,MATCH('Partner data'!DP240,'MY-REPORT-MAIN'!A:A,0),21),"Nessun Rendiconto ancora convalidato")</f>
        <v>Nessun Rendiconto ancora convalidato</v>
      </c>
      <c r="DR240" s="110">
        <f>INDEX('Interreg VI-A Italy-Slovenia_pr'!A:E,MATCH('Partner data'!C240,'Interreg VI-A Italy-Slovenia_pr'!A:A,0),3)</f>
        <v>45402</v>
      </c>
      <c r="DS240" s="118">
        <f t="shared" si="76"/>
        <v>36360.800000000003</v>
      </c>
      <c r="DT240" s="118">
        <f t="shared" si="77"/>
        <v>72721.600000000006</v>
      </c>
      <c r="DU240" s="118">
        <f t="shared" si="78"/>
        <v>109082.40000000001</v>
      </c>
      <c r="DV240" s="118">
        <f t="shared" si="79"/>
        <v>145443.20000000001</v>
      </c>
      <c r="DW240" s="118">
        <f t="shared" si="80"/>
        <v>181804</v>
      </c>
      <c r="DX240" s="118">
        <f t="shared" si="81"/>
        <v>181804</v>
      </c>
      <c r="DY240" s="118">
        <f t="shared" si="82"/>
        <v>181804</v>
      </c>
      <c r="DZ240" s="118">
        <f t="shared" si="83"/>
        <v>181804</v>
      </c>
      <c r="EA240" s="118">
        <f t="shared" si="84"/>
        <v>181804</v>
      </c>
      <c r="EB240" s="118">
        <f t="shared" si="85"/>
        <v>181804</v>
      </c>
    </row>
    <row r="241" spans="1:132" ht="45" x14ac:dyDescent="0.25">
      <c r="A241" s="121">
        <v>6</v>
      </c>
      <c r="B241" s="122" t="s">
        <v>2688</v>
      </c>
      <c r="C241" s="123" t="s">
        <v>3428</v>
      </c>
      <c r="D241" s="123" t="s">
        <v>3429</v>
      </c>
      <c r="E241" s="123" t="s">
        <v>3430</v>
      </c>
      <c r="F241" s="123" t="s">
        <v>490</v>
      </c>
      <c r="G241" s="123" t="s">
        <v>491</v>
      </c>
      <c r="H241" s="123" t="s">
        <v>766</v>
      </c>
      <c r="I241" s="123" t="s">
        <v>767</v>
      </c>
      <c r="J241" s="124" t="s">
        <v>554</v>
      </c>
      <c r="K241" s="124" t="s">
        <v>495</v>
      </c>
      <c r="L241" s="124" t="s">
        <v>519</v>
      </c>
      <c r="M241" s="124" t="s">
        <v>51</v>
      </c>
      <c r="N241" s="124" t="s">
        <v>2146</v>
      </c>
      <c r="O241" s="124" t="s">
        <v>2146</v>
      </c>
      <c r="P241" s="124" t="s">
        <v>254</v>
      </c>
      <c r="Q241" s="124" t="s">
        <v>540</v>
      </c>
      <c r="R241" s="124" t="s">
        <v>260</v>
      </c>
      <c r="S241" s="32">
        <v>121007.03999999999</v>
      </c>
      <c r="T241" s="32">
        <v>80</v>
      </c>
      <c r="U241" s="32">
        <v>15.12</v>
      </c>
      <c r="V241" s="32">
        <v>0</v>
      </c>
      <c r="W241" s="32">
        <v>0</v>
      </c>
      <c r="X241" s="32">
        <v>0</v>
      </c>
      <c r="Y241" s="32">
        <v>0</v>
      </c>
      <c r="Z241" s="32">
        <v>0</v>
      </c>
      <c r="AA241" s="32">
        <v>0</v>
      </c>
      <c r="AB241" s="32">
        <v>0</v>
      </c>
      <c r="AC241" s="32">
        <v>0</v>
      </c>
      <c r="AD241" s="32">
        <v>0</v>
      </c>
      <c r="AE241" s="32">
        <v>0</v>
      </c>
      <c r="AF241" s="32">
        <v>0</v>
      </c>
      <c r="AG241" s="32">
        <v>0</v>
      </c>
      <c r="AH241" s="32">
        <v>0</v>
      </c>
      <c r="AI241" s="32">
        <v>0</v>
      </c>
      <c r="AJ241" s="32">
        <v>0</v>
      </c>
      <c r="AK241" s="32">
        <v>0</v>
      </c>
      <c r="AL241" s="32">
        <v>0</v>
      </c>
      <c r="AM241" s="32">
        <v>0</v>
      </c>
      <c r="AN241" s="32">
        <v>0</v>
      </c>
      <c r="AO241" s="32">
        <v>30251.759999999998</v>
      </c>
      <c r="AP241" s="32">
        <v>0</v>
      </c>
      <c r="AQ241" s="32">
        <v>30251.759999999998</v>
      </c>
      <c r="AR241" s="32">
        <v>151258.79999999999</v>
      </c>
      <c r="AS241" s="32">
        <v>15.12</v>
      </c>
      <c r="AT241" s="32">
        <v>108042</v>
      </c>
      <c r="AU241" s="32">
        <v>0</v>
      </c>
      <c r="AV241" s="32">
        <v>0</v>
      </c>
      <c r="AW241" s="32">
        <v>108042</v>
      </c>
      <c r="AX241" s="32">
        <v>0</v>
      </c>
      <c r="AY241" s="32">
        <v>0</v>
      </c>
      <c r="AZ241" s="32">
        <v>0</v>
      </c>
      <c r="BA241" s="32">
        <v>0</v>
      </c>
      <c r="BB241" s="32">
        <v>0</v>
      </c>
      <c r="BC241" s="32">
        <v>0</v>
      </c>
      <c r="BD241" s="32">
        <v>0</v>
      </c>
      <c r="BE241" s="32">
        <v>0</v>
      </c>
      <c r="BF241" s="32">
        <v>0</v>
      </c>
      <c r="BG241" s="32">
        <v>0</v>
      </c>
      <c r="BH241" s="32">
        <v>0</v>
      </c>
      <c r="BI241" s="32">
        <v>0</v>
      </c>
      <c r="BJ241" s="32">
        <v>0</v>
      </c>
      <c r="BK241" s="32">
        <v>0</v>
      </c>
      <c r="BL241" s="32">
        <v>0</v>
      </c>
      <c r="BM241" s="32">
        <v>43216.800000000003</v>
      </c>
      <c r="BN241" s="32">
        <v>0</v>
      </c>
      <c r="BO241" s="32">
        <v>0</v>
      </c>
      <c r="BP241" s="32">
        <v>0</v>
      </c>
      <c r="BQ241" s="32">
        <v>30251.759999999998</v>
      </c>
      <c r="BR241" s="32">
        <v>30251.759999999998</v>
      </c>
      <c r="BS241" s="32">
        <v>30251.759999999998</v>
      </c>
      <c r="BT241" s="32">
        <v>30251.759999999998</v>
      </c>
      <c r="BU241" s="32">
        <v>30251.759999999998</v>
      </c>
      <c r="BV241" s="32">
        <v>0</v>
      </c>
      <c r="BW241" s="32">
        <v>0</v>
      </c>
      <c r="BX241" s="32">
        <v>0</v>
      </c>
      <c r="BY241" s="32">
        <v>0</v>
      </c>
      <c r="BZ241" s="32">
        <v>0</v>
      </c>
      <c r="CA241" s="32">
        <v>0</v>
      </c>
      <c r="CB241" s="125" t="s">
        <v>665</v>
      </c>
      <c r="CC241" s="125" t="s">
        <v>596</v>
      </c>
      <c r="CD241" s="125"/>
      <c r="CE241" s="125" t="s">
        <v>501</v>
      </c>
      <c r="CF241" s="125" t="s">
        <v>685</v>
      </c>
      <c r="CG241" s="125" t="s">
        <v>917</v>
      </c>
      <c r="CH241" s="125" t="s">
        <v>619</v>
      </c>
      <c r="CI241" s="125" t="s">
        <v>665</v>
      </c>
      <c r="CJ241" s="125" t="s">
        <v>665</v>
      </c>
      <c r="CK241" s="125" t="s">
        <v>918</v>
      </c>
      <c r="CL241" s="125" t="s">
        <v>212</v>
      </c>
      <c r="CM241" s="125"/>
      <c r="CN241" s="125" t="s">
        <v>254</v>
      </c>
      <c r="CO241" s="125" t="s">
        <v>260</v>
      </c>
      <c r="CP241" s="125" t="s">
        <v>919</v>
      </c>
      <c r="CQ241" s="125" t="s">
        <v>920</v>
      </c>
      <c r="CR241" s="125" t="s">
        <v>599</v>
      </c>
      <c r="CS241" s="125" t="s">
        <v>2818</v>
      </c>
      <c r="CT241" s="125" t="s">
        <v>254</v>
      </c>
      <c r="CU241" s="125" t="s">
        <v>260</v>
      </c>
      <c r="CV241" s="125" t="s">
        <v>725</v>
      </c>
      <c r="CW241" s="125" t="s">
        <v>665</v>
      </c>
      <c r="CX241" s="125" t="s">
        <v>665</v>
      </c>
      <c r="CY241" s="125" t="s">
        <v>622</v>
      </c>
      <c r="CZ241" s="125" t="s">
        <v>921</v>
      </c>
      <c r="DA241" s="125" t="s">
        <v>922</v>
      </c>
      <c r="DB241" s="125" t="s">
        <v>602</v>
      </c>
      <c r="DC241" s="125" t="s">
        <v>3435</v>
      </c>
      <c r="DD241" s="125" t="s">
        <v>3436</v>
      </c>
      <c r="DE241" s="125" t="s">
        <v>3437</v>
      </c>
      <c r="DF241" s="126" t="s">
        <v>3438</v>
      </c>
      <c r="DG241" s="27" cm="1">
        <f t="array" ref="DG241">INDEX('elenco partner'!A:M,MATCH(1,(D241='elenco partner'!A:A)*('Partner data'!M241='elenco partner'!E:E),0),4)</f>
        <v>696</v>
      </c>
      <c r="DH241" s="83" t="str">
        <f t="shared" si="95"/>
        <v>Costo Unitario Standard</v>
      </c>
      <c r="DI241" s="20">
        <f>COUNTIFS('MY-REPORT-MAIN'!C:C,'Partner data'!DG241,'MY-REPORT-MAIN'!I:I,"Certified")</f>
        <v>0</v>
      </c>
      <c r="DJ241" s="20">
        <f>COUNTIFS(List_Of_chek_list!M:M,"&lt;&gt;26",List_Of_chek_list!B:B,'Partner data'!DG241)</f>
        <v>0</v>
      </c>
      <c r="DK241" s="20">
        <f t="shared" si="96"/>
        <v>0</v>
      </c>
      <c r="DL241" s="19" t="str">
        <f>IF(DH241="Tasso Forfettario 20%",SUMIFS(List_Of_chek_list!#REF!,List_Of_chek_list!B:B,'Partner data'!DG241),"NON PERTINENTE")</f>
        <v>NON PERTINENTE</v>
      </c>
      <c r="DM241" s="19" t="str">
        <f t="shared" si="97"/>
        <v>NON PERTINENTE</v>
      </c>
      <c r="DN241" s="110">
        <f>_xlfn.MAXIFS('MY-REPORT-MAIN'!K:K,'MY-REPORT-MAIN'!C:C,DG241)</f>
        <v>0</v>
      </c>
      <c r="DO241" s="112" t="str">
        <f>IF(_xlfn.MAXIFS('MY-REPORT-MAIN'!M:M,'MY-REPORT-MAIN'!C:C,DG241)=0,"Nessun rendiconto  Convalidato",_xlfn.MAXIFS('MY-REPORT-MAIN'!M:M,'MY-REPORT-MAIN'!C:C,DG241))</f>
        <v>Nessun rendiconto  Convalidato</v>
      </c>
      <c r="DP241" s="113" t="str" cm="1">
        <f t="array" ref="DP241">IFERROR(INDEX('MY-REPORT-MAIN'!A:Z,MATCH(1,(DO241='MY-REPORT-MAIN'!M:M)*('Partner data'!DG241='MY-REPORT-MAIN'!C:C),0),1),"NON è stato convalidato ancora nessun rendiconto")</f>
        <v>NON è stato convalidato ancora nessun rendiconto</v>
      </c>
      <c r="DQ241" s="111" t="str">
        <f>IFERROR(INDEX('MY-REPORT-MAIN'!A:Z,MATCH('Partner data'!DP241,'MY-REPORT-MAIN'!A:A,0),21),"Nessun Rendiconto ancora convalidato")</f>
        <v>Nessun Rendiconto ancora convalidato</v>
      </c>
      <c r="DR241" s="110">
        <f>INDEX('Interreg VI-A Italy-Slovenia_pr'!A:E,MATCH('Partner data'!C241,'Interreg VI-A Italy-Slovenia_pr'!A:A,0),3)</f>
        <v>45402</v>
      </c>
      <c r="DS241" s="118">
        <f t="shared" si="76"/>
        <v>30251.759999999998</v>
      </c>
      <c r="DT241" s="118">
        <f t="shared" si="77"/>
        <v>60503.519999999997</v>
      </c>
      <c r="DU241" s="118">
        <f t="shared" si="78"/>
        <v>90755.28</v>
      </c>
      <c r="DV241" s="118">
        <f t="shared" si="79"/>
        <v>121007.03999999999</v>
      </c>
      <c r="DW241" s="118">
        <f t="shared" si="80"/>
        <v>151258.79999999999</v>
      </c>
      <c r="DX241" s="118">
        <f t="shared" si="81"/>
        <v>151258.79999999999</v>
      </c>
      <c r="DY241" s="118">
        <f t="shared" si="82"/>
        <v>151258.79999999999</v>
      </c>
      <c r="DZ241" s="118">
        <f t="shared" si="83"/>
        <v>151258.79999999999</v>
      </c>
      <c r="EA241" s="118">
        <f t="shared" si="84"/>
        <v>151258.79999999999</v>
      </c>
      <c r="EB241" s="118">
        <f t="shared" si="85"/>
        <v>151258.79999999999</v>
      </c>
    </row>
    <row r="242" spans="1:132" ht="45" x14ac:dyDescent="0.25">
      <c r="A242" s="121">
        <v>6</v>
      </c>
      <c r="B242" s="122" t="s">
        <v>2688</v>
      </c>
      <c r="C242" s="123" t="s">
        <v>3428</v>
      </c>
      <c r="D242" s="123" t="s">
        <v>3429</v>
      </c>
      <c r="E242" s="123" t="s">
        <v>3430</v>
      </c>
      <c r="F242" s="123" t="s">
        <v>490</v>
      </c>
      <c r="G242" s="123" t="s">
        <v>491</v>
      </c>
      <c r="H242" s="123" t="s">
        <v>766</v>
      </c>
      <c r="I242" s="123" t="s">
        <v>767</v>
      </c>
      <c r="J242" s="124" t="s">
        <v>570</v>
      </c>
      <c r="K242" s="124" t="s">
        <v>495</v>
      </c>
      <c r="L242" s="124" t="s">
        <v>519</v>
      </c>
      <c r="M242" s="124" t="s">
        <v>299</v>
      </c>
      <c r="N242" s="124" t="s">
        <v>3439</v>
      </c>
      <c r="O242" s="124" t="s">
        <v>3440</v>
      </c>
      <c r="P242" s="124" t="s">
        <v>257</v>
      </c>
      <c r="Q242" s="124" t="s">
        <v>556</v>
      </c>
      <c r="R242" s="124" t="s">
        <v>269</v>
      </c>
      <c r="S242" s="32">
        <v>107520</v>
      </c>
      <c r="T242" s="32">
        <v>80</v>
      </c>
      <c r="U242" s="32">
        <v>13.43</v>
      </c>
      <c r="V242" s="32">
        <v>0</v>
      </c>
      <c r="W242" s="32">
        <v>0</v>
      </c>
      <c r="X242" s="32">
        <v>0</v>
      </c>
      <c r="Y242" s="32">
        <v>0</v>
      </c>
      <c r="Z242" s="32">
        <v>0</v>
      </c>
      <c r="AA242" s="32">
        <v>0</v>
      </c>
      <c r="AB242" s="32">
        <v>0</v>
      </c>
      <c r="AC242" s="32">
        <v>0</v>
      </c>
      <c r="AD242" s="32">
        <v>0</v>
      </c>
      <c r="AE242" s="32">
        <v>0</v>
      </c>
      <c r="AF242" s="32">
        <v>0</v>
      </c>
      <c r="AG242" s="32">
        <v>0</v>
      </c>
      <c r="AH242" s="32">
        <v>0</v>
      </c>
      <c r="AI242" s="32">
        <v>0</v>
      </c>
      <c r="AJ242" s="32">
        <v>0</v>
      </c>
      <c r="AK242" s="32">
        <v>0</v>
      </c>
      <c r="AL242" s="32">
        <v>0</v>
      </c>
      <c r="AM242" s="32">
        <v>0</v>
      </c>
      <c r="AN242" s="32">
        <v>26880</v>
      </c>
      <c r="AO242" s="32">
        <v>0</v>
      </c>
      <c r="AP242" s="32">
        <v>0</v>
      </c>
      <c r="AQ242" s="32">
        <v>26880</v>
      </c>
      <c r="AR242" s="32">
        <v>134400</v>
      </c>
      <c r="AS242" s="32">
        <v>13.43</v>
      </c>
      <c r="AT242" s="32">
        <v>22400</v>
      </c>
      <c r="AU242" s="32">
        <v>22400</v>
      </c>
      <c r="AV242" s="32">
        <v>0</v>
      </c>
      <c r="AW242" s="32">
        <v>0</v>
      </c>
      <c r="AX242" s="32">
        <v>0</v>
      </c>
      <c r="AY242" s="32">
        <v>0</v>
      </c>
      <c r="AZ242" s="32">
        <v>0</v>
      </c>
      <c r="BA242" s="32">
        <v>0</v>
      </c>
      <c r="BB242" s="32">
        <v>0</v>
      </c>
      <c r="BC242" s="32">
        <v>0</v>
      </c>
      <c r="BD242" s="32">
        <v>87000</v>
      </c>
      <c r="BE242" s="32">
        <v>87000</v>
      </c>
      <c r="BF242" s="32">
        <v>0</v>
      </c>
      <c r="BG242" s="32">
        <v>25000</v>
      </c>
      <c r="BH242" s="32">
        <v>25000</v>
      </c>
      <c r="BI242" s="32">
        <v>0</v>
      </c>
      <c r="BJ242" s="32">
        <v>0</v>
      </c>
      <c r="BK242" s="32">
        <v>0</v>
      </c>
      <c r="BL242" s="32">
        <v>0</v>
      </c>
      <c r="BM242" s="32">
        <v>0</v>
      </c>
      <c r="BN242" s="32">
        <v>0</v>
      </c>
      <c r="BO242" s="32">
        <v>0</v>
      </c>
      <c r="BP242" s="32">
        <v>0</v>
      </c>
      <c r="BQ242" s="32">
        <v>6000</v>
      </c>
      <c r="BR242" s="32">
        <v>8880</v>
      </c>
      <c r="BS242" s="32">
        <v>6000</v>
      </c>
      <c r="BT242" s="32">
        <v>50760</v>
      </c>
      <c r="BU242" s="32">
        <v>62760</v>
      </c>
      <c r="BV242" s="32">
        <v>0</v>
      </c>
      <c r="BW242" s="32">
        <v>0</v>
      </c>
      <c r="BX242" s="32">
        <v>0</v>
      </c>
      <c r="BY242" s="32">
        <v>0</v>
      </c>
      <c r="BZ242" s="32">
        <v>0</v>
      </c>
      <c r="CA242" s="32">
        <v>0</v>
      </c>
      <c r="CB242" s="125" t="s">
        <v>665</v>
      </c>
      <c r="CC242" s="125" t="s">
        <v>522</v>
      </c>
      <c r="CD242" s="125" t="s">
        <v>653</v>
      </c>
      <c r="CE242" s="125" t="s">
        <v>523</v>
      </c>
      <c r="CF242" s="125" t="s">
        <v>636</v>
      </c>
      <c r="CG242" s="125" t="s">
        <v>926</v>
      </c>
      <c r="CH242" s="125" t="s">
        <v>526</v>
      </c>
      <c r="CI242" s="125" t="s">
        <v>665</v>
      </c>
      <c r="CJ242" s="125" t="s">
        <v>665</v>
      </c>
      <c r="CK242" s="125"/>
      <c r="CL242" s="125" t="s">
        <v>212</v>
      </c>
      <c r="CM242" s="125"/>
      <c r="CN242" s="125" t="s">
        <v>257</v>
      </c>
      <c r="CO242" s="125" t="s">
        <v>269</v>
      </c>
      <c r="CP242" s="125" t="s">
        <v>927</v>
      </c>
      <c r="CQ242" s="125" t="s">
        <v>928</v>
      </c>
      <c r="CR242" s="125" t="s">
        <v>929</v>
      </c>
      <c r="CS242" s="125" t="s">
        <v>930</v>
      </c>
      <c r="CT242" s="125" t="s">
        <v>257</v>
      </c>
      <c r="CU242" s="125" t="s">
        <v>269</v>
      </c>
      <c r="CV242" s="125" t="s">
        <v>725</v>
      </c>
      <c r="CW242" s="125" t="s">
        <v>665</v>
      </c>
      <c r="CX242" s="125" t="s">
        <v>665</v>
      </c>
      <c r="CY242" s="125" t="s">
        <v>892</v>
      </c>
      <c r="CZ242" s="125" t="s">
        <v>931</v>
      </c>
      <c r="DA242" s="125" t="s">
        <v>932</v>
      </c>
      <c r="DB242" s="125" t="s">
        <v>895</v>
      </c>
      <c r="DC242" s="125" t="s">
        <v>933</v>
      </c>
      <c r="DD242" s="125" t="s">
        <v>934</v>
      </c>
      <c r="DE242" s="125" t="s">
        <v>935</v>
      </c>
      <c r="DF242" s="126" t="s">
        <v>1219</v>
      </c>
      <c r="DG242" s="27" cm="1">
        <f t="array" ref="DG242">INDEX('elenco partner'!A:M,MATCH(1,(D242='elenco partner'!A:A)*('Partner data'!M242='elenco partner'!E:E),0),4)</f>
        <v>697</v>
      </c>
      <c r="DH242" s="83" t="str">
        <f t="shared" si="95"/>
        <v>Tasso Forfettario 20%</v>
      </c>
      <c r="DI242" s="20">
        <f>COUNTIFS('MY-REPORT-MAIN'!C:C,'Partner data'!DG242,'MY-REPORT-MAIN'!I:I,"Certified")</f>
        <v>0</v>
      </c>
      <c r="DJ242" s="20">
        <f>COUNTIFS(List_Of_chek_list!M:M,"&lt;&gt;26",List_Of_chek_list!B:B,'Partner data'!DG242)</f>
        <v>0</v>
      </c>
      <c r="DK242" s="20">
        <f t="shared" si="96"/>
        <v>0</v>
      </c>
      <c r="DL242" s="19" t="e">
        <f>IF(DH242="Tasso Forfettario 20%",SUMIFS(List_Of_chek_list!#REF!,List_Of_chek_list!B:B,'Partner data'!DG242),"NON PERTINENTE")</f>
        <v>#REF!</v>
      </c>
      <c r="DM242" s="19" t="e">
        <f t="shared" si="97"/>
        <v>#REF!</v>
      </c>
      <c r="DN242" s="110">
        <f>_xlfn.MAXIFS('MY-REPORT-MAIN'!K:K,'MY-REPORT-MAIN'!C:C,DG242)</f>
        <v>0</v>
      </c>
      <c r="DO242" s="112" t="str">
        <f>IF(_xlfn.MAXIFS('MY-REPORT-MAIN'!M:M,'MY-REPORT-MAIN'!C:C,DG242)=0,"Nessun rendiconto  Convalidato",_xlfn.MAXIFS('MY-REPORT-MAIN'!M:M,'MY-REPORT-MAIN'!C:C,DG242))</f>
        <v>Nessun rendiconto  Convalidato</v>
      </c>
      <c r="DP242" s="113" t="str" cm="1">
        <f t="array" ref="DP242">IFERROR(INDEX('MY-REPORT-MAIN'!A:Z,MATCH(1,(DO242='MY-REPORT-MAIN'!M:M)*('Partner data'!DG242='MY-REPORT-MAIN'!C:C),0),1),"NON è stato convalidato ancora nessun rendiconto")</f>
        <v>NON è stato convalidato ancora nessun rendiconto</v>
      </c>
      <c r="DQ242" s="111" t="str">
        <f>IFERROR(INDEX('MY-REPORT-MAIN'!A:Z,MATCH('Partner data'!DP242,'MY-REPORT-MAIN'!A:A,0),21),"Nessun Rendiconto ancora convalidato")</f>
        <v>Nessun Rendiconto ancora convalidato</v>
      </c>
      <c r="DR242" s="110">
        <f>INDEX('Interreg VI-A Italy-Slovenia_pr'!A:E,MATCH('Partner data'!C242,'Interreg VI-A Italy-Slovenia_pr'!A:A,0),3)</f>
        <v>45402</v>
      </c>
      <c r="DS242" s="118">
        <f t="shared" si="76"/>
        <v>6000</v>
      </c>
      <c r="DT242" s="118">
        <f t="shared" si="77"/>
        <v>14880</v>
      </c>
      <c r="DU242" s="118">
        <f t="shared" si="78"/>
        <v>20880</v>
      </c>
      <c r="DV242" s="118">
        <f t="shared" si="79"/>
        <v>71640</v>
      </c>
      <c r="DW242" s="118">
        <f t="shared" si="80"/>
        <v>134400</v>
      </c>
      <c r="DX242" s="118">
        <f t="shared" si="81"/>
        <v>134400</v>
      </c>
      <c r="DY242" s="118">
        <f t="shared" si="82"/>
        <v>134400</v>
      </c>
      <c r="DZ242" s="118">
        <f t="shared" si="83"/>
        <v>134400</v>
      </c>
      <c r="EA242" s="118">
        <f t="shared" si="84"/>
        <v>134400</v>
      </c>
      <c r="EB242" s="118">
        <f t="shared" si="85"/>
        <v>134400</v>
      </c>
    </row>
    <row r="243" spans="1:132" ht="45" x14ac:dyDescent="0.25">
      <c r="A243" s="121">
        <v>6</v>
      </c>
      <c r="B243" s="122" t="s">
        <v>2688</v>
      </c>
      <c r="C243" s="123" t="s">
        <v>3428</v>
      </c>
      <c r="D243" s="123" t="s">
        <v>3429</v>
      </c>
      <c r="E243" s="123" t="s">
        <v>3430</v>
      </c>
      <c r="F243" s="123" t="s">
        <v>490</v>
      </c>
      <c r="G243" s="123" t="s">
        <v>491</v>
      </c>
      <c r="H243" s="123" t="s">
        <v>766</v>
      </c>
      <c r="I243" s="123" t="s">
        <v>767</v>
      </c>
      <c r="J243" s="124" t="s">
        <v>581</v>
      </c>
      <c r="K243" s="124" t="s">
        <v>495</v>
      </c>
      <c r="L243" s="124" t="s">
        <v>519</v>
      </c>
      <c r="M243" s="124" t="s">
        <v>3441</v>
      </c>
      <c r="N243" s="124" t="s">
        <v>3442</v>
      </c>
      <c r="O243" s="124" t="s">
        <v>3443</v>
      </c>
      <c r="P243" s="124" t="s">
        <v>254</v>
      </c>
      <c r="Q243" s="124" t="s">
        <v>499</v>
      </c>
      <c r="R243" s="124" t="s">
        <v>255</v>
      </c>
      <c r="S243" s="32">
        <v>107520</v>
      </c>
      <c r="T243" s="32">
        <v>80</v>
      </c>
      <c r="U243" s="32">
        <v>13.43</v>
      </c>
      <c r="V243" s="32">
        <v>0</v>
      </c>
      <c r="W243" s="32">
        <v>0</v>
      </c>
      <c r="X243" s="32">
        <v>0</v>
      </c>
      <c r="Y243" s="32">
        <v>0</v>
      </c>
      <c r="Z243" s="32">
        <v>0</v>
      </c>
      <c r="AA243" s="32">
        <v>0</v>
      </c>
      <c r="AB243" s="32">
        <v>0</v>
      </c>
      <c r="AC243" s="32">
        <v>0</v>
      </c>
      <c r="AD243" s="32">
        <v>0</v>
      </c>
      <c r="AE243" s="32">
        <v>0</v>
      </c>
      <c r="AF243" s="32">
        <v>0</v>
      </c>
      <c r="AG243" s="32">
        <v>0</v>
      </c>
      <c r="AH243" s="32">
        <v>0</v>
      </c>
      <c r="AI243" s="32">
        <v>0</v>
      </c>
      <c r="AJ243" s="32">
        <v>0</v>
      </c>
      <c r="AK243" s="32">
        <v>0</v>
      </c>
      <c r="AL243" s="32">
        <v>0</v>
      </c>
      <c r="AM243" s="32">
        <v>0</v>
      </c>
      <c r="AN243" s="32">
        <v>0</v>
      </c>
      <c r="AO243" s="32">
        <v>26880</v>
      </c>
      <c r="AP243" s="32">
        <v>0</v>
      </c>
      <c r="AQ243" s="32">
        <v>26880</v>
      </c>
      <c r="AR243" s="32">
        <v>134400</v>
      </c>
      <c r="AS243" s="32">
        <v>13.43</v>
      </c>
      <c r="AT243" s="32">
        <v>22400</v>
      </c>
      <c r="AU243" s="32">
        <v>22400</v>
      </c>
      <c r="AV243" s="32">
        <v>0</v>
      </c>
      <c r="AW243" s="32">
        <v>0</v>
      </c>
      <c r="AX243" s="32">
        <v>0</v>
      </c>
      <c r="AY243" s="32">
        <v>0</v>
      </c>
      <c r="AZ243" s="32">
        <v>0</v>
      </c>
      <c r="BA243" s="32">
        <v>0</v>
      </c>
      <c r="BB243" s="32">
        <v>0</v>
      </c>
      <c r="BC243" s="32">
        <v>0</v>
      </c>
      <c r="BD243" s="32">
        <v>87000</v>
      </c>
      <c r="BE243" s="32">
        <v>87000</v>
      </c>
      <c r="BF243" s="32">
        <v>0</v>
      </c>
      <c r="BG243" s="32">
        <v>25000</v>
      </c>
      <c r="BH243" s="32">
        <v>25000</v>
      </c>
      <c r="BI243" s="32">
        <v>0</v>
      </c>
      <c r="BJ243" s="32">
        <v>0</v>
      </c>
      <c r="BK243" s="32">
        <v>0</v>
      </c>
      <c r="BL243" s="32">
        <v>0</v>
      </c>
      <c r="BM243" s="32">
        <v>0</v>
      </c>
      <c r="BN243" s="32">
        <v>0</v>
      </c>
      <c r="BO243" s="32">
        <v>0</v>
      </c>
      <c r="BP243" s="32">
        <v>0</v>
      </c>
      <c r="BQ243" s="32">
        <v>6000</v>
      </c>
      <c r="BR243" s="32">
        <v>6000</v>
      </c>
      <c r="BS243" s="32">
        <v>8880</v>
      </c>
      <c r="BT243" s="32">
        <v>50760</v>
      </c>
      <c r="BU243" s="32">
        <v>62760</v>
      </c>
      <c r="BV243" s="32">
        <v>0</v>
      </c>
      <c r="BW243" s="32">
        <v>0</v>
      </c>
      <c r="BX243" s="32">
        <v>0</v>
      </c>
      <c r="BY243" s="32">
        <v>0</v>
      </c>
      <c r="BZ243" s="32">
        <v>0</v>
      </c>
      <c r="CA243" s="32">
        <v>0</v>
      </c>
      <c r="CB243" s="125" t="s">
        <v>3444</v>
      </c>
      <c r="CC243" s="125" t="s">
        <v>522</v>
      </c>
      <c r="CD243" s="125" t="s">
        <v>617</v>
      </c>
      <c r="CE243" s="125" t="s">
        <v>523</v>
      </c>
      <c r="CF243" s="125" t="s">
        <v>636</v>
      </c>
      <c r="CG243" s="125" t="s">
        <v>875</v>
      </c>
      <c r="CH243" s="125" t="s">
        <v>526</v>
      </c>
      <c r="CI243" s="125" t="s">
        <v>665</v>
      </c>
      <c r="CJ243" s="125" t="s">
        <v>665</v>
      </c>
      <c r="CK243" s="125" t="s">
        <v>212</v>
      </c>
      <c r="CL243" s="125" t="s">
        <v>212</v>
      </c>
      <c r="CM243" s="125"/>
      <c r="CN243" s="125" t="s">
        <v>254</v>
      </c>
      <c r="CO243" s="125" t="s">
        <v>255</v>
      </c>
      <c r="CP243" s="125" t="s">
        <v>3445</v>
      </c>
      <c r="CQ243" s="125" t="s">
        <v>877</v>
      </c>
      <c r="CR243" s="125" t="s">
        <v>3446</v>
      </c>
      <c r="CS243" s="125" t="s">
        <v>879</v>
      </c>
      <c r="CT243" s="125" t="s">
        <v>254</v>
      </c>
      <c r="CU243" s="125" t="s">
        <v>255</v>
      </c>
      <c r="CV243" s="125" t="s">
        <v>3445</v>
      </c>
      <c r="CW243" s="125" t="s">
        <v>877</v>
      </c>
      <c r="CX243" s="125" t="s">
        <v>3446</v>
      </c>
      <c r="CY243" s="125" t="s">
        <v>622</v>
      </c>
      <c r="CZ243" s="125" t="s">
        <v>833</v>
      </c>
      <c r="DA243" s="125" t="s">
        <v>880</v>
      </c>
      <c r="DB243" s="125" t="s">
        <v>796</v>
      </c>
      <c r="DC243" s="125" t="s">
        <v>1687</v>
      </c>
      <c r="DD243" s="125" t="s">
        <v>3447</v>
      </c>
      <c r="DE243" s="125" t="s">
        <v>3448</v>
      </c>
      <c r="DF243" s="126" t="s">
        <v>3449</v>
      </c>
      <c r="DG243" s="27" cm="1">
        <f t="array" ref="DG243">INDEX('elenco partner'!A:M,MATCH(1,(D243='elenco partner'!A:A)*('Partner data'!M243='elenco partner'!E:E),0),4)</f>
        <v>698</v>
      </c>
      <c r="DH243" s="83" t="str">
        <f t="shared" si="95"/>
        <v>Tasso Forfettario 20%</v>
      </c>
      <c r="DI243" s="20">
        <f>COUNTIFS('MY-REPORT-MAIN'!C:C,'Partner data'!DG243,'MY-REPORT-MAIN'!I:I,"Certified")</f>
        <v>0</v>
      </c>
      <c r="DJ243" s="20">
        <f>COUNTIFS(List_Of_chek_list!M:M,"&lt;&gt;26",List_Of_chek_list!B:B,'Partner data'!DG243)</f>
        <v>0</v>
      </c>
      <c r="DK243" s="20">
        <f t="shared" si="96"/>
        <v>0</v>
      </c>
      <c r="DL243" s="19" t="e">
        <f>IF(DH243="Tasso Forfettario 20%",SUMIFS(List_Of_chek_list!#REF!,List_Of_chek_list!B:B,'Partner data'!DG243),"NON PERTINENTE")</f>
        <v>#REF!</v>
      </c>
      <c r="DM243" s="19" t="e">
        <f t="shared" si="97"/>
        <v>#REF!</v>
      </c>
      <c r="DN243" s="110">
        <f>_xlfn.MAXIFS('MY-REPORT-MAIN'!K:K,'MY-REPORT-MAIN'!C:C,DG243)</f>
        <v>0</v>
      </c>
      <c r="DO243" s="112" t="str">
        <f>IF(_xlfn.MAXIFS('MY-REPORT-MAIN'!M:M,'MY-REPORT-MAIN'!C:C,DG243)=0,"Nessun rendiconto  Convalidato",_xlfn.MAXIFS('MY-REPORT-MAIN'!M:M,'MY-REPORT-MAIN'!C:C,DG243))</f>
        <v>Nessun rendiconto  Convalidato</v>
      </c>
      <c r="DP243" s="113" t="str" cm="1">
        <f t="array" ref="DP243">IFERROR(INDEX('MY-REPORT-MAIN'!A:Z,MATCH(1,(DO243='MY-REPORT-MAIN'!M:M)*('Partner data'!DG243='MY-REPORT-MAIN'!C:C),0),1),"NON è stato convalidato ancora nessun rendiconto")</f>
        <v>NON è stato convalidato ancora nessun rendiconto</v>
      </c>
      <c r="DQ243" s="111" t="str">
        <f>IFERROR(INDEX('MY-REPORT-MAIN'!A:Z,MATCH('Partner data'!DP243,'MY-REPORT-MAIN'!A:A,0),21),"Nessun Rendiconto ancora convalidato")</f>
        <v>Nessun Rendiconto ancora convalidato</v>
      </c>
      <c r="DR243" s="110">
        <f>INDEX('Interreg VI-A Italy-Slovenia_pr'!A:E,MATCH('Partner data'!C243,'Interreg VI-A Italy-Slovenia_pr'!A:A,0),3)</f>
        <v>45402</v>
      </c>
      <c r="DS243" s="118">
        <f t="shared" si="76"/>
        <v>6000</v>
      </c>
      <c r="DT243" s="118">
        <f t="shared" si="77"/>
        <v>12000</v>
      </c>
      <c r="DU243" s="118">
        <f t="shared" si="78"/>
        <v>20880</v>
      </c>
      <c r="DV243" s="118">
        <f t="shared" si="79"/>
        <v>71640</v>
      </c>
      <c r="DW243" s="118">
        <f t="shared" si="80"/>
        <v>134400</v>
      </c>
      <c r="DX243" s="118">
        <f t="shared" si="81"/>
        <v>134400</v>
      </c>
      <c r="DY243" s="118">
        <f t="shared" si="82"/>
        <v>134400</v>
      </c>
      <c r="DZ243" s="118">
        <f t="shared" si="83"/>
        <v>134400</v>
      </c>
      <c r="EA243" s="118">
        <f t="shared" si="84"/>
        <v>134400</v>
      </c>
      <c r="EB243" s="118">
        <f t="shared" si="85"/>
        <v>134400</v>
      </c>
    </row>
    <row r="244" spans="1:132" ht="45" x14ac:dyDescent="0.25">
      <c r="A244" s="121">
        <v>6</v>
      </c>
      <c r="B244" s="122" t="s">
        <v>2688</v>
      </c>
      <c r="C244" s="123" t="s">
        <v>3450</v>
      </c>
      <c r="D244" s="123" t="s">
        <v>3451</v>
      </c>
      <c r="E244" s="123" t="s">
        <v>3452</v>
      </c>
      <c r="F244" s="123" t="s">
        <v>490</v>
      </c>
      <c r="G244" s="123" t="s">
        <v>491</v>
      </c>
      <c r="H244" s="123" t="s">
        <v>766</v>
      </c>
      <c r="I244" s="123" t="s">
        <v>767</v>
      </c>
      <c r="J244" s="124" t="s">
        <v>494</v>
      </c>
      <c r="K244" s="124" t="s">
        <v>495</v>
      </c>
      <c r="L244" s="124" t="s">
        <v>496</v>
      </c>
      <c r="M244" s="124" t="s">
        <v>3453</v>
      </c>
      <c r="N244" s="124" t="s">
        <v>3454</v>
      </c>
      <c r="O244" s="124" t="s">
        <v>2285</v>
      </c>
      <c r="P244" s="124" t="s">
        <v>257</v>
      </c>
      <c r="Q244" s="124" t="s">
        <v>556</v>
      </c>
      <c r="R244" s="124" t="s">
        <v>269</v>
      </c>
      <c r="S244" s="32">
        <v>209542.39999999999</v>
      </c>
      <c r="T244" s="32">
        <v>80</v>
      </c>
      <c r="U244" s="32">
        <v>19.82</v>
      </c>
      <c r="V244" s="32">
        <v>0</v>
      </c>
      <c r="W244" s="32">
        <v>0</v>
      </c>
      <c r="X244" s="32">
        <v>0</v>
      </c>
      <c r="Y244" s="32">
        <v>0</v>
      </c>
      <c r="Z244" s="32">
        <v>0</v>
      </c>
      <c r="AA244" s="32">
        <v>0</v>
      </c>
      <c r="AB244" s="32">
        <v>0</v>
      </c>
      <c r="AC244" s="32">
        <v>0</v>
      </c>
      <c r="AD244" s="32">
        <v>0</v>
      </c>
      <c r="AE244" s="32">
        <v>0</v>
      </c>
      <c r="AF244" s="32">
        <v>0</v>
      </c>
      <c r="AG244" s="32">
        <v>0</v>
      </c>
      <c r="AH244" s="32">
        <v>0</v>
      </c>
      <c r="AI244" s="32">
        <v>0</v>
      </c>
      <c r="AJ244" s="32">
        <v>0</v>
      </c>
      <c r="AK244" s="32">
        <v>0</v>
      </c>
      <c r="AL244" s="32">
        <v>0</v>
      </c>
      <c r="AM244" s="32">
        <v>0</v>
      </c>
      <c r="AN244" s="32">
        <v>0</v>
      </c>
      <c r="AO244" s="32">
        <v>0</v>
      </c>
      <c r="AP244" s="32">
        <v>52385.599999999999</v>
      </c>
      <c r="AQ244" s="32">
        <v>52385.599999999999</v>
      </c>
      <c r="AR244" s="32">
        <v>261928</v>
      </c>
      <c r="AS244" s="32">
        <v>19.82</v>
      </c>
      <c r="AT244" s="32">
        <v>151200</v>
      </c>
      <c r="AU244" s="32">
        <v>0</v>
      </c>
      <c r="AV244" s="32">
        <v>151200</v>
      </c>
      <c r="AW244" s="32">
        <v>0</v>
      </c>
      <c r="AX244" s="32">
        <v>22680</v>
      </c>
      <c r="AY244" s="32">
        <v>22680</v>
      </c>
      <c r="AZ244" s="32">
        <v>6048</v>
      </c>
      <c r="BA244" s="32">
        <v>6048</v>
      </c>
      <c r="BB244" s="32">
        <v>0</v>
      </c>
      <c r="BC244" s="32">
        <v>0</v>
      </c>
      <c r="BD244" s="32">
        <v>43000</v>
      </c>
      <c r="BE244" s="32">
        <v>43000</v>
      </c>
      <c r="BF244" s="32">
        <v>0</v>
      </c>
      <c r="BG244" s="32">
        <v>30000</v>
      </c>
      <c r="BH244" s="32">
        <v>30000</v>
      </c>
      <c r="BI244" s="32">
        <v>0</v>
      </c>
      <c r="BJ244" s="32">
        <v>0</v>
      </c>
      <c r="BK244" s="32">
        <v>0</v>
      </c>
      <c r="BL244" s="32">
        <v>0</v>
      </c>
      <c r="BM244" s="32">
        <v>0</v>
      </c>
      <c r="BN244" s="32">
        <v>0</v>
      </c>
      <c r="BO244" s="32">
        <v>9000</v>
      </c>
      <c r="BP244" s="32">
        <v>9000</v>
      </c>
      <c r="BQ244" s="32">
        <v>72985</v>
      </c>
      <c r="BR244" s="32">
        <v>52485</v>
      </c>
      <c r="BS244" s="32">
        <v>52485</v>
      </c>
      <c r="BT244" s="32">
        <v>40724</v>
      </c>
      <c r="BU244" s="32">
        <v>34249</v>
      </c>
      <c r="BV244" s="32">
        <v>0</v>
      </c>
      <c r="BW244" s="32">
        <v>0</v>
      </c>
      <c r="BX244" s="32">
        <v>0</v>
      </c>
      <c r="BY244" s="32">
        <v>0</v>
      </c>
      <c r="BZ244" s="32">
        <v>0</v>
      </c>
      <c r="CA244" s="32">
        <v>0</v>
      </c>
      <c r="CB244" s="125" t="s">
        <v>521</v>
      </c>
      <c r="CC244" s="125" t="s">
        <v>887</v>
      </c>
      <c r="CD244" s="125"/>
      <c r="CE244" s="125" t="s">
        <v>501</v>
      </c>
      <c r="CF244" s="125" t="s">
        <v>2286</v>
      </c>
      <c r="CG244" s="125" t="s">
        <v>2287</v>
      </c>
      <c r="CH244" s="125" t="s">
        <v>526</v>
      </c>
      <c r="CI244" s="125" t="s">
        <v>3455</v>
      </c>
      <c r="CJ244" s="125" t="s">
        <v>3456</v>
      </c>
      <c r="CK244" s="125" t="s">
        <v>3457</v>
      </c>
      <c r="CL244" s="125" t="s">
        <v>212</v>
      </c>
      <c r="CM244" s="125"/>
      <c r="CN244" s="125" t="s">
        <v>257</v>
      </c>
      <c r="CO244" s="125" t="s">
        <v>269</v>
      </c>
      <c r="CP244" s="125" t="s">
        <v>3458</v>
      </c>
      <c r="CQ244" s="125" t="s">
        <v>2289</v>
      </c>
      <c r="CR244" s="125" t="s">
        <v>2290</v>
      </c>
      <c r="CS244" s="125" t="s">
        <v>3459</v>
      </c>
      <c r="CT244" s="125" t="s">
        <v>257</v>
      </c>
      <c r="CU244" s="125" t="s">
        <v>269</v>
      </c>
      <c r="CV244" s="125" t="s">
        <v>3460</v>
      </c>
      <c r="CW244" s="125" t="s">
        <v>2289</v>
      </c>
      <c r="CX244" s="125" t="s">
        <v>2290</v>
      </c>
      <c r="CY244" s="125" t="s">
        <v>740</v>
      </c>
      <c r="CZ244" s="125" t="s">
        <v>2292</v>
      </c>
      <c r="DA244" s="125" t="s">
        <v>2293</v>
      </c>
      <c r="DB244" s="125" t="s">
        <v>745</v>
      </c>
      <c r="DC244" s="125" t="s">
        <v>3461</v>
      </c>
      <c r="DD244" s="125" t="s">
        <v>3462</v>
      </c>
      <c r="DE244" s="125" t="s">
        <v>3463</v>
      </c>
      <c r="DF244" s="126" t="s">
        <v>3464</v>
      </c>
      <c r="DG244" s="27" cm="1">
        <f t="array" ref="DG244">INDEX('elenco partner'!A:M,MATCH(1,(D244='elenco partner'!A:A)*('Partner data'!M244='elenco partner'!E:E),0),4)</f>
        <v>651</v>
      </c>
      <c r="DH244" s="83" t="str">
        <f t="shared" si="95"/>
        <v>COSTO REALE</v>
      </c>
      <c r="DI244" s="20">
        <f>COUNTIFS('MY-REPORT-MAIN'!C:C,'Partner data'!DG244,'MY-REPORT-MAIN'!I:I,"Certified")</f>
        <v>0</v>
      </c>
      <c r="DJ244" s="20">
        <f>COUNTIFS(List_Of_chek_list!M:M,"&lt;&gt;26",List_Of_chek_list!B:B,'Partner data'!DG244)</f>
        <v>0</v>
      </c>
      <c r="DK244" s="20">
        <f t="shared" si="96"/>
        <v>0</v>
      </c>
      <c r="DL244" s="19" t="str">
        <f>IF(DH244="Tasso Forfettario 20%",SUMIFS(List_Of_chek_list!#REF!,List_Of_chek_list!B:B,'Partner data'!DG244),"NON PERTINENTE")</f>
        <v>NON PERTINENTE</v>
      </c>
      <c r="DM244" s="19" t="str">
        <f t="shared" si="97"/>
        <v>NON PERTINENTE</v>
      </c>
      <c r="DN244" s="110">
        <f>_xlfn.MAXIFS('MY-REPORT-MAIN'!K:K,'MY-REPORT-MAIN'!C:C,DG244)</f>
        <v>0</v>
      </c>
      <c r="DO244" s="112" t="str">
        <f>IF(_xlfn.MAXIFS('MY-REPORT-MAIN'!M:M,'MY-REPORT-MAIN'!C:C,DG244)=0,"Nessun rendiconto  Convalidato",_xlfn.MAXIFS('MY-REPORT-MAIN'!M:M,'MY-REPORT-MAIN'!C:C,DG244))</f>
        <v>Nessun rendiconto  Convalidato</v>
      </c>
      <c r="DP244" s="113" t="str" cm="1">
        <f t="array" ref="DP244">IFERROR(INDEX('MY-REPORT-MAIN'!A:Z,MATCH(1,(DO244='MY-REPORT-MAIN'!M:M)*('Partner data'!DG244='MY-REPORT-MAIN'!C:C),0),1),"NON è stato convalidato ancora nessun rendiconto")</f>
        <v>NON è stato convalidato ancora nessun rendiconto</v>
      </c>
      <c r="DQ244" s="111" t="str">
        <f>IFERROR(INDEX('MY-REPORT-MAIN'!A:Z,MATCH('Partner data'!DP244,'MY-REPORT-MAIN'!A:A,0),21),"Nessun Rendiconto ancora convalidato")</f>
        <v>Nessun Rendiconto ancora convalidato</v>
      </c>
      <c r="DR244" s="110">
        <f>INDEX('Interreg VI-A Italy-Slovenia_pr'!A:E,MATCH('Partner data'!C244,'Interreg VI-A Italy-Slovenia_pr'!A:A,0),3)</f>
        <v>45404</v>
      </c>
      <c r="DS244" s="118">
        <f t="shared" si="76"/>
        <v>81985</v>
      </c>
      <c r="DT244" s="118">
        <f t="shared" si="77"/>
        <v>134470</v>
      </c>
      <c r="DU244" s="118">
        <f t="shared" si="78"/>
        <v>186955</v>
      </c>
      <c r="DV244" s="118">
        <f t="shared" si="79"/>
        <v>227679</v>
      </c>
      <c r="DW244" s="118">
        <f t="shared" si="80"/>
        <v>261928</v>
      </c>
      <c r="DX244" s="118">
        <f t="shared" si="81"/>
        <v>261928</v>
      </c>
      <c r="DY244" s="118">
        <f t="shared" si="82"/>
        <v>261928</v>
      </c>
      <c r="DZ244" s="118">
        <f t="shared" si="83"/>
        <v>261928</v>
      </c>
      <c r="EA244" s="118">
        <f t="shared" si="84"/>
        <v>261928</v>
      </c>
      <c r="EB244" s="118">
        <f t="shared" si="85"/>
        <v>261928</v>
      </c>
    </row>
    <row r="245" spans="1:132" ht="45" x14ac:dyDescent="0.25">
      <c r="A245" s="121">
        <v>6</v>
      </c>
      <c r="B245" s="122" t="s">
        <v>2688</v>
      </c>
      <c r="C245" s="123" t="s">
        <v>3450</v>
      </c>
      <c r="D245" s="123" t="s">
        <v>3451</v>
      </c>
      <c r="E245" s="123" t="s">
        <v>3452</v>
      </c>
      <c r="F245" s="123" t="s">
        <v>490</v>
      </c>
      <c r="G245" s="123" t="s">
        <v>491</v>
      </c>
      <c r="H245" s="123" t="s">
        <v>766</v>
      </c>
      <c r="I245" s="123" t="s">
        <v>767</v>
      </c>
      <c r="J245" s="124" t="s">
        <v>518</v>
      </c>
      <c r="K245" s="124" t="s">
        <v>495</v>
      </c>
      <c r="L245" s="124" t="s">
        <v>519</v>
      </c>
      <c r="M245" s="124" t="s">
        <v>6142</v>
      </c>
      <c r="N245" s="124" t="s">
        <v>3465</v>
      </c>
      <c r="O245" s="124" t="s">
        <v>3466</v>
      </c>
      <c r="P245" s="124" t="s">
        <v>254</v>
      </c>
      <c r="Q245" s="124" t="s">
        <v>499</v>
      </c>
      <c r="R245" s="124" t="s">
        <v>266</v>
      </c>
      <c r="S245" s="32">
        <v>155988</v>
      </c>
      <c r="T245" s="32">
        <v>80</v>
      </c>
      <c r="U245" s="32">
        <v>14.75</v>
      </c>
      <c r="V245" s="32">
        <v>0</v>
      </c>
      <c r="W245" s="32">
        <v>0</v>
      </c>
      <c r="X245" s="32">
        <v>0</v>
      </c>
      <c r="Y245" s="32">
        <v>0</v>
      </c>
      <c r="Z245" s="32">
        <v>0</v>
      </c>
      <c r="AA245" s="32">
        <v>0</v>
      </c>
      <c r="AB245" s="32">
        <v>0</v>
      </c>
      <c r="AC245" s="32">
        <v>0</v>
      </c>
      <c r="AD245" s="32">
        <v>0</v>
      </c>
      <c r="AE245" s="32">
        <v>0</v>
      </c>
      <c r="AF245" s="32">
        <v>0</v>
      </c>
      <c r="AG245" s="32">
        <v>0</v>
      </c>
      <c r="AH245" s="32">
        <v>0</v>
      </c>
      <c r="AI245" s="32">
        <v>0</v>
      </c>
      <c r="AJ245" s="32">
        <v>0</v>
      </c>
      <c r="AK245" s="32">
        <v>0</v>
      </c>
      <c r="AL245" s="32">
        <v>0</v>
      </c>
      <c r="AM245" s="32">
        <v>0</v>
      </c>
      <c r="AN245" s="32">
        <v>0</v>
      </c>
      <c r="AO245" s="32">
        <v>38997</v>
      </c>
      <c r="AP245" s="32">
        <v>0</v>
      </c>
      <c r="AQ245" s="32">
        <v>38997</v>
      </c>
      <c r="AR245" s="32">
        <v>194985</v>
      </c>
      <c r="AS245" s="32">
        <v>14.75</v>
      </c>
      <c r="AT245" s="32">
        <v>31500</v>
      </c>
      <c r="AU245" s="32">
        <v>31500</v>
      </c>
      <c r="AV245" s="32">
        <v>0</v>
      </c>
      <c r="AW245" s="32">
        <v>0</v>
      </c>
      <c r="AX245" s="32">
        <v>4725</v>
      </c>
      <c r="AY245" s="32">
        <v>4725</v>
      </c>
      <c r="AZ245" s="32">
        <v>1260</v>
      </c>
      <c r="BA245" s="32">
        <v>1260</v>
      </c>
      <c r="BB245" s="32">
        <v>0</v>
      </c>
      <c r="BC245" s="32">
        <v>0</v>
      </c>
      <c r="BD245" s="32">
        <v>100500</v>
      </c>
      <c r="BE245" s="32">
        <v>100500</v>
      </c>
      <c r="BF245" s="32">
        <v>0</v>
      </c>
      <c r="BG245" s="32">
        <v>57000</v>
      </c>
      <c r="BH245" s="32">
        <v>57000</v>
      </c>
      <c r="BI245" s="32">
        <v>0</v>
      </c>
      <c r="BJ245" s="32">
        <v>0</v>
      </c>
      <c r="BK245" s="32">
        <v>0</v>
      </c>
      <c r="BL245" s="32">
        <v>0</v>
      </c>
      <c r="BM245" s="32">
        <v>0</v>
      </c>
      <c r="BN245" s="32">
        <v>0</v>
      </c>
      <c r="BO245" s="32">
        <v>0</v>
      </c>
      <c r="BP245" s="32">
        <v>0</v>
      </c>
      <c r="BQ245" s="32">
        <v>17951</v>
      </c>
      <c r="BR245" s="32">
        <v>89755</v>
      </c>
      <c r="BS245" s="32">
        <v>69947</v>
      </c>
      <c r="BT245" s="32">
        <v>8666</v>
      </c>
      <c r="BU245" s="32">
        <v>8666</v>
      </c>
      <c r="BV245" s="32">
        <v>0</v>
      </c>
      <c r="BW245" s="32">
        <v>0</v>
      </c>
      <c r="BX245" s="32">
        <v>0</v>
      </c>
      <c r="BY245" s="32">
        <v>0</v>
      </c>
      <c r="BZ245" s="32">
        <v>0</v>
      </c>
      <c r="CA245" s="32">
        <v>0</v>
      </c>
      <c r="CB245" s="125" t="s">
        <v>665</v>
      </c>
      <c r="CC245" s="125" t="s">
        <v>1964</v>
      </c>
      <c r="CD245" s="125"/>
      <c r="CE245" s="125" t="s">
        <v>684</v>
      </c>
      <c r="CF245" s="125" t="s">
        <v>636</v>
      </c>
      <c r="CG245" s="125" t="s">
        <v>1965</v>
      </c>
      <c r="CH245" s="125" t="s">
        <v>526</v>
      </c>
      <c r="CI245" s="125" t="s">
        <v>1965</v>
      </c>
      <c r="CJ245" s="125" t="s">
        <v>683</v>
      </c>
      <c r="CK245" s="125" t="s">
        <v>2685</v>
      </c>
      <c r="CL245" s="125" t="s">
        <v>212</v>
      </c>
      <c r="CM245" s="125"/>
      <c r="CN245" s="125" t="s">
        <v>254</v>
      </c>
      <c r="CO245" s="125" t="s">
        <v>266</v>
      </c>
      <c r="CP245" s="125" t="s">
        <v>1966</v>
      </c>
      <c r="CQ245" s="125" t="s">
        <v>1690</v>
      </c>
      <c r="CR245" s="125" t="s">
        <v>1691</v>
      </c>
      <c r="CS245" s="125" t="s">
        <v>2686</v>
      </c>
      <c r="CT245" s="125" t="s">
        <v>254</v>
      </c>
      <c r="CU245" s="125" t="s">
        <v>266</v>
      </c>
      <c r="CV245" s="125" t="s">
        <v>1967</v>
      </c>
      <c r="CW245" s="125" t="s">
        <v>1690</v>
      </c>
      <c r="CX245" s="125" t="s">
        <v>1691</v>
      </c>
      <c r="CY245" s="125" t="s">
        <v>531</v>
      </c>
      <c r="CZ245" s="125" t="s">
        <v>511</v>
      </c>
      <c r="DA245" s="125" t="s">
        <v>1968</v>
      </c>
      <c r="DB245" s="125" t="s">
        <v>510</v>
      </c>
      <c r="DC245" s="125" t="s">
        <v>3467</v>
      </c>
      <c r="DD245" s="125" t="s">
        <v>3026</v>
      </c>
      <c r="DE245" s="125" t="s">
        <v>3468</v>
      </c>
      <c r="DF245" s="126" t="s">
        <v>3469</v>
      </c>
      <c r="DG245" s="27" cm="1">
        <f t="array" ref="DG245">INDEX('elenco partner'!A:M,MATCH(1,(D245='elenco partner'!A:A)*('Partner data'!M245='elenco partner'!E:E),0),4)</f>
        <v>645</v>
      </c>
      <c r="DH245" s="83" t="str">
        <f t="shared" si="95"/>
        <v>Tasso Forfettario 20%</v>
      </c>
      <c r="DI245" s="20">
        <f>COUNTIFS('MY-REPORT-MAIN'!C:C,'Partner data'!DG245,'MY-REPORT-MAIN'!I:I,"Certified")</f>
        <v>0</v>
      </c>
      <c r="DJ245" s="20">
        <f>COUNTIFS(List_Of_chek_list!M:M,"&lt;&gt;26",List_Of_chek_list!B:B,'Partner data'!DG245)</f>
        <v>0</v>
      </c>
      <c r="DK245" s="20">
        <f t="shared" si="96"/>
        <v>0</v>
      </c>
      <c r="DL245" s="19" t="e">
        <f>IF(DH245="Tasso Forfettario 20%",SUMIFS(List_Of_chek_list!#REF!,List_Of_chek_list!B:B,'Partner data'!DG245),"NON PERTINENTE")</f>
        <v>#REF!</v>
      </c>
      <c r="DM245" s="19" t="e">
        <f t="shared" si="97"/>
        <v>#REF!</v>
      </c>
      <c r="DN245" s="110">
        <f>_xlfn.MAXIFS('MY-REPORT-MAIN'!K:K,'MY-REPORT-MAIN'!C:C,DG245)</f>
        <v>0</v>
      </c>
      <c r="DO245" s="112" t="str">
        <f>IF(_xlfn.MAXIFS('MY-REPORT-MAIN'!M:M,'MY-REPORT-MAIN'!C:C,DG245)=0,"Nessun rendiconto  Convalidato",_xlfn.MAXIFS('MY-REPORT-MAIN'!M:M,'MY-REPORT-MAIN'!C:C,DG245))</f>
        <v>Nessun rendiconto  Convalidato</v>
      </c>
      <c r="DP245" s="113" t="str" cm="1">
        <f t="array" ref="DP245">IFERROR(INDEX('MY-REPORT-MAIN'!A:Z,MATCH(1,(DO245='MY-REPORT-MAIN'!M:M)*('Partner data'!DG245='MY-REPORT-MAIN'!C:C),0),1),"NON è stato convalidato ancora nessun rendiconto")</f>
        <v>NON è stato convalidato ancora nessun rendiconto</v>
      </c>
      <c r="DQ245" s="111" t="str">
        <f>IFERROR(INDEX('MY-REPORT-MAIN'!A:Z,MATCH('Partner data'!DP245,'MY-REPORT-MAIN'!A:A,0),21),"Nessun Rendiconto ancora convalidato")</f>
        <v>Nessun Rendiconto ancora convalidato</v>
      </c>
      <c r="DR245" s="110">
        <f>INDEX('Interreg VI-A Italy-Slovenia_pr'!A:E,MATCH('Partner data'!C245,'Interreg VI-A Italy-Slovenia_pr'!A:A,0),3)</f>
        <v>45404</v>
      </c>
      <c r="DS245" s="118">
        <f t="shared" si="76"/>
        <v>17951</v>
      </c>
      <c r="DT245" s="118">
        <f t="shared" si="77"/>
        <v>107706</v>
      </c>
      <c r="DU245" s="118">
        <f t="shared" si="78"/>
        <v>177653</v>
      </c>
      <c r="DV245" s="118">
        <f t="shared" si="79"/>
        <v>186319</v>
      </c>
      <c r="DW245" s="118">
        <f t="shared" si="80"/>
        <v>194985</v>
      </c>
      <c r="DX245" s="118">
        <f t="shared" si="81"/>
        <v>194985</v>
      </c>
      <c r="DY245" s="118">
        <f t="shared" si="82"/>
        <v>194985</v>
      </c>
      <c r="DZ245" s="118">
        <f t="shared" si="83"/>
        <v>194985</v>
      </c>
      <c r="EA245" s="118">
        <f t="shared" si="84"/>
        <v>194985</v>
      </c>
      <c r="EB245" s="118">
        <f t="shared" si="85"/>
        <v>194985</v>
      </c>
    </row>
    <row r="246" spans="1:132" ht="45" x14ac:dyDescent="0.25">
      <c r="A246" s="121">
        <v>6</v>
      </c>
      <c r="B246" s="122" t="s">
        <v>2688</v>
      </c>
      <c r="C246" s="123" t="s">
        <v>3450</v>
      </c>
      <c r="D246" s="123" t="s">
        <v>3451</v>
      </c>
      <c r="E246" s="123" t="s">
        <v>3452</v>
      </c>
      <c r="F246" s="123" t="s">
        <v>490</v>
      </c>
      <c r="G246" s="123" t="s">
        <v>491</v>
      </c>
      <c r="H246" s="123" t="s">
        <v>766</v>
      </c>
      <c r="I246" s="123" t="s">
        <v>767</v>
      </c>
      <c r="J246" s="124" t="s">
        <v>538</v>
      </c>
      <c r="K246" s="124" t="s">
        <v>495</v>
      </c>
      <c r="L246" s="124" t="s">
        <v>519</v>
      </c>
      <c r="M246" s="124" t="s">
        <v>22</v>
      </c>
      <c r="N246" s="124" t="s">
        <v>2458</v>
      </c>
      <c r="O246" s="124" t="s">
        <v>3077</v>
      </c>
      <c r="P246" s="124" t="s">
        <v>257</v>
      </c>
      <c r="Q246" s="124" t="s">
        <v>556</v>
      </c>
      <c r="R246" s="124" t="s">
        <v>258</v>
      </c>
      <c r="S246" s="32">
        <v>158396</v>
      </c>
      <c r="T246" s="32">
        <v>80</v>
      </c>
      <c r="U246" s="32">
        <v>14.98</v>
      </c>
      <c r="V246" s="32">
        <v>0</v>
      </c>
      <c r="W246" s="32">
        <v>0</v>
      </c>
      <c r="X246" s="32">
        <v>0</v>
      </c>
      <c r="Y246" s="32">
        <v>0</v>
      </c>
      <c r="Z246" s="32">
        <v>0</v>
      </c>
      <c r="AA246" s="32">
        <v>0</v>
      </c>
      <c r="AB246" s="32">
        <v>0</v>
      </c>
      <c r="AC246" s="32">
        <v>0</v>
      </c>
      <c r="AD246" s="32">
        <v>0</v>
      </c>
      <c r="AE246" s="32">
        <v>0</v>
      </c>
      <c r="AF246" s="32">
        <v>0</v>
      </c>
      <c r="AG246" s="32">
        <v>0</v>
      </c>
      <c r="AH246" s="32">
        <v>0</v>
      </c>
      <c r="AI246" s="32">
        <v>0</v>
      </c>
      <c r="AJ246" s="32">
        <v>0</v>
      </c>
      <c r="AK246" s="32">
        <v>0</v>
      </c>
      <c r="AL246" s="32">
        <v>0</v>
      </c>
      <c r="AM246" s="32">
        <v>0</v>
      </c>
      <c r="AN246" s="32">
        <v>39599</v>
      </c>
      <c r="AO246" s="32">
        <v>0</v>
      </c>
      <c r="AP246" s="32">
        <v>0</v>
      </c>
      <c r="AQ246" s="32">
        <v>39599</v>
      </c>
      <c r="AR246" s="32">
        <v>197995</v>
      </c>
      <c r="AS246" s="32">
        <v>14.98</v>
      </c>
      <c r="AT246" s="32">
        <v>141425</v>
      </c>
      <c r="AU246" s="32">
        <v>0</v>
      </c>
      <c r="AV246" s="32">
        <v>141425</v>
      </c>
      <c r="AW246" s="32">
        <v>0</v>
      </c>
      <c r="AX246" s="32">
        <v>0</v>
      </c>
      <c r="AY246" s="32">
        <v>0</v>
      </c>
      <c r="AZ246" s="32">
        <v>0</v>
      </c>
      <c r="BA246" s="32">
        <v>0</v>
      </c>
      <c r="BB246" s="32">
        <v>0</v>
      </c>
      <c r="BC246" s="32">
        <v>0</v>
      </c>
      <c r="BD246" s="32">
        <v>0</v>
      </c>
      <c r="BE246" s="32">
        <v>0</v>
      </c>
      <c r="BF246" s="32">
        <v>0</v>
      </c>
      <c r="BG246" s="32">
        <v>0</v>
      </c>
      <c r="BH246" s="32">
        <v>0</v>
      </c>
      <c r="BI246" s="32">
        <v>0</v>
      </c>
      <c r="BJ246" s="32">
        <v>0</v>
      </c>
      <c r="BK246" s="32">
        <v>0</v>
      </c>
      <c r="BL246" s="32">
        <v>0</v>
      </c>
      <c r="BM246" s="32">
        <v>56570</v>
      </c>
      <c r="BN246" s="32">
        <v>0</v>
      </c>
      <c r="BO246" s="32">
        <v>0</v>
      </c>
      <c r="BP246" s="32">
        <v>0</v>
      </c>
      <c r="BQ246" s="32">
        <v>19799.5</v>
      </c>
      <c r="BR246" s="32">
        <v>52805.27</v>
      </c>
      <c r="BS246" s="32">
        <v>52805.27</v>
      </c>
      <c r="BT246" s="32">
        <v>52785.46</v>
      </c>
      <c r="BU246" s="32">
        <v>19799.5</v>
      </c>
      <c r="BV246" s="32">
        <v>0</v>
      </c>
      <c r="BW246" s="32">
        <v>0</v>
      </c>
      <c r="BX246" s="32">
        <v>0</v>
      </c>
      <c r="BY246" s="32">
        <v>0</v>
      </c>
      <c r="BZ246" s="32">
        <v>0</v>
      </c>
      <c r="CA246" s="32">
        <v>0</v>
      </c>
      <c r="CB246" s="125" t="s">
        <v>3470</v>
      </c>
      <c r="CC246" s="125" t="s">
        <v>624</v>
      </c>
      <c r="CD246" s="125"/>
      <c r="CE246" s="125" t="s">
        <v>684</v>
      </c>
      <c r="CF246" s="125" t="s">
        <v>734</v>
      </c>
      <c r="CG246" s="125" t="s">
        <v>2461</v>
      </c>
      <c r="CH246" s="125" t="s">
        <v>526</v>
      </c>
      <c r="CI246" s="125" t="s">
        <v>3471</v>
      </c>
      <c r="CJ246" s="125" t="s">
        <v>3456</v>
      </c>
      <c r="CK246" s="125" t="s">
        <v>3079</v>
      </c>
      <c r="CL246" s="125" t="s">
        <v>212</v>
      </c>
      <c r="CM246" s="125"/>
      <c r="CN246" s="125" t="s">
        <v>257</v>
      </c>
      <c r="CO246" s="125" t="s">
        <v>258</v>
      </c>
      <c r="CP246" s="125" t="s">
        <v>3472</v>
      </c>
      <c r="CQ246" s="125" t="s">
        <v>620</v>
      </c>
      <c r="CR246" s="125" t="s">
        <v>621</v>
      </c>
      <c r="CS246" s="125" t="s">
        <v>3473</v>
      </c>
      <c r="CT246" s="125" t="s">
        <v>257</v>
      </c>
      <c r="CU246" s="125" t="s">
        <v>258</v>
      </c>
      <c r="CV246" s="125" t="s">
        <v>3472</v>
      </c>
      <c r="CW246" s="125" t="s">
        <v>620</v>
      </c>
      <c r="CX246" s="125" t="s">
        <v>621</v>
      </c>
      <c r="CY246" s="125" t="s">
        <v>740</v>
      </c>
      <c r="CZ246" s="125" t="s">
        <v>3081</v>
      </c>
      <c r="DA246" s="125" t="s">
        <v>2467</v>
      </c>
      <c r="DB246" s="125" t="s">
        <v>745</v>
      </c>
      <c r="DC246" s="125" t="s">
        <v>2316</v>
      </c>
      <c r="DD246" s="125" t="s">
        <v>3474</v>
      </c>
      <c r="DE246" s="125" t="s">
        <v>3475</v>
      </c>
      <c r="DF246" s="126" t="s">
        <v>3476</v>
      </c>
      <c r="DG246" s="27" cm="1">
        <f t="array" ref="DG246">INDEX('elenco partner'!A:M,MATCH(1,(D246='elenco partner'!A:A)*('Partner data'!M246='elenco partner'!E:E),0),4)</f>
        <v>665</v>
      </c>
      <c r="DH246" s="83" t="str">
        <f t="shared" si="95"/>
        <v>COSTO REALE</v>
      </c>
      <c r="DI246" s="20">
        <f>COUNTIFS('MY-REPORT-MAIN'!C:C,'Partner data'!DG246,'MY-REPORT-MAIN'!I:I,"Certified")</f>
        <v>0</v>
      </c>
      <c r="DJ246" s="20">
        <f>COUNTIFS(List_Of_chek_list!M:M,"&lt;&gt;26",List_Of_chek_list!B:B,'Partner data'!DG246)</f>
        <v>0</v>
      </c>
      <c r="DK246" s="20">
        <f t="shared" si="96"/>
        <v>0</v>
      </c>
      <c r="DL246" s="19" t="str">
        <f>IF(DH246="Tasso Forfettario 20%",SUMIFS(List_Of_chek_list!#REF!,List_Of_chek_list!B:B,'Partner data'!DG246),"NON PERTINENTE")</f>
        <v>NON PERTINENTE</v>
      </c>
      <c r="DM246" s="19" t="str">
        <f t="shared" si="97"/>
        <v>NON PERTINENTE</v>
      </c>
      <c r="DN246" s="110">
        <f>_xlfn.MAXIFS('MY-REPORT-MAIN'!K:K,'MY-REPORT-MAIN'!C:C,DG246)</f>
        <v>0</v>
      </c>
      <c r="DO246" s="112" t="str">
        <f>IF(_xlfn.MAXIFS('MY-REPORT-MAIN'!M:M,'MY-REPORT-MAIN'!C:C,DG246)=0,"Nessun rendiconto  Convalidato",_xlfn.MAXIFS('MY-REPORT-MAIN'!M:M,'MY-REPORT-MAIN'!C:C,DG246))</f>
        <v>Nessun rendiconto  Convalidato</v>
      </c>
      <c r="DP246" s="113" t="str" cm="1">
        <f t="array" ref="DP246">IFERROR(INDEX('MY-REPORT-MAIN'!A:Z,MATCH(1,(DO246='MY-REPORT-MAIN'!M:M)*('Partner data'!DG246='MY-REPORT-MAIN'!C:C),0),1),"NON è stato convalidato ancora nessun rendiconto")</f>
        <v>NON è stato convalidato ancora nessun rendiconto</v>
      </c>
      <c r="DQ246" s="111" t="str">
        <f>IFERROR(INDEX('MY-REPORT-MAIN'!A:Z,MATCH('Partner data'!DP246,'MY-REPORT-MAIN'!A:A,0),21),"Nessun Rendiconto ancora convalidato")</f>
        <v>Nessun Rendiconto ancora convalidato</v>
      </c>
      <c r="DR246" s="110">
        <f>INDEX('Interreg VI-A Italy-Slovenia_pr'!A:E,MATCH('Partner data'!C246,'Interreg VI-A Italy-Slovenia_pr'!A:A,0),3)</f>
        <v>45404</v>
      </c>
      <c r="DS246" s="118">
        <f t="shared" si="76"/>
        <v>19799.5</v>
      </c>
      <c r="DT246" s="118">
        <f t="shared" si="77"/>
        <v>72604.76999999999</v>
      </c>
      <c r="DU246" s="118">
        <f t="shared" si="78"/>
        <v>125410.03999999998</v>
      </c>
      <c r="DV246" s="118">
        <f t="shared" si="79"/>
        <v>178195.49999999997</v>
      </c>
      <c r="DW246" s="118">
        <f t="shared" si="80"/>
        <v>197994.99999999997</v>
      </c>
      <c r="DX246" s="118">
        <f t="shared" si="81"/>
        <v>197994.99999999997</v>
      </c>
      <c r="DY246" s="118">
        <f t="shared" si="82"/>
        <v>197994.99999999997</v>
      </c>
      <c r="DZ246" s="118">
        <f t="shared" si="83"/>
        <v>197994.99999999997</v>
      </c>
      <c r="EA246" s="118">
        <f t="shared" si="84"/>
        <v>197994.99999999997</v>
      </c>
      <c r="EB246" s="118">
        <f t="shared" si="85"/>
        <v>197994.99999999997</v>
      </c>
    </row>
    <row r="247" spans="1:132" ht="45" x14ac:dyDescent="0.25">
      <c r="A247" s="121">
        <v>6</v>
      </c>
      <c r="B247" s="122" t="s">
        <v>2688</v>
      </c>
      <c r="C247" s="123" t="s">
        <v>3450</v>
      </c>
      <c r="D247" s="123" t="s">
        <v>3451</v>
      </c>
      <c r="E247" s="123" t="s">
        <v>3452</v>
      </c>
      <c r="F247" s="123" t="s">
        <v>490</v>
      </c>
      <c r="G247" s="123" t="s">
        <v>491</v>
      </c>
      <c r="H247" s="123" t="s">
        <v>766</v>
      </c>
      <c r="I247" s="123" t="s">
        <v>767</v>
      </c>
      <c r="J247" s="124" t="s">
        <v>554</v>
      </c>
      <c r="K247" s="124" t="s">
        <v>495</v>
      </c>
      <c r="L247" s="124" t="s">
        <v>519</v>
      </c>
      <c r="M247" s="124" t="s">
        <v>21</v>
      </c>
      <c r="N247" s="124" t="s">
        <v>21</v>
      </c>
      <c r="O247" s="124" t="s">
        <v>21</v>
      </c>
      <c r="P247" s="124" t="s">
        <v>254</v>
      </c>
      <c r="Q247" s="124" t="s">
        <v>499</v>
      </c>
      <c r="R247" s="124" t="s">
        <v>255</v>
      </c>
      <c r="S247" s="32">
        <v>183025.92000000001</v>
      </c>
      <c r="T247" s="32">
        <v>80</v>
      </c>
      <c r="U247" s="32">
        <v>17.309999999999999</v>
      </c>
      <c r="V247" s="32">
        <v>0</v>
      </c>
      <c r="W247" s="32">
        <v>0</v>
      </c>
      <c r="X247" s="32">
        <v>0</v>
      </c>
      <c r="Y247" s="32">
        <v>0</v>
      </c>
      <c r="Z247" s="32">
        <v>0</v>
      </c>
      <c r="AA247" s="32">
        <v>0</v>
      </c>
      <c r="AB247" s="32">
        <v>0</v>
      </c>
      <c r="AC247" s="32">
        <v>0</v>
      </c>
      <c r="AD247" s="32">
        <v>0</v>
      </c>
      <c r="AE247" s="32">
        <v>0</v>
      </c>
      <c r="AF247" s="32">
        <v>0</v>
      </c>
      <c r="AG247" s="32">
        <v>0</v>
      </c>
      <c r="AH247" s="32">
        <v>0</v>
      </c>
      <c r="AI247" s="32">
        <v>0</v>
      </c>
      <c r="AJ247" s="32">
        <v>0</v>
      </c>
      <c r="AK247" s="32">
        <v>0</v>
      </c>
      <c r="AL247" s="32">
        <v>0</v>
      </c>
      <c r="AM247" s="32">
        <v>0</v>
      </c>
      <c r="AN247" s="32">
        <v>0</v>
      </c>
      <c r="AO247" s="32">
        <v>45756.480000000003</v>
      </c>
      <c r="AP247" s="32">
        <v>0</v>
      </c>
      <c r="AQ247" s="32">
        <v>45756.480000000003</v>
      </c>
      <c r="AR247" s="32">
        <v>228782.4</v>
      </c>
      <c r="AS247" s="32">
        <v>17.309999999999999</v>
      </c>
      <c r="AT247" s="32">
        <v>36960</v>
      </c>
      <c r="AU247" s="32">
        <v>36960</v>
      </c>
      <c r="AV247" s="32">
        <v>0</v>
      </c>
      <c r="AW247" s="32">
        <v>0</v>
      </c>
      <c r="AX247" s="32">
        <v>5544</v>
      </c>
      <c r="AY247" s="32">
        <v>5544</v>
      </c>
      <c r="AZ247" s="32">
        <v>1478.4</v>
      </c>
      <c r="BA247" s="32">
        <v>1478.4</v>
      </c>
      <c r="BB247" s="32">
        <v>0</v>
      </c>
      <c r="BC247" s="32">
        <v>0</v>
      </c>
      <c r="BD247" s="32">
        <v>154800</v>
      </c>
      <c r="BE247" s="32">
        <v>154800</v>
      </c>
      <c r="BF247" s="32">
        <v>0</v>
      </c>
      <c r="BG247" s="32">
        <v>30000</v>
      </c>
      <c r="BH247" s="32">
        <v>30000</v>
      </c>
      <c r="BI247" s="32">
        <v>0</v>
      </c>
      <c r="BJ247" s="32">
        <v>0</v>
      </c>
      <c r="BK247" s="32">
        <v>0</v>
      </c>
      <c r="BL247" s="32">
        <v>0</v>
      </c>
      <c r="BM247" s="32">
        <v>0</v>
      </c>
      <c r="BN247" s="32">
        <v>0</v>
      </c>
      <c r="BO247" s="32">
        <v>0</v>
      </c>
      <c r="BP247" s="32">
        <v>0</v>
      </c>
      <c r="BQ247" s="32">
        <v>54224.4</v>
      </c>
      <c r="BR247" s="32">
        <v>44815.6</v>
      </c>
      <c r="BS247" s="32">
        <v>82698.399999999994</v>
      </c>
      <c r="BT247" s="32">
        <v>16341.6</v>
      </c>
      <c r="BU247" s="32">
        <v>30702.400000000001</v>
      </c>
      <c r="BV247" s="32">
        <v>0</v>
      </c>
      <c r="BW247" s="32">
        <v>0</v>
      </c>
      <c r="BX247" s="32">
        <v>0</v>
      </c>
      <c r="BY247" s="32">
        <v>0</v>
      </c>
      <c r="BZ247" s="32">
        <v>0</v>
      </c>
      <c r="CA247" s="32">
        <v>0</v>
      </c>
      <c r="CB247" s="125" t="s">
        <v>2272</v>
      </c>
      <c r="CC247" s="125" t="s">
        <v>500</v>
      </c>
      <c r="CD247" s="125"/>
      <c r="CE247" s="125" t="s">
        <v>684</v>
      </c>
      <c r="CF247" s="125" t="s">
        <v>2273</v>
      </c>
      <c r="CG247" s="125" t="s">
        <v>2274</v>
      </c>
      <c r="CH247" s="125" t="s">
        <v>526</v>
      </c>
      <c r="CI247" s="125" t="s">
        <v>3477</v>
      </c>
      <c r="CJ247" s="125" t="s">
        <v>3478</v>
      </c>
      <c r="CK247" s="125" t="s">
        <v>2390</v>
      </c>
      <c r="CL247" s="125" t="s">
        <v>212</v>
      </c>
      <c r="CM247" s="125"/>
      <c r="CN247" s="125" t="s">
        <v>254</v>
      </c>
      <c r="CO247" s="125" t="s">
        <v>255</v>
      </c>
      <c r="CP247" s="125" t="s">
        <v>3479</v>
      </c>
      <c r="CQ247" s="125" t="s">
        <v>2276</v>
      </c>
      <c r="CR247" s="125" t="s">
        <v>529</v>
      </c>
      <c r="CS247" s="125" t="s">
        <v>3480</v>
      </c>
      <c r="CT247" s="125" t="s">
        <v>254</v>
      </c>
      <c r="CU247" s="125" t="s">
        <v>273</v>
      </c>
      <c r="CV247" s="125" t="s">
        <v>3481</v>
      </c>
      <c r="CW247" s="125" t="s">
        <v>2279</v>
      </c>
      <c r="CX247" s="125" t="s">
        <v>2395</v>
      </c>
      <c r="CY247" s="125" t="s">
        <v>740</v>
      </c>
      <c r="CZ247" s="125" t="s">
        <v>635</v>
      </c>
      <c r="DA247" s="125" t="s">
        <v>2281</v>
      </c>
      <c r="DB247" s="125" t="s">
        <v>740</v>
      </c>
      <c r="DC247" s="125" t="s">
        <v>2098</v>
      </c>
      <c r="DD247" s="125" t="s">
        <v>1963</v>
      </c>
      <c r="DE247" s="125" t="s">
        <v>2282</v>
      </c>
      <c r="DF247" s="126" t="s">
        <v>3482</v>
      </c>
      <c r="DG247" s="27" cm="1">
        <f t="array" ref="DG247">INDEX('elenco partner'!A:M,MATCH(1,(D247='elenco partner'!A:A)*('Partner data'!M247='elenco partner'!E:E),0),4)</f>
        <v>680</v>
      </c>
      <c r="DH247" s="83" t="str">
        <f t="shared" si="95"/>
        <v>Tasso Forfettario 20%</v>
      </c>
      <c r="DI247" s="20">
        <f>COUNTIFS('MY-REPORT-MAIN'!C:C,'Partner data'!DG247,'MY-REPORT-MAIN'!I:I,"Certified")</f>
        <v>0</v>
      </c>
      <c r="DJ247" s="20">
        <f>COUNTIFS(List_Of_chek_list!M:M,"&lt;&gt;26",List_Of_chek_list!B:B,'Partner data'!DG247)</f>
        <v>0</v>
      </c>
      <c r="DK247" s="20">
        <f t="shared" si="96"/>
        <v>0</v>
      </c>
      <c r="DL247" s="19" t="e">
        <f>IF(DH247="Tasso Forfettario 20%",SUMIFS(List_Of_chek_list!#REF!,List_Of_chek_list!B:B,'Partner data'!DG247),"NON PERTINENTE")</f>
        <v>#REF!</v>
      </c>
      <c r="DM247" s="19" t="e">
        <f t="shared" si="97"/>
        <v>#REF!</v>
      </c>
      <c r="DN247" s="110">
        <f>_xlfn.MAXIFS('MY-REPORT-MAIN'!K:K,'MY-REPORT-MAIN'!C:C,DG247)</f>
        <v>0</v>
      </c>
      <c r="DO247" s="112" t="str">
        <f>IF(_xlfn.MAXIFS('MY-REPORT-MAIN'!M:M,'MY-REPORT-MAIN'!C:C,DG247)=0,"Nessun rendiconto  Convalidato",_xlfn.MAXIFS('MY-REPORT-MAIN'!M:M,'MY-REPORT-MAIN'!C:C,DG247))</f>
        <v>Nessun rendiconto  Convalidato</v>
      </c>
      <c r="DP247" s="113" t="str" cm="1">
        <f t="array" ref="DP247">IFERROR(INDEX('MY-REPORT-MAIN'!A:Z,MATCH(1,(DO247='MY-REPORT-MAIN'!M:M)*('Partner data'!DG247='MY-REPORT-MAIN'!C:C),0),1),"NON è stato convalidato ancora nessun rendiconto")</f>
        <v>NON è stato convalidato ancora nessun rendiconto</v>
      </c>
      <c r="DQ247" s="111" t="str">
        <f>IFERROR(INDEX('MY-REPORT-MAIN'!A:Z,MATCH('Partner data'!DP247,'MY-REPORT-MAIN'!A:A,0),21),"Nessun Rendiconto ancora convalidato")</f>
        <v>Nessun Rendiconto ancora convalidato</v>
      </c>
      <c r="DR247" s="110">
        <f>INDEX('Interreg VI-A Italy-Slovenia_pr'!A:E,MATCH('Partner data'!C247,'Interreg VI-A Italy-Slovenia_pr'!A:A,0),3)</f>
        <v>45404</v>
      </c>
      <c r="DS247" s="118">
        <f t="shared" si="76"/>
        <v>54224.4</v>
      </c>
      <c r="DT247" s="118">
        <f t="shared" si="77"/>
        <v>99040</v>
      </c>
      <c r="DU247" s="118">
        <f t="shared" si="78"/>
        <v>181738.4</v>
      </c>
      <c r="DV247" s="118">
        <f t="shared" si="79"/>
        <v>198080</v>
      </c>
      <c r="DW247" s="118">
        <f t="shared" si="80"/>
        <v>228782.4</v>
      </c>
      <c r="DX247" s="118">
        <f t="shared" si="81"/>
        <v>228782.4</v>
      </c>
      <c r="DY247" s="118">
        <f t="shared" si="82"/>
        <v>228782.4</v>
      </c>
      <c r="DZ247" s="118">
        <f t="shared" si="83"/>
        <v>228782.4</v>
      </c>
      <c r="EA247" s="118">
        <f t="shared" si="84"/>
        <v>228782.4</v>
      </c>
      <c r="EB247" s="118">
        <f t="shared" si="85"/>
        <v>228782.4</v>
      </c>
    </row>
    <row r="248" spans="1:132" ht="45" x14ac:dyDescent="0.25">
      <c r="A248" s="121">
        <v>6</v>
      </c>
      <c r="B248" s="122" t="s">
        <v>2688</v>
      </c>
      <c r="C248" s="123" t="s">
        <v>3450</v>
      </c>
      <c r="D248" s="123" t="s">
        <v>3451</v>
      </c>
      <c r="E248" s="123" t="s">
        <v>3452</v>
      </c>
      <c r="F248" s="123" t="s">
        <v>490</v>
      </c>
      <c r="G248" s="123" t="s">
        <v>491</v>
      </c>
      <c r="H248" s="123" t="s">
        <v>766</v>
      </c>
      <c r="I248" s="123" t="s">
        <v>767</v>
      </c>
      <c r="J248" s="124" t="s">
        <v>570</v>
      </c>
      <c r="K248" s="124" t="s">
        <v>495</v>
      </c>
      <c r="L248" s="124" t="s">
        <v>519</v>
      </c>
      <c r="M248" s="124" t="s">
        <v>3483</v>
      </c>
      <c r="N248" s="124" t="s">
        <v>1217</v>
      </c>
      <c r="O248" s="124" t="s">
        <v>1218</v>
      </c>
      <c r="P248" s="124" t="s">
        <v>257</v>
      </c>
      <c r="Q248" s="124" t="s">
        <v>556</v>
      </c>
      <c r="R248" s="124" t="s">
        <v>269</v>
      </c>
      <c r="S248" s="32">
        <v>154400</v>
      </c>
      <c r="T248" s="32">
        <v>80</v>
      </c>
      <c r="U248" s="32">
        <v>14.6</v>
      </c>
      <c r="V248" s="32">
        <v>0</v>
      </c>
      <c r="W248" s="32">
        <v>0</v>
      </c>
      <c r="X248" s="32">
        <v>0</v>
      </c>
      <c r="Y248" s="32">
        <v>0</v>
      </c>
      <c r="Z248" s="32">
        <v>0</v>
      </c>
      <c r="AA248" s="32">
        <v>0</v>
      </c>
      <c r="AB248" s="32">
        <v>0</v>
      </c>
      <c r="AC248" s="32">
        <v>0</v>
      </c>
      <c r="AD248" s="32">
        <v>0</v>
      </c>
      <c r="AE248" s="32">
        <v>0</v>
      </c>
      <c r="AF248" s="32">
        <v>0</v>
      </c>
      <c r="AG248" s="32">
        <v>0</v>
      </c>
      <c r="AH248" s="32">
        <v>0</v>
      </c>
      <c r="AI248" s="32">
        <v>0</v>
      </c>
      <c r="AJ248" s="32">
        <v>0</v>
      </c>
      <c r="AK248" s="32">
        <v>0</v>
      </c>
      <c r="AL248" s="32">
        <v>0</v>
      </c>
      <c r="AM248" s="32">
        <v>0</v>
      </c>
      <c r="AN248" s="32">
        <v>38600</v>
      </c>
      <c r="AO248" s="32">
        <v>0</v>
      </c>
      <c r="AP248" s="32">
        <v>0</v>
      </c>
      <c r="AQ248" s="32">
        <v>38600</v>
      </c>
      <c r="AR248" s="32">
        <v>193000</v>
      </c>
      <c r="AS248" s="32">
        <v>14.6</v>
      </c>
      <c r="AT248" s="32">
        <v>0</v>
      </c>
      <c r="AU248" s="32">
        <v>0</v>
      </c>
      <c r="AV248" s="32">
        <v>0</v>
      </c>
      <c r="AW248" s="32">
        <v>0</v>
      </c>
      <c r="AX248" s="32">
        <v>0</v>
      </c>
      <c r="AY248" s="32">
        <v>0</v>
      </c>
      <c r="AZ248" s="32">
        <v>0</v>
      </c>
      <c r="BA248" s="32">
        <v>0</v>
      </c>
      <c r="BB248" s="32">
        <v>0</v>
      </c>
      <c r="BC248" s="32">
        <v>0</v>
      </c>
      <c r="BD248" s="32">
        <v>27000</v>
      </c>
      <c r="BE248" s="32">
        <v>27000</v>
      </c>
      <c r="BF248" s="32">
        <v>0</v>
      </c>
      <c r="BG248" s="32">
        <v>10000</v>
      </c>
      <c r="BH248" s="32">
        <v>10000</v>
      </c>
      <c r="BI248" s="32">
        <v>0</v>
      </c>
      <c r="BJ248" s="32">
        <v>156000</v>
      </c>
      <c r="BK248" s="32">
        <v>156000</v>
      </c>
      <c r="BL248" s="32">
        <v>0</v>
      </c>
      <c r="BM248" s="32">
        <v>0</v>
      </c>
      <c r="BN248" s="32">
        <v>0</v>
      </c>
      <c r="BO248" s="32">
        <v>0</v>
      </c>
      <c r="BP248" s="32">
        <v>0</v>
      </c>
      <c r="BQ248" s="32">
        <v>11000</v>
      </c>
      <c r="BR248" s="32">
        <v>51000</v>
      </c>
      <c r="BS248" s="32">
        <v>123000</v>
      </c>
      <c r="BT248" s="32">
        <v>1000</v>
      </c>
      <c r="BU248" s="32">
        <v>7000</v>
      </c>
      <c r="BV248" s="32">
        <v>0</v>
      </c>
      <c r="BW248" s="32">
        <v>0</v>
      </c>
      <c r="BX248" s="32">
        <v>0</v>
      </c>
      <c r="BY248" s="32">
        <v>0</v>
      </c>
      <c r="BZ248" s="32">
        <v>0</v>
      </c>
      <c r="CA248" s="32">
        <v>0</v>
      </c>
      <c r="CB248" s="125" t="s">
        <v>665</v>
      </c>
      <c r="CC248" s="125" t="s">
        <v>522</v>
      </c>
      <c r="CD248" s="125"/>
      <c r="CE248" s="125" t="s">
        <v>523</v>
      </c>
      <c r="CF248" s="125" t="s">
        <v>636</v>
      </c>
      <c r="CG248" s="125" t="s">
        <v>926</v>
      </c>
      <c r="CH248" s="125" t="s">
        <v>526</v>
      </c>
      <c r="CI248" s="125" t="s">
        <v>665</v>
      </c>
      <c r="CJ248" s="125" t="s">
        <v>665</v>
      </c>
      <c r="CK248" s="125" t="s">
        <v>3484</v>
      </c>
      <c r="CL248" s="125" t="s">
        <v>212</v>
      </c>
      <c r="CM248" s="125"/>
      <c r="CN248" s="125" t="s">
        <v>257</v>
      </c>
      <c r="CO248" s="125" t="s">
        <v>269</v>
      </c>
      <c r="CP248" s="125" t="s">
        <v>927</v>
      </c>
      <c r="CQ248" s="125" t="s">
        <v>928</v>
      </c>
      <c r="CR248" s="125" t="s">
        <v>929</v>
      </c>
      <c r="CS248" s="125" t="s">
        <v>930</v>
      </c>
      <c r="CT248" s="125" t="s">
        <v>257</v>
      </c>
      <c r="CU248" s="125" t="s">
        <v>269</v>
      </c>
      <c r="CV248" s="125" t="s">
        <v>3485</v>
      </c>
      <c r="CW248" s="125" t="s">
        <v>928</v>
      </c>
      <c r="CX248" s="125" t="s">
        <v>929</v>
      </c>
      <c r="CY248" s="125" t="s">
        <v>740</v>
      </c>
      <c r="CZ248" s="125" t="s">
        <v>931</v>
      </c>
      <c r="DA248" s="125" t="s">
        <v>932</v>
      </c>
      <c r="DB248" s="125" t="s">
        <v>745</v>
      </c>
      <c r="DC248" s="125" t="s">
        <v>933</v>
      </c>
      <c r="DD248" s="125" t="s">
        <v>934</v>
      </c>
      <c r="DE248" s="125" t="s">
        <v>935</v>
      </c>
      <c r="DF248" s="126" t="s">
        <v>1219</v>
      </c>
      <c r="DG248" s="27" cm="1">
        <f t="array" ref="DG248">INDEX('elenco partner'!A:M,MATCH(1,(D248='elenco partner'!A:A)*('Partner data'!M248='elenco partner'!E:E),0),4)</f>
        <v>691</v>
      </c>
      <c r="DH248" s="83" t="str">
        <f t="shared" si="95"/>
        <v>BL1 non presente</v>
      </c>
      <c r="DI248" s="20">
        <f>COUNTIFS('MY-REPORT-MAIN'!C:C,'Partner data'!DG248,'MY-REPORT-MAIN'!I:I,"Certified")</f>
        <v>0</v>
      </c>
      <c r="DJ248" s="20">
        <f>COUNTIFS(List_Of_chek_list!M:M,"&lt;&gt;26",List_Of_chek_list!B:B,'Partner data'!DG248)</f>
        <v>0</v>
      </c>
      <c r="DK248" s="20">
        <f t="shared" si="96"/>
        <v>0</v>
      </c>
      <c r="DL248" s="19" t="str">
        <f>IF(DH248="Tasso Forfettario 20%",SUMIFS(List_Of_chek_list!#REF!,List_Of_chek_list!B:B,'Partner data'!DG248),"NON PERTINENTE")</f>
        <v>NON PERTINENTE</v>
      </c>
      <c r="DM248" s="19" t="str">
        <f t="shared" si="97"/>
        <v>NON PERTINENTE</v>
      </c>
      <c r="DN248" s="110">
        <f>_xlfn.MAXIFS('MY-REPORT-MAIN'!K:K,'MY-REPORT-MAIN'!C:C,DG248)</f>
        <v>0</v>
      </c>
      <c r="DO248" s="112" t="str">
        <f>IF(_xlfn.MAXIFS('MY-REPORT-MAIN'!M:M,'MY-REPORT-MAIN'!C:C,DG248)=0,"Nessun rendiconto  Convalidato",_xlfn.MAXIFS('MY-REPORT-MAIN'!M:M,'MY-REPORT-MAIN'!C:C,DG248))</f>
        <v>Nessun rendiconto  Convalidato</v>
      </c>
      <c r="DP248" s="113" t="str" cm="1">
        <f t="array" ref="DP248">IFERROR(INDEX('MY-REPORT-MAIN'!A:Z,MATCH(1,(DO248='MY-REPORT-MAIN'!M:M)*('Partner data'!DG248='MY-REPORT-MAIN'!C:C),0),1),"NON è stato convalidato ancora nessun rendiconto")</f>
        <v>NON è stato convalidato ancora nessun rendiconto</v>
      </c>
      <c r="DQ248" s="111" t="str">
        <f>IFERROR(INDEX('MY-REPORT-MAIN'!A:Z,MATCH('Partner data'!DP248,'MY-REPORT-MAIN'!A:A,0),21),"Nessun Rendiconto ancora convalidato")</f>
        <v>Nessun Rendiconto ancora convalidato</v>
      </c>
      <c r="DR248" s="110">
        <f>INDEX('Interreg VI-A Italy-Slovenia_pr'!A:E,MATCH('Partner data'!C248,'Interreg VI-A Italy-Slovenia_pr'!A:A,0),3)</f>
        <v>45404</v>
      </c>
      <c r="DS248" s="118">
        <f t="shared" si="76"/>
        <v>11000</v>
      </c>
      <c r="DT248" s="118">
        <f t="shared" si="77"/>
        <v>62000</v>
      </c>
      <c r="DU248" s="118">
        <f t="shared" si="78"/>
        <v>185000</v>
      </c>
      <c r="DV248" s="118">
        <f t="shared" si="79"/>
        <v>186000</v>
      </c>
      <c r="DW248" s="118">
        <f t="shared" si="80"/>
        <v>193000</v>
      </c>
      <c r="DX248" s="118">
        <f t="shared" si="81"/>
        <v>193000</v>
      </c>
      <c r="DY248" s="118">
        <f t="shared" si="82"/>
        <v>193000</v>
      </c>
      <c r="DZ248" s="118">
        <f t="shared" si="83"/>
        <v>193000</v>
      </c>
      <c r="EA248" s="118">
        <f t="shared" si="84"/>
        <v>193000</v>
      </c>
      <c r="EB248" s="118">
        <f t="shared" si="85"/>
        <v>193000</v>
      </c>
    </row>
    <row r="249" spans="1:132" ht="45" x14ac:dyDescent="0.25">
      <c r="A249" s="121">
        <v>6</v>
      </c>
      <c r="B249" s="122" t="s">
        <v>2688</v>
      </c>
      <c r="C249" s="123" t="s">
        <v>3450</v>
      </c>
      <c r="D249" s="123" t="s">
        <v>3451</v>
      </c>
      <c r="E249" s="123" t="s">
        <v>3452</v>
      </c>
      <c r="F249" s="123" t="s">
        <v>490</v>
      </c>
      <c r="G249" s="123" t="s">
        <v>491</v>
      </c>
      <c r="H249" s="123" t="s">
        <v>766</v>
      </c>
      <c r="I249" s="123" t="s">
        <v>767</v>
      </c>
      <c r="J249" s="124" t="s">
        <v>581</v>
      </c>
      <c r="K249" s="124" t="s">
        <v>495</v>
      </c>
      <c r="L249" s="124" t="s">
        <v>519</v>
      </c>
      <c r="M249" s="124" t="s">
        <v>3486</v>
      </c>
      <c r="N249" s="124" t="s">
        <v>3487</v>
      </c>
      <c r="O249" s="124" t="s">
        <v>3488</v>
      </c>
      <c r="P249" s="124" t="s">
        <v>254</v>
      </c>
      <c r="Q249" s="124" t="s">
        <v>499</v>
      </c>
      <c r="R249" s="124" t="s">
        <v>266</v>
      </c>
      <c r="S249" s="32">
        <v>195920.86</v>
      </c>
      <c r="T249" s="32">
        <v>80</v>
      </c>
      <c r="U249" s="32">
        <v>18.53</v>
      </c>
      <c r="V249" s="32">
        <v>0</v>
      </c>
      <c r="W249" s="32">
        <v>0</v>
      </c>
      <c r="X249" s="32">
        <v>0</v>
      </c>
      <c r="Y249" s="32">
        <v>0</v>
      </c>
      <c r="Z249" s="32">
        <v>0</v>
      </c>
      <c r="AA249" s="32">
        <v>0</v>
      </c>
      <c r="AB249" s="32">
        <v>0</v>
      </c>
      <c r="AC249" s="32">
        <v>0</v>
      </c>
      <c r="AD249" s="32">
        <v>0</v>
      </c>
      <c r="AE249" s="32">
        <v>0</v>
      </c>
      <c r="AF249" s="32">
        <v>0</v>
      </c>
      <c r="AG249" s="32">
        <v>0</v>
      </c>
      <c r="AH249" s="32">
        <v>0</v>
      </c>
      <c r="AI249" s="32">
        <v>0</v>
      </c>
      <c r="AJ249" s="32">
        <v>0</v>
      </c>
      <c r="AK249" s="32">
        <v>0</v>
      </c>
      <c r="AL249" s="32">
        <v>0</v>
      </c>
      <c r="AM249" s="32">
        <v>0</v>
      </c>
      <c r="AN249" s="32">
        <v>0</v>
      </c>
      <c r="AO249" s="32">
        <v>48980.22</v>
      </c>
      <c r="AP249" s="32">
        <v>0</v>
      </c>
      <c r="AQ249" s="32">
        <v>48980.22</v>
      </c>
      <c r="AR249" s="32">
        <v>244901.08</v>
      </c>
      <c r="AS249" s="32">
        <v>18.53</v>
      </c>
      <c r="AT249" s="32">
        <v>39563.99</v>
      </c>
      <c r="AU249" s="32">
        <v>39563.99</v>
      </c>
      <c r="AV249" s="32">
        <v>0</v>
      </c>
      <c r="AW249" s="32">
        <v>0</v>
      </c>
      <c r="AX249" s="32">
        <v>5934.59</v>
      </c>
      <c r="AY249" s="32">
        <v>5934.59</v>
      </c>
      <c r="AZ249" s="32">
        <v>1582.55</v>
      </c>
      <c r="BA249" s="32">
        <v>1582.55</v>
      </c>
      <c r="BB249" s="32">
        <v>0</v>
      </c>
      <c r="BC249" s="32">
        <v>0</v>
      </c>
      <c r="BD249" s="32">
        <v>156269.95000000001</v>
      </c>
      <c r="BE249" s="32">
        <v>156269.95000000001</v>
      </c>
      <c r="BF249" s="32">
        <v>0</v>
      </c>
      <c r="BG249" s="32">
        <v>41550</v>
      </c>
      <c r="BH249" s="32">
        <v>41550</v>
      </c>
      <c r="BI249" s="32">
        <v>0</v>
      </c>
      <c r="BJ249" s="32">
        <v>0</v>
      </c>
      <c r="BK249" s="32">
        <v>0</v>
      </c>
      <c r="BL249" s="32">
        <v>0</v>
      </c>
      <c r="BM249" s="32">
        <v>0</v>
      </c>
      <c r="BN249" s="32">
        <v>0</v>
      </c>
      <c r="BO249" s="32">
        <v>0</v>
      </c>
      <c r="BP249" s="32">
        <v>0</v>
      </c>
      <c r="BQ249" s="32">
        <v>30066.06</v>
      </c>
      <c r="BR249" s="32">
        <v>37085.519999999997</v>
      </c>
      <c r="BS249" s="32">
        <v>88809.16</v>
      </c>
      <c r="BT249" s="32">
        <v>37085.519999999997</v>
      </c>
      <c r="BU249" s="32">
        <v>51854.82</v>
      </c>
      <c r="BV249" s="32">
        <v>0</v>
      </c>
      <c r="BW249" s="32">
        <v>0</v>
      </c>
      <c r="BX249" s="32">
        <v>0</v>
      </c>
      <c r="BY249" s="32">
        <v>0</v>
      </c>
      <c r="BZ249" s="32">
        <v>0</v>
      </c>
      <c r="CA249" s="32">
        <v>0</v>
      </c>
      <c r="CB249" s="125" t="s">
        <v>665</v>
      </c>
      <c r="CC249" s="125" t="s">
        <v>500</v>
      </c>
      <c r="CD249" s="125"/>
      <c r="CE249" s="125" t="s">
        <v>501</v>
      </c>
      <c r="CF249" s="125" t="s">
        <v>2286</v>
      </c>
      <c r="CG249" s="125" t="s">
        <v>3489</v>
      </c>
      <c r="CH249" s="125" t="s">
        <v>526</v>
      </c>
      <c r="CI249" s="125" t="s">
        <v>665</v>
      </c>
      <c r="CJ249" s="125" t="s">
        <v>665</v>
      </c>
      <c r="CK249" s="125" t="s">
        <v>212</v>
      </c>
      <c r="CL249" s="125" t="s">
        <v>212</v>
      </c>
      <c r="CM249" s="125"/>
      <c r="CN249" s="125" t="s">
        <v>254</v>
      </c>
      <c r="CO249" s="125" t="s">
        <v>266</v>
      </c>
      <c r="CP249" s="125" t="s">
        <v>3490</v>
      </c>
      <c r="CQ249" s="125" t="s">
        <v>1690</v>
      </c>
      <c r="CR249" s="125" t="s">
        <v>1691</v>
      </c>
      <c r="CS249" s="125" t="s">
        <v>3491</v>
      </c>
      <c r="CT249" s="125" t="s">
        <v>254</v>
      </c>
      <c r="CU249" s="125" t="s">
        <v>266</v>
      </c>
      <c r="CV249" s="125" t="s">
        <v>3492</v>
      </c>
      <c r="CW249" s="125" t="s">
        <v>1690</v>
      </c>
      <c r="CX249" s="125" t="s">
        <v>1691</v>
      </c>
      <c r="CY249" s="125" t="s">
        <v>740</v>
      </c>
      <c r="CZ249" s="125" t="s">
        <v>1904</v>
      </c>
      <c r="DA249" s="125" t="s">
        <v>3493</v>
      </c>
      <c r="DB249" s="125" t="s">
        <v>740</v>
      </c>
      <c r="DC249" s="125" t="s">
        <v>1904</v>
      </c>
      <c r="DD249" s="125" t="s">
        <v>3493</v>
      </c>
      <c r="DE249" s="125" t="s">
        <v>3494</v>
      </c>
      <c r="DF249" s="126" t="s">
        <v>3495</v>
      </c>
      <c r="DG249" s="27" cm="1">
        <f t="array" ref="DG249">INDEX('elenco partner'!A:M,MATCH(1,(D249='elenco partner'!A:A)*('Partner data'!M249='elenco partner'!E:E),0),4)</f>
        <v>692</v>
      </c>
      <c r="DH249" s="83" t="str">
        <f t="shared" si="95"/>
        <v>Tasso Forfettario 20%</v>
      </c>
      <c r="DI249" s="20">
        <f>COUNTIFS('MY-REPORT-MAIN'!C:C,'Partner data'!DG249,'MY-REPORT-MAIN'!I:I,"Certified")</f>
        <v>0</v>
      </c>
      <c r="DJ249" s="20">
        <f>COUNTIFS(List_Of_chek_list!M:M,"&lt;&gt;26",List_Of_chek_list!B:B,'Partner data'!DG249)</f>
        <v>0</v>
      </c>
      <c r="DK249" s="20">
        <f t="shared" si="96"/>
        <v>0</v>
      </c>
      <c r="DL249" s="19" t="e">
        <f>IF(DH249="Tasso Forfettario 20%",SUMIFS(List_Of_chek_list!#REF!,List_Of_chek_list!B:B,'Partner data'!DG249),"NON PERTINENTE")</f>
        <v>#REF!</v>
      </c>
      <c r="DM249" s="19" t="e">
        <f t="shared" si="97"/>
        <v>#REF!</v>
      </c>
      <c r="DN249" s="110">
        <f>_xlfn.MAXIFS('MY-REPORT-MAIN'!K:K,'MY-REPORT-MAIN'!C:C,DG249)</f>
        <v>0</v>
      </c>
      <c r="DO249" s="112" t="str">
        <f>IF(_xlfn.MAXIFS('MY-REPORT-MAIN'!M:M,'MY-REPORT-MAIN'!C:C,DG249)=0,"Nessun rendiconto  Convalidato",_xlfn.MAXIFS('MY-REPORT-MAIN'!M:M,'MY-REPORT-MAIN'!C:C,DG249))</f>
        <v>Nessun rendiconto  Convalidato</v>
      </c>
      <c r="DP249" s="113" t="str" cm="1">
        <f t="array" ref="DP249">IFERROR(INDEX('MY-REPORT-MAIN'!A:Z,MATCH(1,(DO249='MY-REPORT-MAIN'!M:M)*('Partner data'!DG249='MY-REPORT-MAIN'!C:C),0),1),"NON è stato convalidato ancora nessun rendiconto")</f>
        <v>NON è stato convalidato ancora nessun rendiconto</v>
      </c>
      <c r="DQ249" s="111" t="str">
        <f>IFERROR(INDEX('MY-REPORT-MAIN'!A:Z,MATCH('Partner data'!DP249,'MY-REPORT-MAIN'!A:A,0),21),"Nessun Rendiconto ancora convalidato")</f>
        <v>Nessun Rendiconto ancora convalidato</v>
      </c>
      <c r="DR249" s="110">
        <f>INDEX('Interreg VI-A Italy-Slovenia_pr'!A:E,MATCH('Partner data'!C249,'Interreg VI-A Italy-Slovenia_pr'!A:A,0),3)</f>
        <v>45404</v>
      </c>
      <c r="DS249" s="118">
        <f t="shared" si="76"/>
        <v>30066.06</v>
      </c>
      <c r="DT249" s="118">
        <f t="shared" si="77"/>
        <v>67151.58</v>
      </c>
      <c r="DU249" s="118">
        <f t="shared" si="78"/>
        <v>155960.74</v>
      </c>
      <c r="DV249" s="118">
        <f t="shared" si="79"/>
        <v>193046.25999999998</v>
      </c>
      <c r="DW249" s="118">
        <f t="shared" si="80"/>
        <v>244901.08</v>
      </c>
      <c r="DX249" s="118">
        <f t="shared" si="81"/>
        <v>244901.08</v>
      </c>
      <c r="DY249" s="118">
        <f t="shared" si="82"/>
        <v>244901.08</v>
      </c>
      <c r="DZ249" s="118">
        <f t="shared" si="83"/>
        <v>244901.08</v>
      </c>
      <c r="EA249" s="118">
        <f t="shared" si="84"/>
        <v>244901.08</v>
      </c>
      <c r="EB249" s="118">
        <f t="shared" si="85"/>
        <v>244901.08</v>
      </c>
    </row>
    <row r="250" spans="1:132" ht="45" x14ac:dyDescent="0.25">
      <c r="A250" s="121">
        <v>6</v>
      </c>
      <c r="B250" s="122" t="s">
        <v>2688</v>
      </c>
      <c r="C250" s="123" t="s">
        <v>3497</v>
      </c>
      <c r="D250" s="123" t="s">
        <v>3498</v>
      </c>
      <c r="E250" s="123" t="s">
        <v>3498</v>
      </c>
      <c r="F250" s="123" t="s">
        <v>1043</v>
      </c>
      <c r="G250" s="123" t="s">
        <v>6118</v>
      </c>
      <c r="H250" s="123" t="s">
        <v>594</v>
      </c>
      <c r="I250" s="123" t="s">
        <v>595</v>
      </c>
      <c r="J250" s="124" t="s">
        <v>494</v>
      </c>
      <c r="K250" s="124" t="s">
        <v>495</v>
      </c>
      <c r="L250" s="124" t="s">
        <v>496</v>
      </c>
      <c r="M250" s="124" t="s">
        <v>320</v>
      </c>
      <c r="N250" s="124" t="s">
        <v>3499</v>
      </c>
      <c r="O250" s="124" t="s">
        <v>3500</v>
      </c>
      <c r="P250" s="124" t="s">
        <v>257</v>
      </c>
      <c r="Q250" s="124" t="s">
        <v>556</v>
      </c>
      <c r="R250" s="124" t="s">
        <v>269</v>
      </c>
      <c r="S250" s="32">
        <v>135684.79999999999</v>
      </c>
      <c r="T250" s="32">
        <v>80</v>
      </c>
      <c r="U250" s="32">
        <v>19.13</v>
      </c>
      <c r="V250" s="32">
        <v>0</v>
      </c>
      <c r="W250" s="32">
        <v>0</v>
      </c>
      <c r="X250" s="32">
        <v>0</v>
      </c>
      <c r="Y250" s="32">
        <v>0</v>
      </c>
      <c r="Z250" s="32">
        <v>0</v>
      </c>
      <c r="AA250" s="32">
        <v>0</v>
      </c>
      <c r="AB250" s="32">
        <v>0</v>
      </c>
      <c r="AC250" s="32">
        <v>0</v>
      </c>
      <c r="AD250" s="32">
        <v>0</v>
      </c>
      <c r="AE250" s="32">
        <v>0</v>
      </c>
      <c r="AF250" s="32">
        <v>0</v>
      </c>
      <c r="AG250" s="32">
        <v>0</v>
      </c>
      <c r="AH250" s="32">
        <v>0</v>
      </c>
      <c r="AI250" s="32">
        <v>0</v>
      </c>
      <c r="AJ250" s="32">
        <v>0</v>
      </c>
      <c r="AK250" s="32">
        <v>0</v>
      </c>
      <c r="AL250" s="32">
        <v>0</v>
      </c>
      <c r="AM250" s="32">
        <v>0</v>
      </c>
      <c r="AN250" s="32">
        <v>33921.199999999997</v>
      </c>
      <c r="AO250" s="32">
        <v>0</v>
      </c>
      <c r="AP250" s="32">
        <v>0</v>
      </c>
      <c r="AQ250" s="32">
        <v>33921.199999999997</v>
      </c>
      <c r="AR250" s="32">
        <v>169606</v>
      </c>
      <c r="AS250" s="32">
        <v>19.13</v>
      </c>
      <c r="AT250" s="32">
        <v>27400</v>
      </c>
      <c r="AU250" s="32">
        <v>27400</v>
      </c>
      <c r="AV250" s="32">
        <v>0</v>
      </c>
      <c r="AW250" s="32">
        <v>0</v>
      </c>
      <c r="AX250" s="32">
        <v>4110</v>
      </c>
      <c r="AY250" s="32">
        <v>4110</v>
      </c>
      <c r="AZ250" s="32">
        <v>1096</v>
      </c>
      <c r="BA250" s="32">
        <v>1096</v>
      </c>
      <c r="BB250" s="32">
        <v>0</v>
      </c>
      <c r="BC250" s="32">
        <v>0</v>
      </c>
      <c r="BD250" s="32">
        <v>137000</v>
      </c>
      <c r="BE250" s="32">
        <v>137000</v>
      </c>
      <c r="BF250" s="32">
        <v>0</v>
      </c>
      <c r="BG250" s="32">
        <v>0</v>
      </c>
      <c r="BH250" s="32">
        <v>0</v>
      </c>
      <c r="BI250" s="32">
        <v>0</v>
      </c>
      <c r="BJ250" s="32">
        <v>0</v>
      </c>
      <c r="BK250" s="32">
        <v>0</v>
      </c>
      <c r="BL250" s="32">
        <v>0</v>
      </c>
      <c r="BM250" s="32">
        <v>0</v>
      </c>
      <c r="BN250" s="32">
        <v>0</v>
      </c>
      <c r="BO250" s="32">
        <v>0</v>
      </c>
      <c r="BP250" s="32">
        <v>0</v>
      </c>
      <c r="BQ250" s="32">
        <v>20162.060000000001</v>
      </c>
      <c r="BR250" s="32">
        <v>45216.71</v>
      </c>
      <c r="BS250" s="32">
        <v>43861.1</v>
      </c>
      <c r="BT250" s="32">
        <v>60366.13</v>
      </c>
      <c r="BU250" s="32">
        <v>0</v>
      </c>
      <c r="BV250" s="32">
        <v>0</v>
      </c>
      <c r="BW250" s="32">
        <v>0</v>
      </c>
      <c r="BX250" s="32">
        <v>0</v>
      </c>
      <c r="BY250" s="32">
        <v>0</v>
      </c>
      <c r="BZ250" s="32">
        <v>0</v>
      </c>
      <c r="CA250" s="32">
        <v>0</v>
      </c>
      <c r="CB250" s="125" t="s">
        <v>212</v>
      </c>
      <c r="CC250" s="125" t="s">
        <v>606</v>
      </c>
      <c r="CD250" s="125"/>
      <c r="CE250" s="125" t="s">
        <v>523</v>
      </c>
      <c r="CF250" s="125" t="s">
        <v>685</v>
      </c>
      <c r="CG250" s="125" t="s">
        <v>1555</v>
      </c>
      <c r="CH250" s="125" t="s">
        <v>619</v>
      </c>
      <c r="CI250" s="125" t="s">
        <v>665</v>
      </c>
      <c r="CJ250" s="125" t="s">
        <v>665</v>
      </c>
      <c r="CK250" s="125" t="s">
        <v>1556</v>
      </c>
      <c r="CL250" s="125" t="s">
        <v>212</v>
      </c>
      <c r="CM250" s="125"/>
      <c r="CN250" s="125" t="s">
        <v>257</v>
      </c>
      <c r="CO250" s="125" t="s">
        <v>269</v>
      </c>
      <c r="CP250" s="125" t="s">
        <v>3501</v>
      </c>
      <c r="CQ250" s="125" t="s">
        <v>1208</v>
      </c>
      <c r="CR250" s="125" t="s">
        <v>1209</v>
      </c>
      <c r="CS250" s="125" t="s">
        <v>1558</v>
      </c>
      <c r="CT250" s="125"/>
      <c r="CU250" s="125"/>
      <c r="CV250" s="125"/>
      <c r="CW250" s="125"/>
      <c r="CX250" s="125"/>
      <c r="CY250" s="125" t="s">
        <v>895</v>
      </c>
      <c r="CZ250" s="125" t="s">
        <v>689</v>
      </c>
      <c r="DA250" s="125" t="s">
        <v>1562</v>
      </c>
      <c r="DB250" s="125" t="s">
        <v>895</v>
      </c>
      <c r="DC250" s="125" t="s">
        <v>797</v>
      </c>
      <c r="DD250" s="125" t="s">
        <v>2125</v>
      </c>
      <c r="DE250" s="125" t="s">
        <v>2126</v>
      </c>
      <c r="DF250" s="126" t="s">
        <v>3502</v>
      </c>
      <c r="DG250" s="27" cm="1">
        <f t="array" ref="DG250">INDEX('elenco partner'!A:M,MATCH(1,(D250='elenco partner'!A:A)*('Partner data'!M250='elenco partner'!E:E),0),4)</f>
        <v>423</v>
      </c>
      <c r="DH250" s="83" t="str">
        <f t="shared" ref="DH250:DH255" si="98">IF(AU250&lt;&gt;0,"Tasso Forfettario 20%",IF(AV250&lt;&gt;0,"COSTO REALE",IF(AW250&lt;&gt;0,"Costo Unitario Standard","BL1 non presente")))</f>
        <v>Tasso Forfettario 20%</v>
      </c>
      <c r="DI250" s="20">
        <f>COUNTIFS('MY-REPORT-MAIN'!C:C,'Partner data'!DG250,'MY-REPORT-MAIN'!I:I,"Certified")</f>
        <v>0</v>
      </c>
      <c r="DJ250" s="20">
        <f>COUNTIFS(List_Of_chek_list!M:M,"&lt;&gt;26",List_Of_chek_list!B:B,'Partner data'!DG250)</f>
        <v>0</v>
      </c>
      <c r="DK250" s="20">
        <f t="shared" ref="DK250:DK255" si="99">DI250-DJ250</f>
        <v>0</v>
      </c>
      <c r="DL250" s="19" t="e">
        <f>IF(DH250="Tasso Forfettario 20%",SUMIFS(List_Of_chek_list!#REF!,List_Of_chek_list!B:B,'Partner data'!DG250),"NON PERTINENTE")</f>
        <v>#REF!</v>
      </c>
      <c r="DM250" s="19" t="e">
        <f t="shared" ref="DM250:DM255" si="100">IF(DL250="NON PERTINENTE","NON PERTINENTE",IF(DJ250=DL250,"Rischio basso","Rischio alto"))</f>
        <v>#REF!</v>
      </c>
      <c r="DN250" s="110">
        <f>_xlfn.MAXIFS('MY-REPORT-MAIN'!K:K,'MY-REPORT-MAIN'!C:C,DG250)</f>
        <v>0</v>
      </c>
      <c r="DO250" s="112" t="str">
        <f>IF(_xlfn.MAXIFS('MY-REPORT-MAIN'!M:M,'MY-REPORT-MAIN'!C:C,DG250)=0,"Nessun rendiconto  Convalidato",_xlfn.MAXIFS('MY-REPORT-MAIN'!M:M,'MY-REPORT-MAIN'!C:C,DG250))</f>
        <v>Nessun rendiconto  Convalidato</v>
      </c>
      <c r="DP250" s="113" t="str" cm="1">
        <f t="array" ref="DP250">IFERROR(INDEX('MY-REPORT-MAIN'!A:Z,MATCH(1,(DO250='MY-REPORT-MAIN'!M:M)*('Partner data'!DG250='MY-REPORT-MAIN'!C:C),0),1),"NON è stato convalidato ancora nessun rendiconto")</f>
        <v>NON è stato convalidato ancora nessun rendiconto</v>
      </c>
      <c r="DQ250" s="111" t="str">
        <f>IFERROR(INDEX('MY-REPORT-MAIN'!A:Z,MATCH('Partner data'!DP250,'MY-REPORT-MAIN'!A:A,0),21),"Nessun Rendiconto ancora convalidato")</f>
        <v>Nessun Rendiconto ancora convalidato</v>
      </c>
      <c r="DR250" s="110" t="e">
        <f>INDEX('Interreg VI-A Italy-Slovenia_pr'!A:E,MATCH('Partner data'!C250,'Interreg VI-A Italy-Slovenia_pr'!A:A,0),3)</f>
        <v>#N/A</v>
      </c>
      <c r="DS250" s="118">
        <f t="shared" si="76"/>
        <v>20162.060000000001</v>
      </c>
      <c r="DT250" s="118">
        <f t="shared" si="77"/>
        <v>65378.770000000004</v>
      </c>
      <c r="DU250" s="118">
        <f t="shared" si="78"/>
        <v>109239.87</v>
      </c>
      <c r="DV250" s="118">
        <f t="shared" si="79"/>
        <v>169606</v>
      </c>
      <c r="DW250" s="118">
        <f t="shared" si="80"/>
        <v>169606</v>
      </c>
      <c r="DX250" s="118">
        <f t="shared" si="81"/>
        <v>169606</v>
      </c>
      <c r="DY250" s="118">
        <f t="shared" si="82"/>
        <v>169606</v>
      </c>
      <c r="DZ250" s="118">
        <f t="shared" si="83"/>
        <v>169606</v>
      </c>
      <c r="EA250" s="118">
        <f t="shared" si="84"/>
        <v>169606</v>
      </c>
      <c r="EB250" s="118">
        <f t="shared" si="85"/>
        <v>169606</v>
      </c>
    </row>
    <row r="251" spans="1:132" ht="45" x14ac:dyDescent="0.25">
      <c r="A251" s="121">
        <v>6</v>
      </c>
      <c r="B251" s="122" t="s">
        <v>2688</v>
      </c>
      <c r="C251" s="123" t="s">
        <v>3497</v>
      </c>
      <c r="D251" s="123" t="s">
        <v>3498</v>
      </c>
      <c r="E251" s="123" t="s">
        <v>3498</v>
      </c>
      <c r="F251" s="123" t="s">
        <v>1043</v>
      </c>
      <c r="G251" s="123" t="s">
        <v>6118</v>
      </c>
      <c r="H251" s="123" t="s">
        <v>594</v>
      </c>
      <c r="I251" s="123" t="s">
        <v>595</v>
      </c>
      <c r="J251" s="124" t="s">
        <v>518</v>
      </c>
      <c r="K251" s="124" t="s">
        <v>495</v>
      </c>
      <c r="L251" s="124" t="s">
        <v>519</v>
      </c>
      <c r="M251" s="124" t="s">
        <v>51</v>
      </c>
      <c r="N251" s="124" t="s">
        <v>916</v>
      </c>
      <c r="O251" s="124" t="s">
        <v>916</v>
      </c>
      <c r="P251" s="124" t="s">
        <v>254</v>
      </c>
      <c r="Q251" s="124" t="s">
        <v>540</v>
      </c>
      <c r="R251" s="124" t="s">
        <v>260</v>
      </c>
      <c r="S251" s="32">
        <v>143204.19</v>
      </c>
      <c r="T251" s="32">
        <v>80</v>
      </c>
      <c r="U251" s="32">
        <v>20.190000000000001</v>
      </c>
      <c r="V251" s="32">
        <v>0</v>
      </c>
      <c r="W251" s="32">
        <v>0</v>
      </c>
      <c r="X251" s="32">
        <v>0</v>
      </c>
      <c r="Y251" s="32">
        <v>0</v>
      </c>
      <c r="Z251" s="32">
        <v>0</v>
      </c>
      <c r="AA251" s="32">
        <v>0</v>
      </c>
      <c r="AB251" s="32">
        <v>0</v>
      </c>
      <c r="AC251" s="32">
        <v>0</v>
      </c>
      <c r="AD251" s="32">
        <v>0</v>
      </c>
      <c r="AE251" s="32">
        <v>0</v>
      </c>
      <c r="AF251" s="32">
        <v>0</v>
      </c>
      <c r="AG251" s="32">
        <v>0</v>
      </c>
      <c r="AH251" s="32">
        <v>0</v>
      </c>
      <c r="AI251" s="32">
        <v>0</v>
      </c>
      <c r="AJ251" s="32">
        <v>0</v>
      </c>
      <c r="AK251" s="32">
        <v>0</v>
      </c>
      <c r="AL251" s="32">
        <v>0</v>
      </c>
      <c r="AM251" s="32">
        <v>0</v>
      </c>
      <c r="AN251" s="32">
        <v>0</v>
      </c>
      <c r="AO251" s="32">
        <v>35801.050000000003</v>
      </c>
      <c r="AP251" s="32">
        <v>0</v>
      </c>
      <c r="AQ251" s="32">
        <v>35801.050000000003</v>
      </c>
      <c r="AR251" s="32">
        <v>179005.24</v>
      </c>
      <c r="AS251" s="32">
        <v>20.190000000000001</v>
      </c>
      <c r="AT251" s="32">
        <v>121432.32000000001</v>
      </c>
      <c r="AU251" s="32">
        <v>0</v>
      </c>
      <c r="AV251" s="32">
        <v>121432.32000000001</v>
      </c>
      <c r="AW251" s="32">
        <v>0</v>
      </c>
      <c r="AX251" s="32">
        <v>0</v>
      </c>
      <c r="AY251" s="32">
        <v>0</v>
      </c>
      <c r="AZ251" s="32">
        <v>0</v>
      </c>
      <c r="BA251" s="32">
        <v>0</v>
      </c>
      <c r="BB251" s="32">
        <v>0</v>
      </c>
      <c r="BC251" s="32">
        <v>0</v>
      </c>
      <c r="BD251" s="32">
        <v>0</v>
      </c>
      <c r="BE251" s="32">
        <v>0</v>
      </c>
      <c r="BF251" s="32">
        <v>0</v>
      </c>
      <c r="BG251" s="32">
        <v>0</v>
      </c>
      <c r="BH251" s="32">
        <v>0</v>
      </c>
      <c r="BI251" s="32">
        <v>0</v>
      </c>
      <c r="BJ251" s="32">
        <v>0</v>
      </c>
      <c r="BK251" s="32">
        <v>0</v>
      </c>
      <c r="BL251" s="32">
        <v>0</v>
      </c>
      <c r="BM251" s="32">
        <v>48572.92</v>
      </c>
      <c r="BN251" s="32">
        <v>0</v>
      </c>
      <c r="BO251" s="32">
        <v>9000</v>
      </c>
      <c r="BP251" s="32">
        <v>9000</v>
      </c>
      <c r="BQ251" s="32">
        <v>34001.050000000003</v>
      </c>
      <c r="BR251" s="32">
        <v>51001.58</v>
      </c>
      <c r="BS251" s="32">
        <v>51001.58</v>
      </c>
      <c r="BT251" s="32">
        <v>34001.03</v>
      </c>
      <c r="BU251" s="32">
        <v>0</v>
      </c>
      <c r="BV251" s="32">
        <v>0</v>
      </c>
      <c r="BW251" s="32">
        <v>0</v>
      </c>
      <c r="BX251" s="32">
        <v>0</v>
      </c>
      <c r="BY251" s="32">
        <v>0</v>
      </c>
      <c r="BZ251" s="32">
        <v>0</v>
      </c>
      <c r="CA251" s="32">
        <v>0</v>
      </c>
      <c r="CB251" s="125" t="s">
        <v>212</v>
      </c>
      <c r="CC251" s="125"/>
      <c r="CD251" s="125" t="s">
        <v>706</v>
      </c>
      <c r="CE251" s="125" t="s">
        <v>501</v>
      </c>
      <c r="CF251" s="125" t="s">
        <v>685</v>
      </c>
      <c r="CG251" s="125" t="s">
        <v>2148</v>
      </c>
      <c r="CH251" s="125" t="s">
        <v>504</v>
      </c>
      <c r="CI251" s="125" t="s">
        <v>665</v>
      </c>
      <c r="CJ251" s="125" t="s">
        <v>665</v>
      </c>
      <c r="CK251" s="125" t="s">
        <v>918</v>
      </c>
      <c r="CL251" s="125" t="s">
        <v>212</v>
      </c>
      <c r="CM251" s="125"/>
      <c r="CN251" s="125" t="s">
        <v>254</v>
      </c>
      <c r="CO251" s="125" t="s">
        <v>260</v>
      </c>
      <c r="CP251" s="125" t="s">
        <v>3503</v>
      </c>
      <c r="CQ251" s="125" t="s">
        <v>920</v>
      </c>
      <c r="CR251" s="125" t="s">
        <v>3504</v>
      </c>
      <c r="CS251" s="125" t="s">
        <v>3505</v>
      </c>
      <c r="CT251" s="125" t="s">
        <v>254</v>
      </c>
      <c r="CU251" s="125" t="s">
        <v>260</v>
      </c>
      <c r="CV251" s="125" t="s">
        <v>725</v>
      </c>
      <c r="CW251" s="125" t="s">
        <v>665</v>
      </c>
      <c r="CX251" s="125" t="s">
        <v>665</v>
      </c>
      <c r="CY251" s="125" t="s">
        <v>531</v>
      </c>
      <c r="CZ251" s="125" t="s">
        <v>921</v>
      </c>
      <c r="DA251" s="125" t="s">
        <v>922</v>
      </c>
      <c r="DB251" s="125" t="s">
        <v>547</v>
      </c>
      <c r="DC251" s="125" t="s">
        <v>3506</v>
      </c>
      <c r="DD251" s="125" t="s">
        <v>3507</v>
      </c>
      <c r="DE251" s="125" t="s">
        <v>3508</v>
      </c>
      <c r="DF251" s="126" t="s">
        <v>3509</v>
      </c>
      <c r="DG251" s="27" cm="1">
        <f t="array" ref="DG251">INDEX('elenco partner'!A:M,MATCH(1,(D251='elenco partner'!A:A)*('Partner data'!M251='elenco partner'!E:E),0),4)</f>
        <v>439</v>
      </c>
      <c r="DH251" s="83" t="str">
        <f t="shared" si="98"/>
        <v>COSTO REALE</v>
      </c>
      <c r="DI251" s="20">
        <f>COUNTIFS('MY-REPORT-MAIN'!C:C,'Partner data'!DG251,'MY-REPORT-MAIN'!I:I,"Certified")</f>
        <v>0</v>
      </c>
      <c r="DJ251" s="20">
        <f>COUNTIFS(List_Of_chek_list!M:M,"&lt;&gt;26",List_Of_chek_list!B:B,'Partner data'!DG251)</f>
        <v>0</v>
      </c>
      <c r="DK251" s="20">
        <f t="shared" si="99"/>
        <v>0</v>
      </c>
      <c r="DL251" s="19" t="str">
        <f>IF(DH251="Tasso Forfettario 20%",SUMIFS(List_Of_chek_list!#REF!,List_Of_chek_list!B:B,'Partner data'!DG251),"NON PERTINENTE")</f>
        <v>NON PERTINENTE</v>
      </c>
      <c r="DM251" s="19" t="str">
        <f t="shared" si="100"/>
        <v>NON PERTINENTE</v>
      </c>
      <c r="DN251" s="110">
        <f>_xlfn.MAXIFS('MY-REPORT-MAIN'!K:K,'MY-REPORT-MAIN'!C:C,DG251)</f>
        <v>0</v>
      </c>
      <c r="DO251" s="112" t="str">
        <f>IF(_xlfn.MAXIFS('MY-REPORT-MAIN'!M:M,'MY-REPORT-MAIN'!C:C,DG251)=0,"Nessun rendiconto  Convalidato",_xlfn.MAXIFS('MY-REPORT-MAIN'!M:M,'MY-REPORT-MAIN'!C:C,DG251))</f>
        <v>Nessun rendiconto  Convalidato</v>
      </c>
      <c r="DP251" s="113" t="str" cm="1">
        <f t="array" ref="DP251">IFERROR(INDEX('MY-REPORT-MAIN'!A:Z,MATCH(1,(DO251='MY-REPORT-MAIN'!M:M)*('Partner data'!DG251='MY-REPORT-MAIN'!C:C),0),1),"NON è stato convalidato ancora nessun rendiconto")</f>
        <v>NON è stato convalidato ancora nessun rendiconto</v>
      </c>
      <c r="DQ251" s="111" t="str">
        <f>IFERROR(INDEX('MY-REPORT-MAIN'!A:Z,MATCH('Partner data'!DP251,'MY-REPORT-MAIN'!A:A,0),21),"Nessun Rendiconto ancora convalidato")</f>
        <v>Nessun Rendiconto ancora convalidato</v>
      </c>
      <c r="DR251" s="110" t="e">
        <f>INDEX('Interreg VI-A Italy-Slovenia_pr'!A:E,MATCH('Partner data'!C251,'Interreg VI-A Italy-Slovenia_pr'!A:A,0),3)</f>
        <v>#N/A</v>
      </c>
      <c r="DS251" s="118">
        <f t="shared" si="76"/>
        <v>43001.05</v>
      </c>
      <c r="DT251" s="118">
        <f t="shared" si="77"/>
        <v>94002.63</v>
      </c>
      <c r="DU251" s="118">
        <f t="shared" si="78"/>
        <v>145004.21000000002</v>
      </c>
      <c r="DV251" s="118">
        <f t="shared" si="79"/>
        <v>179005.24000000002</v>
      </c>
      <c r="DW251" s="118">
        <f t="shared" si="80"/>
        <v>179005.24000000002</v>
      </c>
      <c r="DX251" s="118">
        <f t="shared" si="81"/>
        <v>179005.24000000002</v>
      </c>
      <c r="DY251" s="118">
        <f t="shared" si="82"/>
        <v>179005.24000000002</v>
      </c>
      <c r="DZ251" s="118">
        <f t="shared" si="83"/>
        <v>179005.24000000002</v>
      </c>
      <c r="EA251" s="118">
        <f t="shared" si="84"/>
        <v>179005.24000000002</v>
      </c>
      <c r="EB251" s="118">
        <f t="shared" si="85"/>
        <v>179005.24000000002</v>
      </c>
    </row>
    <row r="252" spans="1:132" ht="45" x14ac:dyDescent="0.25">
      <c r="A252" s="121">
        <v>6</v>
      </c>
      <c r="B252" s="122" t="s">
        <v>2688</v>
      </c>
      <c r="C252" s="123" t="s">
        <v>3497</v>
      </c>
      <c r="D252" s="123" t="s">
        <v>3498</v>
      </c>
      <c r="E252" s="123" t="s">
        <v>3498</v>
      </c>
      <c r="F252" s="123" t="s">
        <v>1043</v>
      </c>
      <c r="G252" s="123" t="s">
        <v>6118</v>
      </c>
      <c r="H252" s="123" t="s">
        <v>594</v>
      </c>
      <c r="I252" s="123" t="s">
        <v>595</v>
      </c>
      <c r="J252" s="124" t="s">
        <v>538</v>
      </c>
      <c r="K252" s="124" t="s">
        <v>495</v>
      </c>
      <c r="L252" s="124" t="s">
        <v>519</v>
      </c>
      <c r="M252" s="124" t="s">
        <v>46</v>
      </c>
      <c r="N252" s="124" t="s">
        <v>3510</v>
      </c>
      <c r="O252" s="124" t="s">
        <v>3511</v>
      </c>
      <c r="P252" s="124" t="s">
        <v>257</v>
      </c>
      <c r="Q252" s="124" t="s">
        <v>556</v>
      </c>
      <c r="R252" s="124" t="s">
        <v>270</v>
      </c>
      <c r="S252" s="32">
        <v>110772.43</v>
      </c>
      <c r="T252" s="32">
        <v>80</v>
      </c>
      <c r="U252" s="32">
        <v>15.62</v>
      </c>
      <c r="V252" s="32">
        <v>0</v>
      </c>
      <c r="W252" s="32">
        <v>0</v>
      </c>
      <c r="X252" s="32">
        <v>0</v>
      </c>
      <c r="Y252" s="32">
        <v>0</v>
      </c>
      <c r="Z252" s="32">
        <v>0</v>
      </c>
      <c r="AA252" s="32">
        <v>0</v>
      </c>
      <c r="AB252" s="32">
        <v>0</v>
      </c>
      <c r="AC252" s="32">
        <v>0</v>
      </c>
      <c r="AD252" s="32">
        <v>0</v>
      </c>
      <c r="AE252" s="32">
        <v>0</v>
      </c>
      <c r="AF252" s="32">
        <v>0</v>
      </c>
      <c r="AG252" s="32">
        <v>0</v>
      </c>
      <c r="AH252" s="32">
        <v>0</v>
      </c>
      <c r="AI252" s="32">
        <v>0</v>
      </c>
      <c r="AJ252" s="32">
        <v>0</v>
      </c>
      <c r="AK252" s="32">
        <v>0</v>
      </c>
      <c r="AL252" s="32">
        <v>0</v>
      </c>
      <c r="AM252" s="32">
        <v>0</v>
      </c>
      <c r="AN252" s="32">
        <v>27693.11</v>
      </c>
      <c r="AO252" s="32">
        <v>0</v>
      </c>
      <c r="AP252" s="32">
        <v>0</v>
      </c>
      <c r="AQ252" s="32">
        <v>27693.11</v>
      </c>
      <c r="AR252" s="32">
        <v>138465.54</v>
      </c>
      <c r="AS252" s="32">
        <v>15.62</v>
      </c>
      <c r="AT252" s="32">
        <v>98903.96</v>
      </c>
      <c r="AU252" s="32">
        <v>0</v>
      </c>
      <c r="AV252" s="32">
        <v>98903.96</v>
      </c>
      <c r="AW252" s="32">
        <v>0</v>
      </c>
      <c r="AX252" s="32">
        <v>0</v>
      </c>
      <c r="AY252" s="32">
        <v>0</v>
      </c>
      <c r="AZ252" s="32">
        <v>0</v>
      </c>
      <c r="BA252" s="32">
        <v>0</v>
      </c>
      <c r="BB252" s="32">
        <v>0</v>
      </c>
      <c r="BC252" s="32">
        <v>0</v>
      </c>
      <c r="BD252" s="32">
        <v>0</v>
      </c>
      <c r="BE252" s="32">
        <v>0</v>
      </c>
      <c r="BF252" s="32">
        <v>0</v>
      </c>
      <c r="BG252" s="32">
        <v>0</v>
      </c>
      <c r="BH252" s="32">
        <v>0</v>
      </c>
      <c r="BI252" s="32">
        <v>0</v>
      </c>
      <c r="BJ252" s="32">
        <v>0</v>
      </c>
      <c r="BK252" s="32">
        <v>0</v>
      </c>
      <c r="BL252" s="32">
        <v>0</v>
      </c>
      <c r="BM252" s="32">
        <v>39561.58</v>
      </c>
      <c r="BN252" s="32">
        <v>0</v>
      </c>
      <c r="BO252" s="32">
        <v>0</v>
      </c>
      <c r="BP252" s="32">
        <v>0</v>
      </c>
      <c r="BQ252" s="32">
        <v>34615.79</v>
      </c>
      <c r="BR252" s="32">
        <v>34615.79</v>
      </c>
      <c r="BS252" s="32">
        <v>34615.79</v>
      </c>
      <c r="BT252" s="32">
        <v>34618.17</v>
      </c>
      <c r="BU252" s="32">
        <v>0</v>
      </c>
      <c r="BV252" s="32">
        <v>0</v>
      </c>
      <c r="BW252" s="32">
        <v>0</v>
      </c>
      <c r="BX252" s="32">
        <v>0</v>
      </c>
      <c r="BY252" s="32">
        <v>0</v>
      </c>
      <c r="BZ252" s="32">
        <v>0</v>
      </c>
      <c r="CA252" s="32">
        <v>0</v>
      </c>
      <c r="CB252" s="125" t="s">
        <v>3512</v>
      </c>
      <c r="CC252" s="125"/>
      <c r="CD252" s="125"/>
      <c r="CE252" s="125" t="s">
        <v>523</v>
      </c>
      <c r="CF252" s="125" t="s">
        <v>655</v>
      </c>
      <c r="CG252" s="125" t="s">
        <v>1381</v>
      </c>
      <c r="CH252" s="125" t="s">
        <v>619</v>
      </c>
      <c r="CI252" s="125"/>
      <c r="CJ252" s="125" t="s">
        <v>212</v>
      </c>
      <c r="CK252" s="125" t="s">
        <v>1383</v>
      </c>
      <c r="CL252" s="125" t="s">
        <v>212</v>
      </c>
      <c r="CM252" s="125"/>
      <c r="CN252" s="125" t="s">
        <v>257</v>
      </c>
      <c r="CO252" s="125" t="s">
        <v>270</v>
      </c>
      <c r="CP252" s="125" t="s">
        <v>2694</v>
      </c>
      <c r="CQ252" s="125" t="s">
        <v>710</v>
      </c>
      <c r="CR252" s="125" t="s">
        <v>650</v>
      </c>
      <c r="CS252" s="125" t="s">
        <v>1385</v>
      </c>
      <c r="CT252" s="125" t="s">
        <v>257</v>
      </c>
      <c r="CU252" s="125" t="s">
        <v>270</v>
      </c>
      <c r="CV252" s="125" t="s">
        <v>725</v>
      </c>
      <c r="CW252" s="125" t="s">
        <v>665</v>
      </c>
      <c r="CX252" s="125" t="s">
        <v>665</v>
      </c>
      <c r="CY252" s="125" t="s">
        <v>622</v>
      </c>
      <c r="CZ252" s="125" t="s">
        <v>3513</v>
      </c>
      <c r="DA252" s="125" t="s">
        <v>1387</v>
      </c>
      <c r="DB252" s="125" t="s">
        <v>602</v>
      </c>
      <c r="DC252" s="125" t="s">
        <v>1650</v>
      </c>
      <c r="DD252" s="125" t="s">
        <v>2696</v>
      </c>
      <c r="DE252" s="125" t="s">
        <v>1390</v>
      </c>
      <c r="DF252" s="126" t="s">
        <v>2667</v>
      </c>
      <c r="DG252" s="27" cm="1">
        <f t="array" ref="DG252">INDEX('elenco partner'!A:M,MATCH(1,(D252='elenco partner'!A:A)*('Partner data'!M252='elenco partner'!E:E),0),4)</f>
        <v>441</v>
      </c>
      <c r="DH252" s="83" t="str">
        <f t="shared" si="98"/>
        <v>COSTO REALE</v>
      </c>
      <c r="DI252" s="20">
        <f>COUNTIFS('MY-REPORT-MAIN'!C:C,'Partner data'!DG252,'MY-REPORT-MAIN'!I:I,"Certified")</f>
        <v>0</v>
      </c>
      <c r="DJ252" s="20">
        <f>COUNTIFS(List_Of_chek_list!M:M,"&lt;&gt;26",List_Of_chek_list!B:B,'Partner data'!DG252)</f>
        <v>0</v>
      </c>
      <c r="DK252" s="20">
        <f t="shared" si="99"/>
        <v>0</v>
      </c>
      <c r="DL252" s="19" t="str">
        <f>IF(DH252="Tasso Forfettario 20%",SUMIFS(List_Of_chek_list!#REF!,List_Of_chek_list!B:B,'Partner data'!DG252),"NON PERTINENTE")</f>
        <v>NON PERTINENTE</v>
      </c>
      <c r="DM252" s="19" t="str">
        <f t="shared" si="100"/>
        <v>NON PERTINENTE</v>
      </c>
      <c r="DN252" s="110">
        <f>_xlfn.MAXIFS('MY-REPORT-MAIN'!K:K,'MY-REPORT-MAIN'!C:C,DG252)</f>
        <v>0</v>
      </c>
      <c r="DO252" s="112" t="str">
        <f>IF(_xlfn.MAXIFS('MY-REPORT-MAIN'!M:M,'MY-REPORT-MAIN'!C:C,DG252)=0,"Nessun rendiconto  Convalidato",_xlfn.MAXIFS('MY-REPORT-MAIN'!M:M,'MY-REPORT-MAIN'!C:C,DG252))</f>
        <v>Nessun rendiconto  Convalidato</v>
      </c>
      <c r="DP252" s="113" t="str" cm="1">
        <f t="array" ref="DP252">IFERROR(INDEX('MY-REPORT-MAIN'!A:Z,MATCH(1,(DO252='MY-REPORT-MAIN'!M:M)*('Partner data'!DG252='MY-REPORT-MAIN'!C:C),0),1),"NON è stato convalidato ancora nessun rendiconto")</f>
        <v>NON è stato convalidato ancora nessun rendiconto</v>
      </c>
      <c r="DQ252" s="111" t="str">
        <f>IFERROR(INDEX('MY-REPORT-MAIN'!A:Z,MATCH('Partner data'!DP252,'MY-REPORT-MAIN'!A:A,0),21),"Nessun Rendiconto ancora convalidato")</f>
        <v>Nessun Rendiconto ancora convalidato</v>
      </c>
      <c r="DR252" s="110" t="e">
        <f>INDEX('Interreg VI-A Italy-Slovenia_pr'!A:E,MATCH('Partner data'!C252,'Interreg VI-A Italy-Slovenia_pr'!A:A,0),3)</f>
        <v>#N/A</v>
      </c>
      <c r="DS252" s="118">
        <f t="shared" si="76"/>
        <v>34615.79</v>
      </c>
      <c r="DT252" s="118">
        <f t="shared" si="77"/>
        <v>69231.58</v>
      </c>
      <c r="DU252" s="118">
        <f t="shared" si="78"/>
        <v>103847.37</v>
      </c>
      <c r="DV252" s="118">
        <f t="shared" si="79"/>
        <v>138465.53999999998</v>
      </c>
      <c r="DW252" s="118">
        <f t="shared" si="80"/>
        <v>138465.53999999998</v>
      </c>
      <c r="DX252" s="118">
        <f t="shared" si="81"/>
        <v>138465.53999999998</v>
      </c>
      <c r="DY252" s="118">
        <f t="shared" si="82"/>
        <v>138465.53999999998</v>
      </c>
      <c r="DZ252" s="118">
        <f t="shared" si="83"/>
        <v>138465.53999999998</v>
      </c>
      <c r="EA252" s="118">
        <f t="shared" si="84"/>
        <v>138465.53999999998</v>
      </c>
      <c r="EB252" s="118">
        <f t="shared" si="85"/>
        <v>138465.53999999998</v>
      </c>
    </row>
    <row r="253" spans="1:132" ht="45" x14ac:dyDescent="0.25">
      <c r="A253" s="121">
        <v>6</v>
      </c>
      <c r="B253" s="122" t="s">
        <v>2688</v>
      </c>
      <c r="C253" s="123" t="s">
        <v>3497</v>
      </c>
      <c r="D253" s="123" t="s">
        <v>3498</v>
      </c>
      <c r="E253" s="123" t="s">
        <v>3498</v>
      </c>
      <c r="F253" s="123" t="s">
        <v>1043</v>
      </c>
      <c r="G253" s="123" t="s">
        <v>6118</v>
      </c>
      <c r="H253" s="123" t="s">
        <v>594</v>
      </c>
      <c r="I253" s="123" t="s">
        <v>595</v>
      </c>
      <c r="J253" s="124" t="s">
        <v>554</v>
      </c>
      <c r="K253" s="124" t="s">
        <v>495</v>
      </c>
      <c r="L253" s="124" t="s">
        <v>519</v>
      </c>
      <c r="M253" s="124" t="s">
        <v>3514</v>
      </c>
      <c r="N253" s="124" t="s">
        <v>3515</v>
      </c>
      <c r="O253" s="124" t="s">
        <v>3516</v>
      </c>
      <c r="P253" s="124" t="s">
        <v>254</v>
      </c>
      <c r="Q253" s="124" t="s">
        <v>499</v>
      </c>
      <c r="R253" s="124" t="s">
        <v>273</v>
      </c>
      <c r="S253" s="32">
        <v>94467.76</v>
      </c>
      <c r="T253" s="32">
        <v>80</v>
      </c>
      <c r="U253" s="32">
        <v>13.32</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23616.94</v>
      </c>
      <c r="AP253" s="32">
        <v>0</v>
      </c>
      <c r="AQ253" s="32">
        <v>23616.94</v>
      </c>
      <c r="AR253" s="32">
        <v>118084.7</v>
      </c>
      <c r="AS253" s="32">
        <v>13.32</v>
      </c>
      <c r="AT253" s="32">
        <v>47130</v>
      </c>
      <c r="AU253" s="32">
        <v>0</v>
      </c>
      <c r="AV253" s="32">
        <v>0</v>
      </c>
      <c r="AW253" s="32">
        <v>47130</v>
      </c>
      <c r="AX253" s="32">
        <v>7069.5</v>
      </c>
      <c r="AY253" s="32">
        <v>7069.5</v>
      </c>
      <c r="AZ253" s="32">
        <v>1885.2</v>
      </c>
      <c r="BA253" s="32">
        <v>1885.2</v>
      </c>
      <c r="BB253" s="32">
        <v>0</v>
      </c>
      <c r="BC253" s="32">
        <v>0</v>
      </c>
      <c r="BD253" s="32">
        <v>62000</v>
      </c>
      <c r="BE253" s="32">
        <v>62000</v>
      </c>
      <c r="BF253" s="32">
        <v>0</v>
      </c>
      <c r="BG253" s="32">
        <v>0</v>
      </c>
      <c r="BH253" s="32">
        <v>0</v>
      </c>
      <c r="BI253" s="32">
        <v>0</v>
      </c>
      <c r="BJ253" s="32">
        <v>0</v>
      </c>
      <c r="BK253" s="32">
        <v>0</v>
      </c>
      <c r="BL253" s="32">
        <v>0</v>
      </c>
      <c r="BM253" s="32">
        <v>0</v>
      </c>
      <c r="BN253" s="32">
        <v>0</v>
      </c>
      <c r="BO253" s="32">
        <v>0</v>
      </c>
      <c r="BP253" s="32">
        <v>0</v>
      </c>
      <c r="BQ253" s="32">
        <v>16216.94</v>
      </c>
      <c r="BR253" s="32">
        <v>29825.41</v>
      </c>
      <c r="BS253" s="32">
        <v>37825.410000000003</v>
      </c>
      <c r="BT253" s="32">
        <v>34216.94</v>
      </c>
      <c r="BU253" s="32">
        <v>0</v>
      </c>
      <c r="BV253" s="32">
        <v>0</v>
      </c>
      <c r="BW253" s="32">
        <v>0</v>
      </c>
      <c r="BX253" s="32">
        <v>0</v>
      </c>
      <c r="BY253" s="32">
        <v>0</v>
      </c>
      <c r="BZ253" s="32">
        <v>0</v>
      </c>
      <c r="CA253" s="32">
        <v>0</v>
      </c>
      <c r="CB253" s="125" t="s">
        <v>212</v>
      </c>
      <c r="CC253" s="125"/>
      <c r="CD253" s="125"/>
      <c r="CE253" s="125" t="s">
        <v>501</v>
      </c>
      <c r="CF253" s="125" t="s">
        <v>757</v>
      </c>
      <c r="CG253" s="125" t="s">
        <v>3517</v>
      </c>
      <c r="CH253" s="125" t="s">
        <v>504</v>
      </c>
      <c r="CI253" s="125" t="s">
        <v>3518</v>
      </c>
      <c r="CJ253" s="125" t="s">
        <v>212</v>
      </c>
      <c r="CK253" s="125"/>
      <c r="CL253" s="125" t="s">
        <v>212</v>
      </c>
      <c r="CM253" s="125"/>
      <c r="CN253" s="125" t="s">
        <v>254</v>
      </c>
      <c r="CO253" s="125" t="s">
        <v>273</v>
      </c>
      <c r="CP253" s="125" t="s">
        <v>3519</v>
      </c>
      <c r="CQ253" s="125" t="s">
        <v>970</v>
      </c>
      <c r="CR253" s="125" t="s">
        <v>3520</v>
      </c>
      <c r="CS253" s="125" t="s">
        <v>3521</v>
      </c>
      <c r="CT253" s="125" t="s">
        <v>254</v>
      </c>
      <c r="CU253" s="125" t="s">
        <v>273</v>
      </c>
      <c r="CV253" s="125" t="s">
        <v>725</v>
      </c>
      <c r="CW253" s="125" t="s">
        <v>665</v>
      </c>
      <c r="CX253" s="125" t="s">
        <v>665</v>
      </c>
      <c r="CY253" s="125" t="s">
        <v>547</v>
      </c>
      <c r="CZ253" s="125" t="s">
        <v>3522</v>
      </c>
      <c r="DA253" s="125" t="s">
        <v>3523</v>
      </c>
      <c r="DB253" s="125" t="s">
        <v>547</v>
      </c>
      <c r="DC253" s="125" t="s">
        <v>3524</v>
      </c>
      <c r="DD253" s="125" t="s">
        <v>3525</v>
      </c>
      <c r="DE253" s="125" t="s">
        <v>3526</v>
      </c>
      <c r="DF253" s="126" t="s">
        <v>3527</v>
      </c>
      <c r="DG253" s="27" cm="1">
        <f t="array" ref="DG253">INDEX('elenco partner'!A:M,MATCH(1,(D253='elenco partner'!A:A)*('Partner data'!M253='elenco partner'!E:E),0),4)</f>
        <v>442</v>
      </c>
      <c r="DH253" s="83" t="str">
        <f t="shared" si="98"/>
        <v>Costo Unitario Standard</v>
      </c>
      <c r="DI253" s="20">
        <f>COUNTIFS('MY-REPORT-MAIN'!C:C,'Partner data'!DG253,'MY-REPORT-MAIN'!I:I,"Certified")</f>
        <v>0</v>
      </c>
      <c r="DJ253" s="20">
        <f>COUNTIFS(List_Of_chek_list!M:M,"&lt;&gt;26",List_Of_chek_list!B:B,'Partner data'!DG253)</f>
        <v>0</v>
      </c>
      <c r="DK253" s="20">
        <f t="shared" si="99"/>
        <v>0</v>
      </c>
      <c r="DL253" s="19" t="str">
        <f>IF(DH253="Tasso Forfettario 20%",SUMIFS(List_Of_chek_list!#REF!,List_Of_chek_list!B:B,'Partner data'!DG253),"NON PERTINENTE")</f>
        <v>NON PERTINENTE</v>
      </c>
      <c r="DM253" s="19" t="str">
        <f t="shared" si="100"/>
        <v>NON PERTINENTE</v>
      </c>
      <c r="DN253" s="110">
        <f>_xlfn.MAXIFS('MY-REPORT-MAIN'!K:K,'MY-REPORT-MAIN'!C:C,DG253)</f>
        <v>0</v>
      </c>
      <c r="DO253" s="112" t="str">
        <f>IF(_xlfn.MAXIFS('MY-REPORT-MAIN'!M:M,'MY-REPORT-MAIN'!C:C,DG253)=0,"Nessun rendiconto  Convalidato",_xlfn.MAXIFS('MY-REPORT-MAIN'!M:M,'MY-REPORT-MAIN'!C:C,DG253))</f>
        <v>Nessun rendiconto  Convalidato</v>
      </c>
      <c r="DP253" s="113" t="str" cm="1">
        <f t="array" ref="DP253">IFERROR(INDEX('MY-REPORT-MAIN'!A:Z,MATCH(1,(DO253='MY-REPORT-MAIN'!M:M)*('Partner data'!DG253='MY-REPORT-MAIN'!C:C),0),1),"NON è stato convalidato ancora nessun rendiconto")</f>
        <v>NON è stato convalidato ancora nessun rendiconto</v>
      </c>
      <c r="DQ253" s="111" t="str">
        <f>IFERROR(INDEX('MY-REPORT-MAIN'!A:Z,MATCH('Partner data'!DP253,'MY-REPORT-MAIN'!A:A,0),21),"Nessun Rendiconto ancora convalidato")</f>
        <v>Nessun Rendiconto ancora convalidato</v>
      </c>
      <c r="DR253" s="110" t="e">
        <f>INDEX('Interreg VI-A Italy-Slovenia_pr'!A:E,MATCH('Partner data'!C253,'Interreg VI-A Italy-Slovenia_pr'!A:A,0),3)</f>
        <v>#N/A</v>
      </c>
      <c r="DS253" s="118">
        <f t="shared" si="76"/>
        <v>16216.94</v>
      </c>
      <c r="DT253" s="118">
        <f t="shared" si="77"/>
        <v>46042.35</v>
      </c>
      <c r="DU253" s="118">
        <f t="shared" si="78"/>
        <v>83867.760000000009</v>
      </c>
      <c r="DV253" s="118">
        <f t="shared" si="79"/>
        <v>118084.70000000001</v>
      </c>
      <c r="DW253" s="118">
        <f t="shared" si="80"/>
        <v>118084.70000000001</v>
      </c>
      <c r="DX253" s="118">
        <f t="shared" si="81"/>
        <v>118084.70000000001</v>
      </c>
      <c r="DY253" s="118">
        <f t="shared" si="82"/>
        <v>118084.70000000001</v>
      </c>
      <c r="DZ253" s="118">
        <f t="shared" si="83"/>
        <v>118084.70000000001</v>
      </c>
      <c r="EA253" s="118">
        <f t="shared" si="84"/>
        <v>118084.70000000001</v>
      </c>
      <c r="EB253" s="118">
        <f t="shared" si="85"/>
        <v>118084.70000000001</v>
      </c>
    </row>
    <row r="254" spans="1:132" ht="45" x14ac:dyDescent="0.25">
      <c r="A254" s="121">
        <v>6</v>
      </c>
      <c r="B254" s="122" t="s">
        <v>2688</v>
      </c>
      <c r="C254" s="123" t="s">
        <v>3497</v>
      </c>
      <c r="D254" s="123" t="s">
        <v>3498</v>
      </c>
      <c r="E254" s="123" t="s">
        <v>3498</v>
      </c>
      <c r="F254" s="123" t="s">
        <v>1043</v>
      </c>
      <c r="G254" s="123" t="s">
        <v>6118</v>
      </c>
      <c r="H254" s="123" t="s">
        <v>594</v>
      </c>
      <c r="I254" s="123" t="s">
        <v>595</v>
      </c>
      <c r="J254" s="124" t="s">
        <v>570</v>
      </c>
      <c r="K254" s="124" t="s">
        <v>495</v>
      </c>
      <c r="L254" s="124" t="s">
        <v>519</v>
      </c>
      <c r="M254" s="124" t="s">
        <v>37</v>
      </c>
      <c r="N254" s="124" t="s">
        <v>3528</v>
      </c>
      <c r="O254" s="124" t="s">
        <v>2160</v>
      </c>
      <c r="P254" s="124" t="s">
        <v>254</v>
      </c>
      <c r="Q254" s="124" t="s">
        <v>499</v>
      </c>
      <c r="R254" s="124" t="s">
        <v>266</v>
      </c>
      <c r="S254" s="32">
        <v>111999.99</v>
      </c>
      <c r="T254" s="32">
        <v>80</v>
      </c>
      <c r="U254" s="32">
        <v>15.79</v>
      </c>
      <c r="V254" s="32">
        <v>0</v>
      </c>
      <c r="W254" s="32">
        <v>0</v>
      </c>
      <c r="X254" s="32">
        <v>0</v>
      </c>
      <c r="Y254" s="32">
        <v>0</v>
      </c>
      <c r="Z254" s="32">
        <v>0</v>
      </c>
      <c r="AA254" s="32">
        <v>0</v>
      </c>
      <c r="AB254" s="32">
        <v>0</v>
      </c>
      <c r="AC254" s="32">
        <v>0</v>
      </c>
      <c r="AD254" s="32">
        <v>0</v>
      </c>
      <c r="AE254" s="32">
        <v>0</v>
      </c>
      <c r="AF254" s="32">
        <v>0</v>
      </c>
      <c r="AG254" s="32">
        <v>0</v>
      </c>
      <c r="AH254" s="32">
        <v>0</v>
      </c>
      <c r="AI254" s="32">
        <v>0</v>
      </c>
      <c r="AJ254" s="32">
        <v>0</v>
      </c>
      <c r="AK254" s="32">
        <v>0</v>
      </c>
      <c r="AL254" s="32">
        <v>0</v>
      </c>
      <c r="AM254" s="32">
        <v>0</v>
      </c>
      <c r="AN254" s="32">
        <v>0</v>
      </c>
      <c r="AO254" s="32">
        <v>28000</v>
      </c>
      <c r="AP254" s="32">
        <v>0</v>
      </c>
      <c r="AQ254" s="32">
        <v>28000</v>
      </c>
      <c r="AR254" s="32">
        <v>139999.99</v>
      </c>
      <c r="AS254" s="32">
        <v>15.79</v>
      </c>
      <c r="AT254" s="32">
        <v>69541.919999999998</v>
      </c>
      <c r="AU254" s="32">
        <v>0</v>
      </c>
      <c r="AV254" s="32">
        <v>69541.919999999998</v>
      </c>
      <c r="AW254" s="32">
        <v>0</v>
      </c>
      <c r="AX254" s="32">
        <v>10431.280000000001</v>
      </c>
      <c r="AY254" s="32">
        <v>10431.280000000001</v>
      </c>
      <c r="AZ254" s="32">
        <v>2781.67</v>
      </c>
      <c r="BA254" s="32">
        <v>2781.67</v>
      </c>
      <c r="BB254" s="32">
        <v>0</v>
      </c>
      <c r="BC254" s="32">
        <v>0</v>
      </c>
      <c r="BD254" s="32">
        <v>57245.120000000003</v>
      </c>
      <c r="BE254" s="32">
        <v>57245.120000000003</v>
      </c>
      <c r="BF254" s="32">
        <v>0</v>
      </c>
      <c r="BG254" s="32">
        <v>0</v>
      </c>
      <c r="BH254" s="32">
        <v>0</v>
      </c>
      <c r="BI254" s="32">
        <v>0</v>
      </c>
      <c r="BJ254" s="32">
        <v>0</v>
      </c>
      <c r="BK254" s="32">
        <v>0</v>
      </c>
      <c r="BL254" s="32">
        <v>0</v>
      </c>
      <c r="BM254" s="32">
        <v>0</v>
      </c>
      <c r="BN254" s="32">
        <v>0</v>
      </c>
      <c r="BO254" s="32">
        <v>0</v>
      </c>
      <c r="BP254" s="32">
        <v>0</v>
      </c>
      <c r="BQ254" s="32">
        <v>20688.71</v>
      </c>
      <c r="BR254" s="32">
        <v>35133.83</v>
      </c>
      <c r="BS254" s="32">
        <v>32488.71</v>
      </c>
      <c r="BT254" s="32">
        <v>51688.74</v>
      </c>
      <c r="BU254" s="32">
        <v>0</v>
      </c>
      <c r="BV254" s="32">
        <v>0</v>
      </c>
      <c r="BW254" s="32">
        <v>0</v>
      </c>
      <c r="BX254" s="32">
        <v>0</v>
      </c>
      <c r="BY254" s="32">
        <v>0</v>
      </c>
      <c r="BZ254" s="32">
        <v>0</v>
      </c>
      <c r="CA254" s="32">
        <v>0</v>
      </c>
      <c r="CB254" s="125" t="s">
        <v>212</v>
      </c>
      <c r="CC254" s="125"/>
      <c r="CD254" s="125"/>
      <c r="CE254" s="125" t="s">
        <v>684</v>
      </c>
      <c r="CF254" s="125" t="s">
        <v>636</v>
      </c>
      <c r="CG254" s="125" t="s">
        <v>665</v>
      </c>
      <c r="CH254" s="125" t="s">
        <v>526</v>
      </c>
      <c r="CI254" s="125" t="s">
        <v>2161</v>
      </c>
      <c r="CJ254" s="125" t="s">
        <v>1764</v>
      </c>
      <c r="CK254" s="125" t="s">
        <v>2162</v>
      </c>
      <c r="CL254" s="125" t="s">
        <v>212</v>
      </c>
      <c r="CM254" s="125"/>
      <c r="CN254" s="125" t="s">
        <v>254</v>
      </c>
      <c r="CO254" s="125" t="s">
        <v>266</v>
      </c>
      <c r="CP254" s="125" t="s">
        <v>2163</v>
      </c>
      <c r="CQ254" s="125" t="s">
        <v>3529</v>
      </c>
      <c r="CR254" s="125" t="s">
        <v>1691</v>
      </c>
      <c r="CS254" s="125" t="s">
        <v>3530</v>
      </c>
      <c r="CT254" s="125" t="s">
        <v>254</v>
      </c>
      <c r="CU254" s="125" t="s">
        <v>266</v>
      </c>
      <c r="CV254" s="125" t="s">
        <v>725</v>
      </c>
      <c r="CW254" s="125" t="s">
        <v>665</v>
      </c>
      <c r="CX254" s="125" t="s">
        <v>665</v>
      </c>
      <c r="CY254" s="125" t="s">
        <v>531</v>
      </c>
      <c r="CZ254" s="125" t="s">
        <v>3531</v>
      </c>
      <c r="DA254" s="125" t="s">
        <v>2166</v>
      </c>
      <c r="DB254" s="125" t="s">
        <v>547</v>
      </c>
      <c r="DC254" s="125" t="s">
        <v>3532</v>
      </c>
      <c r="DD254" s="125" t="s">
        <v>2168</v>
      </c>
      <c r="DE254" s="125" t="s">
        <v>3533</v>
      </c>
      <c r="DF254" s="126" t="s">
        <v>3534</v>
      </c>
      <c r="DG254" s="27" cm="1">
        <f t="array" ref="DG254">INDEX('elenco partner'!A:M,MATCH(1,(D254='elenco partner'!A:A)*('Partner data'!M254='elenco partner'!E:E),0),4)</f>
        <v>443</v>
      </c>
      <c r="DH254" s="83" t="str">
        <f t="shared" si="98"/>
        <v>COSTO REALE</v>
      </c>
      <c r="DI254" s="20">
        <f>COUNTIFS('MY-REPORT-MAIN'!C:C,'Partner data'!DG254,'MY-REPORT-MAIN'!I:I,"Certified")</f>
        <v>0</v>
      </c>
      <c r="DJ254" s="20">
        <f>COUNTIFS(List_Of_chek_list!M:M,"&lt;&gt;26",List_Of_chek_list!B:B,'Partner data'!DG254)</f>
        <v>0</v>
      </c>
      <c r="DK254" s="20">
        <f t="shared" si="99"/>
        <v>0</v>
      </c>
      <c r="DL254" s="19" t="str">
        <f>IF(DH254="Tasso Forfettario 20%",SUMIFS(List_Of_chek_list!#REF!,List_Of_chek_list!B:B,'Partner data'!DG254),"NON PERTINENTE")</f>
        <v>NON PERTINENTE</v>
      </c>
      <c r="DM254" s="19" t="str">
        <f t="shared" si="100"/>
        <v>NON PERTINENTE</v>
      </c>
      <c r="DN254" s="110">
        <f>_xlfn.MAXIFS('MY-REPORT-MAIN'!K:K,'MY-REPORT-MAIN'!C:C,DG254)</f>
        <v>0</v>
      </c>
      <c r="DO254" s="112" t="str">
        <f>IF(_xlfn.MAXIFS('MY-REPORT-MAIN'!M:M,'MY-REPORT-MAIN'!C:C,DG254)=0,"Nessun rendiconto  Convalidato",_xlfn.MAXIFS('MY-REPORT-MAIN'!M:M,'MY-REPORT-MAIN'!C:C,DG254))</f>
        <v>Nessun rendiconto  Convalidato</v>
      </c>
      <c r="DP254" s="113" t="str" cm="1">
        <f t="array" ref="DP254">IFERROR(INDEX('MY-REPORT-MAIN'!A:Z,MATCH(1,(DO254='MY-REPORT-MAIN'!M:M)*('Partner data'!DG254='MY-REPORT-MAIN'!C:C),0),1),"NON è stato convalidato ancora nessun rendiconto")</f>
        <v>NON è stato convalidato ancora nessun rendiconto</v>
      </c>
      <c r="DQ254" s="111" t="str">
        <f>IFERROR(INDEX('MY-REPORT-MAIN'!A:Z,MATCH('Partner data'!DP254,'MY-REPORT-MAIN'!A:A,0),21),"Nessun Rendiconto ancora convalidato")</f>
        <v>Nessun Rendiconto ancora convalidato</v>
      </c>
      <c r="DR254" s="110" t="e">
        <f>INDEX('Interreg VI-A Italy-Slovenia_pr'!A:E,MATCH('Partner data'!C254,'Interreg VI-A Italy-Slovenia_pr'!A:A,0),3)</f>
        <v>#N/A</v>
      </c>
      <c r="DS254" s="118">
        <f t="shared" si="76"/>
        <v>20688.71</v>
      </c>
      <c r="DT254" s="118">
        <f t="shared" si="77"/>
        <v>55822.54</v>
      </c>
      <c r="DU254" s="118">
        <f t="shared" si="78"/>
        <v>88311.25</v>
      </c>
      <c r="DV254" s="118">
        <f t="shared" si="79"/>
        <v>139999.99</v>
      </c>
      <c r="DW254" s="118">
        <f t="shared" si="80"/>
        <v>139999.99</v>
      </c>
      <c r="DX254" s="118">
        <f t="shared" si="81"/>
        <v>139999.99</v>
      </c>
      <c r="DY254" s="118">
        <f t="shared" si="82"/>
        <v>139999.99</v>
      </c>
      <c r="DZ254" s="118">
        <f t="shared" si="83"/>
        <v>139999.99</v>
      </c>
      <c r="EA254" s="118">
        <f t="shared" si="84"/>
        <v>139999.99</v>
      </c>
      <c r="EB254" s="118">
        <f t="shared" si="85"/>
        <v>139999.99</v>
      </c>
    </row>
    <row r="255" spans="1:132" ht="45" x14ac:dyDescent="0.25">
      <c r="A255" s="121">
        <v>6</v>
      </c>
      <c r="B255" s="122" t="s">
        <v>2688</v>
      </c>
      <c r="C255" s="123" t="s">
        <v>3497</v>
      </c>
      <c r="D255" s="123" t="s">
        <v>3498</v>
      </c>
      <c r="E255" s="123" t="s">
        <v>3498</v>
      </c>
      <c r="F255" s="123" t="s">
        <v>1043</v>
      </c>
      <c r="G255" s="123" t="s">
        <v>6118</v>
      </c>
      <c r="H255" s="123" t="s">
        <v>594</v>
      </c>
      <c r="I255" s="123" t="s">
        <v>595</v>
      </c>
      <c r="J255" s="124" t="s">
        <v>581</v>
      </c>
      <c r="K255" s="124" t="s">
        <v>495</v>
      </c>
      <c r="L255" s="124" t="s">
        <v>519</v>
      </c>
      <c r="M255" s="124" t="s">
        <v>899</v>
      </c>
      <c r="N255" s="124" t="s">
        <v>3535</v>
      </c>
      <c r="O255" s="124" t="s">
        <v>3536</v>
      </c>
      <c r="P255" s="124" t="s">
        <v>257</v>
      </c>
      <c r="Q255" s="124" t="s">
        <v>556</v>
      </c>
      <c r="R255" s="124" t="s">
        <v>269</v>
      </c>
      <c r="S255" s="32">
        <v>113119.53</v>
      </c>
      <c r="T255" s="32">
        <v>80</v>
      </c>
      <c r="U255" s="32">
        <v>15.95</v>
      </c>
      <c r="V255" s="32">
        <v>0</v>
      </c>
      <c r="W255" s="32">
        <v>0</v>
      </c>
      <c r="X255" s="32">
        <v>0</v>
      </c>
      <c r="Y255" s="32">
        <v>0</v>
      </c>
      <c r="Z255" s="32">
        <v>0</v>
      </c>
      <c r="AA255" s="32">
        <v>0</v>
      </c>
      <c r="AB255" s="32">
        <v>0</v>
      </c>
      <c r="AC255" s="32">
        <v>0</v>
      </c>
      <c r="AD255" s="32">
        <v>0</v>
      </c>
      <c r="AE255" s="32">
        <v>0</v>
      </c>
      <c r="AF255" s="32">
        <v>0</v>
      </c>
      <c r="AG255" s="32">
        <v>0</v>
      </c>
      <c r="AH255" s="32">
        <v>0</v>
      </c>
      <c r="AI255" s="32">
        <v>0</v>
      </c>
      <c r="AJ255" s="32">
        <v>0</v>
      </c>
      <c r="AK255" s="32">
        <v>0</v>
      </c>
      <c r="AL255" s="32">
        <v>0</v>
      </c>
      <c r="AM255" s="32">
        <v>0</v>
      </c>
      <c r="AN255" s="32">
        <v>28279.89</v>
      </c>
      <c r="AO255" s="32">
        <v>0</v>
      </c>
      <c r="AP255" s="32">
        <v>0</v>
      </c>
      <c r="AQ255" s="32">
        <v>28279.89</v>
      </c>
      <c r="AR255" s="32">
        <v>141399.42000000001</v>
      </c>
      <c r="AS255" s="32">
        <v>15.95</v>
      </c>
      <c r="AT255" s="32">
        <v>100999.59</v>
      </c>
      <c r="AU255" s="32">
        <v>0</v>
      </c>
      <c r="AV255" s="32">
        <v>100999.59</v>
      </c>
      <c r="AW255" s="32">
        <v>0</v>
      </c>
      <c r="AX255" s="32">
        <v>0</v>
      </c>
      <c r="AY255" s="32">
        <v>0</v>
      </c>
      <c r="AZ255" s="32">
        <v>0</v>
      </c>
      <c r="BA255" s="32">
        <v>0</v>
      </c>
      <c r="BB255" s="32">
        <v>0</v>
      </c>
      <c r="BC255" s="32">
        <v>0</v>
      </c>
      <c r="BD255" s="32">
        <v>0</v>
      </c>
      <c r="BE255" s="32">
        <v>0</v>
      </c>
      <c r="BF255" s="32">
        <v>0</v>
      </c>
      <c r="BG255" s="32">
        <v>0</v>
      </c>
      <c r="BH255" s="32">
        <v>0</v>
      </c>
      <c r="BI255" s="32">
        <v>0</v>
      </c>
      <c r="BJ255" s="32">
        <v>0</v>
      </c>
      <c r="BK255" s="32">
        <v>0</v>
      </c>
      <c r="BL255" s="32">
        <v>0</v>
      </c>
      <c r="BM255" s="32">
        <v>40399.83</v>
      </c>
      <c r="BN255" s="32">
        <v>0</v>
      </c>
      <c r="BO255" s="32">
        <v>0</v>
      </c>
      <c r="BP255" s="32">
        <v>0</v>
      </c>
      <c r="BQ255" s="32">
        <v>35349.839999999997</v>
      </c>
      <c r="BR255" s="32">
        <v>35349.86</v>
      </c>
      <c r="BS255" s="32">
        <v>35349.86</v>
      </c>
      <c r="BT255" s="32">
        <v>35349.86</v>
      </c>
      <c r="BU255" s="32">
        <v>0</v>
      </c>
      <c r="BV255" s="32">
        <v>0</v>
      </c>
      <c r="BW255" s="32">
        <v>0</v>
      </c>
      <c r="BX255" s="32">
        <v>0</v>
      </c>
      <c r="BY255" s="32">
        <v>0</v>
      </c>
      <c r="BZ255" s="32">
        <v>0</v>
      </c>
      <c r="CA255" s="32">
        <v>0</v>
      </c>
      <c r="CB255" s="125" t="s">
        <v>665</v>
      </c>
      <c r="CC255" s="125" t="s">
        <v>541</v>
      </c>
      <c r="CD255" s="125" t="s">
        <v>653</v>
      </c>
      <c r="CE255" s="125" t="s">
        <v>684</v>
      </c>
      <c r="CF255" s="125" t="s">
        <v>744</v>
      </c>
      <c r="CG255" s="125" t="s">
        <v>902</v>
      </c>
      <c r="CH255" s="125" t="s">
        <v>619</v>
      </c>
      <c r="CI255" s="125" t="s">
        <v>665</v>
      </c>
      <c r="CJ255" s="125" t="s">
        <v>665</v>
      </c>
      <c r="CK255" s="125" t="s">
        <v>903</v>
      </c>
      <c r="CL255" s="125" t="s">
        <v>212</v>
      </c>
      <c r="CM255" s="125"/>
      <c r="CN255" s="125" t="s">
        <v>257</v>
      </c>
      <c r="CO255" s="125" t="s">
        <v>269</v>
      </c>
      <c r="CP255" s="125" t="s">
        <v>904</v>
      </c>
      <c r="CQ255" s="125" t="s">
        <v>905</v>
      </c>
      <c r="CR255" s="125" t="s">
        <v>3537</v>
      </c>
      <c r="CS255" s="125" t="s">
        <v>907</v>
      </c>
      <c r="CT255" s="125" t="s">
        <v>257</v>
      </c>
      <c r="CU255" s="125" t="s">
        <v>269</v>
      </c>
      <c r="CV255" s="125" t="s">
        <v>725</v>
      </c>
      <c r="CW255" s="125" t="s">
        <v>665</v>
      </c>
      <c r="CX255" s="125" t="s">
        <v>665</v>
      </c>
      <c r="CY255" s="125" t="s">
        <v>2479</v>
      </c>
      <c r="CZ255" s="125" t="s">
        <v>908</v>
      </c>
      <c r="DA255" s="125" t="s">
        <v>909</v>
      </c>
      <c r="DB255" s="125" t="s">
        <v>2479</v>
      </c>
      <c r="DC255" s="125" t="s">
        <v>908</v>
      </c>
      <c r="DD255" s="125" t="s">
        <v>909</v>
      </c>
      <c r="DE255" s="125" t="s">
        <v>3538</v>
      </c>
      <c r="DF255" s="126" t="s">
        <v>3020</v>
      </c>
      <c r="DG255" s="27" cm="1">
        <f t="array" ref="DG255">INDEX('elenco partner'!A:M,MATCH(1,(D255='elenco partner'!A:A)*('Partner data'!M255='elenco partner'!E:E),0),4)</f>
        <v>576</v>
      </c>
      <c r="DH255" s="83" t="str">
        <f t="shared" si="98"/>
        <v>COSTO REALE</v>
      </c>
      <c r="DI255" s="20">
        <f>COUNTIFS('MY-REPORT-MAIN'!C:C,'Partner data'!DG255,'MY-REPORT-MAIN'!I:I,"Certified")</f>
        <v>0</v>
      </c>
      <c r="DJ255" s="20">
        <f>COUNTIFS(List_Of_chek_list!M:M,"&lt;&gt;26",List_Of_chek_list!B:B,'Partner data'!DG255)</f>
        <v>0</v>
      </c>
      <c r="DK255" s="20">
        <f t="shared" si="99"/>
        <v>0</v>
      </c>
      <c r="DL255" s="19" t="str">
        <f>IF(DH255="Tasso Forfettario 20%",SUMIFS(List_Of_chek_list!#REF!,List_Of_chek_list!B:B,'Partner data'!DG255),"NON PERTINENTE")</f>
        <v>NON PERTINENTE</v>
      </c>
      <c r="DM255" s="19" t="str">
        <f t="shared" si="100"/>
        <v>NON PERTINENTE</v>
      </c>
      <c r="DN255" s="110">
        <f>_xlfn.MAXIFS('MY-REPORT-MAIN'!K:K,'MY-REPORT-MAIN'!C:C,DG255)</f>
        <v>0</v>
      </c>
      <c r="DO255" s="112" t="str">
        <f>IF(_xlfn.MAXIFS('MY-REPORT-MAIN'!M:M,'MY-REPORT-MAIN'!C:C,DG255)=0,"Nessun rendiconto  Convalidato",_xlfn.MAXIFS('MY-REPORT-MAIN'!M:M,'MY-REPORT-MAIN'!C:C,DG255))</f>
        <v>Nessun rendiconto  Convalidato</v>
      </c>
      <c r="DP255" s="113" t="str" cm="1">
        <f t="array" ref="DP255">IFERROR(INDEX('MY-REPORT-MAIN'!A:Z,MATCH(1,(DO255='MY-REPORT-MAIN'!M:M)*('Partner data'!DG255='MY-REPORT-MAIN'!C:C),0),1),"NON è stato convalidato ancora nessun rendiconto")</f>
        <v>NON è stato convalidato ancora nessun rendiconto</v>
      </c>
      <c r="DQ255" s="111" t="str">
        <f>IFERROR(INDEX('MY-REPORT-MAIN'!A:Z,MATCH('Partner data'!DP255,'MY-REPORT-MAIN'!A:A,0),21),"Nessun Rendiconto ancora convalidato")</f>
        <v>Nessun Rendiconto ancora convalidato</v>
      </c>
      <c r="DR255" s="110" t="e">
        <f>INDEX('Interreg VI-A Italy-Slovenia_pr'!A:E,MATCH('Partner data'!C255,'Interreg VI-A Italy-Slovenia_pr'!A:A,0),3)</f>
        <v>#N/A</v>
      </c>
      <c r="DS255" s="118">
        <f t="shared" si="76"/>
        <v>35349.839999999997</v>
      </c>
      <c r="DT255" s="118">
        <f t="shared" si="77"/>
        <v>70699.7</v>
      </c>
      <c r="DU255" s="118">
        <f t="shared" si="78"/>
        <v>106049.56</v>
      </c>
      <c r="DV255" s="118">
        <f t="shared" si="79"/>
        <v>141399.41999999998</v>
      </c>
      <c r="DW255" s="118">
        <f t="shared" si="80"/>
        <v>141399.41999999998</v>
      </c>
      <c r="DX255" s="118">
        <f t="shared" si="81"/>
        <v>141399.41999999998</v>
      </c>
      <c r="DY255" s="118">
        <f t="shared" si="82"/>
        <v>141399.41999999998</v>
      </c>
      <c r="DZ255" s="118">
        <f t="shared" si="83"/>
        <v>141399.41999999998</v>
      </c>
      <c r="EA255" s="118">
        <f t="shared" si="84"/>
        <v>141399.41999999998</v>
      </c>
      <c r="EB255" s="118">
        <f t="shared" si="85"/>
        <v>141399.41999999998</v>
      </c>
    </row>
    <row r="256" spans="1:132" ht="45" x14ac:dyDescent="0.25">
      <c r="A256" s="121">
        <v>6</v>
      </c>
      <c r="B256" s="122" t="s">
        <v>2688</v>
      </c>
      <c r="C256" s="123" t="s">
        <v>3539</v>
      </c>
      <c r="D256" s="123" t="s">
        <v>3540</v>
      </c>
      <c r="E256" s="123" t="s">
        <v>3541</v>
      </c>
      <c r="F256" s="123" t="s">
        <v>593</v>
      </c>
      <c r="G256" s="123" t="s">
        <v>491</v>
      </c>
      <c r="H256" s="123" t="s">
        <v>691</v>
      </c>
      <c r="I256" s="123" t="s">
        <v>692</v>
      </c>
      <c r="J256" s="124" t="s">
        <v>494</v>
      </c>
      <c r="K256" s="124" t="s">
        <v>495</v>
      </c>
      <c r="L256" s="124" t="s">
        <v>496</v>
      </c>
      <c r="M256" s="124" t="s">
        <v>36</v>
      </c>
      <c r="N256" s="124" t="s">
        <v>3542</v>
      </c>
      <c r="O256" s="124" t="s">
        <v>3543</v>
      </c>
      <c r="P256" s="124" t="s">
        <v>257</v>
      </c>
      <c r="Q256" s="124" t="s">
        <v>556</v>
      </c>
      <c r="R256" s="124" t="s">
        <v>269</v>
      </c>
      <c r="S256" s="32">
        <v>157056</v>
      </c>
      <c r="T256" s="32">
        <v>80</v>
      </c>
      <c r="U256" s="32">
        <v>21.41</v>
      </c>
      <c r="V256" s="32">
        <v>0</v>
      </c>
      <c r="W256" s="32">
        <v>0</v>
      </c>
      <c r="X256" s="32">
        <v>0</v>
      </c>
      <c r="Y256" s="32">
        <v>0</v>
      </c>
      <c r="Z256" s="32">
        <v>0</v>
      </c>
      <c r="AA256" s="32">
        <v>0</v>
      </c>
      <c r="AB256" s="32">
        <v>0</v>
      </c>
      <c r="AC256" s="32">
        <v>0</v>
      </c>
      <c r="AD256" s="32">
        <v>0</v>
      </c>
      <c r="AE256" s="32">
        <v>0</v>
      </c>
      <c r="AF256" s="32">
        <v>0</v>
      </c>
      <c r="AG256" s="32">
        <v>0</v>
      </c>
      <c r="AH256" s="32">
        <v>0</v>
      </c>
      <c r="AI256" s="32">
        <v>0</v>
      </c>
      <c r="AJ256" s="32">
        <v>0</v>
      </c>
      <c r="AK256" s="32">
        <v>0</v>
      </c>
      <c r="AL256" s="32">
        <v>0</v>
      </c>
      <c r="AM256" s="32">
        <v>0</v>
      </c>
      <c r="AN256" s="32">
        <v>39264</v>
      </c>
      <c r="AO256" s="32">
        <v>0</v>
      </c>
      <c r="AP256" s="32">
        <v>0</v>
      </c>
      <c r="AQ256" s="32">
        <v>39264</v>
      </c>
      <c r="AR256" s="32">
        <v>196320</v>
      </c>
      <c r="AS256" s="32">
        <v>21.41</v>
      </c>
      <c r="AT256" s="32">
        <v>133800</v>
      </c>
      <c r="AU256" s="32">
        <v>0</v>
      </c>
      <c r="AV256" s="32">
        <v>133800</v>
      </c>
      <c r="AW256" s="32">
        <v>0</v>
      </c>
      <c r="AX256" s="32">
        <v>0</v>
      </c>
      <c r="AY256" s="32">
        <v>0</v>
      </c>
      <c r="AZ256" s="32">
        <v>0</v>
      </c>
      <c r="BA256" s="32">
        <v>0</v>
      </c>
      <c r="BB256" s="32">
        <v>0</v>
      </c>
      <c r="BC256" s="32">
        <v>0</v>
      </c>
      <c r="BD256" s="32">
        <v>0</v>
      </c>
      <c r="BE256" s="32">
        <v>0</v>
      </c>
      <c r="BF256" s="32">
        <v>0</v>
      </c>
      <c r="BG256" s="32">
        <v>0</v>
      </c>
      <c r="BH256" s="32">
        <v>0</v>
      </c>
      <c r="BI256" s="32">
        <v>0</v>
      </c>
      <c r="BJ256" s="32">
        <v>0</v>
      </c>
      <c r="BK256" s="32">
        <v>0</v>
      </c>
      <c r="BL256" s="32">
        <v>0</v>
      </c>
      <c r="BM256" s="32">
        <v>53520</v>
      </c>
      <c r="BN256" s="32">
        <v>0</v>
      </c>
      <c r="BO256" s="32">
        <v>9000</v>
      </c>
      <c r="BP256" s="32">
        <v>9000</v>
      </c>
      <c r="BQ256" s="32">
        <v>46830</v>
      </c>
      <c r="BR256" s="32">
        <v>46830</v>
      </c>
      <c r="BS256" s="32">
        <v>46830</v>
      </c>
      <c r="BT256" s="32">
        <v>46830</v>
      </c>
      <c r="BU256" s="32">
        <v>0</v>
      </c>
      <c r="BV256" s="32">
        <v>0</v>
      </c>
      <c r="BW256" s="32">
        <v>0</v>
      </c>
      <c r="BX256" s="32">
        <v>0</v>
      </c>
      <c r="BY256" s="32">
        <v>0</v>
      </c>
      <c r="BZ256" s="32">
        <v>0</v>
      </c>
      <c r="CA256" s="32">
        <v>0</v>
      </c>
      <c r="CB256" s="125" t="s">
        <v>212</v>
      </c>
      <c r="CC256" s="125" t="s">
        <v>743</v>
      </c>
      <c r="CD256" s="125"/>
      <c r="CE256" s="125" t="s">
        <v>523</v>
      </c>
      <c r="CF256" s="125" t="s">
        <v>829</v>
      </c>
      <c r="CG256" s="125" t="s">
        <v>2302</v>
      </c>
      <c r="CH256" s="125" t="s">
        <v>526</v>
      </c>
      <c r="CI256" s="125"/>
      <c r="CJ256" s="125" t="s">
        <v>212</v>
      </c>
      <c r="CK256" s="125" t="s">
        <v>2417</v>
      </c>
      <c r="CL256" s="125" t="s">
        <v>212</v>
      </c>
      <c r="CM256" s="125"/>
      <c r="CN256" s="125" t="s">
        <v>257</v>
      </c>
      <c r="CO256" s="125" t="s">
        <v>269</v>
      </c>
      <c r="CP256" s="125" t="s">
        <v>2418</v>
      </c>
      <c r="CQ256" s="125" t="s">
        <v>2138</v>
      </c>
      <c r="CR256" s="125" t="s">
        <v>2139</v>
      </c>
      <c r="CS256" s="125" t="s">
        <v>2304</v>
      </c>
      <c r="CT256" s="125"/>
      <c r="CU256" s="125"/>
      <c r="CV256" s="125"/>
      <c r="CW256" s="125"/>
      <c r="CX256" s="125"/>
      <c r="CY256" s="125" t="s">
        <v>740</v>
      </c>
      <c r="CZ256" s="125" t="s">
        <v>3544</v>
      </c>
      <c r="DA256" s="125" t="s">
        <v>3545</v>
      </c>
      <c r="DB256" s="125" t="s">
        <v>740</v>
      </c>
      <c r="DC256" s="125" t="s">
        <v>3546</v>
      </c>
      <c r="DD256" s="125" t="s">
        <v>3547</v>
      </c>
      <c r="DE256" s="125" t="s">
        <v>2421</v>
      </c>
      <c r="DF256" s="126" t="s">
        <v>3548</v>
      </c>
      <c r="DG256" s="27" cm="1">
        <f t="array" ref="DG256">INDEX('elenco partner'!A:M,MATCH(1,(D256='elenco partner'!A:A)*('Partner data'!M256='elenco partner'!E:E),0),4)</f>
        <v>457</v>
      </c>
      <c r="DH256" s="83" t="str">
        <f t="shared" ref="DH256:DH260" si="101">IF(AU256&lt;&gt;0,"Tasso Forfettario 20%",IF(AV256&lt;&gt;0,"COSTO REALE",IF(AW256&lt;&gt;0,"Costo Unitario Standard","BL1 non presente")))</f>
        <v>COSTO REALE</v>
      </c>
      <c r="DI256" s="20">
        <f>COUNTIFS('MY-REPORT-MAIN'!C:C,'Partner data'!DG256,'MY-REPORT-MAIN'!I:I,"Certified")</f>
        <v>0</v>
      </c>
      <c r="DJ256" s="20">
        <f>COUNTIFS(List_Of_chek_list!M:M,"&lt;&gt;26",List_Of_chek_list!B:B,'Partner data'!DG256)</f>
        <v>0</v>
      </c>
      <c r="DK256" s="20">
        <f t="shared" ref="DK256:DK260" si="102">DI256-DJ256</f>
        <v>0</v>
      </c>
      <c r="DL256" s="19" t="str">
        <f>IF(DH256="Tasso Forfettario 20%",SUMIFS(List_Of_chek_list!#REF!,List_Of_chek_list!B:B,'Partner data'!DG256),"NON PERTINENTE")</f>
        <v>NON PERTINENTE</v>
      </c>
      <c r="DM256" s="19" t="str">
        <f t="shared" ref="DM256:DM260" si="103">IF(DL256="NON PERTINENTE","NON PERTINENTE",IF(DJ256=DL256,"Rischio basso","Rischio alto"))</f>
        <v>NON PERTINENTE</v>
      </c>
      <c r="DN256" s="110">
        <f>_xlfn.MAXIFS('MY-REPORT-MAIN'!K:K,'MY-REPORT-MAIN'!C:C,DG256)</f>
        <v>0</v>
      </c>
      <c r="DO256" s="112" t="str">
        <f>IF(_xlfn.MAXIFS('MY-REPORT-MAIN'!M:M,'MY-REPORT-MAIN'!C:C,DG256)=0,"Nessun rendiconto  Convalidato",_xlfn.MAXIFS('MY-REPORT-MAIN'!M:M,'MY-REPORT-MAIN'!C:C,DG256))</f>
        <v>Nessun rendiconto  Convalidato</v>
      </c>
      <c r="DP256" s="113" t="str" cm="1">
        <f t="array" ref="DP256">IFERROR(INDEX('MY-REPORT-MAIN'!A:Z,MATCH(1,(DO256='MY-REPORT-MAIN'!M:M)*('Partner data'!DG256='MY-REPORT-MAIN'!C:C),0),1),"NON è stato convalidato ancora nessun rendiconto")</f>
        <v>NON è stato convalidato ancora nessun rendiconto</v>
      </c>
      <c r="DQ256" s="111" t="str">
        <f>IFERROR(INDEX('MY-REPORT-MAIN'!A:Z,MATCH('Partner data'!DP256,'MY-REPORT-MAIN'!A:A,0),21),"Nessun Rendiconto ancora convalidato")</f>
        <v>Nessun Rendiconto ancora convalidato</v>
      </c>
      <c r="DR256" s="110">
        <f>INDEX('Interreg VI-A Italy-Slovenia_pr'!A:E,MATCH('Partner data'!C256,'Interreg VI-A Italy-Slovenia_pr'!A:A,0),3)</f>
        <v>45397</v>
      </c>
      <c r="DS256" s="118">
        <f t="shared" si="76"/>
        <v>55830</v>
      </c>
      <c r="DT256" s="118">
        <f t="shared" si="77"/>
        <v>102660</v>
      </c>
      <c r="DU256" s="118">
        <f t="shared" si="78"/>
        <v>149490</v>
      </c>
      <c r="DV256" s="118">
        <f t="shared" si="79"/>
        <v>196320</v>
      </c>
      <c r="DW256" s="118">
        <f t="shared" si="80"/>
        <v>196320</v>
      </c>
      <c r="DX256" s="118">
        <f t="shared" si="81"/>
        <v>196320</v>
      </c>
      <c r="DY256" s="118">
        <f t="shared" si="82"/>
        <v>196320</v>
      </c>
      <c r="DZ256" s="118">
        <f t="shared" si="83"/>
        <v>196320</v>
      </c>
      <c r="EA256" s="118">
        <f t="shared" si="84"/>
        <v>196320</v>
      </c>
      <c r="EB256" s="118">
        <f t="shared" si="85"/>
        <v>196320</v>
      </c>
    </row>
    <row r="257" spans="1:132" ht="45" x14ac:dyDescent="0.25">
      <c r="A257" s="121">
        <v>6</v>
      </c>
      <c r="B257" s="122" t="s">
        <v>2688</v>
      </c>
      <c r="C257" s="123" t="s">
        <v>3539</v>
      </c>
      <c r="D257" s="123" t="s">
        <v>3540</v>
      </c>
      <c r="E257" s="123" t="s">
        <v>3541</v>
      </c>
      <c r="F257" s="123" t="s">
        <v>593</v>
      </c>
      <c r="G257" s="123" t="s">
        <v>491</v>
      </c>
      <c r="H257" s="123" t="s">
        <v>691</v>
      </c>
      <c r="I257" s="123" t="s">
        <v>692</v>
      </c>
      <c r="J257" s="124" t="s">
        <v>518</v>
      </c>
      <c r="K257" s="124" t="s">
        <v>495</v>
      </c>
      <c r="L257" s="124" t="s">
        <v>519</v>
      </c>
      <c r="M257" s="124" t="s">
        <v>3514</v>
      </c>
      <c r="N257" s="124" t="s">
        <v>3515</v>
      </c>
      <c r="O257" s="124" t="s">
        <v>3516</v>
      </c>
      <c r="P257" s="124" t="s">
        <v>254</v>
      </c>
      <c r="Q257" s="124" t="s">
        <v>499</v>
      </c>
      <c r="R257" s="124" t="s">
        <v>273</v>
      </c>
      <c r="S257" s="32">
        <v>124867.76</v>
      </c>
      <c r="T257" s="32">
        <v>80</v>
      </c>
      <c r="U257" s="32">
        <v>17.02</v>
      </c>
      <c r="V257" s="32">
        <v>0</v>
      </c>
      <c r="W257" s="32">
        <v>0</v>
      </c>
      <c r="X257" s="32">
        <v>0</v>
      </c>
      <c r="Y257" s="32">
        <v>0</v>
      </c>
      <c r="Z257" s="32">
        <v>0</v>
      </c>
      <c r="AA257" s="32">
        <v>0</v>
      </c>
      <c r="AB257" s="32">
        <v>0</v>
      </c>
      <c r="AC257" s="32">
        <v>0</v>
      </c>
      <c r="AD257" s="32">
        <v>0</v>
      </c>
      <c r="AE257" s="32">
        <v>0</v>
      </c>
      <c r="AF257" s="32">
        <v>0</v>
      </c>
      <c r="AG257" s="32">
        <v>0</v>
      </c>
      <c r="AH257" s="32">
        <v>0</v>
      </c>
      <c r="AI257" s="32">
        <v>0</v>
      </c>
      <c r="AJ257" s="32">
        <v>0</v>
      </c>
      <c r="AK257" s="32">
        <v>0</v>
      </c>
      <c r="AL257" s="32">
        <v>0</v>
      </c>
      <c r="AM257" s="32">
        <v>0</v>
      </c>
      <c r="AN257" s="32">
        <v>0</v>
      </c>
      <c r="AO257" s="32">
        <v>31216.94</v>
      </c>
      <c r="AP257" s="32">
        <v>0</v>
      </c>
      <c r="AQ257" s="32">
        <v>31216.94</v>
      </c>
      <c r="AR257" s="32">
        <v>156084.70000000001</v>
      </c>
      <c r="AS257" s="32">
        <v>17.02</v>
      </c>
      <c r="AT257" s="32">
        <v>47130</v>
      </c>
      <c r="AU257" s="32">
        <v>0</v>
      </c>
      <c r="AV257" s="32">
        <v>0</v>
      </c>
      <c r="AW257" s="32">
        <v>47130</v>
      </c>
      <c r="AX257" s="32">
        <v>7069.5</v>
      </c>
      <c r="AY257" s="32">
        <v>7069.5</v>
      </c>
      <c r="AZ257" s="32">
        <v>1885.2</v>
      </c>
      <c r="BA257" s="32">
        <v>1885.2</v>
      </c>
      <c r="BB257" s="32">
        <v>0</v>
      </c>
      <c r="BC257" s="32">
        <v>0</v>
      </c>
      <c r="BD257" s="32">
        <v>100000</v>
      </c>
      <c r="BE257" s="32">
        <v>100000</v>
      </c>
      <c r="BF257" s="32">
        <v>0</v>
      </c>
      <c r="BG257" s="32">
        <v>0</v>
      </c>
      <c r="BH257" s="32">
        <v>0</v>
      </c>
      <c r="BI257" s="32">
        <v>0</v>
      </c>
      <c r="BJ257" s="32">
        <v>0</v>
      </c>
      <c r="BK257" s="32">
        <v>0</v>
      </c>
      <c r="BL257" s="32">
        <v>0</v>
      </c>
      <c r="BM257" s="32">
        <v>0</v>
      </c>
      <c r="BN257" s="32">
        <v>0</v>
      </c>
      <c r="BO257" s="32">
        <v>0</v>
      </c>
      <c r="BP257" s="32">
        <v>0</v>
      </c>
      <c r="BQ257" s="32">
        <v>20674.900000000001</v>
      </c>
      <c r="BR257" s="32">
        <v>28674.9</v>
      </c>
      <c r="BS257" s="32">
        <v>40885.5</v>
      </c>
      <c r="BT257" s="32">
        <v>65849.399999999994</v>
      </c>
      <c r="BU257" s="32">
        <v>0</v>
      </c>
      <c r="BV257" s="32">
        <v>0</v>
      </c>
      <c r="BW257" s="32">
        <v>0</v>
      </c>
      <c r="BX257" s="32">
        <v>0</v>
      </c>
      <c r="BY257" s="32">
        <v>0</v>
      </c>
      <c r="BZ257" s="32">
        <v>0</v>
      </c>
      <c r="CA257" s="32">
        <v>0</v>
      </c>
      <c r="CB257" s="125" t="s">
        <v>212</v>
      </c>
      <c r="CC257" s="125" t="s">
        <v>743</v>
      </c>
      <c r="CD257" s="125"/>
      <c r="CE257" s="125" t="s">
        <v>501</v>
      </c>
      <c r="CF257" s="125" t="s">
        <v>757</v>
      </c>
      <c r="CG257" s="125" t="s">
        <v>3517</v>
      </c>
      <c r="CH257" s="125" t="s">
        <v>504</v>
      </c>
      <c r="CI257" s="125" t="s">
        <v>3518</v>
      </c>
      <c r="CJ257" s="125" t="s">
        <v>2917</v>
      </c>
      <c r="CK257" s="125"/>
      <c r="CL257" s="125" t="s">
        <v>212</v>
      </c>
      <c r="CM257" s="125"/>
      <c r="CN257" s="125" t="s">
        <v>254</v>
      </c>
      <c r="CO257" s="125" t="s">
        <v>273</v>
      </c>
      <c r="CP257" s="125" t="s">
        <v>3519</v>
      </c>
      <c r="CQ257" s="125" t="s">
        <v>970</v>
      </c>
      <c r="CR257" s="125" t="s">
        <v>3549</v>
      </c>
      <c r="CS257" s="125" t="s">
        <v>3521</v>
      </c>
      <c r="CT257" s="125"/>
      <c r="CU257" s="125"/>
      <c r="CV257" s="125"/>
      <c r="CW257" s="125"/>
      <c r="CX257" s="125"/>
      <c r="CY257" s="125" t="s">
        <v>654</v>
      </c>
      <c r="CZ257" s="125" t="s">
        <v>3550</v>
      </c>
      <c r="DA257" s="125" t="s">
        <v>3523</v>
      </c>
      <c r="DB257" s="125" t="s">
        <v>654</v>
      </c>
      <c r="DC257" s="125" t="s">
        <v>3551</v>
      </c>
      <c r="DD257" s="125" t="s">
        <v>3525</v>
      </c>
      <c r="DE257" s="125" t="s">
        <v>3526</v>
      </c>
      <c r="DF257" s="126" t="s">
        <v>3527</v>
      </c>
      <c r="DG257" s="27" cm="1">
        <f t="array" ref="DG257">INDEX('elenco partner'!A:M,MATCH(1,(D257='elenco partner'!A:A)*('Partner data'!M257='elenco partner'!E:E),0),4)</f>
        <v>458</v>
      </c>
      <c r="DH257" s="83" t="str">
        <f t="shared" si="101"/>
        <v>Costo Unitario Standard</v>
      </c>
      <c r="DI257" s="20">
        <f>COUNTIFS('MY-REPORT-MAIN'!C:C,'Partner data'!DG257,'MY-REPORT-MAIN'!I:I,"Certified")</f>
        <v>0</v>
      </c>
      <c r="DJ257" s="20">
        <f>COUNTIFS(List_Of_chek_list!M:M,"&lt;&gt;26",List_Of_chek_list!B:B,'Partner data'!DG257)</f>
        <v>0</v>
      </c>
      <c r="DK257" s="20">
        <f t="shared" si="102"/>
        <v>0</v>
      </c>
      <c r="DL257" s="19" t="str">
        <f>IF(DH257="Tasso Forfettario 20%",SUMIFS(List_Of_chek_list!#REF!,List_Of_chek_list!B:B,'Partner data'!DG257),"NON PERTINENTE")</f>
        <v>NON PERTINENTE</v>
      </c>
      <c r="DM257" s="19" t="str">
        <f t="shared" si="103"/>
        <v>NON PERTINENTE</v>
      </c>
      <c r="DN257" s="110">
        <f>_xlfn.MAXIFS('MY-REPORT-MAIN'!K:K,'MY-REPORT-MAIN'!C:C,DG257)</f>
        <v>0</v>
      </c>
      <c r="DO257" s="112" t="str">
        <f>IF(_xlfn.MAXIFS('MY-REPORT-MAIN'!M:M,'MY-REPORT-MAIN'!C:C,DG257)=0,"Nessun rendiconto  Convalidato",_xlfn.MAXIFS('MY-REPORT-MAIN'!M:M,'MY-REPORT-MAIN'!C:C,DG257))</f>
        <v>Nessun rendiconto  Convalidato</v>
      </c>
      <c r="DP257" s="113" t="str" cm="1">
        <f t="array" ref="DP257">IFERROR(INDEX('MY-REPORT-MAIN'!A:Z,MATCH(1,(DO257='MY-REPORT-MAIN'!M:M)*('Partner data'!DG257='MY-REPORT-MAIN'!C:C),0),1),"NON è stato convalidato ancora nessun rendiconto")</f>
        <v>NON è stato convalidato ancora nessun rendiconto</v>
      </c>
      <c r="DQ257" s="111" t="str">
        <f>IFERROR(INDEX('MY-REPORT-MAIN'!A:Z,MATCH('Partner data'!DP257,'MY-REPORT-MAIN'!A:A,0),21),"Nessun Rendiconto ancora convalidato")</f>
        <v>Nessun Rendiconto ancora convalidato</v>
      </c>
      <c r="DR257" s="110">
        <f>INDEX('Interreg VI-A Italy-Slovenia_pr'!A:E,MATCH('Partner data'!C257,'Interreg VI-A Italy-Slovenia_pr'!A:A,0),3)</f>
        <v>45397</v>
      </c>
      <c r="DS257" s="118">
        <f t="shared" si="76"/>
        <v>20674.900000000001</v>
      </c>
      <c r="DT257" s="118">
        <f t="shared" si="77"/>
        <v>49349.8</v>
      </c>
      <c r="DU257" s="118">
        <f t="shared" si="78"/>
        <v>90235.3</v>
      </c>
      <c r="DV257" s="118">
        <f t="shared" si="79"/>
        <v>156084.70000000001</v>
      </c>
      <c r="DW257" s="118">
        <f t="shared" si="80"/>
        <v>156084.70000000001</v>
      </c>
      <c r="DX257" s="118">
        <f t="shared" si="81"/>
        <v>156084.70000000001</v>
      </c>
      <c r="DY257" s="118">
        <f t="shared" si="82"/>
        <v>156084.70000000001</v>
      </c>
      <c r="DZ257" s="118">
        <f t="shared" si="83"/>
        <v>156084.70000000001</v>
      </c>
      <c r="EA257" s="118">
        <f t="shared" si="84"/>
        <v>156084.70000000001</v>
      </c>
      <c r="EB257" s="118">
        <f t="shared" si="85"/>
        <v>156084.70000000001</v>
      </c>
    </row>
    <row r="258" spans="1:132" ht="45" x14ac:dyDescent="0.25">
      <c r="A258" s="121">
        <v>6</v>
      </c>
      <c r="B258" s="122" t="s">
        <v>2688</v>
      </c>
      <c r="C258" s="123" t="s">
        <v>3539</v>
      </c>
      <c r="D258" s="123" t="s">
        <v>3540</v>
      </c>
      <c r="E258" s="123" t="s">
        <v>3541</v>
      </c>
      <c r="F258" s="123" t="s">
        <v>593</v>
      </c>
      <c r="G258" s="123" t="s">
        <v>491</v>
      </c>
      <c r="H258" s="123" t="s">
        <v>691</v>
      </c>
      <c r="I258" s="123" t="s">
        <v>692</v>
      </c>
      <c r="J258" s="124" t="s">
        <v>538</v>
      </c>
      <c r="K258" s="124" t="s">
        <v>495</v>
      </c>
      <c r="L258" s="124" t="s">
        <v>519</v>
      </c>
      <c r="M258" s="124" t="s">
        <v>752</v>
      </c>
      <c r="N258" s="124" t="s">
        <v>3552</v>
      </c>
      <c r="O258" s="124" t="s">
        <v>3553</v>
      </c>
      <c r="P258" s="124" t="s">
        <v>257</v>
      </c>
      <c r="Q258" s="124" t="s">
        <v>556</v>
      </c>
      <c r="R258" s="124" t="s">
        <v>258</v>
      </c>
      <c r="S258" s="32">
        <v>156607.35999999999</v>
      </c>
      <c r="T258" s="32">
        <v>80</v>
      </c>
      <c r="U258" s="32">
        <v>21.35</v>
      </c>
      <c r="V258" s="32">
        <v>0</v>
      </c>
      <c r="W258" s="32">
        <v>0</v>
      </c>
      <c r="X258" s="32">
        <v>0</v>
      </c>
      <c r="Y258" s="32">
        <v>0</v>
      </c>
      <c r="Z258" s="32">
        <v>0</v>
      </c>
      <c r="AA258" s="32">
        <v>0</v>
      </c>
      <c r="AB258" s="32">
        <v>0</v>
      </c>
      <c r="AC258" s="32">
        <v>0</v>
      </c>
      <c r="AD258" s="32">
        <v>0</v>
      </c>
      <c r="AE258" s="32">
        <v>0</v>
      </c>
      <c r="AF258" s="32">
        <v>0</v>
      </c>
      <c r="AG258" s="32">
        <v>0</v>
      </c>
      <c r="AH258" s="32">
        <v>0</v>
      </c>
      <c r="AI258" s="32">
        <v>0</v>
      </c>
      <c r="AJ258" s="32">
        <v>0</v>
      </c>
      <c r="AK258" s="32">
        <v>0</v>
      </c>
      <c r="AL258" s="32">
        <v>0</v>
      </c>
      <c r="AM258" s="32">
        <v>0</v>
      </c>
      <c r="AN258" s="32">
        <v>39151.839999999997</v>
      </c>
      <c r="AO258" s="32">
        <v>0</v>
      </c>
      <c r="AP258" s="32">
        <v>0</v>
      </c>
      <c r="AQ258" s="32">
        <v>39151.839999999997</v>
      </c>
      <c r="AR258" s="32">
        <v>195759.2</v>
      </c>
      <c r="AS258" s="32">
        <v>21.35</v>
      </c>
      <c r="AT258" s="32">
        <v>139828</v>
      </c>
      <c r="AU258" s="32">
        <v>0</v>
      </c>
      <c r="AV258" s="32">
        <v>139828</v>
      </c>
      <c r="AW258" s="32">
        <v>0</v>
      </c>
      <c r="AX258" s="32">
        <v>0</v>
      </c>
      <c r="AY258" s="32">
        <v>0</v>
      </c>
      <c r="AZ258" s="32">
        <v>0</v>
      </c>
      <c r="BA258" s="32">
        <v>0</v>
      </c>
      <c r="BB258" s="32">
        <v>0</v>
      </c>
      <c r="BC258" s="32">
        <v>0</v>
      </c>
      <c r="BD258" s="32">
        <v>0</v>
      </c>
      <c r="BE258" s="32">
        <v>0</v>
      </c>
      <c r="BF258" s="32">
        <v>0</v>
      </c>
      <c r="BG258" s="32">
        <v>0</v>
      </c>
      <c r="BH258" s="32">
        <v>0</v>
      </c>
      <c r="BI258" s="32">
        <v>0</v>
      </c>
      <c r="BJ258" s="32">
        <v>0</v>
      </c>
      <c r="BK258" s="32">
        <v>0</v>
      </c>
      <c r="BL258" s="32">
        <v>0</v>
      </c>
      <c r="BM258" s="32">
        <v>55931.199999999997</v>
      </c>
      <c r="BN258" s="32">
        <v>0</v>
      </c>
      <c r="BO258" s="32">
        <v>0</v>
      </c>
      <c r="BP258" s="32">
        <v>0</v>
      </c>
      <c r="BQ258" s="32">
        <v>48939.8</v>
      </c>
      <c r="BR258" s="32">
        <v>48939.8</v>
      </c>
      <c r="BS258" s="32">
        <v>48939.8</v>
      </c>
      <c r="BT258" s="32">
        <v>48939.8</v>
      </c>
      <c r="BU258" s="32">
        <v>0</v>
      </c>
      <c r="BV258" s="32">
        <v>0</v>
      </c>
      <c r="BW258" s="32">
        <v>0</v>
      </c>
      <c r="BX258" s="32">
        <v>0</v>
      </c>
      <c r="BY258" s="32">
        <v>0</v>
      </c>
      <c r="BZ258" s="32">
        <v>0</v>
      </c>
      <c r="CA258" s="32">
        <v>0</v>
      </c>
      <c r="CB258" s="125" t="s">
        <v>3554</v>
      </c>
      <c r="CC258" s="125" t="s">
        <v>624</v>
      </c>
      <c r="CD258" s="125"/>
      <c r="CE258" s="125" t="s">
        <v>523</v>
      </c>
      <c r="CF258" s="125"/>
      <c r="CG258" s="125" t="s">
        <v>646</v>
      </c>
      <c r="CH258" s="125" t="s">
        <v>504</v>
      </c>
      <c r="CI258" s="125"/>
      <c r="CJ258" s="125" t="s">
        <v>212</v>
      </c>
      <c r="CK258" s="125"/>
      <c r="CL258" s="125" t="s">
        <v>212</v>
      </c>
      <c r="CM258" s="125"/>
      <c r="CN258" s="125" t="s">
        <v>257</v>
      </c>
      <c r="CO258" s="125" t="s">
        <v>258</v>
      </c>
      <c r="CP258" s="125" t="s">
        <v>3555</v>
      </c>
      <c r="CQ258" s="125" t="s">
        <v>620</v>
      </c>
      <c r="CR258" s="125" t="s">
        <v>3556</v>
      </c>
      <c r="CS258" s="125" t="s">
        <v>1859</v>
      </c>
      <c r="CT258" s="125" t="s">
        <v>257</v>
      </c>
      <c r="CU258" s="125" t="s">
        <v>258</v>
      </c>
      <c r="CV258" s="125" t="s">
        <v>3557</v>
      </c>
      <c r="CW258" s="125" t="s">
        <v>638</v>
      </c>
      <c r="CX258" s="125" t="s">
        <v>3558</v>
      </c>
      <c r="CY258" s="125" t="s">
        <v>3559</v>
      </c>
      <c r="CZ258" s="125" t="s">
        <v>3560</v>
      </c>
      <c r="DA258" s="125" t="s">
        <v>3561</v>
      </c>
      <c r="DB258" s="125" t="s">
        <v>959</v>
      </c>
      <c r="DC258" s="125" t="s">
        <v>3562</v>
      </c>
      <c r="DD258" s="125" t="s">
        <v>3563</v>
      </c>
      <c r="DE258" s="125" t="s">
        <v>3564</v>
      </c>
      <c r="DF258" s="126" t="s">
        <v>3565</v>
      </c>
      <c r="DG258" s="27" cm="1">
        <f t="array" ref="DG258">INDEX('elenco partner'!A:M,MATCH(1,(D258='elenco partner'!A:A)*('Partner data'!M258='elenco partner'!E:E),0),4)</f>
        <v>459</v>
      </c>
      <c r="DH258" s="83" t="str">
        <f t="shared" si="101"/>
        <v>COSTO REALE</v>
      </c>
      <c r="DI258" s="20">
        <f>COUNTIFS('MY-REPORT-MAIN'!C:C,'Partner data'!DG258,'MY-REPORT-MAIN'!I:I,"Certified")</f>
        <v>0</v>
      </c>
      <c r="DJ258" s="20">
        <f>COUNTIFS(List_Of_chek_list!M:M,"&lt;&gt;26",List_Of_chek_list!B:B,'Partner data'!DG258)</f>
        <v>0</v>
      </c>
      <c r="DK258" s="20">
        <f t="shared" si="102"/>
        <v>0</v>
      </c>
      <c r="DL258" s="19" t="str">
        <f>IF(DH258="Tasso Forfettario 20%",SUMIFS(List_Of_chek_list!#REF!,List_Of_chek_list!B:B,'Partner data'!DG258),"NON PERTINENTE")</f>
        <v>NON PERTINENTE</v>
      </c>
      <c r="DM258" s="19" t="str">
        <f t="shared" si="103"/>
        <v>NON PERTINENTE</v>
      </c>
      <c r="DN258" s="110">
        <f>_xlfn.MAXIFS('MY-REPORT-MAIN'!K:K,'MY-REPORT-MAIN'!C:C,DG258)</f>
        <v>0</v>
      </c>
      <c r="DO258" s="112" t="str">
        <f>IF(_xlfn.MAXIFS('MY-REPORT-MAIN'!M:M,'MY-REPORT-MAIN'!C:C,DG258)=0,"Nessun rendiconto  Convalidato",_xlfn.MAXIFS('MY-REPORT-MAIN'!M:M,'MY-REPORT-MAIN'!C:C,DG258))</f>
        <v>Nessun rendiconto  Convalidato</v>
      </c>
      <c r="DP258" s="113" t="str" cm="1">
        <f t="array" ref="DP258">IFERROR(INDEX('MY-REPORT-MAIN'!A:Z,MATCH(1,(DO258='MY-REPORT-MAIN'!M:M)*('Partner data'!DG258='MY-REPORT-MAIN'!C:C),0),1),"NON è stato convalidato ancora nessun rendiconto")</f>
        <v>NON è stato convalidato ancora nessun rendiconto</v>
      </c>
      <c r="DQ258" s="111" t="str">
        <f>IFERROR(INDEX('MY-REPORT-MAIN'!A:Z,MATCH('Partner data'!DP258,'MY-REPORT-MAIN'!A:A,0),21),"Nessun Rendiconto ancora convalidato")</f>
        <v>Nessun Rendiconto ancora convalidato</v>
      </c>
      <c r="DR258" s="110">
        <f>INDEX('Interreg VI-A Italy-Slovenia_pr'!A:E,MATCH('Partner data'!C258,'Interreg VI-A Italy-Slovenia_pr'!A:A,0),3)</f>
        <v>45397</v>
      </c>
      <c r="DS258" s="118">
        <f t="shared" si="76"/>
        <v>48939.8</v>
      </c>
      <c r="DT258" s="118">
        <f t="shared" si="77"/>
        <v>97879.6</v>
      </c>
      <c r="DU258" s="118">
        <f t="shared" si="78"/>
        <v>146819.40000000002</v>
      </c>
      <c r="DV258" s="118">
        <f t="shared" si="79"/>
        <v>195759.2</v>
      </c>
      <c r="DW258" s="118">
        <f t="shared" si="80"/>
        <v>195759.2</v>
      </c>
      <c r="DX258" s="118">
        <f t="shared" si="81"/>
        <v>195759.2</v>
      </c>
      <c r="DY258" s="118">
        <f t="shared" si="82"/>
        <v>195759.2</v>
      </c>
      <c r="DZ258" s="118">
        <f t="shared" si="83"/>
        <v>195759.2</v>
      </c>
      <c r="EA258" s="118">
        <f t="shared" si="84"/>
        <v>195759.2</v>
      </c>
      <c r="EB258" s="118">
        <f t="shared" si="85"/>
        <v>195759.2</v>
      </c>
    </row>
    <row r="259" spans="1:132" ht="45" x14ac:dyDescent="0.25">
      <c r="A259" s="121">
        <v>6</v>
      </c>
      <c r="B259" s="122" t="s">
        <v>2688</v>
      </c>
      <c r="C259" s="123" t="s">
        <v>3539</v>
      </c>
      <c r="D259" s="123" t="s">
        <v>3540</v>
      </c>
      <c r="E259" s="123" t="s">
        <v>3541</v>
      </c>
      <c r="F259" s="123" t="s">
        <v>593</v>
      </c>
      <c r="G259" s="123" t="s">
        <v>491</v>
      </c>
      <c r="H259" s="123" t="s">
        <v>691</v>
      </c>
      <c r="I259" s="123" t="s">
        <v>692</v>
      </c>
      <c r="J259" s="124" t="s">
        <v>554</v>
      </c>
      <c r="K259" s="124" t="s">
        <v>495</v>
      </c>
      <c r="L259" s="124" t="s">
        <v>519</v>
      </c>
      <c r="M259" s="124" t="s">
        <v>3566</v>
      </c>
      <c r="N259" s="124" t="s">
        <v>3567</v>
      </c>
      <c r="O259" s="124" t="s">
        <v>3568</v>
      </c>
      <c r="P259" s="124" t="s">
        <v>254</v>
      </c>
      <c r="Q259" s="124" t="s">
        <v>499</v>
      </c>
      <c r="R259" s="124" t="s">
        <v>273</v>
      </c>
      <c r="S259" s="32">
        <v>158297.66</v>
      </c>
      <c r="T259" s="32">
        <v>80</v>
      </c>
      <c r="U259" s="32">
        <v>21.58</v>
      </c>
      <c r="V259" s="32">
        <v>0</v>
      </c>
      <c r="W259" s="32">
        <v>0</v>
      </c>
      <c r="X259" s="32">
        <v>0</v>
      </c>
      <c r="Y259" s="32">
        <v>0</v>
      </c>
      <c r="Z259" s="32">
        <v>0</v>
      </c>
      <c r="AA259" s="32">
        <v>0</v>
      </c>
      <c r="AB259" s="32">
        <v>0</v>
      </c>
      <c r="AC259" s="32">
        <v>0</v>
      </c>
      <c r="AD259" s="32">
        <v>0</v>
      </c>
      <c r="AE259" s="32">
        <v>0</v>
      </c>
      <c r="AF259" s="32">
        <v>0</v>
      </c>
      <c r="AG259" s="32">
        <v>0</v>
      </c>
      <c r="AH259" s="32">
        <v>0</v>
      </c>
      <c r="AI259" s="32">
        <v>0</v>
      </c>
      <c r="AJ259" s="32">
        <v>0</v>
      </c>
      <c r="AK259" s="32">
        <v>0</v>
      </c>
      <c r="AL259" s="32">
        <v>0</v>
      </c>
      <c r="AM259" s="32">
        <v>0</v>
      </c>
      <c r="AN259" s="32">
        <v>0</v>
      </c>
      <c r="AO259" s="32">
        <v>39574.42</v>
      </c>
      <c r="AP259" s="32">
        <v>0</v>
      </c>
      <c r="AQ259" s="32">
        <v>39574.42</v>
      </c>
      <c r="AR259" s="32">
        <v>197872.08</v>
      </c>
      <c r="AS259" s="32">
        <v>21.58</v>
      </c>
      <c r="AT259" s="32">
        <v>141337.20000000001</v>
      </c>
      <c r="AU259" s="32">
        <v>0</v>
      </c>
      <c r="AV259" s="32">
        <v>141337.20000000001</v>
      </c>
      <c r="AW259" s="32">
        <v>0</v>
      </c>
      <c r="AX259" s="32">
        <v>0</v>
      </c>
      <c r="AY259" s="32">
        <v>0</v>
      </c>
      <c r="AZ259" s="32">
        <v>0</v>
      </c>
      <c r="BA259" s="32">
        <v>0</v>
      </c>
      <c r="BB259" s="32">
        <v>0</v>
      </c>
      <c r="BC259" s="32">
        <v>0</v>
      </c>
      <c r="BD259" s="32">
        <v>0</v>
      </c>
      <c r="BE259" s="32">
        <v>0</v>
      </c>
      <c r="BF259" s="32">
        <v>0</v>
      </c>
      <c r="BG259" s="32">
        <v>0</v>
      </c>
      <c r="BH259" s="32">
        <v>0</v>
      </c>
      <c r="BI259" s="32">
        <v>0</v>
      </c>
      <c r="BJ259" s="32">
        <v>0</v>
      </c>
      <c r="BK259" s="32">
        <v>0</v>
      </c>
      <c r="BL259" s="32">
        <v>0</v>
      </c>
      <c r="BM259" s="32">
        <v>56534.879999999997</v>
      </c>
      <c r="BN259" s="32">
        <v>0</v>
      </c>
      <c r="BO259" s="32">
        <v>0</v>
      </c>
      <c r="BP259" s="32">
        <v>0</v>
      </c>
      <c r="BQ259" s="32">
        <v>32671.8</v>
      </c>
      <c r="BR259" s="32">
        <v>57865.5</v>
      </c>
      <c r="BS259" s="32">
        <v>66263.399999999994</v>
      </c>
      <c r="BT259" s="32">
        <v>41071.379999999997</v>
      </c>
      <c r="BU259" s="32">
        <v>0</v>
      </c>
      <c r="BV259" s="32">
        <v>0</v>
      </c>
      <c r="BW259" s="32">
        <v>0</v>
      </c>
      <c r="BX259" s="32">
        <v>0</v>
      </c>
      <c r="BY259" s="32">
        <v>0</v>
      </c>
      <c r="BZ259" s="32">
        <v>0</v>
      </c>
      <c r="CA259" s="32">
        <v>0</v>
      </c>
      <c r="CB259" s="125" t="s">
        <v>3569</v>
      </c>
      <c r="CC259" s="125" t="s">
        <v>624</v>
      </c>
      <c r="CD259" s="125"/>
      <c r="CE259" s="125" t="s">
        <v>523</v>
      </c>
      <c r="CF259" s="125"/>
      <c r="CG259" s="125" t="s">
        <v>659</v>
      </c>
      <c r="CH259" s="125" t="s">
        <v>526</v>
      </c>
      <c r="CI259" s="125"/>
      <c r="CJ259" s="125" t="s">
        <v>212</v>
      </c>
      <c r="CK259" s="125" t="s">
        <v>660</v>
      </c>
      <c r="CL259" s="125" t="s">
        <v>212</v>
      </c>
      <c r="CM259" s="125"/>
      <c r="CN259" s="125" t="s">
        <v>254</v>
      </c>
      <c r="CO259" s="125" t="s">
        <v>273</v>
      </c>
      <c r="CP259" s="125" t="s">
        <v>3570</v>
      </c>
      <c r="CQ259" s="125" t="s">
        <v>661</v>
      </c>
      <c r="CR259" s="125" t="s">
        <v>2862</v>
      </c>
      <c r="CS259" s="125" t="s">
        <v>663</v>
      </c>
      <c r="CT259" s="125" t="s">
        <v>254</v>
      </c>
      <c r="CU259" s="125" t="s">
        <v>273</v>
      </c>
      <c r="CV259" s="125" t="s">
        <v>3571</v>
      </c>
      <c r="CW259" s="125" t="s">
        <v>661</v>
      </c>
      <c r="CX259" s="125" t="s">
        <v>2862</v>
      </c>
      <c r="CY259" s="125" t="s">
        <v>628</v>
      </c>
      <c r="CZ259" s="125" t="s">
        <v>3572</v>
      </c>
      <c r="DA259" s="125" t="s">
        <v>3573</v>
      </c>
      <c r="DB259" s="125" t="s">
        <v>513</v>
      </c>
      <c r="DC259" s="125" t="s">
        <v>3574</v>
      </c>
      <c r="DD259" s="125" t="s">
        <v>3575</v>
      </c>
      <c r="DE259" s="125" t="s">
        <v>2702</v>
      </c>
      <c r="DF259" s="126" t="s">
        <v>3576</v>
      </c>
      <c r="DG259" s="27" cm="1">
        <f t="array" ref="DG259">INDEX('elenco partner'!A:M,MATCH(1,(D259='elenco partner'!A:A)*('Partner data'!M259='elenco partner'!E:E),0),4)</f>
        <v>460</v>
      </c>
      <c r="DH259" s="83" t="str">
        <f t="shared" si="101"/>
        <v>COSTO REALE</v>
      </c>
      <c r="DI259" s="20">
        <f>COUNTIFS('MY-REPORT-MAIN'!C:C,'Partner data'!DG259,'MY-REPORT-MAIN'!I:I,"Certified")</f>
        <v>0</v>
      </c>
      <c r="DJ259" s="20">
        <f>COUNTIFS(List_Of_chek_list!M:M,"&lt;&gt;26",List_Of_chek_list!B:B,'Partner data'!DG259)</f>
        <v>0</v>
      </c>
      <c r="DK259" s="20">
        <f t="shared" si="102"/>
        <v>0</v>
      </c>
      <c r="DL259" s="19" t="str">
        <f>IF(DH259="Tasso Forfettario 20%",SUMIFS(List_Of_chek_list!#REF!,List_Of_chek_list!B:B,'Partner data'!DG259),"NON PERTINENTE")</f>
        <v>NON PERTINENTE</v>
      </c>
      <c r="DM259" s="19" t="str">
        <f t="shared" si="103"/>
        <v>NON PERTINENTE</v>
      </c>
      <c r="DN259" s="110">
        <f>_xlfn.MAXIFS('MY-REPORT-MAIN'!K:K,'MY-REPORT-MAIN'!C:C,DG259)</f>
        <v>0</v>
      </c>
      <c r="DO259" s="112" t="str">
        <f>IF(_xlfn.MAXIFS('MY-REPORT-MAIN'!M:M,'MY-REPORT-MAIN'!C:C,DG259)=0,"Nessun rendiconto  Convalidato",_xlfn.MAXIFS('MY-REPORT-MAIN'!M:M,'MY-REPORT-MAIN'!C:C,DG259))</f>
        <v>Nessun rendiconto  Convalidato</v>
      </c>
      <c r="DP259" s="113" t="str" cm="1">
        <f t="array" ref="DP259">IFERROR(INDEX('MY-REPORT-MAIN'!A:Z,MATCH(1,(DO259='MY-REPORT-MAIN'!M:M)*('Partner data'!DG259='MY-REPORT-MAIN'!C:C),0),1),"NON è stato convalidato ancora nessun rendiconto")</f>
        <v>NON è stato convalidato ancora nessun rendiconto</v>
      </c>
      <c r="DQ259" s="111" t="str">
        <f>IFERROR(INDEX('MY-REPORT-MAIN'!A:Z,MATCH('Partner data'!DP259,'MY-REPORT-MAIN'!A:A,0),21),"Nessun Rendiconto ancora convalidato")</f>
        <v>Nessun Rendiconto ancora convalidato</v>
      </c>
      <c r="DR259" s="110">
        <f>INDEX('Interreg VI-A Italy-Slovenia_pr'!A:E,MATCH('Partner data'!C259,'Interreg VI-A Italy-Slovenia_pr'!A:A,0),3)</f>
        <v>45397</v>
      </c>
      <c r="DS259" s="118">
        <f t="shared" ref="DS259:DS322" si="104">BP259+BQ259</f>
        <v>32671.8</v>
      </c>
      <c r="DT259" s="118">
        <f t="shared" ref="DT259:DT322" si="105">DS259+BR259</f>
        <v>90537.3</v>
      </c>
      <c r="DU259" s="118">
        <f t="shared" ref="DU259:DU322" si="106">DT259+BS259</f>
        <v>156800.70000000001</v>
      </c>
      <c r="DV259" s="118">
        <f t="shared" ref="DV259:DV322" si="107">DU259+BT259</f>
        <v>197872.08000000002</v>
      </c>
      <c r="DW259" s="118">
        <f t="shared" ref="DW259:DW322" si="108">DV259+BU259</f>
        <v>197872.08000000002</v>
      </c>
      <c r="DX259" s="118">
        <f t="shared" ref="DX259:DX322" si="109">DW259+BV259</f>
        <v>197872.08000000002</v>
      </c>
      <c r="DY259" s="118">
        <f t="shared" ref="DY259:DY322" si="110">DX259+BW259</f>
        <v>197872.08000000002</v>
      </c>
      <c r="DZ259" s="118">
        <f t="shared" ref="DZ259:DZ322" si="111">DY259+BX259</f>
        <v>197872.08000000002</v>
      </c>
      <c r="EA259" s="118">
        <f t="shared" ref="EA259:EA322" si="112">DZ259+BY259</f>
        <v>197872.08000000002</v>
      </c>
      <c r="EB259" s="118">
        <f t="shared" ref="EB259:EB322" si="113">EA259+BZ259</f>
        <v>197872.08000000002</v>
      </c>
    </row>
    <row r="260" spans="1:132" ht="45" x14ac:dyDescent="0.25">
      <c r="A260" s="121">
        <v>6</v>
      </c>
      <c r="B260" s="122" t="s">
        <v>2688</v>
      </c>
      <c r="C260" s="123" t="s">
        <v>3539</v>
      </c>
      <c r="D260" s="123" t="s">
        <v>3540</v>
      </c>
      <c r="E260" s="123" t="s">
        <v>3541</v>
      </c>
      <c r="F260" s="123" t="s">
        <v>593</v>
      </c>
      <c r="G260" s="123" t="s">
        <v>491</v>
      </c>
      <c r="H260" s="123" t="s">
        <v>691</v>
      </c>
      <c r="I260" s="123" t="s">
        <v>692</v>
      </c>
      <c r="J260" s="124" t="s">
        <v>570</v>
      </c>
      <c r="K260" s="124" t="s">
        <v>495</v>
      </c>
      <c r="L260" s="124" t="s">
        <v>519</v>
      </c>
      <c r="M260" s="124" t="s">
        <v>3577</v>
      </c>
      <c r="N260" s="124" t="s">
        <v>3578</v>
      </c>
      <c r="O260" s="124" t="s">
        <v>3578</v>
      </c>
      <c r="P260" s="124" t="s">
        <v>254</v>
      </c>
      <c r="Q260" s="124" t="s">
        <v>540</v>
      </c>
      <c r="R260" s="124" t="s">
        <v>302</v>
      </c>
      <c r="S260" s="32">
        <v>136801.28</v>
      </c>
      <c r="T260" s="32">
        <v>80</v>
      </c>
      <c r="U260" s="32">
        <v>18.649999999999999</v>
      </c>
      <c r="V260" s="32">
        <v>0</v>
      </c>
      <c r="W260" s="32">
        <v>0</v>
      </c>
      <c r="X260" s="32">
        <v>0</v>
      </c>
      <c r="Y260" s="32">
        <v>0</v>
      </c>
      <c r="Z260" s="32">
        <v>0</v>
      </c>
      <c r="AA260" s="32">
        <v>0</v>
      </c>
      <c r="AB260" s="32">
        <v>0</v>
      </c>
      <c r="AC260" s="32">
        <v>0</v>
      </c>
      <c r="AD260" s="32">
        <v>0</v>
      </c>
      <c r="AE260" s="32">
        <v>0</v>
      </c>
      <c r="AF260" s="32">
        <v>0</v>
      </c>
      <c r="AG260" s="32">
        <v>0</v>
      </c>
      <c r="AH260" s="32">
        <v>0</v>
      </c>
      <c r="AI260" s="32">
        <v>0</v>
      </c>
      <c r="AJ260" s="32">
        <v>0</v>
      </c>
      <c r="AK260" s="32">
        <v>0</v>
      </c>
      <c r="AL260" s="32">
        <v>0</v>
      </c>
      <c r="AM260" s="32">
        <v>0</v>
      </c>
      <c r="AN260" s="32">
        <v>0</v>
      </c>
      <c r="AO260" s="32">
        <v>34200.32</v>
      </c>
      <c r="AP260" s="32">
        <v>0</v>
      </c>
      <c r="AQ260" s="32">
        <v>34200.32</v>
      </c>
      <c r="AR260" s="32">
        <v>171001.60000000001</v>
      </c>
      <c r="AS260" s="32">
        <v>18.649999999999999</v>
      </c>
      <c r="AT260" s="32">
        <v>122144</v>
      </c>
      <c r="AU260" s="32">
        <v>0</v>
      </c>
      <c r="AV260" s="32">
        <v>0</v>
      </c>
      <c r="AW260" s="32">
        <v>122144</v>
      </c>
      <c r="AX260" s="32">
        <v>0</v>
      </c>
      <c r="AY260" s="32">
        <v>0</v>
      </c>
      <c r="AZ260" s="32">
        <v>0</v>
      </c>
      <c r="BA260" s="32">
        <v>0</v>
      </c>
      <c r="BB260" s="32">
        <v>0</v>
      </c>
      <c r="BC260" s="32">
        <v>0</v>
      </c>
      <c r="BD260" s="32">
        <v>0</v>
      </c>
      <c r="BE260" s="32">
        <v>0</v>
      </c>
      <c r="BF260" s="32">
        <v>0</v>
      </c>
      <c r="BG260" s="32">
        <v>0</v>
      </c>
      <c r="BH260" s="32">
        <v>0</v>
      </c>
      <c r="BI260" s="32">
        <v>0</v>
      </c>
      <c r="BJ260" s="32">
        <v>0</v>
      </c>
      <c r="BK260" s="32">
        <v>0</v>
      </c>
      <c r="BL260" s="32">
        <v>0</v>
      </c>
      <c r="BM260" s="32">
        <v>48857.599999999999</v>
      </c>
      <c r="BN260" s="32">
        <v>0</v>
      </c>
      <c r="BO260" s="32">
        <v>0</v>
      </c>
      <c r="BP260" s="32">
        <v>0</v>
      </c>
      <c r="BQ260" s="32">
        <v>42750.400000000001</v>
      </c>
      <c r="BR260" s="32">
        <v>42750.400000000001</v>
      </c>
      <c r="BS260" s="32">
        <v>42750.400000000001</v>
      </c>
      <c r="BT260" s="32">
        <v>42750.400000000001</v>
      </c>
      <c r="BU260" s="32">
        <v>0</v>
      </c>
      <c r="BV260" s="32">
        <v>0</v>
      </c>
      <c r="BW260" s="32">
        <v>0</v>
      </c>
      <c r="BX260" s="32">
        <v>0</v>
      </c>
      <c r="BY260" s="32">
        <v>0</v>
      </c>
      <c r="BZ260" s="32">
        <v>0</v>
      </c>
      <c r="CA260" s="32">
        <v>0</v>
      </c>
      <c r="CB260" s="125" t="s">
        <v>3579</v>
      </c>
      <c r="CC260" s="125" t="s">
        <v>743</v>
      </c>
      <c r="CD260" s="125"/>
      <c r="CE260" s="125" t="s">
        <v>523</v>
      </c>
      <c r="CF260" s="125" t="s">
        <v>967</v>
      </c>
      <c r="CG260" s="125" t="s">
        <v>3580</v>
      </c>
      <c r="CH260" s="125" t="s">
        <v>526</v>
      </c>
      <c r="CI260" s="125"/>
      <c r="CJ260" s="125" t="s">
        <v>212</v>
      </c>
      <c r="CK260" s="125" t="s">
        <v>3581</v>
      </c>
      <c r="CL260" s="125" t="s">
        <v>212</v>
      </c>
      <c r="CM260" s="125"/>
      <c r="CN260" s="125" t="s">
        <v>254</v>
      </c>
      <c r="CO260" s="125" t="s">
        <v>302</v>
      </c>
      <c r="CP260" s="125" t="s">
        <v>3582</v>
      </c>
      <c r="CQ260" s="125" t="s">
        <v>2095</v>
      </c>
      <c r="CR260" s="125" t="s">
        <v>3583</v>
      </c>
      <c r="CS260" s="125" t="s">
        <v>3584</v>
      </c>
      <c r="CT260" s="125" t="s">
        <v>254</v>
      </c>
      <c r="CU260" s="125" t="s">
        <v>260</v>
      </c>
      <c r="CV260" s="125" t="s">
        <v>3585</v>
      </c>
      <c r="CW260" s="125" t="s">
        <v>1240</v>
      </c>
      <c r="CX260" s="125" t="s">
        <v>3586</v>
      </c>
      <c r="CY260" s="125" t="s">
        <v>547</v>
      </c>
      <c r="CZ260" s="125" t="s">
        <v>3587</v>
      </c>
      <c r="DA260" s="125" t="s">
        <v>3588</v>
      </c>
      <c r="DB260" s="125" t="s">
        <v>547</v>
      </c>
      <c r="DC260" s="125" t="s">
        <v>3589</v>
      </c>
      <c r="DD260" s="125" t="s">
        <v>3590</v>
      </c>
      <c r="DE260" s="125" t="s">
        <v>3591</v>
      </c>
      <c r="DF260" s="126" t="s">
        <v>3592</v>
      </c>
      <c r="DG260" s="27" cm="1">
        <f t="array" ref="DG260">INDEX('elenco partner'!A:M,MATCH(1,(D260='elenco partner'!A:A)*('Partner data'!M260='elenco partner'!E:E),0),4)</f>
        <v>461</v>
      </c>
      <c r="DH260" s="83" t="str">
        <f t="shared" si="101"/>
        <v>Costo Unitario Standard</v>
      </c>
      <c r="DI260" s="20">
        <f>COUNTIFS('MY-REPORT-MAIN'!C:C,'Partner data'!DG260,'MY-REPORT-MAIN'!I:I,"Certified")</f>
        <v>0</v>
      </c>
      <c r="DJ260" s="20">
        <f>COUNTIFS(List_Of_chek_list!M:M,"&lt;&gt;26",List_Of_chek_list!B:B,'Partner data'!DG260)</f>
        <v>0</v>
      </c>
      <c r="DK260" s="20">
        <f t="shared" si="102"/>
        <v>0</v>
      </c>
      <c r="DL260" s="19" t="str">
        <f>IF(DH260="Tasso Forfettario 20%",SUMIFS(List_Of_chek_list!#REF!,List_Of_chek_list!B:B,'Partner data'!DG260),"NON PERTINENTE")</f>
        <v>NON PERTINENTE</v>
      </c>
      <c r="DM260" s="19" t="str">
        <f t="shared" si="103"/>
        <v>NON PERTINENTE</v>
      </c>
      <c r="DN260" s="110">
        <f>_xlfn.MAXIFS('MY-REPORT-MAIN'!K:K,'MY-REPORT-MAIN'!C:C,DG260)</f>
        <v>0</v>
      </c>
      <c r="DO260" s="112" t="str">
        <f>IF(_xlfn.MAXIFS('MY-REPORT-MAIN'!M:M,'MY-REPORT-MAIN'!C:C,DG260)=0,"Nessun rendiconto  Convalidato",_xlfn.MAXIFS('MY-REPORT-MAIN'!M:M,'MY-REPORT-MAIN'!C:C,DG260))</f>
        <v>Nessun rendiconto  Convalidato</v>
      </c>
      <c r="DP260" s="113" t="str" cm="1">
        <f t="array" ref="DP260">IFERROR(INDEX('MY-REPORT-MAIN'!A:Z,MATCH(1,(DO260='MY-REPORT-MAIN'!M:M)*('Partner data'!DG260='MY-REPORT-MAIN'!C:C),0),1),"NON è stato convalidato ancora nessun rendiconto")</f>
        <v>NON è stato convalidato ancora nessun rendiconto</v>
      </c>
      <c r="DQ260" s="111" t="str">
        <f>IFERROR(INDEX('MY-REPORT-MAIN'!A:Z,MATCH('Partner data'!DP260,'MY-REPORT-MAIN'!A:A,0),21),"Nessun Rendiconto ancora convalidato")</f>
        <v>Nessun Rendiconto ancora convalidato</v>
      </c>
      <c r="DR260" s="110">
        <f>INDEX('Interreg VI-A Italy-Slovenia_pr'!A:E,MATCH('Partner data'!C260,'Interreg VI-A Italy-Slovenia_pr'!A:A,0),3)</f>
        <v>45397</v>
      </c>
      <c r="DS260" s="118">
        <f t="shared" si="104"/>
        <v>42750.400000000001</v>
      </c>
      <c r="DT260" s="118">
        <f t="shared" si="105"/>
        <v>85500.800000000003</v>
      </c>
      <c r="DU260" s="118">
        <f t="shared" si="106"/>
        <v>128251.20000000001</v>
      </c>
      <c r="DV260" s="118">
        <f t="shared" si="107"/>
        <v>171001.60000000001</v>
      </c>
      <c r="DW260" s="118">
        <f t="shared" si="108"/>
        <v>171001.60000000001</v>
      </c>
      <c r="DX260" s="118">
        <f t="shared" si="109"/>
        <v>171001.60000000001</v>
      </c>
      <c r="DY260" s="118">
        <f t="shared" si="110"/>
        <v>171001.60000000001</v>
      </c>
      <c r="DZ260" s="118">
        <f t="shared" si="111"/>
        <v>171001.60000000001</v>
      </c>
      <c r="EA260" s="118">
        <f t="shared" si="112"/>
        <v>171001.60000000001</v>
      </c>
      <c r="EB260" s="118">
        <f t="shared" si="113"/>
        <v>171001.60000000001</v>
      </c>
    </row>
    <row r="261" spans="1:132" ht="45" x14ac:dyDescent="0.25">
      <c r="A261" s="121">
        <v>6</v>
      </c>
      <c r="B261" s="122" t="s">
        <v>2688</v>
      </c>
      <c r="C261" s="123" t="s">
        <v>3593</v>
      </c>
      <c r="D261" s="123" t="s">
        <v>3594</v>
      </c>
      <c r="E261" s="123" t="s">
        <v>3595</v>
      </c>
      <c r="F261" s="123" t="s">
        <v>1118</v>
      </c>
      <c r="G261" s="123" t="s">
        <v>6118</v>
      </c>
      <c r="H261" s="123" t="s">
        <v>492</v>
      </c>
      <c r="I261" s="123" t="s">
        <v>493</v>
      </c>
      <c r="J261" s="124" t="s">
        <v>494</v>
      </c>
      <c r="K261" s="124" t="s">
        <v>495</v>
      </c>
      <c r="L261" s="124" t="s">
        <v>496</v>
      </c>
      <c r="M261" s="124" t="s">
        <v>275</v>
      </c>
      <c r="N261" s="124" t="s">
        <v>852</v>
      </c>
      <c r="O261" s="124" t="s">
        <v>2770</v>
      </c>
      <c r="P261" s="124" t="s">
        <v>257</v>
      </c>
      <c r="Q261" s="124" t="s">
        <v>556</v>
      </c>
      <c r="R261" s="124" t="s">
        <v>269</v>
      </c>
      <c r="S261" s="32">
        <v>145061.09</v>
      </c>
      <c r="T261" s="32">
        <v>70.77</v>
      </c>
      <c r="U261" s="32">
        <v>24.76</v>
      </c>
      <c r="V261" s="32">
        <v>0</v>
      </c>
      <c r="W261" s="32">
        <v>0</v>
      </c>
      <c r="X261" s="32">
        <v>0</v>
      </c>
      <c r="Y261" s="32">
        <v>0</v>
      </c>
      <c r="Z261" s="32">
        <v>0</v>
      </c>
      <c r="AA261" s="32">
        <v>0</v>
      </c>
      <c r="AB261" s="32">
        <v>0</v>
      </c>
      <c r="AC261" s="32">
        <v>0</v>
      </c>
      <c r="AD261" s="32">
        <v>0</v>
      </c>
      <c r="AE261" s="32">
        <v>0</v>
      </c>
      <c r="AF261" s="32">
        <v>0</v>
      </c>
      <c r="AG261" s="32">
        <v>0</v>
      </c>
      <c r="AH261" s="32">
        <v>0</v>
      </c>
      <c r="AI261" s="32">
        <v>0</v>
      </c>
      <c r="AJ261" s="32">
        <v>0</v>
      </c>
      <c r="AK261" s="32">
        <v>0</v>
      </c>
      <c r="AL261" s="32">
        <v>0</v>
      </c>
      <c r="AM261" s="32">
        <v>0</v>
      </c>
      <c r="AN261" s="32">
        <v>59914.31</v>
      </c>
      <c r="AO261" s="32">
        <v>0</v>
      </c>
      <c r="AP261" s="32">
        <v>0</v>
      </c>
      <c r="AQ261" s="32">
        <v>59914.31</v>
      </c>
      <c r="AR261" s="32">
        <v>204975.4</v>
      </c>
      <c r="AS261" s="32">
        <v>24.76</v>
      </c>
      <c r="AT261" s="32">
        <v>31660</v>
      </c>
      <c r="AU261" s="32">
        <v>31660</v>
      </c>
      <c r="AV261" s="32">
        <v>0</v>
      </c>
      <c r="AW261" s="32">
        <v>0</v>
      </c>
      <c r="AX261" s="32">
        <v>4749</v>
      </c>
      <c r="AY261" s="32">
        <v>4749</v>
      </c>
      <c r="AZ261" s="32">
        <v>1266.4000000000001</v>
      </c>
      <c r="BA261" s="32">
        <v>1266.4000000000001</v>
      </c>
      <c r="BB261" s="32">
        <v>0</v>
      </c>
      <c r="BC261" s="32">
        <v>0</v>
      </c>
      <c r="BD261" s="32">
        <v>144500</v>
      </c>
      <c r="BE261" s="32">
        <v>144500</v>
      </c>
      <c r="BF261" s="32">
        <v>0</v>
      </c>
      <c r="BG261" s="32">
        <v>13800</v>
      </c>
      <c r="BH261" s="32">
        <v>13800</v>
      </c>
      <c r="BI261" s="32">
        <v>0</v>
      </c>
      <c r="BJ261" s="32">
        <v>0</v>
      </c>
      <c r="BK261" s="32">
        <v>0</v>
      </c>
      <c r="BL261" s="32">
        <v>0</v>
      </c>
      <c r="BM261" s="32">
        <v>0</v>
      </c>
      <c r="BN261" s="32">
        <v>0</v>
      </c>
      <c r="BO261" s="32">
        <v>9000</v>
      </c>
      <c r="BP261" s="32">
        <v>9000</v>
      </c>
      <c r="BQ261" s="32">
        <v>42772.9</v>
      </c>
      <c r="BR261" s="32">
        <v>66171.100000000006</v>
      </c>
      <c r="BS261" s="32">
        <v>38408.949999999997</v>
      </c>
      <c r="BT261" s="32">
        <v>48622.45</v>
      </c>
      <c r="BU261" s="32">
        <v>0</v>
      </c>
      <c r="BV261" s="32">
        <v>0</v>
      </c>
      <c r="BW261" s="32">
        <v>0</v>
      </c>
      <c r="BX261" s="32">
        <v>0</v>
      </c>
      <c r="BY261" s="32">
        <v>0</v>
      </c>
      <c r="BZ261" s="32">
        <v>0</v>
      </c>
      <c r="CA261" s="32">
        <v>0</v>
      </c>
      <c r="CB261" s="125" t="s">
        <v>3596</v>
      </c>
      <c r="CC261" s="125" t="s">
        <v>522</v>
      </c>
      <c r="CD261" s="125"/>
      <c r="CE261" s="125" t="s">
        <v>523</v>
      </c>
      <c r="CF261" s="125" t="s">
        <v>636</v>
      </c>
      <c r="CG261" s="125" t="s">
        <v>803</v>
      </c>
      <c r="CH261" s="125" t="s">
        <v>526</v>
      </c>
      <c r="CI261" s="125" t="s">
        <v>665</v>
      </c>
      <c r="CJ261" s="125" t="s">
        <v>665</v>
      </c>
      <c r="CK261" s="125" t="s">
        <v>1200</v>
      </c>
      <c r="CL261" s="125" t="s">
        <v>212</v>
      </c>
      <c r="CM261" s="125"/>
      <c r="CN261" s="125" t="s">
        <v>257</v>
      </c>
      <c r="CO261" s="125" t="s">
        <v>269</v>
      </c>
      <c r="CP261" s="125" t="s">
        <v>2771</v>
      </c>
      <c r="CQ261" s="125" t="s">
        <v>760</v>
      </c>
      <c r="CR261" s="125" t="s">
        <v>761</v>
      </c>
      <c r="CS261" s="125" t="s">
        <v>1201</v>
      </c>
      <c r="CT261" s="125" t="s">
        <v>257</v>
      </c>
      <c r="CU261" s="125" t="s">
        <v>269</v>
      </c>
      <c r="CV261" s="125" t="s">
        <v>2771</v>
      </c>
      <c r="CW261" s="125" t="s">
        <v>760</v>
      </c>
      <c r="CX261" s="125" t="s">
        <v>761</v>
      </c>
      <c r="CY261" s="125" t="s">
        <v>2772</v>
      </c>
      <c r="CZ261" s="125" t="s">
        <v>2071</v>
      </c>
      <c r="DA261" s="125" t="s">
        <v>2773</v>
      </c>
      <c r="DB261" s="125" t="s">
        <v>1348</v>
      </c>
      <c r="DC261" s="125" t="s">
        <v>896</v>
      </c>
      <c r="DD261" s="125" t="s">
        <v>3597</v>
      </c>
      <c r="DE261" s="125" t="s">
        <v>3598</v>
      </c>
      <c r="DF261" s="126" t="s">
        <v>3599</v>
      </c>
      <c r="DG261" s="27" cm="1">
        <f t="array" ref="DG261">INDEX('elenco partner'!A:M,MATCH(1,(D261='elenco partner'!A:A)*('Partner data'!M261='elenco partner'!E:E),0),4)</f>
        <v>751</v>
      </c>
      <c r="DH261" s="83" t="str">
        <f t="shared" ref="DH261:DH272" si="114">IF(AU261&lt;&gt;0,"Tasso Forfettario 20%",IF(AV261&lt;&gt;0,"COSTO REALE",IF(AW261&lt;&gt;0,"Costo Unitario Standard","BL1 non presente")))</f>
        <v>Tasso Forfettario 20%</v>
      </c>
      <c r="DI261" s="20">
        <f>COUNTIFS('MY-REPORT-MAIN'!C:C,'Partner data'!DG261,'MY-REPORT-MAIN'!I:I,"Certified")</f>
        <v>0</v>
      </c>
      <c r="DJ261" s="20">
        <f>COUNTIFS(List_Of_chek_list!M:M,"&lt;&gt;26",List_Of_chek_list!B:B,'Partner data'!DG261)</f>
        <v>0</v>
      </c>
      <c r="DK261" s="20">
        <f t="shared" ref="DK261:DK272" si="115">DI261-DJ261</f>
        <v>0</v>
      </c>
      <c r="DL261" s="19" t="e">
        <f>IF(DH261="Tasso Forfettario 20%",SUMIFS(List_Of_chek_list!#REF!,List_Of_chek_list!B:B,'Partner data'!DG261),"NON PERTINENTE")</f>
        <v>#REF!</v>
      </c>
      <c r="DM261" s="19" t="e">
        <f t="shared" ref="DM261:DM272" si="116">IF(DL261="NON PERTINENTE","NON PERTINENTE",IF(DJ261=DL261,"Rischio basso","Rischio alto"))</f>
        <v>#REF!</v>
      </c>
      <c r="DN261" s="110">
        <f>_xlfn.MAXIFS('MY-REPORT-MAIN'!K:K,'MY-REPORT-MAIN'!C:C,DG261)</f>
        <v>0</v>
      </c>
      <c r="DO261" s="112" t="str">
        <f>IF(_xlfn.MAXIFS('MY-REPORT-MAIN'!M:M,'MY-REPORT-MAIN'!C:C,DG261)=0,"Nessun rendiconto  Convalidato",_xlfn.MAXIFS('MY-REPORT-MAIN'!M:M,'MY-REPORT-MAIN'!C:C,DG261))</f>
        <v>Nessun rendiconto  Convalidato</v>
      </c>
      <c r="DP261" s="113" t="str" cm="1">
        <f t="array" ref="DP261">IFERROR(INDEX('MY-REPORT-MAIN'!A:Z,MATCH(1,(DO261='MY-REPORT-MAIN'!M:M)*('Partner data'!DG261='MY-REPORT-MAIN'!C:C),0),1),"NON è stato convalidato ancora nessun rendiconto")</f>
        <v>NON è stato convalidato ancora nessun rendiconto</v>
      </c>
      <c r="DQ261" s="111" t="str">
        <f>IFERROR(INDEX('MY-REPORT-MAIN'!A:Z,MATCH('Partner data'!DP261,'MY-REPORT-MAIN'!A:A,0),21),"Nessun Rendiconto ancora convalidato")</f>
        <v>Nessun Rendiconto ancora convalidato</v>
      </c>
      <c r="DR261" s="110" t="e">
        <f>INDEX('Interreg VI-A Italy-Slovenia_pr'!A:E,MATCH('Partner data'!C261,'Interreg VI-A Italy-Slovenia_pr'!A:A,0),3)</f>
        <v>#N/A</v>
      </c>
      <c r="DS261" s="118">
        <f t="shared" si="104"/>
        <v>51772.9</v>
      </c>
      <c r="DT261" s="118">
        <f t="shared" si="105"/>
        <v>117944</v>
      </c>
      <c r="DU261" s="118">
        <f t="shared" si="106"/>
        <v>156352.95000000001</v>
      </c>
      <c r="DV261" s="118">
        <f t="shared" si="107"/>
        <v>204975.40000000002</v>
      </c>
      <c r="DW261" s="118">
        <f t="shared" si="108"/>
        <v>204975.40000000002</v>
      </c>
      <c r="DX261" s="118">
        <f t="shared" si="109"/>
        <v>204975.40000000002</v>
      </c>
      <c r="DY261" s="118">
        <f t="shared" si="110"/>
        <v>204975.40000000002</v>
      </c>
      <c r="DZ261" s="118">
        <f t="shared" si="111"/>
        <v>204975.40000000002</v>
      </c>
      <c r="EA261" s="118">
        <f t="shared" si="112"/>
        <v>204975.40000000002</v>
      </c>
      <c r="EB261" s="118">
        <f t="shared" si="113"/>
        <v>204975.40000000002</v>
      </c>
    </row>
    <row r="262" spans="1:132" ht="45" x14ac:dyDescent="0.25">
      <c r="A262" s="121">
        <v>6</v>
      </c>
      <c r="B262" s="122" t="s">
        <v>2688</v>
      </c>
      <c r="C262" s="123" t="s">
        <v>3593</v>
      </c>
      <c r="D262" s="123" t="s">
        <v>3594</v>
      </c>
      <c r="E262" s="123" t="s">
        <v>3595</v>
      </c>
      <c r="F262" s="123" t="s">
        <v>1118</v>
      </c>
      <c r="G262" s="123" t="s">
        <v>6118</v>
      </c>
      <c r="H262" s="123" t="s">
        <v>492</v>
      </c>
      <c r="I262" s="123" t="s">
        <v>493</v>
      </c>
      <c r="J262" s="124" t="s">
        <v>518</v>
      </c>
      <c r="K262" s="124" t="s">
        <v>495</v>
      </c>
      <c r="L262" s="124" t="s">
        <v>519</v>
      </c>
      <c r="M262" s="124" t="s">
        <v>3370</v>
      </c>
      <c r="N262" s="124" t="s">
        <v>3600</v>
      </c>
      <c r="O262" s="124" t="s">
        <v>3371</v>
      </c>
      <c r="P262" s="124" t="s">
        <v>254</v>
      </c>
      <c r="Q262" s="124" t="s">
        <v>499</v>
      </c>
      <c r="R262" s="124" t="s">
        <v>255</v>
      </c>
      <c r="S262" s="32">
        <v>109209.92</v>
      </c>
      <c r="T262" s="32">
        <v>70.77</v>
      </c>
      <c r="U262" s="32">
        <v>18.64</v>
      </c>
      <c r="V262" s="32">
        <v>0</v>
      </c>
      <c r="W262" s="32">
        <v>0</v>
      </c>
      <c r="X262" s="32">
        <v>0</v>
      </c>
      <c r="Y262" s="32">
        <v>0</v>
      </c>
      <c r="Z262" s="32">
        <v>0</v>
      </c>
      <c r="AA262" s="32">
        <v>0</v>
      </c>
      <c r="AB262" s="32">
        <v>0</v>
      </c>
      <c r="AC262" s="32">
        <v>0</v>
      </c>
      <c r="AD262" s="32">
        <v>0</v>
      </c>
      <c r="AE262" s="32">
        <v>0</v>
      </c>
      <c r="AF262" s="32">
        <v>0</v>
      </c>
      <c r="AG262" s="32">
        <v>0</v>
      </c>
      <c r="AH262" s="32">
        <v>0</v>
      </c>
      <c r="AI262" s="32">
        <v>0</v>
      </c>
      <c r="AJ262" s="32">
        <v>0</v>
      </c>
      <c r="AK262" s="32">
        <v>0</v>
      </c>
      <c r="AL262" s="32">
        <v>0</v>
      </c>
      <c r="AM262" s="32">
        <v>0</v>
      </c>
      <c r="AN262" s="32">
        <v>0</v>
      </c>
      <c r="AO262" s="32">
        <v>27302.48</v>
      </c>
      <c r="AP262" s="32">
        <v>17804.3</v>
      </c>
      <c r="AQ262" s="32">
        <v>45106.78</v>
      </c>
      <c r="AR262" s="32">
        <v>154316.70000000001</v>
      </c>
      <c r="AS262" s="32">
        <v>18.64</v>
      </c>
      <c r="AT262" s="32">
        <v>24930</v>
      </c>
      <c r="AU262" s="32">
        <v>24930</v>
      </c>
      <c r="AV262" s="32">
        <v>0</v>
      </c>
      <c r="AW262" s="32">
        <v>0</v>
      </c>
      <c r="AX262" s="32">
        <v>3739.5</v>
      </c>
      <c r="AY262" s="32">
        <v>3739.5</v>
      </c>
      <c r="AZ262" s="32">
        <v>997.2</v>
      </c>
      <c r="BA262" s="32">
        <v>997.2</v>
      </c>
      <c r="BB262" s="32">
        <v>0</v>
      </c>
      <c r="BC262" s="32">
        <v>0</v>
      </c>
      <c r="BD262" s="32">
        <v>115350</v>
      </c>
      <c r="BE262" s="32">
        <v>115350</v>
      </c>
      <c r="BF262" s="32">
        <v>0</v>
      </c>
      <c r="BG262" s="32">
        <v>9300</v>
      </c>
      <c r="BH262" s="32">
        <v>9300</v>
      </c>
      <c r="BI262" s="32">
        <v>0</v>
      </c>
      <c r="BJ262" s="32">
        <v>0</v>
      </c>
      <c r="BK262" s="32">
        <v>0</v>
      </c>
      <c r="BL262" s="32">
        <v>0</v>
      </c>
      <c r="BM262" s="32">
        <v>0</v>
      </c>
      <c r="BN262" s="32">
        <v>0</v>
      </c>
      <c r="BO262" s="32">
        <v>0</v>
      </c>
      <c r="BP262" s="32">
        <v>0</v>
      </c>
      <c r="BQ262" s="32">
        <v>48653.4</v>
      </c>
      <c r="BR262" s="32">
        <v>54038.7</v>
      </c>
      <c r="BS262" s="32">
        <v>25812.3</v>
      </c>
      <c r="BT262" s="32">
        <v>25812.3</v>
      </c>
      <c r="BU262" s="32">
        <v>0</v>
      </c>
      <c r="BV262" s="32">
        <v>0</v>
      </c>
      <c r="BW262" s="32">
        <v>0</v>
      </c>
      <c r="BX262" s="32">
        <v>0</v>
      </c>
      <c r="BY262" s="32">
        <v>0</v>
      </c>
      <c r="BZ262" s="32">
        <v>0</v>
      </c>
      <c r="CA262" s="32">
        <v>0</v>
      </c>
      <c r="CB262" s="125" t="s">
        <v>665</v>
      </c>
      <c r="CC262" s="125" t="s">
        <v>887</v>
      </c>
      <c r="CD262" s="125" t="s">
        <v>706</v>
      </c>
      <c r="CE262" s="125" t="s">
        <v>501</v>
      </c>
      <c r="CF262" s="125" t="s">
        <v>1617</v>
      </c>
      <c r="CG262" s="125" t="s">
        <v>665</v>
      </c>
      <c r="CH262" s="125" t="s">
        <v>526</v>
      </c>
      <c r="CI262" s="125" t="s">
        <v>3372</v>
      </c>
      <c r="CJ262" s="125" t="s">
        <v>683</v>
      </c>
      <c r="CK262" s="125"/>
      <c r="CL262" s="125" t="s">
        <v>212</v>
      </c>
      <c r="CM262" s="125"/>
      <c r="CN262" s="125" t="s">
        <v>254</v>
      </c>
      <c r="CO262" s="125" t="s">
        <v>255</v>
      </c>
      <c r="CP262" s="125" t="s">
        <v>1792</v>
      </c>
      <c r="CQ262" s="125" t="s">
        <v>666</v>
      </c>
      <c r="CR262" s="125" t="s">
        <v>1417</v>
      </c>
      <c r="CS262" s="125" t="s">
        <v>3373</v>
      </c>
      <c r="CT262" s="125" t="s">
        <v>254</v>
      </c>
      <c r="CU262" s="125" t="s">
        <v>255</v>
      </c>
      <c r="CV262" s="125" t="s">
        <v>725</v>
      </c>
      <c r="CW262" s="125" t="s">
        <v>665</v>
      </c>
      <c r="CX262" s="125" t="s">
        <v>665</v>
      </c>
      <c r="CY262" s="125" t="s">
        <v>892</v>
      </c>
      <c r="CZ262" s="125" t="s">
        <v>3601</v>
      </c>
      <c r="DA262" s="125" t="s">
        <v>3602</v>
      </c>
      <c r="DB262" s="125" t="s">
        <v>895</v>
      </c>
      <c r="DC262" s="125" t="s">
        <v>1795</v>
      </c>
      <c r="DD262" s="125" t="s">
        <v>2907</v>
      </c>
      <c r="DE262" s="125" t="s">
        <v>3374</v>
      </c>
      <c r="DF262" s="126" t="s">
        <v>3603</v>
      </c>
      <c r="DG262" s="27" cm="1">
        <f t="array" ref="DG262">INDEX('elenco partner'!A:M,MATCH(1,(D262='elenco partner'!A:A)*('Partner data'!M262='elenco partner'!E:E),0),4)</f>
        <v>752</v>
      </c>
      <c r="DH262" s="83" t="str">
        <f t="shared" si="114"/>
        <v>Tasso Forfettario 20%</v>
      </c>
      <c r="DI262" s="20">
        <f>COUNTIFS('MY-REPORT-MAIN'!C:C,'Partner data'!DG262,'MY-REPORT-MAIN'!I:I,"Certified")</f>
        <v>0</v>
      </c>
      <c r="DJ262" s="20">
        <f>COUNTIFS(List_Of_chek_list!M:M,"&lt;&gt;26",List_Of_chek_list!B:B,'Partner data'!DG262)</f>
        <v>0</v>
      </c>
      <c r="DK262" s="20">
        <f t="shared" si="115"/>
        <v>0</v>
      </c>
      <c r="DL262" s="19" t="e">
        <f>IF(DH262="Tasso Forfettario 20%",SUMIFS(List_Of_chek_list!#REF!,List_Of_chek_list!B:B,'Partner data'!DG262),"NON PERTINENTE")</f>
        <v>#REF!</v>
      </c>
      <c r="DM262" s="19" t="e">
        <f t="shared" si="116"/>
        <v>#REF!</v>
      </c>
      <c r="DN262" s="110">
        <f>_xlfn.MAXIFS('MY-REPORT-MAIN'!K:K,'MY-REPORT-MAIN'!C:C,DG262)</f>
        <v>0</v>
      </c>
      <c r="DO262" s="112" t="str">
        <f>IF(_xlfn.MAXIFS('MY-REPORT-MAIN'!M:M,'MY-REPORT-MAIN'!C:C,DG262)=0,"Nessun rendiconto  Convalidato",_xlfn.MAXIFS('MY-REPORT-MAIN'!M:M,'MY-REPORT-MAIN'!C:C,DG262))</f>
        <v>Nessun rendiconto  Convalidato</v>
      </c>
      <c r="DP262" s="113" t="str" cm="1">
        <f t="array" ref="DP262">IFERROR(INDEX('MY-REPORT-MAIN'!A:Z,MATCH(1,(DO262='MY-REPORT-MAIN'!M:M)*('Partner data'!DG262='MY-REPORT-MAIN'!C:C),0),1),"NON è stato convalidato ancora nessun rendiconto")</f>
        <v>NON è stato convalidato ancora nessun rendiconto</v>
      </c>
      <c r="DQ262" s="111" t="str">
        <f>IFERROR(INDEX('MY-REPORT-MAIN'!A:Z,MATCH('Partner data'!DP262,'MY-REPORT-MAIN'!A:A,0),21),"Nessun Rendiconto ancora convalidato")</f>
        <v>Nessun Rendiconto ancora convalidato</v>
      </c>
      <c r="DR262" s="110" t="e">
        <f>INDEX('Interreg VI-A Italy-Slovenia_pr'!A:E,MATCH('Partner data'!C262,'Interreg VI-A Italy-Slovenia_pr'!A:A,0),3)</f>
        <v>#N/A</v>
      </c>
      <c r="DS262" s="118">
        <f t="shared" si="104"/>
        <v>48653.4</v>
      </c>
      <c r="DT262" s="118">
        <f t="shared" si="105"/>
        <v>102692.1</v>
      </c>
      <c r="DU262" s="118">
        <f t="shared" si="106"/>
        <v>128504.40000000001</v>
      </c>
      <c r="DV262" s="118">
        <f t="shared" si="107"/>
        <v>154316.70000000001</v>
      </c>
      <c r="DW262" s="118">
        <f t="shared" si="108"/>
        <v>154316.70000000001</v>
      </c>
      <c r="DX262" s="118">
        <f t="shared" si="109"/>
        <v>154316.70000000001</v>
      </c>
      <c r="DY262" s="118">
        <f t="shared" si="110"/>
        <v>154316.70000000001</v>
      </c>
      <c r="DZ262" s="118">
        <f t="shared" si="111"/>
        <v>154316.70000000001</v>
      </c>
      <c r="EA262" s="118">
        <f t="shared" si="112"/>
        <v>154316.70000000001</v>
      </c>
      <c r="EB262" s="118">
        <f t="shared" si="113"/>
        <v>154316.70000000001</v>
      </c>
    </row>
    <row r="263" spans="1:132" ht="45" x14ac:dyDescent="0.25">
      <c r="A263" s="121">
        <v>6</v>
      </c>
      <c r="B263" s="122" t="s">
        <v>2688</v>
      </c>
      <c r="C263" s="123" t="s">
        <v>3593</v>
      </c>
      <c r="D263" s="123" t="s">
        <v>3594</v>
      </c>
      <c r="E263" s="123" t="s">
        <v>3595</v>
      </c>
      <c r="F263" s="123" t="s">
        <v>1118</v>
      </c>
      <c r="G263" s="123" t="s">
        <v>6118</v>
      </c>
      <c r="H263" s="123" t="s">
        <v>492</v>
      </c>
      <c r="I263" s="123" t="s">
        <v>493</v>
      </c>
      <c r="J263" s="124" t="s">
        <v>538</v>
      </c>
      <c r="K263" s="124" t="s">
        <v>495</v>
      </c>
      <c r="L263" s="124" t="s">
        <v>519</v>
      </c>
      <c r="M263" s="124" t="s">
        <v>3604</v>
      </c>
      <c r="N263" s="124" t="s">
        <v>3605</v>
      </c>
      <c r="O263" s="124" t="s">
        <v>3606</v>
      </c>
      <c r="P263" s="124" t="s">
        <v>257</v>
      </c>
      <c r="Q263" s="124" t="s">
        <v>556</v>
      </c>
      <c r="R263" s="124" t="s">
        <v>269</v>
      </c>
      <c r="S263" s="32">
        <v>99078</v>
      </c>
      <c r="T263" s="32">
        <v>70.77</v>
      </c>
      <c r="U263" s="32">
        <v>16.91</v>
      </c>
      <c r="V263" s="32">
        <v>0</v>
      </c>
      <c r="W263" s="32">
        <v>0</v>
      </c>
      <c r="X263" s="32">
        <v>0</v>
      </c>
      <c r="Y263" s="32">
        <v>0</v>
      </c>
      <c r="Z263" s="32">
        <v>0</v>
      </c>
      <c r="AA263" s="32">
        <v>0</v>
      </c>
      <c r="AB263" s="32">
        <v>0</v>
      </c>
      <c r="AC263" s="32">
        <v>0</v>
      </c>
      <c r="AD263" s="32">
        <v>0</v>
      </c>
      <c r="AE263" s="32">
        <v>0</v>
      </c>
      <c r="AF263" s="32">
        <v>0</v>
      </c>
      <c r="AG263" s="32">
        <v>0</v>
      </c>
      <c r="AH263" s="32">
        <v>0</v>
      </c>
      <c r="AI263" s="32">
        <v>0</v>
      </c>
      <c r="AJ263" s="32">
        <v>0</v>
      </c>
      <c r="AK263" s="32">
        <v>0</v>
      </c>
      <c r="AL263" s="32">
        <v>0</v>
      </c>
      <c r="AM263" s="32">
        <v>0</v>
      </c>
      <c r="AN263" s="32">
        <v>0</v>
      </c>
      <c r="AO263" s="32">
        <v>0</v>
      </c>
      <c r="AP263" s="32">
        <v>40922</v>
      </c>
      <c r="AQ263" s="32">
        <v>40922</v>
      </c>
      <c r="AR263" s="32">
        <v>140000</v>
      </c>
      <c r="AS263" s="32">
        <v>16.91</v>
      </c>
      <c r="AT263" s="32">
        <v>100000</v>
      </c>
      <c r="AU263" s="32">
        <v>0</v>
      </c>
      <c r="AV263" s="32">
        <v>100000</v>
      </c>
      <c r="AW263" s="32">
        <v>0</v>
      </c>
      <c r="AX263" s="32">
        <v>0</v>
      </c>
      <c r="AY263" s="32">
        <v>0</v>
      </c>
      <c r="AZ263" s="32">
        <v>0</v>
      </c>
      <c r="BA263" s="32">
        <v>0</v>
      </c>
      <c r="BB263" s="32">
        <v>0</v>
      </c>
      <c r="BC263" s="32">
        <v>0</v>
      </c>
      <c r="BD263" s="32">
        <v>0</v>
      </c>
      <c r="BE263" s="32">
        <v>0</v>
      </c>
      <c r="BF263" s="32">
        <v>0</v>
      </c>
      <c r="BG263" s="32">
        <v>0</v>
      </c>
      <c r="BH263" s="32">
        <v>0</v>
      </c>
      <c r="BI263" s="32">
        <v>0</v>
      </c>
      <c r="BJ263" s="32">
        <v>0</v>
      </c>
      <c r="BK263" s="32">
        <v>0</v>
      </c>
      <c r="BL263" s="32">
        <v>0</v>
      </c>
      <c r="BM263" s="32">
        <v>40000</v>
      </c>
      <c r="BN263" s="32">
        <v>0</v>
      </c>
      <c r="BO263" s="32">
        <v>0</v>
      </c>
      <c r="BP263" s="32">
        <v>0</v>
      </c>
      <c r="BQ263" s="32">
        <v>35000</v>
      </c>
      <c r="BR263" s="32">
        <v>35000</v>
      </c>
      <c r="BS263" s="32">
        <v>35000</v>
      </c>
      <c r="BT263" s="32">
        <v>35000</v>
      </c>
      <c r="BU263" s="32">
        <v>0</v>
      </c>
      <c r="BV263" s="32">
        <v>0</v>
      </c>
      <c r="BW263" s="32">
        <v>0</v>
      </c>
      <c r="BX263" s="32">
        <v>0</v>
      </c>
      <c r="BY263" s="32">
        <v>0</v>
      </c>
      <c r="BZ263" s="32">
        <v>0</v>
      </c>
      <c r="CA263" s="32">
        <v>0</v>
      </c>
      <c r="CB263" s="125" t="s">
        <v>212</v>
      </c>
      <c r="CC263" s="125" t="s">
        <v>887</v>
      </c>
      <c r="CD263" s="125"/>
      <c r="CE263" s="125" t="s">
        <v>501</v>
      </c>
      <c r="CF263" s="125" t="s">
        <v>2286</v>
      </c>
      <c r="CG263" s="125" t="s">
        <v>665</v>
      </c>
      <c r="CH263" s="125" t="s">
        <v>526</v>
      </c>
      <c r="CI263" s="125" t="s">
        <v>3607</v>
      </c>
      <c r="CJ263" s="125" t="s">
        <v>683</v>
      </c>
      <c r="CK263" s="125" t="s">
        <v>3608</v>
      </c>
      <c r="CL263" s="125" t="s">
        <v>212</v>
      </c>
      <c r="CM263" s="125"/>
      <c r="CN263" s="125" t="s">
        <v>257</v>
      </c>
      <c r="CO263" s="125" t="s">
        <v>269</v>
      </c>
      <c r="CP263" s="125" t="s">
        <v>3609</v>
      </c>
      <c r="CQ263" s="125" t="s">
        <v>760</v>
      </c>
      <c r="CR263" s="125" t="s">
        <v>761</v>
      </c>
      <c r="CS263" s="125" t="s">
        <v>3610</v>
      </c>
      <c r="CT263" s="125" t="s">
        <v>257</v>
      </c>
      <c r="CU263" s="125" t="s">
        <v>269</v>
      </c>
      <c r="CV263" s="125" t="s">
        <v>725</v>
      </c>
      <c r="CW263" s="125" t="s">
        <v>665</v>
      </c>
      <c r="CX263" s="125" t="s">
        <v>665</v>
      </c>
      <c r="CY263" s="125" t="s">
        <v>1478</v>
      </c>
      <c r="CZ263" s="125" t="s">
        <v>833</v>
      </c>
      <c r="DA263" s="125" t="s">
        <v>3611</v>
      </c>
      <c r="DB263" s="125" t="s">
        <v>1478</v>
      </c>
      <c r="DC263" s="125" t="s">
        <v>3612</v>
      </c>
      <c r="DD263" s="125" t="s">
        <v>3611</v>
      </c>
      <c r="DE263" s="125" t="s">
        <v>3613</v>
      </c>
      <c r="DF263" s="126" t="s">
        <v>3614</v>
      </c>
      <c r="DG263" s="27" cm="1">
        <f t="array" ref="DG263">INDEX('elenco partner'!A:M,MATCH(1,(D263='elenco partner'!A:A)*('Partner data'!M263='elenco partner'!E:E),0),4)</f>
        <v>754</v>
      </c>
      <c r="DH263" s="83" t="str">
        <f t="shared" si="114"/>
        <v>COSTO REALE</v>
      </c>
      <c r="DI263" s="20">
        <f>COUNTIFS('MY-REPORT-MAIN'!C:C,'Partner data'!DG263,'MY-REPORT-MAIN'!I:I,"Certified")</f>
        <v>0</v>
      </c>
      <c r="DJ263" s="20">
        <f>COUNTIFS(List_Of_chek_list!M:M,"&lt;&gt;26",List_Of_chek_list!B:B,'Partner data'!DG263)</f>
        <v>0</v>
      </c>
      <c r="DK263" s="20">
        <f t="shared" si="115"/>
        <v>0</v>
      </c>
      <c r="DL263" s="19" t="str">
        <f>IF(DH263="Tasso Forfettario 20%",SUMIFS(List_Of_chek_list!#REF!,List_Of_chek_list!B:B,'Partner data'!DG263),"NON PERTINENTE")</f>
        <v>NON PERTINENTE</v>
      </c>
      <c r="DM263" s="19" t="str">
        <f t="shared" si="116"/>
        <v>NON PERTINENTE</v>
      </c>
      <c r="DN263" s="110">
        <f>_xlfn.MAXIFS('MY-REPORT-MAIN'!K:K,'MY-REPORT-MAIN'!C:C,DG263)</f>
        <v>0</v>
      </c>
      <c r="DO263" s="112" t="str">
        <f>IF(_xlfn.MAXIFS('MY-REPORT-MAIN'!M:M,'MY-REPORT-MAIN'!C:C,DG263)=0,"Nessun rendiconto  Convalidato",_xlfn.MAXIFS('MY-REPORT-MAIN'!M:M,'MY-REPORT-MAIN'!C:C,DG263))</f>
        <v>Nessun rendiconto  Convalidato</v>
      </c>
      <c r="DP263" s="113" t="str" cm="1">
        <f t="array" ref="DP263">IFERROR(INDEX('MY-REPORT-MAIN'!A:Z,MATCH(1,(DO263='MY-REPORT-MAIN'!M:M)*('Partner data'!DG263='MY-REPORT-MAIN'!C:C),0),1),"NON è stato convalidato ancora nessun rendiconto")</f>
        <v>NON è stato convalidato ancora nessun rendiconto</v>
      </c>
      <c r="DQ263" s="111" t="str">
        <f>IFERROR(INDEX('MY-REPORT-MAIN'!A:Z,MATCH('Partner data'!DP263,'MY-REPORT-MAIN'!A:A,0),21),"Nessun Rendiconto ancora convalidato")</f>
        <v>Nessun Rendiconto ancora convalidato</v>
      </c>
      <c r="DR263" s="110" t="e">
        <f>INDEX('Interreg VI-A Italy-Slovenia_pr'!A:E,MATCH('Partner data'!C263,'Interreg VI-A Italy-Slovenia_pr'!A:A,0),3)</f>
        <v>#N/A</v>
      </c>
      <c r="DS263" s="118">
        <f t="shared" si="104"/>
        <v>35000</v>
      </c>
      <c r="DT263" s="118">
        <f t="shared" si="105"/>
        <v>70000</v>
      </c>
      <c r="DU263" s="118">
        <f t="shared" si="106"/>
        <v>105000</v>
      </c>
      <c r="DV263" s="118">
        <f t="shared" si="107"/>
        <v>140000</v>
      </c>
      <c r="DW263" s="118">
        <f t="shared" si="108"/>
        <v>140000</v>
      </c>
      <c r="DX263" s="118">
        <f t="shared" si="109"/>
        <v>140000</v>
      </c>
      <c r="DY263" s="118">
        <f t="shared" si="110"/>
        <v>140000</v>
      </c>
      <c r="DZ263" s="118">
        <f t="shared" si="111"/>
        <v>140000</v>
      </c>
      <c r="EA263" s="118">
        <f t="shared" si="112"/>
        <v>140000</v>
      </c>
      <c r="EB263" s="118">
        <f t="shared" si="113"/>
        <v>140000</v>
      </c>
    </row>
    <row r="264" spans="1:132" ht="45" x14ac:dyDescent="0.25">
      <c r="A264" s="121">
        <v>6</v>
      </c>
      <c r="B264" s="122" t="s">
        <v>2688</v>
      </c>
      <c r="C264" s="123" t="s">
        <v>3593</v>
      </c>
      <c r="D264" s="123" t="s">
        <v>3594</v>
      </c>
      <c r="E264" s="123" t="s">
        <v>3595</v>
      </c>
      <c r="F264" s="123" t="s">
        <v>1118</v>
      </c>
      <c r="G264" s="123" t="s">
        <v>6118</v>
      </c>
      <c r="H264" s="123" t="s">
        <v>492</v>
      </c>
      <c r="I264" s="123" t="s">
        <v>493</v>
      </c>
      <c r="J264" s="124" t="s">
        <v>554</v>
      </c>
      <c r="K264" s="124" t="s">
        <v>495</v>
      </c>
      <c r="L264" s="124" t="s">
        <v>519</v>
      </c>
      <c r="M264" s="124" t="s">
        <v>3615</v>
      </c>
      <c r="N264" s="124" t="s">
        <v>3616</v>
      </c>
      <c r="O264" s="124" t="s">
        <v>3617</v>
      </c>
      <c r="P264" s="124" t="s">
        <v>254</v>
      </c>
      <c r="Q264" s="124" t="s">
        <v>499</v>
      </c>
      <c r="R264" s="124" t="s">
        <v>266</v>
      </c>
      <c r="S264" s="32">
        <v>84216.3</v>
      </c>
      <c r="T264" s="32">
        <v>70.77</v>
      </c>
      <c r="U264" s="32">
        <v>14.37</v>
      </c>
      <c r="V264" s="32">
        <v>0</v>
      </c>
      <c r="W264" s="32">
        <v>0</v>
      </c>
      <c r="X264" s="32">
        <v>0</v>
      </c>
      <c r="Y264" s="32">
        <v>0</v>
      </c>
      <c r="Z264" s="32">
        <v>0</v>
      </c>
      <c r="AA264" s="32">
        <v>0</v>
      </c>
      <c r="AB264" s="32">
        <v>0</v>
      </c>
      <c r="AC264" s="32">
        <v>0</v>
      </c>
      <c r="AD264" s="32">
        <v>0</v>
      </c>
      <c r="AE264" s="32">
        <v>0</v>
      </c>
      <c r="AF264" s="32">
        <v>0</v>
      </c>
      <c r="AG264" s="32">
        <v>0</v>
      </c>
      <c r="AH264" s="32">
        <v>0</v>
      </c>
      <c r="AI264" s="32">
        <v>0</v>
      </c>
      <c r="AJ264" s="32">
        <v>0</v>
      </c>
      <c r="AK264" s="32">
        <v>0</v>
      </c>
      <c r="AL264" s="32">
        <v>0</v>
      </c>
      <c r="AM264" s="32">
        <v>0</v>
      </c>
      <c r="AN264" s="32">
        <v>0</v>
      </c>
      <c r="AO264" s="32">
        <v>21054.080000000002</v>
      </c>
      <c r="AP264" s="32">
        <v>13729.62</v>
      </c>
      <c r="AQ264" s="32">
        <v>34783.699999999997</v>
      </c>
      <c r="AR264" s="32">
        <v>119000</v>
      </c>
      <c r="AS264" s="32">
        <v>14.37</v>
      </c>
      <c r="AT264" s="32">
        <v>85000</v>
      </c>
      <c r="AU264" s="32">
        <v>0</v>
      </c>
      <c r="AV264" s="32">
        <v>85000</v>
      </c>
      <c r="AW264" s="32">
        <v>0</v>
      </c>
      <c r="AX264" s="32">
        <v>0</v>
      </c>
      <c r="AY264" s="32">
        <v>0</v>
      </c>
      <c r="AZ264" s="32">
        <v>0</v>
      </c>
      <c r="BA264" s="32">
        <v>0</v>
      </c>
      <c r="BB264" s="32">
        <v>0</v>
      </c>
      <c r="BC264" s="32">
        <v>0</v>
      </c>
      <c r="BD264" s="32">
        <v>0</v>
      </c>
      <c r="BE264" s="32">
        <v>0</v>
      </c>
      <c r="BF264" s="32">
        <v>0</v>
      </c>
      <c r="BG264" s="32">
        <v>0</v>
      </c>
      <c r="BH264" s="32">
        <v>0</v>
      </c>
      <c r="BI264" s="32">
        <v>0</v>
      </c>
      <c r="BJ264" s="32">
        <v>0</v>
      </c>
      <c r="BK264" s="32">
        <v>0</v>
      </c>
      <c r="BL264" s="32">
        <v>0</v>
      </c>
      <c r="BM264" s="32">
        <v>34000</v>
      </c>
      <c r="BN264" s="32">
        <v>0</v>
      </c>
      <c r="BO264" s="32">
        <v>0</v>
      </c>
      <c r="BP264" s="32">
        <v>0</v>
      </c>
      <c r="BQ264" s="32">
        <v>29750</v>
      </c>
      <c r="BR264" s="32">
        <v>29750</v>
      </c>
      <c r="BS264" s="32">
        <v>29750</v>
      </c>
      <c r="BT264" s="32">
        <v>29750</v>
      </c>
      <c r="BU264" s="32">
        <v>0</v>
      </c>
      <c r="BV264" s="32">
        <v>0</v>
      </c>
      <c r="BW264" s="32">
        <v>0</v>
      </c>
      <c r="BX264" s="32">
        <v>0</v>
      </c>
      <c r="BY264" s="32">
        <v>0</v>
      </c>
      <c r="BZ264" s="32">
        <v>0</v>
      </c>
      <c r="CA264" s="32">
        <v>0</v>
      </c>
      <c r="CB264" s="125" t="s">
        <v>212</v>
      </c>
      <c r="CC264" s="125" t="s">
        <v>887</v>
      </c>
      <c r="CD264" s="125" t="s">
        <v>617</v>
      </c>
      <c r="CE264" s="125" t="s">
        <v>501</v>
      </c>
      <c r="CF264" s="125" t="s">
        <v>3618</v>
      </c>
      <c r="CG264" s="125" t="s">
        <v>3619</v>
      </c>
      <c r="CH264" s="125" t="s">
        <v>619</v>
      </c>
      <c r="CI264" s="125" t="s">
        <v>212</v>
      </c>
      <c r="CJ264" s="125" t="s">
        <v>212</v>
      </c>
      <c r="CK264" s="125" t="s">
        <v>3620</v>
      </c>
      <c r="CL264" s="125" t="s">
        <v>212</v>
      </c>
      <c r="CM264" s="125"/>
      <c r="CN264" s="125" t="s">
        <v>254</v>
      </c>
      <c r="CO264" s="125" t="s">
        <v>266</v>
      </c>
      <c r="CP264" s="125" t="s">
        <v>3621</v>
      </c>
      <c r="CQ264" s="125" t="s">
        <v>3085</v>
      </c>
      <c r="CR264" s="125" t="s">
        <v>1691</v>
      </c>
      <c r="CS264" s="125" t="s">
        <v>3622</v>
      </c>
      <c r="CT264" s="125" t="s">
        <v>254</v>
      </c>
      <c r="CU264" s="125" t="s">
        <v>273</v>
      </c>
      <c r="CV264" s="125" t="s">
        <v>3623</v>
      </c>
      <c r="CW264" s="125" t="s">
        <v>3624</v>
      </c>
      <c r="CX264" s="125" t="s">
        <v>3625</v>
      </c>
      <c r="CY264" s="125" t="s">
        <v>510</v>
      </c>
      <c r="CZ264" s="125" t="s">
        <v>1740</v>
      </c>
      <c r="DA264" s="125" t="s">
        <v>3626</v>
      </c>
      <c r="DB264" s="125" t="s">
        <v>3627</v>
      </c>
      <c r="DC264" s="125" t="s">
        <v>1354</v>
      </c>
      <c r="DD264" s="125" t="s">
        <v>3628</v>
      </c>
      <c r="DE264" s="125" t="s">
        <v>3629</v>
      </c>
      <c r="DF264" s="126" t="s">
        <v>3630</v>
      </c>
      <c r="DG264" s="27" cm="1">
        <f t="array" ref="DG264">INDEX('elenco partner'!A:M,MATCH(1,(D264='elenco partner'!A:A)*('Partner data'!M264='elenco partner'!E:E),0),4)</f>
        <v>755</v>
      </c>
      <c r="DH264" s="83" t="str">
        <f t="shared" si="114"/>
        <v>COSTO REALE</v>
      </c>
      <c r="DI264" s="20">
        <f>COUNTIFS('MY-REPORT-MAIN'!C:C,'Partner data'!DG264,'MY-REPORT-MAIN'!I:I,"Certified")</f>
        <v>0</v>
      </c>
      <c r="DJ264" s="20">
        <f>COUNTIFS(List_Of_chek_list!M:M,"&lt;&gt;26",List_Of_chek_list!B:B,'Partner data'!DG264)</f>
        <v>0</v>
      </c>
      <c r="DK264" s="20">
        <f t="shared" si="115"/>
        <v>0</v>
      </c>
      <c r="DL264" s="19" t="str">
        <f>IF(DH264="Tasso Forfettario 20%",SUMIFS(List_Of_chek_list!#REF!,List_Of_chek_list!B:B,'Partner data'!DG264),"NON PERTINENTE")</f>
        <v>NON PERTINENTE</v>
      </c>
      <c r="DM264" s="19" t="str">
        <f t="shared" si="116"/>
        <v>NON PERTINENTE</v>
      </c>
      <c r="DN264" s="110">
        <f>_xlfn.MAXIFS('MY-REPORT-MAIN'!K:K,'MY-REPORT-MAIN'!C:C,DG264)</f>
        <v>0</v>
      </c>
      <c r="DO264" s="112" t="str">
        <f>IF(_xlfn.MAXIFS('MY-REPORT-MAIN'!M:M,'MY-REPORT-MAIN'!C:C,DG264)=0,"Nessun rendiconto  Convalidato",_xlfn.MAXIFS('MY-REPORT-MAIN'!M:M,'MY-REPORT-MAIN'!C:C,DG264))</f>
        <v>Nessun rendiconto  Convalidato</v>
      </c>
      <c r="DP264" s="113" t="str" cm="1">
        <f t="array" ref="DP264">IFERROR(INDEX('MY-REPORT-MAIN'!A:Z,MATCH(1,(DO264='MY-REPORT-MAIN'!M:M)*('Partner data'!DG264='MY-REPORT-MAIN'!C:C),0),1),"NON è stato convalidato ancora nessun rendiconto")</f>
        <v>NON è stato convalidato ancora nessun rendiconto</v>
      </c>
      <c r="DQ264" s="111" t="str">
        <f>IFERROR(INDEX('MY-REPORT-MAIN'!A:Z,MATCH('Partner data'!DP264,'MY-REPORT-MAIN'!A:A,0),21),"Nessun Rendiconto ancora convalidato")</f>
        <v>Nessun Rendiconto ancora convalidato</v>
      </c>
      <c r="DR264" s="110" t="e">
        <f>INDEX('Interreg VI-A Italy-Slovenia_pr'!A:E,MATCH('Partner data'!C264,'Interreg VI-A Italy-Slovenia_pr'!A:A,0),3)</f>
        <v>#N/A</v>
      </c>
      <c r="DS264" s="118">
        <f t="shared" si="104"/>
        <v>29750</v>
      </c>
      <c r="DT264" s="118">
        <f t="shared" si="105"/>
        <v>59500</v>
      </c>
      <c r="DU264" s="118">
        <f t="shared" si="106"/>
        <v>89250</v>
      </c>
      <c r="DV264" s="118">
        <f t="shared" si="107"/>
        <v>119000</v>
      </c>
      <c r="DW264" s="118">
        <f t="shared" si="108"/>
        <v>119000</v>
      </c>
      <c r="DX264" s="118">
        <f t="shared" si="109"/>
        <v>119000</v>
      </c>
      <c r="DY264" s="118">
        <f t="shared" si="110"/>
        <v>119000</v>
      </c>
      <c r="DZ264" s="118">
        <f t="shared" si="111"/>
        <v>119000</v>
      </c>
      <c r="EA264" s="118">
        <f t="shared" si="112"/>
        <v>119000</v>
      </c>
      <c r="EB264" s="118">
        <f t="shared" si="113"/>
        <v>119000</v>
      </c>
    </row>
    <row r="265" spans="1:132" ht="45" x14ac:dyDescent="0.25">
      <c r="A265" s="121">
        <v>6</v>
      </c>
      <c r="B265" s="122" t="s">
        <v>2688</v>
      </c>
      <c r="C265" s="123" t="s">
        <v>3593</v>
      </c>
      <c r="D265" s="123" t="s">
        <v>3594</v>
      </c>
      <c r="E265" s="123" t="s">
        <v>3595</v>
      </c>
      <c r="F265" s="123" t="s">
        <v>1118</v>
      </c>
      <c r="G265" s="123" t="s">
        <v>6118</v>
      </c>
      <c r="H265" s="123" t="s">
        <v>492</v>
      </c>
      <c r="I265" s="123" t="s">
        <v>493</v>
      </c>
      <c r="J265" s="124" t="s">
        <v>570</v>
      </c>
      <c r="K265" s="124" t="s">
        <v>495</v>
      </c>
      <c r="L265" s="124" t="s">
        <v>519</v>
      </c>
      <c r="M265" s="124" t="s">
        <v>3631</v>
      </c>
      <c r="N265" s="124" t="s">
        <v>3632</v>
      </c>
      <c r="O265" s="124" t="s">
        <v>3633</v>
      </c>
      <c r="P265" s="124" t="s">
        <v>257</v>
      </c>
      <c r="Q265" s="124" t="s">
        <v>556</v>
      </c>
      <c r="R265" s="124" t="s">
        <v>269</v>
      </c>
      <c r="S265" s="32">
        <v>76325.440000000002</v>
      </c>
      <c r="T265" s="32">
        <v>70.77</v>
      </c>
      <c r="U265" s="32">
        <v>13.03</v>
      </c>
      <c r="V265" s="32">
        <v>0</v>
      </c>
      <c r="W265" s="32">
        <v>0</v>
      </c>
      <c r="X265" s="32">
        <v>0</v>
      </c>
      <c r="Y265" s="32">
        <v>0</v>
      </c>
      <c r="Z265" s="32">
        <v>0</v>
      </c>
      <c r="AA265" s="32">
        <v>0</v>
      </c>
      <c r="AB265" s="32">
        <v>0</v>
      </c>
      <c r="AC265" s="32">
        <v>0</v>
      </c>
      <c r="AD265" s="32">
        <v>0</v>
      </c>
      <c r="AE265" s="32">
        <v>0</v>
      </c>
      <c r="AF265" s="32">
        <v>0</v>
      </c>
      <c r="AG265" s="32">
        <v>0</v>
      </c>
      <c r="AH265" s="32">
        <v>0</v>
      </c>
      <c r="AI265" s="32">
        <v>0</v>
      </c>
      <c r="AJ265" s="32">
        <v>0</v>
      </c>
      <c r="AK265" s="32">
        <v>0</v>
      </c>
      <c r="AL265" s="32">
        <v>0</v>
      </c>
      <c r="AM265" s="32">
        <v>0</v>
      </c>
      <c r="AN265" s="32">
        <v>31524.560000000001</v>
      </c>
      <c r="AO265" s="32">
        <v>0</v>
      </c>
      <c r="AP265" s="32">
        <v>0</v>
      </c>
      <c r="AQ265" s="32">
        <v>31524.560000000001</v>
      </c>
      <c r="AR265" s="32">
        <v>107850</v>
      </c>
      <c r="AS265" s="32">
        <v>13.03</v>
      </c>
      <c r="AT265" s="32">
        <v>45000</v>
      </c>
      <c r="AU265" s="32">
        <v>0</v>
      </c>
      <c r="AV265" s="32">
        <v>45000</v>
      </c>
      <c r="AW265" s="32">
        <v>0</v>
      </c>
      <c r="AX265" s="32">
        <v>6750</v>
      </c>
      <c r="AY265" s="32">
        <v>6750</v>
      </c>
      <c r="AZ265" s="32">
        <v>1800</v>
      </c>
      <c r="BA265" s="32">
        <v>1800</v>
      </c>
      <c r="BB265" s="32">
        <v>0</v>
      </c>
      <c r="BC265" s="32">
        <v>0</v>
      </c>
      <c r="BD265" s="32">
        <v>45000</v>
      </c>
      <c r="BE265" s="32">
        <v>45000</v>
      </c>
      <c r="BF265" s="32">
        <v>0</v>
      </c>
      <c r="BG265" s="32">
        <v>9300</v>
      </c>
      <c r="BH265" s="32">
        <v>9300</v>
      </c>
      <c r="BI265" s="32">
        <v>0</v>
      </c>
      <c r="BJ265" s="32">
        <v>0</v>
      </c>
      <c r="BK265" s="32">
        <v>0</v>
      </c>
      <c r="BL265" s="32">
        <v>0</v>
      </c>
      <c r="BM265" s="32">
        <v>0</v>
      </c>
      <c r="BN265" s="32">
        <v>0</v>
      </c>
      <c r="BO265" s="32">
        <v>0</v>
      </c>
      <c r="BP265" s="32">
        <v>0</v>
      </c>
      <c r="BQ265" s="32">
        <v>28137.5</v>
      </c>
      <c r="BR265" s="32">
        <v>32937.5</v>
      </c>
      <c r="BS265" s="32">
        <v>22637.5</v>
      </c>
      <c r="BT265" s="32">
        <v>24137.5</v>
      </c>
      <c r="BU265" s="32">
        <v>0</v>
      </c>
      <c r="BV265" s="32">
        <v>0</v>
      </c>
      <c r="BW265" s="32">
        <v>0</v>
      </c>
      <c r="BX265" s="32">
        <v>0</v>
      </c>
      <c r="BY265" s="32">
        <v>0</v>
      </c>
      <c r="BZ265" s="32">
        <v>0</v>
      </c>
      <c r="CA265" s="32">
        <v>0</v>
      </c>
      <c r="CB265" s="125" t="s">
        <v>212</v>
      </c>
      <c r="CC265" s="125" t="s">
        <v>500</v>
      </c>
      <c r="CD265" s="125" t="s">
        <v>653</v>
      </c>
      <c r="CE265" s="125" t="s">
        <v>523</v>
      </c>
      <c r="CF265" s="125" t="s">
        <v>3618</v>
      </c>
      <c r="CG265" s="125" t="s">
        <v>3634</v>
      </c>
      <c r="CH265" s="125" t="s">
        <v>619</v>
      </c>
      <c r="CI265" s="125"/>
      <c r="CJ265" s="125" t="s">
        <v>212</v>
      </c>
      <c r="CK265" s="125"/>
      <c r="CL265" s="125" t="s">
        <v>212</v>
      </c>
      <c r="CM265" s="125"/>
      <c r="CN265" s="125" t="s">
        <v>257</v>
      </c>
      <c r="CO265" s="125" t="s">
        <v>269</v>
      </c>
      <c r="CP265" s="125" t="s">
        <v>6132</v>
      </c>
      <c r="CQ265" s="125" t="s">
        <v>3635</v>
      </c>
      <c r="CR265" s="125" t="s">
        <v>761</v>
      </c>
      <c r="CS265" s="125" t="s">
        <v>3636</v>
      </c>
      <c r="CT265" s="125" t="s">
        <v>257</v>
      </c>
      <c r="CU265" s="125" t="s">
        <v>269</v>
      </c>
      <c r="CV265" s="125" t="s">
        <v>725</v>
      </c>
      <c r="CW265" s="125" t="s">
        <v>665</v>
      </c>
      <c r="CX265" s="125" t="s">
        <v>665</v>
      </c>
      <c r="CY265" s="125" t="s">
        <v>3637</v>
      </c>
      <c r="CZ265" s="125" t="s">
        <v>3638</v>
      </c>
      <c r="DA265" s="125" t="s">
        <v>3639</v>
      </c>
      <c r="DB265" s="125" t="s">
        <v>892</v>
      </c>
      <c r="DC265" s="125" t="s">
        <v>1333</v>
      </c>
      <c r="DD265" s="125" t="s">
        <v>909</v>
      </c>
      <c r="DE265" s="125" t="s">
        <v>3640</v>
      </c>
      <c r="DF265" s="126" t="s">
        <v>3641</v>
      </c>
      <c r="DG265" s="27" cm="1">
        <f t="array" ref="DG265">INDEX('elenco partner'!A:M,MATCH(1,(D265='elenco partner'!A:A)*('Partner data'!M265='elenco partner'!E:E),0),4)</f>
        <v>756</v>
      </c>
      <c r="DH265" s="83" t="str">
        <f t="shared" si="114"/>
        <v>COSTO REALE</v>
      </c>
      <c r="DI265" s="20">
        <f>COUNTIFS('MY-REPORT-MAIN'!C:C,'Partner data'!DG265,'MY-REPORT-MAIN'!I:I,"Certified")</f>
        <v>0</v>
      </c>
      <c r="DJ265" s="20">
        <f>COUNTIFS(List_Of_chek_list!M:M,"&lt;&gt;26",List_Of_chek_list!B:B,'Partner data'!DG265)</f>
        <v>0</v>
      </c>
      <c r="DK265" s="20">
        <f t="shared" si="115"/>
        <v>0</v>
      </c>
      <c r="DL265" s="19" t="str">
        <f>IF(DH265="Tasso Forfettario 20%",SUMIFS(List_Of_chek_list!#REF!,List_Of_chek_list!B:B,'Partner data'!DG265),"NON PERTINENTE")</f>
        <v>NON PERTINENTE</v>
      </c>
      <c r="DM265" s="19" t="str">
        <f t="shared" si="116"/>
        <v>NON PERTINENTE</v>
      </c>
      <c r="DN265" s="110">
        <f>_xlfn.MAXIFS('MY-REPORT-MAIN'!K:K,'MY-REPORT-MAIN'!C:C,DG265)</f>
        <v>0</v>
      </c>
      <c r="DO265" s="112" t="str">
        <f>IF(_xlfn.MAXIFS('MY-REPORT-MAIN'!M:M,'MY-REPORT-MAIN'!C:C,DG265)=0,"Nessun rendiconto  Convalidato",_xlfn.MAXIFS('MY-REPORT-MAIN'!M:M,'MY-REPORT-MAIN'!C:C,DG265))</f>
        <v>Nessun rendiconto  Convalidato</v>
      </c>
      <c r="DP265" s="113" t="str" cm="1">
        <f t="array" ref="DP265">IFERROR(INDEX('MY-REPORT-MAIN'!A:Z,MATCH(1,(DO265='MY-REPORT-MAIN'!M:M)*('Partner data'!DG265='MY-REPORT-MAIN'!C:C),0),1),"NON è stato convalidato ancora nessun rendiconto")</f>
        <v>NON è stato convalidato ancora nessun rendiconto</v>
      </c>
      <c r="DQ265" s="111" t="str">
        <f>IFERROR(INDEX('MY-REPORT-MAIN'!A:Z,MATCH('Partner data'!DP265,'MY-REPORT-MAIN'!A:A,0),21),"Nessun Rendiconto ancora convalidato")</f>
        <v>Nessun Rendiconto ancora convalidato</v>
      </c>
      <c r="DR265" s="110" t="e">
        <f>INDEX('Interreg VI-A Italy-Slovenia_pr'!A:E,MATCH('Partner data'!C265,'Interreg VI-A Italy-Slovenia_pr'!A:A,0),3)</f>
        <v>#N/A</v>
      </c>
      <c r="DS265" s="118">
        <f t="shared" si="104"/>
        <v>28137.5</v>
      </c>
      <c r="DT265" s="118">
        <f t="shared" si="105"/>
        <v>61075</v>
      </c>
      <c r="DU265" s="118">
        <f t="shared" si="106"/>
        <v>83712.5</v>
      </c>
      <c r="DV265" s="118">
        <f t="shared" si="107"/>
        <v>107850</v>
      </c>
      <c r="DW265" s="118">
        <f t="shared" si="108"/>
        <v>107850</v>
      </c>
      <c r="DX265" s="118">
        <f t="shared" si="109"/>
        <v>107850</v>
      </c>
      <c r="DY265" s="118">
        <f t="shared" si="110"/>
        <v>107850</v>
      </c>
      <c r="DZ265" s="118">
        <f t="shared" si="111"/>
        <v>107850</v>
      </c>
      <c r="EA265" s="118">
        <f t="shared" si="112"/>
        <v>107850</v>
      </c>
      <c r="EB265" s="118">
        <f t="shared" si="113"/>
        <v>107850</v>
      </c>
    </row>
    <row r="266" spans="1:132" ht="45" x14ac:dyDescent="0.25">
      <c r="A266" s="121">
        <v>6</v>
      </c>
      <c r="B266" s="122" t="s">
        <v>2688</v>
      </c>
      <c r="C266" s="123" t="s">
        <v>3593</v>
      </c>
      <c r="D266" s="123" t="s">
        <v>3594</v>
      </c>
      <c r="E266" s="123" t="s">
        <v>3595</v>
      </c>
      <c r="F266" s="123" t="s">
        <v>1118</v>
      </c>
      <c r="G266" s="123" t="s">
        <v>6118</v>
      </c>
      <c r="H266" s="123" t="s">
        <v>492</v>
      </c>
      <c r="I266" s="123" t="s">
        <v>493</v>
      </c>
      <c r="J266" s="124" t="s">
        <v>581</v>
      </c>
      <c r="K266" s="124" t="s">
        <v>495</v>
      </c>
      <c r="L266" s="124" t="s">
        <v>519</v>
      </c>
      <c r="M266" s="124" t="s">
        <v>3642</v>
      </c>
      <c r="N266" s="124" t="s">
        <v>3643</v>
      </c>
      <c r="O266" s="124" t="s">
        <v>3644</v>
      </c>
      <c r="P266" s="124" t="s">
        <v>254</v>
      </c>
      <c r="Q266" s="124" t="s">
        <v>499</v>
      </c>
      <c r="R266" s="124" t="s">
        <v>255</v>
      </c>
      <c r="S266" s="32">
        <v>72043.86</v>
      </c>
      <c r="T266" s="32">
        <v>70.77</v>
      </c>
      <c r="U266" s="32">
        <v>12.3</v>
      </c>
      <c r="V266" s="32">
        <v>0</v>
      </c>
      <c r="W266" s="32">
        <v>0</v>
      </c>
      <c r="X266" s="32">
        <v>0</v>
      </c>
      <c r="Y266" s="32">
        <v>0</v>
      </c>
      <c r="Z266" s="32">
        <v>0</v>
      </c>
      <c r="AA266" s="32">
        <v>0</v>
      </c>
      <c r="AB266" s="32">
        <v>0</v>
      </c>
      <c r="AC266" s="32">
        <v>0</v>
      </c>
      <c r="AD266" s="32">
        <v>0</v>
      </c>
      <c r="AE266" s="32">
        <v>0</v>
      </c>
      <c r="AF266" s="32">
        <v>0</v>
      </c>
      <c r="AG266" s="32">
        <v>0</v>
      </c>
      <c r="AH266" s="32">
        <v>0</v>
      </c>
      <c r="AI266" s="32">
        <v>0</v>
      </c>
      <c r="AJ266" s="32">
        <v>0</v>
      </c>
      <c r="AK266" s="32">
        <v>0</v>
      </c>
      <c r="AL266" s="32">
        <v>0</v>
      </c>
      <c r="AM266" s="32">
        <v>0</v>
      </c>
      <c r="AN266" s="32">
        <v>11745.17</v>
      </c>
      <c r="AO266" s="32">
        <v>18010.97</v>
      </c>
      <c r="AP266" s="32">
        <v>0</v>
      </c>
      <c r="AQ266" s="32">
        <v>29756.14</v>
      </c>
      <c r="AR266" s="32">
        <v>101800</v>
      </c>
      <c r="AS266" s="32">
        <v>12.3</v>
      </c>
      <c r="AT266" s="32">
        <v>0</v>
      </c>
      <c r="AU266" s="32">
        <v>0</v>
      </c>
      <c r="AV266" s="32">
        <v>0</v>
      </c>
      <c r="AW266" s="32">
        <v>0</v>
      </c>
      <c r="AX266" s="32">
        <v>0</v>
      </c>
      <c r="AY266" s="32">
        <v>0</v>
      </c>
      <c r="AZ266" s="32">
        <v>0</v>
      </c>
      <c r="BA266" s="32">
        <v>0</v>
      </c>
      <c r="BB266" s="32">
        <v>0</v>
      </c>
      <c r="BC266" s="32">
        <v>0</v>
      </c>
      <c r="BD266" s="32">
        <v>92500</v>
      </c>
      <c r="BE266" s="32">
        <v>92500</v>
      </c>
      <c r="BF266" s="32">
        <v>0</v>
      </c>
      <c r="BG266" s="32">
        <v>9300</v>
      </c>
      <c r="BH266" s="32">
        <v>9300</v>
      </c>
      <c r="BI266" s="32">
        <v>0</v>
      </c>
      <c r="BJ266" s="32">
        <v>0</v>
      </c>
      <c r="BK266" s="32">
        <v>0</v>
      </c>
      <c r="BL266" s="32">
        <v>0</v>
      </c>
      <c r="BM266" s="32">
        <v>0</v>
      </c>
      <c r="BN266" s="32">
        <v>0</v>
      </c>
      <c r="BO266" s="32">
        <v>0</v>
      </c>
      <c r="BP266" s="32">
        <v>0</v>
      </c>
      <c r="BQ266" s="32">
        <v>26250</v>
      </c>
      <c r="BR266" s="32">
        <v>33050</v>
      </c>
      <c r="BS266" s="32">
        <v>26250</v>
      </c>
      <c r="BT266" s="32">
        <v>16250</v>
      </c>
      <c r="BU266" s="32">
        <v>0</v>
      </c>
      <c r="BV266" s="32">
        <v>0</v>
      </c>
      <c r="BW266" s="32">
        <v>0</v>
      </c>
      <c r="BX266" s="32">
        <v>0</v>
      </c>
      <c r="BY266" s="32">
        <v>0</v>
      </c>
      <c r="BZ266" s="32">
        <v>0</v>
      </c>
      <c r="CA266" s="32">
        <v>0</v>
      </c>
      <c r="CB266" s="125" t="s">
        <v>212</v>
      </c>
      <c r="CC266" s="125" t="s">
        <v>949</v>
      </c>
      <c r="CD266" s="125"/>
      <c r="CE266" s="125" t="s">
        <v>523</v>
      </c>
      <c r="CF266" s="125" t="s">
        <v>1825</v>
      </c>
      <c r="CG266" s="125" t="s">
        <v>665</v>
      </c>
      <c r="CH266" s="125" t="s">
        <v>526</v>
      </c>
      <c r="CI266" s="125" t="s">
        <v>3645</v>
      </c>
      <c r="CJ266" s="125" t="s">
        <v>212</v>
      </c>
      <c r="CK266" s="125" t="s">
        <v>212</v>
      </c>
      <c r="CL266" s="125" t="s">
        <v>212</v>
      </c>
      <c r="CM266" s="125"/>
      <c r="CN266" s="125" t="s">
        <v>254</v>
      </c>
      <c r="CO266" s="125" t="s">
        <v>255</v>
      </c>
      <c r="CP266" s="125" t="s">
        <v>3646</v>
      </c>
      <c r="CQ266" s="125" t="s">
        <v>3647</v>
      </c>
      <c r="CR266" s="125" t="s">
        <v>529</v>
      </c>
      <c r="CS266" s="125" t="s">
        <v>3648</v>
      </c>
      <c r="CT266" s="125" t="s">
        <v>254</v>
      </c>
      <c r="CU266" s="125" t="s">
        <v>255</v>
      </c>
      <c r="CV266" s="125" t="s">
        <v>725</v>
      </c>
      <c r="CW266" s="125" t="s">
        <v>665</v>
      </c>
      <c r="CX266" s="125" t="s">
        <v>665</v>
      </c>
      <c r="CY266" s="125" t="s">
        <v>3649</v>
      </c>
      <c r="CZ266" s="125" t="s">
        <v>3650</v>
      </c>
      <c r="DA266" s="125" t="s">
        <v>3651</v>
      </c>
      <c r="DB266" s="125" t="s">
        <v>3649</v>
      </c>
      <c r="DC266" s="125" t="s">
        <v>3650</v>
      </c>
      <c r="DD266" s="125" t="s">
        <v>3651</v>
      </c>
      <c r="DE266" s="125" t="s">
        <v>3652</v>
      </c>
      <c r="DF266" s="126" t="s">
        <v>3653</v>
      </c>
      <c r="DG266" s="27" cm="1">
        <f t="array" ref="DG266">INDEX('elenco partner'!A:M,MATCH(1,(D266='elenco partner'!A:A)*('Partner data'!M266='elenco partner'!E:E),0),4)</f>
        <v>871</v>
      </c>
      <c r="DH266" s="83" t="str">
        <f t="shared" si="114"/>
        <v>BL1 non presente</v>
      </c>
      <c r="DI266" s="20">
        <f>COUNTIFS('MY-REPORT-MAIN'!C:C,'Partner data'!DG266,'MY-REPORT-MAIN'!I:I,"Certified")</f>
        <v>0</v>
      </c>
      <c r="DJ266" s="20">
        <f>COUNTIFS(List_Of_chek_list!M:M,"&lt;&gt;26",List_Of_chek_list!B:B,'Partner data'!DG266)</f>
        <v>0</v>
      </c>
      <c r="DK266" s="20">
        <f t="shared" si="115"/>
        <v>0</v>
      </c>
      <c r="DL266" s="19" t="str">
        <f>IF(DH266="Tasso Forfettario 20%",SUMIFS(List_Of_chek_list!#REF!,List_Of_chek_list!B:B,'Partner data'!DG266),"NON PERTINENTE")</f>
        <v>NON PERTINENTE</v>
      </c>
      <c r="DM266" s="19" t="str">
        <f t="shared" si="116"/>
        <v>NON PERTINENTE</v>
      </c>
      <c r="DN266" s="110">
        <f>_xlfn.MAXIFS('MY-REPORT-MAIN'!K:K,'MY-REPORT-MAIN'!C:C,DG266)</f>
        <v>0</v>
      </c>
      <c r="DO266" s="112" t="str">
        <f>IF(_xlfn.MAXIFS('MY-REPORT-MAIN'!M:M,'MY-REPORT-MAIN'!C:C,DG266)=0,"Nessun rendiconto  Convalidato",_xlfn.MAXIFS('MY-REPORT-MAIN'!M:M,'MY-REPORT-MAIN'!C:C,DG266))</f>
        <v>Nessun rendiconto  Convalidato</v>
      </c>
      <c r="DP266" s="113" t="str" cm="1">
        <f t="array" ref="DP266">IFERROR(INDEX('MY-REPORT-MAIN'!A:Z,MATCH(1,(DO266='MY-REPORT-MAIN'!M:M)*('Partner data'!DG266='MY-REPORT-MAIN'!C:C),0),1),"NON è stato convalidato ancora nessun rendiconto")</f>
        <v>NON è stato convalidato ancora nessun rendiconto</v>
      </c>
      <c r="DQ266" s="111" t="str">
        <f>IFERROR(INDEX('MY-REPORT-MAIN'!A:Z,MATCH('Partner data'!DP266,'MY-REPORT-MAIN'!A:A,0),21),"Nessun Rendiconto ancora convalidato")</f>
        <v>Nessun Rendiconto ancora convalidato</v>
      </c>
      <c r="DR266" s="110" t="e">
        <f>INDEX('Interreg VI-A Italy-Slovenia_pr'!A:E,MATCH('Partner data'!C266,'Interreg VI-A Italy-Slovenia_pr'!A:A,0),3)</f>
        <v>#N/A</v>
      </c>
      <c r="DS266" s="118">
        <f t="shared" si="104"/>
        <v>26250</v>
      </c>
      <c r="DT266" s="118">
        <f t="shared" si="105"/>
        <v>59300</v>
      </c>
      <c r="DU266" s="118">
        <f t="shared" si="106"/>
        <v>85550</v>
      </c>
      <c r="DV266" s="118">
        <f t="shared" si="107"/>
        <v>101800</v>
      </c>
      <c r="DW266" s="118">
        <f t="shared" si="108"/>
        <v>101800</v>
      </c>
      <c r="DX266" s="118">
        <f t="shared" si="109"/>
        <v>101800</v>
      </c>
      <c r="DY266" s="118">
        <f t="shared" si="110"/>
        <v>101800</v>
      </c>
      <c r="DZ266" s="118">
        <f t="shared" si="111"/>
        <v>101800</v>
      </c>
      <c r="EA266" s="118">
        <f t="shared" si="112"/>
        <v>101800</v>
      </c>
      <c r="EB266" s="118">
        <f t="shared" si="113"/>
        <v>101800</v>
      </c>
    </row>
    <row r="267" spans="1:132" ht="45" x14ac:dyDescent="0.25">
      <c r="A267" s="121">
        <v>6</v>
      </c>
      <c r="B267" s="122" t="s">
        <v>2688</v>
      </c>
      <c r="C267" s="123" t="s">
        <v>3654</v>
      </c>
      <c r="D267" s="123" t="s">
        <v>3655</v>
      </c>
      <c r="E267" s="123" t="s">
        <v>3656</v>
      </c>
      <c r="F267" s="123" t="s">
        <v>490</v>
      </c>
      <c r="G267" s="123" t="s">
        <v>6118</v>
      </c>
      <c r="H267" s="123" t="s">
        <v>766</v>
      </c>
      <c r="I267" s="123" t="s">
        <v>767</v>
      </c>
      <c r="J267" s="124" t="s">
        <v>494</v>
      </c>
      <c r="K267" s="124" t="s">
        <v>495</v>
      </c>
      <c r="L267" s="124" t="s">
        <v>496</v>
      </c>
      <c r="M267" s="124" t="s">
        <v>3657</v>
      </c>
      <c r="N267" s="124" t="s">
        <v>3658</v>
      </c>
      <c r="O267" s="124" t="s">
        <v>3659</v>
      </c>
      <c r="P267" s="124" t="s">
        <v>257</v>
      </c>
      <c r="Q267" s="124" t="s">
        <v>556</v>
      </c>
      <c r="R267" s="124" t="s">
        <v>269</v>
      </c>
      <c r="S267" s="32">
        <v>379440</v>
      </c>
      <c r="T267" s="32">
        <v>80</v>
      </c>
      <c r="U267" s="32">
        <v>43.3</v>
      </c>
      <c r="V267" s="32">
        <v>0</v>
      </c>
      <c r="W267" s="32">
        <v>0</v>
      </c>
      <c r="X267" s="32">
        <v>0</v>
      </c>
      <c r="Y267" s="32">
        <v>0</v>
      </c>
      <c r="Z267" s="32">
        <v>0</v>
      </c>
      <c r="AA267" s="32">
        <v>0</v>
      </c>
      <c r="AB267" s="32">
        <v>0</v>
      </c>
      <c r="AC267" s="32">
        <v>0</v>
      </c>
      <c r="AD267" s="32">
        <v>0</v>
      </c>
      <c r="AE267" s="32">
        <v>0</v>
      </c>
      <c r="AF267" s="32">
        <v>0</v>
      </c>
      <c r="AG267" s="32">
        <v>0</v>
      </c>
      <c r="AH267" s="32">
        <v>0</v>
      </c>
      <c r="AI267" s="32">
        <v>0</v>
      </c>
      <c r="AJ267" s="32">
        <v>0</v>
      </c>
      <c r="AK267" s="32">
        <v>0</v>
      </c>
      <c r="AL267" s="32">
        <v>0</v>
      </c>
      <c r="AM267" s="32">
        <v>0</v>
      </c>
      <c r="AN267" s="32">
        <v>94860</v>
      </c>
      <c r="AO267" s="32">
        <v>0</v>
      </c>
      <c r="AP267" s="32">
        <v>0</v>
      </c>
      <c r="AQ267" s="32">
        <v>94860</v>
      </c>
      <c r="AR267" s="32">
        <v>474300</v>
      </c>
      <c r="AS267" s="32">
        <v>43.3</v>
      </c>
      <c r="AT267" s="32">
        <v>0</v>
      </c>
      <c r="AU267" s="32">
        <v>0</v>
      </c>
      <c r="AV267" s="32">
        <v>0</v>
      </c>
      <c r="AW267" s="32">
        <v>0</v>
      </c>
      <c r="AX267" s="32">
        <v>0</v>
      </c>
      <c r="AY267" s="32">
        <v>0</v>
      </c>
      <c r="AZ267" s="32">
        <v>0</v>
      </c>
      <c r="BA267" s="32">
        <v>0</v>
      </c>
      <c r="BB267" s="32">
        <v>0</v>
      </c>
      <c r="BC267" s="32">
        <v>0</v>
      </c>
      <c r="BD267" s="32">
        <v>14113.67</v>
      </c>
      <c r="BE267" s="32">
        <v>14113.67</v>
      </c>
      <c r="BF267" s="32">
        <v>0</v>
      </c>
      <c r="BG267" s="32">
        <v>24000</v>
      </c>
      <c r="BH267" s="32">
        <v>24000</v>
      </c>
      <c r="BI267" s="32">
        <v>0</v>
      </c>
      <c r="BJ267" s="32">
        <v>427186.33</v>
      </c>
      <c r="BK267" s="32">
        <v>427186.33</v>
      </c>
      <c r="BL267" s="32">
        <v>0</v>
      </c>
      <c r="BM267" s="32">
        <v>0</v>
      </c>
      <c r="BN267" s="32">
        <v>0</v>
      </c>
      <c r="BO267" s="32">
        <v>9000</v>
      </c>
      <c r="BP267" s="32">
        <v>0</v>
      </c>
      <c r="BQ267" s="32">
        <v>111822</v>
      </c>
      <c r="BR267" s="32">
        <v>164822</v>
      </c>
      <c r="BS267" s="32">
        <v>164822</v>
      </c>
      <c r="BT267" s="32">
        <v>30008.33</v>
      </c>
      <c r="BU267" s="32">
        <v>2825.67</v>
      </c>
      <c r="BV267" s="32">
        <v>0</v>
      </c>
      <c r="BW267" s="32">
        <v>0</v>
      </c>
      <c r="BX267" s="32">
        <v>0</v>
      </c>
      <c r="BY267" s="32">
        <v>0</v>
      </c>
      <c r="BZ267" s="32">
        <v>0</v>
      </c>
      <c r="CA267" s="32">
        <v>0</v>
      </c>
      <c r="CB267" s="125" t="s">
        <v>665</v>
      </c>
      <c r="CC267" s="125" t="s">
        <v>522</v>
      </c>
      <c r="CD267" s="125"/>
      <c r="CE267" s="125" t="s">
        <v>523</v>
      </c>
      <c r="CF267" s="125" t="s">
        <v>636</v>
      </c>
      <c r="CG267" s="125" t="s">
        <v>3660</v>
      </c>
      <c r="CH267" s="125" t="s">
        <v>526</v>
      </c>
      <c r="CI267" s="125" t="s">
        <v>665</v>
      </c>
      <c r="CJ267" s="125" t="s">
        <v>665</v>
      </c>
      <c r="CK267" s="125"/>
      <c r="CL267" s="125" t="s">
        <v>212</v>
      </c>
      <c r="CM267" s="125"/>
      <c r="CN267" s="125" t="s">
        <v>257</v>
      </c>
      <c r="CO267" s="125" t="s">
        <v>269</v>
      </c>
      <c r="CP267" s="125" t="s">
        <v>3661</v>
      </c>
      <c r="CQ267" s="125" t="s">
        <v>1292</v>
      </c>
      <c r="CR267" s="125" t="s">
        <v>1293</v>
      </c>
      <c r="CS267" s="125" t="s">
        <v>3662</v>
      </c>
      <c r="CT267" s="125" t="s">
        <v>257</v>
      </c>
      <c r="CU267" s="125" t="s">
        <v>269</v>
      </c>
      <c r="CV267" s="125" t="s">
        <v>725</v>
      </c>
      <c r="CW267" s="125" t="s">
        <v>665</v>
      </c>
      <c r="CX267" s="125" t="s">
        <v>665</v>
      </c>
      <c r="CY267" s="125" t="s">
        <v>3013</v>
      </c>
      <c r="CZ267" s="125" t="s">
        <v>3663</v>
      </c>
      <c r="DA267" s="125" t="s">
        <v>2429</v>
      </c>
      <c r="DB267" s="125" t="s">
        <v>1910</v>
      </c>
      <c r="DC267" s="125" t="s">
        <v>896</v>
      </c>
      <c r="DD267" s="125" t="s">
        <v>3664</v>
      </c>
      <c r="DE267" s="125" t="s">
        <v>3665</v>
      </c>
      <c r="DF267" s="126" t="s">
        <v>3666</v>
      </c>
      <c r="DG267" s="27" cm="1">
        <f t="array" ref="DG267">INDEX('elenco partner'!A:M,MATCH(1,(D267='elenco partner'!A:A)*('Partner data'!M267='elenco partner'!E:E),0),4)</f>
        <v>731</v>
      </c>
      <c r="DH267" s="83" t="str">
        <f t="shared" si="114"/>
        <v>BL1 non presente</v>
      </c>
      <c r="DI267" s="20">
        <f>COUNTIFS('MY-REPORT-MAIN'!C:C,'Partner data'!DG267,'MY-REPORT-MAIN'!I:I,"Certified")</f>
        <v>0</v>
      </c>
      <c r="DJ267" s="20">
        <f>COUNTIFS(List_Of_chek_list!M:M,"&lt;&gt;26",List_Of_chek_list!B:B,'Partner data'!DG267)</f>
        <v>0</v>
      </c>
      <c r="DK267" s="20">
        <f t="shared" si="115"/>
        <v>0</v>
      </c>
      <c r="DL267" s="19" t="str">
        <f>IF(DH267="Tasso Forfettario 20%",SUMIFS(List_Of_chek_list!#REF!,List_Of_chek_list!B:B,'Partner data'!DG267),"NON PERTINENTE")</f>
        <v>NON PERTINENTE</v>
      </c>
      <c r="DM267" s="19" t="str">
        <f t="shared" si="116"/>
        <v>NON PERTINENTE</v>
      </c>
      <c r="DN267" s="110">
        <f>_xlfn.MAXIFS('MY-REPORT-MAIN'!K:K,'MY-REPORT-MAIN'!C:C,DG267)</f>
        <v>0</v>
      </c>
      <c r="DO267" s="112" t="str">
        <f>IF(_xlfn.MAXIFS('MY-REPORT-MAIN'!M:M,'MY-REPORT-MAIN'!C:C,DG267)=0,"Nessun rendiconto  Convalidato",_xlfn.MAXIFS('MY-REPORT-MAIN'!M:M,'MY-REPORT-MAIN'!C:C,DG267))</f>
        <v>Nessun rendiconto  Convalidato</v>
      </c>
      <c r="DP267" s="113" t="str" cm="1">
        <f t="array" ref="DP267">IFERROR(INDEX('MY-REPORT-MAIN'!A:Z,MATCH(1,(DO267='MY-REPORT-MAIN'!M:M)*('Partner data'!DG267='MY-REPORT-MAIN'!C:C),0),1),"NON è stato convalidato ancora nessun rendiconto")</f>
        <v>NON è stato convalidato ancora nessun rendiconto</v>
      </c>
      <c r="DQ267" s="111" t="str">
        <f>IFERROR(INDEX('MY-REPORT-MAIN'!A:Z,MATCH('Partner data'!DP267,'MY-REPORT-MAIN'!A:A,0),21),"Nessun Rendiconto ancora convalidato")</f>
        <v>Nessun Rendiconto ancora convalidato</v>
      </c>
      <c r="DR267" s="110" t="e">
        <f>INDEX('Interreg VI-A Italy-Slovenia_pr'!A:E,MATCH('Partner data'!C267,'Interreg VI-A Italy-Slovenia_pr'!A:A,0),3)</f>
        <v>#N/A</v>
      </c>
      <c r="DS267" s="118">
        <f t="shared" si="104"/>
        <v>111822</v>
      </c>
      <c r="DT267" s="118">
        <f t="shared" si="105"/>
        <v>276644</v>
      </c>
      <c r="DU267" s="118">
        <f t="shared" si="106"/>
        <v>441466</v>
      </c>
      <c r="DV267" s="118">
        <f t="shared" si="107"/>
        <v>471474.33</v>
      </c>
      <c r="DW267" s="118">
        <f t="shared" si="108"/>
        <v>474300</v>
      </c>
      <c r="DX267" s="118">
        <f t="shared" si="109"/>
        <v>474300</v>
      </c>
      <c r="DY267" s="118">
        <f t="shared" si="110"/>
        <v>474300</v>
      </c>
      <c r="DZ267" s="118">
        <f t="shared" si="111"/>
        <v>474300</v>
      </c>
      <c r="EA267" s="118">
        <f t="shared" si="112"/>
        <v>474300</v>
      </c>
      <c r="EB267" s="118">
        <f t="shared" si="113"/>
        <v>474300</v>
      </c>
    </row>
    <row r="268" spans="1:132" ht="45" x14ac:dyDescent="0.25">
      <c r="A268" s="121">
        <v>6</v>
      </c>
      <c r="B268" s="122" t="s">
        <v>2688</v>
      </c>
      <c r="C268" s="123" t="s">
        <v>3654</v>
      </c>
      <c r="D268" s="123" t="s">
        <v>3655</v>
      </c>
      <c r="E268" s="123" t="s">
        <v>3656</v>
      </c>
      <c r="F268" s="123" t="s">
        <v>490</v>
      </c>
      <c r="G268" s="123" t="s">
        <v>6118</v>
      </c>
      <c r="H268" s="123" t="s">
        <v>766</v>
      </c>
      <c r="I268" s="123" t="s">
        <v>767</v>
      </c>
      <c r="J268" s="124" t="s">
        <v>518</v>
      </c>
      <c r="K268" s="124" t="s">
        <v>495</v>
      </c>
      <c r="L268" s="124" t="s">
        <v>519</v>
      </c>
      <c r="M268" s="124" t="s">
        <v>3667</v>
      </c>
      <c r="N268" s="124" t="s">
        <v>3668</v>
      </c>
      <c r="O268" s="124" t="s">
        <v>3669</v>
      </c>
      <c r="P268" s="124" t="s">
        <v>257</v>
      </c>
      <c r="Q268" s="124" t="s">
        <v>556</v>
      </c>
      <c r="R268" s="124" t="s">
        <v>269</v>
      </c>
      <c r="S268" s="32">
        <v>50510.400000000001</v>
      </c>
      <c r="T268" s="32">
        <v>80</v>
      </c>
      <c r="U268" s="32">
        <v>5.76</v>
      </c>
      <c r="V268" s="32">
        <v>0</v>
      </c>
      <c r="W268" s="32">
        <v>0</v>
      </c>
      <c r="X268" s="32">
        <v>0</v>
      </c>
      <c r="Y268" s="32">
        <v>0</v>
      </c>
      <c r="Z268" s="32">
        <v>0</v>
      </c>
      <c r="AA268" s="32">
        <v>0</v>
      </c>
      <c r="AB268" s="32">
        <v>0</v>
      </c>
      <c r="AC268" s="32">
        <v>0</v>
      </c>
      <c r="AD268" s="32">
        <v>0</v>
      </c>
      <c r="AE268" s="32">
        <v>0</v>
      </c>
      <c r="AF268" s="32">
        <v>0</v>
      </c>
      <c r="AG268" s="32">
        <v>0</v>
      </c>
      <c r="AH268" s="32">
        <v>0</v>
      </c>
      <c r="AI268" s="32">
        <v>0</v>
      </c>
      <c r="AJ268" s="32">
        <v>0</v>
      </c>
      <c r="AK268" s="32">
        <v>0</v>
      </c>
      <c r="AL268" s="32">
        <v>0</v>
      </c>
      <c r="AM268" s="32">
        <v>0</v>
      </c>
      <c r="AN268" s="32">
        <v>12627.6</v>
      </c>
      <c r="AO268" s="32">
        <v>0</v>
      </c>
      <c r="AP268" s="32">
        <v>0</v>
      </c>
      <c r="AQ268" s="32">
        <v>12627.6</v>
      </c>
      <c r="AR268" s="32">
        <v>63138</v>
      </c>
      <c r="AS268" s="32">
        <v>5.76</v>
      </c>
      <c r="AT268" s="32">
        <v>10200</v>
      </c>
      <c r="AU268" s="32">
        <v>10200</v>
      </c>
      <c r="AV268" s="32">
        <v>0</v>
      </c>
      <c r="AW268" s="32">
        <v>0</v>
      </c>
      <c r="AX268" s="32">
        <v>1530</v>
      </c>
      <c r="AY268" s="32">
        <v>1530</v>
      </c>
      <c r="AZ268" s="32">
        <v>408</v>
      </c>
      <c r="BA268" s="32">
        <v>408</v>
      </c>
      <c r="BB268" s="32">
        <v>0</v>
      </c>
      <c r="BC268" s="32">
        <v>0</v>
      </c>
      <c r="BD268" s="32">
        <v>51000</v>
      </c>
      <c r="BE268" s="32">
        <v>51000</v>
      </c>
      <c r="BF268" s="32">
        <v>0</v>
      </c>
      <c r="BG268" s="32">
        <v>0</v>
      </c>
      <c r="BH268" s="32">
        <v>0</v>
      </c>
      <c r="BI268" s="32">
        <v>0</v>
      </c>
      <c r="BJ268" s="32">
        <v>0</v>
      </c>
      <c r="BK268" s="32">
        <v>0</v>
      </c>
      <c r="BL268" s="32">
        <v>0</v>
      </c>
      <c r="BM268" s="32">
        <v>0</v>
      </c>
      <c r="BN268" s="32">
        <v>0</v>
      </c>
      <c r="BO268" s="32">
        <v>0</v>
      </c>
      <c r="BP268" s="32">
        <v>0</v>
      </c>
      <c r="BQ268" s="32">
        <v>18570</v>
      </c>
      <c r="BR268" s="32">
        <v>11142</v>
      </c>
      <c r="BS268" s="32">
        <v>9904</v>
      </c>
      <c r="BT268" s="32">
        <v>7428</v>
      </c>
      <c r="BU268" s="32">
        <v>16094</v>
      </c>
      <c r="BV268" s="32">
        <v>0</v>
      </c>
      <c r="BW268" s="32">
        <v>0</v>
      </c>
      <c r="BX268" s="32">
        <v>0</v>
      </c>
      <c r="BY268" s="32">
        <v>0</v>
      </c>
      <c r="BZ268" s="32">
        <v>0</v>
      </c>
      <c r="CA268" s="32">
        <v>0</v>
      </c>
      <c r="CB268" s="125" t="s">
        <v>212</v>
      </c>
      <c r="CC268" s="125" t="s">
        <v>522</v>
      </c>
      <c r="CD268" s="125"/>
      <c r="CE268" s="125" t="s">
        <v>523</v>
      </c>
      <c r="CF268" s="125" t="s">
        <v>685</v>
      </c>
      <c r="CG268" s="125" t="s">
        <v>3670</v>
      </c>
      <c r="CH268" s="125" t="s">
        <v>619</v>
      </c>
      <c r="CI268" s="125" t="s">
        <v>665</v>
      </c>
      <c r="CJ268" s="125" t="s">
        <v>212</v>
      </c>
      <c r="CK268" s="125" t="s">
        <v>3671</v>
      </c>
      <c r="CL268" s="125" t="s">
        <v>212</v>
      </c>
      <c r="CM268" s="125"/>
      <c r="CN268" s="125" t="s">
        <v>257</v>
      </c>
      <c r="CO268" s="125" t="s">
        <v>269</v>
      </c>
      <c r="CP268" s="125" t="s">
        <v>3672</v>
      </c>
      <c r="CQ268" s="125" t="s">
        <v>3673</v>
      </c>
      <c r="CR268" s="125" t="s">
        <v>1293</v>
      </c>
      <c r="CS268" s="125" t="s">
        <v>3674</v>
      </c>
      <c r="CT268" s="125" t="s">
        <v>257</v>
      </c>
      <c r="CU268" s="125" t="s">
        <v>269</v>
      </c>
      <c r="CV268" s="125" t="s">
        <v>725</v>
      </c>
      <c r="CW268" s="125" t="s">
        <v>665</v>
      </c>
      <c r="CX268" s="125" t="s">
        <v>665</v>
      </c>
      <c r="CY268" s="125" t="s">
        <v>3637</v>
      </c>
      <c r="CZ268" s="125" t="s">
        <v>1333</v>
      </c>
      <c r="DA268" s="125" t="s">
        <v>3675</v>
      </c>
      <c r="DB268" s="125" t="s">
        <v>3637</v>
      </c>
      <c r="DC268" s="125" t="s">
        <v>1333</v>
      </c>
      <c r="DD268" s="125" t="s">
        <v>3675</v>
      </c>
      <c r="DE268" s="125" t="s">
        <v>3676</v>
      </c>
      <c r="DF268" s="126" t="s">
        <v>3677</v>
      </c>
      <c r="DG268" s="27" cm="1">
        <f t="array" ref="DG268">INDEX('elenco partner'!A:M,MATCH(1,(D268='elenco partner'!A:A)*('Partner data'!M268='elenco partner'!E:E),0),4)</f>
        <v>742</v>
      </c>
      <c r="DH268" s="83" t="str">
        <f t="shared" si="114"/>
        <v>Tasso Forfettario 20%</v>
      </c>
      <c r="DI268" s="20">
        <f>COUNTIFS('MY-REPORT-MAIN'!C:C,'Partner data'!DG268,'MY-REPORT-MAIN'!I:I,"Certified")</f>
        <v>0</v>
      </c>
      <c r="DJ268" s="20">
        <f>COUNTIFS(List_Of_chek_list!M:M,"&lt;&gt;26",List_Of_chek_list!B:B,'Partner data'!DG268)</f>
        <v>0</v>
      </c>
      <c r="DK268" s="20">
        <f t="shared" si="115"/>
        <v>0</v>
      </c>
      <c r="DL268" s="19" t="e">
        <f>IF(DH268="Tasso Forfettario 20%",SUMIFS(List_Of_chek_list!#REF!,List_Of_chek_list!B:B,'Partner data'!DG268),"NON PERTINENTE")</f>
        <v>#REF!</v>
      </c>
      <c r="DM268" s="19" t="e">
        <f t="shared" si="116"/>
        <v>#REF!</v>
      </c>
      <c r="DN268" s="110">
        <f>_xlfn.MAXIFS('MY-REPORT-MAIN'!K:K,'MY-REPORT-MAIN'!C:C,DG268)</f>
        <v>0</v>
      </c>
      <c r="DO268" s="112" t="str">
        <f>IF(_xlfn.MAXIFS('MY-REPORT-MAIN'!M:M,'MY-REPORT-MAIN'!C:C,DG268)=0,"Nessun rendiconto  Convalidato",_xlfn.MAXIFS('MY-REPORT-MAIN'!M:M,'MY-REPORT-MAIN'!C:C,DG268))</f>
        <v>Nessun rendiconto  Convalidato</v>
      </c>
      <c r="DP268" s="113" t="str" cm="1">
        <f t="array" ref="DP268">IFERROR(INDEX('MY-REPORT-MAIN'!A:Z,MATCH(1,(DO268='MY-REPORT-MAIN'!M:M)*('Partner data'!DG268='MY-REPORT-MAIN'!C:C),0),1),"NON è stato convalidato ancora nessun rendiconto")</f>
        <v>NON è stato convalidato ancora nessun rendiconto</v>
      </c>
      <c r="DQ268" s="111" t="str">
        <f>IFERROR(INDEX('MY-REPORT-MAIN'!A:Z,MATCH('Partner data'!DP268,'MY-REPORT-MAIN'!A:A,0),21),"Nessun Rendiconto ancora convalidato")</f>
        <v>Nessun Rendiconto ancora convalidato</v>
      </c>
      <c r="DR268" s="110" t="e">
        <f>INDEX('Interreg VI-A Italy-Slovenia_pr'!A:E,MATCH('Partner data'!C268,'Interreg VI-A Italy-Slovenia_pr'!A:A,0),3)</f>
        <v>#N/A</v>
      </c>
      <c r="DS268" s="118">
        <f t="shared" si="104"/>
        <v>18570</v>
      </c>
      <c r="DT268" s="118">
        <f t="shared" si="105"/>
        <v>29712</v>
      </c>
      <c r="DU268" s="118">
        <f t="shared" si="106"/>
        <v>39616</v>
      </c>
      <c r="DV268" s="118">
        <f t="shared" si="107"/>
        <v>47044</v>
      </c>
      <c r="DW268" s="118">
        <f t="shared" si="108"/>
        <v>63138</v>
      </c>
      <c r="DX268" s="118">
        <f t="shared" si="109"/>
        <v>63138</v>
      </c>
      <c r="DY268" s="118">
        <f t="shared" si="110"/>
        <v>63138</v>
      </c>
      <c r="DZ268" s="118">
        <f t="shared" si="111"/>
        <v>63138</v>
      </c>
      <c r="EA268" s="118">
        <f t="shared" si="112"/>
        <v>63138</v>
      </c>
      <c r="EB268" s="118">
        <f t="shared" si="113"/>
        <v>63138</v>
      </c>
    </row>
    <row r="269" spans="1:132" ht="45" x14ac:dyDescent="0.25">
      <c r="A269" s="121">
        <v>6</v>
      </c>
      <c r="B269" s="122" t="s">
        <v>2688</v>
      </c>
      <c r="C269" s="123" t="s">
        <v>3654</v>
      </c>
      <c r="D269" s="123" t="s">
        <v>3655</v>
      </c>
      <c r="E269" s="123" t="s">
        <v>3656</v>
      </c>
      <c r="F269" s="123" t="s">
        <v>490</v>
      </c>
      <c r="G269" s="123" t="s">
        <v>6118</v>
      </c>
      <c r="H269" s="123" t="s">
        <v>766</v>
      </c>
      <c r="I269" s="123" t="s">
        <v>767</v>
      </c>
      <c r="J269" s="124" t="s">
        <v>538</v>
      </c>
      <c r="K269" s="124" t="s">
        <v>495</v>
      </c>
      <c r="L269" s="124" t="s">
        <v>519</v>
      </c>
      <c r="M269" s="124" t="s">
        <v>3678</v>
      </c>
      <c r="N269" s="124" t="s">
        <v>3679</v>
      </c>
      <c r="O269" s="124" t="s">
        <v>3680</v>
      </c>
      <c r="P269" s="124" t="s">
        <v>254</v>
      </c>
      <c r="Q269" s="124" t="s">
        <v>499</v>
      </c>
      <c r="R269" s="124" t="s">
        <v>266</v>
      </c>
      <c r="S269" s="32">
        <v>179920</v>
      </c>
      <c r="T269" s="32">
        <v>80</v>
      </c>
      <c r="U269" s="32">
        <v>20.53</v>
      </c>
      <c r="V269" s="32">
        <v>0</v>
      </c>
      <c r="W269" s="32">
        <v>0</v>
      </c>
      <c r="X269" s="32">
        <v>0</v>
      </c>
      <c r="Y269" s="32">
        <v>0</v>
      </c>
      <c r="Z269" s="32">
        <v>0</v>
      </c>
      <c r="AA269" s="32">
        <v>0</v>
      </c>
      <c r="AB269" s="32">
        <v>0</v>
      </c>
      <c r="AC269" s="32">
        <v>0</v>
      </c>
      <c r="AD269" s="32">
        <v>0</v>
      </c>
      <c r="AE269" s="32">
        <v>0</v>
      </c>
      <c r="AF269" s="32">
        <v>0</v>
      </c>
      <c r="AG269" s="32">
        <v>0</v>
      </c>
      <c r="AH269" s="32">
        <v>0</v>
      </c>
      <c r="AI269" s="32">
        <v>0</v>
      </c>
      <c r="AJ269" s="32">
        <v>0</v>
      </c>
      <c r="AK269" s="32">
        <v>0</v>
      </c>
      <c r="AL269" s="32">
        <v>0</v>
      </c>
      <c r="AM269" s="32">
        <v>0</v>
      </c>
      <c r="AN269" s="32">
        <v>0</v>
      </c>
      <c r="AO269" s="32">
        <v>44980</v>
      </c>
      <c r="AP269" s="32">
        <v>0</v>
      </c>
      <c r="AQ269" s="32">
        <v>44980</v>
      </c>
      <c r="AR269" s="32">
        <v>224900</v>
      </c>
      <c r="AS269" s="32">
        <v>20.53</v>
      </c>
      <c r="AT269" s="32">
        <v>10000</v>
      </c>
      <c r="AU269" s="32">
        <v>0</v>
      </c>
      <c r="AV269" s="32">
        <v>10000</v>
      </c>
      <c r="AW269" s="32">
        <v>0</v>
      </c>
      <c r="AX269" s="32">
        <v>1500</v>
      </c>
      <c r="AY269" s="32">
        <v>1500</v>
      </c>
      <c r="AZ269" s="32">
        <v>400</v>
      </c>
      <c r="BA269" s="32">
        <v>400</v>
      </c>
      <c r="BB269" s="32">
        <v>0</v>
      </c>
      <c r="BC269" s="32">
        <v>0</v>
      </c>
      <c r="BD269" s="32">
        <v>0</v>
      </c>
      <c r="BE269" s="32">
        <v>0</v>
      </c>
      <c r="BF269" s="32">
        <v>0</v>
      </c>
      <c r="BG269" s="32">
        <v>18000</v>
      </c>
      <c r="BH269" s="32">
        <v>18000</v>
      </c>
      <c r="BI269" s="32">
        <v>0</v>
      </c>
      <c r="BJ269" s="32">
        <v>195000</v>
      </c>
      <c r="BK269" s="32">
        <v>195000</v>
      </c>
      <c r="BL269" s="32">
        <v>0</v>
      </c>
      <c r="BM269" s="32">
        <v>0</v>
      </c>
      <c r="BN269" s="32">
        <v>0</v>
      </c>
      <c r="BO269" s="32">
        <v>0</v>
      </c>
      <c r="BP269" s="32">
        <v>0</v>
      </c>
      <c r="BQ269" s="32">
        <v>64380</v>
      </c>
      <c r="BR269" s="32">
        <v>2380</v>
      </c>
      <c r="BS269" s="32">
        <v>2380</v>
      </c>
      <c r="BT269" s="32">
        <v>153380</v>
      </c>
      <c r="BU269" s="32">
        <v>2380</v>
      </c>
      <c r="BV269" s="32">
        <v>0</v>
      </c>
      <c r="BW269" s="32">
        <v>0</v>
      </c>
      <c r="BX269" s="32">
        <v>0</v>
      </c>
      <c r="BY269" s="32">
        <v>0</v>
      </c>
      <c r="BZ269" s="32">
        <v>0</v>
      </c>
      <c r="CA269" s="32">
        <v>0</v>
      </c>
      <c r="CB269" s="125" t="s">
        <v>665</v>
      </c>
      <c r="CC269" s="125" t="s">
        <v>522</v>
      </c>
      <c r="CD269" s="125"/>
      <c r="CE269" s="125" t="s">
        <v>523</v>
      </c>
      <c r="CF269" s="125" t="s">
        <v>636</v>
      </c>
      <c r="CG269" s="125" t="s">
        <v>3681</v>
      </c>
      <c r="CH269" s="125" t="s">
        <v>526</v>
      </c>
      <c r="CI269" s="125"/>
      <c r="CJ269" s="125" t="s">
        <v>665</v>
      </c>
      <c r="CK269" s="125"/>
      <c r="CL269" s="125" t="s">
        <v>212</v>
      </c>
      <c r="CM269" s="125"/>
      <c r="CN269" s="125" t="s">
        <v>254</v>
      </c>
      <c r="CO269" s="125" t="s">
        <v>266</v>
      </c>
      <c r="CP269" s="125" t="s">
        <v>3682</v>
      </c>
      <c r="CQ269" s="125" t="s">
        <v>3085</v>
      </c>
      <c r="CR269" s="125" t="s">
        <v>3683</v>
      </c>
      <c r="CS269" s="125" t="s">
        <v>3684</v>
      </c>
      <c r="CT269" s="125" t="s">
        <v>254</v>
      </c>
      <c r="CU269" s="125" t="s">
        <v>266</v>
      </c>
      <c r="CV269" s="125" t="s">
        <v>725</v>
      </c>
      <c r="CW269" s="125" t="s">
        <v>665</v>
      </c>
      <c r="CX269" s="125" t="s">
        <v>665</v>
      </c>
      <c r="CY269" s="125" t="s">
        <v>3637</v>
      </c>
      <c r="CZ269" s="125" t="s">
        <v>2543</v>
      </c>
      <c r="DA269" s="125" t="s">
        <v>3685</v>
      </c>
      <c r="DB269" s="125" t="s">
        <v>3637</v>
      </c>
      <c r="DC269" s="125" t="s">
        <v>2543</v>
      </c>
      <c r="DD269" s="125" t="s">
        <v>3685</v>
      </c>
      <c r="DE269" s="125" t="s">
        <v>3686</v>
      </c>
      <c r="DF269" s="126" t="s">
        <v>3687</v>
      </c>
      <c r="DG269" s="27" cm="1">
        <f t="array" ref="DG269">INDEX('elenco partner'!A:M,MATCH(1,(D269='elenco partner'!A:A)*('Partner data'!M269='elenco partner'!E:E),0),4)</f>
        <v>744</v>
      </c>
      <c r="DH269" s="83" t="str">
        <f t="shared" si="114"/>
        <v>COSTO REALE</v>
      </c>
      <c r="DI269" s="20">
        <f>COUNTIFS('MY-REPORT-MAIN'!C:C,'Partner data'!DG269,'MY-REPORT-MAIN'!I:I,"Certified")</f>
        <v>0</v>
      </c>
      <c r="DJ269" s="20">
        <f>COUNTIFS(List_Of_chek_list!M:M,"&lt;&gt;26",List_Of_chek_list!B:B,'Partner data'!DG269)</f>
        <v>0</v>
      </c>
      <c r="DK269" s="20">
        <f t="shared" si="115"/>
        <v>0</v>
      </c>
      <c r="DL269" s="19" t="str">
        <f>IF(DH269="Tasso Forfettario 20%",SUMIFS(List_Of_chek_list!#REF!,List_Of_chek_list!B:B,'Partner data'!DG269),"NON PERTINENTE")</f>
        <v>NON PERTINENTE</v>
      </c>
      <c r="DM269" s="19" t="str">
        <f t="shared" si="116"/>
        <v>NON PERTINENTE</v>
      </c>
      <c r="DN269" s="110">
        <f>_xlfn.MAXIFS('MY-REPORT-MAIN'!K:K,'MY-REPORT-MAIN'!C:C,DG269)</f>
        <v>0</v>
      </c>
      <c r="DO269" s="112" t="str">
        <f>IF(_xlfn.MAXIFS('MY-REPORT-MAIN'!M:M,'MY-REPORT-MAIN'!C:C,DG269)=0,"Nessun rendiconto  Convalidato",_xlfn.MAXIFS('MY-REPORT-MAIN'!M:M,'MY-REPORT-MAIN'!C:C,DG269))</f>
        <v>Nessun rendiconto  Convalidato</v>
      </c>
      <c r="DP269" s="113" t="str" cm="1">
        <f t="array" ref="DP269">IFERROR(INDEX('MY-REPORT-MAIN'!A:Z,MATCH(1,(DO269='MY-REPORT-MAIN'!M:M)*('Partner data'!DG269='MY-REPORT-MAIN'!C:C),0),1),"NON è stato convalidato ancora nessun rendiconto")</f>
        <v>NON è stato convalidato ancora nessun rendiconto</v>
      </c>
      <c r="DQ269" s="111" t="str">
        <f>IFERROR(INDEX('MY-REPORT-MAIN'!A:Z,MATCH('Partner data'!DP269,'MY-REPORT-MAIN'!A:A,0),21),"Nessun Rendiconto ancora convalidato")</f>
        <v>Nessun Rendiconto ancora convalidato</v>
      </c>
      <c r="DR269" s="110" t="e">
        <f>INDEX('Interreg VI-A Italy-Slovenia_pr'!A:E,MATCH('Partner data'!C269,'Interreg VI-A Italy-Slovenia_pr'!A:A,0),3)</f>
        <v>#N/A</v>
      </c>
      <c r="DS269" s="118">
        <f t="shared" si="104"/>
        <v>64380</v>
      </c>
      <c r="DT269" s="118">
        <f t="shared" si="105"/>
        <v>66760</v>
      </c>
      <c r="DU269" s="118">
        <f t="shared" si="106"/>
        <v>69140</v>
      </c>
      <c r="DV269" s="118">
        <f t="shared" si="107"/>
        <v>222520</v>
      </c>
      <c r="DW269" s="118">
        <f t="shared" si="108"/>
        <v>224900</v>
      </c>
      <c r="DX269" s="118">
        <f t="shared" si="109"/>
        <v>224900</v>
      </c>
      <c r="DY269" s="118">
        <f t="shared" si="110"/>
        <v>224900</v>
      </c>
      <c r="DZ269" s="118">
        <f t="shared" si="111"/>
        <v>224900</v>
      </c>
      <c r="EA269" s="118">
        <f t="shared" si="112"/>
        <v>224900</v>
      </c>
      <c r="EB269" s="118">
        <f t="shared" si="113"/>
        <v>224900</v>
      </c>
    </row>
    <row r="270" spans="1:132" ht="45" x14ac:dyDescent="0.25">
      <c r="A270" s="121">
        <v>6</v>
      </c>
      <c r="B270" s="122" t="s">
        <v>2688</v>
      </c>
      <c r="C270" s="123" t="s">
        <v>3654</v>
      </c>
      <c r="D270" s="123" t="s">
        <v>3655</v>
      </c>
      <c r="E270" s="123" t="s">
        <v>3656</v>
      </c>
      <c r="F270" s="123" t="s">
        <v>490</v>
      </c>
      <c r="G270" s="123" t="s">
        <v>6118</v>
      </c>
      <c r="H270" s="123" t="s">
        <v>766</v>
      </c>
      <c r="I270" s="123" t="s">
        <v>767</v>
      </c>
      <c r="J270" s="124" t="s">
        <v>554</v>
      </c>
      <c r="K270" s="124" t="s">
        <v>495</v>
      </c>
      <c r="L270" s="124" t="s">
        <v>519</v>
      </c>
      <c r="M270" s="124" t="s">
        <v>377</v>
      </c>
      <c r="N270" s="124" t="s">
        <v>3688</v>
      </c>
      <c r="O270" s="124" t="s">
        <v>665</v>
      </c>
      <c r="P270" s="124" t="s">
        <v>254</v>
      </c>
      <c r="Q270" s="124" t="s">
        <v>499</v>
      </c>
      <c r="R270" s="124" t="s">
        <v>255</v>
      </c>
      <c r="S270" s="32">
        <v>64960</v>
      </c>
      <c r="T270" s="32">
        <v>80</v>
      </c>
      <c r="U270" s="32">
        <v>7.41</v>
      </c>
      <c r="V270" s="32">
        <v>0</v>
      </c>
      <c r="W270" s="32">
        <v>0</v>
      </c>
      <c r="X270" s="32">
        <v>0</v>
      </c>
      <c r="Y270" s="32">
        <v>0</v>
      </c>
      <c r="Z270" s="32">
        <v>0</v>
      </c>
      <c r="AA270" s="32">
        <v>0</v>
      </c>
      <c r="AB270" s="32">
        <v>0</v>
      </c>
      <c r="AC270" s="32">
        <v>0</v>
      </c>
      <c r="AD270" s="32">
        <v>0</v>
      </c>
      <c r="AE270" s="32">
        <v>0</v>
      </c>
      <c r="AF270" s="32">
        <v>0</v>
      </c>
      <c r="AG270" s="32">
        <v>0</v>
      </c>
      <c r="AH270" s="32">
        <v>0</v>
      </c>
      <c r="AI270" s="32">
        <v>0</v>
      </c>
      <c r="AJ270" s="32">
        <v>0</v>
      </c>
      <c r="AK270" s="32">
        <v>0</v>
      </c>
      <c r="AL270" s="32">
        <v>0</v>
      </c>
      <c r="AM270" s="32">
        <v>0</v>
      </c>
      <c r="AN270" s="32">
        <v>0</v>
      </c>
      <c r="AO270" s="32">
        <v>16240</v>
      </c>
      <c r="AP270" s="32">
        <v>0</v>
      </c>
      <c r="AQ270" s="32">
        <v>16240</v>
      </c>
      <c r="AR270" s="32">
        <v>81200</v>
      </c>
      <c r="AS270" s="32">
        <v>7.41</v>
      </c>
      <c r="AT270" s="32">
        <v>58000</v>
      </c>
      <c r="AU270" s="32">
        <v>0</v>
      </c>
      <c r="AV270" s="32">
        <v>58000</v>
      </c>
      <c r="AW270" s="32">
        <v>0</v>
      </c>
      <c r="AX270" s="32">
        <v>0</v>
      </c>
      <c r="AY270" s="32">
        <v>0</v>
      </c>
      <c r="AZ270" s="32">
        <v>0</v>
      </c>
      <c r="BA270" s="32">
        <v>0</v>
      </c>
      <c r="BB270" s="32">
        <v>0</v>
      </c>
      <c r="BC270" s="32">
        <v>0</v>
      </c>
      <c r="BD270" s="32">
        <v>0</v>
      </c>
      <c r="BE270" s="32">
        <v>0</v>
      </c>
      <c r="BF270" s="32">
        <v>0</v>
      </c>
      <c r="BG270" s="32">
        <v>0</v>
      </c>
      <c r="BH270" s="32">
        <v>0</v>
      </c>
      <c r="BI270" s="32">
        <v>0</v>
      </c>
      <c r="BJ270" s="32">
        <v>0</v>
      </c>
      <c r="BK270" s="32">
        <v>0</v>
      </c>
      <c r="BL270" s="32">
        <v>0</v>
      </c>
      <c r="BM270" s="32">
        <v>23200</v>
      </c>
      <c r="BN270" s="32">
        <v>0</v>
      </c>
      <c r="BO270" s="32">
        <v>0</v>
      </c>
      <c r="BP270" s="32">
        <v>0</v>
      </c>
      <c r="BQ270" s="32">
        <v>16800</v>
      </c>
      <c r="BR270" s="32">
        <v>16800</v>
      </c>
      <c r="BS270" s="32">
        <v>16800</v>
      </c>
      <c r="BT270" s="32">
        <v>16800</v>
      </c>
      <c r="BU270" s="32">
        <v>14000</v>
      </c>
      <c r="BV270" s="32">
        <v>0</v>
      </c>
      <c r="BW270" s="32">
        <v>0</v>
      </c>
      <c r="BX270" s="32">
        <v>0</v>
      </c>
      <c r="BY270" s="32">
        <v>0</v>
      </c>
      <c r="BZ270" s="32">
        <v>0</v>
      </c>
      <c r="CA270" s="32">
        <v>0</v>
      </c>
      <c r="CB270" s="125" t="s">
        <v>665</v>
      </c>
      <c r="CC270" s="125" t="s">
        <v>743</v>
      </c>
      <c r="CD270" s="125" t="s">
        <v>706</v>
      </c>
      <c r="CE270" s="125" t="s">
        <v>501</v>
      </c>
      <c r="CF270" s="125" t="s">
        <v>618</v>
      </c>
      <c r="CG270" s="125" t="s">
        <v>2781</v>
      </c>
      <c r="CH270" s="125" t="s">
        <v>526</v>
      </c>
      <c r="CI270" s="125"/>
      <c r="CJ270" s="125" t="s">
        <v>212</v>
      </c>
      <c r="CK270" s="125" t="s">
        <v>704</v>
      </c>
      <c r="CL270" s="125" t="s">
        <v>212</v>
      </c>
      <c r="CM270" s="125"/>
      <c r="CN270" s="125" t="s">
        <v>254</v>
      </c>
      <c r="CO270" s="125" t="s">
        <v>255</v>
      </c>
      <c r="CP270" s="125" t="s">
        <v>2782</v>
      </c>
      <c r="CQ270" s="125" t="s">
        <v>666</v>
      </c>
      <c r="CR270" s="125" t="s">
        <v>529</v>
      </c>
      <c r="CS270" s="125" t="s">
        <v>667</v>
      </c>
      <c r="CT270" s="125" t="s">
        <v>254</v>
      </c>
      <c r="CU270" s="125" t="s">
        <v>255</v>
      </c>
      <c r="CV270" s="125" t="s">
        <v>725</v>
      </c>
      <c r="CW270" s="125" t="s">
        <v>665</v>
      </c>
      <c r="CX270" s="125" t="s">
        <v>665</v>
      </c>
      <c r="CY270" s="125" t="s">
        <v>3637</v>
      </c>
      <c r="CZ270" s="125" t="s">
        <v>668</v>
      </c>
      <c r="DA270" s="125" t="s">
        <v>669</v>
      </c>
      <c r="DB270" s="125" t="s">
        <v>3637</v>
      </c>
      <c r="DC270" s="125" t="s">
        <v>670</v>
      </c>
      <c r="DD270" s="125" t="s">
        <v>671</v>
      </c>
      <c r="DE270" s="125" t="s">
        <v>672</v>
      </c>
      <c r="DF270" s="126" t="s">
        <v>2369</v>
      </c>
      <c r="DG270" s="27" cm="1">
        <f t="array" ref="DG270">INDEX('elenco partner'!A:M,MATCH(1,(D270='elenco partner'!A:A)*('Partner data'!M270='elenco partner'!E:E),0),4)</f>
        <v>745</v>
      </c>
      <c r="DH270" s="83" t="str">
        <f t="shared" si="114"/>
        <v>COSTO REALE</v>
      </c>
      <c r="DI270" s="20">
        <f>COUNTIFS('MY-REPORT-MAIN'!C:C,'Partner data'!DG270,'MY-REPORT-MAIN'!I:I,"Certified")</f>
        <v>0</v>
      </c>
      <c r="DJ270" s="20">
        <f>COUNTIFS(List_Of_chek_list!M:M,"&lt;&gt;26",List_Of_chek_list!B:B,'Partner data'!DG270)</f>
        <v>0</v>
      </c>
      <c r="DK270" s="20">
        <f t="shared" si="115"/>
        <v>0</v>
      </c>
      <c r="DL270" s="19" t="str">
        <f>IF(DH270="Tasso Forfettario 20%",SUMIFS(List_Of_chek_list!#REF!,List_Of_chek_list!B:B,'Partner data'!DG270),"NON PERTINENTE")</f>
        <v>NON PERTINENTE</v>
      </c>
      <c r="DM270" s="19" t="str">
        <f t="shared" si="116"/>
        <v>NON PERTINENTE</v>
      </c>
      <c r="DN270" s="110">
        <f>_xlfn.MAXIFS('MY-REPORT-MAIN'!K:K,'MY-REPORT-MAIN'!C:C,DG270)</f>
        <v>0</v>
      </c>
      <c r="DO270" s="112" t="str">
        <f>IF(_xlfn.MAXIFS('MY-REPORT-MAIN'!M:M,'MY-REPORT-MAIN'!C:C,DG270)=0,"Nessun rendiconto  Convalidato",_xlfn.MAXIFS('MY-REPORT-MAIN'!M:M,'MY-REPORT-MAIN'!C:C,DG270))</f>
        <v>Nessun rendiconto  Convalidato</v>
      </c>
      <c r="DP270" s="113" t="str" cm="1">
        <f t="array" ref="DP270">IFERROR(INDEX('MY-REPORT-MAIN'!A:Z,MATCH(1,(DO270='MY-REPORT-MAIN'!M:M)*('Partner data'!DG270='MY-REPORT-MAIN'!C:C),0),1),"NON è stato convalidato ancora nessun rendiconto")</f>
        <v>NON è stato convalidato ancora nessun rendiconto</v>
      </c>
      <c r="DQ270" s="111" t="str">
        <f>IFERROR(INDEX('MY-REPORT-MAIN'!A:Z,MATCH('Partner data'!DP270,'MY-REPORT-MAIN'!A:A,0),21),"Nessun Rendiconto ancora convalidato")</f>
        <v>Nessun Rendiconto ancora convalidato</v>
      </c>
      <c r="DR270" s="110" t="e">
        <f>INDEX('Interreg VI-A Italy-Slovenia_pr'!A:E,MATCH('Partner data'!C270,'Interreg VI-A Italy-Slovenia_pr'!A:A,0),3)</f>
        <v>#N/A</v>
      </c>
      <c r="DS270" s="118">
        <f t="shared" si="104"/>
        <v>16800</v>
      </c>
      <c r="DT270" s="118">
        <f t="shared" si="105"/>
        <v>33600</v>
      </c>
      <c r="DU270" s="118">
        <f t="shared" si="106"/>
        <v>50400</v>
      </c>
      <c r="DV270" s="118">
        <f t="shared" si="107"/>
        <v>67200</v>
      </c>
      <c r="DW270" s="118">
        <f t="shared" si="108"/>
        <v>81200</v>
      </c>
      <c r="DX270" s="118">
        <f t="shared" si="109"/>
        <v>81200</v>
      </c>
      <c r="DY270" s="118">
        <f t="shared" si="110"/>
        <v>81200</v>
      </c>
      <c r="DZ270" s="118">
        <f t="shared" si="111"/>
        <v>81200</v>
      </c>
      <c r="EA270" s="118">
        <f t="shared" si="112"/>
        <v>81200</v>
      </c>
      <c r="EB270" s="118">
        <f t="shared" si="113"/>
        <v>81200</v>
      </c>
    </row>
    <row r="271" spans="1:132" ht="45" x14ac:dyDescent="0.25">
      <c r="A271" s="121">
        <v>6</v>
      </c>
      <c r="B271" s="122" t="s">
        <v>2688</v>
      </c>
      <c r="C271" s="123" t="s">
        <v>3654</v>
      </c>
      <c r="D271" s="123" t="s">
        <v>3655</v>
      </c>
      <c r="E271" s="123" t="s">
        <v>3656</v>
      </c>
      <c r="F271" s="123" t="s">
        <v>490</v>
      </c>
      <c r="G271" s="123" t="s">
        <v>6118</v>
      </c>
      <c r="H271" s="123" t="s">
        <v>766</v>
      </c>
      <c r="I271" s="123" t="s">
        <v>767</v>
      </c>
      <c r="J271" s="124" t="s">
        <v>570</v>
      </c>
      <c r="K271" s="124" t="s">
        <v>495</v>
      </c>
      <c r="L271" s="124" t="s">
        <v>519</v>
      </c>
      <c r="M271" s="124" t="s">
        <v>39</v>
      </c>
      <c r="N271" s="124" t="s">
        <v>1577</v>
      </c>
      <c r="O271" s="124" t="s">
        <v>1578</v>
      </c>
      <c r="P271" s="124" t="s">
        <v>254</v>
      </c>
      <c r="Q271" s="124" t="s">
        <v>540</v>
      </c>
      <c r="R271" s="124" t="s">
        <v>260</v>
      </c>
      <c r="S271" s="32">
        <v>148864</v>
      </c>
      <c r="T271" s="32">
        <v>80</v>
      </c>
      <c r="U271" s="32">
        <v>16.989999999999998</v>
      </c>
      <c r="V271" s="32">
        <v>0</v>
      </c>
      <c r="W271" s="32">
        <v>0</v>
      </c>
      <c r="X271" s="32">
        <v>0</v>
      </c>
      <c r="Y271" s="32">
        <v>0</v>
      </c>
      <c r="Z271" s="32">
        <v>0</v>
      </c>
      <c r="AA271" s="32">
        <v>0</v>
      </c>
      <c r="AB271" s="32">
        <v>0</v>
      </c>
      <c r="AC271" s="32">
        <v>0</v>
      </c>
      <c r="AD271" s="32">
        <v>0</v>
      </c>
      <c r="AE271" s="32">
        <v>0</v>
      </c>
      <c r="AF271" s="32">
        <v>0</v>
      </c>
      <c r="AG271" s="32">
        <v>0</v>
      </c>
      <c r="AH271" s="32">
        <v>0</v>
      </c>
      <c r="AI271" s="32">
        <v>0</v>
      </c>
      <c r="AJ271" s="32">
        <v>0</v>
      </c>
      <c r="AK271" s="32">
        <v>0</v>
      </c>
      <c r="AL271" s="32">
        <v>0</v>
      </c>
      <c r="AM271" s="32">
        <v>0</v>
      </c>
      <c r="AN271" s="32">
        <v>0</v>
      </c>
      <c r="AO271" s="32">
        <v>37216</v>
      </c>
      <c r="AP271" s="32">
        <v>0</v>
      </c>
      <c r="AQ271" s="32">
        <v>37216</v>
      </c>
      <c r="AR271" s="32">
        <v>186080</v>
      </c>
      <c r="AS271" s="32">
        <v>16.989999999999998</v>
      </c>
      <c r="AT271" s="32">
        <v>32000</v>
      </c>
      <c r="AU271" s="32">
        <v>0</v>
      </c>
      <c r="AV271" s="32">
        <v>32000</v>
      </c>
      <c r="AW271" s="32">
        <v>0</v>
      </c>
      <c r="AX271" s="32">
        <v>4800</v>
      </c>
      <c r="AY271" s="32">
        <v>4800</v>
      </c>
      <c r="AZ271" s="32">
        <v>1280</v>
      </c>
      <c r="BA271" s="32">
        <v>1280</v>
      </c>
      <c r="BB271" s="32">
        <v>0</v>
      </c>
      <c r="BC271" s="32">
        <v>0</v>
      </c>
      <c r="BD271" s="32">
        <v>148000</v>
      </c>
      <c r="BE271" s="32">
        <v>148000</v>
      </c>
      <c r="BF271" s="32">
        <v>0</v>
      </c>
      <c r="BG271" s="32">
        <v>0</v>
      </c>
      <c r="BH271" s="32">
        <v>0</v>
      </c>
      <c r="BI271" s="32">
        <v>0</v>
      </c>
      <c r="BJ271" s="32">
        <v>0</v>
      </c>
      <c r="BK271" s="32">
        <v>0</v>
      </c>
      <c r="BL271" s="32">
        <v>0</v>
      </c>
      <c r="BM271" s="32">
        <v>0</v>
      </c>
      <c r="BN271" s="32">
        <v>0</v>
      </c>
      <c r="BO271" s="32">
        <v>0</v>
      </c>
      <c r="BP271" s="32">
        <v>0</v>
      </c>
      <c r="BQ271" s="32">
        <v>7616</v>
      </c>
      <c r="BR271" s="32">
        <v>51616</v>
      </c>
      <c r="BS271" s="32">
        <v>49616</v>
      </c>
      <c r="BT271" s="32">
        <v>49616</v>
      </c>
      <c r="BU271" s="32">
        <v>27616</v>
      </c>
      <c r="BV271" s="32">
        <v>0</v>
      </c>
      <c r="BW271" s="32">
        <v>0</v>
      </c>
      <c r="BX271" s="32">
        <v>0</v>
      </c>
      <c r="BY271" s="32">
        <v>0</v>
      </c>
      <c r="BZ271" s="32">
        <v>0</v>
      </c>
      <c r="CA271" s="32">
        <v>0</v>
      </c>
      <c r="CB271" s="125" t="s">
        <v>665</v>
      </c>
      <c r="CC271" s="125" t="s">
        <v>500</v>
      </c>
      <c r="CD271" s="125"/>
      <c r="CE271" s="125" t="s">
        <v>684</v>
      </c>
      <c r="CF271" s="125" t="s">
        <v>618</v>
      </c>
      <c r="CG271" s="125" t="s">
        <v>1579</v>
      </c>
      <c r="CH271" s="125" t="s">
        <v>526</v>
      </c>
      <c r="CI271" s="125" t="s">
        <v>665</v>
      </c>
      <c r="CJ271" s="125" t="s">
        <v>665</v>
      </c>
      <c r="CK271" s="125" t="s">
        <v>1580</v>
      </c>
      <c r="CL271" s="125" t="s">
        <v>212</v>
      </c>
      <c r="CM271" s="125"/>
      <c r="CN271" s="125" t="s">
        <v>254</v>
      </c>
      <c r="CO271" s="125" t="s">
        <v>260</v>
      </c>
      <c r="CP271" s="125" t="s">
        <v>1581</v>
      </c>
      <c r="CQ271" s="125" t="s">
        <v>544</v>
      </c>
      <c r="CR271" s="125" t="s">
        <v>545</v>
      </c>
      <c r="CS271" s="125" t="s">
        <v>1582</v>
      </c>
      <c r="CT271" s="125" t="s">
        <v>254</v>
      </c>
      <c r="CU271" s="125" t="s">
        <v>260</v>
      </c>
      <c r="CV271" s="125" t="s">
        <v>725</v>
      </c>
      <c r="CW271" s="125" t="s">
        <v>665</v>
      </c>
      <c r="CX271" s="125" t="s">
        <v>665</v>
      </c>
      <c r="CY271" s="125" t="s">
        <v>740</v>
      </c>
      <c r="CZ271" s="125" t="s">
        <v>1583</v>
      </c>
      <c r="DA271" s="125" t="s">
        <v>1584</v>
      </c>
      <c r="DB271" s="125" t="s">
        <v>745</v>
      </c>
      <c r="DC271" s="125" t="s">
        <v>1585</v>
      </c>
      <c r="DD271" s="125" t="s">
        <v>1586</v>
      </c>
      <c r="DE271" s="125" t="s">
        <v>1587</v>
      </c>
      <c r="DF271" s="126" t="s">
        <v>3689</v>
      </c>
      <c r="DG271" s="27" cm="1">
        <f t="array" ref="DG271">INDEX('elenco partner'!A:M,MATCH(1,(D271='elenco partner'!A:A)*('Partner data'!M271='elenco partner'!E:E),0),4)</f>
        <v>746</v>
      </c>
      <c r="DH271" s="83" t="str">
        <f t="shared" si="114"/>
        <v>COSTO REALE</v>
      </c>
      <c r="DI271" s="20">
        <f>COUNTIFS('MY-REPORT-MAIN'!C:C,'Partner data'!DG271,'MY-REPORT-MAIN'!I:I,"Certified")</f>
        <v>0</v>
      </c>
      <c r="DJ271" s="20">
        <f>COUNTIFS(List_Of_chek_list!M:M,"&lt;&gt;26",List_Of_chek_list!B:B,'Partner data'!DG271)</f>
        <v>0</v>
      </c>
      <c r="DK271" s="20">
        <f t="shared" si="115"/>
        <v>0</v>
      </c>
      <c r="DL271" s="19" t="str">
        <f>IF(DH271="Tasso Forfettario 20%",SUMIFS(List_Of_chek_list!#REF!,List_Of_chek_list!B:B,'Partner data'!DG271),"NON PERTINENTE")</f>
        <v>NON PERTINENTE</v>
      </c>
      <c r="DM271" s="19" t="str">
        <f t="shared" si="116"/>
        <v>NON PERTINENTE</v>
      </c>
      <c r="DN271" s="110">
        <f>_xlfn.MAXIFS('MY-REPORT-MAIN'!K:K,'MY-REPORT-MAIN'!C:C,DG271)</f>
        <v>0</v>
      </c>
      <c r="DO271" s="112" t="str">
        <f>IF(_xlfn.MAXIFS('MY-REPORT-MAIN'!M:M,'MY-REPORT-MAIN'!C:C,DG271)=0,"Nessun rendiconto  Convalidato",_xlfn.MAXIFS('MY-REPORT-MAIN'!M:M,'MY-REPORT-MAIN'!C:C,DG271))</f>
        <v>Nessun rendiconto  Convalidato</v>
      </c>
      <c r="DP271" s="113" t="str" cm="1">
        <f t="array" ref="DP271">IFERROR(INDEX('MY-REPORT-MAIN'!A:Z,MATCH(1,(DO271='MY-REPORT-MAIN'!M:M)*('Partner data'!DG271='MY-REPORT-MAIN'!C:C),0),1),"NON è stato convalidato ancora nessun rendiconto")</f>
        <v>NON è stato convalidato ancora nessun rendiconto</v>
      </c>
      <c r="DQ271" s="111" t="str">
        <f>IFERROR(INDEX('MY-REPORT-MAIN'!A:Z,MATCH('Partner data'!DP271,'MY-REPORT-MAIN'!A:A,0),21),"Nessun Rendiconto ancora convalidato")</f>
        <v>Nessun Rendiconto ancora convalidato</v>
      </c>
      <c r="DR271" s="110" t="e">
        <f>INDEX('Interreg VI-A Italy-Slovenia_pr'!A:E,MATCH('Partner data'!C271,'Interreg VI-A Italy-Slovenia_pr'!A:A,0),3)</f>
        <v>#N/A</v>
      </c>
      <c r="DS271" s="118">
        <f t="shared" si="104"/>
        <v>7616</v>
      </c>
      <c r="DT271" s="118">
        <f t="shared" si="105"/>
        <v>59232</v>
      </c>
      <c r="DU271" s="118">
        <f t="shared" si="106"/>
        <v>108848</v>
      </c>
      <c r="DV271" s="118">
        <f t="shared" si="107"/>
        <v>158464</v>
      </c>
      <c r="DW271" s="118">
        <f t="shared" si="108"/>
        <v>186080</v>
      </c>
      <c r="DX271" s="118">
        <f t="shared" si="109"/>
        <v>186080</v>
      </c>
      <c r="DY271" s="118">
        <f t="shared" si="110"/>
        <v>186080</v>
      </c>
      <c r="DZ271" s="118">
        <f t="shared" si="111"/>
        <v>186080</v>
      </c>
      <c r="EA271" s="118">
        <f t="shared" si="112"/>
        <v>186080</v>
      </c>
      <c r="EB271" s="118">
        <f t="shared" si="113"/>
        <v>186080</v>
      </c>
    </row>
    <row r="272" spans="1:132" ht="45" x14ac:dyDescent="0.25">
      <c r="A272" s="121">
        <v>6</v>
      </c>
      <c r="B272" s="122" t="s">
        <v>2688</v>
      </c>
      <c r="C272" s="123" t="s">
        <v>3654</v>
      </c>
      <c r="D272" s="123" t="s">
        <v>3655</v>
      </c>
      <c r="E272" s="123" t="s">
        <v>3656</v>
      </c>
      <c r="F272" s="123" t="s">
        <v>490</v>
      </c>
      <c r="G272" s="123" t="s">
        <v>6118</v>
      </c>
      <c r="H272" s="123" t="s">
        <v>766</v>
      </c>
      <c r="I272" s="123" t="s">
        <v>767</v>
      </c>
      <c r="J272" s="124" t="s">
        <v>581</v>
      </c>
      <c r="K272" s="124" t="s">
        <v>495</v>
      </c>
      <c r="L272" s="124" t="s">
        <v>519</v>
      </c>
      <c r="M272" s="124" t="s">
        <v>3690</v>
      </c>
      <c r="N272" s="124" t="s">
        <v>3691</v>
      </c>
      <c r="O272" s="124" t="s">
        <v>3692</v>
      </c>
      <c r="P272" s="124" t="s">
        <v>257</v>
      </c>
      <c r="Q272" s="124" t="s">
        <v>556</v>
      </c>
      <c r="R272" s="124" t="s">
        <v>269</v>
      </c>
      <c r="S272" s="32">
        <v>52560</v>
      </c>
      <c r="T272" s="32">
        <v>80</v>
      </c>
      <c r="U272" s="32">
        <v>6</v>
      </c>
      <c r="V272" s="32">
        <v>0</v>
      </c>
      <c r="W272" s="32">
        <v>0</v>
      </c>
      <c r="X272" s="32">
        <v>0</v>
      </c>
      <c r="Y272" s="32">
        <v>0</v>
      </c>
      <c r="Z272" s="32">
        <v>0</v>
      </c>
      <c r="AA272" s="32">
        <v>0</v>
      </c>
      <c r="AB272" s="32">
        <v>0</v>
      </c>
      <c r="AC272" s="32">
        <v>0</v>
      </c>
      <c r="AD272" s="32">
        <v>0</v>
      </c>
      <c r="AE272" s="32">
        <v>0</v>
      </c>
      <c r="AF272" s="32">
        <v>0</v>
      </c>
      <c r="AG272" s="32">
        <v>0</v>
      </c>
      <c r="AH272" s="32">
        <v>0</v>
      </c>
      <c r="AI272" s="32">
        <v>0</v>
      </c>
      <c r="AJ272" s="32">
        <v>0</v>
      </c>
      <c r="AK272" s="32">
        <v>0</v>
      </c>
      <c r="AL272" s="32">
        <v>0</v>
      </c>
      <c r="AM272" s="32">
        <v>0</v>
      </c>
      <c r="AN272" s="32">
        <v>13140.01</v>
      </c>
      <c r="AO272" s="32">
        <v>0</v>
      </c>
      <c r="AP272" s="32">
        <v>0</v>
      </c>
      <c r="AQ272" s="32">
        <v>13140.01</v>
      </c>
      <c r="AR272" s="32">
        <v>65700.009999999995</v>
      </c>
      <c r="AS272" s="32">
        <v>6</v>
      </c>
      <c r="AT272" s="32">
        <v>46928.58</v>
      </c>
      <c r="AU272" s="32">
        <v>0</v>
      </c>
      <c r="AV272" s="32">
        <v>46928.58</v>
      </c>
      <c r="AW272" s="32">
        <v>0</v>
      </c>
      <c r="AX272" s="32">
        <v>0</v>
      </c>
      <c r="AY272" s="32">
        <v>0</v>
      </c>
      <c r="AZ272" s="32">
        <v>0</v>
      </c>
      <c r="BA272" s="32">
        <v>0</v>
      </c>
      <c r="BB272" s="32">
        <v>0</v>
      </c>
      <c r="BC272" s="32">
        <v>0</v>
      </c>
      <c r="BD272" s="32">
        <v>0</v>
      </c>
      <c r="BE272" s="32">
        <v>0</v>
      </c>
      <c r="BF272" s="32">
        <v>0</v>
      </c>
      <c r="BG272" s="32">
        <v>0</v>
      </c>
      <c r="BH272" s="32">
        <v>0</v>
      </c>
      <c r="BI272" s="32">
        <v>0</v>
      </c>
      <c r="BJ272" s="32">
        <v>0</v>
      </c>
      <c r="BK272" s="32">
        <v>0</v>
      </c>
      <c r="BL272" s="32">
        <v>0</v>
      </c>
      <c r="BM272" s="32">
        <v>18771.43</v>
      </c>
      <c r="BN272" s="32">
        <v>0</v>
      </c>
      <c r="BO272" s="32">
        <v>0</v>
      </c>
      <c r="BP272" s="32">
        <v>0</v>
      </c>
      <c r="BQ272" s="32">
        <v>4100.01</v>
      </c>
      <c r="BR272" s="32">
        <v>18200</v>
      </c>
      <c r="BS272" s="32">
        <v>18200</v>
      </c>
      <c r="BT272" s="32">
        <v>18200</v>
      </c>
      <c r="BU272" s="32">
        <v>7000</v>
      </c>
      <c r="BV272" s="32">
        <v>0</v>
      </c>
      <c r="BW272" s="32">
        <v>0</v>
      </c>
      <c r="BX272" s="32">
        <v>0</v>
      </c>
      <c r="BY272" s="32">
        <v>0</v>
      </c>
      <c r="BZ272" s="32">
        <v>0</v>
      </c>
      <c r="CA272" s="32">
        <v>0</v>
      </c>
      <c r="CB272" s="125" t="s">
        <v>665</v>
      </c>
      <c r="CC272" s="125" t="s">
        <v>770</v>
      </c>
      <c r="CD272" s="125"/>
      <c r="CE272" s="125" t="s">
        <v>523</v>
      </c>
      <c r="CF272" s="125" t="s">
        <v>676</v>
      </c>
      <c r="CG272" s="125" t="s">
        <v>3693</v>
      </c>
      <c r="CH272" s="125" t="s">
        <v>619</v>
      </c>
      <c r="CI272" s="125" t="s">
        <v>665</v>
      </c>
      <c r="CJ272" s="125" t="s">
        <v>665</v>
      </c>
      <c r="CK272" s="125" t="s">
        <v>3694</v>
      </c>
      <c r="CL272" s="125" t="s">
        <v>212</v>
      </c>
      <c r="CM272" s="125"/>
      <c r="CN272" s="125" t="s">
        <v>257</v>
      </c>
      <c r="CO272" s="125" t="s">
        <v>269</v>
      </c>
      <c r="CP272" s="125" t="s">
        <v>3695</v>
      </c>
      <c r="CQ272" s="125" t="s">
        <v>1208</v>
      </c>
      <c r="CR272" s="125" t="s">
        <v>1209</v>
      </c>
      <c r="CS272" s="125"/>
      <c r="CT272" s="125" t="s">
        <v>257</v>
      </c>
      <c r="CU272" s="125" t="s">
        <v>269</v>
      </c>
      <c r="CV272" s="125" t="s">
        <v>725</v>
      </c>
      <c r="CW272" s="125" t="s">
        <v>665</v>
      </c>
      <c r="CX272" s="125" t="s">
        <v>665</v>
      </c>
      <c r="CY272" s="125" t="s">
        <v>745</v>
      </c>
      <c r="CZ272" s="125" t="s">
        <v>3696</v>
      </c>
      <c r="DA272" s="125" t="s">
        <v>2774</v>
      </c>
      <c r="DB272" s="125" t="s">
        <v>745</v>
      </c>
      <c r="DC272" s="125" t="s">
        <v>3696</v>
      </c>
      <c r="DD272" s="125" t="s">
        <v>2774</v>
      </c>
      <c r="DE272" s="125" t="s">
        <v>3697</v>
      </c>
      <c r="DF272" s="126" t="s">
        <v>3698</v>
      </c>
      <c r="DG272" s="27" cm="1">
        <f t="array" ref="DG272">INDEX('elenco partner'!A:M,MATCH(1,(D272='elenco partner'!A:A)*('Partner data'!M272='elenco partner'!E:E),0),4)</f>
        <v>747</v>
      </c>
      <c r="DH272" s="83" t="str">
        <f t="shared" si="114"/>
        <v>COSTO REALE</v>
      </c>
      <c r="DI272" s="20">
        <f>COUNTIFS('MY-REPORT-MAIN'!C:C,'Partner data'!DG272,'MY-REPORT-MAIN'!I:I,"Certified")</f>
        <v>0</v>
      </c>
      <c r="DJ272" s="20">
        <f>COUNTIFS(List_Of_chek_list!M:M,"&lt;&gt;26",List_Of_chek_list!B:B,'Partner data'!DG272)</f>
        <v>0</v>
      </c>
      <c r="DK272" s="20">
        <f t="shared" si="115"/>
        <v>0</v>
      </c>
      <c r="DL272" s="19" t="str">
        <f>IF(DH272="Tasso Forfettario 20%",SUMIFS(List_Of_chek_list!#REF!,List_Of_chek_list!B:B,'Partner data'!DG272),"NON PERTINENTE")</f>
        <v>NON PERTINENTE</v>
      </c>
      <c r="DM272" s="19" t="str">
        <f t="shared" si="116"/>
        <v>NON PERTINENTE</v>
      </c>
      <c r="DN272" s="110">
        <f>_xlfn.MAXIFS('MY-REPORT-MAIN'!K:K,'MY-REPORT-MAIN'!C:C,DG272)</f>
        <v>0</v>
      </c>
      <c r="DO272" s="112" t="str">
        <f>IF(_xlfn.MAXIFS('MY-REPORT-MAIN'!M:M,'MY-REPORT-MAIN'!C:C,DG272)=0,"Nessun rendiconto  Convalidato",_xlfn.MAXIFS('MY-REPORT-MAIN'!M:M,'MY-REPORT-MAIN'!C:C,DG272))</f>
        <v>Nessun rendiconto  Convalidato</v>
      </c>
      <c r="DP272" s="113" t="str" cm="1">
        <f t="array" ref="DP272">IFERROR(INDEX('MY-REPORT-MAIN'!A:Z,MATCH(1,(DO272='MY-REPORT-MAIN'!M:M)*('Partner data'!DG272='MY-REPORT-MAIN'!C:C),0),1),"NON è stato convalidato ancora nessun rendiconto")</f>
        <v>NON è stato convalidato ancora nessun rendiconto</v>
      </c>
      <c r="DQ272" s="111" t="str">
        <f>IFERROR(INDEX('MY-REPORT-MAIN'!A:Z,MATCH('Partner data'!DP272,'MY-REPORT-MAIN'!A:A,0),21),"Nessun Rendiconto ancora convalidato")</f>
        <v>Nessun Rendiconto ancora convalidato</v>
      </c>
      <c r="DR272" s="110" t="e">
        <f>INDEX('Interreg VI-A Italy-Slovenia_pr'!A:E,MATCH('Partner data'!C272,'Interreg VI-A Italy-Slovenia_pr'!A:A,0),3)</f>
        <v>#N/A</v>
      </c>
      <c r="DS272" s="118">
        <f t="shared" si="104"/>
        <v>4100.01</v>
      </c>
      <c r="DT272" s="118">
        <f t="shared" si="105"/>
        <v>22300.010000000002</v>
      </c>
      <c r="DU272" s="118">
        <f t="shared" si="106"/>
        <v>40500.01</v>
      </c>
      <c r="DV272" s="118">
        <f t="shared" si="107"/>
        <v>58700.01</v>
      </c>
      <c r="DW272" s="118">
        <f t="shared" si="108"/>
        <v>65700.010000000009</v>
      </c>
      <c r="DX272" s="118">
        <f t="shared" si="109"/>
        <v>65700.010000000009</v>
      </c>
      <c r="DY272" s="118">
        <f t="shared" si="110"/>
        <v>65700.010000000009</v>
      </c>
      <c r="DZ272" s="118">
        <f t="shared" si="111"/>
        <v>65700.010000000009</v>
      </c>
      <c r="EA272" s="118">
        <f t="shared" si="112"/>
        <v>65700.010000000009</v>
      </c>
      <c r="EB272" s="118">
        <f t="shared" si="113"/>
        <v>65700.010000000009</v>
      </c>
    </row>
    <row r="273" spans="1:132" ht="45" x14ac:dyDescent="0.25">
      <c r="A273" s="121">
        <v>6</v>
      </c>
      <c r="B273" s="122" t="s">
        <v>2688</v>
      </c>
      <c r="C273" s="123" t="s">
        <v>3700</v>
      </c>
      <c r="D273" s="123" t="s">
        <v>3701</v>
      </c>
      <c r="E273" s="123" t="s">
        <v>3702</v>
      </c>
      <c r="F273" s="123" t="s">
        <v>490</v>
      </c>
      <c r="G273" s="123" t="s">
        <v>6118</v>
      </c>
      <c r="H273" s="123" t="s">
        <v>492</v>
      </c>
      <c r="I273" s="123" t="s">
        <v>493</v>
      </c>
      <c r="J273" s="124" t="s">
        <v>494</v>
      </c>
      <c r="K273" s="124" t="s">
        <v>495</v>
      </c>
      <c r="L273" s="124" t="s">
        <v>496</v>
      </c>
      <c r="M273" s="124" t="s">
        <v>3703</v>
      </c>
      <c r="N273" s="124" t="s">
        <v>3704</v>
      </c>
      <c r="O273" s="124" t="s">
        <v>3705</v>
      </c>
      <c r="P273" s="124" t="s">
        <v>254</v>
      </c>
      <c r="Q273" s="124" t="s">
        <v>499</v>
      </c>
      <c r="R273" s="124" t="s">
        <v>255</v>
      </c>
      <c r="S273" s="32">
        <v>136000</v>
      </c>
      <c r="T273" s="32">
        <v>80</v>
      </c>
      <c r="U273" s="32">
        <v>28.58</v>
      </c>
      <c r="V273" s="32">
        <v>0</v>
      </c>
      <c r="W273" s="32">
        <v>0</v>
      </c>
      <c r="X273" s="32">
        <v>0</v>
      </c>
      <c r="Y273" s="32">
        <v>0</v>
      </c>
      <c r="Z273" s="32">
        <v>0</v>
      </c>
      <c r="AA273" s="32">
        <v>0</v>
      </c>
      <c r="AB273" s="32">
        <v>0</v>
      </c>
      <c r="AC273" s="32">
        <v>0</v>
      </c>
      <c r="AD273" s="32">
        <v>0</v>
      </c>
      <c r="AE273" s="32">
        <v>0</v>
      </c>
      <c r="AF273" s="32">
        <v>0</v>
      </c>
      <c r="AG273" s="32">
        <v>0</v>
      </c>
      <c r="AH273" s="32">
        <v>0</v>
      </c>
      <c r="AI273" s="32">
        <v>0</v>
      </c>
      <c r="AJ273" s="32">
        <v>0</v>
      </c>
      <c r="AK273" s="32">
        <v>0</v>
      </c>
      <c r="AL273" s="32">
        <v>0</v>
      </c>
      <c r="AM273" s="32">
        <v>0</v>
      </c>
      <c r="AN273" s="32">
        <v>0</v>
      </c>
      <c r="AO273" s="32">
        <v>34000</v>
      </c>
      <c r="AP273" s="32">
        <v>0</v>
      </c>
      <c r="AQ273" s="32">
        <v>34000</v>
      </c>
      <c r="AR273" s="32">
        <v>170000</v>
      </c>
      <c r="AS273" s="32">
        <v>28.58</v>
      </c>
      <c r="AT273" s="32">
        <v>115000</v>
      </c>
      <c r="AU273" s="32">
        <v>0</v>
      </c>
      <c r="AV273" s="32">
        <v>115000</v>
      </c>
      <c r="AW273" s="32">
        <v>0</v>
      </c>
      <c r="AX273" s="32">
        <v>0</v>
      </c>
      <c r="AY273" s="32">
        <v>0</v>
      </c>
      <c r="AZ273" s="32">
        <v>0</v>
      </c>
      <c r="BA273" s="32">
        <v>0</v>
      </c>
      <c r="BB273" s="32">
        <v>0</v>
      </c>
      <c r="BC273" s="32">
        <v>0</v>
      </c>
      <c r="BD273" s="32">
        <v>0</v>
      </c>
      <c r="BE273" s="32">
        <v>0</v>
      </c>
      <c r="BF273" s="32">
        <v>0</v>
      </c>
      <c r="BG273" s="32">
        <v>0</v>
      </c>
      <c r="BH273" s="32">
        <v>0</v>
      </c>
      <c r="BI273" s="32">
        <v>0</v>
      </c>
      <c r="BJ273" s="32">
        <v>0</v>
      </c>
      <c r="BK273" s="32">
        <v>0</v>
      </c>
      <c r="BL273" s="32">
        <v>0</v>
      </c>
      <c r="BM273" s="32">
        <v>46000</v>
      </c>
      <c r="BN273" s="32">
        <v>0</v>
      </c>
      <c r="BO273" s="32">
        <v>9000</v>
      </c>
      <c r="BP273" s="32">
        <v>9000</v>
      </c>
      <c r="BQ273" s="32">
        <v>40250</v>
      </c>
      <c r="BR273" s="32">
        <v>40251.4</v>
      </c>
      <c r="BS273" s="32">
        <v>40248.6</v>
      </c>
      <c r="BT273" s="32">
        <v>40250</v>
      </c>
      <c r="BU273" s="32">
        <v>0</v>
      </c>
      <c r="BV273" s="32">
        <v>0</v>
      </c>
      <c r="BW273" s="32">
        <v>0</v>
      </c>
      <c r="BX273" s="32">
        <v>0</v>
      </c>
      <c r="BY273" s="32">
        <v>0</v>
      </c>
      <c r="BZ273" s="32">
        <v>0</v>
      </c>
      <c r="CA273" s="32">
        <v>0</v>
      </c>
      <c r="CB273" s="125" t="s">
        <v>665</v>
      </c>
      <c r="CC273" s="125" t="s">
        <v>887</v>
      </c>
      <c r="CD273" s="125"/>
      <c r="CE273" s="125" t="s">
        <v>501</v>
      </c>
      <c r="CF273" s="125" t="s">
        <v>2743</v>
      </c>
      <c r="CG273" s="125" t="s">
        <v>3706</v>
      </c>
      <c r="CH273" s="125" t="s">
        <v>526</v>
      </c>
      <c r="CI273" s="125" t="s">
        <v>665</v>
      </c>
      <c r="CJ273" s="125" t="s">
        <v>665</v>
      </c>
      <c r="CK273" s="125" t="s">
        <v>3707</v>
      </c>
      <c r="CL273" s="125" t="s">
        <v>212</v>
      </c>
      <c r="CM273" s="125"/>
      <c r="CN273" s="125" t="s">
        <v>254</v>
      </c>
      <c r="CO273" s="125" t="s">
        <v>255</v>
      </c>
      <c r="CP273" s="125" t="s">
        <v>3708</v>
      </c>
      <c r="CQ273" s="125" t="s">
        <v>666</v>
      </c>
      <c r="CR273" s="125" t="s">
        <v>529</v>
      </c>
      <c r="CS273" s="125" t="s">
        <v>3709</v>
      </c>
      <c r="CT273" s="125" t="s">
        <v>254</v>
      </c>
      <c r="CU273" s="125" t="s">
        <v>255</v>
      </c>
      <c r="CV273" s="125" t="s">
        <v>725</v>
      </c>
      <c r="CW273" s="125" t="s">
        <v>665</v>
      </c>
      <c r="CX273" s="125" t="s">
        <v>665</v>
      </c>
      <c r="CY273" s="125" t="s">
        <v>2695</v>
      </c>
      <c r="CZ273" s="125" t="s">
        <v>2266</v>
      </c>
      <c r="DA273" s="125" t="s">
        <v>3710</v>
      </c>
      <c r="DB273" s="125" t="s">
        <v>1051</v>
      </c>
      <c r="DC273" s="125" t="s">
        <v>933</v>
      </c>
      <c r="DD273" s="125" t="s">
        <v>6133</v>
      </c>
      <c r="DE273" s="125" t="s">
        <v>6134</v>
      </c>
      <c r="DF273" s="126" t="s">
        <v>3711</v>
      </c>
      <c r="DG273" s="27" cm="1">
        <f t="array" ref="DG273">INDEX('elenco partner'!A:M,MATCH(1,(D273='elenco partner'!A:A)*('Partner data'!M273='elenco partner'!E:E),0),4)</f>
        <v>719</v>
      </c>
      <c r="DH273" s="83" t="str">
        <f t="shared" ref="DH273:DH278" si="117">IF(AU273&lt;&gt;0,"Tasso Forfettario 20%",IF(AV273&lt;&gt;0,"COSTO REALE",IF(AW273&lt;&gt;0,"Costo Unitario Standard","BL1 non presente")))</f>
        <v>COSTO REALE</v>
      </c>
      <c r="DI273" s="20">
        <f>COUNTIFS('MY-REPORT-MAIN'!C:C,'Partner data'!DG273,'MY-REPORT-MAIN'!I:I,"Certified")</f>
        <v>0</v>
      </c>
      <c r="DJ273" s="20">
        <f>COUNTIFS(List_Of_chek_list!M:M,"&lt;&gt;26",List_Of_chek_list!B:B,'Partner data'!DG273)</f>
        <v>0</v>
      </c>
      <c r="DK273" s="20">
        <f t="shared" ref="DK273:DK278" si="118">DI273-DJ273</f>
        <v>0</v>
      </c>
      <c r="DL273" s="19" t="str">
        <f>IF(DH273="Tasso Forfettario 20%",SUMIFS(List_Of_chek_list!#REF!,List_Of_chek_list!B:B,'Partner data'!DG273),"NON PERTINENTE")</f>
        <v>NON PERTINENTE</v>
      </c>
      <c r="DM273" s="19" t="str">
        <f t="shared" ref="DM273:DM278" si="119">IF(DL273="NON PERTINENTE","NON PERTINENTE",IF(DJ273=DL273,"Rischio basso","Rischio alto"))</f>
        <v>NON PERTINENTE</v>
      </c>
      <c r="DN273" s="110">
        <f>_xlfn.MAXIFS('MY-REPORT-MAIN'!K:K,'MY-REPORT-MAIN'!C:C,DG273)</f>
        <v>0</v>
      </c>
      <c r="DO273" s="112" t="str">
        <f>IF(_xlfn.MAXIFS('MY-REPORT-MAIN'!M:M,'MY-REPORT-MAIN'!C:C,DG273)=0,"Nessun rendiconto  Convalidato",_xlfn.MAXIFS('MY-REPORT-MAIN'!M:M,'MY-REPORT-MAIN'!C:C,DG273))</f>
        <v>Nessun rendiconto  Convalidato</v>
      </c>
      <c r="DP273" s="113" t="str" cm="1">
        <f t="array" ref="DP273">IFERROR(INDEX('MY-REPORT-MAIN'!A:Z,MATCH(1,(DO273='MY-REPORT-MAIN'!M:M)*('Partner data'!DG273='MY-REPORT-MAIN'!C:C),0),1),"NON è stato convalidato ancora nessun rendiconto")</f>
        <v>NON è stato convalidato ancora nessun rendiconto</v>
      </c>
      <c r="DQ273" s="111" t="str">
        <f>IFERROR(INDEX('MY-REPORT-MAIN'!A:Z,MATCH('Partner data'!DP273,'MY-REPORT-MAIN'!A:A,0),21),"Nessun Rendiconto ancora convalidato")</f>
        <v>Nessun Rendiconto ancora convalidato</v>
      </c>
      <c r="DR273" s="110" t="e">
        <f>INDEX('Interreg VI-A Italy-Slovenia_pr'!A:E,MATCH('Partner data'!C273,'Interreg VI-A Italy-Slovenia_pr'!A:A,0),3)</f>
        <v>#N/A</v>
      </c>
      <c r="DS273" s="118">
        <f t="shared" si="104"/>
        <v>49250</v>
      </c>
      <c r="DT273" s="118">
        <f t="shared" si="105"/>
        <v>89501.4</v>
      </c>
      <c r="DU273" s="118">
        <f t="shared" si="106"/>
        <v>129750</v>
      </c>
      <c r="DV273" s="118">
        <f t="shared" si="107"/>
        <v>170000</v>
      </c>
      <c r="DW273" s="118">
        <f t="shared" si="108"/>
        <v>170000</v>
      </c>
      <c r="DX273" s="118">
        <f t="shared" si="109"/>
        <v>170000</v>
      </c>
      <c r="DY273" s="118">
        <f t="shared" si="110"/>
        <v>170000</v>
      </c>
      <c r="DZ273" s="118">
        <f t="shared" si="111"/>
        <v>170000</v>
      </c>
      <c r="EA273" s="118">
        <f t="shared" si="112"/>
        <v>170000</v>
      </c>
      <c r="EB273" s="118">
        <f t="shared" si="113"/>
        <v>170000</v>
      </c>
    </row>
    <row r="274" spans="1:132" ht="45" x14ac:dyDescent="0.25">
      <c r="A274" s="121">
        <v>6</v>
      </c>
      <c r="B274" s="122" t="s">
        <v>2688</v>
      </c>
      <c r="C274" s="123" t="s">
        <v>3700</v>
      </c>
      <c r="D274" s="123" t="s">
        <v>3701</v>
      </c>
      <c r="E274" s="123" t="s">
        <v>3702</v>
      </c>
      <c r="F274" s="123" t="s">
        <v>490</v>
      </c>
      <c r="G274" s="123" t="s">
        <v>6118</v>
      </c>
      <c r="H274" s="123" t="s">
        <v>492</v>
      </c>
      <c r="I274" s="123" t="s">
        <v>493</v>
      </c>
      <c r="J274" s="124" t="s">
        <v>518</v>
      </c>
      <c r="K274" s="124" t="s">
        <v>495</v>
      </c>
      <c r="L274" s="124" t="s">
        <v>519</v>
      </c>
      <c r="M274" s="124" t="s">
        <v>25</v>
      </c>
      <c r="N274" s="124" t="s">
        <v>603</v>
      </c>
      <c r="O274" s="124" t="s">
        <v>2375</v>
      </c>
      <c r="P274" s="124" t="s">
        <v>254</v>
      </c>
      <c r="Q274" s="124" t="s">
        <v>499</v>
      </c>
      <c r="R274" s="124" t="s">
        <v>255</v>
      </c>
      <c r="S274" s="32">
        <v>68000.5</v>
      </c>
      <c r="T274" s="32">
        <v>80</v>
      </c>
      <c r="U274" s="32">
        <v>14.29</v>
      </c>
      <c r="V274" s="32">
        <v>0</v>
      </c>
      <c r="W274" s="32">
        <v>0</v>
      </c>
      <c r="X274" s="32">
        <v>0</v>
      </c>
      <c r="Y274" s="32">
        <v>0</v>
      </c>
      <c r="Z274" s="32">
        <v>0</v>
      </c>
      <c r="AA274" s="32">
        <v>0</v>
      </c>
      <c r="AB274" s="32">
        <v>0</v>
      </c>
      <c r="AC274" s="32">
        <v>0</v>
      </c>
      <c r="AD274" s="32">
        <v>0</v>
      </c>
      <c r="AE274" s="32">
        <v>0</v>
      </c>
      <c r="AF274" s="32">
        <v>0</v>
      </c>
      <c r="AG274" s="32">
        <v>0</v>
      </c>
      <c r="AH274" s="32">
        <v>0</v>
      </c>
      <c r="AI274" s="32">
        <v>0</v>
      </c>
      <c r="AJ274" s="32">
        <v>0</v>
      </c>
      <c r="AK274" s="32">
        <v>0</v>
      </c>
      <c r="AL274" s="32">
        <v>0</v>
      </c>
      <c r="AM274" s="32">
        <v>0</v>
      </c>
      <c r="AN274" s="32">
        <v>0</v>
      </c>
      <c r="AO274" s="32">
        <v>17000.13</v>
      </c>
      <c r="AP274" s="32">
        <v>0</v>
      </c>
      <c r="AQ274" s="32">
        <v>17000.13</v>
      </c>
      <c r="AR274" s="32">
        <v>85000.63</v>
      </c>
      <c r="AS274" s="32">
        <v>14.29</v>
      </c>
      <c r="AT274" s="32">
        <v>63433.31</v>
      </c>
      <c r="AU274" s="32">
        <v>0</v>
      </c>
      <c r="AV274" s="32">
        <v>63433.31</v>
      </c>
      <c r="AW274" s="32">
        <v>0</v>
      </c>
      <c r="AX274" s="32">
        <v>0</v>
      </c>
      <c r="AY274" s="32">
        <v>0</v>
      </c>
      <c r="AZ274" s="32">
        <v>0</v>
      </c>
      <c r="BA274" s="32">
        <v>0</v>
      </c>
      <c r="BB274" s="32">
        <v>0</v>
      </c>
      <c r="BC274" s="32">
        <v>0</v>
      </c>
      <c r="BD274" s="32">
        <v>0</v>
      </c>
      <c r="BE274" s="32">
        <v>0</v>
      </c>
      <c r="BF274" s="32">
        <v>0</v>
      </c>
      <c r="BG274" s="32">
        <v>0</v>
      </c>
      <c r="BH274" s="32">
        <v>0</v>
      </c>
      <c r="BI274" s="32">
        <v>0</v>
      </c>
      <c r="BJ274" s="32">
        <v>0</v>
      </c>
      <c r="BK274" s="32">
        <v>0</v>
      </c>
      <c r="BL274" s="32">
        <v>0</v>
      </c>
      <c r="BM274" s="32">
        <v>21567.32</v>
      </c>
      <c r="BN274" s="32">
        <v>0</v>
      </c>
      <c r="BO274" s="32">
        <v>0</v>
      </c>
      <c r="BP274" s="32">
        <v>0</v>
      </c>
      <c r="BQ274" s="32">
        <v>20906.689999999999</v>
      </c>
      <c r="BR274" s="32">
        <v>21364.63</v>
      </c>
      <c r="BS274" s="32">
        <v>21364.63</v>
      </c>
      <c r="BT274" s="32">
        <v>21364.68</v>
      </c>
      <c r="BU274" s="32">
        <v>0</v>
      </c>
      <c r="BV274" s="32">
        <v>0</v>
      </c>
      <c r="BW274" s="32">
        <v>0</v>
      </c>
      <c r="BX274" s="32">
        <v>0</v>
      </c>
      <c r="BY274" s="32">
        <v>0</v>
      </c>
      <c r="BZ274" s="32">
        <v>0</v>
      </c>
      <c r="CA274" s="32">
        <v>0</v>
      </c>
      <c r="CB274" s="125" t="s">
        <v>3712</v>
      </c>
      <c r="CC274" s="125" t="s">
        <v>606</v>
      </c>
      <c r="CD274" s="125"/>
      <c r="CE274" s="125" t="s">
        <v>523</v>
      </c>
      <c r="CF274" s="125" t="s">
        <v>636</v>
      </c>
      <c r="CG274" s="125" t="s">
        <v>2377</v>
      </c>
      <c r="CH274" s="125" t="s">
        <v>526</v>
      </c>
      <c r="CI274" s="125" t="s">
        <v>665</v>
      </c>
      <c r="CJ274" s="125" t="s">
        <v>665</v>
      </c>
      <c r="CK274" s="125" t="s">
        <v>609</v>
      </c>
      <c r="CL274" s="125" t="s">
        <v>212</v>
      </c>
      <c r="CM274" s="125"/>
      <c r="CN274" s="125" t="s">
        <v>254</v>
      </c>
      <c r="CO274" s="125" t="s">
        <v>255</v>
      </c>
      <c r="CP274" s="125" t="s">
        <v>610</v>
      </c>
      <c r="CQ274" s="125" t="s">
        <v>611</v>
      </c>
      <c r="CR274" s="125" t="s">
        <v>529</v>
      </c>
      <c r="CS274" s="125" t="s">
        <v>612</v>
      </c>
      <c r="CT274" s="125" t="s">
        <v>254</v>
      </c>
      <c r="CU274" s="125" t="s">
        <v>255</v>
      </c>
      <c r="CV274" s="125" t="s">
        <v>1804</v>
      </c>
      <c r="CW274" s="125" t="s">
        <v>2276</v>
      </c>
      <c r="CX274" s="125" t="s">
        <v>529</v>
      </c>
      <c r="CY274" s="125" t="s">
        <v>3713</v>
      </c>
      <c r="CZ274" s="125" t="s">
        <v>3714</v>
      </c>
      <c r="DA274" s="125" t="s">
        <v>3715</v>
      </c>
      <c r="DB274" s="125" t="s">
        <v>547</v>
      </c>
      <c r="DC274" s="125" t="s">
        <v>1979</v>
      </c>
      <c r="DD274" s="125" t="s">
        <v>3716</v>
      </c>
      <c r="DE274" s="125" t="s">
        <v>3717</v>
      </c>
      <c r="DF274" s="126" t="s">
        <v>3718</v>
      </c>
      <c r="DG274" s="27" cm="1">
        <f t="array" ref="DG274">INDEX('elenco partner'!A:M,MATCH(1,(D274='elenco partner'!A:A)*('Partner data'!M274='elenco partner'!E:E),0),4)</f>
        <v>720</v>
      </c>
      <c r="DH274" s="83" t="str">
        <f t="shared" si="117"/>
        <v>COSTO REALE</v>
      </c>
      <c r="DI274" s="20">
        <f>COUNTIFS('MY-REPORT-MAIN'!C:C,'Partner data'!DG274,'MY-REPORT-MAIN'!I:I,"Certified")</f>
        <v>0</v>
      </c>
      <c r="DJ274" s="20">
        <f>COUNTIFS(List_Of_chek_list!M:M,"&lt;&gt;26",List_Of_chek_list!B:B,'Partner data'!DG274)</f>
        <v>0</v>
      </c>
      <c r="DK274" s="20">
        <f t="shared" si="118"/>
        <v>0</v>
      </c>
      <c r="DL274" s="19" t="str">
        <f>IF(DH274="Tasso Forfettario 20%",SUMIFS(List_Of_chek_list!#REF!,List_Of_chek_list!B:B,'Partner data'!DG274),"NON PERTINENTE")</f>
        <v>NON PERTINENTE</v>
      </c>
      <c r="DM274" s="19" t="str">
        <f t="shared" si="119"/>
        <v>NON PERTINENTE</v>
      </c>
      <c r="DN274" s="110">
        <f>_xlfn.MAXIFS('MY-REPORT-MAIN'!K:K,'MY-REPORT-MAIN'!C:C,DG274)</f>
        <v>0</v>
      </c>
      <c r="DO274" s="112" t="str">
        <f>IF(_xlfn.MAXIFS('MY-REPORT-MAIN'!M:M,'MY-REPORT-MAIN'!C:C,DG274)=0,"Nessun rendiconto  Convalidato",_xlfn.MAXIFS('MY-REPORT-MAIN'!M:M,'MY-REPORT-MAIN'!C:C,DG274))</f>
        <v>Nessun rendiconto  Convalidato</v>
      </c>
      <c r="DP274" s="113" t="str" cm="1">
        <f t="array" ref="DP274">IFERROR(INDEX('MY-REPORT-MAIN'!A:Z,MATCH(1,(DO274='MY-REPORT-MAIN'!M:M)*('Partner data'!DG274='MY-REPORT-MAIN'!C:C),0),1),"NON è stato convalidato ancora nessun rendiconto")</f>
        <v>NON è stato convalidato ancora nessun rendiconto</v>
      </c>
      <c r="DQ274" s="111" t="str">
        <f>IFERROR(INDEX('MY-REPORT-MAIN'!A:Z,MATCH('Partner data'!DP274,'MY-REPORT-MAIN'!A:A,0),21),"Nessun Rendiconto ancora convalidato")</f>
        <v>Nessun Rendiconto ancora convalidato</v>
      </c>
      <c r="DR274" s="110" t="e">
        <f>INDEX('Interreg VI-A Italy-Slovenia_pr'!A:E,MATCH('Partner data'!C274,'Interreg VI-A Italy-Slovenia_pr'!A:A,0),3)</f>
        <v>#N/A</v>
      </c>
      <c r="DS274" s="118">
        <f t="shared" si="104"/>
        <v>20906.689999999999</v>
      </c>
      <c r="DT274" s="118">
        <f t="shared" si="105"/>
        <v>42271.32</v>
      </c>
      <c r="DU274" s="118">
        <f t="shared" si="106"/>
        <v>63635.95</v>
      </c>
      <c r="DV274" s="118">
        <f t="shared" si="107"/>
        <v>85000.63</v>
      </c>
      <c r="DW274" s="118">
        <f t="shared" si="108"/>
        <v>85000.63</v>
      </c>
      <c r="DX274" s="118">
        <f t="shared" si="109"/>
        <v>85000.63</v>
      </c>
      <c r="DY274" s="118">
        <f t="shared" si="110"/>
        <v>85000.63</v>
      </c>
      <c r="DZ274" s="118">
        <f t="shared" si="111"/>
        <v>85000.63</v>
      </c>
      <c r="EA274" s="118">
        <f t="shared" si="112"/>
        <v>85000.63</v>
      </c>
      <c r="EB274" s="118">
        <f t="shared" si="113"/>
        <v>85000.63</v>
      </c>
    </row>
    <row r="275" spans="1:132" ht="45" x14ac:dyDescent="0.25">
      <c r="A275" s="121">
        <v>6</v>
      </c>
      <c r="B275" s="122" t="s">
        <v>2688</v>
      </c>
      <c r="C275" s="123" t="s">
        <v>3700</v>
      </c>
      <c r="D275" s="123" t="s">
        <v>3701</v>
      </c>
      <c r="E275" s="123" t="s">
        <v>3702</v>
      </c>
      <c r="F275" s="123" t="s">
        <v>490</v>
      </c>
      <c r="G275" s="123" t="s">
        <v>6118</v>
      </c>
      <c r="H275" s="123" t="s">
        <v>492</v>
      </c>
      <c r="I275" s="123" t="s">
        <v>493</v>
      </c>
      <c r="J275" s="124" t="s">
        <v>538</v>
      </c>
      <c r="K275" s="124" t="s">
        <v>495</v>
      </c>
      <c r="L275" s="124" t="s">
        <v>519</v>
      </c>
      <c r="M275" s="124" t="s">
        <v>3719</v>
      </c>
      <c r="N275" s="124" t="s">
        <v>3720</v>
      </c>
      <c r="O275" s="124" t="s">
        <v>3721</v>
      </c>
      <c r="P275" s="124" t="s">
        <v>257</v>
      </c>
      <c r="Q275" s="124" t="s">
        <v>556</v>
      </c>
      <c r="R275" s="124" t="s">
        <v>270</v>
      </c>
      <c r="S275" s="32">
        <v>67872</v>
      </c>
      <c r="T275" s="32">
        <v>80</v>
      </c>
      <c r="U275" s="32">
        <v>14.26</v>
      </c>
      <c r="V275" s="32">
        <v>0</v>
      </c>
      <c r="W275" s="32">
        <v>0</v>
      </c>
      <c r="X275" s="32">
        <v>0</v>
      </c>
      <c r="Y275" s="32">
        <v>0</v>
      </c>
      <c r="Z275" s="32">
        <v>0</v>
      </c>
      <c r="AA275" s="32">
        <v>0</v>
      </c>
      <c r="AB275" s="32">
        <v>0</v>
      </c>
      <c r="AC275" s="32">
        <v>0</v>
      </c>
      <c r="AD275" s="32">
        <v>0</v>
      </c>
      <c r="AE275" s="32">
        <v>0</v>
      </c>
      <c r="AF275" s="32">
        <v>0</v>
      </c>
      <c r="AG275" s="32">
        <v>0</v>
      </c>
      <c r="AH275" s="32">
        <v>0</v>
      </c>
      <c r="AI275" s="32">
        <v>0</v>
      </c>
      <c r="AJ275" s="32">
        <v>0</v>
      </c>
      <c r="AK275" s="32">
        <v>0</v>
      </c>
      <c r="AL275" s="32">
        <v>0</v>
      </c>
      <c r="AM275" s="32">
        <v>0</v>
      </c>
      <c r="AN275" s="32">
        <v>16968</v>
      </c>
      <c r="AO275" s="32">
        <v>0</v>
      </c>
      <c r="AP275" s="32">
        <v>0</v>
      </c>
      <c r="AQ275" s="32">
        <v>16968</v>
      </c>
      <c r="AR275" s="32">
        <v>84840</v>
      </c>
      <c r="AS275" s="32">
        <v>14.26</v>
      </c>
      <c r="AT275" s="32">
        <v>60600</v>
      </c>
      <c r="AU275" s="32">
        <v>0</v>
      </c>
      <c r="AV275" s="32">
        <v>60600</v>
      </c>
      <c r="AW275" s="32">
        <v>0</v>
      </c>
      <c r="AX275" s="32">
        <v>0</v>
      </c>
      <c r="AY275" s="32">
        <v>0</v>
      </c>
      <c r="AZ275" s="32">
        <v>0</v>
      </c>
      <c r="BA275" s="32">
        <v>0</v>
      </c>
      <c r="BB275" s="32">
        <v>0</v>
      </c>
      <c r="BC275" s="32">
        <v>0</v>
      </c>
      <c r="BD275" s="32">
        <v>0</v>
      </c>
      <c r="BE275" s="32">
        <v>0</v>
      </c>
      <c r="BF275" s="32">
        <v>0</v>
      </c>
      <c r="BG275" s="32">
        <v>0</v>
      </c>
      <c r="BH275" s="32">
        <v>0</v>
      </c>
      <c r="BI275" s="32">
        <v>0</v>
      </c>
      <c r="BJ275" s="32">
        <v>0</v>
      </c>
      <c r="BK275" s="32">
        <v>0</v>
      </c>
      <c r="BL275" s="32">
        <v>0</v>
      </c>
      <c r="BM275" s="32">
        <v>24240</v>
      </c>
      <c r="BN275" s="32">
        <v>0</v>
      </c>
      <c r="BO275" s="32">
        <v>0</v>
      </c>
      <c r="BP275" s="32">
        <v>0</v>
      </c>
      <c r="BQ275" s="32">
        <v>21280</v>
      </c>
      <c r="BR275" s="32">
        <v>17360</v>
      </c>
      <c r="BS275" s="32">
        <v>21280</v>
      </c>
      <c r="BT275" s="32">
        <v>24920</v>
      </c>
      <c r="BU275" s="32">
        <v>0</v>
      </c>
      <c r="BV275" s="32">
        <v>0</v>
      </c>
      <c r="BW275" s="32">
        <v>0</v>
      </c>
      <c r="BX275" s="32">
        <v>0</v>
      </c>
      <c r="BY275" s="32">
        <v>0</v>
      </c>
      <c r="BZ275" s="32">
        <v>0</v>
      </c>
      <c r="CA275" s="32">
        <v>0</v>
      </c>
      <c r="CB275" s="125" t="s">
        <v>665</v>
      </c>
      <c r="CC275" s="125" t="s">
        <v>522</v>
      </c>
      <c r="CD275" s="125"/>
      <c r="CE275" s="125" t="s">
        <v>523</v>
      </c>
      <c r="CF275" s="125" t="s">
        <v>2286</v>
      </c>
      <c r="CG275" s="125" t="s">
        <v>3722</v>
      </c>
      <c r="CH275" s="125" t="s">
        <v>526</v>
      </c>
      <c r="CI275" s="125" t="s">
        <v>665</v>
      </c>
      <c r="CJ275" s="125" t="s">
        <v>665</v>
      </c>
      <c r="CK275" s="125"/>
      <c r="CL275" s="125" t="s">
        <v>212</v>
      </c>
      <c r="CM275" s="125"/>
      <c r="CN275" s="125" t="s">
        <v>257</v>
      </c>
      <c r="CO275" s="125" t="s">
        <v>270</v>
      </c>
      <c r="CP275" s="125" t="s">
        <v>3723</v>
      </c>
      <c r="CQ275" s="125" t="s">
        <v>710</v>
      </c>
      <c r="CR275" s="125" t="s">
        <v>3724</v>
      </c>
      <c r="CS275" s="125" t="s">
        <v>3725</v>
      </c>
      <c r="CT275" s="125" t="s">
        <v>257</v>
      </c>
      <c r="CU275" s="125" t="s">
        <v>270</v>
      </c>
      <c r="CV275" s="125" t="s">
        <v>725</v>
      </c>
      <c r="CW275" s="125" t="s">
        <v>665</v>
      </c>
      <c r="CX275" s="125" t="s">
        <v>665</v>
      </c>
      <c r="CY275" s="125" t="s">
        <v>1179</v>
      </c>
      <c r="CZ275" s="125" t="s">
        <v>746</v>
      </c>
      <c r="DA275" s="125" t="s">
        <v>3726</v>
      </c>
      <c r="DB275" s="125" t="s">
        <v>531</v>
      </c>
      <c r="DC275" s="125" t="s">
        <v>1740</v>
      </c>
      <c r="DD275" s="125" t="s">
        <v>3727</v>
      </c>
      <c r="DE275" s="125" t="s">
        <v>3728</v>
      </c>
      <c r="DF275" s="126" t="s">
        <v>3729</v>
      </c>
      <c r="DG275" s="27" cm="1">
        <f t="array" ref="DG275">INDEX('elenco partner'!A:M,MATCH(1,(D275='elenco partner'!A:A)*('Partner data'!M275='elenco partner'!E:E),0),4)</f>
        <v>721</v>
      </c>
      <c r="DH275" s="83" t="str">
        <f t="shared" si="117"/>
        <v>COSTO REALE</v>
      </c>
      <c r="DI275" s="20">
        <f>COUNTIFS('MY-REPORT-MAIN'!C:C,'Partner data'!DG275,'MY-REPORT-MAIN'!I:I,"Certified")</f>
        <v>0</v>
      </c>
      <c r="DJ275" s="20">
        <f>COUNTIFS(List_Of_chek_list!M:M,"&lt;&gt;26",List_Of_chek_list!B:B,'Partner data'!DG275)</f>
        <v>0</v>
      </c>
      <c r="DK275" s="20">
        <f t="shared" si="118"/>
        <v>0</v>
      </c>
      <c r="DL275" s="19" t="str">
        <f>IF(DH275="Tasso Forfettario 20%",SUMIFS(List_Of_chek_list!#REF!,List_Of_chek_list!B:B,'Partner data'!DG275),"NON PERTINENTE")</f>
        <v>NON PERTINENTE</v>
      </c>
      <c r="DM275" s="19" t="str">
        <f t="shared" si="119"/>
        <v>NON PERTINENTE</v>
      </c>
      <c r="DN275" s="110">
        <f>_xlfn.MAXIFS('MY-REPORT-MAIN'!K:K,'MY-REPORT-MAIN'!C:C,DG275)</f>
        <v>0</v>
      </c>
      <c r="DO275" s="112" t="str">
        <f>IF(_xlfn.MAXIFS('MY-REPORT-MAIN'!M:M,'MY-REPORT-MAIN'!C:C,DG275)=0,"Nessun rendiconto  Convalidato",_xlfn.MAXIFS('MY-REPORT-MAIN'!M:M,'MY-REPORT-MAIN'!C:C,DG275))</f>
        <v>Nessun rendiconto  Convalidato</v>
      </c>
      <c r="DP275" s="113" t="str" cm="1">
        <f t="array" ref="DP275">IFERROR(INDEX('MY-REPORT-MAIN'!A:Z,MATCH(1,(DO275='MY-REPORT-MAIN'!M:M)*('Partner data'!DG275='MY-REPORT-MAIN'!C:C),0),1),"NON è stato convalidato ancora nessun rendiconto")</f>
        <v>NON è stato convalidato ancora nessun rendiconto</v>
      </c>
      <c r="DQ275" s="111" t="str">
        <f>IFERROR(INDEX('MY-REPORT-MAIN'!A:Z,MATCH('Partner data'!DP275,'MY-REPORT-MAIN'!A:A,0),21),"Nessun Rendiconto ancora convalidato")</f>
        <v>Nessun Rendiconto ancora convalidato</v>
      </c>
      <c r="DR275" s="110" t="e">
        <f>INDEX('Interreg VI-A Italy-Slovenia_pr'!A:E,MATCH('Partner data'!C275,'Interreg VI-A Italy-Slovenia_pr'!A:A,0),3)</f>
        <v>#N/A</v>
      </c>
      <c r="DS275" s="118">
        <f t="shared" si="104"/>
        <v>21280</v>
      </c>
      <c r="DT275" s="118">
        <f t="shared" si="105"/>
        <v>38640</v>
      </c>
      <c r="DU275" s="118">
        <f t="shared" si="106"/>
        <v>59920</v>
      </c>
      <c r="DV275" s="118">
        <f t="shared" si="107"/>
        <v>84840</v>
      </c>
      <c r="DW275" s="118">
        <f t="shared" si="108"/>
        <v>84840</v>
      </c>
      <c r="DX275" s="118">
        <f t="shared" si="109"/>
        <v>84840</v>
      </c>
      <c r="DY275" s="118">
        <f t="shared" si="110"/>
        <v>84840</v>
      </c>
      <c r="DZ275" s="118">
        <f t="shared" si="111"/>
        <v>84840</v>
      </c>
      <c r="EA275" s="118">
        <f t="shared" si="112"/>
        <v>84840</v>
      </c>
      <c r="EB275" s="118">
        <f t="shared" si="113"/>
        <v>84840</v>
      </c>
    </row>
    <row r="276" spans="1:132" ht="45" x14ac:dyDescent="0.25">
      <c r="A276" s="121">
        <v>6</v>
      </c>
      <c r="B276" s="122" t="s">
        <v>2688</v>
      </c>
      <c r="C276" s="123" t="s">
        <v>3700</v>
      </c>
      <c r="D276" s="123" t="s">
        <v>3701</v>
      </c>
      <c r="E276" s="123" t="s">
        <v>3702</v>
      </c>
      <c r="F276" s="123" t="s">
        <v>490</v>
      </c>
      <c r="G276" s="123" t="s">
        <v>6118</v>
      </c>
      <c r="H276" s="123" t="s">
        <v>492</v>
      </c>
      <c r="I276" s="123" t="s">
        <v>493</v>
      </c>
      <c r="J276" s="124" t="s">
        <v>554</v>
      </c>
      <c r="K276" s="124" t="s">
        <v>495</v>
      </c>
      <c r="L276" s="124" t="s">
        <v>519</v>
      </c>
      <c r="M276" s="124" t="s">
        <v>3730</v>
      </c>
      <c r="N276" s="124" t="s">
        <v>3731</v>
      </c>
      <c r="O276" s="124" t="s">
        <v>3732</v>
      </c>
      <c r="P276" s="124" t="s">
        <v>254</v>
      </c>
      <c r="Q276" s="124" t="s">
        <v>499</v>
      </c>
      <c r="R276" s="124" t="s">
        <v>255</v>
      </c>
      <c r="S276" s="32">
        <v>68004.42</v>
      </c>
      <c r="T276" s="32">
        <v>80</v>
      </c>
      <c r="U276" s="32">
        <v>14.29</v>
      </c>
      <c r="V276" s="32">
        <v>0</v>
      </c>
      <c r="W276" s="32">
        <v>0</v>
      </c>
      <c r="X276" s="32">
        <v>0</v>
      </c>
      <c r="Y276" s="32">
        <v>0</v>
      </c>
      <c r="Z276" s="32">
        <v>0</v>
      </c>
      <c r="AA276" s="32">
        <v>0</v>
      </c>
      <c r="AB276" s="32">
        <v>0</v>
      </c>
      <c r="AC276" s="32">
        <v>0</v>
      </c>
      <c r="AD276" s="32">
        <v>0</v>
      </c>
      <c r="AE276" s="32">
        <v>0</v>
      </c>
      <c r="AF276" s="32">
        <v>0</v>
      </c>
      <c r="AG276" s="32">
        <v>0</v>
      </c>
      <c r="AH276" s="32">
        <v>0</v>
      </c>
      <c r="AI276" s="32">
        <v>0</v>
      </c>
      <c r="AJ276" s="32">
        <v>0</v>
      </c>
      <c r="AK276" s="32">
        <v>0</v>
      </c>
      <c r="AL276" s="32">
        <v>0</v>
      </c>
      <c r="AM276" s="32">
        <v>0</v>
      </c>
      <c r="AN276" s="32">
        <v>0</v>
      </c>
      <c r="AO276" s="32">
        <v>17001.11</v>
      </c>
      <c r="AP276" s="32">
        <v>0</v>
      </c>
      <c r="AQ276" s="32">
        <v>17001.11</v>
      </c>
      <c r="AR276" s="32">
        <v>85005.53</v>
      </c>
      <c r="AS276" s="32">
        <v>14.29</v>
      </c>
      <c r="AT276" s="32">
        <v>60718.239999999998</v>
      </c>
      <c r="AU276" s="32">
        <v>0</v>
      </c>
      <c r="AV276" s="32">
        <v>60718.239999999998</v>
      </c>
      <c r="AW276" s="32">
        <v>0</v>
      </c>
      <c r="AX276" s="32">
        <v>0</v>
      </c>
      <c r="AY276" s="32">
        <v>0</v>
      </c>
      <c r="AZ276" s="32">
        <v>0</v>
      </c>
      <c r="BA276" s="32">
        <v>0</v>
      </c>
      <c r="BB276" s="32">
        <v>0</v>
      </c>
      <c r="BC276" s="32">
        <v>0</v>
      </c>
      <c r="BD276" s="32">
        <v>0</v>
      </c>
      <c r="BE276" s="32">
        <v>0</v>
      </c>
      <c r="BF276" s="32">
        <v>0</v>
      </c>
      <c r="BG276" s="32">
        <v>0</v>
      </c>
      <c r="BH276" s="32">
        <v>0</v>
      </c>
      <c r="BI276" s="32">
        <v>0</v>
      </c>
      <c r="BJ276" s="32">
        <v>0</v>
      </c>
      <c r="BK276" s="32">
        <v>0</v>
      </c>
      <c r="BL276" s="32">
        <v>0</v>
      </c>
      <c r="BM276" s="32">
        <v>24287.29</v>
      </c>
      <c r="BN276" s="32">
        <v>0</v>
      </c>
      <c r="BO276" s="32">
        <v>0</v>
      </c>
      <c r="BP276" s="32">
        <v>0</v>
      </c>
      <c r="BQ276" s="32">
        <v>21389.39</v>
      </c>
      <c r="BR276" s="32">
        <v>21389.39</v>
      </c>
      <c r="BS276" s="32">
        <v>21389.39</v>
      </c>
      <c r="BT276" s="32">
        <v>20837.36</v>
      </c>
      <c r="BU276" s="32">
        <v>0</v>
      </c>
      <c r="BV276" s="32">
        <v>0</v>
      </c>
      <c r="BW276" s="32">
        <v>0</v>
      </c>
      <c r="BX276" s="32">
        <v>0</v>
      </c>
      <c r="BY276" s="32">
        <v>0</v>
      </c>
      <c r="BZ276" s="32">
        <v>0</v>
      </c>
      <c r="CA276" s="32">
        <v>0</v>
      </c>
      <c r="CB276" s="125" t="s">
        <v>665</v>
      </c>
      <c r="CC276" s="125" t="s">
        <v>522</v>
      </c>
      <c r="CD276" s="125"/>
      <c r="CE276" s="125" t="s">
        <v>523</v>
      </c>
      <c r="CF276" s="125" t="s">
        <v>967</v>
      </c>
      <c r="CG276" s="125" t="s">
        <v>665</v>
      </c>
      <c r="CH276" s="125" t="s">
        <v>526</v>
      </c>
      <c r="CI276" s="125" t="s">
        <v>3733</v>
      </c>
      <c r="CJ276" s="125" t="s">
        <v>1047</v>
      </c>
      <c r="CK276" s="125" t="s">
        <v>3734</v>
      </c>
      <c r="CL276" s="125" t="s">
        <v>212</v>
      </c>
      <c r="CM276" s="125"/>
      <c r="CN276" s="125" t="s">
        <v>254</v>
      </c>
      <c r="CO276" s="125" t="s">
        <v>255</v>
      </c>
      <c r="CP276" s="125" t="s">
        <v>3735</v>
      </c>
      <c r="CQ276" s="125" t="s">
        <v>661</v>
      </c>
      <c r="CR276" s="125" t="s">
        <v>662</v>
      </c>
      <c r="CS276" s="125" t="s">
        <v>3736</v>
      </c>
      <c r="CT276" s="125" t="s">
        <v>254</v>
      </c>
      <c r="CU276" s="125" t="s">
        <v>273</v>
      </c>
      <c r="CV276" s="125" t="s">
        <v>725</v>
      </c>
      <c r="CW276" s="125" t="s">
        <v>665</v>
      </c>
      <c r="CX276" s="125" t="s">
        <v>665</v>
      </c>
      <c r="CY276" s="125" t="s">
        <v>3101</v>
      </c>
      <c r="CZ276" s="125" t="s">
        <v>6135</v>
      </c>
      <c r="DA276" s="125" t="s">
        <v>3738</v>
      </c>
      <c r="DB276" s="125" t="s">
        <v>3101</v>
      </c>
      <c r="DC276" s="125" t="s">
        <v>3737</v>
      </c>
      <c r="DD276" s="125" t="s">
        <v>3738</v>
      </c>
      <c r="DE276" s="125" t="s">
        <v>3739</v>
      </c>
      <c r="DF276" s="126" t="s">
        <v>3740</v>
      </c>
      <c r="DG276" s="27" cm="1">
        <f t="array" ref="DG276">INDEX('elenco partner'!A:M,MATCH(1,(D276='elenco partner'!A:A)*('Partner data'!M276='elenco partner'!E:E),0),4)</f>
        <v>725</v>
      </c>
      <c r="DH276" s="83" t="str">
        <f t="shared" si="117"/>
        <v>COSTO REALE</v>
      </c>
      <c r="DI276" s="20">
        <f>COUNTIFS('MY-REPORT-MAIN'!C:C,'Partner data'!DG276,'MY-REPORT-MAIN'!I:I,"Certified")</f>
        <v>0</v>
      </c>
      <c r="DJ276" s="20">
        <f>COUNTIFS(List_Of_chek_list!M:M,"&lt;&gt;26",List_Of_chek_list!B:B,'Partner data'!DG276)</f>
        <v>0</v>
      </c>
      <c r="DK276" s="20">
        <f t="shared" si="118"/>
        <v>0</v>
      </c>
      <c r="DL276" s="19" t="str">
        <f>IF(DH276="Tasso Forfettario 20%",SUMIFS(List_Of_chek_list!#REF!,List_Of_chek_list!B:B,'Partner data'!DG276),"NON PERTINENTE")</f>
        <v>NON PERTINENTE</v>
      </c>
      <c r="DM276" s="19" t="str">
        <f t="shared" si="119"/>
        <v>NON PERTINENTE</v>
      </c>
      <c r="DN276" s="110">
        <f>_xlfn.MAXIFS('MY-REPORT-MAIN'!K:K,'MY-REPORT-MAIN'!C:C,DG276)</f>
        <v>0</v>
      </c>
      <c r="DO276" s="112" t="str">
        <f>IF(_xlfn.MAXIFS('MY-REPORT-MAIN'!M:M,'MY-REPORT-MAIN'!C:C,DG276)=0,"Nessun rendiconto  Convalidato",_xlfn.MAXIFS('MY-REPORT-MAIN'!M:M,'MY-REPORT-MAIN'!C:C,DG276))</f>
        <v>Nessun rendiconto  Convalidato</v>
      </c>
      <c r="DP276" s="113" t="str" cm="1">
        <f t="array" ref="DP276">IFERROR(INDEX('MY-REPORT-MAIN'!A:Z,MATCH(1,(DO276='MY-REPORT-MAIN'!M:M)*('Partner data'!DG276='MY-REPORT-MAIN'!C:C),0),1),"NON è stato convalidato ancora nessun rendiconto")</f>
        <v>NON è stato convalidato ancora nessun rendiconto</v>
      </c>
      <c r="DQ276" s="111" t="str">
        <f>IFERROR(INDEX('MY-REPORT-MAIN'!A:Z,MATCH('Partner data'!DP276,'MY-REPORT-MAIN'!A:A,0),21),"Nessun Rendiconto ancora convalidato")</f>
        <v>Nessun Rendiconto ancora convalidato</v>
      </c>
      <c r="DR276" s="110" t="e">
        <f>INDEX('Interreg VI-A Italy-Slovenia_pr'!A:E,MATCH('Partner data'!C276,'Interreg VI-A Italy-Slovenia_pr'!A:A,0),3)</f>
        <v>#N/A</v>
      </c>
      <c r="DS276" s="118">
        <f t="shared" si="104"/>
        <v>21389.39</v>
      </c>
      <c r="DT276" s="118">
        <f t="shared" si="105"/>
        <v>42778.78</v>
      </c>
      <c r="DU276" s="118">
        <f t="shared" si="106"/>
        <v>64168.17</v>
      </c>
      <c r="DV276" s="118">
        <f t="shared" si="107"/>
        <v>85005.53</v>
      </c>
      <c r="DW276" s="118">
        <f t="shared" si="108"/>
        <v>85005.53</v>
      </c>
      <c r="DX276" s="118">
        <f t="shared" si="109"/>
        <v>85005.53</v>
      </c>
      <c r="DY276" s="118">
        <f t="shared" si="110"/>
        <v>85005.53</v>
      </c>
      <c r="DZ276" s="118">
        <f t="shared" si="111"/>
        <v>85005.53</v>
      </c>
      <c r="EA276" s="118">
        <f t="shared" si="112"/>
        <v>85005.53</v>
      </c>
      <c r="EB276" s="118">
        <f t="shared" si="113"/>
        <v>85005.53</v>
      </c>
    </row>
    <row r="277" spans="1:132" ht="45" x14ac:dyDescent="0.25">
      <c r="A277" s="121">
        <v>6</v>
      </c>
      <c r="B277" s="122" t="s">
        <v>2688</v>
      </c>
      <c r="C277" s="123" t="s">
        <v>3700</v>
      </c>
      <c r="D277" s="123" t="s">
        <v>3701</v>
      </c>
      <c r="E277" s="123" t="s">
        <v>3702</v>
      </c>
      <c r="F277" s="123" t="s">
        <v>490</v>
      </c>
      <c r="G277" s="123" t="s">
        <v>6118</v>
      </c>
      <c r="H277" s="123" t="s">
        <v>492</v>
      </c>
      <c r="I277" s="123" t="s">
        <v>493</v>
      </c>
      <c r="J277" s="124" t="s">
        <v>570</v>
      </c>
      <c r="K277" s="124" t="s">
        <v>495</v>
      </c>
      <c r="L277" s="124" t="s">
        <v>519</v>
      </c>
      <c r="M277" s="124" t="s">
        <v>3741</v>
      </c>
      <c r="N277" s="124" t="s">
        <v>3742</v>
      </c>
      <c r="O277" s="124" t="s">
        <v>3743</v>
      </c>
      <c r="P277" s="124" t="s">
        <v>257</v>
      </c>
      <c r="Q277" s="124" t="s">
        <v>556</v>
      </c>
      <c r="R277" s="124" t="s">
        <v>258</v>
      </c>
      <c r="S277" s="32">
        <v>68000</v>
      </c>
      <c r="T277" s="32">
        <v>80</v>
      </c>
      <c r="U277" s="32">
        <v>14.29</v>
      </c>
      <c r="V277" s="32">
        <v>0</v>
      </c>
      <c r="W277" s="32">
        <v>0</v>
      </c>
      <c r="X277" s="32">
        <v>0</v>
      </c>
      <c r="Y277" s="32">
        <v>0</v>
      </c>
      <c r="Z277" s="32">
        <v>0</v>
      </c>
      <c r="AA277" s="32">
        <v>0</v>
      </c>
      <c r="AB277" s="32">
        <v>0</v>
      </c>
      <c r="AC277" s="32">
        <v>0</v>
      </c>
      <c r="AD277" s="32">
        <v>0</v>
      </c>
      <c r="AE277" s="32">
        <v>0</v>
      </c>
      <c r="AF277" s="32">
        <v>0</v>
      </c>
      <c r="AG277" s="32">
        <v>0</v>
      </c>
      <c r="AH277" s="32">
        <v>0</v>
      </c>
      <c r="AI277" s="32">
        <v>0</v>
      </c>
      <c r="AJ277" s="32">
        <v>0</v>
      </c>
      <c r="AK277" s="32">
        <v>0</v>
      </c>
      <c r="AL277" s="32">
        <v>0</v>
      </c>
      <c r="AM277" s="32">
        <v>0</v>
      </c>
      <c r="AN277" s="32">
        <v>17000</v>
      </c>
      <c r="AO277" s="32">
        <v>0</v>
      </c>
      <c r="AP277" s="32">
        <v>0</v>
      </c>
      <c r="AQ277" s="32">
        <v>17000</v>
      </c>
      <c r="AR277" s="32">
        <v>85000</v>
      </c>
      <c r="AS277" s="32">
        <v>14.29</v>
      </c>
      <c r="AT277" s="32">
        <v>60714.29</v>
      </c>
      <c r="AU277" s="32">
        <v>0</v>
      </c>
      <c r="AV277" s="32">
        <v>60714.29</v>
      </c>
      <c r="AW277" s="32">
        <v>0</v>
      </c>
      <c r="AX277" s="32">
        <v>0</v>
      </c>
      <c r="AY277" s="32">
        <v>0</v>
      </c>
      <c r="AZ277" s="32">
        <v>0</v>
      </c>
      <c r="BA277" s="32">
        <v>0</v>
      </c>
      <c r="BB277" s="32">
        <v>0</v>
      </c>
      <c r="BC277" s="32">
        <v>0</v>
      </c>
      <c r="BD277" s="32">
        <v>0</v>
      </c>
      <c r="BE277" s="32">
        <v>0</v>
      </c>
      <c r="BF277" s="32">
        <v>0</v>
      </c>
      <c r="BG277" s="32">
        <v>0</v>
      </c>
      <c r="BH277" s="32">
        <v>0</v>
      </c>
      <c r="BI277" s="32">
        <v>0</v>
      </c>
      <c r="BJ277" s="32">
        <v>0</v>
      </c>
      <c r="BK277" s="32">
        <v>0</v>
      </c>
      <c r="BL277" s="32">
        <v>0</v>
      </c>
      <c r="BM277" s="32">
        <v>24285.71</v>
      </c>
      <c r="BN277" s="32">
        <v>0</v>
      </c>
      <c r="BO277" s="32">
        <v>0</v>
      </c>
      <c r="BP277" s="32">
        <v>0</v>
      </c>
      <c r="BQ277" s="32">
        <v>21249.99</v>
      </c>
      <c r="BR277" s="32">
        <v>21249.99</v>
      </c>
      <c r="BS277" s="32">
        <v>21249.99</v>
      </c>
      <c r="BT277" s="32">
        <v>21250.03</v>
      </c>
      <c r="BU277" s="32">
        <v>0</v>
      </c>
      <c r="BV277" s="32">
        <v>0</v>
      </c>
      <c r="BW277" s="32">
        <v>0</v>
      </c>
      <c r="BX277" s="32">
        <v>0</v>
      </c>
      <c r="BY277" s="32">
        <v>0</v>
      </c>
      <c r="BZ277" s="32">
        <v>0</v>
      </c>
      <c r="CA277" s="32">
        <v>0</v>
      </c>
      <c r="CB277" s="125" t="s">
        <v>3744</v>
      </c>
      <c r="CC277" s="125" t="s">
        <v>624</v>
      </c>
      <c r="CD277" s="125"/>
      <c r="CE277" s="125" t="s">
        <v>523</v>
      </c>
      <c r="CF277" s="125" t="s">
        <v>1286</v>
      </c>
      <c r="CG277" s="125" t="s">
        <v>646</v>
      </c>
      <c r="CH277" s="125" t="s">
        <v>526</v>
      </c>
      <c r="CI277" s="125" t="s">
        <v>665</v>
      </c>
      <c r="CJ277" s="125" t="s">
        <v>665</v>
      </c>
      <c r="CK277" s="125"/>
      <c r="CL277" s="125" t="s">
        <v>212</v>
      </c>
      <c r="CM277" s="125"/>
      <c r="CN277" s="125" t="s">
        <v>257</v>
      </c>
      <c r="CO277" s="125" t="s">
        <v>258</v>
      </c>
      <c r="CP277" s="125" t="s">
        <v>754</v>
      </c>
      <c r="CQ277" s="125" t="s">
        <v>620</v>
      </c>
      <c r="CR277" s="125" t="s">
        <v>621</v>
      </c>
      <c r="CS277" s="125" t="s">
        <v>3745</v>
      </c>
      <c r="CT277" s="125" t="s">
        <v>257</v>
      </c>
      <c r="CU277" s="125" t="s">
        <v>258</v>
      </c>
      <c r="CV277" s="125" t="s">
        <v>3746</v>
      </c>
      <c r="CW277" s="125" t="s">
        <v>955</v>
      </c>
      <c r="CX277" s="125" t="s">
        <v>621</v>
      </c>
      <c r="CY277" s="125" t="s">
        <v>3747</v>
      </c>
      <c r="CZ277" s="125" t="s">
        <v>651</v>
      </c>
      <c r="DA277" s="125" t="s">
        <v>652</v>
      </c>
      <c r="DB277" s="125" t="s">
        <v>3747</v>
      </c>
      <c r="DC277" s="125" t="s">
        <v>756</v>
      </c>
      <c r="DD277" s="125" t="s">
        <v>3748</v>
      </c>
      <c r="DE277" s="125" t="s">
        <v>3749</v>
      </c>
      <c r="DF277" s="126" t="s">
        <v>3750</v>
      </c>
      <c r="DG277" s="27" cm="1">
        <f t="array" ref="DG277">INDEX('elenco partner'!A:M,MATCH(1,(D277='elenco partner'!A:A)*('Partner data'!M277='elenco partner'!E:E),0),4)</f>
        <v>728</v>
      </c>
      <c r="DH277" s="83" t="str">
        <f t="shared" si="117"/>
        <v>COSTO REALE</v>
      </c>
      <c r="DI277" s="20">
        <f>COUNTIFS('MY-REPORT-MAIN'!C:C,'Partner data'!DG277,'MY-REPORT-MAIN'!I:I,"Certified")</f>
        <v>0</v>
      </c>
      <c r="DJ277" s="20">
        <f>COUNTIFS(List_Of_chek_list!M:M,"&lt;&gt;26",List_Of_chek_list!B:B,'Partner data'!DG277)</f>
        <v>0</v>
      </c>
      <c r="DK277" s="20">
        <f t="shared" si="118"/>
        <v>0</v>
      </c>
      <c r="DL277" s="19" t="str">
        <f>IF(DH277="Tasso Forfettario 20%",SUMIFS(List_Of_chek_list!#REF!,List_Of_chek_list!B:B,'Partner data'!DG277),"NON PERTINENTE")</f>
        <v>NON PERTINENTE</v>
      </c>
      <c r="DM277" s="19" t="str">
        <f t="shared" si="119"/>
        <v>NON PERTINENTE</v>
      </c>
      <c r="DN277" s="110">
        <f>_xlfn.MAXIFS('MY-REPORT-MAIN'!K:K,'MY-REPORT-MAIN'!C:C,DG277)</f>
        <v>0</v>
      </c>
      <c r="DO277" s="112" t="str">
        <f>IF(_xlfn.MAXIFS('MY-REPORT-MAIN'!M:M,'MY-REPORT-MAIN'!C:C,DG277)=0,"Nessun rendiconto  Convalidato",_xlfn.MAXIFS('MY-REPORT-MAIN'!M:M,'MY-REPORT-MAIN'!C:C,DG277))</f>
        <v>Nessun rendiconto  Convalidato</v>
      </c>
      <c r="DP277" s="113" t="str" cm="1">
        <f t="array" ref="DP277">IFERROR(INDEX('MY-REPORT-MAIN'!A:Z,MATCH(1,(DO277='MY-REPORT-MAIN'!M:M)*('Partner data'!DG277='MY-REPORT-MAIN'!C:C),0),1),"NON è stato convalidato ancora nessun rendiconto")</f>
        <v>NON è stato convalidato ancora nessun rendiconto</v>
      </c>
      <c r="DQ277" s="111" t="str">
        <f>IFERROR(INDEX('MY-REPORT-MAIN'!A:Z,MATCH('Partner data'!DP277,'MY-REPORT-MAIN'!A:A,0),21),"Nessun Rendiconto ancora convalidato")</f>
        <v>Nessun Rendiconto ancora convalidato</v>
      </c>
      <c r="DR277" s="110" t="e">
        <f>INDEX('Interreg VI-A Italy-Slovenia_pr'!A:E,MATCH('Partner data'!C277,'Interreg VI-A Italy-Slovenia_pr'!A:A,0),3)</f>
        <v>#N/A</v>
      </c>
      <c r="DS277" s="118">
        <f t="shared" si="104"/>
        <v>21249.99</v>
      </c>
      <c r="DT277" s="118">
        <f t="shared" si="105"/>
        <v>42499.98</v>
      </c>
      <c r="DU277" s="118">
        <f t="shared" si="106"/>
        <v>63749.97</v>
      </c>
      <c r="DV277" s="118">
        <f t="shared" si="107"/>
        <v>85000</v>
      </c>
      <c r="DW277" s="118">
        <f t="shared" si="108"/>
        <v>85000</v>
      </c>
      <c r="DX277" s="118">
        <f t="shared" si="109"/>
        <v>85000</v>
      </c>
      <c r="DY277" s="118">
        <f t="shared" si="110"/>
        <v>85000</v>
      </c>
      <c r="DZ277" s="118">
        <f t="shared" si="111"/>
        <v>85000</v>
      </c>
      <c r="EA277" s="118">
        <f t="shared" si="112"/>
        <v>85000</v>
      </c>
      <c r="EB277" s="118">
        <f t="shared" si="113"/>
        <v>85000</v>
      </c>
    </row>
    <row r="278" spans="1:132" ht="45" x14ac:dyDescent="0.25">
      <c r="A278" s="121">
        <v>6</v>
      </c>
      <c r="B278" s="122" t="s">
        <v>2688</v>
      </c>
      <c r="C278" s="123" t="s">
        <v>3700</v>
      </c>
      <c r="D278" s="123" t="s">
        <v>3701</v>
      </c>
      <c r="E278" s="123" t="s">
        <v>3702</v>
      </c>
      <c r="F278" s="123" t="s">
        <v>490</v>
      </c>
      <c r="G278" s="123" t="s">
        <v>6118</v>
      </c>
      <c r="H278" s="123" t="s">
        <v>492</v>
      </c>
      <c r="I278" s="123" t="s">
        <v>493</v>
      </c>
      <c r="J278" s="124" t="s">
        <v>581</v>
      </c>
      <c r="K278" s="124" t="s">
        <v>495</v>
      </c>
      <c r="L278" s="124" t="s">
        <v>519</v>
      </c>
      <c r="M278" s="124" t="s">
        <v>46</v>
      </c>
      <c r="N278" s="124" t="s">
        <v>3751</v>
      </c>
      <c r="O278" s="124" t="s">
        <v>1452</v>
      </c>
      <c r="P278" s="124" t="s">
        <v>257</v>
      </c>
      <c r="Q278" s="124" t="s">
        <v>556</v>
      </c>
      <c r="R278" s="124" t="s">
        <v>270</v>
      </c>
      <c r="S278" s="32">
        <v>68033.279999999999</v>
      </c>
      <c r="T278" s="32">
        <v>80</v>
      </c>
      <c r="U278" s="32">
        <v>14.3</v>
      </c>
      <c r="V278" s="32">
        <v>0</v>
      </c>
      <c r="W278" s="32">
        <v>0</v>
      </c>
      <c r="X278" s="32">
        <v>0</v>
      </c>
      <c r="Y278" s="32">
        <v>0</v>
      </c>
      <c r="Z278" s="32">
        <v>0</v>
      </c>
      <c r="AA278" s="32">
        <v>0</v>
      </c>
      <c r="AB278" s="32">
        <v>0</v>
      </c>
      <c r="AC278" s="32">
        <v>0</v>
      </c>
      <c r="AD278" s="32">
        <v>0</v>
      </c>
      <c r="AE278" s="32">
        <v>0</v>
      </c>
      <c r="AF278" s="32">
        <v>0</v>
      </c>
      <c r="AG278" s="32">
        <v>0</v>
      </c>
      <c r="AH278" s="32">
        <v>0</v>
      </c>
      <c r="AI278" s="32">
        <v>0</v>
      </c>
      <c r="AJ278" s="32">
        <v>0</v>
      </c>
      <c r="AK278" s="32">
        <v>0</v>
      </c>
      <c r="AL278" s="32">
        <v>0</v>
      </c>
      <c r="AM278" s="32">
        <v>0</v>
      </c>
      <c r="AN278" s="32">
        <v>17008.32</v>
      </c>
      <c r="AO278" s="32">
        <v>0</v>
      </c>
      <c r="AP278" s="32">
        <v>0</v>
      </c>
      <c r="AQ278" s="32">
        <v>17008.32</v>
      </c>
      <c r="AR278" s="32">
        <v>85041.600000000006</v>
      </c>
      <c r="AS278" s="32">
        <v>14.3</v>
      </c>
      <c r="AT278" s="32">
        <v>60744</v>
      </c>
      <c r="AU278" s="32">
        <v>0</v>
      </c>
      <c r="AV278" s="32">
        <v>60744</v>
      </c>
      <c r="AW278" s="32">
        <v>0</v>
      </c>
      <c r="AX278" s="32">
        <v>0</v>
      </c>
      <c r="AY278" s="32">
        <v>0</v>
      </c>
      <c r="AZ278" s="32">
        <v>0</v>
      </c>
      <c r="BA278" s="32">
        <v>0</v>
      </c>
      <c r="BB278" s="32">
        <v>0</v>
      </c>
      <c r="BC278" s="32">
        <v>0</v>
      </c>
      <c r="BD278" s="32">
        <v>0</v>
      </c>
      <c r="BE278" s="32">
        <v>0</v>
      </c>
      <c r="BF278" s="32">
        <v>0</v>
      </c>
      <c r="BG278" s="32">
        <v>0</v>
      </c>
      <c r="BH278" s="32">
        <v>0</v>
      </c>
      <c r="BI278" s="32">
        <v>0</v>
      </c>
      <c r="BJ278" s="32">
        <v>0</v>
      </c>
      <c r="BK278" s="32">
        <v>0</v>
      </c>
      <c r="BL278" s="32">
        <v>0</v>
      </c>
      <c r="BM278" s="32">
        <v>24297.599999999999</v>
      </c>
      <c r="BN278" s="32">
        <v>0</v>
      </c>
      <c r="BO278" s="32">
        <v>0</v>
      </c>
      <c r="BP278" s="32">
        <v>0</v>
      </c>
      <c r="BQ278" s="32">
        <v>21260.400000000001</v>
      </c>
      <c r="BR278" s="32">
        <v>21260.400000000001</v>
      </c>
      <c r="BS278" s="32">
        <v>21260.400000000001</v>
      </c>
      <c r="BT278" s="32">
        <v>21260.400000000001</v>
      </c>
      <c r="BU278" s="32">
        <v>0</v>
      </c>
      <c r="BV278" s="32">
        <v>0</v>
      </c>
      <c r="BW278" s="32">
        <v>0</v>
      </c>
      <c r="BX278" s="32">
        <v>0</v>
      </c>
      <c r="BY278" s="32">
        <v>0</v>
      </c>
      <c r="BZ278" s="32">
        <v>0</v>
      </c>
      <c r="CA278" s="32">
        <v>0</v>
      </c>
      <c r="CB278" s="125" t="s">
        <v>3752</v>
      </c>
      <c r="CC278" s="125" t="s">
        <v>624</v>
      </c>
      <c r="CD278" s="125"/>
      <c r="CE278" s="125" t="s">
        <v>523</v>
      </c>
      <c r="CF278" s="125" t="s">
        <v>734</v>
      </c>
      <c r="CG278" s="125" t="s">
        <v>1381</v>
      </c>
      <c r="CH278" s="125" t="s">
        <v>619</v>
      </c>
      <c r="CI278" s="125" t="s">
        <v>665</v>
      </c>
      <c r="CJ278" s="125" t="s">
        <v>665</v>
      </c>
      <c r="CK278" s="125" t="s">
        <v>1383</v>
      </c>
      <c r="CL278" s="125" t="s">
        <v>212</v>
      </c>
      <c r="CM278" s="125"/>
      <c r="CN278" s="125" t="s">
        <v>257</v>
      </c>
      <c r="CO278" s="125" t="s">
        <v>270</v>
      </c>
      <c r="CP278" s="125" t="s">
        <v>2694</v>
      </c>
      <c r="CQ278" s="125" t="s">
        <v>710</v>
      </c>
      <c r="CR278" s="125" t="s">
        <v>3724</v>
      </c>
      <c r="CS278" s="125" t="s">
        <v>3753</v>
      </c>
      <c r="CT278" s="125" t="s">
        <v>257</v>
      </c>
      <c r="CU278" s="125" t="s">
        <v>270</v>
      </c>
      <c r="CV278" s="125" t="s">
        <v>2694</v>
      </c>
      <c r="CW278" s="125" t="s">
        <v>710</v>
      </c>
      <c r="CX278" s="125" t="s">
        <v>3724</v>
      </c>
      <c r="CY278" s="125" t="s">
        <v>3754</v>
      </c>
      <c r="CZ278" s="125" t="s">
        <v>1386</v>
      </c>
      <c r="DA278" s="125" t="s">
        <v>1387</v>
      </c>
      <c r="DB278" s="125" t="s">
        <v>547</v>
      </c>
      <c r="DC278" s="125" t="s">
        <v>1650</v>
      </c>
      <c r="DD278" s="125" t="s">
        <v>2696</v>
      </c>
      <c r="DE278" s="125" t="s">
        <v>1390</v>
      </c>
      <c r="DF278" s="126" t="s">
        <v>3755</v>
      </c>
      <c r="DG278" s="27" cm="1">
        <f t="array" ref="DG278">INDEX('elenco partner'!A:M,MATCH(1,(D278='elenco partner'!A:A)*('Partner data'!M278='elenco partner'!E:E),0),4)</f>
        <v>730</v>
      </c>
      <c r="DH278" s="83" t="str">
        <f t="shared" si="117"/>
        <v>COSTO REALE</v>
      </c>
      <c r="DI278" s="20">
        <f>COUNTIFS('MY-REPORT-MAIN'!C:C,'Partner data'!DG278,'MY-REPORT-MAIN'!I:I,"Certified")</f>
        <v>0</v>
      </c>
      <c r="DJ278" s="20">
        <f>COUNTIFS(List_Of_chek_list!M:M,"&lt;&gt;26",List_Of_chek_list!B:B,'Partner data'!DG278)</f>
        <v>0</v>
      </c>
      <c r="DK278" s="20">
        <f t="shared" si="118"/>
        <v>0</v>
      </c>
      <c r="DL278" s="19" t="str">
        <f>IF(DH278="Tasso Forfettario 20%",SUMIFS(List_Of_chek_list!#REF!,List_Of_chek_list!B:B,'Partner data'!DG278),"NON PERTINENTE")</f>
        <v>NON PERTINENTE</v>
      </c>
      <c r="DM278" s="19" t="str">
        <f t="shared" si="119"/>
        <v>NON PERTINENTE</v>
      </c>
      <c r="DN278" s="110">
        <f>_xlfn.MAXIFS('MY-REPORT-MAIN'!K:K,'MY-REPORT-MAIN'!C:C,DG278)</f>
        <v>0</v>
      </c>
      <c r="DO278" s="112" t="str">
        <f>IF(_xlfn.MAXIFS('MY-REPORT-MAIN'!M:M,'MY-REPORT-MAIN'!C:C,DG278)=0,"Nessun rendiconto  Convalidato",_xlfn.MAXIFS('MY-REPORT-MAIN'!M:M,'MY-REPORT-MAIN'!C:C,DG278))</f>
        <v>Nessun rendiconto  Convalidato</v>
      </c>
      <c r="DP278" s="113" t="str" cm="1">
        <f t="array" ref="DP278">IFERROR(INDEX('MY-REPORT-MAIN'!A:Z,MATCH(1,(DO278='MY-REPORT-MAIN'!M:M)*('Partner data'!DG278='MY-REPORT-MAIN'!C:C),0),1),"NON è stato convalidato ancora nessun rendiconto")</f>
        <v>NON è stato convalidato ancora nessun rendiconto</v>
      </c>
      <c r="DQ278" s="111" t="str">
        <f>IFERROR(INDEX('MY-REPORT-MAIN'!A:Z,MATCH('Partner data'!DP278,'MY-REPORT-MAIN'!A:A,0),21),"Nessun Rendiconto ancora convalidato")</f>
        <v>Nessun Rendiconto ancora convalidato</v>
      </c>
      <c r="DR278" s="110" t="e">
        <f>INDEX('Interreg VI-A Italy-Slovenia_pr'!A:E,MATCH('Partner data'!C278,'Interreg VI-A Italy-Slovenia_pr'!A:A,0),3)</f>
        <v>#N/A</v>
      </c>
      <c r="DS278" s="118">
        <f t="shared" si="104"/>
        <v>21260.400000000001</v>
      </c>
      <c r="DT278" s="118">
        <f t="shared" si="105"/>
        <v>42520.800000000003</v>
      </c>
      <c r="DU278" s="118">
        <f t="shared" si="106"/>
        <v>63781.200000000004</v>
      </c>
      <c r="DV278" s="118">
        <f t="shared" si="107"/>
        <v>85041.600000000006</v>
      </c>
      <c r="DW278" s="118">
        <f t="shared" si="108"/>
        <v>85041.600000000006</v>
      </c>
      <c r="DX278" s="118">
        <f t="shared" si="109"/>
        <v>85041.600000000006</v>
      </c>
      <c r="DY278" s="118">
        <f t="shared" si="110"/>
        <v>85041.600000000006</v>
      </c>
      <c r="DZ278" s="118">
        <f t="shared" si="111"/>
        <v>85041.600000000006</v>
      </c>
      <c r="EA278" s="118">
        <f t="shared" si="112"/>
        <v>85041.600000000006</v>
      </c>
      <c r="EB278" s="118">
        <f t="shared" si="113"/>
        <v>85041.600000000006</v>
      </c>
    </row>
    <row r="279" spans="1:132" ht="45" x14ac:dyDescent="0.25">
      <c r="A279" s="121">
        <v>6</v>
      </c>
      <c r="B279" s="122" t="s">
        <v>2688</v>
      </c>
      <c r="C279" s="123" t="s">
        <v>3756</v>
      </c>
      <c r="D279" s="123" t="s">
        <v>3757</v>
      </c>
      <c r="E279" s="123" t="s">
        <v>3758</v>
      </c>
      <c r="F279" s="123" t="s">
        <v>1118</v>
      </c>
      <c r="G279" s="123" t="s">
        <v>6118</v>
      </c>
      <c r="H279" s="123" t="s">
        <v>594</v>
      </c>
      <c r="I279" s="123" t="s">
        <v>595</v>
      </c>
      <c r="J279" s="124" t="s">
        <v>494</v>
      </c>
      <c r="K279" s="124" t="s">
        <v>495</v>
      </c>
      <c r="L279" s="124" t="s">
        <v>496</v>
      </c>
      <c r="M279" s="124" t="s">
        <v>3022</v>
      </c>
      <c r="N279" s="124" t="s">
        <v>3759</v>
      </c>
      <c r="O279" s="124" t="s">
        <v>3759</v>
      </c>
      <c r="P279" s="124" t="s">
        <v>254</v>
      </c>
      <c r="Q279" s="124" t="s">
        <v>499</v>
      </c>
      <c r="R279" s="124" t="s">
        <v>255</v>
      </c>
      <c r="S279" s="32">
        <v>291174.24</v>
      </c>
      <c r="T279" s="32">
        <v>80</v>
      </c>
      <c r="U279" s="32">
        <v>33.97</v>
      </c>
      <c r="V279" s="32">
        <v>0</v>
      </c>
      <c r="W279" s="32">
        <v>0</v>
      </c>
      <c r="X279" s="32">
        <v>0</v>
      </c>
      <c r="Y279" s="32">
        <v>0</v>
      </c>
      <c r="Z279" s="32">
        <v>0</v>
      </c>
      <c r="AA279" s="32">
        <v>0</v>
      </c>
      <c r="AB279" s="32">
        <v>0</v>
      </c>
      <c r="AC279" s="32">
        <v>0</v>
      </c>
      <c r="AD279" s="32">
        <v>0</v>
      </c>
      <c r="AE279" s="32">
        <v>0</v>
      </c>
      <c r="AF279" s="32">
        <v>0</v>
      </c>
      <c r="AG279" s="32">
        <v>0</v>
      </c>
      <c r="AH279" s="32">
        <v>0</v>
      </c>
      <c r="AI279" s="32">
        <v>0</v>
      </c>
      <c r="AJ279" s="32">
        <v>0</v>
      </c>
      <c r="AK279" s="32">
        <v>0</v>
      </c>
      <c r="AL279" s="32">
        <v>0</v>
      </c>
      <c r="AM279" s="32">
        <v>0</v>
      </c>
      <c r="AN279" s="32">
        <v>0</v>
      </c>
      <c r="AO279" s="32">
        <v>72793.56</v>
      </c>
      <c r="AP279" s="32">
        <v>0</v>
      </c>
      <c r="AQ279" s="32">
        <v>72793.56</v>
      </c>
      <c r="AR279" s="32">
        <v>363967.8</v>
      </c>
      <c r="AS279" s="32">
        <v>33.97</v>
      </c>
      <c r="AT279" s="32">
        <v>259977</v>
      </c>
      <c r="AU279" s="32">
        <v>0</v>
      </c>
      <c r="AV279" s="32">
        <v>0</v>
      </c>
      <c r="AW279" s="32">
        <v>259977</v>
      </c>
      <c r="AX279" s="32">
        <v>0</v>
      </c>
      <c r="AY279" s="32">
        <v>0</v>
      </c>
      <c r="AZ279" s="32">
        <v>0</v>
      </c>
      <c r="BA279" s="32">
        <v>0</v>
      </c>
      <c r="BB279" s="32">
        <v>0</v>
      </c>
      <c r="BC279" s="32">
        <v>0</v>
      </c>
      <c r="BD279" s="32">
        <v>0</v>
      </c>
      <c r="BE279" s="32">
        <v>0</v>
      </c>
      <c r="BF279" s="32">
        <v>0</v>
      </c>
      <c r="BG279" s="32">
        <v>0</v>
      </c>
      <c r="BH279" s="32">
        <v>0</v>
      </c>
      <c r="BI279" s="32">
        <v>0</v>
      </c>
      <c r="BJ279" s="32">
        <v>0</v>
      </c>
      <c r="BK279" s="32">
        <v>0</v>
      </c>
      <c r="BL279" s="32">
        <v>0</v>
      </c>
      <c r="BM279" s="32">
        <v>103990.8</v>
      </c>
      <c r="BN279" s="32">
        <v>0</v>
      </c>
      <c r="BO279" s="32">
        <v>0</v>
      </c>
      <c r="BP279" s="32">
        <v>0</v>
      </c>
      <c r="BQ279" s="32">
        <v>90990.2</v>
      </c>
      <c r="BR279" s="32">
        <v>90990.2</v>
      </c>
      <c r="BS279" s="32">
        <v>90990.2</v>
      </c>
      <c r="BT279" s="32">
        <v>90997.2</v>
      </c>
      <c r="BU279" s="32">
        <v>0</v>
      </c>
      <c r="BV279" s="32">
        <v>0</v>
      </c>
      <c r="BW279" s="32">
        <v>0</v>
      </c>
      <c r="BX279" s="32">
        <v>0</v>
      </c>
      <c r="BY279" s="32">
        <v>0</v>
      </c>
      <c r="BZ279" s="32">
        <v>0</v>
      </c>
      <c r="CA279" s="32">
        <v>0</v>
      </c>
      <c r="CB279" s="125" t="s">
        <v>3760</v>
      </c>
      <c r="CC279" s="125" t="s">
        <v>2783</v>
      </c>
      <c r="CD279" s="125"/>
      <c r="CE279" s="125" t="s">
        <v>523</v>
      </c>
      <c r="CF279" s="125" t="s">
        <v>655</v>
      </c>
      <c r="CG279" s="125" t="s">
        <v>3214</v>
      </c>
      <c r="CH279" s="125" t="s">
        <v>526</v>
      </c>
      <c r="CI279" s="125" t="s">
        <v>3023</v>
      </c>
      <c r="CJ279" s="125" t="s">
        <v>1901</v>
      </c>
      <c r="CK279" s="125" t="s">
        <v>3024</v>
      </c>
      <c r="CL279" s="125" t="s">
        <v>212</v>
      </c>
      <c r="CM279" s="125" t="s">
        <v>625</v>
      </c>
      <c r="CN279" s="125" t="s">
        <v>254</v>
      </c>
      <c r="CO279" s="125" t="s">
        <v>255</v>
      </c>
      <c r="CP279" s="125" t="s">
        <v>3761</v>
      </c>
      <c r="CQ279" s="125" t="s">
        <v>1342</v>
      </c>
      <c r="CR279" s="125" t="s">
        <v>529</v>
      </c>
      <c r="CS279" s="125" t="s">
        <v>3762</v>
      </c>
      <c r="CT279" s="125" t="s">
        <v>254</v>
      </c>
      <c r="CU279" s="125" t="s">
        <v>255</v>
      </c>
      <c r="CV279" s="125" t="s">
        <v>3763</v>
      </c>
      <c r="CW279" s="125" t="s">
        <v>3214</v>
      </c>
      <c r="CX279" s="125" t="s">
        <v>3214</v>
      </c>
      <c r="CY279" s="125" t="s">
        <v>2555</v>
      </c>
      <c r="CZ279" s="125" t="s">
        <v>3025</v>
      </c>
      <c r="DA279" s="125" t="s">
        <v>3764</v>
      </c>
      <c r="DB279" s="125" t="s">
        <v>3765</v>
      </c>
      <c r="DC279" s="125" t="s">
        <v>3766</v>
      </c>
      <c r="DD279" s="125" t="s">
        <v>3767</v>
      </c>
      <c r="DE279" s="125" t="s">
        <v>3768</v>
      </c>
      <c r="DF279" s="126" t="s">
        <v>3769</v>
      </c>
      <c r="DG279" s="27" cm="1">
        <f t="array" ref="DG279">INDEX('elenco partner'!A:M,MATCH(1,(D279='elenco partner'!A:A)*('Partner data'!M279='elenco partner'!E:E),0),4)</f>
        <v>549</v>
      </c>
      <c r="DH279" s="83" t="str">
        <f t="shared" ref="DH279:DH284" si="120">IF(AU279&lt;&gt;0,"Tasso Forfettario 20%",IF(AV279&lt;&gt;0,"COSTO REALE",IF(AW279&lt;&gt;0,"Costo Unitario Standard","BL1 non presente")))</f>
        <v>Costo Unitario Standard</v>
      </c>
      <c r="DI279" s="20">
        <f>COUNTIFS('MY-REPORT-MAIN'!C:C,'Partner data'!DG279,'MY-REPORT-MAIN'!I:I,"Certified")</f>
        <v>0</v>
      </c>
      <c r="DJ279" s="20">
        <f>COUNTIFS(List_Of_chek_list!M:M,"&lt;&gt;26",List_Of_chek_list!B:B,'Partner data'!DG279)</f>
        <v>0</v>
      </c>
      <c r="DK279" s="20">
        <f t="shared" ref="DK279:DK284" si="121">DI279-DJ279</f>
        <v>0</v>
      </c>
      <c r="DL279" s="19" t="str">
        <f>IF(DH279="Tasso Forfettario 20%",SUMIFS(List_Of_chek_list!#REF!,List_Of_chek_list!B:B,'Partner data'!DG279),"NON PERTINENTE")</f>
        <v>NON PERTINENTE</v>
      </c>
      <c r="DM279" s="19" t="str">
        <f t="shared" ref="DM279:DM284" si="122">IF(DL279="NON PERTINENTE","NON PERTINENTE",IF(DJ279=DL279,"Rischio basso","Rischio alto"))</f>
        <v>NON PERTINENTE</v>
      </c>
      <c r="DN279" s="110">
        <f>_xlfn.MAXIFS('MY-REPORT-MAIN'!K:K,'MY-REPORT-MAIN'!C:C,DG279)</f>
        <v>0</v>
      </c>
      <c r="DO279" s="112" t="str">
        <f>IF(_xlfn.MAXIFS('MY-REPORT-MAIN'!M:M,'MY-REPORT-MAIN'!C:C,DG279)=0,"Nessun rendiconto  Convalidato",_xlfn.MAXIFS('MY-REPORT-MAIN'!M:M,'MY-REPORT-MAIN'!C:C,DG279))</f>
        <v>Nessun rendiconto  Convalidato</v>
      </c>
      <c r="DP279" s="113" t="str" cm="1">
        <f t="array" ref="DP279">IFERROR(INDEX('MY-REPORT-MAIN'!A:Z,MATCH(1,(DO279='MY-REPORT-MAIN'!M:M)*('Partner data'!DG279='MY-REPORT-MAIN'!C:C),0),1),"NON è stato convalidato ancora nessun rendiconto")</f>
        <v>NON è stato convalidato ancora nessun rendiconto</v>
      </c>
      <c r="DQ279" s="111" t="str">
        <f>IFERROR(INDEX('MY-REPORT-MAIN'!A:Z,MATCH('Partner data'!DP279,'MY-REPORT-MAIN'!A:A,0),21),"Nessun Rendiconto ancora convalidato")</f>
        <v>Nessun Rendiconto ancora convalidato</v>
      </c>
      <c r="DR279" s="110" t="e">
        <f>INDEX('Interreg VI-A Italy-Slovenia_pr'!A:E,MATCH('Partner data'!C279,'Interreg VI-A Italy-Slovenia_pr'!A:A,0),3)</f>
        <v>#N/A</v>
      </c>
      <c r="DS279" s="118">
        <f t="shared" si="104"/>
        <v>90990.2</v>
      </c>
      <c r="DT279" s="118">
        <f t="shared" si="105"/>
        <v>181980.4</v>
      </c>
      <c r="DU279" s="118">
        <f t="shared" si="106"/>
        <v>272970.59999999998</v>
      </c>
      <c r="DV279" s="118">
        <f t="shared" si="107"/>
        <v>363967.8</v>
      </c>
      <c r="DW279" s="118">
        <f t="shared" si="108"/>
        <v>363967.8</v>
      </c>
      <c r="DX279" s="118">
        <f t="shared" si="109"/>
        <v>363967.8</v>
      </c>
      <c r="DY279" s="118">
        <f t="shared" si="110"/>
        <v>363967.8</v>
      </c>
      <c r="DZ279" s="118">
        <f t="shared" si="111"/>
        <v>363967.8</v>
      </c>
      <c r="EA279" s="118">
        <f t="shared" si="112"/>
        <v>363967.8</v>
      </c>
      <c r="EB279" s="118">
        <f t="shared" si="113"/>
        <v>363967.8</v>
      </c>
    </row>
    <row r="280" spans="1:132" ht="45" x14ac:dyDescent="0.25">
      <c r="A280" s="121">
        <v>6</v>
      </c>
      <c r="B280" s="122" t="s">
        <v>2688</v>
      </c>
      <c r="C280" s="123" t="s">
        <v>3756</v>
      </c>
      <c r="D280" s="123" t="s">
        <v>3757</v>
      </c>
      <c r="E280" s="123" t="s">
        <v>3758</v>
      </c>
      <c r="F280" s="123" t="s">
        <v>1118</v>
      </c>
      <c r="G280" s="123" t="s">
        <v>6118</v>
      </c>
      <c r="H280" s="123" t="s">
        <v>594</v>
      </c>
      <c r="I280" s="123" t="s">
        <v>595</v>
      </c>
      <c r="J280" s="124" t="s">
        <v>518</v>
      </c>
      <c r="K280" s="124" t="s">
        <v>495</v>
      </c>
      <c r="L280" s="124" t="s">
        <v>519</v>
      </c>
      <c r="M280" s="124" t="s">
        <v>31</v>
      </c>
      <c r="N280" s="124" t="s">
        <v>3770</v>
      </c>
      <c r="O280" s="124" t="s">
        <v>3770</v>
      </c>
      <c r="P280" s="124" t="s">
        <v>254</v>
      </c>
      <c r="Q280" s="124" t="s">
        <v>499</v>
      </c>
      <c r="R280" s="124" t="s">
        <v>273</v>
      </c>
      <c r="S280" s="32">
        <v>128100</v>
      </c>
      <c r="T280" s="32">
        <v>80</v>
      </c>
      <c r="U280" s="32">
        <v>14.95</v>
      </c>
      <c r="V280" s="32">
        <v>0</v>
      </c>
      <c r="W280" s="32">
        <v>0</v>
      </c>
      <c r="X280" s="32">
        <v>0</v>
      </c>
      <c r="Y280" s="32">
        <v>0</v>
      </c>
      <c r="Z280" s="32">
        <v>0</v>
      </c>
      <c r="AA280" s="32">
        <v>0</v>
      </c>
      <c r="AB280" s="32">
        <v>0</v>
      </c>
      <c r="AC280" s="32">
        <v>0</v>
      </c>
      <c r="AD280" s="32">
        <v>0</v>
      </c>
      <c r="AE280" s="32">
        <v>0</v>
      </c>
      <c r="AF280" s="32">
        <v>0</v>
      </c>
      <c r="AG280" s="32">
        <v>0</v>
      </c>
      <c r="AH280" s="32">
        <v>0</v>
      </c>
      <c r="AI280" s="32">
        <v>0</v>
      </c>
      <c r="AJ280" s="32">
        <v>0</v>
      </c>
      <c r="AK280" s="32">
        <v>0</v>
      </c>
      <c r="AL280" s="32">
        <v>0</v>
      </c>
      <c r="AM280" s="32">
        <v>0</v>
      </c>
      <c r="AN280" s="32">
        <v>0</v>
      </c>
      <c r="AO280" s="32">
        <v>32025</v>
      </c>
      <c r="AP280" s="32">
        <v>0</v>
      </c>
      <c r="AQ280" s="32">
        <v>32025</v>
      </c>
      <c r="AR280" s="32">
        <v>160125</v>
      </c>
      <c r="AS280" s="32">
        <v>14.95</v>
      </c>
      <c r="AT280" s="32">
        <v>128100</v>
      </c>
      <c r="AU280" s="32">
        <v>0</v>
      </c>
      <c r="AV280" s="32">
        <v>0</v>
      </c>
      <c r="AW280" s="32">
        <v>128100</v>
      </c>
      <c r="AX280" s="32">
        <v>0</v>
      </c>
      <c r="AY280" s="32">
        <v>0</v>
      </c>
      <c r="AZ280" s="32">
        <v>0</v>
      </c>
      <c r="BA280" s="32">
        <v>0</v>
      </c>
      <c r="BB280" s="32">
        <v>0</v>
      </c>
      <c r="BC280" s="32">
        <v>0</v>
      </c>
      <c r="BD280" s="32">
        <v>0</v>
      </c>
      <c r="BE280" s="32">
        <v>0</v>
      </c>
      <c r="BF280" s="32">
        <v>0</v>
      </c>
      <c r="BG280" s="32">
        <v>0</v>
      </c>
      <c r="BH280" s="32">
        <v>0</v>
      </c>
      <c r="BI280" s="32">
        <v>0</v>
      </c>
      <c r="BJ280" s="32">
        <v>0</v>
      </c>
      <c r="BK280" s="32">
        <v>0</v>
      </c>
      <c r="BL280" s="32">
        <v>0</v>
      </c>
      <c r="BM280" s="32">
        <v>32025</v>
      </c>
      <c r="BN280" s="32">
        <v>0</v>
      </c>
      <c r="BO280" s="32">
        <v>0</v>
      </c>
      <c r="BP280" s="32">
        <v>0</v>
      </c>
      <c r="BQ280" s="32">
        <v>40875</v>
      </c>
      <c r="BR280" s="32">
        <v>38375</v>
      </c>
      <c r="BS280" s="32">
        <v>40000</v>
      </c>
      <c r="BT280" s="32">
        <v>40875</v>
      </c>
      <c r="BU280" s="32">
        <v>0</v>
      </c>
      <c r="BV280" s="32">
        <v>0</v>
      </c>
      <c r="BW280" s="32">
        <v>0</v>
      </c>
      <c r="BX280" s="32">
        <v>0</v>
      </c>
      <c r="BY280" s="32">
        <v>0</v>
      </c>
      <c r="BZ280" s="32">
        <v>0</v>
      </c>
      <c r="CA280" s="32">
        <v>0</v>
      </c>
      <c r="CB280" s="125" t="s">
        <v>3214</v>
      </c>
      <c r="CC280" s="125" t="s">
        <v>557</v>
      </c>
      <c r="CD280" s="125" t="s">
        <v>558</v>
      </c>
      <c r="CE280" s="125" t="s">
        <v>501</v>
      </c>
      <c r="CF280" s="125" t="s">
        <v>3771</v>
      </c>
      <c r="CG280" s="125" t="s">
        <v>3772</v>
      </c>
      <c r="CH280" s="125" t="s">
        <v>504</v>
      </c>
      <c r="CI280" s="125" t="s">
        <v>212</v>
      </c>
      <c r="CJ280" s="125" t="s">
        <v>212</v>
      </c>
      <c r="CK280" s="125" t="s">
        <v>1150</v>
      </c>
      <c r="CL280" s="125" t="s">
        <v>212</v>
      </c>
      <c r="CM280" s="125" t="s">
        <v>625</v>
      </c>
      <c r="CN280" s="125" t="s">
        <v>254</v>
      </c>
      <c r="CO280" s="125" t="s">
        <v>273</v>
      </c>
      <c r="CP280" s="125" t="s">
        <v>3773</v>
      </c>
      <c r="CQ280" s="125" t="s">
        <v>661</v>
      </c>
      <c r="CR280" s="125" t="s">
        <v>662</v>
      </c>
      <c r="CS280" s="125" t="s">
        <v>3774</v>
      </c>
      <c r="CT280" s="125" t="s">
        <v>254</v>
      </c>
      <c r="CU280" s="125" t="s">
        <v>273</v>
      </c>
      <c r="CV280" s="125" t="s">
        <v>3763</v>
      </c>
      <c r="CW280" s="125" t="s">
        <v>3214</v>
      </c>
      <c r="CX280" s="125" t="s">
        <v>3214</v>
      </c>
      <c r="CY280" s="125" t="s">
        <v>2032</v>
      </c>
      <c r="CZ280" s="125" t="s">
        <v>635</v>
      </c>
      <c r="DA280" s="125" t="s">
        <v>1154</v>
      </c>
      <c r="DB280" s="125" t="s">
        <v>2032</v>
      </c>
      <c r="DC280" s="125" t="s">
        <v>635</v>
      </c>
      <c r="DD280" s="125" t="s">
        <v>1154</v>
      </c>
      <c r="DE280" s="125" t="s">
        <v>3775</v>
      </c>
      <c r="DF280" s="126" t="s">
        <v>1158</v>
      </c>
      <c r="DG280" s="27" cm="1">
        <f t="array" ref="DG280">INDEX('elenco partner'!A:M,MATCH(1,(D280='elenco partner'!A:A)*('Partner data'!M280='elenco partner'!E:E),0),4)</f>
        <v>563</v>
      </c>
      <c r="DH280" s="83" t="str">
        <f t="shared" si="120"/>
        <v>Costo Unitario Standard</v>
      </c>
      <c r="DI280" s="20">
        <f>COUNTIFS('MY-REPORT-MAIN'!C:C,'Partner data'!DG280,'MY-REPORT-MAIN'!I:I,"Certified")</f>
        <v>0</v>
      </c>
      <c r="DJ280" s="20">
        <f>COUNTIFS(List_Of_chek_list!M:M,"&lt;&gt;26",List_Of_chek_list!B:B,'Partner data'!DG280)</f>
        <v>0</v>
      </c>
      <c r="DK280" s="20">
        <f t="shared" si="121"/>
        <v>0</v>
      </c>
      <c r="DL280" s="19" t="str">
        <f>IF(DH280="Tasso Forfettario 20%",SUMIFS(List_Of_chek_list!#REF!,List_Of_chek_list!B:B,'Partner data'!DG280),"NON PERTINENTE")</f>
        <v>NON PERTINENTE</v>
      </c>
      <c r="DM280" s="19" t="str">
        <f t="shared" si="122"/>
        <v>NON PERTINENTE</v>
      </c>
      <c r="DN280" s="110">
        <f>_xlfn.MAXIFS('MY-REPORT-MAIN'!K:K,'MY-REPORT-MAIN'!C:C,DG280)</f>
        <v>0</v>
      </c>
      <c r="DO280" s="112" t="str">
        <f>IF(_xlfn.MAXIFS('MY-REPORT-MAIN'!M:M,'MY-REPORT-MAIN'!C:C,DG280)=0,"Nessun rendiconto  Convalidato",_xlfn.MAXIFS('MY-REPORT-MAIN'!M:M,'MY-REPORT-MAIN'!C:C,DG280))</f>
        <v>Nessun rendiconto  Convalidato</v>
      </c>
      <c r="DP280" s="113" t="str" cm="1">
        <f t="array" ref="DP280">IFERROR(INDEX('MY-REPORT-MAIN'!A:Z,MATCH(1,(DO280='MY-REPORT-MAIN'!M:M)*('Partner data'!DG280='MY-REPORT-MAIN'!C:C),0),1),"NON è stato convalidato ancora nessun rendiconto")</f>
        <v>NON è stato convalidato ancora nessun rendiconto</v>
      </c>
      <c r="DQ280" s="111" t="str">
        <f>IFERROR(INDEX('MY-REPORT-MAIN'!A:Z,MATCH('Partner data'!DP280,'MY-REPORT-MAIN'!A:A,0),21),"Nessun Rendiconto ancora convalidato")</f>
        <v>Nessun Rendiconto ancora convalidato</v>
      </c>
      <c r="DR280" s="110" t="e">
        <f>INDEX('Interreg VI-A Italy-Slovenia_pr'!A:E,MATCH('Partner data'!C280,'Interreg VI-A Italy-Slovenia_pr'!A:A,0),3)</f>
        <v>#N/A</v>
      </c>
      <c r="DS280" s="118">
        <f t="shared" si="104"/>
        <v>40875</v>
      </c>
      <c r="DT280" s="118">
        <f t="shared" si="105"/>
        <v>79250</v>
      </c>
      <c r="DU280" s="118">
        <f t="shared" si="106"/>
        <v>119250</v>
      </c>
      <c r="DV280" s="118">
        <f t="shared" si="107"/>
        <v>160125</v>
      </c>
      <c r="DW280" s="118">
        <f t="shared" si="108"/>
        <v>160125</v>
      </c>
      <c r="DX280" s="118">
        <f t="shared" si="109"/>
        <v>160125</v>
      </c>
      <c r="DY280" s="118">
        <f t="shared" si="110"/>
        <v>160125</v>
      </c>
      <c r="DZ280" s="118">
        <f t="shared" si="111"/>
        <v>160125</v>
      </c>
      <c r="EA280" s="118">
        <f t="shared" si="112"/>
        <v>160125</v>
      </c>
      <c r="EB280" s="118">
        <f t="shared" si="113"/>
        <v>160125</v>
      </c>
    </row>
    <row r="281" spans="1:132" ht="45" x14ac:dyDescent="0.25">
      <c r="A281" s="121">
        <v>6</v>
      </c>
      <c r="B281" s="122" t="s">
        <v>2688</v>
      </c>
      <c r="C281" s="123" t="s">
        <v>3756</v>
      </c>
      <c r="D281" s="123" t="s">
        <v>3757</v>
      </c>
      <c r="E281" s="123" t="s">
        <v>3758</v>
      </c>
      <c r="F281" s="123" t="s">
        <v>1118</v>
      </c>
      <c r="G281" s="123" t="s">
        <v>6118</v>
      </c>
      <c r="H281" s="123" t="s">
        <v>594</v>
      </c>
      <c r="I281" s="123" t="s">
        <v>595</v>
      </c>
      <c r="J281" s="124" t="s">
        <v>538</v>
      </c>
      <c r="K281" s="124" t="s">
        <v>495</v>
      </c>
      <c r="L281" s="124" t="s">
        <v>519</v>
      </c>
      <c r="M281" s="124" t="s">
        <v>3776</v>
      </c>
      <c r="N281" s="124" t="s">
        <v>3777</v>
      </c>
      <c r="O281" s="124" t="s">
        <v>3778</v>
      </c>
      <c r="P281" s="124" t="s">
        <v>257</v>
      </c>
      <c r="Q281" s="124" t="s">
        <v>556</v>
      </c>
      <c r="R281" s="124" t="s">
        <v>258</v>
      </c>
      <c r="S281" s="32">
        <v>116186.32</v>
      </c>
      <c r="T281" s="32">
        <v>80</v>
      </c>
      <c r="U281" s="32">
        <v>13.56</v>
      </c>
      <c r="V281" s="32">
        <v>0</v>
      </c>
      <c r="W281" s="32">
        <v>0</v>
      </c>
      <c r="X281" s="32">
        <v>0</v>
      </c>
      <c r="Y281" s="32">
        <v>0</v>
      </c>
      <c r="Z281" s="32">
        <v>0</v>
      </c>
      <c r="AA281" s="32">
        <v>0</v>
      </c>
      <c r="AB281" s="32">
        <v>0</v>
      </c>
      <c r="AC281" s="32">
        <v>0</v>
      </c>
      <c r="AD281" s="32">
        <v>0</v>
      </c>
      <c r="AE281" s="32">
        <v>0</v>
      </c>
      <c r="AF281" s="32">
        <v>0</v>
      </c>
      <c r="AG281" s="32">
        <v>0</v>
      </c>
      <c r="AH281" s="32">
        <v>0</v>
      </c>
      <c r="AI281" s="32">
        <v>0</v>
      </c>
      <c r="AJ281" s="32">
        <v>0</v>
      </c>
      <c r="AK281" s="32">
        <v>0</v>
      </c>
      <c r="AL281" s="32">
        <v>0</v>
      </c>
      <c r="AM281" s="32">
        <v>0</v>
      </c>
      <c r="AN281" s="32">
        <v>0</v>
      </c>
      <c r="AO281" s="32">
        <v>0</v>
      </c>
      <c r="AP281" s="32">
        <v>29046.59</v>
      </c>
      <c r="AQ281" s="32">
        <v>29046.59</v>
      </c>
      <c r="AR281" s="32">
        <v>145232.91</v>
      </c>
      <c r="AS281" s="32">
        <v>13.56</v>
      </c>
      <c r="AT281" s="32">
        <v>111717.63</v>
      </c>
      <c r="AU281" s="32">
        <v>0</v>
      </c>
      <c r="AV281" s="32">
        <v>111717.63</v>
      </c>
      <c r="AW281" s="32">
        <v>0</v>
      </c>
      <c r="AX281" s="32">
        <v>0</v>
      </c>
      <c r="AY281" s="32">
        <v>0</v>
      </c>
      <c r="AZ281" s="32">
        <v>0</v>
      </c>
      <c r="BA281" s="32">
        <v>0</v>
      </c>
      <c r="BB281" s="32">
        <v>0</v>
      </c>
      <c r="BC281" s="32">
        <v>0</v>
      </c>
      <c r="BD281" s="32">
        <v>0</v>
      </c>
      <c r="BE281" s="32">
        <v>0</v>
      </c>
      <c r="BF281" s="32">
        <v>0</v>
      </c>
      <c r="BG281" s="32">
        <v>0</v>
      </c>
      <c r="BH281" s="32">
        <v>0</v>
      </c>
      <c r="BI281" s="32">
        <v>0</v>
      </c>
      <c r="BJ281" s="32">
        <v>0</v>
      </c>
      <c r="BK281" s="32">
        <v>0</v>
      </c>
      <c r="BL281" s="32">
        <v>0</v>
      </c>
      <c r="BM281" s="32">
        <v>33515.279999999999</v>
      </c>
      <c r="BN281" s="32">
        <v>0</v>
      </c>
      <c r="BO281" s="32">
        <v>0</v>
      </c>
      <c r="BP281" s="32">
        <v>0</v>
      </c>
      <c r="BQ281" s="32">
        <v>19901.419999999998</v>
      </c>
      <c r="BR281" s="32">
        <v>16906.22</v>
      </c>
      <c r="BS281" s="32">
        <v>48755.12</v>
      </c>
      <c r="BT281" s="32">
        <v>59670.15</v>
      </c>
      <c r="BU281" s="32">
        <v>0</v>
      </c>
      <c r="BV281" s="32">
        <v>0</v>
      </c>
      <c r="BW281" s="32">
        <v>0</v>
      </c>
      <c r="BX281" s="32">
        <v>0</v>
      </c>
      <c r="BY281" s="32">
        <v>0</v>
      </c>
      <c r="BZ281" s="32">
        <v>0</v>
      </c>
      <c r="CA281" s="32">
        <v>0</v>
      </c>
      <c r="CB281" s="125" t="s">
        <v>3214</v>
      </c>
      <c r="CC281" s="125" t="s">
        <v>675</v>
      </c>
      <c r="CD281" s="125" t="s">
        <v>617</v>
      </c>
      <c r="CE281" s="125" t="s">
        <v>501</v>
      </c>
      <c r="CF281" s="125" t="s">
        <v>3771</v>
      </c>
      <c r="CG281" s="125" t="s">
        <v>3779</v>
      </c>
      <c r="CH281" s="125" t="s">
        <v>504</v>
      </c>
      <c r="CI281" s="125"/>
      <c r="CJ281" s="125" t="s">
        <v>212</v>
      </c>
      <c r="CK281" s="125" t="s">
        <v>3780</v>
      </c>
      <c r="CL281" s="125" t="s">
        <v>212</v>
      </c>
      <c r="CM281" s="125"/>
      <c r="CN281" s="125" t="s">
        <v>257</v>
      </c>
      <c r="CO281" s="125" t="s">
        <v>258</v>
      </c>
      <c r="CP281" s="125" t="s">
        <v>3781</v>
      </c>
      <c r="CQ281" s="125" t="s">
        <v>3782</v>
      </c>
      <c r="CR281" s="125" t="s">
        <v>3783</v>
      </c>
      <c r="CS281" s="125" t="s">
        <v>3784</v>
      </c>
      <c r="CT281" s="125" t="s">
        <v>257</v>
      </c>
      <c r="CU281" s="125" t="s">
        <v>258</v>
      </c>
      <c r="CV281" s="125" t="s">
        <v>3763</v>
      </c>
      <c r="CW281" s="125" t="s">
        <v>3214</v>
      </c>
      <c r="CX281" s="125" t="s">
        <v>3214</v>
      </c>
      <c r="CY281" s="125" t="s">
        <v>654</v>
      </c>
      <c r="CZ281" s="125" t="s">
        <v>3785</v>
      </c>
      <c r="DA281" s="125" t="s">
        <v>3786</v>
      </c>
      <c r="DB281" s="125" t="s">
        <v>654</v>
      </c>
      <c r="DC281" s="125" t="s">
        <v>3787</v>
      </c>
      <c r="DD281" s="125" t="s">
        <v>3788</v>
      </c>
      <c r="DE281" s="125" t="s">
        <v>3789</v>
      </c>
      <c r="DF281" s="126" t="s">
        <v>3790</v>
      </c>
      <c r="DG281" s="27" cm="1">
        <f t="array" ref="DG281">INDEX('elenco partner'!A:M,MATCH(1,(D281='elenco partner'!A:A)*('Partner data'!M281='elenco partner'!E:E),0),4)</f>
        <v>829</v>
      </c>
      <c r="DH281" s="83" t="str">
        <f t="shared" si="120"/>
        <v>COSTO REALE</v>
      </c>
      <c r="DI281" s="20">
        <f>COUNTIFS('MY-REPORT-MAIN'!C:C,'Partner data'!DG281,'MY-REPORT-MAIN'!I:I,"Certified")</f>
        <v>0</v>
      </c>
      <c r="DJ281" s="20">
        <f>COUNTIFS(List_Of_chek_list!M:M,"&lt;&gt;26",List_Of_chek_list!B:B,'Partner data'!DG281)</f>
        <v>0</v>
      </c>
      <c r="DK281" s="20">
        <f t="shared" si="121"/>
        <v>0</v>
      </c>
      <c r="DL281" s="19" t="str">
        <f>IF(DH281="Tasso Forfettario 20%",SUMIFS(List_Of_chek_list!#REF!,List_Of_chek_list!B:B,'Partner data'!DG281),"NON PERTINENTE")</f>
        <v>NON PERTINENTE</v>
      </c>
      <c r="DM281" s="19" t="str">
        <f t="shared" si="122"/>
        <v>NON PERTINENTE</v>
      </c>
      <c r="DN281" s="110">
        <f>_xlfn.MAXIFS('MY-REPORT-MAIN'!K:K,'MY-REPORT-MAIN'!C:C,DG281)</f>
        <v>0</v>
      </c>
      <c r="DO281" s="112" t="str">
        <f>IF(_xlfn.MAXIFS('MY-REPORT-MAIN'!M:M,'MY-REPORT-MAIN'!C:C,DG281)=0,"Nessun rendiconto  Convalidato",_xlfn.MAXIFS('MY-REPORT-MAIN'!M:M,'MY-REPORT-MAIN'!C:C,DG281))</f>
        <v>Nessun rendiconto  Convalidato</v>
      </c>
      <c r="DP281" s="113" t="str" cm="1">
        <f t="array" ref="DP281">IFERROR(INDEX('MY-REPORT-MAIN'!A:Z,MATCH(1,(DO281='MY-REPORT-MAIN'!M:M)*('Partner data'!DG281='MY-REPORT-MAIN'!C:C),0),1),"NON è stato convalidato ancora nessun rendiconto")</f>
        <v>NON è stato convalidato ancora nessun rendiconto</v>
      </c>
      <c r="DQ281" s="111" t="str">
        <f>IFERROR(INDEX('MY-REPORT-MAIN'!A:Z,MATCH('Partner data'!DP281,'MY-REPORT-MAIN'!A:A,0),21),"Nessun Rendiconto ancora convalidato")</f>
        <v>Nessun Rendiconto ancora convalidato</v>
      </c>
      <c r="DR281" s="110" t="e">
        <f>INDEX('Interreg VI-A Italy-Slovenia_pr'!A:E,MATCH('Partner data'!C281,'Interreg VI-A Italy-Slovenia_pr'!A:A,0),3)</f>
        <v>#N/A</v>
      </c>
      <c r="DS281" s="118">
        <f t="shared" si="104"/>
        <v>19901.419999999998</v>
      </c>
      <c r="DT281" s="118">
        <f t="shared" si="105"/>
        <v>36807.64</v>
      </c>
      <c r="DU281" s="118">
        <f t="shared" si="106"/>
        <v>85562.760000000009</v>
      </c>
      <c r="DV281" s="118">
        <f t="shared" si="107"/>
        <v>145232.91</v>
      </c>
      <c r="DW281" s="118">
        <f t="shared" si="108"/>
        <v>145232.91</v>
      </c>
      <c r="DX281" s="118">
        <f t="shared" si="109"/>
        <v>145232.91</v>
      </c>
      <c r="DY281" s="118">
        <f t="shared" si="110"/>
        <v>145232.91</v>
      </c>
      <c r="DZ281" s="118">
        <f t="shared" si="111"/>
        <v>145232.91</v>
      </c>
      <c r="EA281" s="118">
        <f t="shared" si="112"/>
        <v>145232.91</v>
      </c>
      <c r="EB281" s="118">
        <f t="shared" si="113"/>
        <v>145232.91</v>
      </c>
    </row>
    <row r="282" spans="1:132" ht="45" x14ac:dyDescent="0.25">
      <c r="A282" s="121">
        <v>6</v>
      </c>
      <c r="B282" s="122" t="s">
        <v>2688</v>
      </c>
      <c r="C282" s="123" t="s">
        <v>3756</v>
      </c>
      <c r="D282" s="123" t="s">
        <v>3757</v>
      </c>
      <c r="E282" s="123" t="s">
        <v>3758</v>
      </c>
      <c r="F282" s="123" t="s">
        <v>1118</v>
      </c>
      <c r="G282" s="123" t="s">
        <v>6118</v>
      </c>
      <c r="H282" s="123" t="s">
        <v>594</v>
      </c>
      <c r="I282" s="123" t="s">
        <v>595</v>
      </c>
      <c r="J282" s="124" t="s">
        <v>554</v>
      </c>
      <c r="K282" s="124" t="s">
        <v>495</v>
      </c>
      <c r="L282" s="124" t="s">
        <v>519</v>
      </c>
      <c r="M282" s="124" t="s">
        <v>3791</v>
      </c>
      <c r="N282" s="124" t="s">
        <v>1119</v>
      </c>
      <c r="O282" s="124" t="s">
        <v>1120</v>
      </c>
      <c r="P282" s="124" t="s">
        <v>257</v>
      </c>
      <c r="Q282" s="124" t="s">
        <v>556</v>
      </c>
      <c r="R282" s="124" t="s">
        <v>258</v>
      </c>
      <c r="S282" s="32">
        <v>80012.399999999994</v>
      </c>
      <c r="T282" s="32">
        <v>80</v>
      </c>
      <c r="U282" s="32">
        <v>9.34</v>
      </c>
      <c r="V282" s="32">
        <v>0</v>
      </c>
      <c r="W282" s="32">
        <v>0</v>
      </c>
      <c r="X282" s="32">
        <v>0</v>
      </c>
      <c r="Y282" s="32">
        <v>0</v>
      </c>
      <c r="Z282" s="32">
        <v>0</v>
      </c>
      <c r="AA282" s="32">
        <v>0</v>
      </c>
      <c r="AB282" s="32">
        <v>0</v>
      </c>
      <c r="AC282" s="32">
        <v>0</v>
      </c>
      <c r="AD282" s="32">
        <v>0</v>
      </c>
      <c r="AE282" s="32">
        <v>0</v>
      </c>
      <c r="AF282" s="32">
        <v>0</v>
      </c>
      <c r="AG282" s="32">
        <v>0</v>
      </c>
      <c r="AH282" s="32">
        <v>0</v>
      </c>
      <c r="AI282" s="32">
        <v>0</v>
      </c>
      <c r="AJ282" s="32">
        <v>0</v>
      </c>
      <c r="AK282" s="32">
        <v>0</v>
      </c>
      <c r="AL282" s="32">
        <v>0</v>
      </c>
      <c r="AM282" s="32">
        <v>0</v>
      </c>
      <c r="AN282" s="32">
        <v>0</v>
      </c>
      <c r="AO282" s="32">
        <v>0</v>
      </c>
      <c r="AP282" s="32">
        <v>20003.099999999999</v>
      </c>
      <c r="AQ282" s="32">
        <v>20003.099999999999</v>
      </c>
      <c r="AR282" s="32">
        <v>100015.5</v>
      </c>
      <c r="AS282" s="32">
        <v>9.34</v>
      </c>
      <c r="AT282" s="32">
        <v>86970</v>
      </c>
      <c r="AU282" s="32">
        <v>0</v>
      </c>
      <c r="AV282" s="32">
        <v>86970</v>
      </c>
      <c r="AW282" s="32">
        <v>0</v>
      </c>
      <c r="AX282" s="32">
        <v>13045.5</v>
      </c>
      <c r="AY282" s="32">
        <v>13045.5</v>
      </c>
      <c r="AZ282" s="32">
        <v>0</v>
      </c>
      <c r="BA282" s="32">
        <v>0</v>
      </c>
      <c r="BB282" s="32">
        <v>0</v>
      </c>
      <c r="BC282" s="32">
        <v>0</v>
      </c>
      <c r="BD282" s="32">
        <v>0</v>
      </c>
      <c r="BE282" s="32">
        <v>0</v>
      </c>
      <c r="BF282" s="32">
        <v>0</v>
      </c>
      <c r="BG282" s="32">
        <v>0</v>
      </c>
      <c r="BH282" s="32">
        <v>0</v>
      </c>
      <c r="BI282" s="32">
        <v>0</v>
      </c>
      <c r="BJ282" s="32">
        <v>0</v>
      </c>
      <c r="BK282" s="32">
        <v>0</v>
      </c>
      <c r="BL282" s="32">
        <v>0</v>
      </c>
      <c r="BM282" s="32">
        <v>0</v>
      </c>
      <c r="BN282" s="32">
        <v>0</v>
      </c>
      <c r="BO282" s="32">
        <v>0</v>
      </c>
      <c r="BP282" s="32">
        <v>0</v>
      </c>
      <c r="BQ282" s="32">
        <v>27140</v>
      </c>
      <c r="BR282" s="32">
        <v>27140</v>
      </c>
      <c r="BS282" s="32">
        <v>27140</v>
      </c>
      <c r="BT282" s="32">
        <v>18595.5</v>
      </c>
      <c r="BU282" s="32">
        <v>0</v>
      </c>
      <c r="BV282" s="32">
        <v>0</v>
      </c>
      <c r="BW282" s="32">
        <v>0</v>
      </c>
      <c r="BX282" s="32">
        <v>0</v>
      </c>
      <c r="BY282" s="32">
        <v>0</v>
      </c>
      <c r="BZ282" s="32">
        <v>0</v>
      </c>
      <c r="CA282" s="32">
        <v>0</v>
      </c>
      <c r="CB282" s="125" t="s">
        <v>3214</v>
      </c>
      <c r="CC282" s="125" t="s">
        <v>675</v>
      </c>
      <c r="CD282" s="125" t="s">
        <v>706</v>
      </c>
      <c r="CE282" s="125" t="s">
        <v>501</v>
      </c>
      <c r="CF282" s="125" t="s">
        <v>655</v>
      </c>
      <c r="CG282" s="125" t="s">
        <v>1121</v>
      </c>
      <c r="CH282" s="125" t="s">
        <v>504</v>
      </c>
      <c r="CI282" s="125"/>
      <c r="CJ282" s="125" t="s">
        <v>212</v>
      </c>
      <c r="CK282" s="125"/>
      <c r="CL282" s="125" t="s">
        <v>212</v>
      </c>
      <c r="CM282" s="125"/>
      <c r="CN282" s="125" t="s">
        <v>257</v>
      </c>
      <c r="CO282" s="125" t="s">
        <v>258</v>
      </c>
      <c r="CP282" s="125" t="s">
        <v>3792</v>
      </c>
      <c r="CQ282" s="125" t="s">
        <v>620</v>
      </c>
      <c r="CR282" s="125" t="s">
        <v>621</v>
      </c>
      <c r="CS282" s="125" t="s">
        <v>3793</v>
      </c>
      <c r="CT282" s="125" t="s">
        <v>257</v>
      </c>
      <c r="CU282" s="125" t="s">
        <v>258</v>
      </c>
      <c r="CV282" s="125" t="s">
        <v>3763</v>
      </c>
      <c r="CW282" s="125" t="s">
        <v>3214</v>
      </c>
      <c r="CX282" s="125" t="s">
        <v>3214</v>
      </c>
      <c r="CY282" s="125" t="s">
        <v>654</v>
      </c>
      <c r="CZ282" s="125" t="s">
        <v>1126</v>
      </c>
      <c r="DA282" s="125" t="s">
        <v>1127</v>
      </c>
      <c r="DB282" s="125" t="s">
        <v>654</v>
      </c>
      <c r="DC282" s="125" t="s">
        <v>1128</v>
      </c>
      <c r="DD282" s="125" t="s">
        <v>1129</v>
      </c>
      <c r="DE282" s="125" t="s">
        <v>1130</v>
      </c>
      <c r="DF282" s="126" t="s">
        <v>1131</v>
      </c>
      <c r="DG282" s="27" cm="1">
        <f t="array" ref="DG282">INDEX('elenco partner'!A:M,MATCH(1,(D282='elenco partner'!A:A)*('Partner data'!M282='elenco partner'!E:E),0),4)</f>
        <v>832</v>
      </c>
      <c r="DH282" s="83" t="str">
        <f t="shared" si="120"/>
        <v>COSTO REALE</v>
      </c>
      <c r="DI282" s="20">
        <f>COUNTIFS('MY-REPORT-MAIN'!C:C,'Partner data'!DG282,'MY-REPORT-MAIN'!I:I,"Certified")</f>
        <v>0</v>
      </c>
      <c r="DJ282" s="20">
        <f>COUNTIFS(List_Of_chek_list!M:M,"&lt;&gt;26",List_Of_chek_list!B:B,'Partner data'!DG282)</f>
        <v>0</v>
      </c>
      <c r="DK282" s="20">
        <f t="shared" si="121"/>
        <v>0</v>
      </c>
      <c r="DL282" s="19" t="str">
        <f>IF(DH282="Tasso Forfettario 20%",SUMIFS(List_Of_chek_list!#REF!,List_Of_chek_list!B:B,'Partner data'!DG282),"NON PERTINENTE")</f>
        <v>NON PERTINENTE</v>
      </c>
      <c r="DM282" s="19" t="str">
        <f t="shared" si="122"/>
        <v>NON PERTINENTE</v>
      </c>
      <c r="DN282" s="110">
        <f>_xlfn.MAXIFS('MY-REPORT-MAIN'!K:K,'MY-REPORT-MAIN'!C:C,DG282)</f>
        <v>0</v>
      </c>
      <c r="DO282" s="112" t="str">
        <f>IF(_xlfn.MAXIFS('MY-REPORT-MAIN'!M:M,'MY-REPORT-MAIN'!C:C,DG282)=0,"Nessun rendiconto  Convalidato",_xlfn.MAXIFS('MY-REPORT-MAIN'!M:M,'MY-REPORT-MAIN'!C:C,DG282))</f>
        <v>Nessun rendiconto  Convalidato</v>
      </c>
      <c r="DP282" s="113" t="str" cm="1">
        <f t="array" ref="DP282">IFERROR(INDEX('MY-REPORT-MAIN'!A:Z,MATCH(1,(DO282='MY-REPORT-MAIN'!M:M)*('Partner data'!DG282='MY-REPORT-MAIN'!C:C),0),1),"NON è stato convalidato ancora nessun rendiconto")</f>
        <v>NON è stato convalidato ancora nessun rendiconto</v>
      </c>
      <c r="DQ282" s="111" t="str">
        <f>IFERROR(INDEX('MY-REPORT-MAIN'!A:Z,MATCH('Partner data'!DP282,'MY-REPORT-MAIN'!A:A,0),21),"Nessun Rendiconto ancora convalidato")</f>
        <v>Nessun Rendiconto ancora convalidato</v>
      </c>
      <c r="DR282" s="110" t="e">
        <f>INDEX('Interreg VI-A Italy-Slovenia_pr'!A:E,MATCH('Partner data'!C282,'Interreg VI-A Italy-Slovenia_pr'!A:A,0),3)</f>
        <v>#N/A</v>
      </c>
      <c r="DS282" s="118">
        <f t="shared" si="104"/>
        <v>27140</v>
      </c>
      <c r="DT282" s="118">
        <f t="shared" si="105"/>
        <v>54280</v>
      </c>
      <c r="DU282" s="118">
        <f t="shared" si="106"/>
        <v>81420</v>
      </c>
      <c r="DV282" s="118">
        <f t="shared" si="107"/>
        <v>100015.5</v>
      </c>
      <c r="DW282" s="118">
        <f t="shared" si="108"/>
        <v>100015.5</v>
      </c>
      <c r="DX282" s="118">
        <f t="shared" si="109"/>
        <v>100015.5</v>
      </c>
      <c r="DY282" s="118">
        <f t="shared" si="110"/>
        <v>100015.5</v>
      </c>
      <c r="DZ282" s="118">
        <f t="shared" si="111"/>
        <v>100015.5</v>
      </c>
      <c r="EA282" s="118">
        <f t="shared" si="112"/>
        <v>100015.5</v>
      </c>
      <c r="EB282" s="118">
        <f t="shared" si="113"/>
        <v>100015.5</v>
      </c>
    </row>
    <row r="283" spans="1:132" ht="45" x14ac:dyDescent="0.25">
      <c r="A283" s="121">
        <v>6</v>
      </c>
      <c r="B283" s="122" t="s">
        <v>2688</v>
      </c>
      <c r="C283" s="123" t="s">
        <v>3756</v>
      </c>
      <c r="D283" s="123" t="s">
        <v>3757</v>
      </c>
      <c r="E283" s="123" t="s">
        <v>3758</v>
      </c>
      <c r="F283" s="123" t="s">
        <v>1118</v>
      </c>
      <c r="G283" s="123" t="s">
        <v>6118</v>
      </c>
      <c r="H283" s="123" t="s">
        <v>594</v>
      </c>
      <c r="I283" s="123" t="s">
        <v>595</v>
      </c>
      <c r="J283" s="124" t="s">
        <v>570</v>
      </c>
      <c r="K283" s="124" t="s">
        <v>495</v>
      </c>
      <c r="L283" s="124" t="s">
        <v>519</v>
      </c>
      <c r="M283" s="124" t="s">
        <v>69</v>
      </c>
      <c r="N283" s="124" t="s">
        <v>733</v>
      </c>
      <c r="O283" s="124" t="s">
        <v>1272</v>
      </c>
      <c r="P283" s="124" t="s">
        <v>254</v>
      </c>
      <c r="Q283" s="124" t="s">
        <v>499</v>
      </c>
      <c r="R283" s="124" t="s">
        <v>255</v>
      </c>
      <c r="S283" s="32">
        <v>118854.39999999999</v>
      </c>
      <c r="T283" s="32">
        <v>80</v>
      </c>
      <c r="U283" s="32">
        <v>13.87</v>
      </c>
      <c r="V283" s="32">
        <v>0</v>
      </c>
      <c r="W283" s="32">
        <v>0</v>
      </c>
      <c r="X283" s="32">
        <v>0</v>
      </c>
      <c r="Y283" s="32">
        <v>0</v>
      </c>
      <c r="Z283" s="32">
        <v>0</v>
      </c>
      <c r="AA283" s="32">
        <v>0</v>
      </c>
      <c r="AB283" s="32">
        <v>0</v>
      </c>
      <c r="AC283" s="32">
        <v>0</v>
      </c>
      <c r="AD283" s="32">
        <v>0</v>
      </c>
      <c r="AE283" s="32">
        <v>0</v>
      </c>
      <c r="AF283" s="32">
        <v>0</v>
      </c>
      <c r="AG283" s="32">
        <v>0</v>
      </c>
      <c r="AH283" s="32">
        <v>0</v>
      </c>
      <c r="AI283" s="32">
        <v>0</v>
      </c>
      <c r="AJ283" s="32">
        <v>0</v>
      </c>
      <c r="AK283" s="32">
        <v>0</v>
      </c>
      <c r="AL283" s="32">
        <v>0</v>
      </c>
      <c r="AM283" s="32">
        <v>0</v>
      </c>
      <c r="AN283" s="32">
        <v>0</v>
      </c>
      <c r="AO283" s="32">
        <v>29713.599999999999</v>
      </c>
      <c r="AP283" s="32">
        <v>0</v>
      </c>
      <c r="AQ283" s="32">
        <v>29713.599999999999</v>
      </c>
      <c r="AR283" s="32">
        <v>148568</v>
      </c>
      <c r="AS283" s="32">
        <v>13.87</v>
      </c>
      <c r="AT283" s="32">
        <v>106120</v>
      </c>
      <c r="AU283" s="32">
        <v>0</v>
      </c>
      <c r="AV283" s="32">
        <v>0</v>
      </c>
      <c r="AW283" s="32">
        <v>106120</v>
      </c>
      <c r="AX283" s="32">
        <v>0</v>
      </c>
      <c r="AY283" s="32">
        <v>0</v>
      </c>
      <c r="AZ283" s="32">
        <v>0</v>
      </c>
      <c r="BA283" s="32">
        <v>0</v>
      </c>
      <c r="BB283" s="32">
        <v>0</v>
      </c>
      <c r="BC283" s="32">
        <v>0</v>
      </c>
      <c r="BD283" s="32">
        <v>0</v>
      </c>
      <c r="BE283" s="32">
        <v>0</v>
      </c>
      <c r="BF283" s="32">
        <v>0</v>
      </c>
      <c r="BG283" s="32">
        <v>0</v>
      </c>
      <c r="BH283" s="32">
        <v>0</v>
      </c>
      <c r="BI283" s="32">
        <v>0</v>
      </c>
      <c r="BJ283" s="32">
        <v>0</v>
      </c>
      <c r="BK283" s="32">
        <v>0</v>
      </c>
      <c r="BL283" s="32">
        <v>0</v>
      </c>
      <c r="BM283" s="32">
        <v>42448</v>
      </c>
      <c r="BN283" s="32">
        <v>0</v>
      </c>
      <c r="BO283" s="32">
        <v>0</v>
      </c>
      <c r="BP283" s="32">
        <v>0</v>
      </c>
      <c r="BQ283" s="32">
        <v>31696</v>
      </c>
      <c r="BR283" s="32">
        <v>31696</v>
      </c>
      <c r="BS283" s="32">
        <v>42588</v>
      </c>
      <c r="BT283" s="32">
        <v>42588</v>
      </c>
      <c r="BU283" s="32">
        <v>0</v>
      </c>
      <c r="BV283" s="32">
        <v>0</v>
      </c>
      <c r="BW283" s="32">
        <v>0</v>
      </c>
      <c r="BX283" s="32">
        <v>0</v>
      </c>
      <c r="BY283" s="32">
        <v>0</v>
      </c>
      <c r="BZ283" s="32">
        <v>0</v>
      </c>
      <c r="CA283" s="32">
        <v>0</v>
      </c>
      <c r="CB283" s="125" t="s">
        <v>212</v>
      </c>
      <c r="CC283" s="125" t="s">
        <v>624</v>
      </c>
      <c r="CD283" s="125"/>
      <c r="CE283" s="125" t="s">
        <v>523</v>
      </c>
      <c r="CF283" s="125" t="s">
        <v>645</v>
      </c>
      <c r="CG283" s="125" t="s">
        <v>1274</v>
      </c>
      <c r="CH283" s="125" t="s">
        <v>526</v>
      </c>
      <c r="CI283" s="125"/>
      <c r="CJ283" s="125" t="s">
        <v>212</v>
      </c>
      <c r="CK283" s="125"/>
      <c r="CL283" s="125" t="s">
        <v>212</v>
      </c>
      <c r="CM283" s="125" t="s">
        <v>625</v>
      </c>
      <c r="CN283" s="125" t="s">
        <v>254</v>
      </c>
      <c r="CO283" s="125" t="s">
        <v>255</v>
      </c>
      <c r="CP283" s="125" t="s">
        <v>738</v>
      </c>
      <c r="CQ283" s="125" t="s">
        <v>739</v>
      </c>
      <c r="CR283" s="125" t="s">
        <v>529</v>
      </c>
      <c r="CS283" s="125" t="s">
        <v>3794</v>
      </c>
      <c r="CT283" s="125" t="s">
        <v>254</v>
      </c>
      <c r="CU283" s="125" t="s">
        <v>255</v>
      </c>
      <c r="CV283" s="125" t="s">
        <v>3795</v>
      </c>
      <c r="CW283" s="125" t="s">
        <v>1342</v>
      </c>
      <c r="CX283" s="125" t="s">
        <v>529</v>
      </c>
      <c r="CY283" s="125" t="s">
        <v>628</v>
      </c>
      <c r="CZ283" s="125" t="s">
        <v>1445</v>
      </c>
      <c r="DA283" s="125" t="s">
        <v>1446</v>
      </c>
      <c r="DB283" s="125" t="s">
        <v>628</v>
      </c>
      <c r="DC283" s="125" t="s">
        <v>3796</v>
      </c>
      <c r="DD283" s="125" t="s">
        <v>3797</v>
      </c>
      <c r="DE283" s="125" t="s">
        <v>3798</v>
      </c>
      <c r="DF283" s="126" t="s">
        <v>3799</v>
      </c>
      <c r="DG283" s="27" cm="1">
        <f t="array" ref="DG283">INDEX('elenco partner'!A:M,MATCH(1,(D283='elenco partner'!A:A)*('Partner data'!M283='elenco partner'!E:E),0),4)</f>
        <v>833</v>
      </c>
      <c r="DH283" s="83" t="str">
        <f t="shared" si="120"/>
        <v>Costo Unitario Standard</v>
      </c>
      <c r="DI283" s="20">
        <f>COUNTIFS('MY-REPORT-MAIN'!C:C,'Partner data'!DG283,'MY-REPORT-MAIN'!I:I,"Certified")</f>
        <v>0</v>
      </c>
      <c r="DJ283" s="20">
        <f>COUNTIFS(List_Of_chek_list!M:M,"&lt;&gt;26",List_Of_chek_list!B:B,'Partner data'!DG283)</f>
        <v>0</v>
      </c>
      <c r="DK283" s="20">
        <f t="shared" si="121"/>
        <v>0</v>
      </c>
      <c r="DL283" s="19" t="str">
        <f>IF(DH283="Tasso Forfettario 20%",SUMIFS(List_Of_chek_list!#REF!,List_Of_chek_list!B:B,'Partner data'!DG283),"NON PERTINENTE")</f>
        <v>NON PERTINENTE</v>
      </c>
      <c r="DM283" s="19" t="str">
        <f t="shared" si="122"/>
        <v>NON PERTINENTE</v>
      </c>
      <c r="DN283" s="110">
        <f>_xlfn.MAXIFS('MY-REPORT-MAIN'!K:K,'MY-REPORT-MAIN'!C:C,DG283)</f>
        <v>0</v>
      </c>
      <c r="DO283" s="112" t="str">
        <f>IF(_xlfn.MAXIFS('MY-REPORT-MAIN'!M:M,'MY-REPORT-MAIN'!C:C,DG283)=0,"Nessun rendiconto  Convalidato",_xlfn.MAXIFS('MY-REPORT-MAIN'!M:M,'MY-REPORT-MAIN'!C:C,DG283))</f>
        <v>Nessun rendiconto  Convalidato</v>
      </c>
      <c r="DP283" s="113" t="str" cm="1">
        <f t="array" ref="DP283">IFERROR(INDEX('MY-REPORT-MAIN'!A:Z,MATCH(1,(DO283='MY-REPORT-MAIN'!M:M)*('Partner data'!DG283='MY-REPORT-MAIN'!C:C),0),1),"NON è stato convalidato ancora nessun rendiconto")</f>
        <v>NON è stato convalidato ancora nessun rendiconto</v>
      </c>
      <c r="DQ283" s="111" t="str">
        <f>IFERROR(INDEX('MY-REPORT-MAIN'!A:Z,MATCH('Partner data'!DP283,'MY-REPORT-MAIN'!A:A,0),21),"Nessun Rendiconto ancora convalidato")</f>
        <v>Nessun Rendiconto ancora convalidato</v>
      </c>
      <c r="DR283" s="110" t="e">
        <f>INDEX('Interreg VI-A Italy-Slovenia_pr'!A:E,MATCH('Partner data'!C283,'Interreg VI-A Italy-Slovenia_pr'!A:A,0),3)</f>
        <v>#N/A</v>
      </c>
      <c r="DS283" s="118">
        <f t="shared" si="104"/>
        <v>31696</v>
      </c>
      <c r="DT283" s="118">
        <f t="shared" si="105"/>
        <v>63392</v>
      </c>
      <c r="DU283" s="118">
        <f t="shared" si="106"/>
        <v>105980</v>
      </c>
      <c r="DV283" s="118">
        <f t="shared" si="107"/>
        <v>148568</v>
      </c>
      <c r="DW283" s="118">
        <f t="shared" si="108"/>
        <v>148568</v>
      </c>
      <c r="DX283" s="118">
        <f t="shared" si="109"/>
        <v>148568</v>
      </c>
      <c r="DY283" s="118">
        <f t="shared" si="110"/>
        <v>148568</v>
      </c>
      <c r="DZ283" s="118">
        <f t="shared" si="111"/>
        <v>148568</v>
      </c>
      <c r="EA283" s="118">
        <f t="shared" si="112"/>
        <v>148568</v>
      </c>
      <c r="EB283" s="118">
        <f t="shared" si="113"/>
        <v>148568</v>
      </c>
    </row>
    <row r="284" spans="1:132" ht="45" x14ac:dyDescent="0.25">
      <c r="A284" s="121">
        <v>6</v>
      </c>
      <c r="B284" s="122" t="s">
        <v>2688</v>
      </c>
      <c r="C284" s="123" t="s">
        <v>3756</v>
      </c>
      <c r="D284" s="123" t="s">
        <v>3757</v>
      </c>
      <c r="E284" s="123" t="s">
        <v>3758</v>
      </c>
      <c r="F284" s="123" t="s">
        <v>1118</v>
      </c>
      <c r="G284" s="123" t="s">
        <v>6118</v>
      </c>
      <c r="H284" s="123" t="s">
        <v>594</v>
      </c>
      <c r="I284" s="123" t="s">
        <v>595</v>
      </c>
      <c r="J284" s="124" t="s">
        <v>581</v>
      </c>
      <c r="K284" s="124" t="s">
        <v>495</v>
      </c>
      <c r="L284" s="124" t="s">
        <v>519</v>
      </c>
      <c r="M284" s="124" t="s">
        <v>3800</v>
      </c>
      <c r="N284" s="124" t="s">
        <v>3801</v>
      </c>
      <c r="O284" s="124" t="s">
        <v>3802</v>
      </c>
      <c r="P284" s="124" t="s">
        <v>257</v>
      </c>
      <c r="Q284" s="124" t="s">
        <v>556</v>
      </c>
      <c r="R284" s="124" t="s">
        <v>258</v>
      </c>
      <c r="S284" s="32">
        <v>122730.31</v>
      </c>
      <c r="T284" s="32">
        <v>80</v>
      </c>
      <c r="U284" s="32">
        <v>14.32</v>
      </c>
      <c r="V284" s="32">
        <v>0</v>
      </c>
      <c r="W284" s="32">
        <v>0</v>
      </c>
      <c r="X284" s="32">
        <v>0</v>
      </c>
      <c r="Y284" s="32">
        <v>0</v>
      </c>
      <c r="Z284" s="32">
        <v>0</v>
      </c>
      <c r="AA284" s="32">
        <v>0</v>
      </c>
      <c r="AB284" s="32">
        <v>0</v>
      </c>
      <c r="AC284" s="32">
        <v>0</v>
      </c>
      <c r="AD284" s="32">
        <v>0</v>
      </c>
      <c r="AE284" s="32">
        <v>0</v>
      </c>
      <c r="AF284" s="32">
        <v>0</v>
      </c>
      <c r="AG284" s="32">
        <v>0</v>
      </c>
      <c r="AH284" s="32">
        <v>0</v>
      </c>
      <c r="AI284" s="32">
        <v>0</v>
      </c>
      <c r="AJ284" s="32">
        <v>0</v>
      </c>
      <c r="AK284" s="32">
        <v>0</v>
      </c>
      <c r="AL284" s="32">
        <v>0</v>
      </c>
      <c r="AM284" s="32">
        <v>0</v>
      </c>
      <c r="AN284" s="32">
        <v>0</v>
      </c>
      <c r="AO284" s="32">
        <v>0</v>
      </c>
      <c r="AP284" s="32">
        <v>30682.58</v>
      </c>
      <c r="AQ284" s="32">
        <v>30682.58</v>
      </c>
      <c r="AR284" s="32">
        <v>153412.89000000001</v>
      </c>
      <c r="AS284" s="32">
        <v>14.32</v>
      </c>
      <c r="AT284" s="32">
        <v>118009.92</v>
      </c>
      <c r="AU284" s="32">
        <v>0</v>
      </c>
      <c r="AV284" s="32">
        <v>118009.92</v>
      </c>
      <c r="AW284" s="32">
        <v>0</v>
      </c>
      <c r="AX284" s="32">
        <v>0</v>
      </c>
      <c r="AY284" s="32">
        <v>0</v>
      </c>
      <c r="AZ284" s="32">
        <v>0</v>
      </c>
      <c r="BA284" s="32">
        <v>0</v>
      </c>
      <c r="BB284" s="32">
        <v>0</v>
      </c>
      <c r="BC284" s="32">
        <v>0</v>
      </c>
      <c r="BD284" s="32">
        <v>0</v>
      </c>
      <c r="BE284" s="32">
        <v>0</v>
      </c>
      <c r="BF284" s="32">
        <v>0</v>
      </c>
      <c r="BG284" s="32">
        <v>0</v>
      </c>
      <c r="BH284" s="32">
        <v>0</v>
      </c>
      <c r="BI284" s="32">
        <v>0</v>
      </c>
      <c r="BJ284" s="32">
        <v>0</v>
      </c>
      <c r="BK284" s="32">
        <v>0</v>
      </c>
      <c r="BL284" s="32">
        <v>0</v>
      </c>
      <c r="BM284" s="32">
        <v>35402.97</v>
      </c>
      <c r="BN284" s="32">
        <v>0</v>
      </c>
      <c r="BO284" s="32">
        <v>0</v>
      </c>
      <c r="BP284" s="32">
        <v>0</v>
      </c>
      <c r="BQ284" s="32">
        <v>21115.119999999999</v>
      </c>
      <c r="BR284" s="32">
        <v>55592.62</v>
      </c>
      <c r="BS284" s="32">
        <v>36858.22</v>
      </c>
      <c r="BT284" s="32">
        <v>39846.93</v>
      </c>
      <c r="BU284" s="32">
        <v>0</v>
      </c>
      <c r="BV284" s="32">
        <v>0</v>
      </c>
      <c r="BW284" s="32">
        <v>0</v>
      </c>
      <c r="BX284" s="32">
        <v>0</v>
      </c>
      <c r="BY284" s="32">
        <v>0</v>
      </c>
      <c r="BZ284" s="32">
        <v>0</v>
      </c>
      <c r="CA284" s="32">
        <v>0</v>
      </c>
      <c r="CB284" s="125" t="s">
        <v>3214</v>
      </c>
      <c r="CC284" s="125" t="s">
        <v>640</v>
      </c>
      <c r="CD284" s="125" t="s">
        <v>706</v>
      </c>
      <c r="CE284" s="125" t="s">
        <v>501</v>
      </c>
      <c r="CF284" s="125" t="s">
        <v>641</v>
      </c>
      <c r="CG284" s="125" t="s">
        <v>3803</v>
      </c>
      <c r="CH284" s="125" t="s">
        <v>526</v>
      </c>
      <c r="CI284" s="125" t="s">
        <v>3214</v>
      </c>
      <c r="CJ284" s="125" t="s">
        <v>3214</v>
      </c>
      <c r="CK284" s="125"/>
      <c r="CL284" s="125" t="s">
        <v>212</v>
      </c>
      <c r="CM284" s="125"/>
      <c r="CN284" s="125" t="s">
        <v>257</v>
      </c>
      <c r="CO284" s="125" t="s">
        <v>258</v>
      </c>
      <c r="CP284" s="125" t="s">
        <v>3804</v>
      </c>
      <c r="CQ284" s="125" t="s">
        <v>620</v>
      </c>
      <c r="CR284" s="125" t="s">
        <v>621</v>
      </c>
      <c r="CS284" s="125" t="s">
        <v>3805</v>
      </c>
      <c r="CT284" s="125" t="s">
        <v>257</v>
      </c>
      <c r="CU284" s="125" t="s">
        <v>258</v>
      </c>
      <c r="CV284" s="125" t="s">
        <v>3763</v>
      </c>
      <c r="CW284" s="125" t="s">
        <v>3214</v>
      </c>
      <c r="CX284" s="125" t="s">
        <v>3214</v>
      </c>
      <c r="CY284" s="125" t="s">
        <v>628</v>
      </c>
      <c r="CZ284" s="125" t="s">
        <v>3806</v>
      </c>
      <c r="DA284" s="125" t="s">
        <v>3807</v>
      </c>
      <c r="DB284" s="125" t="s">
        <v>654</v>
      </c>
      <c r="DC284" s="125" t="s">
        <v>3808</v>
      </c>
      <c r="DD284" s="125" t="s">
        <v>3809</v>
      </c>
      <c r="DE284" s="125" t="s">
        <v>3810</v>
      </c>
      <c r="DF284" s="126" t="s">
        <v>3811</v>
      </c>
      <c r="DG284" s="27" cm="1">
        <f t="array" ref="DG284">INDEX('elenco partner'!A:M,MATCH(1,(D284='elenco partner'!A:A)*('Partner data'!M284='elenco partner'!E:E),0),4)</f>
        <v>835</v>
      </c>
      <c r="DH284" s="83" t="str">
        <f t="shared" si="120"/>
        <v>COSTO REALE</v>
      </c>
      <c r="DI284" s="20">
        <f>COUNTIFS('MY-REPORT-MAIN'!C:C,'Partner data'!DG284,'MY-REPORT-MAIN'!I:I,"Certified")</f>
        <v>0</v>
      </c>
      <c r="DJ284" s="20">
        <f>COUNTIFS(List_Of_chek_list!M:M,"&lt;&gt;26",List_Of_chek_list!B:B,'Partner data'!DG284)</f>
        <v>0</v>
      </c>
      <c r="DK284" s="20">
        <f t="shared" si="121"/>
        <v>0</v>
      </c>
      <c r="DL284" s="19" t="str">
        <f>IF(DH284="Tasso Forfettario 20%",SUMIFS(List_Of_chek_list!#REF!,List_Of_chek_list!B:B,'Partner data'!DG284),"NON PERTINENTE")</f>
        <v>NON PERTINENTE</v>
      </c>
      <c r="DM284" s="19" t="str">
        <f t="shared" si="122"/>
        <v>NON PERTINENTE</v>
      </c>
      <c r="DN284" s="110">
        <f>_xlfn.MAXIFS('MY-REPORT-MAIN'!K:K,'MY-REPORT-MAIN'!C:C,DG284)</f>
        <v>0</v>
      </c>
      <c r="DO284" s="112" t="str">
        <f>IF(_xlfn.MAXIFS('MY-REPORT-MAIN'!M:M,'MY-REPORT-MAIN'!C:C,DG284)=0,"Nessun rendiconto  Convalidato",_xlfn.MAXIFS('MY-REPORT-MAIN'!M:M,'MY-REPORT-MAIN'!C:C,DG284))</f>
        <v>Nessun rendiconto  Convalidato</v>
      </c>
      <c r="DP284" s="113" t="str" cm="1">
        <f t="array" ref="DP284">IFERROR(INDEX('MY-REPORT-MAIN'!A:Z,MATCH(1,(DO284='MY-REPORT-MAIN'!M:M)*('Partner data'!DG284='MY-REPORT-MAIN'!C:C),0),1),"NON è stato convalidato ancora nessun rendiconto")</f>
        <v>NON è stato convalidato ancora nessun rendiconto</v>
      </c>
      <c r="DQ284" s="111" t="str">
        <f>IFERROR(INDEX('MY-REPORT-MAIN'!A:Z,MATCH('Partner data'!DP284,'MY-REPORT-MAIN'!A:A,0),21),"Nessun Rendiconto ancora convalidato")</f>
        <v>Nessun Rendiconto ancora convalidato</v>
      </c>
      <c r="DR284" s="110" t="e">
        <f>INDEX('Interreg VI-A Italy-Slovenia_pr'!A:E,MATCH('Partner data'!C284,'Interreg VI-A Italy-Slovenia_pr'!A:A,0),3)</f>
        <v>#N/A</v>
      </c>
      <c r="DS284" s="118">
        <f t="shared" si="104"/>
        <v>21115.119999999999</v>
      </c>
      <c r="DT284" s="118">
        <f t="shared" si="105"/>
        <v>76707.740000000005</v>
      </c>
      <c r="DU284" s="118">
        <f t="shared" si="106"/>
        <v>113565.96</v>
      </c>
      <c r="DV284" s="118">
        <f t="shared" si="107"/>
        <v>153412.89000000001</v>
      </c>
      <c r="DW284" s="118">
        <f t="shared" si="108"/>
        <v>153412.89000000001</v>
      </c>
      <c r="DX284" s="118">
        <f t="shared" si="109"/>
        <v>153412.89000000001</v>
      </c>
      <c r="DY284" s="118">
        <f t="shared" si="110"/>
        <v>153412.89000000001</v>
      </c>
      <c r="DZ284" s="118">
        <f t="shared" si="111"/>
        <v>153412.89000000001</v>
      </c>
      <c r="EA284" s="118">
        <f t="shared" si="112"/>
        <v>153412.89000000001</v>
      </c>
      <c r="EB284" s="118">
        <f t="shared" si="113"/>
        <v>153412.89000000001</v>
      </c>
    </row>
    <row r="285" spans="1:132" ht="45" x14ac:dyDescent="0.25">
      <c r="A285" s="121">
        <v>6</v>
      </c>
      <c r="B285" s="122" t="s">
        <v>2688</v>
      </c>
      <c r="C285" s="123" t="s">
        <v>3812</v>
      </c>
      <c r="D285" s="123" t="s">
        <v>3813</v>
      </c>
      <c r="E285" s="123" t="s">
        <v>3814</v>
      </c>
      <c r="F285" s="123" t="s">
        <v>490</v>
      </c>
      <c r="G285" s="123" t="s">
        <v>491</v>
      </c>
      <c r="H285" s="123" t="s">
        <v>492</v>
      </c>
      <c r="I285" s="123" t="s">
        <v>493</v>
      </c>
      <c r="J285" s="124" t="s">
        <v>494</v>
      </c>
      <c r="K285" s="124" t="s">
        <v>495</v>
      </c>
      <c r="L285" s="124" t="s">
        <v>496</v>
      </c>
      <c r="M285" s="124" t="s">
        <v>292</v>
      </c>
      <c r="N285" s="124" t="s">
        <v>1851</v>
      </c>
      <c r="O285" s="124" t="s">
        <v>3815</v>
      </c>
      <c r="P285" s="124" t="s">
        <v>254</v>
      </c>
      <c r="Q285" s="124" t="s">
        <v>540</v>
      </c>
      <c r="R285" s="124" t="s">
        <v>260</v>
      </c>
      <c r="S285" s="32">
        <v>124960</v>
      </c>
      <c r="T285" s="32">
        <v>80</v>
      </c>
      <c r="U285" s="32">
        <v>17.850000000000001</v>
      </c>
      <c r="V285" s="32">
        <v>0</v>
      </c>
      <c r="W285" s="32">
        <v>0</v>
      </c>
      <c r="X285" s="32">
        <v>0</v>
      </c>
      <c r="Y285" s="32">
        <v>0</v>
      </c>
      <c r="Z285" s="32">
        <v>0</v>
      </c>
      <c r="AA285" s="32">
        <v>0</v>
      </c>
      <c r="AB285" s="32">
        <v>0</v>
      </c>
      <c r="AC285" s="32">
        <v>0</v>
      </c>
      <c r="AD285" s="32">
        <v>0</v>
      </c>
      <c r="AE285" s="32">
        <v>0</v>
      </c>
      <c r="AF285" s="32">
        <v>0</v>
      </c>
      <c r="AG285" s="32">
        <v>0</v>
      </c>
      <c r="AH285" s="32">
        <v>0</v>
      </c>
      <c r="AI285" s="32">
        <v>0</v>
      </c>
      <c r="AJ285" s="32">
        <v>0</v>
      </c>
      <c r="AK285" s="32">
        <v>0</v>
      </c>
      <c r="AL285" s="32">
        <v>0</v>
      </c>
      <c r="AM285" s="32">
        <v>0</v>
      </c>
      <c r="AN285" s="32">
        <v>0</v>
      </c>
      <c r="AO285" s="32">
        <v>31240</v>
      </c>
      <c r="AP285" s="32">
        <v>0</v>
      </c>
      <c r="AQ285" s="32">
        <v>31240</v>
      </c>
      <c r="AR285" s="32">
        <v>156200</v>
      </c>
      <c r="AS285" s="32">
        <v>17.850000000000001</v>
      </c>
      <c r="AT285" s="32">
        <v>102634.36</v>
      </c>
      <c r="AU285" s="32">
        <v>0</v>
      </c>
      <c r="AV285" s="32">
        <v>102634.36</v>
      </c>
      <c r="AW285" s="32">
        <v>0</v>
      </c>
      <c r="AX285" s="32">
        <v>15395.15</v>
      </c>
      <c r="AY285" s="32">
        <v>15395.15</v>
      </c>
      <c r="AZ285" s="32">
        <v>4105.37</v>
      </c>
      <c r="BA285" s="32">
        <v>4105.37</v>
      </c>
      <c r="BB285" s="32">
        <v>0</v>
      </c>
      <c r="BC285" s="32">
        <v>0</v>
      </c>
      <c r="BD285" s="32">
        <v>25065.119999999999</v>
      </c>
      <c r="BE285" s="32">
        <v>25065.119999999999</v>
      </c>
      <c r="BF285" s="32">
        <v>0</v>
      </c>
      <c r="BG285" s="32">
        <v>0</v>
      </c>
      <c r="BH285" s="32">
        <v>0</v>
      </c>
      <c r="BI285" s="32">
        <v>0</v>
      </c>
      <c r="BJ285" s="32">
        <v>0</v>
      </c>
      <c r="BK285" s="32">
        <v>0</v>
      </c>
      <c r="BL285" s="32">
        <v>0</v>
      </c>
      <c r="BM285" s="32">
        <v>0</v>
      </c>
      <c r="BN285" s="32">
        <v>0</v>
      </c>
      <c r="BO285" s="32">
        <v>9000</v>
      </c>
      <c r="BP285" s="32">
        <v>0</v>
      </c>
      <c r="BQ285" s="32">
        <v>33931.26</v>
      </c>
      <c r="BR285" s="32">
        <v>35877.879999999997</v>
      </c>
      <c r="BS285" s="32">
        <v>44636.36</v>
      </c>
      <c r="BT285" s="32">
        <v>41754.5</v>
      </c>
      <c r="BU285" s="32">
        <v>0</v>
      </c>
      <c r="BV285" s="32">
        <v>0</v>
      </c>
      <c r="BW285" s="32">
        <v>0</v>
      </c>
      <c r="BX285" s="32">
        <v>0</v>
      </c>
      <c r="BY285" s="32">
        <v>0</v>
      </c>
      <c r="BZ285" s="32">
        <v>0</v>
      </c>
      <c r="CA285" s="32">
        <v>0</v>
      </c>
      <c r="CB285" s="125" t="s">
        <v>3816</v>
      </c>
      <c r="CC285" s="125" t="s">
        <v>624</v>
      </c>
      <c r="CD285" s="125"/>
      <c r="CE285" s="125" t="s">
        <v>523</v>
      </c>
      <c r="CF285" s="125" t="s">
        <v>645</v>
      </c>
      <c r="CG285" s="125" t="s">
        <v>1357</v>
      </c>
      <c r="CH285" s="125" t="s">
        <v>526</v>
      </c>
      <c r="CI285" s="125"/>
      <c r="CJ285" s="125" t="s">
        <v>212</v>
      </c>
      <c r="CK285" s="125" t="s">
        <v>1034</v>
      </c>
      <c r="CL285" s="125" t="s">
        <v>212</v>
      </c>
      <c r="CM285" s="125"/>
      <c r="CN285" s="125" t="s">
        <v>254</v>
      </c>
      <c r="CO285" s="125" t="s">
        <v>260</v>
      </c>
      <c r="CP285" s="125" t="s">
        <v>1061</v>
      </c>
      <c r="CQ285" s="125" t="s">
        <v>598</v>
      </c>
      <c r="CR285" s="125" t="s">
        <v>599</v>
      </c>
      <c r="CS285" s="125" t="s">
        <v>3303</v>
      </c>
      <c r="CT285" s="125" t="s">
        <v>254</v>
      </c>
      <c r="CU285" s="125" t="s">
        <v>260</v>
      </c>
      <c r="CV285" s="125" t="s">
        <v>1358</v>
      </c>
      <c r="CW285" s="125" t="s">
        <v>1359</v>
      </c>
      <c r="CX285" s="125" t="s">
        <v>599</v>
      </c>
      <c r="CY285" s="125" t="s">
        <v>628</v>
      </c>
      <c r="CZ285" s="125" t="s">
        <v>626</v>
      </c>
      <c r="DA285" s="125" t="s">
        <v>627</v>
      </c>
      <c r="DB285" s="125" t="s">
        <v>628</v>
      </c>
      <c r="DC285" s="125" t="s">
        <v>1360</v>
      </c>
      <c r="DD285" s="125" t="s">
        <v>1361</v>
      </c>
      <c r="DE285" s="125" t="s">
        <v>1362</v>
      </c>
      <c r="DF285" s="126" t="s">
        <v>1363</v>
      </c>
      <c r="DG285" s="27" cm="1">
        <f t="array" ref="DG285">INDEX('elenco partner'!A:M,MATCH(1,(D285='elenco partner'!A:A)*('Partner data'!M285='elenco partner'!E:E),0),4)</f>
        <v>486</v>
      </c>
      <c r="DH285" s="83" t="str">
        <f t="shared" ref="DH285:DH290" si="123">IF(AU285&lt;&gt;0,"Tasso Forfettario 20%",IF(AV285&lt;&gt;0,"COSTO REALE",IF(AW285&lt;&gt;0,"Costo Unitario Standard","BL1 non presente")))</f>
        <v>COSTO REALE</v>
      </c>
      <c r="DI285" s="20">
        <f>COUNTIFS('MY-REPORT-MAIN'!C:C,'Partner data'!DG285,'MY-REPORT-MAIN'!I:I,"Certified")</f>
        <v>0</v>
      </c>
      <c r="DJ285" s="20">
        <f>COUNTIFS(List_Of_chek_list!M:M,"&lt;&gt;26",List_Of_chek_list!B:B,'Partner data'!DG285)</f>
        <v>0</v>
      </c>
      <c r="DK285" s="20">
        <f t="shared" ref="DK285:DK290" si="124">DI285-DJ285</f>
        <v>0</v>
      </c>
      <c r="DL285" s="19" t="str">
        <f>IF(DH285="Tasso Forfettario 20%",SUMIFS(List_Of_chek_list!#REF!,List_Of_chek_list!B:B,'Partner data'!DG285),"NON PERTINENTE")</f>
        <v>NON PERTINENTE</v>
      </c>
      <c r="DM285" s="19" t="str">
        <f t="shared" ref="DM285:DM290" si="125">IF(DL285="NON PERTINENTE","NON PERTINENTE",IF(DJ285=DL285,"Rischio basso","Rischio alto"))</f>
        <v>NON PERTINENTE</v>
      </c>
      <c r="DN285" s="110">
        <f>_xlfn.MAXIFS('MY-REPORT-MAIN'!K:K,'MY-REPORT-MAIN'!C:C,DG285)</f>
        <v>0</v>
      </c>
      <c r="DO285" s="112" t="str">
        <f>IF(_xlfn.MAXIFS('MY-REPORT-MAIN'!M:M,'MY-REPORT-MAIN'!C:C,DG285)=0,"Nessun rendiconto  Convalidato",_xlfn.MAXIFS('MY-REPORT-MAIN'!M:M,'MY-REPORT-MAIN'!C:C,DG285))</f>
        <v>Nessun rendiconto  Convalidato</v>
      </c>
      <c r="DP285" s="113" t="str" cm="1">
        <f t="array" ref="DP285">IFERROR(INDEX('MY-REPORT-MAIN'!A:Z,MATCH(1,(DO285='MY-REPORT-MAIN'!M:M)*('Partner data'!DG285='MY-REPORT-MAIN'!C:C),0),1),"NON è stato convalidato ancora nessun rendiconto")</f>
        <v>NON è stato convalidato ancora nessun rendiconto</v>
      </c>
      <c r="DQ285" s="111" t="str">
        <f>IFERROR(INDEX('MY-REPORT-MAIN'!A:Z,MATCH('Partner data'!DP285,'MY-REPORT-MAIN'!A:A,0),21),"Nessun Rendiconto ancora convalidato")</f>
        <v>Nessun Rendiconto ancora convalidato</v>
      </c>
      <c r="DR285" s="110">
        <f>INDEX('Interreg VI-A Italy-Slovenia_pr'!A:E,MATCH('Partner data'!C285,'Interreg VI-A Italy-Slovenia_pr'!A:A,0),3)</f>
        <v>45404</v>
      </c>
      <c r="DS285" s="118">
        <f t="shared" si="104"/>
        <v>33931.26</v>
      </c>
      <c r="DT285" s="118">
        <f t="shared" si="105"/>
        <v>69809.14</v>
      </c>
      <c r="DU285" s="118">
        <f t="shared" si="106"/>
        <v>114445.5</v>
      </c>
      <c r="DV285" s="118">
        <f t="shared" si="107"/>
        <v>156200</v>
      </c>
      <c r="DW285" s="118">
        <f t="shared" si="108"/>
        <v>156200</v>
      </c>
      <c r="DX285" s="118">
        <f t="shared" si="109"/>
        <v>156200</v>
      </c>
      <c r="DY285" s="118">
        <f t="shared" si="110"/>
        <v>156200</v>
      </c>
      <c r="DZ285" s="118">
        <f t="shared" si="111"/>
        <v>156200</v>
      </c>
      <c r="EA285" s="118">
        <f t="shared" si="112"/>
        <v>156200</v>
      </c>
      <c r="EB285" s="118">
        <f t="shared" si="113"/>
        <v>156200</v>
      </c>
    </row>
    <row r="286" spans="1:132" ht="45" x14ac:dyDescent="0.25">
      <c r="A286" s="121">
        <v>6</v>
      </c>
      <c r="B286" s="122" t="s">
        <v>2688</v>
      </c>
      <c r="C286" s="123" t="s">
        <v>3812</v>
      </c>
      <c r="D286" s="123" t="s">
        <v>3813</v>
      </c>
      <c r="E286" s="123" t="s">
        <v>3814</v>
      </c>
      <c r="F286" s="123" t="s">
        <v>490</v>
      </c>
      <c r="G286" s="123" t="s">
        <v>491</v>
      </c>
      <c r="H286" s="123" t="s">
        <v>492</v>
      </c>
      <c r="I286" s="123" t="s">
        <v>493</v>
      </c>
      <c r="J286" s="124" t="s">
        <v>518</v>
      </c>
      <c r="K286" s="124" t="s">
        <v>495</v>
      </c>
      <c r="L286" s="124" t="s">
        <v>519</v>
      </c>
      <c r="M286" s="124" t="s">
        <v>300</v>
      </c>
      <c r="N286" s="124" t="s">
        <v>1202</v>
      </c>
      <c r="O286" s="124" t="s">
        <v>1203</v>
      </c>
      <c r="P286" s="124" t="s">
        <v>257</v>
      </c>
      <c r="Q286" s="124" t="s">
        <v>556</v>
      </c>
      <c r="R286" s="124" t="s">
        <v>269</v>
      </c>
      <c r="S286" s="32">
        <v>118400</v>
      </c>
      <c r="T286" s="32">
        <v>80</v>
      </c>
      <c r="U286" s="32">
        <v>16.920000000000002</v>
      </c>
      <c r="V286" s="32">
        <v>0</v>
      </c>
      <c r="W286" s="32">
        <v>0</v>
      </c>
      <c r="X286" s="32">
        <v>0</v>
      </c>
      <c r="Y286" s="32">
        <v>0</v>
      </c>
      <c r="Z286" s="32">
        <v>0</v>
      </c>
      <c r="AA286" s="32">
        <v>0</v>
      </c>
      <c r="AB286" s="32">
        <v>0</v>
      </c>
      <c r="AC286" s="32">
        <v>0</v>
      </c>
      <c r="AD286" s="32">
        <v>0</v>
      </c>
      <c r="AE286" s="32">
        <v>0</v>
      </c>
      <c r="AF286" s="32">
        <v>0</v>
      </c>
      <c r="AG286" s="32">
        <v>0</v>
      </c>
      <c r="AH286" s="32">
        <v>0</v>
      </c>
      <c r="AI286" s="32">
        <v>0</v>
      </c>
      <c r="AJ286" s="32">
        <v>0</v>
      </c>
      <c r="AK286" s="32">
        <v>0</v>
      </c>
      <c r="AL286" s="32">
        <v>0</v>
      </c>
      <c r="AM286" s="32">
        <v>0</v>
      </c>
      <c r="AN286" s="32">
        <v>29600</v>
      </c>
      <c r="AO286" s="32">
        <v>0</v>
      </c>
      <c r="AP286" s="32">
        <v>0</v>
      </c>
      <c r="AQ286" s="32">
        <v>29600</v>
      </c>
      <c r="AR286" s="32">
        <v>148000</v>
      </c>
      <c r="AS286" s="32">
        <v>16.920000000000002</v>
      </c>
      <c r="AT286" s="32">
        <v>72000</v>
      </c>
      <c r="AU286" s="32">
        <v>0</v>
      </c>
      <c r="AV286" s="32">
        <v>72000</v>
      </c>
      <c r="AW286" s="32">
        <v>0</v>
      </c>
      <c r="AX286" s="32">
        <v>10800</v>
      </c>
      <c r="AY286" s="32">
        <v>10800</v>
      </c>
      <c r="AZ286" s="32">
        <v>2880</v>
      </c>
      <c r="BA286" s="32">
        <v>2880</v>
      </c>
      <c r="BB286" s="32">
        <v>0</v>
      </c>
      <c r="BC286" s="32">
        <v>0</v>
      </c>
      <c r="BD286" s="32">
        <v>62320</v>
      </c>
      <c r="BE286" s="32">
        <v>62320</v>
      </c>
      <c r="BF286" s="32">
        <v>0</v>
      </c>
      <c r="BG286" s="32">
        <v>0</v>
      </c>
      <c r="BH286" s="32">
        <v>0</v>
      </c>
      <c r="BI286" s="32">
        <v>0</v>
      </c>
      <c r="BJ286" s="32">
        <v>0</v>
      </c>
      <c r="BK286" s="32">
        <v>0</v>
      </c>
      <c r="BL286" s="32">
        <v>0</v>
      </c>
      <c r="BM286" s="32">
        <v>0</v>
      </c>
      <c r="BN286" s="32">
        <v>0</v>
      </c>
      <c r="BO286" s="32">
        <v>0</v>
      </c>
      <c r="BP286" s="32">
        <v>0</v>
      </c>
      <c r="BQ286" s="32">
        <v>34120</v>
      </c>
      <c r="BR286" s="32">
        <v>40620</v>
      </c>
      <c r="BS286" s="32">
        <v>40620</v>
      </c>
      <c r="BT286" s="32">
        <v>32640</v>
      </c>
      <c r="BU286" s="32">
        <v>0</v>
      </c>
      <c r="BV286" s="32">
        <v>0</v>
      </c>
      <c r="BW286" s="32">
        <v>0</v>
      </c>
      <c r="BX286" s="32">
        <v>0</v>
      </c>
      <c r="BY286" s="32">
        <v>0</v>
      </c>
      <c r="BZ286" s="32">
        <v>0</v>
      </c>
      <c r="CA286" s="32">
        <v>0</v>
      </c>
      <c r="CB286" s="125" t="s">
        <v>3817</v>
      </c>
      <c r="CC286" s="125" t="s">
        <v>522</v>
      </c>
      <c r="CD286" s="125"/>
      <c r="CE286" s="125" t="s">
        <v>523</v>
      </c>
      <c r="CF286" s="125" t="s">
        <v>636</v>
      </c>
      <c r="CG286" s="125" t="s">
        <v>1205</v>
      </c>
      <c r="CH286" s="125" t="s">
        <v>526</v>
      </c>
      <c r="CI286" s="125"/>
      <c r="CJ286" s="125" t="s">
        <v>212</v>
      </c>
      <c r="CK286" s="125" t="s">
        <v>1206</v>
      </c>
      <c r="CL286" s="125" t="s">
        <v>212</v>
      </c>
      <c r="CM286" s="125"/>
      <c r="CN286" s="125" t="s">
        <v>257</v>
      </c>
      <c r="CO286" s="125" t="s">
        <v>269</v>
      </c>
      <c r="CP286" s="125" t="s">
        <v>1207</v>
      </c>
      <c r="CQ286" s="125" t="s">
        <v>1208</v>
      </c>
      <c r="CR286" s="125" t="s">
        <v>1209</v>
      </c>
      <c r="CS286" s="125" t="s">
        <v>2175</v>
      </c>
      <c r="CT286" s="125" t="s">
        <v>257</v>
      </c>
      <c r="CU286" s="125" t="s">
        <v>269</v>
      </c>
      <c r="CV286" s="125" t="s">
        <v>1207</v>
      </c>
      <c r="CW286" s="125" t="s">
        <v>1208</v>
      </c>
      <c r="CX286" s="125" t="s">
        <v>1209</v>
      </c>
      <c r="CY286" s="125" t="s">
        <v>688</v>
      </c>
      <c r="CZ286" s="125" t="s">
        <v>1211</v>
      </c>
      <c r="DA286" s="125" t="s">
        <v>1212</v>
      </c>
      <c r="DB286" s="125" t="s">
        <v>726</v>
      </c>
      <c r="DC286" s="125" t="s">
        <v>908</v>
      </c>
      <c r="DD286" s="125" t="s">
        <v>3818</v>
      </c>
      <c r="DE286" s="125" t="s">
        <v>3124</v>
      </c>
      <c r="DF286" s="126" t="s">
        <v>3819</v>
      </c>
      <c r="DG286" s="27" cm="1">
        <f t="array" ref="DG286">INDEX('elenco partner'!A:M,MATCH(1,(D286='elenco partner'!A:A)*('Partner data'!M286='elenco partner'!E:E),0),4)</f>
        <v>521</v>
      </c>
      <c r="DH286" s="83" t="str">
        <f t="shared" si="123"/>
        <v>COSTO REALE</v>
      </c>
      <c r="DI286" s="20">
        <f>COUNTIFS('MY-REPORT-MAIN'!C:C,'Partner data'!DG286,'MY-REPORT-MAIN'!I:I,"Certified")</f>
        <v>0</v>
      </c>
      <c r="DJ286" s="20">
        <f>COUNTIFS(List_Of_chek_list!M:M,"&lt;&gt;26",List_Of_chek_list!B:B,'Partner data'!DG286)</f>
        <v>0</v>
      </c>
      <c r="DK286" s="20">
        <f t="shared" si="124"/>
        <v>0</v>
      </c>
      <c r="DL286" s="19" t="str">
        <f>IF(DH286="Tasso Forfettario 20%",SUMIFS(List_Of_chek_list!#REF!,List_Of_chek_list!B:B,'Partner data'!DG286),"NON PERTINENTE")</f>
        <v>NON PERTINENTE</v>
      </c>
      <c r="DM286" s="19" t="str">
        <f t="shared" si="125"/>
        <v>NON PERTINENTE</v>
      </c>
      <c r="DN286" s="110">
        <f>_xlfn.MAXIFS('MY-REPORT-MAIN'!K:K,'MY-REPORT-MAIN'!C:C,DG286)</f>
        <v>0</v>
      </c>
      <c r="DO286" s="112" t="str">
        <f>IF(_xlfn.MAXIFS('MY-REPORT-MAIN'!M:M,'MY-REPORT-MAIN'!C:C,DG286)=0,"Nessun rendiconto  Convalidato",_xlfn.MAXIFS('MY-REPORT-MAIN'!M:M,'MY-REPORT-MAIN'!C:C,DG286))</f>
        <v>Nessun rendiconto  Convalidato</v>
      </c>
      <c r="DP286" s="113" t="str" cm="1">
        <f t="array" ref="DP286">IFERROR(INDEX('MY-REPORT-MAIN'!A:Z,MATCH(1,(DO286='MY-REPORT-MAIN'!M:M)*('Partner data'!DG286='MY-REPORT-MAIN'!C:C),0),1),"NON è stato convalidato ancora nessun rendiconto")</f>
        <v>NON è stato convalidato ancora nessun rendiconto</v>
      </c>
      <c r="DQ286" s="111" t="str">
        <f>IFERROR(INDEX('MY-REPORT-MAIN'!A:Z,MATCH('Partner data'!DP286,'MY-REPORT-MAIN'!A:A,0),21),"Nessun Rendiconto ancora convalidato")</f>
        <v>Nessun Rendiconto ancora convalidato</v>
      </c>
      <c r="DR286" s="110">
        <f>INDEX('Interreg VI-A Italy-Slovenia_pr'!A:E,MATCH('Partner data'!C286,'Interreg VI-A Italy-Slovenia_pr'!A:A,0),3)</f>
        <v>45404</v>
      </c>
      <c r="DS286" s="118">
        <f t="shared" si="104"/>
        <v>34120</v>
      </c>
      <c r="DT286" s="118">
        <f t="shared" si="105"/>
        <v>74740</v>
      </c>
      <c r="DU286" s="118">
        <f t="shared" si="106"/>
        <v>115360</v>
      </c>
      <c r="DV286" s="118">
        <f t="shared" si="107"/>
        <v>148000</v>
      </c>
      <c r="DW286" s="118">
        <f t="shared" si="108"/>
        <v>148000</v>
      </c>
      <c r="DX286" s="118">
        <f t="shared" si="109"/>
        <v>148000</v>
      </c>
      <c r="DY286" s="118">
        <f t="shared" si="110"/>
        <v>148000</v>
      </c>
      <c r="DZ286" s="118">
        <f t="shared" si="111"/>
        <v>148000</v>
      </c>
      <c r="EA286" s="118">
        <f t="shared" si="112"/>
        <v>148000</v>
      </c>
      <c r="EB286" s="118">
        <f t="shared" si="113"/>
        <v>148000</v>
      </c>
    </row>
    <row r="287" spans="1:132" ht="45" x14ac:dyDescent="0.25">
      <c r="A287" s="121">
        <v>6</v>
      </c>
      <c r="B287" s="122" t="s">
        <v>2688</v>
      </c>
      <c r="C287" s="123" t="s">
        <v>3812</v>
      </c>
      <c r="D287" s="123" t="s">
        <v>3813</v>
      </c>
      <c r="E287" s="123" t="s">
        <v>3814</v>
      </c>
      <c r="F287" s="123" t="s">
        <v>490</v>
      </c>
      <c r="G287" s="123" t="s">
        <v>491</v>
      </c>
      <c r="H287" s="123" t="s">
        <v>492</v>
      </c>
      <c r="I287" s="123" t="s">
        <v>493</v>
      </c>
      <c r="J287" s="124" t="s">
        <v>538</v>
      </c>
      <c r="K287" s="124" t="s">
        <v>495</v>
      </c>
      <c r="L287" s="124" t="s">
        <v>519</v>
      </c>
      <c r="M287" s="124" t="s">
        <v>3820</v>
      </c>
      <c r="N287" s="124" t="s">
        <v>3362</v>
      </c>
      <c r="O287" s="124" t="s">
        <v>3821</v>
      </c>
      <c r="P287" s="124" t="s">
        <v>254</v>
      </c>
      <c r="Q287" s="124" t="s">
        <v>499</v>
      </c>
      <c r="R287" s="124" t="s">
        <v>273</v>
      </c>
      <c r="S287" s="32">
        <v>111915.2</v>
      </c>
      <c r="T287" s="32">
        <v>80</v>
      </c>
      <c r="U287" s="32">
        <v>15.99</v>
      </c>
      <c r="V287" s="32">
        <v>0</v>
      </c>
      <c r="W287" s="32">
        <v>0</v>
      </c>
      <c r="X287" s="32">
        <v>0</v>
      </c>
      <c r="Y287" s="32">
        <v>0</v>
      </c>
      <c r="Z287" s="32">
        <v>0</v>
      </c>
      <c r="AA287" s="32">
        <v>0</v>
      </c>
      <c r="AB287" s="32">
        <v>0</v>
      </c>
      <c r="AC287" s="32">
        <v>0</v>
      </c>
      <c r="AD287" s="32">
        <v>0</v>
      </c>
      <c r="AE287" s="32">
        <v>0</v>
      </c>
      <c r="AF287" s="32">
        <v>0</v>
      </c>
      <c r="AG287" s="32">
        <v>0</v>
      </c>
      <c r="AH287" s="32">
        <v>0</v>
      </c>
      <c r="AI287" s="32">
        <v>0</v>
      </c>
      <c r="AJ287" s="32">
        <v>0</v>
      </c>
      <c r="AK287" s="32">
        <v>0</v>
      </c>
      <c r="AL287" s="32">
        <v>0</v>
      </c>
      <c r="AM287" s="32">
        <v>0</v>
      </c>
      <c r="AN287" s="32">
        <v>0</v>
      </c>
      <c r="AO287" s="32">
        <v>27978.799999999999</v>
      </c>
      <c r="AP287" s="32">
        <v>0</v>
      </c>
      <c r="AQ287" s="32">
        <v>27978.799999999999</v>
      </c>
      <c r="AR287" s="32">
        <v>139894</v>
      </c>
      <c r="AS287" s="32">
        <v>15.99</v>
      </c>
      <c r="AT287" s="32">
        <v>22600</v>
      </c>
      <c r="AU287" s="32">
        <v>22600</v>
      </c>
      <c r="AV287" s="32">
        <v>0</v>
      </c>
      <c r="AW287" s="32">
        <v>0</v>
      </c>
      <c r="AX287" s="32">
        <v>3390</v>
      </c>
      <c r="AY287" s="32">
        <v>3390</v>
      </c>
      <c r="AZ287" s="32">
        <v>904</v>
      </c>
      <c r="BA287" s="32">
        <v>904</v>
      </c>
      <c r="BB287" s="32">
        <v>0</v>
      </c>
      <c r="BC287" s="32">
        <v>0</v>
      </c>
      <c r="BD287" s="32">
        <v>113000</v>
      </c>
      <c r="BE287" s="32">
        <v>113000</v>
      </c>
      <c r="BF287" s="32">
        <v>0</v>
      </c>
      <c r="BG287" s="32">
        <v>0</v>
      </c>
      <c r="BH287" s="32">
        <v>0</v>
      </c>
      <c r="BI287" s="32">
        <v>0</v>
      </c>
      <c r="BJ287" s="32">
        <v>0</v>
      </c>
      <c r="BK287" s="32">
        <v>0</v>
      </c>
      <c r="BL287" s="32">
        <v>0</v>
      </c>
      <c r="BM287" s="32">
        <v>0</v>
      </c>
      <c r="BN287" s="32">
        <v>0</v>
      </c>
      <c r="BO287" s="32">
        <v>0</v>
      </c>
      <c r="BP287" s="32">
        <v>0</v>
      </c>
      <c r="BQ287" s="32">
        <v>16094</v>
      </c>
      <c r="BR287" s="32">
        <v>38378</v>
      </c>
      <c r="BS287" s="32">
        <v>45496.5</v>
      </c>
      <c r="BT287" s="32">
        <v>39925.5</v>
      </c>
      <c r="BU287" s="32">
        <v>0</v>
      </c>
      <c r="BV287" s="32">
        <v>0</v>
      </c>
      <c r="BW287" s="32">
        <v>0</v>
      </c>
      <c r="BX287" s="32">
        <v>0</v>
      </c>
      <c r="BY287" s="32">
        <v>0</v>
      </c>
      <c r="BZ287" s="32">
        <v>0</v>
      </c>
      <c r="CA287" s="32">
        <v>0</v>
      </c>
      <c r="CB287" s="125" t="s">
        <v>3822</v>
      </c>
      <c r="CC287" s="125" t="s">
        <v>522</v>
      </c>
      <c r="CD287" s="125"/>
      <c r="CE287" s="125" t="s">
        <v>523</v>
      </c>
      <c r="CF287" s="125" t="s">
        <v>829</v>
      </c>
      <c r="CG287" s="125" t="s">
        <v>3363</v>
      </c>
      <c r="CH287" s="125" t="s">
        <v>526</v>
      </c>
      <c r="CI287" s="125"/>
      <c r="CJ287" s="125" t="s">
        <v>212</v>
      </c>
      <c r="CK287" s="125" t="s">
        <v>3364</v>
      </c>
      <c r="CL287" s="125" t="s">
        <v>212</v>
      </c>
      <c r="CM287" s="125"/>
      <c r="CN287" s="125" t="s">
        <v>254</v>
      </c>
      <c r="CO287" s="125" t="s">
        <v>273</v>
      </c>
      <c r="CP287" s="125" t="s">
        <v>3365</v>
      </c>
      <c r="CQ287" s="125" t="s">
        <v>661</v>
      </c>
      <c r="CR287" s="125" t="s">
        <v>662</v>
      </c>
      <c r="CS287" s="125" t="s">
        <v>3366</v>
      </c>
      <c r="CT287" s="125" t="s">
        <v>254</v>
      </c>
      <c r="CU287" s="125" t="s">
        <v>273</v>
      </c>
      <c r="CV287" s="125" t="s">
        <v>3365</v>
      </c>
      <c r="CW287" s="125" t="s">
        <v>661</v>
      </c>
      <c r="CX287" s="125" t="s">
        <v>662</v>
      </c>
      <c r="CY287" s="125" t="s">
        <v>732</v>
      </c>
      <c r="CZ287" s="125" t="s">
        <v>3367</v>
      </c>
      <c r="DA287" s="125" t="s">
        <v>3368</v>
      </c>
      <c r="DB287" s="125" t="s">
        <v>510</v>
      </c>
      <c r="DC287" s="125" t="s">
        <v>3823</v>
      </c>
      <c r="DD287" s="125" t="s">
        <v>3824</v>
      </c>
      <c r="DE287" s="125" t="s">
        <v>3825</v>
      </c>
      <c r="DF287" s="126" t="s">
        <v>3369</v>
      </c>
      <c r="DG287" s="27" cm="1">
        <f t="array" ref="DG287">INDEX('elenco partner'!A:M,MATCH(1,(D287='elenco partner'!A:A)*('Partner data'!M287='elenco partner'!E:E),0),4)</f>
        <v>522</v>
      </c>
      <c r="DH287" s="83" t="str">
        <f t="shared" si="123"/>
        <v>Tasso Forfettario 20%</v>
      </c>
      <c r="DI287" s="20">
        <f>COUNTIFS('MY-REPORT-MAIN'!C:C,'Partner data'!DG287,'MY-REPORT-MAIN'!I:I,"Certified")</f>
        <v>0</v>
      </c>
      <c r="DJ287" s="20">
        <f>COUNTIFS(List_Of_chek_list!M:M,"&lt;&gt;26",List_Of_chek_list!B:B,'Partner data'!DG287)</f>
        <v>0</v>
      </c>
      <c r="DK287" s="20">
        <f t="shared" si="124"/>
        <v>0</v>
      </c>
      <c r="DL287" s="19" t="e">
        <f>IF(DH287="Tasso Forfettario 20%",SUMIFS(List_Of_chek_list!#REF!,List_Of_chek_list!B:B,'Partner data'!DG287),"NON PERTINENTE")</f>
        <v>#REF!</v>
      </c>
      <c r="DM287" s="19" t="e">
        <f t="shared" si="125"/>
        <v>#REF!</v>
      </c>
      <c r="DN287" s="110">
        <f>_xlfn.MAXIFS('MY-REPORT-MAIN'!K:K,'MY-REPORT-MAIN'!C:C,DG287)</f>
        <v>0</v>
      </c>
      <c r="DO287" s="112" t="str">
        <f>IF(_xlfn.MAXIFS('MY-REPORT-MAIN'!M:M,'MY-REPORT-MAIN'!C:C,DG287)=0,"Nessun rendiconto  Convalidato",_xlfn.MAXIFS('MY-REPORT-MAIN'!M:M,'MY-REPORT-MAIN'!C:C,DG287))</f>
        <v>Nessun rendiconto  Convalidato</v>
      </c>
      <c r="DP287" s="113" t="str" cm="1">
        <f t="array" ref="DP287">IFERROR(INDEX('MY-REPORT-MAIN'!A:Z,MATCH(1,(DO287='MY-REPORT-MAIN'!M:M)*('Partner data'!DG287='MY-REPORT-MAIN'!C:C),0),1),"NON è stato convalidato ancora nessun rendiconto")</f>
        <v>NON è stato convalidato ancora nessun rendiconto</v>
      </c>
      <c r="DQ287" s="111" t="str">
        <f>IFERROR(INDEX('MY-REPORT-MAIN'!A:Z,MATCH('Partner data'!DP287,'MY-REPORT-MAIN'!A:A,0),21),"Nessun Rendiconto ancora convalidato")</f>
        <v>Nessun Rendiconto ancora convalidato</v>
      </c>
      <c r="DR287" s="110">
        <f>INDEX('Interreg VI-A Italy-Slovenia_pr'!A:E,MATCH('Partner data'!C287,'Interreg VI-A Italy-Slovenia_pr'!A:A,0),3)</f>
        <v>45404</v>
      </c>
      <c r="DS287" s="118">
        <f t="shared" si="104"/>
        <v>16094</v>
      </c>
      <c r="DT287" s="118">
        <f t="shared" si="105"/>
        <v>54472</v>
      </c>
      <c r="DU287" s="118">
        <f t="shared" si="106"/>
        <v>99968.5</v>
      </c>
      <c r="DV287" s="118">
        <f t="shared" si="107"/>
        <v>139894</v>
      </c>
      <c r="DW287" s="118">
        <f t="shared" si="108"/>
        <v>139894</v>
      </c>
      <c r="DX287" s="118">
        <f t="shared" si="109"/>
        <v>139894</v>
      </c>
      <c r="DY287" s="118">
        <f t="shared" si="110"/>
        <v>139894</v>
      </c>
      <c r="DZ287" s="118">
        <f t="shared" si="111"/>
        <v>139894</v>
      </c>
      <c r="EA287" s="118">
        <f t="shared" si="112"/>
        <v>139894</v>
      </c>
      <c r="EB287" s="118">
        <f t="shared" si="113"/>
        <v>139894</v>
      </c>
    </row>
    <row r="288" spans="1:132" ht="45" x14ac:dyDescent="0.25">
      <c r="A288" s="121">
        <v>6</v>
      </c>
      <c r="B288" s="122" t="s">
        <v>2688</v>
      </c>
      <c r="C288" s="123" t="s">
        <v>3812</v>
      </c>
      <c r="D288" s="123" t="s">
        <v>3813</v>
      </c>
      <c r="E288" s="123" t="s">
        <v>3814</v>
      </c>
      <c r="F288" s="123" t="s">
        <v>490</v>
      </c>
      <c r="G288" s="123" t="s">
        <v>491</v>
      </c>
      <c r="H288" s="123" t="s">
        <v>492</v>
      </c>
      <c r="I288" s="123" t="s">
        <v>493</v>
      </c>
      <c r="J288" s="124" t="s">
        <v>554</v>
      </c>
      <c r="K288" s="124" t="s">
        <v>495</v>
      </c>
      <c r="L288" s="124" t="s">
        <v>519</v>
      </c>
      <c r="M288" s="124" t="s">
        <v>305</v>
      </c>
      <c r="N288" s="124" t="s">
        <v>3826</v>
      </c>
      <c r="O288" s="124" t="s">
        <v>3827</v>
      </c>
      <c r="P288" s="124" t="s">
        <v>257</v>
      </c>
      <c r="Q288" s="124" t="s">
        <v>556</v>
      </c>
      <c r="R288" s="124" t="s">
        <v>270</v>
      </c>
      <c r="S288" s="32">
        <v>115128</v>
      </c>
      <c r="T288" s="32">
        <v>80</v>
      </c>
      <c r="U288" s="32">
        <v>16.45</v>
      </c>
      <c r="V288" s="32">
        <v>0</v>
      </c>
      <c r="W288" s="32">
        <v>0</v>
      </c>
      <c r="X288" s="32">
        <v>0</v>
      </c>
      <c r="Y288" s="32">
        <v>0</v>
      </c>
      <c r="Z288" s="32">
        <v>0</v>
      </c>
      <c r="AA288" s="32">
        <v>0</v>
      </c>
      <c r="AB288" s="32">
        <v>0</v>
      </c>
      <c r="AC288" s="32">
        <v>0</v>
      </c>
      <c r="AD288" s="32">
        <v>0</v>
      </c>
      <c r="AE288" s="32">
        <v>0</v>
      </c>
      <c r="AF288" s="32">
        <v>0</v>
      </c>
      <c r="AG288" s="32">
        <v>0</v>
      </c>
      <c r="AH288" s="32">
        <v>0</v>
      </c>
      <c r="AI288" s="32">
        <v>0</v>
      </c>
      <c r="AJ288" s="32">
        <v>0</v>
      </c>
      <c r="AK288" s="32">
        <v>0</v>
      </c>
      <c r="AL288" s="32">
        <v>0</v>
      </c>
      <c r="AM288" s="32">
        <v>0</v>
      </c>
      <c r="AN288" s="32">
        <v>28782</v>
      </c>
      <c r="AO288" s="32">
        <v>0</v>
      </c>
      <c r="AP288" s="32">
        <v>0</v>
      </c>
      <c r="AQ288" s="32">
        <v>28782</v>
      </c>
      <c r="AR288" s="32">
        <v>143910</v>
      </c>
      <c r="AS288" s="32">
        <v>16.45</v>
      </c>
      <c r="AT288" s="32">
        <v>69000</v>
      </c>
      <c r="AU288" s="32">
        <v>0</v>
      </c>
      <c r="AV288" s="32">
        <v>69000</v>
      </c>
      <c r="AW288" s="32">
        <v>0</v>
      </c>
      <c r="AX288" s="32">
        <v>10350</v>
      </c>
      <c r="AY288" s="32">
        <v>10350</v>
      </c>
      <c r="AZ288" s="32">
        <v>2760</v>
      </c>
      <c r="BA288" s="32">
        <v>2760</v>
      </c>
      <c r="BB288" s="32">
        <v>0</v>
      </c>
      <c r="BC288" s="32">
        <v>0</v>
      </c>
      <c r="BD288" s="32">
        <v>61800</v>
      </c>
      <c r="BE288" s="32">
        <v>61800</v>
      </c>
      <c r="BF288" s="32">
        <v>0</v>
      </c>
      <c r="BG288" s="32">
        <v>0</v>
      </c>
      <c r="BH288" s="32">
        <v>0</v>
      </c>
      <c r="BI288" s="32">
        <v>0</v>
      </c>
      <c r="BJ288" s="32">
        <v>0</v>
      </c>
      <c r="BK288" s="32">
        <v>0</v>
      </c>
      <c r="BL288" s="32">
        <v>0</v>
      </c>
      <c r="BM288" s="32">
        <v>0</v>
      </c>
      <c r="BN288" s="32">
        <v>0</v>
      </c>
      <c r="BO288" s="32">
        <v>0</v>
      </c>
      <c r="BP288" s="32">
        <v>0</v>
      </c>
      <c r="BQ288" s="32">
        <v>32127.5</v>
      </c>
      <c r="BR288" s="32">
        <v>38127.5</v>
      </c>
      <c r="BS288" s="32">
        <v>35127.5</v>
      </c>
      <c r="BT288" s="32">
        <v>38527.5</v>
      </c>
      <c r="BU288" s="32">
        <v>0</v>
      </c>
      <c r="BV288" s="32">
        <v>0</v>
      </c>
      <c r="BW288" s="32">
        <v>0</v>
      </c>
      <c r="BX288" s="32">
        <v>0</v>
      </c>
      <c r="BY288" s="32">
        <v>0</v>
      </c>
      <c r="BZ288" s="32">
        <v>0</v>
      </c>
      <c r="CA288" s="32">
        <v>0</v>
      </c>
      <c r="CB288" s="125" t="s">
        <v>212</v>
      </c>
      <c r="CC288" s="125" t="s">
        <v>522</v>
      </c>
      <c r="CD288" s="125"/>
      <c r="CE288" s="125" t="s">
        <v>523</v>
      </c>
      <c r="CF288" s="125" t="s">
        <v>636</v>
      </c>
      <c r="CG288" s="125" t="s">
        <v>1368</v>
      </c>
      <c r="CH288" s="125" t="s">
        <v>526</v>
      </c>
      <c r="CI288" s="125"/>
      <c r="CJ288" s="125" t="s">
        <v>212</v>
      </c>
      <c r="CK288" s="125" t="s">
        <v>1369</v>
      </c>
      <c r="CL288" s="125" t="s">
        <v>212</v>
      </c>
      <c r="CM288" s="125"/>
      <c r="CN288" s="125" t="s">
        <v>257</v>
      </c>
      <c r="CO288" s="125" t="s">
        <v>270</v>
      </c>
      <c r="CP288" s="125" t="s">
        <v>2903</v>
      </c>
      <c r="CQ288" s="125" t="s">
        <v>710</v>
      </c>
      <c r="CR288" s="125" t="s">
        <v>1780</v>
      </c>
      <c r="CS288" s="125" t="s">
        <v>2904</v>
      </c>
      <c r="CT288" s="125"/>
      <c r="CU288" s="125"/>
      <c r="CV288" s="125"/>
      <c r="CW288" s="125"/>
      <c r="CX288" s="125"/>
      <c r="CY288" s="125" t="s">
        <v>688</v>
      </c>
      <c r="CZ288" s="125" t="s">
        <v>623</v>
      </c>
      <c r="DA288" s="125" t="s">
        <v>1373</v>
      </c>
      <c r="DB288" s="125" t="s">
        <v>726</v>
      </c>
      <c r="DC288" s="125" t="s">
        <v>1374</v>
      </c>
      <c r="DD288" s="125" t="s">
        <v>1375</v>
      </c>
      <c r="DE288" s="125" t="s">
        <v>3361</v>
      </c>
      <c r="DF288" s="126" t="s">
        <v>1377</v>
      </c>
      <c r="DG288" s="27" cm="1">
        <f t="array" ref="DG288">INDEX('elenco partner'!A:M,MATCH(1,(D288='elenco partner'!A:A)*('Partner data'!M288='elenco partner'!E:E),0),4)</f>
        <v>523</v>
      </c>
      <c r="DH288" s="83" t="str">
        <f t="shared" si="123"/>
        <v>COSTO REALE</v>
      </c>
      <c r="DI288" s="20">
        <f>COUNTIFS('MY-REPORT-MAIN'!C:C,'Partner data'!DG288,'MY-REPORT-MAIN'!I:I,"Certified")</f>
        <v>0</v>
      </c>
      <c r="DJ288" s="20">
        <f>COUNTIFS(List_Of_chek_list!M:M,"&lt;&gt;26",List_Of_chek_list!B:B,'Partner data'!DG288)</f>
        <v>0</v>
      </c>
      <c r="DK288" s="20">
        <f t="shared" si="124"/>
        <v>0</v>
      </c>
      <c r="DL288" s="19" t="str">
        <f>IF(DH288="Tasso Forfettario 20%",SUMIFS(List_Of_chek_list!#REF!,List_Of_chek_list!B:B,'Partner data'!DG288),"NON PERTINENTE")</f>
        <v>NON PERTINENTE</v>
      </c>
      <c r="DM288" s="19" t="str">
        <f t="shared" si="125"/>
        <v>NON PERTINENTE</v>
      </c>
      <c r="DN288" s="110">
        <f>_xlfn.MAXIFS('MY-REPORT-MAIN'!K:K,'MY-REPORT-MAIN'!C:C,DG288)</f>
        <v>0</v>
      </c>
      <c r="DO288" s="112" t="str">
        <f>IF(_xlfn.MAXIFS('MY-REPORT-MAIN'!M:M,'MY-REPORT-MAIN'!C:C,DG288)=0,"Nessun rendiconto  Convalidato",_xlfn.MAXIFS('MY-REPORT-MAIN'!M:M,'MY-REPORT-MAIN'!C:C,DG288))</f>
        <v>Nessun rendiconto  Convalidato</v>
      </c>
      <c r="DP288" s="113" t="str" cm="1">
        <f t="array" ref="DP288">IFERROR(INDEX('MY-REPORT-MAIN'!A:Z,MATCH(1,(DO288='MY-REPORT-MAIN'!M:M)*('Partner data'!DG288='MY-REPORT-MAIN'!C:C),0),1),"NON è stato convalidato ancora nessun rendiconto")</f>
        <v>NON è stato convalidato ancora nessun rendiconto</v>
      </c>
      <c r="DQ288" s="111" t="str">
        <f>IFERROR(INDEX('MY-REPORT-MAIN'!A:Z,MATCH('Partner data'!DP288,'MY-REPORT-MAIN'!A:A,0),21),"Nessun Rendiconto ancora convalidato")</f>
        <v>Nessun Rendiconto ancora convalidato</v>
      </c>
      <c r="DR288" s="110">
        <f>INDEX('Interreg VI-A Italy-Slovenia_pr'!A:E,MATCH('Partner data'!C288,'Interreg VI-A Italy-Slovenia_pr'!A:A,0),3)</f>
        <v>45404</v>
      </c>
      <c r="DS288" s="118">
        <f t="shared" si="104"/>
        <v>32127.5</v>
      </c>
      <c r="DT288" s="118">
        <f t="shared" si="105"/>
        <v>70255</v>
      </c>
      <c r="DU288" s="118">
        <f t="shared" si="106"/>
        <v>105382.5</v>
      </c>
      <c r="DV288" s="118">
        <f t="shared" si="107"/>
        <v>143910</v>
      </c>
      <c r="DW288" s="118">
        <f t="shared" si="108"/>
        <v>143910</v>
      </c>
      <c r="DX288" s="118">
        <f t="shared" si="109"/>
        <v>143910</v>
      </c>
      <c r="DY288" s="118">
        <f t="shared" si="110"/>
        <v>143910</v>
      </c>
      <c r="DZ288" s="118">
        <f t="shared" si="111"/>
        <v>143910</v>
      </c>
      <c r="EA288" s="118">
        <f t="shared" si="112"/>
        <v>143910</v>
      </c>
      <c r="EB288" s="118">
        <f t="shared" si="113"/>
        <v>143910</v>
      </c>
    </row>
    <row r="289" spans="1:132" ht="45" x14ac:dyDescent="0.25">
      <c r="A289" s="121">
        <v>6</v>
      </c>
      <c r="B289" s="122" t="s">
        <v>2688</v>
      </c>
      <c r="C289" s="123" t="s">
        <v>3812</v>
      </c>
      <c r="D289" s="123" t="s">
        <v>3813</v>
      </c>
      <c r="E289" s="123" t="s">
        <v>3814</v>
      </c>
      <c r="F289" s="123" t="s">
        <v>490</v>
      </c>
      <c r="G289" s="123" t="s">
        <v>491</v>
      </c>
      <c r="H289" s="123" t="s">
        <v>492</v>
      </c>
      <c r="I289" s="123" t="s">
        <v>493</v>
      </c>
      <c r="J289" s="124" t="s">
        <v>570</v>
      </c>
      <c r="K289" s="124" t="s">
        <v>495</v>
      </c>
      <c r="L289" s="124" t="s">
        <v>519</v>
      </c>
      <c r="M289" s="124" t="s">
        <v>306</v>
      </c>
      <c r="N289" s="124" t="s">
        <v>3828</v>
      </c>
      <c r="O289" s="124" t="s">
        <v>3829</v>
      </c>
      <c r="P289" s="124" t="s">
        <v>254</v>
      </c>
      <c r="Q289" s="124" t="s">
        <v>499</v>
      </c>
      <c r="R289" s="124" t="s">
        <v>266</v>
      </c>
      <c r="S289" s="32">
        <v>114292.16</v>
      </c>
      <c r="T289" s="32">
        <v>80</v>
      </c>
      <c r="U289" s="32">
        <v>16.329999999999998</v>
      </c>
      <c r="V289" s="32">
        <v>0</v>
      </c>
      <c r="W289" s="32">
        <v>0</v>
      </c>
      <c r="X289" s="32">
        <v>0</v>
      </c>
      <c r="Y289" s="32">
        <v>0</v>
      </c>
      <c r="Z289" s="32">
        <v>0</v>
      </c>
      <c r="AA289" s="32">
        <v>0</v>
      </c>
      <c r="AB289" s="32">
        <v>0</v>
      </c>
      <c r="AC289" s="32">
        <v>0</v>
      </c>
      <c r="AD289" s="32">
        <v>0</v>
      </c>
      <c r="AE289" s="32">
        <v>0</v>
      </c>
      <c r="AF289" s="32">
        <v>0</v>
      </c>
      <c r="AG289" s="32">
        <v>0</v>
      </c>
      <c r="AH289" s="32">
        <v>0</v>
      </c>
      <c r="AI289" s="32">
        <v>0</v>
      </c>
      <c r="AJ289" s="32">
        <v>0</v>
      </c>
      <c r="AK289" s="32">
        <v>0</v>
      </c>
      <c r="AL289" s="32">
        <v>0</v>
      </c>
      <c r="AM289" s="32">
        <v>0</v>
      </c>
      <c r="AN289" s="32">
        <v>0</v>
      </c>
      <c r="AO289" s="32">
        <v>28573.040000000001</v>
      </c>
      <c r="AP289" s="32">
        <v>0</v>
      </c>
      <c r="AQ289" s="32">
        <v>28573.040000000001</v>
      </c>
      <c r="AR289" s="32">
        <v>142865.20000000001</v>
      </c>
      <c r="AS289" s="32">
        <v>16.329999999999998</v>
      </c>
      <c r="AT289" s="32">
        <v>23080</v>
      </c>
      <c r="AU289" s="32">
        <v>23080</v>
      </c>
      <c r="AV289" s="32">
        <v>0</v>
      </c>
      <c r="AW289" s="32">
        <v>0</v>
      </c>
      <c r="AX289" s="32">
        <v>3462</v>
      </c>
      <c r="AY289" s="32">
        <v>3462</v>
      </c>
      <c r="AZ289" s="32">
        <v>923.2</v>
      </c>
      <c r="BA289" s="32">
        <v>923.2</v>
      </c>
      <c r="BB289" s="32">
        <v>0</v>
      </c>
      <c r="BC289" s="32">
        <v>0</v>
      </c>
      <c r="BD289" s="32">
        <v>105400</v>
      </c>
      <c r="BE289" s="32">
        <v>105400</v>
      </c>
      <c r="BF289" s="32">
        <v>0</v>
      </c>
      <c r="BG289" s="32">
        <v>10000</v>
      </c>
      <c r="BH289" s="32">
        <v>10000</v>
      </c>
      <c r="BI289" s="32">
        <v>0</v>
      </c>
      <c r="BJ289" s="32">
        <v>0</v>
      </c>
      <c r="BK289" s="32">
        <v>0</v>
      </c>
      <c r="BL289" s="32">
        <v>0</v>
      </c>
      <c r="BM289" s="32">
        <v>0</v>
      </c>
      <c r="BN289" s="32">
        <v>0</v>
      </c>
      <c r="BO289" s="32">
        <v>0</v>
      </c>
      <c r="BP289" s="32">
        <v>0</v>
      </c>
      <c r="BQ289" s="32">
        <v>29216.799999999999</v>
      </c>
      <c r="BR289" s="32">
        <v>44691.8</v>
      </c>
      <c r="BS289" s="32">
        <v>31073.8</v>
      </c>
      <c r="BT289" s="32">
        <v>37882.800000000003</v>
      </c>
      <c r="BU289" s="32">
        <v>0</v>
      </c>
      <c r="BV289" s="32">
        <v>0</v>
      </c>
      <c r="BW289" s="32">
        <v>0</v>
      </c>
      <c r="BX289" s="32">
        <v>0</v>
      </c>
      <c r="BY289" s="32">
        <v>0</v>
      </c>
      <c r="BZ289" s="32">
        <v>0</v>
      </c>
      <c r="CA289" s="32">
        <v>0</v>
      </c>
      <c r="CB289" s="125" t="s">
        <v>3830</v>
      </c>
      <c r="CC289" s="125" t="s">
        <v>522</v>
      </c>
      <c r="CD289" s="125"/>
      <c r="CE289" s="125" t="s">
        <v>523</v>
      </c>
      <c r="CF289" s="125" t="s">
        <v>636</v>
      </c>
      <c r="CG289" s="125" t="s">
        <v>1250</v>
      </c>
      <c r="CH289" s="125" t="s">
        <v>526</v>
      </c>
      <c r="CI289" s="125"/>
      <c r="CJ289" s="125" t="s">
        <v>212</v>
      </c>
      <c r="CK289" s="125"/>
      <c r="CL289" s="125" t="s">
        <v>212</v>
      </c>
      <c r="CM289" s="125"/>
      <c r="CN289" s="125" t="s">
        <v>254</v>
      </c>
      <c r="CO289" s="125" t="s">
        <v>266</v>
      </c>
      <c r="CP289" s="125" t="s">
        <v>1252</v>
      </c>
      <c r="CQ289" s="125" t="s">
        <v>915</v>
      </c>
      <c r="CR289" s="125" t="s">
        <v>306</v>
      </c>
      <c r="CS289" s="125" t="s">
        <v>2788</v>
      </c>
      <c r="CT289" s="125" t="s">
        <v>254</v>
      </c>
      <c r="CU289" s="125" t="s">
        <v>266</v>
      </c>
      <c r="CV289" s="125" t="s">
        <v>2787</v>
      </c>
      <c r="CW289" s="125" t="s">
        <v>915</v>
      </c>
      <c r="CX289" s="125" t="s">
        <v>306</v>
      </c>
      <c r="CY289" s="125" t="s">
        <v>3831</v>
      </c>
      <c r="CZ289" s="125" t="s">
        <v>3832</v>
      </c>
      <c r="DA289" s="125" t="s">
        <v>1256</v>
      </c>
      <c r="DB289" s="125" t="s">
        <v>3833</v>
      </c>
      <c r="DC289" s="125" t="s">
        <v>1257</v>
      </c>
      <c r="DD289" s="125" t="s">
        <v>2789</v>
      </c>
      <c r="DE289" s="125" t="s">
        <v>2790</v>
      </c>
      <c r="DF289" s="126" t="s">
        <v>3834</v>
      </c>
      <c r="DG289" s="27" cm="1">
        <f t="array" ref="DG289">INDEX('elenco partner'!A:M,MATCH(1,(D289='elenco partner'!A:A)*('Partner data'!M289='elenco partner'!E:E),0),4)</f>
        <v>524</v>
      </c>
      <c r="DH289" s="83" t="str">
        <f t="shared" si="123"/>
        <v>Tasso Forfettario 20%</v>
      </c>
      <c r="DI289" s="20">
        <f>COUNTIFS('MY-REPORT-MAIN'!C:C,'Partner data'!DG289,'MY-REPORT-MAIN'!I:I,"Certified")</f>
        <v>0</v>
      </c>
      <c r="DJ289" s="20">
        <f>COUNTIFS(List_Of_chek_list!M:M,"&lt;&gt;26",List_Of_chek_list!B:B,'Partner data'!DG289)</f>
        <v>0</v>
      </c>
      <c r="DK289" s="20">
        <f t="shared" si="124"/>
        <v>0</v>
      </c>
      <c r="DL289" s="19" t="e">
        <f>IF(DH289="Tasso Forfettario 20%",SUMIFS(List_Of_chek_list!#REF!,List_Of_chek_list!B:B,'Partner data'!DG289),"NON PERTINENTE")</f>
        <v>#REF!</v>
      </c>
      <c r="DM289" s="19" t="e">
        <f t="shared" si="125"/>
        <v>#REF!</v>
      </c>
      <c r="DN289" s="110">
        <f>_xlfn.MAXIFS('MY-REPORT-MAIN'!K:K,'MY-REPORT-MAIN'!C:C,DG289)</f>
        <v>0</v>
      </c>
      <c r="DO289" s="112" t="str">
        <f>IF(_xlfn.MAXIFS('MY-REPORT-MAIN'!M:M,'MY-REPORT-MAIN'!C:C,DG289)=0,"Nessun rendiconto  Convalidato",_xlfn.MAXIFS('MY-REPORT-MAIN'!M:M,'MY-REPORT-MAIN'!C:C,DG289))</f>
        <v>Nessun rendiconto  Convalidato</v>
      </c>
      <c r="DP289" s="113" t="str" cm="1">
        <f t="array" ref="DP289">IFERROR(INDEX('MY-REPORT-MAIN'!A:Z,MATCH(1,(DO289='MY-REPORT-MAIN'!M:M)*('Partner data'!DG289='MY-REPORT-MAIN'!C:C),0),1),"NON è stato convalidato ancora nessun rendiconto")</f>
        <v>NON è stato convalidato ancora nessun rendiconto</v>
      </c>
      <c r="DQ289" s="111" t="str">
        <f>IFERROR(INDEX('MY-REPORT-MAIN'!A:Z,MATCH('Partner data'!DP289,'MY-REPORT-MAIN'!A:A,0),21),"Nessun Rendiconto ancora convalidato")</f>
        <v>Nessun Rendiconto ancora convalidato</v>
      </c>
      <c r="DR289" s="110">
        <f>INDEX('Interreg VI-A Italy-Slovenia_pr'!A:E,MATCH('Partner data'!C289,'Interreg VI-A Italy-Slovenia_pr'!A:A,0),3)</f>
        <v>45404</v>
      </c>
      <c r="DS289" s="118">
        <f t="shared" si="104"/>
        <v>29216.799999999999</v>
      </c>
      <c r="DT289" s="118">
        <f t="shared" si="105"/>
        <v>73908.600000000006</v>
      </c>
      <c r="DU289" s="118">
        <f t="shared" si="106"/>
        <v>104982.40000000001</v>
      </c>
      <c r="DV289" s="118">
        <f t="shared" si="107"/>
        <v>142865.20000000001</v>
      </c>
      <c r="DW289" s="118">
        <f t="shared" si="108"/>
        <v>142865.20000000001</v>
      </c>
      <c r="DX289" s="118">
        <f t="shared" si="109"/>
        <v>142865.20000000001</v>
      </c>
      <c r="DY289" s="118">
        <f t="shared" si="110"/>
        <v>142865.20000000001</v>
      </c>
      <c r="DZ289" s="118">
        <f t="shared" si="111"/>
        <v>142865.20000000001</v>
      </c>
      <c r="EA289" s="118">
        <f t="shared" si="112"/>
        <v>142865.20000000001</v>
      </c>
      <c r="EB289" s="118">
        <f t="shared" si="113"/>
        <v>142865.20000000001</v>
      </c>
    </row>
    <row r="290" spans="1:132" ht="45" x14ac:dyDescent="0.25">
      <c r="A290" s="121">
        <v>6</v>
      </c>
      <c r="B290" s="122" t="s">
        <v>2688</v>
      </c>
      <c r="C290" s="123" t="s">
        <v>3812</v>
      </c>
      <c r="D290" s="123" t="s">
        <v>3813</v>
      </c>
      <c r="E290" s="123" t="s">
        <v>3814</v>
      </c>
      <c r="F290" s="123" t="s">
        <v>490</v>
      </c>
      <c r="G290" s="123" t="s">
        <v>491</v>
      </c>
      <c r="H290" s="123" t="s">
        <v>492</v>
      </c>
      <c r="I290" s="123" t="s">
        <v>493</v>
      </c>
      <c r="J290" s="124" t="s">
        <v>581</v>
      </c>
      <c r="K290" s="124" t="s">
        <v>495</v>
      </c>
      <c r="L290" s="124" t="s">
        <v>519</v>
      </c>
      <c r="M290" s="124" t="s">
        <v>2909</v>
      </c>
      <c r="N290" s="124" t="s">
        <v>2910</v>
      </c>
      <c r="O290" s="124" t="s">
        <v>2911</v>
      </c>
      <c r="P290" s="124" t="s">
        <v>257</v>
      </c>
      <c r="Q290" s="124" t="s">
        <v>556</v>
      </c>
      <c r="R290" s="124" t="s">
        <v>269</v>
      </c>
      <c r="S290" s="32">
        <v>115197.6</v>
      </c>
      <c r="T290" s="32">
        <v>80</v>
      </c>
      <c r="U290" s="32">
        <v>16.46</v>
      </c>
      <c r="V290" s="32">
        <v>0</v>
      </c>
      <c r="W290" s="32">
        <v>0</v>
      </c>
      <c r="X290" s="32">
        <v>0</v>
      </c>
      <c r="Y290" s="32">
        <v>0</v>
      </c>
      <c r="Z290" s="32">
        <v>0</v>
      </c>
      <c r="AA290" s="32">
        <v>0</v>
      </c>
      <c r="AB290" s="32">
        <v>0</v>
      </c>
      <c r="AC290" s="32">
        <v>0</v>
      </c>
      <c r="AD290" s="32">
        <v>0</v>
      </c>
      <c r="AE290" s="32">
        <v>0</v>
      </c>
      <c r="AF290" s="32">
        <v>0</v>
      </c>
      <c r="AG290" s="32">
        <v>0</v>
      </c>
      <c r="AH290" s="32">
        <v>0</v>
      </c>
      <c r="AI290" s="32">
        <v>0</v>
      </c>
      <c r="AJ290" s="32">
        <v>0</v>
      </c>
      <c r="AK290" s="32">
        <v>0</v>
      </c>
      <c r="AL290" s="32">
        <v>0</v>
      </c>
      <c r="AM290" s="32">
        <v>0</v>
      </c>
      <c r="AN290" s="32">
        <v>28799.4</v>
      </c>
      <c r="AO290" s="32">
        <v>0</v>
      </c>
      <c r="AP290" s="32">
        <v>0</v>
      </c>
      <c r="AQ290" s="32">
        <v>28799.4</v>
      </c>
      <c r="AR290" s="32">
        <v>143997</v>
      </c>
      <c r="AS290" s="32">
        <v>16.46</v>
      </c>
      <c r="AT290" s="32">
        <v>102855</v>
      </c>
      <c r="AU290" s="32">
        <v>0</v>
      </c>
      <c r="AV290" s="32">
        <v>102855</v>
      </c>
      <c r="AW290" s="32">
        <v>0</v>
      </c>
      <c r="AX290" s="32">
        <v>0</v>
      </c>
      <c r="AY290" s="32">
        <v>0</v>
      </c>
      <c r="AZ290" s="32">
        <v>0</v>
      </c>
      <c r="BA290" s="32">
        <v>0</v>
      </c>
      <c r="BB290" s="32">
        <v>0</v>
      </c>
      <c r="BC290" s="32">
        <v>0</v>
      </c>
      <c r="BD290" s="32">
        <v>0</v>
      </c>
      <c r="BE290" s="32">
        <v>0</v>
      </c>
      <c r="BF290" s="32">
        <v>0</v>
      </c>
      <c r="BG290" s="32">
        <v>0</v>
      </c>
      <c r="BH290" s="32">
        <v>0</v>
      </c>
      <c r="BI290" s="32">
        <v>0</v>
      </c>
      <c r="BJ290" s="32">
        <v>0</v>
      </c>
      <c r="BK290" s="32">
        <v>0</v>
      </c>
      <c r="BL290" s="32">
        <v>0</v>
      </c>
      <c r="BM290" s="32">
        <v>41142</v>
      </c>
      <c r="BN290" s="32">
        <v>0</v>
      </c>
      <c r="BO290" s="32">
        <v>0</v>
      </c>
      <c r="BP290" s="32">
        <v>0</v>
      </c>
      <c r="BQ290" s="32">
        <v>35999.25</v>
      </c>
      <c r="BR290" s="32">
        <v>35999.25</v>
      </c>
      <c r="BS290" s="32">
        <v>35999.25</v>
      </c>
      <c r="BT290" s="32">
        <v>35999.25</v>
      </c>
      <c r="BU290" s="32">
        <v>0</v>
      </c>
      <c r="BV290" s="32">
        <v>0</v>
      </c>
      <c r="BW290" s="32">
        <v>0</v>
      </c>
      <c r="BX290" s="32">
        <v>0</v>
      </c>
      <c r="BY290" s="32">
        <v>0</v>
      </c>
      <c r="BZ290" s="32">
        <v>0</v>
      </c>
      <c r="CA290" s="32">
        <v>0</v>
      </c>
      <c r="CB290" s="125" t="s">
        <v>212</v>
      </c>
      <c r="CC290" s="125" t="s">
        <v>743</v>
      </c>
      <c r="CD290" s="125"/>
      <c r="CE290" s="125" t="s">
        <v>523</v>
      </c>
      <c r="CF290" s="125" t="s">
        <v>1413</v>
      </c>
      <c r="CG290" s="125" t="s">
        <v>2912</v>
      </c>
      <c r="CH290" s="125" t="s">
        <v>526</v>
      </c>
      <c r="CI290" s="125"/>
      <c r="CJ290" s="125" t="s">
        <v>212</v>
      </c>
      <c r="CK290" s="125" t="s">
        <v>2913</v>
      </c>
      <c r="CL290" s="125" t="s">
        <v>212</v>
      </c>
      <c r="CM290" s="125"/>
      <c r="CN290" s="125" t="s">
        <v>257</v>
      </c>
      <c r="CO290" s="125" t="s">
        <v>269</v>
      </c>
      <c r="CP290" s="125" t="s">
        <v>854</v>
      </c>
      <c r="CQ290" s="125" t="s">
        <v>760</v>
      </c>
      <c r="CR290" s="125" t="s">
        <v>761</v>
      </c>
      <c r="CS290" s="125" t="s">
        <v>2914</v>
      </c>
      <c r="CT290" s="125"/>
      <c r="CU290" s="125"/>
      <c r="CV290" s="125"/>
      <c r="CW290" s="125"/>
      <c r="CX290" s="125"/>
      <c r="CY290" s="125" t="s">
        <v>688</v>
      </c>
      <c r="CZ290" s="125" t="s">
        <v>2915</v>
      </c>
      <c r="DA290" s="125" t="s">
        <v>2916</v>
      </c>
      <c r="DB290" s="125" t="s">
        <v>726</v>
      </c>
      <c r="DC290" s="125" t="s">
        <v>3835</v>
      </c>
      <c r="DD290" s="125" t="s">
        <v>3836</v>
      </c>
      <c r="DE290" s="125" t="s">
        <v>3837</v>
      </c>
      <c r="DF290" s="126" t="s">
        <v>3838</v>
      </c>
      <c r="DG290" s="27" cm="1">
        <f t="array" ref="DG290">INDEX('elenco partner'!A:M,MATCH(1,(D290='elenco partner'!A:A)*('Partner data'!M290='elenco partner'!E:E),0),4)</f>
        <v>525</v>
      </c>
      <c r="DH290" s="83" t="str">
        <f t="shared" si="123"/>
        <v>COSTO REALE</v>
      </c>
      <c r="DI290" s="20">
        <f>COUNTIFS('MY-REPORT-MAIN'!C:C,'Partner data'!DG290,'MY-REPORT-MAIN'!I:I,"Certified")</f>
        <v>0</v>
      </c>
      <c r="DJ290" s="20">
        <f>COUNTIFS(List_Of_chek_list!M:M,"&lt;&gt;26",List_Of_chek_list!B:B,'Partner data'!DG290)</f>
        <v>0</v>
      </c>
      <c r="DK290" s="20">
        <f t="shared" si="124"/>
        <v>0</v>
      </c>
      <c r="DL290" s="19" t="str">
        <f>IF(DH290="Tasso Forfettario 20%",SUMIFS(List_Of_chek_list!#REF!,List_Of_chek_list!B:B,'Partner data'!DG290),"NON PERTINENTE")</f>
        <v>NON PERTINENTE</v>
      </c>
      <c r="DM290" s="19" t="str">
        <f t="shared" si="125"/>
        <v>NON PERTINENTE</v>
      </c>
      <c r="DN290" s="110">
        <f>_xlfn.MAXIFS('MY-REPORT-MAIN'!K:K,'MY-REPORT-MAIN'!C:C,DG290)</f>
        <v>0</v>
      </c>
      <c r="DO290" s="112" t="str">
        <f>IF(_xlfn.MAXIFS('MY-REPORT-MAIN'!M:M,'MY-REPORT-MAIN'!C:C,DG290)=0,"Nessun rendiconto  Convalidato",_xlfn.MAXIFS('MY-REPORT-MAIN'!M:M,'MY-REPORT-MAIN'!C:C,DG290))</f>
        <v>Nessun rendiconto  Convalidato</v>
      </c>
      <c r="DP290" s="113" t="str" cm="1">
        <f t="array" ref="DP290">IFERROR(INDEX('MY-REPORT-MAIN'!A:Z,MATCH(1,(DO290='MY-REPORT-MAIN'!M:M)*('Partner data'!DG290='MY-REPORT-MAIN'!C:C),0),1),"NON è stato convalidato ancora nessun rendiconto")</f>
        <v>NON è stato convalidato ancora nessun rendiconto</v>
      </c>
      <c r="DQ290" s="111" t="str">
        <f>IFERROR(INDEX('MY-REPORT-MAIN'!A:Z,MATCH('Partner data'!DP290,'MY-REPORT-MAIN'!A:A,0),21),"Nessun Rendiconto ancora convalidato")</f>
        <v>Nessun Rendiconto ancora convalidato</v>
      </c>
      <c r="DR290" s="110">
        <f>INDEX('Interreg VI-A Italy-Slovenia_pr'!A:E,MATCH('Partner data'!C290,'Interreg VI-A Italy-Slovenia_pr'!A:A,0),3)</f>
        <v>45404</v>
      </c>
      <c r="DS290" s="118">
        <f t="shared" si="104"/>
        <v>35999.25</v>
      </c>
      <c r="DT290" s="118">
        <f t="shared" si="105"/>
        <v>71998.5</v>
      </c>
      <c r="DU290" s="118">
        <f t="shared" si="106"/>
        <v>107997.75</v>
      </c>
      <c r="DV290" s="118">
        <f t="shared" si="107"/>
        <v>143997</v>
      </c>
      <c r="DW290" s="118">
        <f t="shared" si="108"/>
        <v>143997</v>
      </c>
      <c r="DX290" s="118">
        <f t="shared" si="109"/>
        <v>143997</v>
      </c>
      <c r="DY290" s="118">
        <f t="shared" si="110"/>
        <v>143997</v>
      </c>
      <c r="DZ290" s="118">
        <f t="shared" si="111"/>
        <v>143997</v>
      </c>
      <c r="EA290" s="118">
        <f t="shared" si="112"/>
        <v>143997</v>
      </c>
      <c r="EB290" s="118">
        <f t="shared" si="113"/>
        <v>143997</v>
      </c>
    </row>
    <row r="291" spans="1:132" ht="45" x14ac:dyDescent="0.25">
      <c r="A291" s="121">
        <v>6</v>
      </c>
      <c r="B291" s="122" t="s">
        <v>2688</v>
      </c>
      <c r="C291" s="123" t="s">
        <v>3839</v>
      </c>
      <c r="D291" s="123" t="s">
        <v>3840</v>
      </c>
      <c r="E291" s="123" t="s">
        <v>3841</v>
      </c>
      <c r="F291" s="123" t="s">
        <v>1118</v>
      </c>
      <c r="G291" s="123" t="s">
        <v>6118</v>
      </c>
      <c r="H291" s="123" t="s">
        <v>691</v>
      </c>
      <c r="I291" s="123" t="s">
        <v>1044</v>
      </c>
      <c r="J291" s="124" t="s">
        <v>494</v>
      </c>
      <c r="K291" s="124" t="s">
        <v>495</v>
      </c>
      <c r="L291" s="124" t="s">
        <v>496</v>
      </c>
      <c r="M291" s="124" t="s">
        <v>3483</v>
      </c>
      <c r="N291" s="124" t="s">
        <v>1217</v>
      </c>
      <c r="O291" s="124" t="s">
        <v>1218</v>
      </c>
      <c r="P291" s="124" t="s">
        <v>257</v>
      </c>
      <c r="Q291" s="124" t="s">
        <v>556</v>
      </c>
      <c r="R291" s="124" t="s">
        <v>269</v>
      </c>
      <c r="S291" s="32">
        <v>292398.90000000002</v>
      </c>
      <c r="T291" s="32">
        <v>77.88</v>
      </c>
      <c r="U291" s="32">
        <v>35.56</v>
      </c>
      <c r="V291" s="32">
        <v>0</v>
      </c>
      <c r="W291" s="32">
        <v>0</v>
      </c>
      <c r="X291" s="32">
        <v>0</v>
      </c>
      <c r="Y291" s="32">
        <v>0</v>
      </c>
      <c r="Z291" s="32">
        <v>0</v>
      </c>
      <c r="AA291" s="32">
        <v>0</v>
      </c>
      <c r="AB291" s="32">
        <v>0</v>
      </c>
      <c r="AC291" s="32">
        <v>0</v>
      </c>
      <c r="AD291" s="32">
        <v>0</v>
      </c>
      <c r="AE291" s="32">
        <v>0</v>
      </c>
      <c r="AF291" s="32">
        <v>0</v>
      </c>
      <c r="AG291" s="32">
        <v>0</v>
      </c>
      <c r="AH291" s="32">
        <v>0</v>
      </c>
      <c r="AI291" s="32">
        <v>0</v>
      </c>
      <c r="AJ291" s="32">
        <v>0</v>
      </c>
      <c r="AK291" s="32">
        <v>0</v>
      </c>
      <c r="AL291" s="32">
        <v>0</v>
      </c>
      <c r="AM291" s="32">
        <v>0</v>
      </c>
      <c r="AN291" s="32">
        <v>83049.100000000006</v>
      </c>
      <c r="AO291" s="32">
        <v>0</v>
      </c>
      <c r="AP291" s="32">
        <v>0</v>
      </c>
      <c r="AQ291" s="32">
        <v>83049.100000000006</v>
      </c>
      <c r="AR291" s="32">
        <v>375448</v>
      </c>
      <c r="AS291" s="32">
        <v>35.56</v>
      </c>
      <c r="AT291" s="32">
        <v>59200</v>
      </c>
      <c r="AU291" s="32">
        <v>59200</v>
      </c>
      <c r="AV291" s="32">
        <v>0</v>
      </c>
      <c r="AW291" s="32">
        <v>0</v>
      </c>
      <c r="AX291" s="32">
        <v>8880</v>
      </c>
      <c r="AY291" s="32">
        <v>8880</v>
      </c>
      <c r="AZ291" s="32">
        <v>2368</v>
      </c>
      <c r="BA291" s="32">
        <v>2368</v>
      </c>
      <c r="BB291" s="32">
        <v>0</v>
      </c>
      <c r="BC291" s="32">
        <v>0</v>
      </c>
      <c r="BD291" s="32">
        <v>21000</v>
      </c>
      <c r="BE291" s="32">
        <v>21000</v>
      </c>
      <c r="BF291" s="32">
        <v>0</v>
      </c>
      <c r="BG291" s="32">
        <v>10000</v>
      </c>
      <c r="BH291" s="32">
        <v>10000</v>
      </c>
      <c r="BI291" s="32">
        <v>0</v>
      </c>
      <c r="BJ291" s="32">
        <v>265000</v>
      </c>
      <c r="BK291" s="32">
        <v>265000</v>
      </c>
      <c r="BL291" s="32">
        <v>0</v>
      </c>
      <c r="BM291" s="32">
        <v>0</v>
      </c>
      <c r="BN291" s="32">
        <v>0</v>
      </c>
      <c r="BO291" s="32">
        <v>9000</v>
      </c>
      <c r="BP291" s="32">
        <v>0</v>
      </c>
      <c r="BQ291" s="32">
        <v>9000</v>
      </c>
      <c r="BR291" s="32">
        <v>174558</v>
      </c>
      <c r="BS291" s="32">
        <v>170844</v>
      </c>
      <c r="BT291" s="32">
        <v>21046</v>
      </c>
      <c r="BU291" s="32">
        <v>0</v>
      </c>
      <c r="BV291" s="32">
        <v>0</v>
      </c>
      <c r="BW291" s="32">
        <v>0</v>
      </c>
      <c r="BX291" s="32">
        <v>0</v>
      </c>
      <c r="BY291" s="32">
        <v>0</v>
      </c>
      <c r="BZ291" s="32">
        <v>0</v>
      </c>
      <c r="CA291" s="32">
        <v>0</v>
      </c>
      <c r="CB291" s="125" t="s">
        <v>665</v>
      </c>
      <c r="CC291" s="125" t="s">
        <v>522</v>
      </c>
      <c r="CD291" s="125"/>
      <c r="CE291" s="125" t="s">
        <v>523</v>
      </c>
      <c r="CF291" s="125" t="s">
        <v>636</v>
      </c>
      <c r="CG291" s="125" t="s">
        <v>926</v>
      </c>
      <c r="CH291" s="125" t="s">
        <v>526</v>
      </c>
      <c r="CI291" s="125" t="s">
        <v>665</v>
      </c>
      <c r="CJ291" s="125" t="s">
        <v>665</v>
      </c>
      <c r="CK291" s="125" t="s">
        <v>3484</v>
      </c>
      <c r="CL291" s="125" t="s">
        <v>212</v>
      </c>
      <c r="CM291" s="125"/>
      <c r="CN291" s="125" t="s">
        <v>257</v>
      </c>
      <c r="CO291" s="125" t="s">
        <v>269</v>
      </c>
      <c r="CP291" s="125" t="s">
        <v>927</v>
      </c>
      <c r="CQ291" s="125" t="s">
        <v>928</v>
      </c>
      <c r="CR291" s="125" t="s">
        <v>929</v>
      </c>
      <c r="CS291" s="125" t="s">
        <v>930</v>
      </c>
      <c r="CT291" s="125" t="s">
        <v>257</v>
      </c>
      <c r="CU291" s="125" t="s">
        <v>269</v>
      </c>
      <c r="CV291" s="125" t="s">
        <v>725</v>
      </c>
      <c r="CW291" s="125" t="s">
        <v>665</v>
      </c>
      <c r="CX291" s="125" t="s">
        <v>665</v>
      </c>
      <c r="CY291" s="125" t="s">
        <v>892</v>
      </c>
      <c r="CZ291" s="125" t="s">
        <v>931</v>
      </c>
      <c r="DA291" s="125" t="s">
        <v>932</v>
      </c>
      <c r="DB291" s="125" t="s">
        <v>895</v>
      </c>
      <c r="DC291" s="125" t="s">
        <v>2627</v>
      </c>
      <c r="DD291" s="125" t="s">
        <v>6136</v>
      </c>
      <c r="DE291" s="125" t="s">
        <v>6137</v>
      </c>
      <c r="DF291" s="126" t="s">
        <v>6138</v>
      </c>
      <c r="DG291" s="27" cm="1">
        <f t="array" ref="DG291">INDEX('elenco partner'!A:M,MATCH(1,(D291='elenco partner'!A:A)*('Partner data'!M291='elenco partner'!E:E),0),4)</f>
        <v>488</v>
      </c>
      <c r="DH291" s="83" t="str">
        <f t="shared" ref="DH291:DH295" si="126">IF(AU291&lt;&gt;0,"Tasso Forfettario 20%",IF(AV291&lt;&gt;0,"COSTO REALE",IF(AW291&lt;&gt;0,"Costo Unitario Standard","BL1 non presente")))</f>
        <v>Tasso Forfettario 20%</v>
      </c>
      <c r="DI291" s="20">
        <f>COUNTIFS('MY-REPORT-MAIN'!C:C,'Partner data'!DG291,'MY-REPORT-MAIN'!I:I,"Certified")</f>
        <v>0</v>
      </c>
      <c r="DJ291" s="20">
        <f>COUNTIFS(List_Of_chek_list!M:M,"&lt;&gt;26",List_Of_chek_list!B:B,'Partner data'!DG291)</f>
        <v>0</v>
      </c>
      <c r="DK291" s="20">
        <f t="shared" ref="DK291:DK295" si="127">DI291-DJ291</f>
        <v>0</v>
      </c>
      <c r="DL291" s="19" t="e">
        <f>IF(DH291="Tasso Forfettario 20%",SUMIFS(List_Of_chek_list!#REF!,List_Of_chek_list!B:B,'Partner data'!DG291),"NON PERTINENTE")</f>
        <v>#REF!</v>
      </c>
      <c r="DM291" s="19" t="e">
        <f t="shared" ref="DM291:DM295" si="128">IF(DL291="NON PERTINENTE","NON PERTINENTE",IF(DJ291=DL291,"Rischio basso","Rischio alto"))</f>
        <v>#REF!</v>
      </c>
      <c r="DN291" s="110">
        <f>_xlfn.MAXIFS('MY-REPORT-MAIN'!K:K,'MY-REPORT-MAIN'!C:C,DG291)</f>
        <v>0</v>
      </c>
      <c r="DO291" s="112" t="str">
        <f>IF(_xlfn.MAXIFS('MY-REPORT-MAIN'!M:M,'MY-REPORT-MAIN'!C:C,DG291)=0,"Nessun rendiconto  Convalidato",_xlfn.MAXIFS('MY-REPORT-MAIN'!M:M,'MY-REPORT-MAIN'!C:C,DG291))</f>
        <v>Nessun rendiconto  Convalidato</v>
      </c>
      <c r="DP291" s="113" t="str" cm="1">
        <f t="array" ref="DP291">IFERROR(INDEX('MY-REPORT-MAIN'!A:Z,MATCH(1,(DO291='MY-REPORT-MAIN'!M:M)*('Partner data'!DG291='MY-REPORT-MAIN'!C:C),0),1),"NON è stato convalidato ancora nessun rendiconto")</f>
        <v>NON è stato convalidato ancora nessun rendiconto</v>
      </c>
      <c r="DQ291" s="111" t="str">
        <f>IFERROR(INDEX('MY-REPORT-MAIN'!A:Z,MATCH('Partner data'!DP291,'MY-REPORT-MAIN'!A:A,0),21),"Nessun Rendiconto ancora convalidato")</f>
        <v>Nessun Rendiconto ancora convalidato</v>
      </c>
      <c r="DR291" s="110" t="e">
        <f>INDEX('Interreg VI-A Italy-Slovenia_pr'!A:E,MATCH('Partner data'!C291,'Interreg VI-A Italy-Slovenia_pr'!A:A,0),3)</f>
        <v>#N/A</v>
      </c>
      <c r="DS291" s="118">
        <f t="shared" si="104"/>
        <v>9000</v>
      </c>
      <c r="DT291" s="118">
        <f t="shared" si="105"/>
        <v>183558</v>
      </c>
      <c r="DU291" s="118">
        <f t="shared" si="106"/>
        <v>354402</v>
      </c>
      <c r="DV291" s="118">
        <f t="shared" si="107"/>
        <v>375448</v>
      </c>
      <c r="DW291" s="118">
        <f t="shared" si="108"/>
        <v>375448</v>
      </c>
      <c r="DX291" s="118">
        <f t="shared" si="109"/>
        <v>375448</v>
      </c>
      <c r="DY291" s="118">
        <f t="shared" si="110"/>
        <v>375448</v>
      </c>
      <c r="DZ291" s="118">
        <f t="shared" si="111"/>
        <v>375448</v>
      </c>
      <c r="EA291" s="118">
        <f t="shared" si="112"/>
        <v>375448</v>
      </c>
      <c r="EB291" s="118">
        <f t="shared" si="113"/>
        <v>375448</v>
      </c>
    </row>
    <row r="292" spans="1:132" ht="45" x14ac:dyDescent="0.25">
      <c r="A292" s="121">
        <v>6</v>
      </c>
      <c r="B292" s="122" t="s">
        <v>2688</v>
      </c>
      <c r="C292" s="123" t="s">
        <v>3839</v>
      </c>
      <c r="D292" s="123" t="s">
        <v>3840</v>
      </c>
      <c r="E292" s="123" t="s">
        <v>3841</v>
      </c>
      <c r="F292" s="123" t="s">
        <v>1118</v>
      </c>
      <c r="G292" s="123" t="s">
        <v>6118</v>
      </c>
      <c r="H292" s="123" t="s">
        <v>691</v>
      </c>
      <c r="I292" s="123" t="s">
        <v>1044</v>
      </c>
      <c r="J292" s="124" t="s">
        <v>518</v>
      </c>
      <c r="K292" s="124" t="s">
        <v>495</v>
      </c>
      <c r="L292" s="124" t="s">
        <v>519</v>
      </c>
      <c r="M292" s="124" t="s">
        <v>3842</v>
      </c>
      <c r="N292" s="124" t="s">
        <v>3843</v>
      </c>
      <c r="O292" s="124" t="s">
        <v>3844</v>
      </c>
      <c r="P292" s="124" t="s">
        <v>257</v>
      </c>
      <c r="Q292" s="124" t="s">
        <v>556</v>
      </c>
      <c r="R292" s="124" t="s">
        <v>269</v>
      </c>
      <c r="S292" s="32">
        <v>174534.35</v>
      </c>
      <c r="T292" s="32">
        <v>77.89</v>
      </c>
      <c r="U292" s="32">
        <v>21.22</v>
      </c>
      <c r="V292" s="32">
        <v>0</v>
      </c>
      <c r="W292" s="32">
        <v>0</v>
      </c>
      <c r="X292" s="32">
        <v>0</v>
      </c>
      <c r="Y292" s="32">
        <v>0</v>
      </c>
      <c r="Z292" s="32">
        <v>0</v>
      </c>
      <c r="AA292" s="32">
        <v>0</v>
      </c>
      <c r="AB292" s="32">
        <v>0</v>
      </c>
      <c r="AC292" s="32">
        <v>0</v>
      </c>
      <c r="AD292" s="32">
        <v>0</v>
      </c>
      <c r="AE292" s="32">
        <v>0</v>
      </c>
      <c r="AF292" s="32">
        <v>0</v>
      </c>
      <c r="AG292" s="32">
        <v>0</v>
      </c>
      <c r="AH292" s="32">
        <v>0</v>
      </c>
      <c r="AI292" s="32">
        <v>0</v>
      </c>
      <c r="AJ292" s="32">
        <v>0</v>
      </c>
      <c r="AK292" s="32">
        <v>0</v>
      </c>
      <c r="AL292" s="32">
        <v>0</v>
      </c>
      <c r="AM292" s="32">
        <v>0</v>
      </c>
      <c r="AN292" s="32">
        <v>49543.65</v>
      </c>
      <c r="AO292" s="32">
        <v>0</v>
      </c>
      <c r="AP292" s="32">
        <v>0</v>
      </c>
      <c r="AQ292" s="32">
        <v>49543.65</v>
      </c>
      <c r="AR292" s="32">
        <v>224078</v>
      </c>
      <c r="AS292" s="32">
        <v>21.22</v>
      </c>
      <c r="AT292" s="32">
        <v>36200</v>
      </c>
      <c r="AU292" s="32">
        <v>36200</v>
      </c>
      <c r="AV292" s="32">
        <v>0</v>
      </c>
      <c r="AW292" s="32">
        <v>0</v>
      </c>
      <c r="AX292" s="32">
        <v>5430</v>
      </c>
      <c r="AY292" s="32">
        <v>5430</v>
      </c>
      <c r="AZ292" s="32">
        <v>1448</v>
      </c>
      <c r="BA292" s="32">
        <v>1448</v>
      </c>
      <c r="BB292" s="32">
        <v>0</v>
      </c>
      <c r="BC292" s="32">
        <v>0</v>
      </c>
      <c r="BD292" s="32">
        <v>60000</v>
      </c>
      <c r="BE292" s="32">
        <v>60000</v>
      </c>
      <c r="BF292" s="32">
        <v>0</v>
      </c>
      <c r="BG292" s="32">
        <v>121000</v>
      </c>
      <c r="BH292" s="32">
        <v>121000</v>
      </c>
      <c r="BI292" s="32">
        <v>0</v>
      </c>
      <c r="BJ292" s="32">
        <v>0</v>
      </c>
      <c r="BK292" s="32">
        <v>0</v>
      </c>
      <c r="BL292" s="32">
        <v>0</v>
      </c>
      <c r="BM292" s="32">
        <v>0</v>
      </c>
      <c r="BN292" s="32">
        <v>0</v>
      </c>
      <c r="BO292" s="32">
        <v>0</v>
      </c>
      <c r="BP292" s="32">
        <v>0</v>
      </c>
      <c r="BQ292" s="32">
        <v>133704</v>
      </c>
      <c r="BR292" s="32">
        <v>28474</v>
      </c>
      <c r="BS292" s="32">
        <v>37140</v>
      </c>
      <c r="BT292" s="32">
        <v>24760</v>
      </c>
      <c r="BU292" s="32">
        <v>0</v>
      </c>
      <c r="BV292" s="32">
        <v>0</v>
      </c>
      <c r="BW292" s="32">
        <v>0</v>
      </c>
      <c r="BX292" s="32">
        <v>0</v>
      </c>
      <c r="BY292" s="32">
        <v>0</v>
      </c>
      <c r="BZ292" s="32">
        <v>0</v>
      </c>
      <c r="CA292" s="32">
        <v>0</v>
      </c>
      <c r="CB292" s="125" t="s">
        <v>665</v>
      </c>
      <c r="CC292" s="125" t="s">
        <v>522</v>
      </c>
      <c r="CD292" s="125"/>
      <c r="CE292" s="125" t="s">
        <v>523</v>
      </c>
      <c r="CF292" s="125" t="s">
        <v>636</v>
      </c>
      <c r="CG292" s="125" t="s">
        <v>3845</v>
      </c>
      <c r="CH292" s="125" t="s">
        <v>526</v>
      </c>
      <c r="CI292" s="125" t="s">
        <v>665</v>
      </c>
      <c r="CJ292" s="125" t="s">
        <v>665</v>
      </c>
      <c r="CK292" s="125" t="s">
        <v>3846</v>
      </c>
      <c r="CL292" s="125" t="s">
        <v>212</v>
      </c>
      <c r="CM292" s="125"/>
      <c r="CN292" s="125" t="s">
        <v>257</v>
      </c>
      <c r="CO292" s="125" t="s">
        <v>269</v>
      </c>
      <c r="CP292" s="125" t="s">
        <v>3847</v>
      </c>
      <c r="CQ292" s="125" t="s">
        <v>3848</v>
      </c>
      <c r="CR292" s="125" t="s">
        <v>3849</v>
      </c>
      <c r="CS292" s="125" t="s">
        <v>3850</v>
      </c>
      <c r="CT292" s="125" t="s">
        <v>257</v>
      </c>
      <c r="CU292" s="125" t="s">
        <v>269</v>
      </c>
      <c r="CV292" s="125" t="s">
        <v>725</v>
      </c>
      <c r="CW292" s="125" t="s">
        <v>665</v>
      </c>
      <c r="CX292" s="125" t="s">
        <v>665</v>
      </c>
      <c r="CY292" s="125" t="s">
        <v>892</v>
      </c>
      <c r="CZ292" s="125" t="s">
        <v>3851</v>
      </c>
      <c r="DA292" s="125" t="s">
        <v>3852</v>
      </c>
      <c r="DB292" s="125" t="s">
        <v>892</v>
      </c>
      <c r="DC292" s="125" t="s">
        <v>2945</v>
      </c>
      <c r="DD292" s="125" t="s">
        <v>3853</v>
      </c>
      <c r="DE292" s="125" t="s">
        <v>3854</v>
      </c>
      <c r="DF292" s="126" t="s">
        <v>3855</v>
      </c>
      <c r="DG292" s="27" cm="1">
        <f t="array" ref="DG292">INDEX('elenco partner'!A:M,MATCH(1,(D292='elenco partner'!A:A)*('Partner data'!M292='elenco partner'!E:E),0),4)</f>
        <v>492</v>
      </c>
      <c r="DH292" s="83" t="str">
        <f t="shared" si="126"/>
        <v>Tasso Forfettario 20%</v>
      </c>
      <c r="DI292" s="20">
        <f>COUNTIFS('MY-REPORT-MAIN'!C:C,'Partner data'!DG292,'MY-REPORT-MAIN'!I:I,"Certified")</f>
        <v>0</v>
      </c>
      <c r="DJ292" s="20">
        <f>COUNTIFS(List_Of_chek_list!M:M,"&lt;&gt;26",List_Of_chek_list!B:B,'Partner data'!DG292)</f>
        <v>0</v>
      </c>
      <c r="DK292" s="20">
        <f t="shared" si="127"/>
        <v>0</v>
      </c>
      <c r="DL292" s="19" t="e">
        <f>IF(DH292="Tasso Forfettario 20%",SUMIFS(List_Of_chek_list!#REF!,List_Of_chek_list!B:B,'Partner data'!DG292),"NON PERTINENTE")</f>
        <v>#REF!</v>
      </c>
      <c r="DM292" s="19" t="e">
        <f t="shared" si="128"/>
        <v>#REF!</v>
      </c>
      <c r="DN292" s="110">
        <f>_xlfn.MAXIFS('MY-REPORT-MAIN'!K:K,'MY-REPORT-MAIN'!C:C,DG292)</f>
        <v>0</v>
      </c>
      <c r="DO292" s="112" t="str">
        <f>IF(_xlfn.MAXIFS('MY-REPORT-MAIN'!M:M,'MY-REPORT-MAIN'!C:C,DG292)=0,"Nessun rendiconto  Convalidato",_xlfn.MAXIFS('MY-REPORT-MAIN'!M:M,'MY-REPORT-MAIN'!C:C,DG292))</f>
        <v>Nessun rendiconto  Convalidato</v>
      </c>
      <c r="DP292" s="113" t="str" cm="1">
        <f t="array" ref="DP292">IFERROR(INDEX('MY-REPORT-MAIN'!A:Z,MATCH(1,(DO292='MY-REPORT-MAIN'!M:M)*('Partner data'!DG292='MY-REPORT-MAIN'!C:C),0),1),"NON è stato convalidato ancora nessun rendiconto")</f>
        <v>NON è stato convalidato ancora nessun rendiconto</v>
      </c>
      <c r="DQ292" s="111" t="str">
        <f>IFERROR(INDEX('MY-REPORT-MAIN'!A:Z,MATCH('Partner data'!DP292,'MY-REPORT-MAIN'!A:A,0),21),"Nessun Rendiconto ancora convalidato")</f>
        <v>Nessun Rendiconto ancora convalidato</v>
      </c>
      <c r="DR292" s="110" t="e">
        <f>INDEX('Interreg VI-A Italy-Slovenia_pr'!A:E,MATCH('Partner data'!C292,'Interreg VI-A Italy-Slovenia_pr'!A:A,0),3)</f>
        <v>#N/A</v>
      </c>
      <c r="DS292" s="118">
        <f t="shared" si="104"/>
        <v>133704</v>
      </c>
      <c r="DT292" s="118">
        <f t="shared" si="105"/>
        <v>162178</v>
      </c>
      <c r="DU292" s="118">
        <f t="shared" si="106"/>
        <v>199318</v>
      </c>
      <c r="DV292" s="118">
        <f t="shared" si="107"/>
        <v>224078</v>
      </c>
      <c r="DW292" s="118">
        <f t="shared" si="108"/>
        <v>224078</v>
      </c>
      <c r="DX292" s="118">
        <f t="shared" si="109"/>
        <v>224078</v>
      </c>
      <c r="DY292" s="118">
        <f t="shared" si="110"/>
        <v>224078</v>
      </c>
      <c r="DZ292" s="118">
        <f t="shared" si="111"/>
        <v>224078</v>
      </c>
      <c r="EA292" s="118">
        <f t="shared" si="112"/>
        <v>224078</v>
      </c>
      <c r="EB292" s="118">
        <f t="shared" si="113"/>
        <v>224078</v>
      </c>
    </row>
    <row r="293" spans="1:132" ht="45" x14ac:dyDescent="0.25">
      <c r="A293" s="121">
        <v>6</v>
      </c>
      <c r="B293" s="122" t="s">
        <v>2688</v>
      </c>
      <c r="C293" s="123" t="s">
        <v>3839</v>
      </c>
      <c r="D293" s="123" t="s">
        <v>3840</v>
      </c>
      <c r="E293" s="123" t="s">
        <v>3841</v>
      </c>
      <c r="F293" s="123" t="s">
        <v>1118</v>
      </c>
      <c r="G293" s="123" t="s">
        <v>6118</v>
      </c>
      <c r="H293" s="123" t="s">
        <v>691</v>
      </c>
      <c r="I293" s="123" t="s">
        <v>1044</v>
      </c>
      <c r="J293" s="124" t="s">
        <v>538</v>
      </c>
      <c r="K293" s="124" t="s">
        <v>495</v>
      </c>
      <c r="L293" s="124" t="s">
        <v>519</v>
      </c>
      <c r="M293" s="124" t="s">
        <v>3856</v>
      </c>
      <c r="N293" s="124" t="s">
        <v>2312</v>
      </c>
      <c r="O293" s="124" t="s">
        <v>1948</v>
      </c>
      <c r="P293" s="124" t="s">
        <v>254</v>
      </c>
      <c r="Q293" s="124" t="s">
        <v>499</v>
      </c>
      <c r="R293" s="124" t="s">
        <v>255</v>
      </c>
      <c r="S293" s="32">
        <v>140766.54</v>
      </c>
      <c r="T293" s="32">
        <v>77.88</v>
      </c>
      <c r="U293" s="32">
        <v>17.12</v>
      </c>
      <c r="V293" s="32">
        <v>0</v>
      </c>
      <c r="W293" s="32">
        <v>0</v>
      </c>
      <c r="X293" s="32">
        <v>0</v>
      </c>
      <c r="Y293" s="32">
        <v>0</v>
      </c>
      <c r="Z293" s="32">
        <v>0</v>
      </c>
      <c r="AA293" s="32">
        <v>0</v>
      </c>
      <c r="AB293" s="32">
        <v>0</v>
      </c>
      <c r="AC293" s="32">
        <v>0</v>
      </c>
      <c r="AD293" s="32">
        <v>0</v>
      </c>
      <c r="AE293" s="32">
        <v>0</v>
      </c>
      <c r="AF293" s="32">
        <v>0</v>
      </c>
      <c r="AG293" s="32">
        <v>0</v>
      </c>
      <c r="AH293" s="32">
        <v>0</v>
      </c>
      <c r="AI293" s="32">
        <v>0</v>
      </c>
      <c r="AJ293" s="32">
        <v>0</v>
      </c>
      <c r="AK293" s="32">
        <v>0</v>
      </c>
      <c r="AL293" s="32">
        <v>0</v>
      </c>
      <c r="AM293" s="32">
        <v>0</v>
      </c>
      <c r="AN293" s="32">
        <v>4789.82</v>
      </c>
      <c r="AO293" s="32">
        <v>35191.64</v>
      </c>
      <c r="AP293" s="32">
        <v>0</v>
      </c>
      <c r="AQ293" s="32">
        <v>39981.46</v>
      </c>
      <c r="AR293" s="32">
        <v>180748</v>
      </c>
      <c r="AS293" s="32">
        <v>17.12</v>
      </c>
      <c r="AT293" s="32">
        <v>29200</v>
      </c>
      <c r="AU293" s="32">
        <v>29200</v>
      </c>
      <c r="AV293" s="32">
        <v>0</v>
      </c>
      <c r="AW293" s="32">
        <v>0</v>
      </c>
      <c r="AX293" s="32">
        <v>4380</v>
      </c>
      <c r="AY293" s="32">
        <v>4380</v>
      </c>
      <c r="AZ293" s="32">
        <v>1168</v>
      </c>
      <c r="BA293" s="32">
        <v>1168</v>
      </c>
      <c r="BB293" s="32">
        <v>0</v>
      </c>
      <c r="BC293" s="32">
        <v>0</v>
      </c>
      <c r="BD293" s="32">
        <v>81500</v>
      </c>
      <c r="BE293" s="32">
        <v>81500</v>
      </c>
      <c r="BF293" s="32">
        <v>0</v>
      </c>
      <c r="BG293" s="32">
        <v>64500</v>
      </c>
      <c r="BH293" s="32">
        <v>64500</v>
      </c>
      <c r="BI293" s="32">
        <v>0</v>
      </c>
      <c r="BJ293" s="32">
        <v>0</v>
      </c>
      <c r="BK293" s="32">
        <v>0</v>
      </c>
      <c r="BL293" s="32">
        <v>0</v>
      </c>
      <c r="BM293" s="32">
        <v>0</v>
      </c>
      <c r="BN293" s="32">
        <v>0</v>
      </c>
      <c r="BO293" s="32">
        <v>0</v>
      </c>
      <c r="BP293" s="32">
        <v>0</v>
      </c>
      <c r="BQ293" s="32">
        <v>24141</v>
      </c>
      <c r="BR293" s="32">
        <v>94707</v>
      </c>
      <c r="BS293" s="32">
        <v>33426</v>
      </c>
      <c r="BT293" s="32">
        <v>28474</v>
      </c>
      <c r="BU293" s="32">
        <v>0</v>
      </c>
      <c r="BV293" s="32">
        <v>0</v>
      </c>
      <c r="BW293" s="32">
        <v>0</v>
      </c>
      <c r="BX293" s="32">
        <v>0</v>
      </c>
      <c r="BY293" s="32">
        <v>0</v>
      </c>
      <c r="BZ293" s="32">
        <v>0</v>
      </c>
      <c r="CA293" s="32">
        <v>0</v>
      </c>
      <c r="CB293" s="125" t="s">
        <v>665</v>
      </c>
      <c r="CC293" s="125" t="s">
        <v>522</v>
      </c>
      <c r="CD293" s="125"/>
      <c r="CE293" s="125" t="s">
        <v>523</v>
      </c>
      <c r="CF293" s="125" t="s">
        <v>636</v>
      </c>
      <c r="CG293" s="125" t="s">
        <v>2313</v>
      </c>
      <c r="CH293" s="125" t="s">
        <v>526</v>
      </c>
      <c r="CI293" s="125" t="s">
        <v>665</v>
      </c>
      <c r="CJ293" s="125" t="s">
        <v>665</v>
      </c>
      <c r="CK293" s="125" t="s">
        <v>3128</v>
      </c>
      <c r="CL293" s="125" t="s">
        <v>212</v>
      </c>
      <c r="CM293" s="125"/>
      <c r="CN293" s="125" t="s">
        <v>254</v>
      </c>
      <c r="CO293" s="125" t="s">
        <v>255</v>
      </c>
      <c r="CP293" s="125" t="s">
        <v>3445</v>
      </c>
      <c r="CQ293" s="125" t="s">
        <v>877</v>
      </c>
      <c r="CR293" s="125" t="s">
        <v>878</v>
      </c>
      <c r="CS293" s="125" t="s">
        <v>1951</v>
      </c>
      <c r="CT293" s="125" t="s">
        <v>254</v>
      </c>
      <c r="CU293" s="125" t="s">
        <v>255</v>
      </c>
      <c r="CV293" s="125" t="s">
        <v>725</v>
      </c>
      <c r="CW293" s="125" t="s">
        <v>665</v>
      </c>
      <c r="CX293" s="125" t="s">
        <v>665</v>
      </c>
      <c r="CY293" s="125" t="s">
        <v>3857</v>
      </c>
      <c r="CZ293" s="125" t="s">
        <v>833</v>
      </c>
      <c r="DA293" s="125" t="s">
        <v>3858</v>
      </c>
      <c r="DB293" s="125" t="s">
        <v>3857</v>
      </c>
      <c r="DC293" s="125" t="s">
        <v>1613</v>
      </c>
      <c r="DD293" s="125" t="s">
        <v>3056</v>
      </c>
      <c r="DE293" s="125" t="s">
        <v>3057</v>
      </c>
      <c r="DF293" s="126" t="s">
        <v>3859</v>
      </c>
      <c r="DG293" s="27" cm="1">
        <f t="array" ref="DG293">INDEX('elenco partner'!A:M,MATCH(1,(D293='elenco partner'!A:A)*('Partner data'!M293='elenco partner'!E:E),0),4)</f>
        <v>493</v>
      </c>
      <c r="DH293" s="83" t="str">
        <f t="shared" si="126"/>
        <v>Tasso Forfettario 20%</v>
      </c>
      <c r="DI293" s="20">
        <f>COUNTIFS('MY-REPORT-MAIN'!C:C,'Partner data'!DG293,'MY-REPORT-MAIN'!I:I,"Certified")</f>
        <v>0</v>
      </c>
      <c r="DJ293" s="20">
        <f>COUNTIFS(List_Of_chek_list!M:M,"&lt;&gt;26",List_Of_chek_list!B:B,'Partner data'!DG293)</f>
        <v>0</v>
      </c>
      <c r="DK293" s="20">
        <f t="shared" si="127"/>
        <v>0</v>
      </c>
      <c r="DL293" s="19" t="e">
        <f>IF(DH293="Tasso Forfettario 20%",SUMIFS(List_Of_chek_list!#REF!,List_Of_chek_list!B:B,'Partner data'!DG293),"NON PERTINENTE")</f>
        <v>#REF!</v>
      </c>
      <c r="DM293" s="19" t="e">
        <f t="shared" si="128"/>
        <v>#REF!</v>
      </c>
      <c r="DN293" s="110">
        <f>_xlfn.MAXIFS('MY-REPORT-MAIN'!K:K,'MY-REPORT-MAIN'!C:C,DG293)</f>
        <v>0</v>
      </c>
      <c r="DO293" s="112" t="str">
        <f>IF(_xlfn.MAXIFS('MY-REPORT-MAIN'!M:M,'MY-REPORT-MAIN'!C:C,DG293)=0,"Nessun rendiconto  Convalidato",_xlfn.MAXIFS('MY-REPORT-MAIN'!M:M,'MY-REPORT-MAIN'!C:C,DG293))</f>
        <v>Nessun rendiconto  Convalidato</v>
      </c>
      <c r="DP293" s="113" t="str" cm="1">
        <f t="array" ref="DP293">IFERROR(INDEX('MY-REPORT-MAIN'!A:Z,MATCH(1,(DO293='MY-REPORT-MAIN'!M:M)*('Partner data'!DG293='MY-REPORT-MAIN'!C:C),0),1),"NON è stato convalidato ancora nessun rendiconto")</f>
        <v>NON è stato convalidato ancora nessun rendiconto</v>
      </c>
      <c r="DQ293" s="111" t="str">
        <f>IFERROR(INDEX('MY-REPORT-MAIN'!A:Z,MATCH('Partner data'!DP293,'MY-REPORT-MAIN'!A:A,0),21),"Nessun Rendiconto ancora convalidato")</f>
        <v>Nessun Rendiconto ancora convalidato</v>
      </c>
      <c r="DR293" s="110" t="e">
        <f>INDEX('Interreg VI-A Italy-Slovenia_pr'!A:E,MATCH('Partner data'!C293,'Interreg VI-A Italy-Slovenia_pr'!A:A,0),3)</f>
        <v>#N/A</v>
      </c>
      <c r="DS293" s="118">
        <f t="shared" si="104"/>
        <v>24141</v>
      </c>
      <c r="DT293" s="118">
        <f t="shared" si="105"/>
        <v>118848</v>
      </c>
      <c r="DU293" s="118">
        <f t="shared" si="106"/>
        <v>152274</v>
      </c>
      <c r="DV293" s="118">
        <f t="shared" si="107"/>
        <v>180748</v>
      </c>
      <c r="DW293" s="118">
        <f t="shared" si="108"/>
        <v>180748</v>
      </c>
      <c r="DX293" s="118">
        <f t="shared" si="109"/>
        <v>180748</v>
      </c>
      <c r="DY293" s="118">
        <f t="shared" si="110"/>
        <v>180748</v>
      </c>
      <c r="DZ293" s="118">
        <f t="shared" si="111"/>
        <v>180748</v>
      </c>
      <c r="EA293" s="118">
        <f t="shared" si="112"/>
        <v>180748</v>
      </c>
      <c r="EB293" s="118">
        <f t="shared" si="113"/>
        <v>180748</v>
      </c>
    </row>
    <row r="294" spans="1:132" ht="45" x14ac:dyDescent="0.25">
      <c r="A294" s="121">
        <v>6</v>
      </c>
      <c r="B294" s="122" t="s">
        <v>2688</v>
      </c>
      <c r="C294" s="123" t="s">
        <v>3839</v>
      </c>
      <c r="D294" s="123" t="s">
        <v>3840</v>
      </c>
      <c r="E294" s="123" t="s">
        <v>3841</v>
      </c>
      <c r="F294" s="123" t="s">
        <v>1118</v>
      </c>
      <c r="G294" s="123" t="s">
        <v>6118</v>
      </c>
      <c r="H294" s="123" t="s">
        <v>691</v>
      </c>
      <c r="I294" s="123" t="s">
        <v>1044</v>
      </c>
      <c r="J294" s="124" t="s">
        <v>554</v>
      </c>
      <c r="K294" s="124" t="s">
        <v>495</v>
      </c>
      <c r="L294" s="124" t="s">
        <v>519</v>
      </c>
      <c r="M294" s="124" t="s">
        <v>3860</v>
      </c>
      <c r="N294" s="124" t="s">
        <v>1248</v>
      </c>
      <c r="O294" s="124" t="s">
        <v>1249</v>
      </c>
      <c r="P294" s="124" t="s">
        <v>254</v>
      </c>
      <c r="Q294" s="124" t="s">
        <v>499</v>
      </c>
      <c r="R294" s="124" t="s">
        <v>266</v>
      </c>
      <c r="S294" s="32">
        <v>82445.78</v>
      </c>
      <c r="T294" s="32">
        <v>77.89</v>
      </c>
      <c r="U294" s="32">
        <v>10.029999999999999</v>
      </c>
      <c r="V294" s="32">
        <v>0</v>
      </c>
      <c r="W294" s="32">
        <v>0</v>
      </c>
      <c r="X294" s="32">
        <v>0</v>
      </c>
      <c r="Y294" s="32">
        <v>0</v>
      </c>
      <c r="Z294" s="32">
        <v>0</v>
      </c>
      <c r="AA294" s="32">
        <v>0</v>
      </c>
      <c r="AB294" s="32">
        <v>0</v>
      </c>
      <c r="AC294" s="32">
        <v>0</v>
      </c>
      <c r="AD294" s="32">
        <v>0</v>
      </c>
      <c r="AE294" s="32">
        <v>0</v>
      </c>
      <c r="AF294" s="32">
        <v>0</v>
      </c>
      <c r="AG294" s="32">
        <v>0</v>
      </c>
      <c r="AH294" s="32">
        <v>0</v>
      </c>
      <c r="AI294" s="32">
        <v>0</v>
      </c>
      <c r="AJ294" s="32">
        <v>0</v>
      </c>
      <c r="AK294" s="32">
        <v>0</v>
      </c>
      <c r="AL294" s="32">
        <v>0</v>
      </c>
      <c r="AM294" s="32">
        <v>0</v>
      </c>
      <c r="AN294" s="32">
        <v>2791.77</v>
      </c>
      <c r="AO294" s="32">
        <v>20611.45</v>
      </c>
      <c r="AP294" s="32">
        <v>0</v>
      </c>
      <c r="AQ294" s="32">
        <v>23403.22</v>
      </c>
      <c r="AR294" s="32">
        <v>105849</v>
      </c>
      <c r="AS294" s="32">
        <v>10.029999999999999</v>
      </c>
      <c r="AT294" s="32">
        <v>17100</v>
      </c>
      <c r="AU294" s="32">
        <v>17100</v>
      </c>
      <c r="AV294" s="32">
        <v>0</v>
      </c>
      <c r="AW294" s="32">
        <v>0</v>
      </c>
      <c r="AX294" s="32">
        <v>2565</v>
      </c>
      <c r="AY294" s="32">
        <v>2565</v>
      </c>
      <c r="AZ294" s="32">
        <v>684</v>
      </c>
      <c r="BA294" s="32">
        <v>684</v>
      </c>
      <c r="BB294" s="32">
        <v>0</v>
      </c>
      <c r="BC294" s="32">
        <v>0</v>
      </c>
      <c r="BD294" s="32">
        <v>65500</v>
      </c>
      <c r="BE294" s="32">
        <v>65500</v>
      </c>
      <c r="BF294" s="32">
        <v>0</v>
      </c>
      <c r="BG294" s="32">
        <v>20000</v>
      </c>
      <c r="BH294" s="32">
        <v>20000</v>
      </c>
      <c r="BI294" s="32">
        <v>0</v>
      </c>
      <c r="BJ294" s="32">
        <v>0</v>
      </c>
      <c r="BK294" s="32">
        <v>0</v>
      </c>
      <c r="BL294" s="32">
        <v>0</v>
      </c>
      <c r="BM294" s="32">
        <v>0</v>
      </c>
      <c r="BN294" s="32">
        <v>0</v>
      </c>
      <c r="BO294" s="32">
        <v>0</v>
      </c>
      <c r="BP294" s="32">
        <v>0</v>
      </c>
      <c r="BQ294" s="32">
        <v>5571</v>
      </c>
      <c r="BR294" s="32">
        <v>39616</v>
      </c>
      <c r="BS294" s="32">
        <v>35902</v>
      </c>
      <c r="BT294" s="32">
        <v>24760</v>
      </c>
      <c r="BU294" s="32">
        <v>0</v>
      </c>
      <c r="BV294" s="32">
        <v>0</v>
      </c>
      <c r="BW294" s="32">
        <v>0</v>
      </c>
      <c r="BX294" s="32">
        <v>0</v>
      </c>
      <c r="BY294" s="32">
        <v>0</v>
      </c>
      <c r="BZ294" s="32">
        <v>0</v>
      </c>
      <c r="CA294" s="32">
        <v>0</v>
      </c>
      <c r="CB294" s="125" t="s">
        <v>665</v>
      </c>
      <c r="CC294" s="125" t="s">
        <v>522</v>
      </c>
      <c r="CD294" s="125"/>
      <c r="CE294" s="125" t="s">
        <v>523</v>
      </c>
      <c r="CF294" s="125" t="s">
        <v>636</v>
      </c>
      <c r="CG294" s="125" t="s">
        <v>3861</v>
      </c>
      <c r="CH294" s="125" t="s">
        <v>526</v>
      </c>
      <c r="CI294" s="125" t="s">
        <v>665</v>
      </c>
      <c r="CJ294" s="125" t="s">
        <v>665</v>
      </c>
      <c r="CK294" s="125" t="s">
        <v>3862</v>
      </c>
      <c r="CL294" s="125" t="s">
        <v>212</v>
      </c>
      <c r="CM294" s="125"/>
      <c r="CN294" s="125" t="s">
        <v>254</v>
      </c>
      <c r="CO294" s="125" t="s">
        <v>266</v>
      </c>
      <c r="CP294" s="125" t="s">
        <v>1252</v>
      </c>
      <c r="CQ294" s="125" t="s">
        <v>1253</v>
      </c>
      <c r="CR294" s="125" t="s">
        <v>306</v>
      </c>
      <c r="CS294" s="125" t="s">
        <v>3863</v>
      </c>
      <c r="CT294" s="125" t="s">
        <v>254</v>
      </c>
      <c r="CU294" s="125" t="s">
        <v>266</v>
      </c>
      <c r="CV294" s="125" t="s">
        <v>725</v>
      </c>
      <c r="CW294" s="125" t="s">
        <v>665</v>
      </c>
      <c r="CX294" s="125" t="s">
        <v>665</v>
      </c>
      <c r="CY294" s="125" t="s">
        <v>3864</v>
      </c>
      <c r="CZ294" s="125" t="s">
        <v>1255</v>
      </c>
      <c r="DA294" s="125" t="s">
        <v>1256</v>
      </c>
      <c r="DB294" s="125" t="s">
        <v>547</v>
      </c>
      <c r="DC294" s="125" t="s">
        <v>1257</v>
      </c>
      <c r="DD294" s="125" t="s">
        <v>1258</v>
      </c>
      <c r="DE294" s="125" t="s">
        <v>2790</v>
      </c>
      <c r="DF294" s="126" t="s">
        <v>3865</v>
      </c>
      <c r="DG294" s="27" cm="1">
        <f t="array" ref="DG294">INDEX('elenco partner'!A:M,MATCH(1,(D294='elenco partner'!A:A)*('Partner data'!M294='elenco partner'!E:E),0),4)</f>
        <v>571</v>
      </c>
      <c r="DH294" s="83" t="str">
        <f t="shared" si="126"/>
        <v>Tasso Forfettario 20%</v>
      </c>
      <c r="DI294" s="20">
        <f>COUNTIFS('MY-REPORT-MAIN'!C:C,'Partner data'!DG294,'MY-REPORT-MAIN'!I:I,"Certified")</f>
        <v>0</v>
      </c>
      <c r="DJ294" s="20">
        <f>COUNTIFS(List_Of_chek_list!M:M,"&lt;&gt;26",List_Of_chek_list!B:B,'Partner data'!DG294)</f>
        <v>0</v>
      </c>
      <c r="DK294" s="20">
        <f t="shared" si="127"/>
        <v>0</v>
      </c>
      <c r="DL294" s="19" t="e">
        <f>IF(DH294="Tasso Forfettario 20%",SUMIFS(List_Of_chek_list!#REF!,List_Of_chek_list!B:B,'Partner data'!DG294),"NON PERTINENTE")</f>
        <v>#REF!</v>
      </c>
      <c r="DM294" s="19" t="e">
        <f t="shared" si="128"/>
        <v>#REF!</v>
      </c>
      <c r="DN294" s="110">
        <f>_xlfn.MAXIFS('MY-REPORT-MAIN'!K:K,'MY-REPORT-MAIN'!C:C,DG294)</f>
        <v>0</v>
      </c>
      <c r="DO294" s="112" t="str">
        <f>IF(_xlfn.MAXIFS('MY-REPORT-MAIN'!M:M,'MY-REPORT-MAIN'!C:C,DG294)=0,"Nessun rendiconto  Convalidato",_xlfn.MAXIFS('MY-REPORT-MAIN'!M:M,'MY-REPORT-MAIN'!C:C,DG294))</f>
        <v>Nessun rendiconto  Convalidato</v>
      </c>
      <c r="DP294" s="113" t="str" cm="1">
        <f t="array" ref="DP294">IFERROR(INDEX('MY-REPORT-MAIN'!A:Z,MATCH(1,(DO294='MY-REPORT-MAIN'!M:M)*('Partner data'!DG294='MY-REPORT-MAIN'!C:C),0),1),"NON è stato convalidato ancora nessun rendiconto")</f>
        <v>NON è stato convalidato ancora nessun rendiconto</v>
      </c>
      <c r="DQ294" s="111" t="str">
        <f>IFERROR(INDEX('MY-REPORT-MAIN'!A:Z,MATCH('Partner data'!DP294,'MY-REPORT-MAIN'!A:A,0),21),"Nessun Rendiconto ancora convalidato")</f>
        <v>Nessun Rendiconto ancora convalidato</v>
      </c>
      <c r="DR294" s="110" t="e">
        <f>INDEX('Interreg VI-A Italy-Slovenia_pr'!A:E,MATCH('Partner data'!C294,'Interreg VI-A Italy-Slovenia_pr'!A:A,0),3)</f>
        <v>#N/A</v>
      </c>
      <c r="DS294" s="118">
        <f t="shared" si="104"/>
        <v>5571</v>
      </c>
      <c r="DT294" s="118">
        <f t="shared" si="105"/>
        <v>45187</v>
      </c>
      <c r="DU294" s="118">
        <f t="shared" si="106"/>
        <v>81089</v>
      </c>
      <c r="DV294" s="118">
        <f t="shared" si="107"/>
        <v>105849</v>
      </c>
      <c r="DW294" s="118">
        <f t="shared" si="108"/>
        <v>105849</v>
      </c>
      <c r="DX294" s="118">
        <f t="shared" si="109"/>
        <v>105849</v>
      </c>
      <c r="DY294" s="118">
        <f t="shared" si="110"/>
        <v>105849</v>
      </c>
      <c r="DZ294" s="118">
        <f t="shared" si="111"/>
        <v>105849</v>
      </c>
      <c r="EA294" s="118">
        <f t="shared" si="112"/>
        <v>105849</v>
      </c>
      <c r="EB294" s="118">
        <f t="shared" si="113"/>
        <v>105849</v>
      </c>
    </row>
    <row r="295" spans="1:132" ht="45" x14ac:dyDescent="0.25">
      <c r="A295" s="121">
        <v>6</v>
      </c>
      <c r="B295" s="122" t="s">
        <v>2688</v>
      </c>
      <c r="C295" s="123" t="s">
        <v>3839</v>
      </c>
      <c r="D295" s="123" t="s">
        <v>3840</v>
      </c>
      <c r="E295" s="123" t="s">
        <v>3841</v>
      </c>
      <c r="F295" s="123" t="s">
        <v>1118</v>
      </c>
      <c r="G295" s="123" t="s">
        <v>6118</v>
      </c>
      <c r="H295" s="123" t="s">
        <v>691</v>
      </c>
      <c r="I295" s="123" t="s">
        <v>1044</v>
      </c>
      <c r="J295" s="124" t="s">
        <v>570</v>
      </c>
      <c r="K295" s="124" t="s">
        <v>495</v>
      </c>
      <c r="L295" s="124" t="s">
        <v>519</v>
      </c>
      <c r="M295" s="124" t="s">
        <v>364</v>
      </c>
      <c r="N295" s="124" t="s">
        <v>2187</v>
      </c>
      <c r="O295" s="124" t="s">
        <v>3866</v>
      </c>
      <c r="P295" s="124" t="s">
        <v>254</v>
      </c>
      <c r="Q295" s="124" t="s">
        <v>499</v>
      </c>
      <c r="R295" s="124" t="s">
        <v>266</v>
      </c>
      <c r="S295" s="32">
        <v>132198.79999999999</v>
      </c>
      <c r="T295" s="32">
        <v>77.89</v>
      </c>
      <c r="U295" s="32">
        <v>16.079999999999998</v>
      </c>
      <c r="V295" s="32">
        <v>0</v>
      </c>
      <c r="W295" s="32">
        <v>0</v>
      </c>
      <c r="X295" s="32">
        <v>0</v>
      </c>
      <c r="Y295" s="32">
        <v>0</v>
      </c>
      <c r="Z295" s="32">
        <v>0</v>
      </c>
      <c r="AA295" s="32">
        <v>0</v>
      </c>
      <c r="AB295" s="32">
        <v>0</v>
      </c>
      <c r="AC295" s="32">
        <v>0</v>
      </c>
      <c r="AD295" s="32">
        <v>0</v>
      </c>
      <c r="AE295" s="32">
        <v>0</v>
      </c>
      <c r="AF295" s="32">
        <v>0</v>
      </c>
      <c r="AG295" s="32">
        <v>0</v>
      </c>
      <c r="AH295" s="32">
        <v>0</v>
      </c>
      <c r="AI295" s="32">
        <v>0</v>
      </c>
      <c r="AJ295" s="32">
        <v>0</v>
      </c>
      <c r="AK295" s="32">
        <v>0</v>
      </c>
      <c r="AL295" s="32">
        <v>0</v>
      </c>
      <c r="AM295" s="32">
        <v>0</v>
      </c>
      <c r="AN295" s="32">
        <v>0</v>
      </c>
      <c r="AO295" s="32">
        <v>33049.699999999997</v>
      </c>
      <c r="AP295" s="32">
        <v>4476.5</v>
      </c>
      <c r="AQ295" s="32">
        <v>37526.199999999997</v>
      </c>
      <c r="AR295" s="32">
        <v>169725</v>
      </c>
      <c r="AS295" s="32">
        <v>16.079999999999998</v>
      </c>
      <c r="AT295" s="32">
        <v>127500</v>
      </c>
      <c r="AU295" s="32">
        <v>0</v>
      </c>
      <c r="AV295" s="32">
        <v>127500</v>
      </c>
      <c r="AW295" s="32">
        <v>0</v>
      </c>
      <c r="AX295" s="32">
        <v>19125</v>
      </c>
      <c r="AY295" s="32">
        <v>19125</v>
      </c>
      <c r="AZ295" s="32">
        <v>5100</v>
      </c>
      <c r="BA295" s="32">
        <v>5100</v>
      </c>
      <c r="BB295" s="32">
        <v>0</v>
      </c>
      <c r="BC295" s="32">
        <v>0</v>
      </c>
      <c r="BD295" s="32">
        <v>18000</v>
      </c>
      <c r="BE295" s="32">
        <v>18000</v>
      </c>
      <c r="BF295" s="32">
        <v>0</v>
      </c>
      <c r="BG295" s="32">
        <v>0</v>
      </c>
      <c r="BH295" s="32">
        <v>0</v>
      </c>
      <c r="BI295" s="32">
        <v>0</v>
      </c>
      <c r="BJ295" s="32">
        <v>0</v>
      </c>
      <c r="BK295" s="32">
        <v>0</v>
      </c>
      <c r="BL295" s="32">
        <v>0</v>
      </c>
      <c r="BM295" s="32">
        <v>0</v>
      </c>
      <c r="BN295" s="32">
        <v>0</v>
      </c>
      <c r="BO295" s="32">
        <v>0</v>
      </c>
      <c r="BP295" s="32">
        <v>0</v>
      </c>
      <c r="BQ295" s="32">
        <v>46461</v>
      </c>
      <c r="BR295" s="32">
        <v>40711</v>
      </c>
      <c r="BS295" s="32">
        <v>39711</v>
      </c>
      <c r="BT295" s="32">
        <v>42842</v>
      </c>
      <c r="BU295" s="32">
        <v>0</v>
      </c>
      <c r="BV295" s="32">
        <v>0</v>
      </c>
      <c r="BW295" s="32">
        <v>0</v>
      </c>
      <c r="BX295" s="32">
        <v>0</v>
      </c>
      <c r="BY295" s="32">
        <v>0</v>
      </c>
      <c r="BZ295" s="32">
        <v>0</v>
      </c>
      <c r="CA295" s="32">
        <v>0</v>
      </c>
      <c r="CB295" s="125" t="s">
        <v>665</v>
      </c>
      <c r="CC295" s="125" t="s">
        <v>624</v>
      </c>
      <c r="CD295" s="125"/>
      <c r="CE295" s="125" t="s">
        <v>501</v>
      </c>
      <c r="CF295" s="125" t="s">
        <v>2743</v>
      </c>
      <c r="CG295" s="125" t="s">
        <v>3867</v>
      </c>
      <c r="CH295" s="125" t="s">
        <v>504</v>
      </c>
      <c r="CI295" s="125" t="s">
        <v>665</v>
      </c>
      <c r="CJ295" s="125" t="s">
        <v>665</v>
      </c>
      <c r="CK295" s="125" t="s">
        <v>3868</v>
      </c>
      <c r="CL295" s="125" t="s">
        <v>212</v>
      </c>
      <c r="CM295" s="125"/>
      <c r="CN295" s="125" t="s">
        <v>254</v>
      </c>
      <c r="CO295" s="125" t="s">
        <v>266</v>
      </c>
      <c r="CP295" s="125" t="s">
        <v>3088</v>
      </c>
      <c r="CQ295" s="125" t="s">
        <v>1690</v>
      </c>
      <c r="CR295" s="125" t="s">
        <v>1691</v>
      </c>
      <c r="CS295" s="125" t="s">
        <v>3869</v>
      </c>
      <c r="CT295" s="125" t="s">
        <v>254</v>
      </c>
      <c r="CU295" s="125" t="s">
        <v>266</v>
      </c>
      <c r="CV295" s="125" t="s">
        <v>725</v>
      </c>
      <c r="CW295" s="125" t="s">
        <v>665</v>
      </c>
      <c r="CX295" s="125" t="s">
        <v>665</v>
      </c>
      <c r="CY295" s="125" t="s">
        <v>547</v>
      </c>
      <c r="CZ295" s="125" t="s">
        <v>2192</v>
      </c>
      <c r="DA295" s="125" t="s">
        <v>2193</v>
      </c>
      <c r="DB295" s="125" t="s">
        <v>547</v>
      </c>
      <c r="DC295" s="125" t="s">
        <v>1039</v>
      </c>
      <c r="DD295" s="125" t="s">
        <v>3870</v>
      </c>
      <c r="DE295" s="125" t="s">
        <v>3871</v>
      </c>
      <c r="DF295" s="126" t="s">
        <v>3089</v>
      </c>
      <c r="DG295" s="27" cm="1">
        <f t="array" ref="DG295">INDEX('elenco partner'!A:M,MATCH(1,(D295='elenco partner'!A:A)*('Partner data'!M295='elenco partner'!E:E),0),4)</f>
        <v>572</v>
      </c>
      <c r="DH295" s="83" t="str">
        <f t="shared" si="126"/>
        <v>COSTO REALE</v>
      </c>
      <c r="DI295" s="20">
        <f>COUNTIFS('MY-REPORT-MAIN'!C:C,'Partner data'!DG295,'MY-REPORT-MAIN'!I:I,"Certified")</f>
        <v>0</v>
      </c>
      <c r="DJ295" s="20">
        <f>COUNTIFS(List_Of_chek_list!M:M,"&lt;&gt;26",List_Of_chek_list!B:B,'Partner data'!DG295)</f>
        <v>0</v>
      </c>
      <c r="DK295" s="20">
        <f t="shared" si="127"/>
        <v>0</v>
      </c>
      <c r="DL295" s="19" t="str">
        <f>IF(DH295="Tasso Forfettario 20%",SUMIFS(List_Of_chek_list!#REF!,List_Of_chek_list!B:B,'Partner data'!DG295),"NON PERTINENTE")</f>
        <v>NON PERTINENTE</v>
      </c>
      <c r="DM295" s="19" t="str">
        <f t="shared" si="128"/>
        <v>NON PERTINENTE</v>
      </c>
      <c r="DN295" s="110">
        <f>_xlfn.MAXIFS('MY-REPORT-MAIN'!K:K,'MY-REPORT-MAIN'!C:C,DG295)</f>
        <v>0</v>
      </c>
      <c r="DO295" s="112" t="str">
        <f>IF(_xlfn.MAXIFS('MY-REPORT-MAIN'!M:M,'MY-REPORT-MAIN'!C:C,DG295)=0,"Nessun rendiconto  Convalidato",_xlfn.MAXIFS('MY-REPORT-MAIN'!M:M,'MY-REPORT-MAIN'!C:C,DG295))</f>
        <v>Nessun rendiconto  Convalidato</v>
      </c>
      <c r="DP295" s="113" t="str" cm="1">
        <f t="array" ref="DP295">IFERROR(INDEX('MY-REPORT-MAIN'!A:Z,MATCH(1,(DO295='MY-REPORT-MAIN'!M:M)*('Partner data'!DG295='MY-REPORT-MAIN'!C:C),0),1),"NON è stato convalidato ancora nessun rendiconto")</f>
        <v>NON è stato convalidato ancora nessun rendiconto</v>
      </c>
      <c r="DQ295" s="111" t="str">
        <f>IFERROR(INDEX('MY-REPORT-MAIN'!A:Z,MATCH('Partner data'!DP295,'MY-REPORT-MAIN'!A:A,0),21),"Nessun Rendiconto ancora convalidato")</f>
        <v>Nessun Rendiconto ancora convalidato</v>
      </c>
      <c r="DR295" s="110" t="e">
        <f>INDEX('Interreg VI-A Italy-Slovenia_pr'!A:E,MATCH('Partner data'!C295,'Interreg VI-A Italy-Slovenia_pr'!A:A,0),3)</f>
        <v>#N/A</v>
      </c>
      <c r="DS295" s="118">
        <f t="shared" si="104"/>
        <v>46461</v>
      </c>
      <c r="DT295" s="118">
        <f t="shared" si="105"/>
        <v>87172</v>
      </c>
      <c r="DU295" s="118">
        <f t="shared" si="106"/>
        <v>126883</v>
      </c>
      <c r="DV295" s="118">
        <f t="shared" si="107"/>
        <v>169725</v>
      </c>
      <c r="DW295" s="118">
        <f t="shared" si="108"/>
        <v>169725</v>
      </c>
      <c r="DX295" s="118">
        <f t="shared" si="109"/>
        <v>169725</v>
      </c>
      <c r="DY295" s="118">
        <f t="shared" si="110"/>
        <v>169725</v>
      </c>
      <c r="DZ295" s="118">
        <f t="shared" si="111"/>
        <v>169725</v>
      </c>
      <c r="EA295" s="118">
        <f t="shared" si="112"/>
        <v>169725</v>
      </c>
      <c r="EB295" s="118">
        <f t="shared" si="113"/>
        <v>169725</v>
      </c>
    </row>
    <row r="296" spans="1:132" ht="45" x14ac:dyDescent="0.25">
      <c r="A296" s="121">
        <v>6</v>
      </c>
      <c r="B296" s="122" t="s">
        <v>2688</v>
      </c>
      <c r="C296" s="123" t="s">
        <v>3872</v>
      </c>
      <c r="D296" s="123" t="s">
        <v>3873</v>
      </c>
      <c r="E296" s="123" t="s">
        <v>3874</v>
      </c>
      <c r="F296" s="123" t="s">
        <v>490</v>
      </c>
      <c r="G296" s="123" t="s">
        <v>6118</v>
      </c>
      <c r="H296" s="123" t="s">
        <v>766</v>
      </c>
      <c r="I296" s="123" t="s">
        <v>767</v>
      </c>
      <c r="J296" s="124" t="s">
        <v>494</v>
      </c>
      <c r="K296" s="124" t="s">
        <v>495</v>
      </c>
      <c r="L296" s="124" t="s">
        <v>496</v>
      </c>
      <c r="M296" s="124" t="s">
        <v>3875</v>
      </c>
      <c r="N296" s="124" t="s">
        <v>3876</v>
      </c>
      <c r="O296" s="124" t="s">
        <v>3877</v>
      </c>
      <c r="P296" s="124" t="s">
        <v>257</v>
      </c>
      <c r="Q296" s="124" t="s">
        <v>556</v>
      </c>
      <c r="R296" s="124" t="s">
        <v>258</v>
      </c>
      <c r="S296" s="32">
        <v>309284.86</v>
      </c>
      <c r="T296" s="32">
        <v>80</v>
      </c>
      <c r="U296" s="32">
        <v>35.380000000000003</v>
      </c>
      <c r="V296" s="32">
        <v>0</v>
      </c>
      <c r="W296" s="32">
        <v>0</v>
      </c>
      <c r="X296" s="32">
        <v>0</v>
      </c>
      <c r="Y296" s="32">
        <v>0</v>
      </c>
      <c r="Z296" s="32">
        <v>0</v>
      </c>
      <c r="AA296" s="32">
        <v>0</v>
      </c>
      <c r="AB296" s="32">
        <v>0</v>
      </c>
      <c r="AC296" s="32">
        <v>0</v>
      </c>
      <c r="AD296" s="32">
        <v>0</v>
      </c>
      <c r="AE296" s="32">
        <v>0</v>
      </c>
      <c r="AF296" s="32">
        <v>0</v>
      </c>
      <c r="AG296" s="32">
        <v>0</v>
      </c>
      <c r="AH296" s="32">
        <v>0</v>
      </c>
      <c r="AI296" s="32">
        <v>0</v>
      </c>
      <c r="AJ296" s="32">
        <v>0</v>
      </c>
      <c r="AK296" s="32">
        <v>0</v>
      </c>
      <c r="AL296" s="32">
        <v>0</v>
      </c>
      <c r="AM296" s="32">
        <v>0</v>
      </c>
      <c r="AN296" s="32">
        <v>0</v>
      </c>
      <c r="AO296" s="32">
        <v>0</v>
      </c>
      <c r="AP296" s="32">
        <v>77321.22</v>
      </c>
      <c r="AQ296" s="32">
        <v>77321.22</v>
      </c>
      <c r="AR296" s="32">
        <v>386606.08000000002</v>
      </c>
      <c r="AS296" s="32">
        <v>35.380000000000003</v>
      </c>
      <c r="AT296" s="32">
        <v>197232</v>
      </c>
      <c r="AU296" s="32">
        <v>0</v>
      </c>
      <c r="AV296" s="32">
        <v>197232</v>
      </c>
      <c r="AW296" s="32">
        <v>0</v>
      </c>
      <c r="AX296" s="32">
        <v>29584.799999999999</v>
      </c>
      <c r="AY296" s="32">
        <v>29584.799999999999</v>
      </c>
      <c r="AZ296" s="32">
        <v>7889.28</v>
      </c>
      <c r="BA296" s="32">
        <v>7889.28</v>
      </c>
      <c r="BB296" s="32">
        <v>0</v>
      </c>
      <c r="BC296" s="32">
        <v>0</v>
      </c>
      <c r="BD296" s="32">
        <v>142900</v>
      </c>
      <c r="BE296" s="32">
        <v>142900</v>
      </c>
      <c r="BF296" s="32">
        <v>0</v>
      </c>
      <c r="BG296" s="32">
        <v>0</v>
      </c>
      <c r="BH296" s="32">
        <v>0</v>
      </c>
      <c r="BI296" s="32">
        <v>0</v>
      </c>
      <c r="BJ296" s="32">
        <v>0</v>
      </c>
      <c r="BK296" s="32">
        <v>0</v>
      </c>
      <c r="BL296" s="32">
        <v>0</v>
      </c>
      <c r="BM296" s="32">
        <v>0</v>
      </c>
      <c r="BN296" s="32">
        <v>0</v>
      </c>
      <c r="BO296" s="32">
        <v>9000</v>
      </c>
      <c r="BP296" s="32">
        <v>9000</v>
      </c>
      <c r="BQ296" s="32">
        <v>94616.7</v>
      </c>
      <c r="BR296" s="32">
        <v>94226.7</v>
      </c>
      <c r="BS296" s="32">
        <v>94726.7</v>
      </c>
      <c r="BT296" s="32">
        <v>94035.98</v>
      </c>
      <c r="BU296" s="32">
        <v>0</v>
      </c>
      <c r="BV296" s="32">
        <v>0</v>
      </c>
      <c r="BW296" s="32">
        <v>0</v>
      </c>
      <c r="BX296" s="32">
        <v>0</v>
      </c>
      <c r="BY296" s="32">
        <v>0</v>
      </c>
      <c r="BZ296" s="32">
        <v>0</v>
      </c>
      <c r="CA296" s="32">
        <v>0</v>
      </c>
      <c r="CB296" s="125" t="s">
        <v>521</v>
      </c>
      <c r="CC296" s="125" t="s">
        <v>887</v>
      </c>
      <c r="CD296" s="125"/>
      <c r="CE296" s="125" t="s">
        <v>501</v>
      </c>
      <c r="CF296" s="125" t="s">
        <v>3878</v>
      </c>
      <c r="CG296" s="125" t="s">
        <v>3879</v>
      </c>
      <c r="CH296" s="125" t="s">
        <v>619</v>
      </c>
      <c r="CI296" s="125" t="s">
        <v>3880</v>
      </c>
      <c r="CJ296" s="125" t="s">
        <v>3881</v>
      </c>
      <c r="CK296" s="125"/>
      <c r="CL296" s="125" t="s">
        <v>212</v>
      </c>
      <c r="CM296" s="125"/>
      <c r="CN296" s="125" t="s">
        <v>257</v>
      </c>
      <c r="CO296" s="125" t="s">
        <v>258</v>
      </c>
      <c r="CP296" s="125" t="s">
        <v>3882</v>
      </c>
      <c r="CQ296" s="125" t="s">
        <v>620</v>
      </c>
      <c r="CR296" s="125" t="s">
        <v>621</v>
      </c>
      <c r="CS296" s="125" t="s">
        <v>3883</v>
      </c>
      <c r="CT296" s="125" t="s">
        <v>257</v>
      </c>
      <c r="CU296" s="125" t="s">
        <v>258</v>
      </c>
      <c r="CV296" s="125" t="s">
        <v>3394</v>
      </c>
      <c r="CW296" s="125" t="s">
        <v>521</v>
      </c>
      <c r="CX296" s="125" t="s">
        <v>521</v>
      </c>
      <c r="CY296" s="125" t="s">
        <v>705</v>
      </c>
      <c r="CZ296" s="125" t="s">
        <v>1891</v>
      </c>
      <c r="DA296" s="125" t="s">
        <v>3884</v>
      </c>
      <c r="DB296" s="125" t="s">
        <v>547</v>
      </c>
      <c r="DC296" s="125" t="s">
        <v>3885</v>
      </c>
      <c r="DD296" s="125" t="s">
        <v>3886</v>
      </c>
      <c r="DE296" s="125" t="s">
        <v>3887</v>
      </c>
      <c r="DF296" s="126" t="s">
        <v>3888</v>
      </c>
      <c r="DG296" s="27" cm="1">
        <f t="array" ref="DG296">INDEX('elenco partner'!A:M,MATCH(1,(D296='elenco partner'!A:A)*('Partner data'!M296='elenco partner'!E:E),0),4)</f>
        <v>713</v>
      </c>
      <c r="DH296" s="83" t="str">
        <f t="shared" ref="DH296:DH301" si="129">IF(AU296&lt;&gt;0,"Tasso Forfettario 20%",IF(AV296&lt;&gt;0,"COSTO REALE",IF(AW296&lt;&gt;0,"Costo Unitario Standard","BL1 non presente")))</f>
        <v>COSTO REALE</v>
      </c>
      <c r="DI296" s="20">
        <f>COUNTIFS('MY-REPORT-MAIN'!C:C,'Partner data'!DG296,'MY-REPORT-MAIN'!I:I,"Certified")</f>
        <v>0</v>
      </c>
      <c r="DJ296" s="20">
        <f>COUNTIFS(List_Of_chek_list!M:M,"&lt;&gt;26",List_Of_chek_list!B:B,'Partner data'!DG296)</f>
        <v>0</v>
      </c>
      <c r="DK296" s="20">
        <f t="shared" ref="DK296:DK301" si="130">DI296-DJ296</f>
        <v>0</v>
      </c>
      <c r="DL296" s="19" t="str">
        <f>IF(DH296="Tasso Forfettario 20%",SUMIFS(List_Of_chek_list!#REF!,List_Of_chek_list!B:B,'Partner data'!DG296),"NON PERTINENTE")</f>
        <v>NON PERTINENTE</v>
      </c>
      <c r="DM296" s="19" t="str">
        <f t="shared" ref="DM296:DM301" si="131">IF(DL296="NON PERTINENTE","NON PERTINENTE",IF(DJ296=DL296,"Rischio basso","Rischio alto"))</f>
        <v>NON PERTINENTE</v>
      </c>
      <c r="DN296" s="110">
        <f>_xlfn.MAXIFS('MY-REPORT-MAIN'!K:K,'MY-REPORT-MAIN'!C:C,DG296)</f>
        <v>0</v>
      </c>
      <c r="DO296" s="112" t="str">
        <f>IF(_xlfn.MAXIFS('MY-REPORT-MAIN'!M:M,'MY-REPORT-MAIN'!C:C,DG296)=0,"Nessun rendiconto  Convalidato",_xlfn.MAXIFS('MY-REPORT-MAIN'!M:M,'MY-REPORT-MAIN'!C:C,DG296))</f>
        <v>Nessun rendiconto  Convalidato</v>
      </c>
      <c r="DP296" s="113" t="str" cm="1">
        <f t="array" ref="DP296">IFERROR(INDEX('MY-REPORT-MAIN'!A:Z,MATCH(1,(DO296='MY-REPORT-MAIN'!M:M)*('Partner data'!DG296='MY-REPORT-MAIN'!C:C),0),1),"NON è stato convalidato ancora nessun rendiconto")</f>
        <v>NON è stato convalidato ancora nessun rendiconto</v>
      </c>
      <c r="DQ296" s="111" t="str">
        <f>IFERROR(INDEX('MY-REPORT-MAIN'!A:Z,MATCH('Partner data'!DP296,'MY-REPORT-MAIN'!A:A,0),21),"Nessun Rendiconto ancora convalidato")</f>
        <v>Nessun Rendiconto ancora convalidato</v>
      </c>
      <c r="DR296" s="110" t="e">
        <f>INDEX('Interreg VI-A Italy-Slovenia_pr'!A:E,MATCH('Partner data'!C296,'Interreg VI-A Italy-Slovenia_pr'!A:A,0),3)</f>
        <v>#N/A</v>
      </c>
      <c r="DS296" s="118">
        <f t="shared" si="104"/>
        <v>103616.7</v>
      </c>
      <c r="DT296" s="118">
        <f t="shared" si="105"/>
        <v>197843.4</v>
      </c>
      <c r="DU296" s="118">
        <f t="shared" si="106"/>
        <v>292570.09999999998</v>
      </c>
      <c r="DV296" s="118">
        <f t="shared" si="107"/>
        <v>386606.07999999996</v>
      </c>
      <c r="DW296" s="118">
        <f t="shared" si="108"/>
        <v>386606.07999999996</v>
      </c>
      <c r="DX296" s="118">
        <f t="shared" si="109"/>
        <v>386606.07999999996</v>
      </c>
      <c r="DY296" s="118">
        <f t="shared" si="110"/>
        <v>386606.07999999996</v>
      </c>
      <c r="DZ296" s="118">
        <f t="shared" si="111"/>
        <v>386606.07999999996</v>
      </c>
      <c r="EA296" s="118">
        <f t="shared" si="112"/>
        <v>386606.07999999996</v>
      </c>
      <c r="EB296" s="118">
        <f t="shared" si="113"/>
        <v>386606.07999999996</v>
      </c>
    </row>
    <row r="297" spans="1:132" ht="45" x14ac:dyDescent="0.25">
      <c r="A297" s="121">
        <v>6</v>
      </c>
      <c r="B297" s="122" t="s">
        <v>2688</v>
      </c>
      <c r="C297" s="123" t="s">
        <v>3872</v>
      </c>
      <c r="D297" s="123" t="s">
        <v>3873</v>
      </c>
      <c r="E297" s="123" t="s">
        <v>3874</v>
      </c>
      <c r="F297" s="123" t="s">
        <v>490</v>
      </c>
      <c r="G297" s="123" t="s">
        <v>6118</v>
      </c>
      <c r="H297" s="123" t="s">
        <v>766</v>
      </c>
      <c r="I297" s="123" t="s">
        <v>767</v>
      </c>
      <c r="J297" s="124" t="s">
        <v>518</v>
      </c>
      <c r="K297" s="124" t="s">
        <v>495</v>
      </c>
      <c r="L297" s="124" t="s">
        <v>519</v>
      </c>
      <c r="M297" s="124" t="s">
        <v>3889</v>
      </c>
      <c r="N297" s="124" t="s">
        <v>3890</v>
      </c>
      <c r="O297" s="124" t="s">
        <v>3891</v>
      </c>
      <c r="P297" s="124" t="s">
        <v>257</v>
      </c>
      <c r="Q297" s="124" t="s">
        <v>556</v>
      </c>
      <c r="R297" s="124" t="s">
        <v>269</v>
      </c>
      <c r="S297" s="32">
        <v>63983.360000000001</v>
      </c>
      <c r="T297" s="32">
        <v>80</v>
      </c>
      <c r="U297" s="32">
        <v>7.32</v>
      </c>
      <c r="V297" s="32">
        <v>0</v>
      </c>
      <c r="W297" s="32">
        <v>0</v>
      </c>
      <c r="X297" s="32">
        <v>0</v>
      </c>
      <c r="Y297" s="32">
        <v>0</v>
      </c>
      <c r="Z297" s="32">
        <v>0</v>
      </c>
      <c r="AA297" s="32">
        <v>0</v>
      </c>
      <c r="AB297" s="32">
        <v>0</v>
      </c>
      <c r="AC297" s="32">
        <v>0</v>
      </c>
      <c r="AD297" s="32">
        <v>0</v>
      </c>
      <c r="AE297" s="32">
        <v>0</v>
      </c>
      <c r="AF297" s="32">
        <v>0</v>
      </c>
      <c r="AG297" s="32">
        <v>0</v>
      </c>
      <c r="AH297" s="32">
        <v>0</v>
      </c>
      <c r="AI297" s="32">
        <v>0</v>
      </c>
      <c r="AJ297" s="32">
        <v>0</v>
      </c>
      <c r="AK297" s="32">
        <v>0</v>
      </c>
      <c r="AL297" s="32">
        <v>0</v>
      </c>
      <c r="AM297" s="32">
        <v>0</v>
      </c>
      <c r="AN297" s="32">
        <v>15995.84</v>
      </c>
      <c r="AO297" s="32">
        <v>0</v>
      </c>
      <c r="AP297" s="32">
        <v>0</v>
      </c>
      <c r="AQ297" s="32">
        <v>15995.84</v>
      </c>
      <c r="AR297" s="32">
        <v>79979.199999999997</v>
      </c>
      <c r="AS297" s="32">
        <v>7.32</v>
      </c>
      <c r="AT297" s="32">
        <v>43680</v>
      </c>
      <c r="AU297" s="32">
        <v>0</v>
      </c>
      <c r="AV297" s="32">
        <v>43680</v>
      </c>
      <c r="AW297" s="32">
        <v>0</v>
      </c>
      <c r="AX297" s="32">
        <v>6552</v>
      </c>
      <c r="AY297" s="32">
        <v>6552</v>
      </c>
      <c r="AZ297" s="32">
        <v>1747.2</v>
      </c>
      <c r="BA297" s="32">
        <v>1747.2</v>
      </c>
      <c r="BB297" s="32">
        <v>0</v>
      </c>
      <c r="BC297" s="32">
        <v>0</v>
      </c>
      <c r="BD297" s="32">
        <v>28000</v>
      </c>
      <c r="BE297" s="32">
        <v>28000</v>
      </c>
      <c r="BF297" s="32">
        <v>0</v>
      </c>
      <c r="BG297" s="32">
        <v>0</v>
      </c>
      <c r="BH297" s="32">
        <v>0</v>
      </c>
      <c r="BI297" s="32">
        <v>0</v>
      </c>
      <c r="BJ297" s="32">
        <v>0</v>
      </c>
      <c r="BK297" s="32">
        <v>0</v>
      </c>
      <c r="BL297" s="32">
        <v>0</v>
      </c>
      <c r="BM297" s="32">
        <v>0</v>
      </c>
      <c r="BN297" s="32">
        <v>0</v>
      </c>
      <c r="BO297" s="32">
        <v>0</v>
      </c>
      <c r="BP297" s="32">
        <v>0</v>
      </c>
      <c r="BQ297" s="32">
        <v>14494.8</v>
      </c>
      <c r="BR297" s="32">
        <v>17994.8</v>
      </c>
      <c r="BS297" s="32">
        <v>29494.799999999999</v>
      </c>
      <c r="BT297" s="32">
        <v>17994.8</v>
      </c>
      <c r="BU297" s="32">
        <v>0</v>
      </c>
      <c r="BV297" s="32">
        <v>0</v>
      </c>
      <c r="BW297" s="32">
        <v>0</v>
      </c>
      <c r="BX297" s="32">
        <v>0</v>
      </c>
      <c r="BY297" s="32">
        <v>0</v>
      </c>
      <c r="BZ297" s="32">
        <v>0</v>
      </c>
      <c r="CA297" s="32">
        <v>0</v>
      </c>
      <c r="CB297" s="125" t="s">
        <v>521</v>
      </c>
      <c r="CC297" s="125" t="s">
        <v>522</v>
      </c>
      <c r="CD297" s="125"/>
      <c r="CE297" s="125" t="s">
        <v>523</v>
      </c>
      <c r="CF297" s="125" t="s">
        <v>3892</v>
      </c>
      <c r="CG297" s="125" t="s">
        <v>3893</v>
      </c>
      <c r="CH297" s="125" t="s">
        <v>526</v>
      </c>
      <c r="CI297" s="125" t="s">
        <v>3893</v>
      </c>
      <c r="CJ297" s="125" t="s">
        <v>3894</v>
      </c>
      <c r="CK297" s="125"/>
      <c r="CL297" s="125" t="s">
        <v>212</v>
      </c>
      <c r="CM297" s="125"/>
      <c r="CN297" s="125" t="s">
        <v>257</v>
      </c>
      <c r="CO297" s="125" t="s">
        <v>269</v>
      </c>
      <c r="CP297" s="125" t="s">
        <v>854</v>
      </c>
      <c r="CQ297" s="125" t="s">
        <v>760</v>
      </c>
      <c r="CR297" s="125" t="s">
        <v>1112</v>
      </c>
      <c r="CS297" s="125" t="s">
        <v>3895</v>
      </c>
      <c r="CT297" s="125" t="s">
        <v>257</v>
      </c>
      <c r="CU297" s="125" t="s">
        <v>269</v>
      </c>
      <c r="CV297" s="125" t="s">
        <v>3394</v>
      </c>
      <c r="CW297" s="125" t="s">
        <v>521</v>
      </c>
      <c r="CX297" s="125" t="s">
        <v>521</v>
      </c>
      <c r="CY297" s="125" t="s">
        <v>895</v>
      </c>
      <c r="CZ297" s="125" t="s">
        <v>1979</v>
      </c>
      <c r="DA297" s="125" t="s">
        <v>3896</v>
      </c>
      <c r="DB297" s="125" t="s">
        <v>895</v>
      </c>
      <c r="DC297" s="125" t="s">
        <v>2627</v>
      </c>
      <c r="DD297" s="125" t="s">
        <v>3897</v>
      </c>
      <c r="DE297" s="125" t="s">
        <v>3898</v>
      </c>
      <c r="DF297" s="126" t="s">
        <v>3899</v>
      </c>
      <c r="DG297" s="27" cm="1">
        <f t="array" ref="DG297">INDEX('elenco partner'!A:M,MATCH(1,(D297='elenco partner'!A:A)*('Partner data'!M297='elenco partner'!E:E),0),4)</f>
        <v>714</v>
      </c>
      <c r="DH297" s="83" t="str">
        <f t="shared" si="129"/>
        <v>COSTO REALE</v>
      </c>
      <c r="DI297" s="20">
        <f>COUNTIFS('MY-REPORT-MAIN'!C:C,'Partner data'!DG297,'MY-REPORT-MAIN'!I:I,"Certified")</f>
        <v>0</v>
      </c>
      <c r="DJ297" s="20">
        <f>COUNTIFS(List_Of_chek_list!M:M,"&lt;&gt;26",List_Of_chek_list!B:B,'Partner data'!DG297)</f>
        <v>0</v>
      </c>
      <c r="DK297" s="20">
        <f t="shared" si="130"/>
        <v>0</v>
      </c>
      <c r="DL297" s="19" t="str">
        <f>IF(DH297="Tasso Forfettario 20%",SUMIFS(List_Of_chek_list!#REF!,List_Of_chek_list!B:B,'Partner data'!DG297),"NON PERTINENTE")</f>
        <v>NON PERTINENTE</v>
      </c>
      <c r="DM297" s="19" t="str">
        <f t="shared" si="131"/>
        <v>NON PERTINENTE</v>
      </c>
      <c r="DN297" s="110">
        <f>_xlfn.MAXIFS('MY-REPORT-MAIN'!K:K,'MY-REPORT-MAIN'!C:C,DG297)</f>
        <v>0</v>
      </c>
      <c r="DO297" s="112" t="str">
        <f>IF(_xlfn.MAXIFS('MY-REPORT-MAIN'!M:M,'MY-REPORT-MAIN'!C:C,DG297)=0,"Nessun rendiconto  Convalidato",_xlfn.MAXIFS('MY-REPORT-MAIN'!M:M,'MY-REPORT-MAIN'!C:C,DG297))</f>
        <v>Nessun rendiconto  Convalidato</v>
      </c>
      <c r="DP297" s="113" t="str" cm="1">
        <f t="array" ref="DP297">IFERROR(INDEX('MY-REPORT-MAIN'!A:Z,MATCH(1,(DO297='MY-REPORT-MAIN'!M:M)*('Partner data'!DG297='MY-REPORT-MAIN'!C:C),0),1),"NON è stato convalidato ancora nessun rendiconto")</f>
        <v>NON è stato convalidato ancora nessun rendiconto</v>
      </c>
      <c r="DQ297" s="111" t="str">
        <f>IFERROR(INDEX('MY-REPORT-MAIN'!A:Z,MATCH('Partner data'!DP297,'MY-REPORT-MAIN'!A:A,0),21),"Nessun Rendiconto ancora convalidato")</f>
        <v>Nessun Rendiconto ancora convalidato</v>
      </c>
      <c r="DR297" s="110" t="e">
        <f>INDEX('Interreg VI-A Italy-Slovenia_pr'!A:E,MATCH('Partner data'!C297,'Interreg VI-A Italy-Slovenia_pr'!A:A,0),3)</f>
        <v>#N/A</v>
      </c>
      <c r="DS297" s="118">
        <f t="shared" si="104"/>
        <v>14494.8</v>
      </c>
      <c r="DT297" s="118">
        <f t="shared" si="105"/>
        <v>32489.599999999999</v>
      </c>
      <c r="DU297" s="118">
        <f t="shared" si="106"/>
        <v>61984.399999999994</v>
      </c>
      <c r="DV297" s="118">
        <f t="shared" si="107"/>
        <v>79979.199999999997</v>
      </c>
      <c r="DW297" s="118">
        <f t="shared" si="108"/>
        <v>79979.199999999997</v>
      </c>
      <c r="DX297" s="118">
        <f t="shared" si="109"/>
        <v>79979.199999999997</v>
      </c>
      <c r="DY297" s="118">
        <f t="shared" si="110"/>
        <v>79979.199999999997</v>
      </c>
      <c r="DZ297" s="118">
        <f t="shared" si="111"/>
        <v>79979.199999999997</v>
      </c>
      <c r="EA297" s="118">
        <f t="shared" si="112"/>
        <v>79979.199999999997</v>
      </c>
      <c r="EB297" s="118">
        <f t="shared" si="113"/>
        <v>79979.199999999997</v>
      </c>
    </row>
    <row r="298" spans="1:132" ht="45" x14ac:dyDescent="0.25">
      <c r="A298" s="121">
        <v>6</v>
      </c>
      <c r="B298" s="122" t="s">
        <v>2688</v>
      </c>
      <c r="C298" s="123" t="s">
        <v>3872</v>
      </c>
      <c r="D298" s="123" t="s">
        <v>3873</v>
      </c>
      <c r="E298" s="123" t="s">
        <v>3874</v>
      </c>
      <c r="F298" s="123" t="s">
        <v>490</v>
      </c>
      <c r="G298" s="123" t="s">
        <v>6118</v>
      </c>
      <c r="H298" s="123" t="s">
        <v>766</v>
      </c>
      <c r="I298" s="123" t="s">
        <v>767</v>
      </c>
      <c r="J298" s="124" t="s">
        <v>538</v>
      </c>
      <c r="K298" s="124" t="s">
        <v>495</v>
      </c>
      <c r="L298" s="124" t="s">
        <v>519</v>
      </c>
      <c r="M298" s="124" t="s">
        <v>3900</v>
      </c>
      <c r="N298" s="124" t="s">
        <v>3901</v>
      </c>
      <c r="O298" s="124" t="s">
        <v>3902</v>
      </c>
      <c r="P298" s="124" t="s">
        <v>254</v>
      </c>
      <c r="Q298" s="124" t="s">
        <v>499</v>
      </c>
      <c r="R298" s="124" t="s">
        <v>255</v>
      </c>
      <c r="S298" s="32">
        <v>111915.2</v>
      </c>
      <c r="T298" s="32">
        <v>80</v>
      </c>
      <c r="U298" s="32">
        <v>12.8</v>
      </c>
      <c r="V298" s="32">
        <v>0</v>
      </c>
      <c r="W298" s="32">
        <v>0</v>
      </c>
      <c r="X298" s="32">
        <v>0</v>
      </c>
      <c r="Y298" s="32">
        <v>0</v>
      </c>
      <c r="Z298" s="32">
        <v>0</v>
      </c>
      <c r="AA298" s="32">
        <v>0</v>
      </c>
      <c r="AB298" s="32">
        <v>0</v>
      </c>
      <c r="AC298" s="32">
        <v>0</v>
      </c>
      <c r="AD298" s="32">
        <v>0</v>
      </c>
      <c r="AE298" s="32">
        <v>0</v>
      </c>
      <c r="AF298" s="32">
        <v>0</v>
      </c>
      <c r="AG298" s="32">
        <v>0</v>
      </c>
      <c r="AH298" s="32">
        <v>0</v>
      </c>
      <c r="AI298" s="32">
        <v>0</v>
      </c>
      <c r="AJ298" s="32">
        <v>0</v>
      </c>
      <c r="AK298" s="32">
        <v>0</v>
      </c>
      <c r="AL298" s="32">
        <v>0</v>
      </c>
      <c r="AM298" s="32">
        <v>0</v>
      </c>
      <c r="AN298" s="32">
        <v>0</v>
      </c>
      <c r="AO298" s="32">
        <v>27978.799999999999</v>
      </c>
      <c r="AP298" s="32">
        <v>0</v>
      </c>
      <c r="AQ298" s="32">
        <v>27978.799999999999</v>
      </c>
      <c r="AR298" s="32">
        <v>139894</v>
      </c>
      <c r="AS298" s="32">
        <v>12.8</v>
      </c>
      <c r="AT298" s="32">
        <v>22600</v>
      </c>
      <c r="AU298" s="32">
        <v>22600</v>
      </c>
      <c r="AV298" s="32">
        <v>0</v>
      </c>
      <c r="AW298" s="32">
        <v>0</v>
      </c>
      <c r="AX298" s="32">
        <v>3390</v>
      </c>
      <c r="AY298" s="32">
        <v>3390</v>
      </c>
      <c r="AZ298" s="32">
        <v>904</v>
      </c>
      <c r="BA298" s="32">
        <v>904</v>
      </c>
      <c r="BB298" s="32">
        <v>0</v>
      </c>
      <c r="BC298" s="32">
        <v>0</v>
      </c>
      <c r="BD298" s="32">
        <v>113000</v>
      </c>
      <c r="BE298" s="32">
        <v>113000</v>
      </c>
      <c r="BF298" s="32">
        <v>0</v>
      </c>
      <c r="BG298" s="32">
        <v>0</v>
      </c>
      <c r="BH298" s="32">
        <v>0</v>
      </c>
      <c r="BI298" s="32">
        <v>0</v>
      </c>
      <c r="BJ298" s="32">
        <v>0</v>
      </c>
      <c r="BK298" s="32">
        <v>0</v>
      </c>
      <c r="BL298" s="32">
        <v>0</v>
      </c>
      <c r="BM298" s="32">
        <v>0</v>
      </c>
      <c r="BN298" s="32">
        <v>0</v>
      </c>
      <c r="BO298" s="32">
        <v>0</v>
      </c>
      <c r="BP298" s="32">
        <v>0</v>
      </c>
      <c r="BQ298" s="32">
        <v>29402.5</v>
      </c>
      <c r="BR298" s="32">
        <v>40544.5</v>
      </c>
      <c r="BS298" s="32">
        <v>35592.5</v>
      </c>
      <c r="BT298" s="32">
        <v>34354.5</v>
      </c>
      <c r="BU298" s="32">
        <v>0</v>
      </c>
      <c r="BV298" s="32">
        <v>0</v>
      </c>
      <c r="BW298" s="32">
        <v>0</v>
      </c>
      <c r="BX298" s="32">
        <v>0</v>
      </c>
      <c r="BY298" s="32">
        <v>0</v>
      </c>
      <c r="BZ298" s="32">
        <v>0</v>
      </c>
      <c r="CA298" s="32">
        <v>0</v>
      </c>
      <c r="CB298" s="125" t="s">
        <v>521</v>
      </c>
      <c r="CC298" s="125" t="s">
        <v>624</v>
      </c>
      <c r="CD298" s="125"/>
      <c r="CE298" s="125" t="s">
        <v>523</v>
      </c>
      <c r="CF298" s="125" t="s">
        <v>645</v>
      </c>
      <c r="CG298" s="125" t="s">
        <v>735</v>
      </c>
      <c r="CH298" s="125" t="s">
        <v>526</v>
      </c>
      <c r="CI298" s="125" t="s">
        <v>736</v>
      </c>
      <c r="CJ298" s="125" t="s">
        <v>3903</v>
      </c>
      <c r="CK298" s="125"/>
      <c r="CL298" s="125" t="s">
        <v>212</v>
      </c>
      <c r="CM298" s="125"/>
      <c r="CN298" s="125" t="s">
        <v>254</v>
      </c>
      <c r="CO298" s="125" t="s">
        <v>255</v>
      </c>
      <c r="CP298" s="125" t="s">
        <v>738</v>
      </c>
      <c r="CQ298" s="125" t="s">
        <v>739</v>
      </c>
      <c r="CR298" s="125" t="s">
        <v>529</v>
      </c>
      <c r="CS298" s="125" t="s">
        <v>3904</v>
      </c>
      <c r="CT298" s="125" t="s">
        <v>254</v>
      </c>
      <c r="CU298" s="125" t="s">
        <v>255</v>
      </c>
      <c r="CV298" s="125" t="s">
        <v>3394</v>
      </c>
      <c r="CW298" s="125" t="s">
        <v>521</v>
      </c>
      <c r="CX298" s="125" t="s">
        <v>521</v>
      </c>
      <c r="CY298" s="125" t="s">
        <v>628</v>
      </c>
      <c r="CZ298" s="125" t="s">
        <v>3905</v>
      </c>
      <c r="DA298" s="125" t="s">
        <v>3906</v>
      </c>
      <c r="DB298" s="125" t="s">
        <v>628</v>
      </c>
      <c r="DC298" s="125" t="s">
        <v>3907</v>
      </c>
      <c r="DD298" s="125" t="s">
        <v>3908</v>
      </c>
      <c r="DE298" s="125" t="s">
        <v>3909</v>
      </c>
      <c r="DF298" s="126" t="s">
        <v>3910</v>
      </c>
      <c r="DG298" s="27" cm="1">
        <f t="array" ref="DG298">INDEX('elenco partner'!A:M,MATCH(1,(D298='elenco partner'!A:A)*('Partner data'!M298='elenco partner'!E:E),0),4)</f>
        <v>715</v>
      </c>
      <c r="DH298" s="83" t="str">
        <f t="shared" si="129"/>
        <v>Tasso Forfettario 20%</v>
      </c>
      <c r="DI298" s="20">
        <f>COUNTIFS('MY-REPORT-MAIN'!C:C,'Partner data'!DG298,'MY-REPORT-MAIN'!I:I,"Certified")</f>
        <v>0</v>
      </c>
      <c r="DJ298" s="20">
        <f>COUNTIFS(List_Of_chek_list!M:M,"&lt;&gt;26",List_Of_chek_list!B:B,'Partner data'!DG298)</f>
        <v>0</v>
      </c>
      <c r="DK298" s="20">
        <f t="shared" si="130"/>
        <v>0</v>
      </c>
      <c r="DL298" s="19" t="e">
        <f>IF(DH298="Tasso Forfettario 20%",SUMIFS(List_Of_chek_list!#REF!,List_Of_chek_list!B:B,'Partner data'!DG298),"NON PERTINENTE")</f>
        <v>#REF!</v>
      </c>
      <c r="DM298" s="19" t="e">
        <f t="shared" si="131"/>
        <v>#REF!</v>
      </c>
      <c r="DN298" s="110">
        <f>_xlfn.MAXIFS('MY-REPORT-MAIN'!K:K,'MY-REPORT-MAIN'!C:C,DG298)</f>
        <v>0</v>
      </c>
      <c r="DO298" s="112" t="str">
        <f>IF(_xlfn.MAXIFS('MY-REPORT-MAIN'!M:M,'MY-REPORT-MAIN'!C:C,DG298)=0,"Nessun rendiconto  Convalidato",_xlfn.MAXIFS('MY-REPORT-MAIN'!M:M,'MY-REPORT-MAIN'!C:C,DG298))</f>
        <v>Nessun rendiconto  Convalidato</v>
      </c>
      <c r="DP298" s="113" t="str" cm="1">
        <f t="array" ref="DP298">IFERROR(INDEX('MY-REPORT-MAIN'!A:Z,MATCH(1,(DO298='MY-REPORT-MAIN'!M:M)*('Partner data'!DG298='MY-REPORT-MAIN'!C:C),0),1),"NON è stato convalidato ancora nessun rendiconto")</f>
        <v>NON è stato convalidato ancora nessun rendiconto</v>
      </c>
      <c r="DQ298" s="111" t="str">
        <f>IFERROR(INDEX('MY-REPORT-MAIN'!A:Z,MATCH('Partner data'!DP298,'MY-REPORT-MAIN'!A:A,0),21),"Nessun Rendiconto ancora convalidato")</f>
        <v>Nessun Rendiconto ancora convalidato</v>
      </c>
      <c r="DR298" s="110" t="e">
        <f>INDEX('Interreg VI-A Italy-Slovenia_pr'!A:E,MATCH('Partner data'!C298,'Interreg VI-A Italy-Slovenia_pr'!A:A,0),3)</f>
        <v>#N/A</v>
      </c>
      <c r="DS298" s="118">
        <f t="shared" si="104"/>
        <v>29402.5</v>
      </c>
      <c r="DT298" s="118">
        <f t="shared" si="105"/>
        <v>69947</v>
      </c>
      <c r="DU298" s="118">
        <f t="shared" si="106"/>
        <v>105539.5</v>
      </c>
      <c r="DV298" s="118">
        <f t="shared" si="107"/>
        <v>139894</v>
      </c>
      <c r="DW298" s="118">
        <f t="shared" si="108"/>
        <v>139894</v>
      </c>
      <c r="DX298" s="118">
        <f t="shared" si="109"/>
        <v>139894</v>
      </c>
      <c r="DY298" s="118">
        <f t="shared" si="110"/>
        <v>139894</v>
      </c>
      <c r="DZ298" s="118">
        <f t="shared" si="111"/>
        <v>139894</v>
      </c>
      <c r="EA298" s="118">
        <f t="shared" si="112"/>
        <v>139894</v>
      </c>
      <c r="EB298" s="118">
        <f t="shared" si="113"/>
        <v>139894</v>
      </c>
    </row>
    <row r="299" spans="1:132" ht="45" x14ac:dyDescent="0.25">
      <c r="A299" s="121">
        <v>6</v>
      </c>
      <c r="B299" s="122" t="s">
        <v>2688</v>
      </c>
      <c r="C299" s="123" t="s">
        <v>3872</v>
      </c>
      <c r="D299" s="123" t="s">
        <v>3873</v>
      </c>
      <c r="E299" s="123" t="s">
        <v>3874</v>
      </c>
      <c r="F299" s="123" t="s">
        <v>490</v>
      </c>
      <c r="G299" s="123" t="s">
        <v>6118</v>
      </c>
      <c r="H299" s="123" t="s">
        <v>766</v>
      </c>
      <c r="I299" s="123" t="s">
        <v>767</v>
      </c>
      <c r="J299" s="124" t="s">
        <v>554</v>
      </c>
      <c r="K299" s="124" t="s">
        <v>495</v>
      </c>
      <c r="L299" s="124" t="s">
        <v>519</v>
      </c>
      <c r="M299" s="124" t="s">
        <v>3911</v>
      </c>
      <c r="N299" s="124" t="s">
        <v>3912</v>
      </c>
      <c r="O299" s="124" t="s">
        <v>3913</v>
      </c>
      <c r="P299" s="124" t="s">
        <v>254</v>
      </c>
      <c r="Q299" s="124" t="s">
        <v>499</v>
      </c>
      <c r="R299" s="124" t="s">
        <v>266</v>
      </c>
      <c r="S299" s="32">
        <v>88742.56</v>
      </c>
      <c r="T299" s="32">
        <v>80</v>
      </c>
      <c r="U299" s="32">
        <v>10.15</v>
      </c>
      <c r="V299" s="32">
        <v>0</v>
      </c>
      <c r="W299" s="32">
        <v>0</v>
      </c>
      <c r="X299" s="32">
        <v>0</v>
      </c>
      <c r="Y299" s="32">
        <v>0</v>
      </c>
      <c r="Z299" s="32">
        <v>0</v>
      </c>
      <c r="AA299" s="32">
        <v>0</v>
      </c>
      <c r="AB299" s="32">
        <v>0</v>
      </c>
      <c r="AC299" s="32">
        <v>0</v>
      </c>
      <c r="AD299" s="32">
        <v>0</v>
      </c>
      <c r="AE299" s="32">
        <v>0</v>
      </c>
      <c r="AF299" s="32">
        <v>0</v>
      </c>
      <c r="AG299" s="32">
        <v>0</v>
      </c>
      <c r="AH299" s="32">
        <v>0</v>
      </c>
      <c r="AI299" s="32">
        <v>0</v>
      </c>
      <c r="AJ299" s="32">
        <v>0</v>
      </c>
      <c r="AK299" s="32">
        <v>0</v>
      </c>
      <c r="AL299" s="32">
        <v>0</v>
      </c>
      <c r="AM299" s="32">
        <v>0</v>
      </c>
      <c r="AN299" s="32">
        <v>0</v>
      </c>
      <c r="AO299" s="32">
        <v>22185.64</v>
      </c>
      <c r="AP299" s="32">
        <v>0</v>
      </c>
      <c r="AQ299" s="32">
        <v>22185.64</v>
      </c>
      <c r="AR299" s="32">
        <v>110928.2</v>
      </c>
      <c r="AS299" s="32">
        <v>10.15</v>
      </c>
      <c r="AT299" s="32">
        <v>23580</v>
      </c>
      <c r="AU299" s="32">
        <v>0</v>
      </c>
      <c r="AV299" s="32">
        <v>23580</v>
      </c>
      <c r="AW299" s="32">
        <v>0</v>
      </c>
      <c r="AX299" s="32">
        <v>3537</v>
      </c>
      <c r="AY299" s="32">
        <v>3537</v>
      </c>
      <c r="AZ299" s="32">
        <v>943.2</v>
      </c>
      <c r="BA299" s="32">
        <v>943.2</v>
      </c>
      <c r="BB299" s="32">
        <v>0</v>
      </c>
      <c r="BC299" s="32">
        <v>0</v>
      </c>
      <c r="BD299" s="32">
        <v>82868</v>
      </c>
      <c r="BE299" s="32">
        <v>82868</v>
      </c>
      <c r="BF299" s="32">
        <v>0</v>
      </c>
      <c r="BG299" s="32">
        <v>0</v>
      </c>
      <c r="BH299" s="32">
        <v>0</v>
      </c>
      <c r="BI299" s="32">
        <v>0</v>
      </c>
      <c r="BJ299" s="32">
        <v>0</v>
      </c>
      <c r="BK299" s="32">
        <v>0</v>
      </c>
      <c r="BL299" s="32">
        <v>0</v>
      </c>
      <c r="BM299" s="32">
        <v>0</v>
      </c>
      <c r="BN299" s="32">
        <v>0</v>
      </c>
      <c r="BO299" s="32">
        <v>0</v>
      </c>
      <c r="BP299" s="32">
        <v>0</v>
      </c>
      <c r="BQ299" s="32">
        <v>23211.8</v>
      </c>
      <c r="BR299" s="32">
        <v>29106.799999999999</v>
      </c>
      <c r="BS299" s="32">
        <v>30163.8</v>
      </c>
      <c r="BT299" s="32">
        <v>28445.8</v>
      </c>
      <c r="BU299" s="32">
        <v>0</v>
      </c>
      <c r="BV299" s="32">
        <v>0</v>
      </c>
      <c r="BW299" s="32">
        <v>0</v>
      </c>
      <c r="BX299" s="32">
        <v>0</v>
      </c>
      <c r="BY299" s="32">
        <v>0</v>
      </c>
      <c r="BZ299" s="32">
        <v>0</v>
      </c>
      <c r="CA299" s="32">
        <v>0</v>
      </c>
      <c r="CB299" s="125" t="s">
        <v>521</v>
      </c>
      <c r="CC299" s="125" t="s">
        <v>675</v>
      </c>
      <c r="CD299" s="125" t="s">
        <v>653</v>
      </c>
      <c r="CE299" s="125" t="s">
        <v>501</v>
      </c>
      <c r="CF299" s="125" t="s">
        <v>3914</v>
      </c>
      <c r="CG299" s="125" t="s">
        <v>3915</v>
      </c>
      <c r="CH299" s="125" t="s">
        <v>504</v>
      </c>
      <c r="CI299" s="125"/>
      <c r="CJ299" s="125" t="s">
        <v>3916</v>
      </c>
      <c r="CK299" s="125"/>
      <c r="CL299" s="125" t="s">
        <v>212</v>
      </c>
      <c r="CM299" s="125"/>
      <c r="CN299" s="125" t="s">
        <v>254</v>
      </c>
      <c r="CO299" s="125" t="s">
        <v>266</v>
      </c>
      <c r="CP299" s="125" t="s">
        <v>3917</v>
      </c>
      <c r="CQ299" s="125" t="s">
        <v>1690</v>
      </c>
      <c r="CR299" s="125" t="s">
        <v>1691</v>
      </c>
      <c r="CS299" s="125" t="s">
        <v>3918</v>
      </c>
      <c r="CT299" s="125" t="s">
        <v>254</v>
      </c>
      <c r="CU299" s="125" t="s">
        <v>266</v>
      </c>
      <c r="CV299" s="125" t="s">
        <v>3394</v>
      </c>
      <c r="CW299" s="125" t="s">
        <v>521</v>
      </c>
      <c r="CX299" s="125" t="s">
        <v>521</v>
      </c>
      <c r="CY299" s="125" t="s">
        <v>510</v>
      </c>
      <c r="CZ299" s="125" t="s">
        <v>3919</v>
      </c>
      <c r="DA299" s="125" t="s">
        <v>3920</v>
      </c>
      <c r="DB299" s="125" t="s">
        <v>3101</v>
      </c>
      <c r="DC299" s="125" t="s">
        <v>3919</v>
      </c>
      <c r="DD299" s="125" t="s">
        <v>3920</v>
      </c>
      <c r="DE299" s="125" t="s">
        <v>3921</v>
      </c>
      <c r="DF299" s="126" t="s">
        <v>3922</v>
      </c>
      <c r="DG299" s="27" cm="1">
        <f t="array" ref="DG299">INDEX('elenco partner'!A:M,MATCH(1,(D299='elenco partner'!A:A)*('Partner data'!M299='elenco partner'!E:E),0),4)</f>
        <v>716</v>
      </c>
      <c r="DH299" s="83" t="str">
        <f t="shared" si="129"/>
        <v>COSTO REALE</v>
      </c>
      <c r="DI299" s="20">
        <f>COUNTIFS('MY-REPORT-MAIN'!C:C,'Partner data'!DG299,'MY-REPORT-MAIN'!I:I,"Certified")</f>
        <v>0</v>
      </c>
      <c r="DJ299" s="20">
        <f>COUNTIFS(List_Of_chek_list!M:M,"&lt;&gt;26",List_Of_chek_list!B:B,'Partner data'!DG299)</f>
        <v>0</v>
      </c>
      <c r="DK299" s="20">
        <f t="shared" si="130"/>
        <v>0</v>
      </c>
      <c r="DL299" s="19" t="str">
        <f>IF(DH299="Tasso Forfettario 20%",SUMIFS(List_Of_chek_list!#REF!,List_Of_chek_list!B:B,'Partner data'!DG299),"NON PERTINENTE")</f>
        <v>NON PERTINENTE</v>
      </c>
      <c r="DM299" s="19" t="str">
        <f t="shared" si="131"/>
        <v>NON PERTINENTE</v>
      </c>
      <c r="DN299" s="110">
        <f>_xlfn.MAXIFS('MY-REPORT-MAIN'!K:K,'MY-REPORT-MAIN'!C:C,DG299)</f>
        <v>0</v>
      </c>
      <c r="DO299" s="112" t="str">
        <f>IF(_xlfn.MAXIFS('MY-REPORT-MAIN'!M:M,'MY-REPORT-MAIN'!C:C,DG299)=0,"Nessun rendiconto  Convalidato",_xlfn.MAXIFS('MY-REPORT-MAIN'!M:M,'MY-REPORT-MAIN'!C:C,DG299))</f>
        <v>Nessun rendiconto  Convalidato</v>
      </c>
      <c r="DP299" s="113" t="str" cm="1">
        <f t="array" ref="DP299">IFERROR(INDEX('MY-REPORT-MAIN'!A:Z,MATCH(1,(DO299='MY-REPORT-MAIN'!M:M)*('Partner data'!DG299='MY-REPORT-MAIN'!C:C),0),1),"NON è stato convalidato ancora nessun rendiconto")</f>
        <v>NON è stato convalidato ancora nessun rendiconto</v>
      </c>
      <c r="DQ299" s="111" t="str">
        <f>IFERROR(INDEX('MY-REPORT-MAIN'!A:Z,MATCH('Partner data'!DP299,'MY-REPORT-MAIN'!A:A,0),21),"Nessun Rendiconto ancora convalidato")</f>
        <v>Nessun Rendiconto ancora convalidato</v>
      </c>
      <c r="DR299" s="110" t="e">
        <f>INDEX('Interreg VI-A Italy-Slovenia_pr'!A:E,MATCH('Partner data'!C299,'Interreg VI-A Italy-Slovenia_pr'!A:A,0),3)</f>
        <v>#N/A</v>
      </c>
      <c r="DS299" s="118">
        <f t="shared" si="104"/>
        <v>23211.8</v>
      </c>
      <c r="DT299" s="118">
        <f t="shared" si="105"/>
        <v>52318.6</v>
      </c>
      <c r="DU299" s="118">
        <f t="shared" si="106"/>
        <v>82482.399999999994</v>
      </c>
      <c r="DV299" s="118">
        <f t="shared" si="107"/>
        <v>110928.2</v>
      </c>
      <c r="DW299" s="118">
        <f t="shared" si="108"/>
        <v>110928.2</v>
      </c>
      <c r="DX299" s="118">
        <f t="shared" si="109"/>
        <v>110928.2</v>
      </c>
      <c r="DY299" s="118">
        <f t="shared" si="110"/>
        <v>110928.2</v>
      </c>
      <c r="DZ299" s="118">
        <f t="shared" si="111"/>
        <v>110928.2</v>
      </c>
      <c r="EA299" s="118">
        <f t="shared" si="112"/>
        <v>110928.2</v>
      </c>
      <c r="EB299" s="118">
        <f t="shared" si="113"/>
        <v>110928.2</v>
      </c>
    </row>
    <row r="300" spans="1:132" ht="45" x14ac:dyDescent="0.25">
      <c r="A300" s="121">
        <v>6</v>
      </c>
      <c r="B300" s="122" t="s">
        <v>2688</v>
      </c>
      <c r="C300" s="123" t="s">
        <v>3872</v>
      </c>
      <c r="D300" s="123" t="s">
        <v>3873</v>
      </c>
      <c r="E300" s="123" t="s">
        <v>3874</v>
      </c>
      <c r="F300" s="123" t="s">
        <v>490</v>
      </c>
      <c r="G300" s="123" t="s">
        <v>6118</v>
      </c>
      <c r="H300" s="123" t="s">
        <v>766</v>
      </c>
      <c r="I300" s="123" t="s">
        <v>767</v>
      </c>
      <c r="J300" s="124" t="s">
        <v>570</v>
      </c>
      <c r="K300" s="124" t="s">
        <v>495</v>
      </c>
      <c r="L300" s="124" t="s">
        <v>519</v>
      </c>
      <c r="M300" s="124" t="s">
        <v>3923</v>
      </c>
      <c r="N300" s="124" t="s">
        <v>3924</v>
      </c>
      <c r="O300" s="124" t="s">
        <v>3925</v>
      </c>
      <c r="P300" s="124" t="s">
        <v>257</v>
      </c>
      <c r="Q300" s="124" t="s">
        <v>556</v>
      </c>
      <c r="R300" s="124" t="s">
        <v>258</v>
      </c>
      <c r="S300" s="32">
        <v>91263.38</v>
      </c>
      <c r="T300" s="32">
        <v>80</v>
      </c>
      <c r="U300" s="32">
        <v>10.44</v>
      </c>
      <c r="V300" s="32">
        <v>0</v>
      </c>
      <c r="W300" s="32">
        <v>0</v>
      </c>
      <c r="X300" s="32">
        <v>0</v>
      </c>
      <c r="Y300" s="32">
        <v>0</v>
      </c>
      <c r="Z300" s="32">
        <v>0</v>
      </c>
      <c r="AA300" s="32">
        <v>0</v>
      </c>
      <c r="AB300" s="32">
        <v>0</v>
      </c>
      <c r="AC300" s="32">
        <v>0</v>
      </c>
      <c r="AD300" s="32">
        <v>0</v>
      </c>
      <c r="AE300" s="32">
        <v>0</v>
      </c>
      <c r="AF300" s="32">
        <v>0</v>
      </c>
      <c r="AG300" s="32">
        <v>0</v>
      </c>
      <c r="AH300" s="32">
        <v>0</v>
      </c>
      <c r="AI300" s="32">
        <v>0</v>
      </c>
      <c r="AJ300" s="32">
        <v>0</v>
      </c>
      <c r="AK300" s="32">
        <v>0</v>
      </c>
      <c r="AL300" s="32">
        <v>0</v>
      </c>
      <c r="AM300" s="32">
        <v>0</v>
      </c>
      <c r="AN300" s="32">
        <v>0</v>
      </c>
      <c r="AO300" s="32">
        <v>0</v>
      </c>
      <c r="AP300" s="32">
        <v>22815.85</v>
      </c>
      <c r="AQ300" s="32">
        <v>22815.85</v>
      </c>
      <c r="AR300" s="32">
        <v>114079.23</v>
      </c>
      <c r="AS300" s="32">
        <v>10.44</v>
      </c>
      <c r="AT300" s="32">
        <v>81485.17</v>
      </c>
      <c r="AU300" s="32">
        <v>0</v>
      </c>
      <c r="AV300" s="32">
        <v>81485.17</v>
      </c>
      <c r="AW300" s="32">
        <v>0</v>
      </c>
      <c r="AX300" s="32">
        <v>0</v>
      </c>
      <c r="AY300" s="32">
        <v>0</v>
      </c>
      <c r="AZ300" s="32">
        <v>0</v>
      </c>
      <c r="BA300" s="32">
        <v>0</v>
      </c>
      <c r="BB300" s="32">
        <v>0</v>
      </c>
      <c r="BC300" s="32">
        <v>0</v>
      </c>
      <c r="BD300" s="32">
        <v>0</v>
      </c>
      <c r="BE300" s="32">
        <v>0</v>
      </c>
      <c r="BF300" s="32">
        <v>0</v>
      </c>
      <c r="BG300" s="32">
        <v>0</v>
      </c>
      <c r="BH300" s="32">
        <v>0</v>
      </c>
      <c r="BI300" s="32">
        <v>0</v>
      </c>
      <c r="BJ300" s="32">
        <v>0</v>
      </c>
      <c r="BK300" s="32">
        <v>0</v>
      </c>
      <c r="BL300" s="32">
        <v>0</v>
      </c>
      <c r="BM300" s="32">
        <v>32594.06</v>
      </c>
      <c r="BN300" s="32">
        <v>0</v>
      </c>
      <c r="BO300" s="32">
        <v>0</v>
      </c>
      <c r="BP300" s="32">
        <v>0</v>
      </c>
      <c r="BQ300" s="32">
        <v>33331.199999999997</v>
      </c>
      <c r="BR300" s="32">
        <v>22962.89</v>
      </c>
      <c r="BS300" s="32">
        <v>25758.74</v>
      </c>
      <c r="BT300" s="32">
        <v>32026.400000000001</v>
      </c>
      <c r="BU300" s="32">
        <v>0</v>
      </c>
      <c r="BV300" s="32">
        <v>0</v>
      </c>
      <c r="BW300" s="32">
        <v>0</v>
      </c>
      <c r="BX300" s="32">
        <v>0</v>
      </c>
      <c r="BY300" s="32">
        <v>0</v>
      </c>
      <c r="BZ300" s="32">
        <v>0</v>
      </c>
      <c r="CA300" s="32">
        <v>0</v>
      </c>
      <c r="CB300" s="125" t="s">
        <v>521</v>
      </c>
      <c r="CC300" s="125" t="s">
        <v>887</v>
      </c>
      <c r="CD300" s="125"/>
      <c r="CE300" s="125" t="s">
        <v>501</v>
      </c>
      <c r="CF300" s="125" t="s">
        <v>2286</v>
      </c>
      <c r="CG300" s="125" t="s">
        <v>3926</v>
      </c>
      <c r="CH300" s="125" t="s">
        <v>526</v>
      </c>
      <c r="CI300" s="125" t="s">
        <v>3927</v>
      </c>
      <c r="CJ300" s="125" t="s">
        <v>3928</v>
      </c>
      <c r="CK300" s="125"/>
      <c r="CL300" s="125" t="s">
        <v>212</v>
      </c>
      <c r="CM300" s="125"/>
      <c r="CN300" s="125" t="s">
        <v>257</v>
      </c>
      <c r="CO300" s="125" t="s">
        <v>258</v>
      </c>
      <c r="CP300" s="125" t="s">
        <v>3929</v>
      </c>
      <c r="CQ300" s="125" t="s">
        <v>620</v>
      </c>
      <c r="CR300" s="125" t="s">
        <v>621</v>
      </c>
      <c r="CS300" s="125" t="s">
        <v>3930</v>
      </c>
      <c r="CT300" s="125" t="s">
        <v>257</v>
      </c>
      <c r="CU300" s="125" t="s">
        <v>258</v>
      </c>
      <c r="CV300" s="125" t="s">
        <v>3931</v>
      </c>
      <c r="CW300" s="125" t="s">
        <v>521</v>
      </c>
      <c r="CX300" s="125" t="s">
        <v>521</v>
      </c>
      <c r="CY300" s="125" t="s">
        <v>892</v>
      </c>
      <c r="CZ300" s="125" t="s">
        <v>2143</v>
      </c>
      <c r="DA300" s="125" t="s">
        <v>3932</v>
      </c>
      <c r="DB300" s="125" t="s">
        <v>892</v>
      </c>
      <c r="DC300" s="125" t="s">
        <v>3933</v>
      </c>
      <c r="DD300" s="125" t="s">
        <v>3934</v>
      </c>
      <c r="DE300" s="125" t="s">
        <v>3935</v>
      </c>
      <c r="DF300" s="126" t="s">
        <v>3936</v>
      </c>
      <c r="DG300" s="27" cm="1">
        <f t="array" ref="DG300">INDEX('elenco partner'!A:M,MATCH(1,(D300='elenco partner'!A:A)*('Partner data'!M300='elenco partner'!E:E),0),4)</f>
        <v>717</v>
      </c>
      <c r="DH300" s="83" t="str">
        <f t="shared" si="129"/>
        <v>COSTO REALE</v>
      </c>
      <c r="DI300" s="20">
        <f>COUNTIFS('MY-REPORT-MAIN'!C:C,'Partner data'!DG300,'MY-REPORT-MAIN'!I:I,"Certified")</f>
        <v>0</v>
      </c>
      <c r="DJ300" s="20">
        <f>COUNTIFS(List_Of_chek_list!M:M,"&lt;&gt;26",List_Of_chek_list!B:B,'Partner data'!DG300)</f>
        <v>0</v>
      </c>
      <c r="DK300" s="20">
        <f t="shared" si="130"/>
        <v>0</v>
      </c>
      <c r="DL300" s="19" t="str">
        <f>IF(DH300="Tasso Forfettario 20%",SUMIFS(List_Of_chek_list!#REF!,List_Of_chek_list!B:B,'Partner data'!DG300),"NON PERTINENTE")</f>
        <v>NON PERTINENTE</v>
      </c>
      <c r="DM300" s="19" t="str">
        <f t="shared" si="131"/>
        <v>NON PERTINENTE</v>
      </c>
      <c r="DN300" s="110">
        <f>_xlfn.MAXIFS('MY-REPORT-MAIN'!K:K,'MY-REPORT-MAIN'!C:C,DG300)</f>
        <v>0</v>
      </c>
      <c r="DO300" s="112" t="str">
        <f>IF(_xlfn.MAXIFS('MY-REPORT-MAIN'!M:M,'MY-REPORT-MAIN'!C:C,DG300)=0,"Nessun rendiconto  Convalidato",_xlfn.MAXIFS('MY-REPORT-MAIN'!M:M,'MY-REPORT-MAIN'!C:C,DG300))</f>
        <v>Nessun rendiconto  Convalidato</v>
      </c>
      <c r="DP300" s="113" t="str" cm="1">
        <f t="array" ref="DP300">IFERROR(INDEX('MY-REPORT-MAIN'!A:Z,MATCH(1,(DO300='MY-REPORT-MAIN'!M:M)*('Partner data'!DG300='MY-REPORT-MAIN'!C:C),0),1),"NON è stato convalidato ancora nessun rendiconto")</f>
        <v>NON è stato convalidato ancora nessun rendiconto</v>
      </c>
      <c r="DQ300" s="111" t="str">
        <f>IFERROR(INDEX('MY-REPORT-MAIN'!A:Z,MATCH('Partner data'!DP300,'MY-REPORT-MAIN'!A:A,0),21),"Nessun Rendiconto ancora convalidato")</f>
        <v>Nessun Rendiconto ancora convalidato</v>
      </c>
      <c r="DR300" s="110" t="e">
        <f>INDEX('Interreg VI-A Italy-Slovenia_pr'!A:E,MATCH('Partner data'!C300,'Interreg VI-A Italy-Slovenia_pr'!A:A,0),3)</f>
        <v>#N/A</v>
      </c>
      <c r="DS300" s="118">
        <f t="shared" si="104"/>
        <v>33331.199999999997</v>
      </c>
      <c r="DT300" s="118">
        <f t="shared" si="105"/>
        <v>56294.09</v>
      </c>
      <c r="DU300" s="118">
        <f t="shared" si="106"/>
        <v>82052.83</v>
      </c>
      <c r="DV300" s="118">
        <f t="shared" si="107"/>
        <v>114079.23000000001</v>
      </c>
      <c r="DW300" s="118">
        <f t="shared" si="108"/>
        <v>114079.23000000001</v>
      </c>
      <c r="DX300" s="118">
        <f t="shared" si="109"/>
        <v>114079.23000000001</v>
      </c>
      <c r="DY300" s="118">
        <f t="shared" si="110"/>
        <v>114079.23000000001</v>
      </c>
      <c r="DZ300" s="118">
        <f t="shared" si="111"/>
        <v>114079.23000000001</v>
      </c>
      <c r="EA300" s="118">
        <f t="shared" si="112"/>
        <v>114079.23000000001</v>
      </c>
      <c r="EB300" s="118">
        <f t="shared" si="113"/>
        <v>114079.23000000001</v>
      </c>
    </row>
    <row r="301" spans="1:132" ht="45" x14ac:dyDescent="0.25">
      <c r="A301" s="121">
        <v>6</v>
      </c>
      <c r="B301" s="122" t="s">
        <v>2688</v>
      </c>
      <c r="C301" s="123" t="s">
        <v>3872</v>
      </c>
      <c r="D301" s="123" t="s">
        <v>3873</v>
      </c>
      <c r="E301" s="123" t="s">
        <v>3874</v>
      </c>
      <c r="F301" s="123" t="s">
        <v>490</v>
      </c>
      <c r="G301" s="123" t="s">
        <v>6118</v>
      </c>
      <c r="H301" s="123" t="s">
        <v>766</v>
      </c>
      <c r="I301" s="123" t="s">
        <v>767</v>
      </c>
      <c r="J301" s="124" t="s">
        <v>581</v>
      </c>
      <c r="K301" s="124" t="s">
        <v>495</v>
      </c>
      <c r="L301" s="124" t="s">
        <v>519</v>
      </c>
      <c r="M301" s="124" t="s">
        <v>21</v>
      </c>
      <c r="N301" s="124" t="s">
        <v>21</v>
      </c>
      <c r="O301" s="124" t="s">
        <v>21</v>
      </c>
      <c r="P301" s="124" t="s">
        <v>254</v>
      </c>
      <c r="Q301" s="124" t="s">
        <v>499</v>
      </c>
      <c r="R301" s="124" t="s">
        <v>255</v>
      </c>
      <c r="S301" s="32">
        <v>208974.4</v>
      </c>
      <c r="T301" s="32">
        <v>80</v>
      </c>
      <c r="U301" s="32">
        <v>23.91</v>
      </c>
      <c r="V301" s="32">
        <v>0</v>
      </c>
      <c r="W301" s="32">
        <v>0</v>
      </c>
      <c r="X301" s="32">
        <v>0</v>
      </c>
      <c r="Y301" s="32">
        <v>0</v>
      </c>
      <c r="Z301" s="32">
        <v>0</v>
      </c>
      <c r="AA301" s="32">
        <v>0</v>
      </c>
      <c r="AB301" s="32">
        <v>0</v>
      </c>
      <c r="AC301" s="32">
        <v>0</v>
      </c>
      <c r="AD301" s="32">
        <v>0</v>
      </c>
      <c r="AE301" s="32">
        <v>0</v>
      </c>
      <c r="AF301" s="32">
        <v>0</v>
      </c>
      <c r="AG301" s="32">
        <v>0</v>
      </c>
      <c r="AH301" s="32">
        <v>0</v>
      </c>
      <c r="AI301" s="32">
        <v>0</v>
      </c>
      <c r="AJ301" s="32">
        <v>0</v>
      </c>
      <c r="AK301" s="32">
        <v>0</v>
      </c>
      <c r="AL301" s="32">
        <v>0</v>
      </c>
      <c r="AM301" s="32">
        <v>0</v>
      </c>
      <c r="AN301" s="32">
        <v>0</v>
      </c>
      <c r="AO301" s="32">
        <v>52243.6</v>
      </c>
      <c r="AP301" s="32">
        <v>0</v>
      </c>
      <c r="AQ301" s="32">
        <v>52243.6</v>
      </c>
      <c r="AR301" s="32">
        <v>261218</v>
      </c>
      <c r="AS301" s="32">
        <v>23.91</v>
      </c>
      <c r="AT301" s="32">
        <v>42200</v>
      </c>
      <c r="AU301" s="32">
        <v>42200</v>
      </c>
      <c r="AV301" s="32">
        <v>0</v>
      </c>
      <c r="AW301" s="32">
        <v>0</v>
      </c>
      <c r="AX301" s="32">
        <v>6330</v>
      </c>
      <c r="AY301" s="32">
        <v>6330</v>
      </c>
      <c r="AZ301" s="32">
        <v>1688</v>
      </c>
      <c r="BA301" s="32">
        <v>1688</v>
      </c>
      <c r="BB301" s="32">
        <v>0</v>
      </c>
      <c r="BC301" s="32">
        <v>0</v>
      </c>
      <c r="BD301" s="32">
        <v>211000</v>
      </c>
      <c r="BE301" s="32">
        <v>211000</v>
      </c>
      <c r="BF301" s="32">
        <v>0</v>
      </c>
      <c r="BG301" s="32">
        <v>0</v>
      </c>
      <c r="BH301" s="32">
        <v>0</v>
      </c>
      <c r="BI301" s="32">
        <v>0</v>
      </c>
      <c r="BJ301" s="32">
        <v>0</v>
      </c>
      <c r="BK301" s="32">
        <v>0</v>
      </c>
      <c r="BL301" s="32">
        <v>0</v>
      </c>
      <c r="BM301" s="32">
        <v>0</v>
      </c>
      <c r="BN301" s="32">
        <v>0</v>
      </c>
      <c r="BO301" s="32">
        <v>0</v>
      </c>
      <c r="BP301" s="32">
        <v>0</v>
      </c>
      <c r="BQ301" s="32">
        <v>89136</v>
      </c>
      <c r="BR301" s="32">
        <v>45806</v>
      </c>
      <c r="BS301" s="32">
        <v>55091</v>
      </c>
      <c r="BT301" s="32">
        <v>71185</v>
      </c>
      <c r="BU301" s="32">
        <v>0</v>
      </c>
      <c r="BV301" s="32">
        <v>0</v>
      </c>
      <c r="BW301" s="32">
        <v>0</v>
      </c>
      <c r="BX301" s="32">
        <v>0</v>
      </c>
      <c r="BY301" s="32">
        <v>0</v>
      </c>
      <c r="BZ301" s="32">
        <v>0</v>
      </c>
      <c r="CA301" s="32">
        <v>0</v>
      </c>
      <c r="CB301" s="125" t="s">
        <v>521</v>
      </c>
      <c r="CC301" s="125" t="s">
        <v>500</v>
      </c>
      <c r="CD301" s="125"/>
      <c r="CE301" s="125" t="s">
        <v>684</v>
      </c>
      <c r="CF301" s="125" t="s">
        <v>2273</v>
      </c>
      <c r="CG301" s="125" t="s">
        <v>2274</v>
      </c>
      <c r="CH301" s="125" t="s">
        <v>526</v>
      </c>
      <c r="CI301" s="125" t="s">
        <v>3937</v>
      </c>
      <c r="CJ301" s="125" t="s">
        <v>3477</v>
      </c>
      <c r="CK301" s="125"/>
      <c r="CL301" s="125" t="s">
        <v>212</v>
      </c>
      <c r="CM301" s="125"/>
      <c r="CN301" s="125" t="s">
        <v>254</v>
      </c>
      <c r="CO301" s="125" t="s">
        <v>255</v>
      </c>
      <c r="CP301" s="125" t="s">
        <v>3699</v>
      </c>
      <c r="CQ301" s="125" t="s">
        <v>2392</v>
      </c>
      <c r="CR301" s="125" t="s">
        <v>529</v>
      </c>
      <c r="CS301" s="125" t="s">
        <v>3480</v>
      </c>
      <c r="CT301" s="125" t="s">
        <v>254</v>
      </c>
      <c r="CU301" s="125" t="s">
        <v>266</v>
      </c>
      <c r="CV301" s="125" t="s">
        <v>3938</v>
      </c>
      <c r="CW301" s="125" t="s">
        <v>2279</v>
      </c>
      <c r="CX301" s="125" t="s">
        <v>2395</v>
      </c>
      <c r="CY301" s="125" t="s">
        <v>3496</v>
      </c>
      <c r="CZ301" s="125" t="s">
        <v>635</v>
      </c>
      <c r="DA301" s="125" t="s">
        <v>2281</v>
      </c>
      <c r="DB301" s="125" t="s">
        <v>547</v>
      </c>
      <c r="DC301" s="125" t="s">
        <v>3939</v>
      </c>
      <c r="DD301" s="125" t="s">
        <v>3940</v>
      </c>
      <c r="DE301" s="125" t="s">
        <v>3941</v>
      </c>
      <c r="DF301" s="126" t="s">
        <v>3942</v>
      </c>
      <c r="DG301" s="27" cm="1">
        <f t="array" ref="DG301">INDEX('elenco partner'!A:M,MATCH(1,(D301='elenco partner'!A:A)*('Partner data'!M301='elenco partner'!E:E),0),4)</f>
        <v>718</v>
      </c>
      <c r="DH301" s="83" t="str">
        <f t="shared" si="129"/>
        <v>Tasso Forfettario 20%</v>
      </c>
      <c r="DI301" s="20">
        <f>COUNTIFS('MY-REPORT-MAIN'!C:C,'Partner data'!DG301,'MY-REPORT-MAIN'!I:I,"Certified")</f>
        <v>0</v>
      </c>
      <c r="DJ301" s="20">
        <f>COUNTIFS(List_Of_chek_list!M:M,"&lt;&gt;26",List_Of_chek_list!B:B,'Partner data'!DG301)</f>
        <v>0</v>
      </c>
      <c r="DK301" s="20">
        <f t="shared" si="130"/>
        <v>0</v>
      </c>
      <c r="DL301" s="19" t="e">
        <f>IF(DH301="Tasso Forfettario 20%",SUMIFS(List_Of_chek_list!#REF!,List_Of_chek_list!B:B,'Partner data'!DG301),"NON PERTINENTE")</f>
        <v>#REF!</v>
      </c>
      <c r="DM301" s="19" t="e">
        <f t="shared" si="131"/>
        <v>#REF!</v>
      </c>
      <c r="DN301" s="110">
        <f>_xlfn.MAXIFS('MY-REPORT-MAIN'!K:K,'MY-REPORT-MAIN'!C:C,DG301)</f>
        <v>0</v>
      </c>
      <c r="DO301" s="112" t="str">
        <f>IF(_xlfn.MAXIFS('MY-REPORT-MAIN'!M:M,'MY-REPORT-MAIN'!C:C,DG301)=0,"Nessun rendiconto  Convalidato",_xlfn.MAXIFS('MY-REPORT-MAIN'!M:M,'MY-REPORT-MAIN'!C:C,DG301))</f>
        <v>Nessun rendiconto  Convalidato</v>
      </c>
      <c r="DP301" s="113" t="str" cm="1">
        <f t="array" ref="DP301">IFERROR(INDEX('MY-REPORT-MAIN'!A:Z,MATCH(1,(DO301='MY-REPORT-MAIN'!M:M)*('Partner data'!DG301='MY-REPORT-MAIN'!C:C),0),1),"NON è stato convalidato ancora nessun rendiconto")</f>
        <v>NON è stato convalidato ancora nessun rendiconto</v>
      </c>
      <c r="DQ301" s="111" t="str">
        <f>IFERROR(INDEX('MY-REPORT-MAIN'!A:Z,MATCH('Partner data'!DP301,'MY-REPORT-MAIN'!A:A,0),21),"Nessun Rendiconto ancora convalidato")</f>
        <v>Nessun Rendiconto ancora convalidato</v>
      </c>
      <c r="DR301" s="110" t="e">
        <f>INDEX('Interreg VI-A Italy-Slovenia_pr'!A:E,MATCH('Partner data'!C301,'Interreg VI-A Italy-Slovenia_pr'!A:A,0),3)</f>
        <v>#N/A</v>
      </c>
      <c r="DS301" s="118">
        <f t="shared" si="104"/>
        <v>89136</v>
      </c>
      <c r="DT301" s="118">
        <f t="shared" si="105"/>
        <v>134942</v>
      </c>
      <c r="DU301" s="118">
        <f t="shared" si="106"/>
        <v>190033</v>
      </c>
      <c r="DV301" s="118">
        <f t="shared" si="107"/>
        <v>261218</v>
      </c>
      <c r="DW301" s="118">
        <f t="shared" si="108"/>
        <v>261218</v>
      </c>
      <c r="DX301" s="118">
        <f t="shared" si="109"/>
        <v>261218</v>
      </c>
      <c r="DY301" s="118">
        <f t="shared" si="110"/>
        <v>261218</v>
      </c>
      <c r="DZ301" s="118">
        <f t="shared" si="111"/>
        <v>261218</v>
      </c>
      <c r="EA301" s="118">
        <f t="shared" si="112"/>
        <v>261218</v>
      </c>
      <c r="EB301" s="118">
        <f t="shared" si="113"/>
        <v>261218</v>
      </c>
    </row>
    <row r="302" spans="1:132" ht="45" x14ac:dyDescent="0.25">
      <c r="A302" s="121">
        <v>6</v>
      </c>
      <c r="B302" s="122" t="s">
        <v>2688</v>
      </c>
      <c r="C302" s="123" t="s">
        <v>3947</v>
      </c>
      <c r="D302" s="123" t="s">
        <v>3948</v>
      </c>
      <c r="E302" s="123" t="s">
        <v>3949</v>
      </c>
      <c r="F302" s="123" t="s">
        <v>1118</v>
      </c>
      <c r="G302" s="123" t="s">
        <v>491</v>
      </c>
      <c r="H302" s="123" t="s">
        <v>766</v>
      </c>
      <c r="I302" s="123" t="s">
        <v>767</v>
      </c>
      <c r="J302" s="124" t="s">
        <v>494</v>
      </c>
      <c r="K302" s="124" t="s">
        <v>495</v>
      </c>
      <c r="L302" s="124" t="s">
        <v>496</v>
      </c>
      <c r="M302" s="124" t="s">
        <v>305</v>
      </c>
      <c r="N302" s="124" t="s">
        <v>1366</v>
      </c>
      <c r="O302" s="124" t="s">
        <v>1367</v>
      </c>
      <c r="P302" s="124" t="s">
        <v>257</v>
      </c>
      <c r="Q302" s="124" t="s">
        <v>556</v>
      </c>
      <c r="R302" s="124" t="s">
        <v>270</v>
      </c>
      <c r="S302" s="32">
        <v>255680</v>
      </c>
      <c r="T302" s="32">
        <v>80</v>
      </c>
      <c r="U302" s="32">
        <v>23.43</v>
      </c>
      <c r="V302" s="32">
        <v>0</v>
      </c>
      <c r="W302" s="32">
        <v>0</v>
      </c>
      <c r="X302" s="32">
        <v>0</v>
      </c>
      <c r="Y302" s="32">
        <v>0</v>
      </c>
      <c r="Z302" s="32">
        <v>0</v>
      </c>
      <c r="AA302" s="32">
        <v>0</v>
      </c>
      <c r="AB302" s="32">
        <v>0</v>
      </c>
      <c r="AC302" s="32">
        <v>0</v>
      </c>
      <c r="AD302" s="32">
        <v>0</v>
      </c>
      <c r="AE302" s="32">
        <v>0</v>
      </c>
      <c r="AF302" s="32">
        <v>0</v>
      </c>
      <c r="AG302" s="32">
        <v>0</v>
      </c>
      <c r="AH302" s="32">
        <v>0</v>
      </c>
      <c r="AI302" s="32">
        <v>0</v>
      </c>
      <c r="AJ302" s="32">
        <v>0</v>
      </c>
      <c r="AK302" s="32">
        <v>0</v>
      </c>
      <c r="AL302" s="32">
        <v>0</v>
      </c>
      <c r="AM302" s="32">
        <v>0</v>
      </c>
      <c r="AN302" s="32">
        <v>63920</v>
      </c>
      <c r="AO302" s="32">
        <v>0</v>
      </c>
      <c r="AP302" s="32">
        <v>0</v>
      </c>
      <c r="AQ302" s="32">
        <v>63920</v>
      </c>
      <c r="AR302" s="32">
        <v>319600</v>
      </c>
      <c r="AS302" s="32">
        <v>23.43</v>
      </c>
      <c r="AT302" s="32">
        <v>100000</v>
      </c>
      <c r="AU302" s="32">
        <v>0</v>
      </c>
      <c r="AV302" s="32">
        <v>100000</v>
      </c>
      <c r="AW302" s="32">
        <v>0</v>
      </c>
      <c r="AX302" s="32">
        <v>15000</v>
      </c>
      <c r="AY302" s="32">
        <v>15000</v>
      </c>
      <c r="AZ302" s="32">
        <v>4000</v>
      </c>
      <c r="BA302" s="32">
        <v>4000</v>
      </c>
      <c r="BB302" s="32">
        <v>0</v>
      </c>
      <c r="BC302" s="32">
        <v>0</v>
      </c>
      <c r="BD302" s="32">
        <v>131600</v>
      </c>
      <c r="BE302" s="32">
        <v>131600</v>
      </c>
      <c r="BF302" s="32">
        <v>0</v>
      </c>
      <c r="BG302" s="32">
        <v>60000</v>
      </c>
      <c r="BH302" s="32">
        <v>60000</v>
      </c>
      <c r="BI302" s="32">
        <v>0</v>
      </c>
      <c r="BJ302" s="32">
        <v>0</v>
      </c>
      <c r="BK302" s="32">
        <v>0</v>
      </c>
      <c r="BL302" s="32">
        <v>0</v>
      </c>
      <c r="BM302" s="32">
        <v>0</v>
      </c>
      <c r="BN302" s="32">
        <v>0</v>
      </c>
      <c r="BO302" s="32">
        <v>9000</v>
      </c>
      <c r="BP302" s="32">
        <v>9000</v>
      </c>
      <c r="BQ302" s="32">
        <v>26750</v>
      </c>
      <c r="BR302" s="32">
        <v>47950</v>
      </c>
      <c r="BS302" s="32">
        <v>88100</v>
      </c>
      <c r="BT302" s="32">
        <v>89850</v>
      </c>
      <c r="BU302" s="32">
        <v>57950</v>
      </c>
      <c r="BV302" s="32">
        <v>0</v>
      </c>
      <c r="BW302" s="32">
        <v>0</v>
      </c>
      <c r="BX302" s="32">
        <v>0</v>
      </c>
      <c r="BY302" s="32">
        <v>0</v>
      </c>
      <c r="BZ302" s="32">
        <v>0</v>
      </c>
      <c r="CA302" s="32">
        <v>0</v>
      </c>
      <c r="CB302" s="125" t="s">
        <v>212</v>
      </c>
      <c r="CC302" s="125" t="s">
        <v>522</v>
      </c>
      <c r="CD302" s="125"/>
      <c r="CE302" s="125" t="s">
        <v>523</v>
      </c>
      <c r="CF302" s="125" t="s">
        <v>636</v>
      </c>
      <c r="CG302" s="125" t="s">
        <v>1368</v>
      </c>
      <c r="CH302" s="125" t="s">
        <v>526</v>
      </c>
      <c r="CI302" s="125" t="s">
        <v>665</v>
      </c>
      <c r="CJ302" s="125" t="s">
        <v>665</v>
      </c>
      <c r="CK302" s="125" t="s">
        <v>1369</v>
      </c>
      <c r="CL302" s="125" t="s">
        <v>212</v>
      </c>
      <c r="CM302" s="125"/>
      <c r="CN302" s="125" t="s">
        <v>257</v>
      </c>
      <c r="CO302" s="125" t="s">
        <v>270</v>
      </c>
      <c r="CP302" s="125" t="s">
        <v>2903</v>
      </c>
      <c r="CQ302" s="125" t="s">
        <v>710</v>
      </c>
      <c r="CR302" s="125" t="s">
        <v>650</v>
      </c>
      <c r="CS302" s="125" t="s">
        <v>1372</v>
      </c>
      <c r="CT302" s="125"/>
      <c r="CU302" s="125"/>
      <c r="CV302" s="125"/>
      <c r="CW302" s="125"/>
      <c r="CX302" s="125"/>
      <c r="CY302" s="125" t="s">
        <v>3950</v>
      </c>
      <c r="CZ302" s="125" t="s">
        <v>623</v>
      </c>
      <c r="DA302" s="125" t="s">
        <v>1373</v>
      </c>
      <c r="DB302" s="125" t="s">
        <v>1478</v>
      </c>
      <c r="DC302" s="125" t="s">
        <v>2769</v>
      </c>
      <c r="DD302" s="125" t="s">
        <v>3951</v>
      </c>
      <c r="DE302" s="125" t="s">
        <v>3952</v>
      </c>
      <c r="DF302" s="126" t="s">
        <v>3953</v>
      </c>
      <c r="DG302" s="27" cm="1">
        <f t="array" ref="DG302">INDEX('elenco partner'!A:M,MATCH(1,(D302='elenco partner'!A:A)*('Partner data'!M302='elenco partner'!E:E),0),4)</f>
        <v>861</v>
      </c>
      <c r="DH302" s="83" t="str">
        <f t="shared" ref="DH302:DH307" si="132">IF(AU302&lt;&gt;0,"Tasso Forfettario 20%",IF(AV302&lt;&gt;0,"COSTO REALE",IF(AW302&lt;&gt;0,"Costo Unitario Standard","BL1 non presente")))</f>
        <v>COSTO REALE</v>
      </c>
      <c r="DI302" s="20">
        <f>COUNTIFS('MY-REPORT-MAIN'!C:C,'Partner data'!DG302,'MY-REPORT-MAIN'!I:I,"Certified")</f>
        <v>0</v>
      </c>
      <c r="DJ302" s="20">
        <f>COUNTIFS(List_Of_chek_list!M:M,"&lt;&gt;26",List_Of_chek_list!B:B,'Partner data'!DG302)</f>
        <v>0</v>
      </c>
      <c r="DK302" s="20">
        <f t="shared" ref="DK302:DK307" si="133">DI302-DJ302</f>
        <v>0</v>
      </c>
      <c r="DL302" s="19" t="str">
        <f>IF(DH302="Tasso Forfettario 20%",SUMIFS(List_Of_chek_list!#REF!,List_Of_chek_list!B:B,'Partner data'!DG302),"NON PERTINENTE")</f>
        <v>NON PERTINENTE</v>
      </c>
      <c r="DM302" s="19" t="str">
        <f t="shared" ref="DM302:DM307" si="134">IF(DL302="NON PERTINENTE","NON PERTINENTE",IF(DJ302=DL302,"Rischio basso","Rischio alto"))</f>
        <v>NON PERTINENTE</v>
      </c>
      <c r="DN302" s="110">
        <f>_xlfn.MAXIFS('MY-REPORT-MAIN'!K:K,'MY-REPORT-MAIN'!C:C,DG302)</f>
        <v>0</v>
      </c>
      <c r="DO302" s="112" t="str">
        <f>IF(_xlfn.MAXIFS('MY-REPORT-MAIN'!M:M,'MY-REPORT-MAIN'!C:C,DG302)=0,"Nessun rendiconto  Convalidato",_xlfn.MAXIFS('MY-REPORT-MAIN'!M:M,'MY-REPORT-MAIN'!C:C,DG302))</f>
        <v>Nessun rendiconto  Convalidato</v>
      </c>
      <c r="DP302" s="113" t="str" cm="1">
        <f t="array" ref="DP302">IFERROR(INDEX('MY-REPORT-MAIN'!A:Z,MATCH(1,(DO302='MY-REPORT-MAIN'!M:M)*('Partner data'!DG302='MY-REPORT-MAIN'!C:C),0),1),"NON è stato convalidato ancora nessun rendiconto")</f>
        <v>NON è stato convalidato ancora nessun rendiconto</v>
      </c>
      <c r="DQ302" s="111" t="str">
        <f>IFERROR(INDEX('MY-REPORT-MAIN'!A:Z,MATCH('Partner data'!DP302,'MY-REPORT-MAIN'!A:A,0),21),"Nessun Rendiconto ancora convalidato")</f>
        <v>Nessun Rendiconto ancora convalidato</v>
      </c>
      <c r="DR302" s="110">
        <f>INDEX('Interreg VI-A Italy-Slovenia_pr'!A:E,MATCH('Partner data'!C302,'Interreg VI-A Italy-Slovenia_pr'!A:A,0),3)</f>
        <v>45404</v>
      </c>
      <c r="DS302" s="118">
        <f t="shared" si="104"/>
        <v>35750</v>
      </c>
      <c r="DT302" s="118">
        <f t="shared" si="105"/>
        <v>83700</v>
      </c>
      <c r="DU302" s="118">
        <f t="shared" si="106"/>
        <v>171800</v>
      </c>
      <c r="DV302" s="118">
        <f t="shared" si="107"/>
        <v>261650</v>
      </c>
      <c r="DW302" s="118">
        <f t="shared" si="108"/>
        <v>319600</v>
      </c>
      <c r="DX302" s="118">
        <f t="shared" si="109"/>
        <v>319600</v>
      </c>
      <c r="DY302" s="118">
        <f t="shared" si="110"/>
        <v>319600</v>
      </c>
      <c r="DZ302" s="118">
        <f t="shared" si="111"/>
        <v>319600</v>
      </c>
      <c r="EA302" s="118">
        <f t="shared" si="112"/>
        <v>319600</v>
      </c>
      <c r="EB302" s="118">
        <f t="shared" si="113"/>
        <v>319600</v>
      </c>
    </row>
    <row r="303" spans="1:132" ht="45" x14ac:dyDescent="0.25">
      <c r="A303" s="121">
        <v>6</v>
      </c>
      <c r="B303" s="122" t="s">
        <v>2688</v>
      </c>
      <c r="C303" s="123" t="s">
        <v>3947</v>
      </c>
      <c r="D303" s="123" t="s">
        <v>3948</v>
      </c>
      <c r="E303" s="123" t="s">
        <v>3949</v>
      </c>
      <c r="F303" s="123" t="s">
        <v>1118</v>
      </c>
      <c r="G303" s="123" t="s">
        <v>491</v>
      </c>
      <c r="H303" s="123" t="s">
        <v>766</v>
      </c>
      <c r="I303" s="123" t="s">
        <v>767</v>
      </c>
      <c r="J303" s="124" t="s">
        <v>518</v>
      </c>
      <c r="K303" s="124" t="s">
        <v>495</v>
      </c>
      <c r="L303" s="124" t="s">
        <v>519</v>
      </c>
      <c r="M303" s="124" t="s">
        <v>46</v>
      </c>
      <c r="N303" s="124" t="s">
        <v>1451</v>
      </c>
      <c r="O303" s="124" t="s">
        <v>2693</v>
      </c>
      <c r="P303" s="124" t="s">
        <v>257</v>
      </c>
      <c r="Q303" s="124" t="s">
        <v>556</v>
      </c>
      <c r="R303" s="124" t="s">
        <v>270</v>
      </c>
      <c r="S303" s="32">
        <v>203791.84</v>
      </c>
      <c r="T303" s="32">
        <v>80</v>
      </c>
      <c r="U303" s="32">
        <v>18.670000000000002</v>
      </c>
      <c r="V303" s="32">
        <v>0</v>
      </c>
      <c r="W303" s="32">
        <v>0</v>
      </c>
      <c r="X303" s="32">
        <v>0</v>
      </c>
      <c r="Y303" s="32">
        <v>0</v>
      </c>
      <c r="Z303" s="32">
        <v>0</v>
      </c>
      <c r="AA303" s="32">
        <v>0</v>
      </c>
      <c r="AB303" s="32">
        <v>0</v>
      </c>
      <c r="AC303" s="32">
        <v>0</v>
      </c>
      <c r="AD303" s="32">
        <v>0</v>
      </c>
      <c r="AE303" s="32">
        <v>0</v>
      </c>
      <c r="AF303" s="32">
        <v>0</v>
      </c>
      <c r="AG303" s="32">
        <v>0</v>
      </c>
      <c r="AH303" s="32">
        <v>0</v>
      </c>
      <c r="AI303" s="32">
        <v>0</v>
      </c>
      <c r="AJ303" s="32">
        <v>0</v>
      </c>
      <c r="AK303" s="32">
        <v>0</v>
      </c>
      <c r="AL303" s="32">
        <v>0</v>
      </c>
      <c r="AM303" s="32">
        <v>0</v>
      </c>
      <c r="AN303" s="32">
        <v>50947.96</v>
      </c>
      <c r="AO303" s="32">
        <v>0</v>
      </c>
      <c r="AP303" s="32">
        <v>0</v>
      </c>
      <c r="AQ303" s="32">
        <v>50947.96</v>
      </c>
      <c r="AR303" s="32">
        <v>254739.8</v>
      </c>
      <c r="AS303" s="32">
        <v>18.670000000000002</v>
      </c>
      <c r="AT303" s="32">
        <v>96420</v>
      </c>
      <c r="AU303" s="32">
        <v>0</v>
      </c>
      <c r="AV303" s="32">
        <v>96420</v>
      </c>
      <c r="AW303" s="32">
        <v>0</v>
      </c>
      <c r="AX303" s="32">
        <v>14463</v>
      </c>
      <c r="AY303" s="32">
        <v>14463</v>
      </c>
      <c r="AZ303" s="32">
        <v>3856.8</v>
      </c>
      <c r="BA303" s="32">
        <v>3856.8</v>
      </c>
      <c r="BB303" s="32">
        <v>0</v>
      </c>
      <c r="BC303" s="32">
        <v>0</v>
      </c>
      <c r="BD303" s="32">
        <v>140000</v>
      </c>
      <c r="BE303" s="32">
        <v>140000</v>
      </c>
      <c r="BF303" s="32">
        <v>0</v>
      </c>
      <c r="BG303" s="32">
        <v>0</v>
      </c>
      <c r="BH303" s="32">
        <v>0</v>
      </c>
      <c r="BI303" s="32">
        <v>0</v>
      </c>
      <c r="BJ303" s="32">
        <v>0</v>
      </c>
      <c r="BK303" s="32">
        <v>0</v>
      </c>
      <c r="BL303" s="32">
        <v>0</v>
      </c>
      <c r="BM303" s="32">
        <v>0</v>
      </c>
      <c r="BN303" s="32">
        <v>0</v>
      </c>
      <c r="BO303" s="32">
        <v>0</v>
      </c>
      <c r="BP303" s="32">
        <v>0</v>
      </c>
      <c r="BQ303" s="32">
        <v>34347.96</v>
      </c>
      <c r="BR303" s="32">
        <v>45347.96</v>
      </c>
      <c r="BS303" s="32">
        <v>80347.960000000006</v>
      </c>
      <c r="BT303" s="32">
        <v>28347.96</v>
      </c>
      <c r="BU303" s="32">
        <v>66347.960000000006</v>
      </c>
      <c r="BV303" s="32">
        <v>0</v>
      </c>
      <c r="BW303" s="32">
        <v>0</v>
      </c>
      <c r="BX303" s="32">
        <v>0</v>
      </c>
      <c r="BY303" s="32">
        <v>0</v>
      </c>
      <c r="BZ303" s="32">
        <v>0</v>
      </c>
      <c r="CA303" s="32">
        <v>0</v>
      </c>
      <c r="CB303" s="125" t="s">
        <v>2134</v>
      </c>
      <c r="CC303" s="125" t="s">
        <v>624</v>
      </c>
      <c r="CD303" s="125"/>
      <c r="CE303" s="125" t="s">
        <v>523</v>
      </c>
      <c r="CF303" s="125" t="s">
        <v>734</v>
      </c>
      <c r="CG303" s="125" t="s">
        <v>1381</v>
      </c>
      <c r="CH303" s="125" t="s">
        <v>619</v>
      </c>
      <c r="CI303" s="125" t="s">
        <v>665</v>
      </c>
      <c r="CJ303" s="125" t="s">
        <v>665</v>
      </c>
      <c r="CK303" s="125" t="s">
        <v>1383</v>
      </c>
      <c r="CL303" s="125" t="s">
        <v>212</v>
      </c>
      <c r="CM303" s="125"/>
      <c r="CN303" s="125" t="s">
        <v>257</v>
      </c>
      <c r="CO303" s="125" t="s">
        <v>270</v>
      </c>
      <c r="CP303" s="125" t="s">
        <v>2694</v>
      </c>
      <c r="CQ303" s="125" t="s">
        <v>710</v>
      </c>
      <c r="CR303" s="125" t="s">
        <v>1371</v>
      </c>
      <c r="CS303" s="125" t="s">
        <v>1385</v>
      </c>
      <c r="CT303" s="125" t="s">
        <v>257</v>
      </c>
      <c r="CU303" s="125" t="s">
        <v>270</v>
      </c>
      <c r="CV303" s="125" t="s">
        <v>3954</v>
      </c>
      <c r="CW303" s="125" t="s">
        <v>710</v>
      </c>
      <c r="CX303" s="125" t="s">
        <v>650</v>
      </c>
      <c r="CY303" s="125" t="s">
        <v>892</v>
      </c>
      <c r="CZ303" s="125" t="s">
        <v>3955</v>
      </c>
      <c r="DA303" s="125" t="s">
        <v>3956</v>
      </c>
      <c r="DB303" s="125" t="s">
        <v>895</v>
      </c>
      <c r="DC303" s="125" t="s">
        <v>3957</v>
      </c>
      <c r="DD303" s="125" t="s">
        <v>3958</v>
      </c>
      <c r="DE303" s="125" t="s">
        <v>1390</v>
      </c>
      <c r="DF303" s="126" t="s">
        <v>2697</v>
      </c>
      <c r="DG303" s="27" cm="1">
        <f t="array" ref="DG303">INDEX('elenco partner'!A:M,MATCH(1,(D303='elenco partner'!A:A)*('Partner data'!M303='elenco partner'!E:E),0),4)</f>
        <v>862</v>
      </c>
      <c r="DH303" s="83" t="str">
        <f t="shared" si="132"/>
        <v>COSTO REALE</v>
      </c>
      <c r="DI303" s="20">
        <f>COUNTIFS('MY-REPORT-MAIN'!C:C,'Partner data'!DG303,'MY-REPORT-MAIN'!I:I,"Certified")</f>
        <v>0</v>
      </c>
      <c r="DJ303" s="20">
        <f>COUNTIFS(List_Of_chek_list!M:M,"&lt;&gt;26",List_Of_chek_list!B:B,'Partner data'!DG303)</f>
        <v>0</v>
      </c>
      <c r="DK303" s="20">
        <f t="shared" si="133"/>
        <v>0</v>
      </c>
      <c r="DL303" s="19" t="str">
        <f>IF(DH303="Tasso Forfettario 20%",SUMIFS(List_Of_chek_list!#REF!,List_Of_chek_list!B:B,'Partner data'!DG303),"NON PERTINENTE")</f>
        <v>NON PERTINENTE</v>
      </c>
      <c r="DM303" s="19" t="str">
        <f t="shared" si="134"/>
        <v>NON PERTINENTE</v>
      </c>
      <c r="DN303" s="110">
        <f>_xlfn.MAXIFS('MY-REPORT-MAIN'!K:K,'MY-REPORT-MAIN'!C:C,DG303)</f>
        <v>0</v>
      </c>
      <c r="DO303" s="112" t="str">
        <f>IF(_xlfn.MAXIFS('MY-REPORT-MAIN'!M:M,'MY-REPORT-MAIN'!C:C,DG303)=0,"Nessun rendiconto  Convalidato",_xlfn.MAXIFS('MY-REPORT-MAIN'!M:M,'MY-REPORT-MAIN'!C:C,DG303))</f>
        <v>Nessun rendiconto  Convalidato</v>
      </c>
      <c r="DP303" s="113" t="str" cm="1">
        <f t="array" ref="DP303">IFERROR(INDEX('MY-REPORT-MAIN'!A:Z,MATCH(1,(DO303='MY-REPORT-MAIN'!M:M)*('Partner data'!DG303='MY-REPORT-MAIN'!C:C),0),1),"NON è stato convalidato ancora nessun rendiconto")</f>
        <v>NON è stato convalidato ancora nessun rendiconto</v>
      </c>
      <c r="DQ303" s="111" t="str">
        <f>IFERROR(INDEX('MY-REPORT-MAIN'!A:Z,MATCH('Partner data'!DP303,'MY-REPORT-MAIN'!A:A,0),21),"Nessun Rendiconto ancora convalidato")</f>
        <v>Nessun Rendiconto ancora convalidato</v>
      </c>
      <c r="DR303" s="110">
        <f>INDEX('Interreg VI-A Italy-Slovenia_pr'!A:E,MATCH('Partner data'!C303,'Interreg VI-A Italy-Slovenia_pr'!A:A,0),3)</f>
        <v>45404</v>
      </c>
      <c r="DS303" s="118">
        <f t="shared" si="104"/>
        <v>34347.96</v>
      </c>
      <c r="DT303" s="118">
        <f t="shared" si="105"/>
        <v>79695.92</v>
      </c>
      <c r="DU303" s="118">
        <f t="shared" si="106"/>
        <v>160043.88</v>
      </c>
      <c r="DV303" s="118">
        <f t="shared" si="107"/>
        <v>188391.84</v>
      </c>
      <c r="DW303" s="118">
        <f t="shared" si="108"/>
        <v>254739.8</v>
      </c>
      <c r="DX303" s="118">
        <f t="shared" si="109"/>
        <v>254739.8</v>
      </c>
      <c r="DY303" s="118">
        <f t="shared" si="110"/>
        <v>254739.8</v>
      </c>
      <c r="DZ303" s="118">
        <f t="shared" si="111"/>
        <v>254739.8</v>
      </c>
      <c r="EA303" s="118">
        <f t="shared" si="112"/>
        <v>254739.8</v>
      </c>
      <c r="EB303" s="118">
        <f t="shared" si="113"/>
        <v>254739.8</v>
      </c>
    </row>
    <row r="304" spans="1:132" ht="45" x14ac:dyDescent="0.25">
      <c r="A304" s="121">
        <v>6</v>
      </c>
      <c r="B304" s="122" t="s">
        <v>2688</v>
      </c>
      <c r="C304" s="123" t="s">
        <v>3947</v>
      </c>
      <c r="D304" s="123" t="s">
        <v>3948</v>
      </c>
      <c r="E304" s="123" t="s">
        <v>3949</v>
      </c>
      <c r="F304" s="123" t="s">
        <v>1118</v>
      </c>
      <c r="G304" s="123" t="s">
        <v>491</v>
      </c>
      <c r="H304" s="123" t="s">
        <v>766</v>
      </c>
      <c r="I304" s="123" t="s">
        <v>767</v>
      </c>
      <c r="J304" s="124" t="s">
        <v>538</v>
      </c>
      <c r="K304" s="124" t="s">
        <v>495</v>
      </c>
      <c r="L304" s="124" t="s">
        <v>519</v>
      </c>
      <c r="M304" s="124" t="s">
        <v>3959</v>
      </c>
      <c r="N304" s="124" t="s">
        <v>3960</v>
      </c>
      <c r="O304" s="124" t="s">
        <v>3961</v>
      </c>
      <c r="P304" s="124" t="s">
        <v>257</v>
      </c>
      <c r="Q304" s="124" t="s">
        <v>556</v>
      </c>
      <c r="R304" s="124" t="s">
        <v>269</v>
      </c>
      <c r="S304" s="32">
        <v>127959.67999999999</v>
      </c>
      <c r="T304" s="32">
        <v>80</v>
      </c>
      <c r="U304" s="32">
        <v>11.73</v>
      </c>
      <c r="V304" s="32">
        <v>0</v>
      </c>
      <c r="W304" s="32">
        <v>0</v>
      </c>
      <c r="X304" s="32">
        <v>0</v>
      </c>
      <c r="Y304" s="32">
        <v>0</v>
      </c>
      <c r="Z304" s="32">
        <v>0</v>
      </c>
      <c r="AA304" s="32">
        <v>0</v>
      </c>
      <c r="AB304" s="32">
        <v>0</v>
      </c>
      <c r="AC304" s="32">
        <v>0</v>
      </c>
      <c r="AD304" s="32">
        <v>0</v>
      </c>
      <c r="AE304" s="32">
        <v>0</v>
      </c>
      <c r="AF304" s="32">
        <v>0</v>
      </c>
      <c r="AG304" s="32">
        <v>0</v>
      </c>
      <c r="AH304" s="32">
        <v>0</v>
      </c>
      <c r="AI304" s="32">
        <v>0</v>
      </c>
      <c r="AJ304" s="32">
        <v>0</v>
      </c>
      <c r="AK304" s="32">
        <v>0</v>
      </c>
      <c r="AL304" s="32">
        <v>0</v>
      </c>
      <c r="AM304" s="32">
        <v>0</v>
      </c>
      <c r="AN304" s="32">
        <v>31989.919999999998</v>
      </c>
      <c r="AO304" s="32">
        <v>0</v>
      </c>
      <c r="AP304" s="32">
        <v>0</v>
      </c>
      <c r="AQ304" s="32">
        <v>31989.919999999998</v>
      </c>
      <c r="AR304" s="32">
        <v>159949.6</v>
      </c>
      <c r="AS304" s="32">
        <v>11.73</v>
      </c>
      <c r="AT304" s="32">
        <v>25840</v>
      </c>
      <c r="AU304" s="32">
        <v>25840</v>
      </c>
      <c r="AV304" s="32">
        <v>0</v>
      </c>
      <c r="AW304" s="32">
        <v>0</v>
      </c>
      <c r="AX304" s="32">
        <v>3876</v>
      </c>
      <c r="AY304" s="32">
        <v>3876</v>
      </c>
      <c r="AZ304" s="32">
        <v>1033.5999999999999</v>
      </c>
      <c r="BA304" s="32">
        <v>1033.5999999999999</v>
      </c>
      <c r="BB304" s="32">
        <v>0</v>
      </c>
      <c r="BC304" s="32">
        <v>0</v>
      </c>
      <c r="BD304" s="32">
        <v>119700</v>
      </c>
      <c r="BE304" s="32">
        <v>119700</v>
      </c>
      <c r="BF304" s="32">
        <v>0</v>
      </c>
      <c r="BG304" s="32">
        <v>9500</v>
      </c>
      <c r="BH304" s="32">
        <v>9500</v>
      </c>
      <c r="BI304" s="32">
        <v>0</v>
      </c>
      <c r="BJ304" s="32">
        <v>0</v>
      </c>
      <c r="BK304" s="32">
        <v>0</v>
      </c>
      <c r="BL304" s="32">
        <v>0</v>
      </c>
      <c r="BM304" s="32">
        <v>0</v>
      </c>
      <c r="BN304" s="32">
        <v>0</v>
      </c>
      <c r="BO304" s="32">
        <v>0</v>
      </c>
      <c r="BP304" s="32">
        <v>0</v>
      </c>
      <c r="BQ304" s="32">
        <v>1238</v>
      </c>
      <c r="BR304" s="32">
        <v>10523</v>
      </c>
      <c r="BS304" s="32">
        <v>58433.599999999999</v>
      </c>
      <c r="BT304" s="32">
        <v>51377</v>
      </c>
      <c r="BU304" s="32">
        <v>38378</v>
      </c>
      <c r="BV304" s="32">
        <v>0</v>
      </c>
      <c r="BW304" s="32">
        <v>0</v>
      </c>
      <c r="BX304" s="32">
        <v>0</v>
      </c>
      <c r="BY304" s="32">
        <v>0</v>
      </c>
      <c r="BZ304" s="32">
        <v>0</v>
      </c>
      <c r="CA304" s="32">
        <v>0</v>
      </c>
      <c r="CB304" s="125" t="s">
        <v>212</v>
      </c>
      <c r="CC304" s="125" t="s">
        <v>522</v>
      </c>
      <c r="CD304" s="125"/>
      <c r="CE304" s="125" t="s">
        <v>684</v>
      </c>
      <c r="CF304" s="125" t="s">
        <v>636</v>
      </c>
      <c r="CG304" s="125" t="s">
        <v>3962</v>
      </c>
      <c r="CH304" s="125" t="s">
        <v>526</v>
      </c>
      <c r="CI304" s="125" t="s">
        <v>665</v>
      </c>
      <c r="CJ304" s="125" t="s">
        <v>665</v>
      </c>
      <c r="CK304" s="125"/>
      <c r="CL304" s="125" t="s">
        <v>212</v>
      </c>
      <c r="CM304" s="125"/>
      <c r="CN304" s="125" t="s">
        <v>257</v>
      </c>
      <c r="CO304" s="125" t="s">
        <v>269</v>
      </c>
      <c r="CP304" s="125" t="s">
        <v>927</v>
      </c>
      <c r="CQ304" s="125" t="s">
        <v>928</v>
      </c>
      <c r="CR304" s="125" t="s">
        <v>929</v>
      </c>
      <c r="CS304" s="125" t="s">
        <v>3963</v>
      </c>
      <c r="CT304" s="125"/>
      <c r="CU304" s="125"/>
      <c r="CV304" s="125"/>
      <c r="CW304" s="125"/>
      <c r="CX304" s="125"/>
      <c r="CY304" s="125" t="s">
        <v>895</v>
      </c>
      <c r="CZ304" s="125" t="s">
        <v>3964</v>
      </c>
      <c r="DA304" s="125" t="s">
        <v>3965</v>
      </c>
      <c r="DB304" s="125" t="s">
        <v>895</v>
      </c>
      <c r="DC304" s="125" t="s">
        <v>3964</v>
      </c>
      <c r="DD304" s="125" t="s">
        <v>3965</v>
      </c>
      <c r="DE304" s="125" t="s">
        <v>3966</v>
      </c>
      <c r="DF304" s="126" t="s">
        <v>3967</v>
      </c>
      <c r="DG304" s="27" cm="1">
        <f t="array" ref="DG304">INDEX('elenco partner'!A:M,MATCH(1,(D304='elenco partner'!A:A)*('Partner data'!M304='elenco partner'!E:E),0),4)</f>
        <v>865</v>
      </c>
      <c r="DH304" s="83" t="str">
        <f t="shared" si="132"/>
        <v>Tasso Forfettario 20%</v>
      </c>
      <c r="DI304" s="20">
        <f>COUNTIFS('MY-REPORT-MAIN'!C:C,'Partner data'!DG304,'MY-REPORT-MAIN'!I:I,"Certified")</f>
        <v>0</v>
      </c>
      <c r="DJ304" s="20">
        <f>COUNTIFS(List_Of_chek_list!M:M,"&lt;&gt;26",List_Of_chek_list!B:B,'Partner data'!DG304)</f>
        <v>0</v>
      </c>
      <c r="DK304" s="20">
        <f t="shared" si="133"/>
        <v>0</v>
      </c>
      <c r="DL304" s="19" t="e">
        <f>IF(DH304="Tasso Forfettario 20%",SUMIFS(List_Of_chek_list!#REF!,List_Of_chek_list!B:B,'Partner data'!DG304),"NON PERTINENTE")</f>
        <v>#REF!</v>
      </c>
      <c r="DM304" s="19" t="e">
        <f t="shared" si="134"/>
        <v>#REF!</v>
      </c>
      <c r="DN304" s="110">
        <f>_xlfn.MAXIFS('MY-REPORT-MAIN'!K:K,'MY-REPORT-MAIN'!C:C,DG304)</f>
        <v>0</v>
      </c>
      <c r="DO304" s="112" t="str">
        <f>IF(_xlfn.MAXIFS('MY-REPORT-MAIN'!M:M,'MY-REPORT-MAIN'!C:C,DG304)=0,"Nessun rendiconto  Convalidato",_xlfn.MAXIFS('MY-REPORT-MAIN'!M:M,'MY-REPORT-MAIN'!C:C,DG304))</f>
        <v>Nessun rendiconto  Convalidato</v>
      </c>
      <c r="DP304" s="113" t="str" cm="1">
        <f t="array" ref="DP304">IFERROR(INDEX('MY-REPORT-MAIN'!A:Z,MATCH(1,(DO304='MY-REPORT-MAIN'!M:M)*('Partner data'!DG304='MY-REPORT-MAIN'!C:C),0),1),"NON è stato convalidato ancora nessun rendiconto")</f>
        <v>NON è stato convalidato ancora nessun rendiconto</v>
      </c>
      <c r="DQ304" s="111" t="str">
        <f>IFERROR(INDEX('MY-REPORT-MAIN'!A:Z,MATCH('Partner data'!DP304,'MY-REPORT-MAIN'!A:A,0),21),"Nessun Rendiconto ancora convalidato")</f>
        <v>Nessun Rendiconto ancora convalidato</v>
      </c>
      <c r="DR304" s="110">
        <f>INDEX('Interreg VI-A Italy-Slovenia_pr'!A:E,MATCH('Partner data'!C304,'Interreg VI-A Italy-Slovenia_pr'!A:A,0),3)</f>
        <v>45404</v>
      </c>
      <c r="DS304" s="118">
        <f t="shared" si="104"/>
        <v>1238</v>
      </c>
      <c r="DT304" s="118">
        <f t="shared" si="105"/>
        <v>11761</v>
      </c>
      <c r="DU304" s="118">
        <f t="shared" si="106"/>
        <v>70194.600000000006</v>
      </c>
      <c r="DV304" s="118">
        <f t="shared" si="107"/>
        <v>121571.6</v>
      </c>
      <c r="DW304" s="118">
        <f t="shared" si="108"/>
        <v>159949.6</v>
      </c>
      <c r="DX304" s="118">
        <f t="shared" si="109"/>
        <v>159949.6</v>
      </c>
      <c r="DY304" s="118">
        <f t="shared" si="110"/>
        <v>159949.6</v>
      </c>
      <c r="DZ304" s="118">
        <f t="shared" si="111"/>
        <v>159949.6</v>
      </c>
      <c r="EA304" s="118">
        <f t="shared" si="112"/>
        <v>159949.6</v>
      </c>
      <c r="EB304" s="118">
        <f t="shared" si="113"/>
        <v>159949.6</v>
      </c>
    </row>
    <row r="305" spans="1:132" ht="45" x14ac:dyDescent="0.25">
      <c r="A305" s="121">
        <v>6</v>
      </c>
      <c r="B305" s="122" t="s">
        <v>2688</v>
      </c>
      <c r="C305" s="123" t="s">
        <v>3947</v>
      </c>
      <c r="D305" s="123" t="s">
        <v>3948</v>
      </c>
      <c r="E305" s="123" t="s">
        <v>3949</v>
      </c>
      <c r="F305" s="123" t="s">
        <v>1118</v>
      </c>
      <c r="G305" s="123" t="s">
        <v>491</v>
      </c>
      <c r="H305" s="123" t="s">
        <v>766</v>
      </c>
      <c r="I305" s="123" t="s">
        <v>767</v>
      </c>
      <c r="J305" s="124" t="s">
        <v>554</v>
      </c>
      <c r="K305" s="124" t="s">
        <v>495</v>
      </c>
      <c r="L305" s="124" t="s">
        <v>519</v>
      </c>
      <c r="M305" s="124" t="s">
        <v>51</v>
      </c>
      <c r="N305" s="124" t="s">
        <v>916</v>
      </c>
      <c r="O305" s="124" t="s">
        <v>916</v>
      </c>
      <c r="P305" s="124" t="s">
        <v>254</v>
      </c>
      <c r="Q305" s="124" t="s">
        <v>540</v>
      </c>
      <c r="R305" s="124" t="s">
        <v>260</v>
      </c>
      <c r="S305" s="32">
        <v>200113.64</v>
      </c>
      <c r="T305" s="32">
        <v>80</v>
      </c>
      <c r="U305" s="32">
        <v>18.34</v>
      </c>
      <c r="V305" s="32">
        <v>0</v>
      </c>
      <c r="W305" s="32">
        <v>0</v>
      </c>
      <c r="X305" s="32">
        <v>0</v>
      </c>
      <c r="Y305" s="32">
        <v>0</v>
      </c>
      <c r="Z305" s="32">
        <v>0</v>
      </c>
      <c r="AA305" s="32">
        <v>0</v>
      </c>
      <c r="AB305" s="32">
        <v>0</v>
      </c>
      <c r="AC305" s="32">
        <v>0</v>
      </c>
      <c r="AD305" s="32">
        <v>0</v>
      </c>
      <c r="AE305" s="32">
        <v>0</v>
      </c>
      <c r="AF305" s="32">
        <v>0</v>
      </c>
      <c r="AG305" s="32">
        <v>0</v>
      </c>
      <c r="AH305" s="32">
        <v>0</v>
      </c>
      <c r="AI305" s="32">
        <v>0</v>
      </c>
      <c r="AJ305" s="32">
        <v>0</v>
      </c>
      <c r="AK305" s="32">
        <v>0</v>
      </c>
      <c r="AL305" s="32">
        <v>0</v>
      </c>
      <c r="AM305" s="32">
        <v>0</v>
      </c>
      <c r="AN305" s="32">
        <v>0</v>
      </c>
      <c r="AO305" s="32">
        <v>50028.42</v>
      </c>
      <c r="AP305" s="32">
        <v>0</v>
      </c>
      <c r="AQ305" s="32">
        <v>50028.42</v>
      </c>
      <c r="AR305" s="32">
        <v>250142.06</v>
      </c>
      <c r="AS305" s="32">
        <v>18.34</v>
      </c>
      <c r="AT305" s="32">
        <v>126913.5</v>
      </c>
      <c r="AU305" s="32">
        <v>0</v>
      </c>
      <c r="AV305" s="32">
        <v>126913.5</v>
      </c>
      <c r="AW305" s="32">
        <v>0</v>
      </c>
      <c r="AX305" s="32">
        <v>19037.02</v>
      </c>
      <c r="AY305" s="32">
        <v>19037.02</v>
      </c>
      <c r="AZ305" s="32">
        <v>5076.54</v>
      </c>
      <c r="BA305" s="32">
        <v>5076.54</v>
      </c>
      <c r="BB305" s="32">
        <v>0</v>
      </c>
      <c r="BC305" s="32">
        <v>0</v>
      </c>
      <c r="BD305" s="32">
        <v>98600</v>
      </c>
      <c r="BE305" s="32">
        <v>98600</v>
      </c>
      <c r="BF305" s="32">
        <v>0</v>
      </c>
      <c r="BG305" s="32">
        <v>515</v>
      </c>
      <c r="BH305" s="32">
        <v>515</v>
      </c>
      <c r="BI305" s="32">
        <v>0</v>
      </c>
      <c r="BJ305" s="32">
        <v>0</v>
      </c>
      <c r="BK305" s="32">
        <v>0</v>
      </c>
      <c r="BL305" s="32">
        <v>0</v>
      </c>
      <c r="BM305" s="32">
        <v>0</v>
      </c>
      <c r="BN305" s="32">
        <v>0</v>
      </c>
      <c r="BO305" s="32">
        <v>0</v>
      </c>
      <c r="BP305" s="32">
        <v>0</v>
      </c>
      <c r="BQ305" s="32">
        <v>31640.41</v>
      </c>
      <c r="BR305" s="32">
        <v>59325.41</v>
      </c>
      <c r="BS305" s="32">
        <v>63925.41</v>
      </c>
      <c r="BT305" s="32">
        <v>63825.41</v>
      </c>
      <c r="BU305" s="32">
        <v>31425.42</v>
      </c>
      <c r="BV305" s="32">
        <v>0</v>
      </c>
      <c r="BW305" s="32">
        <v>0</v>
      </c>
      <c r="BX305" s="32">
        <v>0</v>
      </c>
      <c r="BY305" s="32">
        <v>0</v>
      </c>
      <c r="BZ305" s="32">
        <v>0</v>
      </c>
      <c r="CA305" s="32">
        <v>0</v>
      </c>
      <c r="CB305" s="125" t="s">
        <v>212</v>
      </c>
      <c r="CC305" s="125" t="s">
        <v>596</v>
      </c>
      <c r="CD305" s="125" t="s">
        <v>706</v>
      </c>
      <c r="CE305" s="125" t="s">
        <v>501</v>
      </c>
      <c r="CF305" s="125" t="s">
        <v>3968</v>
      </c>
      <c r="CG305" s="125" t="s">
        <v>2776</v>
      </c>
      <c r="CH305" s="125" t="s">
        <v>504</v>
      </c>
      <c r="CI305" s="125" t="s">
        <v>665</v>
      </c>
      <c r="CJ305" s="125" t="s">
        <v>665</v>
      </c>
      <c r="CK305" s="125" t="s">
        <v>918</v>
      </c>
      <c r="CL305" s="125" t="s">
        <v>212</v>
      </c>
      <c r="CM305" s="125"/>
      <c r="CN305" s="125" t="s">
        <v>254</v>
      </c>
      <c r="CO305" s="125" t="s">
        <v>260</v>
      </c>
      <c r="CP305" s="125" t="s">
        <v>2149</v>
      </c>
      <c r="CQ305" s="125" t="s">
        <v>920</v>
      </c>
      <c r="CR305" s="125" t="s">
        <v>599</v>
      </c>
      <c r="CS305" s="125" t="s">
        <v>3505</v>
      </c>
      <c r="CT305" s="125"/>
      <c r="CU305" s="125"/>
      <c r="CV305" s="125"/>
      <c r="CW305" s="125"/>
      <c r="CX305" s="125"/>
      <c r="CY305" s="125" t="s">
        <v>892</v>
      </c>
      <c r="CZ305" s="125" t="s">
        <v>921</v>
      </c>
      <c r="DA305" s="125" t="s">
        <v>922</v>
      </c>
      <c r="DB305" s="125" t="s">
        <v>892</v>
      </c>
      <c r="DC305" s="125" t="s">
        <v>923</v>
      </c>
      <c r="DD305" s="125" t="s">
        <v>3969</v>
      </c>
      <c r="DE305" s="125" t="s">
        <v>925</v>
      </c>
      <c r="DF305" s="126" t="s">
        <v>3970</v>
      </c>
      <c r="DG305" s="27" cm="1">
        <f t="array" ref="DG305">INDEX('elenco partner'!A:M,MATCH(1,(D305='elenco partner'!A:A)*('Partner data'!M305='elenco partner'!E:E),0),4)</f>
        <v>866</v>
      </c>
      <c r="DH305" s="83" t="str">
        <f t="shared" si="132"/>
        <v>COSTO REALE</v>
      </c>
      <c r="DI305" s="20">
        <f>COUNTIFS('MY-REPORT-MAIN'!C:C,'Partner data'!DG305,'MY-REPORT-MAIN'!I:I,"Certified")</f>
        <v>0</v>
      </c>
      <c r="DJ305" s="20">
        <f>COUNTIFS(List_Of_chek_list!M:M,"&lt;&gt;26",List_Of_chek_list!B:B,'Partner data'!DG305)</f>
        <v>0</v>
      </c>
      <c r="DK305" s="20">
        <f t="shared" si="133"/>
        <v>0</v>
      </c>
      <c r="DL305" s="19" t="str">
        <f>IF(DH305="Tasso Forfettario 20%",SUMIFS(List_Of_chek_list!#REF!,List_Of_chek_list!B:B,'Partner data'!DG305),"NON PERTINENTE")</f>
        <v>NON PERTINENTE</v>
      </c>
      <c r="DM305" s="19" t="str">
        <f t="shared" si="134"/>
        <v>NON PERTINENTE</v>
      </c>
      <c r="DN305" s="110">
        <f>_xlfn.MAXIFS('MY-REPORT-MAIN'!K:K,'MY-REPORT-MAIN'!C:C,DG305)</f>
        <v>0</v>
      </c>
      <c r="DO305" s="112" t="str">
        <f>IF(_xlfn.MAXIFS('MY-REPORT-MAIN'!M:M,'MY-REPORT-MAIN'!C:C,DG305)=0,"Nessun rendiconto  Convalidato",_xlfn.MAXIFS('MY-REPORT-MAIN'!M:M,'MY-REPORT-MAIN'!C:C,DG305))</f>
        <v>Nessun rendiconto  Convalidato</v>
      </c>
      <c r="DP305" s="113" t="str" cm="1">
        <f t="array" ref="DP305">IFERROR(INDEX('MY-REPORT-MAIN'!A:Z,MATCH(1,(DO305='MY-REPORT-MAIN'!M:M)*('Partner data'!DG305='MY-REPORT-MAIN'!C:C),0),1),"NON è stato convalidato ancora nessun rendiconto")</f>
        <v>NON è stato convalidato ancora nessun rendiconto</v>
      </c>
      <c r="DQ305" s="111" t="str">
        <f>IFERROR(INDEX('MY-REPORT-MAIN'!A:Z,MATCH('Partner data'!DP305,'MY-REPORT-MAIN'!A:A,0),21),"Nessun Rendiconto ancora convalidato")</f>
        <v>Nessun Rendiconto ancora convalidato</v>
      </c>
      <c r="DR305" s="110">
        <f>INDEX('Interreg VI-A Italy-Slovenia_pr'!A:E,MATCH('Partner data'!C305,'Interreg VI-A Italy-Slovenia_pr'!A:A,0),3)</f>
        <v>45404</v>
      </c>
      <c r="DS305" s="118">
        <f t="shared" si="104"/>
        <v>31640.41</v>
      </c>
      <c r="DT305" s="118">
        <f t="shared" si="105"/>
        <v>90965.82</v>
      </c>
      <c r="DU305" s="118">
        <f t="shared" si="106"/>
        <v>154891.23000000001</v>
      </c>
      <c r="DV305" s="118">
        <f t="shared" si="107"/>
        <v>218716.64</v>
      </c>
      <c r="DW305" s="118">
        <f t="shared" si="108"/>
        <v>250142.06</v>
      </c>
      <c r="DX305" s="118">
        <f t="shared" si="109"/>
        <v>250142.06</v>
      </c>
      <c r="DY305" s="118">
        <f t="shared" si="110"/>
        <v>250142.06</v>
      </c>
      <c r="DZ305" s="118">
        <f t="shared" si="111"/>
        <v>250142.06</v>
      </c>
      <c r="EA305" s="118">
        <f t="shared" si="112"/>
        <v>250142.06</v>
      </c>
      <c r="EB305" s="118">
        <f t="shared" si="113"/>
        <v>250142.06</v>
      </c>
    </row>
    <row r="306" spans="1:132" ht="45" x14ac:dyDescent="0.25">
      <c r="A306" s="121">
        <v>6</v>
      </c>
      <c r="B306" s="122" t="s">
        <v>2688</v>
      </c>
      <c r="C306" s="123" t="s">
        <v>3947</v>
      </c>
      <c r="D306" s="123" t="s">
        <v>3948</v>
      </c>
      <c r="E306" s="123" t="s">
        <v>3949</v>
      </c>
      <c r="F306" s="123" t="s">
        <v>1118</v>
      </c>
      <c r="G306" s="123" t="s">
        <v>491</v>
      </c>
      <c r="H306" s="123" t="s">
        <v>766</v>
      </c>
      <c r="I306" s="123" t="s">
        <v>767</v>
      </c>
      <c r="J306" s="124" t="s">
        <v>570</v>
      </c>
      <c r="K306" s="124" t="s">
        <v>495</v>
      </c>
      <c r="L306" s="124" t="s">
        <v>519</v>
      </c>
      <c r="M306" s="124" t="s">
        <v>3971</v>
      </c>
      <c r="N306" s="124" t="s">
        <v>3972</v>
      </c>
      <c r="O306" s="124" t="s">
        <v>3973</v>
      </c>
      <c r="P306" s="124" t="s">
        <v>254</v>
      </c>
      <c r="Q306" s="124" t="s">
        <v>499</v>
      </c>
      <c r="R306" s="124" t="s">
        <v>255</v>
      </c>
      <c r="S306" s="32">
        <v>127761.60000000001</v>
      </c>
      <c r="T306" s="32">
        <v>80</v>
      </c>
      <c r="U306" s="32">
        <v>11.71</v>
      </c>
      <c r="V306" s="32">
        <v>0</v>
      </c>
      <c r="W306" s="32">
        <v>0</v>
      </c>
      <c r="X306" s="32">
        <v>0</v>
      </c>
      <c r="Y306" s="32">
        <v>0</v>
      </c>
      <c r="Z306" s="32">
        <v>0</v>
      </c>
      <c r="AA306" s="32">
        <v>0</v>
      </c>
      <c r="AB306" s="32">
        <v>0</v>
      </c>
      <c r="AC306" s="32">
        <v>0</v>
      </c>
      <c r="AD306" s="32">
        <v>0</v>
      </c>
      <c r="AE306" s="32">
        <v>0</v>
      </c>
      <c r="AF306" s="32">
        <v>0</v>
      </c>
      <c r="AG306" s="32">
        <v>0</v>
      </c>
      <c r="AH306" s="32">
        <v>0</v>
      </c>
      <c r="AI306" s="32">
        <v>0</v>
      </c>
      <c r="AJ306" s="32">
        <v>0</v>
      </c>
      <c r="AK306" s="32">
        <v>0</v>
      </c>
      <c r="AL306" s="32">
        <v>0</v>
      </c>
      <c r="AM306" s="32">
        <v>0</v>
      </c>
      <c r="AN306" s="32">
        <v>0</v>
      </c>
      <c r="AO306" s="32">
        <v>31940.400000000001</v>
      </c>
      <c r="AP306" s="32">
        <v>0</v>
      </c>
      <c r="AQ306" s="32">
        <v>31940.400000000001</v>
      </c>
      <c r="AR306" s="32">
        <v>159702</v>
      </c>
      <c r="AS306" s="32">
        <v>11.71</v>
      </c>
      <c r="AT306" s="32">
        <v>25800</v>
      </c>
      <c r="AU306" s="32">
        <v>25800</v>
      </c>
      <c r="AV306" s="32">
        <v>0</v>
      </c>
      <c r="AW306" s="32">
        <v>0</v>
      </c>
      <c r="AX306" s="32">
        <v>3870</v>
      </c>
      <c r="AY306" s="32">
        <v>3870</v>
      </c>
      <c r="AZ306" s="32">
        <v>1032</v>
      </c>
      <c r="BA306" s="32">
        <v>1032</v>
      </c>
      <c r="BB306" s="32">
        <v>0</v>
      </c>
      <c r="BC306" s="32">
        <v>0</v>
      </c>
      <c r="BD306" s="32">
        <v>108500</v>
      </c>
      <c r="BE306" s="32">
        <v>108500</v>
      </c>
      <c r="BF306" s="32">
        <v>0</v>
      </c>
      <c r="BG306" s="32">
        <v>20500</v>
      </c>
      <c r="BH306" s="32">
        <v>20500</v>
      </c>
      <c r="BI306" s="32">
        <v>0</v>
      </c>
      <c r="BJ306" s="32">
        <v>0</v>
      </c>
      <c r="BK306" s="32">
        <v>0</v>
      </c>
      <c r="BL306" s="32">
        <v>0</v>
      </c>
      <c r="BM306" s="32">
        <v>0</v>
      </c>
      <c r="BN306" s="32">
        <v>0</v>
      </c>
      <c r="BO306" s="32">
        <v>0</v>
      </c>
      <c r="BP306" s="32">
        <v>0</v>
      </c>
      <c r="BQ306" s="32">
        <v>8356.5</v>
      </c>
      <c r="BR306" s="32">
        <v>39306.5</v>
      </c>
      <c r="BS306" s="32">
        <v>62209.5</v>
      </c>
      <c r="BT306" s="32">
        <v>28783.5</v>
      </c>
      <c r="BU306" s="32">
        <v>21046</v>
      </c>
      <c r="BV306" s="32">
        <v>0</v>
      </c>
      <c r="BW306" s="32">
        <v>0</v>
      </c>
      <c r="BX306" s="32">
        <v>0</v>
      </c>
      <c r="BY306" s="32">
        <v>0</v>
      </c>
      <c r="BZ306" s="32">
        <v>0</v>
      </c>
      <c r="CA306" s="32">
        <v>0</v>
      </c>
      <c r="CB306" s="125" t="s">
        <v>3974</v>
      </c>
      <c r="CC306" s="125" t="s">
        <v>522</v>
      </c>
      <c r="CD306" s="125"/>
      <c r="CE306" s="125" t="s">
        <v>523</v>
      </c>
      <c r="CF306" s="125" t="s">
        <v>636</v>
      </c>
      <c r="CG306" s="125" t="s">
        <v>3975</v>
      </c>
      <c r="CH306" s="125" t="s">
        <v>526</v>
      </c>
      <c r="CI306" s="125" t="s">
        <v>665</v>
      </c>
      <c r="CJ306" s="125" t="s">
        <v>665</v>
      </c>
      <c r="CK306" s="125"/>
      <c r="CL306" s="125" t="s">
        <v>212</v>
      </c>
      <c r="CM306" s="125"/>
      <c r="CN306" s="125" t="s">
        <v>254</v>
      </c>
      <c r="CO306" s="125" t="s">
        <v>255</v>
      </c>
      <c r="CP306" s="125" t="s">
        <v>3976</v>
      </c>
      <c r="CQ306" s="125" t="s">
        <v>1986</v>
      </c>
      <c r="CR306" s="125" t="s">
        <v>3977</v>
      </c>
      <c r="CS306" s="125" t="s">
        <v>3978</v>
      </c>
      <c r="CT306" s="125" t="s">
        <v>254</v>
      </c>
      <c r="CU306" s="125" t="s">
        <v>255</v>
      </c>
      <c r="CV306" s="125" t="s">
        <v>3976</v>
      </c>
      <c r="CW306" s="125" t="s">
        <v>1986</v>
      </c>
      <c r="CX306" s="125" t="s">
        <v>3977</v>
      </c>
      <c r="CY306" s="125" t="s">
        <v>3979</v>
      </c>
      <c r="CZ306" s="125" t="s">
        <v>1989</v>
      </c>
      <c r="DA306" s="125" t="s">
        <v>1990</v>
      </c>
      <c r="DB306" s="125" t="s">
        <v>892</v>
      </c>
      <c r="DC306" s="125" t="s">
        <v>1991</v>
      </c>
      <c r="DD306" s="125" t="s">
        <v>1992</v>
      </c>
      <c r="DE306" s="125" t="s">
        <v>3980</v>
      </c>
      <c r="DF306" s="126" t="s">
        <v>3981</v>
      </c>
      <c r="DG306" s="27" cm="1">
        <f t="array" ref="DG306">INDEX('elenco partner'!A:M,MATCH(1,(D306='elenco partner'!A:A)*('Partner data'!M306='elenco partner'!E:E),0),4)</f>
        <v>867</v>
      </c>
      <c r="DH306" s="83" t="str">
        <f t="shared" si="132"/>
        <v>Tasso Forfettario 20%</v>
      </c>
      <c r="DI306" s="20">
        <f>COUNTIFS('MY-REPORT-MAIN'!C:C,'Partner data'!DG306,'MY-REPORT-MAIN'!I:I,"Certified")</f>
        <v>0</v>
      </c>
      <c r="DJ306" s="20">
        <f>COUNTIFS(List_Of_chek_list!M:M,"&lt;&gt;26",List_Of_chek_list!B:B,'Partner data'!DG306)</f>
        <v>0</v>
      </c>
      <c r="DK306" s="20">
        <f t="shared" si="133"/>
        <v>0</v>
      </c>
      <c r="DL306" s="19" t="e">
        <f>IF(DH306="Tasso Forfettario 20%",SUMIFS(List_Of_chek_list!#REF!,List_Of_chek_list!B:B,'Partner data'!DG306),"NON PERTINENTE")</f>
        <v>#REF!</v>
      </c>
      <c r="DM306" s="19" t="e">
        <f t="shared" si="134"/>
        <v>#REF!</v>
      </c>
      <c r="DN306" s="110">
        <f>_xlfn.MAXIFS('MY-REPORT-MAIN'!K:K,'MY-REPORT-MAIN'!C:C,DG306)</f>
        <v>0</v>
      </c>
      <c r="DO306" s="112" t="str">
        <f>IF(_xlfn.MAXIFS('MY-REPORT-MAIN'!M:M,'MY-REPORT-MAIN'!C:C,DG306)=0,"Nessun rendiconto  Convalidato",_xlfn.MAXIFS('MY-REPORT-MAIN'!M:M,'MY-REPORT-MAIN'!C:C,DG306))</f>
        <v>Nessun rendiconto  Convalidato</v>
      </c>
      <c r="DP306" s="113" t="str" cm="1">
        <f t="array" ref="DP306">IFERROR(INDEX('MY-REPORT-MAIN'!A:Z,MATCH(1,(DO306='MY-REPORT-MAIN'!M:M)*('Partner data'!DG306='MY-REPORT-MAIN'!C:C),0),1),"NON è stato convalidato ancora nessun rendiconto")</f>
        <v>NON è stato convalidato ancora nessun rendiconto</v>
      </c>
      <c r="DQ306" s="111" t="str">
        <f>IFERROR(INDEX('MY-REPORT-MAIN'!A:Z,MATCH('Partner data'!DP306,'MY-REPORT-MAIN'!A:A,0),21),"Nessun Rendiconto ancora convalidato")</f>
        <v>Nessun Rendiconto ancora convalidato</v>
      </c>
      <c r="DR306" s="110">
        <f>INDEX('Interreg VI-A Italy-Slovenia_pr'!A:E,MATCH('Partner data'!C306,'Interreg VI-A Italy-Slovenia_pr'!A:A,0),3)</f>
        <v>45404</v>
      </c>
      <c r="DS306" s="118">
        <f t="shared" si="104"/>
        <v>8356.5</v>
      </c>
      <c r="DT306" s="118">
        <f t="shared" si="105"/>
        <v>47663</v>
      </c>
      <c r="DU306" s="118">
        <f t="shared" si="106"/>
        <v>109872.5</v>
      </c>
      <c r="DV306" s="118">
        <f t="shared" si="107"/>
        <v>138656</v>
      </c>
      <c r="DW306" s="118">
        <f t="shared" si="108"/>
        <v>159702</v>
      </c>
      <c r="DX306" s="118">
        <f t="shared" si="109"/>
        <v>159702</v>
      </c>
      <c r="DY306" s="118">
        <f t="shared" si="110"/>
        <v>159702</v>
      </c>
      <c r="DZ306" s="118">
        <f t="shared" si="111"/>
        <v>159702</v>
      </c>
      <c r="EA306" s="118">
        <f t="shared" si="112"/>
        <v>159702</v>
      </c>
      <c r="EB306" s="118">
        <f t="shared" si="113"/>
        <v>159702</v>
      </c>
    </row>
    <row r="307" spans="1:132" ht="45" x14ac:dyDescent="0.25">
      <c r="A307" s="121">
        <v>6</v>
      </c>
      <c r="B307" s="122" t="s">
        <v>2688</v>
      </c>
      <c r="C307" s="123" t="s">
        <v>3947</v>
      </c>
      <c r="D307" s="123" t="s">
        <v>3948</v>
      </c>
      <c r="E307" s="123" t="s">
        <v>3949</v>
      </c>
      <c r="F307" s="123" t="s">
        <v>1118</v>
      </c>
      <c r="G307" s="123" t="s">
        <v>491</v>
      </c>
      <c r="H307" s="123" t="s">
        <v>766</v>
      </c>
      <c r="I307" s="123" t="s">
        <v>767</v>
      </c>
      <c r="J307" s="124" t="s">
        <v>581</v>
      </c>
      <c r="K307" s="124" t="s">
        <v>495</v>
      </c>
      <c r="L307" s="124" t="s">
        <v>519</v>
      </c>
      <c r="M307" s="124" t="s">
        <v>3982</v>
      </c>
      <c r="N307" s="124" t="s">
        <v>3983</v>
      </c>
      <c r="O307" s="124" t="s">
        <v>3983</v>
      </c>
      <c r="P307" s="124" t="s">
        <v>254</v>
      </c>
      <c r="Q307" s="124" t="s">
        <v>540</v>
      </c>
      <c r="R307" s="124" t="s">
        <v>260</v>
      </c>
      <c r="S307" s="32">
        <v>176000</v>
      </c>
      <c r="T307" s="32">
        <v>80</v>
      </c>
      <c r="U307" s="32">
        <v>16.13</v>
      </c>
      <c r="V307" s="32">
        <v>0</v>
      </c>
      <c r="W307" s="32">
        <v>0</v>
      </c>
      <c r="X307" s="32">
        <v>0</v>
      </c>
      <c r="Y307" s="32">
        <v>0</v>
      </c>
      <c r="Z307" s="32">
        <v>0</v>
      </c>
      <c r="AA307" s="32">
        <v>0</v>
      </c>
      <c r="AB307" s="32">
        <v>0</v>
      </c>
      <c r="AC307" s="32">
        <v>0</v>
      </c>
      <c r="AD307" s="32">
        <v>0</v>
      </c>
      <c r="AE307" s="32">
        <v>0</v>
      </c>
      <c r="AF307" s="32">
        <v>0</v>
      </c>
      <c r="AG307" s="32">
        <v>0</v>
      </c>
      <c r="AH307" s="32">
        <v>0</v>
      </c>
      <c r="AI307" s="32">
        <v>0</v>
      </c>
      <c r="AJ307" s="32">
        <v>0</v>
      </c>
      <c r="AK307" s="32">
        <v>0</v>
      </c>
      <c r="AL307" s="32">
        <v>0</v>
      </c>
      <c r="AM307" s="32">
        <v>0</v>
      </c>
      <c r="AN307" s="32">
        <v>0</v>
      </c>
      <c r="AO307" s="32">
        <v>44000</v>
      </c>
      <c r="AP307" s="32">
        <v>0</v>
      </c>
      <c r="AQ307" s="32">
        <v>44000</v>
      </c>
      <c r="AR307" s="32">
        <v>220000</v>
      </c>
      <c r="AS307" s="32">
        <v>16.13</v>
      </c>
      <c r="AT307" s="32">
        <v>75160</v>
      </c>
      <c r="AU307" s="32">
        <v>0</v>
      </c>
      <c r="AV307" s="32">
        <v>75160</v>
      </c>
      <c r="AW307" s="32">
        <v>0</v>
      </c>
      <c r="AX307" s="32">
        <v>11274</v>
      </c>
      <c r="AY307" s="32">
        <v>11274</v>
      </c>
      <c r="AZ307" s="32">
        <v>3006.4</v>
      </c>
      <c r="BA307" s="32">
        <v>3006.4</v>
      </c>
      <c r="BB307" s="32">
        <v>0</v>
      </c>
      <c r="BC307" s="32">
        <v>0</v>
      </c>
      <c r="BD307" s="32">
        <v>122559.6</v>
      </c>
      <c r="BE307" s="32">
        <v>122559.6</v>
      </c>
      <c r="BF307" s="32">
        <v>0</v>
      </c>
      <c r="BG307" s="32">
        <v>8000</v>
      </c>
      <c r="BH307" s="32">
        <v>8000</v>
      </c>
      <c r="BI307" s="32">
        <v>0</v>
      </c>
      <c r="BJ307" s="32">
        <v>0</v>
      </c>
      <c r="BK307" s="32">
        <v>0</v>
      </c>
      <c r="BL307" s="32">
        <v>0</v>
      </c>
      <c r="BM307" s="32">
        <v>0</v>
      </c>
      <c r="BN307" s="32">
        <v>0</v>
      </c>
      <c r="BO307" s="32">
        <v>0</v>
      </c>
      <c r="BP307" s="32">
        <v>0</v>
      </c>
      <c r="BQ307" s="32">
        <v>24659.52</v>
      </c>
      <c r="BR307" s="32">
        <v>39659.519999999997</v>
      </c>
      <c r="BS307" s="32">
        <v>56560.32</v>
      </c>
      <c r="BT307" s="32">
        <v>46560.32</v>
      </c>
      <c r="BU307" s="32">
        <v>52560.32</v>
      </c>
      <c r="BV307" s="32">
        <v>0</v>
      </c>
      <c r="BW307" s="32">
        <v>0</v>
      </c>
      <c r="BX307" s="32">
        <v>0</v>
      </c>
      <c r="BY307" s="32">
        <v>0</v>
      </c>
      <c r="BZ307" s="32">
        <v>0</v>
      </c>
      <c r="CA307" s="32">
        <v>0</v>
      </c>
      <c r="CB307" s="125" t="s">
        <v>212</v>
      </c>
      <c r="CC307" s="125" t="s">
        <v>624</v>
      </c>
      <c r="CD307" s="125"/>
      <c r="CE307" s="125" t="s">
        <v>501</v>
      </c>
      <c r="CF307" s="125" t="s">
        <v>1825</v>
      </c>
      <c r="CG307" s="125" t="s">
        <v>3984</v>
      </c>
      <c r="CH307" s="125" t="s">
        <v>526</v>
      </c>
      <c r="CI307" s="125" t="s">
        <v>665</v>
      </c>
      <c r="CJ307" s="125" t="s">
        <v>212</v>
      </c>
      <c r="CK307" s="125" t="s">
        <v>3985</v>
      </c>
      <c r="CL307" s="125" t="s">
        <v>212</v>
      </c>
      <c r="CM307" s="125"/>
      <c r="CN307" s="125" t="s">
        <v>254</v>
      </c>
      <c r="CO307" s="125" t="s">
        <v>260</v>
      </c>
      <c r="CP307" s="125" t="s">
        <v>3986</v>
      </c>
      <c r="CQ307" s="125" t="s">
        <v>920</v>
      </c>
      <c r="CR307" s="125" t="s">
        <v>3987</v>
      </c>
      <c r="CS307" s="125" t="s">
        <v>3988</v>
      </c>
      <c r="CT307" s="125"/>
      <c r="CU307" s="125"/>
      <c r="CV307" s="125"/>
      <c r="CW307" s="125"/>
      <c r="CX307" s="125"/>
      <c r="CY307" s="125" t="s">
        <v>892</v>
      </c>
      <c r="CZ307" s="125" t="s">
        <v>3989</v>
      </c>
      <c r="DA307" s="125" t="s">
        <v>3990</v>
      </c>
      <c r="DB307" s="125" t="s">
        <v>892</v>
      </c>
      <c r="DC307" s="125" t="s">
        <v>1680</v>
      </c>
      <c r="DD307" s="125" t="s">
        <v>3991</v>
      </c>
      <c r="DE307" s="125" t="s">
        <v>3992</v>
      </c>
      <c r="DF307" s="126" t="s">
        <v>3993</v>
      </c>
      <c r="DG307" s="27" cm="1">
        <f t="array" ref="DG307">INDEX('elenco partner'!A:M,MATCH(1,(D307='elenco partner'!A:A)*('Partner data'!M307='elenco partner'!E:E),0),4)</f>
        <v>868</v>
      </c>
      <c r="DH307" s="83" t="str">
        <f t="shared" si="132"/>
        <v>COSTO REALE</v>
      </c>
      <c r="DI307" s="20">
        <f>COUNTIFS('MY-REPORT-MAIN'!C:C,'Partner data'!DG307,'MY-REPORT-MAIN'!I:I,"Certified")</f>
        <v>0</v>
      </c>
      <c r="DJ307" s="20">
        <f>COUNTIFS(List_Of_chek_list!M:M,"&lt;&gt;26",List_Of_chek_list!B:B,'Partner data'!DG307)</f>
        <v>0</v>
      </c>
      <c r="DK307" s="20">
        <f t="shared" si="133"/>
        <v>0</v>
      </c>
      <c r="DL307" s="19" t="str">
        <f>IF(DH307="Tasso Forfettario 20%",SUMIFS(List_Of_chek_list!#REF!,List_Of_chek_list!B:B,'Partner data'!DG307),"NON PERTINENTE")</f>
        <v>NON PERTINENTE</v>
      </c>
      <c r="DM307" s="19" t="str">
        <f t="shared" si="134"/>
        <v>NON PERTINENTE</v>
      </c>
      <c r="DN307" s="110">
        <f>_xlfn.MAXIFS('MY-REPORT-MAIN'!K:K,'MY-REPORT-MAIN'!C:C,DG307)</f>
        <v>0</v>
      </c>
      <c r="DO307" s="112" t="str">
        <f>IF(_xlfn.MAXIFS('MY-REPORT-MAIN'!M:M,'MY-REPORT-MAIN'!C:C,DG307)=0,"Nessun rendiconto  Convalidato",_xlfn.MAXIFS('MY-REPORT-MAIN'!M:M,'MY-REPORT-MAIN'!C:C,DG307))</f>
        <v>Nessun rendiconto  Convalidato</v>
      </c>
      <c r="DP307" s="113" t="str" cm="1">
        <f t="array" ref="DP307">IFERROR(INDEX('MY-REPORT-MAIN'!A:Z,MATCH(1,(DO307='MY-REPORT-MAIN'!M:M)*('Partner data'!DG307='MY-REPORT-MAIN'!C:C),0),1),"NON è stato convalidato ancora nessun rendiconto")</f>
        <v>NON è stato convalidato ancora nessun rendiconto</v>
      </c>
      <c r="DQ307" s="111" t="str">
        <f>IFERROR(INDEX('MY-REPORT-MAIN'!A:Z,MATCH('Partner data'!DP307,'MY-REPORT-MAIN'!A:A,0),21),"Nessun Rendiconto ancora convalidato")</f>
        <v>Nessun Rendiconto ancora convalidato</v>
      </c>
      <c r="DR307" s="110">
        <f>INDEX('Interreg VI-A Italy-Slovenia_pr'!A:E,MATCH('Partner data'!C307,'Interreg VI-A Italy-Slovenia_pr'!A:A,0),3)</f>
        <v>45404</v>
      </c>
      <c r="DS307" s="118">
        <f t="shared" si="104"/>
        <v>24659.52</v>
      </c>
      <c r="DT307" s="118">
        <f t="shared" si="105"/>
        <v>64319.039999999994</v>
      </c>
      <c r="DU307" s="118">
        <f t="shared" si="106"/>
        <v>120879.35999999999</v>
      </c>
      <c r="DV307" s="118">
        <f t="shared" si="107"/>
        <v>167439.67999999999</v>
      </c>
      <c r="DW307" s="118">
        <f t="shared" si="108"/>
        <v>220000</v>
      </c>
      <c r="DX307" s="118">
        <f t="shared" si="109"/>
        <v>220000</v>
      </c>
      <c r="DY307" s="118">
        <f t="shared" si="110"/>
        <v>220000</v>
      </c>
      <c r="DZ307" s="118">
        <f t="shared" si="111"/>
        <v>220000</v>
      </c>
      <c r="EA307" s="118">
        <f t="shared" si="112"/>
        <v>220000</v>
      </c>
      <c r="EB307" s="118">
        <f t="shared" si="113"/>
        <v>220000</v>
      </c>
    </row>
    <row r="308" spans="1:132" ht="45" x14ac:dyDescent="0.25">
      <c r="A308" s="121">
        <v>6</v>
      </c>
      <c r="B308" s="122" t="s">
        <v>2688</v>
      </c>
      <c r="C308" s="123" t="s">
        <v>3994</v>
      </c>
      <c r="D308" s="123" t="s">
        <v>3995</v>
      </c>
      <c r="E308" s="123" t="s">
        <v>3996</v>
      </c>
      <c r="F308" s="123" t="s">
        <v>1118</v>
      </c>
      <c r="G308" s="123" t="s">
        <v>6118</v>
      </c>
      <c r="H308" s="123" t="s">
        <v>691</v>
      </c>
      <c r="I308" s="123" t="s">
        <v>945</v>
      </c>
      <c r="J308" s="124" t="s">
        <v>494</v>
      </c>
      <c r="K308" s="124" t="s">
        <v>495</v>
      </c>
      <c r="L308" s="124" t="s">
        <v>496</v>
      </c>
      <c r="M308" s="124" t="s">
        <v>3997</v>
      </c>
      <c r="N308" s="124" t="s">
        <v>3998</v>
      </c>
      <c r="O308" s="124" t="s">
        <v>3999</v>
      </c>
      <c r="P308" s="124" t="s">
        <v>254</v>
      </c>
      <c r="Q308" s="124" t="s">
        <v>540</v>
      </c>
      <c r="R308" s="124" t="s">
        <v>302</v>
      </c>
      <c r="S308" s="32">
        <v>224000</v>
      </c>
      <c r="T308" s="32">
        <v>80</v>
      </c>
      <c r="U308" s="32">
        <v>26.35</v>
      </c>
      <c r="V308" s="32">
        <v>0</v>
      </c>
      <c r="W308" s="32">
        <v>0</v>
      </c>
      <c r="X308" s="32">
        <v>0</v>
      </c>
      <c r="Y308" s="32">
        <v>0</v>
      </c>
      <c r="Z308" s="32">
        <v>0</v>
      </c>
      <c r="AA308" s="32">
        <v>0</v>
      </c>
      <c r="AB308" s="32">
        <v>0</v>
      </c>
      <c r="AC308" s="32">
        <v>0</v>
      </c>
      <c r="AD308" s="32">
        <v>0</v>
      </c>
      <c r="AE308" s="32">
        <v>0</v>
      </c>
      <c r="AF308" s="32">
        <v>0</v>
      </c>
      <c r="AG308" s="32">
        <v>0</v>
      </c>
      <c r="AH308" s="32">
        <v>0</v>
      </c>
      <c r="AI308" s="32">
        <v>0</v>
      </c>
      <c r="AJ308" s="32">
        <v>0</v>
      </c>
      <c r="AK308" s="32">
        <v>0</v>
      </c>
      <c r="AL308" s="32">
        <v>0</v>
      </c>
      <c r="AM308" s="32">
        <v>0</v>
      </c>
      <c r="AN308" s="32">
        <v>0</v>
      </c>
      <c r="AO308" s="32">
        <v>56000</v>
      </c>
      <c r="AP308" s="32">
        <v>0</v>
      </c>
      <c r="AQ308" s="32">
        <v>56000</v>
      </c>
      <c r="AR308" s="32">
        <v>280000</v>
      </c>
      <c r="AS308" s="32">
        <v>26.35</v>
      </c>
      <c r="AT308" s="32">
        <v>61332.95</v>
      </c>
      <c r="AU308" s="32">
        <v>0</v>
      </c>
      <c r="AV308" s="32">
        <v>61332.95</v>
      </c>
      <c r="AW308" s="32">
        <v>0</v>
      </c>
      <c r="AX308" s="32">
        <v>9199.94</v>
      </c>
      <c r="AY308" s="32">
        <v>9199.94</v>
      </c>
      <c r="AZ308" s="32">
        <v>2453.31</v>
      </c>
      <c r="BA308" s="32">
        <v>2453.31</v>
      </c>
      <c r="BB308" s="32">
        <v>0</v>
      </c>
      <c r="BC308" s="32">
        <v>0</v>
      </c>
      <c r="BD308" s="32">
        <v>198013.8</v>
      </c>
      <c r="BE308" s="32">
        <v>198013.8</v>
      </c>
      <c r="BF308" s="32">
        <v>0</v>
      </c>
      <c r="BG308" s="32">
        <v>0</v>
      </c>
      <c r="BH308" s="32">
        <v>0</v>
      </c>
      <c r="BI308" s="32">
        <v>0</v>
      </c>
      <c r="BJ308" s="32">
        <v>0</v>
      </c>
      <c r="BK308" s="32">
        <v>0</v>
      </c>
      <c r="BL308" s="32">
        <v>0</v>
      </c>
      <c r="BM308" s="32">
        <v>0</v>
      </c>
      <c r="BN308" s="32">
        <v>0</v>
      </c>
      <c r="BO308" s="32">
        <v>9000</v>
      </c>
      <c r="BP308" s="32">
        <v>9000</v>
      </c>
      <c r="BQ308" s="32">
        <v>67749.990000000005</v>
      </c>
      <c r="BR308" s="32">
        <v>67749.97</v>
      </c>
      <c r="BS308" s="32">
        <v>67749.990000000005</v>
      </c>
      <c r="BT308" s="32">
        <v>67750.05</v>
      </c>
      <c r="BU308" s="32">
        <v>0</v>
      </c>
      <c r="BV308" s="32">
        <v>0</v>
      </c>
      <c r="BW308" s="32">
        <v>0</v>
      </c>
      <c r="BX308" s="32">
        <v>0</v>
      </c>
      <c r="BY308" s="32">
        <v>0</v>
      </c>
      <c r="BZ308" s="32">
        <v>0</v>
      </c>
      <c r="CA308" s="32">
        <v>0</v>
      </c>
      <c r="CB308" s="125" t="s">
        <v>4000</v>
      </c>
      <c r="CC308" s="125" t="s">
        <v>596</v>
      </c>
      <c r="CD308" s="125"/>
      <c r="CE308" s="125" t="s">
        <v>501</v>
      </c>
      <c r="CF308" s="125" t="s">
        <v>618</v>
      </c>
      <c r="CG308" s="125" t="s">
        <v>1427</v>
      </c>
      <c r="CH308" s="125" t="s">
        <v>526</v>
      </c>
      <c r="CI308" s="125" t="s">
        <v>4001</v>
      </c>
      <c r="CJ308" s="125" t="s">
        <v>1047</v>
      </c>
      <c r="CK308" s="125" t="s">
        <v>4002</v>
      </c>
      <c r="CL308" s="125" t="s">
        <v>212</v>
      </c>
      <c r="CM308" s="125"/>
      <c r="CN308" s="125" t="s">
        <v>254</v>
      </c>
      <c r="CO308" s="125" t="s">
        <v>302</v>
      </c>
      <c r="CP308" s="125" t="s">
        <v>4003</v>
      </c>
      <c r="CQ308" s="125" t="s">
        <v>1307</v>
      </c>
      <c r="CR308" s="125" t="s">
        <v>1308</v>
      </c>
      <c r="CS308" s="125" t="s">
        <v>4004</v>
      </c>
      <c r="CT308" s="125" t="s">
        <v>254</v>
      </c>
      <c r="CU308" s="125" t="s">
        <v>260</v>
      </c>
      <c r="CV308" s="125" t="s">
        <v>4005</v>
      </c>
      <c r="CW308" s="125" t="s">
        <v>774</v>
      </c>
      <c r="CX308" s="125" t="s">
        <v>2784</v>
      </c>
      <c r="CY308" s="125" t="s">
        <v>531</v>
      </c>
      <c r="CZ308" s="125" t="s">
        <v>3946</v>
      </c>
      <c r="DA308" s="125" t="s">
        <v>6139</v>
      </c>
      <c r="DB308" s="125" t="s">
        <v>547</v>
      </c>
      <c r="DC308" s="125" t="s">
        <v>4006</v>
      </c>
      <c r="DD308" s="125" t="s">
        <v>4007</v>
      </c>
      <c r="DE308" s="125" t="s">
        <v>4008</v>
      </c>
      <c r="DF308" s="126" t="s">
        <v>4009</v>
      </c>
      <c r="DG308" s="27" cm="1">
        <f t="array" ref="DG308">INDEX('elenco partner'!A:M,MATCH(1,(D308='elenco partner'!A:A)*('Partner data'!M308='elenco partner'!E:E),0),4)</f>
        <v>564</v>
      </c>
      <c r="DH308" s="83" t="str">
        <f t="shared" ref="DH308:DH313" si="135">IF(AU308&lt;&gt;0,"Tasso Forfettario 20%",IF(AV308&lt;&gt;0,"COSTO REALE",IF(AW308&lt;&gt;0,"Costo Unitario Standard","BL1 non presente")))</f>
        <v>COSTO REALE</v>
      </c>
      <c r="DI308" s="20">
        <f>COUNTIFS('MY-REPORT-MAIN'!C:C,'Partner data'!DG308,'MY-REPORT-MAIN'!I:I,"Certified")</f>
        <v>0</v>
      </c>
      <c r="DJ308" s="20">
        <f>COUNTIFS(List_Of_chek_list!M:M,"&lt;&gt;26",List_Of_chek_list!B:B,'Partner data'!DG308)</f>
        <v>0</v>
      </c>
      <c r="DK308" s="20">
        <f t="shared" ref="DK308:DK313" si="136">DI308-DJ308</f>
        <v>0</v>
      </c>
      <c r="DL308" s="19" t="str">
        <f>IF(DH308="Tasso Forfettario 20%",SUMIFS(List_Of_chek_list!#REF!,List_Of_chek_list!B:B,'Partner data'!DG308),"NON PERTINENTE")</f>
        <v>NON PERTINENTE</v>
      </c>
      <c r="DM308" s="19" t="str">
        <f t="shared" ref="DM308:DM313" si="137">IF(DL308="NON PERTINENTE","NON PERTINENTE",IF(DJ308=DL308,"Rischio basso","Rischio alto"))</f>
        <v>NON PERTINENTE</v>
      </c>
      <c r="DN308" s="110">
        <f>_xlfn.MAXIFS('MY-REPORT-MAIN'!K:K,'MY-REPORT-MAIN'!C:C,DG308)</f>
        <v>0</v>
      </c>
      <c r="DO308" s="112" t="str">
        <f>IF(_xlfn.MAXIFS('MY-REPORT-MAIN'!M:M,'MY-REPORT-MAIN'!C:C,DG308)=0,"Nessun rendiconto  Convalidato",_xlfn.MAXIFS('MY-REPORT-MAIN'!M:M,'MY-REPORT-MAIN'!C:C,DG308))</f>
        <v>Nessun rendiconto  Convalidato</v>
      </c>
      <c r="DP308" s="113" t="str" cm="1">
        <f t="array" ref="DP308">IFERROR(INDEX('MY-REPORT-MAIN'!A:Z,MATCH(1,(DO308='MY-REPORT-MAIN'!M:M)*('Partner data'!DG308='MY-REPORT-MAIN'!C:C),0),1),"NON è stato convalidato ancora nessun rendiconto")</f>
        <v>NON è stato convalidato ancora nessun rendiconto</v>
      </c>
      <c r="DQ308" s="111" t="str">
        <f>IFERROR(INDEX('MY-REPORT-MAIN'!A:Z,MATCH('Partner data'!DP308,'MY-REPORT-MAIN'!A:A,0),21),"Nessun Rendiconto ancora convalidato")</f>
        <v>Nessun Rendiconto ancora convalidato</v>
      </c>
      <c r="DR308" s="110" t="e">
        <f>INDEX('Interreg VI-A Italy-Slovenia_pr'!A:E,MATCH('Partner data'!C308,'Interreg VI-A Italy-Slovenia_pr'!A:A,0),3)</f>
        <v>#N/A</v>
      </c>
      <c r="DS308" s="118">
        <f t="shared" si="104"/>
        <v>76749.990000000005</v>
      </c>
      <c r="DT308" s="118">
        <f t="shared" si="105"/>
        <v>144499.96000000002</v>
      </c>
      <c r="DU308" s="118">
        <f t="shared" si="106"/>
        <v>212249.95</v>
      </c>
      <c r="DV308" s="118">
        <f t="shared" si="107"/>
        <v>280000</v>
      </c>
      <c r="DW308" s="118">
        <f t="shared" si="108"/>
        <v>280000</v>
      </c>
      <c r="DX308" s="118">
        <f t="shared" si="109"/>
        <v>280000</v>
      </c>
      <c r="DY308" s="118">
        <f t="shared" si="110"/>
        <v>280000</v>
      </c>
      <c r="DZ308" s="118">
        <f t="shared" si="111"/>
        <v>280000</v>
      </c>
      <c r="EA308" s="118">
        <f t="shared" si="112"/>
        <v>280000</v>
      </c>
      <c r="EB308" s="118">
        <f t="shared" si="113"/>
        <v>280000</v>
      </c>
    </row>
    <row r="309" spans="1:132" ht="45" x14ac:dyDescent="0.25">
      <c r="A309" s="121">
        <v>6</v>
      </c>
      <c r="B309" s="122" t="s">
        <v>2688</v>
      </c>
      <c r="C309" s="123" t="s">
        <v>3994</v>
      </c>
      <c r="D309" s="123" t="s">
        <v>3995</v>
      </c>
      <c r="E309" s="123" t="s">
        <v>3996</v>
      </c>
      <c r="F309" s="123" t="s">
        <v>1118</v>
      </c>
      <c r="G309" s="123" t="s">
        <v>6118</v>
      </c>
      <c r="H309" s="123" t="s">
        <v>691</v>
      </c>
      <c r="I309" s="123" t="s">
        <v>945</v>
      </c>
      <c r="J309" s="124" t="s">
        <v>518</v>
      </c>
      <c r="K309" s="124" t="s">
        <v>495</v>
      </c>
      <c r="L309" s="124" t="s">
        <v>519</v>
      </c>
      <c r="M309" s="124" t="s">
        <v>4010</v>
      </c>
      <c r="N309" s="124" t="s">
        <v>4011</v>
      </c>
      <c r="O309" s="124" t="s">
        <v>4012</v>
      </c>
      <c r="P309" s="124" t="s">
        <v>254</v>
      </c>
      <c r="Q309" s="124" t="s">
        <v>540</v>
      </c>
      <c r="R309" s="124" t="s">
        <v>260</v>
      </c>
      <c r="S309" s="32">
        <v>136434.96</v>
      </c>
      <c r="T309" s="32">
        <v>80</v>
      </c>
      <c r="U309" s="32">
        <v>16.05</v>
      </c>
      <c r="V309" s="32">
        <v>0</v>
      </c>
      <c r="W309" s="32">
        <v>0</v>
      </c>
      <c r="X309" s="32">
        <v>0</v>
      </c>
      <c r="Y309" s="32">
        <v>0</v>
      </c>
      <c r="Z309" s="32">
        <v>0</v>
      </c>
      <c r="AA309" s="32">
        <v>0</v>
      </c>
      <c r="AB309" s="32">
        <v>0</v>
      </c>
      <c r="AC309" s="32">
        <v>0</v>
      </c>
      <c r="AD309" s="32">
        <v>0</v>
      </c>
      <c r="AE309" s="32">
        <v>0</v>
      </c>
      <c r="AF309" s="32">
        <v>0</v>
      </c>
      <c r="AG309" s="32">
        <v>0</v>
      </c>
      <c r="AH309" s="32">
        <v>0</v>
      </c>
      <c r="AI309" s="32">
        <v>0</v>
      </c>
      <c r="AJ309" s="32">
        <v>0</v>
      </c>
      <c r="AK309" s="32">
        <v>0</v>
      </c>
      <c r="AL309" s="32">
        <v>0</v>
      </c>
      <c r="AM309" s="32">
        <v>0</v>
      </c>
      <c r="AN309" s="32">
        <v>0</v>
      </c>
      <c r="AO309" s="32">
        <v>34108.74</v>
      </c>
      <c r="AP309" s="32">
        <v>0</v>
      </c>
      <c r="AQ309" s="32">
        <v>34108.74</v>
      </c>
      <c r="AR309" s="32">
        <v>170543.7</v>
      </c>
      <c r="AS309" s="32">
        <v>16.05</v>
      </c>
      <c r="AT309" s="32">
        <v>138230</v>
      </c>
      <c r="AU309" s="32">
        <v>0</v>
      </c>
      <c r="AV309" s="32">
        <v>0</v>
      </c>
      <c r="AW309" s="32">
        <v>138230</v>
      </c>
      <c r="AX309" s="32">
        <v>20734.5</v>
      </c>
      <c r="AY309" s="32">
        <v>20734.5</v>
      </c>
      <c r="AZ309" s="32">
        <v>5529.2</v>
      </c>
      <c r="BA309" s="32">
        <v>5529.2</v>
      </c>
      <c r="BB309" s="32">
        <v>0</v>
      </c>
      <c r="BC309" s="32">
        <v>0</v>
      </c>
      <c r="BD309" s="32">
        <v>6050</v>
      </c>
      <c r="BE309" s="32">
        <v>6050</v>
      </c>
      <c r="BF309" s="32">
        <v>0</v>
      </c>
      <c r="BG309" s="32">
        <v>0</v>
      </c>
      <c r="BH309" s="32">
        <v>0</v>
      </c>
      <c r="BI309" s="32">
        <v>0</v>
      </c>
      <c r="BJ309" s="32">
        <v>0</v>
      </c>
      <c r="BK309" s="32">
        <v>0</v>
      </c>
      <c r="BL309" s="32">
        <v>0</v>
      </c>
      <c r="BM309" s="32">
        <v>0</v>
      </c>
      <c r="BN309" s="32">
        <v>0</v>
      </c>
      <c r="BO309" s="32">
        <v>0</v>
      </c>
      <c r="BP309" s="32">
        <v>0</v>
      </c>
      <c r="BQ309" s="32">
        <v>44673.42</v>
      </c>
      <c r="BR309" s="32">
        <v>41623.42</v>
      </c>
      <c r="BS309" s="32">
        <v>41623.42</v>
      </c>
      <c r="BT309" s="32">
        <v>42623.44</v>
      </c>
      <c r="BU309" s="32">
        <v>0</v>
      </c>
      <c r="BV309" s="32">
        <v>0</v>
      </c>
      <c r="BW309" s="32">
        <v>0</v>
      </c>
      <c r="BX309" s="32">
        <v>0</v>
      </c>
      <c r="BY309" s="32">
        <v>0</v>
      </c>
      <c r="BZ309" s="32">
        <v>0</v>
      </c>
      <c r="CA309" s="32">
        <v>0</v>
      </c>
      <c r="CB309" s="125" t="s">
        <v>981</v>
      </c>
      <c r="CC309" s="125" t="s">
        <v>596</v>
      </c>
      <c r="CD309" s="125"/>
      <c r="CE309" s="125" t="s">
        <v>501</v>
      </c>
      <c r="CF309" s="125" t="s">
        <v>4013</v>
      </c>
      <c r="CG309" s="125" t="s">
        <v>4014</v>
      </c>
      <c r="CH309" s="125" t="s">
        <v>504</v>
      </c>
      <c r="CI309" s="125" t="s">
        <v>4015</v>
      </c>
      <c r="CJ309" s="125" t="s">
        <v>1047</v>
      </c>
      <c r="CK309" s="125"/>
      <c r="CL309" s="125" t="s">
        <v>212</v>
      </c>
      <c r="CM309" s="125"/>
      <c r="CN309" s="125" t="s">
        <v>254</v>
      </c>
      <c r="CO309" s="125" t="s">
        <v>260</v>
      </c>
      <c r="CP309" s="125" t="s">
        <v>4016</v>
      </c>
      <c r="CQ309" s="125" t="s">
        <v>774</v>
      </c>
      <c r="CR309" s="125" t="s">
        <v>599</v>
      </c>
      <c r="CS309" s="125" t="s">
        <v>4017</v>
      </c>
      <c r="CT309" s="125" t="s">
        <v>254</v>
      </c>
      <c r="CU309" s="125" t="s">
        <v>260</v>
      </c>
      <c r="CV309" s="125" t="s">
        <v>4016</v>
      </c>
      <c r="CW309" s="125" t="s">
        <v>774</v>
      </c>
      <c r="CX309" s="125" t="s">
        <v>599</v>
      </c>
      <c r="CY309" s="125" t="s">
        <v>547</v>
      </c>
      <c r="CZ309" s="125" t="s">
        <v>626</v>
      </c>
      <c r="DA309" s="125" t="s">
        <v>4018</v>
      </c>
      <c r="DB309" s="125" t="s">
        <v>531</v>
      </c>
      <c r="DC309" s="125" t="s">
        <v>2691</v>
      </c>
      <c r="DD309" s="125" t="s">
        <v>4019</v>
      </c>
      <c r="DE309" s="125" t="s">
        <v>4020</v>
      </c>
      <c r="DF309" s="126" t="s">
        <v>4021</v>
      </c>
      <c r="DG309" s="27" cm="1">
        <f t="array" ref="DG309">INDEX('elenco partner'!A:M,MATCH(1,(D309='elenco partner'!A:A)*('Partner data'!M309='elenco partner'!E:E),0),4)</f>
        <v>565</v>
      </c>
      <c r="DH309" s="83" t="str">
        <f t="shared" si="135"/>
        <v>Costo Unitario Standard</v>
      </c>
      <c r="DI309" s="20">
        <f>COUNTIFS('MY-REPORT-MAIN'!C:C,'Partner data'!DG309,'MY-REPORT-MAIN'!I:I,"Certified")</f>
        <v>0</v>
      </c>
      <c r="DJ309" s="20">
        <f>COUNTIFS(List_Of_chek_list!M:M,"&lt;&gt;26",List_Of_chek_list!B:B,'Partner data'!DG309)</f>
        <v>0</v>
      </c>
      <c r="DK309" s="20">
        <f t="shared" si="136"/>
        <v>0</v>
      </c>
      <c r="DL309" s="19" t="str">
        <f>IF(DH309="Tasso Forfettario 20%",SUMIFS(List_Of_chek_list!#REF!,List_Of_chek_list!B:B,'Partner data'!DG309),"NON PERTINENTE")</f>
        <v>NON PERTINENTE</v>
      </c>
      <c r="DM309" s="19" t="str">
        <f t="shared" si="137"/>
        <v>NON PERTINENTE</v>
      </c>
      <c r="DN309" s="110">
        <f>_xlfn.MAXIFS('MY-REPORT-MAIN'!K:K,'MY-REPORT-MAIN'!C:C,DG309)</f>
        <v>0</v>
      </c>
      <c r="DO309" s="112" t="str">
        <f>IF(_xlfn.MAXIFS('MY-REPORT-MAIN'!M:M,'MY-REPORT-MAIN'!C:C,DG309)=0,"Nessun rendiconto  Convalidato",_xlfn.MAXIFS('MY-REPORT-MAIN'!M:M,'MY-REPORT-MAIN'!C:C,DG309))</f>
        <v>Nessun rendiconto  Convalidato</v>
      </c>
      <c r="DP309" s="113" t="str" cm="1">
        <f t="array" ref="DP309">IFERROR(INDEX('MY-REPORT-MAIN'!A:Z,MATCH(1,(DO309='MY-REPORT-MAIN'!M:M)*('Partner data'!DG309='MY-REPORT-MAIN'!C:C),0),1),"NON è stato convalidato ancora nessun rendiconto")</f>
        <v>NON è stato convalidato ancora nessun rendiconto</v>
      </c>
      <c r="DQ309" s="111" t="str">
        <f>IFERROR(INDEX('MY-REPORT-MAIN'!A:Z,MATCH('Partner data'!DP309,'MY-REPORT-MAIN'!A:A,0),21),"Nessun Rendiconto ancora convalidato")</f>
        <v>Nessun Rendiconto ancora convalidato</v>
      </c>
      <c r="DR309" s="110" t="e">
        <f>INDEX('Interreg VI-A Italy-Slovenia_pr'!A:E,MATCH('Partner data'!C309,'Interreg VI-A Italy-Slovenia_pr'!A:A,0),3)</f>
        <v>#N/A</v>
      </c>
      <c r="DS309" s="118">
        <f t="shared" si="104"/>
        <v>44673.42</v>
      </c>
      <c r="DT309" s="118">
        <f t="shared" si="105"/>
        <v>86296.84</v>
      </c>
      <c r="DU309" s="118">
        <f t="shared" si="106"/>
        <v>127920.26</v>
      </c>
      <c r="DV309" s="118">
        <f t="shared" si="107"/>
        <v>170543.7</v>
      </c>
      <c r="DW309" s="118">
        <f t="shared" si="108"/>
        <v>170543.7</v>
      </c>
      <c r="DX309" s="118">
        <f t="shared" si="109"/>
        <v>170543.7</v>
      </c>
      <c r="DY309" s="118">
        <f t="shared" si="110"/>
        <v>170543.7</v>
      </c>
      <c r="DZ309" s="118">
        <f t="shared" si="111"/>
        <v>170543.7</v>
      </c>
      <c r="EA309" s="118">
        <f t="shared" si="112"/>
        <v>170543.7</v>
      </c>
      <c r="EB309" s="118">
        <f t="shared" si="113"/>
        <v>170543.7</v>
      </c>
    </row>
    <row r="310" spans="1:132" ht="45" x14ac:dyDescent="0.25">
      <c r="A310" s="121">
        <v>6</v>
      </c>
      <c r="B310" s="122" t="s">
        <v>2688</v>
      </c>
      <c r="C310" s="123" t="s">
        <v>3994</v>
      </c>
      <c r="D310" s="123" t="s">
        <v>3995</v>
      </c>
      <c r="E310" s="123" t="s">
        <v>3996</v>
      </c>
      <c r="F310" s="123" t="s">
        <v>1118</v>
      </c>
      <c r="G310" s="123" t="s">
        <v>6118</v>
      </c>
      <c r="H310" s="123" t="s">
        <v>691</v>
      </c>
      <c r="I310" s="123" t="s">
        <v>945</v>
      </c>
      <c r="J310" s="124" t="s">
        <v>538</v>
      </c>
      <c r="K310" s="124" t="s">
        <v>495</v>
      </c>
      <c r="L310" s="124" t="s">
        <v>519</v>
      </c>
      <c r="M310" s="124" t="s">
        <v>69</v>
      </c>
      <c r="N310" s="124" t="s">
        <v>733</v>
      </c>
      <c r="O310" s="124" t="s">
        <v>1272</v>
      </c>
      <c r="P310" s="124" t="s">
        <v>254</v>
      </c>
      <c r="Q310" s="124" t="s">
        <v>499</v>
      </c>
      <c r="R310" s="124" t="s">
        <v>255</v>
      </c>
      <c r="S310" s="32">
        <v>151983.07999999999</v>
      </c>
      <c r="T310" s="32">
        <v>80</v>
      </c>
      <c r="U310" s="32">
        <v>17.88</v>
      </c>
      <c r="V310" s="32">
        <v>0</v>
      </c>
      <c r="W310" s="32">
        <v>0</v>
      </c>
      <c r="X310" s="32">
        <v>0</v>
      </c>
      <c r="Y310" s="32">
        <v>0</v>
      </c>
      <c r="Z310" s="32">
        <v>0</v>
      </c>
      <c r="AA310" s="32">
        <v>0</v>
      </c>
      <c r="AB310" s="32">
        <v>0</v>
      </c>
      <c r="AC310" s="32">
        <v>0</v>
      </c>
      <c r="AD310" s="32">
        <v>0</v>
      </c>
      <c r="AE310" s="32">
        <v>0</v>
      </c>
      <c r="AF310" s="32">
        <v>0</v>
      </c>
      <c r="AG310" s="32">
        <v>0</v>
      </c>
      <c r="AH310" s="32">
        <v>0</v>
      </c>
      <c r="AI310" s="32">
        <v>0</v>
      </c>
      <c r="AJ310" s="32">
        <v>0</v>
      </c>
      <c r="AK310" s="32">
        <v>0</v>
      </c>
      <c r="AL310" s="32">
        <v>0</v>
      </c>
      <c r="AM310" s="32">
        <v>0</v>
      </c>
      <c r="AN310" s="32">
        <v>0</v>
      </c>
      <c r="AO310" s="32">
        <v>37995.769999999997</v>
      </c>
      <c r="AP310" s="32">
        <v>0</v>
      </c>
      <c r="AQ310" s="32">
        <v>37995.769999999997</v>
      </c>
      <c r="AR310" s="32">
        <v>189978.85</v>
      </c>
      <c r="AS310" s="32">
        <v>17.88</v>
      </c>
      <c r="AT310" s="32">
        <v>135699.18</v>
      </c>
      <c r="AU310" s="32">
        <v>0</v>
      </c>
      <c r="AV310" s="32">
        <v>135699.18</v>
      </c>
      <c r="AW310" s="32">
        <v>0</v>
      </c>
      <c r="AX310" s="32">
        <v>0</v>
      </c>
      <c r="AY310" s="32">
        <v>0</v>
      </c>
      <c r="AZ310" s="32">
        <v>0</v>
      </c>
      <c r="BA310" s="32">
        <v>0</v>
      </c>
      <c r="BB310" s="32">
        <v>0</v>
      </c>
      <c r="BC310" s="32">
        <v>0</v>
      </c>
      <c r="BD310" s="32">
        <v>0</v>
      </c>
      <c r="BE310" s="32">
        <v>0</v>
      </c>
      <c r="BF310" s="32">
        <v>0</v>
      </c>
      <c r="BG310" s="32">
        <v>0</v>
      </c>
      <c r="BH310" s="32">
        <v>0</v>
      </c>
      <c r="BI310" s="32">
        <v>0</v>
      </c>
      <c r="BJ310" s="32">
        <v>0</v>
      </c>
      <c r="BK310" s="32">
        <v>0</v>
      </c>
      <c r="BL310" s="32">
        <v>0</v>
      </c>
      <c r="BM310" s="32">
        <v>54279.67</v>
      </c>
      <c r="BN310" s="32">
        <v>0</v>
      </c>
      <c r="BO310" s="32">
        <v>0</v>
      </c>
      <c r="BP310" s="32">
        <v>0</v>
      </c>
      <c r="BQ310" s="32">
        <v>47494.720000000001</v>
      </c>
      <c r="BR310" s="32">
        <v>47494.720000000001</v>
      </c>
      <c r="BS310" s="32">
        <v>47494.720000000001</v>
      </c>
      <c r="BT310" s="32">
        <v>47494.69</v>
      </c>
      <c r="BU310" s="32">
        <v>0</v>
      </c>
      <c r="BV310" s="32">
        <v>0</v>
      </c>
      <c r="BW310" s="32">
        <v>0</v>
      </c>
      <c r="BX310" s="32">
        <v>0</v>
      </c>
      <c r="BY310" s="32">
        <v>0</v>
      </c>
      <c r="BZ310" s="32">
        <v>0</v>
      </c>
      <c r="CA310" s="32">
        <v>0</v>
      </c>
      <c r="CB310" s="125" t="s">
        <v>1273</v>
      </c>
      <c r="CC310" s="125" t="s">
        <v>624</v>
      </c>
      <c r="CD310" s="125"/>
      <c r="CE310" s="125" t="s">
        <v>523</v>
      </c>
      <c r="CF310" s="125" t="s">
        <v>1286</v>
      </c>
      <c r="CG310" s="125" t="s">
        <v>735</v>
      </c>
      <c r="CH310" s="125" t="s">
        <v>526</v>
      </c>
      <c r="CI310" s="125" t="s">
        <v>736</v>
      </c>
      <c r="CJ310" s="125" t="s">
        <v>1047</v>
      </c>
      <c r="CK310" s="125" t="s">
        <v>737</v>
      </c>
      <c r="CL310" s="125" t="s">
        <v>212</v>
      </c>
      <c r="CM310" s="125"/>
      <c r="CN310" s="125" t="s">
        <v>254</v>
      </c>
      <c r="CO310" s="125" t="s">
        <v>255</v>
      </c>
      <c r="CP310" s="125" t="s">
        <v>3221</v>
      </c>
      <c r="CQ310" s="125" t="s">
        <v>739</v>
      </c>
      <c r="CR310" s="125" t="s">
        <v>529</v>
      </c>
      <c r="CS310" s="125" t="s">
        <v>2018</v>
      </c>
      <c r="CT310" s="125" t="s">
        <v>254</v>
      </c>
      <c r="CU310" s="125" t="s">
        <v>255</v>
      </c>
      <c r="CV310" s="125" t="s">
        <v>3223</v>
      </c>
      <c r="CW310" s="125" t="s">
        <v>1278</v>
      </c>
      <c r="CX310" s="125" t="s">
        <v>529</v>
      </c>
      <c r="CY310" s="125" t="s">
        <v>531</v>
      </c>
      <c r="CZ310" s="125" t="s">
        <v>938</v>
      </c>
      <c r="DA310" s="125" t="s">
        <v>1279</v>
      </c>
      <c r="DB310" s="125" t="s">
        <v>531</v>
      </c>
      <c r="DC310" s="125" t="s">
        <v>746</v>
      </c>
      <c r="DD310" s="125" t="s">
        <v>4022</v>
      </c>
      <c r="DE310" s="125" t="s">
        <v>4023</v>
      </c>
      <c r="DF310" s="126" t="s">
        <v>4024</v>
      </c>
      <c r="DG310" s="27" cm="1">
        <f t="array" ref="DG310">INDEX('elenco partner'!A:M,MATCH(1,(D310='elenco partner'!A:A)*('Partner data'!M310='elenco partner'!E:E),0),4)</f>
        <v>566</v>
      </c>
      <c r="DH310" s="83" t="str">
        <f t="shared" si="135"/>
        <v>COSTO REALE</v>
      </c>
      <c r="DI310" s="20">
        <f>COUNTIFS('MY-REPORT-MAIN'!C:C,'Partner data'!DG310,'MY-REPORT-MAIN'!I:I,"Certified")</f>
        <v>0</v>
      </c>
      <c r="DJ310" s="20">
        <f>COUNTIFS(List_Of_chek_list!M:M,"&lt;&gt;26",List_Of_chek_list!B:B,'Partner data'!DG310)</f>
        <v>0</v>
      </c>
      <c r="DK310" s="20">
        <f t="shared" si="136"/>
        <v>0</v>
      </c>
      <c r="DL310" s="19" t="str">
        <f>IF(DH310="Tasso Forfettario 20%",SUMIFS(List_Of_chek_list!#REF!,List_Of_chek_list!B:B,'Partner data'!DG310),"NON PERTINENTE")</f>
        <v>NON PERTINENTE</v>
      </c>
      <c r="DM310" s="19" t="str">
        <f t="shared" si="137"/>
        <v>NON PERTINENTE</v>
      </c>
      <c r="DN310" s="110">
        <f>_xlfn.MAXIFS('MY-REPORT-MAIN'!K:K,'MY-REPORT-MAIN'!C:C,DG310)</f>
        <v>0</v>
      </c>
      <c r="DO310" s="112" t="str">
        <f>IF(_xlfn.MAXIFS('MY-REPORT-MAIN'!M:M,'MY-REPORT-MAIN'!C:C,DG310)=0,"Nessun rendiconto  Convalidato",_xlfn.MAXIFS('MY-REPORT-MAIN'!M:M,'MY-REPORT-MAIN'!C:C,DG310))</f>
        <v>Nessun rendiconto  Convalidato</v>
      </c>
      <c r="DP310" s="113" t="str" cm="1">
        <f t="array" ref="DP310">IFERROR(INDEX('MY-REPORT-MAIN'!A:Z,MATCH(1,(DO310='MY-REPORT-MAIN'!M:M)*('Partner data'!DG310='MY-REPORT-MAIN'!C:C),0),1),"NON è stato convalidato ancora nessun rendiconto")</f>
        <v>NON è stato convalidato ancora nessun rendiconto</v>
      </c>
      <c r="DQ310" s="111" t="str">
        <f>IFERROR(INDEX('MY-REPORT-MAIN'!A:Z,MATCH('Partner data'!DP310,'MY-REPORT-MAIN'!A:A,0),21),"Nessun Rendiconto ancora convalidato")</f>
        <v>Nessun Rendiconto ancora convalidato</v>
      </c>
      <c r="DR310" s="110" t="e">
        <f>INDEX('Interreg VI-A Italy-Slovenia_pr'!A:E,MATCH('Partner data'!C310,'Interreg VI-A Italy-Slovenia_pr'!A:A,0),3)</f>
        <v>#N/A</v>
      </c>
      <c r="DS310" s="118">
        <f t="shared" si="104"/>
        <v>47494.720000000001</v>
      </c>
      <c r="DT310" s="118">
        <f t="shared" si="105"/>
        <v>94989.440000000002</v>
      </c>
      <c r="DU310" s="118">
        <f t="shared" si="106"/>
        <v>142484.16</v>
      </c>
      <c r="DV310" s="118">
        <f t="shared" si="107"/>
        <v>189978.85</v>
      </c>
      <c r="DW310" s="118">
        <f t="shared" si="108"/>
        <v>189978.85</v>
      </c>
      <c r="DX310" s="118">
        <f t="shared" si="109"/>
        <v>189978.85</v>
      </c>
      <c r="DY310" s="118">
        <f t="shared" si="110"/>
        <v>189978.85</v>
      </c>
      <c r="DZ310" s="118">
        <f t="shared" si="111"/>
        <v>189978.85</v>
      </c>
      <c r="EA310" s="118">
        <f t="shared" si="112"/>
        <v>189978.85</v>
      </c>
      <c r="EB310" s="118">
        <f t="shared" si="113"/>
        <v>189978.85</v>
      </c>
    </row>
    <row r="311" spans="1:132" ht="45" x14ac:dyDescent="0.25">
      <c r="A311" s="121">
        <v>6</v>
      </c>
      <c r="B311" s="122" t="s">
        <v>2688</v>
      </c>
      <c r="C311" s="123" t="s">
        <v>3994</v>
      </c>
      <c r="D311" s="123" t="s">
        <v>3995</v>
      </c>
      <c r="E311" s="123" t="s">
        <v>3996</v>
      </c>
      <c r="F311" s="123" t="s">
        <v>1118</v>
      </c>
      <c r="G311" s="123" t="s">
        <v>6118</v>
      </c>
      <c r="H311" s="123" t="s">
        <v>691</v>
      </c>
      <c r="I311" s="123" t="s">
        <v>945</v>
      </c>
      <c r="J311" s="124" t="s">
        <v>554</v>
      </c>
      <c r="K311" s="124" t="s">
        <v>495</v>
      </c>
      <c r="L311" s="124" t="s">
        <v>519</v>
      </c>
      <c r="M311" s="124" t="s">
        <v>4025</v>
      </c>
      <c r="N311" s="124" t="s">
        <v>4026</v>
      </c>
      <c r="O311" s="124" t="s">
        <v>4027</v>
      </c>
      <c r="P311" s="124" t="s">
        <v>257</v>
      </c>
      <c r="Q311" s="124" t="s">
        <v>556</v>
      </c>
      <c r="R311" s="124" t="s">
        <v>258</v>
      </c>
      <c r="S311" s="32">
        <v>136002.89000000001</v>
      </c>
      <c r="T311" s="32">
        <v>80</v>
      </c>
      <c r="U311" s="32">
        <v>16</v>
      </c>
      <c r="V311" s="32">
        <v>0</v>
      </c>
      <c r="W311" s="32">
        <v>0</v>
      </c>
      <c r="X311" s="32">
        <v>0</v>
      </c>
      <c r="Y311" s="32">
        <v>0</v>
      </c>
      <c r="Z311" s="32">
        <v>0</v>
      </c>
      <c r="AA311" s="32">
        <v>0</v>
      </c>
      <c r="AB311" s="32">
        <v>0</v>
      </c>
      <c r="AC311" s="32">
        <v>0</v>
      </c>
      <c r="AD311" s="32">
        <v>0</v>
      </c>
      <c r="AE311" s="32">
        <v>0</v>
      </c>
      <c r="AF311" s="32">
        <v>0</v>
      </c>
      <c r="AG311" s="32">
        <v>0</v>
      </c>
      <c r="AH311" s="32">
        <v>0</v>
      </c>
      <c r="AI311" s="32">
        <v>0</v>
      </c>
      <c r="AJ311" s="32">
        <v>0</v>
      </c>
      <c r="AK311" s="32">
        <v>0</v>
      </c>
      <c r="AL311" s="32">
        <v>0</v>
      </c>
      <c r="AM311" s="32">
        <v>0</v>
      </c>
      <c r="AN311" s="32">
        <v>34000.730000000003</v>
      </c>
      <c r="AO311" s="32">
        <v>0</v>
      </c>
      <c r="AP311" s="32">
        <v>0</v>
      </c>
      <c r="AQ311" s="32">
        <v>34000.730000000003</v>
      </c>
      <c r="AR311" s="32">
        <v>170003.62</v>
      </c>
      <c r="AS311" s="32">
        <v>16</v>
      </c>
      <c r="AT311" s="32">
        <v>121431.16</v>
      </c>
      <c r="AU311" s="32">
        <v>0</v>
      </c>
      <c r="AV311" s="32">
        <v>121431.16</v>
      </c>
      <c r="AW311" s="32">
        <v>0</v>
      </c>
      <c r="AX311" s="32">
        <v>0</v>
      </c>
      <c r="AY311" s="32">
        <v>0</v>
      </c>
      <c r="AZ311" s="32">
        <v>0</v>
      </c>
      <c r="BA311" s="32">
        <v>0</v>
      </c>
      <c r="BB311" s="32">
        <v>0</v>
      </c>
      <c r="BC311" s="32">
        <v>0</v>
      </c>
      <c r="BD311" s="32">
        <v>0</v>
      </c>
      <c r="BE311" s="32">
        <v>0</v>
      </c>
      <c r="BF311" s="32">
        <v>0</v>
      </c>
      <c r="BG311" s="32">
        <v>0</v>
      </c>
      <c r="BH311" s="32">
        <v>0</v>
      </c>
      <c r="BI311" s="32">
        <v>0</v>
      </c>
      <c r="BJ311" s="32">
        <v>0</v>
      </c>
      <c r="BK311" s="32">
        <v>0</v>
      </c>
      <c r="BL311" s="32">
        <v>0</v>
      </c>
      <c r="BM311" s="32">
        <v>48572.46</v>
      </c>
      <c r="BN311" s="32">
        <v>0</v>
      </c>
      <c r="BO311" s="32">
        <v>0</v>
      </c>
      <c r="BP311" s="32">
        <v>0</v>
      </c>
      <c r="BQ311" s="32">
        <v>42500.87</v>
      </c>
      <c r="BR311" s="32">
        <v>42500.9</v>
      </c>
      <c r="BS311" s="32">
        <v>42500.9</v>
      </c>
      <c r="BT311" s="32">
        <v>42500.95</v>
      </c>
      <c r="BU311" s="32">
        <v>0</v>
      </c>
      <c r="BV311" s="32">
        <v>0</v>
      </c>
      <c r="BW311" s="32">
        <v>0</v>
      </c>
      <c r="BX311" s="32">
        <v>0</v>
      </c>
      <c r="BY311" s="32">
        <v>0</v>
      </c>
      <c r="BZ311" s="32">
        <v>0</v>
      </c>
      <c r="CA311" s="32">
        <v>0</v>
      </c>
      <c r="CB311" s="125" t="s">
        <v>4028</v>
      </c>
      <c r="CC311" s="125" t="s">
        <v>624</v>
      </c>
      <c r="CD311" s="125"/>
      <c r="CE311" s="125" t="s">
        <v>523</v>
      </c>
      <c r="CF311" s="125" t="s">
        <v>707</v>
      </c>
      <c r="CG311" s="125" t="s">
        <v>1488</v>
      </c>
      <c r="CH311" s="125" t="s">
        <v>526</v>
      </c>
      <c r="CI311" s="125"/>
      <c r="CJ311" s="125" t="s">
        <v>212</v>
      </c>
      <c r="CK311" s="125" t="s">
        <v>1489</v>
      </c>
      <c r="CL311" s="125" t="s">
        <v>212</v>
      </c>
      <c r="CM311" s="125"/>
      <c r="CN311" s="125" t="s">
        <v>257</v>
      </c>
      <c r="CO311" s="125" t="s">
        <v>258</v>
      </c>
      <c r="CP311" s="125" t="s">
        <v>952</v>
      </c>
      <c r="CQ311" s="125" t="s">
        <v>620</v>
      </c>
      <c r="CR311" s="125" t="s">
        <v>4029</v>
      </c>
      <c r="CS311" s="125" t="s">
        <v>2119</v>
      </c>
      <c r="CT311" s="125" t="s">
        <v>257</v>
      </c>
      <c r="CU311" s="125" t="s">
        <v>270</v>
      </c>
      <c r="CV311" s="125" t="s">
        <v>1647</v>
      </c>
      <c r="CW311" s="125" t="s">
        <v>1648</v>
      </c>
      <c r="CX311" s="125" t="s">
        <v>2786</v>
      </c>
      <c r="CY311" s="125" t="s">
        <v>547</v>
      </c>
      <c r="CZ311" s="125" t="s">
        <v>835</v>
      </c>
      <c r="DA311" s="125" t="s">
        <v>958</v>
      </c>
      <c r="DB311" s="125" t="s">
        <v>531</v>
      </c>
      <c r="DC311" s="125" t="s">
        <v>4030</v>
      </c>
      <c r="DD311" s="125" t="s">
        <v>4031</v>
      </c>
      <c r="DE311" s="125" t="s">
        <v>4032</v>
      </c>
      <c r="DF311" s="126" t="s">
        <v>4033</v>
      </c>
      <c r="DG311" s="27" cm="1">
        <f t="array" ref="DG311">INDEX('elenco partner'!A:M,MATCH(1,(D311='elenco partner'!A:A)*('Partner data'!M311='elenco partner'!E:E),0),4)</f>
        <v>567</v>
      </c>
      <c r="DH311" s="83" t="str">
        <f t="shared" si="135"/>
        <v>COSTO REALE</v>
      </c>
      <c r="DI311" s="20">
        <f>COUNTIFS('MY-REPORT-MAIN'!C:C,'Partner data'!DG311,'MY-REPORT-MAIN'!I:I,"Certified")</f>
        <v>0</v>
      </c>
      <c r="DJ311" s="20">
        <f>COUNTIFS(List_Of_chek_list!M:M,"&lt;&gt;26",List_Of_chek_list!B:B,'Partner data'!DG311)</f>
        <v>0</v>
      </c>
      <c r="DK311" s="20">
        <f t="shared" si="136"/>
        <v>0</v>
      </c>
      <c r="DL311" s="19" t="str">
        <f>IF(DH311="Tasso Forfettario 20%",SUMIFS(List_Of_chek_list!#REF!,List_Of_chek_list!B:B,'Partner data'!DG311),"NON PERTINENTE")</f>
        <v>NON PERTINENTE</v>
      </c>
      <c r="DM311" s="19" t="str">
        <f t="shared" si="137"/>
        <v>NON PERTINENTE</v>
      </c>
      <c r="DN311" s="110">
        <f>_xlfn.MAXIFS('MY-REPORT-MAIN'!K:K,'MY-REPORT-MAIN'!C:C,DG311)</f>
        <v>0</v>
      </c>
      <c r="DO311" s="112" t="str">
        <f>IF(_xlfn.MAXIFS('MY-REPORT-MAIN'!M:M,'MY-REPORT-MAIN'!C:C,DG311)=0,"Nessun rendiconto  Convalidato",_xlfn.MAXIFS('MY-REPORT-MAIN'!M:M,'MY-REPORT-MAIN'!C:C,DG311))</f>
        <v>Nessun rendiconto  Convalidato</v>
      </c>
      <c r="DP311" s="113" t="str" cm="1">
        <f t="array" ref="DP311">IFERROR(INDEX('MY-REPORT-MAIN'!A:Z,MATCH(1,(DO311='MY-REPORT-MAIN'!M:M)*('Partner data'!DG311='MY-REPORT-MAIN'!C:C),0),1),"NON è stato convalidato ancora nessun rendiconto")</f>
        <v>NON è stato convalidato ancora nessun rendiconto</v>
      </c>
      <c r="DQ311" s="111" t="str">
        <f>IFERROR(INDEX('MY-REPORT-MAIN'!A:Z,MATCH('Partner data'!DP311,'MY-REPORT-MAIN'!A:A,0),21),"Nessun Rendiconto ancora convalidato")</f>
        <v>Nessun Rendiconto ancora convalidato</v>
      </c>
      <c r="DR311" s="110" t="e">
        <f>INDEX('Interreg VI-A Italy-Slovenia_pr'!A:E,MATCH('Partner data'!C311,'Interreg VI-A Italy-Slovenia_pr'!A:A,0),3)</f>
        <v>#N/A</v>
      </c>
      <c r="DS311" s="118">
        <f t="shared" si="104"/>
        <v>42500.87</v>
      </c>
      <c r="DT311" s="118">
        <f t="shared" si="105"/>
        <v>85001.77</v>
      </c>
      <c r="DU311" s="118">
        <f t="shared" si="106"/>
        <v>127502.67000000001</v>
      </c>
      <c r="DV311" s="118">
        <f t="shared" si="107"/>
        <v>170003.62</v>
      </c>
      <c r="DW311" s="118">
        <f t="shared" si="108"/>
        <v>170003.62</v>
      </c>
      <c r="DX311" s="118">
        <f t="shared" si="109"/>
        <v>170003.62</v>
      </c>
      <c r="DY311" s="118">
        <f t="shared" si="110"/>
        <v>170003.62</v>
      </c>
      <c r="DZ311" s="118">
        <f t="shared" si="111"/>
        <v>170003.62</v>
      </c>
      <c r="EA311" s="118">
        <f t="shared" si="112"/>
        <v>170003.62</v>
      </c>
      <c r="EB311" s="118">
        <f t="shared" si="113"/>
        <v>170003.62</v>
      </c>
    </row>
    <row r="312" spans="1:132" ht="45" x14ac:dyDescent="0.25">
      <c r="A312" s="121">
        <v>6</v>
      </c>
      <c r="B312" s="122" t="s">
        <v>2688</v>
      </c>
      <c r="C312" s="123" t="s">
        <v>3994</v>
      </c>
      <c r="D312" s="123" t="s">
        <v>3995</v>
      </c>
      <c r="E312" s="123" t="s">
        <v>3996</v>
      </c>
      <c r="F312" s="123" t="s">
        <v>1118</v>
      </c>
      <c r="G312" s="123" t="s">
        <v>6118</v>
      </c>
      <c r="H312" s="123" t="s">
        <v>691</v>
      </c>
      <c r="I312" s="123" t="s">
        <v>945</v>
      </c>
      <c r="J312" s="124" t="s">
        <v>570</v>
      </c>
      <c r="K312" s="124" t="s">
        <v>495</v>
      </c>
      <c r="L312" s="124" t="s">
        <v>519</v>
      </c>
      <c r="M312" s="124" t="s">
        <v>4034</v>
      </c>
      <c r="N312" s="124" t="s">
        <v>4035</v>
      </c>
      <c r="O312" s="124" t="s">
        <v>4036</v>
      </c>
      <c r="P312" s="124" t="s">
        <v>257</v>
      </c>
      <c r="Q312" s="124" t="s">
        <v>722</v>
      </c>
      <c r="R312" s="124" t="s">
        <v>4037</v>
      </c>
      <c r="S312" s="32">
        <v>113568</v>
      </c>
      <c r="T312" s="32">
        <v>80</v>
      </c>
      <c r="U312" s="32">
        <v>13.36</v>
      </c>
      <c r="V312" s="32">
        <v>0</v>
      </c>
      <c r="W312" s="32">
        <v>0</v>
      </c>
      <c r="X312" s="32">
        <v>0</v>
      </c>
      <c r="Y312" s="32">
        <v>0</v>
      </c>
      <c r="Z312" s="32">
        <v>0</v>
      </c>
      <c r="AA312" s="32">
        <v>0</v>
      </c>
      <c r="AB312" s="32">
        <v>0</v>
      </c>
      <c r="AC312" s="32">
        <v>0</v>
      </c>
      <c r="AD312" s="32">
        <v>0</v>
      </c>
      <c r="AE312" s="32">
        <v>0</v>
      </c>
      <c r="AF312" s="32">
        <v>0</v>
      </c>
      <c r="AG312" s="32">
        <v>0</v>
      </c>
      <c r="AH312" s="32">
        <v>0</v>
      </c>
      <c r="AI312" s="32">
        <v>0</v>
      </c>
      <c r="AJ312" s="32">
        <v>0</v>
      </c>
      <c r="AK312" s="32">
        <v>0</v>
      </c>
      <c r="AL312" s="32">
        <v>0</v>
      </c>
      <c r="AM312" s="32">
        <v>0</v>
      </c>
      <c r="AN312" s="32">
        <v>0</v>
      </c>
      <c r="AO312" s="32">
        <v>0</v>
      </c>
      <c r="AP312" s="32">
        <v>28392</v>
      </c>
      <c r="AQ312" s="32">
        <v>28392</v>
      </c>
      <c r="AR312" s="32">
        <v>141960</v>
      </c>
      <c r="AS312" s="32">
        <v>13.36</v>
      </c>
      <c r="AT312" s="32">
        <v>101400</v>
      </c>
      <c r="AU312" s="32">
        <v>0</v>
      </c>
      <c r="AV312" s="32">
        <v>101400</v>
      </c>
      <c r="AW312" s="32">
        <v>0</v>
      </c>
      <c r="AX312" s="32">
        <v>0</v>
      </c>
      <c r="AY312" s="32">
        <v>0</v>
      </c>
      <c r="AZ312" s="32">
        <v>0</v>
      </c>
      <c r="BA312" s="32">
        <v>0</v>
      </c>
      <c r="BB312" s="32">
        <v>0</v>
      </c>
      <c r="BC312" s="32">
        <v>0</v>
      </c>
      <c r="BD312" s="32">
        <v>0</v>
      </c>
      <c r="BE312" s="32">
        <v>0</v>
      </c>
      <c r="BF312" s="32">
        <v>0</v>
      </c>
      <c r="BG312" s="32">
        <v>0</v>
      </c>
      <c r="BH312" s="32">
        <v>0</v>
      </c>
      <c r="BI312" s="32">
        <v>0</v>
      </c>
      <c r="BJ312" s="32">
        <v>0</v>
      </c>
      <c r="BK312" s="32">
        <v>0</v>
      </c>
      <c r="BL312" s="32">
        <v>0</v>
      </c>
      <c r="BM312" s="32">
        <v>40560</v>
      </c>
      <c r="BN312" s="32">
        <v>0</v>
      </c>
      <c r="BO312" s="32">
        <v>0</v>
      </c>
      <c r="BP312" s="32">
        <v>0</v>
      </c>
      <c r="BQ312" s="32">
        <v>35490</v>
      </c>
      <c r="BR312" s="32">
        <v>35490</v>
      </c>
      <c r="BS312" s="32">
        <v>35490</v>
      </c>
      <c r="BT312" s="32">
        <v>35490</v>
      </c>
      <c r="BU312" s="32">
        <v>0</v>
      </c>
      <c r="BV312" s="32">
        <v>0</v>
      </c>
      <c r="BW312" s="32">
        <v>0</v>
      </c>
      <c r="BX312" s="32">
        <v>0</v>
      </c>
      <c r="BY312" s="32">
        <v>0</v>
      </c>
      <c r="BZ312" s="32">
        <v>0</v>
      </c>
      <c r="CA312" s="32">
        <v>0</v>
      </c>
      <c r="CB312" s="125" t="s">
        <v>981</v>
      </c>
      <c r="CC312" s="125"/>
      <c r="CD312" s="125" t="s">
        <v>706</v>
      </c>
      <c r="CE312" s="125" t="s">
        <v>501</v>
      </c>
      <c r="CF312" s="125" t="s">
        <v>707</v>
      </c>
      <c r="CG312" s="125" t="s">
        <v>4038</v>
      </c>
      <c r="CH312" s="125" t="s">
        <v>526</v>
      </c>
      <c r="CI312" s="125"/>
      <c r="CJ312" s="125" t="s">
        <v>212</v>
      </c>
      <c r="CK312" s="125"/>
      <c r="CL312" s="125" t="s">
        <v>212</v>
      </c>
      <c r="CM312" s="125"/>
      <c r="CN312" s="125" t="s">
        <v>257</v>
      </c>
      <c r="CO312" s="125" t="s">
        <v>4037</v>
      </c>
      <c r="CP312" s="125" t="s">
        <v>4039</v>
      </c>
      <c r="CQ312" s="125" t="s">
        <v>4040</v>
      </c>
      <c r="CR312" s="125" t="s">
        <v>4041</v>
      </c>
      <c r="CS312" s="125" t="s">
        <v>4042</v>
      </c>
      <c r="CT312" s="125" t="s">
        <v>257</v>
      </c>
      <c r="CU312" s="125" t="s">
        <v>258</v>
      </c>
      <c r="CV312" s="125" t="s">
        <v>4043</v>
      </c>
      <c r="CW312" s="125" t="s">
        <v>4044</v>
      </c>
      <c r="CX312" s="125" t="s">
        <v>4045</v>
      </c>
      <c r="CY312" s="125" t="s">
        <v>531</v>
      </c>
      <c r="CZ312" s="125" t="s">
        <v>2083</v>
      </c>
      <c r="DA312" s="125" t="s">
        <v>4046</v>
      </c>
      <c r="DB312" s="125" t="s">
        <v>547</v>
      </c>
      <c r="DC312" s="125" t="s">
        <v>1650</v>
      </c>
      <c r="DD312" s="125" t="s">
        <v>4047</v>
      </c>
      <c r="DE312" s="125" t="s">
        <v>4048</v>
      </c>
      <c r="DF312" s="126" t="s">
        <v>4049</v>
      </c>
      <c r="DG312" s="27" cm="1">
        <f t="array" ref="DG312">INDEX('elenco partner'!A:M,MATCH(1,(D312='elenco partner'!A:A)*('Partner data'!M312='elenco partner'!E:E),0),4)</f>
        <v>643</v>
      </c>
      <c r="DH312" s="83" t="str">
        <f t="shared" si="135"/>
        <v>COSTO REALE</v>
      </c>
      <c r="DI312" s="20">
        <f>COUNTIFS('MY-REPORT-MAIN'!C:C,'Partner data'!DG312,'MY-REPORT-MAIN'!I:I,"Certified")</f>
        <v>0</v>
      </c>
      <c r="DJ312" s="20">
        <f>COUNTIFS(List_Of_chek_list!M:M,"&lt;&gt;26",List_Of_chek_list!B:B,'Partner data'!DG312)</f>
        <v>0</v>
      </c>
      <c r="DK312" s="20">
        <f t="shared" si="136"/>
        <v>0</v>
      </c>
      <c r="DL312" s="19" t="str">
        <f>IF(DH312="Tasso Forfettario 20%",SUMIFS(List_Of_chek_list!#REF!,List_Of_chek_list!B:B,'Partner data'!DG312),"NON PERTINENTE")</f>
        <v>NON PERTINENTE</v>
      </c>
      <c r="DM312" s="19" t="str">
        <f t="shared" si="137"/>
        <v>NON PERTINENTE</v>
      </c>
      <c r="DN312" s="110">
        <f>_xlfn.MAXIFS('MY-REPORT-MAIN'!K:K,'MY-REPORT-MAIN'!C:C,DG312)</f>
        <v>0</v>
      </c>
      <c r="DO312" s="112" t="str">
        <f>IF(_xlfn.MAXIFS('MY-REPORT-MAIN'!M:M,'MY-REPORT-MAIN'!C:C,DG312)=0,"Nessun rendiconto  Convalidato",_xlfn.MAXIFS('MY-REPORT-MAIN'!M:M,'MY-REPORT-MAIN'!C:C,DG312))</f>
        <v>Nessun rendiconto  Convalidato</v>
      </c>
      <c r="DP312" s="113" t="str" cm="1">
        <f t="array" ref="DP312">IFERROR(INDEX('MY-REPORT-MAIN'!A:Z,MATCH(1,(DO312='MY-REPORT-MAIN'!M:M)*('Partner data'!DG312='MY-REPORT-MAIN'!C:C),0),1),"NON è stato convalidato ancora nessun rendiconto")</f>
        <v>NON è stato convalidato ancora nessun rendiconto</v>
      </c>
      <c r="DQ312" s="111" t="str">
        <f>IFERROR(INDEX('MY-REPORT-MAIN'!A:Z,MATCH('Partner data'!DP312,'MY-REPORT-MAIN'!A:A,0),21),"Nessun Rendiconto ancora convalidato")</f>
        <v>Nessun Rendiconto ancora convalidato</v>
      </c>
      <c r="DR312" s="110" t="e">
        <f>INDEX('Interreg VI-A Italy-Slovenia_pr'!A:E,MATCH('Partner data'!C312,'Interreg VI-A Italy-Slovenia_pr'!A:A,0),3)</f>
        <v>#N/A</v>
      </c>
      <c r="DS312" s="118">
        <f t="shared" si="104"/>
        <v>35490</v>
      </c>
      <c r="DT312" s="118">
        <f t="shared" si="105"/>
        <v>70980</v>
      </c>
      <c r="DU312" s="118">
        <f t="shared" si="106"/>
        <v>106470</v>
      </c>
      <c r="DV312" s="118">
        <f t="shared" si="107"/>
        <v>141960</v>
      </c>
      <c r="DW312" s="118">
        <f t="shared" si="108"/>
        <v>141960</v>
      </c>
      <c r="DX312" s="118">
        <f t="shared" si="109"/>
        <v>141960</v>
      </c>
      <c r="DY312" s="118">
        <f t="shared" si="110"/>
        <v>141960</v>
      </c>
      <c r="DZ312" s="118">
        <f t="shared" si="111"/>
        <v>141960</v>
      </c>
      <c r="EA312" s="118">
        <f t="shared" si="112"/>
        <v>141960</v>
      </c>
      <c r="EB312" s="118">
        <f t="shared" si="113"/>
        <v>141960</v>
      </c>
    </row>
    <row r="313" spans="1:132" ht="45" x14ac:dyDescent="0.25">
      <c r="A313" s="121">
        <v>6</v>
      </c>
      <c r="B313" s="122" t="s">
        <v>2688</v>
      </c>
      <c r="C313" s="123" t="s">
        <v>3994</v>
      </c>
      <c r="D313" s="123" t="s">
        <v>3995</v>
      </c>
      <c r="E313" s="123" t="s">
        <v>3996</v>
      </c>
      <c r="F313" s="123" t="s">
        <v>1118</v>
      </c>
      <c r="G313" s="123" t="s">
        <v>6118</v>
      </c>
      <c r="H313" s="123" t="s">
        <v>691</v>
      </c>
      <c r="I313" s="123" t="s">
        <v>945</v>
      </c>
      <c r="J313" s="124" t="s">
        <v>581</v>
      </c>
      <c r="K313" s="124" t="s">
        <v>495</v>
      </c>
      <c r="L313" s="124" t="s">
        <v>519</v>
      </c>
      <c r="M313" s="124" t="s">
        <v>305</v>
      </c>
      <c r="N313" s="124" t="s">
        <v>4050</v>
      </c>
      <c r="O313" s="124" t="s">
        <v>3827</v>
      </c>
      <c r="P313" s="124" t="s">
        <v>257</v>
      </c>
      <c r="Q313" s="124" t="s">
        <v>556</v>
      </c>
      <c r="R313" s="124" t="s">
        <v>270</v>
      </c>
      <c r="S313" s="32">
        <v>87987.13</v>
      </c>
      <c r="T313" s="32">
        <v>80</v>
      </c>
      <c r="U313" s="32">
        <v>10.35</v>
      </c>
      <c r="V313" s="32">
        <v>0</v>
      </c>
      <c r="W313" s="32">
        <v>0</v>
      </c>
      <c r="X313" s="32">
        <v>0</v>
      </c>
      <c r="Y313" s="32">
        <v>0</v>
      </c>
      <c r="Z313" s="32">
        <v>0</v>
      </c>
      <c r="AA313" s="32">
        <v>0</v>
      </c>
      <c r="AB313" s="32">
        <v>0</v>
      </c>
      <c r="AC313" s="32">
        <v>0</v>
      </c>
      <c r="AD313" s="32">
        <v>0</v>
      </c>
      <c r="AE313" s="32">
        <v>0</v>
      </c>
      <c r="AF313" s="32">
        <v>0</v>
      </c>
      <c r="AG313" s="32">
        <v>0</v>
      </c>
      <c r="AH313" s="32">
        <v>0</v>
      </c>
      <c r="AI313" s="32">
        <v>0</v>
      </c>
      <c r="AJ313" s="32">
        <v>0</v>
      </c>
      <c r="AK313" s="32">
        <v>0</v>
      </c>
      <c r="AL313" s="32">
        <v>0</v>
      </c>
      <c r="AM313" s="32">
        <v>0</v>
      </c>
      <c r="AN313" s="32">
        <v>21996.79</v>
      </c>
      <c r="AO313" s="32">
        <v>0</v>
      </c>
      <c r="AP313" s="32">
        <v>0</v>
      </c>
      <c r="AQ313" s="32">
        <v>21996.79</v>
      </c>
      <c r="AR313" s="32">
        <v>109983.92</v>
      </c>
      <c r="AS313" s="32">
        <v>10.35</v>
      </c>
      <c r="AT313" s="32">
        <v>17768</v>
      </c>
      <c r="AU313" s="32">
        <v>17768</v>
      </c>
      <c r="AV313" s="32">
        <v>0</v>
      </c>
      <c r="AW313" s="32">
        <v>0</v>
      </c>
      <c r="AX313" s="32">
        <v>2665.2</v>
      </c>
      <c r="AY313" s="32">
        <v>2665.2</v>
      </c>
      <c r="AZ313" s="32">
        <v>710.72</v>
      </c>
      <c r="BA313" s="32">
        <v>710.72</v>
      </c>
      <c r="BB313" s="32">
        <v>0</v>
      </c>
      <c r="BC313" s="32">
        <v>0</v>
      </c>
      <c r="BD313" s="32">
        <v>88840</v>
      </c>
      <c r="BE313" s="32">
        <v>88840</v>
      </c>
      <c r="BF313" s="32">
        <v>0</v>
      </c>
      <c r="BG313" s="32">
        <v>0</v>
      </c>
      <c r="BH313" s="32">
        <v>0</v>
      </c>
      <c r="BI313" s="32">
        <v>0</v>
      </c>
      <c r="BJ313" s="32">
        <v>0</v>
      </c>
      <c r="BK313" s="32">
        <v>0</v>
      </c>
      <c r="BL313" s="32">
        <v>0</v>
      </c>
      <c r="BM313" s="32">
        <v>0</v>
      </c>
      <c r="BN313" s="32">
        <v>0</v>
      </c>
      <c r="BO313" s="32">
        <v>0</v>
      </c>
      <c r="BP313" s="32">
        <v>0</v>
      </c>
      <c r="BQ313" s="32">
        <v>27495.98</v>
      </c>
      <c r="BR313" s="32">
        <v>27495.98</v>
      </c>
      <c r="BS313" s="32">
        <v>27495.98</v>
      </c>
      <c r="BT313" s="32">
        <v>27495.98</v>
      </c>
      <c r="BU313" s="32">
        <v>0</v>
      </c>
      <c r="BV313" s="32">
        <v>0</v>
      </c>
      <c r="BW313" s="32">
        <v>0</v>
      </c>
      <c r="BX313" s="32">
        <v>0</v>
      </c>
      <c r="BY313" s="32">
        <v>0</v>
      </c>
      <c r="BZ313" s="32">
        <v>0</v>
      </c>
      <c r="CA313" s="32">
        <v>0</v>
      </c>
      <c r="CB313" s="125" t="s">
        <v>4051</v>
      </c>
      <c r="CC313" s="125" t="s">
        <v>522</v>
      </c>
      <c r="CD313" s="125"/>
      <c r="CE313" s="125" t="s">
        <v>523</v>
      </c>
      <c r="CF313" s="125" t="s">
        <v>636</v>
      </c>
      <c r="CG313" s="125" t="s">
        <v>1368</v>
      </c>
      <c r="CH313" s="125" t="s">
        <v>526</v>
      </c>
      <c r="CI313" s="125" t="s">
        <v>4052</v>
      </c>
      <c r="CJ313" s="125" t="s">
        <v>4053</v>
      </c>
      <c r="CK313" s="125" t="s">
        <v>1369</v>
      </c>
      <c r="CL313" s="125" t="s">
        <v>212</v>
      </c>
      <c r="CM313" s="125"/>
      <c r="CN313" s="125" t="s">
        <v>257</v>
      </c>
      <c r="CO313" s="125" t="s">
        <v>270</v>
      </c>
      <c r="CP313" s="125" t="s">
        <v>4054</v>
      </c>
      <c r="CQ313" s="125" t="s">
        <v>710</v>
      </c>
      <c r="CR313" s="125" t="s">
        <v>4055</v>
      </c>
      <c r="CS313" s="125" t="s">
        <v>2904</v>
      </c>
      <c r="CT313" s="125" t="s">
        <v>257</v>
      </c>
      <c r="CU313" s="125" t="s">
        <v>270</v>
      </c>
      <c r="CV313" s="125" t="s">
        <v>4054</v>
      </c>
      <c r="CW313" s="125" t="s">
        <v>710</v>
      </c>
      <c r="CX313" s="125" t="s">
        <v>4055</v>
      </c>
      <c r="CY313" s="125" t="s">
        <v>531</v>
      </c>
      <c r="CZ313" s="125" t="s">
        <v>623</v>
      </c>
      <c r="DA313" s="125" t="s">
        <v>1373</v>
      </c>
      <c r="DB313" s="125" t="s">
        <v>547</v>
      </c>
      <c r="DC313" s="125" t="s">
        <v>1374</v>
      </c>
      <c r="DD313" s="125" t="s">
        <v>4056</v>
      </c>
      <c r="DE313" s="125" t="s">
        <v>3361</v>
      </c>
      <c r="DF313" s="126" t="s">
        <v>4057</v>
      </c>
      <c r="DG313" s="27" cm="1">
        <f t="array" ref="DG313">INDEX('elenco partner'!A:M,MATCH(1,(D313='elenco partner'!A:A)*('Partner data'!M313='elenco partner'!E:E),0),4)</f>
        <v>649</v>
      </c>
      <c r="DH313" s="83" t="str">
        <f t="shared" si="135"/>
        <v>Tasso Forfettario 20%</v>
      </c>
      <c r="DI313" s="20">
        <f>COUNTIFS('MY-REPORT-MAIN'!C:C,'Partner data'!DG313,'MY-REPORT-MAIN'!I:I,"Certified")</f>
        <v>0</v>
      </c>
      <c r="DJ313" s="20">
        <f>COUNTIFS(List_Of_chek_list!M:M,"&lt;&gt;26",List_Of_chek_list!B:B,'Partner data'!DG313)</f>
        <v>0</v>
      </c>
      <c r="DK313" s="20">
        <f t="shared" si="136"/>
        <v>0</v>
      </c>
      <c r="DL313" s="19" t="e">
        <f>IF(DH313="Tasso Forfettario 20%",SUMIFS(List_Of_chek_list!#REF!,List_Of_chek_list!B:B,'Partner data'!DG313),"NON PERTINENTE")</f>
        <v>#REF!</v>
      </c>
      <c r="DM313" s="19" t="e">
        <f t="shared" si="137"/>
        <v>#REF!</v>
      </c>
      <c r="DN313" s="110">
        <f>_xlfn.MAXIFS('MY-REPORT-MAIN'!K:K,'MY-REPORT-MAIN'!C:C,DG313)</f>
        <v>0</v>
      </c>
      <c r="DO313" s="112" t="str">
        <f>IF(_xlfn.MAXIFS('MY-REPORT-MAIN'!M:M,'MY-REPORT-MAIN'!C:C,DG313)=0,"Nessun rendiconto  Convalidato",_xlfn.MAXIFS('MY-REPORT-MAIN'!M:M,'MY-REPORT-MAIN'!C:C,DG313))</f>
        <v>Nessun rendiconto  Convalidato</v>
      </c>
      <c r="DP313" s="113" t="str" cm="1">
        <f t="array" ref="DP313">IFERROR(INDEX('MY-REPORT-MAIN'!A:Z,MATCH(1,(DO313='MY-REPORT-MAIN'!M:M)*('Partner data'!DG313='MY-REPORT-MAIN'!C:C),0),1),"NON è stato convalidato ancora nessun rendiconto")</f>
        <v>NON è stato convalidato ancora nessun rendiconto</v>
      </c>
      <c r="DQ313" s="111" t="str">
        <f>IFERROR(INDEX('MY-REPORT-MAIN'!A:Z,MATCH('Partner data'!DP313,'MY-REPORT-MAIN'!A:A,0),21),"Nessun Rendiconto ancora convalidato")</f>
        <v>Nessun Rendiconto ancora convalidato</v>
      </c>
      <c r="DR313" s="110" t="e">
        <f>INDEX('Interreg VI-A Italy-Slovenia_pr'!A:E,MATCH('Partner data'!C313,'Interreg VI-A Italy-Slovenia_pr'!A:A,0),3)</f>
        <v>#N/A</v>
      </c>
      <c r="DS313" s="118">
        <f t="shared" si="104"/>
        <v>27495.98</v>
      </c>
      <c r="DT313" s="118">
        <f t="shared" si="105"/>
        <v>54991.96</v>
      </c>
      <c r="DU313" s="118">
        <f t="shared" si="106"/>
        <v>82487.94</v>
      </c>
      <c r="DV313" s="118">
        <f t="shared" si="107"/>
        <v>109983.92</v>
      </c>
      <c r="DW313" s="118">
        <f t="shared" si="108"/>
        <v>109983.92</v>
      </c>
      <c r="DX313" s="118">
        <f t="shared" si="109"/>
        <v>109983.92</v>
      </c>
      <c r="DY313" s="118">
        <f t="shared" si="110"/>
        <v>109983.92</v>
      </c>
      <c r="DZ313" s="118">
        <f t="shared" si="111"/>
        <v>109983.92</v>
      </c>
      <c r="EA313" s="118">
        <f t="shared" si="112"/>
        <v>109983.92</v>
      </c>
      <c r="EB313" s="118">
        <f t="shared" si="113"/>
        <v>109983.92</v>
      </c>
    </row>
    <row r="314" spans="1:132" ht="45" x14ac:dyDescent="0.25">
      <c r="A314" s="121">
        <v>6</v>
      </c>
      <c r="B314" s="122" t="s">
        <v>2688</v>
      </c>
      <c r="C314" s="123" t="s">
        <v>4067</v>
      </c>
      <c r="D314" s="123" t="s">
        <v>4068</v>
      </c>
      <c r="E314" s="123" t="s">
        <v>4069</v>
      </c>
      <c r="F314" s="123" t="s">
        <v>490</v>
      </c>
      <c r="G314" s="123" t="s">
        <v>491</v>
      </c>
      <c r="H314" s="123" t="s">
        <v>691</v>
      </c>
      <c r="I314" s="123" t="s">
        <v>1044</v>
      </c>
      <c r="J314" s="124" t="s">
        <v>494</v>
      </c>
      <c r="K314" s="124" t="s">
        <v>495</v>
      </c>
      <c r="L314" s="124" t="s">
        <v>496</v>
      </c>
      <c r="M314" s="124" t="s">
        <v>300</v>
      </c>
      <c r="N314" s="124" t="s">
        <v>4070</v>
      </c>
      <c r="O314" s="124" t="s">
        <v>1203</v>
      </c>
      <c r="P314" s="124" t="s">
        <v>257</v>
      </c>
      <c r="Q314" s="124" t="s">
        <v>556</v>
      </c>
      <c r="R314" s="124" t="s">
        <v>269</v>
      </c>
      <c r="S314" s="32">
        <v>179440</v>
      </c>
      <c r="T314" s="32">
        <v>80</v>
      </c>
      <c r="U314" s="32">
        <v>21.78</v>
      </c>
      <c r="V314" s="32">
        <v>0</v>
      </c>
      <c r="W314" s="32">
        <v>0</v>
      </c>
      <c r="X314" s="32">
        <v>0</v>
      </c>
      <c r="Y314" s="32">
        <v>0</v>
      </c>
      <c r="Z314" s="32">
        <v>0</v>
      </c>
      <c r="AA314" s="32">
        <v>0</v>
      </c>
      <c r="AB314" s="32">
        <v>0</v>
      </c>
      <c r="AC314" s="32">
        <v>0</v>
      </c>
      <c r="AD314" s="32">
        <v>0</v>
      </c>
      <c r="AE314" s="32">
        <v>0</v>
      </c>
      <c r="AF314" s="32">
        <v>0</v>
      </c>
      <c r="AG314" s="32">
        <v>0</v>
      </c>
      <c r="AH314" s="32">
        <v>0</v>
      </c>
      <c r="AI314" s="32">
        <v>0</v>
      </c>
      <c r="AJ314" s="32">
        <v>0</v>
      </c>
      <c r="AK314" s="32">
        <v>0</v>
      </c>
      <c r="AL314" s="32">
        <v>0</v>
      </c>
      <c r="AM314" s="32">
        <v>0</v>
      </c>
      <c r="AN314" s="32">
        <v>44860</v>
      </c>
      <c r="AO314" s="32">
        <v>0</v>
      </c>
      <c r="AP314" s="32">
        <v>0</v>
      </c>
      <c r="AQ314" s="32">
        <v>44860</v>
      </c>
      <c r="AR314" s="32">
        <v>224300</v>
      </c>
      <c r="AS314" s="32">
        <v>21.78</v>
      </c>
      <c r="AT314" s="32">
        <v>70000</v>
      </c>
      <c r="AU314" s="32">
        <v>0</v>
      </c>
      <c r="AV314" s="32">
        <v>70000</v>
      </c>
      <c r="AW314" s="32">
        <v>0</v>
      </c>
      <c r="AX314" s="32">
        <v>10500</v>
      </c>
      <c r="AY314" s="32">
        <v>10500</v>
      </c>
      <c r="AZ314" s="32">
        <v>2800</v>
      </c>
      <c r="BA314" s="32">
        <v>2800</v>
      </c>
      <c r="BB314" s="32">
        <v>0</v>
      </c>
      <c r="BC314" s="32">
        <v>0</v>
      </c>
      <c r="BD314" s="32">
        <v>32000</v>
      </c>
      <c r="BE314" s="32">
        <v>32000</v>
      </c>
      <c r="BF314" s="32">
        <v>0</v>
      </c>
      <c r="BG314" s="32">
        <v>100000</v>
      </c>
      <c r="BH314" s="32">
        <v>100000</v>
      </c>
      <c r="BI314" s="32">
        <v>0</v>
      </c>
      <c r="BJ314" s="32">
        <v>0</v>
      </c>
      <c r="BK314" s="32">
        <v>0</v>
      </c>
      <c r="BL314" s="32">
        <v>0</v>
      </c>
      <c r="BM314" s="32">
        <v>0</v>
      </c>
      <c r="BN314" s="32">
        <v>0</v>
      </c>
      <c r="BO314" s="32">
        <v>9000</v>
      </c>
      <c r="BP314" s="32">
        <v>0</v>
      </c>
      <c r="BQ314" s="32">
        <v>37825</v>
      </c>
      <c r="BR314" s="32">
        <v>128825</v>
      </c>
      <c r="BS314" s="32">
        <v>28825</v>
      </c>
      <c r="BT314" s="32">
        <v>28825</v>
      </c>
      <c r="BU314" s="32">
        <v>0</v>
      </c>
      <c r="BV314" s="32">
        <v>0</v>
      </c>
      <c r="BW314" s="32">
        <v>0</v>
      </c>
      <c r="BX314" s="32">
        <v>0</v>
      </c>
      <c r="BY314" s="32">
        <v>0</v>
      </c>
      <c r="BZ314" s="32">
        <v>0</v>
      </c>
      <c r="CA314" s="32">
        <v>0</v>
      </c>
      <c r="CB314" s="125" t="s">
        <v>4071</v>
      </c>
      <c r="CC314" s="125" t="s">
        <v>522</v>
      </c>
      <c r="CD314" s="125"/>
      <c r="CE314" s="125" t="s">
        <v>523</v>
      </c>
      <c r="CF314" s="125" t="s">
        <v>636</v>
      </c>
      <c r="CG314" s="125" t="s">
        <v>1205</v>
      </c>
      <c r="CH314" s="125" t="s">
        <v>526</v>
      </c>
      <c r="CI314" s="125"/>
      <c r="CJ314" s="125" t="s">
        <v>212</v>
      </c>
      <c r="CK314" s="125" t="s">
        <v>1206</v>
      </c>
      <c r="CL314" s="125" t="s">
        <v>212</v>
      </c>
      <c r="CM314" s="125"/>
      <c r="CN314" s="125" t="s">
        <v>257</v>
      </c>
      <c r="CO314" s="125" t="s">
        <v>269</v>
      </c>
      <c r="CP314" s="125" t="s">
        <v>1207</v>
      </c>
      <c r="CQ314" s="125" t="s">
        <v>1208</v>
      </c>
      <c r="CR314" s="125" t="s">
        <v>1209</v>
      </c>
      <c r="CS314" s="125" t="s">
        <v>2175</v>
      </c>
      <c r="CT314" s="125" t="s">
        <v>257</v>
      </c>
      <c r="CU314" s="125" t="s">
        <v>269</v>
      </c>
      <c r="CV314" s="125" t="s">
        <v>1207</v>
      </c>
      <c r="CW314" s="125" t="s">
        <v>1208</v>
      </c>
      <c r="CX314" s="125" t="s">
        <v>1209</v>
      </c>
      <c r="CY314" s="125" t="s">
        <v>3086</v>
      </c>
      <c r="CZ314" s="125" t="s">
        <v>4072</v>
      </c>
      <c r="DA314" s="125" t="s">
        <v>4073</v>
      </c>
      <c r="DB314" s="125" t="s">
        <v>3086</v>
      </c>
      <c r="DC314" s="125" t="s">
        <v>4074</v>
      </c>
      <c r="DD314" s="125" t="s">
        <v>2010</v>
      </c>
      <c r="DE314" s="125" t="s">
        <v>1215</v>
      </c>
      <c r="DF314" s="126" t="s">
        <v>4075</v>
      </c>
      <c r="DG314" s="27" cm="1">
        <f t="array" ref="DG314">INDEX('elenco partner'!A:M,MATCH(1,(D314='elenco partner'!A:A)*('Partner data'!M314='elenco partner'!E:E),0),4)</f>
        <v>839</v>
      </c>
      <c r="DH314" s="83" t="str">
        <f t="shared" ref="DH314:DH319" si="138">IF(AU314&lt;&gt;0,"Tasso Forfettario 20%",IF(AV314&lt;&gt;0,"COSTO REALE",IF(AW314&lt;&gt;0,"Costo Unitario Standard","BL1 non presente")))</f>
        <v>COSTO REALE</v>
      </c>
      <c r="DI314" s="20">
        <f>COUNTIFS('MY-REPORT-MAIN'!C:C,'Partner data'!DG314,'MY-REPORT-MAIN'!I:I,"Certified")</f>
        <v>0</v>
      </c>
      <c r="DJ314" s="20">
        <f>COUNTIFS(List_Of_chek_list!M:M,"&lt;&gt;26",List_Of_chek_list!B:B,'Partner data'!DG314)</f>
        <v>0</v>
      </c>
      <c r="DK314" s="20">
        <f t="shared" ref="DK314:DK319" si="139">DI314-DJ314</f>
        <v>0</v>
      </c>
      <c r="DL314" s="19" t="str">
        <f>IF(DH314="Tasso Forfettario 20%",SUMIFS(List_Of_chek_list!#REF!,List_Of_chek_list!B:B,'Partner data'!DG314),"NON PERTINENTE")</f>
        <v>NON PERTINENTE</v>
      </c>
      <c r="DM314" s="19" t="str">
        <f t="shared" ref="DM314:DM319" si="140">IF(DL314="NON PERTINENTE","NON PERTINENTE",IF(DJ314=DL314,"Rischio basso","Rischio alto"))</f>
        <v>NON PERTINENTE</v>
      </c>
      <c r="DN314" s="110">
        <f>_xlfn.MAXIFS('MY-REPORT-MAIN'!K:K,'MY-REPORT-MAIN'!C:C,DG314)</f>
        <v>0</v>
      </c>
      <c r="DO314" s="112" t="str">
        <f>IF(_xlfn.MAXIFS('MY-REPORT-MAIN'!M:M,'MY-REPORT-MAIN'!C:C,DG314)=0,"Nessun rendiconto  Convalidato",_xlfn.MAXIFS('MY-REPORT-MAIN'!M:M,'MY-REPORT-MAIN'!C:C,DG314))</f>
        <v>Nessun rendiconto  Convalidato</v>
      </c>
      <c r="DP314" s="113" t="str" cm="1">
        <f t="array" ref="DP314">IFERROR(INDEX('MY-REPORT-MAIN'!A:Z,MATCH(1,(DO314='MY-REPORT-MAIN'!M:M)*('Partner data'!DG314='MY-REPORT-MAIN'!C:C),0),1),"NON è stato convalidato ancora nessun rendiconto")</f>
        <v>NON è stato convalidato ancora nessun rendiconto</v>
      </c>
      <c r="DQ314" s="111" t="str">
        <f>IFERROR(INDEX('MY-REPORT-MAIN'!A:Z,MATCH('Partner data'!DP314,'MY-REPORT-MAIN'!A:A,0),21),"Nessun Rendiconto ancora convalidato")</f>
        <v>Nessun Rendiconto ancora convalidato</v>
      </c>
      <c r="DR314" s="110">
        <f>INDEX('Interreg VI-A Italy-Slovenia_pr'!A:E,MATCH('Partner data'!C314,'Interreg VI-A Italy-Slovenia_pr'!A:A,0),3)</f>
        <v>45397</v>
      </c>
      <c r="DS314" s="118">
        <f t="shared" si="104"/>
        <v>37825</v>
      </c>
      <c r="DT314" s="118">
        <f t="shared" si="105"/>
        <v>166650</v>
      </c>
      <c r="DU314" s="118">
        <f t="shared" si="106"/>
        <v>195475</v>
      </c>
      <c r="DV314" s="118">
        <f t="shared" si="107"/>
        <v>224300</v>
      </c>
      <c r="DW314" s="118">
        <f t="shared" si="108"/>
        <v>224300</v>
      </c>
      <c r="DX314" s="118">
        <f t="shared" si="109"/>
        <v>224300</v>
      </c>
      <c r="DY314" s="118">
        <f t="shared" si="110"/>
        <v>224300</v>
      </c>
      <c r="DZ314" s="118">
        <f t="shared" si="111"/>
        <v>224300</v>
      </c>
      <c r="EA314" s="118">
        <f t="shared" si="112"/>
        <v>224300</v>
      </c>
      <c r="EB314" s="118">
        <f t="shared" si="113"/>
        <v>224300</v>
      </c>
    </row>
    <row r="315" spans="1:132" ht="45" x14ac:dyDescent="0.25">
      <c r="A315" s="121">
        <v>6</v>
      </c>
      <c r="B315" s="122" t="s">
        <v>2688</v>
      </c>
      <c r="C315" s="123" t="s">
        <v>4067</v>
      </c>
      <c r="D315" s="123" t="s">
        <v>4068</v>
      </c>
      <c r="E315" s="123" t="s">
        <v>4069</v>
      </c>
      <c r="F315" s="123" t="s">
        <v>490</v>
      </c>
      <c r="G315" s="123" t="s">
        <v>491</v>
      </c>
      <c r="H315" s="123" t="s">
        <v>691</v>
      </c>
      <c r="I315" s="123" t="s">
        <v>1044</v>
      </c>
      <c r="J315" s="124" t="s">
        <v>518</v>
      </c>
      <c r="K315" s="124" t="s">
        <v>495</v>
      </c>
      <c r="L315" s="124" t="s">
        <v>519</v>
      </c>
      <c r="M315" s="124" t="s">
        <v>281</v>
      </c>
      <c r="N315" s="124" t="s">
        <v>827</v>
      </c>
      <c r="O315" s="124" t="s">
        <v>828</v>
      </c>
      <c r="P315" s="124" t="s">
        <v>257</v>
      </c>
      <c r="Q315" s="124" t="s">
        <v>722</v>
      </c>
      <c r="R315" s="124" t="s">
        <v>282</v>
      </c>
      <c r="S315" s="32">
        <v>143608</v>
      </c>
      <c r="T315" s="32">
        <v>80</v>
      </c>
      <c r="U315" s="32">
        <v>17.43</v>
      </c>
      <c r="V315" s="32">
        <v>0</v>
      </c>
      <c r="W315" s="32">
        <v>0</v>
      </c>
      <c r="X315" s="32">
        <v>0</v>
      </c>
      <c r="Y315" s="32">
        <v>0</v>
      </c>
      <c r="Z315" s="32">
        <v>0</v>
      </c>
      <c r="AA315" s="32">
        <v>0</v>
      </c>
      <c r="AB315" s="32">
        <v>0</v>
      </c>
      <c r="AC315" s="32">
        <v>0</v>
      </c>
      <c r="AD315" s="32">
        <v>0</v>
      </c>
      <c r="AE315" s="32">
        <v>0</v>
      </c>
      <c r="AF315" s="32">
        <v>0</v>
      </c>
      <c r="AG315" s="32">
        <v>0</v>
      </c>
      <c r="AH315" s="32">
        <v>0</v>
      </c>
      <c r="AI315" s="32">
        <v>0</v>
      </c>
      <c r="AJ315" s="32">
        <v>0</v>
      </c>
      <c r="AK315" s="32">
        <v>0</v>
      </c>
      <c r="AL315" s="32">
        <v>0</v>
      </c>
      <c r="AM315" s="32">
        <v>0</v>
      </c>
      <c r="AN315" s="32">
        <v>35902</v>
      </c>
      <c r="AO315" s="32">
        <v>0</v>
      </c>
      <c r="AP315" s="32">
        <v>0</v>
      </c>
      <c r="AQ315" s="32">
        <v>35902</v>
      </c>
      <c r="AR315" s="32">
        <v>179510</v>
      </c>
      <c r="AS315" s="32">
        <v>17.43</v>
      </c>
      <c r="AT315" s="32">
        <v>29000</v>
      </c>
      <c r="AU315" s="32">
        <v>29000</v>
      </c>
      <c r="AV315" s="32">
        <v>0</v>
      </c>
      <c r="AW315" s="32">
        <v>0</v>
      </c>
      <c r="AX315" s="32">
        <v>4350</v>
      </c>
      <c r="AY315" s="32">
        <v>4350</v>
      </c>
      <c r="AZ315" s="32">
        <v>1160</v>
      </c>
      <c r="BA315" s="32">
        <v>1160</v>
      </c>
      <c r="BB315" s="32">
        <v>0</v>
      </c>
      <c r="BC315" s="32">
        <v>0</v>
      </c>
      <c r="BD315" s="32">
        <v>25000</v>
      </c>
      <c r="BE315" s="32">
        <v>25000</v>
      </c>
      <c r="BF315" s="32">
        <v>0</v>
      </c>
      <c r="BG315" s="32">
        <v>120000</v>
      </c>
      <c r="BH315" s="32">
        <v>120000</v>
      </c>
      <c r="BI315" s="32">
        <v>0</v>
      </c>
      <c r="BJ315" s="32">
        <v>0</v>
      </c>
      <c r="BK315" s="32">
        <v>0</v>
      </c>
      <c r="BL315" s="32">
        <v>0</v>
      </c>
      <c r="BM315" s="32">
        <v>0</v>
      </c>
      <c r="BN315" s="32">
        <v>0</v>
      </c>
      <c r="BO315" s="32">
        <v>0</v>
      </c>
      <c r="BP315" s="32">
        <v>0</v>
      </c>
      <c r="BQ315" s="32">
        <v>7737.5</v>
      </c>
      <c r="BR315" s="32">
        <v>156297.5</v>
      </c>
      <c r="BS315" s="32">
        <v>7737.5</v>
      </c>
      <c r="BT315" s="32">
        <v>7737.5</v>
      </c>
      <c r="BU315" s="32">
        <v>0</v>
      </c>
      <c r="BV315" s="32">
        <v>0</v>
      </c>
      <c r="BW315" s="32">
        <v>0</v>
      </c>
      <c r="BX315" s="32">
        <v>0</v>
      </c>
      <c r="BY315" s="32">
        <v>0</v>
      </c>
      <c r="BZ315" s="32">
        <v>0</v>
      </c>
      <c r="CA315" s="32">
        <v>0</v>
      </c>
      <c r="CB315" s="125" t="s">
        <v>212</v>
      </c>
      <c r="CC315" s="125" t="s">
        <v>522</v>
      </c>
      <c r="CD315" s="125"/>
      <c r="CE315" s="125" t="s">
        <v>523</v>
      </c>
      <c r="CF315" s="125" t="s">
        <v>636</v>
      </c>
      <c r="CG315" s="125" t="s">
        <v>830</v>
      </c>
      <c r="CH315" s="125" t="s">
        <v>526</v>
      </c>
      <c r="CI315" s="125"/>
      <c r="CJ315" s="125" t="s">
        <v>212</v>
      </c>
      <c r="CK315" s="125"/>
      <c r="CL315" s="125" t="s">
        <v>212</v>
      </c>
      <c r="CM315" s="125"/>
      <c r="CN315" s="125" t="s">
        <v>257</v>
      </c>
      <c r="CO315" s="125" t="s">
        <v>282</v>
      </c>
      <c r="CP315" s="125" t="s">
        <v>4076</v>
      </c>
      <c r="CQ315" s="125" t="s">
        <v>723</v>
      </c>
      <c r="CR315" s="125" t="s">
        <v>4077</v>
      </c>
      <c r="CS315" s="125" t="s">
        <v>832</v>
      </c>
      <c r="CT315" s="125"/>
      <c r="CU315" s="125"/>
      <c r="CV315" s="125"/>
      <c r="CW315" s="125"/>
      <c r="CX315" s="125"/>
      <c r="CY315" s="125" t="s">
        <v>3086</v>
      </c>
      <c r="CZ315" s="125" t="s">
        <v>4078</v>
      </c>
      <c r="DA315" s="125" t="s">
        <v>4079</v>
      </c>
      <c r="DB315" s="125" t="s">
        <v>3087</v>
      </c>
      <c r="DC315" s="125" t="s">
        <v>4080</v>
      </c>
      <c r="DD315" s="125" t="s">
        <v>4081</v>
      </c>
      <c r="DE315" s="125" t="s">
        <v>4082</v>
      </c>
      <c r="DF315" s="126" t="s">
        <v>4083</v>
      </c>
      <c r="DG315" s="27" cm="1">
        <f t="array" ref="DG315">INDEX('elenco partner'!A:M,MATCH(1,(D315='elenco partner'!A:A)*('Partner data'!M315='elenco partner'!E:E),0),4)</f>
        <v>840</v>
      </c>
      <c r="DH315" s="83" t="str">
        <f t="shared" si="138"/>
        <v>Tasso Forfettario 20%</v>
      </c>
      <c r="DI315" s="20">
        <f>COUNTIFS('MY-REPORT-MAIN'!C:C,'Partner data'!DG315,'MY-REPORT-MAIN'!I:I,"Certified")</f>
        <v>0</v>
      </c>
      <c r="DJ315" s="20">
        <f>COUNTIFS(List_Of_chek_list!M:M,"&lt;&gt;26",List_Of_chek_list!B:B,'Partner data'!DG315)</f>
        <v>0</v>
      </c>
      <c r="DK315" s="20">
        <f t="shared" si="139"/>
        <v>0</v>
      </c>
      <c r="DL315" s="19" t="e">
        <f>IF(DH315="Tasso Forfettario 20%",SUMIFS(List_Of_chek_list!#REF!,List_Of_chek_list!B:B,'Partner data'!DG315),"NON PERTINENTE")</f>
        <v>#REF!</v>
      </c>
      <c r="DM315" s="19" t="e">
        <f t="shared" si="140"/>
        <v>#REF!</v>
      </c>
      <c r="DN315" s="110">
        <f>_xlfn.MAXIFS('MY-REPORT-MAIN'!K:K,'MY-REPORT-MAIN'!C:C,DG315)</f>
        <v>0</v>
      </c>
      <c r="DO315" s="112" t="str">
        <f>IF(_xlfn.MAXIFS('MY-REPORT-MAIN'!M:M,'MY-REPORT-MAIN'!C:C,DG315)=0,"Nessun rendiconto  Convalidato",_xlfn.MAXIFS('MY-REPORT-MAIN'!M:M,'MY-REPORT-MAIN'!C:C,DG315))</f>
        <v>Nessun rendiconto  Convalidato</v>
      </c>
      <c r="DP315" s="113" t="str" cm="1">
        <f t="array" ref="DP315">IFERROR(INDEX('MY-REPORT-MAIN'!A:Z,MATCH(1,(DO315='MY-REPORT-MAIN'!M:M)*('Partner data'!DG315='MY-REPORT-MAIN'!C:C),0),1),"NON è stato convalidato ancora nessun rendiconto")</f>
        <v>NON è stato convalidato ancora nessun rendiconto</v>
      </c>
      <c r="DQ315" s="111" t="str">
        <f>IFERROR(INDEX('MY-REPORT-MAIN'!A:Z,MATCH('Partner data'!DP315,'MY-REPORT-MAIN'!A:A,0),21),"Nessun Rendiconto ancora convalidato")</f>
        <v>Nessun Rendiconto ancora convalidato</v>
      </c>
      <c r="DR315" s="110">
        <f>INDEX('Interreg VI-A Italy-Slovenia_pr'!A:E,MATCH('Partner data'!C315,'Interreg VI-A Italy-Slovenia_pr'!A:A,0),3)</f>
        <v>45397</v>
      </c>
      <c r="DS315" s="118">
        <f t="shared" si="104"/>
        <v>7737.5</v>
      </c>
      <c r="DT315" s="118">
        <f t="shared" si="105"/>
        <v>164035</v>
      </c>
      <c r="DU315" s="118">
        <f t="shared" si="106"/>
        <v>171772.5</v>
      </c>
      <c r="DV315" s="118">
        <f t="shared" si="107"/>
        <v>179510</v>
      </c>
      <c r="DW315" s="118">
        <f t="shared" si="108"/>
        <v>179510</v>
      </c>
      <c r="DX315" s="118">
        <f t="shared" si="109"/>
        <v>179510</v>
      </c>
      <c r="DY315" s="118">
        <f t="shared" si="110"/>
        <v>179510</v>
      </c>
      <c r="DZ315" s="118">
        <f t="shared" si="111"/>
        <v>179510</v>
      </c>
      <c r="EA315" s="118">
        <f t="shared" si="112"/>
        <v>179510</v>
      </c>
      <c r="EB315" s="118">
        <f t="shared" si="113"/>
        <v>179510</v>
      </c>
    </row>
    <row r="316" spans="1:132" ht="45" x14ac:dyDescent="0.25">
      <c r="A316" s="121">
        <v>6</v>
      </c>
      <c r="B316" s="122" t="s">
        <v>2688</v>
      </c>
      <c r="C316" s="123" t="s">
        <v>4067</v>
      </c>
      <c r="D316" s="123" t="s">
        <v>4068</v>
      </c>
      <c r="E316" s="123" t="s">
        <v>4069</v>
      </c>
      <c r="F316" s="123" t="s">
        <v>490</v>
      </c>
      <c r="G316" s="123" t="s">
        <v>491</v>
      </c>
      <c r="H316" s="123" t="s">
        <v>691</v>
      </c>
      <c r="I316" s="123" t="s">
        <v>1044</v>
      </c>
      <c r="J316" s="124" t="s">
        <v>538</v>
      </c>
      <c r="K316" s="124" t="s">
        <v>495</v>
      </c>
      <c r="L316" s="124" t="s">
        <v>519</v>
      </c>
      <c r="M316" s="124" t="s">
        <v>4084</v>
      </c>
      <c r="N316" s="124" t="s">
        <v>4085</v>
      </c>
      <c r="O316" s="124" t="s">
        <v>4086</v>
      </c>
      <c r="P316" s="124" t="s">
        <v>257</v>
      </c>
      <c r="Q316" s="124" t="s">
        <v>556</v>
      </c>
      <c r="R316" s="124" t="s">
        <v>258</v>
      </c>
      <c r="S316" s="32">
        <v>139865.60000000001</v>
      </c>
      <c r="T316" s="32">
        <v>80</v>
      </c>
      <c r="U316" s="32">
        <v>16.98</v>
      </c>
      <c r="V316" s="32">
        <v>0</v>
      </c>
      <c r="W316" s="32">
        <v>0</v>
      </c>
      <c r="X316" s="32">
        <v>0</v>
      </c>
      <c r="Y316" s="32">
        <v>0</v>
      </c>
      <c r="Z316" s="32">
        <v>0</v>
      </c>
      <c r="AA316" s="32">
        <v>0</v>
      </c>
      <c r="AB316" s="32">
        <v>0</v>
      </c>
      <c r="AC316" s="32">
        <v>0</v>
      </c>
      <c r="AD316" s="32">
        <v>0</v>
      </c>
      <c r="AE316" s="32">
        <v>0</v>
      </c>
      <c r="AF316" s="32">
        <v>0</v>
      </c>
      <c r="AG316" s="32">
        <v>0</v>
      </c>
      <c r="AH316" s="32">
        <v>0</v>
      </c>
      <c r="AI316" s="32">
        <v>0</v>
      </c>
      <c r="AJ316" s="32">
        <v>0</v>
      </c>
      <c r="AK316" s="32">
        <v>0</v>
      </c>
      <c r="AL316" s="32">
        <v>0</v>
      </c>
      <c r="AM316" s="32">
        <v>0</v>
      </c>
      <c r="AN316" s="32">
        <v>0</v>
      </c>
      <c r="AO316" s="32">
        <v>0</v>
      </c>
      <c r="AP316" s="32">
        <v>34966.400000000001</v>
      </c>
      <c r="AQ316" s="32">
        <v>34966.400000000001</v>
      </c>
      <c r="AR316" s="32">
        <v>174832</v>
      </c>
      <c r="AS316" s="32">
        <v>16.98</v>
      </c>
      <c r="AT316" s="32">
        <v>124880</v>
      </c>
      <c r="AU316" s="32">
        <v>0</v>
      </c>
      <c r="AV316" s="32">
        <v>124880</v>
      </c>
      <c r="AW316" s="32">
        <v>0</v>
      </c>
      <c r="AX316" s="32">
        <v>0</v>
      </c>
      <c r="AY316" s="32">
        <v>0</v>
      </c>
      <c r="AZ316" s="32">
        <v>0</v>
      </c>
      <c r="BA316" s="32">
        <v>0</v>
      </c>
      <c r="BB316" s="32">
        <v>0</v>
      </c>
      <c r="BC316" s="32">
        <v>0</v>
      </c>
      <c r="BD316" s="32">
        <v>0</v>
      </c>
      <c r="BE316" s="32">
        <v>0</v>
      </c>
      <c r="BF316" s="32">
        <v>0</v>
      </c>
      <c r="BG316" s="32">
        <v>0</v>
      </c>
      <c r="BH316" s="32">
        <v>0</v>
      </c>
      <c r="BI316" s="32">
        <v>0</v>
      </c>
      <c r="BJ316" s="32">
        <v>0</v>
      </c>
      <c r="BK316" s="32">
        <v>0</v>
      </c>
      <c r="BL316" s="32">
        <v>0</v>
      </c>
      <c r="BM316" s="32">
        <v>49952</v>
      </c>
      <c r="BN316" s="32">
        <v>0</v>
      </c>
      <c r="BO316" s="32">
        <v>0</v>
      </c>
      <c r="BP316" s="32">
        <v>0</v>
      </c>
      <c r="BQ316" s="32">
        <v>43708</v>
      </c>
      <c r="BR316" s="32">
        <v>43708</v>
      </c>
      <c r="BS316" s="32">
        <v>43708</v>
      </c>
      <c r="BT316" s="32">
        <v>43708</v>
      </c>
      <c r="BU316" s="32">
        <v>0</v>
      </c>
      <c r="BV316" s="32">
        <v>0</v>
      </c>
      <c r="BW316" s="32">
        <v>0</v>
      </c>
      <c r="BX316" s="32">
        <v>0</v>
      </c>
      <c r="BY316" s="32">
        <v>0</v>
      </c>
      <c r="BZ316" s="32">
        <v>0</v>
      </c>
      <c r="CA316" s="32">
        <v>0</v>
      </c>
      <c r="CB316" s="125" t="s">
        <v>212</v>
      </c>
      <c r="CC316" s="125" t="s">
        <v>675</v>
      </c>
      <c r="CD316" s="125" t="s">
        <v>653</v>
      </c>
      <c r="CE316" s="125" t="s">
        <v>501</v>
      </c>
      <c r="CF316" s="125" t="s">
        <v>6140</v>
      </c>
      <c r="CG316" s="125" t="s">
        <v>4087</v>
      </c>
      <c r="CH316" s="125" t="s">
        <v>504</v>
      </c>
      <c r="CI316" s="125"/>
      <c r="CJ316" s="125" t="s">
        <v>212</v>
      </c>
      <c r="CK316" s="125" t="s">
        <v>4088</v>
      </c>
      <c r="CL316" s="125" t="s">
        <v>212</v>
      </c>
      <c r="CM316" s="125" t="s">
        <v>2040</v>
      </c>
      <c r="CN316" s="125" t="s">
        <v>257</v>
      </c>
      <c r="CO316" s="125" t="s">
        <v>258</v>
      </c>
      <c r="CP316" s="125" t="s">
        <v>4089</v>
      </c>
      <c r="CQ316" s="125" t="s">
        <v>4090</v>
      </c>
      <c r="CR316" s="125" t="s">
        <v>4091</v>
      </c>
      <c r="CS316" s="125" t="s">
        <v>4092</v>
      </c>
      <c r="CT316" s="125"/>
      <c r="CU316" s="125"/>
      <c r="CV316" s="125"/>
      <c r="CW316" s="125"/>
      <c r="CX316" s="125"/>
      <c r="CY316" s="125" t="s">
        <v>3086</v>
      </c>
      <c r="CZ316" s="125" t="s">
        <v>4093</v>
      </c>
      <c r="DA316" s="125" t="s">
        <v>4094</v>
      </c>
      <c r="DB316" s="125" t="s">
        <v>3086</v>
      </c>
      <c r="DC316" s="125" t="s">
        <v>4095</v>
      </c>
      <c r="DD316" s="125" t="s">
        <v>4096</v>
      </c>
      <c r="DE316" s="125" t="s">
        <v>4097</v>
      </c>
      <c r="DF316" s="126" t="s">
        <v>4098</v>
      </c>
      <c r="DG316" s="27" cm="1">
        <f t="array" ref="DG316">INDEX('elenco partner'!A:M,MATCH(1,(D316='elenco partner'!A:A)*('Partner data'!M316='elenco partner'!E:E),0),4)</f>
        <v>841</v>
      </c>
      <c r="DH316" s="83" t="str">
        <f t="shared" si="138"/>
        <v>COSTO REALE</v>
      </c>
      <c r="DI316" s="20">
        <f>COUNTIFS('MY-REPORT-MAIN'!C:C,'Partner data'!DG316,'MY-REPORT-MAIN'!I:I,"Certified")</f>
        <v>0</v>
      </c>
      <c r="DJ316" s="20">
        <f>COUNTIFS(List_Of_chek_list!M:M,"&lt;&gt;26",List_Of_chek_list!B:B,'Partner data'!DG316)</f>
        <v>0</v>
      </c>
      <c r="DK316" s="20">
        <f t="shared" si="139"/>
        <v>0</v>
      </c>
      <c r="DL316" s="19" t="str">
        <f>IF(DH316="Tasso Forfettario 20%",SUMIFS(List_Of_chek_list!#REF!,List_Of_chek_list!B:B,'Partner data'!DG316),"NON PERTINENTE")</f>
        <v>NON PERTINENTE</v>
      </c>
      <c r="DM316" s="19" t="str">
        <f t="shared" si="140"/>
        <v>NON PERTINENTE</v>
      </c>
      <c r="DN316" s="110">
        <f>_xlfn.MAXIFS('MY-REPORT-MAIN'!K:K,'MY-REPORT-MAIN'!C:C,DG316)</f>
        <v>0</v>
      </c>
      <c r="DO316" s="112" t="str">
        <f>IF(_xlfn.MAXIFS('MY-REPORT-MAIN'!M:M,'MY-REPORT-MAIN'!C:C,DG316)=0,"Nessun rendiconto  Convalidato",_xlfn.MAXIFS('MY-REPORT-MAIN'!M:M,'MY-REPORT-MAIN'!C:C,DG316))</f>
        <v>Nessun rendiconto  Convalidato</v>
      </c>
      <c r="DP316" s="113" t="str" cm="1">
        <f t="array" ref="DP316">IFERROR(INDEX('MY-REPORT-MAIN'!A:Z,MATCH(1,(DO316='MY-REPORT-MAIN'!M:M)*('Partner data'!DG316='MY-REPORT-MAIN'!C:C),0),1),"NON è stato convalidato ancora nessun rendiconto")</f>
        <v>NON è stato convalidato ancora nessun rendiconto</v>
      </c>
      <c r="DQ316" s="111" t="str">
        <f>IFERROR(INDEX('MY-REPORT-MAIN'!A:Z,MATCH('Partner data'!DP316,'MY-REPORT-MAIN'!A:A,0),21),"Nessun Rendiconto ancora convalidato")</f>
        <v>Nessun Rendiconto ancora convalidato</v>
      </c>
      <c r="DR316" s="110">
        <f>INDEX('Interreg VI-A Italy-Slovenia_pr'!A:E,MATCH('Partner data'!C316,'Interreg VI-A Italy-Slovenia_pr'!A:A,0),3)</f>
        <v>45397</v>
      </c>
      <c r="DS316" s="118">
        <f t="shared" si="104"/>
        <v>43708</v>
      </c>
      <c r="DT316" s="118">
        <f t="shared" si="105"/>
        <v>87416</v>
      </c>
      <c r="DU316" s="118">
        <f t="shared" si="106"/>
        <v>131124</v>
      </c>
      <c r="DV316" s="118">
        <f t="shared" si="107"/>
        <v>174832</v>
      </c>
      <c r="DW316" s="118">
        <f t="shared" si="108"/>
        <v>174832</v>
      </c>
      <c r="DX316" s="118">
        <f t="shared" si="109"/>
        <v>174832</v>
      </c>
      <c r="DY316" s="118">
        <f t="shared" si="110"/>
        <v>174832</v>
      </c>
      <c r="DZ316" s="118">
        <f t="shared" si="111"/>
        <v>174832</v>
      </c>
      <c r="EA316" s="118">
        <f t="shared" si="112"/>
        <v>174832</v>
      </c>
      <c r="EB316" s="118">
        <f t="shared" si="113"/>
        <v>174832</v>
      </c>
    </row>
    <row r="317" spans="1:132" ht="45" x14ac:dyDescent="0.25">
      <c r="A317" s="121">
        <v>6</v>
      </c>
      <c r="B317" s="122" t="s">
        <v>2688</v>
      </c>
      <c r="C317" s="123" t="s">
        <v>4067</v>
      </c>
      <c r="D317" s="123" t="s">
        <v>4068</v>
      </c>
      <c r="E317" s="123" t="s">
        <v>4069</v>
      </c>
      <c r="F317" s="123" t="s">
        <v>490</v>
      </c>
      <c r="G317" s="123" t="s">
        <v>491</v>
      </c>
      <c r="H317" s="123" t="s">
        <v>691</v>
      </c>
      <c r="I317" s="123" t="s">
        <v>1044</v>
      </c>
      <c r="J317" s="124" t="s">
        <v>554</v>
      </c>
      <c r="K317" s="124" t="s">
        <v>495</v>
      </c>
      <c r="L317" s="124" t="s">
        <v>519</v>
      </c>
      <c r="M317" s="124" t="s">
        <v>334</v>
      </c>
      <c r="N317" s="124" t="s">
        <v>4099</v>
      </c>
      <c r="O317" s="124" t="s">
        <v>604</v>
      </c>
      <c r="P317" s="124" t="s">
        <v>254</v>
      </c>
      <c r="Q317" s="124" t="s">
        <v>499</v>
      </c>
      <c r="R317" s="124" t="s">
        <v>255</v>
      </c>
      <c r="S317" s="32">
        <v>104982.39999999999</v>
      </c>
      <c r="T317" s="32">
        <v>80</v>
      </c>
      <c r="U317" s="32">
        <v>12.74</v>
      </c>
      <c r="V317" s="32">
        <v>0</v>
      </c>
      <c r="W317" s="32">
        <v>0</v>
      </c>
      <c r="X317" s="32">
        <v>0</v>
      </c>
      <c r="Y317" s="32">
        <v>0</v>
      </c>
      <c r="Z317" s="32">
        <v>0</v>
      </c>
      <c r="AA317" s="32">
        <v>0</v>
      </c>
      <c r="AB317" s="32">
        <v>0</v>
      </c>
      <c r="AC317" s="32">
        <v>0</v>
      </c>
      <c r="AD317" s="32">
        <v>0</v>
      </c>
      <c r="AE317" s="32">
        <v>0</v>
      </c>
      <c r="AF317" s="32">
        <v>0</v>
      </c>
      <c r="AG317" s="32">
        <v>0</v>
      </c>
      <c r="AH317" s="32">
        <v>0</v>
      </c>
      <c r="AI317" s="32">
        <v>0</v>
      </c>
      <c r="AJ317" s="32">
        <v>0</v>
      </c>
      <c r="AK317" s="32">
        <v>0</v>
      </c>
      <c r="AL317" s="32">
        <v>0</v>
      </c>
      <c r="AM317" s="32">
        <v>0</v>
      </c>
      <c r="AN317" s="32">
        <v>0</v>
      </c>
      <c r="AO317" s="32">
        <v>26245.599999999999</v>
      </c>
      <c r="AP317" s="32">
        <v>0</v>
      </c>
      <c r="AQ317" s="32">
        <v>26245.599999999999</v>
      </c>
      <c r="AR317" s="32">
        <v>131228</v>
      </c>
      <c r="AS317" s="32">
        <v>12.74</v>
      </c>
      <c r="AT317" s="32">
        <v>21200</v>
      </c>
      <c r="AU317" s="32">
        <v>21200</v>
      </c>
      <c r="AV317" s="32">
        <v>0</v>
      </c>
      <c r="AW317" s="32">
        <v>0</v>
      </c>
      <c r="AX317" s="32">
        <v>3180</v>
      </c>
      <c r="AY317" s="32">
        <v>3180</v>
      </c>
      <c r="AZ317" s="32">
        <v>848</v>
      </c>
      <c r="BA317" s="32">
        <v>848</v>
      </c>
      <c r="BB317" s="32">
        <v>0</v>
      </c>
      <c r="BC317" s="32">
        <v>0</v>
      </c>
      <c r="BD317" s="32">
        <v>44000</v>
      </c>
      <c r="BE317" s="32">
        <v>44000</v>
      </c>
      <c r="BF317" s="32">
        <v>0</v>
      </c>
      <c r="BG317" s="32">
        <v>62000</v>
      </c>
      <c r="BH317" s="32">
        <v>62000</v>
      </c>
      <c r="BI317" s="32">
        <v>0</v>
      </c>
      <c r="BJ317" s="32">
        <v>0</v>
      </c>
      <c r="BK317" s="32">
        <v>0</v>
      </c>
      <c r="BL317" s="32">
        <v>0</v>
      </c>
      <c r="BM317" s="32">
        <v>0</v>
      </c>
      <c r="BN317" s="32">
        <v>0</v>
      </c>
      <c r="BO317" s="32">
        <v>0</v>
      </c>
      <c r="BP317" s="32">
        <v>0</v>
      </c>
      <c r="BQ317" s="32">
        <v>6190</v>
      </c>
      <c r="BR317" s="32">
        <v>51996</v>
      </c>
      <c r="BS317" s="32">
        <v>40854</v>
      </c>
      <c r="BT317" s="32">
        <v>32188</v>
      </c>
      <c r="BU317" s="32">
        <v>0</v>
      </c>
      <c r="BV317" s="32">
        <v>0</v>
      </c>
      <c r="BW317" s="32">
        <v>0</v>
      </c>
      <c r="BX317" s="32">
        <v>0</v>
      </c>
      <c r="BY317" s="32">
        <v>0</v>
      </c>
      <c r="BZ317" s="32">
        <v>0</v>
      </c>
      <c r="CA317" s="32">
        <v>0</v>
      </c>
      <c r="CB317" s="125" t="s">
        <v>4100</v>
      </c>
      <c r="CC317" s="125" t="s">
        <v>606</v>
      </c>
      <c r="CD317" s="125"/>
      <c r="CE317" s="125" t="s">
        <v>523</v>
      </c>
      <c r="CF317" s="125" t="s">
        <v>2301</v>
      </c>
      <c r="CG317" s="125" t="s">
        <v>2199</v>
      </c>
      <c r="CH317" s="125" t="s">
        <v>526</v>
      </c>
      <c r="CI317" s="125" t="s">
        <v>2199</v>
      </c>
      <c r="CJ317" s="125" t="s">
        <v>2917</v>
      </c>
      <c r="CK317" s="125"/>
      <c r="CL317" s="125" t="s">
        <v>212</v>
      </c>
      <c r="CM317" s="125"/>
      <c r="CN317" s="125" t="s">
        <v>254</v>
      </c>
      <c r="CO317" s="125" t="s">
        <v>255</v>
      </c>
      <c r="CP317" s="125" t="s">
        <v>2714</v>
      </c>
      <c r="CQ317" s="125" t="s">
        <v>611</v>
      </c>
      <c r="CR317" s="125" t="s">
        <v>1417</v>
      </c>
      <c r="CS317" s="125" t="s">
        <v>4101</v>
      </c>
      <c r="CT317" s="125" t="s">
        <v>254</v>
      </c>
      <c r="CU317" s="125" t="s">
        <v>273</v>
      </c>
      <c r="CV317" s="125" t="s">
        <v>4102</v>
      </c>
      <c r="CW317" s="125" t="s">
        <v>661</v>
      </c>
      <c r="CX317" s="125" t="s">
        <v>2862</v>
      </c>
      <c r="CY317" s="125" t="s">
        <v>3086</v>
      </c>
      <c r="CZ317" s="125" t="s">
        <v>4103</v>
      </c>
      <c r="DA317" s="125" t="s">
        <v>4104</v>
      </c>
      <c r="DB317" s="125" t="s">
        <v>3086</v>
      </c>
      <c r="DC317" s="125" t="s">
        <v>4105</v>
      </c>
      <c r="DD317" s="125" t="s">
        <v>4106</v>
      </c>
      <c r="DE317" s="125" t="s">
        <v>4107</v>
      </c>
      <c r="DF317" s="126" t="s">
        <v>4108</v>
      </c>
      <c r="DG317" s="27" cm="1">
        <f t="array" ref="DG317">INDEX('elenco partner'!A:M,MATCH(1,(D317='elenco partner'!A:A)*('Partner data'!M317='elenco partner'!E:E),0),4)</f>
        <v>842</v>
      </c>
      <c r="DH317" s="83" t="str">
        <f t="shared" si="138"/>
        <v>Tasso Forfettario 20%</v>
      </c>
      <c r="DI317" s="20">
        <f>COUNTIFS('MY-REPORT-MAIN'!C:C,'Partner data'!DG317,'MY-REPORT-MAIN'!I:I,"Certified")</f>
        <v>0</v>
      </c>
      <c r="DJ317" s="20">
        <f>COUNTIFS(List_Of_chek_list!M:M,"&lt;&gt;26",List_Of_chek_list!B:B,'Partner data'!DG317)</f>
        <v>0</v>
      </c>
      <c r="DK317" s="20">
        <f t="shared" si="139"/>
        <v>0</v>
      </c>
      <c r="DL317" s="19" t="e">
        <f>IF(DH317="Tasso Forfettario 20%",SUMIFS(List_Of_chek_list!#REF!,List_Of_chek_list!B:B,'Partner data'!DG317),"NON PERTINENTE")</f>
        <v>#REF!</v>
      </c>
      <c r="DM317" s="19" t="e">
        <f t="shared" si="140"/>
        <v>#REF!</v>
      </c>
      <c r="DN317" s="110">
        <f>_xlfn.MAXIFS('MY-REPORT-MAIN'!K:K,'MY-REPORT-MAIN'!C:C,DG317)</f>
        <v>0</v>
      </c>
      <c r="DO317" s="112" t="str">
        <f>IF(_xlfn.MAXIFS('MY-REPORT-MAIN'!M:M,'MY-REPORT-MAIN'!C:C,DG317)=0,"Nessun rendiconto  Convalidato",_xlfn.MAXIFS('MY-REPORT-MAIN'!M:M,'MY-REPORT-MAIN'!C:C,DG317))</f>
        <v>Nessun rendiconto  Convalidato</v>
      </c>
      <c r="DP317" s="113" t="str" cm="1">
        <f t="array" ref="DP317">IFERROR(INDEX('MY-REPORT-MAIN'!A:Z,MATCH(1,(DO317='MY-REPORT-MAIN'!M:M)*('Partner data'!DG317='MY-REPORT-MAIN'!C:C),0),1),"NON è stato convalidato ancora nessun rendiconto")</f>
        <v>NON è stato convalidato ancora nessun rendiconto</v>
      </c>
      <c r="DQ317" s="111" t="str">
        <f>IFERROR(INDEX('MY-REPORT-MAIN'!A:Z,MATCH('Partner data'!DP317,'MY-REPORT-MAIN'!A:A,0),21),"Nessun Rendiconto ancora convalidato")</f>
        <v>Nessun Rendiconto ancora convalidato</v>
      </c>
      <c r="DR317" s="110">
        <f>INDEX('Interreg VI-A Italy-Slovenia_pr'!A:E,MATCH('Partner data'!C317,'Interreg VI-A Italy-Slovenia_pr'!A:A,0),3)</f>
        <v>45397</v>
      </c>
      <c r="DS317" s="118">
        <f t="shared" si="104"/>
        <v>6190</v>
      </c>
      <c r="DT317" s="118">
        <f t="shared" si="105"/>
        <v>58186</v>
      </c>
      <c r="DU317" s="118">
        <f t="shared" si="106"/>
        <v>99040</v>
      </c>
      <c r="DV317" s="118">
        <f t="shared" si="107"/>
        <v>131228</v>
      </c>
      <c r="DW317" s="118">
        <f t="shared" si="108"/>
        <v>131228</v>
      </c>
      <c r="DX317" s="118">
        <f t="shared" si="109"/>
        <v>131228</v>
      </c>
      <c r="DY317" s="118">
        <f t="shared" si="110"/>
        <v>131228</v>
      </c>
      <c r="DZ317" s="118">
        <f t="shared" si="111"/>
        <v>131228</v>
      </c>
      <c r="EA317" s="118">
        <f t="shared" si="112"/>
        <v>131228</v>
      </c>
      <c r="EB317" s="118">
        <f t="shared" si="113"/>
        <v>131228</v>
      </c>
    </row>
    <row r="318" spans="1:132" ht="45" x14ac:dyDescent="0.25">
      <c r="A318" s="121">
        <v>6</v>
      </c>
      <c r="B318" s="122" t="s">
        <v>2688</v>
      </c>
      <c r="C318" s="123" t="s">
        <v>4067</v>
      </c>
      <c r="D318" s="123" t="s">
        <v>4068</v>
      </c>
      <c r="E318" s="123" t="s">
        <v>4069</v>
      </c>
      <c r="F318" s="123" t="s">
        <v>490</v>
      </c>
      <c r="G318" s="123" t="s">
        <v>491</v>
      </c>
      <c r="H318" s="123" t="s">
        <v>691</v>
      </c>
      <c r="I318" s="123" t="s">
        <v>1044</v>
      </c>
      <c r="J318" s="124" t="s">
        <v>570</v>
      </c>
      <c r="K318" s="124" t="s">
        <v>495</v>
      </c>
      <c r="L318" s="124" t="s">
        <v>519</v>
      </c>
      <c r="M318" s="124" t="s">
        <v>4109</v>
      </c>
      <c r="N318" s="124" t="s">
        <v>4110</v>
      </c>
      <c r="O318" s="124" t="s">
        <v>1249</v>
      </c>
      <c r="P318" s="124" t="s">
        <v>254</v>
      </c>
      <c r="Q318" s="124" t="s">
        <v>499</v>
      </c>
      <c r="R318" s="124" t="s">
        <v>266</v>
      </c>
      <c r="S318" s="32">
        <v>122809.60000000001</v>
      </c>
      <c r="T318" s="32">
        <v>80</v>
      </c>
      <c r="U318" s="32">
        <v>14.91</v>
      </c>
      <c r="V318" s="32">
        <v>0</v>
      </c>
      <c r="W318" s="32">
        <v>0</v>
      </c>
      <c r="X318" s="32">
        <v>0</v>
      </c>
      <c r="Y318" s="32">
        <v>0</v>
      </c>
      <c r="Z318" s="32">
        <v>0</v>
      </c>
      <c r="AA318" s="32">
        <v>0</v>
      </c>
      <c r="AB318" s="32">
        <v>0</v>
      </c>
      <c r="AC318" s="32">
        <v>0</v>
      </c>
      <c r="AD318" s="32">
        <v>0</v>
      </c>
      <c r="AE318" s="32">
        <v>0</v>
      </c>
      <c r="AF318" s="32">
        <v>0</v>
      </c>
      <c r="AG318" s="32">
        <v>0</v>
      </c>
      <c r="AH318" s="32">
        <v>0</v>
      </c>
      <c r="AI318" s="32">
        <v>0</v>
      </c>
      <c r="AJ318" s="32">
        <v>0</v>
      </c>
      <c r="AK318" s="32">
        <v>0</v>
      </c>
      <c r="AL318" s="32">
        <v>0</v>
      </c>
      <c r="AM318" s="32">
        <v>0</v>
      </c>
      <c r="AN318" s="32">
        <v>0</v>
      </c>
      <c r="AO318" s="32">
        <v>30702.400000000001</v>
      </c>
      <c r="AP318" s="32">
        <v>0</v>
      </c>
      <c r="AQ318" s="32">
        <v>30702.400000000001</v>
      </c>
      <c r="AR318" s="32">
        <v>153512</v>
      </c>
      <c r="AS318" s="32">
        <v>14.91</v>
      </c>
      <c r="AT318" s="32">
        <v>24800</v>
      </c>
      <c r="AU318" s="32">
        <v>24800</v>
      </c>
      <c r="AV318" s="32">
        <v>0</v>
      </c>
      <c r="AW318" s="32">
        <v>0</v>
      </c>
      <c r="AX318" s="32">
        <v>3720</v>
      </c>
      <c r="AY318" s="32">
        <v>3720</v>
      </c>
      <c r="AZ318" s="32">
        <v>992</v>
      </c>
      <c r="BA318" s="32">
        <v>992</v>
      </c>
      <c r="BB318" s="32">
        <v>0</v>
      </c>
      <c r="BC318" s="32">
        <v>0</v>
      </c>
      <c r="BD318" s="32">
        <v>124000</v>
      </c>
      <c r="BE318" s="32">
        <v>124000</v>
      </c>
      <c r="BF318" s="32">
        <v>0</v>
      </c>
      <c r="BG318" s="32">
        <v>0</v>
      </c>
      <c r="BH318" s="32">
        <v>0</v>
      </c>
      <c r="BI318" s="32">
        <v>0</v>
      </c>
      <c r="BJ318" s="32">
        <v>0</v>
      </c>
      <c r="BK318" s="32">
        <v>0</v>
      </c>
      <c r="BL318" s="32">
        <v>0</v>
      </c>
      <c r="BM318" s="32">
        <v>0</v>
      </c>
      <c r="BN318" s="32">
        <v>0</v>
      </c>
      <c r="BO318" s="32">
        <v>0</v>
      </c>
      <c r="BP318" s="32">
        <v>0</v>
      </c>
      <c r="BQ318" s="32">
        <v>23676.75</v>
      </c>
      <c r="BR318" s="32">
        <v>36675.75</v>
      </c>
      <c r="BS318" s="32">
        <v>67625.75</v>
      </c>
      <c r="BT318" s="32">
        <v>25533.75</v>
      </c>
      <c r="BU318" s="32">
        <v>0</v>
      </c>
      <c r="BV318" s="32">
        <v>0</v>
      </c>
      <c r="BW318" s="32">
        <v>0</v>
      </c>
      <c r="BX318" s="32">
        <v>0</v>
      </c>
      <c r="BY318" s="32">
        <v>0</v>
      </c>
      <c r="BZ318" s="32">
        <v>0</v>
      </c>
      <c r="CA318" s="32">
        <v>0</v>
      </c>
      <c r="CB318" s="125" t="s">
        <v>3830</v>
      </c>
      <c r="CC318" s="125" t="s">
        <v>522</v>
      </c>
      <c r="CD318" s="125"/>
      <c r="CE318" s="125" t="s">
        <v>523</v>
      </c>
      <c r="CF318" s="125" t="s">
        <v>636</v>
      </c>
      <c r="CG318" s="125" t="s">
        <v>1250</v>
      </c>
      <c r="CH318" s="125" t="s">
        <v>526</v>
      </c>
      <c r="CI318" s="125"/>
      <c r="CJ318" s="125" t="s">
        <v>212</v>
      </c>
      <c r="CK318" s="125"/>
      <c r="CL318" s="125" t="s">
        <v>212</v>
      </c>
      <c r="CM318" s="125"/>
      <c r="CN318" s="125" t="s">
        <v>254</v>
      </c>
      <c r="CO318" s="125" t="s">
        <v>266</v>
      </c>
      <c r="CP318" s="125" t="s">
        <v>1252</v>
      </c>
      <c r="CQ318" s="125" t="s">
        <v>915</v>
      </c>
      <c r="CR318" s="125" t="s">
        <v>298</v>
      </c>
      <c r="CS318" s="125" t="s">
        <v>1254</v>
      </c>
      <c r="CT318" s="125" t="s">
        <v>254</v>
      </c>
      <c r="CU318" s="125" t="s">
        <v>266</v>
      </c>
      <c r="CV318" s="125" t="s">
        <v>1252</v>
      </c>
      <c r="CW318" s="125" t="s">
        <v>915</v>
      </c>
      <c r="CX318" s="125" t="s">
        <v>298</v>
      </c>
      <c r="CY318" s="125" t="s">
        <v>3087</v>
      </c>
      <c r="CZ318" s="125" t="s">
        <v>4111</v>
      </c>
      <c r="DA318" s="125" t="s">
        <v>4112</v>
      </c>
      <c r="DB318" s="125" t="s">
        <v>4113</v>
      </c>
      <c r="DC318" s="125" t="s">
        <v>4114</v>
      </c>
      <c r="DD318" s="125" t="s">
        <v>4115</v>
      </c>
      <c r="DE318" s="125" t="s">
        <v>2790</v>
      </c>
      <c r="DF318" s="126" t="s">
        <v>4116</v>
      </c>
      <c r="DG318" s="27" cm="1">
        <f t="array" ref="DG318">INDEX('elenco partner'!A:M,MATCH(1,(D318='elenco partner'!A:A)*('Partner data'!M318='elenco partner'!E:E),0),4)</f>
        <v>843</v>
      </c>
      <c r="DH318" s="83" t="str">
        <f t="shared" si="138"/>
        <v>Tasso Forfettario 20%</v>
      </c>
      <c r="DI318" s="20">
        <f>COUNTIFS('MY-REPORT-MAIN'!C:C,'Partner data'!DG318,'MY-REPORT-MAIN'!I:I,"Certified")</f>
        <v>0</v>
      </c>
      <c r="DJ318" s="20">
        <f>COUNTIFS(List_Of_chek_list!M:M,"&lt;&gt;26",List_Of_chek_list!B:B,'Partner data'!DG318)</f>
        <v>0</v>
      </c>
      <c r="DK318" s="20">
        <f t="shared" si="139"/>
        <v>0</v>
      </c>
      <c r="DL318" s="19" t="e">
        <f>IF(DH318="Tasso Forfettario 20%",SUMIFS(List_Of_chek_list!#REF!,List_Of_chek_list!B:B,'Partner data'!DG318),"NON PERTINENTE")</f>
        <v>#REF!</v>
      </c>
      <c r="DM318" s="19" t="e">
        <f t="shared" si="140"/>
        <v>#REF!</v>
      </c>
      <c r="DN318" s="110">
        <f>_xlfn.MAXIFS('MY-REPORT-MAIN'!K:K,'MY-REPORT-MAIN'!C:C,DG318)</f>
        <v>0</v>
      </c>
      <c r="DO318" s="112" t="str">
        <f>IF(_xlfn.MAXIFS('MY-REPORT-MAIN'!M:M,'MY-REPORT-MAIN'!C:C,DG318)=0,"Nessun rendiconto  Convalidato",_xlfn.MAXIFS('MY-REPORT-MAIN'!M:M,'MY-REPORT-MAIN'!C:C,DG318))</f>
        <v>Nessun rendiconto  Convalidato</v>
      </c>
      <c r="DP318" s="113" t="str" cm="1">
        <f t="array" ref="DP318">IFERROR(INDEX('MY-REPORT-MAIN'!A:Z,MATCH(1,(DO318='MY-REPORT-MAIN'!M:M)*('Partner data'!DG318='MY-REPORT-MAIN'!C:C),0),1),"NON è stato convalidato ancora nessun rendiconto")</f>
        <v>NON è stato convalidato ancora nessun rendiconto</v>
      </c>
      <c r="DQ318" s="111" t="str">
        <f>IFERROR(INDEX('MY-REPORT-MAIN'!A:Z,MATCH('Partner data'!DP318,'MY-REPORT-MAIN'!A:A,0),21),"Nessun Rendiconto ancora convalidato")</f>
        <v>Nessun Rendiconto ancora convalidato</v>
      </c>
      <c r="DR318" s="110">
        <f>INDEX('Interreg VI-A Italy-Slovenia_pr'!A:E,MATCH('Partner data'!C318,'Interreg VI-A Italy-Slovenia_pr'!A:A,0),3)</f>
        <v>45397</v>
      </c>
      <c r="DS318" s="118">
        <f t="shared" si="104"/>
        <v>23676.75</v>
      </c>
      <c r="DT318" s="118">
        <f t="shared" si="105"/>
        <v>60352.5</v>
      </c>
      <c r="DU318" s="118">
        <f t="shared" si="106"/>
        <v>127978.25</v>
      </c>
      <c r="DV318" s="118">
        <f t="shared" si="107"/>
        <v>153512</v>
      </c>
      <c r="DW318" s="118">
        <f t="shared" si="108"/>
        <v>153512</v>
      </c>
      <c r="DX318" s="118">
        <f t="shared" si="109"/>
        <v>153512</v>
      </c>
      <c r="DY318" s="118">
        <f t="shared" si="110"/>
        <v>153512</v>
      </c>
      <c r="DZ318" s="118">
        <f t="shared" si="111"/>
        <v>153512</v>
      </c>
      <c r="EA318" s="118">
        <f t="shared" si="112"/>
        <v>153512</v>
      </c>
      <c r="EB318" s="118">
        <f t="shared" si="113"/>
        <v>153512</v>
      </c>
    </row>
    <row r="319" spans="1:132" ht="45" x14ac:dyDescent="0.25">
      <c r="A319" s="121">
        <v>6</v>
      </c>
      <c r="B319" s="122" t="s">
        <v>2688</v>
      </c>
      <c r="C319" s="123" t="s">
        <v>4067</v>
      </c>
      <c r="D319" s="123" t="s">
        <v>4068</v>
      </c>
      <c r="E319" s="123" t="s">
        <v>4069</v>
      </c>
      <c r="F319" s="123" t="s">
        <v>490</v>
      </c>
      <c r="G319" s="123" t="s">
        <v>491</v>
      </c>
      <c r="H319" s="123" t="s">
        <v>691</v>
      </c>
      <c r="I319" s="123" t="s">
        <v>1044</v>
      </c>
      <c r="J319" s="124" t="s">
        <v>581</v>
      </c>
      <c r="K319" s="124" t="s">
        <v>495</v>
      </c>
      <c r="L319" s="124" t="s">
        <v>519</v>
      </c>
      <c r="M319" s="124" t="s">
        <v>362</v>
      </c>
      <c r="N319" s="124" t="s">
        <v>4117</v>
      </c>
      <c r="O319" s="124" t="s">
        <v>4118</v>
      </c>
      <c r="P319" s="124" t="s">
        <v>254</v>
      </c>
      <c r="Q319" s="124" t="s">
        <v>540</v>
      </c>
      <c r="R319" s="124" t="s">
        <v>260</v>
      </c>
      <c r="S319" s="32">
        <v>133208.79999999999</v>
      </c>
      <c r="T319" s="32">
        <v>80</v>
      </c>
      <c r="U319" s="32">
        <v>16.170000000000002</v>
      </c>
      <c r="V319" s="32">
        <v>0</v>
      </c>
      <c r="W319" s="32">
        <v>0</v>
      </c>
      <c r="X319" s="32">
        <v>0</v>
      </c>
      <c r="Y319" s="32">
        <v>0</v>
      </c>
      <c r="Z319" s="32">
        <v>0</v>
      </c>
      <c r="AA319" s="32">
        <v>0</v>
      </c>
      <c r="AB319" s="32">
        <v>0</v>
      </c>
      <c r="AC319" s="32">
        <v>0</v>
      </c>
      <c r="AD319" s="32">
        <v>0</v>
      </c>
      <c r="AE319" s="32">
        <v>0</v>
      </c>
      <c r="AF319" s="32">
        <v>0</v>
      </c>
      <c r="AG319" s="32">
        <v>0</v>
      </c>
      <c r="AH319" s="32">
        <v>0</v>
      </c>
      <c r="AI319" s="32">
        <v>0</v>
      </c>
      <c r="AJ319" s="32">
        <v>0</v>
      </c>
      <c r="AK319" s="32">
        <v>0</v>
      </c>
      <c r="AL319" s="32">
        <v>0</v>
      </c>
      <c r="AM319" s="32">
        <v>0</v>
      </c>
      <c r="AN319" s="32">
        <v>0</v>
      </c>
      <c r="AO319" s="32">
        <v>33302.199999999997</v>
      </c>
      <c r="AP319" s="32">
        <v>0</v>
      </c>
      <c r="AQ319" s="32">
        <v>33302.199999999997</v>
      </c>
      <c r="AR319" s="32">
        <v>166511</v>
      </c>
      <c r="AS319" s="32">
        <v>16.170000000000002</v>
      </c>
      <c r="AT319" s="32">
        <v>26900</v>
      </c>
      <c r="AU319" s="32">
        <v>26900</v>
      </c>
      <c r="AV319" s="32">
        <v>0</v>
      </c>
      <c r="AW319" s="32">
        <v>0</v>
      </c>
      <c r="AX319" s="32">
        <v>4035</v>
      </c>
      <c r="AY319" s="32">
        <v>4035</v>
      </c>
      <c r="AZ319" s="32">
        <v>1076</v>
      </c>
      <c r="BA319" s="32">
        <v>1076</v>
      </c>
      <c r="BB319" s="32">
        <v>0</v>
      </c>
      <c r="BC319" s="32">
        <v>0</v>
      </c>
      <c r="BD319" s="32">
        <v>124500</v>
      </c>
      <c r="BE319" s="32">
        <v>124500</v>
      </c>
      <c r="BF319" s="32">
        <v>0</v>
      </c>
      <c r="BG319" s="32">
        <v>10000</v>
      </c>
      <c r="BH319" s="32">
        <v>10000</v>
      </c>
      <c r="BI319" s="32">
        <v>0</v>
      </c>
      <c r="BJ319" s="32">
        <v>0</v>
      </c>
      <c r="BK319" s="32">
        <v>0</v>
      </c>
      <c r="BL319" s="32">
        <v>0</v>
      </c>
      <c r="BM319" s="32">
        <v>0</v>
      </c>
      <c r="BN319" s="32">
        <v>0</v>
      </c>
      <c r="BO319" s="32">
        <v>0</v>
      </c>
      <c r="BP319" s="32">
        <v>0</v>
      </c>
      <c r="BQ319" s="32">
        <v>17332</v>
      </c>
      <c r="BR319" s="32">
        <v>128752</v>
      </c>
      <c r="BS319" s="32">
        <v>15475</v>
      </c>
      <c r="BT319" s="32">
        <v>4952</v>
      </c>
      <c r="BU319" s="32">
        <v>0</v>
      </c>
      <c r="BV319" s="32">
        <v>0</v>
      </c>
      <c r="BW319" s="32">
        <v>0</v>
      </c>
      <c r="BX319" s="32">
        <v>0</v>
      </c>
      <c r="BY319" s="32">
        <v>0</v>
      </c>
      <c r="BZ319" s="32">
        <v>0</v>
      </c>
      <c r="CA319" s="32">
        <v>0</v>
      </c>
      <c r="CB319" s="125" t="s">
        <v>4119</v>
      </c>
      <c r="CC319" s="125" t="s">
        <v>522</v>
      </c>
      <c r="CD319" s="125"/>
      <c r="CE319" s="125" t="s">
        <v>523</v>
      </c>
      <c r="CF319" s="125" t="s">
        <v>2183</v>
      </c>
      <c r="CG319" s="125" t="s">
        <v>2199</v>
      </c>
      <c r="CH319" s="125" t="s">
        <v>526</v>
      </c>
      <c r="CI319" s="125" t="s">
        <v>2199</v>
      </c>
      <c r="CJ319" s="125" t="s">
        <v>2917</v>
      </c>
      <c r="CK319" s="125"/>
      <c r="CL319" s="125" t="s">
        <v>212</v>
      </c>
      <c r="CM319" s="125"/>
      <c r="CN319" s="125" t="s">
        <v>254</v>
      </c>
      <c r="CO319" s="125" t="s">
        <v>260</v>
      </c>
      <c r="CP319" s="125" t="s">
        <v>4120</v>
      </c>
      <c r="CQ319" s="125" t="s">
        <v>920</v>
      </c>
      <c r="CR319" s="125" t="s">
        <v>3159</v>
      </c>
      <c r="CS319" s="125" t="s">
        <v>4121</v>
      </c>
      <c r="CT319" s="125" t="s">
        <v>254</v>
      </c>
      <c r="CU319" s="125" t="s">
        <v>260</v>
      </c>
      <c r="CV319" s="125" t="s">
        <v>4122</v>
      </c>
      <c r="CW319" s="125" t="s">
        <v>2203</v>
      </c>
      <c r="CX319" s="125" t="s">
        <v>4123</v>
      </c>
      <c r="CY319" s="125" t="s">
        <v>531</v>
      </c>
      <c r="CZ319" s="125" t="s">
        <v>1817</v>
      </c>
      <c r="DA319" s="125" t="s">
        <v>2205</v>
      </c>
      <c r="DB319" s="125" t="s">
        <v>3943</v>
      </c>
      <c r="DC319" s="125" t="s">
        <v>601</v>
      </c>
      <c r="DD319" s="125" t="s">
        <v>4124</v>
      </c>
      <c r="DE319" s="125" t="s">
        <v>4125</v>
      </c>
      <c r="DF319" s="126" t="s">
        <v>4126</v>
      </c>
      <c r="DG319" s="27" cm="1">
        <f t="array" ref="DG319">INDEX('elenco partner'!A:M,MATCH(1,(D319='elenco partner'!A:A)*('Partner data'!M319='elenco partner'!E:E),0),4)</f>
        <v>844</v>
      </c>
      <c r="DH319" s="83" t="str">
        <f t="shared" si="138"/>
        <v>Tasso Forfettario 20%</v>
      </c>
      <c r="DI319" s="20">
        <f>COUNTIFS('MY-REPORT-MAIN'!C:C,'Partner data'!DG319,'MY-REPORT-MAIN'!I:I,"Certified")</f>
        <v>0</v>
      </c>
      <c r="DJ319" s="20">
        <f>COUNTIFS(List_Of_chek_list!M:M,"&lt;&gt;26",List_Of_chek_list!B:B,'Partner data'!DG319)</f>
        <v>0</v>
      </c>
      <c r="DK319" s="20">
        <f t="shared" si="139"/>
        <v>0</v>
      </c>
      <c r="DL319" s="19" t="e">
        <f>IF(DH319="Tasso Forfettario 20%",SUMIFS(List_Of_chek_list!#REF!,List_Of_chek_list!B:B,'Partner data'!DG319),"NON PERTINENTE")</f>
        <v>#REF!</v>
      </c>
      <c r="DM319" s="19" t="e">
        <f t="shared" si="140"/>
        <v>#REF!</v>
      </c>
      <c r="DN319" s="110">
        <f>_xlfn.MAXIFS('MY-REPORT-MAIN'!K:K,'MY-REPORT-MAIN'!C:C,DG319)</f>
        <v>0</v>
      </c>
      <c r="DO319" s="112" t="str">
        <f>IF(_xlfn.MAXIFS('MY-REPORT-MAIN'!M:M,'MY-REPORT-MAIN'!C:C,DG319)=0,"Nessun rendiconto  Convalidato",_xlfn.MAXIFS('MY-REPORT-MAIN'!M:M,'MY-REPORT-MAIN'!C:C,DG319))</f>
        <v>Nessun rendiconto  Convalidato</v>
      </c>
      <c r="DP319" s="113" t="str" cm="1">
        <f t="array" ref="DP319">IFERROR(INDEX('MY-REPORT-MAIN'!A:Z,MATCH(1,(DO319='MY-REPORT-MAIN'!M:M)*('Partner data'!DG319='MY-REPORT-MAIN'!C:C),0),1),"NON è stato convalidato ancora nessun rendiconto")</f>
        <v>NON è stato convalidato ancora nessun rendiconto</v>
      </c>
      <c r="DQ319" s="111" t="str">
        <f>IFERROR(INDEX('MY-REPORT-MAIN'!A:Z,MATCH('Partner data'!DP319,'MY-REPORT-MAIN'!A:A,0),21),"Nessun Rendiconto ancora convalidato")</f>
        <v>Nessun Rendiconto ancora convalidato</v>
      </c>
      <c r="DR319" s="110">
        <f>INDEX('Interreg VI-A Italy-Slovenia_pr'!A:E,MATCH('Partner data'!C319,'Interreg VI-A Italy-Slovenia_pr'!A:A,0),3)</f>
        <v>45397</v>
      </c>
      <c r="DS319" s="118">
        <f t="shared" si="104"/>
        <v>17332</v>
      </c>
      <c r="DT319" s="118">
        <f t="shared" si="105"/>
        <v>146084</v>
      </c>
      <c r="DU319" s="118">
        <f t="shared" si="106"/>
        <v>161559</v>
      </c>
      <c r="DV319" s="118">
        <f t="shared" si="107"/>
        <v>166511</v>
      </c>
      <c r="DW319" s="118">
        <f t="shared" si="108"/>
        <v>166511</v>
      </c>
      <c r="DX319" s="118">
        <f t="shared" si="109"/>
        <v>166511</v>
      </c>
      <c r="DY319" s="118">
        <f t="shared" si="110"/>
        <v>166511</v>
      </c>
      <c r="DZ319" s="118">
        <f t="shared" si="111"/>
        <v>166511</v>
      </c>
      <c r="EA319" s="118">
        <f t="shared" si="112"/>
        <v>166511</v>
      </c>
      <c r="EB319" s="118">
        <f t="shared" si="113"/>
        <v>166511</v>
      </c>
    </row>
    <row r="320" spans="1:132" ht="45" x14ac:dyDescent="0.25">
      <c r="A320" s="121">
        <v>6</v>
      </c>
      <c r="B320" s="122" t="s">
        <v>2688</v>
      </c>
      <c r="C320" s="123" t="s">
        <v>4127</v>
      </c>
      <c r="D320" s="123" t="s">
        <v>4128</v>
      </c>
      <c r="E320" s="123" t="s">
        <v>4129</v>
      </c>
      <c r="F320" s="123" t="s">
        <v>1118</v>
      </c>
      <c r="G320" s="123" t="s">
        <v>6118</v>
      </c>
      <c r="H320" s="123" t="s">
        <v>691</v>
      </c>
      <c r="I320" s="123" t="s">
        <v>945</v>
      </c>
      <c r="J320" s="124" t="s">
        <v>494</v>
      </c>
      <c r="K320" s="124" t="s">
        <v>495</v>
      </c>
      <c r="L320" s="124" t="s">
        <v>496</v>
      </c>
      <c r="M320" s="124" t="s">
        <v>752</v>
      </c>
      <c r="N320" s="124" t="s">
        <v>753</v>
      </c>
      <c r="O320" s="124" t="s">
        <v>644</v>
      </c>
      <c r="P320" s="124" t="s">
        <v>257</v>
      </c>
      <c r="Q320" s="124" t="s">
        <v>556</v>
      </c>
      <c r="R320" s="124" t="s">
        <v>258</v>
      </c>
      <c r="S320" s="32">
        <v>107776</v>
      </c>
      <c r="T320" s="32">
        <v>80</v>
      </c>
      <c r="U320" s="32">
        <v>16.89</v>
      </c>
      <c r="V320" s="32">
        <v>0</v>
      </c>
      <c r="W320" s="32">
        <v>0</v>
      </c>
      <c r="X320" s="32">
        <v>0</v>
      </c>
      <c r="Y320" s="32">
        <v>0</v>
      </c>
      <c r="Z320" s="32">
        <v>0</v>
      </c>
      <c r="AA320" s="32">
        <v>0</v>
      </c>
      <c r="AB320" s="32">
        <v>0</v>
      </c>
      <c r="AC320" s="32">
        <v>0</v>
      </c>
      <c r="AD320" s="32">
        <v>0</v>
      </c>
      <c r="AE320" s="32">
        <v>0</v>
      </c>
      <c r="AF320" s="32">
        <v>0</v>
      </c>
      <c r="AG320" s="32">
        <v>0</v>
      </c>
      <c r="AH320" s="32">
        <v>0</v>
      </c>
      <c r="AI320" s="32">
        <v>0</v>
      </c>
      <c r="AJ320" s="32">
        <v>0</v>
      </c>
      <c r="AK320" s="32">
        <v>0</v>
      </c>
      <c r="AL320" s="32">
        <v>0</v>
      </c>
      <c r="AM320" s="32">
        <v>0</v>
      </c>
      <c r="AN320" s="32">
        <v>26944</v>
      </c>
      <c r="AO320" s="32">
        <v>0</v>
      </c>
      <c r="AP320" s="32">
        <v>0</v>
      </c>
      <c r="AQ320" s="32">
        <v>26944</v>
      </c>
      <c r="AR320" s="32">
        <v>134720</v>
      </c>
      <c r="AS320" s="32">
        <v>16.89</v>
      </c>
      <c r="AT320" s="32">
        <v>89800</v>
      </c>
      <c r="AU320" s="32">
        <v>0</v>
      </c>
      <c r="AV320" s="32">
        <v>89800</v>
      </c>
      <c r="AW320" s="32">
        <v>0</v>
      </c>
      <c r="AX320" s="32">
        <v>0</v>
      </c>
      <c r="AY320" s="32">
        <v>0</v>
      </c>
      <c r="AZ320" s="32">
        <v>0</v>
      </c>
      <c r="BA320" s="32">
        <v>0</v>
      </c>
      <c r="BB320" s="32">
        <v>0</v>
      </c>
      <c r="BC320" s="32">
        <v>0</v>
      </c>
      <c r="BD320" s="32">
        <v>0</v>
      </c>
      <c r="BE320" s="32">
        <v>0</v>
      </c>
      <c r="BF320" s="32">
        <v>0</v>
      </c>
      <c r="BG320" s="32">
        <v>0</v>
      </c>
      <c r="BH320" s="32">
        <v>0</v>
      </c>
      <c r="BI320" s="32">
        <v>0</v>
      </c>
      <c r="BJ320" s="32">
        <v>0</v>
      </c>
      <c r="BK320" s="32">
        <v>0</v>
      </c>
      <c r="BL320" s="32">
        <v>0</v>
      </c>
      <c r="BM320" s="32">
        <v>35920</v>
      </c>
      <c r="BN320" s="32">
        <v>0</v>
      </c>
      <c r="BO320" s="32">
        <v>9000</v>
      </c>
      <c r="BP320" s="32">
        <v>9000</v>
      </c>
      <c r="BQ320" s="32">
        <v>32130</v>
      </c>
      <c r="BR320" s="32">
        <v>30730</v>
      </c>
      <c r="BS320" s="32">
        <v>32130</v>
      </c>
      <c r="BT320" s="32">
        <v>30730</v>
      </c>
      <c r="BU320" s="32">
        <v>0</v>
      </c>
      <c r="BV320" s="32">
        <v>0</v>
      </c>
      <c r="BW320" s="32">
        <v>0</v>
      </c>
      <c r="BX320" s="32">
        <v>0</v>
      </c>
      <c r="BY320" s="32">
        <v>0</v>
      </c>
      <c r="BZ320" s="32">
        <v>0</v>
      </c>
      <c r="CA320" s="32">
        <v>0</v>
      </c>
      <c r="CB320" s="125" t="s">
        <v>4130</v>
      </c>
      <c r="CC320" s="125" t="s">
        <v>624</v>
      </c>
      <c r="CD320" s="125"/>
      <c r="CE320" s="125" t="s">
        <v>523</v>
      </c>
      <c r="CF320" s="125" t="s">
        <v>4131</v>
      </c>
      <c r="CG320" s="125" t="s">
        <v>646</v>
      </c>
      <c r="CH320" s="125" t="s">
        <v>526</v>
      </c>
      <c r="CI320" s="125" t="s">
        <v>665</v>
      </c>
      <c r="CJ320" s="125" t="s">
        <v>665</v>
      </c>
      <c r="CK320" s="125" t="s">
        <v>647</v>
      </c>
      <c r="CL320" s="125" t="s">
        <v>212</v>
      </c>
      <c r="CM320" s="125"/>
      <c r="CN320" s="125" t="s">
        <v>257</v>
      </c>
      <c r="CO320" s="125" t="s">
        <v>258</v>
      </c>
      <c r="CP320" s="125" t="s">
        <v>754</v>
      </c>
      <c r="CQ320" s="125" t="s">
        <v>620</v>
      </c>
      <c r="CR320" s="125" t="s">
        <v>621</v>
      </c>
      <c r="CS320" s="125" t="s">
        <v>1859</v>
      </c>
      <c r="CT320" s="125" t="s">
        <v>257</v>
      </c>
      <c r="CU320" s="125" t="s">
        <v>258</v>
      </c>
      <c r="CV320" s="125" t="s">
        <v>1909</v>
      </c>
      <c r="CW320" s="125" t="s">
        <v>620</v>
      </c>
      <c r="CX320" s="125" t="s">
        <v>621</v>
      </c>
      <c r="CY320" s="125" t="s">
        <v>4132</v>
      </c>
      <c r="CZ320" s="125" t="s">
        <v>2057</v>
      </c>
      <c r="DA320" s="125" t="s">
        <v>652</v>
      </c>
      <c r="DB320" s="125" t="s">
        <v>1910</v>
      </c>
      <c r="DC320" s="125" t="s">
        <v>4133</v>
      </c>
      <c r="DD320" s="125" t="s">
        <v>4134</v>
      </c>
      <c r="DE320" s="125" t="s">
        <v>4135</v>
      </c>
      <c r="DF320" s="126" t="s">
        <v>4136</v>
      </c>
      <c r="DG320" s="27" cm="1">
        <f t="array" ref="DG320">INDEX('elenco partner'!A:M,MATCH(1,(D320='elenco partner'!A:A)*('Partner data'!M320='elenco partner'!E:E),0),4)</f>
        <v>709</v>
      </c>
      <c r="DH320" s="83" t="str">
        <f t="shared" ref="DH320:DH325" si="141">IF(AU320&lt;&gt;0,"Tasso Forfettario 20%",IF(AV320&lt;&gt;0,"COSTO REALE",IF(AW320&lt;&gt;0,"Costo Unitario Standard","BL1 non presente")))</f>
        <v>COSTO REALE</v>
      </c>
      <c r="DI320" s="20">
        <f>COUNTIFS('MY-REPORT-MAIN'!C:C,'Partner data'!DG320,'MY-REPORT-MAIN'!I:I,"Certified")</f>
        <v>0</v>
      </c>
      <c r="DJ320" s="20">
        <f>COUNTIFS(List_Of_chek_list!M:M,"&lt;&gt;26",List_Of_chek_list!B:B,'Partner data'!DG320)</f>
        <v>0</v>
      </c>
      <c r="DK320" s="20">
        <f t="shared" ref="DK320:DK325" si="142">DI320-DJ320</f>
        <v>0</v>
      </c>
      <c r="DL320" s="19" t="str">
        <f>IF(DH320="Tasso Forfettario 20%",SUMIFS(List_Of_chek_list!#REF!,List_Of_chek_list!B:B,'Partner data'!DG320),"NON PERTINENTE")</f>
        <v>NON PERTINENTE</v>
      </c>
      <c r="DM320" s="19" t="str">
        <f t="shared" ref="DM320:DM325" si="143">IF(DL320="NON PERTINENTE","NON PERTINENTE",IF(DJ320=DL320,"Rischio basso","Rischio alto"))</f>
        <v>NON PERTINENTE</v>
      </c>
      <c r="DN320" s="110">
        <f>_xlfn.MAXIFS('MY-REPORT-MAIN'!K:K,'MY-REPORT-MAIN'!C:C,DG320)</f>
        <v>0</v>
      </c>
      <c r="DO320" s="112" t="str">
        <f>IF(_xlfn.MAXIFS('MY-REPORT-MAIN'!M:M,'MY-REPORT-MAIN'!C:C,DG320)=0,"Nessun rendiconto  Convalidato",_xlfn.MAXIFS('MY-REPORT-MAIN'!M:M,'MY-REPORT-MAIN'!C:C,DG320))</f>
        <v>Nessun rendiconto  Convalidato</v>
      </c>
      <c r="DP320" s="113" t="str" cm="1">
        <f t="array" ref="DP320">IFERROR(INDEX('MY-REPORT-MAIN'!A:Z,MATCH(1,(DO320='MY-REPORT-MAIN'!M:M)*('Partner data'!DG320='MY-REPORT-MAIN'!C:C),0),1),"NON è stato convalidato ancora nessun rendiconto")</f>
        <v>NON è stato convalidato ancora nessun rendiconto</v>
      </c>
      <c r="DQ320" s="111" t="str">
        <f>IFERROR(INDEX('MY-REPORT-MAIN'!A:Z,MATCH('Partner data'!DP320,'MY-REPORT-MAIN'!A:A,0),21),"Nessun Rendiconto ancora convalidato")</f>
        <v>Nessun Rendiconto ancora convalidato</v>
      </c>
      <c r="DR320" s="110" t="e">
        <f>INDEX('Interreg VI-A Italy-Slovenia_pr'!A:E,MATCH('Partner data'!C320,'Interreg VI-A Italy-Slovenia_pr'!A:A,0),3)</f>
        <v>#N/A</v>
      </c>
      <c r="DS320" s="118">
        <f t="shared" si="104"/>
        <v>41130</v>
      </c>
      <c r="DT320" s="118">
        <f t="shared" si="105"/>
        <v>71860</v>
      </c>
      <c r="DU320" s="118">
        <f t="shared" si="106"/>
        <v>103990</v>
      </c>
      <c r="DV320" s="118">
        <f t="shared" si="107"/>
        <v>134720</v>
      </c>
      <c r="DW320" s="118">
        <f t="shared" si="108"/>
        <v>134720</v>
      </c>
      <c r="DX320" s="118">
        <f t="shared" si="109"/>
        <v>134720</v>
      </c>
      <c r="DY320" s="118">
        <f t="shared" si="110"/>
        <v>134720</v>
      </c>
      <c r="DZ320" s="118">
        <f t="shared" si="111"/>
        <v>134720</v>
      </c>
      <c r="EA320" s="118">
        <f t="shared" si="112"/>
        <v>134720</v>
      </c>
      <c r="EB320" s="118">
        <f t="shared" si="113"/>
        <v>134720</v>
      </c>
    </row>
    <row r="321" spans="1:132" ht="45" x14ac:dyDescent="0.25">
      <c r="A321" s="121">
        <v>6</v>
      </c>
      <c r="B321" s="122" t="s">
        <v>2688</v>
      </c>
      <c r="C321" s="123" t="s">
        <v>4127</v>
      </c>
      <c r="D321" s="123" t="s">
        <v>4128</v>
      </c>
      <c r="E321" s="123" t="s">
        <v>4129</v>
      </c>
      <c r="F321" s="123" t="s">
        <v>1118</v>
      </c>
      <c r="G321" s="123" t="s">
        <v>6118</v>
      </c>
      <c r="H321" s="123" t="s">
        <v>691</v>
      </c>
      <c r="I321" s="123" t="s">
        <v>945</v>
      </c>
      <c r="J321" s="124" t="s">
        <v>518</v>
      </c>
      <c r="K321" s="124" t="s">
        <v>495</v>
      </c>
      <c r="L321" s="124" t="s">
        <v>519</v>
      </c>
      <c r="M321" s="124" t="s">
        <v>4058</v>
      </c>
      <c r="N321" s="124" t="s">
        <v>4137</v>
      </c>
      <c r="O321" s="124" t="s">
        <v>2549</v>
      </c>
      <c r="P321" s="124" t="s">
        <v>254</v>
      </c>
      <c r="Q321" s="124" t="s">
        <v>540</v>
      </c>
      <c r="R321" s="124" t="s">
        <v>302</v>
      </c>
      <c r="S321" s="32">
        <v>133599.84</v>
      </c>
      <c r="T321" s="32">
        <v>80</v>
      </c>
      <c r="U321" s="32">
        <v>20.94</v>
      </c>
      <c r="V321" s="32">
        <v>0</v>
      </c>
      <c r="W321" s="32">
        <v>0</v>
      </c>
      <c r="X321" s="32">
        <v>0</v>
      </c>
      <c r="Y321" s="32">
        <v>0</v>
      </c>
      <c r="Z321" s="32">
        <v>0</v>
      </c>
      <c r="AA321" s="32">
        <v>0</v>
      </c>
      <c r="AB321" s="32">
        <v>0</v>
      </c>
      <c r="AC321" s="32">
        <v>0</v>
      </c>
      <c r="AD321" s="32">
        <v>0</v>
      </c>
      <c r="AE321" s="32">
        <v>0</v>
      </c>
      <c r="AF321" s="32">
        <v>0</v>
      </c>
      <c r="AG321" s="32">
        <v>0</v>
      </c>
      <c r="AH321" s="32">
        <v>0</v>
      </c>
      <c r="AI321" s="32">
        <v>0</v>
      </c>
      <c r="AJ321" s="32">
        <v>0</v>
      </c>
      <c r="AK321" s="32">
        <v>0</v>
      </c>
      <c r="AL321" s="32">
        <v>0</v>
      </c>
      <c r="AM321" s="32">
        <v>0</v>
      </c>
      <c r="AN321" s="32">
        <v>0</v>
      </c>
      <c r="AO321" s="32">
        <v>33399.96</v>
      </c>
      <c r="AP321" s="32">
        <v>0</v>
      </c>
      <c r="AQ321" s="32">
        <v>33399.96</v>
      </c>
      <c r="AR321" s="32">
        <v>166999.79999999999</v>
      </c>
      <c r="AS321" s="32">
        <v>20.94</v>
      </c>
      <c r="AT321" s="32">
        <v>101920</v>
      </c>
      <c r="AU321" s="32">
        <v>0</v>
      </c>
      <c r="AV321" s="32">
        <v>0</v>
      </c>
      <c r="AW321" s="32">
        <v>101920</v>
      </c>
      <c r="AX321" s="32">
        <v>15288</v>
      </c>
      <c r="AY321" s="32">
        <v>15288</v>
      </c>
      <c r="AZ321" s="32">
        <v>4076.8</v>
      </c>
      <c r="BA321" s="32">
        <v>4076.8</v>
      </c>
      <c r="BB321" s="32">
        <v>0</v>
      </c>
      <c r="BC321" s="32">
        <v>0</v>
      </c>
      <c r="BD321" s="32">
        <v>45715</v>
      </c>
      <c r="BE321" s="32">
        <v>45715</v>
      </c>
      <c r="BF321" s="32">
        <v>0</v>
      </c>
      <c r="BG321" s="32">
        <v>0</v>
      </c>
      <c r="BH321" s="32">
        <v>0</v>
      </c>
      <c r="BI321" s="32">
        <v>0</v>
      </c>
      <c r="BJ321" s="32">
        <v>0</v>
      </c>
      <c r="BK321" s="32">
        <v>0</v>
      </c>
      <c r="BL321" s="32">
        <v>0</v>
      </c>
      <c r="BM321" s="32">
        <v>0</v>
      </c>
      <c r="BN321" s="32">
        <v>0</v>
      </c>
      <c r="BO321" s="32">
        <v>0</v>
      </c>
      <c r="BP321" s="32">
        <v>0</v>
      </c>
      <c r="BQ321" s="32">
        <v>35321.199999999997</v>
      </c>
      <c r="BR321" s="32">
        <v>42036.2</v>
      </c>
      <c r="BS321" s="32">
        <v>42321.2</v>
      </c>
      <c r="BT321" s="32">
        <v>47321.2</v>
      </c>
      <c r="BU321" s="32">
        <v>0</v>
      </c>
      <c r="BV321" s="32">
        <v>0</v>
      </c>
      <c r="BW321" s="32">
        <v>0</v>
      </c>
      <c r="BX321" s="32">
        <v>0</v>
      </c>
      <c r="BY321" s="32">
        <v>0</v>
      </c>
      <c r="BZ321" s="32">
        <v>0</v>
      </c>
      <c r="CA321" s="32">
        <v>0</v>
      </c>
      <c r="CB321" s="125" t="s">
        <v>4138</v>
      </c>
      <c r="CC321" s="125" t="s">
        <v>624</v>
      </c>
      <c r="CD321" s="125"/>
      <c r="CE321" s="125" t="s">
        <v>523</v>
      </c>
      <c r="CF321" s="125" t="s">
        <v>645</v>
      </c>
      <c r="CG321" s="125" t="s">
        <v>1396</v>
      </c>
      <c r="CH321" s="125" t="s">
        <v>526</v>
      </c>
      <c r="CI321" s="125" t="s">
        <v>1397</v>
      </c>
      <c r="CJ321" s="125" t="s">
        <v>683</v>
      </c>
      <c r="CK321" s="125" t="s">
        <v>1398</v>
      </c>
      <c r="CL321" s="125" t="s">
        <v>212</v>
      </c>
      <c r="CM321" s="125"/>
      <c r="CN321" s="125" t="s">
        <v>254</v>
      </c>
      <c r="CO321" s="125" t="s">
        <v>302</v>
      </c>
      <c r="CP321" s="125" t="s">
        <v>4139</v>
      </c>
      <c r="CQ321" s="125" t="s">
        <v>2095</v>
      </c>
      <c r="CR321" s="125" t="s">
        <v>2096</v>
      </c>
      <c r="CS321" s="125" t="s">
        <v>4140</v>
      </c>
      <c r="CT321" s="125" t="s">
        <v>254</v>
      </c>
      <c r="CU321" s="125" t="s">
        <v>260</v>
      </c>
      <c r="CV321" s="125" t="s">
        <v>4141</v>
      </c>
      <c r="CW321" s="125" t="s">
        <v>2779</v>
      </c>
      <c r="CX321" s="125" t="s">
        <v>2780</v>
      </c>
      <c r="CY321" s="125" t="s">
        <v>1179</v>
      </c>
      <c r="CZ321" s="125" t="s">
        <v>2543</v>
      </c>
      <c r="DA321" s="125" t="s">
        <v>4059</v>
      </c>
      <c r="DB321" s="125" t="s">
        <v>1179</v>
      </c>
      <c r="DC321" s="125" t="s">
        <v>1701</v>
      </c>
      <c r="DD321" s="125" t="s">
        <v>4142</v>
      </c>
      <c r="DE321" s="125" t="s">
        <v>4143</v>
      </c>
      <c r="DF321" s="126" t="s">
        <v>4144</v>
      </c>
      <c r="DG321" s="27" cm="1">
        <f t="array" ref="DG321">INDEX('elenco partner'!A:M,MATCH(1,(D321='elenco partner'!A:A)*('Partner data'!M321='elenco partner'!E:E),0),4)</f>
        <v>733</v>
      </c>
      <c r="DH321" s="83" t="str">
        <f t="shared" si="141"/>
        <v>Costo Unitario Standard</v>
      </c>
      <c r="DI321" s="20">
        <f>COUNTIFS('MY-REPORT-MAIN'!C:C,'Partner data'!DG321,'MY-REPORT-MAIN'!I:I,"Certified")</f>
        <v>0</v>
      </c>
      <c r="DJ321" s="20">
        <f>COUNTIFS(List_Of_chek_list!M:M,"&lt;&gt;26",List_Of_chek_list!B:B,'Partner data'!DG321)</f>
        <v>0</v>
      </c>
      <c r="DK321" s="20">
        <f t="shared" si="142"/>
        <v>0</v>
      </c>
      <c r="DL321" s="19" t="str">
        <f>IF(DH321="Tasso Forfettario 20%",SUMIFS(List_Of_chek_list!#REF!,List_Of_chek_list!B:B,'Partner data'!DG321),"NON PERTINENTE")</f>
        <v>NON PERTINENTE</v>
      </c>
      <c r="DM321" s="19" t="str">
        <f t="shared" si="143"/>
        <v>NON PERTINENTE</v>
      </c>
      <c r="DN321" s="110">
        <f>_xlfn.MAXIFS('MY-REPORT-MAIN'!K:K,'MY-REPORT-MAIN'!C:C,DG321)</f>
        <v>0</v>
      </c>
      <c r="DO321" s="112" t="str">
        <f>IF(_xlfn.MAXIFS('MY-REPORT-MAIN'!M:M,'MY-REPORT-MAIN'!C:C,DG321)=0,"Nessun rendiconto  Convalidato",_xlfn.MAXIFS('MY-REPORT-MAIN'!M:M,'MY-REPORT-MAIN'!C:C,DG321))</f>
        <v>Nessun rendiconto  Convalidato</v>
      </c>
      <c r="DP321" s="113" t="str" cm="1">
        <f t="array" ref="DP321">IFERROR(INDEX('MY-REPORT-MAIN'!A:Z,MATCH(1,(DO321='MY-REPORT-MAIN'!M:M)*('Partner data'!DG321='MY-REPORT-MAIN'!C:C),0),1),"NON è stato convalidato ancora nessun rendiconto")</f>
        <v>NON è stato convalidato ancora nessun rendiconto</v>
      </c>
      <c r="DQ321" s="111" t="str">
        <f>IFERROR(INDEX('MY-REPORT-MAIN'!A:Z,MATCH('Partner data'!DP321,'MY-REPORT-MAIN'!A:A,0),21),"Nessun Rendiconto ancora convalidato")</f>
        <v>Nessun Rendiconto ancora convalidato</v>
      </c>
      <c r="DR321" s="110" t="e">
        <f>INDEX('Interreg VI-A Italy-Slovenia_pr'!A:E,MATCH('Partner data'!C321,'Interreg VI-A Italy-Slovenia_pr'!A:A,0),3)</f>
        <v>#N/A</v>
      </c>
      <c r="DS321" s="118">
        <f t="shared" si="104"/>
        <v>35321.199999999997</v>
      </c>
      <c r="DT321" s="118">
        <f t="shared" si="105"/>
        <v>77357.399999999994</v>
      </c>
      <c r="DU321" s="118">
        <f t="shared" si="106"/>
        <v>119678.59999999999</v>
      </c>
      <c r="DV321" s="118">
        <f t="shared" si="107"/>
        <v>166999.79999999999</v>
      </c>
      <c r="DW321" s="118">
        <f t="shared" si="108"/>
        <v>166999.79999999999</v>
      </c>
      <c r="DX321" s="118">
        <f t="shared" si="109"/>
        <v>166999.79999999999</v>
      </c>
      <c r="DY321" s="118">
        <f t="shared" si="110"/>
        <v>166999.79999999999</v>
      </c>
      <c r="DZ321" s="118">
        <f t="shared" si="111"/>
        <v>166999.79999999999</v>
      </c>
      <c r="EA321" s="118">
        <f t="shared" si="112"/>
        <v>166999.79999999999</v>
      </c>
      <c r="EB321" s="118">
        <f t="shared" si="113"/>
        <v>166999.79999999999</v>
      </c>
    </row>
    <row r="322" spans="1:132" ht="45" x14ac:dyDescent="0.25">
      <c r="A322" s="121">
        <v>6</v>
      </c>
      <c r="B322" s="122" t="s">
        <v>2688</v>
      </c>
      <c r="C322" s="123" t="s">
        <v>4127</v>
      </c>
      <c r="D322" s="123" t="s">
        <v>4128</v>
      </c>
      <c r="E322" s="123" t="s">
        <v>4129</v>
      </c>
      <c r="F322" s="123" t="s">
        <v>1118</v>
      </c>
      <c r="G322" s="123" t="s">
        <v>6118</v>
      </c>
      <c r="H322" s="123" t="s">
        <v>691</v>
      </c>
      <c r="I322" s="123" t="s">
        <v>945</v>
      </c>
      <c r="J322" s="124" t="s">
        <v>538</v>
      </c>
      <c r="K322" s="124" t="s">
        <v>495</v>
      </c>
      <c r="L322" s="124" t="s">
        <v>519</v>
      </c>
      <c r="M322" s="124" t="s">
        <v>4145</v>
      </c>
      <c r="N322" s="124" t="s">
        <v>4146</v>
      </c>
      <c r="O322" s="124" t="s">
        <v>4147</v>
      </c>
      <c r="P322" s="124" t="s">
        <v>257</v>
      </c>
      <c r="Q322" s="124" t="s">
        <v>556</v>
      </c>
      <c r="R322" s="124" t="s">
        <v>270</v>
      </c>
      <c r="S322" s="32">
        <v>105946.17</v>
      </c>
      <c r="T322" s="32">
        <v>80</v>
      </c>
      <c r="U322" s="32">
        <v>16.61</v>
      </c>
      <c r="V322" s="32">
        <v>0</v>
      </c>
      <c r="W322" s="32">
        <v>0</v>
      </c>
      <c r="X322" s="32">
        <v>0</v>
      </c>
      <c r="Y322" s="32">
        <v>0</v>
      </c>
      <c r="Z322" s="32">
        <v>0</v>
      </c>
      <c r="AA322" s="32">
        <v>0</v>
      </c>
      <c r="AB322" s="32">
        <v>0</v>
      </c>
      <c r="AC322" s="32">
        <v>0</v>
      </c>
      <c r="AD322" s="32">
        <v>0</v>
      </c>
      <c r="AE322" s="32">
        <v>0</v>
      </c>
      <c r="AF322" s="32">
        <v>0</v>
      </c>
      <c r="AG322" s="32">
        <v>0</v>
      </c>
      <c r="AH322" s="32">
        <v>0</v>
      </c>
      <c r="AI322" s="32">
        <v>0</v>
      </c>
      <c r="AJ322" s="32">
        <v>0</v>
      </c>
      <c r="AK322" s="32">
        <v>0</v>
      </c>
      <c r="AL322" s="32">
        <v>0</v>
      </c>
      <c r="AM322" s="32">
        <v>0</v>
      </c>
      <c r="AN322" s="32">
        <v>0</v>
      </c>
      <c r="AO322" s="32">
        <v>0</v>
      </c>
      <c r="AP322" s="32">
        <v>26486.55</v>
      </c>
      <c r="AQ322" s="32">
        <v>26486.55</v>
      </c>
      <c r="AR322" s="32">
        <v>132432.72</v>
      </c>
      <c r="AS322" s="32">
        <v>16.61</v>
      </c>
      <c r="AT322" s="32">
        <v>94594.8</v>
      </c>
      <c r="AU322" s="32">
        <v>0</v>
      </c>
      <c r="AV322" s="32">
        <v>94594.8</v>
      </c>
      <c r="AW322" s="32">
        <v>0</v>
      </c>
      <c r="AX322" s="32">
        <v>0</v>
      </c>
      <c r="AY322" s="32">
        <v>0</v>
      </c>
      <c r="AZ322" s="32">
        <v>0</v>
      </c>
      <c r="BA322" s="32">
        <v>0</v>
      </c>
      <c r="BB322" s="32">
        <v>0</v>
      </c>
      <c r="BC322" s="32">
        <v>0</v>
      </c>
      <c r="BD322" s="32">
        <v>0</v>
      </c>
      <c r="BE322" s="32">
        <v>0</v>
      </c>
      <c r="BF322" s="32">
        <v>0</v>
      </c>
      <c r="BG322" s="32">
        <v>0</v>
      </c>
      <c r="BH322" s="32">
        <v>0</v>
      </c>
      <c r="BI322" s="32">
        <v>0</v>
      </c>
      <c r="BJ322" s="32">
        <v>0</v>
      </c>
      <c r="BK322" s="32">
        <v>0</v>
      </c>
      <c r="BL322" s="32">
        <v>0</v>
      </c>
      <c r="BM322" s="32">
        <v>37837.919999999998</v>
      </c>
      <c r="BN322" s="32">
        <v>0</v>
      </c>
      <c r="BO322" s="32">
        <v>0</v>
      </c>
      <c r="BP322" s="32">
        <v>0</v>
      </c>
      <c r="BQ322" s="32">
        <v>34378.68</v>
      </c>
      <c r="BR322" s="32">
        <v>31837.68</v>
      </c>
      <c r="BS322" s="32">
        <v>34378.68</v>
      </c>
      <c r="BT322" s="32">
        <v>31837.68</v>
      </c>
      <c r="BU322" s="32">
        <v>0</v>
      </c>
      <c r="BV322" s="32">
        <v>0</v>
      </c>
      <c r="BW322" s="32">
        <v>0</v>
      </c>
      <c r="BX322" s="32">
        <v>0</v>
      </c>
      <c r="BY322" s="32">
        <v>0</v>
      </c>
      <c r="BZ322" s="32">
        <v>0</v>
      </c>
      <c r="CA322" s="32">
        <v>0</v>
      </c>
      <c r="CB322" s="125" t="s">
        <v>212</v>
      </c>
      <c r="CC322" s="125" t="s">
        <v>887</v>
      </c>
      <c r="CD322" s="125"/>
      <c r="CE322" s="125" t="s">
        <v>501</v>
      </c>
      <c r="CF322" s="125" t="s">
        <v>2286</v>
      </c>
      <c r="CG322" s="125" t="s">
        <v>4148</v>
      </c>
      <c r="CH322" s="125" t="s">
        <v>526</v>
      </c>
      <c r="CI322" s="125" t="s">
        <v>4149</v>
      </c>
      <c r="CJ322" s="125" t="s">
        <v>1123</v>
      </c>
      <c r="CK322" s="125" t="s">
        <v>4150</v>
      </c>
      <c r="CL322" s="125" t="s">
        <v>212</v>
      </c>
      <c r="CM322" s="125"/>
      <c r="CN322" s="125" t="s">
        <v>257</v>
      </c>
      <c r="CO322" s="125" t="s">
        <v>270</v>
      </c>
      <c r="CP322" s="125" t="s">
        <v>6141</v>
      </c>
      <c r="CQ322" s="125" t="s">
        <v>1648</v>
      </c>
      <c r="CR322" s="125" t="s">
        <v>1649</v>
      </c>
      <c r="CS322" s="125" t="s">
        <v>4151</v>
      </c>
      <c r="CT322" s="125"/>
      <c r="CU322" s="125"/>
      <c r="CV322" s="125"/>
      <c r="CW322" s="125"/>
      <c r="CX322" s="125"/>
      <c r="CY322" s="125" t="s">
        <v>4152</v>
      </c>
      <c r="CZ322" s="125" t="s">
        <v>4153</v>
      </c>
      <c r="DA322" s="125" t="s">
        <v>4154</v>
      </c>
      <c r="DB322" s="125" t="s">
        <v>4152</v>
      </c>
      <c r="DC322" s="125" t="s">
        <v>4153</v>
      </c>
      <c r="DD322" s="125" t="s">
        <v>4154</v>
      </c>
      <c r="DE322" s="125" t="s">
        <v>4155</v>
      </c>
      <c r="DF322" s="126" t="s">
        <v>4156</v>
      </c>
      <c r="DG322" s="27" cm="1">
        <f t="array" ref="DG322">INDEX('elenco partner'!A:M,MATCH(1,(D322='elenco partner'!A:A)*('Partner data'!M322='elenco partner'!E:E),0),4)</f>
        <v>734</v>
      </c>
      <c r="DH322" s="83" t="str">
        <f t="shared" si="141"/>
        <v>COSTO REALE</v>
      </c>
      <c r="DI322" s="20">
        <f>COUNTIFS('MY-REPORT-MAIN'!C:C,'Partner data'!DG322,'MY-REPORT-MAIN'!I:I,"Certified")</f>
        <v>0</v>
      </c>
      <c r="DJ322" s="20">
        <f>COUNTIFS(List_Of_chek_list!M:M,"&lt;&gt;26",List_Of_chek_list!B:B,'Partner data'!DG322)</f>
        <v>0</v>
      </c>
      <c r="DK322" s="20">
        <f t="shared" si="142"/>
        <v>0</v>
      </c>
      <c r="DL322" s="19" t="str">
        <f>IF(DH322="Tasso Forfettario 20%",SUMIFS(List_Of_chek_list!#REF!,List_Of_chek_list!B:B,'Partner data'!DG322),"NON PERTINENTE")</f>
        <v>NON PERTINENTE</v>
      </c>
      <c r="DM322" s="19" t="str">
        <f t="shared" si="143"/>
        <v>NON PERTINENTE</v>
      </c>
      <c r="DN322" s="110">
        <f>_xlfn.MAXIFS('MY-REPORT-MAIN'!K:K,'MY-REPORT-MAIN'!C:C,DG322)</f>
        <v>0</v>
      </c>
      <c r="DO322" s="112" t="str">
        <f>IF(_xlfn.MAXIFS('MY-REPORT-MAIN'!M:M,'MY-REPORT-MAIN'!C:C,DG322)=0,"Nessun rendiconto  Convalidato",_xlfn.MAXIFS('MY-REPORT-MAIN'!M:M,'MY-REPORT-MAIN'!C:C,DG322))</f>
        <v>Nessun rendiconto  Convalidato</v>
      </c>
      <c r="DP322" s="113" t="str" cm="1">
        <f t="array" ref="DP322">IFERROR(INDEX('MY-REPORT-MAIN'!A:Z,MATCH(1,(DO322='MY-REPORT-MAIN'!M:M)*('Partner data'!DG322='MY-REPORT-MAIN'!C:C),0),1),"NON è stato convalidato ancora nessun rendiconto")</f>
        <v>NON è stato convalidato ancora nessun rendiconto</v>
      </c>
      <c r="DQ322" s="111" t="str">
        <f>IFERROR(INDEX('MY-REPORT-MAIN'!A:Z,MATCH('Partner data'!DP322,'MY-REPORT-MAIN'!A:A,0),21),"Nessun Rendiconto ancora convalidato")</f>
        <v>Nessun Rendiconto ancora convalidato</v>
      </c>
      <c r="DR322" s="110" t="e">
        <f>INDEX('Interreg VI-A Italy-Slovenia_pr'!A:E,MATCH('Partner data'!C322,'Interreg VI-A Italy-Slovenia_pr'!A:A,0),3)</f>
        <v>#N/A</v>
      </c>
      <c r="DS322" s="118">
        <f t="shared" si="104"/>
        <v>34378.68</v>
      </c>
      <c r="DT322" s="118">
        <f t="shared" si="105"/>
        <v>66216.36</v>
      </c>
      <c r="DU322" s="118">
        <f t="shared" si="106"/>
        <v>100595.04000000001</v>
      </c>
      <c r="DV322" s="118">
        <f t="shared" si="107"/>
        <v>132432.72</v>
      </c>
      <c r="DW322" s="118">
        <f t="shared" si="108"/>
        <v>132432.72</v>
      </c>
      <c r="DX322" s="118">
        <f t="shared" si="109"/>
        <v>132432.72</v>
      </c>
      <c r="DY322" s="118">
        <f t="shared" si="110"/>
        <v>132432.72</v>
      </c>
      <c r="DZ322" s="118">
        <f t="shared" si="111"/>
        <v>132432.72</v>
      </c>
      <c r="EA322" s="118">
        <f t="shared" si="112"/>
        <v>132432.72</v>
      </c>
      <c r="EB322" s="118">
        <f t="shared" si="113"/>
        <v>132432.72</v>
      </c>
    </row>
    <row r="323" spans="1:132" ht="45" x14ac:dyDescent="0.25">
      <c r="A323" s="121">
        <v>6</v>
      </c>
      <c r="B323" s="122" t="s">
        <v>2688</v>
      </c>
      <c r="C323" s="123" t="s">
        <v>4127</v>
      </c>
      <c r="D323" s="123" t="s">
        <v>4128</v>
      </c>
      <c r="E323" s="123" t="s">
        <v>4129</v>
      </c>
      <c r="F323" s="123" t="s">
        <v>1118</v>
      </c>
      <c r="G323" s="123" t="s">
        <v>6118</v>
      </c>
      <c r="H323" s="123" t="s">
        <v>691</v>
      </c>
      <c r="I323" s="123" t="s">
        <v>945</v>
      </c>
      <c r="J323" s="124" t="s">
        <v>554</v>
      </c>
      <c r="K323" s="124" t="s">
        <v>495</v>
      </c>
      <c r="L323" s="124" t="s">
        <v>519</v>
      </c>
      <c r="M323" s="124" t="s">
        <v>4157</v>
      </c>
      <c r="N323" s="124" t="s">
        <v>4158</v>
      </c>
      <c r="O323" s="124" t="s">
        <v>4158</v>
      </c>
      <c r="P323" s="124" t="s">
        <v>254</v>
      </c>
      <c r="Q323" s="124" t="s">
        <v>499</v>
      </c>
      <c r="R323" s="124" t="s">
        <v>265</v>
      </c>
      <c r="S323" s="32">
        <v>88020.800000000003</v>
      </c>
      <c r="T323" s="32">
        <v>80</v>
      </c>
      <c r="U323" s="32">
        <v>13.8</v>
      </c>
      <c r="V323" s="32">
        <v>0</v>
      </c>
      <c r="W323" s="32">
        <v>0</v>
      </c>
      <c r="X323" s="32">
        <v>0</v>
      </c>
      <c r="Y323" s="32">
        <v>0</v>
      </c>
      <c r="Z323" s="32">
        <v>0</v>
      </c>
      <c r="AA323" s="32">
        <v>0</v>
      </c>
      <c r="AB323" s="32">
        <v>0</v>
      </c>
      <c r="AC323" s="32">
        <v>0</v>
      </c>
      <c r="AD323" s="32">
        <v>0</v>
      </c>
      <c r="AE323" s="32">
        <v>0</v>
      </c>
      <c r="AF323" s="32">
        <v>0</v>
      </c>
      <c r="AG323" s="32">
        <v>0</v>
      </c>
      <c r="AH323" s="32">
        <v>0</v>
      </c>
      <c r="AI323" s="32">
        <v>0</v>
      </c>
      <c r="AJ323" s="32">
        <v>0</v>
      </c>
      <c r="AK323" s="32">
        <v>0</v>
      </c>
      <c r="AL323" s="32">
        <v>0</v>
      </c>
      <c r="AM323" s="32">
        <v>0</v>
      </c>
      <c r="AN323" s="32">
        <v>0</v>
      </c>
      <c r="AO323" s="32">
        <v>22005.200000000001</v>
      </c>
      <c r="AP323" s="32">
        <v>0</v>
      </c>
      <c r="AQ323" s="32">
        <v>22005.200000000001</v>
      </c>
      <c r="AR323" s="32">
        <v>110026</v>
      </c>
      <c r="AS323" s="32">
        <v>13.8</v>
      </c>
      <c r="AT323" s="32">
        <v>78590</v>
      </c>
      <c r="AU323" s="32">
        <v>0</v>
      </c>
      <c r="AV323" s="32">
        <v>0</v>
      </c>
      <c r="AW323" s="32">
        <v>78590</v>
      </c>
      <c r="AX323" s="32">
        <v>0</v>
      </c>
      <c r="AY323" s="32">
        <v>0</v>
      </c>
      <c r="AZ323" s="32">
        <v>0</v>
      </c>
      <c r="BA323" s="32">
        <v>0</v>
      </c>
      <c r="BB323" s="32">
        <v>0</v>
      </c>
      <c r="BC323" s="32">
        <v>0</v>
      </c>
      <c r="BD323" s="32">
        <v>0</v>
      </c>
      <c r="BE323" s="32">
        <v>0</v>
      </c>
      <c r="BF323" s="32">
        <v>0</v>
      </c>
      <c r="BG323" s="32">
        <v>0</v>
      </c>
      <c r="BH323" s="32">
        <v>0</v>
      </c>
      <c r="BI323" s="32">
        <v>0</v>
      </c>
      <c r="BJ323" s="32">
        <v>0</v>
      </c>
      <c r="BK323" s="32">
        <v>0</v>
      </c>
      <c r="BL323" s="32">
        <v>0</v>
      </c>
      <c r="BM323" s="32">
        <v>31436</v>
      </c>
      <c r="BN323" s="32">
        <v>0</v>
      </c>
      <c r="BO323" s="32">
        <v>0</v>
      </c>
      <c r="BP323" s="32">
        <v>0</v>
      </c>
      <c r="BQ323" s="32">
        <v>28450.799999999999</v>
      </c>
      <c r="BR323" s="32">
        <v>28450.799999999999</v>
      </c>
      <c r="BS323" s="32">
        <v>28452.2</v>
      </c>
      <c r="BT323" s="32">
        <v>24672.2</v>
      </c>
      <c r="BU323" s="32">
        <v>0</v>
      </c>
      <c r="BV323" s="32">
        <v>0</v>
      </c>
      <c r="BW323" s="32">
        <v>0</v>
      </c>
      <c r="BX323" s="32">
        <v>0</v>
      </c>
      <c r="BY323" s="32">
        <v>0</v>
      </c>
      <c r="BZ323" s="32">
        <v>0</v>
      </c>
      <c r="CA323" s="32">
        <v>0</v>
      </c>
      <c r="CB323" s="125" t="s">
        <v>212</v>
      </c>
      <c r="CC323" s="125" t="s">
        <v>887</v>
      </c>
      <c r="CD323" s="125"/>
      <c r="CE323" s="125" t="s">
        <v>501</v>
      </c>
      <c r="CF323" s="125" t="s">
        <v>2286</v>
      </c>
      <c r="CG323" s="125" t="s">
        <v>4159</v>
      </c>
      <c r="CH323" s="125" t="s">
        <v>526</v>
      </c>
      <c r="CI323" s="125" t="s">
        <v>4159</v>
      </c>
      <c r="CJ323" s="125" t="s">
        <v>4160</v>
      </c>
      <c r="CK323" s="125" t="s">
        <v>4161</v>
      </c>
      <c r="CL323" s="125" t="s">
        <v>212</v>
      </c>
      <c r="CM323" s="125"/>
      <c r="CN323" s="125" t="s">
        <v>254</v>
      </c>
      <c r="CO323" s="125" t="s">
        <v>265</v>
      </c>
      <c r="CP323" s="125" t="s">
        <v>4162</v>
      </c>
      <c r="CQ323" s="125" t="s">
        <v>4163</v>
      </c>
      <c r="CR323" s="125" t="s">
        <v>4164</v>
      </c>
      <c r="CS323" s="125" t="s">
        <v>4165</v>
      </c>
      <c r="CT323" s="125" t="s">
        <v>254</v>
      </c>
      <c r="CU323" s="125" t="s">
        <v>265</v>
      </c>
      <c r="CV323" s="125" t="s">
        <v>725</v>
      </c>
      <c r="CW323" s="125" t="s">
        <v>665</v>
      </c>
      <c r="CX323" s="125" t="s">
        <v>665</v>
      </c>
      <c r="CY323" s="125" t="s">
        <v>740</v>
      </c>
      <c r="CZ323" s="125" t="s">
        <v>2691</v>
      </c>
      <c r="DA323" s="125" t="s">
        <v>3944</v>
      </c>
      <c r="DB323" s="125" t="s">
        <v>740</v>
      </c>
      <c r="DC323" s="125" t="s">
        <v>2691</v>
      </c>
      <c r="DD323" s="125" t="s">
        <v>3944</v>
      </c>
      <c r="DE323" s="125" t="s">
        <v>4166</v>
      </c>
      <c r="DF323" s="126" t="s">
        <v>4167</v>
      </c>
      <c r="DG323" s="27" cm="1">
        <f t="array" ref="DG323">INDEX('elenco partner'!A:M,MATCH(1,(D323='elenco partner'!A:A)*('Partner data'!M323='elenco partner'!E:E),0),4)</f>
        <v>735</v>
      </c>
      <c r="DH323" s="83" t="str">
        <f t="shared" si="141"/>
        <v>Costo Unitario Standard</v>
      </c>
      <c r="DI323" s="20">
        <f>COUNTIFS('MY-REPORT-MAIN'!C:C,'Partner data'!DG323,'MY-REPORT-MAIN'!I:I,"Certified")</f>
        <v>0</v>
      </c>
      <c r="DJ323" s="20">
        <f>COUNTIFS(List_Of_chek_list!M:M,"&lt;&gt;26",List_Of_chek_list!B:B,'Partner data'!DG323)</f>
        <v>0</v>
      </c>
      <c r="DK323" s="20">
        <f t="shared" si="142"/>
        <v>0</v>
      </c>
      <c r="DL323" s="19" t="str">
        <f>IF(DH323="Tasso Forfettario 20%",SUMIFS(List_Of_chek_list!#REF!,List_Of_chek_list!B:B,'Partner data'!DG323),"NON PERTINENTE")</f>
        <v>NON PERTINENTE</v>
      </c>
      <c r="DM323" s="19" t="str">
        <f t="shared" si="143"/>
        <v>NON PERTINENTE</v>
      </c>
      <c r="DN323" s="110">
        <f>_xlfn.MAXIFS('MY-REPORT-MAIN'!K:K,'MY-REPORT-MAIN'!C:C,DG323)</f>
        <v>0</v>
      </c>
      <c r="DO323" s="112" t="str">
        <f>IF(_xlfn.MAXIFS('MY-REPORT-MAIN'!M:M,'MY-REPORT-MAIN'!C:C,DG323)=0,"Nessun rendiconto  Convalidato",_xlfn.MAXIFS('MY-REPORT-MAIN'!M:M,'MY-REPORT-MAIN'!C:C,DG323))</f>
        <v>Nessun rendiconto  Convalidato</v>
      </c>
      <c r="DP323" s="113" t="str" cm="1">
        <f t="array" ref="DP323">IFERROR(INDEX('MY-REPORT-MAIN'!A:Z,MATCH(1,(DO323='MY-REPORT-MAIN'!M:M)*('Partner data'!DG323='MY-REPORT-MAIN'!C:C),0),1),"NON è stato convalidato ancora nessun rendiconto")</f>
        <v>NON è stato convalidato ancora nessun rendiconto</v>
      </c>
      <c r="DQ323" s="111" t="str">
        <f>IFERROR(INDEX('MY-REPORT-MAIN'!A:Z,MATCH('Partner data'!DP323,'MY-REPORT-MAIN'!A:A,0),21),"Nessun Rendiconto ancora convalidato")</f>
        <v>Nessun Rendiconto ancora convalidato</v>
      </c>
      <c r="DR323" s="110" t="e">
        <f>INDEX('Interreg VI-A Italy-Slovenia_pr'!A:E,MATCH('Partner data'!C323,'Interreg VI-A Italy-Slovenia_pr'!A:A,0),3)</f>
        <v>#N/A</v>
      </c>
      <c r="DS323" s="118">
        <f t="shared" ref="DS323:DS335" si="144">BP323+BQ323</f>
        <v>28450.799999999999</v>
      </c>
      <c r="DT323" s="118">
        <f t="shared" ref="DT323:DT335" si="145">DS323+BR323</f>
        <v>56901.599999999999</v>
      </c>
      <c r="DU323" s="118">
        <f t="shared" ref="DU323:DU335" si="146">DT323+BS323</f>
        <v>85353.8</v>
      </c>
      <c r="DV323" s="118">
        <f t="shared" ref="DV323:DV335" si="147">DU323+BT323</f>
        <v>110026</v>
      </c>
      <c r="DW323" s="118">
        <f t="shared" ref="DW323:DW335" si="148">DV323+BU323</f>
        <v>110026</v>
      </c>
      <c r="DX323" s="118">
        <f t="shared" ref="DX323:DX335" si="149">DW323+BV323</f>
        <v>110026</v>
      </c>
      <c r="DY323" s="118">
        <f t="shared" ref="DY323:DY335" si="150">DX323+BW323</f>
        <v>110026</v>
      </c>
      <c r="DZ323" s="118">
        <f t="shared" ref="DZ323:DZ335" si="151">DY323+BX323</f>
        <v>110026</v>
      </c>
      <c r="EA323" s="118">
        <f t="shared" ref="EA323:EA335" si="152">DZ323+BY323</f>
        <v>110026</v>
      </c>
      <c r="EB323" s="118">
        <f t="shared" ref="EB323:EB335" si="153">EA323+BZ323</f>
        <v>110026</v>
      </c>
    </row>
    <row r="324" spans="1:132" ht="45" x14ac:dyDescent="0.25">
      <c r="A324" s="121">
        <v>6</v>
      </c>
      <c r="B324" s="122" t="s">
        <v>2688</v>
      </c>
      <c r="C324" s="123" t="s">
        <v>4127</v>
      </c>
      <c r="D324" s="123" t="s">
        <v>4128</v>
      </c>
      <c r="E324" s="123" t="s">
        <v>4129</v>
      </c>
      <c r="F324" s="123" t="s">
        <v>1118</v>
      </c>
      <c r="G324" s="123" t="s">
        <v>6118</v>
      </c>
      <c r="H324" s="123" t="s">
        <v>691</v>
      </c>
      <c r="I324" s="123" t="s">
        <v>945</v>
      </c>
      <c r="J324" s="124" t="s">
        <v>570</v>
      </c>
      <c r="K324" s="124" t="s">
        <v>495</v>
      </c>
      <c r="L324" s="124" t="s">
        <v>519</v>
      </c>
      <c r="M324" s="124" t="s">
        <v>4168</v>
      </c>
      <c r="N324" s="124" t="s">
        <v>4169</v>
      </c>
      <c r="O324" s="124" t="s">
        <v>4170</v>
      </c>
      <c r="P324" s="124" t="s">
        <v>257</v>
      </c>
      <c r="Q324" s="124" t="s">
        <v>556</v>
      </c>
      <c r="R324" s="124" t="s">
        <v>258</v>
      </c>
      <c r="S324" s="32">
        <v>126604.8</v>
      </c>
      <c r="T324" s="32">
        <v>80</v>
      </c>
      <c r="U324" s="32">
        <v>19.850000000000001</v>
      </c>
      <c r="V324" s="32">
        <v>0</v>
      </c>
      <c r="W324" s="32">
        <v>0</v>
      </c>
      <c r="X324" s="32">
        <v>0</v>
      </c>
      <c r="Y324" s="32">
        <v>0</v>
      </c>
      <c r="Z324" s="32">
        <v>0</v>
      </c>
      <c r="AA324" s="32">
        <v>0</v>
      </c>
      <c r="AB324" s="32">
        <v>0</v>
      </c>
      <c r="AC324" s="32">
        <v>0</v>
      </c>
      <c r="AD324" s="32">
        <v>0</v>
      </c>
      <c r="AE324" s="32">
        <v>0</v>
      </c>
      <c r="AF324" s="32">
        <v>0</v>
      </c>
      <c r="AG324" s="32">
        <v>0</v>
      </c>
      <c r="AH324" s="32">
        <v>0</v>
      </c>
      <c r="AI324" s="32">
        <v>0</v>
      </c>
      <c r="AJ324" s="32">
        <v>0</v>
      </c>
      <c r="AK324" s="32">
        <v>0</v>
      </c>
      <c r="AL324" s="32">
        <v>0</v>
      </c>
      <c r="AM324" s="32">
        <v>0</v>
      </c>
      <c r="AN324" s="32">
        <v>0</v>
      </c>
      <c r="AO324" s="32">
        <v>0</v>
      </c>
      <c r="AP324" s="32">
        <v>31651.200000000001</v>
      </c>
      <c r="AQ324" s="32">
        <v>31651.200000000001</v>
      </c>
      <c r="AR324" s="32">
        <v>158256</v>
      </c>
      <c r="AS324" s="32">
        <v>19.850000000000001</v>
      </c>
      <c r="AT324" s="32">
        <v>113040</v>
      </c>
      <c r="AU324" s="32">
        <v>0</v>
      </c>
      <c r="AV324" s="32">
        <v>113040</v>
      </c>
      <c r="AW324" s="32">
        <v>0</v>
      </c>
      <c r="AX324" s="32">
        <v>0</v>
      </c>
      <c r="AY324" s="32">
        <v>0</v>
      </c>
      <c r="AZ324" s="32">
        <v>0</v>
      </c>
      <c r="BA324" s="32">
        <v>0</v>
      </c>
      <c r="BB324" s="32">
        <v>0</v>
      </c>
      <c r="BC324" s="32">
        <v>0</v>
      </c>
      <c r="BD324" s="32">
        <v>0</v>
      </c>
      <c r="BE324" s="32">
        <v>0</v>
      </c>
      <c r="BF324" s="32">
        <v>0</v>
      </c>
      <c r="BG324" s="32">
        <v>0</v>
      </c>
      <c r="BH324" s="32">
        <v>0</v>
      </c>
      <c r="BI324" s="32">
        <v>0</v>
      </c>
      <c r="BJ324" s="32">
        <v>0</v>
      </c>
      <c r="BK324" s="32">
        <v>0</v>
      </c>
      <c r="BL324" s="32">
        <v>0</v>
      </c>
      <c r="BM324" s="32">
        <v>45216</v>
      </c>
      <c r="BN324" s="32">
        <v>0</v>
      </c>
      <c r="BO324" s="32">
        <v>0</v>
      </c>
      <c r="BP324" s="32">
        <v>0</v>
      </c>
      <c r="BQ324" s="32">
        <v>34664</v>
      </c>
      <c r="BR324" s="32">
        <v>39564</v>
      </c>
      <c r="BS324" s="32">
        <v>44464</v>
      </c>
      <c r="BT324" s="32">
        <v>39564</v>
      </c>
      <c r="BU324" s="32">
        <v>0</v>
      </c>
      <c r="BV324" s="32">
        <v>0</v>
      </c>
      <c r="BW324" s="32">
        <v>0</v>
      </c>
      <c r="BX324" s="32">
        <v>0</v>
      </c>
      <c r="BY324" s="32">
        <v>0</v>
      </c>
      <c r="BZ324" s="32">
        <v>0</v>
      </c>
      <c r="CA324" s="32">
        <v>0</v>
      </c>
      <c r="CB324" s="125" t="s">
        <v>212</v>
      </c>
      <c r="CC324" s="125" t="s">
        <v>675</v>
      </c>
      <c r="CD324" s="125" t="s">
        <v>706</v>
      </c>
      <c r="CE324" s="125" t="s">
        <v>501</v>
      </c>
      <c r="CF324" s="125" t="s">
        <v>4171</v>
      </c>
      <c r="CG324" s="125" t="s">
        <v>4172</v>
      </c>
      <c r="CH324" s="125" t="s">
        <v>504</v>
      </c>
      <c r="CI324" s="125" t="s">
        <v>665</v>
      </c>
      <c r="CJ324" s="125" t="s">
        <v>212</v>
      </c>
      <c r="CK324" s="125" t="s">
        <v>4173</v>
      </c>
      <c r="CL324" s="125" t="s">
        <v>212</v>
      </c>
      <c r="CM324" s="125" t="s">
        <v>2040</v>
      </c>
      <c r="CN324" s="125" t="s">
        <v>257</v>
      </c>
      <c r="CO324" s="125" t="s">
        <v>258</v>
      </c>
      <c r="CP324" s="125" t="s">
        <v>4174</v>
      </c>
      <c r="CQ324" s="125" t="s">
        <v>620</v>
      </c>
      <c r="CR324" s="125" t="s">
        <v>621</v>
      </c>
      <c r="CS324" s="125" t="s">
        <v>4175</v>
      </c>
      <c r="CT324" s="125" t="s">
        <v>257</v>
      </c>
      <c r="CU324" s="125" t="s">
        <v>258</v>
      </c>
      <c r="CV324" s="125" t="s">
        <v>725</v>
      </c>
      <c r="CW324" s="125" t="s">
        <v>665</v>
      </c>
      <c r="CX324" s="125" t="s">
        <v>665</v>
      </c>
      <c r="CY324" s="125" t="s">
        <v>654</v>
      </c>
      <c r="CZ324" s="125" t="s">
        <v>1969</v>
      </c>
      <c r="DA324" s="125" t="s">
        <v>4176</v>
      </c>
      <c r="DB324" s="125" t="s">
        <v>654</v>
      </c>
      <c r="DC324" s="125" t="s">
        <v>4177</v>
      </c>
      <c r="DD324" s="125" t="s">
        <v>4178</v>
      </c>
      <c r="DE324" s="125" t="s">
        <v>4179</v>
      </c>
      <c r="DF324" s="126" t="s">
        <v>4180</v>
      </c>
      <c r="DG324" s="27" cm="1">
        <f t="array" ref="DG324">INDEX('elenco partner'!A:M,MATCH(1,(D324='elenco partner'!A:A)*('Partner data'!M324='elenco partner'!E:E),0),4)</f>
        <v>736</v>
      </c>
      <c r="DH324" s="83" t="str">
        <f t="shared" si="141"/>
        <v>COSTO REALE</v>
      </c>
      <c r="DI324" s="20">
        <f>COUNTIFS('MY-REPORT-MAIN'!C:C,'Partner data'!DG324,'MY-REPORT-MAIN'!I:I,"Certified")</f>
        <v>0</v>
      </c>
      <c r="DJ324" s="20">
        <f>COUNTIFS(List_Of_chek_list!M:M,"&lt;&gt;26",List_Of_chek_list!B:B,'Partner data'!DG324)</f>
        <v>0</v>
      </c>
      <c r="DK324" s="20">
        <f t="shared" si="142"/>
        <v>0</v>
      </c>
      <c r="DL324" s="19" t="str">
        <f>IF(DH324="Tasso Forfettario 20%",SUMIFS(List_Of_chek_list!#REF!,List_Of_chek_list!B:B,'Partner data'!DG324),"NON PERTINENTE")</f>
        <v>NON PERTINENTE</v>
      </c>
      <c r="DM324" s="19" t="str">
        <f t="shared" si="143"/>
        <v>NON PERTINENTE</v>
      </c>
      <c r="DN324" s="110">
        <f>_xlfn.MAXIFS('MY-REPORT-MAIN'!K:K,'MY-REPORT-MAIN'!C:C,DG324)</f>
        <v>0</v>
      </c>
      <c r="DO324" s="112" t="str">
        <f>IF(_xlfn.MAXIFS('MY-REPORT-MAIN'!M:M,'MY-REPORT-MAIN'!C:C,DG324)=0,"Nessun rendiconto  Convalidato",_xlfn.MAXIFS('MY-REPORT-MAIN'!M:M,'MY-REPORT-MAIN'!C:C,DG324))</f>
        <v>Nessun rendiconto  Convalidato</v>
      </c>
      <c r="DP324" s="113" t="str" cm="1">
        <f t="array" ref="DP324">IFERROR(INDEX('MY-REPORT-MAIN'!A:Z,MATCH(1,(DO324='MY-REPORT-MAIN'!M:M)*('Partner data'!DG324='MY-REPORT-MAIN'!C:C),0),1),"NON è stato convalidato ancora nessun rendiconto")</f>
        <v>NON è stato convalidato ancora nessun rendiconto</v>
      </c>
      <c r="DQ324" s="111" t="str">
        <f>IFERROR(INDEX('MY-REPORT-MAIN'!A:Z,MATCH('Partner data'!DP324,'MY-REPORT-MAIN'!A:A,0),21),"Nessun Rendiconto ancora convalidato")</f>
        <v>Nessun Rendiconto ancora convalidato</v>
      </c>
      <c r="DR324" s="110" t="e">
        <f>INDEX('Interreg VI-A Italy-Slovenia_pr'!A:E,MATCH('Partner data'!C324,'Interreg VI-A Italy-Slovenia_pr'!A:A,0),3)</f>
        <v>#N/A</v>
      </c>
      <c r="DS324" s="118">
        <f t="shared" si="144"/>
        <v>34664</v>
      </c>
      <c r="DT324" s="118">
        <f t="shared" si="145"/>
        <v>74228</v>
      </c>
      <c r="DU324" s="118">
        <f t="shared" si="146"/>
        <v>118692</v>
      </c>
      <c r="DV324" s="118">
        <f t="shared" si="147"/>
        <v>158256</v>
      </c>
      <c r="DW324" s="118">
        <f t="shared" si="148"/>
        <v>158256</v>
      </c>
      <c r="DX324" s="118">
        <f t="shared" si="149"/>
        <v>158256</v>
      </c>
      <c r="DY324" s="118">
        <f t="shared" si="150"/>
        <v>158256</v>
      </c>
      <c r="DZ324" s="118">
        <f t="shared" si="151"/>
        <v>158256</v>
      </c>
      <c r="EA324" s="118">
        <f t="shared" si="152"/>
        <v>158256</v>
      </c>
      <c r="EB324" s="118">
        <f t="shared" si="153"/>
        <v>158256</v>
      </c>
    </row>
    <row r="325" spans="1:132" ht="45" x14ac:dyDescent="0.25">
      <c r="A325" s="121">
        <v>6</v>
      </c>
      <c r="B325" s="122" t="s">
        <v>2688</v>
      </c>
      <c r="C325" s="123" t="s">
        <v>4127</v>
      </c>
      <c r="D325" s="123" t="s">
        <v>4128</v>
      </c>
      <c r="E325" s="123" t="s">
        <v>4129</v>
      </c>
      <c r="F325" s="123" t="s">
        <v>1118</v>
      </c>
      <c r="G325" s="123" t="s">
        <v>6118</v>
      </c>
      <c r="H325" s="123" t="s">
        <v>691</v>
      </c>
      <c r="I325" s="123" t="s">
        <v>945</v>
      </c>
      <c r="J325" s="124" t="s">
        <v>581</v>
      </c>
      <c r="K325" s="124" t="s">
        <v>495</v>
      </c>
      <c r="L325" s="124" t="s">
        <v>519</v>
      </c>
      <c r="M325" s="124" t="s">
        <v>4181</v>
      </c>
      <c r="N325" s="124" t="s">
        <v>4182</v>
      </c>
      <c r="O325" s="124" t="s">
        <v>4182</v>
      </c>
      <c r="P325" s="124" t="s">
        <v>254</v>
      </c>
      <c r="Q325" s="124" t="s">
        <v>499</v>
      </c>
      <c r="R325" s="124" t="s">
        <v>255</v>
      </c>
      <c r="S325" s="32">
        <v>76000.06</v>
      </c>
      <c r="T325" s="32">
        <v>80</v>
      </c>
      <c r="U325" s="32">
        <v>11.91</v>
      </c>
      <c r="V325" s="32">
        <v>0</v>
      </c>
      <c r="W325" s="32">
        <v>0</v>
      </c>
      <c r="X325" s="32">
        <v>0</v>
      </c>
      <c r="Y325" s="32">
        <v>0</v>
      </c>
      <c r="Z325" s="32">
        <v>0</v>
      </c>
      <c r="AA325" s="32">
        <v>0</v>
      </c>
      <c r="AB325" s="32">
        <v>0</v>
      </c>
      <c r="AC325" s="32">
        <v>0</v>
      </c>
      <c r="AD325" s="32">
        <v>0</v>
      </c>
      <c r="AE325" s="32">
        <v>0</v>
      </c>
      <c r="AF325" s="32">
        <v>0</v>
      </c>
      <c r="AG325" s="32">
        <v>0</v>
      </c>
      <c r="AH325" s="32">
        <v>0</v>
      </c>
      <c r="AI325" s="32">
        <v>0</v>
      </c>
      <c r="AJ325" s="32">
        <v>0</v>
      </c>
      <c r="AK325" s="32">
        <v>0</v>
      </c>
      <c r="AL325" s="32">
        <v>0</v>
      </c>
      <c r="AM325" s="32">
        <v>0</v>
      </c>
      <c r="AN325" s="32">
        <v>0</v>
      </c>
      <c r="AO325" s="32">
        <v>19000.02</v>
      </c>
      <c r="AP325" s="32">
        <v>0</v>
      </c>
      <c r="AQ325" s="32">
        <v>19000.02</v>
      </c>
      <c r="AR325" s="32">
        <v>95000.08</v>
      </c>
      <c r="AS325" s="32">
        <v>11.91</v>
      </c>
      <c r="AT325" s="32">
        <v>67857.2</v>
      </c>
      <c r="AU325" s="32">
        <v>0</v>
      </c>
      <c r="AV325" s="32">
        <v>67857.2</v>
      </c>
      <c r="AW325" s="32">
        <v>0</v>
      </c>
      <c r="AX325" s="32">
        <v>0</v>
      </c>
      <c r="AY325" s="32">
        <v>0</v>
      </c>
      <c r="AZ325" s="32">
        <v>0</v>
      </c>
      <c r="BA325" s="32">
        <v>0</v>
      </c>
      <c r="BB325" s="32">
        <v>0</v>
      </c>
      <c r="BC325" s="32">
        <v>0</v>
      </c>
      <c r="BD325" s="32">
        <v>0</v>
      </c>
      <c r="BE325" s="32">
        <v>0</v>
      </c>
      <c r="BF325" s="32">
        <v>0</v>
      </c>
      <c r="BG325" s="32">
        <v>0</v>
      </c>
      <c r="BH325" s="32">
        <v>0</v>
      </c>
      <c r="BI325" s="32">
        <v>0</v>
      </c>
      <c r="BJ325" s="32">
        <v>0</v>
      </c>
      <c r="BK325" s="32">
        <v>0</v>
      </c>
      <c r="BL325" s="32">
        <v>0</v>
      </c>
      <c r="BM325" s="32">
        <v>27142.880000000001</v>
      </c>
      <c r="BN325" s="32">
        <v>0</v>
      </c>
      <c r="BO325" s="32">
        <v>0</v>
      </c>
      <c r="BP325" s="32">
        <v>0</v>
      </c>
      <c r="BQ325" s="32">
        <v>23737</v>
      </c>
      <c r="BR325" s="32">
        <v>23737</v>
      </c>
      <c r="BS325" s="32">
        <v>23737</v>
      </c>
      <c r="BT325" s="32">
        <v>23789.08</v>
      </c>
      <c r="BU325" s="32">
        <v>0</v>
      </c>
      <c r="BV325" s="32">
        <v>0</v>
      </c>
      <c r="BW325" s="32">
        <v>0</v>
      </c>
      <c r="BX325" s="32">
        <v>0</v>
      </c>
      <c r="BY325" s="32">
        <v>0</v>
      </c>
      <c r="BZ325" s="32">
        <v>0</v>
      </c>
      <c r="CA325" s="32">
        <v>0</v>
      </c>
      <c r="CB325" s="125" t="s">
        <v>212</v>
      </c>
      <c r="CC325" s="125" t="s">
        <v>675</v>
      </c>
      <c r="CD325" s="125" t="s">
        <v>706</v>
      </c>
      <c r="CE325" s="125" t="s">
        <v>501</v>
      </c>
      <c r="CF325" s="125" t="s">
        <v>1413</v>
      </c>
      <c r="CG325" s="125" t="s">
        <v>1414</v>
      </c>
      <c r="CH325" s="125" t="s">
        <v>619</v>
      </c>
      <c r="CI325" s="125" t="s">
        <v>665</v>
      </c>
      <c r="CJ325" s="125" t="s">
        <v>212</v>
      </c>
      <c r="CK325" s="125" t="s">
        <v>1415</v>
      </c>
      <c r="CL325" s="125" t="s">
        <v>212</v>
      </c>
      <c r="CM325" s="125"/>
      <c r="CN325" s="125" t="s">
        <v>254</v>
      </c>
      <c r="CO325" s="125" t="s">
        <v>255</v>
      </c>
      <c r="CP325" s="125" t="s">
        <v>1877</v>
      </c>
      <c r="CQ325" s="125" t="s">
        <v>1342</v>
      </c>
      <c r="CR325" s="125" t="s">
        <v>529</v>
      </c>
      <c r="CS325" s="125" t="s">
        <v>1640</v>
      </c>
      <c r="CT325" s="125" t="s">
        <v>254</v>
      </c>
      <c r="CU325" s="125" t="s">
        <v>255</v>
      </c>
      <c r="CV325" s="125" t="s">
        <v>725</v>
      </c>
      <c r="CW325" s="125" t="s">
        <v>665</v>
      </c>
      <c r="CX325" s="125" t="s">
        <v>665</v>
      </c>
      <c r="CY325" s="125" t="s">
        <v>622</v>
      </c>
      <c r="CZ325" s="125" t="s">
        <v>1360</v>
      </c>
      <c r="DA325" s="125" t="s">
        <v>1878</v>
      </c>
      <c r="DB325" s="125" t="s">
        <v>622</v>
      </c>
      <c r="DC325" s="125" t="s">
        <v>1644</v>
      </c>
      <c r="DD325" s="125" t="s">
        <v>1422</v>
      </c>
      <c r="DE325" s="125" t="s">
        <v>1423</v>
      </c>
      <c r="DF325" s="126" t="s">
        <v>4183</v>
      </c>
      <c r="DG325" s="27" cm="1">
        <f t="array" ref="DG325">INDEX('elenco partner'!A:M,MATCH(1,(D325='elenco partner'!A:A)*('Partner data'!M325='elenco partner'!E:E),0),4)</f>
        <v>737</v>
      </c>
      <c r="DH325" s="83" t="str">
        <f t="shared" si="141"/>
        <v>COSTO REALE</v>
      </c>
      <c r="DI325" s="20">
        <f>COUNTIFS('MY-REPORT-MAIN'!C:C,'Partner data'!DG325,'MY-REPORT-MAIN'!I:I,"Certified")</f>
        <v>0</v>
      </c>
      <c r="DJ325" s="20">
        <f>COUNTIFS(List_Of_chek_list!M:M,"&lt;&gt;26",List_Of_chek_list!B:B,'Partner data'!DG325)</f>
        <v>0</v>
      </c>
      <c r="DK325" s="20">
        <f t="shared" si="142"/>
        <v>0</v>
      </c>
      <c r="DL325" s="19" t="str">
        <f>IF(DH325="Tasso Forfettario 20%",SUMIFS(List_Of_chek_list!#REF!,List_Of_chek_list!B:B,'Partner data'!DG325),"NON PERTINENTE")</f>
        <v>NON PERTINENTE</v>
      </c>
      <c r="DM325" s="19" t="str">
        <f t="shared" si="143"/>
        <v>NON PERTINENTE</v>
      </c>
      <c r="DN325" s="110">
        <f>_xlfn.MAXIFS('MY-REPORT-MAIN'!K:K,'MY-REPORT-MAIN'!C:C,DG325)</f>
        <v>0</v>
      </c>
      <c r="DO325" s="112" t="str">
        <f>IF(_xlfn.MAXIFS('MY-REPORT-MAIN'!M:M,'MY-REPORT-MAIN'!C:C,DG325)=0,"Nessun rendiconto  Convalidato",_xlfn.MAXIFS('MY-REPORT-MAIN'!M:M,'MY-REPORT-MAIN'!C:C,DG325))</f>
        <v>Nessun rendiconto  Convalidato</v>
      </c>
      <c r="DP325" s="113" t="str" cm="1">
        <f t="array" ref="DP325">IFERROR(INDEX('MY-REPORT-MAIN'!A:Z,MATCH(1,(DO325='MY-REPORT-MAIN'!M:M)*('Partner data'!DG325='MY-REPORT-MAIN'!C:C),0),1),"NON è stato convalidato ancora nessun rendiconto")</f>
        <v>NON è stato convalidato ancora nessun rendiconto</v>
      </c>
      <c r="DQ325" s="111" t="str">
        <f>IFERROR(INDEX('MY-REPORT-MAIN'!A:Z,MATCH('Partner data'!DP325,'MY-REPORT-MAIN'!A:A,0),21),"Nessun Rendiconto ancora convalidato")</f>
        <v>Nessun Rendiconto ancora convalidato</v>
      </c>
      <c r="DR325" s="110" t="e">
        <f>INDEX('Interreg VI-A Italy-Slovenia_pr'!A:E,MATCH('Partner data'!C325,'Interreg VI-A Italy-Slovenia_pr'!A:A,0),3)</f>
        <v>#N/A</v>
      </c>
      <c r="DS325" s="118">
        <f t="shared" si="144"/>
        <v>23737</v>
      </c>
      <c r="DT325" s="118">
        <f t="shared" si="145"/>
        <v>47474</v>
      </c>
      <c r="DU325" s="118">
        <f t="shared" si="146"/>
        <v>71211</v>
      </c>
      <c r="DV325" s="118">
        <f t="shared" si="147"/>
        <v>95000.08</v>
      </c>
      <c r="DW325" s="118">
        <f t="shared" si="148"/>
        <v>95000.08</v>
      </c>
      <c r="DX325" s="118">
        <f t="shared" si="149"/>
        <v>95000.08</v>
      </c>
      <c r="DY325" s="118">
        <f t="shared" si="150"/>
        <v>95000.08</v>
      </c>
      <c r="DZ325" s="118">
        <f t="shared" si="151"/>
        <v>95000.08</v>
      </c>
      <c r="EA325" s="118">
        <f t="shared" si="152"/>
        <v>95000.08</v>
      </c>
      <c r="EB325" s="118">
        <f t="shared" si="153"/>
        <v>95000.08</v>
      </c>
    </row>
    <row r="326" spans="1:132" ht="45" x14ac:dyDescent="0.25">
      <c r="A326" s="121">
        <v>6</v>
      </c>
      <c r="B326" s="122" t="s">
        <v>2688</v>
      </c>
      <c r="C326" s="123" t="s">
        <v>4184</v>
      </c>
      <c r="D326" s="123" t="s">
        <v>4185</v>
      </c>
      <c r="E326" s="123" t="s">
        <v>4186</v>
      </c>
      <c r="F326" s="123" t="s">
        <v>490</v>
      </c>
      <c r="G326" s="123" t="s">
        <v>6118</v>
      </c>
      <c r="H326" s="123" t="s">
        <v>691</v>
      </c>
      <c r="I326" s="123" t="s">
        <v>945</v>
      </c>
      <c r="J326" s="124" t="s">
        <v>494</v>
      </c>
      <c r="K326" s="124" t="s">
        <v>495</v>
      </c>
      <c r="L326" s="124" t="s">
        <v>496</v>
      </c>
      <c r="M326" s="124" t="s">
        <v>287</v>
      </c>
      <c r="N326" s="124" t="s">
        <v>4187</v>
      </c>
      <c r="O326" s="124" t="s">
        <v>1667</v>
      </c>
      <c r="P326" s="124" t="s">
        <v>257</v>
      </c>
      <c r="Q326" s="124" t="s">
        <v>556</v>
      </c>
      <c r="R326" s="124" t="s">
        <v>270</v>
      </c>
      <c r="S326" s="32">
        <v>170000</v>
      </c>
      <c r="T326" s="32">
        <v>80</v>
      </c>
      <c r="U326" s="32">
        <v>25.01</v>
      </c>
      <c r="V326" s="32">
        <v>0</v>
      </c>
      <c r="W326" s="32">
        <v>0</v>
      </c>
      <c r="X326" s="32">
        <v>0</v>
      </c>
      <c r="Y326" s="32">
        <v>0</v>
      </c>
      <c r="Z326" s="32">
        <v>0</v>
      </c>
      <c r="AA326" s="32">
        <v>0</v>
      </c>
      <c r="AB326" s="32">
        <v>0</v>
      </c>
      <c r="AC326" s="32">
        <v>0</v>
      </c>
      <c r="AD326" s="32">
        <v>0</v>
      </c>
      <c r="AE326" s="32">
        <v>0</v>
      </c>
      <c r="AF326" s="32">
        <v>0</v>
      </c>
      <c r="AG326" s="32">
        <v>0</v>
      </c>
      <c r="AH326" s="32">
        <v>0</v>
      </c>
      <c r="AI326" s="32">
        <v>0</v>
      </c>
      <c r="AJ326" s="32">
        <v>0</v>
      </c>
      <c r="AK326" s="32">
        <v>0</v>
      </c>
      <c r="AL326" s="32">
        <v>0</v>
      </c>
      <c r="AM326" s="32">
        <v>0</v>
      </c>
      <c r="AN326" s="32">
        <v>42500</v>
      </c>
      <c r="AO326" s="32">
        <v>0</v>
      </c>
      <c r="AP326" s="32">
        <v>0</v>
      </c>
      <c r="AQ326" s="32">
        <v>42500</v>
      </c>
      <c r="AR326" s="32">
        <v>212500</v>
      </c>
      <c r="AS326" s="32">
        <v>25.01</v>
      </c>
      <c r="AT326" s="32">
        <v>151785.72</v>
      </c>
      <c r="AU326" s="32">
        <v>0</v>
      </c>
      <c r="AV326" s="32">
        <v>151785.72</v>
      </c>
      <c r="AW326" s="32">
        <v>0</v>
      </c>
      <c r="AX326" s="32">
        <v>0</v>
      </c>
      <c r="AY326" s="32">
        <v>0</v>
      </c>
      <c r="AZ326" s="32">
        <v>0</v>
      </c>
      <c r="BA326" s="32">
        <v>0</v>
      </c>
      <c r="BB326" s="32">
        <v>0</v>
      </c>
      <c r="BC326" s="32">
        <v>0</v>
      </c>
      <c r="BD326" s="32">
        <v>0</v>
      </c>
      <c r="BE326" s="32">
        <v>0</v>
      </c>
      <c r="BF326" s="32">
        <v>0</v>
      </c>
      <c r="BG326" s="32">
        <v>0</v>
      </c>
      <c r="BH326" s="32">
        <v>0</v>
      </c>
      <c r="BI326" s="32">
        <v>0</v>
      </c>
      <c r="BJ326" s="32">
        <v>0</v>
      </c>
      <c r="BK326" s="32">
        <v>0</v>
      </c>
      <c r="BL326" s="32">
        <v>0</v>
      </c>
      <c r="BM326" s="32">
        <v>60714.28</v>
      </c>
      <c r="BN326" s="32">
        <v>0</v>
      </c>
      <c r="BO326" s="32">
        <v>0</v>
      </c>
      <c r="BP326" s="32">
        <v>0</v>
      </c>
      <c r="BQ326" s="32">
        <v>53124.98</v>
      </c>
      <c r="BR326" s="32">
        <v>53125</v>
      </c>
      <c r="BS326" s="32">
        <v>53125</v>
      </c>
      <c r="BT326" s="32">
        <v>53125.02</v>
      </c>
      <c r="BU326" s="32">
        <v>0</v>
      </c>
      <c r="BV326" s="32">
        <v>0</v>
      </c>
      <c r="BW326" s="32">
        <v>0</v>
      </c>
      <c r="BX326" s="32">
        <v>0</v>
      </c>
      <c r="BY326" s="32">
        <v>0</v>
      </c>
      <c r="BZ326" s="32">
        <v>0</v>
      </c>
      <c r="CA326" s="32">
        <v>0</v>
      </c>
      <c r="CB326" s="125" t="s">
        <v>4188</v>
      </c>
      <c r="CC326" s="125" t="s">
        <v>624</v>
      </c>
      <c r="CD326" s="125"/>
      <c r="CE326" s="125" t="s">
        <v>523</v>
      </c>
      <c r="CF326" s="125" t="s">
        <v>645</v>
      </c>
      <c r="CG326" s="125" t="s">
        <v>714</v>
      </c>
      <c r="CH326" s="125" t="s">
        <v>526</v>
      </c>
      <c r="CI326" s="125" t="s">
        <v>665</v>
      </c>
      <c r="CJ326" s="125" t="s">
        <v>665</v>
      </c>
      <c r="CK326" s="125" t="s">
        <v>715</v>
      </c>
      <c r="CL326" s="125" t="s">
        <v>212</v>
      </c>
      <c r="CM326" s="125"/>
      <c r="CN326" s="125" t="s">
        <v>257</v>
      </c>
      <c r="CO326" s="125" t="s">
        <v>270</v>
      </c>
      <c r="CP326" s="125" t="s">
        <v>4189</v>
      </c>
      <c r="CQ326" s="125" t="s">
        <v>710</v>
      </c>
      <c r="CR326" s="125" t="s">
        <v>650</v>
      </c>
      <c r="CS326" s="125" t="s">
        <v>4190</v>
      </c>
      <c r="CT326" s="125" t="s">
        <v>257</v>
      </c>
      <c r="CU326" s="125" t="s">
        <v>270</v>
      </c>
      <c r="CV326" s="125" t="s">
        <v>4189</v>
      </c>
      <c r="CW326" s="125" t="s">
        <v>710</v>
      </c>
      <c r="CX326" s="125" t="s">
        <v>650</v>
      </c>
      <c r="CY326" s="125" t="s">
        <v>956</v>
      </c>
      <c r="CZ326" s="125" t="s">
        <v>719</v>
      </c>
      <c r="DA326" s="125" t="s">
        <v>720</v>
      </c>
      <c r="DB326" s="125" t="s">
        <v>4191</v>
      </c>
      <c r="DC326" s="125" t="s">
        <v>2266</v>
      </c>
      <c r="DD326" s="125" t="s">
        <v>4192</v>
      </c>
      <c r="DE326" s="125" t="s">
        <v>4193</v>
      </c>
      <c r="DF326" s="126" t="s">
        <v>4194</v>
      </c>
      <c r="DG326" s="27" cm="1">
        <f t="array" ref="DG326">INDEX('elenco partner'!A:M,MATCH(1,(D326='elenco partner'!A:A)*('Partner data'!M326='elenco partner'!E:E),0),4)</f>
        <v>771</v>
      </c>
      <c r="DH326" s="83" t="str">
        <f t="shared" ref="DH326:DH329" si="154">IF(AU326&lt;&gt;0,"Tasso Forfettario 20%",IF(AV326&lt;&gt;0,"COSTO REALE",IF(AW326&lt;&gt;0,"Costo Unitario Standard","BL1 non presente")))</f>
        <v>COSTO REALE</v>
      </c>
      <c r="DI326" s="20">
        <f>COUNTIFS('MY-REPORT-MAIN'!C:C,'Partner data'!DG326,'MY-REPORT-MAIN'!I:I,"Certified")</f>
        <v>0</v>
      </c>
      <c r="DJ326" s="20">
        <f>COUNTIFS(List_Of_chek_list!M:M,"&lt;&gt;26",List_Of_chek_list!B:B,'Partner data'!DG326)</f>
        <v>0</v>
      </c>
      <c r="DK326" s="20">
        <f t="shared" ref="DK326:DK329" si="155">DI326-DJ326</f>
        <v>0</v>
      </c>
      <c r="DL326" s="19" t="str">
        <f>IF(DH326="Tasso Forfettario 20%",SUMIFS(List_Of_chek_list!#REF!,List_Of_chek_list!B:B,'Partner data'!DG326),"NON PERTINENTE")</f>
        <v>NON PERTINENTE</v>
      </c>
      <c r="DM326" s="19" t="str">
        <f t="shared" ref="DM326:DM329" si="156">IF(DL326="NON PERTINENTE","NON PERTINENTE",IF(DJ326=DL326,"Rischio basso","Rischio alto"))</f>
        <v>NON PERTINENTE</v>
      </c>
      <c r="DN326" s="110">
        <f>_xlfn.MAXIFS('MY-REPORT-MAIN'!K:K,'MY-REPORT-MAIN'!C:C,DG326)</f>
        <v>0</v>
      </c>
      <c r="DO326" s="112" t="str">
        <f>IF(_xlfn.MAXIFS('MY-REPORT-MAIN'!M:M,'MY-REPORT-MAIN'!C:C,DG326)=0,"Nessun rendiconto  Convalidato",_xlfn.MAXIFS('MY-REPORT-MAIN'!M:M,'MY-REPORT-MAIN'!C:C,DG326))</f>
        <v>Nessun rendiconto  Convalidato</v>
      </c>
      <c r="DP326" s="113" t="str" cm="1">
        <f t="array" ref="DP326">IFERROR(INDEX('MY-REPORT-MAIN'!A:Z,MATCH(1,(DO326='MY-REPORT-MAIN'!M:M)*('Partner data'!DG326='MY-REPORT-MAIN'!C:C),0),1),"NON è stato convalidato ancora nessun rendiconto")</f>
        <v>NON è stato convalidato ancora nessun rendiconto</v>
      </c>
      <c r="DQ326" s="111" t="str">
        <f>IFERROR(INDEX('MY-REPORT-MAIN'!A:Z,MATCH('Partner data'!DP326,'MY-REPORT-MAIN'!A:A,0),21),"Nessun Rendiconto ancora convalidato")</f>
        <v>Nessun Rendiconto ancora convalidato</v>
      </c>
      <c r="DR326" s="110" t="e">
        <f>INDEX('Interreg VI-A Italy-Slovenia_pr'!A:E,MATCH('Partner data'!C326,'Interreg VI-A Italy-Slovenia_pr'!A:A,0),3)</f>
        <v>#N/A</v>
      </c>
      <c r="DS326" s="118">
        <f t="shared" si="144"/>
        <v>53124.98</v>
      </c>
      <c r="DT326" s="118">
        <f t="shared" si="145"/>
        <v>106249.98000000001</v>
      </c>
      <c r="DU326" s="118">
        <f t="shared" si="146"/>
        <v>159374.98000000001</v>
      </c>
      <c r="DV326" s="118">
        <f t="shared" si="147"/>
        <v>212500</v>
      </c>
      <c r="DW326" s="118">
        <f t="shared" si="148"/>
        <v>212500</v>
      </c>
      <c r="DX326" s="118">
        <f t="shared" si="149"/>
        <v>212500</v>
      </c>
      <c r="DY326" s="118">
        <f t="shared" si="150"/>
        <v>212500</v>
      </c>
      <c r="DZ326" s="118">
        <f t="shared" si="151"/>
        <v>212500</v>
      </c>
      <c r="EA326" s="118">
        <f t="shared" si="152"/>
        <v>212500</v>
      </c>
      <c r="EB326" s="118">
        <f t="shared" si="153"/>
        <v>212500</v>
      </c>
    </row>
    <row r="327" spans="1:132" ht="45" x14ac:dyDescent="0.25">
      <c r="A327" s="121">
        <v>6</v>
      </c>
      <c r="B327" s="122" t="s">
        <v>2688</v>
      </c>
      <c r="C327" s="123" t="s">
        <v>4184</v>
      </c>
      <c r="D327" s="123" t="s">
        <v>4185</v>
      </c>
      <c r="E327" s="123" t="s">
        <v>4186</v>
      </c>
      <c r="F327" s="123" t="s">
        <v>490</v>
      </c>
      <c r="G327" s="123" t="s">
        <v>6118</v>
      </c>
      <c r="H327" s="123" t="s">
        <v>691</v>
      </c>
      <c r="I327" s="123" t="s">
        <v>945</v>
      </c>
      <c r="J327" s="124" t="s">
        <v>518</v>
      </c>
      <c r="K327" s="124" t="s">
        <v>495</v>
      </c>
      <c r="L327" s="124" t="s">
        <v>519</v>
      </c>
      <c r="M327" s="124" t="s">
        <v>4195</v>
      </c>
      <c r="N327" s="124" t="s">
        <v>2643</v>
      </c>
      <c r="O327" s="124" t="s">
        <v>4196</v>
      </c>
      <c r="P327" s="124" t="s">
        <v>257</v>
      </c>
      <c r="Q327" s="124" t="s">
        <v>556</v>
      </c>
      <c r="R327" s="124" t="s">
        <v>258</v>
      </c>
      <c r="S327" s="32">
        <v>127733.75999999999</v>
      </c>
      <c r="T327" s="32">
        <v>80</v>
      </c>
      <c r="U327" s="32">
        <v>18.79</v>
      </c>
      <c r="V327" s="32">
        <v>0</v>
      </c>
      <c r="W327" s="32">
        <v>0</v>
      </c>
      <c r="X327" s="32">
        <v>0</v>
      </c>
      <c r="Y327" s="32">
        <v>0</v>
      </c>
      <c r="Z327" s="32">
        <v>0</v>
      </c>
      <c r="AA327" s="32">
        <v>0</v>
      </c>
      <c r="AB327" s="32">
        <v>0</v>
      </c>
      <c r="AC327" s="32">
        <v>0</v>
      </c>
      <c r="AD327" s="32">
        <v>0</v>
      </c>
      <c r="AE327" s="32">
        <v>0</v>
      </c>
      <c r="AF327" s="32">
        <v>0</v>
      </c>
      <c r="AG327" s="32">
        <v>0</v>
      </c>
      <c r="AH327" s="32">
        <v>0</v>
      </c>
      <c r="AI327" s="32">
        <v>0</v>
      </c>
      <c r="AJ327" s="32">
        <v>0</v>
      </c>
      <c r="AK327" s="32">
        <v>0</v>
      </c>
      <c r="AL327" s="32">
        <v>0</v>
      </c>
      <c r="AM327" s="32">
        <v>0</v>
      </c>
      <c r="AN327" s="32">
        <v>0</v>
      </c>
      <c r="AO327" s="32">
        <v>0</v>
      </c>
      <c r="AP327" s="32">
        <v>31933.439999999999</v>
      </c>
      <c r="AQ327" s="32">
        <v>31933.439999999999</v>
      </c>
      <c r="AR327" s="32">
        <v>159667.20000000001</v>
      </c>
      <c r="AS327" s="32">
        <v>18.79</v>
      </c>
      <c r="AT327" s="32">
        <v>114048</v>
      </c>
      <c r="AU327" s="32">
        <v>0</v>
      </c>
      <c r="AV327" s="32">
        <v>114048</v>
      </c>
      <c r="AW327" s="32">
        <v>0</v>
      </c>
      <c r="AX327" s="32">
        <v>0</v>
      </c>
      <c r="AY327" s="32">
        <v>0</v>
      </c>
      <c r="AZ327" s="32">
        <v>0</v>
      </c>
      <c r="BA327" s="32">
        <v>0</v>
      </c>
      <c r="BB327" s="32">
        <v>0</v>
      </c>
      <c r="BC327" s="32">
        <v>0</v>
      </c>
      <c r="BD327" s="32">
        <v>0</v>
      </c>
      <c r="BE327" s="32">
        <v>0</v>
      </c>
      <c r="BF327" s="32">
        <v>0</v>
      </c>
      <c r="BG327" s="32">
        <v>0</v>
      </c>
      <c r="BH327" s="32">
        <v>0</v>
      </c>
      <c r="BI327" s="32">
        <v>0</v>
      </c>
      <c r="BJ327" s="32">
        <v>0</v>
      </c>
      <c r="BK327" s="32">
        <v>0</v>
      </c>
      <c r="BL327" s="32">
        <v>0</v>
      </c>
      <c r="BM327" s="32">
        <v>45619.199999999997</v>
      </c>
      <c r="BN327" s="32">
        <v>0</v>
      </c>
      <c r="BO327" s="32">
        <v>0</v>
      </c>
      <c r="BP327" s="32">
        <v>0</v>
      </c>
      <c r="BQ327" s="32">
        <v>41513.47</v>
      </c>
      <c r="BR327" s="32">
        <v>35126.78</v>
      </c>
      <c r="BS327" s="32">
        <v>38320.120000000003</v>
      </c>
      <c r="BT327" s="32">
        <v>44706.83</v>
      </c>
      <c r="BU327" s="32">
        <v>0</v>
      </c>
      <c r="BV327" s="32">
        <v>0</v>
      </c>
      <c r="BW327" s="32">
        <v>0</v>
      </c>
      <c r="BX327" s="32">
        <v>0</v>
      </c>
      <c r="BY327" s="32">
        <v>0</v>
      </c>
      <c r="BZ327" s="32">
        <v>0</v>
      </c>
      <c r="CA327" s="32">
        <v>0</v>
      </c>
      <c r="CB327" s="125" t="s">
        <v>665</v>
      </c>
      <c r="CC327" s="125" t="s">
        <v>887</v>
      </c>
      <c r="CD327" s="125"/>
      <c r="CE327" s="125" t="s">
        <v>501</v>
      </c>
      <c r="CF327" s="125" t="s">
        <v>2286</v>
      </c>
      <c r="CG327" s="125" t="s">
        <v>4197</v>
      </c>
      <c r="CH327" s="125" t="s">
        <v>526</v>
      </c>
      <c r="CI327" s="125" t="s">
        <v>665</v>
      </c>
      <c r="CJ327" s="125" t="s">
        <v>665</v>
      </c>
      <c r="CK327" s="125" t="s">
        <v>2648</v>
      </c>
      <c r="CL327" s="125" t="s">
        <v>212</v>
      </c>
      <c r="CM327" s="125"/>
      <c r="CN327" s="125" t="s">
        <v>257</v>
      </c>
      <c r="CO327" s="125" t="s">
        <v>258</v>
      </c>
      <c r="CP327" s="125" t="s">
        <v>2649</v>
      </c>
      <c r="CQ327" s="125" t="s">
        <v>620</v>
      </c>
      <c r="CR327" s="125" t="s">
        <v>621</v>
      </c>
      <c r="CS327" s="125" t="s">
        <v>4198</v>
      </c>
      <c r="CT327" s="125" t="s">
        <v>257</v>
      </c>
      <c r="CU327" s="125" t="s">
        <v>258</v>
      </c>
      <c r="CV327" s="125" t="s">
        <v>2649</v>
      </c>
      <c r="CW327" s="125" t="s">
        <v>620</v>
      </c>
      <c r="CX327" s="125" t="s">
        <v>621</v>
      </c>
      <c r="CY327" s="125" t="s">
        <v>4199</v>
      </c>
      <c r="CZ327" s="125" t="s">
        <v>908</v>
      </c>
      <c r="DA327" s="125" t="s">
        <v>4200</v>
      </c>
      <c r="DB327" s="125" t="s">
        <v>892</v>
      </c>
      <c r="DC327" s="125" t="s">
        <v>4201</v>
      </c>
      <c r="DD327" s="125" t="s">
        <v>4202</v>
      </c>
      <c r="DE327" s="125" t="s">
        <v>4203</v>
      </c>
      <c r="DF327" s="126" t="s">
        <v>4204</v>
      </c>
      <c r="DG327" s="27" cm="1">
        <f t="array" ref="DG327">INDEX('elenco partner'!A:M,MATCH(1,(D327='elenco partner'!A:A)*('Partner data'!M327='elenco partner'!E:E),0),4)</f>
        <v>772</v>
      </c>
      <c r="DH327" s="83" t="str">
        <f t="shared" si="154"/>
        <v>COSTO REALE</v>
      </c>
      <c r="DI327" s="20">
        <f>COUNTIFS('MY-REPORT-MAIN'!C:C,'Partner data'!DG327,'MY-REPORT-MAIN'!I:I,"Certified")</f>
        <v>0</v>
      </c>
      <c r="DJ327" s="20">
        <f>COUNTIFS(List_Of_chek_list!M:M,"&lt;&gt;26",List_Of_chek_list!B:B,'Partner data'!DG327)</f>
        <v>0</v>
      </c>
      <c r="DK327" s="20">
        <f t="shared" si="155"/>
        <v>0</v>
      </c>
      <c r="DL327" s="19" t="str">
        <f>IF(DH327="Tasso Forfettario 20%",SUMIFS(List_Of_chek_list!#REF!,List_Of_chek_list!B:B,'Partner data'!DG327),"NON PERTINENTE")</f>
        <v>NON PERTINENTE</v>
      </c>
      <c r="DM327" s="19" t="str">
        <f t="shared" si="156"/>
        <v>NON PERTINENTE</v>
      </c>
      <c r="DN327" s="110">
        <f>_xlfn.MAXIFS('MY-REPORT-MAIN'!K:K,'MY-REPORT-MAIN'!C:C,DG327)</f>
        <v>0</v>
      </c>
      <c r="DO327" s="112" t="str">
        <f>IF(_xlfn.MAXIFS('MY-REPORT-MAIN'!M:M,'MY-REPORT-MAIN'!C:C,DG327)=0,"Nessun rendiconto  Convalidato",_xlfn.MAXIFS('MY-REPORT-MAIN'!M:M,'MY-REPORT-MAIN'!C:C,DG327))</f>
        <v>Nessun rendiconto  Convalidato</v>
      </c>
      <c r="DP327" s="113" t="str" cm="1">
        <f t="array" ref="DP327">IFERROR(INDEX('MY-REPORT-MAIN'!A:Z,MATCH(1,(DO327='MY-REPORT-MAIN'!M:M)*('Partner data'!DG327='MY-REPORT-MAIN'!C:C),0),1),"NON è stato convalidato ancora nessun rendiconto")</f>
        <v>NON è stato convalidato ancora nessun rendiconto</v>
      </c>
      <c r="DQ327" s="111" t="str">
        <f>IFERROR(INDEX('MY-REPORT-MAIN'!A:Z,MATCH('Partner data'!DP327,'MY-REPORT-MAIN'!A:A,0),21),"Nessun Rendiconto ancora convalidato")</f>
        <v>Nessun Rendiconto ancora convalidato</v>
      </c>
      <c r="DR327" s="110" t="e">
        <f>INDEX('Interreg VI-A Italy-Slovenia_pr'!A:E,MATCH('Partner data'!C327,'Interreg VI-A Italy-Slovenia_pr'!A:A,0),3)</f>
        <v>#N/A</v>
      </c>
      <c r="DS327" s="118">
        <f t="shared" si="144"/>
        <v>41513.47</v>
      </c>
      <c r="DT327" s="118">
        <f t="shared" si="145"/>
        <v>76640.25</v>
      </c>
      <c r="DU327" s="118">
        <f t="shared" si="146"/>
        <v>114960.37</v>
      </c>
      <c r="DV327" s="118">
        <f t="shared" si="147"/>
        <v>159667.20000000001</v>
      </c>
      <c r="DW327" s="118">
        <f t="shared" si="148"/>
        <v>159667.20000000001</v>
      </c>
      <c r="DX327" s="118">
        <f t="shared" si="149"/>
        <v>159667.20000000001</v>
      </c>
      <c r="DY327" s="118">
        <f t="shared" si="150"/>
        <v>159667.20000000001</v>
      </c>
      <c r="DZ327" s="118">
        <f t="shared" si="151"/>
        <v>159667.20000000001</v>
      </c>
      <c r="EA327" s="118">
        <f t="shared" si="152"/>
        <v>159667.20000000001</v>
      </c>
      <c r="EB327" s="118">
        <f t="shared" si="153"/>
        <v>159667.20000000001</v>
      </c>
    </row>
    <row r="328" spans="1:132" ht="45" x14ac:dyDescent="0.25">
      <c r="A328" s="121">
        <v>6</v>
      </c>
      <c r="B328" s="122" t="s">
        <v>2688</v>
      </c>
      <c r="C328" s="123" t="s">
        <v>4184</v>
      </c>
      <c r="D328" s="123" t="s">
        <v>4185</v>
      </c>
      <c r="E328" s="123" t="s">
        <v>4186</v>
      </c>
      <c r="F328" s="123" t="s">
        <v>490</v>
      </c>
      <c r="G328" s="123" t="s">
        <v>6118</v>
      </c>
      <c r="H328" s="123" t="s">
        <v>691</v>
      </c>
      <c r="I328" s="123" t="s">
        <v>945</v>
      </c>
      <c r="J328" s="124" t="s">
        <v>538</v>
      </c>
      <c r="K328" s="124" t="s">
        <v>495</v>
      </c>
      <c r="L328" s="124" t="s">
        <v>519</v>
      </c>
      <c r="M328" s="124" t="s">
        <v>285</v>
      </c>
      <c r="N328" s="124" t="s">
        <v>4205</v>
      </c>
      <c r="O328" s="124" t="s">
        <v>4206</v>
      </c>
      <c r="P328" s="124" t="s">
        <v>257</v>
      </c>
      <c r="Q328" s="124" t="s">
        <v>556</v>
      </c>
      <c r="R328" s="124" t="s">
        <v>270</v>
      </c>
      <c r="S328" s="32">
        <v>128000</v>
      </c>
      <c r="T328" s="32">
        <v>80</v>
      </c>
      <c r="U328" s="32">
        <v>18.829999999999998</v>
      </c>
      <c r="V328" s="32">
        <v>0</v>
      </c>
      <c r="W328" s="32">
        <v>0</v>
      </c>
      <c r="X328" s="32">
        <v>0</v>
      </c>
      <c r="Y328" s="32">
        <v>0</v>
      </c>
      <c r="Z328" s="32">
        <v>0</v>
      </c>
      <c r="AA328" s="32">
        <v>0</v>
      </c>
      <c r="AB328" s="32">
        <v>0</v>
      </c>
      <c r="AC328" s="32">
        <v>0</v>
      </c>
      <c r="AD328" s="32">
        <v>0</v>
      </c>
      <c r="AE328" s="32">
        <v>0</v>
      </c>
      <c r="AF328" s="32">
        <v>0</v>
      </c>
      <c r="AG328" s="32">
        <v>0</v>
      </c>
      <c r="AH328" s="32">
        <v>0</v>
      </c>
      <c r="AI328" s="32">
        <v>0</v>
      </c>
      <c r="AJ328" s="32">
        <v>0</v>
      </c>
      <c r="AK328" s="32">
        <v>0</v>
      </c>
      <c r="AL328" s="32">
        <v>0</v>
      </c>
      <c r="AM328" s="32">
        <v>0</v>
      </c>
      <c r="AN328" s="32">
        <v>32000</v>
      </c>
      <c r="AO328" s="32">
        <v>0</v>
      </c>
      <c r="AP328" s="32">
        <v>0</v>
      </c>
      <c r="AQ328" s="32">
        <v>32000</v>
      </c>
      <c r="AR328" s="32">
        <v>160000</v>
      </c>
      <c r="AS328" s="32">
        <v>18.829999999999998</v>
      </c>
      <c r="AT328" s="32">
        <v>114285.72</v>
      </c>
      <c r="AU328" s="32">
        <v>0</v>
      </c>
      <c r="AV328" s="32">
        <v>114285.72</v>
      </c>
      <c r="AW328" s="32">
        <v>0</v>
      </c>
      <c r="AX328" s="32">
        <v>0</v>
      </c>
      <c r="AY328" s="32">
        <v>0</v>
      </c>
      <c r="AZ328" s="32">
        <v>0</v>
      </c>
      <c r="BA328" s="32">
        <v>0</v>
      </c>
      <c r="BB328" s="32">
        <v>0</v>
      </c>
      <c r="BC328" s="32">
        <v>0</v>
      </c>
      <c r="BD328" s="32">
        <v>0</v>
      </c>
      <c r="BE328" s="32">
        <v>0</v>
      </c>
      <c r="BF328" s="32">
        <v>0</v>
      </c>
      <c r="BG328" s="32">
        <v>0</v>
      </c>
      <c r="BH328" s="32">
        <v>0</v>
      </c>
      <c r="BI328" s="32">
        <v>0</v>
      </c>
      <c r="BJ328" s="32">
        <v>0</v>
      </c>
      <c r="BK328" s="32">
        <v>0</v>
      </c>
      <c r="BL328" s="32">
        <v>0</v>
      </c>
      <c r="BM328" s="32">
        <v>45714.28</v>
      </c>
      <c r="BN328" s="32">
        <v>0</v>
      </c>
      <c r="BO328" s="32">
        <v>0</v>
      </c>
      <c r="BP328" s="32">
        <v>0</v>
      </c>
      <c r="BQ328" s="32">
        <v>40000</v>
      </c>
      <c r="BR328" s="32">
        <v>40000</v>
      </c>
      <c r="BS328" s="32">
        <v>40000</v>
      </c>
      <c r="BT328" s="32">
        <v>40000</v>
      </c>
      <c r="BU328" s="32">
        <v>0</v>
      </c>
      <c r="BV328" s="32">
        <v>0</v>
      </c>
      <c r="BW328" s="32">
        <v>0</v>
      </c>
      <c r="BX328" s="32">
        <v>0</v>
      </c>
      <c r="BY328" s="32">
        <v>0</v>
      </c>
      <c r="BZ328" s="32">
        <v>0</v>
      </c>
      <c r="CA328" s="32">
        <v>0</v>
      </c>
      <c r="CB328" s="125" t="s">
        <v>665</v>
      </c>
      <c r="CC328" s="125" t="s">
        <v>949</v>
      </c>
      <c r="CD328" s="125"/>
      <c r="CE328" s="125" t="s">
        <v>523</v>
      </c>
      <c r="CF328" s="125" t="s">
        <v>967</v>
      </c>
      <c r="CG328" s="125" t="s">
        <v>2452</v>
      </c>
      <c r="CH328" s="125" t="s">
        <v>526</v>
      </c>
      <c r="CI328" s="125" t="s">
        <v>983</v>
      </c>
      <c r="CJ328" s="125" t="s">
        <v>665</v>
      </c>
      <c r="CK328" s="125" t="s">
        <v>984</v>
      </c>
      <c r="CL328" s="125" t="s">
        <v>212</v>
      </c>
      <c r="CM328" s="125"/>
      <c r="CN328" s="125" t="s">
        <v>257</v>
      </c>
      <c r="CO328" s="125" t="s">
        <v>270</v>
      </c>
      <c r="CP328" s="125" t="s">
        <v>2453</v>
      </c>
      <c r="CQ328" s="125" t="s">
        <v>686</v>
      </c>
      <c r="CR328" s="125" t="s">
        <v>987</v>
      </c>
      <c r="CS328" s="125" t="s">
        <v>988</v>
      </c>
      <c r="CT328" s="125" t="s">
        <v>257</v>
      </c>
      <c r="CU328" s="125" t="s">
        <v>270</v>
      </c>
      <c r="CV328" s="125" t="s">
        <v>2453</v>
      </c>
      <c r="CW328" s="125" t="s">
        <v>686</v>
      </c>
      <c r="CX328" s="125" t="s">
        <v>987</v>
      </c>
      <c r="CY328" s="125" t="s">
        <v>892</v>
      </c>
      <c r="CZ328" s="125" t="s">
        <v>1978</v>
      </c>
      <c r="DA328" s="125" t="s">
        <v>992</v>
      </c>
      <c r="DB328" s="125" t="s">
        <v>892</v>
      </c>
      <c r="DC328" s="125" t="s">
        <v>3071</v>
      </c>
      <c r="DD328" s="125" t="s">
        <v>4207</v>
      </c>
      <c r="DE328" s="125" t="s">
        <v>4208</v>
      </c>
      <c r="DF328" s="126" t="s">
        <v>4209</v>
      </c>
      <c r="DG328" s="27" cm="1">
        <f t="array" ref="DG328">INDEX('elenco partner'!A:M,MATCH(1,(D328='elenco partner'!A:A)*('Partner data'!M328='elenco partner'!E:E),0),4)</f>
        <v>773</v>
      </c>
      <c r="DH328" s="83" t="str">
        <f t="shared" si="154"/>
        <v>COSTO REALE</v>
      </c>
      <c r="DI328" s="20">
        <f>COUNTIFS('MY-REPORT-MAIN'!C:C,'Partner data'!DG328,'MY-REPORT-MAIN'!I:I,"Certified")</f>
        <v>0</v>
      </c>
      <c r="DJ328" s="20">
        <f>COUNTIFS(List_Of_chek_list!M:M,"&lt;&gt;26",List_Of_chek_list!B:B,'Partner data'!DG328)</f>
        <v>0</v>
      </c>
      <c r="DK328" s="20">
        <f t="shared" si="155"/>
        <v>0</v>
      </c>
      <c r="DL328" s="19" t="str">
        <f>IF(DH328="Tasso Forfettario 20%",SUMIFS(List_Of_chek_list!#REF!,List_Of_chek_list!B:B,'Partner data'!DG328),"NON PERTINENTE")</f>
        <v>NON PERTINENTE</v>
      </c>
      <c r="DM328" s="19" t="str">
        <f t="shared" si="156"/>
        <v>NON PERTINENTE</v>
      </c>
      <c r="DN328" s="110">
        <f>_xlfn.MAXIFS('MY-REPORT-MAIN'!K:K,'MY-REPORT-MAIN'!C:C,DG328)</f>
        <v>0</v>
      </c>
      <c r="DO328" s="112" t="str">
        <f>IF(_xlfn.MAXIFS('MY-REPORT-MAIN'!M:M,'MY-REPORT-MAIN'!C:C,DG328)=0,"Nessun rendiconto  Convalidato",_xlfn.MAXIFS('MY-REPORT-MAIN'!M:M,'MY-REPORT-MAIN'!C:C,DG328))</f>
        <v>Nessun rendiconto  Convalidato</v>
      </c>
      <c r="DP328" s="113" t="str" cm="1">
        <f t="array" ref="DP328">IFERROR(INDEX('MY-REPORT-MAIN'!A:Z,MATCH(1,(DO328='MY-REPORT-MAIN'!M:M)*('Partner data'!DG328='MY-REPORT-MAIN'!C:C),0),1),"NON è stato convalidato ancora nessun rendiconto")</f>
        <v>NON è stato convalidato ancora nessun rendiconto</v>
      </c>
      <c r="DQ328" s="111" t="str">
        <f>IFERROR(INDEX('MY-REPORT-MAIN'!A:Z,MATCH('Partner data'!DP328,'MY-REPORT-MAIN'!A:A,0),21),"Nessun Rendiconto ancora convalidato")</f>
        <v>Nessun Rendiconto ancora convalidato</v>
      </c>
      <c r="DR328" s="110" t="e">
        <f>INDEX('Interreg VI-A Italy-Slovenia_pr'!A:E,MATCH('Partner data'!C328,'Interreg VI-A Italy-Slovenia_pr'!A:A,0),3)</f>
        <v>#N/A</v>
      </c>
      <c r="DS328" s="118">
        <f t="shared" si="144"/>
        <v>40000</v>
      </c>
      <c r="DT328" s="118">
        <f t="shared" si="145"/>
        <v>80000</v>
      </c>
      <c r="DU328" s="118">
        <f t="shared" si="146"/>
        <v>120000</v>
      </c>
      <c r="DV328" s="118">
        <f t="shared" si="147"/>
        <v>160000</v>
      </c>
      <c r="DW328" s="118">
        <f t="shared" si="148"/>
        <v>160000</v>
      </c>
      <c r="DX328" s="118">
        <f t="shared" si="149"/>
        <v>160000</v>
      </c>
      <c r="DY328" s="118">
        <f t="shared" si="150"/>
        <v>160000</v>
      </c>
      <c r="DZ328" s="118">
        <f t="shared" si="151"/>
        <v>160000</v>
      </c>
      <c r="EA328" s="118">
        <f t="shared" si="152"/>
        <v>160000</v>
      </c>
      <c r="EB328" s="118">
        <f t="shared" si="153"/>
        <v>160000</v>
      </c>
    </row>
    <row r="329" spans="1:132" ht="45" x14ac:dyDescent="0.25">
      <c r="A329" s="121">
        <v>6</v>
      </c>
      <c r="B329" s="122" t="s">
        <v>2688</v>
      </c>
      <c r="C329" s="123" t="s">
        <v>4184</v>
      </c>
      <c r="D329" s="123" t="s">
        <v>4185</v>
      </c>
      <c r="E329" s="123" t="s">
        <v>4186</v>
      </c>
      <c r="F329" s="123" t="s">
        <v>490</v>
      </c>
      <c r="G329" s="123" t="s">
        <v>6118</v>
      </c>
      <c r="H329" s="123" t="s">
        <v>691</v>
      </c>
      <c r="I329" s="123" t="s">
        <v>945</v>
      </c>
      <c r="J329" s="124" t="s">
        <v>554</v>
      </c>
      <c r="K329" s="124" t="s">
        <v>495</v>
      </c>
      <c r="L329" s="124" t="s">
        <v>519</v>
      </c>
      <c r="M329" s="124" t="s">
        <v>4210</v>
      </c>
      <c r="N329" s="124" t="s">
        <v>4211</v>
      </c>
      <c r="O329" s="124" t="s">
        <v>4212</v>
      </c>
      <c r="P329" s="124" t="s">
        <v>254</v>
      </c>
      <c r="Q329" s="124" t="s">
        <v>499</v>
      </c>
      <c r="R329" s="124" t="s">
        <v>255</v>
      </c>
      <c r="S329" s="32">
        <v>253996</v>
      </c>
      <c r="T329" s="32">
        <v>80</v>
      </c>
      <c r="U329" s="32">
        <v>37.369999999999997</v>
      </c>
      <c r="V329" s="32">
        <v>0</v>
      </c>
      <c r="W329" s="32">
        <v>0</v>
      </c>
      <c r="X329" s="32">
        <v>0</v>
      </c>
      <c r="Y329" s="32">
        <v>0</v>
      </c>
      <c r="Z329" s="32">
        <v>0</v>
      </c>
      <c r="AA329" s="32">
        <v>0</v>
      </c>
      <c r="AB329" s="32">
        <v>0</v>
      </c>
      <c r="AC329" s="32">
        <v>0</v>
      </c>
      <c r="AD329" s="32">
        <v>0</v>
      </c>
      <c r="AE329" s="32">
        <v>0</v>
      </c>
      <c r="AF329" s="32">
        <v>0</v>
      </c>
      <c r="AG329" s="32">
        <v>0</v>
      </c>
      <c r="AH329" s="32">
        <v>0</v>
      </c>
      <c r="AI329" s="32">
        <v>0</v>
      </c>
      <c r="AJ329" s="32">
        <v>0</v>
      </c>
      <c r="AK329" s="32">
        <v>0</v>
      </c>
      <c r="AL329" s="32">
        <v>0</v>
      </c>
      <c r="AM329" s="32">
        <v>0</v>
      </c>
      <c r="AN329" s="32">
        <v>0</v>
      </c>
      <c r="AO329" s="32">
        <v>63499</v>
      </c>
      <c r="AP329" s="32">
        <v>0</v>
      </c>
      <c r="AQ329" s="32">
        <v>63499</v>
      </c>
      <c r="AR329" s="32">
        <v>317495</v>
      </c>
      <c r="AS329" s="32">
        <v>37.369999999999997</v>
      </c>
      <c r="AT329" s="32">
        <v>51291.6</v>
      </c>
      <c r="AU329" s="32">
        <v>51291.6</v>
      </c>
      <c r="AV329" s="32">
        <v>0</v>
      </c>
      <c r="AW329" s="32">
        <v>0</v>
      </c>
      <c r="AX329" s="32">
        <v>7693.74</v>
      </c>
      <c r="AY329" s="32">
        <v>7693.74</v>
      </c>
      <c r="AZ329" s="32">
        <v>2051.66</v>
      </c>
      <c r="BA329" s="32">
        <v>2051.66</v>
      </c>
      <c r="BB329" s="32">
        <v>0</v>
      </c>
      <c r="BC329" s="32">
        <v>0</v>
      </c>
      <c r="BD329" s="32">
        <v>256458</v>
      </c>
      <c r="BE329" s="32">
        <v>256458</v>
      </c>
      <c r="BF329" s="32">
        <v>0</v>
      </c>
      <c r="BG329" s="32">
        <v>0</v>
      </c>
      <c r="BH329" s="32">
        <v>0</v>
      </c>
      <c r="BI329" s="32">
        <v>0</v>
      </c>
      <c r="BJ329" s="32">
        <v>0</v>
      </c>
      <c r="BK329" s="32">
        <v>0</v>
      </c>
      <c r="BL329" s="32">
        <v>0</v>
      </c>
      <c r="BM329" s="32">
        <v>0</v>
      </c>
      <c r="BN329" s="32">
        <v>0</v>
      </c>
      <c r="BO329" s="32">
        <v>0</v>
      </c>
      <c r="BP329" s="32">
        <v>0</v>
      </c>
      <c r="BQ329" s="32">
        <v>37759</v>
      </c>
      <c r="BR329" s="32">
        <v>54719.6</v>
      </c>
      <c r="BS329" s="32">
        <v>146331.6</v>
      </c>
      <c r="BT329" s="32">
        <v>78684.800000000003</v>
      </c>
      <c r="BU329" s="32">
        <v>0</v>
      </c>
      <c r="BV329" s="32">
        <v>0</v>
      </c>
      <c r="BW329" s="32">
        <v>0</v>
      </c>
      <c r="BX329" s="32">
        <v>0</v>
      </c>
      <c r="BY329" s="32">
        <v>0</v>
      </c>
      <c r="BZ329" s="32">
        <v>0</v>
      </c>
      <c r="CA329" s="32">
        <v>0</v>
      </c>
      <c r="CB329" s="125" t="s">
        <v>665</v>
      </c>
      <c r="CC329" s="125" t="s">
        <v>743</v>
      </c>
      <c r="CD329" s="125" t="s">
        <v>653</v>
      </c>
      <c r="CE329" s="125" t="s">
        <v>684</v>
      </c>
      <c r="CF329" s="125" t="s">
        <v>4213</v>
      </c>
      <c r="CG329" s="125" t="s">
        <v>4214</v>
      </c>
      <c r="CH329" s="125" t="s">
        <v>526</v>
      </c>
      <c r="CI329" s="125" t="s">
        <v>1329</v>
      </c>
      <c r="CJ329" s="125" t="s">
        <v>4215</v>
      </c>
      <c r="CK329" s="125" t="s">
        <v>212</v>
      </c>
      <c r="CL329" s="125" t="s">
        <v>212</v>
      </c>
      <c r="CM329" s="125"/>
      <c r="CN329" s="125" t="s">
        <v>254</v>
      </c>
      <c r="CO329" s="125" t="s">
        <v>255</v>
      </c>
      <c r="CP329" s="125" t="s">
        <v>1330</v>
      </c>
      <c r="CQ329" s="125" t="s">
        <v>2525</v>
      </c>
      <c r="CR329" s="125" t="s">
        <v>529</v>
      </c>
      <c r="CS329" s="125" t="s">
        <v>1332</v>
      </c>
      <c r="CT329" s="125" t="s">
        <v>254</v>
      </c>
      <c r="CU329" s="125" t="s">
        <v>255</v>
      </c>
      <c r="CV329" s="125" t="s">
        <v>1330</v>
      </c>
      <c r="CW329" s="125" t="s">
        <v>1331</v>
      </c>
      <c r="CX329" s="125" t="s">
        <v>529</v>
      </c>
      <c r="CY329" s="125" t="s">
        <v>4216</v>
      </c>
      <c r="CZ329" s="125" t="s">
        <v>1333</v>
      </c>
      <c r="DA329" s="125" t="s">
        <v>1334</v>
      </c>
      <c r="DB329" s="125" t="s">
        <v>4216</v>
      </c>
      <c r="DC329" s="125" t="s">
        <v>623</v>
      </c>
      <c r="DD329" s="125" t="s">
        <v>1335</v>
      </c>
      <c r="DE329" s="125" t="s">
        <v>2526</v>
      </c>
      <c r="DF329" s="126" t="s">
        <v>4217</v>
      </c>
      <c r="DG329" s="27" cm="1">
        <f t="array" ref="DG329">INDEX('elenco partner'!A:M,MATCH(1,(D329='elenco partner'!A:A)*('Partner data'!M329='elenco partner'!E:E),0),4)</f>
        <v>774</v>
      </c>
      <c r="DH329" s="83" t="str">
        <f t="shared" si="154"/>
        <v>Tasso Forfettario 20%</v>
      </c>
      <c r="DI329" s="20">
        <f>COUNTIFS('MY-REPORT-MAIN'!C:C,'Partner data'!DG329,'MY-REPORT-MAIN'!I:I,"Certified")</f>
        <v>0</v>
      </c>
      <c r="DJ329" s="20">
        <f>COUNTIFS(List_Of_chek_list!M:M,"&lt;&gt;26",List_Of_chek_list!B:B,'Partner data'!DG329)</f>
        <v>0</v>
      </c>
      <c r="DK329" s="20">
        <f t="shared" si="155"/>
        <v>0</v>
      </c>
      <c r="DL329" s="19" t="e">
        <f>IF(DH329="Tasso Forfettario 20%",SUMIFS(List_Of_chek_list!#REF!,List_Of_chek_list!B:B,'Partner data'!DG329),"NON PERTINENTE")</f>
        <v>#REF!</v>
      </c>
      <c r="DM329" s="19" t="e">
        <f t="shared" si="156"/>
        <v>#REF!</v>
      </c>
      <c r="DN329" s="110">
        <f>_xlfn.MAXIFS('MY-REPORT-MAIN'!K:K,'MY-REPORT-MAIN'!C:C,DG329)</f>
        <v>0</v>
      </c>
      <c r="DO329" s="112" t="str">
        <f>IF(_xlfn.MAXIFS('MY-REPORT-MAIN'!M:M,'MY-REPORT-MAIN'!C:C,DG329)=0,"Nessun rendiconto  Convalidato",_xlfn.MAXIFS('MY-REPORT-MAIN'!M:M,'MY-REPORT-MAIN'!C:C,DG329))</f>
        <v>Nessun rendiconto  Convalidato</v>
      </c>
      <c r="DP329" s="113" t="str" cm="1">
        <f t="array" ref="DP329">IFERROR(INDEX('MY-REPORT-MAIN'!A:Z,MATCH(1,(DO329='MY-REPORT-MAIN'!M:M)*('Partner data'!DG329='MY-REPORT-MAIN'!C:C),0),1),"NON è stato convalidato ancora nessun rendiconto")</f>
        <v>NON è stato convalidato ancora nessun rendiconto</v>
      </c>
      <c r="DQ329" s="111" t="str">
        <f>IFERROR(INDEX('MY-REPORT-MAIN'!A:Z,MATCH('Partner data'!DP329,'MY-REPORT-MAIN'!A:A,0),21),"Nessun Rendiconto ancora convalidato")</f>
        <v>Nessun Rendiconto ancora convalidato</v>
      </c>
      <c r="DR329" s="110" t="e">
        <f>INDEX('Interreg VI-A Italy-Slovenia_pr'!A:E,MATCH('Partner data'!C329,'Interreg VI-A Italy-Slovenia_pr'!A:A,0),3)</f>
        <v>#N/A</v>
      </c>
      <c r="DS329" s="118">
        <f t="shared" si="144"/>
        <v>37759</v>
      </c>
      <c r="DT329" s="118">
        <f t="shared" si="145"/>
        <v>92478.6</v>
      </c>
      <c r="DU329" s="118">
        <f t="shared" si="146"/>
        <v>238810.2</v>
      </c>
      <c r="DV329" s="118">
        <f t="shared" si="147"/>
        <v>317495</v>
      </c>
      <c r="DW329" s="118">
        <f t="shared" si="148"/>
        <v>317495</v>
      </c>
      <c r="DX329" s="118">
        <f t="shared" si="149"/>
        <v>317495</v>
      </c>
      <c r="DY329" s="118">
        <f t="shared" si="150"/>
        <v>317495</v>
      </c>
      <c r="DZ329" s="118">
        <f t="shared" si="151"/>
        <v>317495</v>
      </c>
      <c r="EA329" s="118">
        <f t="shared" si="152"/>
        <v>317495</v>
      </c>
      <c r="EB329" s="118">
        <f t="shared" si="153"/>
        <v>317495</v>
      </c>
    </row>
    <row r="330" spans="1:132" ht="45" x14ac:dyDescent="0.25">
      <c r="A330" s="121">
        <v>6</v>
      </c>
      <c r="B330" s="122" t="s">
        <v>2688</v>
      </c>
      <c r="C330" s="123" t="s">
        <v>4218</v>
      </c>
      <c r="D330" s="123" t="s">
        <v>4219</v>
      </c>
      <c r="E330" s="123" t="s">
        <v>4220</v>
      </c>
      <c r="F330" s="123" t="s">
        <v>593</v>
      </c>
      <c r="G330" s="123" t="s">
        <v>6118</v>
      </c>
      <c r="H330" s="123" t="s">
        <v>594</v>
      </c>
      <c r="I330" s="123" t="s">
        <v>595</v>
      </c>
      <c r="J330" s="124" t="s">
        <v>494</v>
      </c>
      <c r="K330" s="124" t="s">
        <v>495</v>
      </c>
      <c r="L330" s="124" t="s">
        <v>496</v>
      </c>
      <c r="M330" s="124" t="s">
        <v>3027</v>
      </c>
      <c r="N330" s="124" t="s">
        <v>4221</v>
      </c>
      <c r="O330" s="124" t="s">
        <v>4222</v>
      </c>
      <c r="P330" s="124" t="s">
        <v>254</v>
      </c>
      <c r="Q330" s="124" t="s">
        <v>499</v>
      </c>
      <c r="R330" s="124" t="s">
        <v>255</v>
      </c>
      <c r="S330" s="32">
        <v>217442.2</v>
      </c>
      <c r="T330" s="32">
        <v>80</v>
      </c>
      <c r="U330" s="32">
        <v>24.41</v>
      </c>
      <c r="V330" s="32">
        <v>0</v>
      </c>
      <c r="W330" s="32">
        <v>0</v>
      </c>
      <c r="X330" s="32">
        <v>0</v>
      </c>
      <c r="Y330" s="32">
        <v>0</v>
      </c>
      <c r="Z330" s="32">
        <v>0</v>
      </c>
      <c r="AA330" s="32">
        <v>0</v>
      </c>
      <c r="AB330" s="32">
        <v>0</v>
      </c>
      <c r="AC330" s="32">
        <v>0</v>
      </c>
      <c r="AD330" s="32">
        <v>0</v>
      </c>
      <c r="AE330" s="32">
        <v>0</v>
      </c>
      <c r="AF330" s="32">
        <v>0</v>
      </c>
      <c r="AG330" s="32">
        <v>0</v>
      </c>
      <c r="AH330" s="32">
        <v>0</v>
      </c>
      <c r="AI330" s="32">
        <v>0</v>
      </c>
      <c r="AJ330" s="32">
        <v>0</v>
      </c>
      <c r="AK330" s="32">
        <v>0</v>
      </c>
      <c r="AL330" s="32">
        <v>0</v>
      </c>
      <c r="AM330" s="32">
        <v>0</v>
      </c>
      <c r="AN330" s="32">
        <v>0</v>
      </c>
      <c r="AO330" s="32">
        <v>54360.55</v>
      </c>
      <c r="AP330" s="32">
        <v>0</v>
      </c>
      <c r="AQ330" s="32">
        <v>54360.55</v>
      </c>
      <c r="AR330" s="32">
        <v>271802.75</v>
      </c>
      <c r="AS330" s="32">
        <v>24.41</v>
      </c>
      <c r="AT330" s="32">
        <v>186725</v>
      </c>
      <c r="AU330" s="32">
        <v>0</v>
      </c>
      <c r="AV330" s="32">
        <v>186725</v>
      </c>
      <c r="AW330" s="32">
        <v>0</v>
      </c>
      <c r="AX330" s="32">
        <v>28008.75</v>
      </c>
      <c r="AY330" s="32">
        <v>28008.75</v>
      </c>
      <c r="AZ330" s="32">
        <v>7469</v>
      </c>
      <c r="BA330" s="32">
        <v>7469</v>
      </c>
      <c r="BB330" s="32">
        <v>0</v>
      </c>
      <c r="BC330" s="32">
        <v>0</v>
      </c>
      <c r="BD330" s="32">
        <v>40600</v>
      </c>
      <c r="BE330" s="32">
        <v>40600</v>
      </c>
      <c r="BF330" s="32">
        <v>0</v>
      </c>
      <c r="BG330" s="32">
        <v>0</v>
      </c>
      <c r="BH330" s="32">
        <v>0</v>
      </c>
      <c r="BI330" s="32">
        <v>0</v>
      </c>
      <c r="BJ330" s="32">
        <v>0</v>
      </c>
      <c r="BK330" s="32">
        <v>0</v>
      </c>
      <c r="BL330" s="32">
        <v>0</v>
      </c>
      <c r="BM330" s="32">
        <v>0</v>
      </c>
      <c r="BN330" s="32">
        <v>0</v>
      </c>
      <c r="BO330" s="32">
        <v>9000</v>
      </c>
      <c r="BP330" s="32">
        <v>9000</v>
      </c>
      <c r="BQ330" s="32">
        <v>75907.850000000006</v>
      </c>
      <c r="BR330" s="32">
        <v>89962.04</v>
      </c>
      <c r="BS330" s="32">
        <v>64131.63</v>
      </c>
      <c r="BT330" s="32">
        <v>32801.230000000003</v>
      </c>
      <c r="BU330" s="32">
        <v>0</v>
      </c>
      <c r="BV330" s="32">
        <v>0</v>
      </c>
      <c r="BW330" s="32">
        <v>0</v>
      </c>
      <c r="BX330" s="32">
        <v>0</v>
      </c>
      <c r="BY330" s="32">
        <v>0</v>
      </c>
      <c r="BZ330" s="32">
        <v>0</v>
      </c>
      <c r="CA330" s="32">
        <v>0</v>
      </c>
      <c r="CB330" s="125" t="s">
        <v>4223</v>
      </c>
      <c r="CC330" s="125" t="s">
        <v>624</v>
      </c>
      <c r="CD330" s="125"/>
      <c r="CE330" s="125" t="s">
        <v>523</v>
      </c>
      <c r="CF330" s="125" t="s">
        <v>734</v>
      </c>
      <c r="CG330" s="125" t="s">
        <v>4224</v>
      </c>
      <c r="CH330" s="125" t="s">
        <v>526</v>
      </c>
      <c r="CI330" s="125"/>
      <c r="CJ330" s="125" t="s">
        <v>212</v>
      </c>
      <c r="CK330" s="125" t="s">
        <v>3028</v>
      </c>
      <c r="CL330" s="125" t="s">
        <v>212</v>
      </c>
      <c r="CM330" s="125"/>
      <c r="CN330" s="125" t="s">
        <v>254</v>
      </c>
      <c r="CO330" s="125" t="s">
        <v>255</v>
      </c>
      <c r="CP330" s="125" t="s">
        <v>3034</v>
      </c>
      <c r="CQ330" s="125" t="s">
        <v>1342</v>
      </c>
      <c r="CR330" s="125" t="s">
        <v>529</v>
      </c>
      <c r="CS330" s="125" t="s">
        <v>4225</v>
      </c>
      <c r="CT330" s="125" t="s">
        <v>254</v>
      </c>
      <c r="CU330" s="125" t="s">
        <v>255</v>
      </c>
      <c r="CV330" s="125" t="s">
        <v>3034</v>
      </c>
      <c r="CW330" s="125" t="s">
        <v>1342</v>
      </c>
      <c r="CX330" s="125" t="s">
        <v>529</v>
      </c>
      <c r="CY330" s="125" t="s">
        <v>513</v>
      </c>
      <c r="CZ330" s="125" t="s">
        <v>613</v>
      </c>
      <c r="DA330" s="125" t="s">
        <v>3029</v>
      </c>
      <c r="DB330" s="125" t="s">
        <v>510</v>
      </c>
      <c r="DC330" s="125" t="s">
        <v>1611</v>
      </c>
      <c r="DD330" s="125" t="s">
        <v>4226</v>
      </c>
      <c r="DE330" s="125" t="s">
        <v>4227</v>
      </c>
      <c r="DF330" s="126" t="s">
        <v>4228</v>
      </c>
      <c r="DG330" s="27" cm="1">
        <f t="array" ref="DG330">INDEX('elenco partner'!A:M,MATCH(1,(D330='elenco partner'!A:A)*('Partner data'!M330='elenco partner'!E:E),0),4)</f>
        <v>811</v>
      </c>
      <c r="DH330" s="83" t="str">
        <f t="shared" ref="DH330:DH335" si="157">IF(AU330&lt;&gt;0,"Tasso Forfettario 20%",IF(AV330&lt;&gt;0,"COSTO REALE",IF(AW330&lt;&gt;0,"Costo Unitario Standard","BL1 non presente")))</f>
        <v>COSTO REALE</v>
      </c>
      <c r="DI330" s="20">
        <f>COUNTIFS('MY-REPORT-MAIN'!C:C,'Partner data'!DG330,'MY-REPORT-MAIN'!I:I,"Certified")</f>
        <v>0</v>
      </c>
      <c r="DJ330" s="20">
        <f>COUNTIFS(List_Of_chek_list!M:M,"&lt;&gt;26",List_Of_chek_list!B:B,'Partner data'!DG330)</f>
        <v>0</v>
      </c>
      <c r="DK330" s="20">
        <f t="shared" ref="DK330:DK335" si="158">DI330-DJ330</f>
        <v>0</v>
      </c>
      <c r="DL330" s="19" t="str">
        <f>IF(DH330="Tasso Forfettario 20%",SUMIFS(List_Of_chek_list!#REF!,List_Of_chek_list!B:B,'Partner data'!DG330),"NON PERTINENTE")</f>
        <v>NON PERTINENTE</v>
      </c>
      <c r="DM330" s="19" t="str">
        <f t="shared" ref="DM330:DM335" si="159">IF(DL330="NON PERTINENTE","NON PERTINENTE",IF(DJ330=DL330,"Rischio basso","Rischio alto"))</f>
        <v>NON PERTINENTE</v>
      </c>
      <c r="DN330" s="110">
        <f>_xlfn.MAXIFS('MY-REPORT-MAIN'!K:K,'MY-REPORT-MAIN'!C:C,DG330)</f>
        <v>0</v>
      </c>
      <c r="DO330" s="112" t="str">
        <f>IF(_xlfn.MAXIFS('MY-REPORT-MAIN'!M:M,'MY-REPORT-MAIN'!C:C,DG330)=0,"Nessun rendiconto  Convalidato",_xlfn.MAXIFS('MY-REPORT-MAIN'!M:M,'MY-REPORT-MAIN'!C:C,DG330))</f>
        <v>Nessun rendiconto  Convalidato</v>
      </c>
      <c r="DP330" s="113" t="str" cm="1">
        <f t="array" ref="DP330">IFERROR(INDEX('MY-REPORT-MAIN'!A:Z,MATCH(1,(DO330='MY-REPORT-MAIN'!M:M)*('Partner data'!DG330='MY-REPORT-MAIN'!C:C),0),1),"NON è stato convalidato ancora nessun rendiconto")</f>
        <v>NON è stato convalidato ancora nessun rendiconto</v>
      </c>
      <c r="DQ330" s="111" t="str">
        <f>IFERROR(INDEX('MY-REPORT-MAIN'!A:Z,MATCH('Partner data'!DP330,'MY-REPORT-MAIN'!A:A,0),21),"Nessun Rendiconto ancora convalidato")</f>
        <v>Nessun Rendiconto ancora convalidato</v>
      </c>
      <c r="DR330" s="110" t="e">
        <f>INDEX('Interreg VI-A Italy-Slovenia_pr'!A:E,MATCH('Partner data'!C330,'Interreg VI-A Italy-Slovenia_pr'!A:A,0),3)</f>
        <v>#N/A</v>
      </c>
      <c r="DS330" s="118">
        <f t="shared" si="144"/>
        <v>84907.85</v>
      </c>
      <c r="DT330" s="118">
        <f t="shared" si="145"/>
        <v>174869.89</v>
      </c>
      <c r="DU330" s="118">
        <f t="shared" si="146"/>
        <v>239001.52000000002</v>
      </c>
      <c r="DV330" s="118">
        <f t="shared" si="147"/>
        <v>271802.75</v>
      </c>
      <c r="DW330" s="118">
        <f t="shared" si="148"/>
        <v>271802.75</v>
      </c>
      <c r="DX330" s="118">
        <f t="shared" si="149"/>
        <v>271802.75</v>
      </c>
      <c r="DY330" s="118">
        <f t="shared" si="150"/>
        <v>271802.75</v>
      </c>
      <c r="DZ330" s="118">
        <f t="shared" si="151"/>
        <v>271802.75</v>
      </c>
      <c r="EA330" s="118">
        <f t="shared" si="152"/>
        <v>271802.75</v>
      </c>
      <c r="EB330" s="118">
        <f t="shared" si="153"/>
        <v>271802.75</v>
      </c>
    </row>
    <row r="331" spans="1:132" ht="45" x14ac:dyDescent="0.25">
      <c r="A331" s="121">
        <v>6</v>
      </c>
      <c r="B331" s="122" t="s">
        <v>2688</v>
      </c>
      <c r="C331" s="123" t="s">
        <v>4218</v>
      </c>
      <c r="D331" s="123" t="s">
        <v>4219</v>
      </c>
      <c r="E331" s="123" t="s">
        <v>4220</v>
      </c>
      <c r="F331" s="123" t="s">
        <v>593</v>
      </c>
      <c r="G331" s="123" t="s">
        <v>6118</v>
      </c>
      <c r="H331" s="123" t="s">
        <v>594</v>
      </c>
      <c r="I331" s="123" t="s">
        <v>595</v>
      </c>
      <c r="J331" s="124" t="s">
        <v>518</v>
      </c>
      <c r="K331" s="124" t="s">
        <v>495</v>
      </c>
      <c r="L331" s="124" t="s">
        <v>519</v>
      </c>
      <c r="M331" s="124" t="s">
        <v>4229</v>
      </c>
      <c r="N331" s="124" t="s">
        <v>4230</v>
      </c>
      <c r="O331" s="124" t="s">
        <v>4230</v>
      </c>
      <c r="P331" s="124" t="s">
        <v>254</v>
      </c>
      <c r="Q331" s="124" t="s">
        <v>4231</v>
      </c>
      <c r="R331" s="124" t="s">
        <v>4232</v>
      </c>
      <c r="S331" s="32">
        <v>143765.62</v>
      </c>
      <c r="T331" s="32">
        <v>80</v>
      </c>
      <c r="U331" s="32">
        <v>16.14</v>
      </c>
      <c r="V331" s="32">
        <v>0</v>
      </c>
      <c r="W331" s="32">
        <v>0</v>
      </c>
      <c r="X331" s="32">
        <v>0</v>
      </c>
      <c r="Y331" s="32">
        <v>0</v>
      </c>
      <c r="Z331" s="32">
        <v>0</v>
      </c>
      <c r="AA331" s="32">
        <v>0</v>
      </c>
      <c r="AB331" s="32">
        <v>0</v>
      </c>
      <c r="AC331" s="32">
        <v>0</v>
      </c>
      <c r="AD331" s="32">
        <v>0</v>
      </c>
      <c r="AE331" s="32">
        <v>0</v>
      </c>
      <c r="AF331" s="32">
        <v>0</v>
      </c>
      <c r="AG331" s="32">
        <v>0</v>
      </c>
      <c r="AH331" s="32">
        <v>0</v>
      </c>
      <c r="AI331" s="32">
        <v>0</v>
      </c>
      <c r="AJ331" s="32">
        <v>0</v>
      </c>
      <c r="AK331" s="32">
        <v>0</v>
      </c>
      <c r="AL331" s="32">
        <v>0</v>
      </c>
      <c r="AM331" s="32">
        <v>0</v>
      </c>
      <c r="AN331" s="32">
        <v>0</v>
      </c>
      <c r="AO331" s="32">
        <v>35941.410000000003</v>
      </c>
      <c r="AP331" s="32">
        <v>0</v>
      </c>
      <c r="AQ331" s="32">
        <v>35941.410000000003</v>
      </c>
      <c r="AR331" s="32">
        <v>179707.03</v>
      </c>
      <c r="AS331" s="32">
        <v>16.14</v>
      </c>
      <c r="AT331" s="32">
        <v>100737</v>
      </c>
      <c r="AU331" s="32">
        <v>0</v>
      </c>
      <c r="AV331" s="32">
        <v>0</v>
      </c>
      <c r="AW331" s="32">
        <v>100737</v>
      </c>
      <c r="AX331" s="32">
        <v>15110.55</v>
      </c>
      <c r="AY331" s="32">
        <v>15110.55</v>
      </c>
      <c r="AZ331" s="32">
        <v>4029.48</v>
      </c>
      <c r="BA331" s="32">
        <v>4029.48</v>
      </c>
      <c r="BB331" s="32">
        <v>0</v>
      </c>
      <c r="BC331" s="32">
        <v>0</v>
      </c>
      <c r="BD331" s="32">
        <v>39000</v>
      </c>
      <c r="BE331" s="32">
        <v>39000</v>
      </c>
      <c r="BF331" s="32">
        <v>0</v>
      </c>
      <c r="BG331" s="32">
        <v>20830</v>
      </c>
      <c r="BH331" s="32">
        <v>20830</v>
      </c>
      <c r="BI331" s="32">
        <v>0</v>
      </c>
      <c r="BJ331" s="32">
        <v>0</v>
      </c>
      <c r="BK331" s="32">
        <v>0</v>
      </c>
      <c r="BL331" s="32">
        <v>0</v>
      </c>
      <c r="BM331" s="32">
        <v>0</v>
      </c>
      <c r="BN331" s="32">
        <v>0</v>
      </c>
      <c r="BO331" s="32">
        <v>0</v>
      </c>
      <c r="BP331" s="32">
        <v>0</v>
      </c>
      <c r="BQ331" s="32">
        <v>56764.94</v>
      </c>
      <c r="BR331" s="32">
        <v>43188</v>
      </c>
      <c r="BS331" s="32">
        <v>45755.63</v>
      </c>
      <c r="BT331" s="32">
        <v>33998.46</v>
      </c>
      <c r="BU331" s="32">
        <v>0</v>
      </c>
      <c r="BV331" s="32">
        <v>0</v>
      </c>
      <c r="BW331" s="32">
        <v>0</v>
      </c>
      <c r="BX331" s="32">
        <v>0</v>
      </c>
      <c r="BY331" s="32">
        <v>0</v>
      </c>
      <c r="BZ331" s="32">
        <v>0</v>
      </c>
      <c r="CA331" s="32">
        <v>0</v>
      </c>
      <c r="CB331" s="125" t="s">
        <v>212</v>
      </c>
      <c r="CC331" s="125" t="s">
        <v>557</v>
      </c>
      <c r="CD331" s="125" t="s">
        <v>706</v>
      </c>
      <c r="CE331" s="125" t="s">
        <v>501</v>
      </c>
      <c r="CF331" s="125" t="s">
        <v>1031</v>
      </c>
      <c r="CG331" s="125" t="s">
        <v>4233</v>
      </c>
      <c r="CH331" s="125" t="s">
        <v>504</v>
      </c>
      <c r="CI331" s="125"/>
      <c r="CJ331" s="125" t="s">
        <v>212</v>
      </c>
      <c r="CK331" s="125" t="s">
        <v>4234</v>
      </c>
      <c r="CL331" s="125" t="s">
        <v>212</v>
      </c>
      <c r="CM331" s="125" t="s">
        <v>625</v>
      </c>
      <c r="CN331" s="125" t="s">
        <v>254</v>
      </c>
      <c r="CO331" s="125" t="s">
        <v>4232</v>
      </c>
      <c r="CP331" s="125" t="s">
        <v>4235</v>
      </c>
      <c r="CQ331" s="125" t="s">
        <v>4236</v>
      </c>
      <c r="CR331" s="125" t="s">
        <v>4237</v>
      </c>
      <c r="CS331" s="125" t="s">
        <v>4238</v>
      </c>
      <c r="CT331" s="125" t="s">
        <v>254</v>
      </c>
      <c r="CU331" s="125" t="s">
        <v>255</v>
      </c>
      <c r="CV331" s="125" t="s">
        <v>3034</v>
      </c>
      <c r="CW331" s="125" t="s">
        <v>1342</v>
      </c>
      <c r="CX331" s="125" t="s">
        <v>529</v>
      </c>
      <c r="CY331" s="125" t="s">
        <v>531</v>
      </c>
      <c r="CZ331" s="125" t="s">
        <v>1740</v>
      </c>
      <c r="DA331" s="125" t="s">
        <v>4007</v>
      </c>
      <c r="DB331" s="125"/>
      <c r="DC331" s="125" t="s">
        <v>1740</v>
      </c>
      <c r="DD331" s="125" t="s">
        <v>4007</v>
      </c>
      <c r="DE331" s="125" t="s">
        <v>4239</v>
      </c>
      <c r="DF331" s="126" t="s">
        <v>4240</v>
      </c>
      <c r="DG331" s="27" cm="1">
        <f t="array" ref="DG331">INDEX('elenco partner'!A:M,MATCH(1,(D331='elenco partner'!A:A)*('Partner data'!M331='elenco partner'!E:E),0),4)</f>
        <v>812</v>
      </c>
      <c r="DH331" s="83" t="str">
        <f t="shared" si="157"/>
        <v>Costo Unitario Standard</v>
      </c>
      <c r="DI331" s="20">
        <f>COUNTIFS('MY-REPORT-MAIN'!C:C,'Partner data'!DG331,'MY-REPORT-MAIN'!I:I,"Certified")</f>
        <v>0</v>
      </c>
      <c r="DJ331" s="20">
        <f>COUNTIFS(List_Of_chek_list!M:M,"&lt;&gt;26",List_Of_chek_list!B:B,'Partner data'!DG331)</f>
        <v>0</v>
      </c>
      <c r="DK331" s="20">
        <f t="shared" si="158"/>
        <v>0</v>
      </c>
      <c r="DL331" s="19" t="str">
        <f>IF(DH331="Tasso Forfettario 20%",SUMIFS(List_Of_chek_list!#REF!,List_Of_chek_list!B:B,'Partner data'!DG331),"NON PERTINENTE")</f>
        <v>NON PERTINENTE</v>
      </c>
      <c r="DM331" s="19" t="str">
        <f t="shared" si="159"/>
        <v>NON PERTINENTE</v>
      </c>
      <c r="DN331" s="110">
        <f>_xlfn.MAXIFS('MY-REPORT-MAIN'!K:K,'MY-REPORT-MAIN'!C:C,DG331)</f>
        <v>0</v>
      </c>
      <c r="DO331" s="112" t="str">
        <f>IF(_xlfn.MAXIFS('MY-REPORT-MAIN'!M:M,'MY-REPORT-MAIN'!C:C,DG331)=0,"Nessun rendiconto  Convalidato",_xlfn.MAXIFS('MY-REPORT-MAIN'!M:M,'MY-REPORT-MAIN'!C:C,DG331))</f>
        <v>Nessun rendiconto  Convalidato</v>
      </c>
      <c r="DP331" s="113" t="str" cm="1">
        <f t="array" ref="DP331">IFERROR(INDEX('MY-REPORT-MAIN'!A:Z,MATCH(1,(DO331='MY-REPORT-MAIN'!M:M)*('Partner data'!DG331='MY-REPORT-MAIN'!C:C),0),1),"NON è stato convalidato ancora nessun rendiconto")</f>
        <v>NON è stato convalidato ancora nessun rendiconto</v>
      </c>
      <c r="DQ331" s="111" t="str">
        <f>IFERROR(INDEX('MY-REPORT-MAIN'!A:Z,MATCH('Partner data'!DP331,'MY-REPORT-MAIN'!A:A,0),21),"Nessun Rendiconto ancora convalidato")</f>
        <v>Nessun Rendiconto ancora convalidato</v>
      </c>
      <c r="DR331" s="110" t="e">
        <f>INDEX('Interreg VI-A Italy-Slovenia_pr'!A:E,MATCH('Partner data'!C331,'Interreg VI-A Italy-Slovenia_pr'!A:A,0),3)</f>
        <v>#N/A</v>
      </c>
      <c r="DS331" s="118">
        <f t="shared" si="144"/>
        <v>56764.94</v>
      </c>
      <c r="DT331" s="118">
        <f t="shared" si="145"/>
        <v>99952.94</v>
      </c>
      <c r="DU331" s="118">
        <f t="shared" si="146"/>
        <v>145708.57</v>
      </c>
      <c r="DV331" s="118">
        <f t="shared" si="147"/>
        <v>179707.03</v>
      </c>
      <c r="DW331" s="118">
        <f t="shared" si="148"/>
        <v>179707.03</v>
      </c>
      <c r="DX331" s="118">
        <f t="shared" si="149"/>
        <v>179707.03</v>
      </c>
      <c r="DY331" s="118">
        <f t="shared" si="150"/>
        <v>179707.03</v>
      </c>
      <c r="DZ331" s="118">
        <f t="shared" si="151"/>
        <v>179707.03</v>
      </c>
      <c r="EA331" s="118">
        <f t="shared" si="152"/>
        <v>179707.03</v>
      </c>
      <c r="EB331" s="118">
        <f t="shared" si="153"/>
        <v>179707.03</v>
      </c>
    </row>
    <row r="332" spans="1:132" ht="45" x14ac:dyDescent="0.25">
      <c r="A332" s="121">
        <v>6</v>
      </c>
      <c r="B332" s="122" t="s">
        <v>2688</v>
      </c>
      <c r="C332" s="123" t="s">
        <v>4218</v>
      </c>
      <c r="D332" s="123" t="s">
        <v>4219</v>
      </c>
      <c r="E332" s="123" t="s">
        <v>4220</v>
      </c>
      <c r="F332" s="123" t="s">
        <v>593</v>
      </c>
      <c r="G332" s="123" t="s">
        <v>6118</v>
      </c>
      <c r="H332" s="123" t="s">
        <v>594</v>
      </c>
      <c r="I332" s="123" t="s">
        <v>595</v>
      </c>
      <c r="J332" s="124" t="s">
        <v>538</v>
      </c>
      <c r="K332" s="124" t="s">
        <v>495</v>
      </c>
      <c r="L332" s="124" t="s">
        <v>519</v>
      </c>
      <c r="M332" s="124" t="s">
        <v>4241</v>
      </c>
      <c r="N332" s="124" t="s">
        <v>4242</v>
      </c>
      <c r="O332" s="124" t="s">
        <v>4242</v>
      </c>
      <c r="P332" s="124" t="s">
        <v>254</v>
      </c>
      <c r="Q332" s="124" t="s">
        <v>540</v>
      </c>
      <c r="R332" s="124" t="s">
        <v>260</v>
      </c>
      <c r="S332" s="32">
        <v>126539.79</v>
      </c>
      <c r="T332" s="32">
        <v>80</v>
      </c>
      <c r="U332" s="32">
        <v>14.21</v>
      </c>
      <c r="V332" s="32">
        <v>0</v>
      </c>
      <c r="W332" s="32">
        <v>0</v>
      </c>
      <c r="X332" s="32">
        <v>0</v>
      </c>
      <c r="Y332" s="32">
        <v>0</v>
      </c>
      <c r="Z332" s="32">
        <v>0</v>
      </c>
      <c r="AA332" s="32">
        <v>0</v>
      </c>
      <c r="AB332" s="32">
        <v>0</v>
      </c>
      <c r="AC332" s="32">
        <v>0</v>
      </c>
      <c r="AD332" s="32">
        <v>0</v>
      </c>
      <c r="AE332" s="32">
        <v>0</v>
      </c>
      <c r="AF332" s="32">
        <v>0</v>
      </c>
      <c r="AG332" s="32">
        <v>0</v>
      </c>
      <c r="AH332" s="32">
        <v>0</v>
      </c>
      <c r="AI332" s="32">
        <v>0</v>
      </c>
      <c r="AJ332" s="32">
        <v>0</v>
      </c>
      <c r="AK332" s="32">
        <v>0</v>
      </c>
      <c r="AL332" s="32">
        <v>0</v>
      </c>
      <c r="AM332" s="32">
        <v>0</v>
      </c>
      <c r="AN332" s="32">
        <v>0</v>
      </c>
      <c r="AO332" s="32">
        <v>31634.95</v>
      </c>
      <c r="AP332" s="32">
        <v>0</v>
      </c>
      <c r="AQ332" s="32">
        <v>31634.95</v>
      </c>
      <c r="AR332" s="32">
        <v>158174.74</v>
      </c>
      <c r="AS332" s="32">
        <v>14.21</v>
      </c>
      <c r="AT332" s="32">
        <v>98046</v>
      </c>
      <c r="AU332" s="32">
        <v>0</v>
      </c>
      <c r="AV332" s="32">
        <v>0</v>
      </c>
      <c r="AW332" s="32">
        <v>98046</v>
      </c>
      <c r="AX332" s="32">
        <v>14706.9</v>
      </c>
      <c r="AY332" s="32">
        <v>14706.9</v>
      </c>
      <c r="AZ332" s="32">
        <v>3921.84</v>
      </c>
      <c r="BA332" s="32">
        <v>3921.84</v>
      </c>
      <c r="BB332" s="32">
        <v>0</v>
      </c>
      <c r="BC332" s="32">
        <v>0</v>
      </c>
      <c r="BD332" s="32">
        <v>41500</v>
      </c>
      <c r="BE332" s="32">
        <v>41500</v>
      </c>
      <c r="BF332" s="32">
        <v>0</v>
      </c>
      <c r="BG332" s="32">
        <v>0</v>
      </c>
      <c r="BH332" s="32">
        <v>0</v>
      </c>
      <c r="BI332" s="32">
        <v>0</v>
      </c>
      <c r="BJ332" s="32">
        <v>0</v>
      </c>
      <c r="BK332" s="32">
        <v>0</v>
      </c>
      <c r="BL332" s="32">
        <v>0</v>
      </c>
      <c r="BM332" s="32">
        <v>0</v>
      </c>
      <c r="BN332" s="32">
        <v>0</v>
      </c>
      <c r="BO332" s="32">
        <v>0</v>
      </c>
      <c r="BP332" s="32">
        <v>0</v>
      </c>
      <c r="BQ332" s="32">
        <v>22543.98</v>
      </c>
      <c r="BR332" s="32">
        <v>50000.32</v>
      </c>
      <c r="BS332" s="32">
        <v>40357.67</v>
      </c>
      <c r="BT332" s="32">
        <v>45272.77</v>
      </c>
      <c r="BU332" s="32">
        <v>0</v>
      </c>
      <c r="BV332" s="32">
        <v>0</v>
      </c>
      <c r="BW332" s="32">
        <v>0</v>
      </c>
      <c r="BX332" s="32">
        <v>0</v>
      </c>
      <c r="BY332" s="32">
        <v>0</v>
      </c>
      <c r="BZ332" s="32">
        <v>0</v>
      </c>
      <c r="CA332" s="32">
        <v>0</v>
      </c>
      <c r="CB332" s="125" t="s">
        <v>212</v>
      </c>
      <c r="CC332" s="125" t="s">
        <v>557</v>
      </c>
      <c r="CD332" s="125" t="s">
        <v>706</v>
      </c>
      <c r="CE332" s="125" t="s">
        <v>501</v>
      </c>
      <c r="CF332" s="125" t="s">
        <v>4243</v>
      </c>
      <c r="CG332" s="125" t="s">
        <v>4244</v>
      </c>
      <c r="CH332" s="125" t="s">
        <v>504</v>
      </c>
      <c r="CI332" s="125"/>
      <c r="CJ332" s="125" t="s">
        <v>212</v>
      </c>
      <c r="CK332" s="125"/>
      <c r="CL332" s="125" t="s">
        <v>212</v>
      </c>
      <c r="CM332" s="125" t="s">
        <v>625</v>
      </c>
      <c r="CN332" s="125" t="s">
        <v>254</v>
      </c>
      <c r="CO332" s="125" t="s">
        <v>260</v>
      </c>
      <c r="CP332" s="125" t="s">
        <v>4245</v>
      </c>
      <c r="CQ332" s="125" t="s">
        <v>656</v>
      </c>
      <c r="CR332" s="125" t="s">
        <v>4246</v>
      </c>
      <c r="CS332" s="125" t="s">
        <v>4247</v>
      </c>
      <c r="CT332" s="125"/>
      <c r="CU332" s="125"/>
      <c r="CV332" s="125"/>
      <c r="CW332" s="125"/>
      <c r="CX332" s="125"/>
      <c r="CY332" s="125" t="s">
        <v>531</v>
      </c>
      <c r="CZ332" s="125" t="s">
        <v>4248</v>
      </c>
      <c r="DA332" s="125" t="s">
        <v>4249</v>
      </c>
      <c r="DB332" s="125" t="s">
        <v>531</v>
      </c>
      <c r="DC332" s="125" t="s">
        <v>550</v>
      </c>
      <c r="DD332" s="125" t="s">
        <v>4249</v>
      </c>
      <c r="DE332" s="125" t="s">
        <v>4250</v>
      </c>
      <c r="DF332" s="126" t="s">
        <v>4251</v>
      </c>
      <c r="DG332" s="27" cm="1">
        <f t="array" ref="DG332">INDEX('elenco partner'!A:M,MATCH(1,(D332='elenco partner'!A:A)*('Partner data'!M332='elenco partner'!E:E),0),4)</f>
        <v>825</v>
      </c>
      <c r="DH332" s="83" t="str">
        <f t="shared" si="157"/>
        <v>Costo Unitario Standard</v>
      </c>
      <c r="DI332" s="20">
        <f>COUNTIFS('MY-REPORT-MAIN'!C:C,'Partner data'!DG332,'MY-REPORT-MAIN'!I:I,"Certified")</f>
        <v>0</v>
      </c>
      <c r="DJ332" s="20">
        <f>COUNTIFS(List_Of_chek_list!M:M,"&lt;&gt;26",List_Of_chek_list!B:B,'Partner data'!DG332)</f>
        <v>0</v>
      </c>
      <c r="DK332" s="20">
        <f t="shared" si="158"/>
        <v>0</v>
      </c>
      <c r="DL332" s="19" t="str">
        <f>IF(DH332="Tasso Forfettario 20%",SUMIFS(List_Of_chek_list!#REF!,List_Of_chek_list!B:B,'Partner data'!DG332),"NON PERTINENTE")</f>
        <v>NON PERTINENTE</v>
      </c>
      <c r="DM332" s="19" t="str">
        <f t="shared" si="159"/>
        <v>NON PERTINENTE</v>
      </c>
      <c r="DN332" s="110">
        <f>_xlfn.MAXIFS('MY-REPORT-MAIN'!K:K,'MY-REPORT-MAIN'!C:C,DG332)</f>
        <v>0</v>
      </c>
      <c r="DO332" s="112" t="str">
        <f>IF(_xlfn.MAXIFS('MY-REPORT-MAIN'!M:M,'MY-REPORT-MAIN'!C:C,DG332)=0,"Nessun rendiconto  Convalidato",_xlfn.MAXIFS('MY-REPORT-MAIN'!M:M,'MY-REPORT-MAIN'!C:C,DG332))</f>
        <v>Nessun rendiconto  Convalidato</v>
      </c>
      <c r="DP332" s="113" t="str" cm="1">
        <f t="array" ref="DP332">IFERROR(INDEX('MY-REPORT-MAIN'!A:Z,MATCH(1,(DO332='MY-REPORT-MAIN'!M:M)*('Partner data'!DG332='MY-REPORT-MAIN'!C:C),0),1),"NON è stato convalidato ancora nessun rendiconto")</f>
        <v>NON è stato convalidato ancora nessun rendiconto</v>
      </c>
      <c r="DQ332" s="111" t="str">
        <f>IFERROR(INDEX('MY-REPORT-MAIN'!A:Z,MATCH('Partner data'!DP332,'MY-REPORT-MAIN'!A:A,0),21),"Nessun Rendiconto ancora convalidato")</f>
        <v>Nessun Rendiconto ancora convalidato</v>
      </c>
      <c r="DR332" s="110" t="e">
        <f>INDEX('Interreg VI-A Italy-Slovenia_pr'!A:E,MATCH('Partner data'!C332,'Interreg VI-A Italy-Slovenia_pr'!A:A,0),3)</f>
        <v>#N/A</v>
      </c>
      <c r="DS332" s="118">
        <f t="shared" si="144"/>
        <v>22543.98</v>
      </c>
      <c r="DT332" s="118">
        <f t="shared" si="145"/>
        <v>72544.3</v>
      </c>
      <c r="DU332" s="118">
        <f t="shared" si="146"/>
        <v>112901.97</v>
      </c>
      <c r="DV332" s="118">
        <f t="shared" si="147"/>
        <v>158174.74</v>
      </c>
      <c r="DW332" s="118">
        <f t="shared" si="148"/>
        <v>158174.74</v>
      </c>
      <c r="DX332" s="118">
        <f t="shared" si="149"/>
        <v>158174.74</v>
      </c>
      <c r="DY332" s="118">
        <f t="shared" si="150"/>
        <v>158174.74</v>
      </c>
      <c r="DZ332" s="118">
        <f t="shared" si="151"/>
        <v>158174.74</v>
      </c>
      <c r="EA332" s="118">
        <f t="shared" si="152"/>
        <v>158174.74</v>
      </c>
      <c r="EB332" s="118">
        <f t="shared" si="153"/>
        <v>158174.74</v>
      </c>
    </row>
    <row r="333" spans="1:132" ht="45" x14ac:dyDescent="0.25">
      <c r="A333" s="121">
        <v>6</v>
      </c>
      <c r="B333" s="122" t="s">
        <v>2688</v>
      </c>
      <c r="C333" s="123" t="s">
        <v>4218</v>
      </c>
      <c r="D333" s="123" t="s">
        <v>4219</v>
      </c>
      <c r="E333" s="123" t="s">
        <v>4220</v>
      </c>
      <c r="F333" s="123" t="s">
        <v>593</v>
      </c>
      <c r="G333" s="123" t="s">
        <v>6118</v>
      </c>
      <c r="H333" s="123" t="s">
        <v>594</v>
      </c>
      <c r="I333" s="123" t="s">
        <v>595</v>
      </c>
      <c r="J333" s="124" t="s">
        <v>554</v>
      </c>
      <c r="K333" s="124" t="s">
        <v>495</v>
      </c>
      <c r="L333" s="124" t="s">
        <v>519</v>
      </c>
      <c r="M333" s="124" t="s">
        <v>24</v>
      </c>
      <c r="N333" s="124" t="s">
        <v>3510</v>
      </c>
      <c r="O333" s="124" t="s">
        <v>4252</v>
      </c>
      <c r="P333" s="124" t="s">
        <v>257</v>
      </c>
      <c r="Q333" s="124" t="s">
        <v>556</v>
      </c>
      <c r="R333" s="124" t="s">
        <v>270</v>
      </c>
      <c r="S333" s="32">
        <v>172349.28</v>
      </c>
      <c r="T333" s="32">
        <v>80</v>
      </c>
      <c r="U333" s="32">
        <v>19.350000000000001</v>
      </c>
      <c r="V333" s="32">
        <v>0</v>
      </c>
      <c r="W333" s="32">
        <v>0</v>
      </c>
      <c r="X333" s="32">
        <v>0</v>
      </c>
      <c r="Y333" s="32">
        <v>0</v>
      </c>
      <c r="Z333" s="32">
        <v>0</v>
      </c>
      <c r="AA333" s="32">
        <v>0</v>
      </c>
      <c r="AB333" s="32">
        <v>0</v>
      </c>
      <c r="AC333" s="32">
        <v>0</v>
      </c>
      <c r="AD333" s="32">
        <v>0</v>
      </c>
      <c r="AE333" s="32">
        <v>0</v>
      </c>
      <c r="AF333" s="32">
        <v>0</v>
      </c>
      <c r="AG333" s="32">
        <v>0</v>
      </c>
      <c r="AH333" s="32">
        <v>0</v>
      </c>
      <c r="AI333" s="32">
        <v>0</v>
      </c>
      <c r="AJ333" s="32">
        <v>0</v>
      </c>
      <c r="AK333" s="32">
        <v>0</v>
      </c>
      <c r="AL333" s="32">
        <v>0</v>
      </c>
      <c r="AM333" s="32">
        <v>0</v>
      </c>
      <c r="AN333" s="32">
        <v>43087.32</v>
      </c>
      <c r="AO333" s="32">
        <v>0</v>
      </c>
      <c r="AP333" s="32">
        <v>0</v>
      </c>
      <c r="AQ333" s="32">
        <v>43087.32</v>
      </c>
      <c r="AR333" s="32">
        <v>215436.6</v>
      </c>
      <c r="AS333" s="32">
        <v>19.350000000000001</v>
      </c>
      <c r="AT333" s="32">
        <v>133140</v>
      </c>
      <c r="AU333" s="32">
        <v>0</v>
      </c>
      <c r="AV333" s="32">
        <v>133140</v>
      </c>
      <c r="AW333" s="32">
        <v>0</v>
      </c>
      <c r="AX333" s="32">
        <v>19971</v>
      </c>
      <c r="AY333" s="32">
        <v>19971</v>
      </c>
      <c r="AZ333" s="32">
        <v>5325.6</v>
      </c>
      <c r="BA333" s="32">
        <v>5325.6</v>
      </c>
      <c r="BB333" s="32">
        <v>0</v>
      </c>
      <c r="BC333" s="32">
        <v>0</v>
      </c>
      <c r="BD333" s="32">
        <v>57000</v>
      </c>
      <c r="BE333" s="32">
        <v>57000</v>
      </c>
      <c r="BF333" s="32">
        <v>0</v>
      </c>
      <c r="BG333" s="32">
        <v>0</v>
      </c>
      <c r="BH333" s="32">
        <v>0</v>
      </c>
      <c r="BI333" s="32">
        <v>0</v>
      </c>
      <c r="BJ333" s="32">
        <v>0</v>
      </c>
      <c r="BK333" s="32">
        <v>0</v>
      </c>
      <c r="BL333" s="32">
        <v>0</v>
      </c>
      <c r="BM333" s="32">
        <v>0</v>
      </c>
      <c r="BN333" s="32">
        <v>0</v>
      </c>
      <c r="BO333" s="32">
        <v>0</v>
      </c>
      <c r="BP333" s="32">
        <v>0</v>
      </c>
      <c r="BQ333" s="32">
        <v>33462.32</v>
      </c>
      <c r="BR333" s="32">
        <v>61103.46</v>
      </c>
      <c r="BS333" s="32">
        <v>80953.960000000006</v>
      </c>
      <c r="BT333" s="32">
        <v>39916.86</v>
      </c>
      <c r="BU333" s="32">
        <v>0</v>
      </c>
      <c r="BV333" s="32">
        <v>0</v>
      </c>
      <c r="BW333" s="32">
        <v>0</v>
      </c>
      <c r="BX333" s="32">
        <v>0</v>
      </c>
      <c r="BY333" s="32">
        <v>0</v>
      </c>
      <c r="BZ333" s="32">
        <v>0</v>
      </c>
      <c r="CA333" s="32">
        <v>0</v>
      </c>
      <c r="CB333" s="125" t="s">
        <v>4253</v>
      </c>
      <c r="CC333" s="125" t="s">
        <v>624</v>
      </c>
      <c r="CD333" s="125"/>
      <c r="CE333" s="125" t="s">
        <v>523</v>
      </c>
      <c r="CF333" s="125" t="s">
        <v>655</v>
      </c>
      <c r="CG333" s="125" t="s">
        <v>1381</v>
      </c>
      <c r="CH333" s="125" t="s">
        <v>619</v>
      </c>
      <c r="CI333" s="125"/>
      <c r="CJ333" s="125" t="s">
        <v>212</v>
      </c>
      <c r="CK333" s="125" t="s">
        <v>1383</v>
      </c>
      <c r="CL333" s="125" t="s">
        <v>212</v>
      </c>
      <c r="CM333" s="125"/>
      <c r="CN333" s="125" t="s">
        <v>257</v>
      </c>
      <c r="CO333" s="125" t="s">
        <v>270</v>
      </c>
      <c r="CP333" s="125" t="s">
        <v>4254</v>
      </c>
      <c r="CQ333" s="125" t="s">
        <v>710</v>
      </c>
      <c r="CR333" s="125" t="s">
        <v>650</v>
      </c>
      <c r="CS333" s="125" t="s">
        <v>1456</v>
      </c>
      <c r="CT333" s="125" t="s">
        <v>257</v>
      </c>
      <c r="CU333" s="125" t="s">
        <v>270</v>
      </c>
      <c r="CV333" s="125" t="s">
        <v>2694</v>
      </c>
      <c r="CW333" s="125" t="s">
        <v>710</v>
      </c>
      <c r="CX333" s="125" t="s">
        <v>650</v>
      </c>
      <c r="CY333" s="125" t="s">
        <v>2695</v>
      </c>
      <c r="CZ333" s="125" t="s">
        <v>4255</v>
      </c>
      <c r="DA333" s="125" t="s">
        <v>1387</v>
      </c>
      <c r="DB333" s="125" t="s">
        <v>547</v>
      </c>
      <c r="DC333" s="125" t="s">
        <v>1650</v>
      </c>
      <c r="DD333" s="125" t="s">
        <v>2696</v>
      </c>
      <c r="DE333" s="125" t="s">
        <v>1390</v>
      </c>
      <c r="DF333" s="126" t="s">
        <v>3755</v>
      </c>
      <c r="DG333" s="27" cm="1">
        <f t="array" ref="DG333">INDEX('elenco partner'!A:M,MATCH(1,(D333='elenco partner'!A:A)*('Partner data'!M333='elenco partner'!E:E),0),4)</f>
        <v>847</v>
      </c>
      <c r="DH333" s="83" t="str">
        <f t="shared" si="157"/>
        <v>COSTO REALE</v>
      </c>
      <c r="DI333" s="20">
        <f>COUNTIFS('MY-REPORT-MAIN'!C:C,'Partner data'!DG333,'MY-REPORT-MAIN'!I:I,"Certified")</f>
        <v>0</v>
      </c>
      <c r="DJ333" s="20">
        <f>COUNTIFS(List_Of_chek_list!M:M,"&lt;&gt;26",List_Of_chek_list!B:B,'Partner data'!DG333)</f>
        <v>0</v>
      </c>
      <c r="DK333" s="20">
        <f t="shared" si="158"/>
        <v>0</v>
      </c>
      <c r="DL333" s="19" t="str">
        <f>IF(DH333="Tasso Forfettario 20%",SUMIFS(List_Of_chek_list!#REF!,List_Of_chek_list!B:B,'Partner data'!DG333),"NON PERTINENTE")</f>
        <v>NON PERTINENTE</v>
      </c>
      <c r="DM333" s="19" t="str">
        <f t="shared" si="159"/>
        <v>NON PERTINENTE</v>
      </c>
      <c r="DN333" s="110">
        <f>_xlfn.MAXIFS('MY-REPORT-MAIN'!K:K,'MY-REPORT-MAIN'!C:C,DG333)</f>
        <v>0</v>
      </c>
      <c r="DO333" s="112" t="str">
        <f>IF(_xlfn.MAXIFS('MY-REPORT-MAIN'!M:M,'MY-REPORT-MAIN'!C:C,DG333)=0,"Nessun rendiconto  Convalidato",_xlfn.MAXIFS('MY-REPORT-MAIN'!M:M,'MY-REPORT-MAIN'!C:C,DG333))</f>
        <v>Nessun rendiconto  Convalidato</v>
      </c>
      <c r="DP333" s="113" t="str" cm="1">
        <f t="array" ref="DP333">IFERROR(INDEX('MY-REPORT-MAIN'!A:Z,MATCH(1,(DO333='MY-REPORT-MAIN'!M:M)*('Partner data'!DG333='MY-REPORT-MAIN'!C:C),0),1),"NON è stato convalidato ancora nessun rendiconto")</f>
        <v>NON è stato convalidato ancora nessun rendiconto</v>
      </c>
      <c r="DQ333" s="111" t="str">
        <f>IFERROR(INDEX('MY-REPORT-MAIN'!A:Z,MATCH('Partner data'!DP333,'MY-REPORT-MAIN'!A:A,0),21),"Nessun Rendiconto ancora convalidato")</f>
        <v>Nessun Rendiconto ancora convalidato</v>
      </c>
      <c r="DR333" s="110" t="e">
        <f>INDEX('Interreg VI-A Italy-Slovenia_pr'!A:E,MATCH('Partner data'!C333,'Interreg VI-A Italy-Slovenia_pr'!A:A,0),3)</f>
        <v>#N/A</v>
      </c>
      <c r="DS333" s="118">
        <f t="shared" si="144"/>
        <v>33462.32</v>
      </c>
      <c r="DT333" s="118">
        <f t="shared" si="145"/>
        <v>94565.78</v>
      </c>
      <c r="DU333" s="118">
        <f t="shared" si="146"/>
        <v>175519.74</v>
      </c>
      <c r="DV333" s="118">
        <f t="shared" si="147"/>
        <v>215436.59999999998</v>
      </c>
      <c r="DW333" s="118">
        <f t="shared" si="148"/>
        <v>215436.59999999998</v>
      </c>
      <c r="DX333" s="118">
        <f t="shared" si="149"/>
        <v>215436.59999999998</v>
      </c>
      <c r="DY333" s="118">
        <f t="shared" si="150"/>
        <v>215436.59999999998</v>
      </c>
      <c r="DZ333" s="118">
        <f t="shared" si="151"/>
        <v>215436.59999999998</v>
      </c>
      <c r="EA333" s="118">
        <f t="shared" si="152"/>
        <v>215436.59999999998</v>
      </c>
      <c r="EB333" s="118">
        <f t="shared" si="153"/>
        <v>215436.59999999998</v>
      </c>
    </row>
    <row r="334" spans="1:132" ht="45" x14ac:dyDescent="0.25">
      <c r="A334" s="121">
        <v>6</v>
      </c>
      <c r="B334" s="122" t="s">
        <v>2688</v>
      </c>
      <c r="C334" s="123" t="s">
        <v>4218</v>
      </c>
      <c r="D334" s="123" t="s">
        <v>4219</v>
      </c>
      <c r="E334" s="123" t="s">
        <v>4220</v>
      </c>
      <c r="F334" s="123" t="s">
        <v>593</v>
      </c>
      <c r="G334" s="123" t="s">
        <v>6118</v>
      </c>
      <c r="H334" s="123" t="s">
        <v>594</v>
      </c>
      <c r="I334" s="123" t="s">
        <v>595</v>
      </c>
      <c r="J334" s="124" t="s">
        <v>570</v>
      </c>
      <c r="K334" s="124" t="s">
        <v>495</v>
      </c>
      <c r="L334" s="124" t="s">
        <v>519</v>
      </c>
      <c r="M334" s="124" t="s">
        <v>4256</v>
      </c>
      <c r="N334" s="124" t="s">
        <v>4257</v>
      </c>
      <c r="O334" s="124" t="s">
        <v>4258</v>
      </c>
      <c r="P334" s="124" t="s">
        <v>257</v>
      </c>
      <c r="Q334" s="124" t="s">
        <v>556</v>
      </c>
      <c r="R334" s="124" t="s">
        <v>270</v>
      </c>
      <c r="S334" s="32">
        <v>105024.34</v>
      </c>
      <c r="T334" s="32">
        <v>80</v>
      </c>
      <c r="U334" s="32">
        <v>11.79</v>
      </c>
      <c r="V334" s="32">
        <v>0</v>
      </c>
      <c r="W334" s="32">
        <v>0</v>
      </c>
      <c r="X334" s="32">
        <v>0</v>
      </c>
      <c r="Y334" s="32">
        <v>0</v>
      </c>
      <c r="Z334" s="32">
        <v>0</v>
      </c>
      <c r="AA334" s="32">
        <v>0</v>
      </c>
      <c r="AB334" s="32">
        <v>0</v>
      </c>
      <c r="AC334" s="32">
        <v>0</v>
      </c>
      <c r="AD334" s="32">
        <v>0</v>
      </c>
      <c r="AE334" s="32">
        <v>0</v>
      </c>
      <c r="AF334" s="32">
        <v>0</v>
      </c>
      <c r="AG334" s="32">
        <v>0</v>
      </c>
      <c r="AH334" s="32">
        <v>0</v>
      </c>
      <c r="AI334" s="32">
        <v>0</v>
      </c>
      <c r="AJ334" s="32">
        <v>0</v>
      </c>
      <c r="AK334" s="32">
        <v>0</v>
      </c>
      <c r="AL334" s="32">
        <v>0</v>
      </c>
      <c r="AM334" s="32">
        <v>0</v>
      </c>
      <c r="AN334" s="32">
        <v>0</v>
      </c>
      <c r="AO334" s="32">
        <v>0</v>
      </c>
      <c r="AP334" s="32">
        <v>26256.09</v>
      </c>
      <c r="AQ334" s="32">
        <v>26256.09</v>
      </c>
      <c r="AR334" s="32">
        <v>131280.43</v>
      </c>
      <c r="AS334" s="32">
        <v>11.79</v>
      </c>
      <c r="AT334" s="32">
        <v>102336.5</v>
      </c>
      <c r="AU334" s="32">
        <v>0</v>
      </c>
      <c r="AV334" s="32">
        <v>102336.5</v>
      </c>
      <c r="AW334" s="32">
        <v>0</v>
      </c>
      <c r="AX334" s="32">
        <v>15350.47</v>
      </c>
      <c r="AY334" s="32">
        <v>15350.47</v>
      </c>
      <c r="AZ334" s="32">
        <v>4093.46</v>
      </c>
      <c r="BA334" s="32">
        <v>4093.46</v>
      </c>
      <c r="BB334" s="32">
        <v>0</v>
      </c>
      <c r="BC334" s="32">
        <v>0</v>
      </c>
      <c r="BD334" s="32">
        <v>9500</v>
      </c>
      <c r="BE334" s="32">
        <v>9500</v>
      </c>
      <c r="BF334" s="32">
        <v>0</v>
      </c>
      <c r="BG334" s="32">
        <v>0</v>
      </c>
      <c r="BH334" s="32">
        <v>0</v>
      </c>
      <c r="BI334" s="32">
        <v>0</v>
      </c>
      <c r="BJ334" s="32">
        <v>0</v>
      </c>
      <c r="BK334" s="32">
        <v>0</v>
      </c>
      <c r="BL334" s="32">
        <v>0</v>
      </c>
      <c r="BM334" s="32">
        <v>0</v>
      </c>
      <c r="BN334" s="32">
        <v>0</v>
      </c>
      <c r="BO334" s="32">
        <v>0</v>
      </c>
      <c r="BP334" s="32">
        <v>0</v>
      </c>
      <c r="BQ334" s="32">
        <v>14957.29</v>
      </c>
      <c r="BR334" s="32">
        <v>37450.53</v>
      </c>
      <c r="BS334" s="32">
        <v>42405.51</v>
      </c>
      <c r="BT334" s="32">
        <v>36467.1</v>
      </c>
      <c r="BU334" s="32">
        <v>0</v>
      </c>
      <c r="BV334" s="32">
        <v>0</v>
      </c>
      <c r="BW334" s="32">
        <v>0</v>
      </c>
      <c r="BX334" s="32">
        <v>0</v>
      </c>
      <c r="BY334" s="32">
        <v>0</v>
      </c>
      <c r="BZ334" s="32">
        <v>0</v>
      </c>
      <c r="CA334" s="32">
        <v>0</v>
      </c>
      <c r="CB334" s="125" t="s">
        <v>212</v>
      </c>
      <c r="CC334" s="125" t="s">
        <v>557</v>
      </c>
      <c r="CD334" s="125" t="s">
        <v>617</v>
      </c>
      <c r="CE334" s="125" t="s">
        <v>501</v>
      </c>
      <c r="CF334" s="125" t="s">
        <v>4259</v>
      </c>
      <c r="CG334" s="125" t="s">
        <v>4260</v>
      </c>
      <c r="CH334" s="125" t="s">
        <v>504</v>
      </c>
      <c r="CI334" s="125"/>
      <c r="CJ334" s="125" t="s">
        <v>212</v>
      </c>
      <c r="CK334" s="125" t="s">
        <v>4261</v>
      </c>
      <c r="CL334" s="125" t="s">
        <v>212</v>
      </c>
      <c r="CM334" s="125"/>
      <c r="CN334" s="125" t="s">
        <v>257</v>
      </c>
      <c r="CO334" s="125" t="s">
        <v>270</v>
      </c>
      <c r="CP334" s="125" t="s">
        <v>4262</v>
      </c>
      <c r="CQ334" s="125" t="s">
        <v>710</v>
      </c>
      <c r="CR334" s="125" t="s">
        <v>650</v>
      </c>
      <c r="CS334" s="125" t="s">
        <v>4263</v>
      </c>
      <c r="CT334" s="125"/>
      <c r="CU334" s="125"/>
      <c r="CV334" s="125"/>
      <c r="CW334" s="125"/>
      <c r="CX334" s="125"/>
      <c r="CY334" s="125" t="s">
        <v>531</v>
      </c>
      <c r="CZ334" s="125" t="s">
        <v>3071</v>
      </c>
      <c r="DA334" s="125" t="s">
        <v>4264</v>
      </c>
      <c r="DB334" s="125" t="s">
        <v>531</v>
      </c>
      <c r="DC334" s="125" t="s">
        <v>4265</v>
      </c>
      <c r="DD334" s="125" t="s">
        <v>2482</v>
      </c>
      <c r="DE334" s="125" t="s">
        <v>4266</v>
      </c>
      <c r="DF334" s="126" t="s">
        <v>4267</v>
      </c>
      <c r="DG334" s="27" cm="1">
        <f t="array" ref="DG334">INDEX('elenco partner'!A:M,MATCH(1,(D334='elenco partner'!A:A)*('Partner data'!M334='elenco partner'!E:E),0),4)</f>
        <v>849</v>
      </c>
      <c r="DH334" s="83" t="str">
        <f t="shared" si="157"/>
        <v>COSTO REALE</v>
      </c>
      <c r="DI334" s="20">
        <f>COUNTIFS('MY-REPORT-MAIN'!C:C,'Partner data'!DG334,'MY-REPORT-MAIN'!I:I,"Certified")</f>
        <v>0</v>
      </c>
      <c r="DJ334" s="20">
        <f>COUNTIFS(List_Of_chek_list!M:M,"&lt;&gt;26",List_Of_chek_list!B:B,'Partner data'!DG334)</f>
        <v>0</v>
      </c>
      <c r="DK334" s="20">
        <f t="shared" si="158"/>
        <v>0</v>
      </c>
      <c r="DL334" s="19" t="str">
        <f>IF(DH334="Tasso Forfettario 20%",SUMIFS(List_Of_chek_list!#REF!,List_Of_chek_list!B:B,'Partner data'!DG334),"NON PERTINENTE")</f>
        <v>NON PERTINENTE</v>
      </c>
      <c r="DM334" s="19" t="str">
        <f t="shared" si="159"/>
        <v>NON PERTINENTE</v>
      </c>
      <c r="DN334" s="110">
        <f>_xlfn.MAXIFS('MY-REPORT-MAIN'!K:K,'MY-REPORT-MAIN'!C:C,DG334)</f>
        <v>0</v>
      </c>
      <c r="DO334" s="112" t="str">
        <f>IF(_xlfn.MAXIFS('MY-REPORT-MAIN'!M:M,'MY-REPORT-MAIN'!C:C,DG334)=0,"Nessun rendiconto  Convalidato",_xlfn.MAXIFS('MY-REPORT-MAIN'!M:M,'MY-REPORT-MAIN'!C:C,DG334))</f>
        <v>Nessun rendiconto  Convalidato</v>
      </c>
      <c r="DP334" s="113" t="str" cm="1">
        <f t="array" ref="DP334">IFERROR(INDEX('MY-REPORT-MAIN'!A:Z,MATCH(1,(DO334='MY-REPORT-MAIN'!M:M)*('Partner data'!DG334='MY-REPORT-MAIN'!C:C),0),1),"NON è stato convalidato ancora nessun rendiconto")</f>
        <v>NON è stato convalidato ancora nessun rendiconto</v>
      </c>
      <c r="DQ334" s="111" t="str">
        <f>IFERROR(INDEX('MY-REPORT-MAIN'!A:Z,MATCH('Partner data'!DP334,'MY-REPORT-MAIN'!A:A,0),21),"Nessun Rendiconto ancora convalidato")</f>
        <v>Nessun Rendiconto ancora convalidato</v>
      </c>
      <c r="DR334" s="110" t="e">
        <f>INDEX('Interreg VI-A Italy-Slovenia_pr'!A:E,MATCH('Partner data'!C334,'Interreg VI-A Italy-Slovenia_pr'!A:A,0),3)</f>
        <v>#N/A</v>
      </c>
      <c r="DS334" s="118">
        <f t="shared" si="144"/>
        <v>14957.29</v>
      </c>
      <c r="DT334" s="118">
        <f t="shared" si="145"/>
        <v>52407.82</v>
      </c>
      <c r="DU334" s="118">
        <f t="shared" si="146"/>
        <v>94813.33</v>
      </c>
      <c r="DV334" s="118">
        <f t="shared" si="147"/>
        <v>131280.43</v>
      </c>
      <c r="DW334" s="118">
        <f t="shared" si="148"/>
        <v>131280.43</v>
      </c>
      <c r="DX334" s="118">
        <f t="shared" si="149"/>
        <v>131280.43</v>
      </c>
      <c r="DY334" s="118">
        <f t="shared" si="150"/>
        <v>131280.43</v>
      </c>
      <c r="DZ334" s="118">
        <f t="shared" si="151"/>
        <v>131280.43</v>
      </c>
      <c r="EA334" s="118">
        <f t="shared" si="152"/>
        <v>131280.43</v>
      </c>
      <c r="EB334" s="118">
        <f t="shared" si="153"/>
        <v>131280.43</v>
      </c>
    </row>
    <row r="335" spans="1:132" ht="45" x14ac:dyDescent="0.25">
      <c r="A335" s="121">
        <v>6</v>
      </c>
      <c r="B335" s="122" t="s">
        <v>2688</v>
      </c>
      <c r="C335" s="123" t="s">
        <v>4218</v>
      </c>
      <c r="D335" s="123" t="s">
        <v>4219</v>
      </c>
      <c r="E335" s="123" t="s">
        <v>4220</v>
      </c>
      <c r="F335" s="123" t="s">
        <v>593</v>
      </c>
      <c r="G335" s="123" t="s">
        <v>6118</v>
      </c>
      <c r="H335" s="123" t="s">
        <v>594</v>
      </c>
      <c r="I335" s="123" t="s">
        <v>595</v>
      </c>
      <c r="J335" s="124" t="s">
        <v>581</v>
      </c>
      <c r="K335" s="124" t="s">
        <v>495</v>
      </c>
      <c r="L335" s="124" t="s">
        <v>519</v>
      </c>
      <c r="M335" s="124" t="s">
        <v>4060</v>
      </c>
      <c r="N335" s="124" t="s">
        <v>4061</v>
      </c>
      <c r="O335" s="124" t="s">
        <v>4062</v>
      </c>
      <c r="P335" s="124" t="s">
        <v>257</v>
      </c>
      <c r="Q335" s="124" t="s">
        <v>556</v>
      </c>
      <c r="R335" s="124" t="s">
        <v>270</v>
      </c>
      <c r="S335" s="32">
        <v>125619.2</v>
      </c>
      <c r="T335" s="32">
        <v>80</v>
      </c>
      <c r="U335" s="32">
        <v>14.1</v>
      </c>
      <c r="V335" s="32">
        <v>0</v>
      </c>
      <c r="W335" s="32">
        <v>0</v>
      </c>
      <c r="X335" s="32">
        <v>0</v>
      </c>
      <c r="Y335" s="32">
        <v>0</v>
      </c>
      <c r="Z335" s="32">
        <v>0</v>
      </c>
      <c r="AA335" s="32">
        <v>0</v>
      </c>
      <c r="AB335" s="32">
        <v>0</v>
      </c>
      <c r="AC335" s="32">
        <v>0</v>
      </c>
      <c r="AD335" s="32">
        <v>0</v>
      </c>
      <c r="AE335" s="32">
        <v>0</v>
      </c>
      <c r="AF335" s="32">
        <v>0</v>
      </c>
      <c r="AG335" s="32">
        <v>0</v>
      </c>
      <c r="AH335" s="32">
        <v>0</v>
      </c>
      <c r="AI335" s="32">
        <v>0</v>
      </c>
      <c r="AJ335" s="32">
        <v>0</v>
      </c>
      <c r="AK335" s="32">
        <v>0</v>
      </c>
      <c r="AL335" s="32">
        <v>0</v>
      </c>
      <c r="AM335" s="32">
        <v>0</v>
      </c>
      <c r="AN335" s="32">
        <v>0</v>
      </c>
      <c r="AO335" s="32">
        <v>0</v>
      </c>
      <c r="AP335" s="32">
        <v>31404.799999999999</v>
      </c>
      <c r="AQ335" s="32">
        <v>31404.799999999999</v>
      </c>
      <c r="AR335" s="32">
        <v>157024</v>
      </c>
      <c r="AS335" s="32">
        <v>14.1</v>
      </c>
      <c r="AT335" s="32">
        <v>112160</v>
      </c>
      <c r="AU335" s="32">
        <v>0</v>
      </c>
      <c r="AV335" s="32">
        <v>112160</v>
      </c>
      <c r="AW335" s="32">
        <v>0</v>
      </c>
      <c r="AX335" s="32">
        <v>0</v>
      </c>
      <c r="AY335" s="32">
        <v>0</v>
      </c>
      <c r="AZ335" s="32">
        <v>0</v>
      </c>
      <c r="BA335" s="32">
        <v>0</v>
      </c>
      <c r="BB335" s="32">
        <v>0</v>
      </c>
      <c r="BC335" s="32">
        <v>0</v>
      </c>
      <c r="BD335" s="32">
        <v>0</v>
      </c>
      <c r="BE335" s="32">
        <v>0</v>
      </c>
      <c r="BF335" s="32">
        <v>0</v>
      </c>
      <c r="BG335" s="32">
        <v>0</v>
      </c>
      <c r="BH335" s="32">
        <v>0</v>
      </c>
      <c r="BI335" s="32">
        <v>0</v>
      </c>
      <c r="BJ335" s="32">
        <v>0</v>
      </c>
      <c r="BK335" s="32">
        <v>0</v>
      </c>
      <c r="BL335" s="32">
        <v>0</v>
      </c>
      <c r="BM335" s="32">
        <v>44864</v>
      </c>
      <c r="BN335" s="32">
        <v>0</v>
      </c>
      <c r="BO335" s="32">
        <v>0</v>
      </c>
      <c r="BP335" s="32">
        <v>0</v>
      </c>
      <c r="BQ335" s="32">
        <v>30937.759999999998</v>
      </c>
      <c r="BR335" s="32">
        <v>38858.400000000001</v>
      </c>
      <c r="BS335" s="32">
        <v>47578.720000000001</v>
      </c>
      <c r="BT335" s="32">
        <v>39649.120000000003</v>
      </c>
      <c r="BU335" s="32">
        <v>0</v>
      </c>
      <c r="BV335" s="32">
        <v>0</v>
      </c>
      <c r="BW335" s="32">
        <v>0</v>
      </c>
      <c r="BX335" s="32">
        <v>0</v>
      </c>
      <c r="BY335" s="32">
        <v>0</v>
      </c>
      <c r="BZ335" s="32">
        <v>0</v>
      </c>
      <c r="CA335" s="32">
        <v>0</v>
      </c>
      <c r="CB335" s="125" t="s">
        <v>212</v>
      </c>
      <c r="CC335" s="125" t="s">
        <v>596</v>
      </c>
      <c r="CD335" s="125"/>
      <c r="CE335" s="125" t="s">
        <v>501</v>
      </c>
      <c r="CF335" s="125" t="s">
        <v>618</v>
      </c>
      <c r="CG335" s="125" t="s">
        <v>4268</v>
      </c>
      <c r="CH335" s="125" t="s">
        <v>619</v>
      </c>
      <c r="CI335" s="125"/>
      <c r="CJ335" s="125" t="s">
        <v>212</v>
      </c>
      <c r="CK335" s="125" t="s">
        <v>4063</v>
      </c>
      <c r="CL335" s="125" t="s">
        <v>212</v>
      </c>
      <c r="CM335" s="125"/>
      <c r="CN335" s="125" t="s">
        <v>257</v>
      </c>
      <c r="CO335" s="125" t="s">
        <v>270</v>
      </c>
      <c r="CP335" s="125" t="s">
        <v>4269</v>
      </c>
      <c r="CQ335" s="125" t="s">
        <v>710</v>
      </c>
      <c r="CR335" s="125" t="s">
        <v>650</v>
      </c>
      <c r="CS335" s="125" t="s">
        <v>4270</v>
      </c>
      <c r="CT335" s="125"/>
      <c r="CU335" s="125"/>
      <c r="CV335" s="125"/>
      <c r="CW335" s="125"/>
      <c r="CX335" s="125"/>
      <c r="CY335" s="125" t="s">
        <v>531</v>
      </c>
      <c r="CZ335" s="125" t="s">
        <v>1126</v>
      </c>
      <c r="DA335" s="125" t="s">
        <v>4064</v>
      </c>
      <c r="DB335" s="125" t="s">
        <v>547</v>
      </c>
      <c r="DC335" s="125" t="s">
        <v>3031</v>
      </c>
      <c r="DD335" s="125" t="s">
        <v>4065</v>
      </c>
      <c r="DE335" s="125" t="s">
        <v>4066</v>
      </c>
      <c r="DF335" s="126" t="s">
        <v>4271</v>
      </c>
      <c r="DG335" s="27" cm="1">
        <f t="array" ref="DG335">INDEX('elenco partner'!A:M,MATCH(1,(D335='elenco partner'!A:A)*('Partner data'!M335='elenco partner'!E:E),0),4)</f>
        <v>850</v>
      </c>
      <c r="DH335" s="83" t="str">
        <f t="shared" si="157"/>
        <v>COSTO REALE</v>
      </c>
      <c r="DI335" s="20">
        <f>COUNTIFS('MY-REPORT-MAIN'!C:C,'Partner data'!DG335,'MY-REPORT-MAIN'!I:I,"Certified")</f>
        <v>0</v>
      </c>
      <c r="DJ335" s="20">
        <f>COUNTIFS(List_Of_chek_list!M:M,"&lt;&gt;26",List_Of_chek_list!B:B,'Partner data'!DG335)</f>
        <v>0</v>
      </c>
      <c r="DK335" s="20">
        <f t="shared" si="158"/>
        <v>0</v>
      </c>
      <c r="DL335" s="19" t="str">
        <f>IF(DH335="Tasso Forfettario 20%",SUMIFS(List_Of_chek_list!#REF!,List_Of_chek_list!B:B,'Partner data'!DG335),"NON PERTINENTE")</f>
        <v>NON PERTINENTE</v>
      </c>
      <c r="DM335" s="19" t="str">
        <f t="shared" si="159"/>
        <v>NON PERTINENTE</v>
      </c>
      <c r="DN335" s="110">
        <f>_xlfn.MAXIFS('MY-REPORT-MAIN'!K:K,'MY-REPORT-MAIN'!C:C,DG335)</f>
        <v>0</v>
      </c>
      <c r="DO335" s="112" t="str">
        <f>IF(_xlfn.MAXIFS('MY-REPORT-MAIN'!M:M,'MY-REPORT-MAIN'!C:C,DG335)=0,"Nessun rendiconto  Convalidato",_xlfn.MAXIFS('MY-REPORT-MAIN'!M:M,'MY-REPORT-MAIN'!C:C,DG335))</f>
        <v>Nessun rendiconto  Convalidato</v>
      </c>
      <c r="DP335" s="113" t="str" cm="1">
        <f t="array" ref="DP335">IFERROR(INDEX('MY-REPORT-MAIN'!A:Z,MATCH(1,(DO335='MY-REPORT-MAIN'!M:M)*('Partner data'!DG335='MY-REPORT-MAIN'!C:C),0),1),"NON è stato convalidato ancora nessun rendiconto")</f>
        <v>NON è stato convalidato ancora nessun rendiconto</v>
      </c>
      <c r="DQ335" s="111" t="str">
        <f>IFERROR(INDEX('MY-REPORT-MAIN'!A:Z,MATCH('Partner data'!DP335,'MY-REPORT-MAIN'!A:A,0),21),"Nessun Rendiconto ancora convalidato")</f>
        <v>Nessun Rendiconto ancora convalidato</v>
      </c>
      <c r="DR335" s="110" t="e">
        <f>INDEX('Interreg VI-A Italy-Slovenia_pr'!A:E,MATCH('Partner data'!C335,'Interreg VI-A Italy-Slovenia_pr'!A:A,0),3)</f>
        <v>#N/A</v>
      </c>
      <c r="DS335" s="118">
        <f t="shared" si="144"/>
        <v>30937.759999999998</v>
      </c>
      <c r="DT335" s="118">
        <f t="shared" si="145"/>
        <v>69796.160000000003</v>
      </c>
      <c r="DU335" s="118">
        <f t="shared" si="146"/>
        <v>117374.88</v>
      </c>
      <c r="DV335" s="118">
        <f t="shared" si="147"/>
        <v>157024</v>
      </c>
      <c r="DW335" s="118">
        <f t="shared" si="148"/>
        <v>157024</v>
      </c>
      <c r="DX335" s="118">
        <f t="shared" si="149"/>
        <v>157024</v>
      </c>
      <c r="DY335" s="118">
        <f t="shared" si="150"/>
        <v>157024</v>
      </c>
      <c r="DZ335" s="118">
        <f t="shared" si="151"/>
        <v>157024</v>
      </c>
      <c r="EA335" s="118">
        <f t="shared" si="152"/>
        <v>157024</v>
      </c>
      <c r="EB335" s="118">
        <f t="shared" si="153"/>
        <v>157024</v>
      </c>
    </row>
  </sheetData>
  <autoFilter ref="A2:EC335" xr:uid="{00000000-0009-0000-0000-000011000000}"/>
  <phoneticPr fontId="10"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6"/>
  <dimension ref="A1:C52"/>
  <sheetViews>
    <sheetView topLeftCell="A7" workbookViewId="0">
      <selection activeCell="O26" sqref="O26"/>
    </sheetView>
  </sheetViews>
  <sheetFormatPr defaultRowHeight="15" x14ac:dyDescent="0.25"/>
  <cols>
    <col min="1" max="1" width="15.28515625" bestFit="1" customWidth="1"/>
    <col min="2" max="2" width="11" customWidth="1"/>
    <col min="3" max="3" width="10.7109375" bestFit="1" customWidth="1"/>
  </cols>
  <sheetData>
    <row r="1" spans="1:3" x14ac:dyDescent="0.25">
      <c r="A1" t="s">
        <v>5993</v>
      </c>
      <c r="B1" t="s">
        <v>5994</v>
      </c>
      <c r="C1" t="s">
        <v>5995</v>
      </c>
    </row>
    <row r="2" spans="1:3" x14ac:dyDescent="0.25">
      <c r="A2" s="9">
        <v>0</v>
      </c>
      <c r="B2" s="9">
        <v>0</v>
      </c>
      <c r="C2" s="9">
        <v>250</v>
      </c>
    </row>
    <row r="3" spans="1:3" x14ac:dyDescent="0.25">
      <c r="A3" s="9">
        <v>1</v>
      </c>
      <c r="B3" s="9">
        <v>250</v>
      </c>
      <c r="C3" s="9">
        <v>500</v>
      </c>
    </row>
    <row r="4" spans="1:3" x14ac:dyDescent="0.25">
      <c r="A4" s="9">
        <v>2</v>
      </c>
      <c r="B4" s="9">
        <v>500</v>
      </c>
      <c r="C4" s="9">
        <v>1000</v>
      </c>
    </row>
    <row r="5" spans="1:3" x14ac:dyDescent="0.25">
      <c r="A5" s="9">
        <v>3</v>
      </c>
      <c r="B5" s="9">
        <v>1000</v>
      </c>
      <c r="C5" s="9">
        <v>2000</v>
      </c>
    </row>
    <row r="6" spans="1:3" x14ac:dyDescent="0.25">
      <c r="A6" s="9">
        <v>4</v>
      </c>
      <c r="B6" s="9">
        <v>2000</v>
      </c>
      <c r="C6" s="9">
        <v>5000</v>
      </c>
    </row>
    <row r="7" spans="1:3" x14ac:dyDescent="0.25">
      <c r="A7" s="9">
        <v>5</v>
      </c>
      <c r="B7" s="9">
        <v>5000</v>
      </c>
      <c r="C7" s="9">
        <v>100000</v>
      </c>
    </row>
    <row r="8" spans="1:3" x14ac:dyDescent="0.25">
      <c r="A8" s="107">
        <v>6</v>
      </c>
      <c r="B8" s="9">
        <v>100000</v>
      </c>
      <c r="C8" s="107">
        <v>10000000</v>
      </c>
    </row>
    <row r="12" spans="1:3" x14ac:dyDescent="0.25">
      <c r="A12" s="9" t="s">
        <v>5996</v>
      </c>
      <c r="B12" s="9" t="s">
        <v>5997</v>
      </c>
      <c r="C12" s="9" t="s">
        <v>5998</v>
      </c>
    </row>
    <row r="13" spans="1:3" x14ac:dyDescent="0.25">
      <c r="A13" s="40" t="s">
        <v>6023</v>
      </c>
      <c r="B13" s="40">
        <v>0</v>
      </c>
      <c r="C13" s="40">
        <v>12</v>
      </c>
    </row>
    <row r="14" spans="1:3" x14ac:dyDescent="0.25">
      <c r="A14" s="40" t="s">
        <v>6024</v>
      </c>
      <c r="B14" s="40">
        <v>12</v>
      </c>
      <c r="C14" s="40">
        <v>18</v>
      </c>
    </row>
    <row r="15" spans="1:3" x14ac:dyDescent="0.25">
      <c r="A15" s="40" t="s">
        <v>6025</v>
      </c>
      <c r="B15" s="40">
        <v>18</v>
      </c>
      <c r="C15" s="40">
        <v>24</v>
      </c>
    </row>
    <row r="16" spans="1:3" x14ac:dyDescent="0.25">
      <c r="A16" s="40" t="s">
        <v>6026</v>
      </c>
      <c r="B16" s="40">
        <v>24</v>
      </c>
      <c r="C16" s="40">
        <v>30</v>
      </c>
    </row>
    <row r="17" spans="1:3" x14ac:dyDescent="0.25">
      <c r="A17" s="40" t="s">
        <v>6027</v>
      </c>
      <c r="B17" s="40">
        <v>30</v>
      </c>
      <c r="C17" s="40">
        <v>36</v>
      </c>
    </row>
    <row r="18" spans="1:3" x14ac:dyDescent="0.25">
      <c r="A18" s="40" t="s">
        <v>6028</v>
      </c>
      <c r="B18" s="40">
        <v>36</v>
      </c>
      <c r="C18" s="40">
        <v>42</v>
      </c>
    </row>
    <row r="19" spans="1:3" x14ac:dyDescent="0.25">
      <c r="A19" s="40" t="s">
        <v>6029</v>
      </c>
      <c r="B19" s="40">
        <v>42</v>
      </c>
      <c r="C19" s="40">
        <v>48</v>
      </c>
    </row>
    <row r="20" spans="1:3" x14ac:dyDescent="0.25">
      <c r="A20" s="40" t="s">
        <v>6030</v>
      </c>
      <c r="B20" s="40">
        <v>48</v>
      </c>
      <c r="C20" s="40">
        <v>54</v>
      </c>
    </row>
    <row r="21" spans="1:3" x14ac:dyDescent="0.25">
      <c r="A21" s="40" t="s">
        <v>6031</v>
      </c>
      <c r="B21" s="117">
        <v>54</v>
      </c>
      <c r="C21" s="117">
        <v>60</v>
      </c>
    </row>
    <row r="22" spans="1:3" x14ac:dyDescent="0.25">
      <c r="A22" s="40" t="s">
        <v>6032</v>
      </c>
      <c r="B22" s="117">
        <v>60</v>
      </c>
      <c r="C22" s="117">
        <v>66</v>
      </c>
    </row>
    <row r="23" spans="1:3" x14ac:dyDescent="0.25">
      <c r="A23" s="68"/>
      <c r="B23" s="63"/>
      <c r="C23" s="63"/>
    </row>
    <row r="24" spans="1:3" x14ac:dyDescent="0.25">
      <c r="A24" s="68"/>
      <c r="B24" s="63"/>
      <c r="C24" s="63"/>
    </row>
    <row r="25" spans="1:3" x14ac:dyDescent="0.25">
      <c r="A25" s="68"/>
      <c r="B25" s="63"/>
      <c r="C25" s="63"/>
    </row>
    <row r="26" spans="1:3" x14ac:dyDescent="0.25">
      <c r="A26" s="68"/>
      <c r="B26" s="63"/>
      <c r="C26" s="63"/>
    </row>
    <row r="27" spans="1:3" x14ac:dyDescent="0.25">
      <c r="A27" s="68"/>
      <c r="B27" s="63"/>
      <c r="C27" s="63"/>
    </row>
    <row r="28" spans="1:3" x14ac:dyDescent="0.25">
      <c r="A28" s="68"/>
      <c r="B28" s="63"/>
      <c r="C28" s="63"/>
    </row>
    <row r="29" spans="1:3" x14ac:dyDescent="0.25">
      <c r="A29" s="68"/>
      <c r="B29" s="63"/>
      <c r="C29" s="63"/>
    </row>
    <row r="30" spans="1:3" x14ac:dyDescent="0.25">
      <c r="A30" s="68"/>
      <c r="B30" s="63"/>
      <c r="C30" s="63"/>
    </row>
    <row r="31" spans="1:3" x14ac:dyDescent="0.25">
      <c r="A31" s="68"/>
      <c r="B31" s="63"/>
      <c r="C31" s="63"/>
    </row>
    <row r="32" spans="1:3" x14ac:dyDescent="0.25">
      <c r="A32" s="68"/>
      <c r="B32" s="63"/>
      <c r="C32" s="63"/>
    </row>
    <row r="33" spans="1:3" x14ac:dyDescent="0.25">
      <c r="A33" s="68"/>
      <c r="B33" s="63"/>
      <c r="C33" s="63"/>
    </row>
    <row r="34" spans="1:3" x14ac:dyDescent="0.25">
      <c r="A34" s="68"/>
      <c r="B34" s="63"/>
      <c r="C34" s="63"/>
    </row>
    <row r="37" spans="1:3" x14ac:dyDescent="0.25">
      <c r="A37" t="s">
        <v>6006</v>
      </c>
      <c r="B37" t="s">
        <v>6021</v>
      </c>
      <c r="C37" t="s">
        <v>6022</v>
      </c>
    </row>
    <row r="38" spans="1:3" x14ac:dyDescent="0.25">
      <c r="A38" s="9" t="s">
        <v>6007</v>
      </c>
      <c r="B38" s="116">
        <v>45236</v>
      </c>
      <c r="C38" s="116">
        <v>45266</v>
      </c>
    </row>
    <row r="39" spans="1:3" x14ac:dyDescent="0.25">
      <c r="A39" s="9" t="s">
        <v>6008</v>
      </c>
      <c r="B39" s="116">
        <v>45352</v>
      </c>
      <c r="C39" s="116">
        <v>45392</v>
      </c>
    </row>
    <row r="40" spans="1:3" x14ac:dyDescent="0.25">
      <c r="A40" s="9" t="s">
        <v>6009</v>
      </c>
      <c r="B40" s="116">
        <v>45534</v>
      </c>
      <c r="C40" s="116">
        <v>45566</v>
      </c>
    </row>
    <row r="41" spans="1:3" x14ac:dyDescent="0.25">
      <c r="A41" s="9" t="s">
        <v>6010</v>
      </c>
      <c r="B41" s="116">
        <v>45716</v>
      </c>
      <c r="C41" s="116">
        <v>45748</v>
      </c>
    </row>
    <row r="42" spans="1:3" x14ac:dyDescent="0.25">
      <c r="A42" s="9" t="s">
        <v>6011</v>
      </c>
      <c r="B42" s="116">
        <v>45899</v>
      </c>
      <c r="C42" s="116">
        <v>45931</v>
      </c>
    </row>
    <row r="43" spans="1:3" x14ac:dyDescent="0.25">
      <c r="A43" s="9" t="s">
        <v>6012</v>
      </c>
      <c r="B43" s="116">
        <v>46081</v>
      </c>
      <c r="C43" s="116">
        <v>46113</v>
      </c>
    </row>
    <row r="44" spans="1:3" x14ac:dyDescent="0.25">
      <c r="A44" s="9" t="s">
        <v>6013</v>
      </c>
      <c r="B44" s="116">
        <v>46264</v>
      </c>
      <c r="C44" s="116">
        <v>46296</v>
      </c>
    </row>
    <row r="45" spans="1:3" x14ac:dyDescent="0.25">
      <c r="A45" s="9" t="s">
        <v>6014</v>
      </c>
      <c r="B45" s="116">
        <v>46446</v>
      </c>
      <c r="C45" s="116">
        <v>46478</v>
      </c>
    </row>
    <row r="46" spans="1:3" x14ac:dyDescent="0.25">
      <c r="A46" s="9" t="s">
        <v>6015</v>
      </c>
      <c r="B46" s="116">
        <v>46629</v>
      </c>
      <c r="C46" s="116">
        <v>46661</v>
      </c>
    </row>
    <row r="47" spans="1:3" x14ac:dyDescent="0.25">
      <c r="A47" s="9" t="s">
        <v>6016</v>
      </c>
      <c r="B47" s="116">
        <v>46811</v>
      </c>
      <c r="C47" s="116">
        <v>46844</v>
      </c>
    </row>
    <row r="48" spans="1:3" x14ac:dyDescent="0.25">
      <c r="A48" s="9" t="s">
        <v>6017</v>
      </c>
      <c r="B48" s="116">
        <v>46995</v>
      </c>
      <c r="C48" s="116">
        <v>47027</v>
      </c>
    </row>
    <row r="49" spans="1:3" x14ac:dyDescent="0.25">
      <c r="A49" s="9" t="s">
        <v>6018</v>
      </c>
      <c r="B49" s="116">
        <v>47177</v>
      </c>
      <c r="C49" s="116">
        <v>47209</v>
      </c>
    </row>
    <row r="50" spans="1:3" x14ac:dyDescent="0.25">
      <c r="A50" s="9" t="s">
        <v>6019</v>
      </c>
      <c r="B50" s="116">
        <v>47360</v>
      </c>
      <c r="C50" s="116">
        <v>47392</v>
      </c>
    </row>
    <row r="51" spans="1:3" x14ac:dyDescent="0.25">
      <c r="A51" s="9" t="s">
        <v>6020</v>
      </c>
      <c r="B51" s="116">
        <v>47542</v>
      </c>
      <c r="C51" s="116">
        <v>47574</v>
      </c>
    </row>
    <row r="52" spans="1:3" x14ac:dyDescent="0.25">
      <c r="B52" s="109"/>
      <c r="C52" s="109"/>
    </row>
  </sheetData>
  <phoneticPr fontId="1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8"/>
  <dimension ref="A1:M175"/>
  <sheetViews>
    <sheetView topLeftCell="F142" workbookViewId="0">
      <selection activeCell="M170" sqref="M170"/>
    </sheetView>
  </sheetViews>
  <sheetFormatPr defaultRowHeight="15" x14ac:dyDescent="0.25"/>
  <cols>
    <col min="1" max="1" width="13.28515625" bestFit="1" customWidth="1"/>
    <col min="2" max="2" width="18.5703125" bestFit="1" customWidth="1"/>
    <col min="3" max="3" width="8.5703125" bestFit="1" customWidth="1"/>
    <col min="4" max="4" width="26.5703125" bestFit="1" customWidth="1"/>
    <col min="5" max="5" width="36.5703125" bestFit="1" customWidth="1"/>
    <col min="6" max="6" width="39.85546875" bestFit="1" customWidth="1"/>
    <col min="7" max="7" width="30.28515625" bestFit="1" customWidth="1"/>
    <col min="8" max="8" width="28.5703125" bestFit="1" customWidth="1"/>
    <col min="9" max="9" width="35.85546875" bestFit="1" customWidth="1"/>
    <col min="10" max="10" width="31.7109375" bestFit="1" customWidth="1"/>
    <col min="11" max="11" width="30.7109375" bestFit="1" customWidth="1"/>
    <col min="12" max="12" width="37.42578125" bestFit="1" customWidth="1"/>
    <col min="13" max="13" width="19.7109375" bestFit="1" customWidth="1"/>
  </cols>
  <sheetData>
    <row r="1" spans="1:13" x14ac:dyDescent="0.25">
      <c r="A1" s="1" t="s">
        <v>4314</v>
      </c>
      <c r="B1" s="1" t="s">
        <v>239</v>
      </c>
      <c r="C1" s="1" t="s">
        <v>3</v>
      </c>
      <c r="D1" s="1" t="s">
        <v>240</v>
      </c>
      <c r="E1" s="1" t="s">
        <v>241</v>
      </c>
      <c r="F1" s="1" t="s">
        <v>242</v>
      </c>
      <c r="G1" s="1" t="s">
        <v>243</v>
      </c>
      <c r="H1" s="1" t="s">
        <v>244</v>
      </c>
      <c r="I1" s="1" t="s">
        <v>245</v>
      </c>
      <c r="J1" s="1" t="s">
        <v>246</v>
      </c>
      <c r="K1" s="1" t="s">
        <v>247</v>
      </c>
      <c r="L1" s="1" t="s">
        <v>248</v>
      </c>
      <c r="M1" s="1" t="s">
        <v>249</v>
      </c>
    </row>
    <row r="2" spans="1:13" x14ac:dyDescent="0.25">
      <c r="A2" s="1">
        <v>7</v>
      </c>
      <c r="B2" s="1" t="s">
        <v>250</v>
      </c>
      <c r="C2" s="1" t="s">
        <v>251</v>
      </c>
      <c r="D2" s="1">
        <v>29</v>
      </c>
      <c r="E2" s="1" t="s">
        <v>252</v>
      </c>
      <c r="F2" s="1"/>
      <c r="G2" s="1" t="b">
        <v>1</v>
      </c>
      <c r="H2" s="1" t="s">
        <v>253</v>
      </c>
      <c r="I2" s="1">
        <v>2</v>
      </c>
      <c r="J2" s="1" t="s">
        <v>254</v>
      </c>
      <c r="K2" s="1" t="s">
        <v>255</v>
      </c>
      <c r="L2" s="1"/>
      <c r="M2" s="1">
        <v>80151.399999999994</v>
      </c>
    </row>
    <row r="3" spans="1:13" x14ac:dyDescent="0.25">
      <c r="A3" s="1">
        <v>7</v>
      </c>
      <c r="B3" s="1" t="s">
        <v>250</v>
      </c>
      <c r="C3" s="1" t="s">
        <v>251</v>
      </c>
      <c r="D3" s="1">
        <v>31</v>
      </c>
      <c r="E3" s="1" t="s">
        <v>256</v>
      </c>
      <c r="F3" s="1"/>
      <c r="G3" s="1" t="b">
        <v>1</v>
      </c>
      <c r="H3" s="1" t="s">
        <v>253</v>
      </c>
      <c r="I3" s="1">
        <v>4</v>
      </c>
      <c r="J3" s="1" t="s">
        <v>257</v>
      </c>
      <c r="K3" s="1" t="s">
        <v>258</v>
      </c>
      <c r="L3" s="1"/>
      <c r="M3" s="1">
        <v>149067.20000000001</v>
      </c>
    </row>
    <row r="4" spans="1:13" x14ac:dyDescent="0.25">
      <c r="A4" s="1">
        <v>7</v>
      </c>
      <c r="B4" s="1" t="s">
        <v>250</v>
      </c>
      <c r="C4" s="1" t="s">
        <v>251</v>
      </c>
      <c r="D4" s="1">
        <v>33</v>
      </c>
      <c r="E4" s="1" t="s">
        <v>259</v>
      </c>
      <c r="F4" s="1"/>
      <c r="G4" s="1" t="b">
        <v>1</v>
      </c>
      <c r="H4" s="1" t="s">
        <v>253</v>
      </c>
      <c r="I4" s="1">
        <v>6</v>
      </c>
      <c r="J4" s="1" t="s">
        <v>254</v>
      </c>
      <c r="K4" s="1" t="s">
        <v>260</v>
      </c>
      <c r="L4" s="1"/>
      <c r="M4" s="1">
        <v>42881.5</v>
      </c>
    </row>
    <row r="5" spans="1:13" x14ac:dyDescent="0.25">
      <c r="A5" s="1">
        <v>7</v>
      </c>
      <c r="B5" s="1" t="s">
        <v>250</v>
      </c>
      <c r="C5" s="1" t="s">
        <v>251</v>
      </c>
      <c r="D5" s="1">
        <v>32</v>
      </c>
      <c r="E5" s="1" t="s">
        <v>261</v>
      </c>
      <c r="F5" s="1"/>
      <c r="G5" s="1" t="b">
        <v>1</v>
      </c>
      <c r="H5" s="1" t="s">
        <v>253</v>
      </c>
      <c r="I5" s="1">
        <v>5</v>
      </c>
      <c r="J5" s="1" t="s">
        <v>257</v>
      </c>
      <c r="K5" s="1" t="s">
        <v>258</v>
      </c>
      <c r="L5" s="1"/>
      <c r="M5" s="1">
        <v>108007</v>
      </c>
    </row>
    <row r="6" spans="1:13" x14ac:dyDescent="0.25">
      <c r="A6" s="1">
        <v>7</v>
      </c>
      <c r="B6" s="1" t="s">
        <v>250</v>
      </c>
      <c r="C6" s="1" t="s">
        <v>251</v>
      </c>
      <c r="D6" s="1">
        <v>30</v>
      </c>
      <c r="E6" s="1" t="s">
        <v>262</v>
      </c>
      <c r="F6" s="1"/>
      <c r="G6" s="1" t="b">
        <v>1</v>
      </c>
      <c r="H6" s="1" t="s">
        <v>253</v>
      </c>
      <c r="I6" s="1">
        <v>3</v>
      </c>
      <c r="J6" s="1" t="s">
        <v>254</v>
      </c>
      <c r="K6" s="1" t="s">
        <v>260</v>
      </c>
      <c r="L6" s="1"/>
      <c r="M6" s="1">
        <v>88337.54</v>
      </c>
    </row>
    <row r="7" spans="1:13" x14ac:dyDescent="0.25">
      <c r="A7" s="1">
        <v>7</v>
      </c>
      <c r="B7" s="1" t="s">
        <v>250</v>
      </c>
      <c r="C7" s="1" t="s">
        <v>251</v>
      </c>
      <c r="D7" s="1">
        <v>28</v>
      </c>
      <c r="E7" s="1" t="s">
        <v>263</v>
      </c>
      <c r="F7" s="1"/>
      <c r="G7" s="1" t="b">
        <v>1</v>
      </c>
      <c r="H7" s="1" t="s">
        <v>264</v>
      </c>
      <c r="I7" s="1">
        <v>1</v>
      </c>
      <c r="J7" s="1" t="s">
        <v>254</v>
      </c>
      <c r="K7" s="1" t="s">
        <v>265</v>
      </c>
      <c r="L7" s="1"/>
      <c r="M7" s="1">
        <v>193926.88</v>
      </c>
    </row>
    <row r="8" spans="1:13" x14ac:dyDescent="0.25">
      <c r="A8" s="1">
        <v>103</v>
      </c>
      <c r="B8" s="1" t="s">
        <v>64</v>
      </c>
      <c r="C8" s="1" t="s">
        <v>251</v>
      </c>
      <c r="D8" s="1">
        <v>333</v>
      </c>
      <c r="E8" s="1" t="s">
        <v>43</v>
      </c>
      <c r="F8" s="1"/>
      <c r="G8" s="1" t="b">
        <v>1</v>
      </c>
      <c r="H8" s="1" t="s">
        <v>264</v>
      </c>
      <c r="I8" s="1">
        <v>1</v>
      </c>
      <c r="J8" s="1" t="s">
        <v>254</v>
      </c>
      <c r="K8" s="1" t="s">
        <v>266</v>
      </c>
      <c r="L8" s="1"/>
      <c r="M8" s="1">
        <v>1236295.5</v>
      </c>
    </row>
    <row r="9" spans="1:13" x14ac:dyDescent="0.25">
      <c r="A9" s="1">
        <v>13</v>
      </c>
      <c r="B9" s="1" t="s">
        <v>58</v>
      </c>
      <c r="C9" s="1" t="s">
        <v>251</v>
      </c>
      <c r="D9" s="1">
        <v>14</v>
      </c>
      <c r="E9" s="1" t="s">
        <v>40</v>
      </c>
      <c r="F9" s="1"/>
      <c r="G9" s="1" t="b">
        <v>1</v>
      </c>
      <c r="H9" s="1" t="s">
        <v>253</v>
      </c>
      <c r="I9" s="1">
        <v>4</v>
      </c>
      <c r="J9" s="1" t="s">
        <v>257</v>
      </c>
      <c r="K9" s="1" t="s">
        <v>267</v>
      </c>
      <c r="L9" s="1"/>
      <c r="M9" s="1">
        <v>316808</v>
      </c>
    </row>
    <row r="10" spans="1:13" x14ac:dyDescent="0.25">
      <c r="A10" s="1">
        <v>13</v>
      </c>
      <c r="B10" s="1" t="s">
        <v>58</v>
      </c>
      <c r="C10" s="1" t="s">
        <v>251</v>
      </c>
      <c r="D10" s="1">
        <v>17</v>
      </c>
      <c r="E10" s="1" t="s">
        <v>268</v>
      </c>
      <c r="F10" s="1"/>
      <c r="G10" s="1" t="b">
        <v>1</v>
      </c>
      <c r="H10" s="1" t="s">
        <v>253</v>
      </c>
      <c r="I10" s="1">
        <v>7</v>
      </c>
      <c r="J10" s="1" t="s">
        <v>257</v>
      </c>
      <c r="K10" s="1" t="s">
        <v>269</v>
      </c>
      <c r="L10" s="1"/>
      <c r="M10" s="1">
        <v>800000</v>
      </c>
    </row>
    <row r="11" spans="1:13" x14ac:dyDescent="0.25">
      <c r="A11" s="1">
        <v>13</v>
      </c>
      <c r="B11" s="1" t="s">
        <v>58</v>
      </c>
      <c r="C11" s="1" t="s">
        <v>251</v>
      </c>
      <c r="D11" s="1">
        <v>16</v>
      </c>
      <c r="E11" s="1" t="s">
        <v>36</v>
      </c>
      <c r="F11" s="1"/>
      <c r="G11" s="1" t="b">
        <v>1</v>
      </c>
      <c r="H11" s="1" t="s">
        <v>253</v>
      </c>
      <c r="I11" s="1">
        <v>6</v>
      </c>
      <c r="J11" s="1" t="s">
        <v>257</v>
      </c>
      <c r="K11" s="1" t="s">
        <v>269</v>
      </c>
      <c r="L11" s="1"/>
      <c r="M11" s="1">
        <v>316688</v>
      </c>
    </row>
    <row r="12" spans="1:13" x14ac:dyDescent="0.25">
      <c r="A12" s="1">
        <v>13</v>
      </c>
      <c r="B12" s="1" t="s">
        <v>58</v>
      </c>
      <c r="C12" s="1" t="s">
        <v>251</v>
      </c>
      <c r="D12" s="1">
        <v>13</v>
      </c>
      <c r="E12" s="1" t="s">
        <v>21</v>
      </c>
      <c r="F12" s="1"/>
      <c r="G12" s="1" t="b">
        <v>1</v>
      </c>
      <c r="H12" s="1" t="s">
        <v>253</v>
      </c>
      <c r="I12" s="1">
        <v>3</v>
      </c>
      <c r="J12" s="1" t="s">
        <v>254</v>
      </c>
      <c r="K12" s="1" t="s">
        <v>255</v>
      </c>
      <c r="L12" s="1"/>
      <c r="M12" s="1">
        <v>320000</v>
      </c>
    </row>
    <row r="13" spans="1:13" x14ac:dyDescent="0.25">
      <c r="A13" s="1">
        <v>13</v>
      </c>
      <c r="B13" s="1" t="s">
        <v>58</v>
      </c>
      <c r="C13" s="1" t="s">
        <v>251</v>
      </c>
      <c r="D13" s="1">
        <v>10</v>
      </c>
      <c r="E13" s="1" t="s">
        <v>25</v>
      </c>
      <c r="F13" s="1"/>
      <c r="G13" s="1" t="b">
        <v>1</v>
      </c>
      <c r="H13" s="1" t="s">
        <v>264</v>
      </c>
      <c r="I13" s="1">
        <v>1</v>
      </c>
      <c r="J13" s="1" t="s">
        <v>254</v>
      </c>
      <c r="K13" s="1" t="s">
        <v>255</v>
      </c>
      <c r="L13" s="1"/>
      <c r="M13" s="1">
        <v>1360000</v>
      </c>
    </row>
    <row r="14" spans="1:13" x14ac:dyDescent="0.25">
      <c r="A14" s="1">
        <v>13</v>
      </c>
      <c r="B14" s="1" t="s">
        <v>58</v>
      </c>
      <c r="C14" s="1" t="s">
        <v>251</v>
      </c>
      <c r="D14" s="1">
        <v>15</v>
      </c>
      <c r="E14" s="1" t="s">
        <v>33</v>
      </c>
      <c r="F14" s="1"/>
      <c r="G14" s="1" t="b">
        <v>1</v>
      </c>
      <c r="H14" s="1" t="s">
        <v>253</v>
      </c>
      <c r="I14" s="1">
        <v>5</v>
      </c>
      <c r="J14" s="1" t="s">
        <v>257</v>
      </c>
      <c r="K14" s="1" t="s">
        <v>270</v>
      </c>
      <c r="L14" s="1"/>
      <c r="M14" s="1">
        <v>316504</v>
      </c>
    </row>
    <row r="15" spans="1:13" x14ac:dyDescent="0.25">
      <c r="A15" s="1">
        <v>13</v>
      </c>
      <c r="B15" s="1" t="s">
        <v>58</v>
      </c>
      <c r="C15" s="1" t="s">
        <v>251</v>
      </c>
      <c r="D15" s="1">
        <v>12</v>
      </c>
      <c r="E15" s="1" t="s">
        <v>30</v>
      </c>
      <c r="F15" s="1"/>
      <c r="G15" s="1" t="b">
        <v>1</v>
      </c>
      <c r="H15" s="1" t="s">
        <v>253</v>
      </c>
      <c r="I15" s="1">
        <v>2</v>
      </c>
      <c r="J15" s="1" t="s">
        <v>254</v>
      </c>
      <c r="K15" s="1" t="s">
        <v>260</v>
      </c>
      <c r="L15" s="1"/>
      <c r="M15" s="1">
        <v>945000</v>
      </c>
    </row>
    <row r="16" spans="1:13" x14ac:dyDescent="0.25">
      <c r="A16" s="1">
        <v>30</v>
      </c>
      <c r="B16" s="1" t="s">
        <v>271</v>
      </c>
      <c r="C16" s="1" t="s">
        <v>251</v>
      </c>
      <c r="D16" s="1">
        <v>229</v>
      </c>
      <c r="E16" s="1" t="s">
        <v>272</v>
      </c>
      <c r="F16" s="1"/>
      <c r="G16" s="1" t="b">
        <v>1</v>
      </c>
      <c r="H16" s="1" t="s">
        <v>253</v>
      </c>
      <c r="I16" s="1">
        <v>4</v>
      </c>
      <c r="J16" s="1" t="s">
        <v>254</v>
      </c>
      <c r="K16" s="1" t="s">
        <v>273</v>
      </c>
      <c r="L16" s="1"/>
      <c r="M16" s="1">
        <v>132787.88</v>
      </c>
    </row>
    <row r="17" spans="1:13" x14ac:dyDescent="0.25">
      <c r="A17" s="1">
        <v>30</v>
      </c>
      <c r="B17" s="1" t="s">
        <v>271</v>
      </c>
      <c r="C17" s="1" t="s">
        <v>251</v>
      </c>
      <c r="D17" s="1">
        <v>218</v>
      </c>
      <c r="E17" s="1" t="s">
        <v>274</v>
      </c>
      <c r="F17" s="1"/>
      <c r="G17" s="1" t="b">
        <v>1</v>
      </c>
      <c r="H17" s="1" t="s">
        <v>253</v>
      </c>
      <c r="I17" s="1">
        <v>2</v>
      </c>
      <c r="J17" s="1" t="s">
        <v>257</v>
      </c>
      <c r="K17" s="1" t="s">
        <v>270</v>
      </c>
      <c r="L17" s="1"/>
      <c r="M17" s="1">
        <v>146800</v>
      </c>
    </row>
    <row r="18" spans="1:13" x14ac:dyDescent="0.25">
      <c r="A18" s="1">
        <v>30</v>
      </c>
      <c r="B18" s="1" t="s">
        <v>271</v>
      </c>
      <c r="C18" s="1" t="s">
        <v>251</v>
      </c>
      <c r="D18" s="1">
        <v>221</v>
      </c>
      <c r="E18" s="1" t="s">
        <v>275</v>
      </c>
      <c r="F18" s="1"/>
      <c r="G18" s="1" t="b">
        <v>1</v>
      </c>
      <c r="H18" s="1" t="s">
        <v>253</v>
      </c>
      <c r="I18" s="1">
        <v>3</v>
      </c>
      <c r="J18" s="1" t="s">
        <v>257</v>
      </c>
      <c r="K18" s="1" t="s">
        <v>269</v>
      </c>
      <c r="L18" s="1"/>
      <c r="M18" s="1">
        <v>149745</v>
      </c>
    </row>
    <row r="19" spans="1:13" x14ac:dyDescent="0.25">
      <c r="A19" s="1">
        <v>30</v>
      </c>
      <c r="B19" s="1" t="s">
        <v>271</v>
      </c>
      <c r="C19" s="1" t="s">
        <v>251</v>
      </c>
      <c r="D19" s="1">
        <v>76</v>
      </c>
      <c r="E19" s="1" t="s">
        <v>276</v>
      </c>
      <c r="F19" s="1"/>
      <c r="G19" s="1" t="b">
        <v>1</v>
      </c>
      <c r="H19" s="1" t="s">
        <v>264</v>
      </c>
      <c r="I19" s="1">
        <v>1</v>
      </c>
      <c r="J19" s="1" t="s">
        <v>254</v>
      </c>
      <c r="K19" s="1" t="s">
        <v>260</v>
      </c>
      <c r="L19" s="1"/>
      <c r="M19" s="1">
        <v>320141.96999999997</v>
      </c>
    </row>
    <row r="20" spans="1:13" x14ac:dyDescent="0.25">
      <c r="A20" s="1">
        <v>33</v>
      </c>
      <c r="B20" s="1" t="s">
        <v>277</v>
      </c>
      <c r="C20" s="1" t="s">
        <v>251</v>
      </c>
      <c r="D20" s="1">
        <v>233</v>
      </c>
      <c r="E20" s="1" t="s">
        <v>278</v>
      </c>
      <c r="F20" s="1"/>
      <c r="G20" s="1" t="b">
        <v>1</v>
      </c>
      <c r="H20" s="1" t="s">
        <v>253</v>
      </c>
      <c r="I20" s="1">
        <v>5</v>
      </c>
      <c r="J20" s="1" t="s">
        <v>254</v>
      </c>
      <c r="K20" s="1" t="s">
        <v>255</v>
      </c>
      <c r="L20" s="1"/>
      <c r="M20" s="1">
        <v>85132.3</v>
      </c>
    </row>
    <row r="21" spans="1:13" x14ac:dyDescent="0.25">
      <c r="A21" s="1">
        <v>33</v>
      </c>
      <c r="B21" s="1" t="s">
        <v>277</v>
      </c>
      <c r="C21" s="1" t="s">
        <v>251</v>
      </c>
      <c r="D21" s="1">
        <v>120</v>
      </c>
      <c r="E21" s="1" t="s">
        <v>279</v>
      </c>
      <c r="F21" s="1"/>
      <c r="G21" s="1" t="b">
        <v>1</v>
      </c>
      <c r="H21" s="1" t="s">
        <v>253</v>
      </c>
      <c r="I21" s="1">
        <v>4</v>
      </c>
      <c r="J21" s="1" t="s">
        <v>254</v>
      </c>
      <c r="K21" s="1" t="s">
        <v>260</v>
      </c>
      <c r="L21" s="1"/>
      <c r="M21" s="1">
        <v>120557.5</v>
      </c>
    </row>
    <row r="22" spans="1:13" x14ac:dyDescent="0.25">
      <c r="A22" s="1">
        <v>33</v>
      </c>
      <c r="B22" s="1" t="s">
        <v>277</v>
      </c>
      <c r="C22" s="1" t="s">
        <v>251</v>
      </c>
      <c r="D22" s="1">
        <v>118</v>
      </c>
      <c r="E22" s="1" t="s">
        <v>280</v>
      </c>
      <c r="F22" s="1"/>
      <c r="G22" s="1" t="b">
        <v>1</v>
      </c>
      <c r="H22" s="1" t="s">
        <v>253</v>
      </c>
      <c r="I22" s="1">
        <v>2</v>
      </c>
      <c r="J22" s="1" t="s">
        <v>257</v>
      </c>
      <c r="K22" s="1" t="s">
        <v>270</v>
      </c>
      <c r="L22" s="1"/>
      <c r="M22" s="1">
        <v>185700</v>
      </c>
    </row>
    <row r="23" spans="1:13" x14ac:dyDescent="0.25">
      <c r="A23" s="1">
        <v>33</v>
      </c>
      <c r="B23" s="1" t="s">
        <v>277</v>
      </c>
      <c r="C23" s="1" t="s">
        <v>251</v>
      </c>
      <c r="D23" s="1">
        <v>119</v>
      </c>
      <c r="E23" s="1" t="s">
        <v>275</v>
      </c>
      <c r="F23" s="1"/>
      <c r="G23" s="1" t="b">
        <v>1</v>
      </c>
      <c r="H23" s="1" t="s">
        <v>253</v>
      </c>
      <c r="I23" s="1">
        <v>3</v>
      </c>
      <c r="J23" s="1" t="s">
        <v>257</v>
      </c>
      <c r="K23" s="1" t="s">
        <v>269</v>
      </c>
      <c r="L23" s="1"/>
      <c r="M23" s="1">
        <v>107706</v>
      </c>
    </row>
    <row r="24" spans="1:13" x14ac:dyDescent="0.25">
      <c r="A24" s="1">
        <v>33</v>
      </c>
      <c r="B24" s="1" t="s">
        <v>277</v>
      </c>
      <c r="C24" s="1" t="s">
        <v>251</v>
      </c>
      <c r="D24" s="1">
        <v>93</v>
      </c>
      <c r="E24" s="1" t="s">
        <v>281</v>
      </c>
      <c r="F24" s="1"/>
      <c r="G24" s="1" t="b">
        <v>1</v>
      </c>
      <c r="H24" s="1" t="s">
        <v>264</v>
      </c>
      <c r="I24" s="1">
        <v>1</v>
      </c>
      <c r="J24" s="1" t="s">
        <v>257</v>
      </c>
      <c r="K24" s="1" t="s">
        <v>282</v>
      </c>
      <c r="L24" s="1"/>
      <c r="M24" s="1">
        <v>239887</v>
      </c>
    </row>
    <row r="25" spans="1:13" x14ac:dyDescent="0.25">
      <c r="A25" s="1">
        <v>36</v>
      </c>
      <c r="B25" s="1" t="s">
        <v>283</v>
      </c>
      <c r="C25" s="1" t="s">
        <v>251</v>
      </c>
      <c r="D25" s="1">
        <v>92</v>
      </c>
      <c r="E25" s="1" t="s">
        <v>56</v>
      </c>
      <c r="F25" s="1"/>
      <c r="G25" s="1" t="b">
        <v>1</v>
      </c>
      <c r="H25" s="1" t="s">
        <v>264</v>
      </c>
      <c r="I25" s="1">
        <v>1</v>
      </c>
      <c r="J25" s="1" t="s">
        <v>257</v>
      </c>
      <c r="K25" s="1" t="s">
        <v>258</v>
      </c>
      <c r="L25" s="1"/>
      <c r="M25" s="1">
        <v>191315.47</v>
      </c>
    </row>
    <row r="26" spans="1:13" x14ac:dyDescent="0.25">
      <c r="A26" s="1">
        <v>36</v>
      </c>
      <c r="B26" s="1" t="s">
        <v>283</v>
      </c>
      <c r="C26" s="1" t="s">
        <v>251</v>
      </c>
      <c r="D26" s="1">
        <v>167</v>
      </c>
      <c r="E26" s="1" t="s">
        <v>284</v>
      </c>
      <c r="F26" s="1"/>
      <c r="G26" s="1" t="b">
        <v>1</v>
      </c>
      <c r="H26" s="1" t="s">
        <v>253</v>
      </c>
      <c r="I26" s="1">
        <v>2</v>
      </c>
      <c r="J26" s="1" t="s">
        <v>254</v>
      </c>
      <c r="K26" s="1" t="s">
        <v>273</v>
      </c>
      <c r="L26" s="1"/>
      <c r="M26" s="1">
        <v>139027.4</v>
      </c>
    </row>
    <row r="27" spans="1:13" x14ac:dyDescent="0.25">
      <c r="A27" s="1">
        <v>36</v>
      </c>
      <c r="B27" s="1" t="s">
        <v>283</v>
      </c>
      <c r="C27" s="1" t="s">
        <v>251</v>
      </c>
      <c r="D27" s="1">
        <v>197</v>
      </c>
      <c r="E27" s="1" t="s">
        <v>285</v>
      </c>
      <c r="F27" s="1"/>
      <c r="G27" s="1" t="b">
        <v>1</v>
      </c>
      <c r="H27" s="1" t="s">
        <v>253</v>
      </c>
      <c r="I27" s="1">
        <v>3</v>
      </c>
      <c r="J27" s="1" t="s">
        <v>257</v>
      </c>
      <c r="K27" s="1" t="s">
        <v>270</v>
      </c>
      <c r="L27" s="1"/>
      <c r="M27" s="1">
        <v>130000</v>
      </c>
    </row>
    <row r="28" spans="1:13" x14ac:dyDescent="0.25">
      <c r="A28" s="1">
        <v>36</v>
      </c>
      <c r="B28" s="1" t="s">
        <v>283</v>
      </c>
      <c r="C28" s="1" t="s">
        <v>251</v>
      </c>
      <c r="D28" s="1">
        <v>198</v>
      </c>
      <c r="E28" s="1" t="s">
        <v>286</v>
      </c>
      <c r="F28" s="1"/>
      <c r="G28" s="1" t="b">
        <v>1</v>
      </c>
      <c r="H28" s="1" t="s">
        <v>253</v>
      </c>
      <c r="I28" s="1">
        <v>4</v>
      </c>
      <c r="J28" s="1" t="s">
        <v>254</v>
      </c>
      <c r="K28" s="1" t="s">
        <v>273</v>
      </c>
      <c r="L28" s="1"/>
      <c r="M28" s="1">
        <v>140739.76</v>
      </c>
    </row>
    <row r="29" spans="1:13" x14ac:dyDescent="0.25">
      <c r="A29" s="1">
        <v>36</v>
      </c>
      <c r="B29" s="1" t="s">
        <v>283</v>
      </c>
      <c r="C29" s="1" t="s">
        <v>251</v>
      </c>
      <c r="D29" s="1">
        <v>199</v>
      </c>
      <c r="E29" s="1" t="s">
        <v>287</v>
      </c>
      <c r="F29" s="1"/>
      <c r="G29" s="1" t="b">
        <v>1</v>
      </c>
      <c r="H29" s="1" t="s">
        <v>253</v>
      </c>
      <c r="I29" s="1">
        <v>5</v>
      </c>
      <c r="J29" s="1" t="s">
        <v>257</v>
      </c>
      <c r="K29" s="1" t="s">
        <v>270</v>
      </c>
      <c r="L29" s="1"/>
      <c r="M29" s="1">
        <v>140182</v>
      </c>
    </row>
    <row r="30" spans="1:13" x14ac:dyDescent="0.25">
      <c r="A30" s="1">
        <v>43</v>
      </c>
      <c r="B30" s="1" t="s">
        <v>288</v>
      </c>
      <c r="C30" s="1" t="s">
        <v>251</v>
      </c>
      <c r="D30" s="1">
        <v>64</v>
      </c>
      <c r="E30" s="1" t="s">
        <v>289</v>
      </c>
      <c r="F30" s="1"/>
      <c r="G30" s="1" t="b">
        <v>1</v>
      </c>
      <c r="H30" s="1" t="s">
        <v>253</v>
      </c>
      <c r="I30" s="1">
        <v>5</v>
      </c>
      <c r="J30" s="1" t="s">
        <v>254</v>
      </c>
      <c r="K30" s="1" t="s">
        <v>273</v>
      </c>
      <c r="L30" s="1"/>
      <c r="M30" s="1">
        <v>79999.240000000005</v>
      </c>
    </row>
    <row r="31" spans="1:13" x14ac:dyDescent="0.25">
      <c r="A31" s="1">
        <v>43</v>
      </c>
      <c r="B31" s="1" t="s">
        <v>288</v>
      </c>
      <c r="C31" s="1" t="s">
        <v>251</v>
      </c>
      <c r="D31" s="1">
        <v>63</v>
      </c>
      <c r="E31" s="1" t="s">
        <v>54</v>
      </c>
      <c r="F31" s="1"/>
      <c r="G31" s="1" t="b">
        <v>1</v>
      </c>
      <c r="H31" s="1" t="s">
        <v>253</v>
      </c>
      <c r="I31" s="1">
        <v>4</v>
      </c>
      <c r="J31" s="1" t="s">
        <v>257</v>
      </c>
      <c r="K31" s="1" t="s">
        <v>258</v>
      </c>
      <c r="L31" s="1"/>
      <c r="M31" s="1">
        <v>90440</v>
      </c>
    </row>
    <row r="32" spans="1:13" x14ac:dyDescent="0.25">
      <c r="A32" s="1">
        <v>43</v>
      </c>
      <c r="B32" s="1" t="s">
        <v>288</v>
      </c>
      <c r="C32" s="1" t="s">
        <v>251</v>
      </c>
      <c r="D32" s="1">
        <v>62</v>
      </c>
      <c r="E32" s="1" t="s">
        <v>290</v>
      </c>
      <c r="F32" s="1"/>
      <c r="G32" s="1" t="b">
        <v>1</v>
      </c>
      <c r="H32" s="1" t="s">
        <v>253</v>
      </c>
      <c r="I32" s="1">
        <v>3</v>
      </c>
      <c r="J32" s="1" t="s">
        <v>257</v>
      </c>
      <c r="K32" s="1" t="s">
        <v>258</v>
      </c>
      <c r="L32" s="1"/>
      <c r="M32" s="1">
        <v>115000</v>
      </c>
    </row>
    <row r="33" spans="1:13" x14ac:dyDescent="0.25">
      <c r="A33" s="1">
        <v>43</v>
      </c>
      <c r="B33" s="1" t="s">
        <v>288</v>
      </c>
      <c r="C33" s="1" t="s">
        <v>251</v>
      </c>
      <c r="D33" s="1">
        <v>65</v>
      </c>
      <c r="E33" s="1" t="s">
        <v>291</v>
      </c>
      <c r="F33" s="1"/>
      <c r="G33" s="1" t="b">
        <v>1</v>
      </c>
      <c r="H33" s="1" t="s">
        <v>253</v>
      </c>
      <c r="I33" s="1">
        <v>6</v>
      </c>
      <c r="J33" s="1" t="s">
        <v>257</v>
      </c>
      <c r="K33" s="1" t="s">
        <v>269</v>
      </c>
      <c r="L33" s="1"/>
      <c r="M33" s="1">
        <v>73736.5</v>
      </c>
    </row>
    <row r="34" spans="1:13" x14ac:dyDescent="0.25">
      <c r="A34" s="1">
        <v>43</v>
      </c>
      <c r="B34" s="1" t="s">
        <v>288</v>
      </c>
      <c r="C34" s="1" t="s">
        <v>251</v>
      </c>
      <c r="D34" s="1">
        <v>59</v>
      </c>
      <c r="E34" s="1" t="s">
        <v>286</v>
      </c>
      <c r="F34" s="1"/>
      <c r="G34" s="1" t="b">
        <v>1</v>
      </c>
      <c r="H34" s="1" t="s">
        <v>264</v>
      </c>
      <c r="I34" s="1">
        <v>1</v>
      </c>
      <c r="J34" s="1" t="s">
        <v>254</v>
      </c>
      <c r="K34" s="1" t="s">
        <v>273</v>
      </c>
      <c r="L34" s="1"/>
      <c r="M34" s="1">
        <v>158954</v>
      </c>
    </row>
    <row r="35" spans="1:13" x14ac:dyDescent="0.25">
      <c r="A35" s="1">
        <v>43</v>
      </c>
      <c r="B35" s="1" t="s">
        <v>288</v>
      </c>
      <c r="C35" s="1" t="s">
        <v>251</v>
      </c>
      <c r="D35" s="1">
        <v>60</v>
      </c>
      <c r="E35" s="1" t="s">
        <v>292</v>
      </c>
      <c r="F35" s="1"/>
      <c r="G35" s="1" t="b">
        <v>1</v>
      </c>
      <c r="H35" s="1" t="s">
        <v>253</v>
      </c>
      <c r="I35" s="1">
        <v>2</v>
      </c>
      <c r="J35" s="1" t="s">
        <v>254</v>
      </c>
      <c r="K35" s="1" t="s">
        <v>260</v>
      </c>
      <c r="L35" s="1"/>
      <c r="M35" s="1">
        <v>99196.24</v>
      </c>
    </row>
    <row r="36" spans="1:13" x14ac:dyDescent="0.25">
      <c r="A36" s="1">
        <v>44</v>
      </c>
      <c r="B36" s="1" t="s">
        <v>61</v>
      </c>
      <c r="C36" s="1" t="s">
        <v>251</v>
      </c>
      <c r="D36" s="1">
        <v>112</v>
      </c>
      <c r="E36" s="1" t="s">
        <v>293</v>
      </c>
      <c r="F36" s="1"/>
      <c r="G36" s="1" t="b">
        <v>1</v>
      </c>
      <c r="H36" s="1" t="s">
        <v>253</v>
      </c>
      <c r="I36" s="1">
        <v>5</v>
      </c>
      <c r="J36" s="1" t="s">
        <v>254</v>
      </c>
      <c r="K36" s="1" t="s">
        <v>273</v>
      </c>
      <c r="L36" s="1"/>
      <c r="M36" s="1">
        <v>91649.600000000006</v>
      </c>
    </row>
    <row r="37" spans="1:13" x14ac:dyDescent="0.25">
      <c r="A37" s="1">
        <v>44</v>
      </c>
      <c r="B37" s="1" t="s">
        <v>61</v>
      </c>
      <c r="C37" s="1" t="s">
        <v>251</v>
      </c>
      <c r="D37" s="1">
        <v>90</v>
      </c>
      <c r="E37" s="1" t="s">
        <v>294</v>
      </c>
      <c r="F37" s="1"/>
      <c r="G37" s="1" t="b">
        <v>1</v>
      </c>
      <c r="H37" s="1" t="s">
        <v>264</v>
      </c>
      <c r="I37" s="1">
        <v>1</v>
      </c>
      <c r="J37" s="1" t="s">
        <v>257</v>
      </c>
      <c r="K37" s="1" t="s">
        <v>258</v>
      </c>
      <c r="L37" s="1"/>
      <c r="M37" s="1">
        <v>246904</v>
      </c>
    </row>
    <row r="38" spans="1:13" x14ac:dyDescent="0.25">
      <c r="A38" s="1">
        <v>44</v>
      </c>
      <c r="B38" s="1" t="s">
        <v>61</v>
      </c>
      <c r="C38" s="1" t="s">
        <v>251</v>
      </c>
      <c r="D38" s="1">
        <v>91</v>
      </c>
      <c r="E38" s="1" t="s">
        <v>295</v>
      </c>
      <c r="F38" s="1"/>
      <c r="G38" s="1" t="b">
        <v>1</v>
      </c>
      <c r="H38" s="1" t="s">
        <v>253</v>
      </c>
      <c r="I38" s="1">
        <v>2</v>
      </c>
      <c r="J38" s="1" t="s">
        <v>257</v>
      </c>
      <c r="K38" s="1" t="s">
        <v>258</v>
      </c>
      <c r="L38" s="1"/>
      <c r="M38" s="1">
        <v>91700</v>
      </c>
    </row>
    <row r="39" spans="1:13" x14ac:dyDescent="0.25">
      <c r="A39" s="1">
        <v>44</v>
      </c>
      <c r="B39" s="1" t="s">
        <v>61</v>
      </c>
      <c r="C39" s="1" t="s">
        <v>251</v>
      </c>
      <c r="D39" s="1">
        <v>111</v>
      </c>
      <c r="E39" s="1" t="s">
        <v>286</v>
      </c>
      <c r="F39" s="1"/>
      <c r="G39" s="1" t="b">
        <v>1</v>
      </c>
      <c r="H39" s="1" t="s">
        <v>253</v>
      </c>
      <c r="I39" s="1">
        <v>4</v>
      </c>
      <c r="J39" s="1" t="s">
        <v>254</v>
      </c>
      <c r="K39" s="1" t="s">
        <v>273</v>
      </c>
      <c r="L39" s="1"/>
      <c r="M39" s="1">
        <v>91042</v>
      </c>
    </row>
    <row r="40" spans="1:13" x14ac:dyDescent="0.25">
      <c r="A40" s="1">
        <v>44</v>
      </c>
      <c r="B40" s="1" t="s">
        <v>61</v>
      </c>
      <c r="C40" s="1" t="s">
        <v>251</v>
      </c>
      <c r="D40" s="1">
        <v>109</v>
      </c>
      <c r="E40" s="1" t="s">
        <v>31</v>
      </c>
      <c r="F40" s="1"/>
      <c r="G40" s="1" t="b">
        <v>1</v>
      </c>
      <c r="H40" s="1" t="s">
        <v>253</v>
      </c>
      <c r="I40" s="1">
        <v>3</v>
      </c>
      <c r="J40" s="1" t="s">
        <v>254</v>
      </c>
      <c r="K40" s="1" t="s">
        <v>273</v>
      </c>
      <c r="L40" s="1"/>
      <c r="M40" s="1">
        <v>127064</v>
      </c>
    </row>
    <row r="41" spans="1:13" x14ac:dyDescent="0.25">
      <c r="A41" s="1">
        <v>44</v>
      </c>
      <c r="B41" s="1" t="s">
        <v>61</v>
      </c>
      <c r="C41" s="1" t="s">
        <v>251</v>
      </c>
      <c r="D41" s="1">
        <v>113</v>
      </c>
      <c r="E41" s="1" t="s">
        <v>53</v>
      </c>
      <c r="F41" s="1"/>
      <c r="G41" s="1" t="b">
        <v>1</v>
      </c>
      <c r="H41" s="1" t="s">
        <v>253</v>
      </c>
      <c r="I41" s="1">
        <v>6</v>
      </c>
      <c r="J41" s="1" t="s">
        <v>257</v>
      </c>
      <c r="K41" s="1" t="s">
        <v>258</v>
      </c>
      <c r="L41" s="1"/>
      <c r="M41" s="1">
        <v>91700</v>
      </c>
    </row>
    <row r="42" spans="1:13" x14ac:dyDescent="0.25">
      <c r="A42" s="1">
        <v>45</v>
      </c>
      <c r="B42" s="1" t="s">
        <v>296</v>
      </c>
      <c r="C42" s="1" t="s">
        <v>251</v>
      </c>
      <c r="D42" s="1">
        <v>193</v>
      </c>
      <c r="E42" s="1" t="s">
        <v>297</v>
      </c>
      <c r="F42" s="1"/>
      <c r="G42" s="1" t="b">
        <v>1</v>
      </c>
      <c r="H42" s="1" t="s">
        <v>253</v>
      </c>
      <c r="I42" s="1">
        <v>4</v>
      </c>
      <c r="J42" s="1" t="s">
        <v>254</v>
      </c>
      <c r="K42" s="1" t="s">
        <v>266</v>
      </c>
      <c r="L42" s="1"/>
      <c r="M42" s="1">
        <v>80470</v>
      </c>
    </row>
    <row r="43" spans="1:13" x14ac:dyDescent="0.25">
      <c r="A43" s="1">
        <v>45</v>
      </c>
      <c r="B43" s="1" t="s">
        <v>296</v>
      </c>
      <c r="C43" s="1" t="s">
        <v>251</v>
      </c>
      <c r="D43" s="1">
        <v>195</v>
      </c>
      <c r="E43" s="1" t="s">
        <v>0</v>
      </c>
      <c r="F43" s="1"/>
      <c r="G43" s="1" t="b">
        <v>1</v>
      </c>
      <c r="H43" s="1" t="s">
        <v>253</v>
      </c>
      <c r="I43" s="1">
        <v>5</v>
      </c>
      <c r="J43" s="1" t="s">
        <v>254</v>
      </c>
      <c r="K43" s="1" t="s">
        <v>260</v>
      </c>
      <c r="L43" s="1"/>
      <c r="M43" s="1">
        <v>119109.78</v>
      </c>
    </row>
    <row r="44" spans="1:13" x14ac:dyDescent="0.25">
      <c r="A44" s="1">
        <v>45</v>
      </c>
      <c r="B44" s="1" t="s">
        <v>296</v>
      </c>
      <c r="C44" s="1" t="s">
        <v>251</v>
      </c>
      <c r="D44" s="1">
        <v>196</v>
      </c>
      <c r="E44" s="1" t="s">
        <v>298</v>
      </c>
      <c r="F44" s="1"/>
      <c r="G44" s="1" t="b">
        <v>1</v>
      </c>
      <c r="H44" s="1" t="s">
        <v>253</v>
      </c>
      <c r="I44" s="1">
        <v>6</v>
      </c>
      <c r="J44" s="1" t="s">
        <v>254</v>
      </c>
      <c r="K44" s="1" t="s">
        <v>266</v>
      </c>
      <c r="L44" s="1"/>
      <c r="M44" s="1">
        <v>130783.23</v>
      </c>
    </row>
    <row r="45" spans="1:13" x14ac:dyDescent="0.25">
      <c r="A45" s="1">
        <v>45</v>
      </c>
      <c r="B45" s="1" t="s">
        <v>296</v>
      </c>
      <c r="C45" s="1" t="s">
        <v>251</v>
      </c>
      <c r="D45" s="1">
        <v>52</v>
      </c>
      <c r="E45" s="1" t="s">
        <v>275</v>
      </c>
      <c r="F45" s="1"/>
      <c r="G45" s="1" t="b">
        <v>1</v>
      </c>
      <c r="H45" s="1" t="s">
        <v>264</v>
      </c>
      <c r="I45" s="1">
        <v>1</v>
      </c>
      <c r="J45" s="1" t="s">
        <v>257</v>
      </c>
      <c r="K45" s="1" t="s">
        <v>269</v>
      </c>
      <c r="L45" s="1"/>
      <c r="M45" s="1">
        <v>161397.79999999999</v>
      </c>
    </row>
    <row r="46" spans="1:13" x14ac:dyDescent="0.25">
      <c r="A46" s="1">
        <v>45</v>
      </c>
      <c r="B46" s="1" t="s">
        <v>296</v>
      </c>
      <c r="C46" s="1" t="s">
        <v>251</v>
      </c>
      <c r="D46" s="1">
        <v>192</v>
      </c>
      <c r="E46" s="1" t="s">
        <v>299</v>
      </c>
      <c r="F46" s="1"/>
      <c r="G46" s="1" t="b">
        <v>1</v>
      </c>
      <c r="H46" s="1" t="s">
        <v>253</v>
      </c>
      <c r="I46" s="1">
        <v>3</v>
      </c>
      <c r="J46" s="1" t="s">
        <v>257</v>
      </c>
      <c r="K46" s="1" t="s">
        <v>269</v>
      </c>
      <c r="L46" s="1"/>
      <c r="M46" s="1">
        <v>131000</v>
      </c>
    </row>
    <row r="47" spans="1:13" x14ac:dyDescent="0.25">
      <c r="A47" s="1">
        <v>45</v>
      </c>
      <c r="B47" s="1" t="s">
        <v>296</v>
      </c>
      <c r="C47" s="1" t="s">
        <v>251</v>
      </c>
      <c r="D47" s="1">
        <v>191</v>
      </c>
      <c r="E47" s="1" t="s">
        <v>300</v>
      </c>
      <c r="F47" s="1"/>
      <c r="G47" s="1" t="b">
        <v>1</v>
      </c>
      <c r="H47" s="1" t="s">
        <v>253</v>
      </c>
      <c r="I47" s="1">
        <v>2</v>
      </c>
      <c r="J47" s="1" t="s">
        <v>257</v>
      </c>
      <c r="K47" s="1" t="s">
        <v>269</v>
      </c>
      <c r="L47" s="1"/>
      <c r="M47" s="1">
        <v>120000</v>
      </c>
    </row>
    <row r="48" spans="1:13" x14ac:dyDescent="0.25">
      <c r="A48" s="1">
        <v>48</v>
      </c>
      <c r="B48" s="1" t="s">
        <v>71</v>
      </c>
      <c r="C48" s="1" t="s">
        <v>251</v>
      </c>
      <c r="D48" s="1">
        <v>156</v>
      </c>
      <c r="E48" s="1" t="s">
        <v>301</v>
      </c>
      <c r="F48" s="1"/>
      <c r="G48" s="1" t="b">
        <v>1</v>
      </c>
      <c r="H48" s="1" t="s">
        <v>253</v>
      </c>
      <c r="I48" s="1">
        <v>4</v>
      </c>
      <c r="J48" s="1" t="s">
        <v>254</v>
      </c>
      <c r="K48" s="1" t="s">
        <v>302</v>
      </c>
      <c r="L48" s="1"/>
      <c r="M48" s="1">
        <v>89804.6</v>
      </c>
    </row>
    <row r="49" spans="1:13" x14ac:dyDescent="0.25">
      <c r="A49" s="1">
        <v>48</v>
      </c>
      <c r="B49" s="1" t="s">
        <v>71</v>
      </c>
      <c r="C49" s="1" t="s">
        <v>251</v>
      </c>
      <c r="D49" s="1">
        <v>159</v>
      </c>
      <c r="E49" s="1" t="s">
        <v>47</v>
      </c>
      <c r="F49" s="1"/>
      <c r="G49" s="1" t="b">
        <v>1</v>
      </c>
      <c r="H49" s="1" t="s">
        <v>253</v>
      </c>
      <c r="I49" s="1">
        <v>6</v>
      </c>
      <c r="J49" s="1" t="s">
        <v>254</v>
      </c>
      <c r="K49" s="1" t="s">
        <v>255</v>
      </c>
      <c r="L49" s="1"/>
      <c r="M49" s="1">
        <v>102499.99</v>
      </c>
    </row>
    <row r="50" spans="1:13" x14ac:dyDescent="0.25">
      <c r="A50" s="1">
        <v>48</v>
      </c>
      <c r="B50" s="1" t="s">
        <v>71</v>
      </c>
      <c r="C50" s="1" t="s">
        <v>251</v>
      </c>
      <c r="D50" s="1">
        <v>72</v>
      </c>
      <c r="E50" s="1" t="s">
        <v>290</v>
      </c>
      <c r="F50" s="1"/>
      <c r="G50" s="1" t="b">
        <v>1</v>
      </c>
      <c r="H50" s="1" t="s">
        <v>264</v>
      </c>
      <c r="I50" s="1">
        <v>1</v>
      </c>
      <c r="J50" s="1" t="s">
        <v>257</v>
      </c>
      <c r="K50" s="1" t="s">
        <v>258</v>
      </c>
      <c r="L50" s="1"/>
      <c r="M50" s="1">
        <v>127689.73</v>
      </c>
    </row>
    <row r="51" spans="1:13" x14ac:dyDescent="0.25">
      <c r="A51" s="1">
        <v>48</v>
      </c>
      <c r="B51" s="1" t="s">
        <v>71</v>
      </c>
      <c r="C51" s="1" t="s">
        <v>251</v>
      </c>
      <c r="D51" s="1">
        <v>157</v>
      </c>
      <c r="E51" s="1" t="s">
        <v>303</v>
      </c>
      <c r="F51" s="1"/>
      <c r="G51" s="1" t="b">
        <v>1</v>
      </c>
      <c r="H51" s="1" t="s">
        <v>253</v>
      </c>
      <c r="I51" s="1">
        <v>5</v>
      </c>
      <c r="J51" s="1" t="s">
        <v>257</v>
      </c>
      <c r="K51" s="1" t="s">
        <v>270</v>
      </c>
      <c r="L51" s="1"/>
      <c r="M51" s="1">
        <v>99999</v>
      </c>
    </row>
    <row r="52" spans="1:13" x14ac:dyDescent="0.25">
      <c r="A52" s="1">
        <v>48</v>
      </c>
      <c r="B52" s="1" t="s">
        <v>71</v>
      </c>
      <c r="C52" s="1" t="s">
        <v>251</v>
      </c>
      <c r="D52" s="1">
        <v>155</v>
      </c>
      <c r="E52" s="1" t="s">
        <v>70</v>
      </c>
      <c r="F52" s="1"/>
      <c r="G52" s="1" t="b">
        <v>1</v>
      </c>
      <c r="H52" s="1" t="s">
        <v>253</v>
      </c>
      <c r="I52" s="1">
        <v>3</v>
      </c>
      <c r="J52" s="1" t="s">
        <v>257</v>
      </c>
      <c r="K52" s="1" t="s">
        <v>269</v>
      </c>
      <c r="L52" s="1"/>
      <c r="M52" s="1">
        <v>84999.96</v>
      </c>
    </row>
    <row r="53" spans="1:13" x14ac:dyDescent="0.25">
      <c r="A53" s="1">
        <v>48</v>
      </c>
      <c r="B53" s="1" t="s">
        <v>71</v>
      </c>
      <c r="C53" s="1" t="s">
        <v>251</v>
      </c>
      <c r="D53" s="1">
        <v>154</v>
      </c>
      <c r="E53" s="1" t="s">
        <v>69</v>
      </c>
      <c r="F53" s="1"/>
      <c r="G53" s="1" t="b">
        <v>1</v>
      </c>
      <c r="H53" s="1" t="s">
        <v>253</v>
      </c>
      <c r="I53" s="1">
        <v>2</v>
      </c>
      <c r="J53" s="1" t="s">
        <v>254</v>
      </c>
      <c r="K53" s="1" t="s">
        <v>255</v>
      </c>
      <c r="L53" s="1"/>
      <c r="M53" s="1">
        <v>95006.71</v>
      </c>
    </row>
    <row r="54" spans="1:13" x14ac:dyDescent="0.25">
      <c r="A54" s="1">
        <v>53</v>
      </c>
      <c r="B54" s="1" t="s">
        <v>304</v>
      </c>
      <c r="C54" s="1" t="s">
        <v>251</v>
      </c>
      <c r="D54" s="1">
        <v>174</v>
      </c>
      <c r="E54" s="1" t="s">
        <v>0</v>
      </c>
      <c r="F54" s="1"/>
      <c r="G54" s="1" t="b">
        <v>1</v>
      </c>
      <c r="H54" s="1" t="s">
        <v>253</v>
      </c>
      <c r="I54" s="1">
        <v>6</v>
      </c>
      <c r="J54" s="1" t="s">
        <v>254</v>
      </c>
      <c r="K54" s="1" t="s">
        <v>260</v>
      </c>
      <c r="L54" s="1"/>
      <c r="M54" s="1">
        <v>99976.8</v>
      </c>
    </row>
    <row r="55" spans="1:13" x14ac:dyDescent="0.25">
      <c r="A55" s="1">
        <v>53</v>
      </c>
      <c r="B55" s="1" t="s">
        <v>304</v>
      </c>
      <c r="C55" s="1" t="s">
        <v>251</v>
      </c>
      <c r="D55" s="1">
        <v>101</v>
      </c>
      <c r="E55" s="1" t="s">
        <v>305</v>
      </c>
      <c r="F55" s="1"/>
      <c r="G55" s="1" t="b">
        <v>1</v>
      </c>
      <c r="H55" s="1" t="s">
        <v>264</v>
      </c>
      <c r="I55" s="1">
        <v>1</v>
      </c>
      <c r="J55" s="1" t="s">
        <v>257</v>
      </c>
      <c r="K55" s="1" t="s">
        <v>270</v>
      </c>
      <c r="L55" s="1"/>
      <c r="M55" s="1">
        <v>186034</v>
      </c>
    </row>
    <row r="56" spans="1:13" x14ac:dyDescent="0.25">
      <c r="A56" s="1">
        <v>53</v>
      </c>
      <c r="B56" s="1" t="s">
        <v>304</v>
      </c>
      <c r="C56" s="1" t="s">
        <v>251</v>
      </c>
      <c r="D56" s="1">
        <v>105</v>
      </c>
      <c r="E56" s="1" t="s">
        <v>306</v>
      </c>
      <c r="F56" s="1"/>
      <c r="G56" s="1" t="b">
        <v>1</v>
      </c>
      <c r="H56" s="1" t="s">
        <v>253</v>
      </c>
      <c r="I56" s="1">
        <v>3</v>
      </c>
      <c r="J56" s="1" t="s">
        <v>254</v>
      </c>
      <c r="K56" s="1" t="s">
        <v>266</v>
      </c>
      <c r="L56" s="1"/>
      <c r="M56" s="1">
        <v>98280.88</v>
      </c>
    </row>
    <row r="57" spans="1:13" x14ac:dyDescent="0.25">
      <c r="A57" s="1">
        <v>53</v>
      </c>
      <c r="B57" s="1" t="s">
        <v>304</v>
      </c>
      <c r="C57" s="1" t="s">
        <v>251</v>
      </c>
      <c r="D57" s="1">
        <v>171</v>
      </c>
      <c r="E57" s="1" t="s">
        <v>307</v>
      </c>
      <c r="F57" s="1"/>
      <c r="G57" s="1" t="b">
        <v>1</v>
      </c>
      <c r="H57" s="1" t="s">
        <v>253</v>
      </c>
      <c r="I57" s="1">
        <v>5</v>
      </c>
      <c r="J57" s="1" t="s">
        <v>254</v>
      </c>
      <c r="K57" s="1" t="s">
        <v>255</v>
      </c>
      <c r="L57" s="1"/>
      <c r="M57" s="1">
        <v>99753.78</v>
      </c>
    </row>
    <row r="58" spans="1:13" x14ac:dyDescent="0.25">
      <c r="A58" s="1">
        <v>53</v>
      </c>
      <c r="B58" s="1" t="s">
        <v>304</v>
      </c>
      <c r="C58" s="1" t="s">
        <v>251</v>
      </c>
      <c r="D58" s="1">
        <v>114</v>
      </c>
      <c r="E58" s="1" t="s">
        <v>308</v>
      </c>
      <c r="F58" s="1"/>
      <c r="G58" s="1" t="b">
        <v>1</v>
      </c>
      <c r="H58" s="1" t="s">
        <v>253</v>
      </c>
      <c r="I58" s="1">
        <v>4</v>
      </c>
      <c r="J58" s="1" t="s">
        <v>254</v>
      </c>
      <c r="K58" s="1" t="s">
        <v>302</v>
      </c>
      <c r="L58" s="1"/>
      <c r="M58" s="1">
        <v>99999.64</v>
      </c>
    </row>
    <row r="59" spans="1:13" x14ac:dyDescent="0.25">
      <c r="A59" s="1">
        <v>53</v>
      </c>
      <c r="B59" s="1" t="s">
        <v>304</v>
      </c>
      <c r="C59" s="1" t="s">
        <v>251</v>
      </c>
      <c r="D59" s="1">
        <v>103</v>
      </c>
      <c r="E59" s="1" t="s">
        <v>309</v>
      </c>
      <c r="F59" s="1"/>
      <c r="G59" s="1" t="b">
        <v>1</v>
      </c>
      <c r="H59" s="1" t="s">
        <v>253</v>
      </c>
      <c r="I59" s="1">
        <v>2</v>
      </c>
      <c r="J59" s="1" t="s">
        <v>257</v>
      </c>
      <c r="K59" s="1" t="s">
        <v>270</v>
      </c>
      <c r="L59" s="1"/>
      <c r="M59" s="1">
        <v>135909.14000000001</v>
      </c>
    </row>
    <row r="60" spans="1:13" x14ac:dyDescent="0.25">
      <c r="A60" s="1">
        <v>54</v>
      </c>
      <c r="B60" s="1" t="s">
        <v>310</v>
      </c>
      <c r="C60" s="1" t="s">
        <v>251</v>
      </c>
      <c r="D60" s="1">
        <v>181</v>
      </c>
      <c r="E60" s="1" t="s">
        <v>311</v>
      </c>
      <c r="F60" s="1"/>
      <c r="G60" s="1" t="b">
        <v>1</v>
      </c>
      <c r="H60" s="1" t="s">
        <v>253</v>
      </c>
      <c r="I60" s="1">
        <v>3</v>
      </c>
      <c r="J60" s="1" t="s">
        <v>254</v>
      </c>
      <c r="K60" s="1" t="s">
        <v>255</v>
      </c>
      <c r="L60" s="1"/>
      <c r="M60" s="1">
        <v>144729</v>
      </c>
    </row>
    <row r="61" spans="1:13" x14ac:dyDescent="0.25">
      <c r="A61" s="1">
        <v>54</v>
      </c>
      <c r="B61" s="1" t="s">
        <v>310</v>
      </c>
      <c r="C61" s="1" t="s">
        <v>251</v>
      </c>
      <c r="D61" s="1">
        <v>80</v>
      </c>
      <c r="E61" s="1" t="s">
        <v>32</v>
      </c>
      <c r="F61" s="1"/>
      <c r="G61" s="1" t="b">
        <v>1</v>
      </c>
      <c r="H61" s="1" t="s">
        <v>264</v>
      </c>
      <c r="I61" s="1">
        <v>1</v>
      </c>
      <c r="J61" s="1" t="s">
        <v>254</v>
      </c>
      <c r="K61" s="1" t="s">
        <v>255</v>
      </c>
      <c r="L61" s="1"/>
      <c r="M61" s="1">
        <v>150246.35999999999</v>
      </c>
    </row>
    <row r="62" spans="1:13" x14ac:dyDescent="0.25">
      <c r="A62" s="1">
        <v>54</v>
      </c>
      <c r="B62" s="1" t="s">
        <v>310</v>
      </c>
      <c r="C62" s="1" t="s">
        <v>251</v>
      </c>
      <c r="D62" s="1">
        <v>182</v>
      </c>
      <c r="E62" s="1" t="s">
        <v>38</v>
      </c>
      <c r="F62" s="1"/>
      <c r="G62" s="1" t="b">
        <v>1</v>
      </c>
      <c r="H62" s="1" t="s">
        <v>253</v>
      </c>
      <c r="I62" s="1">
        <v>4</v>
      </c>
      <c r="J62" s="1" t="s">
        <v>257</v>
      </c>
      <c r="K62" s="1" t="s">
        <v>270</v>
      </c>
      <c r="L62" s="1"/>
      <c r="M62" s="1">
        <v>230000</v>
      </c>
    </row>
    <row r="63" spans="1:13" x14ac:dyDescent="0.25">
      <c r="A63" s="1">
        <v>54</v>
      </c>
      <c r="B63" s="1" t="s">
        <v>310</v>
      </c>
      <c r="C63" s="1" t="s">
        <v>251</v>
      </c>
      <c r="D63" s="1">
        <v>86</v>
      </c>
      <c r="E63" s="1" t="s">
        <v>46</v>
      </c>
      <c r="F63" s="1"/>
      <c r="G63" s="1" t="b">
        <v>1</v>
      </c>
      <c r="H63" s="1" t="s">
        <v>253</v>
      </c>
      <c r="I63" s="1">
        <v>2</v>
      </c>
      <c r="J63" s="1" t="s">
        <v>257</v>
      </c>
      <c r="K63" s="1" t="s">
        <v>270</v>
      </c>
      <c r="L63" s="1"/>
      <c r="M63" s="1">
        <v>224965.17</v>
      </c>
    </row>
    <row r="64" spans="1:13" x14ac:dyDescent="0.25">
      <c r="A64" s="1">
        <v>58</v>
      </c>
      <c r="B64" s="1" t="s">
        <v>312</v>
      </c>
      <c r="C64" s="1" t="s">
        <v>251</v>
      </c>
      <c r="D64" s="1">
        <v>183</v>
      </c>
      <c r="E64" s="1" t="s">
        <v>311</v>
      </c>
      <c r="F64" s="1"/>
      <c r="G64" s="1" t="b">
        <v>1</v>
      </c>
      <c r="H64" s="1" t="s">
        <v>264</v>
      </c>
      <c r="I64" s="1">
        <v>1</v>
      </c>
      <c r="J64" s="1" t="s">
        <v>254</v>
      </c>
      <c r="K64" s="1" t="s">
        <v>255</v>
      </c>
      <c r="L64" s="1"/>
      <c r="M64" s="1">
        <v>221317</v>
      </c>
    </row>
    <row r="65" spans="1:13" x14ac:dyDescent="0.25">
      <c r="A65" s="1">
        <v>58</v>
      </c>
      <c r="B65" s="1" t="s">
        <v>312</v>
      </c>
      <c r="C65" s="1" t="s">
        <v>251</v>
      </c>
      <c r="D65" s="1">
        <v>184</v>
      </c>
      <c r="E65" s="1" t="s">
        <v>313</v>
      </c>
      <c r="F65" s="1"/>
      <c r="G65" s="1" t="b">
        <v>1</v>
      </c>
      <c r="H65" s="1" t="s">
        <v>253</v>
      </c>
      <c r="I65" s="1">
        <v>2</v>
      </c>
      <c r="J65" s="1" t="s">
        <v>254</v>
      </c>
      <c r="K65" s="1" t="s">
        <v>260</v>
      </c>
      <c r="L65" s="1"/>
      <c r="M65" s="1">
        <v>131228</v>
      </c>
    </row>
    <row r="66" spans="1:13" x14ac:dyDescent="0.25">
      <c r="A66" s="1">
        <v>58</v>
      </c>
      <c r="B66" s="1" t="s">
        <v>312</v>
      </c>
      <c r="C66" s="1" t="s">
        <v>251</v>
      </c>
      <c r="D66" s="1">
        <v>185</v>
      </c>
      <c r="E66" s="1" t="s">
        <v>314</v>
      </c>
      <c r="F66" s="1"/>
      <c r="G66" s="1" t="b">
        <v>1</v>
      </c>
      <c r="H66" s="1" t="s">
        <v>253</v>
      </c>
      <c r="I66" s="1">
        <v>3</v>
      </c>
      <c r="J66" s="1" t="s">
        <v>257</v>
      </c>
      <c r="K66" s="1" t="s">
        <v>270</v>
      </c>
      <c r="L66" s="1"/>
      <c r="M66" s="1">
        <v>212499.98</v>
      </c>
    </row>
    <row r="67" spans="1:13" x14ac:dyDescent="0.25">
      <c r="A67" s="1">
        <v>58</v>
      </c>
      <c r="B67" s="1" t="s">
        <v>312</v>
      </c>
      <c r="C67" s="1" t="s">
        <v>251</v>
      </c>
      <c r="D67" s="1">
        <v>187</v>
      </c>
      <c r="E67" s="1" t="s">
        <v>315</v>
      </c>
      <c r="F67" s="1"/>
      <c r="G67" s="1" t="b">
        <v>1</v>
      </c>
      <c r="H67" s="1" t="s">
        <v>253</v>
      </c>
      <c r="I67" s="1">
        <v>5</v>
      </c>
      <c r="J67" s="1" t="s">
        <v>257</v>
      </c>
      <c r="K67" s="1" t="s">
        <v>270</v>
      </c>
      <c r="L67" s="1"/>
      <c r="M67" s="1">
        <v>119999.34</v>
      </c>
    </row>
    <row r="68" spans="1:13" x14ac:dyDescent="0.25">
      <c r="A68" s="1">
        <v>58</v>
      </c>
      <c r="B68" s="1" t="s">
        <v>312</v>
      </c>
      <c r="C68" s="1" t="s">
        <v>251</v>
      </c>
      <c r="D68" s="1">
        <v>186</v>
      </c>
      <c r="E68" s="1" t="s">
        <v>316</v>
      </c>
      <c r="F68" s="1"/>
      <c r="G68" s="1" t="b">
        <v>1</v>
      </c>
      <c r="H68" s="1" t="s">
        <v>253</v>
      </c>
      <c r="I68" s="1">
        <v>4</v>
      </c>
      <c r="J68" s="1" t="s">
        <v>257</v>
      </c>
      <c r="K68" s="1" t="s">
        <v>270</v>
      </c>
      <c r="L68" s="1"/>
      <c r="M68" s="1">
        <v>64499.8</v>
      </c>
    </row>
    <row r="69" spans="1:13" x14ac:dyDescent="0.25">
      <c r="A69" s="1">
        <v>60</v>
      </c>
      <c r="B69" s="1" t="s">
        <v>317</v>
      </c>
      <c r="C69" s="1" t="s">
        <v>251</v>
      </c>
      <c r="D69" s="1">
        <v>267</v>
      </c>
      <c r="E69" s="1" t="s">
        <v>318</v>
      </c>
      <c r="F69" s="1"/>
      <c r="G69" s="1" t="b">
        <v>1</v>
      </c>
      <c r="H69" s="1" t="s">
        <v>253</v>
      </c>
      <c r="I69" s="1">
        <v>5</v>
      </c>
      <c r="J69" s="1" t="s">
        <v>254</v>
      </c>
      <c r="K69" s="1" t="s">
        <v>260</v>
      </c>
      <c r="L69" s="1"/>
      <c r="M69" s="1">
        <v>120705</v>
      </c>
    </row>
    <row r="70" spans="1:13" x14ac:dyDescent="0.25">
      <c r="A70" s="1">
        <v>60</v>
      </c>
      <c r="B70" s="1" t="s">
        <v>317</v>
      </c>
      <c r="C70" s="1" t="s">
        <v>251</v>
      </c>
      <c r="D70" s="1">
        <v>222</v>
      </c>
      <c r="E70" s="1" t="s">
        <v>319</v>
      </c>
      <c r="F70" s="1"/>
      <c r="G70" s="1" t="b">
        <v>1</v>
      </c>
      <c r="H70" s="1" t="s">
        <v>253</v>
      </c>
      <c r="I70" s="1">
        <v>4</v>
      </c>
      <c r="J70" s="1" t="s">
        <v>257</v>
      </c>
      <c r="K70" s="1" t="s">
        <v>282</v>
      </c>
      <c r="L70" s="1"/>
      <c r="M70" s="1">
        <v>142157</v>
      </c>
    </row>
    <row r="71" spans="1:13" x14ac:dyDescent="0.25">
      <c r="A71" s="1">
        <v>60</v>
      </c>
      <c r="B71" s="1" t="s">
        <v>317</v>
      </c>
      <c r="C71" s="1" t="s">
        <v>251</v>
      </c>
      <c r="D71" s="1">
        <v>87</v>
      </c>
      <c r="E71" s="1" t="s">
        <v>320</v>
      </c>
      <c r="F71" s="1"/>
      <c r="G71" s="1" t="b">
        <v>1</v>
      </c>
      <c r="H71" s="1" t="s">
        <v>264</v>
      </c>
      <c r="I71" s="1">
        <v>1</v>
      </c>
      <c r="J71" s="1" t="s">
        <v>257</v>
      </c>
      <c r="K71" s="1" t="s">
        <v>269</v>
      </c>
      <c r="L71" s="1"/>
      <c r="M71" s="1">
        <v>162440</v>
      </c>
    </row>
    <row r="72" spans="1:13" x14ac:dyDescent="0.25">
      <c r="A72" s="1">
        <v>60</v>
      </c>
      <c r="B72" s="1" t="s">
        <v>317</v>
      </c>
      <c r="C72" s="1" t="s">
        <v>251</v>
      </c>
      <c r="D72" s="1">
        <v>117</v>
      </c>
      <c r="E72" s="1" t="s">
        <v>321</v>
      </c>
      <c r="F72" s="1"/>
      <c r="G72" s="1" t="b">
        <v>1</v>
      </c>
      <c r="H72" s="1" t="s">
        <v>253</v>
      </c>
      <c r="I72" s="1">
        <v>2</v>
      </c>
      <c r="J72" s="1" t="s">
        <v>257</v>
      </c>
      <c r="K72" s="1" t="s">
        <v>270</v>
      </c>
      <c r="L72" s="1"/>
      <c r="M72" s="1">
        <v>121228.4</v>
      </c>
    </row>
    <row r="73" spans="1:13" x14ac:dyDescent="0.25">
      <c r="A73" s="1">
        <v>60</v>
      </c>
      <c r="B73" s="1" t="s">
        <v>317</v>
      </c>
      <c r="C73" s="1" t="s">
        <v>251</v>
      </c>
      <c r="D73" s="1">
        <v>285</v>
      </c>
      <c r="E73" s="1" t="s">
        <v>322</v>
      </c>
      <c r="F73" s="1"/>
      <c r="G73" s="1" t="b">
        <v>1</v>
      </c>
      <c r="H73" s="1" t="s">
        <v>253</v>
      </c>
      <c r="I73" s="1">
        <v>6</v>
      </c>
      <c r="J73" s="1" t="s">
        <v>254</v>
      </c>
      <c r="K73" s="1" t="s">
        <v>273</v>
      </c>
      <c r="L73" s="1"/>
      <c r="M73" s="1">
        <v>100400</v>
      </c>
    </row>
    <row r="74" spans="1:13" x14ac:dyDescent="0.25">
      <c r="A74" s="1">
        <v>60</v>
      </c>
      <c r="B74" s="1" t="s">
        <v>317</v>
      </c>
      <c r="C74" s="1" t="s">
        <v>251</v>
      </c>
      <c r="D74" s="1">
        <v>220</v>
      </c>
      <c r="E74" s="1" t="s">
        <v>39</v>
      </c>
      <c r="F74" s="1"/>
      <c r="G74" s="1" t="b">
        <v>1</v>
      </c>
      <c r="H74" s="1" t="s">
        <v>253</v>
      </c>
      <c r="I74" s="1">
        <v>3</v>
      </c>
      <c r="J74" s="1" t="s">
        <v>254</v>
      </c>
      <c r="K74" s="1" t="s">
        <v>260</v>
      </c>
      <c r="L74" s="1"/>
      <c r="M74" s="1">
        <v>102648.79</v>
      </c>
    </row>
    <row r="75" spans="1:13" x14ac:dyDescent="0.25">
      <c r="A75" s="1">
        <v>62</v>
      </c>
      <c r="B75" s="1" t="s">
        <v>67</v>
      </c>
      <c r="C75" s="1" t="s">
        <v>251</v>
      </c>
      <c r="D75" s="1">
        <v>169</v>
      </c>
      <c r="E75" s="1" t="s">
        <v>323</v>
      </c>
      <c r="F75" s="1"/>
      <c r="G75" s="1" t="b">
        <v>1</v>
      </c>
      <c r="H75" s="1" t="s">
        <v>253</v>
      </c>
      <c r="I75" s="1">
        <v>6</v>
      </c>
      <c r="J75" s="1" t="s">
        <v>254</v>
      </c>
      <c r="K75" s="1" t="s">
        <v>260</v>
      </c>
      <c r="L75" s="1"/>
      <c r="M75" s="1">
        <v>84725.2</v>
      </c>
    </row>
    <row r="76" spans="1:13" x14ac:dyDescent="0.25">
      <c r="A76" s="1">
        <v>62</v>
      </c>
      <c r="B76" s="1" t="s">
        <v>67</v>
      </c>
      <c r="C76" s="1" t="s">
        <v>251</v>
      </c>
      <c r="D76" s="1">
        <v>166</v>
      </c>
      <c r="E76" s="1" t="s">
        <v>324</v>
      </c>
      <c r="F76" s="1"/>
      <c r="G76" s="1" t="b">
        <v>1</v>
      </c>
      <c r="H76" s="1" t="s">
        <v>253</v>
      </c>
      <c r="I76" s="1">
        <v>4</v>
      </c>
      <c r="J76" s="1" t="s">
        <v>254</v>
      </c>
      <c r="K76" s="1" t="s">
        <v>260</v>
      </c>
      <c r="L76" s="1"/>
      <c r="M76" s="1">
        <v>100132.2</v>
      </c>
    </row>
    <row r="77" spans="1:13" x14ac:dyDescent="0.25">
      <c r="A77" s="1">
        <v>62</v>
      </c>
      <c r="B77" s="1" t="s">
        <v>67</v>
      </c>
      <c r="C77" s="1" t="s">
        <v>251</v>
      </c>
      <c r="D77" s="1">
        <v>165</v>
      </c>
      <c r="E77" s="1" t="s">
        <v>56</v>
      </c>
      <c r="F77" s="1"/>
      <c r="G77" s="1" t="b">
        <v>1</v>
      </c>
      <c r="H77" s="1" t="s">
        <v>253</v>
      </c>
      <c r="I77" s="1">
        <v>3</v>
      </c>
      <c r="J77" s="1" t="s">
        <v>257</v>
      </c>
      <c r="K77" s="1" t="s">
        <v>258</v>
      </c>
      <c r="L77" s="1"/>
      <c r="M77" s="1">
        <v>100100</v>
      </c>
    </row>
    <row r="78" spans="1:13" x14ac:dyDescent="0.25">
      <c r="A78" s="1">
        <v>62</v>
      </c>
      <c r="B78" s="1" t="s">
        <v>67</v>
      </c>
      <c r="C78" s="1" t="s">
        <v>251</v>
      </c>
      <c r="D78" s="1">
        <v>162</v>
      </c>
      <c r="E78" s="1" t="s">
        <v>325</v>
      </c>
      <c r="F78" s="1"/>
      <c r="G78" s="1" t="b">
        <v>1</v>
      </c>
      <c r="H78" s="1" t="s">
        <v>264</v>
      </c>
      <c r="I78" s="1">
        <v>1</v>
      </c>
      <c r="J78" s="1" t="s">
        <v>254</v>
      </c>
      <c r="K78" s="1" t="s">
        <v>255</v>
      </c>
      <c r="L78" s="1"/>
      <c r="M78" s="1">
        <v>127652.8</v>
      </c>
    </row>
    <row r="79" spans="1:13" x14ac:dyDescent="0.25">
      <c r="A79" s="1">
        <v>62</v>
      </c>
      <c r="B79" s="1" t="s">
        <v>67</v>
      </c>
      <c r="C79" s="1" t="s">
        <v>251</v>
      </c>
      <c r="D79" s="1">
        <v>164</v>
      </c>
      <c r="E79" s="1" t="s">
        <v>326</v>
      </c>
      <c r="F79" s="1"/>
      <c r="G79" s="1" t="b">
        <v>1</v>
      </c>
      <c r="H79" s="1" t="s">
        <v>253</v>
      </c>
      <c r="I79" s="1">
        <v>2</v>
      </c>
      <c r="J79" s="1" t="s">
        <v>254</v>
      </c>
      <c r="K79" s="1" t="s">
        <v>255</v>
      </c>
      <c r="L79" s="1"/>
      <c r="M79" s="1">
        <v>96516</v>
      </c>
    </row>
    <row r="80" spans="1:13" x14ac:dyDescent="0.25">
      <c r="A80" s="1">
        <v>62</v>
      </c>
      <c r="B80" s="1" t="s">
        <v>67</v>
      </c>
      <c r="C80" s="1" t="s">
        <v>251</v>
      </c>
      <c r="D80" s="1">
        <v>168</v>
      </c>
      <c r="E80" s="1" t="s">
        <v>327</v>
      </c>
      <c r="F80" s="1"/>
      <c r="G80" s="1" t="b">
        <v>1</v>
      </c>
      <c r="H80" s="1" t="s">
        <v>253</v>
      </c>
      <c r="I80" s="1">
        <v>5</v>
      </c>
      <c r="J80" s="1" t="s">
        <v>257</v>
      </c>
      <c r="K80" s="1" t="s">
        <v>270</v>
      </c>
      <c r="L80" s="1"/>
      <c r="M80" s="1">
        <v>84885.64</v>
      </c>
    </row>
    <row r="81" spans="1:13" x14ac:dyDescent="0.25">
      <c r="A81" s="1">
        <v>65</v>
      </c>
      <c r="B81" s="1" t="s">
        <v>60</v>
      </c>
      <c r="C81" s="1" t="s">
        <v>251</v>
      </c>
      <c r="D81" s="1">
        <v>138</v>
      </c>
      <c r="E81" s="1" t="s">
        <v>328</v>
      </c>
      <c r="F81" s="1"/>
      <c r="G81" s="1" t="b">
        <v>1</v>
      </c>
      <c r="H81" s="1" t="s">
        <v>253</v>
      </c>
      <c r="I81" s="1">
        <v>4</v>
      </c>
      <c r="J81" s="1" t="s">
        <v>254</v>
      </c>
      <c r="K81" s="1" t="s">
        <v>273</v>
      </c>
      <c r="L81" s="1"/>
      <c r="M81" s="1">
        <v>99906.6</v>
      </c>
    </row>
    <row r="82" spans="1:13" x14ac:dyDescent="0.25">
      <c r="A82" s="1">
        <v>65</v>
      </c>
      <c r="B82" s="1" t="s">
        <v>60</v>
      </c>
      <c r="C82" s="1" t="s">
        <v>251</v>
      </c>
      <c r="D82" s="1">
        <v>94</v>
      </c>
      <c r="E82" s="1" t="s">
        <v>68</v>
      </c>
      <c r="F82" s="1"/>
      <c r="G82" s="1" t="b">
        <v>1</v>
      </c>
      <c r="H82" s="1" t="s">
        <v>264</v>
      </c>
      <c r="I82" s="1">
        <v>1</v>
      </c>
      <c r="J82" s="1" t="s">
        <v>254</v>
      </c>
      <c r="K82" s="1" t="s">
        <v>255</v>
      </c>
      <c r="L82" s="1"/>
      <c r="M82" s="1">
        <v>121781.8</v>
      </c>
    </row>
    <row r="83" spans="1:13" x14ac:dyDescent="0.25">
      <c r="A83" s="1">
        <v>65</v>
      </c>
      <c r="B83" s="1" t="s">
        <v>60</v>
      </c>
      <c r="C83" s="1" t="s">
        <v>251</v>
      </c>
      <c r="D83" s="1">
        <v>173</v>
      </c>
      <c r="E83" s="1" t="s">
        <v>329</v>
      </c>
      <c r="F83" s="1"/>
      <c r="G83" s="1" t="b">
        <v>1</v>
      </c>
      <c r="H83" s="1" t="s">
        <v>253</v>
      </c>
      <c r="I83" s="1">
        <v>6</v>
      </c>
      <c r="J83" s="1" t="s">
        <v>254</v>
      </c>
      <c r="K83" s="1" t="s">
        <v>260</v>
      </c>
      <c r="L83" s="1"/>
      <c r="M83" s="1">
        <v>100587.5</v>
      </c>
    </row>
    <row r="84" spans="1:13" x14ac:dyDescent="0.25">
      <c r="A84" s="1">
        <v>65</v>
      </c>
      <c r="B84" s="1" t="s">
        <v>60</v>
      </c>
      <c r="C84" s="1" t="s">
        <v>251</v>
      </c>
      <c r="D84" s="1">
        <v>95</v>
      </c>
      <c r="E84" s="1" t="s">
        <v>35</v>
      </c>
      <c r="F84" s="1"/>
      <c r="G84" s="1" t="b">
        <v>1</v>
      </c>
      <c r="H84" s="1" t="s">
        <v>253</v>
      </c>
      <c r="I84" s="1">
        <v>2</v>
      </c>
      <c r="J84" s="1" t="s">
        <v>257</v>
      </c>
      <c r="K84" s="1" t="s">
        <v>270</v>
      </c>
      <c r="L84" s="1"/>
      <c r="M84" s="1">
        <v>110363.5</v>
      </c>
    </row>
    <row r="85" spans="1:13" x14ac:dyDescent="0.25">
      <c r="A85" s="1">
        <v>65</v>
      </c>
      <c r="B85" s="1" t="s">
        <v>60</v>
      </c>
      <c r="C85" s="1" t="s">
        <v>251</v>
      </c>
      <c r="D85" s="1">
        <v>172</v>
      </c>
      <c r="E85" s="1" t="s">
        <v>26</v>
      </c>
      <c r="F85" s="1"/>
      <c r="G85" s="1" t="b">
        <v>1</v>
      </c>
      <c r="H85" s="1" t="s">
        <v>253</v>
      </c>
      <c r="I85" s="1">
        <v>5</v>
      </c>
      <c r="J85" s="1" t="s">
        <v>257</v>
      </c>
      <c r="K85" s="1" t="s">
        <v>282</v>
      </c>
      <c r="L85" s="1"/>
      <c r="M85" s="1">
        <v>119170</v>
      </c>
    </row>
    <row r="86" spans="1:13" x14ac:dyDescent="0.25">
      <c r="A86" s="1">
        <v>65</v>
      </c>
      <c r="B86" s="1" t="s">
        <v>60</v>
      </c>
      <c r="C86" s="1" t="s">
        <v>251</v>
      </c>
      <c r="D86" s="1">
        <v>137</v>
      </c>
      <c r="E86" s="1" t="s">
        <v>330</v>
      </c>
      <c r="F86" s="1"/>
      <c r="G86" s="1" t="b">
        <v>1</v>
      </c>
      <c r="H86" s="1" t="s">
        <v>253</v>
      </c>
      <c r="I86" s="1">
        <v>3</v>
      </c>
      <c r="J86" s="1" t="s">
        <v>257</v>
      </c>
      <c r="K86" s="1" t="s">
        <v>270</v>
      </c>
      <c r="L86" s="1"/>
      <c r="M86" s="1">
        <v>109315.4</v>
      </c>
    </row>
    <row r="87" spans="1:13" x14ac:dyDescent="0.25">
      <c r="A87" s="1">
        <v>68</v>
      </c>
      <c r="B87" s="1" t="s">
        <v>331</v>
      </c>
      <c r="C87" s="1" t="s">
        <v>251</v>
      </c>
      <c r="D87" s="1">
        <v>252</v>
      </c>
      <c r="E87" s="1" t="s">
        <v>332</v>
      </c>
      <c r="F87" s="1"/>
      <c r="G87" s="1" t="b">
        <v>1</v>
      </c>
      <c r="H87" s="1" t="s">
        <v>253</v>
      </c>
      <c r="I87" s="1">
        <v>2</v>
      </c>
      <c r="J87" s="1" t="s">
        <v>254</v>
      </c>
      <c r="K87" s="1" t="s">
        <v>255</v>
      </c>
      <c r="L87" s="1"/>
      <c r="M87" s="1">
        <v>100885.75999999999</v>
      </c>
    </row>
    <row r="88" spans="1:13" x14ac:dyDescent="0.25">
      <c r="A88" s="1">
        <v>68</v>
      </c>
      <c r="B88" s="1" t="s">
        <v>331</v>
      </c>
      <c r="C88" s="1" t="s">
        <v>251</v>
      </c>
      <c r="D88" s="1">
        <v>256</v>
      </c>
      <c r="E88" s="1" t="s">
        <v>333</v>
      </c>
      <c r="F88" s="1"/>
      <c r="G88" s="1" t="b">
        <v>1</v>
      </c>
      <c r="H88" s="1" t="s">
        <v>253</v>
      </c>
      <c r="I88" s="1">
        <v>6</v>
      </c>
      <c r="J88" s="1" t="s">
        <v>257</v>
      </c>
      <c r="K88" s="1" t="s">
        <v>258</v>
      </c>
      <c r="L88" s="1"/>
      <c r="M88" s="1">
        <v>134199.82</v>
      </c>
    </row>
    <row r="89" spans="1:13" x14ac:dyDescent="0.25">
      <c r="A89" s="1">
        <v>68</v>
      </c>
      <c r="B89" s="1" t="s">
        <v>331</v>
      </c>
      <c r="C89" s="1" t="s">
        <v>251</v>
      </c>
      <c r="D89" s="1">
        <v>253</v>
      </c>
      <c r="E89" s="1" t="s">
        <v>334</v>
      </c>
      <c r="F89" s="1"/>
      <c r="G89" s="1" t="b">
        <v>1</v>
      </c>
      <c r="H89" s="1" t="s">
        <v>253</v>
      </c>
      <c r="I89" s="1">
        <v>3</v>
      </c>
      <c r="J89" s="1" t="s">
        <v>254</v>
      </c>
      <c r="K89" s="1" t="s">
        <v>255</v>
      </c>
      <c r="L89" s="1"/>
      <c r="M89" s="1">
        <v>100035.7</v>
      </c>
    </row>
    <row r="90" spans="1:13" x14ac:dyDescent="0.25">
      <c r="A90" s="1">
        <v>68</v>
      </c>
      <c r="B90" s="1" t="s">
        <v>331</v>
      </c>
      <c r="C90" s="1" t="s">
        <v>251</v>
      </c>
      <c r="D90" s="1">
        <v>254</v>
      </c>
      <c r="E90" s="1" t="s">
        <v>335</v>
      </c>
      <c r="F90" s="1"/>
      <c r="G90" s="1" t="b">
        <v>1</v>
      </c>
      <c r="H90" s="1" t="s">
        <v>253</v>
      </c>
      <c r="I90" s="1">
        <v>4</v>
      </c>
      <c r="J90" s="1" t="s">
        <v>254</v>
      </c>
      <c r="K90" s="1" t="s">
        <v>260</v>
      </c>
      <c r="L90" s="1"/>
      <c r="M90" s="1">
        <v>100000</v>
      </c>
    </row>
    <row r="91" spans="1:13" x14ac:dyDescent="0.25">
      <c r="A91" s="1">
        <v>68</v>
      </c>
      <c r="B91" s="1" t="s">
        <v>331</v>
      </c>
      <c r="C91" s="1" t="s">
        <v>251</v>
      </c>
      <c r="D91" s="1">
        <v>255</v>
      </c>
      <c r="E91" s="1" t="s">
        <v>336</v>
      </c>
      <c r="F91" s="1"/>
      <c r="G91" s="1" t="b">
        <v>1</v>
      </c>
      <c r="H91" s="1" t="s">
        <v>253</v>
      </c>
      <c r="I91" s="1">
        <v>5</v>
      </c>
      <c r="J91" s="1" t="s">
        <v>254</v>
      </c>
      <c r="K91" s="1" t="s">
        <v>273</v>
      </c>
      <c r="L91" s="1"/>
      <c r="M91" s="1">
        <v>173750</v>
      </c>
    </row>
    <row r="92" spans="1:13" x14ac:dyDescent="0.25">
      <c r="A92" s="1">
        <v>68</v>
      </c>
      <c r="B92" s="1" t="s">
        <v>331</v>
      </c>
      <c r="C92" s="1" t="s">
        <v>251</v>
      </c>
      <c r="D92" s="1">
        <v>189</v>
      </c>
      <c r="E92" s="1" t="s">
        <v>330</v>
      </c>
      <c r="F92" s="1"/>
      <c r="G92" s="1" t="b">
        <v>1</v>
      </c>
      <c r="H92" s="1" t="s">
        <v>264</v>
      </c>
      <c r="I92" s="1">
        <v>1</v>
      </c>
      <c r="J92" s="1" t="s">
        <v>257</v>
      </c>
      <c r="K92" s="1" t="s">
        <v>270</v>
      </c>
      <c r="L92" s="1"/>
      <c r="M92" s="1">
        <v>140965.84</v>
      </c>
    </row>
    <row r="93" spans="1:13" x14ac:dyDescent="0.25">
      <c r="A93" s="1">
        <v>69</v>
      </c>
      <c r="B93" s="1" t="s">
        <v>337</v>
      </c>
      <c r="C93" s="1" t="s">
        <v>251</v>
      </c>
      <c r="D93" s="1">
        <v>124</v>
      </c>
      <c r="E93" s="1" t="s">
        <v>338</v>
      </c>
      <c r="F93" s="1"/>
      <c r="G93" s="1" t="b">
        <v>1</v>
      </c>
      <c r="H93" s="1" t="s">
        <v>253</v>
      </c>
      <c r="I93" s="1">
        <v>3</v>
      </c>
      <c r="J93" s="1" t="s">
        <v>257</v>
      </c>
      <c r="K93" s="1" t="s">
        <v>270</v>
      </c>
      <c r="L93" s="1"/>
      <c r="M93" s="1">
        <v>100346</v>
      </c>
    </row>
    <row r="94" spans="1:13" x14ac:dyDescent="0.25">
      <c r="A94" s="1">
        <v>69</v>
      </c>
      <c r="B94" s="1" t="s">
        <v>337</v>
      </c>
      <c r="C94" s="1" t="s">
        <v>251</v>
      </c>
      <c r="D94" s="1">
        <v>126</v>
      </c>
      <c r="E94" s="1" t="s">
        <v>42</v>
      </c>
      <c r="F94" s="1"/>
      <c r="G94" s="1" t="b">
        <v>1</v>
      </c>
      <c r="H94" s="1" t="s">
        <v>253</v>
      </c>
      <c r="I94" s="1">
        <v>5</v>
      </c>
      <c r="J94" s="1" t="s">
        <v>257</v>
      </c>
      <c r="K94" s="1" t="s">
        <v>267</v>
      </c>
      <c r="L94" s="1"/>
      <c r="M94" s="1">
        <v>73815</v>
      </c>
    </row>
    <row r="95" spans="1:13" x14ac:dyDescent="0.25">
      <c r="A95" s="1">
        <v>69</v>
      </c>
      <c r="B95" s="1" t="s">
        <v>337</v>
      </c>
      <c r="C95" s="1" t="s">
        <v>251</v>
      </c>
      <c r="D95" s="1">
        <v>127</v>
      </c>
      <c r="E95" s="1" t="s">
        <v>339</v>
      </c>
      <c r="F95" s="1"/>
      <c r="G95" s="1" t="b">
        <v>1</v>
      </c>
      <c r="H95" s="1" t="s">
        <v>253</v>
      </c>
      <c r="I95" s="1">
        <v>6</v>
      </c>
      <c r="J95" s="1" t="s">
        <v>254</v>
      </c>
      <c r="K95" s="1" t="s">
        <v>260</v>
      </c>
      <c r="L95" s="1"/>
      <c r="M95" s="1">
        <v>75727</v>
      </c>
    </row>
    <row r="96" spans="1:13" x14ac:dyDescent="0.25">
      <c r="A96" s="1">
        <v>69</v>
      </c>
      <c r="B96" s="1" t="s">
        <v>337</v>
      </c>
      <c r="C96" s="1" t="s">
        <v>251</v>
      </c>
      <c r="D96" s="1">
        <v>125</v>
      </c>
      <c r="E96" s="1" t="s">
        <v>307</v>
      </c>
      <c r="F96" s="1"/>
      <c r="G96" s="1" t="b">
        <v>1</v>
      </c>
      <c r="H96" s="1" t="s">
        <v>253</v>
      </c>
      <c r="I96" s="1">
        <v>4</v>
      </c>
      <c r="J96" s="1" t="s">
        <v>254</v>
      </c>
      <c r="K96" s="1" t="s">
        <v>255</v>
      </c>
      <c r="L96" s="1"/>
      <c r="M96" s="1">
        <v>116256</v>
      </c>
    </row>
    <row r="97" spans="1:13" x14ac:dyDescent="0.25">
      <c r="A97" s="1">
        <v>69</v>
      </c>
      <c r="B97" s="1" t="s">
        <v>337</v>
      </c>
      <c r="C97" s="1" t="s">
        <v>251</v>
      </c>
      <c r="D97" s="1">
        <v>123</v>
      </c>
      <c r="E97" s="1" t="s">
        <v>340</v>
      </c>
      <c r="F97" s="1"/>
      <c r="G97" s="1" t="b">
        <v>1</v>
      </c>
      <c r="H97" s="1" t="s">
        <v>253</v>
      </c>
      <c r="I97" s="1">
        <v>2</v>
      </c>
      <c r="J97" s="1" t="s">
        <v>257</v>
      </c>
      <c r="K97" s="1" t="s">
        <v>258</v>
      </c>
      <c r="L97" s="1"/>
      <c r="M97" s="1">
        <v>129850</v>
      </c>
    </row>
    <row r="98" spans="1:13" x14ac:dyDescent="0.25">
      <c r="A98" s="1">
        <v>69</v>
      </c>
      <c r="B98" s="1" t="s">
        <v>337</v>
      </c>
      <c r="C98" s="1" t="s">
        <v>251</v>
      </c>
      <c r="D98" s="1">
        <v>122</v>
      </c>
      <c r="E98" s="1" t="s">
        <v>292</v>
      </c>
      <c r="F98" s="1"/>
      <c r="G98" s="1" t="b">
        <v>1</v>
      </c>
      <c r="H98" s="1" t="s">
        <v>264</v>
      </c>
      <c r="I98" s="1">
        <v>1</v>
      </c>
      <c r="J98" s="1" t="s">
        <v>254</v>
      </c>
      <c r="K98" s="1" t="s">
        <v>260</v>
      </c>
      <c r="L98" s="1"/>
      <c r="M98" s="1">
        <v>253972</v>
      </c>
    </row>
    <row r="99" spans="1:13" x14ac:dyDescent="0.25">
      <c r="A99" s="1">
        <v>71</v>
      </c>
      <c r="B99" s="1" t="s">
        <v>341</v>
      </c>
      <c r="C99" s="1" t="s">
        <v>251</v>
      </c>
      <c r="D99" s="1">
        <v>283</v>
      </c>
      <c r="E99" s="1" t="s">
        <v>278</v>
      </c>
      <c r="F99" s="1"/>
      <c r="G99" s="1" t="b">
        <v>1</v>
      </c>
      <c r="H99" s="1" t="s">
        <v>253</v>
      </c>
      <c r="I99" s="1">
        <v>5</v>
      </c>
      <c r="J99" s="1" t="s">
        <v>254</v>
      </c>
      <c r="K99" s="1" t="s">
        <v>255</v>
      </c>
      <c r="L99" s="1"/>
      <c r="M99" s="1">
        <v>62519</v>
      </c>
    </row>
    <row r="100" spans="1:13" x14ac:dyDescent="0.25">
      <c r="A100" s="1">
        <v>71</v>
      </c>
      <c r="B100" s="1" t="s">
        <v>341</v>
      </c>
      <c r="C100" s="1" t="s">
        <v>251</v>
      </c>
      <c r="D100" s="1">
        <v>135</v>
      </c>
      <c r="E100" s="1" t="s">
        <v>47</v>
      </c>
      <c r="F100" s="1"/>
      <c r="G100" s="1" t="b">
        <v>1</v>
      </c>
      <c r="H100" s="1" t="s">
        <v>253</v>
      </c>
      <c r="I100" s="1">
        <v>3</v>
      </c>
      <c r="J100" s="1" t="s">
        <v>254</v>
      </c>
      <c r="K100" s="1" t="s">
        <v>255</v>
      </c>
      <c r="L100" s="1"/>
      <c r="M100" s="1">
        <v>154750</v>
      </c>
    </row>
    <row r="101" spans="1:13" x14ac:dyDescent="0.25">
      <c r="A101" s="1">
        <v>71</v>
      </c>
      <c r="B101" s="1" t="s">
        <v>341</v>
      </c>
      <c r="C101" s="1" t="s">
        <v>251</v>
      </c>
      <c r="D101" s="1">
        <v>284</v>
      </c>
      <c r="E101" s="1" t="s">
        <v>342</v>
      </c>
      <c r="F101" s="1"/>
      <c r="G101" s="1" t="b">
        <v>1</v>
      </c>
      <c r="H101" s="1" t="s">
        <v>253</v>
      </c>
      <c r="I101" s="1">
        <v>6</v>
      </c>
      <c r="J101" s="1" t="s">
        <v>257</v>
      </c>
      <c r="K101" s="1" t="s">
        <v>269</v>
      </c>
      <c r="L101" s="1"/>
      <c r="M101" s="1">
        <v>95945</v>
      </c>
    </row>
    <row r="102" spans="1:13" x14ac:dyDescent="0.25">
      <c r="A102" s="1">
        <v>71</v>
      </c>
      <c r="B102" s="1" t="s">
        <v>341</v>
      </c>
      <c r="C102" s="1" t="s">
        <v>251</v>
      </c>
      <c r="D102" s="1">
        <v>270</v>
      </c>
      <c r="E102" s="1" t="s">
        <v>343</v>
      </c>
      <c r="F102" s="1"/>
      <c r="G102" s="1" t="b">
        <v>1</v>
      </c>
      <c r="H102" s="1" t="s">
        <v>253</v>
      </c>
      <c r="I102" s="1">
        <v>4</v>
      </c>
      <c r="J102" s="1" t="s">
        <v>257</v>
      </c>
      <c r="K102" s="1" t="s">
        <v>270</v>
      </c>
      <c r="L102" s="1"/>
      <c r="M102" s="1">
        <v>145875</v>
      </c>
    </row>
    <row r="103" spans="1:13" x14ac:dyDescent="0.25">
      <c r="A103" s="1">
        <v>71</v>
      </c>
      <c r="B103" s="1" t="s">
        <v>341</v>
      </c>
      <c r="C103" s="1" t="s">
        <v>251</v>
      </c>
      <c r="D103" s="1">
        <v>133</v>
      </c>
      <c r="E103" s="1" t="s">
        <v>344</v>
      </c>
      <c r="F103" s="1"/>
      <c r="G103" s="1" t="b">
        <v>1</v>
      </c>
      <c r="H103" s="1" t="s">
        <v>264</v>
      </c>
      <c r="I103" s="1">
        <v>1</v>
      </c>
      <c r="J103" s="1" t="s">
        <v>257</v>
      </c>
      <c r="K103" s="1" t="s">
        <v>270</v>
      </c>
      <c r="L103" s="1"/>
      <c r="M103" s="1">
        <v>169625</v>
      </c>
    </row>
    <row r="104" spans="1:13" x14ac:dyDescent="0.25">
      <c r="A104" s="1">
        <v>71</v>
      </c>
      <c r="B104" s="1" t="s">
        <v>341</v>
      </c>
      <c r="C104" s="1" t="s">
        <v>251</v>
      </c>
      <c r="D104" s="1">
        <v>134</v>
      </c>
      <c r="E104" s="1" t="s">
        <v>345</v>
      </c>
      <c r="F104" s="1"/>
      <c r="G104" s="1" t="b">
        <v>1</v>
      </c>
      <c r="H104" s="1" t="s">
        <v>253</v>
      </c>
      <c r="I104" s="1">
        <v>2</v>
      </c>
      <c r="J104" s="1" t="s">
        <v>257</v>
      </c>
      <c r="K104" s="1" t="s">
        <v>270</v>
      </c>
      <c r="L104" s="1"/>
      <c r="M104" s="1">
        <v>120705</v>
      </c>
    </row>
    <row r="105" spans="1:13" x14ac:dyDescent="0.25">
      <c r="A105" s="1">
        <v>74</v>
      </c>
      <c r="B105" s="1" t="s">
        <v>346</v>
      </c>
      <c r="C105" s="1" t="s">
        <v>251</v>
      </c>
      <c r="D105" s="1">
        <v>293</v>
      </c>
      <c r="E105" s="1" t="s">
        <v>347</v>
      </c>
      <c r="F105" s="1"/>
      <c r="G105" s="1" t="b">
        <v>1</v>
      </c>
      <c r="H105" s="1" t="s">
        <v>253</v>
      </c>
      <c r="I105" s="1">
        <v>2</v>
      </c>
      <c r="J105" s="1" t="s">
        <v>254</v>
      </c>
      <c r="K105" s="1" t="s">
        <v>255</v>
      </c>
      <c r="L105" s="1"/>
      <c r="M105" s="1">
        <v>142370</v>
      </c>
    </row>
    <row r="106" spans="1:13" x14ac:dyDescent="0.25">
      <c r="A106" s="1">
        <v>74</v>
      </c>
      <c r="B106" s="1" t="s">
        <v>346</v>
      </c>
      <c r="C106" s="1" t="s">
        <v>251</v>
      </c>
      <c r="D106" s="1">
        <v>295</v>
      </c>
      <c r="E106" s="1" t="s">
        <v>348</v>
      </c>
      <c r="F106" s="1"/>
      <c r="G106" s="1" t="b">
        <v>1</v>
      </c>
      <c r="H106" s="1" t="s">
        <v>253</v>
      </c>
      <c r="I106" s="1">
        <v>4</v>
      </c>
      <c r="J106" s="1" t="s">
        <v>257</v>
      </c>
      <c r="K106" s="1" t="s">
        <v>270</v>
      </c>
      <c r="L106" s="1"/>
      <c r="M106" s="1">
        <v>207510</v>
      </c>
    </row>
    <row r="107" spans="1:13" x14ac:dyDescent="0.25">
      <c r="A107" s="1">
        <v>74</v>
      </c>
      <c r="B107" s="1" t="s">
        <v>346</v>
      </c>
      <c r="C107" s="1" t="s">
        <v>251</v>
      </c>
      <c r="D107" s="1">
        <v>257</v>
      </c>
      <c r="E107" s="1" t="s">
        <v>285</v>
      </c>
      <c r="F107" s="1"/>
      <c r="G107" s="1" t="b">
        <v>1</v>
      </c>
      <c r="H107" s="1" t="s">
        <v>264</v>
      </c>
      <c r="I107" s="1">
        <v>1</v>
      </c>
      <c r="J107" s="1" t="s">
        <v>257</v>
      </c>
      <c r="K107" s="1" t="s">
        <v>270</v>
      </c>
      <c r="L107" s="1"/>
      <c r="M107" s="1">
        <v>267503</v>
      </c>
    </row>
    <row r="108" spans="1:13" x14ac:dyDescent="0.25">
      <c r="A108" s="1">
        <v>74</v>
      </c>
      <c r="B108" s="1" t="s">
        <v>346</v>
      </c>
      <c r="C108" s="1" t="s">
        <v>251</v>
      </c>
      <c r="D108" s="1">
        <v>294</v>
      </c>
      <c r="E108" s="1" t="s">
        <v>349</v>
      </c>
      <c r="F108" s="1"/>
      <c r="G108" s="1" t="b">
        <v>1</v>
      </c>
      <c r="H108" s="1" t="s">
        <v>253</v>
      </c>
      <c r="I108" s="1">
        <v>3</v>
      </c>
      <c r="J108" s="1" t="s">
        <v>254</v>
      </c>
      <c r="K108" s="1" t="s">
        <v>260</v>
      </c>
      <c r="L108" s="1"/>
      <c r="M108" s="1">
        <v>132616.66</v>
      </c>
    </row>
    <row r="109" spans="1:13" x14ac:dyDescent="0.25">
      <c r="A109" s="1">
        <v>75</v>
      </c>
      <c r="B109" s="1" t="s">
        <v>350</v>
      </c>
      <c r="C109" s="1" t="s">
        <v>251</v>
      </c>
      <c r="D109" s="1">
        <v>176</v>
      </c>
      <c r="E109" s="1" t="s">
        <v>351</v>
      </c>
      <c r="F109" s="1"/>
      <c r="G109" s="1" t="b">
        <v>1</v>
      </c>
      <c r="H109" s="1" t="s">
        <v>253</v>
      </c>
      <c r="I109" s="1">
        <v>2</v>
      </c>
      <c r="J109" s="1" t="s">
        <v>254</v>
      </c>
      <c r="K109" s="1" t="s">
        <v>273</v>
      </c>
      <c r="L109" s="1"/>
      <c r="M109" s="1">
        <v>70869</v>
      </c>
    </row>
    <row r="110" spans="1:13" x14ac:dyDescent="0.25">
      <c r="A110" s="1">
        <v>75</v>
      </c>
      <c r="B110" s="1" t="s">
        <v>350</v>
      </c>
      <c r="C110" s="1" t="s">
        <v>251</v>
      </c>
      <c r="D110" s="1">
        <v>170</v>
      </c>
      <c r="E110" s="1" t="s">
        <v>352</v>
      </c>
      <c r="F110" s="1"/>
      <c r="G110" s="1" t="b">
        <v>1</v>
      </c>
      <c r="H110" s="1" t="s">
        <v>264</v>
      </c>
      <c r="I110" s="1">
        <v>1</v>
      </c>
      <c r="J110" s="1" t="s">
        <v>254</v>
      </c>
      <c r="K110" s="1" t="s">
        <v>255</v>
      </c>
      <c r="L110" s="1"/>
      <c r="M110" s="1">
        <v>177225.4</v>
      </c>
    </row>
    <row r="111" spans="1:13" x14ac:dyDescent="0.25">
      <c r="A111" s="1">
        <v>75</v>
      </c>
      <c r="B111" s="1" t="s">
        <v>350</v>
      </c>
      <c r="C111" s="1" t="s">
        <v>251</v>
      </c>
      <c r="D111" s="1">
        <v>177</v>
      </c>
      <c r="E111" s="1" t="s">
        <v>353</v>
      </c>
      <c r="F111" s="1"/>
      <c r="G111" s="1" t="b">
        <v>1</v>
      </c>
      <c r="H111" s="1" t="s">
        <v>253</v>
      </c>
      <c r="I111" s="1">
        <v>3</v>
      </c>
      <c r="J111" s="1" t="s">
        <v>254</v>
      </c>
      <c r="K111" s="1" t="s">
        <v>273</v>
      </c>
      <c r="L111" s="1"/>
      <c r="M111" s="1">
        <v>79852.12</v>
      </c>
    </row>
    <row r="112" spans="1:13" x14ac:dyDescent="0.25">
      <c r="A112" s="1">
        <v>75</v>
      </c>
      <c r="B112" s="1" t="s">
        <v>350</v>
      </c>
      <c r="C112" s="1" t="s">
        <v>251</v>
      </c>
      <c r="D112" s="1">
        <v>194</v>
      </c>
      <c r="E112" s="1" t="s">
        <v>354</v>
      </c>
      <c r="F112" s="1"/>
      <c r="G112" s="1" t="b">
        <v>1</v>
      </c>
      <c r="H112" s="1" t="s">
        <v>253</v>
      </c>
      <c r="I112" s="1">
        <v>5</v>
      </c>
      <c r="J112" s="1" t="s">
        <v>257</v>
      </c>
      <c r="K112" s="1" t="s">
        <v>258</v>
      </c>
      <c r="L112" s="1"/>
      <c r="M112" s="1">
        <v>79996</v>
      </c>
    </row>
    <row r="113" spans="1:13" x14ac:dyDescent="0.25">
      <c r="A113" s="1">
        <v>75</v>
      </c>
      <c r="B113" s="1" t="s">
        <v>350</v>
      </c>
      <c r="C113" s="1" t="s">
        <v>251</v>
      </c>
      <c r="D113" s="1">
        <v>178</v>
      </c>
      <c r="E113" s="1" t="s">
        <v>355</v>
      </c>
      <c r="F113" s="1"/>
      <c r="G113" s="1" t="b">
        <v>1</v>
      </c>
      <c r="H113" s="1" t="s">
        <v>253</v>
      </c>
      <c r="I113" s="1">
        <v>4</v>
      </c>
      <c r="J113" s="1" t="s">
        <v>257</v>
      </c>
      <c r="K113" s="1" t="s">
        <v>258</v>
      </c>
      <c r="L113" s="1"/>
      <c r="M113" s="1">
        <v>119980</v>
      </c>
    </row>
    <row r="114" spans="1:13" x14ac:dyDescent="0.25">
      <c r="A114" s="1">
        <v>75</v>
      </c>
      <c r="B114" s="1" t="s">
        <v>350</v>
      </c>
      <c r="C114" s="1" t="s">
        <v>251</v>
      </c>
      <c r="D114" s="1">
        <v>219</v>
      </c>
      <c r="E114" s="1" t="s">
        <v>356</v>
      </c>
      <c r="F114" s="1"/>
      <c r="G114" s="1" t="b">
        <v>1</v>
      </c>
      <c r="H114" s="1" t="s">
        <v>253</v>
      </c>
      <c r="I114" s="1">
        <v>6</v>
      </c>
      <c r="J114" s="1" t="s">
        <v>257</v>
      </c>
      <c r="K114" s="1" t="s">
        <v>258</v>
      </c>
      <c r="L114" s="1"/>
      <c r="M114" s="1">
        <v>69972</v>
      </c>
    </row>
    <row r="115" spans="1:13" x14ac:dyDescent="0.25">
      <c r="A115" s="1">
        <v>76</v>
      </c>
      <c r="B115" s="1" t="s">
        <v>357</v>
      </c>
      <c r="C115" s="1" t="s">
        <v>251</v>
      </c>
      <c r="D115" s="1">
        <v>160</v>
      </c>
      <c r="E115" s="1" t="s">
        <v>358</v>
      </c>
      <c r="F115" s="1"/>
      <c r="G115" s="1" t="b">
        <v>1</v>
      </c>
      <c r="H115" s="1" t="s">
        <v>264</v>
      </c>
      <c r="I115" s="1">
        <v>1</v>
      </c>
      <c r="J115" s="1" t="s">
        <v>254</v>
      </c>
      <c r="K115" s="1" t="s">
        <v>302</v>
      </c>
      <c r="L115" s="1"/>
      <c r="M115" s="1">
        <v>198840.25</v>
      </c>
    </row>
    <row r="116" spans="1:13" x14ac:dyDescent="0.25">
      <c r="A116" s="1">
        <v>76</v>
      </c>
      <c r="B116" s="1" t="s">
        <v>357</v>
      </c>
      <c r="C116" s="1" t="s">
        <v>251</v>
      </c>
      <c r="D116" s="1">
        <v>232</v>
      </c>
      <c r="E116" s="1" t="s">
        <v>290</v>
      </c>
      <c r="F116" s="1"/>
      <c r="G116" s="1" t="b">
        <v>1</v>
      </c>
      <c r="H116" s="1" t="s">
        <v>253</v>
      </c>
      <c r="I116" s="1">
        <v>5</v>
      </c>
      <c r="J116" s="1" t="s">
        <v>257</v>
      </c>
      <c r="K116" s="1" t="s">
        <v>258</v>
      </c>
      <c r="L116" s="1"/>
      <c r="M116" s="1">
        <v>128978.08</v>
      </c>
    </row>
    <row r="117" spans="1:13" x14ac:dyDescent="0.25">
      <c r="A117" s="1">
        <v>76</v>
      </c>
      <c r="B117" s="1" t="s">
        <v>357</v>
      </c>
      <c r="C117" s="1" t="s">
        <v>251</v>
      </c>
      <c r="D117" s="1">
        <v>209</v>
      </c>
      <c r="E117" s="1" t="s">
        <v>56</v>
      </c>
      <c r="F117" s="1"/>
      <c r="G117" s="1" t="b">
        <v>1</v>
      </c>
      <c r="H117" s="1" t="s">
        <v>253</v>
      </c>
      <c r="I117" s="1">
        <v>3</v>
      </c>
      <c r="J117" s="1" t="s">
        <v>257</v>
      </c>
      <c r="K117" s="1" t="s">
        <v>258</v>
      </c>
      <c r="L117" s="1"/>
      <c r="M117" s="1">
        <v>109200</v>
      </c>
    </row>
    <row r="118" spans="1:13" x14ac:dyDescent="0.25">
      <c r="A118" s="1">
        <v>76</v>
      </c>
      <c r="B118" s="1" t="s">
        <v>357</v>
      </c>
      <c r="C118" s="1" t="s">
        <v>251</v>
      </c>
      <c r="D118" s="1">
        <v>161</v>
      </c>
      <c r="E118" s="1" t="s">
        <v>359</v>
      </c>
      <c r="F118" s="1"/>
      <c r="G118" s="1" t="b">
        <v>1</v>
      </c>
      <c r="H118" s="1" t="s">
        <v>253</v>
      </c>
      <c r="I118" s="1">
        <v>2</v>
      </c>
      <c r="J118" s="1" t="s">
        <v>254</v>
      </c>
      <c r="K118" s="1" t="s">
        <v>265</v>
      </c>
      <c r="L118" s="1"/>
      <c r="M118" s="1">
        <v>158512.79999999999</v>
      </c>
    </row>
    <row r="119" spans="1:13" x14ac:dyDescent="0.25">
      <c r="A119" s="1">
        <v>76</v>
      </c>
      <c r="B119" s="1" t="s">
        <v>357</v>
      </c>
      <c r="C119" s="1" t="s">
        <v>251</v>
      </c>
      <c r="D119" s="1">
        <v>210</v>
      </c>
      <c r="E119" s="1" t="s">
        <v>320</v>
      </c>
      <c r="F119" s="1"/>
      <c r="G119" s="1" t="b">
        <v>1</v>
      </c>
      <c r="H119" s="1" t="s">
        <v>253</v>
      </c>
      <c r="I119" s="1">
        <v>4</v>
      </c>
      <c r="J119" s="1" t="s">
        <v>257</v>
      </c>
      <c r="K119" s="1" t="s">
        <v>269</v>
      </c>
      <c r="L119" s="1"/>
      <c r="M119" s="1">
        <v>126672</v>
      </c>
    </row>
    <row r="120" spans="1:13" x14ac:dyDescent="0.25">
      <c r="A120" s="1">
        <v>80</v>
      </c>
      <c r="B120" s="1" t="s">
        <v>63</v>
      </c>
      <c r="C120" s="1" t="s">
        <v>251</v>
      </c>
      <c r="D120" s="1">
        <v>288</v>
      </c>
      <c r="E120" s="1" t="s">
        <v>37</v>
      </c>
      <c r="F120" s="1"/>
      <c r="G120" s="1" t="b">
        <v>1</v>
      </c>
      <c r="H120" s="1" t="s">
        <v>253</v>
      </c>
      <c r="I120" s="1">
        <v>4</v>
      </c>
      <c r="J120" s="1" t="s">
        <v>254</v>
      </c>
      <c r="K120" s="1" t="s">
        <v>266</v>
      </c>
      <c r="L120" s="1"/>
      <c r="M120" s="1">
        <v>175089.6</v>
      </c>
    </row>
    <row r="121" spans="1:13" x14ac:dyDescent="0.25">
      <c r="A121" s="1">
        <v>80</v>
      </c>
      <c r="B121" s="1" t="s">
        <v>63</v>
      </c>
      <c r="C121" s="1" t="s">
        <v>251</v>
      </c>
      <c r="D121" s="1">
        <v>286</v>
      </c>
      <c r="E121" s="1" t="s">
        <v>360</v>
      </c>
      <c r="F121" s="1"/>
      <c r="G121" s="1" t="b">
        <v>1</v>
      </c>
      <c r="H121" s="1" t="s">
        <v>253</v>
      </c>
      <c r="I121" s="1">
        <v>2</v>
      </c>
      <c r="J121" s="1" t="s">
        <v>257</v>
      </c>
      <c r="K121" s="1" t="s">
        <v>269</v>
      </c>
      <c r="L121" s="1"/>
      <c r="M121" s="1">
        <v>150000</v>
      </c>
    </row>
    <row r="122" spans="1:13" x14ac:dyDescent="0.25">
      <c r="A122" s="1">
        <v>80</v>
      </c>
      <c r="B122" s="1" t="s">
        <v>63</v>
      </c>
      <c r="C122" s="1" t="s">
        <v>251</v>
      </c>
      <c r="D122" s="1">
        <v>287</v>
      </c>
      <c r="E122" s="1" t="s">
        <v>51</v>
      </c>
      <c r="F122" s="1"/>
      <c r="G122" s="1" t="b">
        <v>1</v>
      </c>
      <c r="H122" s="1" t="s">
        <v>253</v>
      </c>
      <c r="I122" s="1">
        <v>3</v>
      </c>
      <c r="J122" s="1" t="s">
        <v>254</v>
      </c>
      <c r="K122" s="1" t="s">
        <v>260</v>
      </c>
      <c r="L122" s="1"/>
      <c r="M122" s="1">
        <v>175314.06</v>
      </c>
    </row>
    <row r="123" spans="1:13" x14ac:dyDescent="0.25">
      <c r="A123" s="1">
        <v>80</v>
      </c>
      <c r="B123" s="1" t="s">
        <v>63</v>
      </c>
      <c r="C123" s="1" t="s">
        <v>251</v>
      </c>
      <c r="D123" s="1">
        <v>230</v>
      </c>
      <c r="E123" s="1" t="s">
        <v>46</v>
      </c>
      <c r="F123" s="1"/>
      <c r="G123" s="1" t="b">
        <v>1</v>
      </c>
      <c r="H123" s="1" t="s">
        <v>264</v>
      </c>
      <c r="I123" s="1">
        <v>1</v>
      </c>
      <c r="J123" s="1" t="s">
        <v>257</v>
      </c>
      <c r="K123" s="1" t="s">
        <v>270</v>
      </c>
      <c r="L123" s="1"/>
      <c r="M123" s="1">
        <v>248969.54</v>
      </c>
    </row>
    <row r="124" spans="1:13" x14ac:dyDescent="0.25">
      <c r="A124" s="1">
        <v>83</v>
      </c>
      <c r="B124" s="1" t="s">
        <v>361</v>
      </c>
      <c r="C124" s="1" t="s">
        <v>251</v>
      </c>
      <c r="D124" s="1">
        <v>243</v>
      </c>
      <c r="E124" s="1" t="s">
        <v>362</v>
      </c>
      <c r="F124" s="1"/>
      <c r="G124" s="1" t="b">
        <v>1</v>
      </c>
      <c r="H124" s="1" t="s">
        <v>253</v>
      </c>
      <c r="I124" s="1">
        <v>5</v>
      </c>
      <c r="J124" s="1" t="s">
        <v>254</v>
      </c>
      <c r="K124" s="1" t="s">
        <v>260</v>
      </c>
      <c r="L124" s="1"/>
      <c r="M124" s="1">
        <v>135313.4</v>
      </c>
    </row>
    <row r="125" spans="1:13" x14ac:dyDescent="0.25">
      <c r="A125" s="1">
        <v>83</v>
      </c>
      <c r="B125" s="1" t="s">
        <v>361</v>
      </c>
      <c r="C125" s="1" t="s">
        <v>251</v>
      </c>
      <c r="D125" s="1">
        <v>240</v>
      </c>
      <c r="E125" s="1" t="s">
        <v>342</v>
      </c>
      <c r="F125" s="1"/>
      <c r="G125" s="1" t="b">
        <v>1</v>
      </c>
      <c r="H125" s="1" t="s">
        <v>253</v>
      </c>
      <c r="I125" s="1">
        <v>3</v>
      </c>
      <c r="J125" s="1" t="s">
        <v>257</v>
      </c>
      <c r="K125" s="1" t="s">
        <v>269</v>
      </c>
      <c r="L125" s="1"/>
      <c r="M125" s="1">
        <v>110058.2</v>
      </c>
    </row>
    <row r="126" spans="1:13" x14ac:dyDescent="0.25">
      <c r="A126" s="1">
        <v>83</v>
      </c>
      <c r="B126" s="1" t="s">
        <v>361</v>
      </c>
      <c r="C126" s="1" t="s">
        <v>251</v>
      </c>
      <c r="D126" s="1">
        <v>239</v>
      </c>
      <c r="E126" s="1" t="s">
        <v>363</v>
      </c>
      <c r="F126" s="1"/>
      <c r="G126" s="1" t="b">
        <v>1</v>
      </c>
      <c r="H126" s="1" t="s">
        <v>253</v>
      </c>
      <c r="I126" s="1">
        <v>2</v>
      </c>
      <c r="J126" s="1" t="s">
        <v>257</v>
      </c>
      <c r="K126" s="1" t="s">
        <v>258</v>
      </c>
      <c r="L126" s="1"/>
      <c r="M126" s="1">
        <v>126000</v>
      </c>
    </row>
    <row r="127" spans="1:13" x14ac:dyDescent="0.25">
      <c r="A127" s="1">
        <v>83</v>
      </c>
      <c r="B127" s="1" t="s">
        <v>361</v>
      </c>
      <c r="C127" s="1" t="s">
        <v>251</v>
      </c>
      <c r="D127" s="1">
        <v>242</v>
      </c>
      <c r="E127" s="1" t="s">
        <v>364</v>
      </c>
      <c r="F127" s="1"/>
      <c r="G127" s="1" t="b">
        <v>1</v>
      </c>
      <c r="H127" s="1" t="s">
        <v>253</v>
      </c>
      <c r="I127" s="1">
        <v>4</v>
      </c>
      <c r="J127" s="1" t="s">
        <v>254</v>
      </c>
      <c r="K127" s="1" t="s">
        <v>266</v>
      </c>
      <c r="L127" s="1"/>
      <c r="M127" s="1">
        <v>121866.1</v>
      </c>
    </row>
    <row r="128" spans="1:13" x14ac:dyDescent="0.25">
      <c r="A128" s="1">
        <v>83</v>
      </c>
      <c r="B128" s="1" t="s">
        <v>361</v>
      </c>
      <c r="C128" s="1" t="s">
        <v>251</v>
      </c>
      <c r="D128" s="1">
        <v>238</v>
      </c>
      <c r="E128" s="1" t="s">
        <v>300</v>
      </c>
      <c r="F128" s="1"/>
      <c r="G128" s="1" t="b">
        <v>1</v>
      </c>
      <c r="H128" s="1" t="s">
        <v>264</v>
      </c>
      <c r="I128" s="1">
        <v>1</v>
      </c>
      <c r="J128" s="1" t="s">
        <v>257</v>
      </c>
      <c r="K128" s="1" t="s">
        <v>269</v>
      </c>
      <c r="L128" s="1"/>
      <c r="M128" s="1">
        <v>142650</v>
      </c>
    </row>
    <row r="129" spans="1:13" x14ac:dyDescent="0.25">
      <c r="A129" s="1">
        <v>83</v>
      </c>
      <c r="B129" s="1" t="s">
        <v>361</v>
      </c>
      <c r="C129" s="1" t="s">
        <v>251</v>
      </c>
      <c r="D129" s="1">
        <v>244</v>
      </c>
      <c r="E129" s="1" t="s">
        <v>69</v>
      </c>
      <c r="F129" s="1"/>
      <c r="G129" s="1" t="b">
        <v>1</v>
      </c>
      <c r="H129" s="1" t="s">
        <v>253</v>
      </c>
      <c r="I129" s="1">
        <v>6</v>
      </c>
      <c r="J129" s="1" t="s">
        <v>254</v>
      </c>
      <c r="K129" s="1" t="s">
        <v>255</v>
      </c>
      <c r="L129" s="1"/>
      <c r="M129" s="1">
        <v>114072</v>
      </c>
    </row>
    <row r="130" spans="1:13" x14ac:dyDescent="0.25">
      <c r="A130" s="1">
        <v>84</v>
      </c>
      <c r="B130" s="1" t="s">
        <v>365</v>
      </c>
      <c r="C130" s="1" t="s">
        <v>251</v>
      </c>
      <c r="D130" s="1">
        <v>266</v>
      </c>
      <c r="E130" s="1" t="s">
        <v>293</v>
      </c>
      <c r="F130" s="1"/>
      <c r="G130" s="1" t="b">
        <v>1</v>
      </c>
      <c r="H130" s="1" t="s">
        <v>253</v>
      </c>
      <c r="I130" s="1">
        <v>6</v>
      </c>
      <c r="J130" s="1" t="s">
        <v>254</v>
      </c>
      <c r="K130" s="1" t="s">
        <v>273</v>
      </c>
      <c r="L130" s="1"/>
      <c r="M130" s="1">
        <v>34965</v>
      </c>
    </row>
    <row r="131" spans="1:13" x14ac:dyDescent="0.25">
      <c r="A131" s="1">
        <v>84</v>
      </c>
      <c r="B131" s="1" t="s">
        <v>365</v>
      </c>
      <c r="C131" s="1" t="s">
        <v>251</v>
      </c>
      <c r="D131" s="1">
        <v>263</v>
      </c>
      <c r="E131" s="1" t="s">
        <v>366</v>
      </c>
      <c r="F131" s="1"/>
      <c r="G131" s="1" t="b">
        <v>1</v>
      </c>
      <c r="H131" s="1" t="s">
        <v>253</v>
      </c>
      <c r="I131" s="1">
        <v>3</v>
      </c>
      <c r="J131" s="1" t="s">
        <v>257</v>
      </c>
      <c r="K131" s="1" t="s">
        <v>258</v>
      </c>
      <c r="L131" s="1"/>
      <c r="M131" s="1">
        <v>80278.8</v>
      </c>
    </row>
    <row r="132" spans="1:13" x14ac:dyDescent="0.25">
      <c r="A132" s="1">
        <v>84</v>
      </c>
      <c r="B132" s="1" t="s">
        <v>365</v>
      </c>
      <c r="C132" s="1" t="s">
        <v>251</v>
      </c>
      <c r="D132" s="1">
        <v>241</v>
      </c>
      <c r="E132" s="1" t="s">
        <v>367</v>
      </c>
      <c r="F132" s="1"/>
      <c r="G132" s="1" t="b">
        <v>1</v>
      </c>
      <c r="H132" s="1" t="s">
        <v>264</v>
      </c>
      <c r="I132" s="1">
        <v>1</v>
      </c>
      <c r="J132" s="1" t="s">
        <v>254</v>
      </c>
      <c r="K132" s="1" t="s">
        <v>255</v>
      </c>
      <c r="L132" s="1"/>
      <c r="M132" s="1">
        <v>181978.87</v>
      </c>
    </row>
    <row r="133" spans="1:13" x14ac:dyDescent="0.25">
      <c r="A133" s="1">
        <v>84</v>
      </c>
      <c r="B133" s="1" t="s">
        <v>365</v>
      </c>
      <c r="C133" s="1" t="s">
        <v>251</v>
      </c>
      <c r="D133" s="1">
        <v>265</v>
      </c>
      <c r="E133" s="1" t="s">
        <v>368</v>
      </c>
      <c r="F133" s="1"/>
      <c r="G133" s="1" t="b">
        <v>1</v>
      </c>
      <c r="H133" s="1" t="s">
        <v>253</v>
      </c>
      <c r="I133" s="1">
        <v>5</v>
      </c>
      <c r="J133" s="1" t="s">
        <v>254</v>
      </c>
      <c r="K133" s="1" t="s">
        <v>255</v>
      </c>
      <c r="L133" s="1"/>
      <c r="M133" s="1">
        <v>84004.7</v>
      </c>
    </row>
    <row r="134" spans="1:13" x14ac:dyDescent="0.25">
      <c r="A134" s="1">
        <v>84</v>
      </c>
      <c r="B134" s="1" t="s">
        <v>365</v>
      </c>
      <c r="C134" s="1" t="s">
        <v>251</v>
      </c>
      <c r="D134" s="1">
        <v>264</v>
      </c>
      <c r="E134" s="1" t="s">
        <v>369</v>
      </c>
      <c r="F134" s="1"/>
      <c r="G134" s="1" t="b">
        <v>1</v>
      </c>
      <c r="H134" s="1" t="s">
        <v>253</v>
      </c>
      <c r="I134" s="1">
        <v>4</v>
      </c>
      <c r="J134" s="1" t="s">
        <v>254</v>
      </c>
      <c r="K134" s="1" t="s">
        <v>260</v>
      </c>
      <c r="L134" s="1"/>
      <c r="M134" s="1">
        <v>78786.73</v>
      </c>
    </row>
    <row r="135" spans="1:13" x14ac:dyDescent="0.25">
      <c r="A135" s="1">
        <v>84</v>
      </c>
      <c r="B135" s="1" t="s">
        <v>365</v>
      </c>
      <c r="C135" s="1" t="s">
        <v>251</v>
      </c>
      <c r="D135" s="1">
        <v>249</v>
      </c>
      <c r="E135" s="1" t="s">
        <v>370</v>
      </c>
      <c r="F135" s="1"/>
      <c r="G135" s="1" t="b">
        <v>1</v>
      </c>
      <c r="H135" s="1" t="s">
        <v>253</v>
      </c>
      <c r="I135" s="1">
        <v>2</v>
      </c>
      <c r="J135" s="1" t="s">
        <v>257</v>
      </c>
      <c r="K135" s="1" t="s">
        <v>258</v>
      </c>
      <c r="L135" s="1"/>
      <c r="M135" s="1">
        <v>139974.39999999999</v>
      </c>
    </row>
    <row r="136" spans="1:13" x14ac:dyDescent="0.25">
      <c r="A136" s="1">
        <v>86</v>
      </c>
      <c r="B136" s="1" t="s">
        <v>66</v>
      </c>
      <c r="C136" s="1" t="s">
        <v>251</v>
      </c>
      <c r="D136" s="1">
        <v>262</v>
      </c>
      <c r="E136" s="1" t="s">
        <v>371</v>
      </c>
      <c r="F136" s="1"/>
      <c r="G136" s="1" t="b">
        <v>1</v>
      </c>
      <c r="H136" s="1" t="s">
        <v>253</v>
      </c>
      <c r="I136" s="1">
        <v>5</v>
      </c>
      <c r="J136" s="1" t="s">
        <v>254</v>
      </c>
      <c r="K136" s="1" t="s">
        <v>255</v>
      </c>
      <c r="L136" s="1"/>
      <c r="M136" s="1">
        <v>124800</v>
      </c>
    </row>
    <row r="137" spans="1:13" x14ac:dyDescent="0.25">
      <c r="A137" s="1">
        <v>86</v>
      </c>
      <c r="B137" s="1" t="s">
        <v>66</v>
      </c>
      <c r="C137" s="1" t="s">
        <v>251</v>
      </c>
      <c r="D137" s="1">
        <v>259</v>
      </c>
      <c r="E137" s="1" t="s">
        <v>55</v>
      </c>
      <c r="F137" s="1"/>
      <c r="G137" s="1" t="b">
        <v>1</v>
      </c>
      <c r="H137" s="1" t="s">
        <v>253</v>
      </c>
      <c r="I137" s="1">
        <v>2</v>
      </c>
      <c r="J137" s="1" t="s">
        <v>257</v>
      </c>
      <c r="K137" s="1" t="s">
        <v>269</v>
      </c>
      <c r="L137" s="1"/>
      <c r="M137" s="1">
        <v>140000</v>
      </c>
    </row>
    <row r="138" spans="1:13" x14ac:dyDescent="0.25">
      <c r="A138" s="1">
        <v>86</v>
      </c>
      <c r="B138" s="1" t="s">
        <v>66</v>
      </c>
      <c r="C138" s="1" t="s">
        <v>251</v>
      </c>
      <c r="D138" s="1">
        <v>261</v>
      </c>
      <c r="E138" s="1" t="s">
        <v>372</v>
      </c>
      <c r="F138" s="1"/>
      <c r="G138" s="1" t="b">
        <v>1</v>
      </c>
      <c r="H138" s="1" t="s">
        <v>253</v>
      </c>
      <c r="I138" s="1">
        <v>4</v>
      </c>
      <c r="J138" s="1" t="s">
        <v>257</v>
      </c>
      <c r="K138" s="1" t="s">
        <v>270</v>
      </c>
      <c r="L138" s="1"/>
      <c r="M138" s="1">
        <v>124992</v>
      </c>
    </row>
    <row r="139" spans="1:13" x14ac:dyDescent="0.25">
      <c r="A139" s="1">
        <v>86</v>
      </c>
      <c r="B139" s="1" t="s">
        <v>66</v>
      </c>
      <c r="C139" s="1" t="s">
        <v>251</v>
      </c>
      <c r="D139" s="1">
        <v>260</v>
      </c>
      <c r="E139" s="1" t="s">
        <v>36</v>
      </c>
      <c r="F139" s="1"/>
      <c r="G139" s="1" t="b">
        <v>1</v>
      </c>
      <c r="H139" s="1" t="s">
        <v>253</v>
      </c>
      <c r="I139" s="1">
        <v>3</v>
      </c>
      <c r="J139" s="1" t="s">
        <v>257</v>
      </c>
      <c r="K139" s="1" t="s">
        <v>269</v>
      </c>
      <c r="L139" s="1"/>
      <c r="M139" s="1">
        <v>110000</v>
      </c>
    </row>
    <row r="140" spans="1:13" x14ac:dyDescent="0.25">
      <c r="A140" s="1">
        <v>86</v>
      </c>
      <c r="B140" s="1" t="s">
        <v>66</v>
      </c>
      <c r="C140" s="1" t="s">
        <v>251</v>
      </c>
      <c r="D140" s="1">
        <v>258</v>
      </c>
      <c r="E140" s="1" t="s">
        <v>21</v>
      </c>
      <c r="F140" s="1"/>
      <c r="G140" s="1" t="b">
        <v>1</v>
      </c>
      <c r="H140" s="1" t="s">
        <v>264</v>
      </c>
      <c r="I140" s="1">
        <v>1</v>
      </c>
      <c r="J140" s="1" t="s">
        <v>254</v>
      </c>
      <c r="K140" s="1" t="s">
        <v>255</v>
      </c>
      <c r="L140" s="1"/>
      <c r="M140" s="1">
        <v>249999.97</v>
      </c>
    </row>
    <row r="141" spans="1:13" x14ac:dyDescent="0.25">
      <c r="A141" s="1">
        <v>90</v>
      </c>
      <c r="B141" s="1" t="s">
        <v>373</v>
      </c>
      <c r="C141" s="1" t="s">
        <v>251</v>
      </c>
      <c r="D141" s="1">
        <v>298</v>
      </c>
      <c r="E141" s="1" t="s">
        <v>374</v>
      </c>
      <c r="F141" s="1"/>
      <c r="G141" s="1" t="b">
        <v>1</v>
      </c>
      <c r="H141" s="1" t="s">
        <v>253</v>
      </c>
      <c r="I141" s="1">
        <v>2</v>
      </c>
      <c r="J141" s="1" t="s">
        <v>254</v>
      </c>
      <c r="K141" s="1" t="s">
        <v>265</v>
      </c>
      <c r="L141" s="1"/>
      <c r="M141" s="1">
        <v>248848</v>
      </c>
    </row>
    <row r="142" spans="1:13" x14ac:dyDescent="0.25">
      <c r="A142" s="1">
        <v>90</v>
      </c>
      <c r="B142" s="1" t="s">
        <v>373</v>
      </c>
      <c r="C142" s="1" t="s">
        <v>251</v>
      </c>
      <c r="D142" s="1">
        <v>299</v>
      </c>
      <c r="E142" s="1" t="s">
        <v>375</v>
      </c>
      <c r="F142" s="1"/>
      <c r="G142" s="1" t="b">
        <v>1</v>
      </c>
      <c r="H142" s="1" t="s">
        <v>253</v>
      </c>
      <c r="I142" s="1">
        <v>3</v>
      </c>
      <c r="J142" s="1" t="s">
        <v>257</v>
      </c>
      <c r="K142" s="1" t="s">
        <v>258</v>
      </c>
      <c r="L142" s="1"/>
      <c r="M142" s="1">
        <v>44625</v>
      </c>
    </row>
    <row r="143" spans="1:13" x14ac:dyDescent="0.25">
      <c r="A143" s="1">
        <v>90</v>
      </c>
      <c r="B143" s="1" t="s">
        <v>373</v>
      </c>
      <c r="C143" s="1" t="s">
        <v>251</v>
      </c>
      <c r="D143" s="1">
        <v>297</v>
      </c>
      <c r="E143" s="1" t="s">
        <v>376</v>
      </c>
      <c r="F143" s="1"/>
      <c r="G143" s="1" t="b">
        <v>1</v>
      </c>
      <c r="H143" s="1" t="s">
        <v>264</v>
      </c>
      <c r="I143" s="1">
        <v>1</v>
      </c>
      <c r="J143" s="1" t="s">
        <v>254</v>
      </c>
      <c r="K143" s="1" t="s">
        <v>265</v>
      </c>
      <c r="L143" s="1"/>
      <c r="M143" s="1">
        <v>128000</v>
      </c>
    </row>
    <row r="144" spans="1:13" x14ac:dyDescent="0.25">
      <c r="A144" s="1">
        <v>90</v>
      </c>
      <c r="B144" s="1" t="s">
        <v>373</v>
      </c>
      <c r="C144" s="1" t="s">
        <v>251</v>
      </c>
      <c r="D144" s="1">
        <v>302</v>
      </c>
      <c r="E144" s="1" t="s">
        <v>377</v>
      </c>
      <c r="F144" s="1"/>
      <c r="G144" s="1" t="b">
        <v>1</v>
      </c>
      <c r="H144" s="1" t="s">
        <v>253</v>
      </c>
      <c r="I144" s="1">
        <v>6</v>
      </c>
      <c r="J144" s="1" t="s">
        <v>254</v>
      </c>
      <c r="K144" s="1" t="s">
        <v>255</v>
      </c>
      <c r="L144" s="1"/>
      <c r="M144" s="1">
        <v>65232</v>
      </c>
    </row>
    <row r="145" spans="1:13" x14ac:dyDescent="0.25">
      <c r="A145" s="1">
        <v>90</v>
      </c>
      <c r="B145" s="1" t="s">
        <v>373</v>
      </c>
      <c r="C145" s="1" t="s">
        <v>251</v>
      </c>
      <c r="D145" s="1">
        <v>301</v>
      </c>
      <c r="E145" s="1" t="s">
        <v>378</v>
      </c>
      <c r="F145" s="1"/>
      <c r="G145" s="1" t="b">
        <v>1</v>
      </c>
      <c r="H145" s="1" t="s">
        <v>253</v>
      </c>
      <c r="I145" s="1">
        <v>5</v>
      </c>
      <c r="J145" s="1" t="s">
        <v>254</v>
      </c>
      <c r="K145" s="1" t="s">
        <v>260</v>
      </c>
      <c r="L145" s="1"/>
      <c r="M145" s="1">
        <v>70035.7</v>
      </c>
    </row>
    <row r="146" spans="1:13" x14ac:dyDescent="0.25">
      <c r="A146" s="1">
        <v>90</v>
      </c>
      <c r="B146" s="1" t="s">
        <v>373</v>
      </c>
      <c r="C146" s="1" t="s">
        <v>251</v>
      </c>
      <c r="D146" s="1">
        <v>300</v>
      </c>
      <c r="E146" s="1" t="s">
        <v>379</v>
      </c>
      <c r="F146" s="1"/>
      <c r="G146" s="1" t="b">
        <v>1</v>
      </c>
      <c r="H146" s="1" t="s">
        <v>253</v>
      </c>
      <c r="I146" s="1">
        <v>4</v>
      </c>
      <c r="J146" s="1" t="s">
        <v>257</v>
      </c>
      <c r="K146" s="1" t="s">
        <v>270</v>
      </c>
      <c r="L146" s="1"/>
      <c r="M146" s="1">
        <v>39000</v>
      </c>
    </row>
    <row r="147" spans="1:13" x14ac:dyDescent="0.25">
      <c r="A147" s="1">
        <v>91</v>
      </c>
      <c r="B147" s="1" t="s">
        <v>57</v>
      </c>
      <c r="C147" s="1" t="s">
        <v>251</v>
      </c>
      <c r="D147" s="1">
        <v>312</v>
      </c>
      <c r="E147" s="1" t="s">
        <v>29</v>
      </c>
      <c r="F147" s="1"/>
      <c r="G147" s="1" t="b">
        <v>1</v>
      </c>
      <c r="H147" s="1" t="s">
        <v>253</v>
      </c>
      <c r="I147" s="1">
        <v>10</v>
      </c>
      <c r="J147" s="1" t="s">
        <v>257</v>
      </c>
      <c r="K147" s="1" t="s">
        <v>270</v>
      </c>
      <c r="L147" s="1"/>
      <c r="M147" s="1">
        <v>312088</v>
      </c>
    </row>
    <row r="148" spans="1:13" x14ac:dyDescent="0.25">
      <c r="A148" s="1">
        <v>91</v>
      </c>
      <c r="B148" s="1" t="s">
        <v>57</v>
      </c>
      <c r="C148" s="1" t="s">
        <v>251</v>
      </c>
      <c r="D148" s="1">
        <v>305</v>
      </c>
      <c r="E148" s="1" t="s">
        <v>0</v>
      </c>
      <c r="F148" s="1"/>
      <c r="G148" s="1" t="b">
        <v>1</v>
      </c>
      <c r="H148" s="1" t="s">
        <v>253</v>
      </c>
      <c r="I148" s="1">
        <v>3</v>
      </c>
      <c r="J148" s="1" t="s">
        <v>254</v>
      </c>
      <c r="K148" s="1" t="s">
        <v>260</v>
      </c>
      <c r="L148" s="1"/>
      <c r="M148" s="1">
        <v>437500</v>
      </c>
    </row>
    <row r="149" spans="1:13" x14ac:dyDescent="0.25">
      <c r="A149" s="1">
        <v>91</v>
      </c>
      <c r="B149" s="1" t="s">
        <v>57</v>
      </c>
      <c r="C149" s="1" t="s">
        <v>251</v>
      </c>
      <c r="D149" s="1">
        <v>306</v>
      </c>
      <c r="E149" s="1" t="s">
        <v>34</v>
      </c>
      <c r="F149" s="1"/>
      <c r="G149" s="1" t="b">
        <v>1</v>
      </c>
      <c r="H149" s="1" t="s">
        <v>253</v>
      </c>
      <c r="I149" s="1">
        <v>4</v>
      </c>
      <c r="J149" s="1" t="s">
        <v>254</v>
      </c>
      <c r="K149" s="1" t="s">
        <v>260</v>
      </c>
      <c r="L149" s="1"/>
      <c r="M149" s="1">
        <v>350000</v>
      </c>
    </row>
    <row r="150" spans="1:13" x14ac:dyDescent="0.25">
      <c r="A150" s="1">
        <v>91</v>
      </c>
      <c r="B150" s="1" t="s">
        <v>57</v>
      </c>
      <c r="C150" s="1" t="s">
        <v>251</v>
      </c>
      <c r="D150" s="1">
        <v>311</v>
      </c>
      <c r="E150" s="1" t="s">
        <v>45</v>
      </c>
      <c r="F150" s="1"/>
      <c r="G150" s="1" t="b">
        <v>1</v>
      </c>
      <c r="H150" s="1" t="s">
        <v>253</v>
      </c>
      <c r="I150" s="1">
        <v>9</v>
      </c>
      <c r="J150" s="1" t="s">
        <v>257</v>
      </c>
      <c r="K150" s="1" t="s">
        <v>270</v>
      </c>
      <c r="L150" s="1"/>
      <c r="M150" s="1">
        <v>312500</v>
      </c>
    </row>
    <row r="151" spans="1:13" x14ac:dyDescent="0.25">
      <c r="A151" s="1">
        <v>91</v>
      </c>
      <c r="B151" s="1" t="s">
        <v>57</v>
      </c>
      <c r="C151" s="1" t="s">
        <v>251</v>
      </c>
      <c r="D151" s="1">
        <v>316</v>
      </c>
      <c r="E151" s="1" t="s">
        <v>42</v>
      </c>
      <c r="F151" s="1"/>
      <c r="G151" s="1" t="b">
        <v>1</v>
      </c>
      <c r="H151" s="1" t="s">
        <v>253</v>
      </c>
      <c r="I151" s="1">
        <v>12</v>
      </c>
      <c r="J151" s="1" t="s">
        <v>257</v>
      </c>
      <c r="K151" s="1" t="s">
        <v>269</v>
      </c>
      <c r="L151" s="1"/>
      <c r="M151" s="1">
        <v>312500</v>
      </c>
    </row>
    <row r="152" spans="1:13" x14ac:dyDescent="0.25">
      <c r="A152" s="1">
        <v>91</v>
      </c>
      <c r="B152" s="1" t="s">
        <v>57</v>
      </c>
      <c r="C152" s="1" t="s">
        <v>251</v>
      </c>
      <c r="D152" s="1">
        <v>309</v>
      </c>
      <c r="E152" s="1" t="s">
        <v>27</v>
      </c>
      <c r="F152" s="1"/>
      <c r="G152" s="1" t="b">
        <v>1</v>
      </c>
      <c r="H152" s="1" t="s">
        <v>253</v>
      </c>
      <c r="I152" s="1">
        <v>7</v>
      </c>
      <c r="J152" s="1" t="s">
        <v>257</v>
      </c>
      <c r="K152" s="1" t="s">
        <v>270</v>
      </c>
      <c r="L152" s="1"/>
      <c r="M152" s="1">
        <v>375000</v>
      </c>
    </row>
    <row r="153" spans="1:13" x14ac:dyDescent="0.25">
      <c r="A153" s="1">
        <v>91</v>
      </c>
      <c r="B153" s="1" t="s">
        <v>57</v>
      </c>
      <c r="C153" s="1" t="s">
        <v>251</v>
      </c>
      <c r="D153" s="1">
        <v>304</v>
      </c>
      <c r="E153" s="1" t="s">
        <v>20</v>
      </c>
      <c r="F153" s="1"/>
      <c r="G153" s="1" t="b">
        <v>1</v>
      </c>
      <c r="H153" s="1" t="s">
        <v>253</v>
      </c>
      <c r="I153" s="1">
        <v>2</v>
      </c>
      <c r="J153" s="1" t="s">
        <v>254</v>
      </c>
      <c r="K153" s="1" t="s">
        <v>260</v>
      </c>
      <c r="L153" s="1"/>
      <c r="M153" s="1">
        <v>437500</v>
      </c>
    </row>
    <row r="154" spans="1:13" x14ac:dyDescent="0.25">
      <c r="A154" s="1">
        <v>91</v>
      </c>
      <c r="B154" s="1" t="s">
        <v>57</v>
      </c>
      <c r="C154" s="1" t="s">
        <v>251</v>
      </c>
      <c r="D154" s="1">
        <v>307</v>
      </c>
      <c r="E154" s="1" t="s">
        <v>380</v>
      </c>
      <c r="F154" s="1"/>
      <c r="G154" s="1" t="b">
        <v>1</v>
      </c>
      <c r="H154" s="1" t="s">
        <v>253</v>
      </c>
      <c r="I154" s="1">
        <v>5</v>
      </c>
      <c r="J154" s="1" t="s">
        <v>254</v>
      </c>
      <c r="K154" s="1" t="s">
        <v>266</v>
      </c>
      <c r="L154" s="1"/>
      <c r="M154" s="1">
        <v>312489.8</v>
      </c>
    </row>
    <row r="155" spans="1:13" x14ac:dyDescent="0.25">
      <c r="A155" s="1">
        <v>91</v>
      </c>
      <c r="B155" s="1" t="s">
        <v>57</v>
      </c>
      <c r="C155" s="1" t="s">
        <v>251</v>
      </c>
      <c r="D155" s="1">
        <v>310</v>
      </c>
      <c r="E155" s="1" t="s">
        <v>50</v>
      </c>
      <c r="F155" s="1"/>
      <c r="G155" s="1" t="b">
        <v>1</v>
      </c>
      <c r="H155" s="1" t="s">
        <v>253</v>
      </c>
      <c r="I155" s="1">
        <v>8</v>
      </c>
      <c r="J155" s="1" t="s">
        <v>257</v>
      </c>
      <c r="K155" s="1" t="s">
        <v>270</v>
      </c>
      <c r="L155" s="1"/>
      <c r="M155" s="1">
        <v>312500</v>
      </c>
    </row>
    <row r="156" spans="1:13" x14ac:dyDescent="0.25">
      <c r="A156" s="1">
        <v>91</v>
      </c>
      <c r="B156" s="1" t="s">
        <v>57</v>
      </c>
      <c r="C156" s="1" t="s">
        <v>251</v>
      </c>
      <c r="D156" s="1">
        <v>303</v>
      </c>
      <c r="E156" s="1" t="s">
        <v>39</v>
      </c>
      <c r="F156" s="1"/>
      <c r="G156" s="1" t="b">
        <v>1</v>
      </c>
      <c r="H156" s="1" t="s">
        <v>264</v>
      </c>
      <c r="I156" s="1">
        <v>1</v>
      </c>
      <c r="J156" s="1" t="s">
        <v>254</v>
      </c>
      <c r="K156" s="1" t="s">
        <v>260</v>
      </c>
      <c r="L156" s="1"/>
      <c r="M156" s="1">
        <v>625564.4</v>
      </c>
    </row>
    <row r="157" spans="1:13" x14ac:dyDescent="0.25">
      <c r="A157" s="1">
        <v>91</v>
      </c>
      <c r="B157" s="1" t="s">
        <v>57</v>
      </c>
      <c r="C157" s="1" t="s">
        <v>251</v>
      </c>
      <c r="D157" s="1">
        <v>308</v>
      </c>
      <c r="E157" s="1" t="s">
        <v>23</v>
      </c>
      <c r="F157" s="1"/>
      <c r="G157" s="1" t="b">
        <v>1</v>
      </c>
      <c r="H157" s="1" t="s">
        <v>253</v>
      </c>
      <c r="I157" s="1">
        <v>6</v>
      </c>
      <c r="J157" s="1" t="s">
        <v>254</v>
      </c>
      <c r="K157" s="1" t="s">
        <v>381</v>
      </c>
      <c r="L157" s="1"/>
      <c r="M157" s="1">
        <v>275000.09999999998</v>
      </c>
    </row>
    <row r="158" spans="1:13" x14ac:dyDescent="0.25">
      <c r="A158" s="1">
        <v>91</v>
      </c>
      <c r="B158" s="1" t="s">
        <v>57</v>
      </c>
      <c r="C158" s="1" t="s">
        <v>251</v>
      </c>
      <c r="D158" s="1">
        <v>313</v>
      </c>
      <c r="E158" s="1" t="s">
        <v>24</v>
      </c>
      <c r="F158" s="1"/>
      <c r="G158" s="1" t="b">
        <v>1</v>
      </c>
      <c r="H158" s="1" t="s">
        <v>253</v>
      </c>
      <c r="I158" s="1">
        <v>11</v>
      </c>
      <c r="J158" s="1" t="s">
        <v>257</v>
      </c>
      <c r="K158" s="1" t="s">
        <v>270</v>
      </c>
      <c r="L158" s="1"/>
      <c r="M158" s="1">
        <v>312357.7</v>
      </c>
    </row>
    <row r="159" spans="1:13" x14ac:dyDescent="0.25">
      <c r="A159" s="1">
        <v>92</v>
      </c>
      <c r="B159" s="1" t="s">
        <v>59</v>
      </c>
      <c r="C159" s="1" t="s">
        <v>251</v>
      </c>
      <c r="D159" s="1">
        <v>323</v>
      </c>
      <c r="E159" s="1" t="s">
        <v>47</v>
      </c>
      <c r="F159" s="1"/>
      <c r="G159" s="1" t="b">
        <v>1</v>
      </c>
      <c r="H159" s="1" t="s">
        <v>253</v>
      </c>
      <c r="I159" s="1">
        <v>9</v>
      </c>
      <c r="J159" s="1" t="s">
        <v>254</v>
      </c>
      <c r="K159" s="1" t="s">
        <v>255</v>
      </c>
      <c r="L159" s="1"/>
      <c r="M159" s="1">
        <v>529999.94999999995</v>
      </c>
    </row>
    <row r="160" spans="1:13" x14ac:dyDescent="0.25">
      <c r="A160" s="1">
        <v>92</v>
      </c>
      <c r="B160" s="1" t="s">
        <v>59</v>
      </c>
      <c r="C160" s="1" t="s">
        <v>251</v>
      </c>
      <c r="D160" s="1">
        <v>326</v>
      </c>
      <c r="E160" s="1" t="s">
        <v>44</v>
      </c>
      <c r="F160" s="1"/>
      <c r="G160" s="1" t="b">
        <v>1</v>
      </c>
      <c r="H160" s="1" t="s">
        <v>253</v>
      </c>
      <c r="I160" s="1">
        <v>12</v>
      </c>
      <c r="J160" s="1" t="s">
        <v>254</v>
      </c>
      <c r="K160" s="1" t="s">
        <v>302</v>
      </c>
      <c r="L160" s="1"/>
      <c r="M160" s="1">
        <v>180003.75</v>
      </c>
    </row>
    <row r="161" spans="1:13" x14ac:dyDescent="0.25">
      <c r="A161" s="1">
        <v>92</v>
      </c>
      <c r="B161" s="1" t="s">
        <v>59</v>
      </c>
      <c r="C161" s="1" t="s">
        <v>251</v>
      </c>
      <c r="D161" s="1">
        <v>321</v>
      </c>
      <c r="E161" s="1" t="s">
        <v>49</v>
      </c>
      <c r="F161" s="1"/>
      <c r="G161" s="1" t="b">
        <v>1</v>
      </c>
      <c r="H161" s="1" t="s">
        <v>253</v>
      </c>
      <c r="I161" s="1">
        <v>7</v>
      </c>
      <c r="J161" s="1" t="s">
        <v>257</v>
      </c>
      <c r="K161" s="1" t="s">
        <v>258</v>
      </c>
      <c r="L161" s="1"/>
      <c r="M161" s="1">
        <v>120048.65</v>
      </c>
    </row>
    <row r="162" spans="1:13" x14ac:dyDescent="0.25">
      <c r="A162" s="1">
        <v>92</v>
      </c>
      <c r="B162" s="1" t="s">
        <v>59</v>
      </c>
      <c r="C162" s="1" t="s">
        <v>251</v>
      </c>
      <c r="D162" s="1">
        <v>315</v>
      </c>
      <c r="E162" s="1" t="s">
        <v>344</v>
      </c>
      <c r="F162" s="1"/>
      <c r="G162" s="1" t="b">
        <v>1</v>
      </c>
      <c r="H162" s="1" t="s">
        <v>253</v>
      </c>
      <c r="I162" s="1">
        <v>2</v>
      </c>
      <c r="J162" s="1" t="s">
        <v>257</v>
      </c>
      <c r="K162" s="1" t="s">
        <v>270</v>
      </c>
      <c r="L162" s="1"/>
      <c r="M162" s="1">
        <v>700001</v>
      </c>
    </row>
    <row r="163" spans="1:13" x14ac:dyDescent="0.25">
      <c r="A163" s="1">
        <v>92</v>
      </c>
      <c r="B163" s="1" t="s">
        <v>59</v>
      </c>
      <c r="C163" s="1" t="s">
        <v>251</v>
      </c>
      <c r="D163" s="1">
        <v>314</v>
      </c>
      <c r="E163" s="1" t="s">
        <v>52</v>
      </c>
      <c r="F163" s="1"/>
      <c r="G163" s="1" t="b">
        <v>1</v>
      </c>
      <c r="H163" s="1" t="s">
        <v>264</v>
      </c>
      <c r="I163" s="1">
        <v>1</v>
      </c>
      <c r="J163" s="1" t="s">
        <v>257</v>
      </c>
      <c r="K163" s="1" t="s">
        <v>270</v>
      </c>
      <c r="L163" s="1"/>
      <c r="M163" s="1">
        <v>1056445.8</v>
      </c>
    </row>
    <row r="164" spans="1:13" x14ac:dyDescent="0.25">
      <c r="A164" s="1">
        <v>92</v>
      </c>
      <c r="B164" s="1" t="s">
        <v>59</v>
      </c>
      <c r="C164" s="1" t="s">
        <v>251</v>
      </c>
      <c r="D164" s="1">
        <v>324</v>
      </c>
      <c r="E164" s="1" t="s">
        <v>21</v>
      </c>
      <c r="F164" s="1"/>
      <c r="G164" s="1" t="b">
        <v>1</v>
      </c>
      <c r="H164" s="1" t="s">
        <v>253</v>
      </c>
      <c r="I164" s="1">
        <v>10</v>
      </c>
      <c r="J164" s="1" t="s">
        <v>254</v>
      </c>
      <c r="K164" s="1" t="s">
        <v>255</v>
      </c>
      <c r="L164" s="1"/>
      <c r="M164" s="1">
        <v>452000</v>
      </c>
    </row>
    <row r="165" spans="1:13" x14ac:dyDescent="0.25">
      <c r="A165" s="1">
        <v>92</v>
      </c>
      <c r="B165" s="1" t="s">
        <v>59</v>
      </c>
      <c r="C165" s="1" t="s">
        <v>251</v>
      </c>
      <c r="D165" s="1">
        <v>322</v>
      </c>
      <c r="E165" s="1" t="s">
        <v>382</v>
      </c>
      <c r="F165" s="1"/>
      <c r="G165" s="1" t="b">
        <v>1</v>
      </c>
      <c r="H165" s="1" t="s">
        <v>253</v>
      </c>
      <c r="I165" s="1">
        <v>8</v>
      </c>
      <c r="J165" s="1" t="s">
        <v>254</v>
      </c>
      <c r="K165" s="1" t="s">
        <v>255</v>
      </c>
      <c r="L165" s="1"/>
      <c r="M165" s="1">
        <v>334000</v>
      </c>
    </row>
    <row r="166" spans="1:13" x14ac:dyDescent="0.25">
      <c r="A166" s="1">
        <v>92</v>
      </c>
      <c r="B166" s="1" t="s">
        <v>59</v>
      </c>
      <c r="C166" s="1" t="s">
        <v>251</v>
      </c>
      <c r="D166" s="1">
        <v>317</v>
      </c>
      <c r="E166" s="1" t="s">
        <v>28</v>
      </c>
      <c r="F166" s="1"/>
      <c r="G166" s="1" t="b">
        <v>1</v>
      </c>
      <c r="H166" s="1" t="s">
        <v>253</v>
      </c>
      <c r="I166" s="1">
        <v>3</v>
      </c>
      <c r="J166" s="1" t="s">
        <v>257</v>
      </c>
      <c r="K166" s="1" t="s">
        <v>270</v>
      </c>
      <c r="L166" s="1"/>
      <c r="M166" s="1">
        <v>188300</v>
      </c>
    </row>
    <row r="167" spans="1:13" x14ac:dyDescent="0.25">
      <c r="A167" s="1">
        <v>92</v>
      </c>
      <c r="B167" s="1" t="s">
        <v>59</v>
      </c>
      <c r="C167" s="1" t="s">
        <v>251</v>
      </c>
      <c r="D167" s="1">
        <v>320</v>
      </c>
      <c r="E167" s="1" t="s">
        <v>41</v>
      </c>
      <c r="F167" s="1"/>
      <c r="G167" s="1" t="b">
        <v>1</v>
      </c>
      <c r="H167" s="1" t="s">
        <v>253</v>
      </c>
      <c r="I167" s="1">
        <v>6</v>
      </c>
      <c r="J167" s="1" t="s">
        <v>257</v>
      </c>
      <c r="K167" s="1" t="s">
        <v>270</v>
      </c>
      <c r="L167" s="1"/>
      <c r="M167" s="1">
        <v>239999.9</v>
      </c>
    </row>
    <row r="168" spans="1:13" x14ac:dyDescent="0.25">
      <c r="A168" s="1">
        <v>92</v>
      </c>
      <c r="B168" s="1" t="s">
        <v>59</v>
      </c>
      <c r="C168" s="1" t="s">
        <v>251</v>
      </c>
      <c r="D168" s="1">
        <v>325</v>
      </c>
      <c r="E168" s="1" t="s">
        <v>69</v>
      </c>
      <c r="F168" s="1"/>
      <c r="G168" s="1" t="b">
        <v>1</v>
      </c>
      <c r="H168" s="1" t="s">
        <v>253</v>
      </c>
      <c r="I168" s="1">
        <v>11</v>
      </c>
      <c r="J168" s="1" t="s">
        <v>254</v>
      </c>
      <c r="K168" s="1" t="s">
        <v>255</v>
      </c>
      <c r="L168" s="1"/>
      <c r="M168" s="1">
        <v>334200.09999999998</v>
      </c>
    </row>
    <row r="169" spans="1:13" x14ac:dyDescent="0.25">
      <c r="A169" s="1">
        <v>92</v>
      </c>
      <c r="B169" s="1" t="s">
        <v>59</v>
      </c>
      <c r="C169" s="1" t="s">
        <v>251</v>
      </c>
      <c r="D169" s="1">
        <v>318</v>
      </c>
      <c r="E169" s="1" t="s">
        <v>22</v>
      </c>
      <c r="F169" s="1"/>
      <c r="G169" s="1" t="b">
        <v>1</v>
      </c>
      <c r="H169" s="1" t="s">
        <v>253</v>
      </c>
      <c r="I169" s="1">
        <v>4</v>
      </c>
      <c r="J169" s="1" t="s">
        <v>257</v>
      </c>
      <c r="K169" s="1" t="s">
        <v>258</v>
      </c>
      <c r="L169" s="1"/>
      <c r="M169" s="1">
        <v>120000.8</v>
      </c>
    </row>
    <row r="170" spans="1:13" x14ac:dyDescent="0.25">
      <c r="A170" s="1">
        <v>92</v>
      </c>
      <c r="B170" s="1" t="s">
        <v>59</v>
      </c>
      <c r="C170" s="1" t="s">
        <v>251</v>
      </c>
      <c r="D170" s="1">
        <v>319</v>
      </c>
      <c r="E170" s="1" t="s">
        <v>48</v>
      </c>
      <c r="F170" s="1"/>
      <c r="G170" s="1" t="b">
        <v>1</v>
      </c>
      <c r="H170" s="1" t="s">
        <v>253</v>
      </c>
      <c r="I170" s="1">
        <v>5</v>
      </c>
      <c r="J170" s="1" t="s">
        <v>257</v>
      </c>
      <c r="K170" s="1" t="s">
        <v>258</v>
      </c>
      <c r="L170" s="1"/>
      <c r="M170" s="1">
        <v>120000.05</v>
      </c>
    </row>
    <row r="171" spans="1:13" x14ac:dyDescent="0.25">
      <c r="A171">
        <v>159</v>
      </c>
      <c r="B171" s="1" t="s">
        <v>3305</v>
      </c>
      <c r="D171">
        <v>551</v>
      </c>
      <c r="E171" t="s">
        <v>3320</v>
      </c>
      <c r="H171" t="s">
        <v>253</v>
      </c>
      <c r="J171" t="s">
        <v>257</v>
      </c>
      <c r="M171">
        <v>279720</v>
      </c>
    </row>
    <row r="172" spans="1:13" x14ac:dyDescent="0.25">
      <c r="A172">
        <v>159</v>
      </c>
      <c r="B172" s="1" t="s">
        <v>3305</v>
      </c>
      <c r="D172">
        <v>602</v>
      </c>
      <c r="E172" t="s">
        <v>3332</v>
      </c>
      <c r="H172" t="s">
        <v>253</v>
      </c>
      <c r="J172" t="s">
        <v>254</v>
      </c>
      <c r="M172">
        <v>250000.38</v>
      </c>
    </row>
    <row r="173" spans="1:13" x14ac:dyDescent="0.25">
      <c r="A173">
        <v>159</v>
      </c>
      <c r="B173" s="1" t="s">
        <v>3305</v>
      </c>
      <c r="D173">
        <v>604</v>
      </c>
      <c r="E173" t="s">
        <v>3350</v>
      </c>
      <c r="H173" t="s">
        <v>253</v>
      </c>
      <c r="J173" t="s">
        <v>257</v>
      </c>
      <c r="M173">
        <v>160940</v>
      </c>
    </row>
    <row r="174" spans="1:13" x14ac:dyDescent="0.25">
      <c r="A174">
        <v>159</v>
      </c>
      <c r="B174" s="1" t="s">
        <v>3305</v>
      </c>
      <c r="D174">
        <v>385</v>
      </c>
      <c r="E174" t="s">
        <v>3307</v>
      </c>
      <c r="H174" t="s">
        <v>264</v>
      </c>
      <c r="J174" t="s">
        <v>254</v>
      </c>
      <c r="M174">
        <v>392161</v>
      </c>
    </row>
    <row r="175" spans="1:13" x14ac:dyDescent="0.25">
      <c r="A175">
        <v>159</v>
      </c>
      <c r="B175" s="1" t="s">
        <v>3305</v>
      </c>
      <c r="D175">
        <v>603</v>
      </c>
      <c r="E175" t="s">
        <v>2791</v>
      </c>
      <c r="H175" t="s">
        <v>253</v>
      </c>
      <c r="J175" t="s">
        <v>257</v>
      </c>
      <c r="M175">
        <v>249726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12022-0674-40BF-B0DA-E0AF34CCE183}">
  <dimension ref="A1:G8"/>
  <sheetViews>
    <sheetView workbookViewId="0">
      <selection activeCell="D19" sqref="D19"/>
    </sheetView>
  </sheetViews>
  <sheetFormatPr defaultRowHeight="15" x14ac:dyDescent="0.25"/>
  <cols>
    <col min="1" max="1" width="18.85546875" customWidth="1"/>
    <col min="2" max="2" width="21.28515625" customWidth="1"/>
    <col min="3" max="3" width="20.5703125" bestFit="1" customWidth="1"/>
    <col min="4" max="4" width="27" customWidth="1"/>
    <col min="5" max="5" width="12" customWidth="1"/>
    <col min="6" max="6" width="11.28515625" customWidth="1"/>
    <col min="7" max="7" width="15.85546875" customWidth="1"/>
    <col min="8" max="8" width="22.5703125" customWidth="1"/>
  </cols>
  <sheetData>
    <row r="1" spans="1:7" x14ac:dyDescent="0.25">
      <c r="A1" t="s">
        <v>7496</v>
      </c>
    </row>
    <row r="2" spans="1:7" x14ac:dyDescent="0.25">
      <c r="A2">
        <f>COUNTIFS('MY-REPORT-MAIN'!I:I,"Submitted")</f>
        <v>18</v>
      </c>
    </row>
    <row r="4" spans="1:7" x14ac:dyDescent="0.25">
      <c r="A4" s="9" t="s">
        <v>7497</v>
      </c>
      <c r="B4" s="9" t="s">
        <v>7498</v>
      </c>
      <c r="C4" s="9" t="s">
        <v>7499</v>
      </c>
      <c r="D4" s="9" t="s">
        <v>7500</v>
      </c>
      <c r="E4" s="9" t="s">
        <v>7501</v>
      </c>
      <c r="F4" s="9" t="s">
        <v>7502</v>
      </c>
      <c r="G4" s="9" t="s">
        <v>7503</v>
      </c>
    </row>
    <row r="5" spans="1:7" x14ac:dyDescent="0.25">
      <c r="A5" s="40">
        <f>COUNTIFS('MY-REPORT-MAIN'!I:I,"Submitted",'MY-REPORT-MAIN'!AY:AY,"Italia (IT)")</f>
        <v>8</v>
      </c>
      <c r="B5" s="40">
        <f>COUNTIFS('MY-REPORT-MAIN'!I:I,"Submitted",'MY-REPORT-MAIN'!AY:AY,"Italia (IT)",'MY-REPORT-MAIN'!BB:BB,"Check")</f>
        <v>4</v>
      </c>
      <c r="C5" s="40">
        <f>COUNTIFS('MY-REPORT-MAIN'!I:I,"Submitted",'MY-REPORT-MAIN'!AY:AY,"Italia (IT)",'MY-REPORT-MAIN'!BF:BF,"Public")</f>
        <v>6</v>
      </c>
      <c r="D5" s="40">
        <f>COUNTIFS('MY-REPORT-MAIN'!I:I,"Submitted",'MY-REPORT-MAIN'!AY:AY,"Italia (IT)",'MY-REPORT-MAIN'!BF:BF,"private")</f>
        <v>2</v>
      </c>
      <c r="E5" s="49">
        <f>D5/C5</f>
        <v>0.33333333333333331</v>
      </c>
      <c r="F5" s="40">
        <f>COUNTIFS('MY-REPORT-MAIN'!I:I,"Submitted",'MY-REPORT-MAIN'!AY:AY,"Italia (IT)",'MY-REPORT-MAIN'!BF:BF,"private",'MY-REPORT-MAIN'!BB:BB,"Check")</f>
        <v>1</v>
      </c>
      <c r="G5" s="40">
        <f>COUNTIFS('MY-REPORT-MAIN'!I:I,"Submitted",'MY-REPORT-MAIN'!AY:AY,"Italia (IT)",'MY-REPORT-MAIN'!BF:BF,"Public",'MY-REPORT-MAIN'!BB:BB,"Check")</f>
        <v>3</v>
      </c>
    </row>
    <row r="7" spans="1:7" x14ac:dyDescent="0.25">
      <c r="A7" s="9" t="s">
        <v>7505</v>
      </c>
      <c r="B7" s="9" t="s">
        <v>7506</v>
      </c>
      <c r="C7" s="9" t="s">
        <v>7507</v>
      </c>
      <c r="D7" s="9" t="s">
        <v>7500</v>
      </c>
      <c r="E7" s="9" t="s">
        <v>7501</v>
      </c>
      <c r="F7" s="9" t="s">
        <v>7502</v>
      </c>
      <c r="G7" s="9" t="s">
        <v>7503</v>
      </c>
    </row>
    <row r="8" spans="1:7" x14ac:dyDescent="0.25">
      <c r="A8" s="40">
        <f>COUNTIFS('MY-REPORT-MAIN'!I:I,"Submitted",'MY-REPORT-MAIN'!AY:AY,"Slovenija (SI)")</f>
        <v>10</v>
      </c>
      <c r="B8" s="40">
        <f>COUNTIFS('MY-REPORT-MAIN'!I:I,"Submitted",'MY-REPORT-MAIN'!AY:AY,"Slovenija (SI)",'MY-REPORT-MAIN'!BE:BE,"Check")</f>
        <v>5</v>
      </c>
      <c r="C8" s="40">
        <f>COUNTIFS('MY-REPORT-MAIN'!I:I,"Submitted",'MY-REPORT-MAIN'!AY:AY,"Slovenija (SI)",'MY-REPORT-MAIN'!BF:BF,"Public")</f>
        <v>10</v>
      </c>
      <c r="D8" s="40">
        <f>COUNTIFS('MY-REPORT-MAIN'!I:I,"Submitted",'MY-REPORT-MAIN'!AY:AY,"Slovenija (SI)",'MY-REPORT-MAIN'!BF:BF,"private")</f>
        <v>0</v>
      </c>
      <c r="E8" s="49">
        <f>D8/C8</f>
        <v>0</v>
      </c>
      <c r="F8" s="40">
        <f>COUNTIFS('MY-REPORT-MAIN'!I:I,"Submitted",'MY-REPORT-MAIN'!AY:AY,"Slovenija (SI)",'MY-REPORT-MAIN'!BE:BE,"Check",'MY-REPORT-MAIN'!BF:BF,"Private")</f>
        <v>0</v>
      </c>
      <c r="G8" s="40">
        <f>COUNTIFS('MY-REPORT-MAIN'!I:I,"Submitted",'MY-REPORT-MAIN'!AY:AY,"Slovenija (SI)",'MY-REPORT-MAIN'!BE:BE,"Check",'MY-REPORT-MAIN'!BF:BF,"Public")</f>
        <v>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0"/>
  <dimension ref="A1:N78"/>
  <sheetViews>
    <sheetView topLeftCell="A45" workbookViewId="0">
      <selection activeCell="G63" sqref="G63"/>
    </sheetView>
  </sheetViews>
  <sheetFormatPr defaultRowHeight="15" x14ac:dyDescent="0.25"/>
  <cols>
    <col min="1" max="1" width="19.5703125" customWidth="1"/>
    <col min="2" max="2" width="32.42578125" bestFit="1" customWidth="1"/>
    <col min="3" max="3" width="15.7109375" bestFit="1" customWidth="1"/>
    <col min="4" max="4" width="34.28515625" bestFit="1" customWidth="1"/>
    <col min="14" max="14" width="18.7109375" customWidth="1"/>
  </cols>
  <sheetData>
    <row r="1" spans="1:14" ht="15.75" thickBot="1" x14ac:dyDescent="0.3"/>
    <row r="2" spans="1:14" x14ac:dyDescent="0.25">
      <c r="A2" s="127" t="s">
        <v>6402</v>
      </c>
      <c r="B2" s="128"/>
      <c r="C2" s="129"/>
      <c r="D2" s="63"/>
      <c r="E2" s="63"/>
    </row>
    <row r="3" spans="1:14" x14ac:dyDescent="0.25">
      <c r="A3" s="132"/>
      <c r="B3" s="167"/>
      <c r="C3" s="168"/>
      <c r="D3" s="63"/>
      <c r="E3" s="63"/>
      <c r="H3" t="s">
        <v>7473</v>
      </c>
    </row>
    <row r="4" spans="1:14" ht="30" x14ac:dyDescent="0.25">
      <c r="A4" s="169" t="s">
        <v>7468</v>
      </c>
      <c r="B4" s="133" t="s">
        <v>7466</v>
      </c>
      <c r="C4" s="170" t="s">
        <v>7467</v>
      </c>
      <c r="E4" s="19"/>
      <c r="G4" s="19"/>
      <c r="H4" s="40" t="s">
        <v>6407</v>
      </c>
      <c r="I4" s="40" t="s">
        <v>6408</v>
      </c>
      <c r="J4" s="40" t="s">
        <v>6409</v>
      </c>
      <c r="K4" s="40" t="s">
        <v>6410</v>
      </c>
      <c r="L4" s="40" t="s">
        <v>6411</v>
      </c>
      <c r="M4" s="40" t="s">
        <v>6412</v>
      </c>
      <c r="N4" s="117" t="s">
        <v>6455</v>
      </c>
    </row>
    <row r="5" spans="1:14" x14ac:dyDescent="0.25">
      <c r="A5" s="163">
        <v>0</v>
      </c>
      <c r="B5" s="133">
        <v>0</v>
      </c>
      <c r="C5" s="161">
        <v>0.02</v>
      </c>
      <c r="D5" s="63"/>
      <c r="E5" s="63"/>
      <c r="G5" s="19"/>
      <c r="H5" s="40">
        <v>0</v>
      </c>
      <c r="I5" s="40">
        <v>0</v>
      </c>
      <c r="J5" s="40">
        <v>0</v>
      </c>
      <c r="K5" s="40">
        <v>0</v>
      </c>
      <c r="L5" s="40">
        <v>0</v>
      </c>
      <c r="M5" s="40">
        <v>0</v>
      </c>
      <c r="N5" s="117">
        <v>0</v>
      </c>
    </row>
    <row r="6" spans="1:14" x14ac:dyDescent="0.25">
      <c r="A6" s="163">
        <v>2</v>
      </c>
      <c r="B6" s="134">
        <v>0.02</v>
      </c>
      <c r="C6" s="161">
        <v>0.1</v>
      </c>
      <c r="D6" s="63"/>
      <c r="E6" s="63"/>
      <c r="G6" s="19"/>
      <c r="H6" s="40">
        <v>2.1</v>
      </c>
      <c r="I6" s="40"/>
      <c r="J6" s="40">
        <v>4</v>
      </c>
      <c r="K6" s="40">
        <v>1</v>
      </c>
      <c r="L6" s="40">
        <v>2</v>
      </c>
      <c r="M6" s="40">
        <v>1</v>
      </c>
      <c r="N6" s="40"/>
    </row>
    <row r="7" spans="1:14" x14ac:dyDescent="0.25">
      <c r="A7" s="163">
        <v>4</v>
      </c>
      <c r="B7" s="134">
        <v>0.1</v>
      </c>
      <c r="C7" s="161">
        <v>1</v>
      </c>
      <c r="D7" s="63"/>
      <c r="E7" s="63"/>
      <c r="G7" s="19"/>
      <c r="H7" s="40">
        <v>4.2</v>
      </c>
      <c r="I7" s="40"/>
      <c r="J7" s="40"/>
      <c r="K7" s="2"/>
      <c r="L7" s="40">
        <v>4</v>
      </c>
      <c r="M7" s="40"/>
      <c r="N7" s="40"/>
    </row>
    <row r="8" spans="1:14" x14ac:dyDescent="0.25">
      <c r="A8" s="171"/>
      <c r="B8" s="9"/>
      <c r="C8" s="135"/>
      <c r="D8" s="63"/>
      <c r="E8" s="63"/>
      <c r="H8" s="133">
        <v>6.3</v>
      </c>
      <c r="I8" s="40"/>
      <c r="J8" s="40">
        <v>3.2</v>
      </c>
      <c r="K8" s="40"/>
      <c r="L8" s="2"/>
      <c r="M8" s="40"/>
      <c r="N8" s="40"/>
    </row>
    <row r="9" spans="1:14" x14ac:dyDescent="0.25">
      <c r="A9" s="171"/>
      <c r="B9" s="9"/>
      <c r="C9" s="135"/>
      <c r="D9" s="63"/>
      <c r="E9" s="63"/>
      <c r="H9" s="133">
        <v>8.4</v>
      </c>
      <c r="I9" s="133">
        <v>8.4</v>
      </c>
      <c r="J9" s="117">
        <v>6.4</v>
      </c>
      <c r="K9" s="40">
        <v>2</v>
      </c>
      <c r="L9" s="40">
        <v>6</v>
      </c>
      <c r="M9" s="40">
        <v>2</v>
      </c>
      <c r="N9" s="117">
        <v>3</v>
      </c>
    </row>
    <row r="10" spans="1:14" ht="30" x14ac:dyDescent="0.25">
      <c r="A10" s="162" t="s">
        <v>7469</v>
      </c>
      <c r="B10" s="133" t="s">
        <v>7466</v>
      </c>
      <c r="C10" s="170" t="s">
        <v>7467</v>
      </c>
      <c r="D10" s="63"/>
      <c r="E10" s="63"/>
      <c r="H10" s="19"/>
      <c r="I10" s="19"/>
      <c r="J10" s="19"/>
      <c r="K10" s="19"/>
      <c r="L10" s="19"/>
      <c r="M10" s="19"/>
    </row>
    <row r="11" spans="1:14" x14ac:dyDescent="0.25">
      <c r="A11" s="163">
        <v>0</v>
      </c>
      <c r="B11" s="133">
        <v>0</v>
      </c>
      <c r="C11" s="161">
        <v>0.02</v>
      </c>
    </row>
    <row r="12" spans="1:14" x14ac:dyDescent="0.25">
      <c r="A12" s="163">
        <v>2</v>
      </c>
      <c r="B12" s="134">
        <v>0.02</v>
      </c>
      <c r="C12" s="161">
        <v>0.1</v>
      </c>
    </row>
    <row r="13" spans="1:14" ht="15.75" thickBot="1" x14ac:dyDescent="0.3">
      <c r="A13" s="164">
        <v>4</v>
      </c>
      <c r="B13" s="165">
        <v>0.1</v>
      </c>
      <c r="C13" s="166">
        <v>1</v>
      </c>
    </row>
    <row r="14" spans="1:14" x14ac:dyDescent="0.25">
      <c r="A14" s="150"/>
      <c r="B14" s="151"/>
      <c r="C14" s="151"/>
      <c r="D14" s="19"/>
      <c r="E14" s="19"/>
    </row>
    <row r="15" spans="1:14" x14ac:dyDescent="0.25">
      <c r="A15" s="150"/>
      <c r="B15" s="151"/>
      <c r="C15" s="151"/>
      <c r="D15" s="19"/>
      <c r="E15" s="19"/>
    </row>
    <row r="16" spans="1:14" x14ac:dyDescent="0.25">
      <c r="A16" s="150"/>
      <c r="B16" s="151"/>
      <c r="C16" s="151"/>
    </row>
    <row r="18" spans="1:5" ht="15.75" thickBot="1" x14ac:dyDescent="0.3">
      <c r="A18" s="19"/>
      <c r="B18" s="19"/>
      <c r="D18" s="19"/>
      <c r="E18" s="19"/>
    </row>
    <row r="19" spans="1:5" x14ac:dyDescent="0.25">
      <c r="A19" s="172" t="s">
        <v>6403</v>
      </c>
      <c r="B19" s="173" t="s">
        <v>6404</v>
      </c>
      <c r="D19" s="19"/>
      <c r="E19" s="19"/>
    </row>
    <row r="20" spans="1:5" x14ac:dyDescent="0.25">
      <c r="A20" s="174">
        <v>0</v>
      </c>
      <c r="B20" s="175" t="s">
        <v>6405</v>
      </c>
      <c r="D20" s="19"/>
      <c r="E20" s="19"/>
    </row>
    <row r="21" spans="1:5" ht="15.75" thickBot="1" x14ac:dyDescent="0.3">
      <c r="A21" s="176">
        <v>1</v>
      </c>
      <c r="B21" s="177" t="s">
        <v>6413</v>
      </c>
      <c r="D21" s="19"/>
      <c r="E21" s="19"/>
    </row>
    <row r="23" spans="1:5" ht="15.75" thickBot="1" x14ac:dyDescent="0.3"/>
    <row r="24" spans="1:5" x14ac:dyDescent="0.25">
      <c r="A24" s="146" t="s">
        <v>6406</v>
      </c>
      <c r="B24" s="178" t="s">
        <v>7466</v>
      </c>
      <c r="C24" s="179" t="s">
        <v>7467</v>
      </c>
      <c r="D24" s="19"/>
      <c r="E24" s="19"/>
    </row>
    <row r="25" spans="1:5" x14ac:dyDescent="0.25">
      <c r="A25" s="131">
        <v>0</v>
      </c>
      <c r="B25" s="130">
        <v>0</v>
      </c>
      <c r="C25" s="180">
        <v>0.02</v>
      </c>
      <c r="D25" s="19"/>
      <c r="E25" s="19"/>
    </row>
    <row r="26" spans="1:5" x14ac:dyDescent="0.25">
      <c r="A26" s="131">
        <v>2</v>
      </c>
      <c r="B26" s="137">
        <v>0.02</v>
      </c>
      <c r="C26" s="138">
        <v>0.05</v>
      </c>
    </row>
    <row r="27" spans="1:5" ht="15.75" thickBot="1" x14ac:dyDescent="0.3">
      <c r="A27" s="139">
        <v>4</v>
      </c>
      <c r="B27" s="140">
        <v>0.05</v>
      </c>
      <c r="C27" s="141">
        <v>1</v>
      </c>
    </row>
    <row r="31" spans="1:5" x14ac:dyDescent="0.25">
      <c r="A31" s="40" t="s">
        <v>7470</v>
      </c>
      <c r="B31" s="133"/>
      <c r="C31" s="40"/>
    </row>
    <row r="32" spans="1:5" x14ac:dyDescent="0.25">
      <c r="A32" s="40">
        <v>0</v>
      </c>
      <c r="B32" s="142">
        <v>0</v>
      </c>
      <c r="C32" s="142">
        <v>2</v>
      </c>
    </row>
    <row r="33" spans="1:3" x14ac:dyDescent="0.25">
      <c r="A33" s="40">
        <v>2.1</v>
      </c>
      <c r="B33" s="142">
        <v>2</v>
      </c>
      <c r="C33" s="142">
        <v>4</v>
      </c>
    </row>
    <row r="34" spans="1:3" x14ac:dyDescent="0.25">
      <c r="A34" s="40">
        <v>4.2</v>
      </c>
      <c r="B34" s="142">
        <v>4</v>
      </c>
      <c r="C34" s="142">
        <v>6</v>
      </c>
    </row>
    <row r="35" spans="1:3" x14ac:dyDescent="0.25">
      <c r="A35" s="133">
        <v>6.3</v>
      </c>
      <c r="B35" s="142">
        <v>6</v>
      </c>
      <c r="C35" s="142">
        <v>8</v>
      </c>
    </row>
    <row r="36" spans="1:3" x14ac:dyDescent="0.25">
      <c r="A36" s="133">
        <v>8.4</v>
      </c>
      <c r="B36" s="142">
        <v>8</v>
      </c>
      <c r="C36" s="142">
        <v>1000</v>
      </c>
    </row>
    <row r="38" spans="1:3" ht="15.75" thickBot="1" x14ac:dyDescent="0.3"/>
    <row r="39" spans="1:3" x14ac:dyDescent="0.25">
      <c r="A39" s="181" t="s">
        <v>6408</v>
      </c>
      <c r="B39" s="182"/>
    </row>
    <row r="40" spans="1:3" x14ac:dyDescent="0.25">
      <c r="A40" s="143">
        <v>0</v>
      </c>
      <c r="B40" s="135" t="s">
        <v>6414</v>
      </c>
    </row>
    <row r="41" spans="1:3" ht="15.75" thickBot="1" x14ac:dyDescent="0.3">
      <c r="A41" s="152">
        <v>8.4</v>
      </c>
      <c r="B41" s="136" t="s">
        <v>6415</v>
      </c>
    </row>
    <row r="42" spans="1:3" ht="15.75" thickBot="1" x14ac:dyDescent="0.3"/>
    <row r="43" spans="1:3" x14ac:dyDescent="0.25">
      <c r="A43" s="181" t="s">
        <v>7471</v>
      </c>
      <c r="B43" s="178" t="s">
        <v>7466</v>
      </c>
      <c r="C43" s="179" t="s">
        <v>7467</v>
      </c>
    </row>
    <row r="44" spans="1:3" x14ac:dyDescent="0.25">
      <c r="A44" s="163">
        <v>0</v>
      </c>
      <c r="B44" s="40">
        <v>0</v>
      </c>
      <c r="C44" s="144">
        <v>3</v>
      </c>
    </row>
    <row r="45" spans="1:3" x14ac:dyDescent="0.25">
      <c r="A45" s="163">
        <v>3.2</v>
      </c>
      <c r="B45" s="40">
        <v>3</v>
      </c>
      <c r="C45" s="144">
        <v>6</v>
      </c>
    </row>
    <row r="46" spans="1:3" ht="15.75" thickBot="1" x14ac:dyDescent="0.3">
      <c r="A46" s="164">
        <v>6.4</v>
      </c>
      <c r="B46" s="183">
        <v>6</v>
      </c>
      <c r="C46" s="145">
        <v>100</v>
      </c>
    </row>
    <row r="48" spans="1:3" ht="15.75" thickBot="1" x14ac:dyDescent="0.3"/>
    <row r="49" spans="1:3" x14ac:dyDescent="0.25">
      <c r="A49" s="181" t="s">
        <v>7472</v>
      </c>
      <c r="B49" s="178" t="s">
        <v>7466</v>
      </c>
      <c r="C49" s="179" t="s">
        <v>7467</v>
      </c>
    </row>
    <row r="50" spans="1:3" x14ac:dyDescent="0.25">
      <c r="A50" s="163">
        <v>0</v>
      </c>
      <c r="B50" s="40">
        <v>0</v>
      </c>
      <c r="C50" s="144">
        <v>3</v>
      </c>
    </row>
    <row r="51" spans="1:3" x14ac:dyDescent="0.25">
      <c r="A51" s="163">
        <v>1</v>
      </c>
      <c r="B51" s="40">
        <v>3</v>
      </c>
      <c r="C51" s="144">
        <v>6</v>
      </c>
    </row>
    <row r="52" spans="1:3" ht="15.75" thickBot="1" x14ac:dyDescent="0.3">
      <c r="A52" s="164">
        <v>2</v>
      </c>
      <c r="B52" s="183">
        <v>6</v>
      </c>
      <c r="C52" s="145">
        <v>100</v>
      </c>
    </row>
    <row r="55" spans="1:3" ht="15.75" thickBot="1" x14ac:dyDescent="0.3"/>
    <row r="56" spans="1:3" x14ac:dyDescent="0.25">
      <c r="A56" s="220" t="s">
        <v>6411</v>
      </c>
      <c r="B56" s="221" t="s">
        <v>7466</v>
      </c>
      <c r="C56" s="219" t="s">
        <v>7467</v>
      </c>
    </row>
    <row r="57" spans="1:3" x14ac:dyDescent="0.25">
      <c r="A57" s="217">
        <v>0</v>
      </c>
      <c r="B57" s="222">
        <v>0</v>
      </c>
      <c r="C57" s="187">
        <v>10000</v>
      </c>
    </row>
    <row r="58" spans="1:3" x14ac:dyDescent="0.25">
      <c r="A58" s="217">
        <v>1</v>
      </c>
      <c r="B58" s="187">
        <v>10000</v>
      </c>
      <c r="C58" s="187">
        <v>20000</v>
      </c>
    </row>
    <row r="59" spans="1:3" ht="12" customHeight="1" x14ac:dyDescent="0.25">
      <c r="A59" s="217">
        <v>2</v>
      </c>
      <c r="B59" s="187">
        <v>20000</v>
      </c>
      <c r="C59" s="187">
        <v>30000</v>
      </c>
    </row>
    <row r="60" spans="1:3" ht="12" customHeight="1" x14ac:dyDescent="0.25">
      <c r="A60" s="217">
        <v>3</v>
      </c>
      <c r="B60" s="187">
        <v>30000</v>
      </c>
      <c r="C60" s="187">
        <v>40000</v>
      </c>
    </row>
    <row r="61" spans="1:3" ht="12" customHeight="1" x14ac:dyDescent="0.25">
      <c r="A61" s="217">
        <v>4</v>
      </c>
      <c r="B61" s="187">
        <v>40000</v>
      </c>
      <c r="C61" s="187">
        <v>50000</v>
      </c>
    </row>
    <row r="62" spans="1:3" x14ac:dyDescent="0.25">
      <c r="A62" s="217">
        <v>5</v>
      </c>
      <c r="B62" s="187">
        <v>50000</v>
      </c>
      <c r="C62" s="187">
        <v>60000</v>
      </c>
    </row>
    <row r="63" spans="1:3" x14ac:dyDescent="0.25">
      <c r="A63" s="217">
        <v>6</v>
      </c>
      <c r="B63" s="187">
        <v>60000</v>
      </c>
      <c r="C63" s="187">
        <v>70000</v>
      </c>
    </row>
    <row r="64" spans="1:3" x14ac:dyDescent="0.25">
      <c r="A64" s="217">
        <v>7</v>
      </c>
      <c r="B64" s="187">
        <v>70000</v>
      </c>
      <c r="C64" s="187">
        <v>80000</v>
      </c>
    </row>
    <row r="65" spans="1:3" ht="15.75" thickBot="1" x14ac:dyDescent="0.3">
      <c r="A65" s="218">
        <v>8</v>
      </c>
      <c r="B65" s="187">
        <v>80000</v>
      </c>
      <c r="C65" s="188">
        <v>10000000</v>
      </c>
    </row>
    <row r="67" spans="1:3" ht="15.75" thickBot="1" x14ac:dyDescent="0.3"/>
    <row r="68" spans="1:3" x14ac:dyDescent="0.25">
      <c r="A68" s="181" t="s">
        <v>6412</v>
      </c>
      <c r="B68" s="178" t="s">
        <v>7466</v>
      </c>
      <c r="C68" s="179" t="s">
        <v>7467</v>
      </c>
    </row>
    <row r="69" spans="1:3" x14ac:dyDescent="0.25">
      <c r="A69" s="143">
        <v>0</v>
      </c>
      <c r="B69" s="49">
        <v>-10</v>
      </c>
      <c r="C69" s="184">
        <v>0.1</v>
      </c>
    </row>
    <row r="70" spans="1:3" x14ac:dyDescent="0.25">
      <c r="A70" s="143">
        <v>1</v>
      </c>
      <c r="B70" s="77">
        <v>0.1</v>
      </c>
      <c r="C70" s="184">
        <v>0.2</v>
      </c>
    </row>
    <row r="71" spans="1:3" ht="15.75" thickBot="1" x14ac:dyDescent="0.3">
      <c r="A71" s="152">
        <v>2</v>
      </c>
      <c r="B71" s="185">
        <v>0.2</v>
      </c>
      <c r="C71" s="186">
        <v>1</v>
      </c>
    </row>
    <row r="73" spans="1:3" ht="15.75" thickBot="1" x14ac:dyDescent="0.3"/>
    <row r="74" spans="1:3" x14ac:dyDescent="0.25">
      <c r="A74" s="223" t="s">
        <v>6455</v>
      </c>
      <c r="B74" s="224" t="s">
        <v>4301</v>
      </c>
      <c r="C74" s="129"/>
    </row>
    <row r="75" spans="1:3" x14ac:dyDescent="0.25">
      <c r="A75" s="171">
        <v>0</v>
      </c>
      <c r="B75" s="9">
        <v>0</v>
      </c>
      <c r="C75" s="135">
        <v>1</v>
      </c>
    </row>
    <row r="76" spans="1:3" x14ac:dyDescent="0.25">
      <c r="A76" s="171">
        <v>1</v>
      </c>
      <c r="B76" s="9">
        <v>1</v>
      </c>
      <c r="C76" s="135">
        <v>2</v>
      </c>
    </row>
    <row r="77" spans="1:3" x14ac:dyDescent="0.25">
      <c r="A77" s="171">
        <v>2</v>
      </c>
      <c r="B77" s="9">
        <v>2</v>
      </c>
      <c r="C77" s="135">
        <v>3</v>
      </c>
    </row>
    <row r="78" spans="1:3" ht="15.75" thickBot="1" x14ac:dyDescent="0.3">
      <c r="A78" s="189">
        <v>3</v>
      </c>
      <c r="B78" s="225">
        <v>3</v>
      </c>
      <c r="C78" s="136">
        <v>1000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3">
    <pageSetUpPr fitToPage="1"/>
  </sheetPr>
  <dimension ref="A1:D21"/>
  <sheetViews>
    <sheetView workbookViewId="0">
      <selection activeCell="S277" sqref="S277"/>
    </sheetView>
  </sheetViews>
  <sheetFormatPr defaultRowHeight="15" x14ac:dyDescent="0.25"/>
  <cols>
    <col min="1" max="1" width="17.42578125" style="11" customWidth="1"/>
    <col min="2" max="2" width="51" style="12" customWidth="1"/>
    <col min="3" max="3" width="19.7109375" customWidth="1"/>
    <col min="4" max="4" width="23" customWidth="1"/>
  </cols>
  <sheetData>
    <row r="1" spans="1:4" ht="30" x14ac:dyDescent="0.25">
      <c r="A1" s="3" t="s">
        <v>85</v>
      </c>
      <c r="B1" s="4"/>
      <c r="C1" s="5" t="s">
        <v>86</v>
      </c>
      <c r="D1" s="5" t="s">
        <v>87</v>
      </c>
    </row>
    <row r="2" spans="1:4" ht="45" x14ac:dyDescent="0.25">
      <c r="A2" s="3">
        <v>1</v>
      </c>
      <c r="B2" s="4" t="s">
        <v>88</v>
      </c>
      <c r="C2" s="6">
        <f>SUMIFS(ListaERRORI[[#Headers],[#Data],[Amount]],ListaERRORI[[#Headers],[#Data],[Error category]],'Ambito d''errore'!A2)</f>
        <v>107036.62</v>
      </c>
      <c r="D2" s="7">
        <f>C2/$C$15</f>
        <v>0.67472321543500779</v>
      </c>
    </row>
    <row r="3" spans="1:4" ht="45" x14ac:dyDescent="0.25">
      <c r="A3" s="3">
        <v>2</v>
      </c>
      <c r="B3" s="4" t="s">
        <v>89</v>
      </c>
      <c r="C3" s="6">
        <f>SUMIFS(ListaERRORI[[#Headers],[#Data],[Amount]],ListaERRORI[[#Headers],[#Data],[Error category]],'Ambito d''errore'!A3)</f>
        <v>0</v>
      </c>
      <c r="D3" s="7">
        <f t="shared" ref="D3:D14" si="0">C3/$C$15</f>
        <v>0</v>
      </c>
    </row>
    <row r="4" spans="1:4" ht="45" x14ac:dyDescent="0.25">
      <c r="A4" s="3">
        <v>3</v>
      </c>
      <c r="B4" s="4" t="s">
        <v>90</v>
      </c>
      <c r="C4" s="6">
        <f>SUMIFS(ListaERRORI[[#Headers],[#Data],[Amount]],ListaERRORI[[#Headers],[#Data],[Error category]],'Ambito d''errore'!A4)</f>
        <v>20268.71</v>
      </c>
      <c r="D4" s="7">
        <f t="shared" si="0"/>
        <v>0.12776719952404791</v>
      </c>
    </row>
    <row r="5" spans="1:4" ht="45" x14ac:dyDescent="0.25">
      <c r="A5" s="3">
        <v>4</v>
      </c>
      <c r="B5" s="4" t="s">
        <v>91</v>
      </c>
      <c r="C5" s="6">
        <f>SUMIFS(ListaERRORI[[#Headers],[#Data],[Amount]],ListaERRORI[[#Headers],[#Data],[Error category]],'Ambito d''errore'!A5)</f>
        <v>0</v>
      </c>
      <c r="D5" s="7">
        <f t="shared" si="0"/>
        <v>0</v>
      </c>
    </row>
    <row r="6" spans="1:4" ht="45" x14ac:dyDescent="0.25">
      <c r="A6" s="3">
        <v>5</v>
      </c>
      <c r="B6" s="4" t="s">
        <v>92</v>
      </c>
      <c r="C6" s="6">
        <f>SUMIFS(ListaERRORI[[#Headers],[#Data],[Amount]],ListaERRORI[[#Headers],[#Data],[Error category]],'Ambito d''errore'!A6)</f>
        <v>0</v>
      </c>
      <c r="D6" s="7">
        <f t="shared" si="0"/>
        <v>0</v>
      </c>
    </row>
    <row r="7" spans="1:4" ht="45" x14ac:dyDescent="0.25">
      <c r="A7" s="3">
        <v>6</v>
      </c>
      <c r="B7" s="4" t="s">
        <v>93</v>
      </c>
      <c r="C7" s="6">
        <f>SUMIFS(ListaERRORI[[#Headers],[#Data],[Amount]],ListaERRORI[[#Headers],[#Data],[Error category]],'Ambito d''errore'!A7)</f>
        <v>0</v>
      </c>
      <c r="D7" s="7">
        <f t="shared" si="0"/>
        <v>0</v>
      </c>
    </row>
    <row r="8" spans="1:4" ht="45" x14ac:dyDescent="0.25">
      <c r="A8" s="3">
        <v>7</v>
      </c>
      <c r="B8" s="4" t="s">
        <v>94</v>
      </c>
      <c r="C8" s="6">
        <f>SUMIFS(ListaERRORI[[#Headers],[#Data],[Amount]],ListaERRORI[[#Headers],[#Data],[Error category]],'Ambito d''errore'!A8)</f>
        <v>0</v>
      </c>
      <c r="D8" s="7">
        <f t="shared" si="0"/>
        <v>0</v>
      </c>
    </row>
    <row r="9" spans="1:4" ht="45" x14ac:dyDescent="0.25">
      <c r="A9" s="3">
        <v>8</v>
      </c>
      <c r="B9" s="4" t="s">
        <v>95</v>
      </c>
      <c r="C9" s="6">
        <f>SUMIFS(ListaERRORI[[#Headers],[#Data],[Amount]],ListaERRORI[[#Headers],[#Data],[Error category]],'Ambito d''errore'!A9)</f>
        <v>0</v>
      </c>
      <c r="D9" s="7">
        <f t="shared" si="0"/>
        <v>0</v>
      </c>
    </row>
    <row r="10" spans="1:4" ht="45" x14ac:dyDescent="0.25">
      <c r="A10" s="3">
        <v>9</v>
      </c>
      <c r="B10" s="4" t="s">
        <v>96</v>
      </c>
      <c r="C10" s="6">
        <f>SUMIFS(ListaERRORI[[#Headers],[#Data],[Amount]],ListaERRORI[[#Headers],[#Data],[Error category]],'Ambito d''errore'!A10)</f>
        <v>288.38</v>
      </c>
      <c r="D10" s="76">
        <f t="shared" si="0"/>
        <v>1.8178515060280076E-3</v>
      </c>
    </row>
    <row r="11" spans="1:4" ht="45" x14ac:dyDescent="0.25">
      <c r="A11" s="3">
        <v>10</v>
      </c>
      <c r="B11" s="4" t="s">
        <v>97</v>
      </c>
      <c r="C11" s="6">
        <f>SUMIFS(ListaERRORI[[#Headers],[#Data],[Amount]],ListaERRORI[[#Headers],[#Data],[Error category]],'Ambito d''errore'!A11)</f>
        <v>0</v>
      </c>
      <c r="D11" s="7">
        <f t="shared" si="0"/>
        <v>0</v>
      </c>
    </row>
    <row r="12" spans="1:4" ht="60" x14ac:dyDescent="0.25">
      <c r="A12" s="3">
        <v>11</v>
      </c>
      <c r="B12" s="4" t="s">
        <v>98</v>
      </c>
      <c r="C12" s="6">
        <f>SUMIFS(ListaERRORI[[#Headers],[#Data],[Amount]],ListaERRORI[[#Headers],[#Data],[Error category]],'Ambito d''errore'!A12)</f>
        <v>0</v>
      </c>
      <c r="D12" s="7">
        <f t="shared" si="0"/>
        <v>0</v>
      </c>
    </row>
    <row r="13" spans="1:4" ht="60" x14ac:dyDescent="0.25">
      <c r="A13" s="3">
        <v>12</v>
      </c>
      <c r="B13" s="4" t="s">
        <v>99</v>
      </c>
      <c r="C13" s="6">
        <f>SUMIFS(ListaERRORI[[#Headers],[#Data],[Amount]],ListaERRORI[[#Headers],[#Data],[Error category]],'Ambito d''errore'!A13)</f>
        <v>0</v>
      </c>
      <c r="D13" s="7">
        <f t="shared" si="0"/>
        <v>0</v>
      </c>
    </row>
    <row r="14" spans="1:4" x14ac:dyDescent="0.25">
      <c r="A14" s="3" t="s">
        <v>214</v>
      </c>
      <c r="B14" s="4"/>
      <c r="C14" s="6">
        <f>SUMIFS(ListaERRORI[[#Headers],[#Data],[Amount]],ListaERRORI[[#Headers],[#Data],[Error category]],'Ambito d''errore'!A14)</f>
        <v>31044.11</v>
      </c>
      <c r="D14" s="7">
        <f t="shared" si="0"/>
        <v>0.1956917335349162</v>
      </c>
    </row>
    <row r="15" spans="1:4" x14ac:dyDescent="0.25">
      <c r="B15" s="4" t="s">
        <v>100</v>
      </c>
      <c r="C15" s="8">
        <f>SUM(C2:C14)</f>
        <v>158637.82</v>
      </c>
      <c r="D15" s="9"/>
    </row>
    <row r="17" spans="1:3" x14ac:dyDescent="0.25">
      <c r="A17" s="75" t="s">
        <v>4310</v>
      </c>
      <c r="B17" s="75" t="s">
        <v>4306</v>
      </c>
      <c r="C17" s="8">
        <f>ListOFErrors!C105</f>
        <v>72573.990000000005</v>
      </c>
    </row>
    <row r="18" spans="1:3" x14ac:dyDescent="0.25">
      <c r="A18" s="3"/>
      <c r="B18" s="4" t="s">
        <v>4311</v>
      </c>
      <c r="C18" s="8">
        <f>C15+C17</f>
        <v>231211.81</v>
      </c>
    </row>
    <row r="19" spans="1:3" x14ac:dyDescent="0.25">
      <c r="C19" s="10"/>
    </row>
    <row r="21" spans="1:3" x14ac:dyDescent="0.25">
      <c r="C21" s="10"/>
    </row>
  </sheetData>
  <pageMargins left="0.7" right="0.7" top="0.75" bottom="0.75" header="0.3" footer="0.3"/>
  <pageSetup paperSize="9" scale="7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1"/>
  <dimension ref="A1:W2071"/>
  <sheetViews>
    <sheetView topLeftCell="I1" workbookViewId="0">
      <selection activeCell="U7" sqref="U7"/>
    </sheetView>
  </sheetViews>
  <sheetFormatPr defaultRowHeight="15" outlineLevelCol="1" x14ac:dyDescent="0.25"/>
  <cols>
    <col min="1" max="1" width="18.7109375" bestFit="1" customWidth="1"/>
    <col min="2" max="2" width="15.85546875" customWidth="1"/>
    <col min="3" max="3" width="8.7109375" customWidth="1"/>
    <col min="4" max="4" width="8.42578125" customWidth="1"/>
    <col min="5" max="5" width="13.42578125" bestFit="1" customWidth="1"/>
    <col min="6" max="6" width="16.28515625" customWidth="1" outlineLevel="1"/>
    <col min="7" max="7" width="26.5703125" customWidth="1" outlineLevel="1"/>
    <col min="8" max="8" width="27.140625" customWidth="1" outlineLevel="1"/>
    <col min="9" max="9" width="33.5703125" customWidth="1" outlineLevel="1"/>
    <col min="10" max="10" width="21.7109375" bestFit="1" customWidth="1"/>
    <col min="11" max="11" width="8.42578125" customWidth="1" outlineLevel="1"/>
    <col min="12" max="12" width="9.85546875" customWidth="1" outlineLevel="1"/>
    <col min="13" max="13" width="9.28515625" customWidth="1" outlineLevel="1"/>
    <col min="14" max="14" width="3.7109375" customWidth="1" outlineLevel="1"/>
    <col min="15" max="15" width="14.28515625" customWidth="1" outlineLevel="1"/>
    <col min="16" max="16" width="27.28515625" customWidth="1" outlineLevel="1"/>
    <col min="17" max="17" width="18.28515625" customWidth="1"/>
    <col min="18" max="18" width="22.42578125" customWidth="1" outlineLevel="1"/>
    <col min="19" max="19" width="17.140625" customWidth="1"/>
    <col min="20" max="20" width="13.140625" bestFit="1" customWidth="1"/>
    <col min="21" max="21" width="22.7109375" style="79" bestFit="1" customWidth="1"/>
    <col min="22" max="22" width="19.140625" style="81" bestFit="1" customWidth="1"/>
    <col min="23" max="23" width="23.140625" style="2" bestFit="1" customWidth="1"/>
  </cols>
  <sheetData>
    <row r="1" spans="1:23" ht="45" x14ac:dyDescent="0.25">
      <c r="A1" t="s">
        <v>72</v>
      </c>
      <c r="B1" t="s">
        <v>73</v>
      </c>
      <c r="C1" t="s">
        <v>7489</v>
      </c>
      <c r="D1" t="s">
        <v>7490</v>
      </c>
      <c r="E1" t="s">
        <v>3</v>
      </c>
      <c r="F1" t="s">
        <v>217</v>
      </c>
      <c r="G1" t="s">
        <v>218</v>
      </c>
      <c r="H1" t="s">
        <v>219</v>
      </c>
      <c r="I1" t="s">
        <v>220</v>
      </c>
      <c r="J1" t="s">
        <v>221</v>
      </c>
      <c r="K1" t="s">
        <v>222</v>
      </c>
      <c r="L1" t="s">
        <v>223</v>
      </c>
      <c r="M1" t="s">
        <v>224</v>
      </c>
      <c r="N1" t="s">
        <v>225</v>
      </c>
      <c r="O1" t="s">
        <v>226</v>
      </c>
      <c r="P1" t="s">
        <v>227</v>
      </c>
      <c r="Q1" t="s">
        <v>4313</v>
      </c>
      <c r="R1" s="2" t="s">
        <v>7430</v>
      </c>
      <c r="S1" s="86" t="s">
        <v>7451</v>
      </c>
      <c r="T1" s="105" t="s">
        <v>4549</v>
      </c>
      <c r="U1" s="80" t="s">
        <v>7452</v>
      </c>
      <c r="V1" s="81" t="s">
        <v>7453</v>
      </c>
      <c r="W1" s="81" t="s">
        <v>7454</v>
      </c>
    </row>
    <row r="2" spans="1:23" x14ac:dyDescent="0.25">
      <c r="A2" s="1" t="s">
        <v>58</v>
      </c>
      <c r="B2" s="1" t="s">
        <v>40</v>
      </c>
      <c r="C2" s="2">
        <v>14</v>
      </c>
      <c r="D2" s="2">
        <v>101</v>
      </c>
      <c r="E2" s="1" t="s">
        <v>228</v>
      </c>
      <c r="G2">
        <v>144000</v>
      </c>
      <c r="H2">
        <v>0</v>
      </c>
      <c r="I2">
        <v>0</v>
      </c>
      <c r="J2">
        <v>34898.879999999997</v>
      </c>
      <c r="K2">
        <v>0</v>
      </c>
      <c r="L2">
        <v>34765.550000000003</v>
      </c>
      <c r="M2">
        <v>34898.879999999997</v>
      </c>
      <c r="N2">
        <v>24.24</v>
      </c>
      <c r="O2">
        <v>109101.12</v>
      </c>
      <c r="P2">
        <v>0</v>
      </c>
      <c r="Q2" t="str">
        <f>INDEX('Partner data'!A:DH,MATCH(C2,'Partner data'!DG:DG,0),83)</f>
        <v>Soggetto pubblico</v>
      </c>
      <c r="R2" t="str">
        <f>IF(E2="staff",IF(INDEX('Partner data'!A:DH,MATCH(C2,'Partner data'!DG:DG,0),112)="BL1 non presente","FALSO",INDEX('Partner data'!A:DH,MATCH(C2,'Partner data'!DG:DG,0),112)))</f>
        <v>COSTO REALE</v>
      </c>
      <c r="S2" t="b">
        <f t="shared" ref="S2:S65" si="0">IF(J2&lt;&gt;0,TRUE,FALSE)</f>
        <v>1</v>
      </c>
      <c r="T2" t="b">
        <f t="shared" ref="T2:T65" si="1">OR(Q2="Soggetto pubblico",Q2="Organismo di diritto pubblico ")</f>
        <v>1</v>
      </c>
      <c r="U2" s="154">
        <f>IFERROR(IF(R2&lt;&gt;FALSE,IF(S2=TRUE,INDEX('SummaryNOT_VALIDATED-BL'!$A$1:$F$16,MATCH(R2,'SummaryNOT_VALIDATED-BL'!$A$1:$A$16,0),6),0),IF(S2=TRUE,INDEX('SummaryNOT_VALIDATED-BL'!$A$1:$F$16,MATCH(E2,'SummaryNOT_VALIDATED-BL'!$A$1:$A$16,0),6),0)),0)</f>
        <v>9.1604133276901048E-2</v>
      </c>
      <c r="V2" s="81" cm="1">
        <f t="array" ref="V2">INDEX('Weight tables'!$A$24:$C$27,MATCH(1,(RendicontiTrasmessiBL__2[[#This Row],[Cut percentage on real costs + USC]]&gt;='Weight tables'!$B$24:$B$27)*(RendicontiTrasmessiBL__2[[#This Row],[Cut percentage on real costs + USC]]&lt;='Weight tables'!$C$24:$C$27),0),1)</f>
        <v>4</v>
      </c>
      <c r="W2" s="2">
        <f>RendicontiTrasmessiBL__2[[#This Row],[Weight real costs  + USC ]]</f>
        <v>4</v>
      </c>
    </row>
    <row r="3" spans="1:23" x14ac:dyDescent="0.25">
      <c r="A3" s="1" t="s">
        <v>58</v>
      </c>
      <c r="B3" s="1" t="s">
        <v>40</v>
      </c>
      <c r="C3" s="2">
        <v>14</v>
      </c>
      <c r="D3" s="2">
        <v>101</v>
      </c>
      <c r="E3" s="1" t="s">
        <v>229</v>
      </c>
      <c r="F3">
        <v>15</v>
      </c>
      <c r="G3">
        <v>21600</v>
      </c>
      <c r="H3">
        <v>0</v>
      </c>
      <c r="I3">
        <v>0</v>
      </c>
      <c r="J3">
        <v>5234.83</v>
      </c>
      <c r="K3">
        <v>0</v>
      </c>
      <c r="L3">
        <v>5214.83</v>
      </c>
      <c r="M3">
        <v>5234.83</v>
      </c>
      <c r="N3">
        <v>24.24</v>
      </c>
      <c r="O3">
        <v>16365.17</v>
      </c>
      <c r="P3">
        <v>0</v>
      </c>
      <c r="Q3" t="str">
        <f>INDEX('Partner data'!A:DH,MATCH(C3,'Partner data'!DG:DG,0),83)</f>
        <v>Soggetto pubblico</v>
      </c>
      <c r="R3" t="b">
        <f>IF(E3="staff",IF(INDEX('Partner data'!A:DH,MATCH(C3,'Partner data'!DG:DG,0),112)="BL1 non presente","FALSO",INDEX('Partner data'!A:DH,MATCH(C3,'Partner data'!DG:DG,0),112)))</f>
        <v>0</v>
      </c>
      <c r="S3" t="b">
        <f t="shared" si="0"/>
        <v>1</v>
      </c>
      <c r="T3" t="b">
        <f t="shared" si="1"/>
        <v>1</v>
      </c>
      <c r="U3" s="154">
        <f>IFERROR(IF(R3&lt;&gt;FALSE,IF(S3=TRUE,INDEX('SummaryNOT_VALIDATED-BL'!$A$1:$F$16,MATCH(R3,'SummaryNOT_VALIDATED-BL'!$A$1:$A$16,0),6),0),IF(S3=TRUE,INDEX('SummaryNOT_VALIDATED-BL'!$A$1:$F$16,MATCH(E3,'SummaryNOT_VALIDATED-BL'!$A$1:$A$16,0),6),0)),0)</f>
        <v>6.6460469504890221E-2</v>
      </c>
      <c r="V3" s="81" cm="1">
        <f t="array" ref="V3">INDEX('Weight tables'!$A$24:$C$27,MATCH(1,(RendicontiTrasmessiBL__2[[#This Row],[Cut percentage on real costs + USC]]&gt;='Weight tables'!$B$24:$B$27)*(RendicontiTrasmessiBL__2[[#This Row],[Cut percentage on real costs + USC]]&lt;='Weight tables'!$C$24:$C$27),0),1)</f>
        <v>4</v>
      </c>
      <c r="W3" s="2">
        <f>RendicontiTrasmessiBL__2[[#This Row],[Weight real costs  + USC ]]</f>
        <v>4</v>
      </c>
    </row>
    <row r="4" spans="1:23" x14ac:dyDescent="0.25">
      <c r="A4" s="1" t="s">
        <v>58</v>
      </c>
      <c r="B4" s="1" t="s">
        <v>40</v>
      </c>
      <c r="C4" s="2">
        <v>14</v>
      </c>
      <c r="D4" s="2">
        <v>101</v>
      </c>
      <c r="E4" s="1" t="s">
        <v>230</v>
      </c>
      <c r="F4">
        <v>4</v>
      </c>
      <c r="G4">
        <v>5760</v>
      </c>
      <c r="H4">
        <v>0</v>
      </c>
      <c r="I4">
        <v>0</v>
      </c>
      <c r="J4">
        <v>1395.95</v>
      </c>
      <c r="K4">
        <v>0</v>
      </c>
      <c r="L4">
        <v>1390.62</v>
      </c>
      <c r="M4">
        <v>1395.95</v>
      </c>
      <c r="N4">
        <v>24.24</v>
      </c>
      <c r="O4">
        <v>4364.05</v>
      </c>
      <c r="P4">
        <v>0</v>
      </c>
      <c r="Q4" t="str">
        <f>INDEX('Partner data'!A:DH,MATCH(C4,'Partner data'!DG:DG,0),83)</f>
        <v>Soggetto pubblico</v>
      </c>
      <c r="R4" t="b">
        <f>IF(E4="staff",IF(INDEX('Partner data'!A:DH,MATCH(C4,'Partner data'!DG:DG,0),112)="BL1 non presente","FALSO",INDEX('Partner data'!A:DH,MATCH(C4,'Partner data'!DG:DG,0),112)))</f>
        <v>0</v>
      </c>
      <c r="S4" t="b">
        <f t="shared" si="0"/>
        <v>1</v>
      </c>
      <c r="T4" t="b">
        <f t="shared" si="1"/>
        <v>1</v>
      </c>
      <c r="U4" s="154">
        <f>IFERROR(IF(R4&lt;&gt;FALSE,IF(S4=TRUE,INDEX('SummaryNOT_VALIDATED-BL'!$A$1:$F$16,MATCH(R4,'SummaryNOT_VALIDATED-BL'!$A$1:$A$16,0),6),0),IF(S4=TRUE,INDEX('SummaryNOT_VALIDATED-BL'!$A$1:$F$16,MATCH(E4,'SummaryNOT_VALIDATED-BL'!$A$1:$A$16,0),6),0)),0)</f>
        <v>6.3112622236488891E-2</v>
      </c>
      <c r="V4" s="81" cm="1">
        <f t="array" ref="V4">INDEX('Weight tables'!$A$24:$C$27,MATCH(1,(RendicontiTrasmessiBL__2[[#This Row],[Cut percentage on real costs + USC]]&gt;='Weight tables'!$B$24:$B$27)*(RendicontiTrasmessiBL__2[[#This Row],[Cut percentage on real costs + USC]]&lt;='Weight tables'!$C$24:$C$27),0),1)</f>
        <v>4</v>
      </c>
      <c r="W4" s="2">
        <f>RendicontiTrasmessiBL__2[[#This Row],[Weight real costs  + USC ]]</f>
        <v>4</v>
      </c>
    </row>
    <row r="5" spans="1:23" x14ac:dyDescent="0.25">
      <c r="A5" s="1" t="s">
        <v>58</v>
      </c>
      <c r="B5" s="1" t="s">
        <v>40</v>
      </c>
      <c r="C5" s="2">
        <v>14</v>
      </c>
      <c r="D5" s="2">
        <v>101</v>
      </c>
      <c r="E5" s="1" t="s">
        <v>231</v>
      </c>
      <c r="G5">
        <v>26448</v>
      </c>
      <c r="H5">
        <v>0</v>
      </c>
      <c r="I5">
        <v>0</v>
      </c>
      <c r="J5">
        <v>1939.4</v>
      </c>
      <c r="K5">
        <v>0</v>
      </c>
      <c r="L5">
        <v>1939.4</v>
      </c>
      <c r="M5">
        <v>1939.4</v>
      </c>
      <c r="N5">
        <v>7.33</v>
      </c>
      <c r="O5">
        <v>24508.6</v>
      </c>
      <c r="P5">
        <v>0</v>
      </c>
      <c r="Q5" t="str">
        <f>INDEX('Partner data'!A:DH,MATCH(C5,'Partner data'!DG:DG,0),83)</f>
        <v>Soggetto pubblico</v>
      </c>
      <c r="R5" t="b">
        <f>IF(E5="staff",IF(INDEX('Partner data'!A:DH,MATCH(C5,'Partner data'!DG:DG,0),112)="BL1 non presente","FALSO",INDEX('Partner data'!A:DH,MATCH(C5,'Partner data'!DG:DG,0),112)))</f>
        <v>0</v>
      </c>
      <c r="S5" t="b">
        <f t="shared" si="0"/>
        <v>1</v>
      </c>
      <c r="T5" t="b">
        <f t="shared" si="1"/>
        <v>1</v>
      </c>
      <c r="U5" s="154">
        <f>IFERROR(IF(R5&lt;&gt;FALSE,IF(S5=TRUE,INDEX('SummaryNOT_VALIDATED-BL'!$A$1:$F$16,MATCH(R5,'SummaryNOT_VALIDATED-BL'!$A$1:$A$16,0),6),0),IF(S5=TRUE,INDEX('SummaryNOT_VALIDATED-BL'!$A$1:$F$16,MATCH(E5,'SummaryNOT_VALIDATED-BL'!$A$1:$A$16,0),6),0)),0)</f>
        <v>5.577594442215475E-2</v>
      </c>
      <c r="V5" s="81" cm="1">
        <f t="array" ref="V5">INDEX('Weight tables'!$A$24:$C$27,MATCH(1,(RendicontiTrasmessiBL__2[[#This Row],[Cut percentage on real costs + USC]]&gt;='Weight tables'!$B$24:$B$27)*(RendicontiTrasmessiBL__2[[#This Row],[Cut percentage on real costs + USC]]&lt;='Weight tables'!$C$24:$C$27),0),1)</f>
        <v>4</v>
      </c>
      <c r="W5" s="2">
        <f>RendicontiTrasmessiBL__2[[#This Row],[Weight real costs  + USC ]]</f>
        <v>4</v>
      </c>
    </row>
    <row r="6" spans="1:23" x14ac:dyDescent="0.25">
      <c r="A6" s="1" t="s">
        <v>58</v>
      </c>
      <c r="B6" s="1" t="s">
        <v>40</v>
      </c>
      <c r="C6" s="2">
        <v>14</v>
      </c>
      <c r="D6" s="2">
        <v>101</v>
      </c>
      <c r="E6" s="1" t="s">
        <v>232</v>
      </c>
      <c r="G6">
        <v>119000</v>
      </c>
      <c r="H6">
        <v>0</v>
      </c>
      <c r="I6">
        <v>0</v>
      </c>
      <c r="J6">
        <v>0</v>
      </c>
      <c r="K6">
        <v>0</v>
      </c>
      <c r="L6">
        <v>0</v>
      </c>
      <c r="M6">
        <v>0</v>
      </c>
      <c r="N6">
        <v>0</v>
      </c>
      <c r="O6">
        <v>119000</v>
      </c>
      <c r="P6">
        <v>0</v>
      </c>
      <c r="Q6" t="str">
        <f>INDEX('Partner data'!A:DH,MATCH(C6,'Partner data'!DG:DG,0),83)</f>
        <v>Soggetto pubblico</v>
      </c>
      <c r="R6" t="b">
        <f>IF(E6="staff",IF(INDEX('Partner data'!A:DH,MATCH(C6,'Partner data'!DG:DG,0),112)="BL1 non presente","FALSO",INDEX('Partner data'!A:DH,MATCH(C6,'Partner data'!DG:DG,0),112)))</f>
        <v>0</v>
      </c>
      <c r="S6" t="b">
        <f t="shared" si="0"/>
        <v>0</v>
      </c>
      <c r="T6" t="b">
        <f t="shared" si="1"/>
        <v>1</v>
      </c>
      <c r="U6" s="154">
        <f>IFERROR(IF(R6&lt;&gt;FALSE,IF(S6=TRUE,INDEX('SummaryNOT_VALIDATED-BL'!$A$1:$F$16,MATCH(R6,'SummaryNOT_VALIDATED-BL'!$A$1:$A$16,0),6),0),IF(S6=TRUE,INDEX('SummaryNOT_VALIDATED-BL'!$A$1:$F$16,MATCH(E6,'SummaryNOT_VALIDATED-BL'!$A$1:$A$16,0),6),0)),0)</f>
        <v>0</v>
      </c>
      <c r="V6" s="81" cm="1">
        <f t="array" ref="V6">INDEX('Weight tables'!$A$24:$C$27,MATCH(1,(RendicontiTrasmessiBL__2[[#This Row],[Cut percentage on real costs + USC]]&gt;='Weight tables'!$B$24:$B$27)*(RendicontiTrasmessiBL__2[[#This Row],[Cut percentage on real costs + USC]]&lt;='Weight tables'!$C$24:$C$27),0),1)</f>
        <v>0</v>
      </c>
      <c r="W6" s="2">
        <f>RendicontiTrasmessiBL__2[[#This Row],[Weight real costs  + USC ]]</f>
        <v>0</v>
      </c>
    </row>
    <row r="7" spans="1:23" x14ac:dyDescent="0.25">
      <c r="A7" s="1" t="s">
        <v>58</v>
      </c>
      <c r="B7" s="1" t="s">
        <v>40</v>
      </c>
      <c r="C7" s="2">
        <v>14</v>
      </c>
      <c r="D7" s="2">
        <v>101</v>
      </c>
      <c r="E7" s="1" t="s">
        <v>233</v>
      </c>
      <c r="G7">
        <v>0</v>
      </c>
      <c r="H7">
        <v>0</v>
      </c>
      <c r="I7">
        <v>0</v>
      </c>
      <c r="J7">
        <v>0</v>
      </c>
      <c r="K7">
        <v>0</v>
      </c>
      <c r="L7">
        <v>0</v>
      </c>
      <c r="M7">
        <v>0</v>
      </c>
      <c r="N7">
        <v>0</v>
      </c>
      <c r="O7">
        <v>0</v>
      </c>
      <c r="P7">
        <v>0</v>
      </c>
      <c r="Q7" t="str">
        <f>INDEX('Partner data'!A:DH,MATCH(C7,'Partner data'!DG:DG,0),83)</f>
        <v>Soggetto pubblico</v>
      </c>
      <c r="R7" t="b">
        <f>IF(E7="staff",IF(INDEX('Partner data'!A:DH,MATCH(C7,'Partner data'!DG:DG,0),112)="BL1 non presente","FALSO",INDEX('Partner data'!A:DH,MATCH(C7,'Partner data'!DG:DG,0),112)))</f>
        <v>0</v>
      </c>
      <c r="S7" t="b">
        <f t="shared" si="0"/>
        <v>0</v>
      </c>
      <c r="T7" t="b">
        <f t="shared" si="1"/>
        <v>1</v>
      </c>
      <c r="U7" s="154">
        <f>IFERROR(IF(R7&lt;&gt;FALSE,IF(S7=TRUE,INDEX('SummaryNOT_VALIDATED-BL'!$A$1:$F$16,MATCH(R7,'SummaryNOT_VALIDATED-BL'!$A$1:$A$16,0),6),0),IF(S7=TRUE,INDEX('SummaryNOT_VALIDATED-BL'!$A$1:$F$16,MATCH(E7,'SummaryNOT_VALIDATED-BL'!$A$1:$A$16,0),6),0)),0)</f>
        <v>0</v>
      </c>
      <c r="V7" s="81" cm="1">
        <f t="array" ref="V7">INDEX('Weight tables'!$A$24:$C$27,MATCH(1,(RendicontiTrasmessiBL__2[[#This Row],[Cut percentage on real costs + USC]]&gt;='Weight tables'!$B$24:$B$27)*(RendicontiTrasmessiBL__2[[#This Row],[Cut percentage on real costs + USC]]&lt;='Weight tables'!$C$24:$C$27),0),1)</f>
        <v>0</v>
      </c>
      <c r="W7" s="2">
        <f>RendicontiTrasmessiBL__2[[#This Row],[Weight real costs  + USC ]]</f>
        <v>0</v>
      </c>
    </row>
    <row r="8" spans="1:23" x14ac:dyDescent="0.25">
      <c r="A8" s="1" t="s">
        <v>58</v>
      </c>
      <c r="B8" s="1" t="s">
        <v>40</v>
      </c>
      <c r="C8" s="2">
        <v>14</v>
      </c>
      <c r="D8" s="2">
        <v>101</v>
      </c>
      <c r="E8" s="1" t="s">
        <v>234</v>
      </c>
      <c r="G8">
        <v>0</v>
      </c>
      <c r="H8">
        <v>0</v>
      </c>
      <c r="I8">
        <v>0</v>
      </c>
      <c r="J8">
        <v>0</v>
      </c>
      <c r="K8">
        <v>0</v>
      </c>
      <c r="L8">
        <v>0</v>
      </c>
      <c r="M8">
        <v>0</v>
      </c>
      <c r="N8">
        <v>0</v>
      </c>
      <c r="O8">
        <v>0</v>
      </c>
      <c r="P8">
        <v>0</v>
      </c>
      <c r="Q8" t="str">
        <f>INDEX('Partner data'!A:DH,MATCH(C8,'Partner data'!DG:DG,0),83)</f>
        <v>Soggetto pubblico</v>
      </c>
      <c r="R8" t="b">
        <f>IF(E8="staff",IF(INDEX('Partner data'!A:DH,MATCH(C8,'Partner data'!DG:DG,0),112)="BL1 non presente","FALSO",INDEX('Partner data'!A:DH,MATCH(C8,'Partner data'!DG:DG,0),112)))</f>
        <v>0</v>
      </c>
      <c r="S8" t="b">
        <f t="shared" si="0"/>
        <v>0</v>
      </c>
      <c r="T8" t="b">
        <f t="shared" si="1"/>
        <v>1</v>
      </c>
      <c r="U8" s="154">
        <f>IFERROR(IF(R8&lt;&gt;FALSE,IF(S8=TRUE,INDEX('SummaryNOT_VALIDATED-BL'!$A$1:$F$16,MATCH(R8,'SummaryNOT_VALIDATED-BL'!$A$1:$A$16,0),6),0),IF(S8=TRUE,INDEX('SummaryNOT_VALIDATED-BL'!$A$1:$F$16,MATCH(E8,'SummaryNOT_VALIDATED-BL'!$A$1:$A$16,0),6),0)),0)</f>
        <v>0</v>
      </c>
      <c r="V8" s="81" cm="1">
        <f t="array" ref="V8">INDEX('Weight tables'!$A$24:$C$27,MATCH(1,(RendicontiTrasmessiBL__2[[#This Row],[Cut percentage on real costs + USC]]&gt;='Weight tables'!$B$24:$B$27)*(RendicontiTrasmessiBL__2[[#This Row],[Cut percentage on real costs + USC]]&lt;='Weight tables'!$C$24:$C$27),0),1)</f>
        <v>0</v>
      </c>
      <c r="W8" s="2">
        <f>RendicontiTrasmessiBL__2[[#This Row],[Weight real costs  + USC ]]</f>
        <v>0</v>
      </c>
    </row>
    <row r="9" spans="1:23" x14ac:dyDescent="0.25">
      <c r="A9" s="1" t="s">
        <v>58</v>
      </c>
      <c r="B9" s="1" t="s">
        <v>40</v>
      </c>
      <c r="C9" s="2">
        <v>14</v>
      </c>
      <c r="D9" s="2">
        <v>101</v>
      </c>
      <c r="E9" s="1" t="s">
        <v>236</v>
      </c>
      <c r="G9">
        <v>0</v>
      </c>
      <c r="H9">
        <v>0</v>
      </c>
      <c r="I9">
        <v>0</v>
      </c>
      <c r="J9">
        <v>0</v>
      </c>
      <c r="K9">
        <v>0</v>
      </c>
      <c r="L9">
        <v>0</v>
      </c>
      <c r="M9">
        <v>0</v>
      </c>
      <c r="N9">
        <v>0</v>
      </c>
      <c r="O9">
        <v>0</v>
      </c>
      <c r="P9">
        <v>0</v>
      </c>
      <c r="Q9" t="str">
        <f>INDEX('Partner data'!A:DH,MATCH(C9,'Partner data'!DG:DG,0),83)</f>
        <v>Soggetto pubblico</v>
      </c>
      <c r="R9" t="b">
        <f>IF(E9="staff",IF(INDEX('Partner data'!A:DH,MATCH(C9,'Partner data'!DG:DG,0),112)="BL1 non presente","FALSO",INDEX('Partner data'!A:DH,MATCH(C9,'Partner data'!DG:DG,0),112)))</f>
        <v>0</v>
      </c>
      <c r="S9" t="b">
        <f t="shared" si="0"/>
        <v>0</v>
      </c>
      <c r="T9" t="b">
        <f t="shared" si="1"/>
        <v>1</v>
      </c>
      <c r="U9" s="154">
        <f>IFERROR(IF(R9&lt;&gt;FALSE,IF(S9=TRUE,INDEX('SummaryNOT_VALIDATED-BL'!$A$1:$F$16,MATCH(R9,'SummaryNOT_VALIDATED-BL'!$A$1:$A$16,0),6),0),IF(S9=TRUE,INDEX('SummaryNOT_VALIDATED-BL'!$A$1:$F$16,MATCH(E9,'SummaryNOT_VALIDATED-BL'!$A$1:$A$16,0),6),0)),0)</f>
        <v>0</v>
      </c>
      <c r="V9" s="81" cm="1">
        <f t="array" ref="V9">INDEX('Weight tables'!$A$24:$C$27,MATCH(1,(RendicontiTrasmessiBL__2[[#This Row],[Cut percentage on real costs + USC]]&gt;='Weight tables'!$B$24:$B$27)*(RendicontiTrasmessiBL__2[[#This Row],[Cut percentage on real costs + USC]]&lt;='Weight tables'!$C$24:$C$27),0),1)</f>
        <v>0</v>
      </c>
      <c r="W9" s="2">
        <f>RendicontiTrasmessiBL__2[[#This Row],[Weight real costs  + USC ]]</f>
        <v>0</v>
      </c>
    </row>
    <row r="10" spans="1:23" x14ac:dyDescent="0.25">
      <c r="A10" s="1" t="s">
        <v>58</v>
      </c>
      <c r="B10" s="1" t="s">
        <v>40</v>
      </c>
      <c r="C10" s="2">
        <v>14</v>
      </c>
      <c r="D10" s="2">
        <v>101</v>
      </c>
      <c r="E10" s="1" t="s">
        <v>237</v>
      </c>
      <c r="G10">
        <v>0</v>
      </c>
      <c r="H10">
        <v>0</v>
      </c>
      <c r="I10">
        <v>0</v>
      </c>
      <c r="J10">
        <v>0</v>
      </c>
      <c r="K10">
        <v>0</v>
      </c>
      <c r="L10">
        <v>0</v>
      </c>
      <c r="M10">
        <v>0</v>
      </c>
      <c r="N10">
        <v>0</v>
      </c>
      <c r="O10">
        <v>0</v>
      </c>
      <c r="P10">
        <v>0</v>
      </c>
      <c r="Q10" t="str">
        <f>INDEX('Partner data'!A:DH,MATCH(C10,'Partner data'!DG:DG,0),83)</f>
        <v>Soggetto pubblico</v>
      </c>
      <c r="R10" t="b">
        <f>IF(E10="staff",IF(INDEX('Partner data'!A:DH,MATCH(C10,'Partner data'!DG:DG,0),112)="BL1 non presente","FALSO",INDEX('Partner data'!A:DH,MATCH(C10,'Partner data'!DG:DG,0),112)))</f>
        <v>0</v>
      </c>
      <c r="S10" t="b">
        <f t="shared" si="0"/>
        <v>0</v>
      </c>
      <c r="T10" t="b">
        <f t="shared" si="1"/>
        <v>1</v>
      </c>
      <c r="U10" s="154">
        <f>IFERROR(IF(R10&lt;&gt;FALSE,IF(S10=TRUE,INDEX('SummaryNOT_VALIDATED-BL'!$A$1:$F$16,MATCH(R10,'SummaryNOT_VALIDATED-BL'!$A$1:$A$16,0),6),0),IF(S10=TRUE,INDEX('SummaryNOT_VALIDATED-BL'!$A$1:$F$16,MATCH(E10,'SummaryNOT_VALIDATED-BL'!$A$1:$A$16,0),6),0)),0)</f>
        <v>0</v>
      </c>
      <c r="V10" s="81" cm="1">
        <f t="array" ref="V10">INDEX('Weight tables'!$A$24:$C$27,MATCH(1,(RendicontiTrasmessiBL__2[[#This Row],[Cut percentage on real costs + USC]]&gt;='Weight tables'!$B$24:$B$27)*(RendicontiTrasmessiBL__2[[#This Row],[Cut percentage on real costs + USC]]&lt;='Weight tables'!$C$24:$C$27),0),1)</f>
        <v>0</v>
      </c>
      <c r="W10" s="2">
        <f>RendicontiTrasmessiBL__2[[#This Row],[Weight real costs  + USC ]]</f>
        <v>0</v>
      </c>
    </row>
    <row r="11" spans="1:23" x14ac:dyDescent="0.25">
      <c r="A11" s="1" t="s">
        <v>58</v>
      </c>
      <c r="B11" s="1" t="s">
        <v>40</v>
      </c>
      <c r="C11" s="2">
        <v>14</v>
      </c>
      <c r="D11" s="2">
        <v>297</v>
      </c>
      <c r="E11" s="1" t="s">
        <v>228</v>
      </c>
      <c r="G11">
        <v>144000</v>
      </c>
      <c r="H11">
        <v>34898.879999999997</v>
      </c>
      <c r="I11">
        <v>0</v>
      </c>
      <c r="J11">
        <v>16217.13</v>
      </c>
      <c r="K11">
        <v>0</v>
      </c>
      <c r="L11">
        <v>16217.13</v>
      </c>
      <c r="M11">
        <v>51116.01</v>
      </c>
      <c r="N11">
        <v>35.5</v>
      </c>
      <c r="O11">
        <v>92883.99</v>
      </c>
      <c r="P11">
        <v>34765.550000000003</v>
      </c>
      <c r="Q11" t="str">
        <f>INDEX('Partner data'!A:DH,MATCH(C11,'Partner data'!DG:DG,0),83)</f>
        <v>Soggetto pubblico</v>
      </c>
      <c r="R11" t="str">
        <f>IF(E11="staff",IF(INDEX('Partner data'!A:DH,MATCH(C11,'Partner data'!DG:DG,0),112)="BL1 non presente","FALSO",INDEX('Partner data'!A:DH,MATCH(C11,'Partner data'!DG:DG,0),112)))</f>
        <v>COSTO REALE</v>
      </c>
      <c r="S11" t="b">
        <f t="shared" si="0"/>
        <v>1</v>
      </c>
      <c r="T11" t="b">
        <f t="shared" si="1"/>
        <v>1</v>
      </c>
      <c r="U11" s="154">
        <f>IFERROR(IF(R11&lt;&gt;FALSE,IF(S11=TRUE,INDEX('SummaryNOT_VALIDATED-BL'!$A$1:$F$16,MATCH(R11,'SummaryNOT_VALIDATED-BL'!$A$1:$A$16,0),6),0),IF(S11=TRUE,INDEX('SummaryNOT_VALIDATED-BL'!$A$1:$F$16,MATCH(E11,'SummaryNOT_VALIDATED-BL'!$A$1:$A$16,0),6),0)),0)</f>
        <v>9.1604133276901048E-2</v>
      </c>
      <c r="V11" s="81" cm="1">
        <f t="array" ref="V11">INDEX('Weight tables'!$A$24:$C$27,MATCH(1,(RendicontiTrasmessiBL__2[[#This Row],[Cut percentage on real costs + USC]]&gt;='Weight tables'!$B$24:$B$27)*(RendicontiTrasmessiBL__2[[#This Row],[Cut percentage on real costs + USC]]&lt;='Weight tables'!$C$24:$C$27),0),1)</f>
        <v>4</v>
      </c>
      <c r="W11" s="2">
        <f>RendicontiTrasmessiBL__2[[#This Row],[Weight real costs  + USC ]]</f>
        <v>4</v>
      </c>
    </row>
    <row r="12" spans="1:23" x14ac:dyDescent="0.25">
      <c r="A12" s="1" t="s">
        <v>58</v>
      </c>
      <c r="B12" s="1" t="s">
        <v>40</v>
      </c>
      <c r="C12" s="2">
        <v>14</v>
      </c>
      <c r="D12" s="2">
        <v>297</v>
      </c>
      <c r="E12" s="1" t="s">
        <v>229</v>
      </c>
      <c r="F12">
        <v>15</v>
      </c>
      <c r="G12">
        <v>21600</v>
      </c>
      <c r="H12">
        <v>5234.83</v>
      </c>
      <c r="I12">
        <v>0</v>
      </c>
      <c r="J12">
        <v>2432.56</v>
      </c>
      <c r="K12">
        <v>0</v>
      </c>
      <c r="L12">
        <v>2432.56</v>
      </c>
      <c r="M12">
        <v>7667.39</v>
      </c>
      <c r="N12">
        <v>35.5</v>
      </c>
      <c r="O12">
        <v>13932.61</v>
      </c>
      <c r="P12">
        <v>5214.83</v>
      </c>
      <c r="Q12" t="str">
        <f>INDEX('Partner data'!A:DH,MATCH(C12,'Partner data'!DG:DG,0),83)</f>
        <v>Soggetto pubblico</v>
      </c>
      <c r="R12" t="b">
        <f>IF(E12="staff",IF(INDEX('Partner data'!A:DH,MATCH(C12,'Partner data'!DG:DG,0),112)="BL1 non presente","FALSO",INDEX('Partner data'!A:DH,MATCH(C12,'Partner data'!DG:DG,0),112)))</f>
        <v>0</v>
      </c>
      <c r="S12" t="b">
        <f t="shared" si="0"/>
        <v>1</v>
      </c>
      <c r="T12" t="b">
        <f t="shared" si="1"/>
        <v>1</v>
      </c>
      <c r="U12" s="154">
        <f>IFERROR(IF(R12&lt;&gt;FALSE,IF(S12=TRUE,INDEX('SummaryNOT_VALIDATED-BL'!$A$1:$F$16,MATCH(R12,'SummaryNOT_VALIDATED-BL'!$A$1:$A$16,0),6),0),IF(S12=TRUE,INDEX('SummaryNOT_VALIDATED-BL'!$A$1:$F$16,MATCH(E12,'SummaryNOT_VALIDATED-BL'!$A$1:$A$16,0),6),0)),0)</f>
        <v>6.6460469504890221E-2</v>
      </c>
      <c r="V12" s="81" cm="1">
        <f t="array" ref="V12">INDEX('Weight tables'!$A$24:$C$27,MATCH(1,(RendicontiTrasmessiBL__2[[#This Row],[Cut percentage on real costs + USC]]&gt;='Weight tables'!$B$24:$B$27)*(RendicontiTrasmessiBL__2[[#This Row],[Cut percentage on real costs + USC]]&lt;='Weight tables'!$C$24:$C$27),0),1)</f>
        <v>4</v>
      </c>
      <c r="W12" s="2">
        <f>RendicontiTrasmessiBL__2[[#This Row],[Weight real costs  + USC ]]</f>
        <v>4</v>
      </c>
    </row>
    <row r="13" spans="1:23" x14ac:dyDescent="0.25">
      <c r="A13" s="1" t="s">
        <v>58</v>
      </c>
      <c r="B13" s="1" t="s">
        <v>40</v>
      </c>
      <c r="C13" s="2">
        <v>14</v>
      </c>
      <c r="D13" s="2">
        <v>297</v>
      </c>
      <c r="E13" s="1" t="s">
        <v>230</v>
      </c>
      <c r="F13">
        <v>4</v>
      </c>
      <c r="G13">
        <v>5760</v>
      </c>
      <c r="H13">
        <v>1395.95</v>
      </c>
      <c r="I13">
        <v>0</v>
      </c>
      <c r="J13">
        <v>648.67999999999995</v>
      </c>
      <c r="K13">
        <v>0</v>
      </c>
      <c r="L13">
        <v>648.67999999999995</v>
      </c>
      <c r="M13">
        <v>2044.63</v>
      </c>
      <c r="N13">
        <v>35.5</v>
      </c>
      <c r="O13">
        <v>3715.37</v>
      </c>
      <c r="P13">
        <v>1390.62</v>
      </c>
      <c r="Q13" t="str">
        <f>INDEX('Partner data'!A:DH,MATCH(C13,'Partner data'!DG:DG,0),83)</f>
        <v>Soggetto pubblico</v>
      </c>
      <c r="R13" t="b">
        <f>IF(E13="staff",IF(INDEX('Partner data'!A:DH,MATCH(C13,'Partner data'!DG:DG,0),112)="BL1 non presente","FALSO",INDEX('Partner data'!A:DH,MATCH(C13,'Partner data'!DG:DG,0),112)))</f>
        <v>0</v>
      </c>
      <c r="S13" t="b">
        <f t="shared" si="0"/>
        <v>1</v>
      </c>
      <c r="T13" t="s">
        <v>7413</v>
      </c>
      <c r="U13" s="154">
        <f>IFERROR(IF(R13&lt;&gt;FALSE,IF(S13=TRUE,INDEX('SummaryNOT_VALIDATED-BL'!$A$1:$F$16,MATCH(R13,'SummaryNOT_VALIDATED-BL'!$A$1:$A$16,0),6),0),IF(S13=TRUE,INDEX('SummaryNOT_VALIDATED-BL'!$A$1:$F$16,MATCH(E13,'SummaryNOT_VALIDATED-BL'!$A$1:$A$16,0),6),0)),0)</f>
        <v>6.3112622236488891E-2</v>
      </c>
      <c r="V13" s="81" cm="1">
        <f t="array" ref="V13">INDEX('Weight tables'!$A$24:$C$27,MATCH(1,(RendicontiTrasmessiBL__2[[#This Row],[Cut percentage on real costs + USC]]&gt;='Weight tables'!$B$24:$B$27)*(RendicontiTrasmessiBL__2[[#This Row],[Cut percentage on real costs + USC]]&lt;='Weight tables'!$C$24:$C$27),0),1)</f>
        <v>4</v>
      </c>
      <c r="W13" s="2">
        <f>RendicontiTrasmessiBL__2[[#This Row],[Weight real costs  + USC ]]</f>
        <v>4</v>
      </c>
    </row>
    <row r="14" spans="1:23" x14ac:dyDescent="0.25">
      <c r="A14" s="1" t="s">
        <v>58</v>
      </c>
      <c r="B14" s="1" t="s">
        <v>40</v>
      </c>
      <c r="C14" s="2">
        <v>14</v>
      </c>
      <c r="D14" s="2">
        <v>297</v>
      </c>
      <c r="E14" s="1" t="s">
        <v>231</v>
      </c>
      <c r="G14">
        <v>26448</v>
      </c>
      <c r="H14">
        <v>1939.4</v>
      </c>
      <c r="I14">
        <v>0</v>
      </c>
      <c r="J14">
        <v>0</v>
      </c>
      <c r="K14">
        <v>0</v>
      </c>
      <c r="L14">
        <v>0</v>
      </c>
      <c r="M14">
        <v>1939.4</v>
      </c>
      <c r="N14">
        <v>7.33</v>
      </c>
      <c r="O14">
        <v>24508.6</v>
      </c>
      <c r="P14">
        <v>1939.4</v>
      </c>
      <c r="Q14" t="str">
        <f>INDEX('Partner data'!A:DH,MATCH(C14,'Partner data'!DG:DG,0),83)</f>
        <v>Soggetto pubblico</v>
      </c>
      <c r="R14" t="b">
        <f>IF(E14="staff",IF(INDEX('Partner data'!A:DH,MATCH(C14,'Partner data'!DG:DG,0),112)="BL1 non presente","FALSO",INDEX('Partner data'!A:DH,MATCH(C14,'Partner data'!DG:DG,0),112)))</f>
        <v>0</v>
      </c>
      <c r="S14" t="b">
        <f t="shared" si="0"/>
        <v>0</v>
      </c>
      <c r="T14" t="b">
        <f t="shared" si="1"/>
        <v>1</v>
      </c>
      <c r="U14" s="154">
        <f>IFERROR(IF(R14&lt;&gt;FALSE,IF(S14=TRUE,INDEX('SummaryNOT_VALIDATED-BL'!$A$1:$F$16,MATCH(R14,'SummaryNOT_VALIDATED-BL'!$A$1:$A$16,0),6),0),IF(S14=TRUE,INDEX('SummaryNOT_VALIDATED-BL'!$A$1:$F$16,MATCH(E14,'SummaryNOT_VALIDATED-BL'!$A$1:$A$16,0),6),0)),0)</f>
        <v>0</v>
      </c>
      <c r="V14" s="81" cm="1">
        <f t="array" ref="V14">INDEX('Weight tables'!$A$24:$C$27,MATCH(1,(RendicontiTrasmessiBL__2[[#This Row],[Cut percentage on real costs + USC]]&gt;='Weight tables'!$B$24:$B$27)*(RendicontiTrasmessiBL__2[[#This Row],[Cut percentage on real costs + USC]]&lt;='Weight tables'!$C$24:$C$27),0),1)</f>
        <v>0</v>
      </c>
      <c r="W14" s="2">
        <f>RendicontiTrasmessiBL__2[[#This Row],[Weight real costs  + USC ]]</f>
        <v>0</v>
      </c>
    </row>
    <row r="15" spans="1:23" x14ac:dyDescent="0.25">
      <c r="A15" s="1" t="s">
        <v>58</v>
      </c>
      <c r="B15" s="1" t="s">
        <v>40</v>
      </c>
      <c r="C15" s="2">
        <v>14</v>
      </c>
      <c r="D15" s="2">
        <v>297</v>
      </c>
      <c r="E15" s="1" t="s">
        <v>232</v>
      </c>
      <c r="G15">
        <v>119000</v>
      </c>
      <c r="H15">
        <v>0</v>
      </c>
      <c r="I15">
        <v>0</v>
      </c>
      <c r="J15">
        <v>0</v>
      </c>
      <c r="K15">
        <v>0</v>
      </c>
      <c r="L15">
        <v>0</v>
      </c>
      <c r="M15">
        <v>0</v>
      </c>
      <c r="N15">
        <v>0</v>
      </c>
      <c r="O15">
        <v>119000</v>
      </c>
      <c r="P15">
        <v>0</v>
      </c>
      <c r="Q15" t="str">
        <f>INDEX('Partner data'!A:DH,MATCH(C15,'Partner data'!DG:DG,0),83)</f>
        <v>Soggetto pubblico</v>
      </c>
      <c r="R15" t="b">
        <f>IF(E15="staff",IF(INDEX('Partner data'!A:DH,MATCH(C15,'Partner data'!DG:DG,0),112)="BL1 non presente","FALSO",INDEX('Partner data'!A:DH,MATCH(C15,'Partner data'!DG:DG,0),112)))</f>
        <v>0</v>
      </c>
      <c r="S15" t="b">
        <f t="shared" si="0"/>
        <v>0</v>
      </c>
      <c r="T15" t="b">
        <f t="shared" si="1"/>
        <v>1</v>
      </c>
      <c r="U15" s="154">
        <f>IFERROR(IF(R15&lt;&gt;FALSE,IF(S15=TRUE,INDEX('SummaryNOT_VALIDATED-BL'!$A$1:$F$16,MATCH(R15,'SummaryNOT_VALIDATED-BL'!$A$1:$A$16,0),6),0),IF(S15=TRUE,INDEX('SummaryNOT_VALIDATED-BL'!$A$1:$F$16,MATCH(E15,'SummaryNOT_VALIDATED-BL'!$A$1:$A$16,0),6),0)),0)</f>
        <v>0</v>
      </c>
      <c r="V15" s="81" cm="1">
        <f t="array" ref="V15">INDEX('Weight tables'!$A$24:$C$27,MATCH(1,(RendicontiTrasmessiBL__2[[#This Row],[Cut percentage on real costs + USC]]&gt;='Weight tables'!$B$24:$B$27)*(RendicontiTrasmessiBL__2[[#This Row],[Cut percentage on real costs + USC]]&lt;='Weight tables'!$C$24:$C$27),0),1)</f>
        <v>0</v>
      </c>
      <c r="W15" s="2">
        <f>RendicontiTrasmessiBL__2[[#This Row],[Weight real costs  + USC ]]</f>
        <v>0</v>
      </c>
    </row>
    <row r="16" spans="1:23" x14ac:dyDescent="0.25">
      <c r="A16" s="1" t="s">
        <v>58</v>
      </c>
      <c r="B16" s="1" t="s">
        <v>40</v>
      </c>
      <c r="C16" s="2">
        <v>14</v>
      </c>
      <c r="D16" s="2">
        <v>297</v>
      </c>
      <c r="E16" s="1" t="s">
        <v>233</v>
      </c>
      <c r="G16">
        <v>0</v>
      </c>
      <c r="H16">
        <v>0</v>
      </c>
      <c r="I16">
        <v>0</v>
      </c>
      <c r="J16">
        <v>0</v>
      </c>
      <c r="K16">
        <v>0</v>
      </c>
      <c r="L16">
        <v>0</v>
      </c>
      <c r="M16">
        <v>0</v>
      </c>
      <c r="N16">
        <v>0</v>
      </c>
      <c r="O16">
        <v>0</v>
      </c>
      <c r="P16">
        <v>0</v>
      </c>
      <c r="Q16" t="str">
        <f>INDEX('Partner data'!A:DH,MATCH(C16,'Partner data'!DG:DG,0),83)</f>
        <v>Soggetto pubblico</v>
      </c>
      <c r="R16" t="b">
        <f>IF(E16="staff",IF(INDEX('Partner data'!A:DH,MATCH(C16,'Partner data'!DG:DG,0),112)="BL1 non presente","FALSO",INDEX('Partner data'!A:DH,MATCH(C16,'Partner data'!DG:DG,0),112)))</f>
        <v>0</v>
      </c>
      <c r="S16" t="b">
        <f t="shared" si="0"/>
        <v>0</v>
      </c>
      <c r="T16" t="b">
        <f t="shared" si="1"/>
        <v>1</v>
      </c>
      <c r="U16" s="154">
        <f>IFERROR(IF(R16&lt;&gt;FALSE,IF(S16=TRUE,INDEX('SummaryNOT_VALIDATED-BL'!$A$1:$F$16,MATCH(R16,'SummaryNOT_VALIDATED-BL'!$A$1:$A$16,0),6),0),IF(S16=TRUE,INDEX('SummaryNOT_VALIDATED-BL'!$A$1:$F$16,MATCH(E16,'SummaryNOT_VALIDATED-BL'!$A$1:$A$16,0),6),0)),0)</f>
        <v>0</v>
      </c>
      <c r="V16" s="81" cm="1">
        <f t="array" ref="V16">INDEX('Weight tables'!$A$24:$C$27,MATCH(1,(RendicontiTrasmessiBL__2[[#This Row],[Cut percentage on real costs + USC]]&gt;='Weight tables'!$B$24:$B$27)*(RendicontiTrasmessiBL__2[[#This Row],[Cut percentage on real costs + USC]]&lt;='Weight tables'!$C$24:$C$27),0),1)</f>
        <v>0</v>
      </c>
      <c r="W16" s="2">
        <f>RendicontiTrasmessiBL__2[[#This Row],[Weight real costs  + USC ]]</f>
        <v>0</v>
      </c>
    </row>
    <row r="17" spans="1:23" x14ac:dyDescent="0.25">
      <c r="A17" s="1" t="s">
        <v>58</v>
      </c>
      <c r="B17" s="1" t="s">
        <v>40</v>
      </c>
      <c r="C17" s="2">
        <v>14</v>
      </c>
      <c r="D17" s="2">
        <v>297</v>
      </c>
      <c r="E17" s="1" t="s">
        <v>234</v>
      </c>
      <c r="G17">
        <v>0</v>
      </c>
      <c r="H17">
        <v>0</v>
      </c>
      <c r="I17">
        <v>0</v>
      </c>
      <c r="J17">
        <v>0</v>
      </c>
      <c r="K17">
        <v>0</v>
      </c>
      <c r="L17">
        <v>0</v>
      </c>
      <c r="M17">
        <v>0</v>
      </c>
      <c r="N17">
        <v>0</v>
      </c>
      <c r="O17">
        <v>0</v>
      </c>
      <c r="P17">
        <v>0</v>
      </c>
      <c r="Q17" t="str">
        <f>INDEX('Partner data'!A:DH,MATCH(C17,'Partner data'!DG:DG,0),83)</f>
        <v>Soggetto pubblico</v>
      </c>
      <c r="R17" t="b">
        <f>IF(E17="staff",IF(INDEX('Partner data'!A:DH,MATCH(C17,'Partner data'!DG:DG,0),112)="BL1 non presente","FALSO",INDEX('Partner data'!A:DH,MATCH(C17,'Partner data'!DG:DG,0),112)))</f>
        <v>0</v>
      </c>
      <c r="S17" t="b">
        <f t="shared" si="0"/>
        <v>0</v>
      </c>
      <c r="T17" t="b">
        <f t="shared" si="1"/>
        <v>1</v>
      </c>
      <c r="U17" s="154">
        <f>IFERROR(IF(R17&lt;&gt;FALSE,IF(S17=TRUE,INDEX('SummaryNOT_VALIDATED-BL'!$A$1:$F$16,MATCH(R17,'SummaryNOT_VALIDATED-BL'!$A$1:$A$16,0),6),0),IF(S17=TRUE,INDEX('SummaryNOT_VALIDATED-BL'!$A$1:$F$16,MATCH(E17,'SummaryNOT_VALIDATED-BL'!$A$1:$A$16,0),6),0)),0)</f>
        <v>0</v>
      </c>
      <c r="V17" s="81" cm="1">
        <f t="array" ref="V17">INDEX('Weight tables'!$A$24:$C$27,MATCH(1,(RendicontiTrasmessiBL__2[[#This Row],[Cut percentage on real costs + USC]]&gt;='Weight tables'!$B$24:$B$27)*(RendicontiTrasmessiBL__2[[#This Row],[Cut percentage on real costs + USC]]&lt;='Weight tables'!$C$24:$C$27),0),1)</f>
        <v>0</v>
      </c>
      <c r="W17" s="2">
        <f>RendicontiTrasmessiBL__2[[#This Row],[Weight real costs  + USC ]]</f>
        <v>0</v>
      </c>
    </row>
    <row r="18" spans="1:23" x14ac:dyDescent="0.25">
      <c r="A18" s="1" t="s">
        <v>58</v>
      </c>
      <c r="B18" s="1" t="s">
        <v>40</v>
      </c>
      <c r="C18" s="2">
        <v>14</v>
      </c>
      <c r="D18" s="2">
        <v>297</v>
      </c>
      <c r="E18" s="1" t="s">
        <v>236</v>
      </c>
      <c r="G18">
        <v>0</v>
      </c>
      <c r="H18">
        <v>0</v>
      </c>
      <c r="I18">
        <v>0</v>
      </c>
      <c r="J18">
        <v>0</v>
      </c>
      <c r="K18">
        <v>0</v>
      </c>
      <c r="L18">
        <v>0</v>
      </c>
      <c r="M18">
        <v>0</v>
      </c>
      <c r="N18">
        <v>0</v>
      </c>
      <c r="O18">
        <v>0</v>
      </c>
      <c r="P18">
        <v>0</v>
      </c>
      <c r="Q18" t="str">
        <f>INDEX('Partner data'!A:DH,MATCH(C18,'Partner data'!DG:DG,0),83)</f>
        <v>Soggetto pubblico</v>
      </c>
      <c r="R18" t="b">
        <f>IF(E18="staff",IF(INDEX('Partner data'!A:DH,MATCH(C18,'Partner data'!DG:DG,0),112)="BL1 non presente","FALSO",INDEX('Partner data'!A:DH,MATCH(C18,'Partner data'!DG:DG,0),112)))</f>
        <v>0</v>
      </c>
      <c r="S18" t="b">
        <f t="shared" si="0"/>
        <v>0</v>
      </c>
      <c r="T18" t="b">
        <f t="shared" si="1"/>
        <v>1</v>
      </c>
      <c r="U18" s="154">
        <f>IFERROR(IF(R18&lt;&gt;FALSE,IF(S18=TRUE,INDEX('SummaryNOT_VALIDATED-BL'!$A$1:$F$16,MATCH(R18,'SummaryNOT_VALIDATED-BL'!$A$1:$A$16,0),6),0),IF(S18=TRUE,INDEX('SummaryNOT_VALIDATED-BL'!$A$1:$F$16,MATCH(E18,'SummaryNOT_VALIDATED-BL'!$A$1:$A$16,0),6),0)),0)</f>
        <v>0</v>
      </c>
      <c r="V18" s="81" cm="1">
        <f t="array" ref="V18">INDEX('Weight tables'!$A$24:$C$27,MATCH(1,(RendicontiTrasmessiBL__2[[#This Row],[Cut percentage on real costs + USC]]&gt;='Weight tables'!$B$24:$B$27)*(RendicontiTrasmessiBL__2[[#This Row],[Cut percentage on real costs + USC]]&lt;='Weight tables'!$C$24:$C$27),0),1)</f>
        <v>0</v>
      </c>
      <c r="W18" s="2">
        <f>RendicontiTrasmessiBL__2[[#This Row],[Weight real costs  + USC ]]</f>
        <v>0</v>
      </c>
    </row>
    <row r="19" spans="1:23" x14ac:dyDescent="0.25">
      <c r="A19" s="1" t="s">
        <v>58</v>
      </c>
      <c r="B19" s="1" t="s">
        <v>40</v>
      </c>
      <c r="C19" s="2">
        <v>14</v>
      </c>
      <c r="D19" s="2">
        <v>297</v>
      </c>
      <c r="E19" s="1" t="s">
        <v>237</v>
      </c>
      <c r="G19">
        <v>0</v>
      </c>
      <c r="H19">
        <v>0</v>
      </c>
      <c r="I19">
        <v>0</v>
      </c>
      <c r="J19">
        <v>0</v>
      </c>
      <c r="K19">
        <v>0</v>
      </c>
      <c r="L19">
        <v>0</v>
      </c>
      <c r="M19">
        <v>0</v>
      </c>
      <c r="N19">
        <v>0</v>
      </c>
      <c r="O19">
        <v>0</v>
      </c>
      <c r="P19">
        <v>0</v>
      </c>
      <c r="Q19" t="str">
        <f>INDEX('Partner data'!A:DH,MATCH(C19,'Partner data'!DG:DG,0),83)</f>
        <v>Soggetto pubblico</v>
      </c>
      <c r="R19" t="b">
        <f>IF(E19="staff",IF(INDEX('Partner data'!A:DH,MATCH(C19,'Partner data'!DG:DG,0),112)="BL1 non presente","FALSO",INDEX('Partner data'!A:DH,MATCH(C19,'Partner data'!DG:DG,0),112)))</f>
        <v>0</v>
      </c>
      <c r="S19" t="b">
        <f t="shared" si="0"/>
        <v>0</v>
      </c>
      <c r="T19" t="b">
        <f t="shared" si="1"/>
        <v>1</v>
      </c>
      <c r="U19" s="154">
        <f>IFERROR(IF(R19&lt;&gt;FALSE,IF(S19=TRUE,INDEX('SummaryNOT_VALIDATED-BL'!$A$1:$F$16,MATCH(R19,'SummaryNOT_VALIDATED-BL'!$A$1:$A$16,0),6),0),IF(S19=TRUE,INDEX('SummaryNOT_VALIDATED-BL'!$A$1:$F$16,MATCH(E19,'SummaryNOT_VALIDATED-BL'!$A$1:$A$16,0),6),0)),0)</f>
        <v>0</v>
      </c>
      <c r="V19" s="81" cm="1">
        <f t="array" ref="V19">INDEX('Weight tables'!$A$24:$C$27,MATCH(1,(RendicontiTrasmessiBL__2[[#This Row],[Cut percentage on real costs + USC]]&gt;='Weight tables'!$B$24:$B$27)*(RendicontiTrasmessiBL__2[[#This Row],[Cut percentage on real costs + USC]]&lt;='Weight tables'!$C$24:$C$27),0),1)</f>
        <v>0</v>
      </c>
      <c r="W19" s="2">
        <f>RendicontiTrasmessiBL__2[[#This Row],[Weight real costs  + USC ]]</f>
        <v>0</v>
      </c>
    </row>
    <row r="20" spans="1:23" x14ac:dyDescent="0.25">
      <c r="A20" s="1" t="s">
        <v>58</v>
      </c>
      <c r="B20" s="1" t="s">
        <v>4545</v>
      </c>
      <c r="C20" s="2">
        <v>17</v>
      </c>
      <c r="D20" s="2">
        <v>239</v>
      </c>
      <c r="E20" s="1" t="s">
        <v>228</v>
      </c>
      <c r="G20">
        <v>0</v>
      </c>
      <c r="H20">
        <v>0</v>
      </c>
      <c r="I20">
        <v>0</v>
      </c>
      <c r="J20">
        <v>0</v>
      </c>
      <c r="K20">
        <v>0</v>
      </c>
      <c r="L20">
        <v>0</v>
      </c>
      <c r="M20">
        <v>0</v>
      </c>
      <c r="N20">
        <v>0</v>
      </c>
      <c r="O20">
        <v>0</v>
      </c>
      <c r="P20">
        <v>0</v>
      </c>
      <c r="Q20" t="str">
        <f>INDEX('Partner data'!A:DH,MATCH(C20,'Partner data'!DG:DG,0),83)</f>
        <v>Soggetto pubblico</v>
      </c>
      <c r="R20" t="str">
        <f>IF(E20="staff",IF(INDEX('Partner data'!A:DH,MATCH(C20,'Partner data'!DG:DG,0),112)="BL1 non presente","FALSO",INDEX('Partner data'!A:DH,MATCH(C20,'Partner data'!DG:DG,0),112)))</f>
        <v>FALSO</v>
      </c>
      <c r="S20" t="b">
        <f t="shared" si="0"/>
        <v>0</v>
      </c>
      <c r="T20" t="b">
        <f t="shared" si="1"/>
        <v>1</v>
      </c>
      <c r="U20" s="154">
        <f>IFERROR(IF(R20&lt;&gt;FALSE,IF(S20=TRUE,INDEX('SummaryNOT_VALIDATED-BL'!$A$1:$F$16,MATCH(R20,'SummaryNOT_VALIDATED-BL'!$A$1:$A$16,0),6),0),IF(S20=TRUE,INDEX('SummaryNOT_VALIDATED-BL'!$A$1:$F$16,MATCH(E20,'SummaryNOT_VALIDATED-BL'!$A$1:$A$16,0),6),0)),0)</f>
        <v>0</v>
      </c>
      <c r="V20" s="81" cm="1">
        <f t="array" ref="V20">INDEX('Weight tables'!$A$24:$C$27,MATCH(1,(RendicontiTrasmessiBL__2[[#This Row],[Cut percentage on real costs + USC]]&gt;='Weight tables'!$B$24:$B$27)*(RendicontiTrasmessiBL__2[[#This Row],[Cut percentage on real costs + USC]]&lt;='Weight tables'!$C$24:$C$27),0),1)</f>
        <v>0</v>
      </c>
      <c r="W20" s="2">
        <f>RendicontiTrasmessiBL__2[[#This Row],[Weight real costs  + USC ]]</f>
        <v>0</v>
      </c>
    </row>
    <row r="21" spans="1:23" x14ac:dyDescent="0.25">
      <c r="A21" s="1" t="s">
        <v>58</v>
      </c>
      <c r="B21" s="1" t="s">
        <v>4545</v>
      </c>
      <c r="C21" s="2">
        <v>17</v>
      </c>
      <c r="D21" s="2">
        <v>239</v>
      </c>
      <c r="E21" s="1" t="s">
        <v>229</v>
      </c>
      <c r="G21">
        <v>0</v>
      </c>
      <c r="H21">
        <v>0</v>
      </c>
      <c r="I21">
        <v>0</v>
      </c>
      <c r="J21">
        <v>0</v>
      </c>
      <c r="K21">
        <v>0</v>
      </c>
      <c r="L21">
        <v>0</v>
      </c>
      <c r="M21">
        <v>0</v>
      </c>
      <c r="N21">
        <v>0</v>
      </c>
      <c r="O21">
        <v>0</v>
      </c>
      <c r="P21">
        <v>0</v>
      </c>
      <c r="Q21" t="str">
        <f>INDEX('Partner data'!A:DH,MATCH(C21,'Partner data'!DG:DG,0),83)</f>
        <v>Soggetto pubblico</v>
      </c>
      <c r="R21" t="b">
        <f>IF(E21="staff",IF(INDEX('Partner data'!A:DH,MATCH(C21,'Partner data'!DG:DG,0),112)="BL1 non presente","FALSO",INDEX('Partner data'!A:DH,MATCH(C21,'Partner data'!DG:DG,0),112)))</f>
        <v>0</v>
      </c>
      <c r="S21" t="b">
        <f t="shared" si="0"/>
        <v>0</v>
      </c>
      <c r="T21" t="b">
        <f t="shared" si="1"/>
        <v>1</v>
      </c>
      <c r="U21" s="154">
        <f>IFERROR(IF(R21&lt;&gt;FALSE,IF(S21=TRUE,INDEX('SummaryNOT_VALIDATED-BL'!$A$1:$F$16,MATCH(R21,'SummaryNOT_VALIDATED-BL'!$A$1:$A$16,0),6),0),IF(S21=TRUE,INDEX('SummaryNOT_VALIDATED-BL'!$A$1:$F$16,MATCH(E21,'SummaryNOT_VALIDATED-BL'!$A$1:$A$16,0),6),0)),0)</f>
        <v>0</v>
      </c>
      <c r="V21" s="81" cm="1">
        <f t="array" ref="V21">INDEX('Weight tables'!$A$24:$C$27,MATCH(1,(RendicontiTrasmessiBL__2[[#This Row],[Cut percentage on real costs + USC]]&gt;='Weight tables'!$B$24:$B$27)*(RendicontiTrasmessiBL__2[[#This Row],[Cut percentage on real costs + USC]]&lt;='Weight tables'!$C$24:$C$27),0),1)</f>
        <v>0</v>
      </c>
      <c r="W21" s="2">
        <f>RendicontiTrasmessiBL__2[[#This Row],[Weight real costs  + USC ]]</f>
        <v>0</v>
      </c>
    </row>
    <row r="22" spans="1:23" x14ac:dyDescent="0.25">
      <c r="A22" s="1" t="s">
        <v>58</v>
      </c>
      <c r="B22" s="1" t="s">
        <v>4545</v>
      </c>
      <c r="C22" s="2">
        <v>17</v>
      </c>
      <c r="D22" s="2">
        <v>239</v>
      </c>
      <c r="E22" s="1" t="s">
        <v>230</v>
      </c>
      <c r="G22">
        <v>0</v>
      </c>
      <c r="H22">
        <v>0</v>
      </c>
      <c r="I22">
        <v>0</v>
      </c>
      <c r="J22">
        <v>0</v>
      </c>
      <c r="K22">
        <v>0</v>
      </c>
      <c r="L22">
        <v>0</v>
      </c>
      <c r="M22">
        <v>0</v>
      </c>
      <c r="N22">
        <v>0</v>
      </c>
      <c r="O22">
        <v>0</v>
      </c>
      <c r="P22">
        <v>0</v>
      </c>
      <c r="Q22" t="str">
        <f>INDEX('Partner data'!A:DH,MATCH(C22,'Partner data'!DG:DG,0),83)</f>
        <v>Soggetto pubblico</v>
      </c>
      <c r="R22" t="b">
        <f>IF(E22="staff",IF(INDEX('Partner data'!A:DH,MATCH(C22,'Partner data'!DG:DG,0),112)="BL1 non presente","FALSO",INDEX('Partner data'!A:DH,MATCH(C22,'Partner data'!DG:DG,0),112)))</f>
        <v>0</v>
      </c>
      <c r="S22" t="b">
        <f t="shared" si="0"/>
        <v>0</v>
      </c>
      <c r="T22" t="b">
        <f t="shared" si="1"/>
        <v>1</v>
      </c>
      <c r="U22" s="154">
        <f>IFERROR(IF(R22&lt;&gt;FALSE,IF(S22=TRUE,INDEX('SummaryNOT_VALIDATED-BL'!$A$1:$F$16,MATCH(R22,'SummaryNOT_VALIDATED-BL'!$A$1:$A$16,0),6),0),IF(S22=TRUE,INDEX('SummaryNOT_VALIDATED-BL'!$A$1:$F$16,MATCH(E22,'SummaryNOT_VALIDATED-BL'!$A$1:$A$16,0),6),0)),0)</f>
        <v>0</v>
      </c>
      <c r="V22" s="81" cm="1">
        <f t="array" ref="V22">INDEX('Weight tables'!$A$24:$C$27,MATCH(1,(RendicontiTrasmessiBL__2[[#This Row],[Cut percentage on real costs + USC]]&gt;='Weight tables'!$B$24:$B$27)*(RendicontiTrasmessiBL__2[[#This Row],[Cut percentage on real costs + USC]]&lt;='Weight tables'!$C$24:$C$27),0),1)</f>
        <v>0</v>
      </c>
      <c r="W22" s="2">
        <f>RendicontiTrasmessiBL__2[[#This Row],[Weight real costs  + USC ]]</f>
        <v>0</v>
      </c>
    </row>
    <row r="23" spans="1:23" x14ac:dyDescent="0.25">
      <c r="A23" s="1" t="s">
        <v>58</v>
      </c>
      <c r="B23" s="1" t="s">
        <v>4545</v>
      </c>
      <c r="C23" s="2">
        <v>17</v>
      </c>
      <c r="D23" s="2">
        <v>239</v>
      </c>
      <c r="E23" s="1" t="s">
        <v>231</v>
      </c>
      <c r="G23">
        <v>73000</v>
      </c>
      <c r="H23">
        <v>0</v>
      </c>
      <c r="I23">
        <v>0</v>
      </c>
      <c r="J23">
        <v>0</v>
      </c>
      <c r="K23">
        <v>0</v>
      </c>
      <c r="L23">
        <v>0</v>
      </c>
      <c r="M23">
        <v>0</v>
      </c>
      <c r="N23">
        <v>0</v>
      </c>
      <c r="O23">
        <v>73000</v>
      </c>
      <c r="P23">
        <v>0</v>
      </c>
      <c r="Q23" t="str">
        <f>INDEX('Partner data'!A:DH,MATCH(C23,'Partner data'!DG:DG,0),83)</f>
        <v>Soggetto pubblico</v>
      </c>
      <c r="R23" t="b">
        <f>IF(E23="staff",IF(INDEX('Partner data'!A:DH,MATCH(C23,'Partner data'!DG:DG,0),112)="BL1 non presente","FALSO",INDEX('Partner data'!A:DH,MATCH(C23,'Partner data'!DG:DG,0),112)))</f>
        <v>0</v>
      </c>
      <c r="S23" t="b">
        <f t="shared" si="0"/>
        <v>0</v>
      </c>
      <c r="T23" t="b">
        <f t="shared" si="1"/>
        <v>1</v>
      </c>
      <c r="U23" s="154">
        <f>IFERROR(IF(R23&lt;&gt;FALSE,IF(S23=TRUE,INDEX('SummaryNOT_VALIDATED-BL'!$A$1:$F$16,MATCH(R23,'SummaryNOT_VALIDATED-BL'!$A$1:$A$16,0),6),0),IF(S23=TRUE,INDEX('SummaryNOT_VALIDATED-BL'!$A$1:$F$16,MATCH(E23,'SummaryNOT_VALIDATED-BL'!$A$1:$A$16,0),6),0)),0)</f>
        <v>0</v>
      </c>
      <c r="V23" s="81" cm="1">
        <f t="array" ref="V23">INDEX('Weight tables'!$A$24:$C$27,MATCH(1,(RendicontiTrasmessiBL__2[[#This Row],[Cut percentage on real costs + USC]]&gt;='Weight tables'!$B$24:$B$27)*(RendicontiTrasmessiBL__2[[#This Row],[Cut percentage on real costs + USC]]&lt;='Weight tables'!$C$24:$C$27),0),1)</f>
        <v>0</v>
      </c>
      <c r="W23" s="2">
        <f>RendicontiTrasmessiBL__2[[#This Row],[Weight real costs  + USC ]]</f>
        <v>0</v>
      </c>
    </row>
    <row r="24" spans="1:23" x14ac:dyDescent="0.25">
      <c r="A24" s="1" t="s">
        <v>58</v>
      </c>
      <c r="B24" s="1" t="s">
        <v>4545</v>
      </c>
      <c r="C24" s="2">
        <v>17</v>
      </c>
      <c r="D24" s="2">
        <v>239</v>
      </c>
      <c r="E24" s="1" t="s">
        <v>232</v>
      </c>
      <c r="G24">
        <v>0</v>
      </c>
      <c r="H24">
        <v>0</v>
      </c>
      <c r="I24">
        <v>0</v>
      </c>
      <c r="J24">
        <v>0</v>
      </c>
      <c r="K24">
        <v>0</v>
      </c>
      <c r="L24">
        <v>0</v>
      </c>
      <c r="M24">
        <v>0</v>
      </c>
      <c r="N24">
        <v>0</v>
      </c>
      <c r="O24">
        <v>0</v>
      </c>
      <c r="P24">
        <v>0</v>
      </c>
      <c r="Q24" t="str">
        <f>INDEX('Partner data'!A:DH,MATCH(C24,'Partner data'!DG:DG,0),83)</f>
        <v>Soggetto pubblico</v>
      </c>
      <c r="R24" t="b">
        <f>IF(E24="staff",IF(INDEX('Partner data'!A:DH,MATCH(C24,'Partner data'!DG:DG,0),112)="BL1 non presente","FALSO",INDEX('Partner data'!A:DH,MATCH(C24,'Partner data'!DG:DG,0),112)))</f>
        <v>0</v>
      </c>
      <c r="S24" t="b">
        <f t="shared" si="0"/>
        <v>0</v>
      </c>
      <c r="T24" t="b">
        <f t="shared" si="1"/>
        <v>1</v>
      </c>
      <c r="U24" s="154">
        <f>IFERROR(IF(R24&lt;&gt;FALSE,IF(S24=TRUE,INDEX('SummaryNOT_VALIDATED-BL'!$A$1:$F$16,MATCH(R24,'SummaryNOT_VALIDATED-BL'!$A$1:$A$16,0),6),0),IF(S24=TRUE,INDEX('SummaryNOT_VALIDATED-BL'!$A$1:$F$16,MATCH(E24,'SummaryNOT_VALIDATED-BL'!$A$1:$A$16,0),6),0)),0)</f>
        <v>0</v>
      </c>
      <c r="V24" s="81" cm="1">
        <f t="array" ref="V24">INDEX('Weight tables'!$A$24:$C$27,MATCH(1,(RendicontiTrasmessiBL__2[[#This Row],[Cut percentage on real costs + USC]]&gt;='Weight tables'!$B$24:$B$27)*(RendicontiTrasmessiBL__2[[#This Row],[Cut percentage on real costs + USC]]&lt;='Weight tables'!$C$24:$C$27),0),1)</f>
        <v>0</v>
      </c>
      <c r="W24" s="2">
        <f>RendicontiTrasmessiBL__2[[#This Row],[Weight real costs  + USC ]]</f>
        <v>0</v>
      </c>
    </row>
    <row r="25" spans="1:23" x14ac:dyDescent="0.25">
      <c r="A25" s="1" t="s">
        <v>58</v>
      </c>
      <c r="B25" s="1" t="s">
        <v>4545</v>
      </c>
      <c r="C25" s="2">
        <v>17</v>
      </c>
      <c r="D25" s="2">
        <v>239</v>
      </c>
      <c r="E25" s="1" t="s">
        <v>233</v>
      </c>
      <c r="G25">
        <v>727000</v>
      </c>
      <c r="H25">
        <v>0</v>
      </c>
      <c r="I25">
        <v>0</v>
      </c>
      <c r="J25">
        <v>0</v>
      </c>
      <c r="K25">
        <v>0</v>
      </c>
      <c r="L25">
        <v>0</v>
      </c>
      <c r="M25">
        <v>0</v>
      </c>
      <c r="N25">
        <v>0</v>
      </c>
      <c r="O25">
        <v>727000</v>
      </c>
      <c r="P25">
        <v>0</v>
      </c>
      <c r="Q25" t="str">
        <f>INDEX('Partner data'!A:DH,MATCH(C25,'Partner data'!DG:DG,0),83)</f>
        <v>Soggetto pubblico</v>
      </c>
      <c r="R25" t="b">
        <f>IF(E25="staff",IF(INDEX('Partner data'!A:DH,MATCH(C25,'Partner data'!DG:DG,0),112)="BL1 non presente","FALSO",INDEX('Partner data'!A:DH,MATCH(C25,'Partner data'!DG:DG,0),112)))</f>
        <v>0</v>
      </c>
      <c r="S25" t="b">
        <f t="shared" si="0"/>
        <v>0</v>
      </c>
      <c r="T25" t="b">
        <f t="shared" si="1"/>
        <v>1</v>
      </c>
      <c r="U25" s="154">
        <f>IFERROR(IF(R25&lt;&gt;FALSE,IF(S25=TRUE,INDEX('SummaryNOT_VALIDATED-BL'!$A$1:$F$16,MATCH(R25,'SummaryNOT_VALIDATED-BL'!$A$1:$A$16,0),6),0),IF(S25=TRUE,INDEX('SummaryNOT_VALIDATED-BL'!$A$1:$F$16,MATCH(E25,'SummaryNOT_VALIDATED-BL'!$A$1:$A$16,0),6),0)),0)</f>
        <v>0</v>
      </c>
      <c r="V25" s="81" cm="1">
        <f t="array" ref="V25">INDEX('Weight tables'!$A$24:$C$27,MATCH(1,(RendicontiTrasmessiBL__2[[#This Row],[Cut percentage on real costs + USC]]&gt;='Weight tables'!$B$24:$B$27)*(RendicontiTrasmessiBL__2[[#This Row],[Cut percentage on real costs + USC]]&lt;='Weight tables'!$C$24:$C$27),0),1)</f>
        <v>0</v>
      </c>
      <c r="W25" s="2">
        <f>RendicontiTrasmessiBL__2[[#This Row],[Weight real costs  + USC ]]</f>
        <v>0</v>
      </c>
    </row>
    <row r="26" spans="1:23" x14ac:dyDescent="0.25">
      <c r="A26" s="1" t="s">
        <v>58</v>
      </c>
      <c r="B26" s="1" t="s">
        <v>4545</v>
      </c>
      <c r="C26" s="2">
        <v>17</v>
      </c>
      <c r="D26" s="2">
        <v>239</v>
      </c>
      <c r="E26" s="1" t="s">
        <v>234</v>
      </c>
      <c r="G26">
        <v>0</v>
      </c>
      <c r="H26">
        <v>0</v>
      </c>
      <c r="I26">
        <v>0</v>
      </c>
      <c r="J26">
        <v>0</v>
      </c>
      <c r="K26">
        <v>0</v>
      </c>
      <c r="L26">
        <v>0</v>
      </c>
      <c r="M26">
        <v>0</v>
      </c>
      <c r="N26">
        <v>0</v>
      </c>
      <c r="O26">
        <v>0</v>
      </c>
      <c r="P26">
        <v>0</v>
      </c>
      <c r="Q26" t="str">
        <f>INDEX('Partner data'!A:DH,MATCH(C26,'Partner data'!DG:DG,0),83)</f>
        <v>Soggetto pubblico</v>
      </c>
      <c r="R26" t="b">
        <f>IF(E26="staff",IF(INDEX('Partner data'!A:DH,MATCH(C26,'Partner data'!DG:DG,0),112)="BL1 non presente","FALSO",INDEX('Partner data'!A:DH,MATCH(C26,'Partner data'!DG:DG,0),112)))</f>
        <v>0</v>
      </c>
      <c r="S26" t="b">
        <f t="shared" si="0"/>
        <v>0</v>
      </c>
      <c r="T26" t="b">
        <f t="shared" si="1"/>
        <v>1</v>
      </c>
      <c r="U26" s="154">
        <f>IFERROR(IF(R26&lt;&gt;FALSE,IF(S26=TRUE,INDEX('SummaryNOT_VALIDATED-BL'!$A$1:$F$16,MATCH(R26,'SummaryNOT_VALIDATED-BL'!$A$1:$A$16,0),6),0),IF(S26=TRUE,INDEX('SummaryNOT_VALIDATED-BL'!$A$1:$F$16,MATCH(E26,'SummaryNOT_VALIDATED-BL'!$A$1:$A$16,0),6),0)),0)</f>
        <v>0</v>
      </c>
      <c r="V26" s="81" cm="1">
        <f t="array" ref="V26">INDEX('Weight tables'!$A$24:$C$27,MATCH(1,(RendicontiTrasmessiBL__2[[#This Row],[Cut percentage on real costs + USC]]&gt;='Weight tables'!$B$24:$B$27)*(RendicontiTrasmessiBL__2[[#This Row],[Cut percentage on real costs + USC]]&lt;='Weight tables'!$C$24:$C$27),0),1)</f>
        <v>0</v>
      </c>
      <c r="W26" s="2">
        <f>RendicontiTrasmessiBL__2[[#This Row],[Weight real costs  + USC ]]</f>
        <v>0</v>
      </c>
    </row>
    <row r="27" spans="1:23" x14ac:dyDescent="0.25">
      <c r="A27" s="1" t="s">
        <v>58</v>
      </c>
      <c r="B27" s="1" t="s">
        <v>4545</v>
      </c>
      <c r="C27" s="2">
        <v>17</v>
      </c>
      <c r="D27" s="2">
        <v>239</v>
      </c>
      <c r="E27" s="1" t="s">
        <v>236</v>
      </c>
      <c r="G27">
        <v>0</v>
      </c>
      <c r="H27">
        <v>0</v>
      </c>
      <c r="I27">
        <v>0</v>
      </c>
      <c r="J27">
        <v>0</v>
      </c>
      <c r="K27">
        <v>0</v>
      </c>
      <c r="L27">
        <v>0</v>
      </c>
      <c r="M27">
        <v>0</v>
      </c>
      <c r="N27">
        <v>0</v>
      </c>
      <c r="O27">
        <v>0</v>
      </c>
      <c r="P27">
        <v>0</v>
      </c>
      <c r="Q27" t="str">
        <f>INDEX('Partner data'!A:DH,MATCH(C27,'Partner data'!DG:DG,0),83)</f>
        <v>Soggetto pubblico</v>
      </c>
      <c r="R27" t="b">
        <f>IF(E27="staff",IF(INDEX('Partner data'!A:DH,MATCH(C27,'Partner data'!DG:DG,0),112)="BL1 non presente","FALSO",INDEX('Partner data'!A:DH,MATCH(C27,'Partner data'!DG:DG,0),112)))</f>
        <v>0</v>
      </c>
      <c r="S27" t="b">
        <f t="shared" si="0"/>
        <v>0</v>
      </c>
      <c r="T27" t="b">
        <f t="shared" si="1"/>
        <v>1</v>
      </c>
      <c r="U27" s="154">
        <f>IFERROR(IF(R27&lt;&gt;FALSE,IF(S27=TRUE,INDEX('SummaryNOT_VALIDATED-BL'!$A$1:$F$16,MATCH(R27,'SummaryNOT_VALIDATED-BL'!$A$1:$A$16,0),6),0),IF(S27=TRUE,INDEX('SummaryNOT_VALIDATED-BL'!$A$1:$F$16,MATCH(E27,'SummaryNOT_VALIDATED-BL'!$A$1:$A$16,0),6),0)),0)</f>
        <v>0</v>
      </c>
      <c r="V27" s="81" cm="1">
        <f t="array" ref="V27">INDEX('Weight tables'!$A$24:$C$27,MATCH(1,(RendicontiTrasmessiBL__2[[#This Row],[Cut percentage on real costs + USC]]&gt;='Weight tables'!$B$24:$B$27)*(RendicontiTrasmessiBL__2[[#This Row],[Cut percentage on real costs + USC]]&lt;='Weight tables'!$C$24:$C$27),0),1)</f>
        <v>0</v>
      </c>
      <c r="W27" s="2">
        <f>RendicontiTrasmessiBL__2[[#This Row],[Weight real costs  + USC ]]</f>
        <v>0</v>
      </c>
    </row>
    <row r="28" spans="1:23" x14ac:dyDescent="0.25">
      <c r="A28" s="1" t="s">
        <v>58</v>
      </c>
      <c r="B28" s="1" t="s">
        <v>4545</v>
      </c>
      <c r="C28" s="2">
        <v>17</v>
      </c>
      <c r="D28" s="2">
        <v>239</v>
      </c>
      <c r="E28" s="1" t="s">
        <v>237</v>
      </c>
      <c r="G28">
        <v>0</v>
      </c>
      <c r="H28">
        <v>0</v>
      </c>
      <c r="I28">
        <v>0</v>
      </c>
      <c r="J28">
        <v>0</v>
      </c>
      <c r="K28">
        <v>0</v>
      </c>
      <c r="L28">
        <v>0</v>
      </c>
      <c r="M28">
        <v>0</v>
      </c>
      <c r="N28">
        <v>0</v>
      </c>
      <c r="O28">
        <v>0</v>
      </c>
      <c r="P28">
        <v>0</v>
      </c>
      <c r="Q28" t="str">
        <f>INDEX('Partner data'!A:DH,MATCH(C28,'Partner data'!DG:DG,0),83)</f>
        <v>Soggetto pubblico</v>
      </c>
      <c r="R28" t="b">
        <f>IF(E28="staff",IF(INDEX('Partner data'!A:DH,MATCH(C28,'Partner data'!DG:DG,0),112)="BL1 non presente","FALSO",INDEX('Partner data'!A:DH,MATCH(C28,'Partner data'!DG:DG,0),112)))</f>
        <v>0</v>
      </c>
      <c r="S28" t="b">
        <f t="shared" si="0"/>
        <v>0</v>
      </c>
      <c r="T28" t="b">
        <f t="shared" si="1"/>
        <v>1</v>
      </c>
      <c r="U28" s="154">
        <f>IFERROR(IF(R28&lt;&gt;FALSE,IF(S28=TRUE,INDEX('SummaryNOT_VALIDATED-BL'!$A$1:$F$16,MATCH(R28,'SummaryNOT_VALIDATED-BL'!$A$1:$A$16,0),6),0),IF(S28=TRUE,INDEX('SummaryNOT_VALIDATED-BL'!$A$1:$F$16,MATCH(E28,'SummaryNOT_VALIDATED-BL'!$A$1:$A$16,0),6),0)),0)</f>
        <v>0</v>
      </c>
      <c r="V28" s="81" cm="1">
        <f t="array" ref="V28">INDEX('Weight tables'!$A$24:$C$27,MATCH(1,(RendicontiTrasmessiBL__2[[#This Row],[Cut percentage on real costs + USC]]&gt;='Weight tables'!$B$24:$B$27)*(RendicontiTrasmessiBL__2[[#This Row],[Cut percentage on real costs + USC]]&lt;='Weight tables'!$C$24:$C$27),0),1)</f>
        <v>0</v>
      </c>
      <c r="W28" s="2">
        <f>RendicontiTrasmessiBL__2[[#This Row],[Weight real costs  + USC ]]</f>
        <v>0</v>
      </c>
    </row>
    <row r="29" spans="1:23" x14ac:dyDescent="0.25">
      <c r="A29" s="1" t="s">
        <v>58</v>
      </c>
      <c r="B29" s="1" t="s">
        <v>4545</v>
      </c>
      <c r="C29" s="2">
        <v>17</v>
      </c>
      <c r="D29" s="2">
        <v>79</v>
      </c>
      <c r="E29" s="1" t="s">
        <v>228</v>
      </c>
      <c r="G29">
        <v>0</v>
      </c>
      <c r="H29">
        <v>0</v>
      </c>
      <c r="I29">
        <v>0</v>
      </c>
      <c r="J29">
        <v>0</v>
      </c>
      <c r="K29">
        <v>0</v>
      </c>
      <c r="L29">
        <v>0</v>
      </c>
      <c r="M29">
        <v>0</v>
      </c>
      <c r="N29">
        <v>0</v>
      </c>
      <c r="O29">
        <v>0</v>
      </c>
      <c r="P29">
        <v>0</v>
      </c>
      <c r="Q29" t="str">
        <f>INDEX('Partner data'!A:DH,MATCH(C29,'Partner data'!DG:DG,0),83)</f>
        <v>Soggetto pubblico</v>
      </c>
      <c r="R29" t="str">
        <f>IF(E29="staff",IF(INDEX('Partner data'!A:DH,MATCH(C29,'Partner data'!DG:DG,0),112)="BL1 non presente","FALSO",INDEX('Partner data'!A:DH,MATCH(C29,'Partner data'!DG:DG,0),112)))</f>
        <v>FALSO</v>
      </c>
      <c r="S29" t="b">
        <f t="shared" si="0"/>
        <v>0</v>
      </c>
      <c r="T29" t="b">
        <f t="shared" si="1"/>
        <v>1</v>
      </c>
      <c r="U29" s="154">
        <f>IFERROR(IF(R29&lt;&gt;FALSE,IF(S29=TRUE,INDEX('SummaryNOT_VALIDATED-BL'!$A$1:$F$16,MATCH(R29,'SummaryNOT_VALIDATED-BL'!$A$1:$A$16,0),6),0),IF(S29=TRUE,INDEX('SummaryNOT_VALIDATED-BL'!$A$1:$F$16,MATCH(E29,'SummaryNOT_VALIDATED-BL'!$A$1:$A$16,0),6),0)),0)</f>
        <v>0</v>
      </c>
      <c r="V29" s="81" cm="1">
        <f t="array" ref="V29">INDEX('Weight tables'!$A$24:$C$27,MATCH(1,(RendicontiTrasmessiBL__2[[#This Row],[Cut percentage on real costs + USC]]&gt;='Weight tables'!$B$24:$B$27)*(RendicontiTrasmessiBL__2[[#This Row],[Cut percentage on real costs + USC]]&lt;='Weight tables'!$C$24:$C$27),0),1)</f>
        <v>0</v>
      </c>
      <c r="W29" s="2">
        <f>RendicontiTrasmessiBL__2[[#This Row],[Weight real costs  + USC ]]</f>
        <v>0</v>
      </c>
    </row>
    <row r="30" spans="1:23" x14ac:dyDescent="0.25">
      <c r="A30" s="1" t="s">
        <v>58</v>
      </c>
      <c r="B30" s="1" t="s">
        <v>4545</v>
      </c>
      <c r="C30" s="2">
        <v>17</v>
      </c>
      <c r="D30" s="2">
        <v>79</v>
      </c>
      <c r="E30" s="1" t="s">
        <v>229</v>
      </c>
      <c r="G30">
        <v>0</v>
      </c>
      <c r="H30">
        <v>0</v>
      </c>
      <c r="I30">
        <v>0</v>
      </c>
      <c r="J30">
        <v>0</v>
      </c>
      <c r="K30">
        <v>0</v>
      </c>
      <c r="L30">
        <v>0</v>
      </c>
      <c r="M30">
        <v>0</v>
      </c>
      <c r="N30">
        <v>0</v>
      </c>
      <c r="O30">
        <v>0</v>
      </c>
      <c r="P30">
        <v>0</v>
      </c>
      <c r="Q30" t="str">
        <f>INDEX('Partner data'!A:DH,MATCH(C30,'Partner data'!DG:DG,0),83)</f>
        <v>Soggetto pubblico</v>
      </c>
      <c r="R30" t="b">
        <f>IF(E30="staff",IF(INDEX('Partner data'!A:DH,MATCH(C30,'Partner data'!DG:DG,0),112)="BL1 non presente","FALSO",INDEX('Partner data'!A:DH,MATCH(C30,'Partner data'!DG:DG,0),112)))</f>
        <v>0</v>
      </c>
      <c r="S30" t="b">
        <f t="shared" si="0"/>
        <v>0</v>
      </c>
      <c r="T30" t="b">
        <f t="shared" si="1"/>
        <v>1</v>
      </c>
      <c r="U30" s="154">
        <f>IFERROR(IF(R30&lt;&gt;FALSE,IF(S30=TRUE,INDEX('SummaryNOT_VALIDATED-BL'!$A$1:$F$16,MATCH(R30,'SummaryNOT_VALIDATED-BL'!$A$1:$A$16,0),6),0),IF(S30=TRUE,INDEX('SummaryNOT_VALIDATED-BL'!$A$1:$F$16,MATCH(E30,'SummaryNOT_VALIDATED-BL'!$A$1:$A$16,0),6),0)),0)</f>
        <v>0</v>
      </c>
      <c r="V30" s="81" cm="1">
        <f t="array" ref="V30">INDEX('Weight tables'!$A$24:$C$27,MATCH(1,(RendicontiTrasmessiBL__2[[#This Row],[Cut percentage on real costs + USC]]&gt;='Weight tables'!$B$24:$B$27)*(RendicontiTrasmessiBL__2[[#This Row],[Cut percentage on real costs + USC]]&lt;='Weight tables'!$C$24:$C$27),0),1)</f>
        <v>0</v>
      </c>
      <c r="W30" s="2">
        <f>RendicontiTrasmessiBL__2[[#This Row],[Weight real costs  + USC ]]</f>
        <v>0</v>
      </c>
    </row>
    <row r="31" spans="1:23" x14ac:dyDescent="0.25">
      <c r="A31" s="1" t="s">
        <v>58</v>
      </c>
      <c r="B31" s="1" t="s">
        <v>4545</v>
      </c>
      <c r="C31" s="2">
        <v>17</v>
      </c>
      <c r="D31" s="2">
        <v>79</v>
      </c>
      <c r="E31" s="1" t="s">
        <v>230</v>
      </c>
      <c r="G31">
        <v>0</v>
      </c>
      <c r="H31">
        <v>0</v>
      </c>
      <c r="I31">
        <v>0</v>
      </c>
      <c r="J31">
        <v>0</v>
      </c>
      <c r="K31">
        <v>0</v>
      </c>
      <c r="L31">
        <v>0</v>
      </c>
      <c r="M31">
        <v>0</v>
      </c>
      <c r="N31">
        <v>0</v>
      </c>
      <c r="O31">
        <v>0</v>
      </c>
      <c r="P31">
        <v>0</v>
      </c>
      <c r="Q31" t="str">
        <f>INDEX('Partner data'!A:DH,MATCH(C31,'Partner data'!DG:DG,0),83)</f>
        <v>Soggetto pubblico</v>
      </c>
      <c r="R31" t="b">
        <f>IF(E31="staff",IF(INDEX('Partner data'!A:DH,MATCH(C31,'Partner data'!DG:DG,0),112)="BL1 non presente","FALSO",INDEX('Partner data'!A:DH,MATCH(C31,'Partner data'!DG:DG,0),112)))</f>
        <v>0</v>
      </c>
      <c r="S31" t="b">
        <f t="shared" si="0"/>
        <v>0</v>
      </c>
      <c r="T31" t="b">
        <f t="shared" si="1"/>
        <v>1</v>
      </c>
      <c r="U31" s="154">
        <f>IFERROR(IF(R31&lt;&gt;FALSE,IF(S31=TRUE,INDEX('SummaryNOT_VALIDATED-BL'!$A$1:$F$16,MATCH(R31,'SummaryNOT_VALIDATED-BL'!$A$1:$A$16,0),6),0),IF(S31=TRUE,INDEX('SummaryNOT_VALIDATED-BL'!$A$1:$F$16,MATCH(E31,'SummaryNOT_VALIDATED-BL'!$A$1:$A$16,0),6),0)),0)</f>
        <v>0</v>
      </c>
      <c r="V31" s="81" cm="1">
        <f t="array" ref="V31">INDEX('Weight tables'!$A$24:$C$27,MATCH(1,(RendicontiTrasmessiBL__2[[#This Row],[Cut percentage on real costs + USC]]&gt;='Weight tables'!$B$24:$B$27)*(RendicontiTrasmessiBL__2[[#This Row],[Cut percentage on real costs + USC]]&lt;='Weight tables'!$C$24:$C$27),0),1)</f>
        <v>0</v>
      </c>
      <c r="W31" s="2">
        <f>RendicontiTrasmessiBL__2[[#This Row],[Weight real costs  + USC ]]</f>
        <v>0</v>
      </c>
    </row>
    <row r="32" spans="1:23" x14ac:dyDescent="0.25">
      <c r="A32" s="1" t="s">
        <v>58</v>
      </c>
      <c r="B32" s="1" t="s">
        <v>4545</v>
      </c>
      <c r="C32" s="2">
        <v>17</v>
      </c>
      <c r="D32" s="2">
        <v>79</v>
      </c>
      <c r="E32" s="1" t="s">
        <v>231</v>
      </c>
      <c r="G32">
        <v>0</v>
      </c>
      <c r="H32">
        <v>0</v>
      </c>
      <c r="I32">
        <v>0</v>
      </c>
      <c r="J32">
        <v>0</v>
      </c>
      <c r="K32">
        <v>0</v>
      </c>
      <c r="L32">
        <v>0</v>
      </c>
      <c r="M32">
        <v>0</v>
      </c>
      <c r="N32">
        <v>0</v>
      </c>
      <c r="O32">
        <v>0</v>
      </c>
      <c r="P32">
        <v>0</v>
      </c>
      <c r="Q32" t="str">
        <f>INDEX('Partner data'!A:DH,MATCH(C32,'Partner data'!DG:DG,0),83)</f>
        <v>Soggetto pubblico</v>
      </c>
      <c r="R32" t="b">
        <f>IF(E32="staff",IF(INDEX('Partner data'!A:DH,MATCH(C32,'Partner data'!DG:DG,0),112)="BL1 non presente","FALSO",INDEX('Partner data'!A:DH,MATCH(C32,'Partner data'!DG:DG,0),112)))</f>
        <v>0</v>
      </c>
      <c r="S32" t="b">
        <f t="shared" si="0"/>
        <v>0</v>
      </c>
      <c r="T32" t="b">
        <f t="shared" si="1"/>
        <v>1</v>
      </c>
      <c r="U32" s="154">
        <f>IFERROR(IF(R32&lt;&gt;FALSE,IF(S32=TRUE,INDEX('SummaryNOT_VALIDATED-BL'!$A$1:$F$16,MATCH(R32,'SummaryNOT_VALIDATED-BL'!$A$1:$A$16,0),6),0),IF(S32=TRUE,INDEX('SummaryNOT_VALIDATED-BL'!$A$1:$F$16,MATCH(E32,'SummaryNOT_VALIDATED-BL'!$A$1:$A$16,0),6),0)),0)</f>
        <v>0</v>
      </c>
      <c r="V32" s="81" cm="1">
        <f t="array" ref="V32">INDEX('Weight tables'!$A$24:$C$27,MATCH(1,(RendicontiTrasmessiBL__2[[#This Row],[Cut percentage on real costs + USC]]&gt;='Weight tables'!$B$24:$B$27)*(RendicontiTrasmessiBL__2[[#This Row],[Cut percentage on real costs + USC]]&lt;='Weight tables'!$C$24:$C$27),0),1)</f>
        <v>0</v>
      </c>
      <c r="W32" s="2">
        <f>RendicontiTrasmessiBL__2[[#This Row],[Weight real costs  + USC ]]</f>
        <v>0</v>
      </c>
    </row>
    <row r="33" spans="1:23" x14ac:dyDescent="0.25">
      <c r="A33" s="1" t="s">
        <v>58</v>
      </c>
      <c r="B33" s="1" t="s">
        <v>4545</v>
      </c>
      <c r="C33" s="2">
        <v>17</v>
      </c>
      <c r="D33" s="2">
        <v>79</v>
      </c>
      <c r="E33" s="1" t="s">
        <v>232</v>
      </c>
      <c r="G33">
        <v>0</v>
      </c>
      <c r="H33">
        <v>0</v>
      </c>
      <c r="I33">
        <v>0</v>
      </c>
      <c r="J33">
        <v>0</v>
      </c>
      <c r="K33">
        <v>0</v>
      </c>
      <c r="L33">
        <v>0</v>
      </c>
      <c r="M33">
        <v>0</v>
      </c>
      <c r="N33">
        <v>0</v>
      </c>
      <c r="O33">
        <v>0</v>
      </c>
      <c r="P33">
        <v>0</v>
      </c>
      <c r="Q33" t="str">
        <f>INDEX('Partner data'!A:DH,MATCH(C33,'Partner data'!DG:DG,0),83)</f>
        <v>Soggetto pubblico</v>
      </c>
      <c r="R33" t="b">
        <f>IF(E33="staff",IF(INDEX('Partner data'!A:DH,MATCH(C33,'Partner data'!DG:DG,0),112)="BL1 non presente","FALSO",INDEX('Partner data'!A:DH,MATCH(C33,'Partner data'!DG:DG,0),112)))</f>
        <v>0</v>
      </c>
      <c r="S33" t="b">
        <f t="shared" si="0"/>
        <v>0</v>
      </c>
      <c r="T33" t="b">
        <f t="shared" si="1"/>
        <v>1</v>
      </c>
      <c r="U33" s="154">
        <f>IFERROR(IF(R33&lt;&gt;FALSE,IF(S33=TRUE,INDEX('SummaryNOT_VALIDATED-BL'!$A$1:$F$16,MATCH(R33,'SummaryNOT_VALIDATED-BL'!$A$1:$A$16,0),6),0),IF(S33=TRUE,INDEX('SummaryNOT_VALIDATED-BL'!$A$1:$F$16,MATCH(E33,'SummaryNOT_VALIDATED-BL'!$A$1:$A$16,0),6),0)),0)</f>
        <v>0</v>
      </c>
      <c r="V33" s="81" cm="1">
        <f t="array" ref="V33">INDEX('Weight tables'!$A$24:$C$27,MATCH(1,(RendicontiTrasmessiBL__2[[#This Row],[Cut percentage on real costs + USC]]&gt;='Weight tables'!$B$24:$B$27)*(RendicontiTrasmessiBL__2[[#This Row],[Cut percentage on real costs + USC]]&lt;='Weight tables'!$C$24:$C$27),0),1)</f>
        <v>0</v>
      </c>
      <c r="W33" s="2">
        <f>RendicontiTrasmessiBL__2[[#This Row],[Weight real costs  + USC ]]</f>
        <v>0</v>
      </c>
    </row>
    <row r="34" spans="1:23" x14ac:dyDescent="0.25">
      <c r="A34" s="1" t="s">
        <v>58</v>
      </c>
      <c r="B34" s="1" t="s">
        <v>4545</v>
      </c>
      <c r="C34" s="2">
        <v>17</v>
      </c>
      <c r="D34" s="2">
        <v>79</v>
      </c>
      <c r="E34" s="1" t="s">
        <v>233</v>
      </c>
      <c r="G34">
        <v>800000</v>
      </c>
      <c r="H34">
        <v>0</v>
      </c>
      <c r="I34">
        <v>0</v>
      </c>
      <c r="J34">
        <v>0</v>
      </c>
      <c r="K34">
        <v>0</v>
      </c>
      <c r="L34">
        <v>0</v>
      </c>
      <c r="M34">
        <v>0</v>
      </c>
      <c r="N34">
        <v>0</v>
      </c>
      <c r="O34">
        <v>800000</v>
      </c>
      <c r="P34">
        <v>0</v>
      </c>
      <c r="Q34" t="str">
        <f>INDEX('Partner data'!A:DH,MATCH(C34,'Partner data'!DG:DG,0),83)</f>
        <v>Soggetto pubblico</v>
      </c>
      <c r="R34" t="b">
        <f>IF(E34="staff",IF(INDEX('Partner data'!A:DH,MATCH(C34,'Partner data'!DG:DG,0),112)="BL1 non presente","FALSO",INDEX('Partner data'!A:DH,MATCH(C34,'Partner data'!DG:DG,0),112)))</f>
        <v>0</v>
      </c>
      <c r="S34" t="b">
        <f t="shared" si="0"/>
        <v>0</v>
      </c>
      <c r="T34" t="b">
        <f t="shared" si="1"/>
        <v>1</v>
      </c>
      <c r="U34" s="154">
        <f>IFERROR(IF(R34&lt;&gt;FALSE,IF(S34=TRUE,INDEX('SummaryNOT_VALIDATED-BL'!$A$1:$F$16,MATCH(R34,'SummaryNOT_VALIDATED-BL'!$A$1:$A$16,0),6),0),IF(S34=TRUE,INDEX('SummaryNOT_VALIDATED-BL'!$A$1:$F$16,MATCH(E34,'SummaryNOT_VALIDATED-BL'!$A$1:$A$16,0),6),0)),0)</f>
        <v>0</v>
      </c>
      <c r="V34" s="81" cm="1">
        <f t="array" ref="V34">INDEX('Weight tables'!$A$24:$C$27,MATCH(1,(RendicontiTrasmessiBL__2[[#This Row],[Cut percentage on real costs + USC]]&gt;='Weight tables'!$B$24:$B$27)*(RendicontiTrasmessiBL__2[[#This Row],[Cut percentage on real costs + USC]]&lt;='Weight tables'!$C$24:$C$27),0),1)</f>
        <v>0</v>
      </c>
      <c r="W34" s="2">
        <f>RendicontiTrasmessiBL__2[[#This Row],[Weight real costs  + USC ]]</f>
        <v>0</v>
      </c>
    </row>
    <row r="35" spans="1:23" x14ac:dyDescent="0.25">
      <c r="A35" s="1" t="s">
        <v>58</v>
      </c>
      <c r="B35" s="1" t="s">
        <v>4545</v>
      </c>
      <c r="C35" s="2">
        <v>17</v>
      </c>
      <c r="D35" s="2">
        <v>79</v>
      </c>
      <c r="E35" s="1" t="s">
        <v>234</v>
      </c>
      <c r="G35">
        <v>0</v>
      </c>
      <c r="H35">
        <v>0</v>
      </c>
      <c r="I35">
        <v>0</v>
      </c>
      <c r="J35">
        <v>0</v>
      </c>
      <c r="K35">
        <v>0</v>
      </c>
      <c r="L35">
        <v>0</v>
      </c>
      <c r="M35">
        <v>0</v>
      </c>
      <c r="N35">
        <v>0</v>
      </c>
      <c r="O35">
        <v>0</v>
      </c>
      <c r="P35">
        <v>0</v>
      </c>
      <c r="Q35" t="str">
        <f>INDEX('Partner data'!A:DH,MATCH(C35,'Partner data'!DG:DG,0),83)</f>
        <v>Soggetto pubblico</v>
      </c>
      <c r="R35" t="b">
        <f>IF(E35="staff",IF(INDEX('Partner data'!A:DH,MATCH(C35,'Partner data'!DG:DG,0),112)="BL1 non presente","FALSO",INDEX('Partner data'!A:DH,MATCH(C35,'Partner data'!DG:DG,0),112)))</f>
        <v>0</v>
      </c>
      <c r="S35" t="b">
        <f t="shared" si="0"/>
        <v>0</v>
      </c>
      <c r="T35" t="b">
        <f t="shared" si="1"/>
        <v>1</v>
      </c>
      <c r="U35" s="154">
        <f>IFERROR(IF(R35&lt;&gt;FALSE,IF(S35=TRUE,INDEX('SummaryNOT_VALIDATED-BL'!$A$1:$F$16,MATCH(R35,'SummaryNOT_VALIDATED-BL'!$A$1:$A$16,0),6),0),IF(S35=TRUE,INDEX('SummaryNOT_VALIDATED-BL'!$A$1:$F$16,MATCH(E35,'SummaryNOT_VALIDATED-BL'!$A$1:$A$16,0),6),0)),0)</f>
        <v>0</v>
      </c>
      <c r="V35" s="81" cm="1">
        <f t="array" ref="V35">INDEX('Weight tables'!$A$24:$C$27,MATCH(1,(RendicontiTrasmessiBL__2[[#This Row],[Cut percentage on real costs + USC]]&gt;='Weight tables'!$B$24:$B$27)*(RendicontiTrasmessiBL__2[[#This Row],[Cut percentage on real costs + USC]]&lt;='Weight tables'!$C$24:$C$27),0),1)</f>
        <v>0</v>
      </c>
      <c r="W35" s="2">
        <f>RendicontiTrasmessiBL__2[[#This Row],[Weight real costs  + USC ]]</f>
        <v>0</v>
      </c>
    </row>
    <row r="36" spans="1:23" x14ac:dyDescent="0.25">
      <c r="A36" s="1" t="s">
        <v>58</v>
      </c>
      <c r="B36" s="1" t="s">
        <v>4545</v>
      </c>
      <c r="C36" s="2">
        <v>17</v>
      </c>
      <c r="D36" s="2">
        <v>79</v>
      </c>
      <c r="E36" s="1" t="s">
        <v>236</v>
      </c>
      <c r="G36">
        <v>0</v>
      </c>
      <c r="H36">
        <v>0</v>
      </c>
      <c r="I36">
        <v>0</v>
      </c>
      <c r="J36">
        <v>0</v>
      </c>
      <c r="K36">
        <v>0</v>
      </c>
      <c r="L36">
        <v>0</v>
      </c>
      <c r="M36">
        <v>0</v>
      </c>
      <c r="N36">
        <v>0</v>
      </c>
      <c r="O36">
        <v>0</v>
      </c>
      <c r="P36">
        <v>0</v>
      </c>
      <c r="Q36" t="str">
        <f>INDEX('Partner data'!A:DH,MATCH(C36,'Partner data'!DG:DG,0),83)</f>
        <v>Soggetto pubblico</v>
      </c>
      <c r="R36" t="b">
        <f>IF(E36="staff",IF(INDEX('Partner data'!A:DH,MATCH(C36,'Partner data'!DG:DG,0),112)="BL1 non presente","FALSO",INDEX('Partner data'!A:DH,MATCH(C36,'Partner data'!DG:DG,0),112)))</f>
        <v>0</v>
      </c>
      <c r="S36" t="b">
        <f t="shared" si="0"/>
        <v>0</v>
      </c>
      <c r="T36" t="b">
        <f t="shared" si="1"/>
        <v>1</v>
      </c>
      <c r="U36" s="154">
        <f>IFERROR(IF(R36&lt;&gt;FALSE,IF(S36=TRUE,INDEX('SummaryNOT_VALIDATED-BL'!$A$1:$F$16,MATCH(R36,'SummaryNOT_VALIDATED-BL'!$A$1:$A$16,0),6),0),IF(S36=TRUE,INDEX('SummaryNOT_VALIDATED-BL'!$A$1:$F$16,MATCH(E36,'SummaryNOT_VALIDATED-BL'!$A$1:$A$16,0),6),0)),0)</f>
        <v>0</v>
      </c>
      <c r="V36" s="81" cm="1">
        <f t="array" ref="V36">INDEX('Weight tables'!$A$24:$C$27,MATCH(1,(RendicontiTrasmessiBL__2[[#This Row],[Cut percentage on real costs + USC]]&gt;='Weight tables'!$B$24:$B$27)*(RendicontiTrasmessiBL__2[[#This Row],[Cut percentage on real costs + USC]]&lt;='Weight tables'!$C$24:$C$27),0),1)</f>
        <v>0</v>
      </c>
      <c r="W36" s="2">
        <f>RendicontiTrasmessiBL__2[[#This Row],[Weight real costs  + USC ]]</f>
        <v>0</v>
      </c>
    </row>
    <row r="37" spans="1:23" x14ac:dyDescent="0.25">
      <c r="A37" s="1" t="s">
        <v>58</v>
      </c>
      <c r="B37" s="1" t="s">
        <v>4545</v>
      </c>
      <c r="C37" s="2">
        <v>17</v>
      </c>
      <c r="D37" s="2">
        <v>79</v>
      </c>
      <c r="E37" s="1" t="s">
        <v>237</v>
      </c>
      <c r="G37">
        <v>0</v>
      </c>
      <c r="H37">
        <v>0</v>
      </c>
      <c r="I37">
        <v>0</v>
      </c>
      <c r="J37">
        <v>0</v>
      </c>
      <c r="K37">
        <v>0</v>
      </c>
      <c r="L37">
        <v>0</v>
      </c>
      <c r="M37">
        <v>0</v>
      </c>
      <c r="N37">
        <v>0</v>
      </c>
      <c r="O37">
        <v>0</v>
      </c>
      <c r="P37">
        <v>0</v>
      </c>
      <c r="Q37" t="str">
        <f>INDEX('Partner data'!A:DH,MATCH(C37,'Partner data'!DG:DG,0),83)</f>
        <v>Soggetto pubblico</v>
      </c>
      <c r="R37" t="b">
        <f>IF(E37="staff",IF(INDEX('Partner data'!A:DH,MATCH(C37,'Partner data'!DG:DG,0),112)="BL1 non presente","FALSO",INDEX('Partner data'!A:DH,MATCH(C37,'Partner data'!DG:DG,0),112)))</f>
        <v>0</v>
      </c>
      <c r="S37" t="b">
        <f t="shared" si="0"/>
        <v>0</v>
      </c>
      <c r="T37" t="b">
        <f t="shared" si="1"/>
        <v>1</v>
      </c>
      <c r="U37" s="154">
        <f>IFERROR(IF(R37&lt;&gt;FALSE,IF(S37=TRUE,INDEX('SummaryNOT_VALIDATED-BL'!$A$1:$F$16,MATCH(R37,'SummaryNOT_VALIDATED-BL'!$A$1:$A$16,0),6),0),IF(S37=TRUE,INDEX('SummaryNOT_VALIDATED-BL'!$A$1:$F$16,MATCH(E37,'SummaryNOT_VALIDATED-BL'!$A$1:$A$16,0),6),0)),0)</f>
        <v>0</v>
      </c>
      <c r="V37" s="81" cm="1">
        <f t="array" ref="V37">INDEX('Weight tables'!$A$24:$C$27,MATCH(1,(RendicontiTrasmessiBL__2[[#This Row],[Cut percentage on real costs + USC]]&gt;='Weight tables'!$B$24:$B$27)*(RendicontiTrasmessiBL__2[[#This Row],[Cut percentage on real costs + USC]]&lt;='Weight tables'!$C$24:$C$27),0),1)</f>
        <v>0</v>
      </c>
      <c r="W37" s="2">
        <f>RendicontiTrasmessiBL__2[[#This Row],[Weight real costs  + USC ]]</f>
        <v>0</v>
      </c>
    </row>
    <row r="38" spans="1:23" x14ac:dyDescent="0.25">
      <c r="A38" s="1" t="s">
        <v>58</v>
      </c>
      <c r="B38" s="1" t="s">
        <v>36</v>
      </c>
      <c r="C38" s="2">
        <v>16</v>
      </c>
      <c r="D38" s="2">
        <v>208</v>
      </c>
      <c r="E38" s="1" t="s">
        <v>228</v>
      </c>
      <c r="G38">
        <v>105000</v>
      </c>
      <c r="H38">
        <v>21690.94</v>
      </c>
      <c r="I38">
        <v>0</v>
      </c>
      <c r="J38">
        <v>8591.6200000000008</v>
      </c>
      <c r="K38">
        <v>0</v>
      </c>
      <c r="L38">
        <v>0</v>
      </c>
      <c r="M38">
        <v>30282.560000000001</v>
      </c>
      <c r="N38">
        <v>28.84</v>
      </c>
      <c r="O38">
        <v>74717.440000000002</v>
      </c>
      <c r="P38">
        <v>21690.94</v>
      </c>
      <c r="Q38" t="str">
        <f>INDEX('Partner data'!A:DH,MATCH(C38,'Partner data'!DG:DG,0),83)</f>
        <v>Soggetto pubblico</v>
      </c>
      <c r="R38" t="str">
        <f>IF(E38="staff",IF(INDEX('Partner data'!A:DH,MATCH(C38,'Partner data'!DG:DG,0),112)="BL1 non presente","FALSO",INDEX('Partner data'!A:DH,MATCH(C38,'Partner data'!DG:DG,0),112)))</f>
        <v>COSTO REALE</v>
      </c>
      <c r="S38" t="b">
        <f t="shared" si="0"/>
        <v>1</v>
      </c>
      <c r="T38" t="b">
        <f t="shared" si="1"/>
        <v>1</v>
      </c>
      <c r="U38" s="154">
        <f>IFERROR(IF(R38&lt;&gt;FALSE,IF(S38=TRUE,INDEX('SummaryNOT_VALIDATED-BL'!$A$1:$F$16,MATCH(R38,'SummaryNOT_VALIDATED-BL'!$A$1:$A$16,0),6),0),IF(S38=TRUE,INDEX('SummaryNOT_VALIDATED-BL'!$A$1:$F$16,MATCH(E38,'SummaryNOT_VALIDATED-BL'!$A$1:$A$16,0),6),0)),0)</f>
        <v>9.1604133276901048E-2</v>
      </c>
      <c r="V38" s="81" cm="1">
        <f t="array" ref="V38">INDEX('Weight tables'!$A$24:$C$27,MATCH(1,(RendicontiTrasmessiBL__2[[#This Row],[Cut percentage on real costs + USC]]&gt;='Weight tables'!$B$24:$B$27)*(RendicontiTrasmessiBL__2[[#This Row],[Cut percentage on real costs + USC]]&lt;='Weight tables'!$C$24:$C$27),0),1)</f>
        <v>4</v>
      </c>
      <c r="W38" s="2">
        <f>RendicontiTrasmessiBL__2[[#This Row],[Weight real costs  + USC ]]</f>
        <v>4</v>
      </c>
    </row>
    <row r="39" spans="1:23" x14ac:dyDescent="0.25">
      <c r="A39" s="1" t="s">
        <v>58</v>
      </c>
      <c r="B39" s="1" t="s">
        <v>36</v>
      </c>
      <c r="C39" s="2">
        <v>16</v>
      </c>
      <c r="D39" s="2">
        <v>208</v>
      </c>
      <c r="E39" s="1" t="s">
        <v>229</v>
      </c>
      <c r="F39">
        <v>15</v>
      </c>
      <c r="G39">
        <v>15750</v>
      </c>
      <c r="H39">
        <v>3253.64</v>
      </c>
      <c r="I39">
        <v>0</v>
      </c>
      <c r="J39">
        <v>1288.74</v>
      </c>
      <c r="K39">
        <v>0</v>
      </c>
      <c r="L39">
        <v>0</v>
      </c>
      <c r="M39">
        <v>4542.38</v>
      </c>
      <c r="N39">
        <v>28.84</v>
      </c>
      <c r="O39">
        <v>11207.62</v>
      </c>
      <c r="P39">
        <v>3253.64</v>
      </c>
      <c r="Q39" t="str">
        <f>INDEX('Partner data'!A:DH,MATCH(C39,'Partner data'!DG:DG,0),83)</f>
        <v>Soggetto pubblico</v>
      </c>
      <c r="R39" t="b">
        <f>IF(E39="staff",IF(INDEX('Partner data'!A:DH,MATCH(C39,'Partner data'!DG:DG,0),112)="BL1 non presente","FALSO",INDEX('Partner data'!A:DH,MATCH(C39,'Partner data'!DG:DG,0),112)))</f>
        <v>0</v>
      </c>
      <c r="S39" t="b">
        <f t="shared" si="0"/>
        <v>1</v>
      </c>
      <c r="T39" t="b">
        <f t="shared" si="1"/>
        <v>1</v>
      </c>
      <c r="U39" s="154">
        <f>IFERROR(IF(R39&lt;&gt;FALSE,IF(S39=TRUE,INDEX('SummaryNOT_VALIDATED-BL'!$A$1:$F$16,MATCH(R39,'SummaryNOT_VALIDATED-BL'!$A$1:$A$16,0),6),0),IF(S39=TRUE,INDEX('SummaryNOT_VALIDATED-BL'!$A$1:$F$16,MATCH(E39,'SummaryNOT_VALIDATED-BL'!$A$1:$A$16,0),6),0)),0)</f>
        <v>6.6460469504890221E-2</v>
      </c>
      <c r="V39" s="81" cm="1">
        <f t="array" ref="V39">INDEX('Weight tables'!$A$24:$C$27,MATCH(1,(RendicontiTrasmessiBL__2[[#This Row],[Cut percentage on real costs + USC]]&gt;='Weight tables'!$B$24:$B$27)*(RendicontiTrasmessiBL__2[[#This Row],[Cut percentage on real costs + USC]]&lt;='Weight tables'!$C$24:$C$27),0),1)</f>
        <v>4</v>
      </c>
      <c r="W39" s="2">
        <f>RendicontiTrasmessiBL__2[[#This Row],[Weight real costs  + USC ]]</f>
        <v>4</v>
      </c>
    </row>
    <row r="40" spans="1:23" x14ac:dyDescent="0.25">
      <c r="A40" s="1" t="s">
        <v>58</v>
      </c>
      <c r="B40" s="1" t="s">
        <v>36</v>
      </c>
      <c r="C40" s="2">
        <v>16</v>
      </c>
      <c r="D40" s="2">
        <v>208</v>
      </c>
      <c r="E40" s="1" t="s">
        <v>230</v>
      </c>
      <c r="F40">
        <v>4</v>
      </c>
      <c r="G40">
        <v>4200</v>
      </c>
      <c r="H40">
        <v>867.63</v>
      </c>
      <c r="I40">
        <v>0</v>
      </c>
      <c r="J40">
        <v>343.66</v>
      </c>
      <c r="K40">
        <v>0</v>
      </c>
      <c r="L40">
        <v>0</v>
      </c>
      <c r="M40">
        <v>1211.29</v>
      </c>
      <c r="N40">
        <v>28.84</v>
      </c>
      <c r="O40">
        <v>2988.71</v>
      </c>
      <c r="P40">
        <v>867.63</v>
      </c>
      <c r="Q40" t="str">
        <f>INDEX('Partner data'!A:DH,MATCH(C40,'Partner data'!DG:DG,0),83)</f>
        <v>Soggetto pubblico</v>
      </c>
      <c r="R40" t="b">
        <f>IF(E40="staff",IF(INDEX('Partner data'!A:DH,MATCH(C40,'Partner data'!DG:DG,0),112)="BL1 non presente","FALSO",INDEX('Partner data'!A:DH,MATCH(C40,'Partner data'!DG:DG,0),112)))</f>
        <v>0</v>
      </c>
      <c r="S40" t="b">
        <f t="shared" si="0"/>
        <v>1</v>
      </c>
      <c r="T40" t="b">
        <f t="shared" si="1"/>
        <v>1</v>
      </c>
      <c r="U40" s="154">
        <f>IFERROR(IF(R40&lt;&gt;FALSE,IF(S40=TRUE,INDEX('SummaryNOT_VALIDATED-BL'!$A$1:$F$16,MATCH(R40,'SummaryNOT_VALIDATED-BL'!$A$1:$A$16,0),6),0),IF(S40=TRUE,INDEX('SummaryNOT_VALIDATED-BL'!$A$1:$F$16,MATCH(E40,'SummaryNOT_VALIDATED-BL'!$A$1:$A$16,0),6),0)),0)</f>
        <v>6.3112622236488891E-2</v>
      </c>
      <c r="V40" s="81" cm="1">
        <f t="array" ref="V40">INDEX('Weight tables'!$A$24:$C$27,MATCH(1,(RendicontiTrasmessiBL__2[[#This Row],[Cut percentage on real costs + USC]]&gt;='Weight tables'!$B$24:$B$27)*(RendicontiTrasmessiBL__2[[#This Row],[Cut percentage on real costs + USC]]&lt;='Weight tables'!$C$24:$C$27),0),1)</f>
        <v>4</v>
      </c>
      <c r="W40" s="2">
        <f>RendicontiTrasmessiBL__2[[#This Row],[Weight real costs  + USC ]]</f>
        <v>4</v>
      </c>
    </row>
    <row r="41" spans="1:23" x14ac:dyDescent="0.25">
      <c r="A41" s="1" t="s">
        <v>58</v>
      </c>
      <c r="B41" s="1" t="s">
        <v>36</v>
      </c>
      <c r="C41" s="2">
        <v>16</v>
      </c>
      <c r="D41" s="2">
        <v>208</v>
      </c>
      <c r="E41" s="1" t="s">
        <v>231</v>
      </c>
      <c r="G41">
        <v>134738</v>
      </c>
      <c r="H41">
        <v>42207.55</v>
      </c>
      <c r="I41">
        <v>0</v>
      </c>
      <c r="J41">
        <v>41943.86</v>
      </c>
      <c r="K41">
        <v>0</v>
      </c>
      <c r="L41">
        <v>0</v>
      </c>
      <c r="M41">
        <v>84151.41</v>
      </c>
      <c r="N41">
        <v>62.46</v>
      </c>
      <c r="O41">
        <v>50586.59</v>
      </c>
      <c r="P41">
        <v>42207.55</v>
      </c>
      <c r="Q41" t="str">
        <f>INDEX('Partner data'!A:DH,MATCH(C41,'Partner data'!DG:DG,0),83)</f>
        <v>Soggetto pubblico</v>
      </c>
      <c r="R41" t="b">
        <f>IF(E41="staff",IF(INDEX('Partner data'!A:DH,MATCH(C41,'Partner data'!DG:DG,0),112)="BL1 non presente","FALSO",INDEX('Partner data'!A:DH,MATCH(C41,'Partner data'!DG:DG,0),112)))</f>
        <v>0</v>
      </c>
      <c r="S41" t="b">
        <f t="shared" si="0"/>
        <v>1</v>
      </c>
      <c r="T41" t="b">
        <f t="shared" si="1"/>
        <v>1</v>
      </c>
      <c r="U41" s="154">
        <f>IFERROR(IF(R41&lt;&gt;FALSE,IF(S41=TRUE,INDEX('SummaryNOT_VALIDATED-BL'!$A$1:$F$16,MATCH(R41,'SummaryNOT_VALIDATED-BL'!$A$1:$A$16,0),6),0),IF(S41=TRUE,INDEX('SummaryNOT_VALIDATED-BL'!$A$1:$F$16,MATCH(E41,'SummaryNOT_VALIDATED-BL'!$A$1:$A$16,0),6),0)),0)</f>
        <v>5.577594442215475E-2</v>
      </c>
      <c r="V41" s="81" cm="1">
        <f t="array" ref="V41">INDEX('Weight tables'!$A$24:$C$27,MATCH(1,(RendicontiTrasmessiBL__2[[#This Row],[Cut percentage on real costs + USC]]&gt;='Weight tables'!$B$24:$B$27)*(RendicontiTrasmessiBL__2[[#This Row],[Cut percentage on real costs + USC]]&lt;='Weight tables'!$C$24:$C$27),0),1)</f>
        <v>4</v>
      </c>
      <c r="W41" s="2">
        <f>RendicontiTrasmessiBL__2[[#This Row],[Weight real costs  + USC ]]</f>
        <v>4</v>
      </c>
    </row>
    <row r="42" spans="1:23" x14ac:dyDescent="0.25">
      <c r="A42" s="1" t="s">
        <v>58</v>
      </c>
      <c r="B42" s="1" t="s">
        <v>36</v>
      </c>
      <c r="C42" s="2">
        <v>16</v>
      </c>
      <c r="D42" s="2">
        <v>208</v>
      </c>
      <c r="E42" s="1" t="s">
        <v>232</v>
      </c>
      <c r="G42">
        <v>57000</v>
      </c>
      <c r="H42">
        <v>0</v>
      </c>
      <c r="I42">
        <v>0</v>
      </c>
      <c r="J42">
        <v>0</v>
      </c>
      <c r="K42">
        <v>0</v>
      </c>
      <c r="L42">
        <v>0</v>
      </c>
      <c r="M42">
        <v>0</v>
      </c>
      <c r="N42">
        <v>0</v>
      </c>
      <c r="O42">
        <v>57000</v>
      </c>
      <c r="P42">
        <v>0</v>
      </c>
      <c r="Q42" t="str">
        <f>INDEX('Partner data'!A:DH,MATCH(C42,'Partner data'!DG:DG,0),83)</f>
        <v>Soggetto pubblico</v>
      </c>
      <c r="R42" t="b">
        <f>IF(E42="staff",IF(INDEX('Partner data'!A:DH,MATCH(C42,'Partner data'!DG:DG,0),112)="BL1 non presente","FALSO",INDEX('Partner data'!A:DH,MATCH(C42,'Partner data'!DG:DG,0),112)))</f>
        <v>0</v>
      </c>
      <c r="S42" t="b">
        <f t="shared" si="0"/>
        <v>0</v>
      </c>
      <c r="T42" t="b">
        <f t="shared" si="1"/>
        <v>1</v>
      </c>
      <c r="U42" s="154">
        <f>IFERROR(IF(R42&lt;&gt;FALSE,IF(S42=TRUE,INDEX('SummaryNOT_VALIDATED-BL'!$A$1:$F$16,MATCH(R42,'SummaryNOT_VALIDATED-BL'!$A$1:$A$16,0),6),0),IF(S42=TRUE,INDEX('SummaryNOT_VALIDATED-BL'!$A$1:$F$16,MATCH(E42,'SummaryNOT_VALIDATED-BL'!$A$1:$A$16,0),6),0)),0)</f>
        <v>0</v>
      </c>
      <c r="V42" s="81" cm="1">
        <f t="array" ref="V42">INDEX('Weight tables'!$A$24:$C$27,MATCH(1,(RendicontiTrasmessiBL__2[[#This Row],[Cut percentage on real costs + USC]]&gt;='Weight tables'!$B$24:$B$27)*(RendicontiTrasmessiBL__2[[#This Row],[Cut percentage on real costs + USC]]&lt;='Weight tables'!$C$24:$C$27),0),1)</f>
        <v>0</v>
      </c>
      <c r="W42" s="2">
        <f>RendicontiTrasmessiBL__2[[#This Row],[Weight real costs  + USC ]]</f>
        <v>0</v>
      </c>
    </row>
    <row r="43" spans="1:23" x14ac:dyDescent="0.25">
      <c r="A43" s="1" t="s">
        <v>58</v>
      </c>
      <c r="B43" s="1" t="s">
        <v>36</v>
      </c>
      <c r="C43" s="2">
        <v>16</v>
      </c>
      <c r="D43" s="2">
        <v>208</v>
      </c>
      <c r="E43" s="1" t="s">
        <v>233</v>
      </c>
      <c r="G43">
        <v>0</v>
      </c>
      <c r="H43">
        <v>0</v>
      </c>
      <c r="I43">
        <v>0</v>
      </c>
      <c r="J43">
        <v>0</v>
      </c>
      <c r="K43">
        <v>0</v>
      </c>
      <c r="L43">
        <v>0</v>
      </c>
      <c r="M43">
        <v>0</v>
      </c>
      <c r="N43">
        <v>0</v>
      </c>
      <c r="O43">
        <v>0</v>
      </c>
      <c r="P43">
        <v>0</v>
      </c>
      <c r="Q43" t="str">
        <f>INDEX('Partner data'!A:DH,MATCH(C43,'Partner data'!DG:DG,0),83)</f>
        <v>Soggetto pubblico</v>
      </c>
      <c r="R43" t="b">
        <f>IF(E43="staff",IF(INDEX('Partner data'!A:DH,MATCH(C43,'Partner data'!DG:DG,0),112)="BL1 non presente","FALSO",INDEX('Partner data'!A:DH,MATCH(C43,'Partner data'!DG:DG,0),112)))</f>
        <v>0</v>
      </c>
      <c r="S43" t="b">
        <f t="shared" si="0"/>
        <v>0</v>
      </c>
      <c r="T43" t="b">
        <f t="shared" si="1"/>
        <v>1</v>
      </c>
      <c r="U43" s="154">
        <f>IFERROR(IF(R43&lt;&gt;FALSE,IF(S43=TRUE,INDEX('SummaryNOT_VALIDATED-BL'!$A$1:$F$16,MATCH(R43,'SummaryNOT_VALIDATED-BL'!$A$1:$A$16,0),6),0),IF(S43=TRUE,INDEX('SummaryNOT_VALIDATED-BL'!$A$1:$F$16,MATCH(E43,'SummaryNOT_VALIDATED-BL'!$A$1:$A$16,0),6),0)),0)</f>
        <v>0</v>
      </c>
      <c r="V43" s="81" cm="1">
        <f t="array" ref="V43">INDEX('Weight tables'!$A$24:$C$27,MATCH(1,(RendicontiTrasmessiBL__2[[#This Row],[Cut percentage on real costs + USC]]&gt;='Weight tables'!$B$24:$B$27)*(RendicontiTrasmessiBL__2[[#This Row],[Cut percentage on real costs + USC]]&lt;='Weight tables'!$C$24:$C$27),0),1)</f>
        <v>0</v>
      </c>
      <c r="W43" s="2">
        <f>RendicontiTrasmessiBL__2[[#This Row],[Weight real costs  + USC ]]</f>
        <v>0</v>
      </c>
    </row>
    <row r="44" spans="1:23" x14ac:dyDescent="0.25">
      <c r="A44" s="1" t="s">
        <v>58</v>
      </c>
      <c r="B44" s="1" t="s">
        <v>36</v>
      </c>
      <c r="C44" s="2">
        <v>16</v>
      </c>
      <c r="D44" s="2">
        <v>208</v>
      </c>
      <c r="E44" s="1" t="s">
        <v>234</v>
      </c>
      <c r="G44">
        <v>0</v>
      </c>
      <c r="H44">
        <v>0</v>
      </c>
      <c r="I44">
        <v>0</v>
      </c>
      <c r="J44">
        <v>0</v>
      </c>
      <c r="K44">
        <v>0</v>
      </c>
      <c r="L44">
        <v>0</v>
      </c>
      <c r="M44">
        <v>0</v>
      </c>
      <c r="N44">
        <v>0</v>
      </c>
      <c r="O44">
        <v>0</v>
      </c>
      <c r="P44">
        <v>0</v>
      </c>
      <c r="Q44" t="str">
        <f>INDEX('Partner data'!A:DH,MATCH(C44,'Partner data'!DG:DG,0),83)</f>
        <v>Soggetto pubblico</v>
      </c>
      <c r="R44" t="b">
        <f>IF(E44="staff",IF(INDEX('Partner data'!A:DH,MATCH(C44,'Partner data'!DG:DG,0),112)="BL1 non presente","FALSO",INDEX('Partner data'!A:DH,MATCH(C44,'Partner data'!DG:DG,0),112)))</f>
        <v>0</v>
      </c>
      <c r="S44" t="b">
        <f t="shared" si="0"/>
        <v>0</v>
      </c>
      <c r="T44" t="b">
        <f t="shared" si="1"/>
        <v>1</v>
      </c>
      <c r="U44" s="154">
        <f>IFERROR(IF(R44&lt;&gt;FALSE,IF(S44=TRUE,INDEX('SummaryNOT_VALIDATED-BL'!$A$1:$F$16,MATCH(R44,'SummaryNOT_VALIDATED-BL'!$A$1:$A$16,0),6),0),IF(S44=TRUE,INDEX('SummaryNOT_VALIDATED-BL'!$A$1:$F$16,MATCH(E44,'SummaryNOT_VALIDATED-BL'!$A$1:$A$16,0),6),0)),0)</f>
        <v>0</v>
      </c>
      <c r="V44" s="81" cm="1">
        <f t="array" ref="V44">INDEX('Weight tables'!$A$24:$C$27,MATCH(1,(RendicontiTrasmessiBL__2[[#This Row],[Cut percentage on real costs + USC]]&gt;='Weight tables'!$B$24:$B$27)*(RendicontiTrasmessiBL__2[[#This Row],[Cut percentage on real costs + USC]]&lt;='Weight tables'!$C$24:$C$27),0),1)</f>
        <v>0</v>
      </c>
      <c r="W44" s="2">
        <f>RendicontiTrasmessiBL__2[[#This Row],[Weight real costs  + USC ]]</f>
        <v>0</v>
      </c>
    </row>
    <row r="45" spans="1:23" x14ac:dyDescent="0.25">
      <c r="A45" s="1" t="s">
        <v>58</v>
      </c>
      <c r="B45" s="1" t="s">
        <v>36</v>
      </c>
      <c r="C45" s="2">
        <v>16</v>
      </c>
      <c r="D45" s="2">
        <v>208</v>
      </c>
      <c r="E45" s="1" t="s">
        <v>236</v>
      </c>
      <c r="G45">
        <v>0</v>
      </c>
      <c r="H45">
        <v>0</v>
      </c>
      <c r="I45">
        <v>0</v>
      </c>
      <c r="J45">
        <v>0</v>
      </c>
      <c r="K45">
        <v>0</v>
      </c>
      <c r="L45">
        <v>0</v>
      </c>
      <c r="M45">
        <v>0</v>
      </c>
      <c r="N45">
        <v>0</v>
      </c>
      <c r="O45">
        <v>0</v>
      </c>
      <c r="P45">
        <v>0</v>
      </c>
      <c r="Q45" t="str">
        <f>INDEX('Partner data'!A:DH,MATCH(C45,'Partner data'!DG:DG,0),83)</f>
        <v>Soggetto pubblico</v>
      </c>
      <c r="R45" t="b">
        <f>IF(E45="staff",IF(INDEX('Partner data'!A:DH,MATCH(C45,'Partner data'!DG:DG,0),112)="BL1 non presente","FALSO",INDEX('Partner data'!A:DH,MATCH(C45,'Partner data'!DG:DG,0),112)))</f>
        <v>0</v>
      </c>
      <c r="S45" t="b">
        <f t="shared" si="0"/>
        <v>0</v>
      </c>
      <c r="T45" t="b">
        <f t="shared" si="1"/>
        <v>1</v>
      </c>
      <c r="U45" s="154">
        <f>IFERROR(IF(R45&lt;&gt;FALSE,IF(S45=TRUE,INDEX('SummaryNOT_VALIDATED-BL'!$A$1:$F$16,MATCH(R45,'SummaryNOT_VALIDATED-BL'!$A$1:$A$16,0),6),0),IF(S45=TRUE,INDEX('SummaryNOT_VALIDATED-BL'!$A$1:$F$16,MATCH(E45,'SummaryNOT_VALIDATED-BL'!$A$1:$A$16,0),6),0)),0)</f>
        <v>0</v>
      </c>
      <c r="V45" s="81" cm="1">
        <f t="array" ref="V45">INDEX('Weight tables'!$A$24:$C$27,MATCH(1,(RendicontiTrasmessiBL__2[[#This Row],[Cut percentage on real costs + USC]]&gt;='Weight tables'!$B$24:$B$27)*(RendicontiTrasmessiBL__2[[#This Row],[Cut percentage on real costs + USC]]&lt;='Weight tables'!$C$24:$C$27),0),1)</f>
        <v>0</v>
      </c>
      <c r="W45" s="2">
        <f>RendicontiTrasmessiBL__2[[#This Row],[Weight real costs  + USC ]]</f>
        <v>0</v>
      </c>
    </row>
    <row r="46" spans="1:23" x14ac:dyDescent="0.25">
      <c r="A46" s="1" t="s">
        <v>58</v>
      </c>
      <c r="B46" s="1" t="s">
        <v>36</v>
      </c>
      <c r="C46" s="2">
        <v>16</v>
      </c>
      <c r="D46" s="2">
        <v>208</v>
      </c>
      <c r="E46" s="1" t="s">
        <v>237</v>
      </c>
      <c r="G46">
        <v>0</v>
      </c>
      <c r="H46">
        <v>0</v>
      </c>
      <c r="I46">
        <v>0</v>
      </c>
      <c r="J46">
        <v>0</v>
      </c>
      <c r="K46">
        <v>0</v>
      </c>
      <c r="L46">
        <v>0</v>
      </c>
      <c r="M46">
        <v>0</v>
      </c>
      <c r="N46">
        <v>0</v>
      </c>
      <c r="O46">
        <v>0</v>
      </c>
      <c r="P46">
        <v>0</v>
      </c>
      <c r="Q46" t="str">
        <f>INDEX('Partner data'!A:DH,MATCH(C46,'Partner data'!DG:DG,0),83)</f>
        <v>Soggetto pubblico</v>
      </c>
      <c r="R46" t="b">
        <f>IF(E46="staff",IF(INDEX('Partner data'!A:DH,MATCH(C46,'Partner data'!DG:DG,0),112)="BL1 non presente","FALSO",INDEX('Partner data'!A:DH,MATCH(C46,'Partner data'!DG:DG,0),112)))</f>
        <v>0</v>
      </c>
      <c r="S46" t="b">
        <f t="shared" si="0"/>
        <v>0</v>
      </c>
      <c r="T46" t="b">
        <f t="shared" si="1"/>
        <v>1</v>
      </c>
      <c r="U46" s="154">
        <f>IFERROR(IF(R46&lt;&gt;FALSE,IF(S46=TRUE,INDEX('SummaryNOT_VALIDATED-BL'!$A$1:$F$16,MATCH(R46,'SummaryNOT_VALIDATED-BL'!$A$1:$A$16,0),6),0),IF(S46=TRUE,INDEX('SummaryNOT_VALIDATED-BL'!$A$1:$F$16,MATCH(E46,'SummaryNOT_VALIDATED-BL'!$A$1:$A$16,0),6),0)),0)</f>
        <v>0</v>
      </c>
      <c r="V46" s="81" cm="1">
        <f t="array" ref="V46">INDEX('Weight tables'!$A$24:$C$27,MATCH(1,(RendicontiTrasmessiBL__2[[#This Row],[Cut percentage on real costs + USC]]&gt;='Weight tables'!$B$24:$B$27)*(RendicontiTrasmessiBL__2[[#This Row],[Cut percentage on real costs + USC]]&lt;='Weight tables'!$C$24:$C$27),0),1)</f>
        <v>0</v>
      </c>
      <c r="W46" s="2">
        <f>RendicontiTrasmessiBL__2[[#This Row],[Weight real costs  + USC ]]</f>
        <v>0</v>
      </c>
    </row>
    <row r="47" spans="1:23" x14ac:dyDescent="0.25">
      <c r="A47" s="1" t="s">
        <v>58</v>
      </c>
      <c r="B47" s="1" t="s">
        <v>36</v>
      </c>
      <c r="C47" s="2">
        <v>16</v>
      </c>
      <c r="D47" s="2">
        <v>83</v>
      </c>
      <c r="E47" s="1" t="s">
        <v>228</v>
      </c>
      <c r="G47">
        <v>105000</v>
      </c>
      <c r="H47">
        <v>0</v>
      </c>
      <c r="I47">
        <v>0</v>
      </c>
      <c r="J47">
        <v>21690.94</v>
      </c>
      <c r="K47">
        <v>0</v>
      </c>
      <c r="L47">
        <v>21690.94</v>
      </c>
      <c r="M47">
        <v>21690.94</v>
      </c>
      <c r="N47">
        <v>20.66</v>
      </c>
      <c r="O47">
        <v>83309.06</v>
      </c>
      <c r="P47">
        <v>0</v>
      </c>
      <c r="Q47" t="str">
        <f>INDEX('Partner data'!A:DH,MATCH(C47,'Partner data'!DG:DG,0),83)</f>
        <v>Soggetto pubblico</v>
      </c>
      <c r="R47" t="str">
        <f>IF(E47="staff",IF(INDEX('Partner data'!A:DH,MATCH(C47,'Partner data'!DG:DG,0),112)="BL1 non presente","FALSO",INDEX('Partner data'!A:DH,MATCH(C47,'Partner data'!DG:DG,0),112)))</f>
        <v>COSTO REALE</v>
      </c>
      <c r="S47" t="b">
        <f t="shared" si="0"/>
        <v>1</v>
      </c>
      <c r="T47" t="b">
        <f t="shared" si="1"/>
        <v>1</v>
      </c>
      <c r="U47" s="154">
        <f>IFERROR(IF(R47&lt;&gt;FALSE,IF(S47=TRUE,INDEX('SummaryNOT_VALIDATED-BL'!$A$1:$F$16,MATCH(R47,'SummaryNOT_VALIDATED-BL'!$A$1:$A$16,0),6),0),IF(S47=TRUE,INDEX('SummaryNOT_VALIDATED-BL'!$A$1:$F$16,MATCH(E47,'SummaryNOT_VALIDATED-BL'!$A$1:$A$16,0),6),0)),0)</f>
        <v>9.1604133276901048E-2</v>
      </c>
      <c r="V47" s="81" cm="1">
        <f t="array" ref="V47">INDEX('Weight tables'!$A$24:$C$27,MATCH(1,(RendicontiTrasmessiBL__2[[#This Row],[Cut percentage on real costs + USC]]&gt;='Weight tables'!$B$24:$B$27)*(RendicontiTrasmessiBL__2[[#This Row],[Cut percentage on real costs + USC]]&lt;='Weight tables'!$C$24:$C$27),0),1)</f>
        <v>4</v>
      </c>
      <c r="W47" s="2">
        <f>RendicontiTrasmessiBL__2[[#This Row],[Weight real costs  + USC ]]</f>
        <v>4</v>
      </c>
    </row>
    <row r="48" spans="1:23" x14ac:dyDescent="0.25">
      <c r="A48" s="1" t="s">
        <v>58</v>
      </c>
      <c r="B48" s="1" t="s">
        <v>36</v>
      </c>
      <c r="C48" s="2">
        <v>16</v>
      </c>
      <c r="D48" s="2">
        <v>83</v>
      </c>
      <c r="E48" s="1" t="s">
        <v>229</v>
      </c>
      <c r="F48">
        <v>15</v>
      </c>
      <c r="G48">
        <v>15750</v>
      </c>
      <c r="H48">
        <v>0</v>
      </c>
      <c r="I48">
        <v>0</v>
      </c>
      <c r="J48">
        <v>3253.64</v>
      </c>
      <c r="K48">
        <v>0</v>
      </c>
      <c r="L48">
        <v>3253.64</v>
      </c>
      <c r="M48">
        <v>3253.64</v>
      </c>
      <c r="N48">
        <v>20.66</v>
      </c>
      <c r="O48">
        <v>12496.36</v>
      </c>
      <c r="P48">
        <v>0</v>
      </c>
      <c r="Q48" t="str">
        <f>INDEX('Partner data'!A:DH,MATCH(C48,'Partner data'!DG:DG,0),83)</f>
        <v>Soggetto pubblico</v>
      </c>
      <c r="R48" t="b">
        <f>IF(E48="staff",IF(INDEX('Partner data'!A:DH,MATCH(C48,'Partner data'!DG:DG,0),112)="BL1 non presente","FALSO",INDEX('Partner data'!A:DH,MATCH(C48,'Partner data'!DG:DG,0),112)))</f>
        <v>0</v>
      </c>
      <c r="S48" t="b">
        <f t="shared" si="0"/>
        <v>1</v>
      </c>
      <c r="T48" t="b">
        <f t="shared" si="1"/>
        <v>1</v>
      </c>
      <c r="U48" s="154">
        <f>IFERROR(IF(R48&lt;&gt;FALSE,IF(S48=TRUE,INDEX('SummaryNOT_VALIDATED-BL'!$A$1:$F$16,MATCH(R48,'SummaryNOT_VALIDATED-BL'!$A$1:$A$16,0),6),0),IF(S48=TRUE,INDEX('SummaryNOT_VALIDATED-BL'!$A$1:$F$16,MATCH(E48,'SummaryNOT_VALIDATED-BL'!$A$1:$A$16,0),6),0)),0)</f>
        <v>6.6460469504890221E-2</v>
      </c>
      <c r="V48" s="81" cm="1">
        <f t="array" ref="V48">INDEX('Weight tables'!$A$24:$C$27,MATCH(1,(RendicontiTrasmessiBL__2[[#This Row],[Cut percentage on real costs + USC]]&gt;='Weight tables'!$B$24:$B$27)*(RendicontiTrasmessiBL__2[[#This Row],[Cut percentage on real costs + USC]]&lt;='Weight tables'!$C$24:$C$27),0),1)</f>
        <v>4</v>
      </c>
      <c r="W48" s="2">
        <f>RendicontiTrasmessiBL__2[[#This Row],[Weight real costs  + USC ]]</f>
        <v>4</v>
      </c>
    </row>
    <row r="49" spans="1:23" x14ac:dyDescent="0.25">
      <c r="A49" s="1" t="s">
        <v>58</v>
      </c>
      <c r="B49" s="1" t="s">
        <v>36</v>
      </c>
      <c r="C49" s="2">
        <v>16</v>
      </c>
      <c r="D49" s="2">
        <v>83</v>
      </c>
      <c r="E49" s="1" t="s">
        <v>230</v>
      </c>
      <c r="F49">
        <v>4</v>
      </c>
      <c r="G49">
        <v>4200</v>
      </c>
      <c r="H49">
        <v>0</v>
      </c>
      <c r="I49">
        <v>0</v>
      </c>
      <c r="J49">
        <v>867.63</v>
      </c>
      <c r="K49">
        <v>0</v>
      </c>
      <c r="L49">
        <v>867.63</v>
      </c>
      <c r="M49">
        <v>867.63</v>
      </c>
      <c r="N49">
        <v>20.66</v>
      </c>
      <c r="O49">
        <v>3332.37</v>
      </c>
      <c r="P49">
        <v>0</v>
      </c>
      <c r="Q49" t="str">
        <f>INDEX('Partner data'!A:DH,MATCH(C49,'Partner data'!DG:DG,0),83)</f>
        <v>Soggetto pubblico</v>
      </c>
      <c r="R49" t="b">
        <f>IF(E49="staff",IF(INDEX('Partner data'!A:DH,MATCH(C49,'Partner data'!DG:DG,0),112)="BL1 non presente","FALSO",INDEX('Partner data'!A:DH,MATCH(C49,'Partner data'!DG:DG,0),112)))</f>
        <v>0</v>
      </c>
      <c r="S49" t="b">
        <f t="shared" si="0"/>
        <v>1</v>
      </c>
      <c r="T49" t="b">
        <f t="shared" si="1"/>
        <v>1</v>
      </c>
      <c r="U49" s="154">
        <f>IFERROR(IF(R49&lt;&gt;FALSE,IF(S49=TRUE,INDEX('SummaryNOT_VALIDATED-BL'!$A$1:$F$16,MATCH(R49,'SummaryNOT_VALIDATED-BL'!$A$1:$A$16,0),6),0),IF(S49=TRUE,INDEX('SummaryNOT_VALIDATED-BL'!$A$1:$F$16,MATCH(E49,'SummaryNOT_VALIDATED-BL'!$A$1:$A$16,0),6),0)),0)</f>
        <v>6.3112622236488891E-2</v>
      </c>
      <c r="V49" s="81" cm="1">
        <f t="array" ref="V49">INDEX('Weight tables'!$A$24:$C$27,MATCH(1,(RendicontiTrasmessiBL__2[[#This Row],[Cut percentage on real costs + USC]]&gt;='Weight tables'!$B$24:$B$27)*(RendicontiTrasmessiBL__2[[#This Row],[Cut percentage on real costs + USC]]&lt;='Weight tables'!$C$24:$C$27),0),1)</f>
        <v>4</v>
      </c>
      <c r="W49" s="2">
        <f>RendicontiTrasmessiBL__2[[#This Row],[Weight real costs  + USC ]]</f>
        <v>4</v>
      </c>
    </row>
    <row r="50" spans="1:23" x14ac:dyDescent="0.25">
      <c r="A50" s="1" t="s">
        <v>58</v>
      </c>
      <c r="B50" s="1" t="s">
        <v>36</v>
      </c>
      <c r="C50" s="2">
        <v>16</v>
      </c>
      <c r="D50" s="2">
        <v>83</v>
      </c>
      <c r="E50" s="1" t="s">
        <v>231</v>
      </c>
      <c r="G50">
        <v>134738</v>
      </c>
      <c r="H50">
        <v>0</v>
      </c>
      <c r="I50">
        <v>0</v>
      </c>
      <c r="J50">
        <v>42207.55</v>
      </c>
      <c r="K50">
        <v>0</v>
      </c>
      <c r="L50">
        <v>42207.55</v>
      </c>
      <c r="M50">
        <v>42207.55</v>
      </c>
      <c r="N50">
        <v>31.33</v>
      </c>
      <c r="O50">
        <v>92530.45</v>
      </c>
      <c r="P50">
        <v>0</v>
      </c>
      <c r="Q50" t="str">
        <f>INDEX('Partner data'!A:DH,MATCH(C50,'Partner data'!DG:DG,0),83)</f>
        <v>Soggetto pubblico</v>
      </c>
      <c r="R50" t="b">
        <f>IF(E50="staff",IF(INDEX('Partner data'!A:DH,MATCH(C50,'Partner data'!DG:DG,0),112)="BL1 non presente","FALSO",INDEX('Partner data'!A:DH,MATCH(C50,'Partner data'!DG:DG,0),112)))</f>
        <v>0</v>
      </c>
      <c r="S50" t="b">
        <f t="shared" si="0"/>
        <v>1</v>
      </c>
      <c r="T50" t="b">
        <f t="shared" si="1"/>
        <v>1</v>
      </c>
      <c r="U50" s="154">
        <f>IFERROR(IF(R50&lt;&gt;FALSE,IF(S50=TRUE,INDEX('SummaryNOT_VALIDATED-BL'!$A$1:$F$16,MATCH(R50,'SummaryNOT_VALIDATED-BL'!$A$1:$A$16,0),6),0),IF(S50=TRUE,INDEX('SummaryNOT_VALIDATED-BL'!$A$1:$F$16,MATCH(E50,'SummaryNOT_VALIDATED-BL'!$A$1:$A$16,0),6),0)),0)</f>
        <v>5.577594442215475E-2</v>
      </c>
      <c r="V50" s="81" cm="1">
        <f t="array" ref="V50">INDEX('Weight tables'!$A$24:$C$27,MATCH(1,(RendicontiTrasmessiBL__2[[#This Row],[Cut percentage on real costs + USC]]&gt;='Weight tables'!$B$24:$B$27)*(RendicontiTrasmessiBL__2[[#This Row],[Cut percentage on real costs + USC]]&lt;='Weight tables'!$C$24:$C$27),0),1)</f>
        <v>4</v>
      </c>
      <c r="W50" s="2">
        <f>RendicontiTrasmessiBL__2[[#This Row],[Weight real costs  + USC ]]</f>
        <v>4</v>
      </c>
    </row>
    <row r="51" spans="1:23" x14ac:dyDescent="0.25">
      <c r="A51" s="1" t="s">
        <v>58</v>
      </c>
      <c r="B51" s="1" t="s">
        <v>36</v>
      </c>
      <c r="C51" s="2">
        <v>16</v>
      </c>
      <c r="D51" s="2">
        <v>83</v>
      </c>
      <c r="E51" s="1" t="s">
        <v>232</v>
      </c>
      <c r="G51">
        <v>57000</v>
      </c>
      <c r="H51">
        <v>0</v>
      </c>
      <c r="I51">
        <v>0</v>
      </c>
      <c r="J51">
        <v>0</v>
      </c>
      <c r="K51">
        <v>0</v>
      </c>
      <c r="L51">
        <v>0</v>
      </c>
      <c r="M51">
        <v>0</v>
      </c>
      <c r="N51">
        <v>0</v>
      </c>
      <c r="O51">
        <v>57000</v>
      </c>
      <c r="P51">
        <v>0</v>
      </c>
      <c r="Q51" t="str">
        <f>INDEX('Partner data'!A:DH,MATCH(C51,'Partner data'!DG:DG,0),83)</f>
        <v>Soggetto pubblico</v>
      </c>
      <c r="R51" t="b">
        <f>IF(E51="staff",IF(INDEX('Partner data'!A:DH,MATCH(C51,'Partner data'!DG:DG,0),112)="BL1 non presente","FALSO",INDEX('Partner data'!A:DH,MATCH(C51,'Partner data'!DG:DG,0),112)))</f>
        <v>0</v>
      </c>
      <c r="S51" t="b">
        <f t="shared" si="0"/>
        <v>0</v>
      </c>
      <c r="T51" t="b">
        <f t="shared" si="1"/>
        <v>1</v>
      </c>
      <c r="U51" s="154">
        <f>IFERROR(IF(R51&lt;&gt;FALSE,IF(S51=TRUE,INDEX('SummaryNOT_VALIDATED-BL'!$A$1:$F$16,MATCH(R51,'SummaryNOT_VALIDATED-BL'!$A$1:$A$16,0),6),0),IF(S51=TRUE,INDEX('SummaryNOT_VALIDATED-BL'!$A$1:$F$16,MATCH(E51,'SummaryNOT_VALIDATED-BL'!$A$1:$A$16,0),6),0)),0)</f>
        <v>0</v>
      </c>
      <c r="V51" s="81" cm="1">
        <f t="array" ref="V51">INDEX('Weight tables'!$A$24:$C$27,MATCH(1,(RendicontiTrasmessiBL__2[[#This Row],[Cut percentage on real costs + USC]]&gt;='Weight tables'!$B$24:$B$27)*(RendicontiTrasmessiBL__2[[#This Row],[Cut percentage on real costs + USC]]&lt;='Weight tables'!$C$24:$C$27),0),1)</f>
        <v>0</v>
      </c>
      <c r="W51" s="2">
        <f>RendicontiTrasmessiBL__2[[#This Row],[Weight real costs  + USC ]]</f>
        <v>0</v>
      </c>
    </row>
    <row r="52" spans="1:23" x14ac:dyDescent="0.25">
      <c r="A52" s="1" t="s">
        <v>58</v>
      </c>
      <c r="B52" s="1" t="s">
        <v>36</v>
      </c>
      <c r="C52" s="2">
        <v>16</v>
      </c>
      <c r="D52" s="2">
        <v>83</v>
      </c>
      <c r="E52" s="1" t="s">
        <v>233</v>
      </c>
      <c r="G52">
        <v>0</v>
      </c>
      <c r="H52">
        <v>0</v>
      </c>
      <c r="I52">
        <v>0</v>
      </c>
      <c r="J52">
        <v>0</v>
      </c>
      <c r="K52">
        <v>0</v>
      </c>
      <c r="L52">
        <v>0</v>
      </c>
      <c r="M52">
        <v>0</v>
      </c>
      <c r="N52">
        <v>0</v>
      </c>
      <c r="O52">
        <v>0</v>
      </c>
      <c r="P52">
        <v>0</v>
      </c>
      <c r="Q52" t="str">
        <f>INDEX('Partner data'!A:DH,MATCH(C52,'Partner data'!DG:DG,0),83)</f>
        <v>Soggetto pubblico</v>
      </c>
      <c r="R52" t="b">
        <f>IF(E52="staff",IF(INDEX('Partner data'!A:DH,MATCH(C52,'Partner data'!DG:DG,0),112)="BL1 non presente","FALSO",INDEX('Partner data'!A:DH,MATCH(C52,'Partner data'!DG:DG,0),112)))</f>
        <v>0</v>
      </c>
      <c r="S52" t="b">
        <f t="shared" si="0"/>
        <v>0</v>
      </c>
      <c r="T52" t="b">
        <f t="shared" si="1"/>
        <v>1</v>
      </c>
      <c r="U52" s="154">
        <f>IFERROR(IF(R52&lt;&gt;FALSE,IF(S52=TRUE,INDEX('SummaryNOT_VALIDATED-BL'!$A$1:$F$16,MATCH(R52,'SummaryNOT_VALIDATED-BL'!$A$1:$A$16,0),6),0),IF(S52=TRUE,INDEX('SummaryNOT_VALIDATED-BL'!$A$1:$F$16,MATCH(E52,'SummaryNOT_VALIDATED-BL'!$A$1:$A$16,0),6),0)),0)</f>
        <v>0</v>
      </c>
      <c r="V52" s="81" cm="1">
        <f t="array" ref="V52">INDEX('Weight tables'!$A$24:$C$27,MATCH(1,(RendicontiTrasmessiBL__2[[#This Row],[Cut percentage on real costs + USC]]&gt;='Weight tables'!$B$24:$B$27)*(RendicontiTrasmessiBL__2[[#This Row],[Cut percentage on real costs + USC]]&lt;='Weight tables'!$C$24:$C$27),0),1)</f>
        <v>0</v>
      </c>
      <c r="W52" s="2">
        <f>RendicontiTrasmessiBL__2[[#This Row],[Weight real costs  + USC ]]</f>
        <v>0</v>
      </c>
    </row>
    <row r="53" spans="1:23" x14ac:dyDescent="0.25">
      <c r="A53" s="1" t="s">
        <v>58</v>
      </c>
      <c r="B53" s="1" t="s">
        <v>36</v>
      </c>
      <c r="C53" s="2">
        <v>16</v>
      </c>
      <c r="D53" s="2">
        <v>83</v>
      </c>
      <c r="E53" s="1" t="s">
        <v>234</v>
      </c>
      <c r="G53">
        <v>0</v>
      </c>
      <c r="H53">
        <v>0</v>
      </c>
      <c r="I53">
        <v>0</v>
      </c>
      <c r="J53">
        <v>0</v>
      </c>
      <c r="K53">
        <v>0</v>
      </c>
      <c r="L53">
        <v>0</v>
      </c>
      <c r="M53">
        <v>0</v>
      </c>
      <c r="N53">
        <v>0</v>
      </c>
      <c r="O53">
        <v>0</v>
      </c>
      <c r="P53">
        <v>0</v>
      </c>
      <c r="Q53" t="str">
        <f>INDEX('Partner data'!A:DH,MATCH(C53,'Partner data'!DG:DG,0),83)</f>
        <v>Soggetto pubblico</v>
      </c>
      <c r="R53" t="b">
        <f>IF(E53="staff",IF(INDEX('Partner data'!A:DH,MATCH(C53,'Partner data'!DG:DG,0),112)="BL1 non presente","FALSO",INDEX('Partner data'!A:DH,MATCH(C53,'Partner data'!DG:DG,0),112)))</f>
        <v>0</v>
      </c>
      <c r="S53" t="b">
        <f t="shared" si="0"/>
        <v>0</v>
      </c>
      <c r="T53" t="b">
        <f t="shared" si="1"/>
        <v>1</v>
      </c>
      <c r="U53" s="154">
        <f>IFERROR(IF(R53&lt;&gt;FALSE,IF(S53=TRUE,INDEX('SummaryNOT_VALIDATED-BL'!$A$1:$F$16,MATCH(R53,'SummaryNOT_VALIDATED-BL'!$A$1:$A$16,0),6),0),IF(S53=TRUE,INDEX('SummaryNOT_VALIDATED-BL'!$A$1:$F$16,MATCH(E53,'SummaryNOT_VALIDATED-BL'!$A$1:$A$16,0),6),0)),0)</f>
        <v>0</v>
      </c>
      <c r="V53" s="81" cm="1">
        <f t="array" ref="V53">INDEX('Weight tables'!$A$24:$C$27,MATCH(1,(RendicontiTrasmessiBL__2[[#This Row],[Cut percentage on real costs + USC]]&gt;='Weight tables'!$B$24:$B$27)*(RendicontiTrasmessiBL__2[[#This Row],[Cut percentage on real costs + USC]]&lt;='Weight tables'!$C$24:$C$27),0),1)</f>
        <v>0</v>
      </c>
      <c r="W53" s="2">
        <f>RendicontiTrasmessiBL__2[[#This Row],[Weight real costs  + USC ]]</f>
        <v>0</v>
      </c>
    </row>
    <row r="54" spans="1:23" x14ac:dyDescent="0.25">
      <c r="A54" s="1" t="s">
        <v>58</v>
      </c>
      <c r="B54" s="1" t="s">
        <v>36</v>
      </c>
      <c r="C54" s="2">
        <v>16</v>
      </c>
      <c r="D54" s="2">
        <v>83</v>
      </c>
      <c r="E54" s="1" t="s">
        <v>236</v>
      </c>
      <c r="G54">
        <v>0</v>
      </c>
      <c r="H54">
        <v>0</v>
      </c>
      <c r="I54">
        <v>0</v>
      </c>
      <c r="J54">
        <v>0</v>
      </c>
      <c r="K54">
        <v>0</v>
      </c>
      <c r="L54">
        <v>0</v>
      </c>
      <c r="M54">
        <v>0</v>
      </c>
      <c r="N54">
        <v>0</v>
      </c>
      <c r="O54">
        <v>0</v>
      </c>
      <c r="P54">
        <v>0</v>
      </c>
      <c r="Q54" t="str">
        <f>INDEX('Partner data'!A:DH,MATCH(C54,'Partner data'!DG:DG,0),83)</f>
        <v>Soggetto pubblico</v>
      </c>
      <c r="R54" t="b">
        <f>IF(E54="staff",IF(INDEX('Partner data'!A:DH,MATCH(C54,'Partner data'!DG:DG,0),112)="BL1 non presente","FALSO",INDEX('Partner data'!A:DH,MATCH(C54,'Partner data'!DG:DG,0),112)))</f>
        <v>0</v>
      </c>
      <c r="S54" t="b">
        <f t="shared" si="0"/>
        <v>0</v>
      </c>
      <c r="T54" t="b">
        <f t="shared" si="1"/>
        <v>1</v>
      </c>
      <c r="U54" s="154">
        <f>IFERROR(IF(R54&lt;&gt;FALSE,IF(S54=TRUE,INDEX('SummaryNOT_VALIDATED-BL'!$A$1:$F$16,MATCH(R54,'SummaryNOT_VALIDATED-BL'!$A$1:$A$16,0),6),0),IF(S54=TRUE,INDEX('SummaryNOT_VALIDATED-BL'!$A$1:$F$16,MATCH(E54,'SummaryNOT_VALIDATED-BL'!$A$1:$A$16,0),6),0)),0)</f>
        <v>0</v>
      </c>
      <c r="V54" s="81" cm="1">
        <f t="array" ref="V54">INDEX('Weight tables'!$A$24:$C$27,MATCH(1,(RendicontiTrasmessiBL__2[[#This Row],[Cut percentage on real costs + USC]]&gt;='Weight tables'!$B$24:$B$27)*(RendicontiTrasmessiBL__2[[#This Row],[Cut percentage on real costs + USC]]&lt;='Weight tables'!$C$24:$C$27),0),1)</f>
        <v>0</v>
      </c>
      <c r="W54" s="2">
        <f>RendicontiTrasmessiBL__2[[#This Row],[Weight real costs  + USC ]]</f>
        <v>0</v>
      </c>
    </row>
    <row r="55" spans="1:23" x14ac:dyDescent="0.25">
      <c r="A55" s="1" t="s">
        <v>58</v>
      </c>
      <c r="B55" s="1" t="s">
        <v>36</v>
      </c>
      <c r="C55" s="2">
        <v>16</v>
      </c>
      <c r="D55" s="2">
        <v>83</v>
      </c>
      <c r="E55" s="1" t="s">
        <v>237</v>
      </c>
      <c r="G55">
        <v>0</v>
      </c>
      <c r="H55">
        <v>0</v>
      </c>
      <c r="I55">
        <v>0</v>
      </c>
      <c r="J55">
        <v>0</v>
      </c>
      <c r="K55">
        <v>0</v>
      </c>
      <c r="L55">
        <v>0</v>
      </c>
      <c r="M55">
        <v>0</v>
      </c>
      <c r="N55">
        <v>0</v>
      </c>
      <c r="O55">
        <v>0</v>
      </c>
      <c r="P55">
        <v>0</v>
      </c>
      <c r="Q55" t="str">
        <f>INDEX('Partner data'!A:DH,MATCH(C55,'Partner data'!DG:DG,0),83)</f>
        <v>Soggetto pubblico</v>
      </c>
      <c r="R55" t="b">
        <f>IF(E55="staff",IF(INDEX('Partner data'!A:DH,MATCH(C55,'Partner data'!DG:DG,0),112)="BL1 non presente","FALSO",INDEX('Partner data'!A:DH,MATCH(C55,'Partner data'!DG:DG,0),112)))</f>
        <v>0</v>
      </c>
      <c r="S55" t="b">
        <f t="shared" si="0"/>
        <v>0</v>
      </c>
      <c r="T55" t="b">
        <f t="shared" si="1"/>
        <v>1</v>
      </c>
      <c r="U55" s="154">
        <f>IFERROR(IF(R55&lt;&gt;FALSE,IF(S55=TRUE,INDEX('SummaryNOT_VALIDATED-BL'!$A$1:$F$16,MATCH(R55,'SummaryNOT_VALIDATED-BL'!$A$1:$A$16,0),6),0),IF(S55=TRUE,INDEX('SummaryNOT_VALIDATED-BL'!$A$1:$F$16,MATCH(E55,'SummaryNOT_VALIDATED-BL'!$A$1:$A$16,0),6),0)),0)</f>
        <v>0</v>
      </c>
      <c r="V55" s="81" cm="1">
        <f t="array" ref="V55">INDEX('Weight tables'!$A$24:$C$27,MATCH(1,(RendicontiTrasmessiBL__2[[#This Row],[Cut percentage on real costs + USC]]&gt;='Weight tables'!$B$24:$B$27)*(RendicontiTrasmessiBL__2[[#This Row],[Cut percentage on real costs + USC]]&lt;='Weight tables'!$C$24:$C$27),0),1)</f>
        <v>0</v>
      </c>
      <c r="W55" s="2">
        <f>RendicontiTrasmessiBL__2[[#This Row],[Weight real costs  + USC ]]</f>
        <v>0</v>
      </c>
    </row>
    <row r="56" spans="1:23" x14ac:dyDescent="0.25">
      <c r="A56" s="1" t="s">
        <v>58</v>
      </c>
      <c r="B56" s="1" t="s">
        <v>21</v>
      </c>
      <c r="C56" s="2">
        <v>13</v>
      </c>
      <c r="D56" s="2">
        <v>189</v>
      </c>
      <c r="E56" s="1" t="s">
        <v>228</v>
      </c>
      <c r="F56">
        <v>20</v>
      </c>
      <c r="G56">
        <v>51696.28</v>
      </c>
      <c r="H56">
        <v>4108.91</v>
      </c>
      <c r="I56">
        <v>0</v>
      </c>
      <c r="J56">
        <v>2570.37</v>
      </c>
      <c r="K56">
        <v>0</v>
      </c>
      <c r="L56">
        <v>2570.37</v>
      </c>
      <c r="M56">
        <v>6679.28</v>
      </c>
      <c r="N56">
        <v>12.92</v>
      </c>
      <c r="O56">
        <v>45017</v>
      </c>
      <c r="P56">
        <v>4108.91</v>
      </c>
      <c r="Q56" t="str">
        <f>INDEX('Partner data'!A:DH,MATCH(C56,'Partner data'!DG:DG,0),83)</f>
        <v xml:space="preserve">Organismo di diritto pubblico </v>
      </c>
      <c r="R56" t="str">
        <f>IF(E56="staff",IF(INDEX('Partner data'!A:DH,MATCH(C56,'Partner data'!DG:DG,0),112)="BL1 non presente","FALSO",INDEX('Partner data'!A:DH,MATCH(C56,'Partner data'!DG:DG,0),112)))</f>
        <v>Tasso Forfettario 20%</v>
      </c>
      <c r="S56" t="b">
        <f t="shared" si="0"/>
        <v>1</v>
      </c>
      <c r="T56" t="b">
        <f t="shared" si="1"/>
        <v>1</v>
      </c>
      <c r="U56" s="154">
        <f>IFERROR(IF(R56&lt;&gt;FALSE,IF(S56=TRUE,INDEX('SummaryNOT_VALIDATED-BL'!$A$1:$F$16,MATCH(R56,'SummaryNOT_VALIDATED-BL'!$A$1:$A$16,0),6),0),IF(S56=TRUE,INDEX('SummaryNOT_VALIDATED-BL'!$A$1:$F$16,MATCH(E56,'SummaryNOT_VALIDATED-BL'!$A$1:$A$16,0),6),0)),0)</f>
        <v>1.2653355650533233E-2</v>
      </c>
      <c r="V56" s="81" cm="1">
        <f t="array" ref="V56">INDEX('Weight tables'!$A$24:$C$27,MATCH(1,(RendicontiTrasmessiBL__2[[#This Row],[Cut percentage on real costs + USC]]&gt;='Weight tables'!$B$24:$B$27)*(RendicontiTrasmessiBL__2[[#This Row],[Cut percentage on real costs + USC]]&lt;='Weight tables'!$C$24:$C$27),0),1)</f>
        <v>0</v>
      </c>
      <c r="W56" s="2">
        <f>RendicontiTrasmessiBL__2[[#This Row],[Weight real costs  + USC ]]</f>
        <v>0</v>
      </c>
    </row>
    <row r="57" spans="1:23" x14ac:dyDescent="0.25">
      <c r="A57" s="1" t="s">
        <v>58</v>
      </c>
      <c r="B57" s="1" t="s">
        <v>21</v>
      </c>
      <c r="C57" s="2">
        <v>13</v>
      </c>
      <c r="D57" s="2">
        <v>189</v>
      </c>
      <c r="E57" s="1" t="s">
        <v>229</v>
      </c>
      <c r="F57">
        <v>15</v>
      </c>
      <c r="G57">
        <v>7754.44</v>
      </c>
      <c r="H57">
        <v>616.33000000000004</v>
      </c>
      <c r="I57">
        <v>0</v>
      </c>
      <c r="J57">
        <v>385.55</v>
      </c>
      <c r="K57">
        <v>0</v>
      </c>
      <c r="L57">
        <v>385.55</v>
      </c>
      <c r="M57">
        <v>1001.88</v>
      </c>
      <c r="N57">
        <v>12.92</v>
      </c>
      <c r="O57">
        <v>6752.56</v>
      </c>
      <c r="P57">
        <v>616.33000000000004</v>
      </c>
      <c r="Q57" t="str">
        <f>INDEX('Partner data'!A:DH,MATCH(C57,'Partner data'!DG:DG,0),83)</f>
        <v xml:space="preserve">Organismo di diritto pubblico </v>
      </c>
      <c r="R57" t="b">
        <f>IF(E57="staff",IF(INDEX('Partner data'!A:DH,MATCH(C57,'Partner data'!DG:DG,0),112)="BL1 non presente","FALSO",INDEX('Partner data'!A:DH,MATCH(C57,'Partner data'!DG:DG,0),112)))</f>
        <v>0</v>
      </c>
      <c r="S57" t="b">
        <f t="shared" si="0"/>
        <v>1</v>
      </c>
      <c r="T57" t="b">
        <f t="shared" si="1"/>
        <v>1</v>
      </c>
      <c r="U57" s="154">
        <f>IFERROR(IF(R57&lt;&gt;FALSE,IF(S57=TRUE,INDEX('SummaryNOT_VALIDATED-BL'!$A$1:$F$16,MATCH(R57,'SummaryNOT_VALIDATED-BL'!$A$1:$A$16,0),6),0),IF(S57=TRUE,INDEX('SummaryNOT_VALIDATED-BL'!$A$1:$F$16,MATCH(E57,'SummaryNOT_VALIDATED-BL'!$A$1:$A$16,0),6),0)),0)</f>
        <v>6.6460469504890221E-2</v>
      </c>
      <c r="V57" s="81" cm="1">
        <f t="array" ref="V57">INDEX('Weight tables'!$A$24:$C$27,MATCH(1,(RendicontiTrasmessiBL__2[[#This Row],[Cut percentage on real costs + USC]]&gt;='Weight tables'!$B$24:$B$27)*(RendicontiTrasmessiBL__2[[#This Row],[Cut percentage on real costs + USC]]&lt;='Weight tables'!$C$24:$C$27),0),1)</f>
        <v>4</v>
      </c>
      <c r="W57" s="2">
        <f>RendicontiTrasmessiBL__2[[#This Row],[Weight real costs  + USC ]]</f>
        <v>4</v>
      </c>
    </row>
    <row r="58" spans="1:23" x14ac:dyDescent="0.25">
      <c r="A58" s="1" t="s">
        <v>58</v>
      </c>
      <c r="B58" s="1" t="s">
        <v>21</v>
      </c>
      <c r="C58" s="2">
        <v>13</v>
      </c>
      <c r="D58" s="2">
        <v>189</v>
      </c>
      <c r="E58" s="1" t="s">
        <v>230</v>
      </c>
      <c r="F58">
        <v>4</v>
      </c>
      <c r="G58">
        <v>2067.85</v>
      </c>
      <c r="H58">
        <v>164.35</v>
      </c>
      <c r="I58">
        <v>0</v>
      </c>
      <c r="J58">
        <v>102.81</v>
      </c>
      <c r="K58">
        <v>0</v>
      </c>
      <c r="L58">
        <v>102.81</v>
      </c>
      <c r="M58">
        <v>267.16000000000003</v>
      </c>
      <c r="N58">
        <v>12.92</v>
      </c>
      <c r="O58">
        <v>1800.69</v>
      </c>
      <c r="P58">
        <v>164.35</v>
      </c>
      <c r="Q58" t="str">
        <f>INDEX('Partner data'!A:DH,MATCH(C58,'Partner data'!DG:DG,0),83)</f>
        <v xml:space="preserve">Organismo di diritto pubblico </v>
      </c>
      <c r="R58" t="b">
        <f>IF(E58="staff",IF(INDEX('Partner data'!A:DH,MATCH(C58,'Partner data'!DG:DG,0),112)="BL1 non presente","FALSO",INDEX('Partner data'!A:DH,MATCH(C58,'Partner data'!DG:DG,0),112)))</f>
        <v>0</v>
      </c>
      <c r="S58" t="b">
        <f t="shared" si="0"/>
        <v>1</v>
      </c>
      <c r="T58" t="b">
        <f t="shared" si="1"/>
        <v>1</v>
      </c>
      <c r="U58" s="154">
        <f>IFERROR(IF(R58&lt;&gt;FALSE,IF(S58=TRUE,INDEX('SummaryNOT_VALIDATED-BL'!$A$1:$F$16,MATCH(R58,'SummaryNOT_VALIDATED-BL'!$A$1:$A$16,0),6),0),IF(S58=TRUE,INDEX('SummaryNOT_VALIDATED-BL'!$A$1:$F$16,MATCH(E58,'SummaryNOT_VALIDATED-BL'!$A$1:$A$16,0),6),0)),0)</f>
        <v>6.3112622236488891E-2</v>
      </c>
      <c r="V58" s="81" cm="1">
        <f t="array" ref="V58">INDEX('Weight tables'!$A$24:$C$27,MATCH(1,(RendicontiTrasmessiBL__2[[#This Row],[Cut percentage on real costs + USC]]&gt;='Weight tables'!$B$24:$B$27)*(RendicontiTrasmessiBL__2[[#This Row],[Cut percentage on real costs + USC]]&lt;='Weight tables'!$C$24:$C$27),0),1)</f>
        <v>4</v>
      </c>
      <c r="W58" s="2">
        <f>RendicontiTrasmessiBL__2[[#This Row],[Weight real costs  + USC ]]</f>
        <v>4</v>
      </c>
    </row>
    <row r="59" spans="1:23" x14ac:dyDescent="0.25">
      <c r="A59" s="1" t="s">
        <v>58</v>
      </c>
      <c r="B59" s="1" t="s">
        <v>21</v>
      </c>
      <c r="C59" s="2">
        <v>13</v>
      </c>
      <c r="D59" s="2">
        <v>189</v>
      </c>
      <c r="E59" s="1" t="s">
        <v>231</v>
      </c>
      <c r="G59">
        <v>258481.43</v>
      </c>
      <c r="H59">
        <v>20544.560000000001</v>
      </c>
      <c r="I59">
        <v>0</v>
      </c>
      <c r="J59">
        <v>12851.86</v>
      </c>
      <c r="K59">
        <v>0</v>
      </c>
      <c r="L59">
        <v>12851.86</v>
      </c>
      <c r="M59">
        <v>33396.42</v>
      </c>
      <c r="N59">
        <v>12.92</v>
      </c>
      <c r="O59">
        <v>225085.01</v>
      </c>
      <c r="P59">
        <v>20544.560000000001</v>
      </c>
      <c r="Q59" t="str">
        <f>INDEX('Partner data'!A:DH,MATCH(C59,'Partner data'!DG:DG,0),83)</f>
        <v xml:space="preserve">Organismo di diritto pubblico </v>
      </c>
      <c r="R59" t="b">
        <f>IF(E59="staff",IF(INDEX('Partner data'!A:DH,MATCH(C59,'Partner data'!DG:DG,0),112)="BL1 non presente","FALSO",INDEX('Partner data'!A:DH,MATCH(C59,'Partner data'!DG:DG,0),112)))</f>
        <v>0</v>
      </c>
      <c r="S59" t="b">
        <f t="shared" si="0"/>
        <v>1</v>
      </c>
      <c r="T59" t="b">
        <f t="shared" si="1"/>
        <v>1</v>
      </c>
      <c r="U59" s="154">
        <f>IFERROR(IF(R59&lt;&gt;FALSE,IF(S59=TRUE,INDEX('SummaryNOT_VALIDATED-BL'!$A$1:$F$16,MATCH(R59,'SummaryNOT_VALIDATED-BL'!$A$1:$A$16,0),6),0),IF(S59=TRUE,INDEX('SummaryNOT_VALIDATED-BL'!$A$1:$F$16,MATCH(E59,'SummaryNOT_VALIDATED-BL'!$A$1:$A$16,0),6),0)),0)</f>
        <v>5.577594442215475E-2</v>
      </c>
      <c r="V59" s="81" cm="1">
        <f t="array" ref="V59">INDEX('Weight tables'!$A$24:$C$27,MATCH(1,(RendicontiTrasmessiBL__2[[#This Row],[Cut percentage on real costs + USC]]&gt;='Weight tables'!$B$24:$B$27)*(RendicontiTrasmessiBL__2[[#This Row],[Cut percentage on real costs + USC]]&lt;='Weight tables'!$C$24:$C$27),0),1)</f>
        <v>4</v>
      </c>
      <c r="W59" s="2">
        <f>RendicontiTrasmessiBL__2[[#This Row],[Weight real costs  + USC ]]</f>
        <v>4</v>
      </c>
    </row>
    <row r="60" spans="1:23" x14ac:dyDescent="0.25">
      <c r="A60" s="1" t="s">
        <v>58</v>
      </c>
      <c r="B60" s="1" t="s">
        <v>21</v>
      </c>
      <c r="C60" s="2">
        <v>13</v>
      </c>
      <c r="D60" s="2">
        <v>189</v>
      </c>
      <c r="E60" s="1" t="s">
        <v>232</v>
      </c>
      <c r="G60">
        <v>0</v>
      </c>
      <c r="H60">
        <v>0</v>
      </c>
      <c r="I60">
        <v>0</v>
      </c>
      <c r="J60">
        <v>0</v>
      </c>
      <c r="K60">
        <v>0</v>
      </c>
      <c r="L60">
        <v>0</v>
      </c>
      <c r="M60">
        <v>0</v>
      </c>
      <c r="N60">
        <v>0</v>
      </c>
      <c r="O60">
        <v>0</v>
      </c>
      <c r="P60">
        <v>0</v>
      </c>
      <c r="Q60" t="str">
        <f>INDEX('Partner data'!A:DH,MATCH(C60,'Partner data'!DG:DG,0),83)</f>
        <v xml:space="preserve">Organismo di diritto pubblico </v>
      </c>
      <c r="R60" t="b">
        <f>IF(E60="staff",IF(INDEX('Partner data'!A:DH,MATCH(C60,'Partner data'!DG:DG,0),112)="BL1 non presente","FALSO",INDEX('Partner data'!A:DH,MATCH(C60,'Partner data'!DG:DG,0),112)))</f>
        <v>0</v>
      </c>
      <c r="S60" t="b">
        <f t="shared" si="0"/>
        <v>0</v>
      </c>
      <c r="T60" t="b">
        <f t="shared" si="1"/>
        <v>1</v>
      </c>
      <c r="U60" s="154">
        <f>IFERROR(IF(R60&lt;&gt;FALSE,IF(S60=TRUE,INDEX('SummaryNOT_VALIDATED-BL'!$A$1:$F$16,MATCH(R60,'SummaryNOT_VALIDATED-BL'!$A$1:$A$16,0),6),0),IF(S60=TRUE,INDEX('SummaryNOT_VALIDATED-BL'!$A$1:$F$16,MATCH(E60,'SummaryNOT_VALIDATED-BL'!$A$1:$A$16,0),6),0)),0)</f>
        <v>0</v>
      </c>
      <c r="V60" s="81" cm="1">
        <f t="array" ref="V60">INDEX('Weight tables'!$A$24:$C$27,MATCH(1,(RendicontiTrasmessiBL__2[[#This Row],[Cut percentage on real costs + USC]]&gt;='Weight tables'!$B$24:$B$27)*(RendicontiTrasmessiBL__2[[#This Row],[Cut percentage on real costs + USC]]&lt;='Weight tables'!$C$24:$C$27),0),1)</f>
        <v>0</v>
      </c>
      <c r="W60" s="2">
        <f>RendicontiTrasmessiBL__2[[#This Row],[Weight real costs  + USC ]]</f>
        <v>0</v>
      </c>
    </row>
    <row r="61" spans="1:23" x14ac:dyDescent="0.25">
      <c r="A61" s="1" t="s">
        <v>58</v>
      </c>
      <c r="B61" s="1" t="s">
        <v>21</v>
      </c>
      <c r="C61" s="2">
        <v>13</v>
      </c>
      <c r="D61" s="2">
        <v>189</v>
      </c>
      <c r="E61" s="1" t="s">
        <v>233</v>
      </c>
      <c r="G61">
        <v>0</v>
      </c>
      <c r="H61">
        <v>0</v>
      </c>
      <c r="I61">
        <v>0</v>
      </c>
      <c r="J61">
        <v>0</v>
      </c>
      <c r="K61">
        <v>0</v>
      </c>
      <c r="L61">
        <v>0</v>
      </c>
      <c r="M61">
        <v>0</v>
      </c>
      <c r="N61">
        <v>0</v>
      </c>
      <c r="O61">
        <v>0</v>
      </c>
      <c r="P61">
        <v>0</v>
      </c>
      <c r="Q61" t="str">
        <f>INDEX('Partner data'!A:DH,MATCH(C61,'Partner data'!DG:DG,0),83)</f>
        <v xml:space="preserve">Organismo di diritto pubblico </v>
      </c>
      <c r="R61" t="b">
        <f>IF(E61="staff",IF(INDEX('Partner data'!A:DH,MATCH(C61,'Partner data'!DG:DG,0),112)="BL1 non presente","FALSO",INDEX('Partner data'!A:DH,MATCH(C61,'Partner data'!DG:DG,0),112)))</f>
        <v>0</v>
      </c>
      <c r="S61" t="b">
        <f t="shared" si="0"/>
        <v>0</v>
      </c>
      <c r="T61" t="b">
        <f t="shared" si="1"/>
        <v>1</v>
      </c>
      <c r="U61" s="154">
        <f>IFERROR(IF(R61&lt;&gt;FALSE,IF(S61=TRUE,INDEX('SummaryNOT_VALIDATED-BL'!$A$1:$F$16,MATCH(R61,'SummaryNOT_VALIDATED-BL'!$A$1:$A$16,0),6),0),IF(S61=TRUE,INDEX('SummaryNOT_VALIDATED-BL'!$A$1:$F$16,MATCH(E61,'SummaryNOT_VALIDATED-BL'!$A$1:$A$16,0),6),0)),0)</f>
        <v>0</v>
      </c>
      <c r="V61" s="81" cm="1">
        <f t="array" ref="V61">INDEX('Weight tables'!$A$24:$C$27,MATCH(1,(RendicontiTrasmessiBL__2[[#This Row],[Cut percentage on real costs + USC]]&gt;='Weight tables'!$B$24:$B$27)*(RendicontiTrasmessiBL__2[[#This Row],[Cut percentage on real costs + USC]]&lt;='Weight tables'!$C$24:$C$27),0),1)</f>
        <v>0</v>
      </c>
      <c r="W61" s="2">
        <f>RendicontiTrasmessiBL__2[[#This Row],[Weight real costs  + USC ]]</f>
        <v>0</v>
      </c>
    </row>
    <row r="62" spans="1:23" x14ac:dyDescent="0.25">
      <c r="A62" s="1" t="s">
        <v>58</v>
      </c>
      <c r="B62" s="1" t="s">
        <v>21</v>
      </c>
      <c r="C62" s="2">
        <v>13</v>
      </c>
      <c r="D62" s="2">
        <v>189</v>
      </c>
      <c r="E62" s="1" t="s">
        <v>234</v>
      </c>
      <c r="G62">
        <v>0</v>
      </c>
      <c r="H62">
        <v>0</v>
      </c>
      <c r="I62">
        <v>0</v>
      </c>
      <c r="J62">
        <v>0</v>
      </c>
      <c r="K62">
        <v>0</v>
      </c>
      <c r="L62">
        <v>0</v>
      </c>
      <c r="M62">
        <v>0</v>
      </c>
      <c r="N62">
        <v>0</v>
      </c>
      <c r="O62">
        <v>0</v>
      </c>
      <c r="P62">
        <v>0</v>
      </c>
      <c r="Q62" t="str">
        <f>INDEX('Partner data'!A:DH,MATCH(C62,'Partner data'!DG:DG,0),83)</f>
        <v xml:space="preserve">Organismo di diritto pubblico </v>
      </c>
      <c r="R62" t="b">
        <f>IF(E62="staff",IF(INDEX('Partner data'!A:DH,MATCH(C62,'Partner data'!DG:DG,0),112)="BL1 non presente","FALSO",INDEX('Partner data'!A:DH,MATCH(C62,'Partner data'!DG:DG,0),112)))</f>
        <v>0</v>
      </c>
      <c r="S62" t="b">
        <f t="shared" si="0"/>
        <v>0</v>
      </c>
      <c r="T62" t="b">
        <f t="shared" si="1"/>
        <v>1</v>
      </c>
      <c r="U62" s="154">
        <f>IFERROR(IF(R62&lt;&gt;FALSE,IF(S62=TRUE,INDEX('SummaryNOT_VALIDATED-BL'!$A$1:$F$16,MATCH(R62,'SummaryNOT_VALIDATED-BL'!$A$1:$A$16,0),6),0),IF(S62=TRUE,INDEX('SummaryNOT_VALIDATED-BL'!$A$1:$F$16,MATCH(E62,'SummaryNOT_VALIDATED-BL'!$A$1:$A$16,0),6),0)),0)</f>
        <v>0</v>
      </c>
      <c r="V62" s="81" cm="1">
        <f t="array" ref="V62">INDEX('Weight tables'!$A$24:$C$27,MATCH(1,(RendicontiTrasmessiBL__2[[#This Row],[Cut percentage on real costs + USC]]&gt;='Weight tables'!$B$24:$B$27)*(RendicontiTrasmessiBL__2[[#This Row],[Cut percentage on real costs + USC]]&lt;='Weight tables'!$C$24:$C$27),0),1)</f>
        <v>0</v>
      </c>
      <c r="W62" s="2">
        <f>RendicontiTrasmessiBL__2[[#This Row],[Weight real costs  + USC ]]</f>
        <v>0</v>
      </c>
    </row>
    <row r="63" spans="1:23" x14ac:dyDescent="0.25">
      <c r="A63" s="1" t="s">
        <v>58</v>
      </c>
      <c r="B63" s="1" t="s">
        <v>21</v>
      </c>
      <c r="C63" s="2">
        <v>13</v>
      </c>
      <c r="D63" s="2">
        <v>189</v>
      </c>
      <c r="E63" s="1" t="s">
        <v>236</v>
      </c>
      <c r="G63">
        <v>0</v>
      </c>
      <c r="H63">
        <v>0</v>
      </c>
      <c r="I63">
        <v>0</v>
      </c>
      <c r="J63">
        <v>0</v>
      </c>
      <c r="K63">
        <v>0</v>
      </c>
      <c r="L63">
        <v>0</v>
      </c>
      <c r="M63">
        <v>0</v>
      </c>
      <c r="N63">
        <v>0</v>
      </c>
      <c r="O63">
        <v>0</v>
      </c>
      <c r="P63">
        <v>0</v>
      </c>
      <c r="Q63" t="str">
        <f>INDEX('Partner data'!A:DH,MATCH(C63,'Partner data'!DG:DG,0),83)</f>
        <v xml:space="preserve">Organismo di diritto pubblico </v>
      </c>
      <c r="R63" t="b">
        <f>IF(E63="staff",IF(INDEX('Partner data'!A:DH,MATCH(C63,'Partner data'!DG:DG,0),112)="BL1 non presente","FALSO",INDEX('Partner data'!A:DH,MATCH(C63,'Partner data'!DG:DG,0),112)))</f>
        <v>0</v>
      </c>
      <c r="S63" t="b">
        <f t="shared" si="0"/>
        <v>0</v>
      </c>
      <c r="T63" t="b">
        <f t="shared" si="1"/>
        <v>1</v>
      </c>
      <c r="U63" s="154">
        <f>IFERROR(IF(R63&lt;&gt;FALSE,IF(S63=TRUE,INDEX('SummaryNOT_VALIDATED-BL'!$A$1:$F$16,MATCH(R63,'SummaryNOT_VALIDATED-BL'!$A$1:$A$16,0),6),0),IF(S63=TRUE,INDEX('SummaryNOT_VALIDATED-BL'!$A$1:$F$16,MATCH(E63,'SummaryNOT_VALIDATED-BL'!$A$1:$A$16,0),6),0)),0)</f>
        <v>0</v>
      </c>
      <c r="V63" s="81" cm="1">
        <f t="array" ref="V63">INDEX('Weight tables'!$A$24:$C$27,MATCH(1,(RendicontiTrasmessiBL__2[[#This Row],[Cut percentage on real costs + USC]]&gt;='Weight tables'!$B$24:$B$27)*(RendicontiTrasmessiBL__2[[#This Row],[Cut percentage on real costs + USC]]&lt;='Weight tables'!$C$24:$C$27),0),1)</f>
        <v>0</v>
      </c>
      <c r="W63" s="2">
        <f>RendicontiTrasmessiBL__2[[#This Row],[Weight real costs  + USC ]]</f>
        <v>0</v>
      </c>
    </row>
    <row r="64" spans="1:23" x14ac:dyDescent="0.25">
      <c r="A64" s="1" t="s">
        <v>58</v>
      </c>
      <c r="B64" s="1" t="s">
        <v>21</v>
      </c>
      <c r="C64" s="2">
        <v>13</v>
      </c>
      <c r="D64" s="2">
        <v>189</v>
      </c>
      <c r="E64" s="1" t="s">
        <v>237</v>
      </c>
      <c r="G64">
        <v>0</v>
      </c>
      <c r="H64">
        <v>0</v>
      </c>
      <c r="I64">
        <v>0</v>
      </c>
      <c r="J64">
        <v>0</v>
      </c>
      <c r="K64">
        <v>0</v>
      </c>
      <c r="L64">
        <v>0</v>
      </c>
      <c r="M64">
        <v>0</v>
      </c>
      <c r="N64">
        <v>0</v>
      </c>
      <c r="O64">
        <v>0</v>
      </c>
      <c r="P64">
        <v>0</v>
      </c>
      <c r="Q64" t="str">
        <f>INDEX('Partner data'!A:DH,MATCH(C64,'Partner data'!DG:DG,0),83)</f>
        <v xml:space="preserve">Organismo di diritto pubblico </v>
      </c>
      <c r="R64" t="b">
        <f>IF(E64="staff",IF(INDEX('Partner data'!A:DH,MATCH(C64,'Partner data'!DG:DG,0),112)="BL1 non presente","FALSO",INDEX('Partner data'!A:DH,MATCH(C64,'Partner data'!DG:DG,0),112)))</f>
        <v>0</v>
      </c>
      <c r="S64" t="b">
        <f t="shared" si="0"/>
        <v>0</v>
      </c>
      <c r="T64" t="b">
        <f t="shared" si="1"/>
        <v>1</v>
      </c>
      <c r="U64" s="154">
        <f>IFERROR(IF(R64&lt;&gt;FALSE,IF(S64=TRUE,INDEX('SummaryNOT_VALIDATED-BL'!$A$1:$F$16,MATCH(R64,'SummaryNOT_VALIDATED-BL'!$A$1:$A$16,0),6),0),IF(S64=TRUE,INDEX('SummaryNOT_VALIDATED-BL'!$A$1:$F$16,MATCH(E64,'SummaryNOT_VALIDATED-BL'!$A$1:$A$16,0),6),0)),0)</f>
        <v>0</v>
      </c>
      <c r="V64" s="81" cm="1">
        <f t="array" ref="V64">INDEX('Weight tables'!$A$24:$C$27,MATCH(1,(RendicontiTrasmessiBL__2[[#This Row],[Cut percentage on real costs + USC]]&gt;='Weight tables'!$B$24:$B$27)*(RendicontiTrasmessiBL__2[[#This Row],[Cut percentage on real costs + USC]]&lt;='Weight tables'!$C$24:$C$27),0),1)</f>
        <v>0</v>
      </c>
      <c r="W64" s="2">
        <f>RendicontiTrasmessiBL__2[[#This Row],[Weight real costs  + USC ]]</f>
        <v>0</v>
      </c>
    </row>
    <row r="65" spans="1:23" x14ac:dyDescent="0.25">
      <c r="A65" s="1" t="s">
        <v>58</v>
      </c>
      <c r="B65" s="1" t="s">
        <v>21</v>
      </c>
      <c r="C65" s="2">
        <v>13</v>
      </c>
      <c r="D65" s="2">
        <v>5</v>
      </c>
      <c r="E65" s="1" t="s">
        <v>228</v>
      </c>
      <c r="F65">
        <v>20</v>
      </c>
      <c r="G65">
        <v>51696.28</v>
      </c>
      <c r="H65">
        <v>0</v>
      </c>
      <c r="I65">
        <v>0</v>
      </c>
      <c r="J65">
        <v>4108.91</v>
      </c>
      <c r="K65">
        <v>0</v>
      </c>
      <c r="L65">
        <v>4108.91</v>
      </c>
      <c r="M65">
        <v>4108.91</v>
      </c>
      <c r="N65">
        <v>7.95</v>
      </c>
      <c r="O65">
        <v>47587.37</v>
      </c>
      <c r="P65">
        <v>0</v>
      </c>
      <c r="Q65" t="str">
        <f>INDEX('Partner data'!A:DH,MATCH(C65,'Partner data'!DG:DG,0),83)</f>
        <v xml:space="preserve">Organismo di diritto pubblico </v>
      </c>
      <c r="R65" t="str">
        <f>IF(E65="staff",IF(INDEX('Partner data'!A:DH,MATCH(C65,'Partner data'!DG:DG,0),112)="BL1 non presente","FALSO",INDEX('Partner data'!A:DH,MATCH(C65,'Partner data'!DG:DG,0),112)))</f>
        <v>Tasso Forfettario 20%</v>
      </c>
      <c r="S65" t="b">
        <f t="shared" si="0"/>
        <v>1</v>
      </c>
      <c r="T65" t="b">
        <f t="shared" si="1"/>
        <v>1</v>
      </c>
      <c r="U65" s="154">
        <f>IFERROR(IF(R65&lt;&gt;FALSE,IF(S65=TRUE,INDEX('SummaryNOT_VALIDATED-BL'!$A$1:$F$16,MATCH(R65,'SummaryNOT_VALIDATED-BL'!$A$1:$A$16,0),6),0),IF(S65=TRUE,INDEX('SummaryNOT_VALIDATED-BL'!$A$1:$F$16,MATCH(E65,'SummaryNOT_VALIDATED-BL'!$A$1:$A$16,0),6),0)),0)</f>
        <v>1.2653355650533233E-2</v>
      </c>
      <c r="V65" s="81" cm="1">
        <f t="array" ref="V65">INDEX('Weight tables'!$A$24:$C$27,MATCH(1,(RendicontiTrasmessiBL__2[[#This Row],[Cut percentage on real costs + USC]]&gt;='Weight tables'!$B$24:$B$27)*(RendicontiTrasmessiBL__2[[#This Row],[Cut percentage on real costs + USC]]&lt;='Weight tables'!$C$24:$C$27),0),1)</f>
        <v>0</v>
      </c>
      <c r="W65" s="2">
        <f>RendicontiTrasmessiBL__2[[#This Row],[Weight real costs  + USC ]]</f>
        <v>0</v>
      </c>
    </row>
    <row r="66" spans="1:23" x14ac:dyDescent="0.25">
      <c r="A66" s="1" t="s">
        <v>58</v>
      </c>
      <c r="B66" s="1" t="s">
        <v>21</v>
      </c>
      <c r="C66" s="2">
        <v>13</v>
      </c>
      <c r="D66" s="2">
        <v>5</v>
      </c>
      <c r="E66" s="1" t="s">
        <v>229</v>
      </c>
      <c r="F66">
        <v>15</v>
      </c>
      <c r="G66">
        <v>7754.44</v>
      </c>
      <c r="H66">
        <v>0</v>
      </c>
      <c r="I66">
        <v>0</v>
      </c>
      <c r="J66">
        <v>616.33000000000004</v>
      </c>
      <c r="K66">
        <v>0</v>
      </c>
      <c r="L66">
        <v>616.33000000000004</v>
      </c>
      <c r="M66">
        <v>616.33000000000004</v>
      </c>
      <c r="N66">
        <v>7.95</v>
      </c>
      <c r="O66">
        <v>7138.11</v>
      </c>
      <c r="P66">
        <v>0</v>
      </c>
      <c r="Q66" t="str">
        <f>INDEX('Partner data'!A:DH,MATCH(C66,'Partner data'!DG:DG,0),83)</f>
        <v xml:space="preserve">Organismo di diritto pubblico </v>
      </c>
      <c r="R66" t="b">
        <f>IF(E66="staff",IF(INDEX('Partner data'!A:DH,MATCH(C66,'Partner data'!DG:DG,0),112)="BL1 non presente","FALSO",INDEX('Partner data'!A:DH,MATCH(C66,'Partner data'!DG:DG,0),112)))</f>
        <v>0</v>
      </c>
      <c r="S66" t="b">
        <f t="shared" ref="S66:S129" si="2">IF(J66&lt;&gt;0,TRUE,FALSE)</f>
        <v>1</v>
      </c>
      <c r="T66" t="b">
        <f t="shared" ref="T66:T129" si="3">OR(Q66="Soggetto pubblico",Q66="Organismo di diritto pubblico ")</f>
        <v>1</v>
      </c>
      <c r="U66" s="154">
        <f>IFERROR(IF(R66&lt;&gt;FALSE,IF(S66=TRUE,INDEX('SummaryNOT_VALIDATED-BL'!$A$1:$F$16,MATCH(R66,'SummaryNOT_VALIDATED-BL'!$A$1:$A$16,0),6),0),IF(S66=TRUE,INDEX('SummaryNOT_VALIDATED-BL'!$A$1:$F$16,MATCH(E66,'SummaryNOT_VALIDATED-BL'!$A$1:$A$16,0),6),0)),0)</f>
        <v>6.6460469504890221E-2</v>
      </c>
      <c r="V66" s="81" cm="1">
        <f t="array" ref="V66">INDEX('Weight tables'!$A$24:$C$27,MATCH(1,(RendicontiTrasmessiBL__2[[#This Row],[Cut percentage on real costs + USC]]&gt;='Weight tables'!$B$24:$B$27)*(RendicontiTrasmessiBL__2[[#This Row],[Cut percentage on real costs + USC]]&lt;='Weight tables'!$C$24:$C$27),0),1)</f>
        <v>4</v>
      </c>
      <c r="W66" s="2">
        <f>RendicontiTrasmessiBL__2[[#This Row],[Weight real costs  + USC ]]</f>
        <v>4</v>
      </c>
    </row>
    <row r="67" spans="1:23" x14ac:dyDescent="0.25">
      <c r="A67" s="1" t="s">
        <v>58</v>
      </c>
      <c r="B67" s="1" t="s">
        <v>21</v>
      </c>
      <c r="C67" s="2">
        <v>13</v>
      </c>
      <c r="D67" s="2">
        <v>5</v>
      </c>
      <c r="E67" s="1" t="s">
        <v>230</v>
      </c>
      <c r="F67">
        <v>4</v>
      </c>
      <c r="G67">
        <v>2067.85</v>
      </c>
      <c r="H67">
        <v>0</v>
      </c>
      <c r="I67">
        <v>0</v>
      </c>
      <c r="J67">
        <v>164.35</v>
      </c>
      <c r="K67">
        <v>0</v>
      </c>
      <c r="L67">
        <v>164.35</v>
      </c>
      <c r="M67">
        <v>164.35</v>
      </c>
      <c r="N67">
        <v>7.95</v>
      </c>
      <c r="O67">
        <v>1903.5</v>
      </c>
      <c r="P67">
        <v>0</v>
      </c>
      <c r="Q67" t="str">
        <f>INDEX('Partner data'!A:DH,MATCH(C67,'Partner data'!DG:DG,0),83)</f>
        <v xml:space="preserve">Organismo di diritto pubblico </v>
      </c>
      <c r="R67" t="b">
        <f>IF(E67="staff",IF(INDEX('Partner data'!A:DH,MATCH(C67,'Partner data'!DG:DG,0),112)="BL1 non presente","FALSO",INDEX('Partner data'!A:DH,MATCH(C67,'Partner data'!DG:DG,0),112)))</f>
        <v>0</v>
      </c>
      <c r="S67" t="b">
        <f t="shared" si="2"/>
        <v>1</v>
      </c>
      <c r="T67" t="b">
        <f t="shared" si="3"/>
        <v>1</v>
      </c>
      <c r="U67" s="154">
        <f>IFERROR(IF(R67&lt;&gt;FALSE,IF(S67=TRUE,INDEX('SummaryNOT_VALIDATED-BL'!$A$1:$F$16,MATCH(R67,'SummaryNOT_VALIDATED-BL'!$A$1:$A$16,0),6),0),IF(S67=TRUE,INDEX('SummaryNOT_VALIDATED-BL'!$A$1:$F$16,MATCH(E67,'SummaryNOT_VALIDATED-BL'!$A$1:$A$16,0),6),0)),0)</f>
        <v>6.3112622236488891E-2</v>
      </c>
      <c r="V67" s="81" cm="1">
        <f t="array" ref="V67">INDEX('Weight tables'!$A$24:$C$27,MATCH(1,(RendicontiTrasmessiBL__2[[#This Row],[Cut percentage on real costs + USC]]&gt;='Weight tables'!$B$24:$B$27)*(RendicontiTrasmessiBL__2[[#This Row],[Cut percentage on real costs + USC]]&lt;='Weight tables'!$C$24:$C$27),0),1)</f>
        <v>4</v>
      </c>
      <c r="W67" s="2">
        <f>RendicontiTrasmessiBL__2[[#This Row],[Weight real costs  + USC ]]</f>
        <v>4</v>
      </c>
    </row>
    <row r="68" spans="1:23" x14ac:dyDescent="0.25">
      <c r="A68" s="1" t="s">
        <v>58</v>
      </c>
      <c r="B68" s="1" t="s">
        <v>21</v>
      </c>
      <c r="C68" s="2">
        <v>13</v>
      </c>
      <c r="D68" s="2">
        <v>5</v>
      </c>
      <c r="E68" s="1" t="s">
        <v>231</v>
      </c>
      <c r="G68">
        <v>258481.43</v>
      </c>
      <c r="H68">
        <v>0</v>
      </c>
      <c r="I68">
        <v>0</v>
      </c>
      <c r="J68">
        <v>20544.560000000001</v>
      </c>
      <c r="K68">
        <v>0</v>
      </c>
      <c r="L68">
        <v>20544.560000000001</v>
      </c>
      <c r="M68">
        <v>20544.560000000001</v>
      </c>
      <c r="N68">
        <v>7.95</v>
      </c>
      <c r="O68">
        <v>237936.87</v>
      </c>
      <c r="P68">
        <v>0</v>
      </c>
      <c r="Q68" t="str">
        <f>INDEX('Partner data'!A:DH,MATCH(C68,'Partner data'!DG:DG,0),83)</f>
        <v xml:space="preserve">Organismo di diritto pubblico </v>
      </c>
      <c r="R68" t="b">
        <f>IF(E68="staff",IF(INDEX('Partner data'!A:DH,MATCH(C68,'Partner data'!DG:DG,0),112)="BL1 non presente","FALSO",INDEX('Partner data'!A:DH,MATCH(C68,'Partner data'!DG:DG,0),112)))</f>
        <v>0</v>
      </c>
      <c r="S68" t="b">
        <f t="shared" si="2"/>
        <v>1</v>
      </c>
      <c r="T68" t="b">
        <f t="shared" si="3"/>
        <v>1</v>
      </c>
      <c r="U68" s="154">
        <f>IFERROR(IF(R68&lt;&gt;FALSE,IF(S68=TRUE,INDEX('SummaryNOT_VALIDATED-BL'!$A$1:$F$16,MATCH(R68,'SummaryNOT_VALIDATED-BL'!$A$1:$A$16,0),6),0),IF(S68=TRUE,INDEX('SummaryNOT_VALIDATED-BL'!$A$1:$F$16,MATCH(E68,'SummaryNOT_VALIDATED-BL'!$A$1:$A$16,0),6),0)),0)</f>
        <v>5.577594442215475E-2</v>
      </c>
      <c r="V68" s="81" cm="1">
        <f t="array" ref="V68">INDEX('Weight tables'!$A$24:$C$27,MATCH(1,(RendicontiTrasmessiBL__2[[#This Row],[Cut percentage on real costs + USC]]&gt;='Weight tables'!$B$24:$B$27)*(RendicontiTrasmessiBL__2[[#This Row],[Cut percentage on real costs + USC]]&lt;='Weight tables'!$C$24:$C$27),0),1)</f>
        <v>4</v>
      </c>
      <c r="W68" s="2">
        <f>RendicontiTrasmessiBL__2[[#This Row],[Weight real costs  + USC ]]</f>
        <v>4</v>
      </c>
    </row>
    <row r="69" spans="1:23" x14ac:dyDescent="0.25">
      <c r="A69" s="1" t="s">
        <v>58</v>
      </c>
      <c r="B69" s="1" t="s">
        <v>21</v>
      </c>
      <c r="C69" s="2">
        <v>13</v>
      </c>
      <c r="D69" s="2">
        <v>5</v>
      </c>
      <c r="E69" s="1" t="s">
        <v>232</v>
      </c>
      <c r="G69">
        <v>0</v>
      </c>
      <c r="H69">
        <v>0</v>
      </c>
      <c r="I69">
        <v>0</v>
      </c>
      <c r="J69">
        <v>0</v>
      </c>
      <c r="K69">
        <v>0</v>
      </c>
      <c r="L69">
        <v>0</v>
      </c>
      <c r="M69">
        <v>0</v>
      </c>
      <c r="N69">
        <v>0</v>
      </c>
      <c r="O69">
        <v>0</v>
      </c>
      <c r="P69">
        <v>0</v>
      </c>
      <c r="Q69" t="str">
        <f>INDEX('Partner data'!A:DH,MATCH(C69,'Partner data'!DG:DG,0),83)</f>
        <v xml:space="preserve">Organismo di diritto pubblico </v>
      </c>
      <c r="R69" t="b">
        <f>IF(E69="staff",IF(INDEX('Partner data'!A:DH,MATCH(C69,'Partner data'!DG:DG,0),112)="BL1 non presente","FALSO",INDEX('Partner data'!A:DH,MATCH(C69,'Partner data'!DG:DG,0),112)))</f>
        <v>0</v>
      </c>
      <c r="S69" t="b">
        <f t="shared" si="2"/>
        <v>0</v>
      </c>
      <c r="T69" t="b">
        <f t="shared" si="3"/>
        <v>1</v>
      </c>
      <c r="U69" s="154">
        <f>IFERROR(IF(R69&lt;&gt;FALSE,IF(S69=TRUE,INDEX('SummaryNOT_VALIDATED-BL'!$A$1:$F$16,MATCH(R69,'SummaryNOT_VALIDATED-BL'!$A$1:$A$16,0),6),0),IF(S69=TRUE,INDEX('SummaryNOT_VALIDATED-BL'!$A$1:$F$16,MATCH(E69,'SummaryNOT_VALIDATED-BL'!$A$1:$A$16,0),6),0)),0)</f>
        <v>0</v>
      </c>
      <c r="V69" s="81" cm="1">
        <f t="array" ref="V69">INDEX('Weight tables'!$A$24:$C$27,MATCH(1,(RendicontiTrasmessiBL__2[[#This Row],[Cut percentage on real costs + USC]]&gt;='Weight tables'!$B$24:$B$27)*(RendicontiTrasmessiBL__2[[#This Row],[Cut percentage on real costs + USC]]&lt;='Weight tables'!$C$24:$C$27),0),1)</f>
        <v>0</v>
      </c>
      <c r="W69" s="2">
        <f>RendicontiTrasmessiBL__2[[#This Row],[Weight real costs  + USC ]]</f>
        <v>0</v>
      </c>
    </row>
    <row r="70" spans="1:23" x14ac:dyDescent="0.25">
      <c r="A70" s="1" t="s">
        <v>58</v>
      </c>
      <c r="B70" s="1" t="s">
        <v>21</v>
      </c>
      <c r="C70" s="2">
        <v>13</v>
      </c>
      <c r="D70" s="2">
        <v>5</v>
      </c>
      <c r="E70" s="1" t="s">
        <v>233</v>
      </c>
      <c r="G70">
        <v>0</v>
      </c>
      <c r="H70">
        <v>0</v>
      </c>
      <c r="I70">
        <v>0</v>
      </c>
      <c r="J70">
        <v>0</v>
      </c>
      <c r="K70">
        <v>0</v>
      </c>
      <c r="L70">
        <v>0</v>
      </c>
      <c r="M70">
        <v>0</v>
      </c>
      <c r="N70">
        <v>0</v>
      </c>
      <c r="O70">
        <v>0</v>
      </c>
      <c r="P70">
        <v>0</v>
      </c>
      <c r="Q70" t="str">
        <f>INDEX('Partner data'!A:DH,MATCH(C70,'Partner data'!DG:DG,0),83)</f>
        <v xml:space="preserve">Organismo di diritto pubblico </v>
      </c>
      <c r="R70" t="b">
        <f>IF(E70="staff",IF(INDEX('Partner data'!A:DH,MATCH(C70,'Partner data'!DG:DG,0),112)="BL1 non presente","FALSO",INDEX('Partner data'!A:DH,MATCH(C70,'Partner data'!DG:DG,0),112)))</f>
        <v>0</v>
      </c>
      <c r="S70" t="b">
        <f t="shared" si="2"/>
        <v>0</v>
      </c>
      <c r="T70" t="b">
        <f t="shared" si="3"/>
        <v>1</v>
      </c>
      <c r="U70" s="154">
        <f>IFERROR(IF(R70&lt;&gt;FALSE,IF(S70=TRUE,INDEX('SummaryNOT_VALIDATED-BL'!$A$1:$F$16,MATCH(R70,'SummaryNOT_VALIDATED-BL'!$A$1:$A$16,0),6),0),IF(S70=TRUE,INDEX('SummaryNOT_VALIDATED-BL'!$A$1:$F$16,MATCH(E70,'SummaryNOT_VALIDATED-BL'!$A$1:$A$16,0),6),0)),0)</f>
        <v>0</v>
      </c>
      <c r="V70" s="81" cm="1">
        <f t="array" ref="V70">INDEX('Weight tables'!$A$24:$C$27,MATCH(1,(RendicontiTrasmessiBL__2[[#This Row],[Cut percentage on real costs + USC]]&gt;='Weight tables'!$B$24:$B$27)*(RendicontiTrasmessiBL__2[[#This Row],[Cut percentage on real costs + USC]]&lt;='Weight tables'!$C$24:$C$27),0),1)</f>
        <v>0</v>
      </c>
      <c r="W70" s="2">
        <f>RendicontiTrasmessiBL__2[[#This Row],[Weight real costs  + USC ]]</f>
        <v>0</v>
      </c>
    </row>
    <row r="71" spans="1:23" x14ac:dyDescent="0.25">
      <c r="A71" s="1" t="s">
        <v>58</v>
      </c>
      <c r="B71" s="1" t="s">
        <v>21</v>
      </c>
      <c r="C71" s="2">
        <v>13</v>
      </c>
      <c r="D71" s="2">
        <v>5</v>
      </c>
      <c r="E71" s="1" t="s">
        <v>234</v>
      </c>
      <c r="G71">
        <v>0</v>
      </c>
      <c r="H71">
        <v>0</v>
      </c>
      <c r="I71">
        <v>0</v>
      </c>
      <c r="J71">
        <v>0</v>
      </c>
      <c r="K71">
        <v>0</v>
      </c>
      <c r="L71">
        <v>0</v>
      </c>
      <c r="M71">
        <v>0</v>
      </c>
      <c r="N71">
        <v>0</v>
      </c>
      <c r="O71">
        <v>0</v>
      </c>
      <c r="P71">
        <v>0</v>
      </c>
      <c r="Q71" t="str">
        <f>INDEX('Partner data'!A:DH,MATCH(C71,'Partner data'!DG:DG,0),83)</f>
        <v xml:space="preserve">Organismo di diritto pubblico </v>
      </c>
      <c r="R71" t="b">
        <f>IF(E71="staff",IF(INDEX('Partner data'!A:DH,MATCH(C71,'Partner data'!DG:DG,0),112)="BL1 non presente","FALSO",INDEX('Partner data'!A:DH,MATCH(C71,'Partner data'!DG:DG,0),112)))</f>
        <v>0</v>
      </c>
      <c r="S71" t="b">
        <f t="shared" si="2"/>
        <v>0</v>
      </c>
      <c r="T71" t="b">
        <f t="shared" si="3"/>
        <v>1</v>
      </c>
      <c r="U71" s="154">
        <f>IFERROR(IF(R71&lt;&gt;FALSE,IF(S71=TRUE,INDEX('SummaryNOT_VALIDATED-BL'!$A$1:$F$16,MATCH(R71,'SummaryNOT_VALIDATED-BL'!$A$1:$A$16,0),6),0),IF(S71=TRUE,INDEX('SummaryNOT_VALIDATED-BL'!$A$1:$F$16,MATCH(E71,'SummaryNOT_VALIDATED-BL'!$A$1:$A$16,0),6),0)),0)</f>
        <v>0</v>
      </c>
      <c r="V71" s="81" cm="1">
        <f t="array" ref="V71">INDEX('Weight tables'!$A$24:$C$27,MATCH(1,(RendicontiTrasmessiBL__2[[#This Row],[Cut percentage on real costs + USC]]&gt;='Weight tables'!$B$24:$B$27)*(RendicontiTrasmessiBL__2[[#This Row],[Cut percentage on real costs + USC]]&lt;='Weight tables'!$C$24:$C$27),0),1)</f>
        <v>0</v>
      </c>
      <c r="W71" s="2">
        <f>RendicontiTrasmessiBL__2[[#This Row],[Weight real costs  + USC ]]</f>
        <v>0</v>
      </c>
    </row>
    <row r="72" spans="1:23" x14ac:dyDescent="0.25">
      <c r="A72" s="1" t="s">
        <v>58</v>
      </c>
      <c r="B72" s="1" t="s">
        <v>21</v>
      </c>
      <c r="C72" s="2">
        <v>13</v>
      </c>
      <c r="D72" s="2">
        <v>5</v>
      </c>
      <c r="E72" s="1" t="s">
        <v>236</v>
      </c>
      <c r="G72">
        <v>0</v>
      </c>
      <c r="H72">
        <v>0</v>
      </c>
      <c r="I72">
        <v>0</v>
      </c>
      <c r="J72">
        <v>0</v>
      </c>
      <c r="K72">
        <v>0</v>
      </c>
      <c r="L72">
        <v>0</v>
      </c>
      <c r="M72">
        <v>0</v>
      </c>
      <c r="N72">
        <v>0</v>
      </c>
      <c r="O72">
        <v>0</v>
      </c>
      <c r="P72">
        <v>0</v>
      </c>
      <c r="Q72" t="str">
        <f>INDEX('Partner data'!A:DH,MATCH(C72,'Partner data'!DG:DG,0),83)</f>
        <v xml:space="preserve">Organismo di diritto pubblico </v>
      </c>
      <c r="R72" t="b">
        <f>IF(E72="staff",IF(INDEX('Partner data'!A:DH,MATCH(C72,'Partner data'!DG:DG,0),112)="BL1 non presente","FALSO",INDEX('Partner data'!A:DH,MATCH(C72,'Partner data'!DG:DG,0),112)))</f>
        <v>0</v>
      </c>
      <c r="S72" t="b">
        <f t="shared" si="2"/>
        <v>0</v>
      </c>
      <c r="T72" t="b">
        <f t="shared" si="3"/>
        <v>1</v>
      </c>
      <c r="U72" s="154">
        <f>IFERROR(IF(R72&lt;&gt;FALSE,IF(S72=TRUE,INDEX('SummaryNOT_VALIDATED-BL'!$A$1:$F$16,MATCH(R72,'SummaryNOT_VALIDATED-BL'!$A$1:$A$16,0),6),0),IF(S72=TRUE,INDEX('SummaryNOT_VALIDATED-BL'!$A$1:$F$16,MATCH(E72,'SummaryNOT_VALIDATED-BL'!$A$1:$A$16,0),6),0)),0)</f>
        <v>0</v>
      </c>
      <c r="V72" s="81" cm="1">
        <f t="array" ref="V72">INDEX('Weight tables'!$A$24:$C$27,MATCH(1,(RendicontiTrasmessiBL__2[[#This Row],[Cut percentage on real costs + USC]]&gt;='Weight tables'!$B$24:$B$27)*(RendicontiTrasmessiBL__2[[#This Row],[Cut percentage on real costs + USC]]&lt;='Weight tables'!$C$24:$C$27),0),1)</f>
        <v>0</v>
      </c>
      <c r="W72" s="2">
        <f>RendicontiTrasmessiBL__2[[#This Row],[Weight real costs  + USC ]]</f>
        <v>0</v>
      </c>
    </row>
    <row r="73" spans="1:23" x14ac:dyDescent="0.25">
      <c r="A73" s="1" t="s">
        <v>58</v>
      </c>
      <c r="B73" s="1" t="s">
        <v>21</v>
      </c>
      <c r="C73" s="2">
        <v>13</v>
      </c>
      <c r="D73" s="2">
        <v>5</v>
      </c>
      <c r="E73" s="1" t="s">
        <v>237</v>
      </c>
      <c r="G73">
        <v>0</v>
      </c>
      <c r="H73">
        <v>0</v>
      </c>
      <c r="I73">
        <v>0</v>
      </c>
      <c r="J73">
        <v>0</v>
      </c>
      <c r="K73">
        <v>0</v>
      </c>
      <c r="L73">
        <v>0</v>
      </c>
      <c r="M73">
        <v>0</v>
      </c>
      <c r="N73">
        <v>0</v>
      </c>
      <c r="O73">
        <v>0</v>
      </c>
      <c r="P73">
        <v>0</v>
      </c>
      <c r="Q73" t="str">
        <f>INDEX('Partner data'!A:DH,MATCH(C73,'Partner data'!DG:DG,0),83)</f>
        <v xml:space="preserve">Organismo di diritto pubblico </v>
      </c>
      <c r="R73" t="b">
        <f>IF(E73="staff",IF(INDEX('Partner data'!A:DH,MATCH(C73,'Partner data'!DG:DG,0),112)="BL1 non presente","FALSO",INDEX('Partner data'!A:DH,MATCH(C73,'Partner data'!DG:DG,0),112)))</f>
        <v>0</v>
      </c>
      <c r="S73" t="b">
        <f t="shared" si="2"/>
        <v>0</v>
      </c>
      <c r="T73" t="b">
        <f t="shared" si="3"/>
        <v>1</v>
      </c>
      <c r="U73" s="154">
        <f>IFERROR(IF(R73&lt;&gt;FALSE,IF(S73=TRUE,INDEX('SummaryNOT_VALIDATED-BL'!$A$1:$F$16,MATCH(R73,'SummaryNOT_VALIDATED-BL'!$A$1:$A$16,0),6),0),IF(S73=TRUE,INDEX('SummaryNOT_VALIDATED-BL'!$A$1:$F$16,MATCH(E73,'SummaryNOT_VALIDATED-BL'!$A$1:$A$16,0),6),0)),0)</f>
        <v>0</v>
      </c>
      <c r="V73" s="81" cm="1">
        <f t="array" ref="V73">INDEX('Weight tables'!$A$24:$C$27,MATCH(1,(RendicontiTrasmessiBL__2[[#This Row],[Cut percentage on real costs + USC]]&gt;='Weight tables'!$B$24:$B$27)*(RendicontiTrasmessiBL__2[[#This Row],[Cut percentage on real costs + USC]]&lt;='Weight tables'!$C$24:$C$27),0),1)</f>
        <v>0</v>
      </c>
      <c r="W73" s="2">
        <f>RendicontiTrasmessiBL__2[[#This Row],[Weight real costs  + USC ]]</f>
        <v>0</v>
      </c>
    </row>
    <row r="74" spans="1:23" x14ac:dyDescent="0.25">
      <c r="A74" s="1" t="s">
        <v>58</v>
      </c>
      <c r="B74" s="1" t="s">
        <v>25</v>
      </c>
      <c r="C74" s="2">
        <v>10</v>
      </c>
      <c r="D74" s="2">
        <v>227</v>
      </c>
      <c r="E74" s="1" t="s">
        <v>228</v>
      </c>
      <c r="G74">
        <v>58080</v>
      </c>
      <c r="H74">
        <v>12822</v>
      </c>
      <c r="I74">
        <v>0</v>
      </c>
      <c r="J74">
        <v>12190</v>
      </c>
      <c r="K74">
        <v>0</v>
      </c>
      <c r="L74">
        <v>0</v>
      </c>
      <c r="M74">
        <v>25012</v>
      </c>
      <c r="N74">
        <v>43.06</v>
      </c>
      <c r="O74">
        <v>33068</v>
      </c>
      <c r="P74">
        <v>12822</v>
      </c>
      <c r="Q74" t="str">
        <f>INDEX('Partner data'!A:DH,MATCH(C74,'Partner data'!DG:DG,0),83)</f>
        <v>Soggetto pubblico</v>
      </c>
      <c r="R74" t="str">
        <f>IF(E74="staff",IF(INDEX('Partner data'!A:DH,MATCH(C74,'Partner data'!DG:DG,0),112)="BL1 non presente","FALSO",INDEX('Partner data'!A:DH,MATCH(C74,'Partner data'!DG:DG,0),112)))</f>
        <v>Costo Unitario Standard</v>
      </c>
      <c r="S74" t="b">
        <f t="shared" si="2"/>
        <v>1</v>
      </c>
      <c r="T74" t="b">
        <f t="shared" si="3"/>
        <v>1</v>
      </c>
      <c r="U74" s="154">
        <f>IFERROR(IF(R74&lt;&gt;FALSE,IF(S74=TRUE,INDEX('SummaryNOT_VALIDATED-BL'!$A$1:$F$16,MATCH(R74,'SummaryNOT_VALIDATED-BL'!$A$1:$A$16,0),6),0),IF(S74=TRUE,INDEX('SummaryNOT_VALIDATED-BL'!$A$1:$F$16,MATCH(E74,'SummaryNOT_VALIDATED-BL'!$A$1:$A$16,0),6),0)),0)</f>
        <v>3.2052879635441428E-2</v>
      </c>
      <c r="V74" s="81" cm="1">
        <f t="array" ref="V74">INDEX('Weight tables'!$A$24:$C$27,MATCH(1,(RendicontiTrasmessiBL__2[[#This Row],[Cut percentage on real costs + USC]]&gt;='Weight tables'!$B$24:$B$27)*(RendicontiTrasmessiBL__2[[#This Row],[Cut percentage on real costs + USC]]&lt;='Weight tables'!$C$24:$C$27),0),1)</f>
        <v>2</v>
      </c>
      <c r="W74" s="2">
        <f>RendicontiTrasmessiBL__2[[#This Row],[Weight real costs  + USC ]]</f>
        <v>2</v>
      </c>
    </row>
    <row r="75" spans="1:23" x14ac:dyDescent="0.25">
      <c r="A75" s="1" t="s">
        <v>58</v>
      </c>
      <c r="B75" s="1" t="s">
        <v>25</v>
      </c>
      <c r="C75" s="2">
        <v>10</v>
      </c>
      <c r="D75" s="2">
        <v>227</v>
      </c>
      <c r="E75" s="1" t="s">
        <v>229</v>
      </c>
      <c r="F75">
        <v>15</v>
      </c>
      <c r="G75">
        <v>8712</v>
      </c>
      <c r="H75">
        <v>1923.3</v>
      </c>
      <c r="I75">
        <v>0</v>
      </c>
      <c r="J75">
        <v>1828.5</v>
      </c>
      <c r="K75">
        <v>0</v>
      </c>
      <c r="L75">
        <v>0</v>
      </c>
      <c r="M75">
        <v>3751.8</v>
      </c>
      <c r="N75">
        <v>43.06</v>
      </c>
      <c r="O75">
        <v>4960.2</v>
      </c>
      <c r="P75">
        <v>1923.3</v>
      </c>
      <c r="Q75" t="str">
        <f>INDEX('Partner data'!A:DH,MATCH(C75,'Partner data'!DG:DG,0),83)</f>
        <v>Soggetto pubblico</v>
      </c>
      <c r="R75" t="b">
        <f>IF(E75="staff",IF(INDEX('Partner data'!A:DH,MATCH(C75,'Partner data'!DG:DG,0),112)="BL1 non presente","FALSO",INDEX('Partner data'!A:DH,MATCH(C75,'Partner data'!DG:DG,0),112)))</f>
        <v>0</v>
      </c>
      <c r="S75" t="b">
        <f t="shared" si="2"/>
        <v>1</v>
      </c>
      <c r="T75" t="b">
        <f t="shared" si="3"/>
        <v>1</v>
      </c>
      <c r="U75" s="154">
        <f>IFERROR(IF(R75&lt;&gt;FALSE,IF(S75=TRUE,INDEX('SummaryNOT_VALIDATED-BL'!$A$1:$F$16,MATCH(R75,'SummaryNOT_VALIDATED-BL'!$A$1:$A$16,0),6),0),IF(S75=TRUE,INDEX('SummaryNOT_VALIDATED-BL'!$A$1:$F$16,MATCH(E75,'SummaryNOT_VALIDATED-BL'!$A$1:$A$16,0),6),0)),0)</f>
        <v>6.6460469504890221E-2</v>
      </c>
      <c r="V75" s="81" cm="1">
        <f t="array" ref="V75">INDEX('Weight tables'!$A$24:$C$27,MATCH(1,(RendicontiTrasmessiBL__2[[#This Row],[Cut percentage on real costs + USC]]&gt;='Weight tables'!$B$24:$B$27)*(RendicontiTrasmessiBL__2[[#This Row],[Cut percentage on real costs + USC]]&lt;='Weight tables'!$C$24:$C$27),0),1)</f>
        <v>4</v>
      </c>
      <c r="W75" s="2">
        <f>RendicontiTrasmessiBL__2[[#This Row],[Weight real costs  + USC ]]</f>
        <v>4</v>
      </c>
    </row>
    <row r="76" spans="1:23" x14ac:dyDescent="0.25">
      <c r="A76" s="1" t="s">
        <v>58</v>
      </c>
      <c r="B76" s="1" t="s">
        <v>25</v>
      </c>
      <c r="C76" s="2">
        <v>10</v>
      </c>
      <c r="D76" s="2">
        <v>227</v>
      </c>
      <c r="E76" s="1" t="s">
        <v>230</v>
      </c>
      <c r="F76">
        <v>4</v>
      </c>
      <c r="G76">
        <v>2323.1999999999998</v>
      </c>
      <c r="H76">
        <v>512.88</v>
      </c>
      <c r="I76">
        <v>0</v>
      </c>
      <c r="J76">
        <v>487.6</v>
      </c>
      <c r="K76">
        <v>0</v>
      </c>
      <c r="L76">
        <v>0</v>
      </c>
      <c r="M76">
        <v>1000.48</v>
      </c>
      <c r="N76">
        <v>43.06</v>
      </c>
      <c r="O76">
        <v>1322.72</v>
      </c>
      <c r="P76">
        <v>512.88</v>
      </c>
      <c r="Q76" t="str">
        <f>INDEX('Partner data'!A:DH,MATCH(C76,'Partner data'!DG:DG,0),83)</f>
        <v>Soggetto pubblico</v>
      </c>
      <c r="R76" t="b">
        <f>IF(E76="staff",IF(INDEX('Partner data'!A:DH,MATCH(C76,'Partner data'!DG:DG,0),112)="BL1 non presente","FALSO",INDEX('Partner data'!A:DH,MATCH(C76,'Partner data'!DG:DG,0),112)))</f>
        <v>0</v>
      </c>
      <c r="S76" t="b">
        <f t="shared" si="2"/>
        <v>1</v>
      </c>
      <c r="T76" t="b">
        <f t="shared" si="3"/>
        <v>1</v>
      </c>
      <c r="U76" s="154">
        <f>IFERROR(IF(R76&lt;&gt;FALSE,IF(S76=TRUE,INDEX('SummaryNOT_VALIDATED-BL'!$A$1:$F$16,MATCH(R76,'SummaryNOT_VALIDATED-BL'!$A$1:$A$16,0),6),0),IF(S76=TRUE,INDEX('SummaryNOT_VALIDATED-BL'!$A$1:$F$16,MATCH(E76,'SummaryNOT_VALIDATED-BL'!$A$1:$A$16,0),6),0)),0)</f>
        <v>6.3112622236488891E-2</v>
      </c>
      <c r="V76" s="81" cm="1">
        <f t="array" ref="V76">INDEX('Weight tables'!$A$24:$C$27,MATCH(1,(RendicontiTrasmessiBL__2[[#This Row],[Cut percentage on real costs + USC]]&gt;='Weight tables'!$B$24:$B$27)*(RendicontiTrasmessiBL__2[[#This Row],[Cut percentage on real costs + USC]]&lt;='Weight tables'!$C$24:$C$27),0),1)</f>
        <v>4</v>
      </c>
      <c r="W76" s="2">
        <f>RendicontiTrasmessiBL__2[[#This Row],[Weight real costs  + USC ]]</f>
        <v>4</v>
      </c>
    </row>
    <row r="77" spans="1:23" x14ac:dyDescent="0.25">
      <c r="A77" s="1" t="s">
        <v>58</v>
      </c>
      <c r="B77" s="1" t="s">
        <v>25</v>
      </c>
      <c r="C77" s="2">
        <v>10</v>
      </c>
      <c r="D77" s="2">
        <v>227</v>
      </c>
      <c r="E77" s="1" t="s">
        <v>231</v>
      </c>
      <c r="G77">
        <v>135884.79999999999</v>
      </c>
      <c r="H77">
        <v>0</v>
      </c>
      <c r="I77">
        <v>0</v>
      </c>
      <c r="J77">
        <v>2404.75</v>
      </c>
      <c r="K77">
        <v>0</v>
      </c>
      <c r="L77">
        <v>0</v>
      </c>
      <c r="M77">
        <v>2404.75</v>
      </c>
      <c r="N77">
        <v>1.77</v>
      </c>
      <c r="O77">
        <v>133480.04999999999</v>
      </c>
      <c r="P77">
        <v>0</v>
      </c>
      <c r="Q77" t="str">
        <f>INDEX('Partner data'!A:DH,MATCH(C77,'Partner data'!DG:DG,0),83)</f>
        <v>Soggetto pubblico</v>
      </c>
      <c r="R77" t="b">
        <f>IF(E77="staff",IF(INDEX('Partner data'!A:DH,MATCH(C77,'Partner data'!DG:DG,0),112)="BL1 non presente","FALSO",INDEX('Partner data'!A:DH,MATCH(C77,'Partner data'!DG:DG,0),112)))</f>
        <v>0</v>
      </c>
      <c r="S77" t="b">
        <f t="shared" si="2"/>
        <v>1</v>
      </c>
      <c r="T77" t="b">
        <f t="shared" si="3"/>
        <v>1</v>
      </c>
      <c r="U77" s="154">
        <f>IFERROR(IF(R77&lt;&gt;FALSE,IF(S77=TRUE,INDEX('SummaryNOT_VALIDATED-BL'!$A$1:$F$16,MATCH(R77,'SummaryNOT_VALIDATED-BL'!$A$1:$A$16,0),6),0),IF(S77=TRUE,INDEX('SummaryNOT_VALIDATED-BL'!$A$1:$F$16,MATCH(E77,'SummaryNOT_VALIDATED-BL'!$A$1:$A$16,0),6),0)),0)</f>
        <v>5.577594442215475E-2</v>
      </c>
      <c r="V77" s="81" cm="1">
        <f t="array" ref="V77">INDEX('Weight tables'!$A$24:$C$27,MATCH(1,(RendicontiTrasmessiBL__2[[#This Row],[Cut percentage on real costs + USC]]&gt;='Weight tables'!$B$24:$B$27)*(RendicontiTrasmessiBL__2[[#This Row],[Cut percentage on real costs + USC]]&lt;='Weight tables'!$C$24:$C$27),0),1)</f>
        <v>4</v>
      </c>
      <c r="W77" s="2">
        <f>RendicontiTrasmessiBL__2[[#This Row],[Weight real costs  + USC ]]</f>
        <v>4</v>
      </c>
    </row>
    <row r="78" spans="1:23" x14ac:dyDescent="0.25">
      <c r="A78" s="1" t="s">
        <v>58</v>
      </c>
      <c r="B78" s="1" t="s">
        <v>25</v>
      </c>
      <c r="C78" s="2">
        <v>10</v>
      </c>
      <c r="D78" s="2">
        <v>227</v>
      </c>
      <c r="E78" s="1" t="s">
        <v>232</v>
      </c>
      <c r="G78">
        <v>30000</v>
      </c>
      <c r="H78">
        <v>0</v>
      </c>
      <c r="I78">
        <v>0</v>
      </c>
      <c r="J78">
        <v>0</v>
      </c>
      <c r="K78">
        <v>0</v>
      </c>
      <c r="L78">
        <v>0</v>
      </c>
      <c r="M78">
        <v>0</v>
      </c>
      <c r="N78">
        <v>0</v>
      </c>
      <c r="O78">
        <v>30000</v>
      </c>
      <c r="P78">
        <v>0</v>
      </c>
      <c r="Q78" t="str">
        <f>INDEX('Partner data'!A:DH,MATCH(C78,'Partner data'!DG:DG,0),83)</f>
        <v>Soggetto pubblico</v>
      </c>
      <c r="R78" t="b">
        <f>IF(E78="staff",IF(INDEX('Partner data'!A:DH,MATCH(C78,'Partner data'!DG:DG,0),112)="BL1 non presente","FALSO",INDEX('Partner data'!A:DH,MATCH(C78,'Partner data'!DG:DG,0),112)))</f>
        <v>0</v>
      </c>
      <c r="S78" t="b">
        <f t="shared" si="2"/>
        <v>0</v>
      </c>
      <c r="T78" t="b">
        <f t="shared" si="3"/>
        <v>1</v>
      </c>
      <c r="U78" s="154">
        <f>IFERROR(IF(R78&lt;&gt;FALSE,IF(S78=TRUE,INDEX('SummaryNOT_VALIDATED-BL'!$A$1:$F$16,MATCH(R78,'SummaryNOT_VALIDATED-BL'!$A$1:$A$16,0),6),0),IF(S78=TRUE,INDEX('SummaryNOT_VALIDATED-BL'!$A$1:$F$16,MATCH(E78,'SummaryNOT_VALIDATED-BL'!$A$1:$A$16,0),6),0)),0)</f>
        <v>0</v>
      </c>
      <c r="V78" s="81" cm="1">
        <f t="array" ref="V78">INDEX('Weight tables'!$A$24:$C$27,MATCH(1,(RendicontiTrasmessiBL__2[[#This Row],[Cut percentage on real costs + USC]]&gt;='Weight tables'!$B$24:$B$27)*(RendicontiTrasmessiBL__2[[#This Row],[Cut percentage on real costs + USC]]&lt;='Weight tables'!$C$24:$C$27),0),1)</f>
        <v>0</v>
      </c>
      <c r="W78" s="2">
        <f>RendicontiTrasmessiBL__2[[#This Row],[Weight real costs  + USC ]]</f>
        <v>0</v>
      </c>
    </row>
    <row r="79" spans="1:23" x14ac:dyDescent="0.25">
      <c r="A79" s="1" t="s">
        <v>58</v>
      </c>
      <c r="B79" s="1" t="s">
        <v>25</v>
      </c>
      <c r="C79" s="2">
        <v>10</v>
      </c>
      <c r="D79" s="2">
        <v>227</v>
      </c>
      <c r="E79" s="1" t="s">
        <v>233</v>
      </c>
      <c r="G79">
        <v>1125000</v>
      </c>
      <c r="H79">
        <v>0</v>
      </c>
      <c r="I79">
        <v>0</v>
      </c>
      <c r="J79">
        <v>0</v>
      </c>
      <c r="K79">
        <v>0</v>
      </c>
      <c r="L79">
        <v>0</v>
      </c>
      <c r="M79">
        <v>0</v>
      </c>
      <c r="N79">
        <v>0</v>
      </c>
      <c r="O79">
        <v>1125000</v>
      </c>
      <c r="P79">
        <v>0</v>
      </c>
      <c r="Q79" t="str">
        <f>INDEX('Partner data'!A:DH,MATCH(C79,'Partner data'!DG:DG,0),83)</f>
        <v>Soggetto pubblico</v>
      </c>
      <c r="R79" t="b">
        <f>IF(E79="staff",IF(INDEX('Partner data'!A:DH,MATCH(C79,'Partner data'!DG:DG,0),112)="BL1 non presente","FALSO",INDEX('Partner data'!A:DH,MATCH(C79,'Partner data'!DG:DG,0),112)))</f>
        <v>0</v>
      </c>
      <c r="S79" t="b">
        <f t="shared" si="2"/>
        <v>0</v>
      </c>
      <c r="T79" t="b">
        <f t="shared" si="3"/>
        <v>1</v>
      </c>
      <c r="U79" s="154">
        <f>IFERROR(IF(R79&lt;&gt;FALSE,IF(S79=TRUE,INDEX('SummaryNOT_VALIDATED-BL'!$A$1:$F$16,MATCH(R79,'SummaryNOT_VALIDATED-BL'!$A$1:$A$16,0),6),0),IF(S79=TRUE,INDEX('SummaryNOT_VALIDATED-BL'!$A$1:$F$16,MATCH(E79,'SummaryNOT_VALIDATED-BL'!$A$1:$A$16,0),6),0)),0)</f>
        <v>0</v>
      </c>
      <c r="V79" s="81" cm="1">
        <f t="array" ref="V79">INDEX('Weight tables'!$A$24:$C$27,MATCH(1,(RendicontiTrasmessiBL__2[[#This Row],[Cut percentage on real costs + USC]]&gt;='Weight tables'!$B$24:$B$27)*(RendicontiTrasmessiBL__2[[#This Row],[Cut percentage on real costs + USC]]&lt;='Weight tables'!$C$24:$C$27),0),1)</f>
        <v>0</v>
      </c>
      <c r="W79" s="2">
        <f>RendicontiTrasmessiBL__2[[#This Row],[Weight real costs  + USC ]]</f>
        <v>0</v>
      </c>
    </row>
    <row r="80" spans="1:23" x14ac:dyDescent="0.25">
      <c r="A80" s="1" t="s">
        <v>58</v>
      </c>
      <c r="B80" s="1" t="s">
        <v>25</v>
      </c>
      <c r="C80" s="2">
        <v>10</v>
      </c>
      <c r="D80" s="2">
        <v>227</v>
      </c>
      <c r="E80" s="1" t="s">
        <v>234</v>
      </c>
      <c r="G80">
        <v>0</v>
      </c>
      <c r="H80">
        <v>0</v>
      </c>
      <c r="I80">
        <v>0</v>
      </c>
      <c r="J80">
        <v>0</v>
      </c>
      <c r="K80">
        <v>0</v>
      </c>
      <c r="L80">
        <v>0</v>
      </c>
      <c r="M80">
        <v>0</v>
      </c>
      <c r="N80">
        <v>0</v>
      </c>
      <c r="O80">
        <v>0</v>
      </c>
      <c r="P80">
        <v>0</v>
      </c>
      <c r="Q80" t="str">
        <f>INDEX('Partner data'!A:DH,MATCH(C80,'Partner data'!DG:DG,0),83)</f>
        <v>Soggetto pubblico</v>
      </c>
      <c r="R80" t="b">
        <f>IF(E80="staff",IF(INDEX('Partner data'!A:DH,MATCH(C80,'Partner data'!DG:DG,0),112)="BL1 non presente","FALSO",INDEX('Partner data'!A:DH,MATCH(C80,'Partner data'!DG:DG,0),112)))</f>
        <v>0</v>
      </c>
      <c r="S80" t="b">
        <f t="shared" si="2"/>
        <v>0</v>
      </c>
      <c r="T80" t="b">
        <f t="shared" si="3"/>
        <v>1</v>
      </c>
      <c r="U80" s="154">
        <f>IFERROR(IF(R80&lt;&gt;FALSE,IF(S80=TRUE,INDEX('SummaryNOT_VALIDATED-BL'!$A$1:$F$16,MATCH(R80,'SummaryNOT_VALIDATED-BL'!$A$1:$A$16,0),6),0),IF(S80=TRUE,INDEX('SummaryNOT_VALIDATED-BL'!$A$1:$F$16,MATCH(E80,'SummaryNOT_VALIDATED-BL'!$A$1:$A$16,0),6),0)),0)</f>
        <v>0</v>
      </c>
      <c r="V80" s="81" cm="1">
        <f t="array" ref="V80">INDEX('Weight tables'!$A$24:$C$27,MATCH(1,(RendicontiTrasmessiBL__2[[#This Row],[Cut percentage on real costs + USC]]&gt;='Weight tables'!$B$24:$B$27)*(RendicontiTrasmessiBL__2[[#This Row],[Cut percentage on real costs + USC]]&lt;='Weight tables'!$C$24:$C$27),0),1)</f>
        <v>0</v>
      </c>
      <c r="W80" s="2">
        <f>RendicontiTrasmessiBL__2[[#This Row],[Weight real costs  + USC ]]</f>
        <v>0</v>
      </c>
    </row>
    <row r="81" spans="1:23" x14ac:dyDescent="0.25">
      <c r="A81" s="1" t="s">
        <v>58</v>
      </c>
      <c r="B81" s="1" t="s">
        <v>25</v>
      </c>
      <c r="C81" s="2">
        <v>10</v>
      </c>
      <c r="D81" s="2">
        <v>227</v>
      </c>
      <c r="E81" s="1" t="s">
        <v>236</v>
      </c>
      <c r="G81">
        <v>0</v>
      </c>
      <c r="H81">
        <v>0</v>
      </c>
      <c r="I81">
        <v>0</v>
      </c>
      <c r="J81">
        <v>0</v>
      </c>
      <c r="K81">
        <v>0</v>
      </c>
      <c r="L81">
        <v>0</v>
      </c>
      <c r="M81">
        <v>0</v>
      </c>
      <c r="N81">
        <v>0</v>
      </c>
      <c r="O81">
        <v>0</v>
      </c>
      <c r="P81">
        <v>0</v>
      </c>
      <c r="Q81" t="str">
        <f>INDEX('Partner data'!A:DH,MATCH(C81,'Partner data'!DG:DG,0),83)</f>
        <v>Soggetto pubblico</v>
      </c>
      <c r="R81" t="b">
        <f>IF(E81="staff",IF(INDEX('Partner data'!A:DH,MATCH(C81,'Partner data'!DG:DG,0),112)="BL1 non presente","FALSO",INDEX('Partner data'!A:DH,MATCH(C81,'Partner data'!DG:DG,0),112)))</f>
        <v>0</v>
      </c>
      <c r="S81" t="b">
        <f t="shared" si="2"/>
        <v>0</v>
      </c>
      <c r="T81" t="b">
        <f t="shared" si="3"/>
        <v>1</v>
      </c>
      <c r="U81" s="154">
        <f>IFERROR(IF(R81&lt;&gt;FALSE,IF(S81=TRUE,INDEX('SummaryNOT_VALIDATED-BL'!$A$1:$F$16,MATCH(R81,'SummaryNOT_VALIDATED-BL'!$A$1:$A$16,0),6),0),IF(S81=TRUE,INDEX('SummaryNOT_VALIDATED-BL'!$A$1:$F$16,MATCH(E81,'SummaryNOT_VALIDATED-BL'!$A$1:$A$16,0),6),0)),0)</f>
        <v>0</v>
      </c>
      <c r="V81" s="81" cm="1">
        <f t="array" ref="V81">INDEX('Weight tables'!$A$24:$C$27,MATCH(1,(RendicontiTrasmessiBL__2[[#This Row],[Cut percentage on real costs + USC]]&gt;='Weight tables'!$B$24:$B$27)*(RendicontiTrasmessiBL__2[[#This Row],[Cut percentage on real costs + USC]]&lt;='Weight tables'!$C$24:$C$27),0),1)</f>
        <v>0</v>
      </c>
      <c r="W81" s="2">
        <f>RendicontiTrasmessiBL__2[[#This Row],[Weight real costs  + USC ]]</f>
        <v>0</v>
      </c>
    </row>
    <row r="82" spans="1:23" x14ac:dyDescent="0.25">
      <c r="A82" s="1" t="s">
        <v>58</v>
      </c>
      <c r="B82" s="1" t="s">
        <v>25</v>
      </c>
      <c r="C82" s="2">
        <v>10</v>
      </c>
      <c r="D82" s="2">
        <v>227</v>
      </c>
      <c r="E82" s="1" t="s">
        <v>237</v>
      </c>
      <c r="G82">
        <v>0</v>
      </c>
      <c r="H82">
        <v>0</v>
      </c>
      <c r="I82">
        <v>0</v>
      </c>
      <c r="J82">
        <v>0</v>
      </c>
      <c r="K82">
        <v>0</v>
      </c>
      <c r="L82">
        <v>0</v>
      </c>
      <c r="M82">
        <v>0</v>
      </c>
      <c r="N82">
        <v>0</v>
      </c>
      <c r="O82">
        <v>0</v>
      </c>
      <c r="P82">
        <v>0</v>
      </c>
      <c r="Q82" t="str">
        <f>INDEX('Partner data'!A:DH,MATCH(C82,'Partner data'!DG:DG,0),83)</f>
        <v>Soggetto pubblico</v>
      </c>
      <c r="R82" t="b">
        <f>IF(E82="staff",IF(INDEX('Partner data'!A:DH,MATCH(C82,'Partner data'!DG:DG,0),112)="BL1 non presente","FALSO",INDEX('Partner data'!A:DH,MATCH(C82,'Partner data'!DG:DG,0),112)))</f>
        <v>0</v>
      </c>
      <c r="S82" t="b">
        <f t="shared" si="2"/>
        <v>0</v>
      </c>
      <c r="T82" t="b">
        <f t="shared" si="3"/>
        <v>1</v>
      </c>
      <c r="U82" s="154">
        <f>IFERROR(IF(R82&lt;&gt;FALSE,IF(S82=TRUE,INDEX('SummaryNOT_VALIDATED-BL'!$A$1:$F$16,MATCH(R82,'SummaryNOT_VALIDATED-BL'!$A$1:$A$16,0),6),0),IF(S82=TRUE,INDEX('SummaryNOT_VALIDATED-BL'!$A$1:$F$16,MATCH(E82,'SummaryNOT_VALIDATED-BL'!$A$1:$A$16,0),6),0)),0)</f>
        <v>0</v>
      </c>
      <c r="V82" s="81" cm="1">
        <f t="array" ref="V82">INDEX('Weight tables'!$A$24:$C$27,MATCH(1,(RendicontiTrasmessiBL__2[[#This Row],[Cut percentage on real costs + USC]]&gt;='Weight tables'!$B$24:$B$27)*(RendicontiTrasmessiBL__2[[#This Row],[Cut percentage on real costs + USC]]&lt;='Weight tables'!$C$24:$C$27),0),1)</f>
        <v>0</v>
      </c>
      <c r="W82" s="2">
        <f>RendicontiTrasmessiBL__2[[#This Row],[Weight real costs  + USC ]]</f>
        <v>0</v>
      </c>
    </row>
    <row r="83" spans="1:23" x14ac:dyDescent="0.25">
      <c r="A83" s="1" t="s">
        <v>58</v>
      </c>
      <c r="B83" s="1" t="s">
        <v>25</v>
      </c>
      <c r="C83" s="2">
        <v>10</v>
      </c>
      <c r="D83" s="2">
        <v>27</v>
      </c>
      <c r="E83" s="1" t="s">
        <v>228</v>
      </c>
      <c r="G83">
        <v>58080</v>
      </c>
      <c r="H83">
        <v>0</v>
      </c>
      <c r="I83">
        <v>0</v>
      </c>
      <c r="J83">
        <v>12822</v>
      </c>
      <c r="K83">
        <v>0</v>
      </c>
      <c r="L83">
        <v>12822</v>
      </c>
      <c r="M83">
        <v>12822</v>
      </c>
      <c r="N83">
        <v>22.08</v>
      </c>
      <c r="O83">
        <v>45258</v>
      </c>
      <c r="P83">
        <v>0</v>
      </c>
      <c r="Q83" t="str">
        <f>INDEX('Partner data'!A:DH,MATCH(C83,'Partner data'!DG:DG,0),83)</f>
        <v>Soggetto pubblico</v>
      </c>
      <c r="R83" t="str">
        <f>IF(E83="staff",IF(INDEX('Partner data'!A:DH,MATCH(C83,'Partner data'!DG:DG,0),112)="BL1 non presente","FALSO",INDEX('Partner data'!A:DH,MATCH(C83,'Partner data'!DG:DG,0),112)))</f>
        <v>Costo Unitario Standard</v>
      </c>
      <c r="S83" t="b">
        <f t="shared" si="2"/>
        <v>1</v>
      </c>
      <c r="T83" t="b">
        <f t="shared" si="3"/>
        <v>1</v>
      </c>
      <c r="U83" s="154">
        <f>IFERROR(IF(R83&lt;&gt;FALSE,IF(S83=TRUE,INDEX('SummaryNOT_VALIDATED-BL'!$A$1:$F$16,MATCH(R83,'SummaryNOT_VALIDATED-BL'!$A$1:$A$16,0),6),0),IF(S83=TRUE,INDEX('SummaryNOT_VALIDATED-BL'!$A$1:$F$16,MATCH(E83,'SummaryNOT_VALIDATED-BL'!$A$1:$A$16,0),6),0)),0)</f>
        <v>3.2052879635441428E-2</v>
      </c>
      <c r="V83" s="81" cm="1">
        <f t="array" ref="V83">INDEX('Weight tables'!$A$24:$C$27,MATCH(1,(RendicontiTrasmessiBL__2[[#This Row],[Cut percentage on real costs + USC]]&gt;='Weight tables'!$B$24:$B$27)*(RendicontiTrasmessiBL__2[[#This Row],[Cut percentage on real costs + USC]]&lt;='Weight tables'!$C$24:$C$27),0),1)</f>
        <v>2</v>
      </c>
      <c r="W83" s="2">
        <f>RendicontiTrasmessiBL__2[[#This Row],[Weight real costs  + USC ]]</f>
        <v>2</v>
      </c>
    </row>
    <row r="84" spans="1:23" x14ac:dyDescent="0.25">
      <c r="A84" s="1" t="s">
        <v>58</v>
      </c>
      <c r="B84" s="1" t="s">
        <v>25</v>
      </c>
      <c r="C84" s="2">
        <v>10</v>
      </c>
      <c r="D84" s="2">
        <v>27</v>
      </c>
      <c r="E84" s="1" t="s">
        <v>229</v>
      </c>
      <c r="F84">
        <v>15</v>
      </c>
      <c r="G84">
        <v>8712</v>
      </c>
      <c r="H84">
        <v>0</v>
      </c>
      <c r="I84">
        <v>0</v>
      </c>
      <c r="J84">
        <v>1923.3</v>
      </c>
      <c r="K84">
        <v>0</v>
      </c>
      <c r="L84">
        <v>1923.3</v>
      </c>
      <c r="M84">
        <v>1923.3</v>
      </c>
      <c r="N84">
        <v>22.08</v>
      </c>
      <c r="O84">
        <v>6788.7</v>
      </c>
      <c r="P84">
        <v>0</v>
      </c>
      <c r="Q84" t="str">
        <f>INDEX('Partner data'!A:DH,MATCH(C84,'Partner data'!DG:DG,0),83)</f>
        <v>Soggetto pubblico</v>
      </c>
      <c r="R84" t="b">
        <f>IF(E84="staff",IF(INDEX('Partner data'!A:DH,MATCH(C84,'Partner data'!DG:DG,0),112)="BL1 non presente","FALSO",INDEX('Partner data'!A:DH,MATCH(C84,'Partner data'!DG:DG,0),112)))</f>
        <v>0</v>
      </c>
      <c r="S84" t="b">
        <f t="shared" si="2"/>
        <v>1</v>
      </c>
      <c r="T84" t="b">
        <f t="shared" si="3"/>
        <v>1</v>
      </c>
      <c r="U84" s="154">
        <f>IFERROR(IF(R84&lt;&gt;FALSE,IF(S84=TRUE,INDEX('SummaryNOT_VALIDATED-BL'!$A$1:$F$16,MATCH(R84,'SummaryNOT_VALIDATED-BL'!$A$1:$A$16,0),6),0),IF(S84=TRUE,INDEX('SummaryNOT_VALIDATED-BL'!$A$1:$F$16,MATCH(E84,'SummaryNOT_VALIDATED-BL'!$A$1:$A$16,0),6),0)),0)</f>
        <v>6.6460469504890221E-2</v>
      </c>
      <c r="V84" s="81" cm="1">
        <f t="array" ref="V84">INDEX('Weight tables'!$A$24:$C$27,MATCH(1,(RendicontiTrasmessiBL__2[[#This Row],[Cut percentage on real costs + USC]]&gt;='Weight tables'!$B$24:$B$27)*(RendicontiTrasmessiBL__2[[#This Row],[Cut percentage on real costs + USC]]&lt;='Weight tables'!$C$24:$C$27),0),1)</f>
        <v>4</v>
      </c>
      <c r="W84" s="2">
        <f>RendicontiTrasmessiBL__2[[#This Row],[Weight real costs  + USC ]]</f>
        <v>4</v>
      </c>
    </row>
    <row r="85" spans="1:23" x14ac:dyDescent="0.25">
      <c r="A85" s="1" t="s">
        <v>58</v>
      </c>
      <c r="B85" s="1" t="s">
        <v>25</v>
      </c>
      <c r="C85" s="2">
        <v>10</v>
      </c>
      <c r="D85" s="2">
        <v>27</v>
      </c>
      <c r="E85" s="1" t="s">
        <v>230</v>
      </c>
      <c r="F85">
        <v>4</v>
      </c>
      <c r="G85">
        <v>2323.1999999999998</v>
      </c>
      <c r="H85">
        <v>0</v>
      </c>
      <c r="I85">
        <v>0</v>
      </c>
      <c r="J85">
        <v>512.88</v>
      </c>
      <c r="K85">
        <v>0</v>
      </c>
      <c r="L85">
        <v>512.88</v>
      </c>
      <c r="M85">
        <v>512.88</v>
      </c>
      <c r="N85">
        <v>22.08</v>
      </c>
      <c r="O85">
        <v>1810.32</v>
      </c>
      <c r="P85">
        <v>0</v>
      </c>
      <c r="Q85" t="str">
        <f>INDEX('Partner data'!A:DH,MATCH(C85,'Partner data'!DG:DG,0),83)</f>
        <v>Soggetto pubblico</v>
      </c>
      <c r="R85" t="b">
        <f>IF(E85="staff",IF(INDEX('Partner data'!A:DH,MATCH(C85,'Partner data'!DG:DG,0),112)="BL1 non presente","FALSO",INDEX('Partner data'!A:DH,MATCH(C85,'Partner data'!DG:DG,0),112)))</f>
        <v>0</v>
      </c>
      <c r="S85" t="b">
        <f t="shared" si="2"/>
        <v>1</v>
      </c>
      <c r="T85" t="b">
        <f t="shared" si="3"/>
        <v>1</v>
      </c>
      <c r="U85" s="154">
        <f>IFERROR(IF(R85&lt;&gt;FALSE,IF(S85=TRUE,INDEX('SummaryNOT_VALIDATED-BL'!$A$1:$F$16,MATCH(R85,'SummaryNOT_VALIDATED-BL'!$A$1:$A$16,0),6),0),IF(S85=TRUE,INDEX('SummaryNOT_VALIDATED-BL'!$A$1:$F$16,MATCH(E85,'SummaryNOT_VALIDATED-BL'!$A$1:$A$16,0),6),0)),0)</f>
        <v>6.3112622236488891E-2</v>
      </c>
      <c r="V85" s="81" cm="1">
        <f t="array" ref="V85">INDEX('Weight tables'!$A$24:$C$27,MATCH(1,(RendicontiTrasmessiBL__2[[#This Row],[Cut percentage on real costs + USC]]&gt;='Weight tables'!$B$24:$B$27)*(RendicontiTrasmessiBL__2[[#This Row],[Cut percentage on real costs + USC]]&lt;='Weight tables'!$C$24:$C$27),0),1)</f>
        <v>4</v>
      </c>
      <c r="W85" s="2">
        <f>RendicontiTrasmessiBL__2[[#This Row],[Weight real costs  + USC ]]</f>
        <v>4</v>
      </c>
    </row>
    <row r="86" spans="1:23" x14ac:dyDescent="0.25">
      <c r="A86" s="1" t="s">
        <v>58</v>
      </c>
      <c r="B86" s="1" t="s">
        <v>25</v>
      </c>
      <c r="C86" s="2">
        <v>10</v>
      </c>
      <c r="D86" s="2">
        <v>27</v>
      </c>
      <c r="E86" s="1" t="s">
        <v>231</v>
      </c>
      <c r="G86">
        <v>135884.79999999999</v>
      </c>
      <c r="H86">
        <v>0</v>
      </c>
      <c r="I86">
        <v>0</v>
      </c>
      <c r="J86">
        <v>0</v>
      </c>
      <c r="K86">
        <v>0</v>
      </c>
      <c r="L86">
        <v>0</v>
      </c>
      <c r="M86">
        <v>0</v>
      </c>
      <c r="N86">
        <v>0</v>
      </c>
      <c r="O86">
        <v>135884.79999999999</v>
      </c>
      <c r="P86">
        <v>0</v>
      </c>
      <c r="Q86" t="str">
        <f>INDEX('Partner data'!A:DH,MATCH(C86,'Partner data'!DG:DG,0),83)</f>
        <v>Soggetto pubblico</v>
      </c>
      <c r="R86" t="b">
        <f>IF(E86="staff",IF(INDEX('Partner data'!A:DH,MATCH(C86,'Partner data'!DG:DG,0),112)="BL1 non presente","FALSO",INDEX('Partner data'!A:DH,MATCH(C86,'Partner data'!DG:DG,0),112)))</f>
        <v>0</v>
      </c>
      <c r="S86" t="b">
        <f t="shared" si="2"/>
        <v>0</v>
      </c>
      <c r="T86" t="b">
        <f t="shared" si="3"/>
        <v>1</v>
      </c>
      <c r="U86" s="154">
        <f>IFERROR(IF(R86&lt;&gt;FALSE,IF(S86=TRUE,INDEX('SummaryNOT_VALIDATED-BL'!$A$1:$F$16,MATCH(R86,'SummaryNOT_VALIDATED-BL'!$A$1:$A$16,0),6),0),IF(S86=TRUE,INDEX('SummaryNOT_VALIDATED-BL'!$A$1:$F$16,MATCH(E86,'SummaryNOT_VALIDATED-BL'!$A$1:$A$16,0),6),0)),0)</f>
        <v>0</v>
      </c>
      <c r="V86" s="81" cm="1">
        <f t="array" ref="V86">INDEX('Weight tables'!$A$24:$C$27,MATCH(1,(RendicontiTrasmessiBL__2[[#This Row],[Cut percentage on real costs + USC]]&gt;='Weight tables'!$B$24:$B$27)*(RendicontiTrasmessiBL__2[[#This Row],[Cut percentage on real costs + USC]]&lt;='Weight tables'!$C$24:$C$27),0),1)</f>
        <v>0</v>
      </c>
      <c r="W86" s="2">
        <f>RendicontiTrasmessiBL__2[[#This Row],[Weight real costs  + USC ]]</f>
        <v>0</v>
      </c>
    </row>
    <row r="87" spans="1:23" x14ac:dyDescent="0.25">
      <c r="A87" s="1" t="s">
        <v>58</v>
      </c>
      <c r="B87" s="1" t="s">
        <v>25</v>
      </c>
      <c r="C87" s="2">
        <v>10</v>
      </c>
      <c r="D87" s="2">
        <v>27</v>
      </c>
      <c r="E87" s="1" t="s">
        <v>232</v>
      </c>
      <c r="G87">
        <v>30000</v>
      </c>
      <c r="H87">
        <v>0</v>
      </c>
      <c r="I87">
        <v>0</v>
      </c>
      <c r="J87">
        <v>0</v>
      </c>
      <c r="K87">
        <v>0</v>
      </c>
      <c r="L87">
        <v>0</v>
      </c>
      <c r="M87">
        <v>0</v>
      </c>
      <c r="N87">
        <v>0</v>
      </c>
      <c r="O87">
        <v>30000</v>
      </c>
      <c r="P87">
        <v>0</v>
      </c>
      <c r="Q87" t="str">
        <f>INDEX('Partner data'!A:DH,MATCH(C87,'Partner data'!DG:DG,0),83)</f>
        <v>Soggetto pubblico</v>
      </c>
      <c r="R87" t="b">
        <f>IF(E87="staff",IF(INDEX('Partner data'!A:DH,MATCH(C87,'Partner data'!DG:DG,0),112)="BL1 non presente","FALSO",INDEX('Partner data'!A:DH,MATCH(C87,'Partner data'!DG:DG,0),112)))</f>
        <v>0</v>
      </c>
      <c r="S87" t="b">
        <f t="shared" si="2"/>
        <v>0</v>
      </c>
      <c r="T87" t="b">
        <f t="shared" si="3"/>
        <v>1</v>
      </c>
      <c r="U87" s="154">
        <f>IFERROR(IF(R87&lt;&gt;FALSE,IF(S87=TRUE,INDEX('SummaryNOT_VALIDATED-BL'!$A$1:$F$16,MATCH(R87,'SummaryNOT_VALIDATED-BL'!$A$1:$A$16,0),6),0),IF(S87=TRUE,INDEX('SummaryNOT_VALIDATED-BL'!$A$1:$F$16,MATCH(E87,'SummaryNOT_VALIDATED-BL'!$A$1:$A$16,0),6),0)),0)</f>
        <v>0</v>
      </c>
      <c r="V87" s="81" cm="1">
        <f t="array" ref="V87">INDEX('Weight tables'!$A$24:$C$27,MATCH(1,(RendicontiTrasmessiBL__2[[#This Row],[Cut percentage on real costs + USC]]&gt;='Weight tables'!$B$24:$B$27)*(RendicontiTrasmessiBL__2[[#This Row],[Cut percentage on real costs + USC]]&lt;='Weight tables'!$C$24:$C$27),0),1)</f>
        <v>0</v>
      </c>
      <c r="W87" s="2">
        <f>RendicontiTrasmessiBL__2[[#This Row],[Weight real costs  + USC ]]</f>
        <v>0</v>
      </c>
    </row>
    <row r="88" spans="1:23" x14ac:dyDescent="0.25">
      <c r="A88" s="1" t="s">
        <v>58</v>
      </c>
      <c r="B88" s="1" t="s">
        <v>25</v>
      </c>
      <c r="C88" s="2">
        <v>10</v>
      </c>
      <c r="D88" s="2">
        <v>27</v>
      </c>
      <c r="E88" s="1" t="s">
        <v>233</v>
      </c>
      <c r="G88">
        <v>1125000</v>
      </c>
      <c r="H88">
        <v>0</v>
      </c>
      <c r="I88">
        <v>0</v>
      </c>
      <c r="J88">
        <v>0</v>
      </c>
      <c r="K88">
        <v>0</v>
      </c>
      <c r="L88">
        <v>0</v>
      </c>
      <c r="M88">
        <v>0</v>
      </c>
      <c r="N88">
        <v>0</v>
      </c>
      <c r="O88">
        <v>1125000</v>
      </c>
      <c r="P88">
        <v>0</v>
      </c>
      <c r="Q88" t="str">
        <f>INDEX('Partner data'!A:DH,MATCH(C88,'Partner data'!DG:DG,0),83)</f>
        <v>Soggetto pubblico</v>
      </c>
      <c r="R88" t="b">
        <f>IF(E88="staff",IF(INDEX('Partner data'!A:DH,MATCH(C88,'Partner data'!DG:DG,0),112)="BL1 non presente","FALSO",INDEX('Partner data'!A:DH,MATCH(C88,'Partner data'!DG:DG,0),112)))</f>
        <v>0</v>
      </c>
      <c r="S88" t="b">
        <f t="shared" si="2"/>
        <v>0</v>
      </c>
      <c r="T88" t="b">
        <f t="shared" si="3"/>
        <v>1</v>
      </c>
      <c r="U88" s="154">
        <f>IFERROR(IF(R88&lt;&gt;FALSE,IF(S88=TRUE,INDEX('SummaryNOT_VALIDATED-BL'!$A$1:$F$16,MATCH(R88,'SummaryNOT_VALIDATED-BL'!$A$1:$A$16,0),6),0),IF(S88=TRUE,INDEX('SummaryNOT_VALIDATED-BL'!$A$1:$F$16,MATCH(E88,'SummaryNOT_VALIDATED-BL'!$A$1:$A$16,0),6),0)),0)</f>
        <v>0</v>
      </c>
      <c r="V88" s="81" cm="1">
        <f t="array" ref="V88">INDEX('Weight tables'!$A$24:$C$27,MATCH(1,(RendicontiTrasmessiBL__2[[#This Row],[Cut percentage on real costs + USC]]&gt;='Weight tables'!$B$24:$B$27)*(RendicontiTrasmessiBL__2[[#This Row],[Cut percentage on real costs + USC]]&lt;='Weight tables'!$C$24:$C$27),0),1)</f>
        <v>0</v>
      </c>
      <c r="W88" s="2">
        <f>RendicontiTrasmessiBL__2[[#This Row],[Weight real costs  + USC ]]</f>
        <v>0</v>
      </c>
    </row>
    <row r="89" spans="1:23" x14ac:dyDescent="0.25">
      <c r="A89" s="1" t="s">
        <v>58</v>
      </c>
      <c r="B89" s="1" t="s">
        <v>25</v>
      </c>
      <c r="C89" s="2">
        <v>10</v>
      </c>
      <c r="D89" s="2">
        <v>27</v>
      </c>
      <c r="E89" s="1" t="s">
        <v>234</v>
      </c>
      <c r="G89">
        <v>0</v>
      </c>
      <c r="H89">
        <v>0</v>
      </c>
      <c r="I89">
        <v>0</v>
      </c>
      <c r="J89">
        <v>0</v>
      </c>
      <c r="K89">
        <v>0</v>
      </c>
      <c r="L89">
        <v>0</v>
      </c>
      <c r="M89">
        <v>0</v>
      </c>
      <c r="N89">
        <v>0</v>
      </c>
      <c r="O89">
        <v>0</v>
      </c>
      <c r="P89">
        <v>0</v>
      </c>
      <c r="Q89" t="str">
        <f>INDEX('Partner data'!A:DH,MATCH(C89,'Partner data'!DG:DG,0),83)</f>
        <v>Soggetto pubblico</v>
      </c>
      <c r="R89" t="b">
        <f>IF(E89="staff",IF(INDEX('Partner data'!A:DH,MATCH(C89,'Partner data'!DG:DG,0),112)="BL1 non presente","FALSO",INDEX('Partner data'!A:DH,MATCH(C89,'Partner data'!DG:DG,0),112)))</f>
        <v>0</v>
      </c>
      <c r="S89" t="b">
        <f t="shared" si="2"/>
        <v>0</v>
      </c>
      <c r="T89" t="b">
        <f t="shared" si="3"/>
        <v>1</v>
      </c>
      <c r="U89" s="154">
        <f>IFERROR(IF(R89&lt;&gt;FALSE,IF(S89=TRUE,INDEX('SummaryNOT_VALIDATED-BL'!$A$1:$F$16,MATCH(R89,'SummaryNOT_VALIDATED-BL'!$A$1:$A$16,0),6),0),IF(S89=TRUE,INDEX('SummaryNOT_VALIDATED-BL'!$A$1:$F$16,MATCH(E89,'SummaryNOT_VALIDATED-BL'!$A$1:$A$16,0),6),0)),0)</f>
        <v>0</v>
      </c>
      <c r="V89" s="81" cm="1">
        <f t="array" ref="V89">INDEX('Weight tables'!$A$24:$C$27,MATCH(1,(RendicontiTrasmessiBL__2[[#This Row],[Cut percentage on real costs + USC]]&gt;='Weight tables'!$B$24:$B$27)*(RendicontiTrasmessiBL__2[[#This Row],[Cut percentage on real costs + USC]]&lt;='Weight tables'!$C$24:$C$27),0),1)</f>
        <v>0</v>
      </c>
      <c r="W89" s="2">
        <f>RendicontiTrasmessiBL__2[[#This Row],[Weight real costs  + USC ]]</f>
        <v>0</v>
      </c>
    </row>
    <row r="90" spans="1:23" x14ac:dyDescent="0.25">
      <c r="A90" s="1" t="s">
        <v>58</v>
      </c>
      <c r="B90" s="1" t="s">
        <v>25</v>
      </c>
      <c r="C90" s="2">
        <v>10</v>
      </c>
      <c r="D90" s="2">
        <v>27</v>
      </c>
      <c r="E90" s="1" t="s">
        <v>236</v>
      </c>
      <c r="G90">
        <v>0</v>
      </c>
      <c r="H90">
        <v>0</v>
      </c>
      <c r="I90">
        <v>0</v>
      </c>
      <c r="J90">
        <v>0</v>
      </c>
      <c r="K90">
        <v>0</v>
      </c>
      <c r="L90">
        <v>0</v>
      </c>
      <c r="M90">
        <v>0</v>
      </c>
      <c r="N90">
        <v>0</v>
      </c>
      <c r="O90">
        <v>0</v>
      </c>
      <c r="P90">
        <v>0</v>
      </c>
      <c r="Q90" t="str">
        <f>INDEX('Partner data'!A:DH,MATCH(C90,'Partner data'!DG:DG,0),83)</f>
        <v>Soggetto pubblico</v>
      </c>
      <c r="R90" t="b">
        <f>IF(E90="staff",IF(INDEX('Partner data'!A:DH,MATCH(C90,'Partner data'!DG:DG,0),112)="BL1 non presente","FALSO",INDEX('Partner data'!A:DH,MATCH(C90,'Partner data'!DG:DG,0),112)))</f>
        <v>0</v>
      </c>
      <c r="S90" t="b">
        <f t="shared" si="2"/>
        <v>0</v>
      </c>
      <c r="T90" t="b">
        <f t="shared" si="3"/>
        <v>1</v>
      </c>
      <c r="U90" s="154">
        <f>IFERROR(IF(R90&lt;&gt;FALSE,IF(S90=TRUE,INDEX('SummaryNOT_VALIDATED-BL'!$A$1:$F$16,MATCH(R90,'SummaryNOT_VALIDATED-BL'!$A$1:$A$16,0),6),0),IF(S90=TRUE,INDEX('SummaryNOT_VALIDATED-BL'!$A$1:$F$16,MATCH(E90,'SummaryNOT_VALIDATED-BL'!$A$1:$A$16,0),6),0)),0)</f>
        <v>0</v>
      </c>
      <c r="V90" s="81" cm="1">
        <f t="array" ref="V90">INDEX('Weight tables'!$A$24:$C$27,MATCH(1,(RendicontiTrasmessiBL__2[[#This Row],[Cut percentage on real costs + USC]]&gt;='Weight tables'!$B$24:$B$27)*(RendicontiTrasmessiBL__2[[#This Row],[Cut percentage on real costs + USC]]&lt;='Weight tables'!$C$24:$C$27),0),1)</f>
        <v>0</v>
      </c>
      <c r="W90" s="2">
        <f>RendicontiTrasmessiBL__2[[#This Row],[Weight real costs  + USC ]]</f>
        <v>0</v>
      </c>
    </row>
    <row r="91" spans="1:23" x14ac:dyDescent="0.25">
      <c r="A91" s="1" t="s">
        <v>58</v>
      </c>
      <c r="B91" s="1" t="s">
        <v>25</v>
      </c>
      <c r="C91" s="2">
        <v>10</v>
      </c>
      <c r="D91" s="2">
        <v>27</v>
      </c>
      <c r="E91" s="1" t="s">
        <v>237</v>
      </c>
      <c r="G91">
        <v>0</v>
      </c>
      <c r="H91">
        <v>0</v>
      </c>
      <c r="I91">
        <v>0</v>
      </c>
      <c r="J91">
        <v>0</v>
      </c>
      <c r="K91">
        <v>0</v>
      </c>
      <c r="L91">
        <v>0</v>
      </c>
      <c r="M91">
        <v>0</v>
      </c>
      <c r="N91">
        <v>0</v>
      </c>
      <c r="O91">
        <v>0</v>
      </c>
      <c r="P91">
        <v>0</v>
      </c>
      <c r="Q91" t="str">
        <f>INDEX('Partner data'!A:DH,MATCH(C91,'Partner data'!DG:DG,0),83)</f>
        <v>Soggetto pubblico</v>
      </c>
      <c r="R91" t="b">
        <f>IF(E91="staff",IF(INDEX('Partner data'!A:DH,MATCH(C91,'Partner data'!DG:DG,0),112)="BL1 non presente","FALSO",INDEX('Partner data'!A:DH,MATCH(C91,'Partner data'!DG:DG,0),112)))</f>
        <v>0</v>
      </c>
      <c r="S91" t="b">
        <f t="shared" si="2"/>
        <v>0</v>
      </c>
      <c r="T91" t="b">
        <f t="shared" si="3"/>
        <v>1</v>
      </c>
      <c r="U91" s="154">
        <f>IFERROR(IF(R91&lt;&gt;FALSE,IF(S91=TRUE,INDEX('SummaryNOT_VALIDATED-BL'!$A$1:$F$16,MATCH(R91,'SummaryNOT_VALIDATED-BL'!$A$1:$A$16,0),6),0),IF(S91=TRUE,INDEX('SummaryNOT_VALIDATED-BL'!$A$1:$F$16,MATCH(E91,'SummaryNOT_VALIDATED-BL'!$A$1:$A$16,0),6),0)),0)</f>
        <v>0</v>
      </c>
      <c r="V91" s="81" cm="1">
        <f t="array" ref="V91">INDEX('Weight tables'!$A$24:$C$27,MATCH(1,(RendicontiTrasmessiBL__2[[#This Row],[Cut percentage on real costs + USC]]&gt;='Weight tables'!$B$24:$B$27)*(RendicontiTrasmessiBL__2[[#This Row],[Cut percentage on real costs + USC]]&lt;='Weight tables'!$C$24:$C$27),0),1)</f>
        <v>0</v>
      </c>
      <c r="W91" s="2">
        <f>RendicontiTrasmessiBL__2[[#This Row],[Weight real costs  + USC ]]</f>
        <v>0</v>
      </c>
    </row>
    <row r="92" spans="1:23" x14ac:dyDescent="0.25">
      <c r="A92" s="1" t="s">
        <v>58</v>
      </c>
      <c r="B92" s="1" t="s">
        <v>33</v>
      </c>
      <c r="C92" s="2">
        <v>15</v>
      </c>
      <c r="D92" s="2">
        <v>264</v>
      </c>
      <c r="E92" s="1" t="s">
        <v>228</v>
      </c>
      <c r="G92">
        <v>131600</v>
      </c>
      <c r="H92">
        <v>44909.36</v>
      </c>
      <c r="I92">
        <v>0</v>
      </c>
      <c r="J92">
        <v>15904.16</v>
      </c>
      <c r="K92">
        <v>0</v>
      </c>
      <c r="L92">
        <v>0</v>
      </c>
      <c r="M92">
        <v>60813.52</v>
      </c>
      <c r="N92">
        <v>46.21</v>
      </c>
      <c r="O92">
        <v>70786.48</v>
      </c>
      <c r="P92">
        <v>44909.21</v>
      </c>
      <c r="Q92" t="str">
        <f>INDEX('Partner data'!A:DH,MATCH(C92,'Partner data'!DG:DG,0),83)</f>
        <v xml:space="preserve">Organismo di diritto pubblico </v>
      </c>
      <c r="R92" t="str">
        <f>IF(E92="staff",IF(INDEX('Partner data'!A:DH,MATCH(C92,'Partner data'!DG:DG,0),112)="BL1 non presente","FALSO",INDEX('Partner data'!A:DH,MATCH(C92,'Partner data'!DG:DG,0),112)))</f>
        <v>COSTO REALE</v>
      </c>
      <c r="S92" t="b">
        <f t="shared" si="2"/>
        <v>1</v>
      </c>
      <c r="T92" t="b">
        <f t="shared" si="3"/>
        <v>1</v>
      </c>
      <c r="U92" s="154">
        <f>IFERROR(IF(R92&lt;&gt;FALSE,IF(S92=TRUE,INDEX('SummaryNOT_VALIDATED-BL'!$A$1:$F$16,MATCH(R92,'SummaryNOT_VALIDATED-BL'!$A$1:$A$16,0),6),0),IF(S92=TRUE,INDEX('SummaryNOT_VALIDATED-BL'!$A$1:$F$16,MATCH(E92,'SummaryNOT_VALIDATED-BL'!$A$1:$A$16,0),6),0)),0)</f>
        <v>9.1604133276901048E-2</v>
      </c>
      <c r="V92" s="81" cm="1">
        <f t="array" ref="V92">INDEX('Weight tables'!$A$24:$C$27,MATCH(1,(RendicontiTrasmessiBL__2[[#This Row],[Cut percentage on real costs + USC]]&gt;='Weight tables'!$B$24:$B$27)*(RendicontiTrasmessiBL__2[[#This Row],[Cut percentage on real costs + USC]]&lt;='Weight tables'!$C$24:$C$27),0),1)</f>
        <v>4</v>
      </c>
      <c r="W92" s="2">
        <f>RendicontiTrasmessiBL__2[[#This Row],[Weight real costs  + USC ]]</f>
        <v>4</v>
      </c>
    </row>
    <row r="93" spans="1:23" x14ac:dyDescent="0.25">
      <c r="A93" s="1" t="s">
        <v>58</v>
      </c>
      <c r="B93" s="1" t="s">
        <v>33</v>
      </c>
      <c r="C93" s="2">
        <v>15</v>
      </c>
      <c r="D93" s="2">
        <v>264</v>
      </c>
      <c r="E93" s="1" t="s">
        <v>229</v>
      </c>
      <c r="F93">
        <v>15</v>
      </c>
      <c r="G93">
        <v>19740</v>
      </c>
      <c r="H93">
        <v>6736.4</v>
      </c>
      <c r="I93">
        <v>0</v>
      </c>
      <c r="J93">
        <v>2385.62</v>
      </c>
      <c r="K93">
        <v>0</v>
      </c>
      <c r="L93">
        <v>0</v>
      </c>
      <c r="M93">
        <v>9122.02</v>
      </c>
      <c r="N93">
        <v>46.21</v>
      </c>
      <c r="O93">
        <v>10617.98</v>
      </c>
      <c r="P93">
        <v>6736.38</v>
      </c>
      <c r="Q93" t="str">
        <f>INDEX('Partner data'!A:DH,MATCH(C93,'Partner data'!DG:DG,0),83)</f>
        <v xml:space="preserve">Organismo di diritto pubblico </v>
      </c>
      <c r="R93" t="b">
        <f>IF(E93="staff",IF(INDEX('Partner data'!A:DH,MATCH(C93,'Partner data'!DG:DG,0),112)="BL1 non presente","FALSO",INDEX('Partner data'!A:DH,MATCH(C93,'Partner data'!DG:DG,0),112)))</f>
        <v>0</v>
      </c>
      <c r="S93" t="b">
        <f t="shared" si="2"/>
        <v>1</v>
      </c>
      <c r="T93" t="b">
        <f t="shared" si="3"/>
        <v>1</v>
      </c>
      <c r="U93" s="154">
        <f>IFERROR(IF(R93&lt;&gt;FALSE,IF(S93=TRUE,INDEX('SummaryNOT_VALIDATED-BL'!$A$1:$F$16,MATCH(R93,'SummaryNOT_VALIDATED-BL'!$A$1:$A$16,0),6),0),IF(S93=TRUE,INDEX('SummaryNOT_VALIDATED-BL'!$A$1:$F$16,MATCH(E93,'SummaryNOT_VALIDATED-BL'!$A$1:$A$16,0),6),0)),0)</f>
        <v>6.6460469504890221E-2</v>
      </c>
      <c r="V93" s="81" cm="1">
        <f t="array" ref="V93">INDEX('Weight tables'!$A$24:$C$27,MATCH(1,(RendicontiTrasmessiBL__2[[#This Row],[Cut percentage on real costs + USC]]&gt;='Weight tables'!$B$24:$B$27)*(RendicontiTrasmessiBL__2[[#This Row],[Cut percentage on real costs + USC]]&lt;='Weight tables'!$C$24:$C$27),0),1)</f>
        <v>4</v>
      </c>
      <c r="W93" s="2">
        <f>RendicontiTrasmessiBL__2[[#This Row],[Weight real costs  + USC ]]</f>
        <v>4</v>
      </c>
    </row>
    <row r="94" spans="1:23" x14ac:dyDescent="0.25">
      <c r="A94" s="1" t="s">
        <v>58</v>
      </c>
      <c r="B94" s="1" t="s">
        <v>33</v>
      </c>
      <c r="C94" s="2">
        <v>15</v>
      </c>
      <c r="D94" s="2">
        <v>264</v>
      </c>
      <c r="E94" s="1" t="s">
        <v>230</v>
      </c>
      <c r="F94">
        <v>4</v>
      </c>
      <c r="G94">
        <v>5264</v>
      </c>
      <c r="H94">
        <v>1796.37</v>
      </c>
      <c r="I94">
        <v>0</v>
      </c>
      <c r="J94">
        <v>636.16</v>
      </c>
      <c r="K94">
        <v>0</v>
      </c>
      <c r="L94">
        <v>0</v>
      </c>
      <c r="M94">
        <v>2432.5300000000002</v>
      </c>
      <c r="N94">
        <v>46.21</v>
      </c>
      <c r="O94">
        <v>2831.47</v>
      </c>
      <c r="P94">
        <v>1796.36</v>
      </c>
      <c r="Q94" t="str">
        <f>INDEX('Partner data'!A:DH,MATCH(C94,'Partner data'!DG:DG,0),83)</f>
        <v xml:space="preserve">Organismo di diritto pubblico </v>
      </c>
      <c r="R94" t="b">
        <f>IF(E94="staff",IF(INDEX('Partner data'!A:DH,MATCH(C94,'Partner data'!DG:DG,0),112)="BL1 non presente","FALSO",INDEX('Partner data'!A:DH,MATCH(C94,'Partner data'!DG:DG,0),112)))</f>
        <v>0</v>
      </c>
      <c r="S94" t="b">
        <f t="shared" si="2"/>
        <v>1</v>
      </c>
      <c r="T94" t="b">
        <f t="shared" si="3"/>
        <v>1</v>
      </c>
      <c r="U94" s="154">
        <f>IFERROR(IF(R94&lt;&gt;FALSE,IF(S94=TRUE,INDEX('SummaryNOT_VALIDATED-BL'!$A$1:$F$16,MATCH(R94,'SummaryNOT_VALIDATED-BL'!$A$1:$A$16,0),6),0),IF(S94=TRUE,INDEX('SummaryNOT_VALIDATED-BL'!$A$1:$F$16,MATCH(E94,'SummaryNOT_VALIDATED-BL'!$A$1:$A$16,0),6),0)),0)</f>
        <v>6.3112622236488891E-2</v>
      </c>
      <c r="V94" s="81" cm="1">
        <f t="array" ref="V94">INDEX('Weight tables'!$A$24:$C$27,MATCH(1,(RendicontiTrasmessiBL__2[[#This Row],[Cut percentage on real costs + USC]]&gt;='Weight tables'!$B$24:$B$27)*(RendicontiTrasmessiBL__2[[#This Row],[Cut percentage on real costs + USC]]&lt;='Weight tables'!$C$24:$C$27),0),1)</f>
        <v>4</v>
      </c>
      <c r="W94" s="2">
        <f>RendicontiTrasmessiBL__2[[#This Row],[Weight real costs  + USC ]]</f>
        <v>4</v>
      </c>
    </row>
    <row r="95" spans="1:23" x14ac:dyDescent="0.25">
      <c r="A95" s="1" t="s">
        <v>58</v>
      </c>
      <c r="B95" s="1" t="s">
        <v>33</v>
      </c>
      <c r="C95" s="2">
        <v>15</v>
      </c>
      <c r="D95" s="2">
        <v>264</v>
      </c>
      <c r="E95" s="1" t="s">
        <v>231</v>
      </c>
      <c r="G95">
        <v>158900</v>
      </c>
      <c r="H95">
        <v>81550.64</v>
      </c>
      <c r="I95">
        <v>0</v>
      </c>
      <c r="J95">
        <v>0</v>
      </c>
      <c r="K95">
        <v>0</v>
      </c>
      <c r="L95">
        <v>0</v>
      </c>
      <c r="M95">
        <v>81550.64</v>
      </c>
      <c r="N95">
        <v>51.32</v>
      </c>
      <c r="O95">
        <v>77349.36</v>
      </c>
      <c r="P95">
        <v>81550.64</v>
      </c>
      <c r="Q95" t="str">
        <f>INDEX('Partner data'!A:DH,MATCH(C95,'Partner data'!DG:DG,0),83)</f>
        <v xml:space="preserve">Organismo di diritto pubblico </v>
      </c>
      <c r="R95" t="b">
        <f>IF(E95="staff",IF(INDEX('Partner data'!A:DH,MATCH(C95,'Partner data'!DG:DG,0),112)="BL1 non presente","FALSO",INDEX('Partner data'!A:DH,MATCH(C95,'Partner data'!DG:DG,0),112)))</f>
        <v>0</v>
      </c>
      <c r="S95" t="b">
        <f t="shared" si="2"/>
        <v>0</v>
      </c>
      <c r="T95" t="b">
        <f t="shared" si="3"/>
        <v>1</v>
      </c>
      <c r="U95" s="154">
        <f>IFERROR(IF(R95&lt;&gt;FALSE,IF(S95=TRUE,INDEX('SummaryNOT_VALIDATED-BL'!$A$1:$F$16,MATCH(R95,'SummaryNOT_VALIDATED-BL'!$A$1:$A$16,0),6),0),IF(S95=TRUE,INDEX('SummaryNOT_VALIDATED-BL'!$A$1:$F$16,MATCH(E95,'SummaryNOT_VALIDATED-BL'!$A$1:$A$16,0),6),0)),0)</f>
        <v>0</v>
      </c>
      <c r="V95" s="81" cm="1">
        <f t="array" ref="V95">INDEX('Weight tables'!$A$24:$C$27,MATCH(1,(RendicontiTrasmessiBL__2[[#This Row],[Cut percentage on real costs + USC]]&gt;='Weight tables'!$B$24:$B$27)*(RendicontiTrasmessiBL__2[[#This Row],[Cut percentage on real costs + USC]]&lt;='Weight tables'!$C$24:$C$27),0),1)</f>
        <v>0</v>
      </c>
      <c r="W95" s="2">
        <f>RendicontiTrasmessiBL__2[[#This Row],[Weight real costs  + USC ]]</f>
        <v>0</v>
      </c>
    </row>
    <row r="96" spans="1:23" x14ac:dyDescent="0.25">
      <c r="A96" s="1" t="s">
        <v>58</v>
      </c>
      <c r="B96" s="1" t="s">
        <v>33</v>
      </c>
      <c r="C96" s="2">
        <v>15</v>
      </c>
      <c r="D96" s="2">
        <v>264</v>
      </c>
      <c r="E96" s="1" t="s">
        <v>232</v>
      </c>
      <c r="G96">
        <v>1000</v>
      </c>
      <c r="H96">
        <v>289.36</v>
      </c>
      <c r="I96">
        <v>0</v>
      </c>
      <c r="J96">
        <v>0</v>
      </c>
      <c r="K96">
        <v>0</v>
      </c>
      <c r="L96">
        <v>0</v>
      </c>
      <c r="M96">
        <v>289.36</v>
      </c>
      <c r="N96">
        <v>28.94</v>
      </c>
      <c r="O96">
        <v>710.64</v>
      </c>
      <c r="P96">
        <v>289.36</v>
      </c>
      <c r="Q96" t="str">
        <f>INDEX('Partner data'!A:DH,MATCH(C96,'Partner data'!DG:DG,0),83)</f>
        <v xml:space="preserve">Organismo di diritto pubblico </v>
      </c>
      <c r="R96" t="b">
        <f>IF(E96="staff",IF(INDEX('Partner data'!A:DH,MATCH(C96,'Partner data'!DG:DG,0),112)="BL1 non presente","FALSO",INDEX('Partner data'!A:DH,MATCH(C96,'Partner data'!DG:DG,0),112)))</f>
        <v>0</v>
      </c>
      <c r="S96" t="b">
        <f t="shared" si="2"/>
        <v>0</v>
      </c>
      <c r="T96" t="b">
        <f t="shared" si="3"/>
        <v>1</v>
      </c>
      <c r="U96" s="154">
        <f>IFERROR(IF(R96&lt;&gt;FALSE,IF(S96=TRUE,INDEX('SummaryNOT_VALIDATED-BL'!$A$1:$F$16,MATCH(R96,'SummaryNOT_VALIDATED-BL'!$A$1:$A$16,0),6),0),IF(S96=TRUE,INDEX('SummaryNOT_VALIDATED-BL'!$A$1:$F$16,MATCH(E96,'SummaryNOT_VALIDATED-BL'!$A$1:$A$16,0),6),0)),0)</f>
        <v>0</v>
      </c>
      <c r="V96" s="81" cm="1">
        <f t="array" ref="V96">INDEX('Weight tables'!$A$24:$C$27,MATCH(1,(RendicontiTrasmessiBL__2[[#This Row],[Cut percentage on real costs + USC]]&gt;='Weight tables'!$B$24:$B$27)*(RendicontiTrasmessiBL__2[[#This Row],[Cut percentage on real costs + USC]]&lt;='Weight tables'!$C$24:$C$27),0),1)</f>
        <v>0</v>
      </c>
      <c r="W96" s="2">
        <f>RendicontiTrasmessiBL__2[[#This Row],[Weight real costs  + USC ]]</f>
        <v>0</v>
      </c>
    </row>
    <row r="97" spans="1:23" x14ac:dyDescent="0.25">
      <c r="A97" s="1" t="s">
        <v>58</v>
      </c>
      <c r="B97" s="1" t="s">
        <v>33</v>
      </c>
      <c r="C97" s="2">
        <v>15</v>
      </c>
      <c r="D97" s="2">
        <v>264</v>
      </c>
      <c r="E97" s="1" t="s">
        <v>233</v>
      </c>
      <c r="G97">
        <v>0</v>
      </c>
      <c r="H97">
        <v>0</v>
      </c>
      <c r="I97">
        <v>0</v>
      </c>
      <c r="J97">
        <v>0</v>
      </c>
      <c r="K97">
        <v>0</v>
      </c>
      <c r="L97">
        <v>0</v>
      </c>
      <c r="M97">
        <v>0</v>
      </c>
      <c r="N97">
        <v>0</v>
      </c>
      <c r="O97">
        <v>0</v>
      </c>
      <c r="P97">
        <v>0</v>
      </c>
      <c r="Q97" t="str">
        <f>INDEX('Partner data'!A:DH,MATCH(C97,'Partner data'!DG:DG,0),83)</f>
        <v xml:space="preserve">Organismo di diritto pubblico </v>
      </c>
      <c r="R97" t="b">
        <f>IF(E97="staff",IF(INDEX('Partner data'!A:DH,MATCH(C97,'Partner data'!DG:DG,0),112)="BL1 non presente","FALSO",INDEX('Partner data'!A:DH,MATCH(C97,'Partner data'!DG:DG,0),112)))</f>
        <v>0</v>
      </c>
      <c r="S97" t="b">
        <f t="shared" si="2"/>
        <v>0</v>
      </c>
      <c r="T97" t="b">
        <f t="shared" si="3"/>
        <v>1</v>
      </c>
      <c r="U97" s="154">
        <f>IFERROR(IF(R97&lt;&gt;FALSE,IF(S97=TRUE,INDEX('SummaryNOT_VALIDATED-BL'!$A$1:$F$16,MATCH(R97,'SummaryNOT_VALIDATED-BL'!$A$1:$A$16,0),6),0),IF(S97=TRUE,INDEX('SummaryNOT_VALIDATED-BL'!$A$1:$F$16,MATCH(E97,'SummaryNOT_VALIDATED-BL'!$A$1:$A$16,0),6),0)),0)</f>
        <v>0</v>
      </c>
      <c r="V97" s="81" cm="1">
        <f t="array" ref="V97">INDEX('Weight tables'!$A$24:$C$27,MATCH(1,(RendicontiTrasmessiBL__2[[#This Row],[Cut percentage on real costs + USC]]&gt;='Weight tables'!$B$24:$B$27)*(RendicontiTrasmessiBL__2[[#This Row],[Cut percentage on real costs + USC]]&lt;='Weight tables'!$C$24:$C$27),0),1)</f>
        <v>0</v>
      </c>
      <c r="W97" s="2">
        <f>RendicontiTrasmessiBL__2[[#This Row],[Weight real costs  + USC ]]</f>
        <v>0</v>
      </c>
    </row>
    <row r="98" spans="1:23" x14ac:dyDescent="0.25">
      <c r="A98" s="1" t="s">
        <v>58</v>
      </c>
      <c r="B98" s="1" t="s">
        <v>33</v>
      </c>
      <c r="C98" s="2">
        <v>15</v>
      </c>
      <c r="D98" s="2">
        <v>264</v>
      </c>
      <c r="E98" s="1" t="s">
        <v>234</v>
      </c>
      <c r="G98">
        <v>0</v>
      </c>
      <c r="H98">
        <v>0</v>
      </c>
      <c r="I98">
        <v>0</v>
      </c>
      <c r="J98">
        <v>0</v>
      </c>
      <c r="K98">
        <v>0</v>
      </c>
      <c r="L98">
        <v>0</v>
      </c>
      <c r="M98">
        <v>0</v>
      </c>
      <c r="N98">
        <v>0</v>
      </c>
      <c r="O98">
        <v>0</v>
      </c>
      <c r="P98">
        <v>0</v>
      </c>
      <c r="Q98" t="str">
        <f>INDEX('Partner data'!A:DH,MATCH(C98,'Partner data'!DG:DG,0),83)</f>
        <v xml:space="preserve">Organismo di diritto pubblico </v>
      </c>
      <c r="R98" t="b">
        <f>IF(E98="staff",IF(INDEX('Partner data'!A:DH,MATCH(C98,'Partner data'!DG:DG,0),112)="BL1 non presente","FALSO",INDEX('Partner data'!A:DH,MATCH(C98,'Partner data'!DG:DG,0),112)))</f>
        <v>0</v>
      </c>
      <c r="S98" t="b">
        <f t="shared" si="2"/>
        <v>0</v>
      </c>
      <c r="T98" t="b">
        <f t="shared" si="3"/>
        <v>1</v>
      </c>
      <c r="U98" s="154">
        <f>IFERROR(IF(R98&lt;&gt;FALSE,IF(S98=TRUE,INDEX('SummaryNOT_VALIDATED-BL'!$A$1:$F$16,MATCH(R98,'SummaryNOT_VALIDATED-BL'!$A$1:$A$16,0),6),0),IF(S98=TRUE,INDEX('SummaryNOT_VALIDATED-BL'!$A$1:$F$16,MATCH(E98,'SummaryNOT_VALIDATED-BL'!$A$1:$A$16,0),6),0)),0)</f>
        <v>0</v>
      </c>
      <c r="V98" s="81" cm="1">
        <f t="array" ref="V98">INDEX('Weight tables'!$A$24:$C$27,MATCH(1,(RendicontiTrasmessiBL__2[[#This Row],[Cut percentage on real costs + USC]]&gt;='Weight tables'!$B$24:$B$27)*(RendicontiTrasmessiBL__2[[#This Row],[Cut percentage on real costs + USC]]&lt;='Weight tables'!$C$24:$C$27),0),1)</f>
        <v>0</v>
      </c>
      <c r="W98" s="2">
        <f>RendicontiTrasmessiBL__2[[#This Row],[Weight real costs  + USC ]]</f>
        <v>0</v>
      </c>
    </row>
    <row r="99" spans="1:23" x14ac:dyDescent="0.25">
      <c r="A99" s="1" t="s">
        <v>58</v>
      </c>
      <c r="B99" s="1" t="s">
        <v>33</v>
      </c>
      <c r="C99" s="2">
        <v>15</v>
      </c>
      <c r="D99" s="2">
        <v>264</v>
      </c>
      <c r="E99" s="1" t="s">
        <v>236</v>
      </c>
      <c r="G99">
        <v>0</v>
      </c>
      <c r="H99">
        <v>0</v>
      </c>
      <c r="I99">
        <v>0</v>
      </c>
      <c r="J99">
        <v>0</v>
      </c>
      <c r="K99">
        <v>0</v>
      </c>
      <c r="L99">
        <v>0</v>
      </c>
      <c r="M99">
        <v>0</v>
      </c>
      <c r="N99">
        <v>0</v>
      </c>
      <c r="O99">
        <v>0</v>
      </c>
      <c r="P99">
        <v>0</v>
      </c>
      <c r="Q99" t="str">
        <f>INDEX('Partner data'!A:DH,MATCH(C99,'Partner data'!DG:DG,0),83)</f>
        <v xml:space="preserve">Organismo di diritto pubblico </v>
      </c>
      <c r="R99" t="b">
        <f>IF(E99="staff",IF(INDEX('Partner data'!A:DH,MATCH(C99,'Partner data'!DG:DG,0),112)="BL1 non presente","FALSO",INDEX('Partner data'!A:DH,MATCH(C99,'Partner data'!DG:DG,0),112)))</f>
        <v>0</v>
      </c>
      <c r="S99" t="b">
        <f t="shared" si="2"/>
        <v>0</v>
      </c>
      <c r="T99" t="b">
        <f t="shared" si="3"/>
        <v>1</v>
      </c>
      <c r="U99" s="154">
        <f>IFERROR(IF(R99&lt;&gt;FALSE,IF(S99=TRUE,INDEX('SummaryNOT_VALIDATED-BL'!$A$1:$F$16,MATCH(R99,'SummaryNOT_VALIDATED-BL'!$A$1:$A$16,0),6),0),IF(S99=TRUE,INDEX('SummaryNOT_VALIDATED-BL'!$A$1:$F$16,MATCH(E99,'SummaryNOT_VALIDATED-BL'!$A$1:$A$16,0),6),0)),0)</f>
        <v>0</v>
      </c>
      <c r="V99" s="81" cm="1">
        <f t="array" ref="V99">INDEX('Weight tables'!$A$24:$C$27,MATCH(1,(RendicontiTrasmessiBL__2[[#This Row],[Cut percentage on real costs + USC]]&gt;='Weight tables'!$B$24:$B$27)*(RendicontiTrasmessiBL__2[[#This Row],[Cut percentage on real costs + USC]]&lt;='Weight tables'!$C$24:$C$27),0),1)</f>
        <v>0</v>
      </c>
      <c r="W99" s="2">
        <f>RendicontiTrasmessiBL__2[[#This Row],[Weight real costs  + USC ]]</f>
        <v>0</v>
      </c>
    </row>
    <row r="100" spans="1:23" x14ac:dyDescent="0.25">
      <c r="A100" s="1" t="s">
        <v>58</v>
      </c>
      <c r="B100" s="1" t="s">
        <v>33</v>
      </c>
      <c r="C100" s="2">
        <v>15</v>
      </c>
      <c r="D100" s="2">
        <v>264</v>
      </c>
      <c r="E100" s="1" t="s">
        <v>237</v>
      </c>
      <c r="G100">
        <v>0</v>
      </c>
      <c r="H100">
        <v>0</v>
      </c>
      <c r="I100">
        <v>0</v>
      </c>
      <c r="J100">
        <v>0</v>
      </c>
      <c r="K100">
        <v>0</v>
      </c>
      <c r="L100">
        <v>0</v>
      </c>
      <c r="M100">
        <v>0</v>
      </c>
      <c r="N100">
        <v>0</v>
      </c>
      <c r="O100">
        <v>0</v>
      </c>
      <c r="P100">
        <v>0</v>
      </c>
      <c r="Q100" t="str">
        <f>INDEX('Partner data'!A:DH,MATCH(C100,'Partner data'!DG:DG,0),83)</f>
        <v xml:space="preserve">Organismo di diritto pubblico </v>
      </c>
      <c r="R100" t="b">
        <f>IF(E100="staff",IF(INDEX('Partner data'!A:DH,MATCH(C100,'Partner data'!DG:DG,0),112)="BL1 non presente","FALSO",INDEX('Partner data'!A:DH,MATCH(C100,'Partner data'!DG:DG,0),112)))</f>
        <v>0</v>
      </c>
      <c r="S100" t="b">
        <f t="shared" si="2"/>
        <v>0</v>
      </c>
      <c r="T100" t="b">
        <f t="shared" si="3"/>
        <v>1</v>
      </c>
      <c r="U100" s="154">
        <f>IFERROR(IF(R100&lt;&gt;FALSE,IF(S100=TRUE,INDEX('SummaryNOT_VALIDATED-BL'!$A$1:$F$16,MATCH(R100,'SummaryNOT_VALIDATED-BL'!$A$1:$A$16,0),6),0),IF(S100=TRUE,INDEX('SummaryNOT_VALIDATED-BL'!$A$1:$F$16,MATCH(E100,'SummaryNOT_VALIDATED-BL'!$A$1:$A$16,0),6),0)),0)</f>
        <v>0</v>
      </c>
      <c r="V100" s="81" cm="1">
        <f t="array" ref="V100">INDEX('Weight tables'!$A$24:$C$27,MATCH(1,(RendicontiTrasmessiBL__2[[#This Row],[Cut percentage on real costs + USC]]&gt;='Weight tables'!$B$24:$B$27)*(RendicontiTrasmessiBL__2[[#This Row],[Cut percentage on real costs + USC]]&lt;='Weight tables'!$C$24:$C$27),0),1)</f>
        <v>0</v>
      </c>
      <c r="W100" s="2">
        <f>RendicontiTrasmessiBL__2[[#This Row],[Weight real costs  + USC ]]</f>
        <v>0</v>
      </c>
    </row>
    <row r="101" spans="1:23" x14ac:dyDescent="0.25">
      <c r="A101" s="1" t="s">
        <v>58</v>
      </c>
      <c r="B101" s="1" t="s">
        <v>33</v>
      </c>
      <c r="C101" s="2">
        <v>15</v>
      </c>
      <c r="D101" s="2">
        <v>55</v>
      </c>
      <c r="E101" s="1" t="s">
        <v>228</v>
      </c>
      <c r="G101">
        <v>131600</v>
      </c>
      <c r="H101">
        <v>0</v>
      </c>
      <c r="I101">
        <v>0</v>
      </c>
      <c r="J101">
        <v>44909.36</v>
      </c>
      <c r="K101">
        <v>0</v>
      </c>
      <c r="L101">
        <v>44909.21</v>
      </c>
      <c r="M101">
        <v>44909.36</v>
      </c>
      <c r="N101">
        <v>34.130000000000003</v>
      </c>
      <c r="O101">
        <v>86690.64</v>
      </c>
      <c r="P101">
        <v>0</v>
      </c>
      <c r="Q101" t="str">
        <f>INDEX('Partner data'!A:DH,MATCH(C101,'Partner data'!DG:DG,0),83)</f>
        <v xml:space="preserve">Organismo di diritto pubblico </v>
      </c>
      <c r="R101" t="str">
        <f>IF(E101="staff",IF(INDEX('Partner data'!A:DH,MATCH(C101,'Partner data'!DG:DG,0),112)="BL1 non presente","FALSO",INDEX('Partner data'!A:DH,MATCH(C101,'Partner data'!DG:DG,0),112)))</f>
        <v>COSTO REALE</v>
      </c>
      <c r="S101" t="b">
        <f t="shared" si="2"/>
        <v>1</v>
      </c>
      <c r="T101" t="b">
        <f t="shared" si="3"/>
        <v>1</v>
      </c>
      <c r="U101" s="154">
        <f>IFERROR(IF(R101&lt;&gt;FALSE,IF(S101=TRUE,INDEX('SummaryNOT_VALIDATED-BL'!$A$1:$F$16,MATCH(R101,'SummaryNOT_VALIDATED-BL'!$A$1:$A$16,0),6),0),IF(S101=TRUE,INDEX('SummaryNOT_VALIDATED-BL'!$A$1:$F$16,MATCH(E101,'SummaryNOT_VALIDATED-BL'!$A$1:$A$16,0),6),0)),0)</f>
        <v>9.1604133276901048E-2</v>
      </c>
      <c r="V101" s="81" cm="1">
        <f t="array" ref="V101">INDEX('Weight tables'!$A$24:$C$27,MATCH(1,(RendicontiTrasmessiBL__2[[#This Row],[Cut percentage on real costs + USC]]&gt;='Weight tables'!$B$24:$B$27)*(RendicontiTrasmessiBL__2[[#This Row],[Cut percentage on real costs + USC]]&lt;='Weight tables'!$C$24:$C$27),0),1)</f>
        <v>4</v>
      </c>
      <c r="W101" s="2">
        <f>RendicontiTrasmessiBL__2[[#This Row],[Weight real costs  + USC ]]</f>
        <v>4</v>
      </c>
    </row>
    <row r="102" spans="1:23" x14ac:dyDescent="0.25">
      <c r="A102" s="1" t="s">
        <v>58</v>
      </c>
      <c r="B102" s="1" t="s">
        <v>33</v>
      </c>
      <c r="C102" s="2">
        <v>15</v>
      </c>
      <c r="D102" s="2">
        <v>55</v>
      </c>
      <c r="E102" s="1" t="s">
        <v>229</v>
      </c>
      <c r="F102">
        <v>15</v>
      </c>
      <c r="G102">
        <v>19740</v>
      </c>
      <c r="H102">
        <v>0</v>
      </c>
      <c r="I102">
        <v>0</v>
      </c>
      <c r="J102">
        <v>6736.4</v>
      </c>
      <c r="K102">
        <v>0</v>
      </c>
      <c r="L102">
        <v>6736.38</v>
      </c>
      <c r="M102">
        <v>6736.4</v>
      </c>
      <c r="N102">
        <v>34.130000000000003</v>
      </c>
      <c r="O102">
        <v>13003.6</v>
      </c>
      <c r="P102">
        <v>0</v>
      </c>
      <c r="Q102" t="str">
        <f>INDEX('Partner data'!A:DH,MATCH(C102,'Partner data'!DG:DG,0),83)</f>
        <v xml:space="preserve">Organismo di diritto pubblico </v>
      </c>
      <c r="R102" t="b">
        <f>IF(E102="staff",IF(INDEX('Partner data'!A:DH,MATCH(C102,'Partner data'!DG:DG,0),112)="BL1 non presente","FALSO",INDEX('Partner data'!A:DH,MATCH(C102,'Partner data'!DG:DG,0),112)))</f>
        <v>0</v>
      </c>
      <c r="S102" t="b">
        <f t="shared" si="2"/>
        <v>1</v>
      </c>
      <c r="T102" t="b">
        <f t="shared" si="3"/>
        <v>1</v>
      </c>
      <c r="U102" s="154">
        <f>IFERROR(IF(R102&lt;&gt;FALSE,IF(S102=TRUE,INDEX('SummaryNOT_VALIDATED-BL'!$A$1:$F$16,MATCH(R102,'SummaryNOT_VALIDATED-BL'!$A$1:$A$16,0),6),0),IF(S102=TRUE,INDEX('SummaryNOT_VALIDATED-BL'!$A$1:$F$16,MATCH(E102,'SummaryNOT_VALIDATED-BL'!$A$1:$A$16,0),6),0)),0)</f>
        <v>6.6460469504890221E-2</v>
      </c>
      <c r="V102" s="81" cm="1">
        <f t="array" ref="V102">INDEX('Weight tables'!$A$24:$C$27,MATCH(1,(RendicontiTrasmessiBL__2[[#This Row],[Cut percentage on real costs + USC]]&gt;='Weight tables'!$B$24:$B$27)*(RendicontiTrasmessiBL__2[[#This Row],[Cut percentage on real costs + USC]]&lt;='Weight tables'!$C$24:$C$27),0),1)</f>
        <v>4</v>
      </c>
      <c r="W102" s="2">
        <f>RendicontiTrasmessiBL__2[[#This Row],[Weight real costs  + USC ]]</f>
        <v>4</v>
      </c>
    </row>
    <row r="103" spans="1:23" x14ac:dyDescent="0.25">
      <c r="A103" s="1" t="s">
        <v>58</v>
      </c>
      <c r="B103" s="1" t="s">
        <v>33</v>
      </c>
      <c r="C103" s="2">
        <v>15</v>
      </c>
      <c r="D103" s="2">
        <v>55</v>
      </c>
      <c r="E103" s="1" t="s">
        <v>230</v>
      </c>
      <c r="F103">
        <v>4</v>
      </c>
      <c r="G103">
        <v>5264</v>
      </c>
      <c r="H103">
        <v>0</v>
      </c>
      <c r="I103">
        <v>0</v>
      </c>
      <c r="J103">
        <v>1796.37</v>
      </c>
      <c r="K103">
        <v>0</v>
      </c>
      <c r="L103">
        <v>1796.36</v>
      </c>
      <c r="M103">
        <v>1796.37</v>
      </c>
      <c r="N103">
        <v>34.130000000000003</v>
      </c>
      <c r="O103">
        <v>3467.63</v>
      </c>
      <c r="P103">
        <v>0</v>
      </c>
      <c r="Q103" t="str">
        <f>INDEX('Partner data'!A:DH,MATCH(C103,'Partner data'!DG:DG,0),83)</f>
        <v xml:space="preserve">Organismo di diritto pubblico </v>
      </c>
      <c r="R103" t="b">
        <f>IF(E103="staff",IF(INDEX('Partner data'!A:DH,MATCH(C103,'Partner data'!DG:DG,0),112)="BL1 non presente","FALSO",INDEX('Partner data'!A:DH,MATCH(C103,'Partner data'!DG:DG,0),112)))</f>
        <v>0</v>
      </c>
      <c r="S103" t="b">
        <f t="shared" si="2"/>
        <v>1</v>
      </c>
      <c r="T103" t="b">
        <f t="shared" si="3"/>
        <v>1</v>
      </c>
      <c r="U103" s="154">
        <f>IFERROR(IF(R103&lt;&gt;FALSE,IF(S103=TRUE,INDEX('SummaryNOT_VALIDATED-BL'!$A$1:$F$16,MATCH(R103,'SummaryNOT_VALIDATED-BL'!$A$1:$A$16,0),6),0),IF(S103=TRUE,INDEX('SummaryNOT_VALIDATED-BL'!$A$1:$F$16,MATCH(E103,'SummaryNOT_VALIDATED-BL'!$A$1:$A$16,0),6),0)),0)</f>
        <v>6.3112622236488891E-2</v>
      </c>
      <c r="V103" s="81" cm="1">
        <f t="array" ref="V103">INDEX('Weight tables'!$A$24:$C$27,MATCH(1,(RendicontiTrasmessiBL__2[[#This Row],[Cut percentage on real costs + USC]]&gt;='Weight tables'!$B$24:$B$27)*(RendicontiTrasmessiBL__2[[#This Row],[Cut percentage on real costs + USC]]&lt;='Weight tables'!$C$24:$C$27),0),1)</f>
        <v>4</v>
      </c>
      <c r="W103" s="2">
        <f>RendicontiTrasmessiBL__2[[#This Row],[Weight real costs  + USC ]]</f>
        <v>4</v>
      </c>
    </row>
    <row r="104" spans="1:23" x14ac:dyDescent="0.25">
      <c r="A104" s="1" t="s">
        <v>58</v>
      </c>
      <c r="B104" s="1" t="s">
        <v>33</v>
      </c>
      <c r="C104" s="2">
        <v>15</v>
      </c>
      <c r="D104" s="2">
        <v>55</v>
      </c>
      <c r="E104" s="1" t="s">
        <v>231</v>
      </c>
      <c r="G104">
        <v>158900</v>
      </c>
      <c r="H104">
        <v>0</v>
      </c>
      <c r="I104">
        <v>0</v>
      </c>
      <c r="J104">
        <v>81550.64</v>
      </c>
      <c r="K104">
        <v>0</v>
      </c>
      <c r="L104">
        <v>81550.64</v>
      </c>
      <c r="M104">
        <v>81550.64</v>
      </c>
      <c r="N104">
        <v>51.32</v>
      </c>
      <c r="O104">
        <v>77349.36</v>
      </c>
      <c r="P104">
        <v>0</v>
      </c>
      <c r="Q104" t="str">
        <f>INDEX('Partner data'!A:DH,MATCH(C104,'Partner data'!DG:DG,0),83)</f>
        <v xml:space="preserve">Organismo di diritto pubblico </v>
      </c>
      <c r="R104" t="b">
        <f>IF(E104="staff",IF(INDEX('Partner data'!A:DH,MATCH(C104,'Partner data'!DG:DG,0),112)="BL1 non presente","FALSO",INDEX('Partner data'!A:DH,MATCH(C104,'Partner data'!DG:DG,0),112)))</f>
        <v>0</v>
      </c>
      <c r="S104" t="b">
        <f t="shared" si="2"/>
        <v>1</v>
      </c>
      <c r="T104" t="b">
        <f t="shared" si="3"/>
        <v>1</v>
      </c>
      <c r="U104" s="154">
        <f>IFERROR(IF(R104&lt;&gt;FALSE,IF(S104=TRUE,INDEX('SummaryNOT_VALIDATED-BL'!$A$1:$F$16,MATCH(R104,'SummaryNOT_VALIDATED-BL'!$A$1:$A$16,0),6),0),IF(S104=TRUE,INDEX('SummaryNOT_VALIDATED-BL'!$A$1:$F$16,MATCH(E104,'SummaryNOT_VALIDATED-BL'!$A$1:$A$16,0),6),0)),0)</f>
        <v>5.577594442215475E-2</v>
      </c>
      <c r="V104" s="81" cm="1">
        <f t="array" ref="V104">INDEX('Weight tables'!$A$24:$C$27,MATCH(1,(RendicontiTrasmessiBL__2[[#This Row],[Cut percentage on real costs + USC]]&gt;='Weight tables'!$B$24:$B$27)*(RendicontiTrasmessiBL__2[[#This Row],[Cut percentage on real costs + USC]]&lt;='Weight tables'!$C$24:$C$27),0),1)</f>
        <v>4</v>
      </c>
      <c r="W104" s="2">
        <f>RendicontiTrasmessiBL__2[[#This Row],[Weight real costs  + USC ]]</f>
        <v>4</v>
      </c>
    </row>
    <row r="105" spans="1:23" x14ac:dyDescent="0.25">
      <c r="A105" s="1" t="s">
        <v>58</v>
      </c>
      <c r="B105" s="1" t="s">
        <v>33</v>
      </c>
      <c r="C105" s="2">
        <v>15</v>
      </c>
      <c r="D105" s="2">
        <v>55</v>
      </c>
      <c r="E105" s="1" t="s">
        <v>232</v>
      </c>
      <c r="G105">
        <v>1000</v>
      </c>
      <c r="H105">
        <v>0</v>
      </c>
      <c r="I105">
        <v>0</v>
      </c>
      <c r="J105">
        <v>289.36</v>
      </c>
      <c r="K105">
        <v>0</v>
      </c>
      <c r="L105">
        <v>289.36</v>
      </c>
      <c r="M105">
        <v>289.36</v>
      </c>
      <c r="N105">
        <v>28.94</v>
      </c>
      <c r="O105">
        <v>710.64</v>
      </c>
      <c r="P105">
        <v>0</v>
      </c>
      <c r="Q105" t="str">
        <f>INDEX('Partner data'!A:DH,MATCH(C105,'Partner data'!DG:DG,0),83)</f>
        <v xml:space="preserve">Organismo di diritto pubblico </v>
      </c>
      <c r="R105" t="b">
        <f>IF(E105="staff",IF(INDEX('Partner data'!A:DH,MATCH(C105,'Partner data'!DG:DG,0),112)="BL1 non presente","FALSO",INDEX('Partner data'!A:DH,MATCH(C105,'Partner data'!DG:DG,0),112)))</f>
        <v>0</v>
      </c>
      <c r="S105" t="b">
        <f t="shared" si="2"/>
        <v>1</v>
      </c>
      <c r="T105" t="b">
        <f t="shared" si="3"/>
        <v>1</v>
      </c>
      <c r="U105" s="154">
        <f>IFERROR(IF(R105&lt;&gt;FALSE,IF(S105=TRUE,INDEX('SummaryNOT_VALIDATED-BL'!$A$1:$F$16,MATCH(R105,'SummaryNOT_VALIDATED-BL'!$A$1:$A$16,0),6),0),IF(S105=TRUE,INDEX('SummaryNOT_VALIDATED-BL'!$A$1:$F$16,MATCH(E105,'SummaryNOT_VALIDATED-BL'!$A$1:$A$16,0),6),0)),0)</f>
        <v>1.102169095281242E-2</v>
      </c>
      <c r="V105" s="81" cm="1">
        <f t="array" ref="V105">INDEX('Weight tables'!$A$24:$C$27,MATCH(1,(RendicontiTrasmessiBL__2[[#This Row],[Cut percentage on real costs + USC]]&gt;='Weight tables'!$B$24:$B$27)*(RendicontiTrasmessiBL__2[[#This Row],[Cut percentage on real costs + USC]]&lt;='Weight tables'!$C$24:$C$27),0),1)</f>
        <v>0</v>
      </c>
      <c r="W105" s="2">
        <f>RendicontiTrasmessiBL__2[[#This Row],[Weight real costs  + USC ]]</f>
        <v>0</v>
      </c>
    </row>
    <row r="106" spans="1:23" x14ac:dyDescent="0.25">
      <c r="A106" s="1" t="s">
        <v>58</v>
      </c>
      <c r="B106" s="1" t="s">
        <v>33</v>
      </c>
      <c r="C106" s="2">
        <v>15</v>
      </c>
      <c r="D106" s="2">
        <v>55</v>
      </c>
      <c r="E106" s="1" t="s">
        <v>233</v>
      </c>
      <c r="G106">
        <v>0</v>
      </c>
      <c r="H106">
        <v>0</v>
      </c>
      <c r="I106">
        <v>0</v>
      </c>
      <c r="J106">
        <v>0</v>
      </c>
      <c r="K106">
        <v>0</v>
      </c>
      <c r="L106">
        <v>0</v>
      </c>
      <c r="M106">
        <v>0</v>
      </c>
      <c r="N106">
        <v>0</v>
      </c>
      <c r="O106">
        <v>0</v>
      </c>
      <c r="P106">
        <v>0</v>
      </c>
      <c r="Q106" t="str">
        <f>INDEX('Partner data'!A:DH,MATCH(C106,'Partner data'!DG:DG,0),83)</f>
        <v xml:space="preserve">Organismo di diritto pubblico </v>
      </c>
      <c r="R106" t="b">
        <f>IF(E106="staff",IF(INDEX('Partner data'!A:DH,MATCH(C106,'Partner data'!DG:DG,0),112)="BL1 non presente","FALSO",INDEX('Partner data'!A:DH,MATCH(C106,'Partner data'!DG:DG,0),112)))</f>
        <v>0</v>
      </c>
      <c r="S106" t="b">
        <f t="shared" si="2"/>
        <v>0</v>
      </c>
      <c r="T106" t="b">
        <f t="shared" si="3"/>
        <v>1</v>
      </c>
      <c r="U106" s="154">
        <f>IFERROR(IF(R106&lt;&gt;FALSE,IF(S106=TRUE,INDEX('SummaryNOT_VALIDATED-BL'!$A$1:$F$16,MATCH(R106,'SummaryNOT_VALIDATED-BL'!$A$1:$A$16,0),6),0),IF(S106=TRUE,INDEX('SummaryNOT_VALIDATED-BL'!$A$1:$F$16,MATCH(E106,'SummaryNOT_VALIDATED-BL'!$A$1:$A$16,0),6),0)),0)</f>
        <v>0</v>
      </c>
      <c r="V106" s="81" cm="1">
        <f t="array" ref="V106">INDEX('Weight tables'!$A$24:$C$27,MATCH(1,(RendicontiTrasmessiBL__2[[#This Row],[Cut percentage on real costs + USC]]&gt;='Weight tables'!$B$24:$B$27)*(RendicontiTrasmessiBL__2[[#This Row],[Cut percentage on real costs + USC]]&lt;='Weight tables'!$C$24:$C$27),0),1)</f>
        <v>0</v>
      </c>
      <c r="W106" s="2">
        <f>RendicontiTrasmessiBL__2[[#This Row],[Weight real costs  + USC ]]</f>
        <v>0</v>
      </c>
    </row>
    <row r="107" spans="1:23" x14ac:dyDescent="0.25">
      <c r="A107" s="1" t="s">
        <v>58</v>
      </c>
      <c r="B107" s="1" t="s">
        <v>33</v>
      </c>
      <c r="C107" s="2">
        <v>15</v>
      </c>
      <c r="D107" s="2">
        <v>55</v>
      </c>
      <c r="E107" s="1" t="s">
        <v>234</v>
      </c>
      <c r="G107">
        <v>0</v>
      </c>
      <c r="H107">
        <v>0</v>
      </c>
      <c r="I107">
        <v>0</v>
      </c>
      <c r="J107">
        <v>0</v>
      </c>
      <c r="K107">
        <v>0</v>
      </c>
      <c r="L107">
        <v>0</v>
      </c>
      <c r="M107">
        <v>0</v>
      </c>
      <c r="N107">
        <v>0</v>
      </c>
      <c r="O107">
        <v>0</v>
      </c>
      <c r="P107">
        <v>0</v>
      </c>
      <c r="Q107" t="str">
        <f>INDEX('Partner data'!A:DH,MATCH(C107,'Partner data'!DG:DG,0),83)</f>
        <v xml:space="preserve">Organismo di diritto pubblico </v>
      </c>
      <c r="R107" t="b">
        <f>IF(E107="staff",IF(INDEX('Partner data'!A:DH,MATCH(C107,'Partner data'!DG:DG,0),112)="BL1 non presente","FALSO",INDEX('Partner data'!A:DH,MATCH(C107,'Partner data'!DG:DG,0),112)))</f>
        <v>0</v>
      </c>
      <c r="S107" t="b">
        <f t="shared" si="2"/>
        <v>0</v>
      </c>
      <c r="T107" t="b">
        <f t="shared" si="3"/>
        <v>1</v>
      </c>
      <c r="U107" s="154">
        <f>IFERROR(IF(R107&lt;&gt;FALSE,IF(S107=TRUE,INDEX('SummaryNOT_VALIDATED-BL'!$A$1:$F$16,MATCH(R107,'SummaryNOT_VALIDATED-BL'!$A$1:$A$16,0),6),0),IF(S107=TRUE,INDEX('SummaryNOT_VALIDATED-BL'!$A$1:$F$16,MATCH(E107,'SummaryNOT_VALIDATED-BL'!$A$1:$A$16,0),6),0)),0)</f>
        <v>0</v>
      </c>
      <c r="V107" s="81" cm="1">
        <f t="array" ref="V107">INDEX('Weight tables'!$A$24:$C$27,MATCH(1,(RendicontiTrasmessiBL__2[[#This Row],[Cut percentage on real costs + USC]]&gt;='Weight tables'!$B$24:$B$27)*(RendicontiTrasmessiBL__2[[#This Row],[Cut percentage on real costs + USC]]&lt;='Weight tables'!$C$24:$C$27),0),1)</f>
        <v>0</v>
      </c>
      <c r="W107" s="2">
        <f>RendicontiTrasmessiBL__2[[#This Row],[Weight real costs  + USC ]]</f>
        <v>0</v>
      </c>
    </row>
    <row r="108" spans="1:23" x14ac:dyDescent="0.25">
      <c r="A108" s="1" t="s">
        <v>58</v>
      </c>
      <c r="B108" s="1" t="s">
        <v>33</v>
      </c>
      <c r="C108" s="2">
        <v>15</v>
      </c>
      <c r="D108" s="2">
        <v>55</v>
      </c>
      <c r="E108" s="1" t="s">
        <v>236</v>
      </c>
      <c r="G108">
        <v>0</v>
      </c>
      <c r="H108">
        <v>0</v>
      </c>
      <c r="I108">
        <v>0</v>
      </c>
      <c r="J108">
        <v>0</v>
      </c>
      <c r="K108">
        <v>0</v>
      </c>
      <c r="L108">
        <v>0</v>
      </c>
      <c r="M108">
        <v>0</v>
      </c>
      <c r="N108">
        <v>0</v>
      </c>
      <c r="O108">
        <v>0</v>
      </c>
      <c r="P108">
        <v>0</v>
      </c>
      <c r="Q108" t="str">
        <f>INDEX('Partner data'!A:DH,MATCH(C108,'Partner data'!DG:DG,0),83)</f>
        <v xml:space="preserve">Organismo di diritto pubblico </v>
      </c>
      <c r="R108" t="b">
        <f>IF(E108="staff",IF(INDEX('Partner data'!A:DH,MATCH(C108,'Partner data'!DG:DG,0),112)="BL1 non presente","FALSO",INDEX('Partner data'!A:DH,MATCH(C108,'Partner data'!DG:DG,0),112)))</f>
        <v>0</v>
      </c>
      <c r="S108" t="b">
        <f t="shared" si="2"/>
        <v>0</v>
      </c>
      <c r="T108" t="b">
        <f t="shared" si="3"/>
        <v>1</v>
      </c>
      <c r="U108" s="154">
        <f>IFERROR(IF(R108&lt;&gt;FALSE,IF(S108=TRUE,INDEX('SummaryNOT_VALIDATED-BL'!$A$1:$F$16,MATCH(R108,'SummaryNOT_VALIDATED-BL'!$A$1:$A$16,0),6),0),IF(S108=TRUE,INDEX('SummaryNOT_VALIDATED-BL'!$A$1:$F$16,MATCH(E108,'SummaryNOT_VALIDATED-BL'!$A$1:$A$16,0),6),0)),0)</f>
        <v>0</v>
      </c>
      <c r="V108" s="81" cm="1">
        <f t="array" ref="V108">INDEX('Weight tables'!$A$24:$C$27,MATCH(1,(RendicontiTrasmessiBL__2[[#This Row],[Cut percentage on real costs + USC]]&gt;='Weight tables'!$B$24:$B$27)*(RendicontiTrasmessiBL__2[[#This Row],[Cut percentage on real costs + USC]]&lt;='Weight tables'!$C$24:$C$27),0),1)</f>
        <v>0</v>
      </c>
      <c r="W108" s="2">
        <f>RendicontiTrasmessiBL__2[[#This Row],[Weight real costs  + USC ]]</f>
        <v>0</v>
      </c>
    </row>
    <row r="109" spans="1:23" x14ac:dyDescent="0.25">
      <c r="A109" s="1" t="s">
        <v>58</v>
      </c>
      <c r="B109" s="1" t="s">
        <v>33</v>
      </c>
      <c r="C109" s="2">
        <v>15</v>
      </c>
      <c r="D109" s="2">
        <v>55</v>
      </c>
      <c r="E109" s="1" t="s">
        <v>237</v>
      </c>
      <c r="G109">
        <v>0</v>
      </c>
      <c r="H109">
        <v>0</v>
      </c>
      <c r="I109">
        <v>0</v>
      </c>
      <c r="J109">
        <v>0</v>
      </c>
      <c r="K109">
        <v>0</v>
      </c>
      <c r="L109">
        <v>0</v>
      </c>
      <c r="M109">
        <v>0</v>
      </c>
      <c r="N109">
        <v>0</v>
      </c>
      <c r="O109">
        <v>0</v>
      </c>
      <c r="P109">
        <v>0</v>
      </c>
      <c r="Q109" t="str">
        <f>INDEX('Partner data'!A:DH,MATCH(C109,'Partner data'!DG:DG,0),83)</f>
        <v xml:space="preserve">Organismo di diritto pubblico </v>
      </c>
      <c r="R109" t="b">
        <f>IF(E109="staff",IF(INDEX('Partner data'!A:DH,MATCH(C109,'Partner data'!DG:DG,0),112)="BL1 non presente","FALSO",INDEX('Partner data'!A:DH,MATCH(C109,'Partner data'!DG:DG,0),112)))</f>
        <v>0</v>
      </c>
      <c r="S109" t="b">
        <f t="shared" si="2"/>
        <v>0</v>
      </c>
      <c r="T109" t="b">
        <f t="shared" si="3"/>
        <v>1</v>
      </c>
      <c r="U109" s="154">
        <f>IFERROR(IF(R109&lt;&gt;FALSE,IF(S109=TRUE,INDEX('SummaryNOT_VALIDATED-BL'!$A$1:$F$16,MATCH(R109,'SummaryNOT_VALIDATED-BL'!$A$1:$A$16,0),6),0),IF(S109=TRUE,INDEX('SummaryNOT_VALIDATED-BL'!$A$1:$F$16,MATCH(E109,'SummaryNOT_VALIDATED-BL'!$A$1:$A$16,0),6),0)),0)</f>
        <v>0</v>
      </c>
      <c r="V109" s="81" cm="1">
        <f t="array" ref="V109">INDEX('Weight tables'!$A$24:$C$27,MATCH(1,(RendicontiTrasmessiBL__2[[#This Row],[Cut percentage on real costs + USC]]&gt;='Weight tables'!$B$24:$B$27)*(RendicontiTrasmessiBL__2[[#This Row],[Cut percentage on real costs + USC]]&lt;='Weight tables'!$C$24:$C$27),0),1)</f>
        <v>0</v>
      </c>
      <c r="W109" s="2">
        <f>RendicontiTrasmessiBL__2[[#This Row],[Weight real costs  + USC ]]</f>
        <v>0</v>
      </c>
    </row>
    <row r="110" spans="1:23" x14ac:dyDescent="0.25">
      <c r="A110" s="1" t="s">
        <v>58</v>
      </c>
      <c r="B110" s="1" t="s">
        <v>30</v>
      </c>
      <c r="C110" s="2">
        <v>12</v>
      </c>
      <c r="D110" s="2">
        <v>222</v>
      </c>
      <c r="E110" s="1" t="s">
        <v>228</v>
      </c>
      <c r="G110">
        <v>105057</v>
      </c>
      <c r="H110">
        <v>26406</v>
      </c>
      <c r="I110">
        <v>0</v>
      </c>
      <c r="J110">
        <v>13581</v>
      </c>
      <c r="K110">
        <v>0</v>
      </c>
      <c r="L110">
        <v>13581</v>
      </c>
      <c r="M110">
        <v>39987</v>
      </c>
      <c r="N110">
        <v>38.06</v>
      </c>
      <c r="O110">
        <v>65070</v>
      </c>
      <c r="P110">
        <v>26406</v>
      </c>
      <c r="Q110" t="str">
        <f>INDEX('Partner data'!A:DH,MATCH(C110,'Partner data'!DG:DG,0),83)</f>
        <v xml:space="preserve">Organismo di diritto pubblico </v>
      </c>
      <c r="R110" t="str">
        <f>IF(E110="staff",IF(INDEX('Partner data'!A:DH,MATCH(C110,'Partner data'!DG:DG,0),112)="BL1 non presente","FALSO",INDEX('Partner data'!A:DH,MATCH(C110,'Partner data'!DG:DG,0),112)))</f>
        <v>Costo Unitario Standard</v>
      </c>
      <c r="S110" t="b">
        <f t="shared" si="2"/>
        <v>1</v>
      </c>
      <c r="T110" t="b">
        <f t="shared" si="3"/>
        <v>1</v>
      </c>
      <c r="U110" s="154">
        <f>IFERROR(IF(R110&lt;&gt;FALSE,IF(S110=TRUE,INDEX('SummaryNOT_VALIDATED-BL'!$A$1:$F$16,MATCH(R110,'SummaryNOT_VALIDATED-BL'!$A$1:$A$16,0),6),0),IF(S110=TRUE,INDEX('SummaryNOT_VALIDATED-BL'!$A$1:$F$16,MATCH(E110,'SummaryNOT_VALIDATED-BL'!$A$1:$A$16,0),6),0)),0)</f>
        <v>3.2052879635441428E-2</v>
      </c>
      <c r="V110" s="81" cm="1">
        <f t="array" ref="V110">INDEX('Weight tables'!$A$24:$C$27,MATCH(1,(RendicontiTrasmessiBL__2[[#This Row],[Cut percentage on real costs + USC]]&gt;='Weight tables'!$B$24:$B$27)*(RendicontiTrasmessiBL__2[[#This Row],[Cut percentage on real costs + USC]]&lt;='Weight tables'!$C$24:$C$27),0),1)</f>
        <v>2</v>
      </c>
      <c r="W110" s="2">
        <f>RendicontiTrasmessiBL__2[[#This Row],[Weight real costs  + USC ]]</f>
        <v>2</v>
      </c>
    </row>
    <row r="111" spans="1:23" x14ac:dyDescent="0.25">
      <c r="A111" s="1" t="s">
        <v>58</v>
      </c>
      <c r="B111" s="1" t="s">
        <v>30</v>
      </c>
      <c r="C111" s="2">
        <v>12</v>
      </c>
      <c r="D111" s="2">
        <v>222</v>
      </c>
      <c r="E111" s="1" t="s">
        <v>229</v>
      </c>
      <c r="F111">
        <v>15</v>
      </c>
      <c r="G111">
        <v>15758.55</v>
      </c>
      <c r="H111">
        <v>3960.9</v>
      </c>
      <c r="I111">
        <v>0</v>
      </c>
      <c r="J111">
        <v>2037.15</v>
      </c>
      <c r="K111">
        <v>0</v>
      </c>
      <c r="L111">
        <v>2037.15</v>
      </c>
      <c r="M111">
        <v>5998.05</v>
      </c>
      <c r="N111">
        <v>38.06</v>
      </c>
      <c r="O111">
        <v>9760.5</v>
      </c>
      <c r="P111">
        <v>3960.9</v>
      </c>
      <c r="Q111" t="str">
        <f>INDEX('Partner data'!A:DH,MATCH(C111,'Partner data'!DG:DG,0),83)</f>
        <v xml:space="preserve">Organismo di diritto pubblico </v>
      </c>
      <c r="R111" t="b">
        <f>IF(E111="staff",IF(INDEX('Partner data'!A:DH,MATCH(C111,'Partner data'!DG:DG,0),112)="BL1 non presente","FALSO",INDEX('Partner data'!A:DH,MATCH(C111,'Partner data'!DG:DG,0),112)))</f>
        <v>0</v>
      </c>
      <c r="S111" t="b">
        <f t="shared" si="2"/>
        <v>1</v>
      </c>
      <c r="T111" t="b">
        <f t="shared" si="3"/>
        <v>1</v>
      </c>
      <c r="U111" s="154">
        <f>IFERROR(IF(R111&lt;&gt;FALSE,IF(S111=TRUE,INDEX('SummaryNOT_VALIDATED-BL'!$A$1:$F$16,MATCH(R111,'SummaryNOT_VALIDATED-BL'!$A$1:$A$16,0),6),0),IF(S111=TRUE,INDEX('SummaryNOT_VALIDATED-BL'!$A$1:$F$16,MATCH(E111,'SummaryNOT_VALIDATED-BL'!$A$1:$A$16,0),6),0)),0)</f>
        <v>6.6460469504890221E-2</v>
      </c>
      <c r="V111" s="81" cm="1">
        <f t="array" ref="V111">INDEX('Weight tables'!$A$24:$C$27,MATCH(1,(RendicontiTrasmessiBL__2[[#This Row],[Cut percentage on real costs + USC]]&gt;='Weight tables'!$B$24:$B$27)*(RendicontiTrasmessiBL__2[[#This Row],[Cut percentage on real costs + USC]]&lt;='Weight tables'!$C$24:$C$27),0),1)</f>
        <v>4</v>
      </c>
      <c r="W111" s="2">
        <f>RendicontiTrasmessiBL__2[[#This Row],[Weight real costs  + USC ]]</f>
        <v>4</v>
      </c>
    </row>
    <row r="112" spans="1:23" x14ac:dyDescent="0.25">
      <c r="A112" s="1" t="s">
        <v>58</v>
      </c>
      <c r="B112" s="1" t="s">
        <v>30</v>
      </c>
      <c r="C112" s="2">
        <v>12</v>
      </c>
      <c r="D112" s="2">
        <v>222</v>
      </c>
      <c r="E112" s="1" t="s">
        <v>230</v>
      </c>
      <c r="F112">
        <v>4</v>
      </c>
      <c r="G112">
        <v>4202.28</v>
      </c>
      <c r="H112">
        <v>1056.24</v>
      </c>
      <c r="I112">
        <v>0</v>
      </c>
      <c r="J112">
        <v>543.24</v>
      </c>
      <c r="K112">
        <v>0</v>
      </c>
      <c r="L112">
        <v>543.24</v>
      </c>
      <c r="M112">
        <v>1599.48</v>
      </c>
      <c r="N112">
        <v>38.06</v>
      </c>
      <c r="O112">
        <v>2602.8000000000002</v>
      </c>
      <c r="P112">
        <v>1056.24</v>
      </c>
      <c r="Q112" t="str">
        <f>INDEX('Partner data'!A:DH,MATCH(C112,'Partner data'!DG:DG,0),83)</f>
        <v xml:space="preserve">Organismo di diritto pubblico </v>
      </c>
      <c r="R112" t="b">
        <f>IF(E112="staff",IF(INDEX('Partner data'!A:DH,MATCH(C112,'Partner data'!DG:DG,0),112)="BL1 non presente","FALSO",INDEX('Partner data'!A:DH,MATCH(C112,'Partner data'!DG:DG,0),112)))</f>
        <v>0</v>
      </c>
      <c r="S112" t="b">
        <f t="shared" si="2"/>
        <v>1</v>
      </c>
      <c r="T112" t="b">
        <f t="shared" si="3"/>
        <v>1</v>
      </c>
      <c r="U112" s="154">
        <f>IFERROR(IF(R112&lt;&gt;FALSE,IF(S112=TRUE,INDEX('SummaryNOT_VALIDATED-BL'!$A$1:$F$16,MATCH(R112,'SummaryNOT_VALIDATED-BL'!$A$1:$A$16,0),6),0),IF(S112=TRUE,INDEX('SummaryNOT_VALIDATED-BL'!$A$1:$F$16,MATCH(E112,'SummaryNOT_VALIDATED-BL'!$A$1:$A$16,0),6),0)),0)</f>
        <v>6.3112622236488891E-2</v>
      </c>
      <c r="V112" s="81" cm="1">
        <f t="array" ref="V112">INDEX('Weight tables'!$A$24:$C$27,MATCH(1,(RendicontiTrasmessiBL__2[[#This Row],[Cut percentage on real costs + USC]]&gt;='Weight tables'!$B$24:$B$27)*(RendicontiTrasmessiBL__2[[#This Row],[Cut percentage on real costs + USC]]&lt;='Weight tables'!$C$24:$C$27),0),1)</f>
        <v>4</v>
      </c>
      <c r="W112" s="2">
        <f>RendicontiTrasmessiBL__2[[#This Row],[Weight real costs  + USC ]]</f>
        <v>4</v>
      </c>
    </row>
    <row r="113" spans="1:23" x14ac:dyDescent="0.25">
      <c r="A113" s="1" t="s">
        <v>58</v>
      </c>
      <c r="B113" s="1" t="s">
        <v>30</v>
      </c>
      <c r="C113" s="2">
        <v>12</v>
      </c>
      <c r="D113" s="2">
        <v>222</v>
      </c>
      <c r="E113" s="1" t="s">
        <v>231</v>
      </c>
      <c r="G113">
        <v>809982.17</v>
      </c>
      <c r="H113">
        <v>6833.2</v>
      </c>
      <c r="I113">
        <v>0</v>
      </c>
      <c r="J113">
        <v>11860.9</v>
      </c>
      <c r="K113">
        <v>0</v>
      </c>
      <c r="L113">
        <v>11860.9</v>
      </c>
      <c r="M113">
        <v>18694.099999999999</v>
      </c>
      <c r="N113">
        <v>2.31</v>
      </c>
      <c r="O113">
        <v>791288.07</v>
      </c>
      <c r="P113">
        <v>6833.2</v>
      </c>
      <c r="Q113" t="str">
        <f>INDEX('Partner data'!A:DH,MATCH(C113,'Partner data'!DG:DG,0),83)</f>
        <v xml:space="preserve">Organismo di diritto pubblico </v>
      </c>
      <c r="R113" t="b">
        <f>IF(E113="staff",IF(INDEX('Partner data'!A:DH,MATCH(C113,'Partner data'!DG:DG,0),112)="BL1 non presente","FALSO",INDEX('Partner data'!A:DH,MATCH(C113,'Partner data'!DG:DG,0),112)))</f>
        <v>0</v>
      </c>
      <c r="S113" t="b">
        <f t="shared" si="2"/>
        <v>1</v>
      </c>
      <c r="T113" t="b">
        <f t="shared" si="3"/>
        <v>1</v>
      </c>
      <c r="U113" s="154">
        <f>IFERROR(IF(R113&lt;&gt;FALSE,IF(S113=TRUE,INDEX('SummaryNOT_VALIDATED-BL'!$A$1:$F$16,MATCH(R113,'SummaryNOT_VALIDATED-BL'!$A$1:$A$16,0),6),0),IF(S113=TRUE,INDEX('SummaryNOT_VALIDATED-BL'!$A$1:$F$16,MATCH(E113,'SummaryNOT_VALIDATED-BL'!$A$1:$A$16,0),6),0)),0)</f>
        <v>5.577594442215475E-2</v>
      </c>
      <c r="V113" s="81" cm="1">
        <f t="array" ref="V113">INDEX('Weight tables'!$A$24:$C$27,MATCH(1,(RendicontiTrasmessiBL__2[[#This Row],[Cut percentage on real costs + USC]]&gt;='Weight tables'!$B$24:$B$27)*(RendicontiTrasmessiBL__2[[#This Row],[Cut percentage on real costs + USC]]&lt;='Weight tables'!$C$24:$C$27),0),1)</f>
        <v>4</v>
      </c>
      <c r="W113" s="2">
        <f>RendicontiTrasmessiBL__2[[#This Row],[Weight real costs  + USC ]]</f>
        <v>4</v>
      </c>
    </row>
    <row r="114" spans="1:23" x14ac:dyDescent="0.25">
      <c r="A114" s="1" t="s">
        <v>58</v>
      </c>
      <c r="B114" s="1" t="s">
        <v>30</v>
      </c>
      <c r="C114" s="2">
        <v>12</v>
      </c>
      <c r="D114" s="2">
        <v>222</v>
      </c>
      <c r="E114" s="1" t="s">
        <v>232</v>
      </c>
      <c r="G114">
        <v>10000</v>
      </c>
      <c r="H114">
        <v>0</v>
      </c>
      <c r="I114">
        <v>0</v>
      </c>
      <c r="J114">
        <v>0</v>
      </c>
      <c r="K114">
        <v>0</v>
      </c>
      <c r="L114">
        <v>0</v>
      </c>
      <c r="M114">
        <v>0</v>
      </c>
      <c r="N114">
        <v>0</v>
      </c>
      <c r="O114">
        <v>10000</v>
      </c>
      <c r="P114">
        <v>0</v>
      </c>
      <c r="Q114" t="str">
        <f>INDEX('Partner data'!A:DH,MATCH(C114,'Partner data'!DG:DG,0),83)</f>
        <v xml:space="preserve">Organismo di diritto pubblico </v>
      </c>
      <c r="R114" t="b">
        <f>IF(E114="staff",IF(INDEX('Partner data'!A:DH,MATCH(C114,'Partner data'!DG:DG,0),112)="BL1 non presente","FALSO",INDEX('Partner data'!A:DH,MATCH(C114,'Partner data'!DG:DG,0),112)))</f>
        <v>0</v>
      </c>
      <c r="S114" t="b">
        <f t="shared" si="2"/>
        <v>0</v>
      </c>
      <c r="T114" t="b">
        <f t="shared" si="3"/>
        <v>1</v>
      </c>
      <c r="U114" s="154">
        <f>IFERROR(IF(R114&lt;&gt;FALSE,IF(S114=TRUE,INDEX('SummaryNOT_VALIDATED-BL'!$A$1:$F$16,MATCH(R114,'SummaryNOT_VALIDATED-BL'!$A$1:$A$16,0),6),0),IF(S114=TRUE,INDEX('SummaryNOT_VALIDATED-BL'!$A$1:$F$16,MATCH(E114,'SummaryNOT_VALIDATED-BL'!$A$1:$A$16,0),6),0)),0)</f>
        <v>0</v>
      </c>
      <c r="V114" s="81" cm="1">
        <f t="array" ref="V114">INDEX('Weight tables'!$A$24:$C$27,MATCH(1,(RendicontiTrasmessiBL__2[[#This Row],[Cut percentage on real costs + USC]]&gt;='Weight tables'!$B$24:$B$27)*(RendicontiTrasmessiBL__2[[#This Row],[Cut percentage on real costs + USC]]&lt;='Weight tables'!$C$24:$C$27),0),1)</f>
        <v>0</v>
      </c>
      <c r="W114" s="2">
        <f>RendicontiTrasmessiBL__2[[#This Row],[Weight real costs  + USC ]]</f>
        <v>0</v>
      </c>
    </row>
    <row r="115" spans="1:23" x14ac:dyDescent="0.25">
      <c r="A115" s="1" t="s">
        <v>58</v>
      </c>
      <c r="B115" s="1" t="s">
        <v>30</v>
      </c>
      <c r="C115" s="2">
        <v>12</v>
      </c>
      <c r="D115" s="2">
        <v>222</v>
      </c>
      <c r="E115" s="1" t="s">
        <v>233</v>
      </c>
      <c r="G115">
        <v>0</v>
      </c>
      <c r="H115">
        <v>0</v>
      </c>
      <c r="I115">
        <v>0</v>
      </c>
      <c r="J115">
        <v>0</v>
      </c>
      <c r="K115">
        <v>0</v>
      </c>
      <c r="L115">
        <v>0</v>
      </c>
      <c r="M115">
        <v>0</v>
      </c>
      <c r="N115">
        <v>0</v>
      </c>
      <c r="O115">
        <v>0</v>
      </c>
      <c r="P115">
        <v>0</v>
      </c>
      <c r="Q115" t="str">
        <f>INDEX('Partner data'!A:DH,MATCH(C115,'Partner data'!DG:DG,0),83)</f>
        <v xml:space="preserve">Organismo di diritto pubblico </v>
      </c>
      <c r="R115" t="b">
        <f>IF(E115="staff",IF(INDEX('Partner data'!A:DH,MATCH(C115,'Partner data'!DG:DG,0),112)="BL1 non presente","FALSO",INDEX('Partner data'!A:DH,MATCH(C115,'Partner data'!DG:DG,0),112)))</f>
        <v>0</v>
      </c>
      <c r="S115" t="b">
        <f t="shared" si="2"/>
        <v>0</v>
      </c>
      <c r="T115" t="b">
        <f t="shared" si="3"/>
        <v>1</v>
      </c>
      <c r="U115" s="154">
        <f>IFERROR(IF(R115&lt;&gt;FALSE,IF(S115=TRUE,INDEX('SummaryNOT_VALIDATED-BL'!$A$1:$F$16,MATCH(R115,'SummaryNOT_VALIDATED-BL'!$A$1:$A$16,0),6),0),IF(S115=TRUE,INDEX('SummaryNOT_VALIDATED-BL'!$A$1:$F$16,MATCH(E115,'SummaryNOT_VALIDATED-BL'!$A$1:$A$16,0),6),0)),0)</f>
        <v>0</v>
      </c>
      <c r="V115" s="81" cm="1">
        <f t="array" ref="V115">INDEX('Weight tables'!$A$24:$C$27,MATCH(1,(RendicontiTrasmessiBL__2[[#This Row],[Cut percentage on real costs + USC]]&gt;='Weight tables'!$B$24:$B$27)*(RendicontiTrasmessiBL__2[[#This Row],[Cut percentage on real costs + USC]]&lt;='Weight tables'!$C$24:$C$27),0),1)</f>
        <v>0</v>
      </c>
      <c r="W115" s="2">
        <f>RendicontiTrasmessiBL__2[[#This Row],[Weight real costs  + USC ]]</f>
        <v>0</v>
      </c>
    </row>
    <row r="116" spans="1:23" x14ac:dyDescent="0.25">
      <c r="A116" s="1" t="s">
        <v>58</v>
      </c>
      <c r="B116" s="1" t="s">
        <v>30</v>
      </c>
      <c r="C116" s="2">
        <v>12</v>
      </c>
      <c r="D116" s="2">
        <v>222</v>
      </c>
      <c r="E116" s="1" t="s">
        <v>234</v>
      </c>
      <c r="G116">
        <v>0</v>
      </c>
      <c r="H116">
        <v>0</v>
      </c>
      <c r="I116">
        <v>0</v>
      </c>
      <c r="J116">
        <v>0</v>
      </c>
      <c r="K116">
        <v>0</v>
      </c>
      <c r="L116">
        <v>0</v>
      </c>
      <c r="M116">
        <v>0</v>
      </c>
      <c r="N116">
        <v>0</v>
      </c>
      <c r="O116">
        <v>0</v>
      </c>
      <c r="P116">
        <v>0</v>
      </c>
      <c r="Q116" t="str">
        <f>INDEX('Partner data'!A:DH,MATCH(C116,'Partner data'!DG:DG,0),83)</f>
        <v xml:space="preserve">Organismo di diritto pubblico </v>
      </c>
      <c r="R116" t="b">
        <f>IF(E116="staff",IF(INDEX('Partner data'!A:DH,MATCH(C116,'Partner data'!DG:DG,0),112)="BL1 non presente","FALSO",INDEX('Partner data'!A:DH,MATCH(C116,'Partner data'!DG:DG,0),112)))</f>
        <v>0</v>
      </c>
      <c r="S116" t="b">
        <f t="shared" si="2"/>
        <v>0</v>
      </c>
      <c r="T116" t="b">
        <f t="shared" si="3"/>
        <v>1</v>
      </c>
      <c r="U116" s="154">
        <f>IFERROR(IF(R116&lt;&gt;FALSE,IF(S116=TRUE,INDEX('SummaryNOT_VALIDATED-BL'!$A$1:$F$16,MATCH(R116,'SummaryNOT_VALIDATED-BL'!$A$1:$A$16,0),6),0),IF(S116=TRUE,INDEX('SummaryNOT_VALIDATED-BL'!$A$1:$F$16,MATCH(E116,'SummaryNOT_VALIDATED-BL'!$A$1:$A$16,0),6),0)),0)</f>
        <v>0</v>
      </c>
      <c r="V116" s="81" cm="1">
        <f t="array" ref="V116">INDEX('Weight tables'!$A$24:$C$27,MATCH(1,(RendicontiTrasmessiBL__2[[#This Row],[Cut percentage on real costs + USC]]&gt;='Weight tables'!$B$24:$B$27)*(RendicontiTrasmessiBL__2[[#This Row],[Cut percentage on real costs + USC]]&lt;='Weight tables'!$C$24:$C$27),0),1)</f>
        <v>0</v>
      </c>
      <c r="W116" s="2">
        <f>RendicontiTrasmessiBL__2[[#This Row],[Weight real costs  + USC ]]</f>
        <v>0</v>
      </c>
    </row>
    <row r="117" spans="1:23" x14ac:dyDescent="0.25">
      <c r="A117" s="1" t="s">
        <v>58</v>
      </c>
      <c r="B117" s="1" t="s">
        <v>30</v>
      </c>
      <c r="C117" s="2">
        <v>12</v>
      </c>
      <c r="D117" s="2">
        <v>222</v>
      </c>
      <c r="E117" s="1" t="s">
        <v>236</v>
      </c>
      <c r="G117">
        <v>0</v>
      </c>
      <c r="H117">
        <v>0</v>
      </c>
      <c r="I117">
        <v>0</v>
      </c>
      <c r="J117">
        <v>0</v>
      </c>
      <c r="K117">
        <v>0</v>
      </c>
      <c r="L117">
        <v>0</v>
      </c>
      <c r="M117">
        <v>0</v>
      </c>
      <c r="N117">
        <v>0</v>
      </c>
      <c r="O117">
        <v>0</v>
      </c>
      <c r="P117">
        <v>0</v>
      </c>
      <c r="Q117" t="str">
        <f>INDEX('Partner data'!A:DH,MATCH(C117,'Partner data'!DG:DG,0),83)</f>
        <v xml:space="preserve">Organismo di diritto pubblico </v>
      </c>
      <c r="R117" t="b">
        <f>IF(E117="staff",IF(INDEX('Partner data'!A:DH,MATCH(C117,'Partner data'!DG:DG,0),112)="BL1 non presente","FALSO",INDEX('Partner data'!A:DH,MATCH(C117,'Partner data'!DG:DG,0),112)))</f>
        <v>0</v>
      </c>
      <c r="S117" t="b">
        <f t="shared" si="2"/>
        <v>0</v>
      </c>
      <c r="T117" t="b">
        <f t="shared" si="3"/>
        <v>1</v>
      </c>
      <c r="U117" s="154">
        <f>IFERROR(IF(R117&lt;&gt;FALSE,IF(S117=TRUE,INDEX('SummaryNOT_VALIDATED-BL'!$A$1:$F$16,MATCH(R117,'SummaryNOT_VALIDATED-BL'!$A$1:$A$16,0),6),0),IF(S117=TRUE,INDEX('SummaryNOT_VALIDATED-BL'!$A$1:$F$16,MATCH(E117,'SummaryNOT_VALIDATED-BL'!$A$1:$A$16,0),6),0)),0)</f>
        <v>0</v>
      </c>
      <c r="V117" s="81" cm="1">
        <f t="array" ref="V117">INDEX('Weight tables'!$A$24:$C$27,MATCH(1,(RendicontiTrasmessiBL__2[[#This Row],[Cut percentage on real costs + USC]]&gt;='Weight tables'!$B$24:$B$27)*(RendicontiTrasmessiBL__2[[#This Row],[Cut percentage on real costs + USC]]&lt;='Weight tables'!$C$24:$C$27),0),1)</f>
        <v>0</v>
      </c>
      <c r="W117" s="2">
        <f>RendicontiTrasmessiBL__2[[#This Row],[Weight real costs  + USC ]]</f>
        <v>0</v>
      </c>
    </row>
    <row r="118" spans="1:23" x14ac:dyDescent="0.25">
      <c r="A118" s="1" t="s">
        <v>58</v>
      </c>
      <c r="B118" s="1" t="s">
        <v>30</v>
      </c>
      <c r="C118" s="2">
        <v>12</v>
      </c>
      <c r="D118" s="2">
        <v>222</v>
      </c>
      <c r="E118" s="1" t="s">
        <v>237</v>
      </c>
      <c r="G118">
        <v>0</v>
      </c>
      <c r="H118">
        <v>0</v>
      </c>
      <c r="I118">
        <v>0</v>
      </c>
      <c r="J118">
        <v>0</v>
      </c>
      <c r="K118">
        <v>0</v>
      </c>
      <c r="L118">
        <v>0</v>
      </c>
      <c r="M118">
        <v>0</v>
      </c>
      <c r="N118">
        <v>0</v>
      </c>
      <c r="O118">
        <v>0</v>
      </c>
      <c r="P118">
        <v>0</v>
      </c>
      <c r="Q118" t="str">
        <f>INDEX('Partner data'!A:DH,MATCH(C118,'Partner data'!DG:DG,0),83)</f>
        <v xml:space="preserve">Organismo di diritto pubblico </v>
      </c>
      <c r="R118" t="b">
        <f>IF(E118="staff",IF(INDEX('Partner data'!A:DH,MATCH(C118,'Partner data'!DG:DG,0),112)="BL1 non presente","FALSO",INDEX('Partner data'!A:DH,MATCH(C118,'Partner data'!DG:DG,0),112)))</f>
        <v>0</v>
      </c>
      <c r="S118" t="b">
        <f t="shared" si="2"/>
        <v>0</v>
      </c>
      <c r="T118" t="b">
        <f t="shared" si="3"/>
        <v>1</v>
      </c>
      <c r="U118" s="154">
        <f>IFERROR(IF(R118&lt;&gt;FALSE,IF(S118=TRUE,INDEX('SummaryNOT_VALIDATED-BL'!$A$1:$F$16,MATCH(R118,'SummaryNOT_VALIDATED-BL'!$A$1:$A$16,0),6),0),IF(S118=TRUE,INDEX('SummaryNOT_VALIDATED-BL'!$A$1:$F$16,MATCH(E118,'SummaryNOT_VALIDATED-BL'!$A$1:$A$16,0),6),0)),0)</f>
        <v>0</v>
      </c>
      <c r="V118" s="81" cm="1">
        <f t="array" ref="V118">INDEX('Weight tables'!$A$24:$C$27,MATCH(1,(RendicontiTrasmessiBL__2[[#This Row],[Cut percentage on real costs + USC]]&gt;='Weight tables'!$B$24:$B$27)*(RendicontiTrasmessiBL__2[[#This Row],[Cut percentage on real costs + USC]]&lt;='Weight tables'!$C$24:$C$27),0),1)</f>
        <v>0</v>
      </c>
      <c r="W118" s="2">
        <f>RendicontiTrasmessiBL__2[[#This Row],[Weight real costs  + USC ]]</f>
        <v>0</v>
      </c>
    </row>
    <row r="119" spans="1:23" x14ac:dyDescent="0.25">
      <c r="A119" s="1" t="s">
        <v>58</v>
      </c>
      <c r="B119" s="1" t="s">
        <v>30</v>
      </c>
      <c r="C119" s="2">
        <v>12</v>
      </c>
      <c r="D119" s="2">
        <v>74</v>
      </c>
      <c r="E119" s="1" t="s">
        <v>228</v>
      </c>
      <c r="G119">
        <v>105057</v>
      </c>
      <c r="H119">
        <v>0</v>
      </c>
      <c r="I119">
        <v>0</v>
      </c>
      <c r="J119">
        <v>26406</v>
      </c>
      <c r="K119">
        <v>0</v>
      </c>
      <c r="L119">
        <v>26406</v>
      </c>
      <c r="M119">
        <v>26406</v>
      </c>
      <c r="N119">
        <v>25.13</v>
      </c>
      <c r="O119">
        <v>78651</v>
      </c>
      <c r="P119">
        <v>0</v>
      </c>
      <c r="Q119" t="str">
        <f>INDEX('Partner data'!A:DH,MATCH(C119,'Partner data'!DG:DG,0),83)</f>
        <v xml:space="preserve">Organismo di diritto pubblico </v>
      </c>
      <c r="R119" t="str">
        <f>IF(E119="staff",IF(INDEX('Partner data'!A:DH,MATCH(C119,'Partner data'!DG:DG,0),112)="BL1 non presente","FALSO",INDEX('Partner data'!A:DH,MATCH(C119,'Partner data'!DG:DG,0),112)))</f>
        <v>Costo Unitario Standard</v>
      </c>
      <c r="S119" t="b">
        <f t="shared" si="2"/>
        <v>1</v>
      </c>
      <c r="T119" t="b">
        <f t="shared" si="3"/>
        <v>1</v>
      </c>
      <c r="U119" s="154">
        <f>IFERROR(IF(R119&lt;&gt;FALSE,IF(S119=TRUE,INDEX('SummaryNOT_VALIDATED-BL'!$A$1:$F$16,MATCH(R119,'SummaryNOT_VALIDATED-BL'!$A$1:$A$16,0),6),0),IF(S119=TRUE,INDEX('SummaryNOT_VALIDATED-BL'!$A$1:$F$16,MATCH(E119,'SummaryNOT_VALIDATED-BL'!$A$1:$A$16,0),6),0)),0)</f>
        <v>3.2052879635441428E-2</v>
      </c>
      <c r="V119" s="81" cm="1">
        <f t="array" ref="V119">INDEX('Weight tables'!$A$24:$C$27,MATCH(1,(RendicontiTrasmessiBL__2[[#This Row],[Cut percentage on real costs + USC]]&gt;='Weight tables'!$B$24:$B$27)*(RendicontiTrasmessiBL__2[[#This Row],[Cut percentage on real costs + USC]]&lt;='Weight tables'!$C$24:$C$27),0),1)</f>
        <v>2</v>
      </c>
      <c r="W119" s="2">
        <f>RendicontiTrasmessiBL__2[[#This Row],[Weight real costs  + USC ]]</f>
        <v>2</v>
      </c>
    </row>
    <row r="120" spans="1:23" x14ac:dyDescent="0.25">
      <c r="A120" s="1" t="s">
        <v>58</v>
      </c>
      <c r="B120" s="1" t="s">
        <v>30</v>
      </c>
      <c r="C120" s="2">
        <v>12</v>
      </c>
      <c r="D120" s="2">
        <v>74</v>
      </c>
      <c r="E120" s="1" t="s">
        <v>229</v>
      </c>
      <c r="F120">
        <v>15</v>
      </c>
      <c r="G120">
        <v>15758.55</v>
      </c>
      <c r="H120">
        <v>0</v>
      </c>
      <c r="I120">
        <v>0</v>
      </c>
      <c r="J120">
        <v>3960.9</v>
      </c>
      <c r="K120">
        <v>0</v>
      </c>
      <c r="L120">
        <v>3960.9</v>
      </c>
      <c r="M120">
        <v>3960.9</v>
      </c>
      <c r="N120">
        <v>25.13</v>
      </c>
      <c r="O120">
        <v>11797.65</v>
      </c>
      <c r="P120">
        <v>0</v>
      </c>
      <c r="Q120" t="str">
        <f>INDEX('Partner data'!A:DH,MATCH(C120,'Partner data'!DG:DG,0),83)</f>
        <v xml:space="preserve">Organismo di diritto pubblico </v>
      </c>
      <c r="R120" t="b">
        <f>IF(E120="staff",IF(INDEX('Partner data'!A:DH,MATCH(C120,'Partner data'!DG:DG,0),112)="BL1 non presente","FALSO",INDEX('Partner data'!A:DH,MATCH(C120,'Partner data'!DG:DG,0),112)))</f>
        <v>0</v>
      </c>
      <c r="S120" t="b">
        <f t="shared" si="2"/>
        <v>1</v>
      </c>
      <c r="T120" t="b">
        <f t="shared" si="3"/>
        <v>1</v>
      </c>
      <c r="U120" s="154">
        <f>IFERROR(IF(R120&lt;&gt;FALSE,IF(S120=TRUE,INDEX('SummaryNOT_VALIDATED-BL'!$A$1:$F$16,MATCH(R120,'SummaryNOT_VALIDATED-BL'!$A$1:$A$16,0),6),0),IF(S120=TRUE,INDEX('SummaryNOT_VALIDATED-BL'!$A$1:$F$16,MATCH(E120,'SummaryNOT_VALIDATED-BL'!$A$1:$A$16,0),6),0)),0)</f>
        <v>6.6460469504890221E-2</v>
      </c>
      <c r="V120" s="81" cm="1">
        <f t="array" ref="V120">INDEX('Weight tables'!$A$24:$C$27,MATCH(1,(RendicontiTrasmessiBL__2[[#This Row],[Cut percentage on real costs + USC]]&gt;='Weight tables'!$B$24:$B$27)*(RendicontiTrasmessiBL__2[[#This Row],[Cut percentage on real costs + USC]]&lt;='Weight tables'!$C$24:$C$27),0),1)</f>
        <v>4</v>
      </c>
      <c r="W120" s="2">
        <f>RendicontiTrasmessiBL__2[[#This Row],[Weight real costs  + USC ]]</f>
        <v>4</v>
      </c>
    </row>
    <row r="121" spans="1:23" x14ac:dyDescent="0.25">
      <c r="A121" s="1" t="s">
        <v>58</v>
      </c>
      <c r="B121" s="1" t="s">
        <v>30</v>
      </c>
      <c r="C121" s="2">
        <v>12</v>
      </c>
      <c r="D121" s="2">
        <v>74</v>
      </c>
      <c r="E121" s="1" t="s">
        <v>230</v>
      </c>
      <c r="F121">
        <v>4</v>
      </c>
      <c r="G121">
        <v>4202.28</v>
      </c>
      <c r="H121">
        <v>0</v>
      </c>
      <c r="I121">
        <v>0</v>
      </c>
      <c r="J121">
        <v>1056.24</v>
      </c>
      <c r="K121">
        <v>0</v>
      </c>
      <c r="L121">
        <v>1056.24</v>
      </c>
      <c r="M121">
        <v>1056.24</v>
      </c>
      <c r="N121">
        <v>25.13</v>
      </c>
      <c r="O121">
        <v>3146.04</v>
      </c>
      <c r="P121">
        <v>0</v>
      </c>
      <c r="Q121" t="str">
        <f>INDEX('Partner data'!A:DH,MATCH(C121,'Partner data'!DG:DG,0),83)</f>
        <v xml:space="preserve">Organismo di diritto pubblico </v>
      </c>
      <c r="R121" t="b">
        <f>IF(E121="staff",IF(INDEX('Partner data'!A:DH,MATCH(C121,'Partner data'!DG:DG,0),112)="BL1 non presente","FALSO",INDEX('Partner data'!A:DH,MATCH(C121,'Partner data'!DG:DG,0),112)))</f>
        <v>0</v>
      </c>
      <c r="S121" t="b">
        <f t="shared" si="2"/>
        <v>1</v>
      </c>
      <c r="T121" t="b">
        <f t="shared" si="3"/>
        <v>1</v>
      </c>
      <c r="U121" s="154">
        <f>IFERROR(IF(R121&lt;&gt;FALSE,IF(S121=TRUE,INDEX('SummaryNOT_VALIDATED-BL'!$A$1:$F$16,MATCH(R121,'SummaryNOT_VALIDATED-BL'!$A$1:$A$16,0),6),0),IF(S121=TRUE,INDEX('SummaryNOT_VALIDATED-BL'!$A$1:$F$16,MATCH(E121,'SummaryNOT_VALIDATED-BL'!$A$1:$A$16,0),6),0)),0)</f>
        <v>6.3112622236488891E-2</v>
      </c>
      <c r="V121" s="81" cm="1">
        <f t="array" ref="V121">INDEX('Weight tables'!$A$24:$C$27,MATCH(1,(RendicontiTrasmessiBL__2[[#This Row],[Cut percentage on real costs + USC]]&gt;='Weight tables'!$B$24:$B$27)*(RendicontiTrasmessiBL__2[[#This Row],[Cut percentage on real costs + USC]]&lt;='Weight tables'!$C$24:$C$27),0),1)</f>
        <v>4</v>
      </c>
      <c r="W121" s="2">
        <f>RendicontiTrasmessiBL__2[[#This Row],[Weight real costs  + USC ]]</f>
        <v>4</v>
      </c>
    </row>
    <row r="122" spans="1:23" x14ac:dyDescent="0.25">
      <c r="A122" s="1" t="s">
        <v>58</v>
      </c>
      <c r="B122" s="1" t="s">
        <v>30</v>
      </c>
      <c r="C122" s="2">
        <v>12</v>
      </c>
      <c r="D122" s="2">
        <v>74</v>
      </c>
      <c r="E122" s="1" t="s">
        <v>231</v>
      </c>
      <c r="G122">
        <v>809982.17</v>
      </c>
      <c r="H122">
        <v>0</v>
      </c>
      <c r="I122">
        <v>0</v>
      </c>
      <c r="J122">
        <v>6833.2</v>
      </c>
      <c r="K122">
        <v>0</v>
      </c>
      <c r="L122">
        <v>6833.2</v>
      </c>
      <c r="M122">
        <v>6833.2</v>
      </c>
      <c r="N122">
        <v>0.84</v>
      </c>
      <c r="O122">
        <v>803148.97</v>
      </c>
      <c r="P122">
        <v>0</v>
      </c>
      <c r="Q122" t="str">
        <f>INDEX('Partner data'!A:DH,MATCH(C122,'Partner data'!DG:DG,0),83)</f>
        <v xml:space="preserve">Organismo di diritto pubblico </v>
      </c>
      <c r="R122" t="b">
        <f>IF(E122="staff",IF(INDEX('Partner data'!A:DH,MATCH(C122,'Partner data'!DG:DG,0),112)="BL1 non presente","FALSO",INDEX('Partner data'!A:DH,MATCH(C122,'Partner data'!DG:DG,0),112)))</f>
        <v>0</v>
      </c>
      <c r="S122" t="b">
        <f t="shared" si="2"/>
        <v>1</v>
      </c>
      <c r="T122" t="b">
        <f t="shared" si="3"/>
        <v>1</v>
      </c>
      <c r="U122" s="154">
        <f>IFERROR(IF(R122&lt;&gt;FALSE,IF(S122=TRUE,INDEX('SummaryNOT_VALIDATED-BL'!$A$1:$F$16,MATCH(R122,'SummaryNOT_VALIDATED-BL'!$A$1:$A$16,0),6),0),IF(S122=TRUE,INDEX('SummaryNOT_VALIDATED-BL'!$A$1:$F$16,MATCH(E122,'SummaryNOT_VALIDATED-BL'!$A$1:$A$16,0),6),0)),0)</f>
        <v>5.577594442215475E-2</v>
      </c>
      <c r="V122" s="81" cm="1">
        <f t="array" ref="V122">INDEX('Weight tables'!$A$24:$C$27,MATCH(1,(RendicontiTrasmessiBL__2[[#This Row],[Cut percentage on real costs + USC]]&gt;='Weight tables'!$B$24:$B$27)*(RendicontiTrasmessiBL__2[[#This Row],[Cut percentage on real costs + USC]]&lt;='Weight tables'!$C$24:$C$27),0),1)</f>
        <v>4</v>
      </c>
      <c r="W122" s="2">
        <f>RendicontiTrasmessiBL__2[[#This Row],[Weight real costs  + USC ]]</f>
        <v>4</v>
      </c>
    </row>
    <row r="123" spans="1:23" x14ac:dyDescent="0.25">
      <c r="A123" s="1" t="s">
        <v>58</v>
      </c>
      <c r="B123" s="1" t="s">
        <v>30</v>
      </c>
      <c r="C123" s="2">
        <v>12</v>
      </c>
      <c r="D123" s="2">
        <v>74</v>
      </c>
      <c r="E123" s="1" t="s">
        <v>232</v>
      </c>
      <c r="G123">
        <v>10000</v>
      </c>
      <c r="H123">
        <v>0</v>
      </c>
      <c r="I123">
        <v>0</v>
      </c>
      <c r="J123">
        <v>0</v>
      </c>
      <c r="K123">
        <v>0</v>
      </c>
      <c r="L123">
        <v>0</v>
      </c>
      <c r="M123">
        <v>0</v>
      </c>
      <c r="N123">
        <v>0</v>
      </c>
      <c r="O123">
        <v>10000</v>
      </c>
      <c r="P123">
        <v>0</v>
      </c>
      <c r="Q123" t="str">
        <f>INDEX('Partner data'!A:DH,MATCH(C123,'Partner data'!DG:DG,0),83)</f>
        <v xml:space="preserve">Organismo di diritto pubblico </v>
      </c>
      <c r="R123" t="b">
        <f>IF(E123="staff",IF(INDEX('Partner data'!A:DH,MATCH(C123,'Partner data'!DG:DG,0),112)="BL1 non presente","FALSO",INDEX('Partner data'!A:DH,MATCH(C123,'Partner data'!DG:DG,0),112)))</f>
        <v>0</v>
      </c>
      <c r="S123" t="b">
        <f t="shared" si="2"/>
        <v>0</v>
      </c>
      <c r="T123" t="b">
        <f t="shared" si="3"/>
        <v>1</v>
      </c>
      <c r="U123" s="154">
        <f>IFERROR(IF(R123&lt;&gt;FALSE,IF(S123=TRUE,INDEX('SummaryNOT_VALIDATED-BL'!$A$1:$F$16,MATCH(R123,'SummaryNOT_VALIDATED-BL'!$A$1:$A$16,0),6),0),IF(S123=TRUE,INDEX('SummaryNOT_VALIDATED-BL'!$A$1:$F$16,MATCH(E123,'SummaryNOT_VALIDATED-BL'!$A$1:$A$16,0),6),0)),0)</f>
        <v>0</v>
      </c>
      <c r="V123" s="81" cm="1">
        <f t="array" ref="V123">INDEX('Weight tables'!$A$24:$C$27,MATCH(1,(RendicontiTrasmessiBL__2[[#This Row],[Cut percentage on real costs + USC]]&gt;='Weight tables'!$B$24:$B$27)*(RendicontiTrasmessiBL__2[[#This Row],[Cut percentage on real costs + USC]]&lt;='Weight tables'!$C$24:$C$27),0),1)</f>
        <v>0</v>
      </c>
      <c r="W123" s="2">
        <f>RendicontiTrasmessiBL__2[[#This Row],[Weight real costs  + USC ]]</f>
        <v>0</v>
      </c>
    </row>
    <row r="124" spans="1:23" x14ac:dyDescent="0.25">
      <c r="A124" s="1" t="s">
        <v>58</v>
      </c>
      <c r="B124" s="1" t="s">
        <v>30</v>
      </c>
      <c r="C124" s="2">
        <v>12</v>
      </c>
      <c r="D124" s="2">
        <v>74</v>
      </c>
      <c r="E124" s="1" t="s">
        <v>233</v>
      </c>
      <c r="G124">
        <v>0</v>
      </c>
      <c r="H124">
        <v>0</v>
      </c>
      <c r="I124">
        <v>0</v>
      </c>
      <c r="J124">
        <v>0</v>
      </c>
      <c r="K124">
        <v>0</v>
      </c>
      <c r="L124">
        <v>0</v>
      </c>
      <c r="M124">
        <v>0</v>
      </c>
      <c r="N124">
        <v>0</v>
      </c>
      <c r="O124">
        <v>0</v>
      </c>
      <c r="P124">
        <v>0</v>
      </c>
      <c r="Q124" t="str">
        <f>INDEX('Partner data'!A:DH,MATCH(C124,'Partner data'!DG:DG,0),83)</f>
        <v xml:space="preserve">Organismo di diritto pubblico </v>
      </c>
      <c r="R124" t="b">
        <f>IF(E124="staff",IF(INDEX('Partner data'!A:DH,MATCH(C124,'Partner data'!DG:DG,0),112)="BL1 non presente","FALSO",INDEX('Partner data'!A:DH,MATCH(C124,'Partner data'!DG:DG,0),112)))</f>
        <v>0</v>
      </c>
      <c r="S124" t="b">
        <f t="shared" si="2"/>
        <v>0</v>
      </c>
      <c r="T124" t="b">
        <f t="shared" si="3"/>
        <v>1</v>
      </c>
      <c r="U124" s="154">
        <f>IFERROR(IF(R124&lt;&gt;FALSE,IF(S124=TRUE,INDEX('SummaryNOT_VALIDATED-BL'!$A$1:$F$16,MATCH(R124,'SummaryNOT_VALIDATED-BL'!$A$1:$A$16,0),6),0),IF(S124=TRUE,INDEX('SummaryNOT_VALIDATED-BL'!$A$1:$F$16,MATCH(E124,'SummaryNOT_VALIDATED-BL'!$A$1:$A$16,0),6),0)),0)</f>
        <v>0</v>
      </c>
      <c r="V124" s="81" cm="1">
        <f t="array" ref="V124">INDEX('Weight tables'!$A$24:$C$27,MATCH(1,(RendicontiTrasmessiBL__2[[#This Row],[Cut percentage on real costs + USC]]&gt;='Weight tables'!$B$24:$B$27)*(RendicontiTrasmessiBL__2[[#This Row],[Cut percentage on real costs + USC]]&lt;='Weight tables'!$C$24:$C$27),0),1)</f>
        <v>0</v>
      </c>
      <c r="W124" s="2">
        <f>RendicontiTrasmessiBL__2[[#This Row],[Weight real costs  + USC ]]</f>
        <v>0</v>
      </c>
    </row>
    <row r="125" spans="1:23" x14ac:dyDescent="0.25">
      <c r="A125" s="1" t="s">
        <v>58</v>
      </c>
      <c r="B125" s="1" t="s">
        <v>30</v>
      </c>
      <c r="C125" s="2">
        <v>12</v>
      </c>
      <c r="D125" s="2">
        <v>74</v>
      </c>
      <c r="E125" s="1" t="s">
        <v>234</v>
      </c>
      <c r="G125">
        <v>0</v>
      </c>
      <c r="H125">
        <v>0</v>
      </c>
      <c r="I125">
        <v>0</v>
      </c>
      <c r="J125">
        <v>0</v>
      </c>
      <c r="K125">
        <v>0</v>
      </c>
      <c r="L125">
        <v>0</v>
      </c>
      <c r="M125">
        <v>0</v>
      </c>
      <c r="N125">
        <v>0</v>
      </c>
      <c r="O125">
        <v>0</v>
      </c>
      <c r="P125">
        <v>0</v>
      </c>
      <c r="Q125" t="str">
        <f>INDEX('Partner data'!A:DH,MATCH(C125,'Partner data'!DG:DG,0),83)</f>
        <v xml:space="preserve">Organismo di diritto pubblico </v>
      </c>
      <c r="R125" t="b">
        <f>IF(E125="staff",IF(INDEX('Partner data'!A:DH,MATCH(C125,'Partner data'!DG:DG,0),112)="BL1 non presente","FALSO",INDEX('Partner data'!A:DH,MATCH(C125,'Partner data'!DG:DG,0),112)))</f>
        <v>0</v>
      </c>
      <c r="S125" t="b">
        <f t="shared" si="2"/>
        <v>0</v>
      </c>
      <c r="T125" t="b">
        <f t="shared" si="3"/>
        <v>1</v>
      </c>
      <c r="U125" s="154">
        <f>IFERROR(IF(R125&lt;&gt;FALSE,IF(S125=TRUE,INDEX('SummaryNOT_VALIDATED-BL'!$A$1:$F$16,MATCH(R125,'SummaryNOT_VALIDATED-BL'!$A$1:$A$16,0),6),0),IF(S125=TRUE,INDEX('SummaryNOT_VALIDATED-BL'!$A$1:$F$16,MATCH(E125,'SummaryNOT_VALIDATED-BL'!$A$1:$A$16,0),6),0)),0)</f>
        <v>0</v>
      </c>
      <c r="V125" s="81" cm="1">
        <f t="array" ref="V125">INDEX('Weight tables'!$A$24:$C$27,MATCH(1,(RendicontiTrasmessiBL__2[[#This Row],[Cut percentage on real costs + USC]]&gt;='Weight tables'!$B$24:$B$27)*(RendicontiTrasmessiBL__2[[#This Row],[Cut percentage on real costs + USC]]&lt;='Weight tables'!$C$24:$C$27),0),1)</f>
        <v>0</v>
      </c>
      <c r="W125" s="2">
        <f>RendicontiTrasmessiBL__2[[#This Row],[Weight real costs  + USC ]]</f>
        <v>0</v>
      </c>
    </row>
    <row r="126" spans="1:23" x14ac:dyDescent="0.25">
      <c r="A126" s="1" t="s">
        <v>58</v>
      </c>
      <c r="B126" s="1" t="s">
        <v>30</v>
      </c>
      <c r="C126" s="2">
        <v>12</v>
      </c>
      <c r="D126" s="2">
        <v>74</v>
      </c>
      <c r="E126" s="1" t="s">
        <v>236</v>
      </c>
      <c r="G126">
        <v>0</v>
      </c>
      <c r="H126">
        <v>0</v>
      </c>
      <c r="I126">
        <v>0</v>
      </c>
      <c r="J126">
        <v>0</v>
      </c>
      <c r="K126">
        <v>0</v>
      </c>
      <c r="L126">
        <v>0</v>
      </c>
      <c r="M126">
        <v>0</v>
      </c>
      <c r="N126">
        <v>0</v>
      </c>
      <c r="O126">
        <v>0</v>
      </c>
      <c r="P126">
        <v>0</v>
      </c>
      <c r="Q126" t="str">
        <f>INDEX('Partner data'!A:DH,MATCH(C126,'Partner data'!DG:DG,0),83)</f>
        <v xml:space="preserve">Organismo di diritto pubblico </v>
      </c>
      <c r="R126" t="b">
        <f>IF(E126="staff",IF(INDEX('Partner data'!A:DH,MATCH(C126,'Partner data'!DG:DG,0),112)="BL1 non presente","FALSO",INDEX('Partner data'!A:DH,MATCH(C126,'Partner data'!DG:DG,0),112)))</f>
        <v>0</v>
      </c>
      <c r="S126" t="b">
        <f t="shared" si="2"/>
        <v>0</v>
      </c>
      <c r="T126" t="b">
        <f t="shared" si="3"/>
        <v>1</v>
      </c>
      <c r="U126" s="154">
        <f>IFERROR(IF(R126&lt;&gt;FALSE,IF(S126=TRUE,INDEX('SummaryNOT_VALIDATED-BL'!$A$1:$F$16,MATCH(R126,'SummaryNOT_VALIDATED-BL'!$A$1:$A$16,0),6),0),IF(S126=TRUE,INDEX('SummaryNOT_VALIDATED-BL'!$A$1:$F$16,MATCH(E126,'SummaryNOT_VALIDATED-BL'!$A$1:$A$16,0),6),0)),0)</f>
        <v>0</v>
      </c>
      <c r="V126" s="81" cm="1">
        <f t="array" ref="V126">INDEX('Weight tables'!$A$24:$C$27,MATCH(1,(RendicontiTrasmessiBL__2[[#This Row],[Cut percentage on real costs + USC]]&gt;='Weight tables'!$B$24:$B$27)*(RendicontiTrasmessiBL__2[[#This Row],[Cut percentage on real costs + USC]]&lt;='Weight tables'!$C$24:$C$27),0),1)</f>
        <v>0</v>
      </c>
      <c r="W126" s="2">
        <f>RendicontiTrasmessiBL__2[[#This Row],[Weight real costs  + USC ]]</f>
        <v>0</v>
      </c>
    </row>
    <row r="127" spans="1:23" x14ac:dyDescent="0.25">
      <c r="A127" s="1" t="s">
        <v>58</v>
      </c>
      <c r="B127" s="1" t="s">
        <v>30</v>
      </c>
      <c r="C127" s="2">
        <v>12</v>
      </c>
      <c r="D127" s="2">
        <v>74</v>
      </c>
      <c r="E127" s="1" t="s">
        <v>237</v>
      </c>
      <c r="G127">
        <v>0</v>
      </c>
      <c r="H127">
        <v>0</v>
      </c>
      <c r="I127">
        <v>0</v>
      </c>
      <c r="J127">
        <v>0</v>
      </c>
      <c r="K127">
        <v>0</v>
      </c>
      <c r="L127">
        <v>0</v>
      </c>
      <c r="M127">
        <v>0</v>
      </c>
      <c r="N127">
        <v>0</v>
      </c>
      <c r="O127">
        <v>0</v>
      </c>
      <c r="P127">
        <v>0</v>
      </c>
      <c r="Q127" t="str">
        <f>INDEX('Partner data'!A:DH,MATCH(C127,'Partner data'!DG:DG,0),83)</f>
        <v xml:space="preserve">Organismo di diritto pubblico </v>
      </c>
      <c r="R127" t="b">
        <f>IF(E127="staff",IF(INDEX('Partner data'!A:DH,MATCH(C127,'Partner data'!DG:DG,0),112)="BL1 non presente","FALSO",INDEX('Partner data'!A:DH,MATCH(C127,'Partner data'!DG:DG,0),112)))</f>
        <v>0</v>
      </c>
      <c r="S127" t="b">
        <f t="shared" si="2"/>
        <v>0</v>
      </c>
      <c r="T127" t="b">
        <f t="shared" si="3"/>
        <v>1</v>
      </c>
      <c r="U127" s="154">
        <f>IFERROR(IF(R127&lt;&gt;FALSE,IF(S127=TRUE,INDEX('SummaryNOT_VALIDATED-BL'!$A$1:$F$16,MATCH(R127,'SummaryNOT_VALIDATED-BL'!$A$1:$A$16,0),6),0),IF(S127=TRUE,INDEX('SummaryNOT_VALIDATED-BL'!$A$1:$F$16,MATCH(E127,'SummaryNOT_VALIDATED-BL'!$A$1:$A$16,0),6),0)),0)</f>
        <v>0</v>
      </c>
      <c r="V127" s="81" cm="1">
        <f t="array" ref="V127">INDEX('Weight tables'!$A$24:$C$27,MATCH(1,(RendicontiTrasmessiBL__2[[#This Row],[Cut percentage on real costs + USC]]&gt;='Weight tables'!$B$24:$B$27)*(RendicontiTrasmessiBL__2[[#This Row],[Cut percentage on real costs + USC]]&lt;='Weight tables'!$C$24:$C$27),0),1)</f>
        <v>0</v>
      </c>
      <c r="W127" s="2">
        <f>RendicontiTrasmessiBL__2[[#This Row],[Weight real costs  + USC ]]</f>
        <v>0</v>
      </c>
    </row>
    <row r="128" spans="1:23" x14ac:dyDescent="0.25">
      <c r="A128" s="1" t="s">
        <v>71</v>
      </c>
      <c r="B128" s="1" t="s">
        <v>301</v>
      </c>
      <c r="C128" s="2">
        <v>156</v>
      </c>
      <c r="D128" s="2">
        <v>169</v>
      </c>
      <c r="E128" s="1" t="s">
        <v>228</v>
      </c>
      <c r="G128">
        <v>32004</v>
      </c>
      <c r="H128">
        <v>0</v>
      </c>
      <c r="I128">
        <v>0</v>
      </c>
      <c r="J128">
        <v>6080</v>
      </c>
      <c r="K128">
        <v>0</v>
      </c>
      <c r="L128">
        <v>0</v>
      </c>
      <c r="M128">
        <v>6080</v>
      </c>
      <c r="N128">
        <v>19</v>
      </c>
      <c r="O128">
        <v>25924</v>
      </c>
      <c r="P128">
        <v>0</v>
      </c>
      <c r="Q128" t="str">
        <f>INDEX('Partner data'!A:DH,MATCH(C128,'Partner data'!DG:DG,0),83)</f>
        <v>Soggetto privato</v>
      </c>
      <c r="R128" t="str">
        <f>IF(E128="staff",IF(INDEX('Partner data'!A:DH,MATCH(C128,'Partner data'!DG:DG,0),112)="BL1 non presente","FALSO",INDEX('Partner data'!A:DH,MATCH(C128,'Partner data'!DG:DG,0),112)))</f>
        <v>Costo Unitario Standard</v>
      </c>
      <c r="S128" t="b">
        <f t="shared" si="2"/>
        <v>1</v>
      </c>
      <c r="T128" t="b">
        <f t="shared" si="3"/>
        <v>0</v>
      </c>
      <c r="U128" s="154">
        <f>IFERROR(IF(R128&lt;&gt;FALSE,IF(S128=TRUE,INDEX('SummaryNOT_VALIDATED-BL'!$A$1:$F$16,MATCH(R128,'SummaryNOT_VALIDATED-BL'!$A$1:$A$16,0),6),0),IF(S128=TRUE,INDEX('SummaryNOT_VALIDATED-BL'!$A$1:$F$16,MATCH(E128,'SummaryNOT_VALIDATED-BL'!$A$1:$A$16,0),6),0)),0)</f>
        <v>3.2052879635441428E-2</v>
      </c>
      <c r="V128" s="81" cm="1">
        <f t="array" ref="V128">INDEX('Weight tables'!$A$24:$C$27,MATCH(1,(RendicontiTrasmessiBL__2[[#This Row],[Cut percentage on real costs + USC]]&gt;='Weight tables'!$B$24:$B$27)*(RendicontiTrasmessiBL__2[[#This Row],[Cut percentage on real costs + USC]]&lt;='Weight tables'!$C$24:$C$27),0),1)</f>
        <v>2</v>
      </c>
      <c r="W128" s="2">
        <f>RendicontiTrasmessiBL__2[[#This Row],[Weight real costs  + USC ]]</f>
        <v>2</v>
      </c>
    </row>
    <row r="129" spans="1:23" x14ac:dyDescent="0.25">
      <c r="A129" s="1" t="s">
        <v>71</v>
      </c>
      <c r="B129" s="1" t="s">
        <v>301</v>
      </c>
      <c r="C129" s="2">
        <v>156</v>
      </c>
      <c r="D129" s="2">
        <v>169</v>
      </c>
      <c r="E129" s="1" t="s">
        <v>229</v>
      </c>
      <c r="F129">
        <v>15</v>
      </c>
      <c r="G129">
        <v>4800.6000000000004</v>
      </c>
      <c r="H129">
        <v>0</v>
      </c>
      <c r="I129">
        <v>0</v>
      </c>
      <c r="J129">
        <v>912</v>
      </c>
      <c r="K129">
        <v>0</v>
      </c>
      <c r="L129">
        <v>0</v>
      </c>
      <c r="M129">
        <v>912</v>
      </c>
      <c r="N129">
        <v>19</v>
      </c>
      <c r="O129">
        <v>3888.6</v>
      </c>
      <c r="P129">
        <v>0</v>
      </c>
      <c r="Q129" t="str">
        <f>INDEX('Partner data'!A:DH,MATCH(C129,'Partner data'!DG:DG,0),83)</f>
        <v>Soggetto privato</v>
      </c>
      <c r="R129" t="b">
        <f>IF(E129="staff",IF(INDEX('Partner data'!A:DH,MATCH(C129,'Partner data'!DG:DG,0),112)="BL1 non presente","FALSO",INDEX('Partner data'!A:DH,MATCH(C129,'Partner data'!DG:DG,0),112)))</f>
        <v>0</v>
      </c>
      <c r="S129" t="b">
        <f t="shared" si="2"/>
        <v>1</v>
      </c>
      <c r="T129" t="b">
        <f t="shared" si="3"/>
        <v>0</v>
      </c>
      <c r="U129" s="154">
        <f>IFERROR(IF(R129&lt;&gt;FALSE,IF(S129=TRUE,INDEX('SummaryNOT_VALIDATED-BL'!$A$1:$F$16,MATCH(R129,'SummaryNOT_VALIDATED-BL'!$A$1:$A$16,0),6),0),IF(S129=TRUE,INDEX('SummaryNOT_VALIDATED-BL'!$A$1:$F$16,MATCH(E129,'SummaryNOT_VALIDATED-BL'!$A$1:$A$16,0),6),0)),0)</f>
        <v>6.6460469504890221E-2</v>
      </c>
      <c r="V129" s="81" cm="1">
        <f t="array" ref="V129">INDEX('Weight tables'!$A$24:$C$27,MATCH(1,(RendicontiTrasmessiBL__2[[#This Row],[Cut percentage on real costs + USC]]&gt;='Weight tables'!$B$24:$B$27)*(RendicontiTrasmessiBL__2[[#This Row],[Cut percentage on real costs + USC]]&lt;='Weight tables'!$C$24:$C$27),0),1)</f>
        <v>4</v>
      </c>
      <c r="W129" s="2">
        <f>RendicontiTrasmessiBL__2[[#This Row],[Weight real costs  + USC ]]</f>
        <v>4</v>
      </c>
    </row>
    <row r="130" spans="1:23" x14ac:dyDescent="0.25">
      <c r="A130" s="1" t="s">
        <v>71</v>
      </c>
      <c r="B130" s="1" t="s">
        <v>301</v>
      </c>
      <c r="C130" s="2">
        <v>156</v>
      </c>
      <c r="D130" s="2">
        <v>169</v>
      </c>
      <c r="E130" s="1" t="s">
        <v>230</v>
      </c>
      <c r="G130">
        <v>0</v>
      </c>
      <c r="H130">
        <v>0</v>
      </c>
      <c r="I130">
        <v>0</v>
      </c>
      <c r="J130">
        <v>0</v>
      </c>
      <c r="K130">
        <v>0</v>
      </c>
      <c r="L130">
        <v>0</v>
      </c>
      <c r="M130">
        <v>0</v>
      </c>
      <c r="N130">
        <v>0</v>
      </c>
      <c r="O130">
        <v>0</v>
      </c>
      <c r="P130">
        <v>0</v>
      </c>
      <c r="Q130" t="str">
        <f>INDEX('Partner data'!A:DH,MATCH(C130,'Partner data'!DG:DG,0),83)</f>
        <v>Soggetto privato</v>
      </c>
      <c r="R130" t="b">
        <f>IF(E130="staff",IF(INDEX('Partner data'!A:DH,MATCH(C130,'Partner data'!DG:DG,0),112)="BL1 non presente","FALSO",INDEX('Partner data'!A:DH,MATCH(C130,'Partner data'!DG:DG,0),112)))</f>
        <v>0</v>
      </c>
      <c r="S130" t="b">
        <f t="shared" ref="S130:S193" si="4">IF(J130&lt;&gt;0,TRUE,FALSE)</f>
        <v>0</v>
      </c>
      <c r="T130" t="b">
        <f t="shared" ref="T130:T193" si="5">OR(Q130="Soggetto pubblico",Q130="Organismo di diritto pubblico ")</f>
        <v>0</v>
      </c>
      <c r="U130" s="154">
        <f>IFERROR(IF(R130&lt;&gt;FALSE,IF(S130=TRUE,INDEX('SummaryNOT_VALIDATED-BL'!$A$1:$F$16,MATCH(R130,'SummaryNOT_VALIDATED-BL'!$A$1:$A$16,0),6),0),IF(S130=TRUE,INDEX('SummaryNOT_VALIDATED-BL'!$A$1:$F$16,MATCH(E130,'SummaryNOT_VALIDATED-BL'!$A$1:$A$16,0),6),0)),0)</f>
        <v>0</v>
      </c>
      <c r="V130" s="81" cm="1">
        <f t="array" ref="V130">INDEX('Weight tables'!$A$24:$C$27,MATCH(1,(RendicontiTrasmessiBL__2[[#This Row],[Cut percentage on real costs + USC]]&gt;='Weight tables'!$B$24:$B$27)*(RendicontiTrasmessiBL__2[[#This Row],[Cut percentage on real costs + USC]]&lt;='Weight tables'!$C$24:$C$27),0),1)</f>
        <v>0</v>
      </c>
      <c r="W130" s="2">
        <f>RendicontiTrasmessiBL__2[[#This Row],[Weight real costs  + USC ]]</f>
        <v>0</v>
      </c>
    </row>
    <row r="131" spans="1:23" x14ac:dyDescent="0.25">
      <c r="A131" s="1" t="s">
        <v>71</v>
      </c>
      <c r="B131" s="1" t="s">
        <v>301</v>
      </c>
      <c r="C131" s="2">
        <v>156</v>
      </c>
      <c r="D131" s="2">
        <v>169</v>
      </c>
      <c r="E131" s="1" t="s">
        <v>231</v>
      </c>
      <c r="G131">
        <v>53000</v>
      </c>
      <c r="H131">
        <v>0</v>
      </c>
      <c r="I131">
        <v>0</v>
      </c>
      <c r="J131">
        <v>2474.9899999999998</v>
      </c>
      <c r="K131">
        <v>0</v>
      </c>
      <c r="L131">
        <v>0</v>
      </c>
      <c r="M131">
        <v>2474.9899999999998</v>
      </c>
      <c r="N131">
        <v>4.67</v>
      </c>
      <c r="O131">
        <v>50525.01</v>
      </c>
      <c r="P131">
        <v>0</v>
      </c>
      <c r="Q131" t="str">
        <f>INDEX('Partner data'!A:DH,MATCH(C131,'Partner data'!DG:DG,0),83)</f>
        <v>Soggetto privato</v>
      </c>
      <c r="R131" t="b">
        <f>IF(E131="staff",IF(INDEX('Partner data'!A:DH,MATCH(C131,'Partner data'!DG:DG,0),112)="BL1 non presente","FALSO",INDEX('Partner data'!A:DH,MATCH(C131,'Partner data'!DG:DG,0),112)))</f>
        <v>0</v>
      </c>
      <c r="S131" t="b">
        <f t="shared" si="4"/>
        <v>1</v>
      </c>
      <c r="T131" t="b">
        <f t="shared" si="5"/>
        <v>0</v>
      </c>
      <c r="U131" s="154">
        <f>IFERROR(IF(R131&lt;&gt;FALSE,IF(S131=TRUE,INDEX('SummaryNOT_VALIDATED-BL'!$A$1:$F$16,MATCH(R131,'SummaryNOT_VALIDATED-BL'!$A$1:$A$16,0),6),0),IF(S131=TRUE,INDEX('SummaryNOT_VALIDATED-BL'!$A$1:$F$16,MATCH(E131,'SummaryNOT_VALIDATED-BL'!$A$1:$A$16,0),6),0)),0)</f>
        <v>5.577594442215475E-2</v>
      </c>
      <c r="V131" s="81" cm="1">
        <f t="array" ref="V131">INDEX('Weight tables'!$A$24:$C$27,MATCH(1,(RendicontiTrasmessiBL__2[[#This Row],[Cut percentage on real costs + USC]]&gt;='Weight tables'!$B$24:$B$27)*(RendicontiTrasmessiBL__2[[#This Row],[Cut percentage on real costs + USC]]&lt;='Weight tables'!$C$24:$C$27),0),1)</f>
        <v>4</v>
      </c>
      <c r="W131" s="2">
        <f>RendicontiTrasmessiBL__2[[#This Row],[Weight real costs  + USC ]]</f>
        <v>4</v>
      </c>
    </row>
    <row r="132" spans="1:23" x14ac:dyDescent="0.25">
      <c r="A132" s="1" t="s">
        <v>71</v>
      </c>
      <c r="B132" s="1" t="s">
        <v>301</v>
      </c>
      <c r="C132" s="2">
        <v>156</v>
      </c>
      <c r="D132" s="2">
        <v>169</v>
      </c>
      <c r="E132" s="1" t="s">
        <v>232</v>
      </c>
      <c r="G132">
        <v>0</v>
      </c>
      <c r="H132">
        <v>0</v>
      </c>
      <c r="I132">
        <v>0</v>
      </c>
      <c r="J132">
        <v>0</v>
      </c>
      <c r="K132">
        <v>0</v>
      </c>
      <c r="L132">
        <v>0</v>
      </c>
      <c r="M132">
        <v>0</v>
      </c>
      <c r="N132">
        <v>0</v>
      </c>
      <c r="O132">
        <v>0</v>
      </c>
      <c r="P132">
        <v>0</v>
      </c>
      <c r="Q132" t="str">
        <f>INDEX('Partner data'!A:DH,MATCH(C132,'Partner data'!DG:DG,0),83)</f>
        <v>Soggetto privato</v>
      </c>
      <c r="R132" t="b">
        <f>IF(E132="staff",IF(INDEX('Partner data'!A:DH,MATCH(C132,'Partner data'!DG:DG,0),112)="BL1 non presente","FALSO",INDEX('Partner data'!A:DH,MATCH(C132,'Partner data'!DG:DG,0),112)))</f>
        <v>0</v>
      </c>
      <c r="S132" t="b">
        <f t="shared" si="4"/>
        <v>0</v>
      </c>
      <c r="T132" t="b">
        <f t="shared" si="5"/>
        <v>0</v>
      </c>
      <c r="U132" s="154">
        <f>IFERROR(IF(R132&lt;&gt;FALSE,IF(S132=TRUE,INDEX('SummaryNOT_VALIDATED-BL'!$A$1:$F$16,MATCH(R132,'SummaryNOT_VALIDATED-BL'!$A$1:$A$16,0),6),0),IF(S132=TRUE,INDEX('SummaryNOT_VALIDATED-BL'!$A$1:$F$16,MATCH(E132,'SummaryNOT_VALIDATED-BL'!$A$1:$A$16,0),6),0)),0)</f>
        <v>0</v>
      </c>
      <c r="V132" s="81" cm="1">
        <f t="array" ref="V132">INDEX('Weight tables'!$A$24:$C$27,MATCH(1,(RendicontiTrasmessiBL__2[[#This Row],[Cut percentage on real costs + USC]]&gt;='Weight tables'!$B$24:$B$27)*(RendicontiTrasmessiBL__2[[#This Row],[Cut percentage on real costs + USC]]&lt;='Weight tables'!$C$24:$C$27),0),1)</f>
        <v>0</v>
      </c>
      <c r="W132" s="2">
        <f>RendicontiTrasmessiBL__2[[#This Row],[Weight real costs  + USC ]]</f>
        <v>0</v>
      </c>
    </row>
    <row r="133" spans="1:23" x14ac:dyDescent="0.25">
      <c r="A133" s="1" t="s">
        <v>71</v>
      </c>
      <c r="B133" s="1" t="s">
        <v>301</v>
      </c>
      <c r="C133" s="2">
        <v>156</v>
      </c>
      <c r="D133" s="2">
        <v>169</v>
      </c>
      <c r="E133" s="1" t="s">
        <v>233</v>
      </c>
      <c r="G133">
        <v>0</v>
      </c>
      <c r="H133">
        <v>0</v>
      </c>
      <c r="I133">
        <v>0</v>
      </c>
      <c r="J133">
        <v>0</v>
      </c>
      <c r="K133">
        <v>0</v>
      </c>
      <c r="L133">
        <v>0</v>
      </c>
      <c r="M133">
        <v>0</v>
      </c>
      <c r="N133">
        <v>0</v>
      </c>
      <c r="O133">
        <v>0</v>
      </c>
      <c r="P133">
        <v>0</v>
      </c>
      <c r="Q133" t="str">
        <f>INDEX('Partner data'!A:DH,MATCH(C133,'Partner data'!DG:DG,0),83)</f>
        <v>Soggetto privato</v>
      </c>
      <c r="R133" t="b">
        <f>IF(E133="staff",IF(INDEX('Partner data'!A:DH,MATCH(C133,'Partner data'!DG:DG,0),112)="BL1 non presente","FALSO",INDEX('Partner data'!A:DH,MATCH(C133,'Partner data'!DG:DG,0),112)))</f>
        <v>0</v>
      </c>
      <c r="S133" t="b">
        <f t="shared" si="4"/>
        <v>0</v>
      </c>
      <c r="T133" t="b">
        <f t="shared" si="5"/>
        <v>0</v>
      </c>
      <c r="U133" s="154">
        <f>IFERROR(IF(R133&lt;&gt;FALSE,IF(S133=TRUE,INDEX('SummaryNOT_VALIDATED-BL'!$A$1:$F$16,MATCH(R133,'SummaryNOT_VALIDATED-BL'!$A$1:$A$16,0),6),0),IF(S133=TRUE,INDEX('SummaryNOT_VALIDATED-BL'!$A$1:$F$16,MATCH(E133,'SummaryNOT_VALIDATED-BL'!$A$1:$A$16,0),6),0)),0)</f>
        <v>0</v>
      </c>
      <c r="V133" s="81" cm="1">
        <f t="array" ref="V133">INDEX('Weight tables'!$A$24:$C$27,MATCH(1,(RendicontiTrasmessiBL__2[[#This Row],[Cut percentage on real costs + USC]]&gt;='Weight tables'!$B$24:$B$27)*(RendicontiTrasmessiBL__2[[#This Row],[Cut percentage on real costs + USC]]&lt;='Weight tables'!$C$24:$C$27),0),1)</f>
        <v>0</v>
      </c>
      <c r="W133" s="2">
        <f>RendicontiTrasmessiBL__2[[#This Row],[Weight real costs  + USC ]]</f>
        <v>0</v>
      </c>
    </row>
    <row r="134" spans="1:23" x14ac:dyDescent="0.25">
      <c r="A134" s="1" t="s">
        <v>71</v>
      </c>
      <c r="B134" s="1" t="s">
        <v>301</v>
      </c>
      <c r="C134" s="2">
        <v>156</v>
      </c>
      <c r="D134" s="2">
        <v>169</v>
      </c>
      <c r="E134" s="1" t="s">
        <v>234</v>
      </c>
      <c r="G134">
        <v>0</v>
      </c>
      <c r="H134">
        <v>0</v>
      </c>
      <c r="I134">
        <v>0</v>
      </c>
      <c r="J134">
        <v>0</v>
      </c>
      <c r="K134">
        <v>0</v>
      </c>
      <c r="L134">
        <v>0</v>
      </c>
      <c r="M134">
        <v>0</v>
      </c>
      <c r="N134">
        <v>0</v>
      </c>
      <c r="O134">
        <v>0</v>
      </c>
      <c r="P134">
        <v>0</v>
      </c>
      <c r="Q134" t="str">
        <f>INDEX('Partner data'!A:DH,MATCH(C134,'Partner data'!DG:DG,0),83)</f>
        <v>Soggetto privato</v>
      </c>
      <c r="R134" t="b">
        <f>IF(E134="staff",IF(INDEX('Partner data'!A:DH,MATCH(C134,'Partner data'!DG:DG,0),112)="BL1 non presente","FALSO",INDEX('Partner data'!A:DH,MATCH(C134,'Partner data'!DG:DG,0),112)))</f>
        <v>0</v>
      </c>
      <c r="S134" t="b">
        <f t="shared" si="4"/>
        <v>0</v>
      </c>
      <c r="T134" t="b">
        <f t="shared" si="5"/>
        <v>0</v>
      </c>
      <c r="U134" s="154">
        <f>IFERROR(IF(R134&lt;&gt;FALSE,IF(S134=TRUE,INDEX('SummaryNOT_VALIDATED-BL'!$A$1:$F$16,MATCH(R134,'SummaryNOT_VALIDATED-BL'!$A$1:$A$16,0),6),0),IF(S134=TRUE,INDEX('SummaryNOT_VALIDATED-BL'!$A$1:$F$16,MATCH(E134,'SummaryNOT_VALIDATED-BL'!$A$1:$A$16,0),6),0)),0)</f>
        <v>0</v>
      </c>
      <c r="V134" s="81" cm="1">
        <f t="array" ref="V134">INDEX('Weight tables'!$A$24:$C$27,MATCH(1,(RendicontiTrasmessiBL__2[[#This Row],[Cut percentage on real costs + USC]]&gt;='Weight tables'!$B$24:$B$27)*(RendicontiTrasmessiBL__2[[#This Row],[Cut percentage on real costs + USC]]&lt;='Weight tables'!$C$24:$C$27),0),1)</f>
        <v>0</v>
      </c>
      <c r="W134" s="2">
        <f>RendicontiTrasmessiBL__2[[#This Row],[Weight real costs  + USC ]]</f>
        <v>0</v>
      </c>
    </row>
    <row r="135" spans="1:23" x14ac:dyDescent="0.25">
      <c r="A135" s="1" t="s">
        <v>71</v>
      </c>
      <c r="B135" s="1" t="s">
        <v>301</v>
      </c>
      <c r="C135" s="2">
        <v>156</v>
      </c>
      <c r="D135" s="2">
        <v>169</v>
      </c>
      <c r="E135" s="1" t="s">
        <v>236</v>
      </c>
      <c r="G135">
        <v>0</v>
      </c>
      <c r="H135">
        <v>0</v>
      </c>
      <c r="I135">
        <v>0</v>
      </c>
      <c r="J135">
        <v>0</v>
      </c>
      <c r="K135">
        <v>0</v>
      </c>
      <c r="L135">
        <v>0</v>
      </c>
      <c r="M135">
        <v>0</v>
      </c>
      <c r="N135">
        <v>0</v>
      </c>
      <c r="O135">
        <v>0</v>
      </c>
      <c r="P135">
        <v>0</v>
      </c>
      <c r="Q135" t="str">
        <f>INDEX('Partner data'!A:DH,MATCH(C135,'Partner data'!DG:DG,0),83)</f>
        <v>Soggetto privato</v>
      </c>
      <c r="R135" t="b">
        <f>IF(E135="staff",IF(INDEX('Partner data'!A:DH,MATCH(C135,'Partner data'!DG:DG,0),112)="BL1 non presente","FALSO",INDEX('Partner data'!A:DH,MATCH(C135,'Partner data'!DG:DG,0),112)))</f>
        <v>0</v>
      </c>
      <c r="S135" t="b">
        <f t="shared" si="4"/>
        <v>0</v>
      </c>
      <c r="T135" t="b">
        <f t="shared" si="5"/>
        <v>0</v>
      </c>
      <c r="U135" s="154">
        <f>IFERROR(IF(R135&lt;&gt;FALSE,IF(S135=TRUE,INDEX('SummaryNOT_VALIDATED-BL'!$A$1:$F$16,MATCH(R135,'SummaryNOT_VALIDATED-BL'!$A$1:$A$16,0),6),0),IF(S135=TRUE,INDEX('SummaryNOT_VALIDATED-BL'!$A$1:$F$16,MATCH(E135,'SummaryNOT_VALIDATED-BL'!$A$1:$A$16,0),6),0)),0)</f>
        <v>0</v>
      </c>
      <c r="V135" s="81" cm="1">
        <f t="array" ref="V135">INDEX('Weight tables'!$A$24:$C$27,MATCH(1,(RendicontiTrasmessiBL__2[[#This Row],[Cut percentage on real costs + USC]]&gt;='Weight tables'!$B$24:$B$27)*(RendicontiTrasmessiBL__2[[#This Row],[Cut percentage on real costs + USC]]&lt;='Weight tables'!$C$24:$C$27),0),1)</f>
        <v>0</v>
      </c>
      <c r="W135" s="2">
        <f>RendicontiTrasmessiBL__2[[#This Row],[Weight real costs  + USC ]]</f>
        <v>0</v>
      </c>
    </row>
    <row r="136" spans="1:23" x14ac:dyDescent="0.25">
      <c r="A136" s="1" t="s">
        <v>71</v>
      </c>
      <c r="B136" s="1" t="s">
        <v>301</v>
      </c>
      <c r="C136" s="2">
        <v>156</v>
      </c>
      <c r="D136" s="2">
        <v>169</v>
      </c>
      <c r="E136" s="1" t="s">
        <v>237</v>
      </c>
      <c r="G136">
        <v>0</v>
      </c>
      <c r="H136">
        <v>0</v>
      </c>
      <c r="I136">
        <v>0</v>
      </c>
      <c r="J136">
        <v>0</v>
      </c>
      <c r="K136">
        <v>0</v>
      </c>
      <c r="L136">
        <v>0</v>
      </c>
      <c r="M136">
        <v>0</v>
      </c>
      <c r="N136">
        <v>0</v>
      </c>
      <c r="O136">
        <v>0</v>
      </c>
      <c r="P136">
        <v>0</v>
      </c>
      <c r="Q136" t="str">
        <f>INDEX('Partner data'!A:DH,MATCH(C136,'Partner data'!DG:DG,0),83)</f>
        <v>Soggetto privato</v>
      </c>
      <c r="R136" t="b">
        <f>IF(E136="staff",IF(INDEX('Partner data'!A:DH,MATCH(C136,'Partner data'!DG:DG,0),112)="BL1 non presente","FALSO",INDEX('Partner data'!A:DH,MATCH(C136,'Partner data'!DG:DG,0),112)))</f>
        <v>0</v>
      </c>
      <c r="S136" t="b">
        <f t="shared" si="4"/>
        <v>0</v>
      </c>
      <c r="T136" t="b">
        <f t="shared" si="5"/>
        <v>0</v>
      </c>
      <c r="U136" s="154">
        <f>IFERROR(IF(R136&lt;&gt;FALSE,IF(S136=TRUE,INDEX('SummaryNOT_VALIDATED-BL'!$A$1:$F$16,MATCH(R136,'SummaryNOT_VALIDATED-BL'!$A$1:$A$16,0),6),0),IF(S136=TRUE,INDEX('SummaryNOT_VALIDATED-BL'!$A$1:$F$16,MATCH(E136,'SummaryNOT_VALIDATED-BL'!$A$1:$A$16,0),6),0)),0)</f>
        <v>0</v>
      </c>
      <c r="V136" s="81" cm="1">
        <f t="array" ref="V136">INDEX('Weight tables'!$A$24:$C$27,MATCH(1,(RendicontiTrasmessiBL__2[[#This Row],[Cut percentage on real costs + USC]]&gt;='Weight tables'!$B$24:$B$27)*(RendicontiTrasmessiBL__2[[#This Row],[Cut percentage on real costs + USC]]&lt;='Weight tables'!$C$24:$C$27),0),1)</f>
        <v>0</v>
      </c>
      <c r="W136" s="2">
        <f>RendicontiTrasmessiBL__2[[#This Row],[Weight real costs  + USC ]]</f>
        <v>0</v>
      </c>
    </row>
    <row r="137" spans="1:23" x14ac:dyDescent="0.25">
      <c r="A137" s="1" t="s">
        <v>71</v>
      </c>
      <c r="B137" s="1" t="s">
        <v>47</v>
      </c>
      <c r="C137" s="2">
        <v>159</v>
      </c>
      <c r="D137" s="2">
        <v>291</v>
      </c>
      <c r="E137" s="1" t="s">
        <v>228</v>
      </c>
      <c r="F137">
        <v>20</v>
      </c>
      <c r="G137">
        <v>16558.96</v>
      </c>
      <c r="H137">
        <v>0</v>
      </c>
      <c r="I137">
        <v>0</v>
      </c>
      <c r="J137">
        <v>0</v>
      </c>
      <c r="K137">
        <v>0</v>
      </c>
      <c r="L137">
        <v>0</v>
      </c>
      <c r="M137">
        <v>0</v>
      </c>
      <c r="N137">
        <v>0</v>
      </c>
      <c r="O137">
        <v>16558.96</v>
      </c>
      <c r="P137">
        <v>0</v>
      </c>
      <c r="Q137" t="str">
        <f>INDEX('Partner data'!A:DH,MATCH(C137,'Partner data'!DG:DG,0),83)</f>
        <v xml:space="preserve">Organismo di diritto pubblico </v>
      </c>
      <c r="R137" t="str">
        <f>IF(E137="staff",IF(INDEX('Partner data'!A:DH,MATCH(C137,'Partner data'!DG:DG,0),112)="BL1 non presente","FALSO",INDEX('Partner data'!A:DH,MATCH(C137,'Partner data'!DG:DG,0),112)))</f>
        <v>Tasso Forfettario 20%</v>
      </c>
      <c r="S137" t="b">
        <f t="shared" si="4"/>
        <v>0</v>
      </c>
      <c r="T137" t="b">
        <f t="shared" si="5"/>
        <v>1</v>
      </c>
      <c r="U137" s="154">
        <f>IFERROR(IF(R137&lt;&gt;FALSE,IF(S137=TRUE,INDEX('SummaryNOT_VALIDATED-BL'!$A$1:$F$16,MATCH(R137,'SummaryNOT_VALIDATED-BL'!$A$1:$A$16,0),6),0),IF(S137=TRUE,INDEX('SummaryNOT_VALIDATED-BL'!$A$1:$F$16,MATCH(E137,'SummaryNOT_VALIDATED-BL'!$A$1:$A$16,0),6),0)),0)</f>
        <v>0</v>
      </c>
      <c r="V137" s="81" cm="1">
        <f t="array" ref="V137">INDEX('Weight tables'!$A$24:$C$27,MATCH(1,(RendicontiTrasmessiBL__2[[#This Row],[Cut percentage on real costs + USC]]&gt;='Weight tables'!$B$24:$B$27)*(RendicontiTrasmessiBL__2[[#This Row],[Cut percentage on real costs + USC]]&lt;='Weight tables'!$C$24:$C$27),0),1)</f>
        <v>0</v>
      </c>
      <c r="W137" s="2">
        <f>RendicontiTrasmessiBL__2[[#This Row],[Weight real costs  + USC ]]</f>
        <v>0</v>
      </c>
    </row>
    <row r="138" spans="1:23" x14ac:dyDescent="0.25">
      <c r="A138" s="1" t="s">
        <v>71</v>
      </c>
      <c r="B138" s="1" t="s">
        <v>47</v>
      </c>
      <c r="C138" s="2">
        <v>159</v>
      </c>
      <c r="D138" s="2">
        <v>291</v>
      </c>
      <c r="E138" s="1" t="s">
        <v>229</v>
      </c>
      <c r="F138">
        <v>15</v>
      </c>
      <c r="G138">
        <v>2483.84</v>
      </c>
      <c r="H138">
        <v>0</v>
      </c>
      <c r="I138">
        <v>0</v>
      </c>
      <c r="J138">
        <v>0</v>
      </c>
      <c r="K138">
        <v>0</v>
      </c>
      <c r="L138">
        <v>0</v>
      </c>
      <c r="M138">
        <v>0</v>
      </c>
      <c r="N138">
        <v>0</v>
      </c>
      <c r="O138">
        <v>2483.84</v>
      </c>
      <c r="P138">
        <v>0</v>
      </c>
      <c r="Q138" t="str">
        <f>INDEX('Partner data'!A:DH,MATCH(C138,'Partner data'!DG:DG,0),83)</f>
        <v xml:space="preserve">Organismo di diritto pubblico </v>
      </c>
      <c r="R138" t="b">
        <f>IF(E138="staff",IF(INDEX('Partner data'!A:DH,MATCH(C138,'Partner data'!DG:DG,0),112)="BL1 non presente","FALSO",INDEX('Partner data'!A:DH,MATCH(C138,'Partner data'!DG:DG,0),112)))</f>
        <v>0</v>
      </c>
      <c r="S138" t="b">
        <f t="shared" si="4"/>
        <v>0</v>
      </c>
      <c r="T138" t="b">
        <f t="shared" si="5"/>
        <v>1</v>
      </c>
      <c r="U138" s="154">
        <f>IFERROR(IF(R138&lt;&gt;FALSE,IF(S138=TRUE,INDEX('SummaryNOT_VALIDATED-BL'!$A$1:$F$16,MATCH(R138,'SummaryNOT_VALIDATED-BL'!$A$1:$A$16,0),6),0),IF(S138=TRUE,INDEX('SummaryNOT_VALIDATED-BL'!$A$1:$F$16,MATCH(E138,'SummaryNOT_VALIDATED-BL'!$A$1:$A$16,0),6),0)),0)</f>
        <v>0</v>
      </c>
      <c r="V138" s="81" cm="1">
        <f t="array" ref="V138">INDEX('Weight tables'!$A$24:$C$27,MATCH(1,(RendicontiTrasmessiBL__2[[#This Row],[Cut percentage on real costs + USC]]&gt;='Weight tables'!$B$24:$B$27)*(RendicontiTrasmessiBL__2[[#This Row],[Cut percentage on real costs + USC]]&lt;='Weight tables'!$C$24:$C$27),0),1)</f>
        <v>0</v>
      </c>
      <c r="W138" s="2">
        <f>RendicontiTrasmessiBL__2[[#This Row],[Weight real costs  + USC ]]</f>
        <v>0</v>
      </c>
    </row>
    <row r="139" spans="1:23" x14ac:dyDescent="0.25">
      <c r="A139" s="1" t="s">
        <v>71</v>
      </c>
      <c r="B139" s="1" t="s">
        <v>47</v>
      </c>
      <c r="C139" s="2">
        <v>159</v>
      </c>
      <c r="D139" s="2">
        <v>291</v>
      </c>
      <c r="E139" s="1" t="s">
        <v>230</v>
      </c>
      <c r="F139">
        <v>4</v>
      </c>
      <c r="G139">
        <v>662.35</v>
      </c>
      <c r="H139">
        <v>0</v>
      </c>
      <c r="I139">
        <v>0</v>
      </c>
      <c r="J139">
        <v>0</v>
      </c>
      <c r="K139">
        <v>0</v>
      </c>
      <c r="L139">
        <v>0</v>
      </c>
      <c r="M139">
        <v>0</v>
      </c>
      <c r="N139">
        <v>0</v>
      </c>
      <c r="O139">
        <v>662.35</v>
      </c>
      <c r="P139">
        <v>0</v>
      </c>
      <c r="Q139" t="str">
        <f>INDEX('Partner data'!A:DH,MATCH(C139,'Partner data'!DG:DG,0),83)</f>
        <v xml:space="preserve">Organismo di diritto pubblico </v>
      </c>
      <c r="R139" t="b">
        <f>IF(E139="staff",IF(INDEX('Partner data'!A:DH,MATCH(C139,'Partner data'!DG:DG,0),112)="BL1 non presente","FALSO",INDEX('Partner data'!A:DH,MATCH(C139,'Partner data'!DG:DG,0),112)))</f>
        <v>0</v>
      </c>
      <c r="S139" t="b">
        <f t="shared" si="4"/>
        <v>0</v>
      </c>
      <c r="T139" t="b">
        <f t="shared" si="5"/>
        <v>1</v>
      </c>
      <c r="U139" s="154">
        <f>IFERROR(IF(R139&lt;&gt;FALSE,IF(S139=TRUE,INDEX('SummaryNOT_VALIDATED-BL'!$A$1:$F$16,MATCH(R139,'SummaryNOT_VALIDATED-BL'!$A$1:$A$16,0),6),0),IF(S139=TRUE,INDEX('SummaryNOT_VALIDATED-BL'!$A$1:$F$16,MATCH(E139,'SummaryNOT_VALIDATED-BL'!$A$1:$A$16,0),6),0)),0)</f>
        <v>0</v>
      </c>
      <c r="V139" s="81" cm="1">
        <f t="array" ref="V139">INDEX('Weight tables'!$A$24:$C$27,MATCH(1,(RendicontiTrasmessiBL__2[[#This Row],[Cut percentage on real costs + USC]]&gt;='Weight tables'!$B$24:$B$27)*(RendicontiTrasmessiBL__2[[#This Row],[Cut percentage on real costs + USC]]&lt;='Weight tables'!$C$24:$C$27),0),1)</f>
        <v>0</v>
      </c>
      <c r="W139" s="2">
        <f>RendicontiTrasmessiBL__2[[#This Row],[Weight real costs  + USC ]]</f>
        <v>0</v>
      </c>
    </row>
    <row r="140" spans="1:23" x14ac:dyDescent="0.25">
      <c r="A140" s="1" t="s">
        <v>71</v>
      </c>
      <c r="B140" s="1" t="s">
        <v>47</v>
      </c>
      <c r="C140" s="2">
        <v>159</v>
      </c>
      <c r="D140" s="2">
        <v>291</v>
      </c>
      <c r="E140" s="1" t="s">
        <v>231</v>
      </c>
      <c r="G140">
        <v>82794.84</v>
      </c>
      <c r="H140">
        <v>0</v>
      </c>
      <c r="I140">
        <v>0</v>
      </c>
      <c r="J140">
        <v>0</v>
      </c>
      <c r="K140">
        <v>0</v>
      </c>
      <c r="L140">
        <v>0</v>
      </c>
      <c r="M140">
        <v>0</v>
      </c>
      <c r="N140">
        <v>0</v>
      </c>
      <c r="O140">
        <v>82794.84</v>
      </c>
      <c r="P140">
        <v>0</v>
      </c>
      <c r="Q140" t="str">
        <f>INDEX('Partner data'!A:DH,MATCH(C140,'Partner data'!DG:DG,0),83)</f>
        <v xml:space="preserve">Organismo di diritto pubblico </v>
      </c>
      <c r="R140" t="b">
        <f>IF(E140="staff",IF(INDEX('Partner data'!A:DH,MATCH(C140,'Partner data'!DG:DG,0),112)="BL1 non presente","FALSO",INDEX('Partner data'!A:DH,MATCH(C140,'Partner data'!DG:DG,0),112)))</f>
        <v>0</v>
      </c>
      <c r="S140" t="b">
        <f t="shared" si="4"/>
        <v>0</v>
      </c>
      <c r="T140" t="b">
        <f t="shared" si="5"/>
        <v>1</v>
      </c>
      <c r="U140" s="154">
        <f>IFERROR(IF(R140&lt;&gt;FALSE,IF(S140=TRUE,INDEX('SummaryNOT_VALIDATED-BL'!$A$1:$F$16,MATCH(R140,'SummaryNOT_VALIDATED-BL'!$A$1:$A$16,0),6),0),IF(S140=TRUE,INDEX('SummaryNOT_VALIDATED-BL'!$A$1:$F$16,MATCH(E140,'SummaryNOT_VALIDATED-BL'!$A$1:$A$16,0),6),0)),0)</f>
        <v>0</v>
      </c>
      <c r="V140" s="81" cm="1">
        <f t="array" ref="V140">INDEX('Weight tables'!$A$24:$C$27,MATCH(1,(RendicontiTrasmessiBL__2[[#This Row],[Cut percentage on real costs + USC]]&gt;='Weight tables'!$B$24:$B$27)*(RendicontiTrasmessiBL__2[[#This Row],[Cut percentage on real costs + USC]]&lt;='Weight tables'!$C$24:$C$27),0),1)</f>
        <v>0</v>
      </c>
      <c r="W140" s="2">
        <f>RendicontiTrasmessiBL__2[[#This Row],[Weight real costs  + USC ]]</f>
        <v>0</v>
      </c>
    </row>
    <row r="141" spans="1:23" x14ac:dyDescent="0.25">
      <c r="A141" s="1" t="s">
        <v>71</v>
      </c>
      <c r="B141" s="1" t="s">
        <v>47</v>
      </c>
      <c r="C141" s="2">
        <v>159</v>
      </c>
      <c r="D141" s="2">
        <v>291</v>
      </c>
      <c r="E141" s="1" t="s">
        <v>232</v>
      </c>
      <c r="G141">
        <v>0</v>
      </c>
      <c r="H141">
        <v>0</v>
      </c>
      <c r="I141">
        <v>0</v>
      </c>
      <c r="J141">
        <v>0</v>
      </c>
      <c r="K141">
        <v>0</v>
      </c>
      <c r="L141">
        <v>0</v>
      </c>
      <c r="M141">
        <v>0</v>
      </c>
      <c r="N141">
        <v>0</v>
      </c>
      <c r="O141">
        <v>0</v>
      </c>
      <c r="P141">
        <v>0</v>
      </c>
      <c r="Q141" t="str">
        <f>INDEX('Partner data'!A:DH,MATCH(C141,'Partner data'!DG:DG,0),83)</f>
        <v xml:space="preserve">Organismo di diritto pubblico </v>
      </c>
      <c r="R141" t="b">
        <f>IF(E141="staff",IF(INDEX('Partner data'!A:DH,MATCH(C141,'Partner data'!DG:DG,0),112)="BL1 non presente","FALSO",INDEX('Partner data'!A:DH,MATCH(C141,'Partner data'!DG:DG,0),112)))</f>
        <v>0</v>
      </c>
      <c r="S141" t="b">
        <f t="shared" si="4"/>
        <v>0</v>
      </c>
      <c r="T141" t="b">
        <f t="shared" si="5"/>
        <v>1</v>
      </c>
      <c r="U141" s="154">
        <f>IFERROR(IF(R141&lt;&gt;FALSE,IF(S141=TRUE,INDEX('SummaryNOT_VALIDATED-BL'!$A$1:$F$16,MATCH(R141,'SummaryNOT_VALIDATED-BL'!$A$1:$A$16,0),6),0),IF(S141=TRUE,INDEX('SummaryNOT_VALIDATED-BL'!$A$1:$F$16,MATCH(E141,'SummaryNOT_VALIDATED-BL'!$A$1:$A$16,0),6),0)),0)</f>
        <v>0</v>
      </c>
      <c r="V141" s="81" cm="1">
        <f t="array" ref="V141">INDEX('Weight tables'!$A$24:$C$27,MATCH(1,(RendicontiTrasmessiBL__2[[#This Row],[Cut percentage on real costs + USC]]&gt;='Weight tables'!$B$24:$B$27)*(RendicontiTrasmessiBL__2[[#This Row],[Cut percentage on real costs + USC]]&lt;='Weight tables'!$C$24:$C$27),0),1)</f>
        <v>0</v>
      </c>
      <c r="W141" s="2">
        <f>RendicontiTrasmessiBL__2[[#This Row],[Weight real costs  + USC ]]</f>
        <v>0</v>
      </c>
    </row>
    <row r="142" spans="1:23" x14ac:dyDescent="0.25">
      <c r="A142" s="1" t="s">
        <v>71</v>
      </c>
      <c r="B142" s="1" t="s">
        <v>47</v>
      </c>
      <c r="C142" s="2">
        <v>159</v>
      </c>
      <c r="D142" s="2">
        <v>291</v>
      </c>
      <c r="E142" s="1" t="s">
        <v>233</v>
      </c>
      <c r="G142">
        <v>0</v>
      </c>
      <c r="H142">
        <v>0</v>
      </c>
      <c r="I142">
        <v>0</v>
      </c>
      <c r="J142">
        <v>0</v>
      </c>
      <c r="K142">
        <v>0</v>
      </c>
      <c r="L142">
        <v>0</v>
      </c>
      <c r="M142">
        <v>0</v>
      </c>
      <c r="N142">
        <v>0</v>
      </c>
      <c r="O142">
        <v>0</v>
      </c>
      <c r="P142">
        <v>0</v>
      </c>
      <c r="Q142" t="str">
        <f>INDEX('Partner data'!A:DH,MATCH(C142,'Partner data'!DG:DG,0),83)</f>
        <v xml:space="preserve">Organismo di diritto pubblico </v>
      </c>
      <c r="R142" t="b">
        <f>IF(E142="staff",IF(INDEX('Partner data'!A:DH,MATCH(C142,'Partner data'!DG:DG,0),112)="BL1 non presente","FALSO",INDEX('Partner data'!A:DH,MATCH(C142,'Partner data'!DG:DG,0),112)))</f>
        <v>0</v>
      </c>
      <c r="S142" t="b">
        <f t="shared" si="4"/>
        <v>0</v>
      </c>
      <c r="T142" t="b">
        <f t="shared" si="5"/>
        <v>1</v>
      </c>
      <c r="U142" s="154">
        <f>IFERROR(IF(R142&lt;&gt;FALSE,IF(S142=TRUE,INDEX('SummaryNOT_VALIDATED-BL'!$A$1:$F$16,MATCH(R142,'SummaryNOT_VALIDATED-BL'!$A$1:$A$16,0),6),0),IF(S142=TRUE,INDEX('SummaryNOT_VALIDATED-BL'!$A$1:$F$16,MATCH(E142,'SummaryNOT_VALIDATED-BL'!$A$1:$A$16,0),6),0)),0)</f>
        <v>0</v>
      </c>
      <c r="V142" s="81" cm="1">
        <f t="array" ref="V142">INDEX('Weight tables'!$A$24:$C$27,MATCH(1,(RendicontiTrasmessiBL__2[[#This Row],[Cut percentage on real costs + USC]]&gt;='Weight tables'!$B$24:$B$27)*(RendicontiTrasmessiBL__2[[#This Row],[Cut percentage on real costs + USC]]&lt;='Weight tables'!$C$24:$C$27),0),1)</f>
        <v>0</v>
      </c>
      <c r="W142" s="2">
        <f>RendicontiTrasmessiBL__2[[#This Row],[Weight real costs  + USC ]]</f>
        <v>0</v>
      </c>
    </row>
    <row r="143" spans="1:23" x14ac:dyDescent="0.25">
      <c r="A143" s="1" t="s">
        <v>71</v>
      </c>
      <c r="B143" s="1" t="s">
        <v>47</v>
      </c>
      <c r="C143" s="2">
        <v>159</v>
      </c>
      <c r="D143" s="2">
        <v>291</v>
      </c>
      <c r="E143" s="1" t="s">
        <v>234</v>
      </c>
      <c r="G143">
        <v>0</v>
      </c>
      <c r="H143">
        <v>0</v>
      </c>
      <c r="I143">
        <v>0</v>
      </c>
      <c r="J143">
        <v>0</v>
      </c>
      <c r="K143">
        <v>0</v>
      </c>
      <c r="L143">
        <v>0</v>
      </c>
      <c r="M143">
        <v>0</v>
      </c>
      <c r="N143">
        <v>0</v>
      </c>
      <c r="O143">
        <v>0</v>
      </c>
      <c r="P143">
        <v>0</v>
      </c>
      <c r="Q143" t="str">
        <f>INDEX('Partner data'!A:DH,MATCH(C143,'Partner data'!DG:DG,0),83)</f>
        <v xml:space="preserve">Organismo di diritto pubblico </v>
      </c>
      <c r="R143" t="b">
        <f>IF(E143="staff",IF(INDEX('Partner data'!A:DH,MATCH(C143,'Partner data'!DG:DG,0),112)="BL1 non presente","FALSO",INDEX('Partner data'!A:DH,MATCH(C143,'Partner data'!DG:DG,0),112)))</f>
        <v>0</v>
      </c>
      <c r="S143" t="b">
        <f t="shared" si="4"/>
        <v>0</v>
      </c>
      <c r="T143" t="b">
        <f t="shared" si="5"/>
        <v>1</v>
      </c>
      <c r="U143" s="154">
        <f>IFERROR(IF(R143&lt;&gt;FALSE,IF(S143=TRUE,INDEX('SummaryNOT_VALIDATED-BL'!$A$1:$F$16,MATCH(R143,'SummaryNOT_VALIDATED-BL'!$A$1:$A$16,0),6),0),IF(S143=TRUE,INDEX('SummaryNOT_VALIDATED-BL'!$A$1:$F$16,MATCH(E143,'SummaryNOT_VALIDATED-BL'!$A$1:$A$16,0),6),0)),0)</f>
        <v>0</v>
      </c>
      <c r="V143" s="81" cm="1">
        <f t="array" ref="V143">INDEX('Weight tables'!$A$24:$C$27,MATCH(1,(RendicontiTrasmessiBL__2[[#This Row],[Cut percentage on real costs + USC]]&gt;='Weight tables'!$B$24:$B$27)*(RendicontiTrasmessiBL__2[[#This Row],[Cut percentage on real costs + USC]]&lt;='Weight tables'!$C$24:$C$27),0),1)</f>
        <v>0</v>
      </c>
      <c r="W143" s="2">
        <f>RendicontiTrasmessiBL__2[[#This Row],[Weight real costs  + USC ]]</f>
        <v>0</v>
      </c>
    </row>
    <row r="144" spans="1:23" x14ac:dyDescent="0.25">
      <c r="A144" s="1" t="s">
        <v>71</v>
      </c>
      <c r="B144" s="1" t="s">
        <v>47</v>
      </c>
      <c r="C144" s="2">
        <v>159</v>
      </c>
      <c r="D144" s="2">
        <v>291</v>
      </c>
      <c r="E144" s="1" t="s">
        <v>236</v>
      </c>
      <c r="G144">
        <v>0</v>
      </c>
      <c r="H144">
        <v>0</v>
      </c>
      <c r="I144">
        <v>0</v>
      </c>
      <c r="J144">
        <v>0</v>
      </c>
      <c r="K144">
        <v>0</v>
      </c>
      <c r="L144">
        <v>0</v>
      </c>
      <c r="M144">
        <v>0</v>
      </c>
      <c r="N144">
        <v>0</v>
      </c>
      <c r="O144">
        <v>0</v>
      </c>
      <c r="P144">
        <v>0</v>
      </c>
      <c r="Q144" t="str">
        <f>INDEX('Partner data'!A:DH,MATCH(C144,'Partner data'!DG:DG,0),83)</f>
        <v xml:space="preserve">Organismo di diritto pubblico </v>
      </c>
      <c r="R144" t="b">
        <f>IF(E144="staff",IF(INDEX('Partner data'!A:DH,MATCH(C144,'Partner data'!DG:DG,0),112)="BL1 non presente","FALSO",INDEX('Partner data'!A:DH,MATCH(C144,'Partner data'!DG:DG,0),112)))</f>
        <v>0</v>
      </c>
      <c r="S144" t="b">
        <f t="shared" si="4"/>
        <v>0</v>
      </c>
      <c r="T144" t="b">
        <f t="shared" si="5"/>
        <v>1</v>
      </c>
      <c r="U144" s="154">
        <f>IFERROR(IF(R144&lt;&gt;FALSE,IF(S144=TRUE,INDEX('SummaryNOT_VALIDATED-BL'!$A$1:$F$16,MATCH(R144,'SummaryNOT_VALIDATED-BL'!$A$1:$A$16,0),6),0),IF(S144=TRUE,INDEX('SummaryNOT_VALIDATED-BL'!$A$1:$F$16,MATCH(E144,'SummaryNOT_VALIDATED-BL'!$A$1:$A$16,0),6),0)),0)</f>
        <v>0</v>
      </c>
      <c r="V144" s="81" cm="1">
        <f t="array" ref="V144">INDEX('Weight tables'!$A$24:$C$27,MATCH(1,(RendicontiTrasmessiBL__2[[#This Row],[Cut percentage on real costs + USC]]&gt;='Weight tables'!$B$24:$B$27)*(RendicontiTrasmessiBL__2[[#This Row],[Cut percentage on real costs + USC]]&lt;='Weight tables'!$C$24:$C$27),0),1)</f>
        <v>0</v>
      </c>
      <c r="W144" s="2">
        <f>RendicontiTrasmessiBL__2[[#This Row],[Weight real costs  + USC ]]</f>
        <v>0</v>
      </c>
    </row>
    <row r="145" spans="1:23" x14ac:dyDescent="0.25">
      <c r="A145" s="1" t="s">
        <v>71</v>
      </c>
      <c r="B145" s="1" t="s">
        <v>47</v>
      </c>
      <c r="C145" s="2">
        <v>159</v>
      </c>
      <c r="D145" s="2">
        <v>291</v>
      </c>
      <c r="E145" s="1" t="s">
        <v>237</v>
      </c>
      <c r="G145">
        <v>0</v>
      </c>
      <c r="H145">
        <v>0</v>
      </c>
      <c r="I145">
        <v>0</v>
      </c>
      <c r="J145">
        <v>0</v>
      </c>
      <c r="K145">
        <v>0</v>
      </c>
      <c r="L145">
        <v>0</v>
      </c>
      <c r="M145">
        <v>0</v>
      </c>
      <c r="N145">
        <v>0</v>
      </c>
      <c r="O145">
        <v>0</v>
      </c>
      <c r="P145">
        <v>0</v>
      </c>
      <c r="Q145" t="str">
        <f>INDEX('Partner data'!A:DH,MATCH(C145,'Partner data'!DG:DG,0),83)</f>
        <v xml:space="preserve">Organismo di diritto pubblico </v>
      </c>
      <c r="R145" t="b">
        <f>IF(E145="staff",IF(INDEX('Partner data'!A:DH,MATCH(C145,'Partner data'!DG:DG,0),112)="BL1 non presente","FALSO",INDEX('Partner data'!A:DH,MATCH(C145,'Partner data'!DG:DG,0),112)))</f>
        <v>0</v>
      </c>
      <c r="S145" t="b">
        <f t="shared" si="4"/>
        <v>0</v>
      </c>
      <c r="T145" t="b">
        <f t="shared" si="5"/>
        <v>1</v>
      </c>
      <c r="U145" s="154">
        <f>IFERROR(IF(R145&lt;&gt;FALSE,IF(S145=TRUE,INDEX('SummaryNOT_VALIDATED-BL'!$A$1:$F$16,MATCH(R145,'SummaryNOT_VALIDATED-BL'!$A$1:$A$16,0),6),0),IF(S145=TRUE,INDEX('SummaryNOT_VALIDATED-BL'!$A$1:$F$16,MATCH(E145,'SummaryNOT_VALIDATED-BL'!$A$1:$A$16,0),6),0)),0)</f>
        <v>0</v>
      </c>
      <c r="V145" s="81" cm="1">
        <f t="array" ref="V145">INDEX('Weight tables'!$A$24:$C$27,MATCH(1,(RendicontiTrasmessiBL__2[[#This Row],[Cut percentage on real costs + USC]]&gt;='Weight tables'!$B$24:$B$27)*(RendicontiTrasmessiBL__2[[#This Row],[Cut percentage on real costs + USC]]&lt;='Weight tables'!$C$24:$C$27),0),1)</f>
        <v>0</v>
      </c>
      <c r="W145" s="2">
        <f>RendicontiTrasmessiBL__2[[#This Row],[Weight real costs  + USC ]]</f>
        <v>0</v>
      </c>
    </row>
    <row r="146" spans="1:23" x14ac:dyDescent="0.25">
      <c r="A146" s="1" t="s">
        <v>71</v>
      </c>
      <c r="B146" s="1" t="s">
        <v>290</v>
      </c>
      <c r="C146" s="2">
        <v>72</v>
      </c>
      <c r="D146" s="2">
        <v>134</v>
      </c>
      <c r="E146" s="1" t="s">
        <v>228</v>
      </c>
      <c r="G146">
        <v>53520.79</v>
      </c>
      <c r="H146">
        <v>0</v>
      </c>
      <c r="I146">
        <v>0</v>
      </c>
      <c r="J146">
        <v>2765.62</v>
      </c>
      <c r="K146">
        <v>0</v>
      </c>
      <c r="L146">
        <v>2706.05</v>
      </c>
      <c r="M146">
        <v>2765.62</v>
      </c>
      <c r="N146">
        <v>5.17</v>
      </c>
      <c r="O146">
        <v>50755.17</v>
      </c>
      <c r="P146">
        <v>0</v>
      </c>
      <c r="Q146" t="str">
        <f>INDEX('Partner data'!A:DH,MATCH(C146,'Partner data'!DG:DG,0),83)</f>
        <v>Soggetto pubblico</v>
      </c>
      <c r="R146" t="str">
        <f>IF(E146="staff",IF(INDEX('Partner data'!A:DH,MATCH(C146,'Partner data'!DG:DG,0),112)="BL1 non presente","FALSO",INDEX('Partner data'!A:DH,MATCH(C146,'Partner data'!DG:DG,0),112)))</f>
        <v>COSTO REALE</v>
      </c>
      <c r="S146" t="b">
        <f t="shared" si="4"/>
        <v>1</v>
      </c>
      <c r="T146" t="b">
        <f t="shared" si="5"/>
        <v>1</v>
      </c>
      <c r="U146" s="154">
        <f>IFERROR(IF(R146&lt;&gt;FALSE,IF(S146=TRUE,INDEX('SummaryNOT_VALIDATED-BL'!$A$1:$F$16,MATCH(R146,'SummaryNOT_VALIDATED-BL'!$A$1:$A$16,0),6),0),IF(S146=TRUE,INDEX('SummaryNOT_VALIDATED-BL'!$A$1:$F$16,MATCH(E146,'SummaryNOT_VALIDATED-BL'!$A$1:$A$16,0),6),0)),0)</f>
        <v>9.1604133276901048E-2</v>
      </c>
      <c r="V146" s="81" cm="1">
        <f t="array" ref="V146">INDEX('Weight tables'!$A$24:$C$27,MATCH(1,(RendicontiTrasmessiBL__2[[#This Row],[Cut percentage on real costs + USC]]&gt;='Weight tables'!$B$24:$B$27)*(RendicontiTrasmessiBL__2[[#This Row],[Cut percentage on real costs + USC]]&lt;='Weight tables'!$C$24:$C$27),0),1)</f>
        <v>4</v>
      </c>
      <c r="W146" s="2">
        <f>RendicontiTrasmessiBL__2[[#This Row],[Weight real costs  + USC ]]</f>
        <v>4</v>
      </c>
    </row>
    <row r="147" spans="1:23" x14ac:dyDescent="0.25">
      <c r="A147" s="1" t="s">
        <v>71</v>
      </c>
      <c r="B147" s="1" t="s">
        <v>290</v>
      </c>
      <c r="C147" s="2">
        <v>72</v>
      </c>
      <c r="D147" s="2">
        <v>134</v>
      </c>
      <c r="E147" s="1" t="s">
        <v>229</v>
      </c>
      <c r="F147">
        <v>15</v>
      </c>
      <c r="G147">
        <v>8028.11</v>
      </c>
      <c r="H147">
        <v>0</v>
      </c>
      <c r="I147">
        <v>0</v>
      </c>
      <c r="J147">
        <v>414.84</v>
      </c>
      <c r="K147">
        <v>0</v>
      </c>
      <c r="L147">
        <v>405.9</v>
      </c>
      <c r="M147">
        <v>414.84</v>
      </c>
      <c r="N147">
        <v>5.17</v>
      </c>
      <c r="O147">
        <v>7613.27</v>
      </c>
      <c r="P147">
        <v>0</v>
      </c>
      <c r="Q147" t="str">
        <f>INDEX('Partner data'!A:DH,MATCH(C147,'Partner data'!DG:DG,0),83)</f>
        <v>Soggetto pubblico</v>
      </c>
      <c r="R147" t="b">
        <f>IF(E147="staff",IF(INDEX('Partner data'!A:DH,MATCH(C147,'Partner data'!DG:DG,0),112)="BL1 non presente","FALSO",INDEX('Partner data'!A:DH,MATCH(C147,'Partner data'!DG:DG,0),112)))</f>
        <v>0</v>
      </c>
      <c r="S147" t="b">
        <f t="shared" si="4"/>
        <v>1</v>
      </c>
      <c r="T147" t="b">
        <f t="shared" si="5"/>
        <v>1</v>
      </c>
      <c r="U147" s="154">
        <f>IFERROR(IF(R147&lt;&gt;FALSE,IF(S147=TRUE,INDEX('SummaryNOT_VALIDATED-BL'!$A$1:$F$16,MATCH(R147,'SummaryNOT_VALIDATED-BL'!$A$1:$A$16,0),6),0),IF(S147=TRUE,INDEX('SummaryNOT_VALIDATED-BL'!$A$1:$F$16,MATCH(E147,'SummaryNOT_VALIDATED-BL'!$A$1:$A$16,0),6),0)),0)</f>
        <v>6.6460469504890221E-2</v>
      </c>
      <c r="V147" s="81" cm="1">
        <f t="array" ref="V147">INDEX('Weight tables'!$A$24:$C$27,MATCH(1,(RendicontiTrasmessiBL__2[[#This Row],[Cut percentage on real costs + USC]]&gt;='Weight tables'!$B$24:$B$27)*(RendicontiTrasmessiBL__2[[#This Row],[Cut percentage on real costs + USC]]&lt;='Weight tables'!$C$24:$C$27),0),1)</f>
        <v>4</v>
      </c>
      <c r="W147" s="2">
        <f>RendicontiTrasmessiBL__2[[#This Row],[Weight real costs  + USC ]]</f>
        <v>4</v>
      </c>
    </row>
    <row r="148" spans="1:23" x14ac:dyDescent="0.25">
      <c r="A148" s="1" t="s">
        <v>71</v>
      </c>
      <c r="B148" s="1" t="s">
        <v>290</v>
      </c>
      <c r="C148" s="2">
        <v>72</v>
      </c>
      <c r="D148" s="2">
        <v>134</v>
      </c>
      <c r="E148" s="1" t="s">
        <v>230</v>
      </c>
      <c r="F148">
        <v>4</v>
      </c>
      <c r="G148">
        <v>2140.83</v>
      </c>
      <c r="H148">
        <v>0</v>
      </c>
      <c r="I148">
        <v>0</v>
      </c>
      <c r="J148">
        <v>110.62</v>
      </c>
      <c r="K148">
        <v>0</v>
      </c>
      <c r="L148">
        <v>108.24</v>
      </c>
      <c r="M148">
        <v>110.62</v>
      </c>
      <c r="N148">
        <v>5.17</v>
      </c>
      <c r="O148">
        <v>2030.21</v>
      </c>
      <c r="P148">
        <v>0</v>
      </c>
      <c r="Q148" t="str">
        <f>INDEX('Partner data'!A:DH,MATCH(C148,'Partner data'!DG:DG,0),83)</f>
        <v>Soggetto pubblico</v>
      </c>
      <c r="R148" t="b">
        <f>IF(E148="staff",IF(INDEX('Partner data'!A:DH,MATCH(C148,'Partner data'!DG:DG,0),112)="BL1 non presente","FALSO",INDEX('Partner data'!A:DH,MATCH(C148,'Partner data'!DG:DG,0),112)))</f>
        <v>0</v>
      </c>
      <c r="S148" t="b">
        <f t="shared" si="4"/>
        <v>1</v>
      </c>
      <c r="T148" t="b">
        <f t="shared" si="5"/>
        <v>1</v>
      </c>
      <c r="U148" s="154">
        <f>IFERROR(IF(R148&lt;&gt;FALSE,IF(S148=TRUE,INDEX('SummaryNOT_VALIDATED-BL'!$A$1:$F$16,MATCH(R148,'SummaryNOT_VALIDATED-BL'!$A$1:$A$16,0),6),0),IF(S148=TRUE,INDEX('SummaryNOT_VALIDATED-BL'!$A$1:$F$16,MATCH(E148,'SummaryNOT_VALIDATED-BL'!$A$1:$A$16,0),6),0)),0)</f>
        <v>6.3112622236488891E-2</v>
      </c>
      <c r="V148" s="81" cm="1">
        <f t="array" ref="V148">INDEX('Weight tables'!$A$24:$C$27,MATCH(1,(RendicontiTrasmessiBL__2[[#This Row],[Cut percentage on real costs + USC]]&gt;='Weight tables'!$B$24:$B$27)*(RendicontiTrasmessiBL__2[[#This Row],[Cut percentage on real costs + USC]]&lt;='Weight tables'!$C$24:$C$27),0),1)</f>
        <v>4</v>
      </c>
      <c r="W148" s="2">
        <f>RendicontiTrasmessiBL__2[[#This Row],[Weight real costs  + USC ]]</f>
        <v>4</v>
      </c>
    </row>
    <row r="149" spans="1:23" x14ac:dyDescent="0.25">
      <c r="A149" s="1" t="s">
        <v>71</v>
      </c>
      <c r="B149" s="1" t="s">
        <v>290</v>
      </c>
      <c r="C149" s="2">
        <v>72</v>
      </c>
      <c r="D149" s="2">
        <v>134</v>
      </c>
      <c r="E149" s="1" t="s">
        <v>231</v>
      </c>
      <c r="G149">
        <v>27902.38</v>
      </c>
      <c r="H149">
        <v>0</v>
      </c>
      <c r="I149">
        <v>0</v>
      </c>
      <c r="J149">
        <v>0</v>
      </c>
      <c r="K149">
        <v>0</v>
      </c>
      <c r="L149">
        <v>0</v>
      </c>
      <c r="M149">
        <v>0</v>
      </c>
      <c r="N149">
        <v>0</v>
      </c>
      <c r="O149">
        <v>27902.38</v>
      </c>
      <c r="P149">
        <v>0</v>
      </c>
      <c r="Q149" t="str">
        <f>INDEX('Partner data'!A:DH,MATCH(C149,'Partner data'!DG:DG,0),83)</f>
        <v>Soggetto pubblico</v>
      </c>
      <c r="R149" t="b">
        <f>IF(E149="staff",IF(INDEX('Partner data'!A:DH,MATCH(C149,'Partner data'!DG:DG,0),112)="BL1 non presente","FALSO",INDEX('Partner data'!A:DH,MATCH(C149,'Partner data'!DG:DG,0),112)))</f>
        <v>0</v>
      </c>
      <c r="S149" t="b">
        <f t="shared" si="4"/>
        <v>0</v>
      </c>
      <c r="T149" t="b">
        <f t="shared" si="5"/>
        <v>1</v>
      </c>
      <c r="U149" s="154">
        <f>IFERROR(IF(R149&lt;&gt;FALSE,IF(S149=TRUE,INDEX('SummaryNOT_VALIDATED-BL'!$A$1:$F$16,MATCH(R149,'SummaryNOT_VALIDATED-BL'!$A$1:$A$16,0),6),0),IF(S149=TRUE,INDEX('SummaryNOT_VALIDATED-BL'!$A$1:$F$16,MATCH(E149,'SummaryNOT_VALIDATED-BL'!$A$1:$A$16,0),6),0)),0)</f>
        <v>0</v>
      </c>
      <c r="V149" s="81" cm="1">
        <f t="array" ref="V149">INDEX('Weight tables'!$A$24:$C$27,MATCH(1,(RendicontiTrasmessiBL__2[[#This Row],[Cut percentage on real costs + USC]]&gt;='Weight tables'!$B$24:$B$27)*(RendicontiTrasmessiBL__2[[#This Row],[Cut percentage on real costs + USC]]&lt;='Weight tables'!$C$24:$C$27),0),1)</f>
        <v>0</v>
      </c>
      <c r="W149" s="2">
        <f>RendicontiTrasmessiBL__2[[#This Row],[Weight real costs  + USC ]]</f>
        <v>0</v>
      </c>
    </row>
    <row r="150" spans="1:23" x14ac:dyDescent="0.25">
      <c r="A150" s="1" t="s">
        <v>71</v>
      </c>
      <c r="B150" s="1" t="s">
        <v>290</v>
      </c>
      <c r="C150" s="2">
        <v>72</v>
      </c>
      <c r="D150" s="2">
        <v>134</v>
      </c>
      <c r="E150" s="1" t="s">
        <v>232</v>
      </c>
      <c r="G150">
        <v>27097.62</v>
      </c>
      <c r="H150">
        <v>0</v>
      </c>
      <c r="I150">
        <v>0</v>
      </c>
      <c r="J150">
        <v>27097.58</v>
      </c>
      <c r="K150">
        <v>0</v>
      </c>
      <c r="L150">
        <v>27097.58</v>
      </c>
      <c r="M150">
        <v>27097.58</v>
      </c>
      <c r="N150">
        <v>100</v>
      </c>
      <c r="O150">
        <v>0.04</v>
      </c>
      <c r="P150">
        <v>0</v>
      </c>
      <c r="Q150" t="str">
        <f>INDEX('Partner data'!A:DH,MATCH(C150,'Partner data'!DG:DG,0),83)</f>
        <v>Soggetto pubblico</v>
      </c>
      <c r="R150" t="b">
        <f>IF(E150="staff",IF(INDEX('Partner data'!A:DH,MATCH(C150,'Partner data'!DG:DG,0),112)="BL1 non presente","FALSO",INDEX('Partner data'!A:DH,MATCH(C150,'Partner data'!DG:DG,0),112)))</f>
        <v>0</v>
      </c>
      <c r="S150" t="b">
        <f t="shared" si="4"/>
        <v>1</v>
      </c>
      <c r="T150" t="b">
        <f t="shared" si="5"/>
        <v>1</v>
      </c>
      <c r="U150" s="154">
        <f>IFERROR(IF(R150&lt;&gt;FALSE,IF(S150=TRUE,INDEX('SummaryNOT_VALIDATED-BL'!$A$1:$F$16,MATCH(R150,'SummaryNOT_VALIDATED-BL'!$A$1:$A$16,0),6),0),IF(S150=TRUE,INDEX('SummaryNOT_VALIDATED-BL'!$A$1:$F$16,MATCH(E150,'SummaryNOT_VALIDATED-BL'!$A$1:$A$16,0),6),0)),0)</f>
        <v>1.102169095281242E-2</v>
      </c>
      <c r="V150" s="81" cm="1">
        <f t="array" ref="V150">INDEX('Weight tables'!$A$24:$C$27,MATCH(1,(RendicontiTrasmessiBL__2[[#This Row],[Cut percentage on real costs + USC]]&gt;='Weight tables'!$B$24:$B$27)*(RendicontiTrasmessiBL__2[[#This Row],[Cut percentage on real costs + USC]]&lt;='Weight tables'!$C$24:$C$27),0),1)</f>
        <v>0</v>
      </c>
      <c r="W150" s="2">
        <f>RendicontiTrasmessiBL__2[[#This Row],[Weight real costs  + USC ]]</f>
        <v>0</v>
      </c>
    </row>
    <row r="151" spans="1:23" x14ac:dyDescent="0.25">
      <c r="A151" s="1" t="s">
        <v>71</v>
      </c>
      <c r="B151" s="1" t="s">
        <v>290</v>
      </c>
      <c r="C151" s="2">
        <v>72</v>
      </c>
      <c r="D151" s="2">
        <v>134</v>
      </c>
      <c r="E151" s="1" t="s">
        <v>233</v>
      </c>
      <c r="G151">
        <v>0</v>
      </c>
      <c r="H151">
        <v>0</v>
      </c>
      <c r="I151">
        <v>0</v>
      </c>
      <c r="J151">
        <v>0</v>
      </c>
      <c r="K151">
        <v>0</v>
      </c>
      <c r="L151">
        <v>0</v>
      </c>
      <c r="M151">
        <v>0</v>
      </c>
      <c r="N151">
        <v>0</v>
      </c>
      <c r="O151">
        <v>0</v>
      </c>
      <c r="P151">
        <v>0</v>
      </c>
      <c r="Q151" t="str">
        <f>INDEX('Partner data'!A:DH,MATCH(C151,'Partner data'!DG:DG,0),83)</f>
        <v>Soggetto pubblico</v>
      </c>
      <c r="R151" t="b">
        <f>IF(E151="staff",IF(INDEX('Partner data'!A:DH,MATCH(C151,'Partner data'!DG:DG,0),112)="BL1 non presente","FALSO",INDEX('Partner data'!A:DH,MATCH(C151,'Partner data'!DG:DG,0),112)))</f>
        <v>0</v>
      </c>
      <c r="S151" t="b">
        <f t="shared" si="4"/>
        <v>0</v>
      </c>
      <c r="T151" t="b">
        <f t="shared" si="5"/>
        <v>1</v>
      </c>
      <c r="U151" s="154">
        <f>IFERROR(IF(R151&lt;&gt;FALSE,IF(S151=TRUE,INDEX('SummaryNOT_VALIDATED-BL'!$A$1:$F$16,MATCH(R151,'SummaryNOT_VALIDATED-BL'!$A$1:$A$16,0),6),0),IF(S151=TRUE,INDEX('SummaryNOT_VALIDATED-BL'!$A$1:$F$16,MATCH(E151,'SummaryNOT_VALIDATED-BL'!$A$1:$A$16,0),6),0)),0)</f>
        <v>0</v>
      </c>
      <c r="V151" s="81" cm="1">
        <f t="array" ref="V151">INDEX('Weight tables'!$A$24:$C$27,MATCH(1,(RendicontiTrasmessiBL__2[[#This Row],[Cut percentage on real costs + USC]]&gt;='Weight tables'!$B$24:$B$27)*(RendicontiTrasmessiBL__2[[#This Row],[Cut percentage on real costs + USC]]&lt;='Weight tables'!$C$24:$C$27),0),1)</f>
        <v>0</v>
      </c>
      <c r="W151" s="2">
        <f>RendicontiTrasmessiBL__2[[#This Row],[Weight real costs  + USC ]]</f>
        <v>0</v>
      </c>
    </row>
    <row r="152" spans="1:23" x14ac:dyDescent="0.25">
      <c r="A152" s="1" t="s">
        <v>71</v>
      </c>
      <c r="B152" s="1" t="s">
        <v>290</v>
      </c>
      <c r="C152" s="2">
        <v>72</v>
      </c>
      <c r="D152" s="2">
        <v>134</v>
      </c>
      <c r="E152" s="1" t="s">
        <v>234</v>
      </c>
      <c r="G152">
        <v>0</v>
      </c>
      <c r="H152">
        <v>0</v>
      </c>
      <c r="I152">
        <v>0</v>
      </c>
      <c r="J152">
        <v>0</v>
      </c>
      <c r="K152">
        <v>0</v>
      </c>
      <c r="L152">
        <v>0</v>
      </c>
      <c r="M152">
        <v>0</v>
      </c>
      <c r="N152">
        <v>0</v>
      </c>
      <c r="O152">
        <v>0</v>
      </c>
      <c r="P152">
        <v>0</v>
      </c>
      <c r="Q152" t="str">
        <f>INDEX('Partner data'!A:DH,MATCH(C152,'Partner data'!DG:DG,0),83)</f>
        <v>Soggetto pubblico</v>
      </c>
      <c r="R152" t="b">
        <f>IF(E152="staff",IF(INDEX('Partner data'!A:DH,MATCH(C152,'Partner data'!DG:DG,0),112)="BL1 non presente","FALSO",INDEX('Partner data'!A:DH,MATCH(C152,'Partner data'!DG:DG,0),112)))</f>
        <v>0</v>
      </c>
      <c r="S152" t="b">
        <f t="shared" si="4"/>
        <v>0</v>
      </c>
      <c r="T152" t="b">
        <f t="shared" si="5"/>
        <v>1</v>
      </c>
      <c r="U152" s="154">
        <f>IFERROR(IF(R152&lt;&gt;FALSE,IF(S152=TRUE,INDEX('SummaryNOT_VALIDATED-BL'!$A$1:$F$16,MATCH(R152,'SummaryNOT_VALIDATED-BL'!$A$1:$A$16,0),6),0),IF(S152=TRUE,INDEX('SummaryNOT_VALIDATED-BL'!$A$1:$F$16,MATCH(E152,'SummaryNOT_VALIDATED-BL'!$A$1:$A$16,0),6),0)),0)</f>
        <v>0</v>
      </c>
      <c r="V152" s="81" cm="1">
        <f t="array" ref="V152">INDEX('Weight tables'!$A$24:$C$27,MATCH(1,(RendicontiTrasmessiBL__2[[#This Row],[Cut percentage on real costs + USC]]&gt;='Weight tables'!$B$24:$B$27)*(RendicontiTrasmessiBL__2[[#This Row],[Cut percentage on real costs + USC]]&lt;='Weight tables'!$C$24:$C$27),0),1)</f>
        <v>0</v>
      </c>
      <c r="W152" s="2">
        <f>RendicontiTrasmessiBL__2[[#This Row],[Weight real costs  + USC ]]</f>
        <v>0</v>
      </c>
    </row>
    <row r="153" spans="1:23" x14ac:dyDescent="0.25">
      <c r="A153" s="1" t="s">
        <v>71</v>
      </c>
      <c r="B153" s="1" t="s">
        <v>290</v>
      </c>
      <c r="C153" s="2">
        <v>72</v>
      </c>
      <c r="D153" s="2">
        <v>134</v>
      </c>
      <c r="E153" s="1" t="s">
        <v>236</v>
      </c>
      <c r="G153">
        <v>0</v>
      </c>
      <c r="H153">
        <v>0</v>
      </c>
      <c r="I153">
        <v>0</v>
      </c>
      <c r="J153">
        <v>0</v>
      </c>
      <c r="K153">
        <v>0</v>
      </c>
      <c r="L153">
        <v>0</v>
      </c>
      <c r="M153">
        <v>0</v>
      </c>
      <c r="N153">
        <v>0</v>
      </c>
      <c r="O153">
        <v>0</v>
      </c>
      <c r="P153">
        <v>0</v>
      </c>
      <c r="Q153" t="str">
        <f>INDEX('Partner data'!A:DH,MATCH(C153,'Partner data'!DG:DG,0),83)</f>
        <v>Soggetto pubblico</v>
      </c>
      <c r="R153" t="b">
        <f>IF(E153="staff",IF(INDEX('Partner data'!A:DH,MATCH(C153,'Partner data'!DG:DG,0),112)="BL1 non presente","FALSO",INDEX('Partner data'!A:DH,MATCH(C153,'Partner data'!DG:DG,0),112)))</f>
        <v>0</v>
      </c>
      <c r="S153" t="b">
        <f t="shared" si="4"/>
        <v>0</v>
      </c>
      <c r="T153" t="b">
        <f t="shared" si="5"/>
        <v>1</v>
      </c>
      <c r="U153" s="154">
        <f>IFERROR(IF(R153&lt;&gt;FALSE,IF(S153=TRUE,INDEX('SummaryNOT_VALIDATED-BL'!$A$1:$F$16,MATCH(R153,'SummaryNOT_VALIDATED-BL'!$A$1:$A$16,0),6),0),IF(S153=TRUE,INDEX('SummaryNOT_VALIDATED-BL'!$A$1:$F$16,MATCH(E153,'SummaryNOT_VALIDATED-BL'!$A$1:$A$16,0),6),0)),0)</f>
        <v>0</v>
      </c>
      <c r="V153" s="81" cm="1">
        <f t="array" ref="V153">INDEX('Weight tables'!$A$24:$C$27,MATCH(1,(RendicontiTrasmessiBL__2[[#This Row],[Cut percentage on real costs + USC]]&gt;='Weight tables'!$B$24:$B$27)*(RendicontiTrasmessiBL__2[[#This Row],[Cut percentage on real costs + USC]]&lt;='Weight tables'!$C$24:$C$27),0),1)</f>
        <v>0</v>
      </c>
      <c r="W153" s="2">
        <f>RendicontiTrasmessiBL__2[[#This Row],[Weight real costs  + USC ]]</f>
        <v>0</v>
      </c>
    </row>
    <row r="154" spans="1:23" x14ac:dyDescent="0.25">
      <c r="A154" s="1" t="s">
        <v>71</v>
      </c>
      <c r="B154" s="1" t="s">
        <v>290</v>
      </c>
      <c r="C154" s="2">
        <v>72</v>
      </c>
      <c r="D154" s="2">
        <v>134</v>
      </c>
      <c r="E154" s="1" t="s">
        <v>237</v>
      </c>
      <c r="G154">
        <v>0</v>
      </c>
      <c r="H154">
        <v>0</v>
      </c>
      <c r="I154">
        <v>0</v>
      </c>
      <c r="J154">
        <v>0</v>
      </c>
      <c r="K154">
        <v>0</v>
      </c>
      <c r="L154">
        <v>0</v>
      </c>
      <c r="M154">
        <v>0</v>
      </c>
      <c r="N154">
        <v>0</v>
      </c>
      <c r="O154">
        <v>0</v>
      </c>
      <c r="P154">
        <v>0</v>
      </c>
      <c r="Q154" t="str">
        <f>INDEX('Partner data'!A:DH,MATCH(C154,'Partner data'!DG:DG,0),83)</f>
        <v>Soggetto pubblico</v>
      </c>
      <c r="R154" t="b">
        <f>IF(E154="staff",IF(INDEX('Partner data'!A:DH,MATCH(C154,'Partner data'!DG:DG,0),112)="BL1 non presente","FALSO",INDEX('Partner data'!A:DH,MATCH(C154,'Partner data'!DG:DG,0),112)))</f>
        <v>0</v>
      </c>
      <c r="S154" t="b">
        <f t="shared" si="4"/>
        <v>0</v>
      </c>
      <c r="T154" t="b">
        <f t="shared" si="5"/>
        <v>1</v>
      </c>
      <c r="U154" s="154">
        <f>IFERROR(IF(R154&lt;&gt;FALSE,IF(S154=TRUE,INDEX('SummaryNOT_VALIDATED-BL'!$A$1:$F$16,MATCH(R154,'SummaryNOT_VALIDATED-BL'!$A$1:$A$16,0),6),0),IF(S154=TRUE,INDEX('SummaryNOT_VALIDATED-BL'!$A$1:$F$16,MATCH(E154,'SummaryNOT_VALIDATED-BL'!$A$1:$A$16,0),6),0)),0)</f>
        <v>0</v>
      </c>
      <c r="V154" s="81" cm="1">
        <f t="array" ref="V154">INDEX('Weight tables'!$A$24:$C$27,MATCH(1,(RendicontiTrasmessiBL__2[[#This Row],[Cut percentage on real costs + USC]]&gt;='Weight tables'!$B$24:$B$27)*(RendicontiTrasmessiBL__2[[#This Row],[Cut percentage on real costs + USC]]&lt;='Weight tables'!$C$24:$C$27),0),1)</f>
        <v>0</v>
      </c>
      <c r="W154" s="2">
        <f>RendicontiTrasmessiBL__2[[#This Row],[Weight real costs  + USC ]]</f>
        <v>0</v>
      </c>
    </row>
    <row r="155" spans="1:23" x14ac:dyDescent="0.25">
      <c r="A155" s="1" t="s">
        <v>71</v>
      </c>
      <c r="B155" s="1" t="s">
        <v>303</v>
      </c>
      <c r="C155" s="2">
        <v>157</v>
      </c>
      <c r="D155" s="2">
        <v>206</v>
      </c>
      <c r="E155" s="1" t="s">
        <v>228</v>
      </c>
      <c r="F155">
        <v>20</v>
      </c>
      <c r="G155">
        <v>16260</v>
      </c>
      <c r="H155">
        <v>0</v>
      </c>
      <c r="I155">
        <v>0</v>
      </c>
      <c r="J155">
        <v>1462.97</v>
      </c>
      <c r="K155">
        <v>0</v>
      </c>
      <c r="L155">
        <v>1449.81</v>
      </c>
      <c r="M155">
        <v>1462.97</v>
      </c>
      <c r="N155">
        <v>9</v>
      </c>
      <c r="O155">
        <v>14797.03</v>
      </c>
      <c r="P155">
        <v>0</v>
      </c>
      <c r="Q155" t="str">
        <f>INDEX('Partner data'!A:DH,MATCH(C155,'Partner data'!DG:DG,0),83)</f>
        <v xml:space="preserve">Organismo di diritto pubblico </v>
      </c>
      <c r="R155" t="str">
        <f>IF(E155="staff",IF(INDEX('Partner data'!A:DH,MATCH(C155,'Partner data'!DG:DG,0),112)="BL1 non presente","FALSO",INDEX('Partner data'!A:DH,MATCH(C155,'Partner data'!DG:DG,0),112)))</f>
        <v>Tasso Forfettario 20%</v>
      </c>
      <c r="S155" t="b">
        <f t="shared" si="4"/>
        <v>1</v>
      </c>
      <c r="T155" t="b">
        <f t="shared" si="5"/>
        <v>1</v>
      </c>
      <c r="U155" s="154">
        <f>IFERROR(IF(R155&lt;&gt;FALSE,IF(S155=TRUE,INDEX('SummaryNOT_VALIDATED-BL'!$A$1:$F$16,MATCH(R155,'SummaryNOT_VALIDATED-BL'!$A$1:$A$16,0),6),0),IF(S155=TRUE,INDEX('SummaryNOT_VALIDATED-BL'!$A$1:$F$16,MATCH(E155,'SummaryNOT_VALIDATED-BL'!$A$1:$A$16,0),6),0)),0)</f>
        <v>1.2653355650533233E-2</v>
      </c>
      <c r="V155" s="81" cm="1">
        <f t="array" ref="V155">INDEX('Weight tables'!$A$24:$C$27,MATCH(1,(RendicontiTrasmessiBL__2[[#This Row],[Cut percentage on real costs + USC]]&gt;='Weight tables'!$B$24:$B$27)*(RendicontiTrasmessiBL__2[[#This Row],[Cut percentage on real costs + USC]]&lt;='Weight tables'!$C$24:$C$27),0),1)</f>
        <v>0</v>
      </c>
      <c r="W155" s="2">
        <f>RendicontiTrasmessiBL__2[[#This Row],[Weight real costs  + USC ]]</f>
        <v>0</v>
      </c>
    </row>
    <row r="156" spans="1:23" x14ac:dyDescent="0.25">
      <c r="A156" s="1" t="s">
        <v>71</v>
      </c>
      <c r="B156" s="1" t="s">
        <v>303</v>
      </c>
      <c r="C156" s="2">
        <v>157</v>
      </c>
      <c r="D156" s="2">
        <v>206</v>
      </c>
      <c r="E156" s="1" t="s">
        <v>229</v>
      </c>
      <c r="F156">
        <v>15</v>
      </c>
      <c r="G156">
        <v>2439</v>
      </c>
      <c r="H156">
        <v>0</v>
      </c>
      <c r="I156">
        <v>0</v>
      </c>
      <c r="J156">
        <v>219.44</v>
      </c>
      <c r="K156">
        <v>0</v>
      </c>
      <c r="L156">
        <v>217.47</v>
      </c>
      <c r="M156">
        <v>219.44</v>
      </c>
      <c r="N156">
        <v>9</v>
      </c>
      <c r="O156">
        <v>2219.56</v>
      </c>
      <c r="P156">
        <v>0</v>
      </c>
      <c r="Q156" t="str">
        <f>INDEX('Partner data'!A:DH,MATCH(C156,'Partner data'!DG:DG,0),83)</f>
        <v xml:space="preserve">Organismo di diritto pubblico </v>
      </c>
      <c r="R156" t="b">
        <f>IF(E156="staff",IF(INDEX('Partner data'!A:DH,MATCH(C156,'Partner data'!DG:DG,0),112)="BL1 non presente","FALSO",INDEX('Partner data'!A:DH,MATCH(C156,'Partner data'!DG:DG,0),112)))</f>
        <v>0</v>
      </c>
      <c r="S156" t="b">
        <f t="shared" si="4"/>
        <v>1</v>
      </c>
      <c r="T156" t="b">
        <f t="shared" si="5"/>
        <v>1</v>
      </c>
      <c r="U156" s="154">
        <f>IFERROR(IF(R156&lt;&gt;FALSE,IF(S156=TRUE,INDEX('SummaryNOT_VALIDATED-BL'!$A$1:$F$16,MATCH(R156,'SummaryNOT_VALIDATED-BL'!$A$1:$A$16,0),6),0),IF(S156=TRUE,INDEX('SummaryNOT_VALIDATED-BL'!$A$1:$F$16,MATCH(E156,'SummaryNOT_VALIDATED-BL'!$A$1:$A$16,0),6),0)),0)</f>
        <v>6.6460469504890221E-2</v>
      </c>
      <c r="V156" s="81" cm="1">
        <f t="array" ref="V156">INDEX('Weight tables'!$A$24:$C$27,MATCH(1,(RendicontiTrasmessiBL__2[[#This Row],[Cut percentage on real costs + USC]]&gt;='Weight tables'!$B$24:$B$27)*(RendicontiTrasmessiBL__2[[#This Row],[Cut percentage on real costs + USC]]&lt;='Weight tables'!$C$24:$C$27),0),1)</f>
        <v>4</v>
      </c>
      <c r="W156" s="2">
        <f>RendicontiTrasmessiBL__2[[#This Row],[Weight real costs  + USC ]]</f>
        <v>4</v>
      </c>
    </row>
    <row r="157" spans="1:23" x14ac:dyDescent="0.25">
      <c r="A157" s="1" t="s">
        <v>71</v>
      </c>
      <c r="B157" s="1" t="s">
        <v>303</v>
      </c>
      <c r="C157" s="2">
        <v>157</v>
      </c>
      <c r="D157" s="2">
        <v>206</v>
      </c>
      <c r="E157" s="1" t="s">
        <v>230</v>
      </c>
      <c r="G157">
        <v>0</v>
      </c>
      <c r="H157">
        <v>0</v>
      </c>
      <c r="I157">
        <v>0</v>
      </c>
      <c r="J157">
        <v>0</v>
      </c>
      <c r="K157">
        <v>0</v>
      </c>
      <c r="L157">
        <v>0</v>
      </c>
      <c r="M157">
        <v>0</v>
      </c>
      <c r="N157">
        <v>0</v>
      </c>
      <c r="O157">
        <v>0</v>
      </c>
      <c r="P157">
        <v>0</v>
      </c>
      <c r="Q157" t="str">
        <f>INDEX('Partner data'!A:DH,MATCH(C157,'Partner data'!DG:DG,0),83)</f>
        <v xml:space="preserve">Organismo di diritto pubblico </v>
      </c>
      <c r="R157" t="b">
        <f>IF(E157="staff",IF(INDEX('Partner data'!A:DH,MATCH(C157,'Partner data'!DG:DG,0),112)="BL1 non presente","FALSO",INDEX('Partner data'!A:DH,MATCH(C157,'Partner data'!DG:DG,0),112)))</f>
        <v>0</v>
      </c>
      <c r="S157" t="b">
        <f t="shared" si="4"/>
        <v>0</v>
      </c>
      <c r="T157" t="b">
        <f t="shared" si="5"/>
        <v>1</v>
      </c>
      <c r="U157" s="154">
        <f>IFERROR(IF(R157&lt;&gt;FALSE,IF(S157=TRUE,INDEX('SummaryNOT_VALIDATED-BL'!$A$1:$F$16,MATCH(R157,'SummaryNOT_VALIDATED-BL'!$A$1:$A$16,0),6),0),IF(S157=TRUE,INDEX('SummaryNOT_VALIDATED-BL'!$A$1:$F$16,MATCH(E157,'SummaryNOT_VALIDATED-BL'!$A$1:$A$16,0),6),0)),0)</f>
        <v>0</v>
      </c>
      <c r="V157" s="81" cm="1">
        <f t="array" ref="V157">INDEX('Weight tables'!$A$24:$C$27,MATCH(1,(RendicontiTrasmessiBL__2[[#This Row],[Cut percentage on real costs + USC]]&gt;='Weight tables'!$B$24:$B$27)*(RendicontiTrasmessiBL__2[[#This Row],[Cut percentage on real costs + USC]]&lt;='Weight tables'!$C$24:$C$27),0),1)</f>
        <v>0</v>
      </c>
      <c r="W157" s="2">
        <f>RendicontiTrasmessiBL__2[[#This Row],[Weight real costs  + USC ]]</f>
        <v>0</v>
      </c>
    </row>
    <row r="158" spans="1:23" x14ac:dyDescent="0.25">
      <c r="A158" s="1" t="s">
        <v>71</v>
      </c>
      <c r="B158" s="1" t="s">
        <v>303</v>
      </c>
      <c r="C158" s="2">
        <v>157</v>
      </c>
      <c r="D158" s="2">
        <v>206</v>
      </c>
      <c r="E158" s="1" t="s">
        <v>231</v>
      </c>
      <c r="G158">
        <v>52000</v>
      </c>
      <c r="H158">
        <v>0</v>
      </c>
      <c r="I158">
        <v>0</v>
      </c>
      <c r="J158">
        <v>7314.86</v>
      </c>
      <c r="K158">
        <v>0</v>
      </c>
      <c r="L158">
        <v>7249.07</v>
      </c>
      <c r="M158">
        <v>7314.86</v>
      </c>
      <c r="N158">
        <v>14.07</v>
      </c>
      <c r="O158">
        <v>44685.14</v>
      </c>
      <c r="P158">
        <v>0</v>
      </c>
      <c r="Q158" t="str">
        <f>INDEX('Partner data'!A:DH,MATCH(C158,'Partner data'!DG:DG,0),83)</f>
        <v xml:space="preserve">Organismo di diritto pubblico </v>
      </c>
      <c r="R158" t="b">
        <f>IF(E158="staff",IF(INDEX('Partner data'!A:DH,MATCH(C158,'Partner data'!DG:DG,0),112)="BL1 non presente","FALSO",INDEX('Partner data'!A:DH,MATCH(C158,'Partner data'!DG:DG,0),112)))</f>
        <v>0</v>
      </c>
      <c r="S158" t="b">
        <f t="shared" si="4"/>
        <v>1</v>
      </c>
      <c r="T158" t="b">
        <f t="shared" si="5"/>
        <v>1</v>
      </c>
      <c r="U158" s="154">
        <f>IFERROR(IF(R158&lt;&gt;FALSE,IF(S158=TRUE,INDEX('SummaryNOT_VALIDATED-BL'!$A$1:$F$16,MATCH(R158,'SummaryNOT_VALIDATED-BL'!$A$1:$A$16,0),6),0),IF(S158=TRUE,INDEX('SummaryNOT_VALIDATED-BL'!$A$1:$F$16,MATCH(E158,'SummaryNOT_VALIDATED-BL'!$A$1:$A$16,0),6),0)),0)</f>
        <v>5.577594442215475E-2</v>
      </c>
      <c r="V158" s="81" cm="1">
        <f t="array" ref="V158">INDEX('Weight tables'!$A$24:$C$27,MATCH(1,(RendicontiTrasmessiBL__2[[#This Row],[Cut percentage on real costs + USC]]&gt;='Weight tables'!$B$24:$B$27)*(RendicontiTrasmessiBL__2[[#This Row],[Cut percentage on real costs + USC]]&lt;='Weight tables'!$C$24:$C$27),0),1)</f>
        <v>4</v>
      </c>
      <c r="W158" s="2">
        <f>RendicontiTrasmessiBL__2[[#This Row],[Weight real costs  + USC ]]</f>
        <v>4</v>
      </c>
    </row>
    <row r="159" spans="1:23" x14ac:dyDescent="0.25">
      <c r="A159" s="1" t="s">
        <v>71</v>
      </c>
      <c r="B159" s="1" t="s">
        <v>303</v>
      </c>
      <c r="C159" s="2">
        <v>157</v>
      </c>
      <c r="D159" s="2">
        <v>206</v>
      </c>
      <c r="E159" s="1" t="s">
        <v>232</v>
      </c>
      <c r="G159">
        <v>29300</v>
      </c>
      <c r="H159">
        <v>0</v>
      </c>
      <c r="I159">
        <v>0</v>
      </c>
      <c r="J159">
        <v>0</v>
      </c>
      <c r="K159">
        <v>0</v>
      </c>
      <c r="L159">
        <v>0</v>
      </c>
      <c r="M159">
        <v>0</v>
      </c>
      <c r="N159">
        <v>0</v>
      </c>
      <c r="O159">
        <v>29300</v>
      </c>
      <c r="P159">
        <v>0</v>
      </c>
      <c r="Q159" t="str">
        <f>INDEX('Partner data'!A:DH,MATCH(C159,'Partner data'!DG:DG,0),83)</f>
        <v xml:space="preserve">Organismo di diritto pubblico </v>
      </c>
      <c r="R159" t="b">
        <f>IF(E159="staff",IF(INDEX('Partner data'!A:DH,MATCH(C159,'Partner data'!DG:DG,0),112)="BL1 non presente","FALSO",INDEX('Partner data'!A:DH,MATCH(C159,'Partner data'!DG:DG,0),112)))</f>
        <v>0</v>
      </c>
      <c r="S159" t="b">
        <f t="shared" si="4"/>
        <v>0</v>
      </c>
      <c r="T159" t="b">
        <f t="shared" si="5"/>
        <v>1</v>
      </c>
      <c r="U159" s="154">
        <f>IFERROR(IF(R159&lt;&gt;FALSE,IF(S159=TRUE,INDEX('SummaryNOT_VALIDATED-BL'!$A$1:$F$16,MATCH(R159,'SummaryNOT_VALIDATED-BL'!$A$1:$A$16,0),6),0),IF(S159=TRUE,INDEX('SummaryNOT_VALIDATED-BL'!$A$1:$F$16,MATCH(E159,'SummaryNOT_VALIDATED-BL'!$A$1:$A$16,0),6),0)),0)</f>
        <v>0</v>
      </c>
      <c r="V159" s="81" cm="1">
        <f t="array" ref="V159">INDEX('Weight tables'!$A$24:$C$27,MATCH(1,(RendicontiTrasmessiBL__2[[#This Row],[Cut percentage on real costs + USC]]&gt;='Weight tables'!$B$24:$B$27)*(RendicontiTrasmessiBL__2[[#This Row],[Cut percentage on real costs + USC]]&lt;='Weight tables'!$C$24:$C$27),0),1)</f>
        <v>0</v>
      </c>
      <c r="W159" s="2">
        <f>RendicontiTrasmessiBL__2[[#This Row],[Weight real costs  + USC ]]</f>
        <v>0</v>
      </c>
    </row>
    <row r="160" spans="1:23" x14ac:dyDescent="0.25">
      <c r="A160" s="1" t="s">
        <v>71</v>
      </c>
      <c r="B160" s="1" t="s">
        <v>303</v>
      </c>
      <c r="C160" s="2">
        <v>157</v>
      </c>
      <c r="D160" s="2">
        <v>206</v>
      </c>
      <c r="E160" s="1" t="s">
        <v>233</v>
      </c>
      <c r="G160">
        <v>0</v>
      </c>
      <c r="H160">
        <v>0</v>
      </c>
      <c r="I160">
        <v>0</v>
      </c>
      <c r="J160">
        <v>0</v>
      </c>
      <c r="K160">
        <v>0</v>
      </c>
      <c r="L160">
        <v>0</v>
      </c>
      <c r="M160">
        <v>0</v>
      </c>
      <c r="N160">
        <v>0</v>
      </c>
      <c r="O160">
        <v>0</v>
      </c>
      <c r="P160">
        <v>0</v>
      </c>
      <c r="Q160" t="str">
        <f>INDEX('Partner data'!A:DH,MATCH(C160,'Partner data'!DG:DG,0),83)</f>
        <v xml:space="preserve">Organismo di diritto pubblico </v>
      </c>
      <c r="R160" t="b">
        <f>IF(E160="staff",IF(INDEX('Partner data'!A:DH,MATCH(C160,'Partner data'!DG:DG,0),112)="BL1 non presente","FALSO",INDEX('Partner data'!A:DH,MATCH(C160,'Partner data'!DG:DG,0),112)))</f>
        <v>0</v>
      </c>
      <c r="S160" t="b">
        <f t="shared" si="4"/>
        <v>0</v>
      </c>
      <c r="T160" t="b">
        <f t="shared" si="5"/>
        <v>1</v>
      </c>
      <c r="U160" s="154">
        <f>IFERROR(IF(R160&lt;&gt;FALSE,IF(S160=TRUE,INDEX('SummaryNOT_VALIDATED-BL'!$A$1:$F$16,MATCH(R160,'SummaryNOT_VALIDATED-BL'!$A$1:$A$16,0),6),0),IF(S160=TRUE,INDEX('SummaryNOT_VALIDATED-BL'!$A$1:$F$16,MATCH(E160,'SummaryNOT_VALIDATED-BL'!$A$1:$A$16,0),6),0)),0)</f>
        <v>0</v>
      </c>
      <c r="V160" s="81" cm="1">
        <f t="array" ref="V160">INDEX('Weight tables'!$A$24:$C$27,MATCH(1,(RendicontiTrasmessiBL__2[[#This Row],[Cut percentage on real costs + USC]]&gt;='Weight tables'!$B$24:$B$27)*(RendicontiTrasmessiBL__2[[#This Row],[Cut percentage on real costs + USC]]&lt;='Weight tables'!$C$24:$C$27),0),1)</f>
        <v>0</v>
      </c>
      <c r="W160" s="2">
        <f>RendicontiTrasmessiBL__2[[#This Row],[Weight real costs  + USC ]]</f>
        <v>0</v>
      </c>
    </row>
    <row r="161" spans="1:23" x14ac:dyDescent="0.25">
      <c r="A161" s="1" t="s">
        <v>71</v>
      </c>
      <c r="B161" s="1" t="s">
        <v>303</v>
      </c>
      <c r="C161" s="2">
        <v>157</v>
      </c>
      <c r="D161" s="2">
        <v>206</v>
      </c>
      <c r="E161" s="1" t="s">
        <v>234</v>
      </c>
      <c r="G161">
        <v>0</v>
      </c>
      <c r="H161">
        <v>0</v>
      </c>
      <c r="I161">
        <v>0</v>
      </c>
      <c r="J161">
        <v>0</v>
      </c>
      <c r="K161">
        <v>0</v>
      </c>
      <c r="L161">
        <v>0</v>
      </c>
      <c r="M161">
        <v>0</v>
      </c>
      <c r="N161">
        <v>0</v>
      </c>
      <c r="O161">
        <v>0</v>
      </c>
      <c r="P161">
        <v>0</v>
      </c>
      <c r="Q161" t="str">
        <f>INDEX('Partner data'!A:DH,MATCH(C161,'Partner data'!DG:DG,0),83)</f>
        <v xml:space="preserve">Organismo di diritto pubblico </v>
      </c>
      <c r="R161" t="b">
        <f>IF(E161="staff",IF(INDEX('Partner data'!A:DH,MATCH(C161,'Partner data'!DG:DG,0),112)="BL1 non presente","FALSO",INDEX('Partner data'!A:DH,MATCH(C161,'Partner data'!DG:DG,0),112)))</f>
        <v>0</v>
      </c>
      <c r="S161" t="b">
        <f t="shared" si="4"/>
        <v>0</v>
      </c>
      <c r="T161" t="b">
        <f t="shared" si="5"/>
        <v>1</v>
      </c>
      <c r="U161" s="154">
        <f>IFERROR(IF(R161&lt;&gt;FALSE,IF(S161=TRUE,INDEX('SummaryNOT_VALIDATED-BL'!$A$1:$F$16,MATCH(R161,'SummaryNOT_VALIDATED-BL'!$A$1:$A$16,0),6),0),IF(S161=TRUE,INDEX('SummaryNOT_VALIDATED-BL'!$A$1:$F$16,MATCH(E161,'SummaryNOT_VALIDATED-BL'!$A$1:$A$16,0),6),0)),0)</f>
        <v>0</v>
      </c>
      <c r="V161" s="81" cm="1">
        <f t="array" ref="V161">INDEX('Weight tables'!$A$24:$C$27,MATCH(1,(RendicontiTrasmessiBL__2[[#This Row],[Cut percentage on real costs + USC]]&gt;='Weight tables'!$B$24:$B$27)*(RendicontiTrasmessiBL__2[[#This Row],[Cut percentage on real costs + USC]]&lt;='Weight tables'!$C$24:$C$27),0),1)</f>
        <v>0</v>
      </c>
      <c r="W161" s="2">
        <f>RendicontiTrasmessiBL__2[[#This Row],[Weight real costs  + USC ]]</f>
        <v>0</v>
      </c>
    </row>
    <row r="162" spans="1:23" x14ac:dyDescent="0.25">
      <c r="A162" s="1" t="s">
        <v>71</v>
      </c>
      <c r="B162" s="1" t="s">
        <v>303</v>
      </c>
      <c r="C162" s="2">
        <v>157</v>
      </c>
      <c r="D162" s="2">
        <v>206</v>
      </c>
      <c r="E162" s="1" t="s">
        <v>236</v>
      </c>
      <c r="G162">
        <v>0</v>
      </c>
      <c r="H162">
        <v>0</v>
      </c>
      <c r="I162">
        <v>0</v>
      </c>
      <c r="J162">
        <v>0</v>
      </c>
      <c r="K162">
        <v>0</v>
      </c>
      <c r="L162">
        <v>0</v>
      </c>
      <c r="M162">
        <v>0</v>
      </c>
      <c r="N162">
        <v>0</v>
      </c>
      <c r="O162">
        <v>0</v>
      </c>
      <c r="P162">
        <v>0</v>
      </c>
      <c r="Q162" t="str">
        <f>INDEX('Partner data'!A:DH,MATCH(C162,'Partner data'!DG:DG,0),83)</f>
        <v xml:space="preserve">Organismo di diritto pubblico </v>
      </c>
      <c r="R162" t="b">
        <f>IF(E162="staff",IF(INDEX('Partner data'!A:DH,MATCH(C162,'Partner data'!DG:DG,0),112)="BL1 non presente","FALSO",INDEX('Partner data'!A:DH,MATCH(C162,'Partner data'!DG:DG,0),112)))</f>
        <v>0</v>
      </c>
      <c r="S162" t="b">
        <f t="shared" si="4"/>
        <v>0</v>
      </c>
      <c r="T162" t="b">
        <f t="shared" si="5"/>
        <v>1</v>
      </c>
      <c r="U162" s="154">
        <f>IFERROR(IF(R162&lt;&gt;FALSE,IF(S162=TRUE,INDEX('SummaryNOT_VALIDATED-BL'!$A$1:$F$16,MATCH(R162,'SummaryNOT_VALIDATED-BL'!$A$1:$A$16,0),6),0),IF(S162=TRUE,INDEX('SummaryNOT_VALIDATED-BL'!$A$1:$F$16,MATCH(E162,'SummaryNOT_VALIDATED-BL'!$A$1:$A$16,0),6),0)),0)</f>
        <v>0</v>
      </c>
      <c r="V162" s="81" cm="1">
        <f t="array" ref="V162">INDEX('Weight tables'!$A$24:$C$27,MATCH(1,(RendicontiTrasmessiBL__2[[#This Row],[Cut percentage on real costs + USC]]&gt;='Weight tables'!$B$24:$B$27)*(RendicontiTrasmessiBL__2[[#This Row],[Cut percentage on real costs + USC]]&lt;='Weight tables'!$C$24:$C$27),0),1)</f>
        <v>0</v>
      </c>
      <c r="W162" s="2">
        <f>RendicontiTrasmessiBL__2[[#This Row],[Weight real costs  + USC ]]</f>
        <v>0</v>
      </c>
    </row>
    <row r="163" spans="1:23" x14ac:dyDescent="0.25">
      <c r="A163" s="1" t="s">
        <v>71</v>
      </c>
      <c r="B163" s="1" t="s">
        <v>303</v>
      </c>
      <c r="C163" s="2">
        <v>157</v>
      </c>
      <c r="D163" s="2">
        <v>206</v>
      </c>
      <c r="E163" s="1" t="s">
        <v>237</v>
      </c>
      <c r="G163">
        <v>0</v>
      </c>
      <c r="H163">
        <v>0</v>
      </c>
      <c r="I163">
        <v>0</v>
      </c>
      <c r="J163">
        <v>0</v>
      </c>
      <c r="K163">
        <v>0</v>
      </c>
      <c r="L163">
        <v>0</v>
      </c>
      <c r="M163">
        <v>0</v>
      </c>
      <c r="N163">
        <v>0</v>
      </c>
      <c r="O163">
        <v>0</v>
      </c>
      <c r="P163">
        <v>0</v>
      </c>
      <c r="Q163" t="str">
        <f>INDEX('Partner data'!A:DH,MATCH(C163,'Partner data'!DG:DG,0),83)</f>
        <v xml:space="preserve">Organismo di diritto pubblico </v>
      </c>
      <c r="R163" t="b">
        <f>IF(E163="staff",IF(INDEX('Partner data'!A:DH,MATCH(C163,'Partner data'!DG:DG,0),112)="BL1 non presente","FALSO",INDEX('Partner data'!A:DH,MATCH(C163,'Partner data'!DG:DG,0),112)))</f>
        <v>0</v>
      </c>
      <c r="S163" t="b">
        <f t="shared" si="4"/>
        <v>0</v>
      </c>
      <c r="T163" t="b">
        <f t="shared" si="5"/>
        <v>1</v>
      </c>
      <c r="U163" s="154">
        <f>IFERROR(IF(R163&lt;&gt;FALSE,IF(S163=TRUE,INDEX('SummaryNOT_VALIDATED-BL'!$A$1:$F$16,MATCH(R163,'SummaryNOT_VALIDATED-BL'!$A$1:$A$16,0),6),0),IF(S163=TRUE,INDEX('SummaryNOT_VALIDATED-BL'!$A$1:$F$16,MATCH(E163,'SummaryNOT_VALIDATED-BL'!$A$1:$A$16,0),6),0)),0)</f>
        <v>0</v>
      </c>
      <c r="V163" s="81" cm="1">
        <f t="array" ref="V163">INDEX('Weight tables'!$A$24:$C$27,MATCH(1,(RendicontiTrasmessiBL__2[[#This Row],[Cut percentage on real costs + USC]]&gt;='Weight tables'!$B$24:$B$27)*(RendicontiTrasmessiBL__2[[#This Row],[Cut percentage on real costs + USC]]&lt;='Weight tables'!$C$24:$C$27),0),1)</f>
        <v>0</v>
      </c>
      <c r="W163" s="2">
        <f>RendicontiTrasmessiBL__2[[#This Row],[Weight real costs  + USC ]]</f>
        <v>0</v>
      </c>
    </row>
    <row r="164" spans="1:23" x14ac:dyDescent="0.25">
      <c r="A164" s="1" t="s">
        <v>71</v>
      </c>
      <c r="B164" s="1" t="s">
        <v>70</v>
      </c>
      <c r="C164" s="2">
        <v>155</v>
      </c>
      <c r="D164" s="2">
        <v>269</v>
      </c>
      <c r="E164" s="1" t="s">
        <v>228</v>
      </c>
      <c r="G164">
        <v>52680</v>
      </c>
      <c r="H164">
        <v>0</v>
      </c>
      <c r="I164">
        <v>0</v>
      </c>
      <c r="J164">
        <v>3010.27</v>
      </c>
      <c r="K164">
        <v>0</v>
      </c>
      <c r="L164">
        <v>3010.27</v>
      </c>
      <c r="M164">
        <v>3010.27</v>
      </c>
      <c r="N164">
        <v>5.71</v>
      </c>
      <c r="O164">
        <v>49669.73</v>
      </c>
      <c r="P164">
        <v>0</v>
      </c>
      <c r="Q164" t="str">
        <f>INDEX('Partner data'!A:DH,MATCH(C164,'Partner data'!DG:DG,0),83)</f>
        <v>Soggetto privato</v>
      </c>
      <c r="R164" t="str">
        <f>IF(E164="staff",IF(INDEX('Partner data'!A:DH,MATCH(C164,'Partner data'!DG:DG,0),112)="BL1 non presente","FALSO",INDEX('Partner data'!A:DH,MATCH(C164,'Partner data'!DG:DG,0),112)))</f>
        <v>COSTO REALE</v>
      </c>
      <c r="S164" t="b">
        <f t="shared" si="4"/>
        <v>1</v>
      </c>
      <c r="T164" t="b">
        <f t="shared" si="5"/>
        <v>0</v>
      </c>
      <c r="U164" s="154">
        <f>IFERROR(IF(R164&lt;&gt;FALSE,IF(S164=TRUE,INDEX('SummaryNOT_VALIDATED-BL'!$A$1:$F$16,MATCH(R164,'SummaryNOT_VALIDATED-BL'!$A$1:$A$16,0),6),0),IF(S164=TRUE,INDEX('SummaryNOT_VALIDATED-BL'!$A$1:$F$16,MATCH(E164,'SummaryNOT_VALIDATED-BL'!$A$1:$A$16,0),6),0)),0)</f>
        <v>9.1604133276901048E-2</v>
      </c>
      <c r="V164" s="81" cm="1">
        <f t="array" ref="V164">INDEX('Weight tables'!$A$24:$C$27,MATCH(1,(RendicontiTrasmessiBL__2[[#This Row],[Cut percentage on real costs + USC]]&gt;='Weight tables'!$B$24:$B$27)*(RendicontiTrasmessiBL__2[[#This Row],[Cut percentage on real costs + USC]]&lt;='Weight tables'!$C$24:$C$27),0),1)</f>
        <v>4</v>
      </c>
      <c r="W164" s="2">
        <f>RendicontiTrasmessiBL__2[[#This Row],[Weight real costs  + USC ]]</f>
        <v>4</v>
      </c>
    </row>
    <row r="165" spans="1:23" x14ac:dyDescent="0.25">
      <c r="A165" s="1" t="s">
        <v>71</v>
      </c>
      <c r="B165" s="1" t="s">
        <v>70</v>
      </c>
      <c r="C165" s="2">
        <v>155</v>
      </c>
      <c r="D165" s="2">
        <v>269</v>
      </c>
      <c r="E165" s="1" t="s">
        <v>229</v>
      </c>
      <c r="F165">
        <v>15</v>
      </c>
      <c r="G165">
        <v>7902</v>
      </c>
      <c r="H165">
        <v>0</v>
      </c>
      <c r="I165">
        <v>0</v>
      </c>
      <c r="J165">
        <v>451.54</v>
      </c>
      <c r="K165">
        <v>0</v>
      </c>
      <c r="L165">
        <v>451.54</v>
      </c>
      <c r="M165">
        <v>451.54</v>
      </c>
      <c r="N165">
        <v>5.71</v>
      </c>
      <c r="O165">
        <v>7450.46</v>
      </c>
      <c r="P165">
        <v>0</v>
      </c>
      <c r="Q165" t="str">
        <f>INDEX('Partner data'!A:DH,MATCH(C165,'Partner data'!DG:DG,0),83)</f>
        <v>Soggetto privato</v>
      </c>
      <c r="R165" t="b">
        <f>IF(E165="staff",IF(INDEX('Partner data'!A:DH,MATCH(C165,'Partner data'!DG:DG,0),112)="BL1 non presente","FALSO",INDEX('Partner data'!A:DH,MATCH(C165,'Partner data'!DG:DG,0),112)))</f>
        <v>0</v>
      </c>
      <c r="S165" t="b">
        <f t="shared" si="4"/>
        <v>1</v>
      </c>
      <c r="T165" t="b">
        <f t="shared" si="5"/>
        <v>0</v>
      </c>
      <c r="U165" s="154">
        <f>IFERROR(IF(R165&lt;&gt;FALSE,IF(S165=TRUE,INDEX('SummaryNOT_VALIDATED-BL'!$A$1:$F$16,MATCH(R165,'SummaryNOT_VALIDATED-BL'!$A$1:$A$16,0),6),0),IF(S165=TRUE,INDEX('SummaryNOT_VALIDATED-BL'!$A$1:$F$16,MATCH(E165,'SummaryNOT_VALIDATED-BL'!$A$1:$A$16,0),6),0)),0)</f>
        <v>6.6460469504890221E-2</v>
      </c>
      <c r="V165" s="81" cm="1">
        <f t="array" ref="V165">INDEX('Weight tables'!$A$24:$C$27,MATCH(1,(RendicontiTrasmessiBL__2[[#This Row],[Cut percentage on real costs + USC]]&gt;='Weight tables'!$B$24:$B$27)*(RendicontiTrasmessiBL__2[[#This Row],[Cut percentage on real costs + USC]]&lt;='Weight tables'!$C$24:$C$27),0),1)</f>
        <v>4</v>
      </c>
      <c r="W165" s="2">
        <f>RendicontiTrasmessiBL__2[[#This Row],[Weight real costs  + USC ]]</f>
        <v>4</v>
      </c>
    </row>
    <row r="166" spans="1:23" x14ac:dyDescent="0.25">
      <c r="A166" s="1" t="s">
        <v>71</v>
      </c>
      <c r="B166" s="1" t="s">
        <v>70</v>
      </c>
      <c r="C166" s="2">
        <v>155</v>
      </c>
      <c r="D166" s="2">
        <v>269</v>
      </c>
      <c r="E166" s="1" t="s">
        <v>230</v>
      </c>
      <c r="F166">
        <v>4</v>
      </c>
      <c r="G166">
        <v>2107.1999999999998</v>
      </c>
      <c r="H166">
        <v>0</v>
      </c>
      <c r="I166">
        <v>0</v>
      </c>
      <c r="J166">
        <v>120.41</v>
      </c>
      <c r="K166">
        <v>0</v>
      </c>
      <c r="L166">
        <v>120.41</v>
      </c>
      <c r="M166">
        <v>120.41</v>
      </c>
      <c r="N166">
        <v>5.71</v>
      </c>
      <c r="O166">
        <v>1986.79</v>
      </c>
      <c r="P166">
        <v>0</v>
      </c>
      <c r="Q166" t="str">
        <f>INDEX('Partner data'!A:DH,MATCH(C166,'Partner data'!DG:DG,0),83)</f>
        <v>Soggetto privato</v>
      </c>
      <c r="R166" t="b">
        <f>IF(E166="staff",IF(INDEX('Partner data'!A:DH,MATCH(C166,'Partner data'!DG:DG,0),112)="BL1 non presente","FALSO",INDEX('Partner data'!A:DH,MATCH(C166,'Partner data'!DG:DG,0),112)))</f>
        <v>0</v>
      </c>
      <c r="S166" t="b">
        <f t="shared" si="4"/>
        <v>1</v>
      </c>
      <c r="T166" t="b">
        <f t="shared" si="5"/>
        <v>0</v>
      </c>
      <c r="U166" s="154">
        <f>IFERROR(IF(R166&lt;&gt;FALSE,IF(S166=TRUE,INDEX('SummaryNOT_VALIDATED-BL'!$A$1:$F$16,MATCH(R166,'SummaryNOT_VALIDATED-BL'!$A$1:$A$16,0),6),0),IF(S166=TRUE,INDEX('SummaryNOT_VALIDATED-BL'!$A$1:$F$16,MATCH(E166,'SummaryNOT_VALIDATED-BL'!$A$1:$A$16,0),6),0)),0)</f>
        <v>6.3112622236488891E-2</v>
      </c>
      <c r="V166" s="81" cm="1">
        <f t="array" ref="V166">INDEX('Weight tables'!$A$24:$C$27,MATCH(1,(RendicontiTrasmessiBL__2[[#This Row],[Cut percentage on real costs + USC]]&gt;='Weight tables'!$B$24:$B$27)*(RendicontiTrasmessiBL__2[[#This Row],[Cut percentage on real costs + USC]]&lt;='Weight tables'!$C$24:$C$27),0),1)</f>
        <v>4</v>
      </c>
      <c r="W166" s="2">
        <f>RendicontiTrasmessiBL__2[[#This Row],[Weight real costs  + USC ]]</f>
        <v>4</v>
      </c>
    </row>
    <row r="167" spans="1:23" x14ac:dyDescent="0.25">
      <c r="A167" s="1" t="s">
        <v>71</v>
      </c>
      <c r="B167" s="1" t="s">
        <v>70</v>
      </c>
      <c r="C167" s="2">
        <v>155</v>
      </c>
      <c r="D167" s="2">
        <v>269</v>
      </c>
      <c r="E167" s="1" t="s">
        <v>231</v>
      </c>
      <c r="G167">
        <v>22310.76</v>
      </c>
      <c r="H167">
        <v>0</v>
      </c>
      <c r="I167">
        <v>0</v>
      </c>
      <c r="J167">
        <v>2313.79</v>
      </c>
      <c r="K167">
        <v>0</v>
      </c>
      <c r="L167">
        <v>1425.84</v>
      </c>
      <c r="M167">
        <v>2313.79</v>
      </c>
      <c r="N167">
        <v>10.37</v>
      </c>
      <c r="O167">
        <v>19996.97</v>
      </c>
      <c r="P167">
        <v>0</v>
      </c>
      <c r="Q167" t="str">
        <f>INDEX('Partner data'!A:DH,MATCH(C167,'Partner data'!DG:DG,0),83)</f>
        <v>Soggetto privato</v>
      </c>
      <c r="R167" t="b">
        <f>IF(E167="staff",IF(INDEX('Partner data'!A:DH,MATCH(C167,'Partner data'!DG:DG,0),112)="BL1 non presente","FALSO",INDEX('Partner data'!A:DH,MATCH(C167,'Partner data'!DG:DG,0),112)))</f>
        <v>0</v>
      </c>
      <c r="S167" t="b">
        <f t="shared" si="4"/>
        <v>1</v>
      </c>
      <c r="T167" t="b">
        <f t="shared" si="5"/>
        <v>0</v>
      </c>
      <c r="U167" s="154">
        <f>IFERROR(IF(R167&lt;&gt;FALSE,IF(S167=TRUE,INDEX('SummaryNOT_VALIDATED-BL'!$A$1:$F$16,MATCH(R167,'SummaryNOT_VALIDATED-BL'!$A$1:$A$16,0),6),0),IF(S167=TRUE,INDEX('SummaryNOT_VALIDATED-BL'!$A$1:$F$16,MATCH(E167,'SummaryNOT_VALIDATED-BL'!$A$1:$A$16,0),6),0)),0)</f>
        <v>5.577594442215475E-2</v>
      </c>
      <c r="V167" s="81" cm="1">
        <f t="array" ref="V167">INDEX('Weight tables'!$A$24:$C$27,MATCH(1,(RendicontiTrasmessiBL__2[[#This Row],[Cut percentage on real costs + USC]]&gt;='Weight tables'!$B$24:$B$27)*(RendicontiTrasmessiBL__2[[#This Row],[Cut percentage on real costs + USC]]&lt;='Weight tables'!$C$24:$C$27),0),1)</f>
        <v>4</v>
      </c>
      <c r="W167" s="2">
        <f>RendicontiTrasmessiBL__2[[#This Row],[Weight real costs  + USC ]]</f>
        <v>4</v>
      </c>
    </row>
    <row r="168" spans="1:23" x14ac:dyDescent="0.25">
      <c r="A168" s="1" t="s">
        <v>71</v>
      </c>
      <c r="B168" s="1" t="s">
        <v>70</v>
      </c>
      <c r="C168" s="2">
        <v>155</v>
      </c>
      <c r="D168" s="2">
        <v>269</v>
      </c>
      <c r="E168" s="1" t="s">
        <v>232</v>
      </c>
      <c r="G168">
        <v>0</v>
      </c>
      <c r="H168">
        <v>0</v>
      </c>
      <c r="I168">
        <v>0</v>
      </c>
      <c r="J168">
        <v>0</v>
      </c>
      <c r="K168">
        <v>0</v>
      </c>
      <c r="L168">
        <v>0</v>
      </c>
      <c r="M168">
        <v>0</v>
      </c>
      <c r="N168">
        <v>0</v>
      </c>
      <c r="O168">
        <v>0</v>
      </c>
      <c r="P168">
        <v>0</v>
      </c>
      <c r="Q168" t="str">
        <f>INDEX('Partner data'!A:DH,MATCH(C168,'Partner data'!DG:DG,0),83)</f>
        <v>Soggetto privato</v>
      </c>
      <c r="R168" t="b">
        <f>IF(E168="staff",IF(INDEX('Partner data'!A:DH,MATCH(C168,'Partner data'!DG:DG,0),112)="BL1 non presente","FALSO",INDEX('Partner data'!A:DH,MATCH(C168,'Partner data'!DG:DG,0),112)))</f>
        <v>0</v>
      </c>
      <c r="S168" t="b">
        <f t="shared" si="4"/>
        <v>0</v>
      </c>
      <c r="T168" t="b">
        <f t="shared" si="5"/>
        <v>0</v>
      </c>
      <c r="U168" s="154">
        <f>IFERROR(IF(R168&lt;&gt;FALSE,IF(S168=TRUE,INDEX('SummaryNOT_VALIDATED-BL'!$A$1:$F$16,MATCH(R168,'SummaryNOT_VALIDATED-BL'!$A$1:$A$16,0),6),0),IF(S168=TRUE,INDEX('SummaryNOT_VALIDATED-BL'!$A$1:$F$16,MATCH(E168,'SummaryNOT_VALIDATED-BL'!$A$1:$A$16,0),6),0)),0)</f>
        <v>0</v>
      </c>
      <c r="V168" s="81" cm="1">
        <f t="array" ref="V168">INDEX('Weight tables'!$A$24:$C$27,MATCH(1,(RendicontiTrasmessiBL__2[[#This Row],[Cut percentage on real costs + USC]]&gt;='Weight tables'!$B$24:$B$27)*(RendicontiTrasmessiBL__2[[#This Row],[Cut percentage on real costs + USC]]&lt;='Weight tables'!$C$24:$C$27),0),1)</f>
        <v>0</v>
      </c>
      <c r="W168" s="2">
        <f>RendicontiTrasmessiBL__2[[#This Row],[Weight real costs  + USC ]]</f>
        <v>0</v>
      </c>
    </row>
    <row r="169" spans="1:23" x14ac:dyDescent="0.25">
      <c r="A169" s="1" t="s">
        <v>71</v>
      </c>
      <c r="B169" s="1" t="s">
        <v>70</v>
      </c>
      <c r="C169" s="2">
        <v>155</v>
      </c>
      <c r="D169" s="2">
        <v>269</v>
      </c>
      <c r="E169" s="1" t="s">
        <v>233</v>
      </c>
      <c r="G169">
        <v>0</v>
      </c>
      <c r="H169">
        <v>0</v>
      </c>
      <c r="I169">
        <v>0</v>
      </c>
      <c r="J169">
        <v>0</v>
      </c>
      <c r="K169">
        <v>0</v>
      </c>
      <c r="L169">
        <v>0</v>
      </c>
      <c r="M169">
        <v>0</v>
      </c>
      <c r="N169">
        <v>0</v>
      </c>
      <c r="O169">
        <v>0</v>
      </c>
      <c r="P169">
        <v>0</v>
      </c>
      <c r="Q169" t="str">
        <f>INDEX('Partner data'!A:DH,MATCH(C169,'Partner data'!DG:DG,0),83)</f>
        <v>Soggetto privato</v>
      </c>
      <c r="R169" t="b">
        <f>IF(E169="staff",IF(INDEX('Partner data'!A:DH,MATCH(C169,'Partner data'!DG:DG,0),112)="BL1 non presente","FALSO",INDEX('Partner data'!A:DH,MATCH(C169,'Partner data'!DG:DG,0),112)))</f>
        <v>0</v>
      </c>
      <c r="S169" t="b">
        <f t="shared" si="4"/>
        <v>0</v>
      </c>
      <c r="T169" t="b">
        <f t="shared" si="5"/>
        <v>0</v>
      </c>
      <c r="U169" s="154">
        <f>IFERROR(IF(R169&lt;&gt;FALSE,IF(S169=TRUE,INDEX('SummaryNOT_VALIDATED-BL'!$A$1:$F$16,MATCH(R169,'SummaryNOT_VALIDATED-BL'!$A$1:$A$16,0),6),0),IF(S169=TRUE,INDEX('SummaryNOT_VALIDATED-BL'!$A$1:$F$16,MATCH(E169,'SummaryNOT_VALIDATED-BL'!$A$1:$A$16,0),6),0)),0)</f>
        <v>0</v>
      </c>
      <c r="V169" s="81" cm="1">
        <f t="array" ref="V169">INDEX('Weight tables'!$A$24:$C$27,MATCH(1,(RendicontiTrasmessiBL__2[[#This Row],[Cut percentage on real costs + USC]]&gt;='Weight tables'!$B$24:$B$27)*(RendicontiTrasmessiBL__2[[#This Row],[Cut percentage on real costs + USC]]&lt;='Weight tables'!$C$24:$C$27),0),1)</f>
        <v>0</v>
      </c>
      <c r="W169" s="2">
        <f>RendicontiTrasmessiBL__2[[#This Row],[Weight real costs  + USC ]]</f>
        <v>0</v>
      </c>
    </row>
    <row r="170" spans="1:23" x14ac:dyDescent="0.25">
      <c r="A170" s="1" t="s">
        <v>71</v>
      </c>
      <c r="B170" s="1" t="s">
        <v>70</v>
      </c>
      <c r="C170" s="2">
        <v>155</v>
      </c>
      <c r="D170" s="2">
        <v>269</v>
      </c>
      <c r="E170" s="1" t="s">
        <v>234</v>
      </c>
      <c r="G170">
        <v>0</v>
      </c>
      <c r="H170">
        <v>0</v>
      </c>
      <c r="I170">
        <v>0</v>
      </c>
      <c r="J170">
        <v>0</v>
      </c>
      <c r="K170">
        <v>0</v>
      </c>
      <c r="L170">
        <v>0</v>
      </c>
      <c r="M170">
        <v>0</v>
      </c>
      <c r="N170">
        <v>0</v>
      </c>
      <c r="O170">
        <v>0</v>
      </c>
      <c r="P170">
        <v>0</v>
      </c>
      <c r="Q170" t="str">
        <f>INDEX('Partner data'!A:DH,MATCH(C170,'Partner data'!DG:DG,0),83)</f>
        <v>Soggetto privato</v>
      </c>
      <c r="R170" t="b">
        <f>IF(E170="staff",IF(INDEX('Partner data'!A:DH,MATCH(C170,'Partner data'!DG:DG,0),112)="BL1 non presente","FALSO",INDEX('Partner data'!A:DH,MATCH(C170,'Partner data'!DG:DG,0),112)))</f>
        <v>0</v>
      </c>
      <c r="S170" t="b">
        <f t="shared" si="4"/>
        <v>0</v>
      </c>
      <c r="T170" t="b">
        <f t="shared" si="5"/>
        <v>0</v>
      </c>
      <c r="U170" s="154">
        <f>IFERROR(IF(R170&lt;&gt;FALSE,IF(S170=TRUE,INDEX('SummaryNOT_VALIDATED-BL'!$A$1:$F$16,MATCH(R170,'SummaryNOT_VALIDATED-BL'!$A$1:$A$16,0),6),0),IF(S170=TRUE,INDEX('SummaryNOT_VALIDATED-BL'!$A$1:$F$16,MATCH(E170,'SummaryNOT_VALIDATED-BL'!$A$1:$A$16,0),6),0)),0)</f>
        <v>0</v>
      </c>
      <c r="V170" s="81" cm="1">
        <f t="array" ref="V170">INDEX('Weight tables'!$A$24:$C$27,MATCH(1,(RendicontiTrasmessiBL__2[[#This Row],[Cut percentage on real costs + USC]]&gt;='Weight tables'!$B$24:$B$27)*(RendicontiTrasmessiBL__2[[#This Row],[Cut percentage on real costs + USC]]&lt;='Weight tables'!$C$24:$C$27),0),1)</f>
        <v>0</v>
      </c>
      <c r="W170" s="2">
        <f>RendicontiTrasmessiBL__2[[#This Row],[Weight real costs  + USC ]]</f>
        <v>0</v>
      </c>
    </row>
    <row r="171" spans="1:23" x14ac:dyDescent="0.25">
      <c r="A171" s="1" t="s">
        <v>71</v>
      </c>
      <c r="B171" s="1" t="s">
        <v>70</v>
      </c>
      <c r="C171" s="2">
        <v>155</v>
      </c>
      <c r="D171" s="2">
        <v>269</v>
      </c>
      <c r="E171" s="1" t="s">
        <v>236</v>
      </c>
      <c r="G171">
        <v>0</v>
      </c>
      <c r="H171">
        <v>0</v>
      </c>
      <c r="I171">
        <v>0</v>
      </c>
      <c r="J171">
        <v>0</v>
      </c>
      <c r="K171">
        <v>0</v>
      </c>
      <c r="L171">
        <v>0</v>
      </c>
      <c r="M171">
        <v>0</v>
      </c>
      <c r="N171">
        <v>0</v>
      </c>
      <c r="O171">
        <v>0</v>
      </c>
      <c r="P171">
        <v>0</v>
      </c>
      <c r="Q171" t="str">
        <f>INDEX('Partner data'!A:DH,MATCH(C171,'Partner data'!DG:DG,0),83)</f>
        <v>Soggetto privato</v>
      </c>
      <c r="R171" t="b">
        <f>IF(E171="staff",IF(INDEX('Partner data'!A:DH,MATCH(C171,'Partner data'!DG:DG,0),112)="BL1 non presente","FALSO",INDEX('Partner data'!A:DH,MATCH(C171,'Partner data'!DG:DG,0),112)))</f>
        <v>0</v>
      </c>
      <c r="S171" t="b">
        <f t="shared" si="4"/>
        <v>0</v>
      </c>
      <c r="T171" t="b">
        <f t="shared" si="5"/>
        <v>0</v>
      </c>
      <c r="U171" s="154">
        <f>IFERROR(IF(R171&lt;&gt;FALSE,IF(S171=TRUE,INDEX('SummaryNOT_VALIDATED-BL'!$A$1:$F$16,MATCH(R171,'SummaryNOT_VALIDATED-BL'!$A$1:$A$16,0),6),0),IF(S171=TRUE,INDEX('SummaryNOT_VALIDATED-BL'!$A$1:$F$16,MATCH(E171,'SummaryNOT_VALIDATED-BL'!$A$1:$A$16,0),6),0)),0)</f>
        <v>0</v>
      </c>
      <c r="V171" s="81" cm="1">
        <f t="array" ref="V171">INDEX('Weight tables'!$A$24:$C$27,MATCH(1,(RendicontiTrasmessiBL__2[[#This Row],[Cut percentage on real costs + USC]]&gt;='Weight tables'!$B$24:$B$27)*(RendicontiTrasmessiBL__2[[#This Row],[Cut percentage on real costs + USC]]&lt;='Weight tables'!$C$24:$C$27),0),1)</f>
        <v>0</v>
      </c>
      <c r="W171" s="2">
        <f>RendicontiTrasmessiBL__2[[#This Row],[Weight real costs  + USC ]]</f>
        <v>0</v>
      </c>
    </row>
    <row r="172" spans="1:23" x14ac:dyDescent="0.25">
      <c r="A172" s="1" t="s">
        <v>71</v>
      </c>
      <c r="B172" s="1" t="s">
        <v>70</v>
      </c>
      <c r="C172" s="2">
        <v>155</v>
      </c>
      <c r="D172" s="2">
        <v>269</v>
      </c>
      <c r="E172" s="1" t="s">
        <v>237</v>
      </c>
      <c r="G172">
        <v>0</v>
      </c>
      <c r="H172">
        <v>0</v>
      </c>
      <c r="I172">
        <v>0</v>
      </c>
      <c r="J172">
        <v>0</v>
      </c>
      <c r="K172">
        <v>0</v>
      </c>
      <c r="L172">
        <v>0</v>
      </c>
      <c r="M172">
        <v>0</v>
      </c>
      <c r="N172">
        <v>0</v>
      </c>
      <c r="O172">
        <v>0</v>
      </c>
      <c r="P172">
        <v>0</v>
      </c>
      <c r="Q172" t="str">
        <f>INDEX('Partner data'!A:DH,MATCH(C172,'Partner data'!DG:DG,0),83)</f>
        <v>Soggetto privato</v>
      </c>
      <c r="R172" t="b">
        <f>IF(E172="staff",IF(INDEX('Partner data'!A:DH,MATCH(C172,'Partner data'!DG:DG,0),112)="BL1 non presente","FALSO",INDEX('Partner data'!A:DH,MATCH(C172,'Partner data'!DG:DG,0),112)))</f>
        <v>0</v>
      </c>
      <c r="S172" t="b">
        <f t="shared" si="4"/>
        <v>0</v>
      </c>
      <c r="T172" t="b">
        <f t="shared" si="5"/>
        <v>0</v>
      </c>
      <c r="U172" s="154">
        <f>IFERROR(IF(R172&lt;&gt;FALSE,IF(S172=TRUE,INDEX('SummaryNOT_VALIDATED-BL'!$A$1:$F$16,MATCH(R172,'SummaryNOT_VALIDATED-BL'!$A$1:$A$16,0),6),0),IF(S172=TRUE,INDEX('SummaryNOT_VALIDATED-BL'!$A$1:$F$16,MATCH(E172,'SummaryNOT_VALIDATED-BL'!$A$1:$A$16,0),6),0)),0)</f>
        <v>0</v>
      </c>
      <c r="V172" s="81" cm="1">
        <f t="array" ref="V172">INDEX('Weight tables'!$A$24:$C$27,MATCH(1,(RendicontiTrasmessiBL__2[[#This Row],[Cut percentage on real costs + USC]]&gt;='Weight tables'!$B$24:$B$27)*(RendicontiTrasmessiBL__2[[#This Row],[Cut percentage on real costs + USC]]&lt;='Weight tables'!$C$24:$C$27),0),1)</f>
        <v>0</v>
      </c>
      <c r="W172" s="2">
        <f>RendicontiTrasmessiBL__2[[#This Row],[Weight real costs  + USC ]]</f>
        <v>0</v>
      </c>
    </row>
    <row r="173" spans="1:23" x14ac:dyDescent="0.25">
      <c r="A173" s="1" t="s">
        <v>71</v>
      </c>
      <c r="B173" s="1" t="s">
        <v>69</v>
      </c>
      <c r="C173" s="2">
        <v>154</v>
      </c>
      <c r="D173" s="2">
        <v>151</v>
      </c>
      <c r="E173" s="1" t="s">
        <v>228</v>
      </c>
      <c r="G173">
        <v>67861.94</v>
      </c>
      <c r="H173">
        <v>0</v>
      </c>
      <c r="I173">
        <v>0</v>
      </c>
      <c r="J173">
        <v>21802.32</v>
      </c>
      <c r="K173">
        <v>0</v>
      </c>
      <c r="L173">
        <v>20862.09</v>
      </c>
      <c r="M173">
        <v>21802.32</v>
      </c>
      <c r="N173">
        <v>32.130000000000003</v>
      </c>
      <c r="O173">
        <v>46059.62</v>
      </c>
      <c r="P173">
        <v>0</v>
      </c>
      <c r="Q173" t="str">
        <f>INDEX('Partner data'!A:DH,MATCH(C173,'Partner data'!DG:DG,0),83)</f>
        <v>Soggetto pubblico</v>
      </c>
      <c r="R173" t="str">
        <f>IF(E173="staff",IF(INDEX('Partner data'!A:DH,MATCH(C173,'Partner data'!DG:DG,0),112)="BL1 non presente","FALSO",INDEX('Partner data'!A:DH,MATCH(C173,'Partner data'!DG:DG,0),112)))</f>
        <v>COSTO REALE</v>
      </c>
      <c r="S173" t="b">
        <f t="shared" si="4"/>
        <v>1</v>
      </c>
      <c r="T173" t="b">
        <f t="shared" si="5"/>
        <v>1</v>
      </c>
      <c r="U173" s="154">
        <f>IFERROR(IF(R173&lt;&gt;FALSE,IF(S173=TRUE,INDEX('SummaryNOT_VALIDATED-BL'!$A$1:$F$16,MATCH(R173,'SummaryNOT_VALIDATED-BL'!$A$1:$A$16,0),6),0),IF(S173=TRUE,INDEX('SummaryNOT_VALIDATED-BL'!$A$1:$F$16,MATCH(E173,'SummaryNOT_VALIDATED-BL'!$A$1:$A$16,0),6),0)),0)</f>
        <v>9.1604133276901048E-2</v>
      </c>
      <c r="V173" s="81" cm="1">
        <f t="array" ref="V173">INDEX('Weight tables'!$A$24:$C$27,MATCH(1,(RendicontiTrasmessiBL__2[[#This Row],[Cut percentage on real costs + USC]]&gt;='Weight tables'!$B$24:$B$27)*(RendicontiTrasmessiBL__2[[#This Row],[Cut percentage on real costs + USC]]&lt;='Weight tables'!$C$24:$C$27),0),1)</f>
        <v>4</v>
      </c>
      <c r="W173" s="2">
        <f>RendicontiTrasmessiBL__2[[#This Row],[Weight real costs  + USC ]]</f>
        <v>4</v>
      </c>
    </row>
    <row r="174" spans="1:23" x14ac:dyDescent="0.25">
      <c r="A174" s="1" t="s">
        <v>71</v>
      </c>
      <c r="B174" s="1" t="s">
        <v>69</v>
      </c>
      <c r="C174" s="2">
        <v>154</v>
      </c>
      <c r="D174" s="2">
        <v>151</v>
      </c>
      <c r="E174" s="1" t="s">
        <v>229</v>
      </c>
      <c r="G174">
        <v>0</v>
      </c>
      <c r="H174">
        <v>0</v>
      </c>
      <c r="I174">
        <v>0</v>
      </c>
      <c r="J174">
        <v>0</v>
      </c>
      <c r="K174">
        <v>0</v>
      </c>
      <c r="L174">
        <v>0</v>
      </c>
      <c r="M174">
        <v>0</v>
      </c>
      <c r="N174">
        <v>0</v>
      </c>
      <c r="O174">
        <v>0</v>
      </c>
      <c r="P174">
        <v>0</v>
      </c>
      <c r="Q174" t="str">
        <f>INDEX('Partner data'!A:DH,MATCH(C174,'Partner data'!DG:DG,0),83)</f>
        <v>Soggetto pubblico</v>
      </c>
      <c r="R174" t="b">
        <f>IF(E174="staff",IF(INDEX('Partner data'!A:DH,MATCH(C174,'Partner data'!DG:DG,0),112)="BL1 non presente","FALSO",INDEX('Partner data'!A:DH,MATCH(C174,'Partner data'!DG:DG,0),112)))</f>
        <v>0</v>
      </c>
      <c r="S174" t="b">
        <f t="shared" si="4"/>
        <v>0</v>
      </c>
      <c r="T174" t="b">
        <f t="shared" si="5"/>
        <v>1</v>
      </c>
      <c r="U174" s="154">
        <f>IFERROR(IF(R174&lt;&gt;FALSE,IF(S174=TRUE,INDEX('SummaryNOT_VALIDATED-BL'!$A$1:$F$16,MATCH(R174,'SummaryNOT_VALIDATED-BL'!$A$1:$A$16,0),6),0),IF(S174=TRUE,INDEX('SummaryNOT_VALIDATED-BL'!$A$1:$F$16,MATCH(E174,'SummaryNOT_VALIDATED-BL'!$A$1:$A$16,0),6),0)),0)</f>
        <v>0</v>
      </c>
      <c r="V174" s="81" cm="1">
        <f t="array" ref="V174">INDEX('Weight tables'!$A$24:$C$27,MATCH(1,(RendicontiTrasmessiBL__2[[#This Row],[Cut percentage on real costs + USC]]&gt;='Weight tables'!$B$24:$B$27)*(RendicontiTrasmessiBL__2[[#This Row],[Cut percentage on real costs + USC]]&lt;='Weight tables'!$C$24:$C$27),0),1)</f>
        <v>0</v>
      </c>
      <c r="W174" s="2">
        <f>RendicontiTrasmessiBL__2[[#This Row],[Weight real costs  + USC ]]</f>
        <v>0</v>
      </c>
    </row>
    <row r="175" spans="1:23" x14ac:dyDescent="0.25">
      <c r="A175" s="1" t="s">
        <v>71</v>
      </c>
      <c r="B175" s="1" t="s">
        <v>69</v>
      </c>
      <c r="C175" s="2">
        <v>154</v>
      </c>
      <c r="D175" s="2">
        <v>151</v>
      </c>
      <c r="E175" s="1" t="s">
        <v>230</v>
      </c>
      <c r="G175">
        <v>0</v>
      </c>
      <c r="H175">
        <v>0</v>
      </c>
      <c r="I175">
        <v>0</v>
      </c>
      <c r="J175">
        <v>0</v>
      </c>
      <c r="K175">
        <v>0</v>
      </c>
      <c r="L175">
        <v>0</v>
      </c>
      <c r="M175">
        <v>0</v>
      </c>
      <c r="N175">
        <v>0</v>
      </c>
      <c r="O175">
        <v>0</v>
      </c>
      <c r="P175">
        <v>0</v>
      </c>
      <c r="Q175" t="str">
        <f>INDEX('Partner data'!A:DH,MATCH(C175,'Partner data'!DG:DG,0),83)</f>
        <v>Soggetto pubblico</v>
      </c>
      <c r="R175" t="b">
        <f>IF(E175="staff",IF(INDEX('Partner data'!A:DH,MATCH(C175,'Partner data'!DG:DG,0),112)="BL1 non presente","FALSO",INDEX('Partner data'!A:DH,MATCH(C175,'Partner data'!DG:DG,0),112)))</f>
        <v>0</v>
      </c>
      <c r="S175" t="b">
        <f t="shared" si="4"/>
        <v>0</v>
      </c>
      <c r="T175" t="b">
        <f t="shared" si="5"/>
        <v>1</v>
      </c>
      <c r="U175" s="154">
        <f>IFERROR(IF(R175&lt;&gt;FALSE,IF(S175=TRUE,INDEX('SummaryNOT_VALIDATED-BL'!$A$1:$F$16,MATCH(R175,'SummaryNOT_VALIDATED-BL'!$A$1:$A$16,0),6),0),IF(S175=TRUE,INDEX('SummaryNOT_VALIDATED-BL'!$A$1:$F$16,MATCH(E175,'SummaryNOT_VALIDATED-BL'!$A$1:$A$16,0),6),0)),0)</f>
        <v>0</v>
      </c>
      <c r="V175" s="81" cm="1">
        <f t="array" ref="V175">INDEX('Weight tables'!$A$24:$C$27,MATCH(1,(RendicontiTrasmessiBL__2[[#This Row],[Cut percentage on real costs + USC]]&gt;='Weight tables'!$B$24:$B$27)*(RendicontiTrasmessiBL__2[[#This Row],[Cut percentage on real costs + USC]]&lt;='Weight tables'!$C$24:$C$27),0),1)</f>
        <v>0</v>
      </c>
      <c r="W175" s="2">
        <f>RendicontiTrasmessiBL__2[[#This Row],[Weight real costs  + USC ]]</f>
        <v>0</v>
      </c>
    </row>
    <row r="176" spans="1:23" x14ac:dyDescent="0.25">
      <c r="A176" s="1" t="s">
        <v>71</v>
      </c>
      <c r="B176" s="1" t="s">
        <v>69</v>
      </c>
      <c r="C176" s="2">
        <v>154</v>
      </c>
      <c r="D176" s="2">
        <v>151</v>
      </c>
      <c r="E176" s="1" t="s">
        <v>231</v>
      </c>
      <c r="G176">
        <v>0</v>
      </c>
      <c r="H176">
        <v>0</v>
      </c>
      <c r="I176">
        <v>0</v>
      </c>
      <c r="J176">
        <v>0</v>
      </c>
      <c r="K176">
        <v>0</v>
      </c>
      <c r="L176">
        <v>0</v>
      </c>
      <c r="M176">
        <v>0</v>
      </c>
      <c r="N176">
        <v>0</v>
      </c>
      <c r="O176">
        <v>0</v>
      </c>
      <c r="P176">
        <v>0</v>
      </c>
      <c r="Q176" t="str">
        <f>INDEX('Partner data'!A:DH,MATCH(C176,'Partner data'!DG:DG,0),83)</f>
        <v>Soggetto pubblico</v>
      </c>
      <c r="R176" t="b">
        <f>IF(E176="staff",IF(INDEX('Partner data'!A:DH,MATCH(C176,'Partner data'!DG:DG,0),112)="BL1 non presente","FALSO",INDEX('Partner data'!A:DH,MATCH(C176,'Partner data'!DG:DG,0),112)))</f>
        <v>0</v>
      </c>
      <c r="S176" t="b">
        <f t="shared" si="4"/>
        <v>0</v>
      </c>
      <c r="T176" t="b">
        <f t="shared" si="5"/>
        <v>1</v>
      </c>
      <c r="U176" s="154">
        <f>IFERROR(IF(R176&lt;&gt;FALSE,IF(S176=TRUE,INDEX('SummaryNOT_VALIDATED-BL'!$A$1:$F$16,MATCH(R176,'SummaryNOT_VALIDATED-BL'!$A$1:$A$16,0),6),0),IF(S176=TRUE,INDEX('SummaryNOT_VALIDATED-BL'!$A$1:$F$16,MATCH(E176,'SummaryNOT_VALIDATED-BL'!$A$1:$A$16,0),6),0)),0)</f>
        <v>0</v>
      </c>
      <c r="V176" s="81" cm="1">
        <f t="array" ref="V176">INDEX('Weight tables'!$A$24:$C$27,MATCH(1,(RendicontiTrasmessiBL__2[[#This Row],[Cut percentage on real costs + USC]]&gt;='Weight tables'!$B$24:$B$27)*(RendicontiTrasmessiBL__2[[#This Row],[Cut percentage on real costs + USC]]&lt;='Weight tables'!$C$24:$C$27),0),1)</f>
        <v>0</v>
      </c>
      <c r="W176" s="2">
        <f>RendicontiTrasmessiBL__2[[#This Row],[Weight real costs  + USC ]]</f>
        <v>0</v>
      </c>
    </row>
    <row r="177" spans="1:23" x14ac:dyDescent="0.25">
      <c r="A177" s="1" t="s">
        <v>71</v>
      </c>
      <c r="B177" s="1" t="s">
        <v>69</v>
      </c>
      <c r="C177" s="2">
        <v>154</v>
      </c>
      <c r="D177" s="2">
        <v>151</v>
      </c>
      <c r="E177" s="1" t="s">
        <v>232</v>
      </c>
      <c r="G177">
        <v>0</v>
      </c>
      <c r="H177">
        <v>0</v>
      </c>
      <c r="I177">
        <v>0</v>
      </c>
      <c r="J177">
        <v>0</v>
      </c>
      <c r="K177">
        <v>0</v>
      </c>
      <c r="L177">
        <v>0</v>
      </c>
      <c r="M177">
        <v>0</v>
      </c>
      <c r="N177">
        <v>0</v>
      </c>
      <c r="O177">
        <v>0</v>
      </c>
      <c r="P177">
        <v>0</v>
      </c>
      <c r="Q177" t="str">
        <f>INDEX('Partner data'!A:DH,MATCH(C177,'Partner data'!DG:DG,0),83)</f>
        <v>Soggetto pubblico</v>
      </c>
      <c r="R177" t="b">
        <f>IF(E177="staff",IF(INDEX('Partner data'!A:DH,MATCH(C177,'Partner data'!DG:DG,0),112)="BL1 non presente","FALSO",INDEX('Partner data'!A:DH,MATCH(C177,'Partner data'!DG:DG,0),112)))</f>
        <v>0</v>
      </c>
      <c r="S177" t="b">
        <f t="shared" si="4"/>
        <v>0</v>
      </c>
      <c r="T177" t="b">
        <f t="shared" si="5"/>
        <v>1</v>
      </c>
      <c r="U177" s="154">
        <f>IFERROR(IF(R177&lt;&gt;FALSE,IF(S177=TRUE,INDEX('SummaryNOT_VALIDATED-BL'!$A$1:$F$16,MATCH(R177,'SummaryNOT_VALIDATED-BL'!$A$1:$A$16,0),6),0),IF(S177=TRUE,INDEX('SummaryNOT_VALIDATED-BL'!$A$1:$F$16,MATCH(E177,'SummaryNOT_VALIDATED-BL'!$A$1:$A$16,0),6),0)),0)</f>
        <v>0</v>
      </c>
      <c r="V177" s="81" cm="1">
        <f t="array" ref="V177">INDEX('Weight tables'!$A$24:$C$27,MATCH(1,(RendicontiTrasmessiBL__2[[#This Row],[Cut percentage on real costs + USC]]&gt;='Weight tables'!$B$24:$B$27)*(RendicontiTrasmessiBL__2[[#This Row],[Cut percentage on real costs + USC]]&lt;='Weight tables'!$C$24:$C$27),0),1)</f>
        <v>0</v>
      </c>
      <c r="W177" s="2">
        <f>RendicontiTrasmessiBL__2[[#This Row],[Weight real costs  + USC ]]</f>
        <v>0</v>
      </c>
    </row>
    <row r="178" spans="1:23" x14ac:dyDescent="0.25">
      <c r="A178" s="1" t="s">
        <v>71</v>
      </c>
      <c r="B178" s="1" t="s">
        <v>69</v>
      </c>
      <c r="C178" s="2">
        <v>154</v>
      </c>
      <c r="D178" s="2">
        <v>151</v>
      </c>
      <c r="E178" s="1" t="s">
        <v>233</v>
      </c>
      <c r="G178">
        <v>0</v>
      </c>
      <c r="H178">
        <v>0</v>
      </c>
      <c r="I178">
        <v>0</v>
      </c>
      <c r="J178">
        <v>0</v>
      </c>
      <c r="K178">
        <v>0</v>
      </c>
      <c r="L178">
        <v>0</v>
      </c>
      <c r="M178">
        <v>0</v>
      </c>
      <c r="N178">
        <v>0</v>
      </c>
      <c r="O178">
        <v>0</v>
      </c>
      <c r="P178">
        <v>0</v>
      </c>
      <c r="Q178" t="str">
        <f>INDEX('Partner data'!A:DH,MATCH(C178,'Partner data'!DG:DG,0),83)</f>
        <v>Soggetto pubblico</v>
      </c>
      <c r="R178" t="b">
        <f>IF(E178="staff",IF(INDEX('Partner data'!A:DH,MATCH(C178,'Partner data'!DG:DG,0),112)="BL1 non presente","FALSO",INDEX('Partner data'!A:DH,MATCH(C178,'Partner data'!DG:DG,0),112)))</f>
        <v>0</v>
      </c>
      <c r="S178" t="b">
        <f t="shared" si="4"/>
        <v>0</v>
      </c>
      <c r="T178" t="b">
        <f t="shared" si="5"/>
        <v>1</v>
      </c>
      <c r="U178" s="154">
        <f>IFERROR(IF(R178&lt;&gt;FALSE,IF(S178=TRUE,INDEX('SummaryNOT_VALIDATED-BL'!$A$1:$F$16,MATCH(R178,'SummaryNOT_VALIDATED-BL'!$A$1:$A$16,0),6),0),IF(S178=TRUE,INDEX('SummaryNOT_VALIDATED-BL'!$A$1:$F$16,MATCH(E178,'SummaryNOT_VALIDATED-BL'!$A$1:$A$16,0),6),0)),0)</f>
        <v>0</v>
      </c>
      <c r="V178" s="81" cm="1">
        <f t="array" ref="V178">INDEX('Weight tables'!$A$24:$C$27,MATCH(1,(RendicontiTrasmessiBL__2[[#This Row],[Cut percentage on real costs + USC]]&gt;='Weight tables'!$B$24:$B$27)*(RendicontiTrasmessiBL__2[[#This Row],[Cut percentage on real costs + USC]]&lt;='Weight tables'!$C$24:$C$27),0),1)</f>
        <v>0</v>
      </c>
      <c r="W178" s="2">
        <f>RendicontiTrasmessiBL__2[[#This Row],[Weight real costs  + USC ]]</f>
        <v>0</v>
      </c>
    </row>
    <row r="179" spans="1:23" x14ac:dyDescent="0.25">
      <c r="A179" s="1" t="s">
        <v>71</v>
      </c>
      <c r="B179" s="1" t="s">
        <v>69</v>
      </c>
      <c r="C179" s="2">
        <v>154</v>
      </c>
      <c r="D179" s="2">
        <v>151</v>
      </c>
      <c r="E179" s="1" t="s">
        <v>234</v>
      </c>
      <c r="F179">
        <v>40</v>
      </c>
      <c r="G179">
        <v>27144.77</v>
      </c>
      <c r="H179">
        <v>0</v>
      </c>
      <c r="I179">
        <v>0</v>
      </c>
      <c r="J179">
        <v>8720.92</v>
      </c>
      <c r="K179">
        <v>0</v>
      </c>
      <c r="L179">
        <v>8344.83</v>
      </c>
      <c r="M179">
        <v>8720.92</v>
      </c>
      <c r="N179">
        <v>32.130000000000003</v>
      </c>
      <c r="O179">
        <v>18423.849999999999</v>
      </c>
      <c r="P179">
        <v>0</v>
      </c>
      <c r="Q179" t="str">
        <f>INDEX('Partner data'!A:DH,MATCH(C179,'Partner data'!DG:DG,0),83)</f>
        <v>Soggetto pubblico</v>
      </c>
      <c r="R179" t="b">
        <f>IF(E179="staff",IF(INDEX('Partner data'!A:DH,MATCH(C179,'Partner data'!DG:DG,0),112)="BL1 non presente","FALSO",INDEX('Partner data'!A:DH,MATCH(C179,'Partner data'!DG:DG,0),112)))</f>
        <v>0</v>
      </c>
      <c r="S179" t="b">
        <f t="shared" si="4"/>
        <v>1</v>
      </c>
      <c r="T179" t="b">
        <f t="shared" si="5"/>
        <v>1</v>
      </c>
      <c r="U179" s="154">
        <f>IFERROR(IF(R179&lt;&gt;FALSE,IF(S179=TRUE,INDEX('SummaryNOT_VALIDATED-BL'!$A$1:$F$16,MATCH(R179,'SummaryNOT_VALIDATED-BL'!$A$1:$A$16,0),6),0),IF(S179=TRUE,INDEX('SummaryNOT_VALIDATED-BL'!$A$1:$F$16,MATCH(E179,'SummaryNOT_VALIDATED-BL'!$A$1:$A$16,0),6),0)),0)</f>
        <v>8.7645339819521315E-2</v>
      </c>
      <c r="V179" s="81" cm="1">
        <f t="array" ref="V179">INDEX('Weight tables'!$A$24:$C$27,MATCH(1,(RendicontiTrasmessiBL__2[[#This Row],[Cut percentage on real costs + USC]]&gt;='Weight tables'!$B$24:$B$27)*(RendicontiTrasmessiBL__2[[#This Row],[Cut percentage on real costs + USC]]&lt;='Weight tables'!$C$24:$C$27),0),1)</f>
        <v>4</v>
      </c>
      <c r="W179" s="2">
        <f>RendicontiTrasmessiBL__2[[#This Row],[Weight real costs  + USC ]]</f>
        <v>4</v>
      </c>
    </row>
    <row r="180" spans="1:23" x14ac:dyDescent="0.25">
      <c r="A180" s="1" t="s">
        <v>71</v>
      </c>
      <c r="B180" s="1" t="s">
        <v>69</v>
      </c>
      <c r="C180" s="2">
        <v>154</v>
      </c>
      <c r="D180" s="2">
        <v>151</v>
      </c>
      <c r="E180" s="1" t="s">
        <v>236</v>
      </c>
      <c r="G180">
        <v>0</v>
      </c>
      <c r="H180">
        <v>0</v>
      </c>
      <c r="I180">
        <v>0</v>
      </c>
      <c r="J180">
        <v>0</v>
      </c>
      <c r="K180">
        <v>0</v>
      </c>
      <c r="L180">
        <v>0</v>
      </c>
      <c r="M180">
        <v>0</v>
      </c>
      <c r="N180">
        <v>0</v>
      </c>
      <c r="O180">
        <v>0</v>
      </c>
      <c r="P180">
        <v>0</v>
      </c>
      <c r="Q180" t="str">
        <f>INDEX('Partner data'!A:DH,MATCH(C180,'Partner data'!DG:DG,0),83)</f>
        <v>Soggetto pubblico</v>
      </c>
      <c r="R180" t="b">
        <f>IF(E180="staff",IF(INDEX('Partner data'!A:DH,MATCH(C180,'Partner data'!DG:DG,0),112)="BL1 non presente","FALSO",INDEX('Partner data'!A:DH,MATCH(C180,'Partner data'!DG:DG,0),112)))</f>
        <v>0</v>
      </c>
      <c r="S180" t="b">
        <f t="shared" si="4"/>
        <v>0</v>
      </c>
      <c r="T180" t="b">
        <f t="shared" si="5"/>
        <v>1</v>
      </c>
      <c r="U180" s="154">
        <f>IFERROR(IF(R180&lt;&gt;FALSE,IF(S180=TRUE,INDEX('SummaryNOT_VALIDATED-BL'!$A$1:$F$16,MATCH(R180,'SummaryNOT_VALIDATED-BL'!$A$1:$A$16,0),6),0),IF(S180=TRUE,INDEX('SummaryNOT_VALIDATED-BL'!$A$1:$F$16,MATCH(E180,'SummaryNOT_VALIDATED-BL'!$A$1:$A$16,0),6),0)),0)</f>
        <v>0</v>
      </c>
      <c r="V180" s="81" cm="1">
        <f t="array" ref="V180">INDEX('Weight tables'!$A$24:$C$27,MATCH(1,(RendicontiTrasmessiBL__2[[#This Row],[Cut percentage on real costs + USC]]&gt;='Weight tables'!$B$24:$B$27)*(RendicontiTrasmessiBL__2[[#This Row],[Cut percentage on real costs + USC]]&lt;='Weight tables'!$C$24:$C$27),0),1)</f>
        <v>0</v>
      </c>
      <c r="W180" s="2">
        <f>RendicontiTrasmessiBL__2[[#This Row],[Weight real costs  + USC ]]</f>
        <v>0</v>
      </c>
    </row>
    <row r="181" spans="1:23" x14ac:dyDescent="0.25">
      <c r="A181" s="1" t="s">
        <v>71</v>
      </c>
      <c r="B181" s="1" t="s">
        <v>69</v>
      </c>
      <c r="C181" s="2">
        <v>154</v>
      </c>
      <c r="D181" s="2">
        <v>151</v>
      </c>
      <c r="E181" s="1" t="s">
        <v>237</v>
      </c>
      <c r="G181">
        <v>0</v>
      </c>
      <c r="H181">
        <v>0</v>
      </c>
      <c r="I181">
        <v>0</v>
      </c>
      <c r="J181">
        <v>0</v>
      </c>
      <c r="K181">
        <v>0</v>
      </c>
      <c r="L181">
        <v>0</v>
      </c>
      <c r="M181">
        <v>0</v>
      </c>
      <c r="N181">
        <v>0</v>
      </c>
      <c r="O181">
        <v>0</v>
      </c>
      <c r="P181">
        <v>0</v>
      </c>
      <c r="Q181" t="str">
        <f>INDEX('Partner data'!A:DH,MATCH(C181,'Partner data'!DG:DG,0),83)</f>
        <v>Soggetto pubblico</v>
      </c>
      <c r="R181" t="b">
        <f>IF(E181="staff",IF(INDEX('Partner data'!A:DH,MATCH(C181,'Partner data'!DG:DG,0),112)="BL1 non presente","FALSO",INDEX('Partner data'!A:DH,MATCH(C181,'Partner data'!DG:DG,0),112)))</f>
        <v>0</v>
      </c>
      <c r="S181" t="b">
        <f t="shared" si="4"/>
        <v>0</v>
      </c>
      <c r="T181" t="b">
        <f t="shared" si="5"/>
        <v>1</v>
      </c>
      <c r="U181" s="154">
        <f>IFERROR(IF(R181&lt;&gt;FALSE,IF(S181=TRUE,INDEX('SummaryNOT_VALIDATED-BL'!$A$1:$F$16,MATCH(R181,'SummaryNOT_VALIDATED-BL'!$A$1:$A$16,0),6),0),IF(S181=TRUE,INDEX('SummaryNOT_VALIDATED-BL'!$A$1:$F$16,MATCH(E181,'SummaryNOT_VALIDATED-BL'!$A$1:$A$16,0),6),0)),0)</f>
        <v>0</v>
      </c>
      <c r="V181" s="81" cm="1">
        <f t="array" ref="V181">INDEX('Weight tables'!$A$24:$C$27,MATCH(1,(RendicontiTrasmessiBL__2[[#This Row],[Cut percentage on real costs + USC]]&gt;='Weight tables'!$B$24:$B$27)*(RendicontiTrasmessiBL__2[[#This Row],[Cut percentage on real costs + USC]]&lt;='Weight tables'!$C$24:$C$27),0),1)</f>
        <v>0</v>
      </c>
      <c r="W181" s="2">
        <f>RendicontiTrasmessiBL__2[[#This Row],[Weight real costs  + USC ]]</f>
        <v>0</v>
      </c>
    </row>
    <row r="182" spans="1:23" x14ac:dyDescent="0.25">
      <c r="A182" s="1" t="s">
        <v>312</v>
      </c>
      <c r="B182" s="1" t="s">
        <v>311</v>
      </c>
      <c r="C182" s="2">
        <v>183</v>
      </c>
      <c r="D182" s="2">
        <v>220</v>
      </c>
      <c r="E182" s="1" t="s">
        <v>228</v>
      </c>
      <c r="F182">
        <v>20</v>
      </c>
      <c r="G182">
        <v>34300</v>
      </c>
      <c r="H182">
        <v>0</v>
      </c>
      <c r="I182">
        <v>0</v>
      </c>
      <c r="J182">
        <v>430.5</v>
      </c>
      <c r="K182">
        <v>0</v>
      </c>
      <c r="L182">
        <v>0</v>
      </c>
      <c r="M182">
        <v>430.5</v>
      </c>
      <c r="N182">
        <v>1.26</v>
      </c>
      <c r="O182">
        <v>33869.5</v>
      </c>
      <c r="P182">
        <v>0</v>
      </c>
      <c r="Q182" t="str">
        <f>INDEX('Partner data'!A:DH,MATCH(C182,'Partner data'!DG:DG,0),83)</f>
        <v>Soggetto pubblico</v>
      </c>
      <c r="R182" t="str">
        <f>IF(E182="staff",IF(INDEX('Partner data'!A:DH,MATCH(C182,'Partner data'!DG:DG,0),112)="BL1 non presente","FALSO",INDEX('Partner data'!A:DH,MATCH(C182,'Partner data'!DG:DG,0),112)))</f>
        <v>Tasso Forfettario 20%</v>
      </c>
      <c r="S182" t="b">
        <f t="shared" si="4"/>
        <v>1</v>
      </c>
      <c r="T182" t="b">
        <f t="shared" si="5"/>
        <v>1</v>
      </c>
      <c r="U182" s="154">
        <f>IFERROR(IF(R182&lt;&gt;FALSE,IF(S182=TRUE,INDEX('SummaryNOT_VALIDATED-BL'!$A$1:$F$16,MATCH(R182,'SummaryNOT_VALIDATED-BL'!$A$1:$A$16,0),6),0),IF(S182=TRUE,INDEX('SummaryNOT_VALIDATED-BL'!$A$1:$F$16,MATCH(E182,'SummaryNOT_VALIDATED-BL'!$A$1:$A$16,0),6),0)),0)</f>
        <v>1.2653355650533233E-2</v>
      </c>
      <c r="V182" s="81" cm="1">
        <f t="array" ref="V182">INDEX('Weight tables'!$A$24:$C$27,MATCH(1,(RendicontiTrasmessiBL__2[[#This Row],[Cut percentage on real costs + USC]]&gt;='Weight tables'!$B$24:$B$27)*(RendicontiTrasmessiBL__2[[#This Row],[Cut percentage on real costs + USC]]&lt;='Weight tables'!$C$24:$C$27),0),1)</f>
        <v>0</v>
      </c>
      <c r="W182" s="2">
        <f>RendicontiTrasmessiBL__2[[#This Row],[Weight real costs  + USC ]]</f>
        <v>0</v>
      </c>
    </row>
    <row r="183" spans="1:23" x14ac:dyDescent="0.25">
      <c r="A183" s="1" t="s">
        <v>312</v>
      </c>
      <c r="B183" s="1" t="s">
        <v>311</v>
      </c>
      <c r="C183" s="2">
        <v>183</v>
      </c>
      <c r="D183" s="2">
        <v>220</v>
      </c>
      <c r="E183" s="1" t="s">
        <v>229</v>
      </c>
      <c r="F183">
        <v>15</v>
      </c>
      <c r="G183">
        <v>5145</v>
      </c>
      <c r="H183">
        <v>0</v>
      </c>
      <c r="I183">
        <v>0</v>
      </c>
      <c r="J183">
        <v>64.569999999999993</v>
      </c>
      <c r="K183">
        <v>0</v>
      </c>
      <c r="L183">
        <v>0</v>
      </c>
      <c r="M183">
        <v>64.569999999999993</v>
      </c>
      <c r="N183">
        <v>1.26</v>
      </c>
      <c r="O183">
        <v>5080.43</v>
      </c>
      <c r="P183">
        <v>0</v>
      </c>
      <c r="Q183" t="str">
        <f>INDEX('Partner data'!A:DH,MATCH(C183,'Partner data'!DG:DG,0),83)</f>
        <v>Soggetto pubblico</v>
      </c>
      <c r="R183" t="b">
        <f>IF(E183="staff",IF(INDEX('Partner data'!A:DH,MATCH(C183,'Partner data'!DG:DG,0),112)="BL1 non presente","FALSO",INDEX('Partner data'!A:DH,MATCH(C183,'Partner data'!DG:DG,0),112)))</f>
        <v>0</v>
      </c>
      <c r="S183" t="b">
        <f t="shared" si="4"/>
        <v>1</v>
      </c>
      <c r="T183" t="b">
        <f t="shared" si="5"/>
        <v>1</v>
      </c>
      <c r="U183" s="154">
        <f>IFERROR(IF(R183&lt;&gt;FALSE,IF(S183=TRUE,INDEX('SummaryNOT_VALIDATED-BL'!$A$1:$F$16,MATCH(R183,'SummaryNOT_VALIDATED-BL'!$A$1:$A$16,0),6),0),IF(S183=TRUE,INDEX('SummaryNOT_VALIDATED-BL'!$A$1:$F$16,MATCH(E183,'SummaryNOT_VALIDATED-BL'!$A$1:$A$16,0),6),0)),0)</f>
        <v>6.6460469504890221E-2</v>
      </c>
      <c r="V183" s="81" cm="1">
        <f t="array" ref="V183">INDEX('Weight tables'!$A$24:$C$27,MATCH(1,(RendicontiTrasmessiBL__2[[#This Row],[Cut percentage on real costs + USC]]&gt;='Weight tables'!$B$24:$B$27)*(RendicontiTrasmessiBL__2[[#This Row],[Cut percentage on real costs + USC]]&lt;='Weight tables'!$C$24:$C$27),0),1)</f>
        <v>4</v>
      </c>
      <c r="W183" s="2">
        <f>RendicontiTrasmessiBL__2[[#This Row],[Weight real costs  + USC ]]</f>
        <v>4</v>
      </c>
    </row>
    <row r="184" spans="1:23" x14ac:dyDescent="0.25">
      <c r="A184" s="1" t="s">
        <v>312</v>
      </c>
      <c r="B184" s="1" t="s">
        <v>311</v>
      </c>
      <c r="C184" s="2">
        <v>183</v>
      </c>
      <c r="D184" s="2">
        <v>220</v>
      </c>
      <c r="E184" s="1" t="s">
        <v>230</v>
      </c>
      <c r="F184">
        <v>4</v>
      </c>
      <c r="G184">
        <v>1372</v>
      </c>
      <c r="H184">
        <v>0</v>
      </c>
      <c r="I184">
        <v>0</v>
      </c>
      <c r="J184">
        <v>17.22</v>
      </c>
      <c r="K184">
        <v>0</v>
      </c>
      <c r="L184">
        <v>0</v>
      </c>
      <c r="M184">
        <v>17.22</v>
      </c>
      <c r="N184">
        <v>1.26</v>
      </c>
      <c r="O184">
        <v>1354.78</v>
      </c>
      <c r="P184">
        <v>0</v>
      </c>
      <c r="Q184" t="str">
        <f>INDEX('Partner data'!A:DH,MATCH(C184,'Partner data'!DG:DG,0),83)</f>
        <v>Soggetto pubblico</v>
      </c>
      <c r="R184" t="b">
        <f>IF(E184="staff",IF(INDEX('Partner data'!A:DH,MATCH(C184,'Partner data'!DG:DG,0),112)="BL1 non presente","FALSO",INDEX('Partner data'!A:DH,MATCH(C184,'Partner data'!DG:DG,0),112)))</f>
        <v>0</v>
      </c>
      <c r="S184" t="b">
        <f t="shared" si="4"/>
        <v>1</v>
      </c>
      <c r="T184" t="b">
        <f t="shared" si="5"/>
        <v>1</v>
      </c>
      <c r="U184" s="154">
        <f>IFERROR(IF(R184&lt;&gt;FALSE,IF(S184=TRUE,INDEX('SummaryNOT_VALIDATED-BL'!$A$1:$F$16,MATCH(R184,'SummaryNOT_VALIDATED-BL'!$A$1:$A$16,0),6),0),IF(S184=TRUE,INDEX('SummaryNOT_VALIDATED-BL'!$A$1:$F$16,MATCH(E184,'SummaryNOT_VALIDATED-BL'!$A$1:$A$16,0),6),0)),0)</f>
        <v>6.3112622236488891E-2</v>
      </c>
      <c r="V184" s="81" cm="1">
        <f t="array" ref="V184">INDEX('Weight tables'!$A$24:$C$27,MATCH(1,(RendicontiTrasmessiBL__2[[#This Row],[Cut percentage on real costs + USC]]&gt;='Weight tables'!$B$24:$B$27)*(RendicontiTrasmessiBL__2[[#This Row],[Cut percentage on real costs + USC]]&lt;='Weight tables'!$C$24:$C$27),0),1)</f>
        <v>4</v>
      </c>
      <c r="W184" s="2">
        <f>RendicontiTrasmessiBL__2[[#This Row],[Weight real costs  + USC ]]</f>
        <v>4</v>
      </c>
    </row>
    <row r="185" spans="1:23" x14ac:dyDescent="0.25">
      <c r="A185" s="1" t="s">
        <v>312</v>
      </c>
      <c r="B185" s="1" t="s">
        <v>311</v>
      </c>
      <c r="C185" s="2">
        <v>183</v>
      </c>
      <c r="D185" s="2">
        <v>220</v>
      </c>
      <c r="E185" s="1" t="s">
        <v>231</v>
      </c>
      <c r="G185">
        <v>110500</v>
      </c>
      <c r="H185">
        <v>0</v>
      </c>
      <c r="I185">
        <v>0</v>
      </c>
      <c r="J185">
        <v>2152.5100000000002</v>
      </c>
      <c r="K185">
        <v>0</v>
      </c>
      <c r="L185">
        <v>0</v>
      </c>
      <c r="M185">
        <v>2152.5100000000002</v>
      </c>
      <c r="N185">
        <v>1.95</v>
      </c>
      <c r="O185">
        <v>108347.49</v>
      </c>
      <c r="P185">
        <v>0</v>
      </c>
      <c r="Q185" t="str">
        <f>INDEX('Partner data'!A:DH,MATCH(C185,'Partner data'!DG:DG,0),83)</f>
        <v>Soggetto pubblico</v>
      </c>
      <c r="R185" t="b">
        <f>IF(E185="staff",IF(INDEX('Partner data'!A:DH,MATCH(C185,'Partner data'!DG:DG,0),112)="BL1 non presente","FALSO",INDEX('Partner data'!A:DH,MATCH(C185,'Partner data'!DG:DG,0),112)))</f>
        <v>0</v>
      </c>
      <c r="S185" t="b">
        <f t="shared" si="4"/>
        <v>1</v>
      </c>
      <c r="T185" t="b">
        <f t="shared" si="5"/>
        <v>1</v>
      </c>
      <c r="U185" s="154">
        <f>IFERROR(IF(R185&lt;&gt;FALSE,IF(S185=TRUE,INDEX('SummaryNOT_VALIDATED-BL'!$A$1:$F$16,MATCH(R185,'SummaryNOT_VALIDATED-BL'!$A$1:$A$16,0),6),0),IF(S185=TRUE,INDEX('SummaryNOT_VALIDATED-BL'!$A$1:$F$16,MATCH(E185,'SummaryNOT_VALIDATED-BL'!$A$1:$A$16,0),6),0)),0)</f>
        <v>5.577594442215475E-2</v>
      </c>
      <c r="V185" s="81" cm="1">
        <f t="array" ref="V185">INDEX('Weight tables'!$A$24:$C$27,MATCH(1,(RendicontiTrasmessiBL__2[[#This Row],[Cut percentage on real costs + USC]]&gt;='Weight tables'!$B$24:$B$27)*(RendicontiTrasmessiBL__2[[#This Row],[Cut percentage on real costs + USC]]&lt;='Weight tables'!$C$24:$C$27),0),1)</f>
        <v>4</v>
      </c>
      <c r="W185" s="2">
        <f>RendicontiTrasmessiBL__2[[#This Row],[Weight real costs  + USC ]]</f>
        <v>4</v>
      </c>
    </row>
    <row r="186" spans="1:23" x14ac:dyDescent="0.25">
      <c r="A186" s="1" t="s">
        <v>312</v>
      </c>
      <c r="B186" s="1" t="s">
        <v>311</v>
      </c>
      <c r="C186" s="2">
        <v>183</v>
      </c>
      <c r="D186" s="2">
        <v>220</v>
      </c>
      <c r="E186" s="1" t="s">
        <v>232</v>
      </c>
      <c r="G186">
        <v>61000</v>
      </c>
      <c r="H186">
        <v>0</v>
      </c>
      <c r="I186">
        <v>0</v>
      </c>
      <c r="J186">
        <v>0</v>
      </c>
      <c r="K186">
        <v>0</v>
      </c>
      <c r="L186">
        <v>0</v>
      </c>
      <c r="M186">
        <v>0</v>
      </c>
      <c r="N186">
        <v>0</v>
      </c>
      <c r="O186">
        <v>61000</v>
      </c>
      <c r="P186">
        <v>0</v>
      </c>
      <c r="Q186" t="str">
        <f>INDEX('Partner data'!A:DH,MATCH(C186,'Partner data'!DG:DG,0),83)</f>
        <v>Soggetto pubblico</v>
      </c>
      <c r="R186" t="b">
        <f>IF(E186="staff",IF(INDEX('Partner data'!A:DH,MATCH(C186,'Partner data'!DG:DG,0),112)="BL1 non presente","FALSO",INDEX('Partner data'!A:DH,MATCH(C186,'Partner data'!DG:DG,0),112)))</f>
        <v>0</v>
      </c>
      <c r="S186" t="b">
        <f t="shared" si="4"/>
        <v>0</v>
      </c>
      <c r="T186" t="b">
        <f t="shared" si="5"/>
        <v>1</v>
      </c>
      <c r="U186" s="154">
        <f>IFERROR(IF(R186&lt;&gt;FALSE,IF(S186=TRUE,INDEX('SummaryNOT_VALIDATED-BL'!$A$1:$F$16,MATCH(R186,'SummaryNOT_VALIDATED-BL'!$A$1:$A$16,0),6),0),IF(S186=TRUE,INDEX('SummaryNOT_VALIDATED-BL'!$A$1:$F$16,MATCH(E186,'SummaryNOT_VALIDATED-BL'!$A$1:$A$16,0),6),0)),0)</f>
        <v>0</v>
      </c>
      <c r="V186" s="81" cm="1">
        <f t="array" ref="V186">INDEX('Weight tables'!$A$24:$C$27,MATCH(1,(RendicontiTrasmessiBL__2[[#This Row],[Cut percentage on real costs + USC]]&gt;='Weight tables'!$B$24:$B$27)*(RendicontiTrasmessiBL__2[[#This Row],[Cut percentage on real costs + USC]]&lt;='Weight tables'!$C$24:$C$27),0),1)</f>
        <v>0</v>
      </c>
      <c r="W186" s="2">
        <f>RendicontiTrasmessiBL__2[[#This Row],[Weight real costs  + USC ]]</f>
        <v>0</v>
      </c>
    </row>
    <row r="187" spans="1:23" x14ac:dyDescent="0.25">
      <c r="A187" s="1" t="s">
        <v>312</v>
      </c>
      <c r="B187" s="1" t="s">
        <v>311</v>
      </c>
      <c r="C187" s="2">
        <v>183</v>
      </c>
      <c r="D187" s="2">
        <v>220</v>
      </c>
      <c r="E187" s="1" t="s">
        <v>233</v>
      </c>
      <c r="G187">
        <v>0</v>
      </c>
      <c r="H187">
        <v>0</v>
      </c>
      <c r="I187">
        <v>0</v>
      </c>
      <c r="J187">
        <v>0</v>
      </c>
      <c r="K187">
        <v>0</v>
      </c>
      <c r="L187">
        <v>0</v>
      </c>
      <c r="M187">
        <v>0</v>
      </c>
      <c r="N187">
        <v>0</v>
      </c>
      <c r="O187">
        <v>0</v>
      </c>
      <c r="P187">
        <v>0</v>
      </c>
      <c r="Q187" t="str">
        <f>INDEX('Partner data'!A:DH,MATCH(C187,'Partner data'!DG:DG,0),83)</f>
        <v>Soggetto pubblico</v>
      </c>
      <c r="R187" t="b">
        <f>IF(E187="staff",IF(INDEX('Partner data'!A:DH,MATCH(C187,'Partner data'!DG:DG,0),112)="BL1 non presente","FALSO",INDEX('Partner data'!A:DH,MATCH(C187,'Partner data'!DG:DG,0),112)))</f>
        <v>0</v>
      </c>
      <c r="S187" t="b">
        <f t="shared" si="4"/>
        <v>0</v>
      </c>
      <c r="T187" t="b">
        <f t="shared" si="5"/>
        <v>1</v>
      </c>
      <c r="U187" s="154">
        <f>IFERROR(IF(R187&lt;&gt;FALSE,IF(S187=TRUE,INDEX('SummaryNOT_VALIDATED-BL'!$A$1:$F$16,MATCH(R187,'SummaryNOT_VALIDATED-BL'!$A$1:$A$16,0),6),0),IF(S187=TRUE,INDEX('SummaryNOT_VALIDATED-BL'!$A$1:$F$16,MATCH(E187,'SummaryNOT_VALIDATED-BL'!$A$1:$A$16,0),6),0)),0)</f>
        <v>0</v>
      </c>
      <c r="V187" s="81" cm="1">
        <f t="array" ref="V187">INDEX('Weight tables'!$A$24:$C$27,MATCH(1,(RendicontiTrasmessiBL__2[[#This Row],[Cut percentage on real costs + USC]]&gt;='Weight tables'!$B$24:$B$27)*(RendicontiTrasmessiBL__2[[#This Row],[Cut percentage on real costs + USC]]&lt;='Weight tables'!$C$24:$C$27),0),1)</f>
        <v>0</v>
      </c>
      <c r="W187" s="2">
        <f>RendicontiTrasmessiBL__2[[#This Row],[Weight real costs  + USC ]]</f>
        <v>0</v>
      </c>
    </row>
    <row r="188" spans="1:23" x14ac:dyDescent="0.25">
      <c r="A188" s="1" t="s">
        <v>312</v>
      </c>
      <c r="B188" s="1" t="s">
        <v>311</v>
      </c>
      <c r="C188" s="2">
        <v>183</v>
      </c>
      <c r="D188" s="2">
        <v>220</v>
      </c>
      <c r="E188" s="1" t="s">
        <v>234</v>
      </c>
      <c r="G188">
        <v>0</v>
      </c>
      <c r="H188">
        <v>0</v>
      </c>
      <c r="I188">
        <v>0</v>
      </c>
      <c r="J188">
        <v>0</v>
      </c>
      <c r="K188">
        <v>0</v>
      </c>
      <c r="L188">
        <v>0</v>
      </c>
      <c r="M188">
        <v>0</v>
      </c>
      <c r="N188">
        <v>0</v>
      </c>
      <c r="O188">
        <v>0</v>
      </c>
      <c r="P188">
        <v>0</v>
      </c>
      <c r="Q188" t="str">
        <f>INDEX('Partner data'!A:DH,MATCH(C188,'Partner data'!DG:DG,0),83)</f>
        <v>Soggetto pubblico</v>
      </c>
      <c r="R188" t="b">
        <f>IF(E188="staff",IF(INDEX('Partner data'!A:DH,MATCH(C188,'Partner data'!DG:DG,0),112)="BL1 non presente","FALSO",INDEX('Partner data'!A:DH,MATCH(C188,'Partner data'!DG:DG,0),112)))</f>
        <v>0</v>
      </c>
      <c r="S188" t="b">
        <f t="shared" si="4"/>
        <v>0</v>
      </c>
      <c r="T188" t="b">
        <f t="shared" si="5"/>
        <v>1</v>
      </c>
      <c r="U188" s="154">
        <f>IFERROR(IF(R188&lt;&gt;FALSE,IF(S188=TRUE,INDEX('SummaryNOT_VALIDATED-BL'!$A$1:$F$16,MATCH(R188,'SummaryNOT_VALIDATED-BL'!$A$1:$A$16,0),6),0),IF(S188=TRUE,INDEX('SummaryNOT_VALIDATED-BL'!$A$1:$F$16,MATCH(E188,'SummaryNOT_VALIDATED-BL'!$A$1:$A$16,0),6),0)),0)</f>
        <v>0</v>
      </c>
      <c r="V188" s="81" cm="1">
        <f t="array" ref="V188">INDEX('Weight tables'!$A$24:$C$27,MATCH(1,(RendicontiTrasmessiBL__2[[#This Row],[Cut percentage on real costs + USC]]&gt;='Weight tables'!$B$24:$B$27)*(RendicontiTrasmessiBL__2[[#This Row],[Cut percentage on real costs + USC]]&lt;='Weight tables'!$C$24:$C$27),0),1)</f>
        <v>0</v>
      </c>
      <c r="W188" s="2">
        <f>RendicontiTrasmessiBL__2[[#This Row],[Weight real costs  + USC ]]</f>
        <v>0</v>
      </c>
    </row>
    <row r="189" spans="1:23" x14ac:dyDescent="0.25">
      <c r="A189" s="1" t="s">
        <v>312</v>
      </c>
      <c r="B189" s="1" t="s">
        <v>311</v>
      </c>
      <c r="C189" s="2">
        <v>183</v>
      </c>
      <c r="D189" s="2">
        <v>220</v>
      </c>
      <c r="E189" s="1" t="s">
        <v>236</v>
      </c>
      <c r="G189">
        <v>0</v>
      </c>
      <c r="H189">
        <v>0</v>
      </c>
      <c r="I189">
        <v>0</v>
      </c>
      <c r="J189">
        <v>0</v>
      </c>
      <c r="K189">
        <v>0</v>
      </c>
      <c r="L189">
        <v>0</v>
      </c>
      <c r="M189">
        <v>0</v>
      </c>
      <c r="N189">
        <v>0</v>
      </c>
      <c r="O189">
        <v>0</v>
      </c>
      <c r="P189">
        <v>0</v>
      </c>
      <c r="Q189" t="str">
        <f>INDEX('Partner data'!A:DH,MATCH(C189,'Partner data'!DG:DG,0),83)</f>
        <v>Soggetto pubblico</v>
      </c>
      <c r="R189" t="b">
        <f>IF(E189="staff",IF(INDEX('Partner data'!A:DH,MATCH(C189,'Partner data'!DG:DG,0),112)="BL1 non presente","FALSO",INDEX('Partner data'!A:DH,MATCH(C189,'Partner data'!DG:DG,0),112)))</f>
        <v>0</v>
      </c>
      <c r="S189" t="b">
        <f t="shared" si="4"/>
        <v>0</v>
      </c>
      <c r="T189" t="b">
        <f t="shared" si="5"/>
        <v>1</v>
      </c>
      <c r="U189" s="154">
        <f>IFERROR(IF(R189&lt;&gt;FALSE,IF(S189=TRUE,INDEX('SummaryNOT_VALIDATED-BL'!$A$1:$F$16,MATCH(R189,'SummaryNOT_VALIDATED-BL'!$A$1:$A$16,0),6),0),IF(S189=TRUE,INDEX('SummaryNOT_VALIDATED-BL'!$A$1:$F$16,MATCH(E189,'SummaryNOT_VALIDATED-BL'!$A$1:$A$16,0),6),0)),0)</f>
        <v>0</v>
      </c>
      <c r="V189" s="81" cm="1">
        <f t="array" ref="V189">INDEX('Weight tables'!$A$24:$C$27,MATCH(1,(RendicontiTrasmessiBL__2[[#This Row],[Cut percentage on real costs + USC]]&gt;='Weight tables'!$B$24:$B$27)*(RendicontiTrasmessiBL__2[[#This Row],[Cut percentage on real costs + USC]]&lt;='Weight tables'!$C$24:$C$27),0),1)</f>
        <v>0</v>
      </c>
      <c r="W189" s="2">
        <f>RendicontiTrasmessiBL__2[[#This Row],[Weight real costs  + USC ]]</f>
        <v>0</v>
      </c>
    </row>
    <row r="190" spans="1:23" x14ac:dyDescent="0.25">
      <c r="A190" s="1" t="s">
        <v>312</v>
      </c>
      <c r="B190" s="1" t="s">
        <v>311</v>
      </c>
      <c r="C190" s="2">
        <v>183</v>
      </c>
      <c r="D190" s="2">
        <v>220</v>
      </c>
      <c r="E190" s="1" t="s">
        <v>237</v>
      </c>
      <c r="G190">
        <v>0</v>
      </c>
      <c r="H190">
        <v>0</v>
      </c>
      <c r="I190">
        <v>0</v>
      </c>
      <c r="J190">
        <v>0</v>
      </c>
      <c r="K190">
        <v>0</v>
      </c>
      <c r="L190">
        <v>0</v>
      </c>
      <c r="M190">
        <v>0</v>
      </c>
      <c r="N190">
        <v>0</v>
      </c>
      <c r="O190">
        <v>0</v>
      </c>
      <c r="P190">
        <v>0</v>
      </c>
      <c r="Q190" t="str">
        <f>INDEX('Partner data'!A:DH,MATCH(C190,'Partner data'!DG:DG,0),83)</f>
        <v>Soggetto pubblico</v>
      </c>
      <c r="R190" t="b">
        <f>IF(E190="staff",IF(INDEX('Partner data'!A:DH,MATCH(C190,'Partner data'!DG:DG,0),112)="BL1 non presente","FALSO",INDEX('Partner data'!A:DH,MATCH(C190,'Partner data'!DG:DG,0),112)))</f>
        <v>0</v>
      </c>
      <c r="S190" t="b">
        <f t="shared" si="4"/>
        <v>0</v>
      </c>
      <c r="T190" t="b">
        <f t="shared" si="5"/>
        <v>1</v>
      </c>
      <c r="U190" s="154">
        <f>IFERROR(IF(R190&lt;&gt;FALSE,IF(S190=TRUE,INDEX('SummaryNOT_VALIDATED-BL'!$A$1:$F$16,MATCH(R190,'SummaryNOT_VALIDATED-BL'!$A$1:$A$16,0),6),0),IF(S190=TRUE,INDEX('SummaryNOT_VALIDATED-BL'!$A$1:$F$16,MATCH(E190,'SummaryNOT_VALIDATED-BL'!$A$1:$A$16,0),6),0)),0)</f>
        <v>0</v>
      </c>
      <c r="V190" s="81" cm="1">
        <f t="array" ref="V190">INDEX('Weight tables'!$A$24:$C$27,MATCH(1,(RendicontiTrasmessiBL__2[[#This Row],[Cut percentage on real costs + USC]]&gt;='Weight tables'!$B$24:$B$27)*(RendicontiTrasmessiBL__2[[#This Row],[Cut percentage on real costs + USC]]&lt;='Weight tables'!$C$24:$C$27),0),1)</f>
        <v>0</v>
      </c>
      <c r="W190" s="2">
        <f>RendicontiTrasmessiBL__2[[#This Row],[Weight real costs  + USC ]]</f>
        <v>0</v>
      </c>
    </row>
    <row r="191" spans="1:23" x14ac:dyDescent="0.25">
      <c r="A191" s="1" t="s">
        <v>312</v>
      </c>
      <c r="B191" s="1" t="s">
        <v>313</v>
      </c>
      <c r="C191" s="2">
        <v>184</v>
      </c>
      <c r="D191" s="2">
        <v>304</v>
      </c>
      <c r="E191" s="1" t="s">
        <v>228</v>
      </c>
      <c r="F191">
        <v>20</v>
      </c>
      <c r="G191">
        <v>21200</v>
      </c>
      <c r="H191">
        <v>0</v>
      </c>
      <c r="I191">
        <v>0</v>
      </c>
      <c r="J191">
        <v>0</v>
      </c>
      <c r="K191">
        <v>0</v>
      </c>
      <c r="L191">
        <v>0</v>
      </c>
      <c r="M191">
        <v>0</v>
      </c>
      <c r="N191">
        <v>0</v>
      </c>
      <c r="O191">
        <v>21200</v>
      </c>
      <c r="P191">
        <v>0</v>
      </c>
      <c r="Q191" t="str">
        <f>INDEX('Partner data'!A:DH,MATCH(C191,'Partner data'!DG:DG,0),83)</f>
        <v>Soggetto pubblico</v>
      </c>
      <c r="R191" t="str">
        <f>IF(E191="staff",IF(INDEX('Partner data'!A:DH,MATCH(C191,'Partner data'!DG:DG,0),112)="BL1 non presente","FALSO",INDEX('Partner data'!A:DH,MATCH(C191,'Partner data'!DG:DG,0),112)))</f>
        <v>Tasso Forfettario 20%</v>
      </c>
      <c r="S191" t="b">
        <f t="shared" si="4"/>
        <v>0</v>
      </c>
      <c r="T191" t="b">
        <f t="shared" si="5"/>
        <v>1</v>
      </c>
      <c r="U191" s="154">
        <f>IFERROR(IF(R191&lt;&gt;FALSE,IF(S191=TRUE,INDEX('SummaryNOT_VALIDATED-BL'!$A$1:$F$16,MATCH(R191,'SummaryNOT_VALIDATED-BL'!$A$1:$A$16,0),6),0),IF(S191=TRUE,INDEX('SummaryNOT_VALIDATED-BL'!$A$1:$F$16,MATCH(E191,'SummaryNOT_VALIDATED-BL'!$A$1:$A$16,0),6),0)),0)</f>
        <v>0</v>
      </c>
      <c r="V191" s="81" cm="1">
        <f t="array" ref="V191">INDEX('Weight tables'!$A$24:$C$27,MATCH(1,(RendicontiTrasmessiBL__2[[#This Row],[Cut percentage on real costs + USC]]&gt;='Weight tables'!$B$24:$B$27)*(RendicontiTrasmessiBL__2[[#This Row],[Cut percentage on real costs + USC]]&lt;='Weight tables'!$C$24:$C$27),0),1)</f>
        <v>0</v>
      </c>
      <c r="W191" s="2">
        <f>RendicontiTrasmessiBL__2[[#This Row],[Weight real costs  + USC ]]</f>
        <v>0</v>
      </c>
    </row>
    <row r="192" spans="1:23" x14ac:dyDescent="0.25">
      <c r="A192" s="1" t="s">
        <v>312</v>
      </c>
      <c r="B192" s="1" t="s">
        <v>313</v>
      </c>
      <c r="C192" s="2">
        <v>184</v>
      </c>
      <c r="D192" s="2">
        <v>304</v>
      </c>
      <c r="E192" s="1" t="s">
        <v>229</v>
      </c>
      <c r="F192">
        <v>15</v>
      </c>
      <c r="G192">
        <v>3180</v>
      </c>
      <c r="H192">
        <v>0</v>
      </c>
      <c r="I192">
        <v>0</v>
      </c>
      <c r="J192">
        <v>0</v>
      </c>
      <c r="K192">
        <v>0</v>
      </c>
      <c r="L192">
        <v>0</v>
      </c>
      <c r="M192">
        <v>0</v>
      </c>
      <c r="N192">
        <v>0</v>
      </c>
      <c r="O192">
        <v>3180</v>
      </c>
      <c r="P192">
        <v>0</v>
      </c>
      <c r="Q192" t="str">
        <f>INDEX('Partner data'!A:DH,MATCH(C192,'Partner data'!DG:DG,0),83)</f>
        <v>Soggetto pubblico</v>
      </c>
      <c r="R192" t="b">
        <f>IF(E192="staff",IF(INDEX('Partner data'!A:DH,MATCH(C192,'Partner data'!DG:DG,0),112)="BL1 non presente","FALSO",INDEX('Partner data'!A:DH,MATCH(C192,'Partner data'!DG:DG,0),112)))</f>
        <v>0</v>
      </c>
      <c r="S192" t="b">
        <f t="shared" si="4"/>
        <v>0</v>
      </c>
      <c r="T192" t="b">
        <f t="shared" si="5"/>
        <v>1</v>
      </c>
      <c r="U192" s="154">
        <f>IFERROR(IF(R192&lt;&gt;FALSE,IF(S192=TRUE,INDEX('SummaryNOT_VALIDATED-BL'!$A$1:$F$16,MATCH(R192,'SummaryNOT_VALIDATED-BL'!$A$1:$A$16,0),6),0),IF(S192=TRUE,INDEX('SummaryNOT_VALIDATED-BL'!$A$1:$F$16,MATCH(E192,'SummaryNOT_VALIDATED-BL'!$A$1:$A$16,0),6),0)),0)</f>
        <v>0</v>
      </c>
      <c r="V192" s="81" cm="1">
        <f t="array" ref="V192">INDEX('Weight tables'!$A$24:$C$27,MATCH(1,(RendicontiTrasmessiBL__2[[#This Row],[Cut percentage on real costs + USC]]&gt;='Weight tables'!$B$24:$B$27)*(RendicontiTrasmessiBL__2[[#This Row],[Cut percentage on real costs + USC]]&lt;='Weight tables'!$C$24:$C$27),0),1)</f>
        <v>0</v>
      </c>
      <c r="W192" s="2">
        <f>RendicontiTrasmessiBL__2[[#This Row],[Weight real costs  + USC ]]</f>
        <v>0</v>
      </c>
    </row>
    <row r="193" spans="1:23" x14ac:dyDescent="0.25">
      <c r="A193" s="1" t="s">
        <v>312</v>
      </c>
      <c r="B193" s="1" t="s">
        <v>313</v>
      </c>
      <c r="C193" s="2">
        <v>184</v>
      </c>
      <c r="D193" s="2">
        <v>304</v>
      </c>
      <c r="E193" s="1" t="s">
        <v>230</v>
      </c>
      <c r="F193">
        <v>4</v>
      </c>
      <c r="G193">
        <v>848</v>
      </c>
      <c r="H193">
        <v>0</v>
      </c>
      <c r="I193">
        <v>0</v>
      </c>
      <c r="J193">
        <v>0</v>
      </c>
      <c r="K193">
        <v>0</v>
      </c>
      <c r="L193">
        <v>0</v>
      </c>
      <c r="M193">
        <v>0</v>
      </c>
      <c r="N193">
        <v>0</v>
      </c>
      <c r="O193">
        <v>848</v>
      </c>
      <c r="P193">
        <v>0</v>
      </c>
      <c r="Q193" t="str">
        <f>INDEX('Partner data'!A:DH,MATCH(C193,'Partner data'!DG:DG,0),83)</f>
        <v>Soggetto pubblico</v>
      </c>
      <c r="R193" t="b">
        <f>IF(E193="staff",IF(INDEX('Partner data'!A:DH,MATCH(C193,'Partner data'!DG:DG,0),112)="BL1 non presente","FALSO",INDEX('Partner data'!A:DH,MATCH(C193,'Partner data'!DG:DG,0),112)))</f>
        <v>0</v>
      </c>
      <c r="S193" t="b">
        <f t="shared" si="4"/>
        <v>0</v>
      </c>
      <c r="T193" t="b">
        <f t="shared" si="5"/>
        <v>1</v>
      </c>
      <c r="U193" s="154">
        <f>IFERROR(IF(R193&lt;&gt;FALSE,IF(S193=TRUE,INDEX('SummaryNOT_VALIDATED-BL'!$A$1:$F$16,MATCH(R193,'SummaryNOT_VALIDATED-BL'!$A$1:$A$16,0),6),0),IF(S193=TRUE,INDEX('SummaryNOT_VALIDATED-BL'!$A$1:$F$16,MATCH(E193,'SummaryNOT_VALIDATED-BL'!$A$1:$A$16,0),6),0)),0)</f>
        <v>0</v>
      </c>
      <c r="V193" s="81" cm="1">
        <f t="array" ref="V193">INDEX('Weight tables'!$A$24:$C$27,MATCH(1,(RendicontiTrasmessiBL__2[[#This Row],[Cut percentage on real costs + USC]]&gt;='Weight tables'!$B$24:$B$27)*(RendicontiTrasmessiBL__2[[#This Row],[Cut percentage on real costs + USC]]&lt;='Weight tables'!$C$24:$C$27),0),1)</f>
        <v>0</v>
      </c>
      <c r="W193" s="2">
        <f>RendicontiTrasmessiBL__2[[#This Row],[Weight real costs  + USC ]]</f>
        <v>0</v>
      </c>
    </row>
    <row r="194" spans="1:23" x14ac:dyDescent="0.25">
      <c r="A194" s="1" t="s">
        <v>312</v>
      </c>
      <c r="B194" s="1" t="s">
        <v>313</v>
      </c>
      <c r="C194" s="2">
        <v>184</v>
      </c>
      <c r="D194" s="2">
        <v>304</v>
      </c>
      <c r="E194" s="1" t="s">
        <v>231</v>
      </c>
      <c r="G194">
        <v>56000</v>
      </c>
      <c r="H194">
        <v>0</v>
      </c>
      <c r="I194">
        <v>0</v>
      </c>
      <c r="J194">
        <v>0</v>
      </c>
      <c r="K194">
        <v>0</v>
      </c>
      <c r="L194">
        <v>0</v>
      </c>
      <c r="M194">
        <v>0</v>
      </c>
      <c r="N194">
        <v>0</v>
      </c>
      <c r="O194">
        <v>56000</v>
      </c>
      <c r="P194">
        <v>0</v>
      </c>
      <c r="Q194" t="str">
        <f>INDEX('Partner data'!A:DH,MATCH(C194,'Partner data'!DG:DG,0),83)</f>
        <v>Soggetto pubblico</v>
      </c>
      <c r="R194" t="b">
        <f>IF(E194="staff",IF(INDEX('Partner data'!A:DH,MATCH(C194,'Partner data'!DG:DG,0),112)="BL1 non presente","FALSO",INDEX('Partner data'!A:DH,MATCH(C194,'Partner data'!DG:DG,0),112)))</f>
        <v>0</v>
      </c>
      <c r="S194" t="b">
        <f t="shared" ref="S194:S257" si="6">IF(J194&lt;&gt;0,TRUE,FALSE)</f>
        <v>0</v>
      </c>
      <c r="T194" t="b">
        <f t="shared" ref="T194:T257" si="7">OR(Q194="Soggetto pubblico",Q194="Organismo di diritto pubblico ")</f>
        <v>1</v>
      </c>
      <c r="U194" s="154">
        <f>IFERROR(IF(R194&lt;&gt;FALSE,IF(S194=TRUE,INDEX('SummaryNOT_VALIDATED-BL'!$A$1:$F$16,MATCH(R194,'SummaryNOT_VALIDATED-BL'!$A$1:$A$16,0),6),0),IF(S194=TRUE,INDEX('SummaryNOT_VALIDATED-BL'!$A$1:$F$16,MATCH(E194,'SummaryNOT_VALIDATED-BL'!$A$1:$A$16,0),6),0)),0)</f>
        <v>0</v>
      </c>
      <c r="V194" s="81" cm="1">
        <f t="array" ref="V194">INDEX('Weight tables'!$A$24:$C$27,MATCH(1,(RendicontiTrasmessiBL__2[[#This Row],[Cut percentage on real costs + USC]]&gt;='Weight tables'!$B$24:$B$27)*(RendicontiTrasmessiBL__2[[#This Row],[Cut percentage on real costs + USC]]&lt;='Weight tables'!$C$24:$C$27),0),1)</f>
        <v>0</v>
      </c>
      <c r="W194" s="2">
        <f>RendicontiTrasmessiBL__2[[#This Row],[Weight real costs  + USC ]]</f>
        <v>0</v>
      </c>
    </row>
    <row r="195" spans="1:23" x14ac:dyDescent="0.25">
      <c r="A195" s="1" t="s">
        <v>312</v>
      </c>
      <c r="B195" s="1" t="s">
        <v>313</v>
      </c>
      <c r="C195" s="2">
        <v>184</v>
      </c>
      <c r="D195" s="2">
        <v>304</v>
      </c>
      <c r="E195" s="1" t="s">
        <v>232</v>
      </c>
      <c r="G195">
        <v>50000</v>
      </c>
      <c r="H195">
        <v>0</v>
      </c>
      <c r="I195">
        <v>0</v>
      </c>
      <c r="J195">
        <v>0</v>
      </c>
      <c r="K195">
        <v>0</v>
      </c>
      <c r="L195">
        <v>0</v>
      </c>
      <c r="M195">
        <v>0</v>
      </c>
      <c r="N195">
        <v>0</v>
      </c>
      <c r="O195">
        <v>50000</v>
      </c>
      <c r="P195">
        <v>0</v>
      </c>
      <c r="Q195" t="str">
        <f>INDEX('Partner data'!A:DH,MATCH(C195,'Partner data'!DG:DG,0),83)</f>
        <v>Soggetto pubblico</v>
      </c>
      <c r="R195" t="b">
        <f>IF(E195="staff",IF(INDEX('Partner data'!A:DH,MATCH(C195,'Partner data'!DG:DG,0),112)="BL1 non presente","FALSO",INDEX('Partner data'!A:DH,MATCH(C195,'Partner data'!DG:DG,0),112)))</f>
        <v>0</v>
      </c>
      <c r="S195" t="b">
        <f t="shared" si="6"/>
        <v>0</v>
      </c>
      <c r="T195" t="b">
        <f t="shared" si="7"/>
        <v>1</v>
      </c>
      <c r="U195" s="154">
        <f>IFERROR(IF(R195&lt;&gt;FALSE,IF(S195=TRUE,INDEX('SummaryNOT_VALIDATED-BL'!$A$1:$F$16,MATCH(R195,'SummaryNOT_VALIDATED-BL'!$A$1:$A$16,0),6),0),IF(S195=TRUE,INDEX('SummaryNOT_VALIDATED-BL'!$A$1:$F$16,MATCH(E195,'SummaryNOT_VALIDATED-BL'!$A$1:$A$16,0),6),0)),0)</f>
        <v>0</v>
      </c>
      <c r="V195" s="81" cm="1">
        <f t="array" ref="V195">INDEX('Weight tables'!$A$24:$C$27,MATCH(1,(RendicontiTrasmessiBL__2[[#This Row],[Cut percentage on real costs + USC]]&gt;='Weight tables'!$B$24:$B$27)*(RendicontiTrasmessiBL__2[[#This Row],[Cut percentage on real costs + USC]]&lt;='Weight tables'!$C$24:$C$27),0),1)</f>
        <v>0</v>
      </c>
      <c r="W195" s="2">
        <f>RendicontiTrasmessiBL__2[[#This Row],[Weight real costs  + USC ]]</f>
        <v>0</v>
      </c>
    </row>
    <row r="196" spans="1:23" x14ac:dyDescent="0.25">
      <c r="A196" s="1" t="s">
        <v>312</v>
      </c>
      <c r="B196" s="1" t="s">
        <v>313</v>
      </c>
      <c r="C196" s="2">
        <v>184</v>
      </c>
      <c r="D196" s="2">
        <v>304</v>
      </c>
      <c r="E196" s="1" t="s">
        <v>233</v>
      </c>
      <c r="G196">
        <v>0</v>
      </c>
      <c r="H196">
        <v>0</v>
      </c>
      <c r="I196">
        <v>0</v>
      </c>
      <c r="J196">
        <v>0</v>
      </c>
      <c r="K196">
        <v>0</v>
      </c>
      <c r="L196">
        <v>0</v>
      </c>
      <c r="M196">
        <v>0</v>
      </c>
      <c r="N196">
        <v>0</v>
      </c>
      <c r="O196">
        <v>0</v>
      </c>
      <c r="P196">
        <v>0</v>
      </c>
      <c r="Q196" t="str">
        <f>INDEX('Partner data'!A:DH,MATCH(C196,'Partner data'!DG:DG,0),83)</f>
        <v>Soggetto pubblico</v>
      </c>
      <c r="R196" t="b">
        <f>IF(E196="staff",IF(INDEX('Partner data'!A:DH,MATCH(C196,'Partner data'!DG:DG,0),112)="BL1 non presente","FALSO",INDEX('Partner data'!A:DH,MATCH(C196,'Partner data'!DG:DG,0),112)))</f>
        <v>0</v>
      </c>
      <c r="S196" t="b">
        <f t="shared" si="6"/>
        <v>0</v>
      </c>
      <c r="T196" t="b">
        <f t="shared" si="7"/>
        <v>1</v>
      </c>
      <c r="U196" s="154">
        <f>IFERROR(IF(R196&lt;&gt;FALSE,IF(S196=TRUE,INDEX('SummaryNOT_VALIDATED-BL'!$A$1:$F$16,MATCH(R196,'SummaryNOT_VALIDATED-BL'!$A$1:$A$16,0),6),0),IF(S196=TRUE,INDEX('SummaryNOT_VALIDATED-BL'!$A$1:$F$16,MATCH(E196,'SummaryNOT_VALIDATED-BL'!$A$1:$A$16,0),6),0)),0)</f>
        <v>0</v>
      </c>
      <c r="V196" s="81" cm="1">
        <f t="array" ref="V196">INDEX('Weight tables'!$A$24:$C$27,MATCH(1,(RendicontiTrasmessiBL__2[[#This Row],[Cut percentage on real costs + USC]]&gt;='Weight tables'!$B$24:$B$27)*(RendicontiTrasmessiBL__2[[#This Row],[Cut percentage on real costs + USC]]&lt;='Weight tables'!$C$24:$C$27),0),1)</f>
        <v>0</v>
      </c>
      <c r="W196" s="2">
        <f>RendicontiTrasmessiBL__2[[#This Row],[Weight real costs  + USC ]]</f>
        <v>0</v>
      </c>
    </row>
    <row r="197" spans="1:23" x14ac:dyDescent="0.25">
      <c r="A197" s="1" t="s">
        <v>312</v>
      </c>
      <c r="B197" s="1" t="s">
        <v>313</v>
      </c>
      <c r="C197" s="2">
        <v>184</v>
      </c>
      <c r="D197" s="2">
        <v>304</v>
      </c>
      <c r="E197" s="1" t="s">
        <v>234</v>
      </c>
      <c r="G197">
        <v>0</v>
      </c>
      <c r="H197">
        <v>0</v>
      </c>
      <c r="I197">
        <v>0</v>
      </c>
      <c r="J197">
        <v>0</v>
      </c>
      <c r="K197">
        <v>0</v>
      </c>
      <c r="L197">
        <v>0</v>
      </c>
      <c r="M197">
        <v>0</v>
      </c>
      <c r="N197">
        <v>0</v>
      </c>
      <c r="O197">
        <v>0</v>
      </c>
      <c r="P197">
        <v>0</v>
      </c>
      <c r="Q197" t="str">
        <f>INDEX('Partner data'!A:DH,MATCH(C197,'Partner data'!DG:DG,0),83)</f>
        <v>Soggetto pubblico</v>
      </c>
      <c r="R197" t="b">
        <f>IF(E197="staff",IF(INDEX('Partner data'!A:DH,MATCH(C197,'Partner data'!DG:DG,0),112)="BL1 non presente","FALSO",INDEX('Partner data'!A:DH,MATCH(C197,'Partner data'!DG:DG,0),112)))</f>
        <v>0</v>
      </c>
      <c r="S197" t="b">
        <f t="shared" si="6"/>
        <v>0</v>
      </c>
      <c r="T197" t="b">
        <f t="shared" si="7"/>
        <v>1</v>
      </c>
      <c r="U197" s="154">
        <f>IFERROR(IF(R197&lt;&gt;FALSE,IF(S197=TRUE,INDEX('SummaryNOT_VALIDATED-BL'!$A$1:$F$16,MATCH(R197,'SummaryNOT_VALIDATED-BL'!$A$1:$A$16,0),6),0),IF(S197=TRUE,INDEX('SummaryNOT_VALIDATED-BL'!$A$1:$F$16,MATCH(E197,'SummaryNOT_VALIDATED-BL'!$A$1:$A$16,0),6),0)),0)</f>
        <v>0</v>
      </c>
      <c r="V197" s="81" cm="1">
        <f t="array" ref="V197">INDEX('Weight tables'!$A$24:$C$27,MATCH(1,(RendicontiTrasmessiBL__2[[#This Row],[Cut percentage on real costs + USC]]&gt;='Weight tables'!$B$24:$B$27)*(RendicontiTrasmessiBL__2[[#This Row],[Cut percentage on real costs + USC]]&lt;='Weight tables'!$C$24:$C$27),0),1)</f>
        <v>0</v>
      </c>
      <c r="W197" s="2">
        <f>RendicontiTrasmessiBL__2[[#This Row],[Weight real costs  + USC ]]</f>
        <v>0</v>
      </c>
    </row>
    <row r="198" spans="1:23" x14ac:dyDescent="0.25">
      <c r="A198" s="1" t="s">
        <v>312</v>
      </c>
      <c r="B198" s="1" t="s">
        <v>313</v>
      </c>
      <c r="C198" s="2">
        <v>184</v>
      </c>
      <c r="D198" s="2">
        <v>304</v>
      </c>
      <c r="E198" s="1" t="s">
        <v>236</v>
      </c>
      <c r="G198">
        <v>0</v>
      </c>
      <c r="H198">
        <v>0</v>
      </c>
      <c r="I198">
        <v>0</v>
      </c>
      <c r="J198">
        <v>0</v>
      </c>
      <c r="K198">
        <v>0</v>
      </c>
      <c r="L198">
        <v>0</v>
      </c>
      <c r="M198">
        <v>0</v>
      </c>
      <c r="N198">
        <v>0</v>
      </c>
      <c r="O198">
        <v>0</v>
      </c>
      <c r="P198">
        <v>0</v>
      </c>
      <c r="Q198" t="str">
        <f>INDEX('Partner data'!A:DH,MATCH(C198,'Partner data'!DG:DG,0),83)</f>
        <v>Soggetto pubblico</v>
      </c>
      <c r="R198" t="b">
        <f>IF(E198="staff",IF(INDEX('Partner data'!A:DH,MATCH(C198,'Partner data'!DG:DG,0),112)="BL1 non presente","FALSO",INDEX('Partner data'!A:DH,MATCH(C198,'Partner data'!DG:DG,0),112)))</f>
        <v>0</v>
      </c>
      <c r="S198" t="b">
        <f t="shared" si="6"/>
        <v>0</v>
      </c>
      <c r="T198" t="b">
        <f t="shared" si="7"/>
        <v>1</v>
      </c>
      <c r="U198" s="154">
        <f>IFERROR(IF(R198&lt;&gt;FALSE,IF(S198=TRUE,INDEX('SummaryNOT_VALIDATED-BL'!$A$1:$F$16,MATCH(R198,'SummaryNOT_VALIDATED-BL'!$A$1:$A$16,0),6),0),IF(S198=TRUE,INDEX('SummaryNOT_VALIDATED-BL'!$A$1:$F$16,MATCH(E198,'SummaryNOT_VALIDATED-BL'!$A$1:$A$16,0),6),0)),0)</f>
        <v>0</v>
      </c>
      <c r="V198" s="81" cm="1">
        <f t="array" ref="V198">INDEX('Weight tables'!$A$24:$C$27,MATCH(1,(RendicontiTrasmessiBL__2[[#This Row],[Cut percentage on real costs + USC]]&gt;='Weight tables'!$B$24:$B$27)*(RendicontiTrasmessiBL__2[[#This Row],[Cut percentage on real costs + USC]]&lt;='Weight tables'!$C$24:$C$27),0),1)</f>
        <v>0</v>
      </c>
      <c r="W198" s="2">
        <f>RendicontiTrasmessiBL__2[[#This Row],[Weight real costs  + USC ]]</f>
        <v>0</v>
      </c>
    </row>
    <row r="199" spans="1:23" x14ac:dyDescent="0.25">
      <c r="A199" s="1" t="s">
        <v>312</v>
      </c>
      <c r="B199" s="1" t="s">
        <v>313</v>
      </c>
      <c r="C199" s="2">
        <v>184</v>
      </c>
      <c r="D199" s="2">
        <v>304</v>
      </c>
      <c r="E199" s="1" t="s">
        <v>237</v>
      </c>
      <c r="G199">
        <v>0</v>
      </c>
      <c r="H199">
        <v>0</v>
      </c>
      <c r="I199">
        <v>0</v>
      </c>
      <c r="J199">
        <v>0</v>
      </c>
      <c r="K199">
        <v>0</v>
      </c>
      <c r="L199">
        <v>0</v>
      </c>
      <c r="M199">
        <v>0</v>
      </c>
      <c r="N199">
        <v>0</v>
      </c>
      <c r="O199">
        <v>0</v>
      </c>
      <c r="P199">
        <v>0</v>
      </c>
      <c r="Q199" t="str">
        <f>INDEX('Partner data'!A:DH,MATCH(C199,'Partner data'!DG:DG,0),83)</f>
        <v>Soggetto pubblico</v>
      </c>
      <c r="R199" t="b">
        <f>IF(E199="staff",IF(INDEX('Partner data'!A:DH,MATCH(C199,'Partner data'!DG:DG,0),112)="BL1 non presente","FALSO",INDEX('Partner data'!A:DH,MATCH(C199,'Partner data'!DG:DG,0),112)))</f>
        <v>0</v>
      </c>
      <c r="S199" t="b">
        <f t="shared" si="6"/>
        <v>0</v>
      </c>
      <c r="T199" t="b">
        <f t="shared" si="7"/>
        <v>1</v>
      </c>
      <c r="U199" s="154">
        <f>IFERROR(IF(R199&lt;&gt;FALSE,IF(S199=TRUE,INDEX('SummaryNOT_VALIDATED-BL'!$A$1:$F$16,MATCH(R199,'SummaryNOT_VALIDATED-BL'!$A$1:$A$16,0),6),0),IF(S199=TRUE,INDEX('SummaryNOT_VALIDATED-BL'!$A$1:$F$16,MATCH(E199,'SummaryNOT_VALIDATED-BL'!$A$1:$A$16,0),6),0)),0)</f>
        <v>0</v>
      </c>
      <c r="V199" s="81" cm="1">
        <f t="array" ref="V199">INDEX('Weight tables'!$A$24:$C$27,MATCH(1,(RendicontiTrasmessiBL__2[[#This Row],[Cut percentage on real costs + USC]]&gt;='Weight tables'!$B$24:$B$27)*(RendicontiTrasmessiBL__2[[#This Row],[Cut percentage on real costs + USC]]&lt;='Weight tables'!$C$24:$C$27),0),1)</f>
        <v>0</v>
      </c>
      <c r="W199" s="2">
        <f>RendicontiTrasmessiBL__2[[#This Row],[Weight real costs  + USC ]]</f>
        <v>0</v>
      </c>
    </row>
    <row r="200" spans="1:23" x14ac:dyDescent="0.25">
      <c r="A200" s="1" t="s">
        <v>312</v>
      </c>
      <c r="B200" s="1" t="s">
        <v>314</v>
      </c>
      <c r="C200" s="2">
        <v>185</v>
      </c>
      <c r="D200" s="2">
        <v>114</v>
      </c>
      <c r="E200" s="1" t="s">
        <v>228</v>
      </c>
      <c r="G200">
        <v>94991.95</v>
      </c>
      <c r="H200">
        <v>0</v>
      </c>
      <c r="I200">
        <v>0</v>
      </c>
      <c r="J200">
        <v>16300.38</v>
      </c>
      <c r="K200">
        <v>0</v>
      </c>
      <c r="L200">
        <v>16217.31</v>
      </c>
      <c r="M200">
        <v>16300.38</v>
      </c>
      <c r="N200">
        <v>17.16</v>
      </c>
      <c r="O200">
        <v>78691.570000000007</v>
      </c>
      <c r="P200">
        <v>0</v>
      </c>
      <c r="Q200" t="str">
        <f>INDEX('Partner data'!A:DH,MATCH(C200,'Partner data'!DG:DG,0),83)</f>
        <v>Soggetto pubblico</v>
      </c>
      <c r="R200" t="str">
        <f>IF(E200="staff",IF(INDEX('Partner data'!A:DH,MATCH(C200,'Partner data'!DG:DG,0),112)="BL1 non presente","FALSO",INDEX('Partner data'!A:DH,MATCH(C200,'Partner data'!DG:DG,0),112)))</f>
        <v>COSTO REALE</v>
      </c>
      <c r="S200" t="b">
        <f t="shared" si="6"/>
        <v>1</v>
      </c>
      <c r="T200" t="b">
        <f t="shared" si="7"/>
        <v>1</v>
      </c>
      <c r="U200" s="154">
        <f>IFERROR(IF(R200&lt;&gt;FALSE,IF(S200=TRUE,INDEX('SummaryNOT_VALIDATED-BL'!$A$1:$F$16,MATCH(R200,'SummaryNOT_VALIDATED-BL'!$A$1:$A$16,0),6),0),IF(S200=TRUE,INDEX('SummaryNOT_VALIDATED-BL'!$A$1:$F$16,MATCH(E200,'SummaryNOT_VALIDATED-BL'!$A$1:$A$16,0),6),0)),0)</f>
        <v>9.1604133276901048E-2</v>
      </c>
      <c r="V200" s="81" cm="1">
        <f t="array" ref="V200">INDEX('Weight tables'!$A$24:$C$27,MATCH(1,(RendicontiTrasmessiBL__2[[#This Row],[Cut percentage on real costs + USC]]&gt;='Weight tables'!$B$24:$B$27)*(RendicontiTrasmessiBL__2[[#This Row],[Cut percentage on real costs + USC]]&lt;='Weight tables'!$C$24:$C$27),0),1)</f>
        <v>4</v>
      </c>
      <c r="W200" s="2">
        <f>RendicontiTrasmessiBL__2[[#This Row],[Weight real costs  + USC ]]</f>
        <v>4</v>
      </c>
    </row>
    <row r="201" spans="1:23" x14ac:dyDescent="0.25">
      <c r="A201" s="1" t="s">
        <v>312</v>
      </c>
      <c r="B201" s="1" t="s">
        <v>314</v>
      </c>
      <c r="C201" s="2">
        <v>185</v>
      </c>
      <c r="D201" s="2">
        <v>114</v>
      </c>
      <c r="E201" s="1" t="s">
        <v>229</v>
      </c>
      <c r="F201">
        <v>15</v>
      </c>
      <c r="G201">
        <v>14248.79</v>
      </c>
      <c r="H201">
        <v>0</v>
      </c>
      <c r="I201">
        <v>0</v>
      </c>
      <c r="J201">
        <v>2445.0500000000002</v>
      </c>
      <c r="K201">
        <v>0</v>
      </c>
      <c r="L201">
        <v>2432.59</v>
      </c>
      <c r="M201">
        <v>2445.0500000000002</v>
      </c>
      <c r="N201">
        <v>17.16</v>
      </c>
      <c r="O201">
        <v>11803.74</v>
      </c>
      <c r="P201">
        <v>0</v>
      </c>
      <c r="Q201" t="str">
        <f>INDEX('Partner data'!A:DH,MATCH(C201,'Partner data'!DG:DG,0),83)</f>
        <v>Soggetto pubblico</v>
      </c>
      <c r="R201" t="b">
        <f>IF(E201="staff",IF(INDEX('Partner data'!A:DH,MATCH(C201,'Partner data'!DG:DG,0),112)="BL1 non presente","FALSO",INDEX('Partner data'!A:DH,MATCH(C201,'Partner data'!DG:DG,0),112)))</f>
        <v>0</v>
      </c>
      <c r="S201" t="b">
        <f t="shared" si="6"/>
        <v>1</v>
      </c>
      <c r="T201" t="b">
        <f t="shared" si="7"/>
        <v>1</v>
      </c>
      <c r="U201" s="154">
        <f>IFERROR(IF(R201&lt;&gt;FALSE,IF(S201=TRUE,INDEX('SummaryNOT_VALIDATED-BL'!$A$1:$F$16,MATCH(R201,'SummaryNOT_VALIDATED-BL'!$A$1:$A$16,0),6),0),IF(S201=TRUE,INDEX('SummaryNOT_VALIDATED-BL'!$A$1:$F$16,MATCH(E201,'SummaryNOT_VALIDATED-BL'!$A$1:$A$16,0),6),0)),0)</f>
        <v>6.6460469504890221E-2</v>
      </c>
      <c r="V201" s="81" cm="1">
        <f t="array" ref="V201">INDEX('Weight tables'!$A$24:$C$27,MATCH(1,(RendicontiTrasmessiBL__2[[#This Row],[Cut percentage on real costs + USC]]&gt;='Weight tables'!$B$24:$B$27)*(RendicontiTrasmessiBL__2[[#This Row],[Cut percentage on real costs + USC]]&lt;='Weight tables'!$C$24:$C$27),0),1)</f>
        <v>4</v>
      </c>
      <c r="W201" s="2">
        <f>RendicontiTrasmessiBL__2[[#This Row],[Weight real costs  + USC ]]</f>
        <v>4</v>
      </c>
    </row>
    <row r="202" spans="1:23" x14ac:dyDescent="0.25">
      <c r="A202" s="1" t="s">
        <v>312</v>
      </c>
      <c r="B202" s="1" t="s">
        <v>314</v>
      </c>
      <c r="C202" s="2">
        <v>185</v>
      </c>
      <c r="D202" s="2">
        <v>114</v>
      </c>
      <c r="E202" s="1" t="s">
        <v>230</v>
      </c>
      <c r="F202">
        <v>4</v>
      </c>
      <c r="G202">
        <v>3799.67</v>
      </c>
      <c r="H202">
        <v>0</v>
      </c>
      <c r="I202">
        <v>0</v>
      </c>
      <c r="J202">
        <v>652.01</v>
      </c>
      <c r="K202">
        <v>0</v>
      </c>
      <c r="L202">
        <v>648.69000000000005</v>
      </c>
      <c r="M202">
        <v>652.01</v>
      </c>
      <c r="N202">
        <v>17.16</v>
      </c>
      <c r="O202">
        <v>3147.66</v>
      </c>
      <c r="P202">
        <v>0</v>
      </c>
      <c r="Q202" t="str">
        <f>INDEX('Partner data'!A:DH,MATCH(C202,'Partner data'!DG:DG,0),83)</f>
        <v>Soggetto pubblico</v>
      </c>
      <c r="R202" t="b">
        <f>IF(E202="staff",IF(INDEX('Partner data'!A:DH,MATCH(C202,'Partner data'!DG:DG,0),112)="BL1 non presente","FALSO",INDEX('Partner data'!A:DH,MATCH(C202,'Partner data'!DG:DG,0),112)))</f>
        <v>0</v>
      </c>
      <c r="S202" t="b">
        <f t="shared" si="6"/>
        <v>1</v>
      </c>
      <c r="T202" t="b">
        <f t="shared" si="7"/>
        <v>1</v>
      </c>
      <c r="U202" s="154">
        <f>IFERROR(IF(R202&lt;&gt;FALSE,IF(S202=TRUE,INDEX('SummaryNOT_VALIDATED-BL'!$A$1:$F$16,MATCH(R202,'SummaryNOT_VALIDATED-BL'!$A$1:$A$16,0),6),0),IF(S202=TRUE,INDEX('SummaryNOT_VALIDATED-BL'!$A$1:$F$16,MATCH(E202,'SummaryNOT_VALIDATED-BL'!$A$1:$A$16,0),6),0)),0)</f>
        <v>6.3112622236488891E-2</v>
      </c>
      <c r="V202" s="81" cm="1">
        <f t="array" ref="V202">INDEX('Weight tables'!$A$24:$C$27,MATCH(1,(RendicontiTrasmessiBL__2[[#This Row],[Cut percentage on real costs + USC]]&gt;='Weight tables'!$B$24:$B$27)*(RendicontiTrasmessiBL__2[[#This Row],[Cut percentage on real costs + USC]]&lt;='Weight tables'!$C$24:$C$27),0),1)</f>
        <v>4</v>
      </c>
      <c r="W202" s="2">
        <f>RendicontiTrasmessiBL__2[[#This Row],[Weight real costs  + USC ]]</f>
        <v>4</v>
      </c>
    </row>
    <row r="203" spans="1:23" x14ac:dyDescent="0.25">
      <c r="A203" s="1" t="s">
        <v>312</v>
      </c>
      <c r="B203" s="1" t="s">
        <v>314</v>
      </c>
      <c r="C203" s="2">
        <v>185</v>
      </c>
      <c r="D203" s="2">
        <v>114</v>
      </c>
      <c r="E203" s="1" t="s">
        <v>231</v>
      </c>
      <c r="G203">
        <v>30459.57</v>
      </c>
      <c r="H203">
        <v>0</v>
      </c>
      <c r="I203">
        <v>0</v>
      </c>
      <c r="J203">
        <v>3150.17</v>
      </c>
      <c r="K203">
        <v>0</v>
      </c>
      <c r="L203">
        <v>3150.17</v>
      </c>
      <c r="M203">
        <v>3150.17</v>
      </c>
      <c r="N203">
        <v>10.34</v>
      </c>
      <c r="O203">
        <v>27309.4</v>
      </c>
      <c r="P203">
        <v>0</v>
      </c>
      <c r="Q203" t="str">
        <f>INDEX('Partner data'!A:DH,MATCH(C203,'Partner data'!DG:DG,0),83)</f>
        <v>Soggetto pubblico</v>
      </c>
      <c r="R203" t="b">
        <f>IF(E203="staff",IF(INDEX('Partner data'!A:DH,MATCH(C203,'Partner data'!DG:DG,0),112)="BL1 non presente","FALSO",INDEX('Partner data'!A:DH,MATCH(C203,'Partner data'!DG:DG,0),112)))</f>
        <v>0</v>
      </c>
      <c r="S203" t="b">
        <f t="shared" si="6"/>
        <v>1</v>
      </c>
      <c r="T203" t="b">
        <f t="shared" si="7"/>
        <v>1</v>
      </c>
      <c r="U203" s="154">
        <f>IFERROR(IF(R203&lt;&gt;FALSE,IF(S203=TRUE,INDEX('SummaryNOT_VALIDATED-BL'!$A$1:$F$16,MATCH(R203,'SummaryNOT_VALIDATED-BL'!$A$1:$A$16,0),6),0),IF(S203=TRUE,INDEX('SummaryNOT_VALIDATED-BL'!$A$1:$F$16,MATCH(E203,'SummaryNOT_VALIDATED-BL'!$A$1:$A$16,0),6),0)),0)</f>
        <v>5.577594442215475E-2</v>
      </c>
      <c r="V203" s="81" cm="1">
        <f t="array" ref="V203">INDEX('Weight tables'!$A$24:$C$27,MATCH(1,(RendicontiTrasmessiBL__2[[#This Row],[Cut percentage on real costs + USC]]&gt;='Weight tables'!$B$24:$B$27)*(RendicontiTrasmessiBL__2[[#This Row],[Cut percentage on real costs + USC]]&lt;='Weight tables'!$C$24:$C$27),0),1)</f>
        <v>4</v>
      </c>
      <c r="W203" s="2">
        <f>RendicontiTrasmessiBL__2[[#This Row],[Weight real costs  + USC ]]</f>
        <v>4</v>
      </c>
    </row>
    <row r="204" spans="1:23" x14ac:dyDescent="0.25">
      <c r="A204" s="1" t="s">
        <v>312</v>
      </c>
      <c r="B204" s="1" t="s">
        <v>314</v>
      </c>
      <c r="C204" s="2">
        <v>185</v>
      </c>
      <c r="D204" s="2">
        <v>114</v>
      </c>
      <c r="E204" s="1" t="s">
        <v>232</v>
      </c>
      <c r="G204">
        <v>69000</v>
      </c>
      <c r="H204">
        <v>0</v>
      </c>
      <c r="I204">
        <v>0</v>
      </c>
      <c r="J204">
        <v>0</v>
      </c>
      <c r="K204">
        <v>0</v>
      </c>
      <c r="L204">
        <v>0</v>
      </c>
      <c r="M204">
        <v>0</v>
      </c>
      <c r="N204">
        <v>0</v>
      </c>
      <c r="O204">
        <v>69000</v>
      </c>
      <c r="P204">
        <v>0</v>
      </c>
      <c r="Q204" t="str">
        <f>INDEX('Partner data'!A:DH,MATCH(C204,'Partner data'!DG:DG,0),83)</f>
        <v>Soggetto pubblico</v>
      </c>
      <c r="R204" t="b">
        <f>IF(E204="staff",IF(INDEX('Partner data'!A:DH,MATCH(C204,'Partner data'!DG:DG,0),112)="BL1 non presente","FALSO",INDEX('Partner data'!A:DH,MATCH(C204,'Partner data'!DG:DG,0),112)))</f>
        <v>0</v>
      </c>
      <c r="S204" t="b">
        <f t="shared" si="6"/>
        <v>0</v>
      </c>
      <c r="T204" t="b">
        <f t="shared" si="7"/>
        <v>1</v>
      </c>
      <c r="U204" s="154">
        <f>IFERROR(IF(R204&lt;&gt;FALSE,IF(S204=TRUE,INDEX('SummaryNOT_VALIDATED-BL'!$A$1:$F$16,MATCH(R204,'SummaryNOT_VALIDATED-BL'!$A$1:$A$16,0),6),0),IF(S204=TRUE,INDEX('SummaryNOT_VALIDATED-BL'!$A$1:$F$16,MATCH(E204,'SummaryNOT_VALIDATED-BL'!$A$1:$A$16,0),6),0)),0)</f>
        <v>0</v>
      </c>
      <c r="V204" s="81" cm="1">
        <f t="array" ref="V204">INDEX('Weight tables'!$A$24:$C$27,MATCH(1,(RendicontiTrasmessiBL__2[[#This Row],[Cut percentage on real costs + USC]]&gt;='Weight tables'!$B$24:$B$27)*(RendicontiTrasmessiBL__2[[#This Row],[Cut percentage on real costs + USC]]&lt;='Weight tables'!$C$24:$C$27),0),1)</f>
        <v>0</v>
      </c>
      <c r="W204" s="2">
        <f>RendicontiTrasmessiBL__2[[#This Row],[Weight real costs  + USC ]]</f>
        <v>0</v>
      </c>
    </row>
    <row r="205" spans="1:23" x14ac:dyDescent="0.25">
      <c r="A205" s="1" t="s">
        <v>312</v>
      </c>
      <c r="B205" s="1" t="s">
        <v>314</v>
      </c>
      <c r="C205" s="2">
        <v>185</v>
      </c>
      <c r="D205" s="2">
        <v>114</v>
      </c>
      <c r="E205" s="1" t="s">
        <v>233</v>
      </c>
      <c r="G205">
        <v>0</v>
      </c>
      <c r="H205">
        <v>0</v>
      </c>
      <c r="I205">
        <v>0</v>
      </c>
      <c r="J205">
        <v>0</v>
      </c>
      <c r="K205">
        <v>0</v>
      </c>
      <c r="L205">
        <v>0</v>
      </c>
      <c r="M205">
        <v>0</v>
      </c>
      <c r="N205">
        <v>0</v>
      </c>
      <c r="O205">
        <v>0</v>
      </c>
      <c r="P205">
        <v>0</v>
      </c>
      <c r="Q205" t="str">
        <f>INDEX('Partner data'!A:DH,MATCH(C205,'Partner data'!DG:DG,0),83)</f>
        <v>Soggetto pubblico</v>
      </c>
      <c r="R205" t="b">
        <f>IF(E205="staff",IF(INDEX('Partner data'!A:DH,MATCH(C205,'Partner data'!DG:DG,0),112)="BL1 non presente","FALSO",INDEX('Partner data'!A:DH,MATCH(C205,'Partner data'!DG:DG,0),112)))</f>
        <v>0</v>
      </c>
      <c r="S205" t="b">
        <f t="shared" si="6"/>
        <v>0</v>
      </c>
      <c r="T205" t="b">
        <f t="shared" si="7"/>
        <v>1</v>
      </c>
      <c r="U205" s="154">
        <f>IFERROR(IF(R205&lt;&gt;FALSE,IF(S205=TRUE,INDEX('SummaryNOT_VALIDATED-BL'!$A$1:$F$16,MATCH(R205,'SummaryNOT_VALIDATED-BL'!$A$1:$A$16,0),6),0),IF(S205=TRUE,INDEX('SummaryNOT_VALIDATED-BL'!$A$1:$F$16,MATCH(E205,'SummaryNOT_VALIDATED-BL'!$A$1:$A$16,0),6),0)),0)</f>
        <v>0</v>
      </c>
      <c r="V205" s="81" cm="1">
        <f t="array" ref="V205">INDEX('Weight tables'!$A$24:$C$27,MATCH(1,(RendicontiTrasmessiBL__2[[#This Row],[Cut percentage on real costs + USC]]&gt;='Weight tables'!$B$24:$B$27)*(RendicontiTrasmessiBL__2[[#This Row],[Cut percentage on real costs + USC]]&lt;='Weight tables'!$C$24:$C$27),0),1)</f>
        <v>0</v>
      </c>
      <c r="W205" s="2">
        <f>RendicontiTrasmessiBL__2[[#This Row],[Weight real costs  + USC ]]</f>
        <v>0</v>
      </c>
    </row>
    <row r="206" spans="1:23" x14ac:dyDescent="0.25">
      <c r="A206" s="1" t="s">
        <v>312</v>
      </c>
      <c r="B206" s="1" t="s">
        <v>314</v>
      </c>
      <c r="C206" s="2">
        <v>185</v>
      </c>
      <c r="D206" s="2">
        <v>114</v>
      </c>
      <c r="E206" s="1" t="s">
        <v>234</v>
      </c>
      <c r="G206">
        <v>0</v>
      </c>
      <c r="H206">
        <v>0</v>
      </c>
      <c r="I206">
        <v>0</v>
      </c>
      <c r="J206">
        <v>0</v>
      </c>
      <c r="K206">
        <v>0</v>
      </c>
      <c r="L206">
        <v>0</v>
      </c>
      <c r="M206">
        <v>0</v>
      </c>
      <c r="N206">
        <v>0</v>
      </c>
      <c r="O206">
        <v>0</v>
      </c>
      <c r="P206">
        <v>0</v>
      </c>
      <c r="Q206" t="str">
        <f>INDEX('Partner data'!A:DH,MATCH(C206,'Partner data'!DG:DG,0),83)</f>
        <v>Soggetto pubblico</v>
      </c>
      <c r="R206" t="b">
        <f>IF(E206="staff",IF(INDEX('Partner data'!A:DH,MATCH(C206,'Partner data'!DG:DG,0),112)="BL1 non presente","FALSO",INDEX('Partner data'!A:DH,MATCH(C206,'Partner data'!DG:DG,0),112)))</f>
        <v>0</v>
      </c>
      <c r="S206" t="b">
        <f t="shared" si="6"/>
        <v>0</v>
      </c>
      <c r="T206" t="b">
        <f t="shared" si="7"/>
        <v>1</v>
      </c>
      <c r="U206" s="154">
        <f>IFERROR(IF(R206&lt;&gt;FALSE,IF(S206=TRUE,INDEX('SummaryNOT_VALIDATED-BL'!$A$1:$F$16,MATCH(R206,'SummaryNOT_VALIDATED-BL'!$A$1:$A$16,0),6),0),IF(S206=TRUE,INDEX('SummaryNOT_VALIDATED-BL'!$A$1:$F$16,MATCH(E206,'SummaryNOT_VALIDATED-BL'!$A$1:$A$16,0),6),0)),0)</f>
        <v>0</v>
      </c>
      <c r="V206" s="81" cm="1">
        <f t="array" ref="V206">INDEX('Weight tables'!$A$24:$C$27,MATCH(1,(RendicontiTrasmessiBL__2[[#This Row],[Cut percentage on real costs + USC]]&gt;='Weight tables'!$B$24:$B$27)*(RendicontiTrasmessiBL__2[[#This Row],[Cut percentage on real costs + USC]]&lt;='Weight tables'!$C$24:$C$27),0),1)</f>
        <v>0</v>
      </c>
      <c r="W206" s="2">
        <f>RendicontiTrasmessiBL__2[[#This Row],[Weight real costs  + USC ]]</f>
        <v>0</v>
      </c>
    </row>
    <row r="207" spans="1:23" x14ac:dyDescent="0.25">
      <c r="A207" s="1" t="s">
        <v>312</v>
      </c>
      <c r="B207" s="1" t="s">
        <v>314</v>
      </c>
      <c r="C207" s="2">
        <v>185</v>
      </c>
      <c r="D207" s="2">
        <v>114</v>
      </c>
      <c r="E207" s="1" t="s">
        <v>236</v>
      </c>
      <c r="G207">
        <v>0</v>
      </c>
      <c r="H207">
        <v>0</v>
      </c>
      <c r="I207">
        <v>0</v>
      </c>
      <c r="J207">
        <v>0</v>
      </c>
      <c r="K207">
        <v>0</v>
      </c>
      <c r="L207">
        <v>0</v>
      </c>
      <c r="M207">
        <v>0</v>
      </c>
      <c r="N207">
        <v>0</v>
      </c>
      <c r="O207">
        <v>0</v>
      </c>
      <c r="P207">
        <v>0</v>
      </c>
      <c r="Q207" t="str">
        <f>INDEX('Partner data'!A:DH,MATCH(C207,'Partner data'!DG:DG,0),83)</f>
        <v>Soggetto pubblico</v>
      </c>
      <c r="R207" t="b">
        <f>IF(E207="staff",IF(INDEX('Partner data'!A:DH,MATCH(C207,'Partner data'!DG:DG,0),112)="BL1 non presente","FALSO",INDEX('Partner data'!A:DH,MATCH(C207,'Partner data'!DG:DG,0),112)))</f>
        <v>0</v>
      </c>
      <c r="S207" t="b">
        <f t="shared" si="6"/>
        <v>0</v>
      </c>
      <c r="T207" t="b">
        <f t="shared" si="7"/>
        <v>1</v>
      </c>
      <c r="U207" s="154">
        <f>IFERROR(IF(R207&lt;&gt;FALSE,IF(S207=TRUE,INDEX('SummaryNOT_VALIDATED-BL'!$A$1:$F$16,MATCH(R207,'SummaryNOT_VALIDATED-BL'!$A$1:$A$16,0),6),0),IF(S207=TRUE,INDEX('SummaryNOT_VALIDATED-BL'!$A$1:$F$16,MATCH(E207,'SummaryNOT_VALIDATED-BL'!$A$1:$A$16,0),6),0)),0)</f>
        <v>0</v>
      </c>
      <c r="V207" s="81" cm="1">
        <f t="array" ref="V207">INDEX('Weight tables'!$A$24:$C$27,MATCH(1,(RendicontiTrasmessiBL__2[[#This Row],[Cut percentage on real costs + USC]]&gt;='Weight tables'!$B$24:$B$27)*(RendicontiTrasmessiBL__2[[#This Row],[Cut percentage on real costs + USC]]&lt;='Weight tables'!$C$24:$C$27),0),1)</f>
        <v>0</v>
      </c>
      <c r="W207" s="2">
        <f>RendicontiTrasmessiBL__2[[#This Row],[Weight real costs  + USC ]]</f>
        <v>0</v>
      </c>
    </row>
    <row r="208" spans="1:23" x14ac:dyDescent="0.25">
      <c r="A208" s="1" t="s">
        <v>312</v>
      </c>
      <c r="B208" s="1" t="s">
        <v>314</v>
      </c>
      <c r="C208" s="2">
        <v>185</v>
      </c>
      <c r="D208" s="2">
        <v>114</v>
      </c>
      <c r="E208" s="1" t="s">
        <v>237</v>
      </c>
      <c r="G208">
        <v>0</v>
      </c>
      <c r="H208">
        <v>0</v>
      </c>
      <c r="I208">
        <v>0</v>
      </c>
      <c r="J208">
        <v>0</v>
      </c>
      <c r="K208">
        <v>0</v>
      </c>
      <c r="L208">
        <v>0</v>
      </c>
      <c r="M208">
        <v>0</v>
      </c>
      <c r="N208">
        <v>0</v>
      </c>
      <c r="O208">
        <v>0</v>
      </c>
      <c r="P208">
        <v>0</v>
      </c>
      <c r="Q208" t="str">
        <f>INDEX('Partner data'!A:DH,MATCH(C208,'Partner data'!DG:DG,0),83)</f>
        <v>Soggetto pubblico</v>
      </c>
      <c r="R208" t="b">
        <f>IF(E208="staff",IF(INDEX('Partner data'!A:DH,MATCH(C208,'Partner data'!DG:DG,0),112)="BL1 non presente","FALSO",INDEX('Partner data'!A:DH,MATCH(C208,'Partner data'!DG:DG,0),112)))</f>
        <v>0</v>
      </c>
      <c r="S208" t="b">
        <f t="shared" si="6"/>
        <v>0</v>
      </c>
      <c r="T208" t="b">
        <f t="shared" si="7"/>
        <v>1</v>
      </c>
      <c r="U208" s="154">
        <f>IFERROR(IF(R208&lt;&gt;FALSE,IF(S208=TRUE,INDEX('SummaryNOT_VALIDATED-BL'!$A$1:$F$16,MATCH(R208,'SummaryNOT_VALIDATED-BL'!$A$1:$A$16,0),6),0),IF(S208=TRUE,INDEX('SummaryNOT_VALIDATED-BL'!$A$1:$F$16,MATCH(E208,'SummaryNOT_VALIDATED-BL'!$A$1:$A$16,0),6),0)),0)</f>
        <v>0</v>
      </c>
      <c r="V208" s="81" cm="1">
        <f t="array" ref="V208">INDEX('Weight tables'!$A$24:$C$27,MATCH(1,(RendicontiTrasmessiBL__2[[#This Row],[Cut percentage on real costs + USC]]&gt;='Weight tables'!$B$24:$B$27)*(RendicontiTrasmessiBL__2[[#This Row],[Cut percentage on real costs + USC]]&lt;='Weight tables'!$C$24:$C$27),0),1)</f>
        <v>0</v>
      </c>
      <c r="W208" s="2">
        <f>RendicontiTrasmessiBL__2[[#This Row],[Weight real costs  + USC ]]</f>
        <v>0</v>
      </c>
    </row>
    <row r="209" spans="1:23" x14ac:dyDescent="0.25">
      <c r="A209" s="1" t="s">
        <v>312</v>
      </c>
      <c r="B209" s="1" t="s">
        <v>315</v>
      </c>
      <c r="C209" s="2">
        <v>187</v>
      </c>
      <c r="D209" s="2">
        <v>319</v>
      </c>
      <c r="E209" s="1" t="s">
        <v>228</v>
      </c>
      <c r="F209">
        <v>20</v>
      </c>
      <c r="G209">
        <v>19386</v>
      </c>
      <c r="H209">
        <v>0</v>
      </c>
      <c r="I209">
        <v>0</v>
      </c>
      <c r="J209">
        <v>2139.71</v>
      </c>
      <c r="K209">
        <v>0</v>
      </c>
      <c r="L209">
        <v>0</v>
      </c>
      <c r="M209">
        <v>2139.71</v>
      </c>
      <c r="N209">
        <v>11.04</v>
      </c>
      <c r="O209">
        <v>17246.29</v>
      </c>
      <c r="P209">
        <v>0</v>
      </c>
      <c r="Q209" t="str">
        <f>INDEX('Partner data'!A:DH,MATCH(C209,'Partner data'!DG:DG,0),83)</f>
        <v>Soggetto pubblico</v>
      </c>
      <c r="R209" t="str">
        <f>IF(E209="staff",IF(INDEX('Partner data'!A:DH,MATCH(C209,'Partner data'!DG:DG,0),112)="BL1 non presente","FALSO",INDEX('Partner data'!A:DH,MATCH(C209,'Partner data'!DG:DG,0),112)))</f>
        <v>Tasso Forfettario 20%</v>
      </c>
      <c r="S209" t="b">
        <f t="shared" si="6"/>
        <v>1</v>
      </c>
      <c r="T209" t="b">
        <f t="shared" si="7"/>
        <v>1</v>
      </c>
      <c r="U209" s="154">
        <f>IFERROR(IF(R209&lt;&gt;FALSE,IF(S209=TRUE,INDEX('SummaryNOT_VALIDATED-BL'!$A$1:$F$16,MATCH(R209,'SummaryNOT_VALIDATED-BL'!$A$1:$A$16,0),6),0),IF(S209=TRUE,INDEX('SummaryNOT_VALIDATED-BL'!$A$1:$F$16,MATCH(E209,'SummaryNOT_VALIDATED-BL'!$A$1:$A$16,0),6),0)),0)</f>
        <v>1.2653355650533233E-2</v>
      </c>
      <c r="V209" s="81" cm="1">
        <f t="array" ref="V209">INDEX('Weight tables'!$A$24:$C$27,MATCH(1,(RendicontiTrasmessiBL__2[[#This Row],[Cut percentage on real costs + USC]]&gt;='Weight tables'!$B$24:$B$27)*(RendicontiTrasmessiBL__2[[#This Row],[Cut percentage on real costs + USC]]&lt;='Weight tables'!$C$24:$C$27),0),1)</f>
        <v>0</v>
      </c>
      <c r="W209" s="2">
        <f>RendicontiTrasmessiBL__2[[#This Row],[Weight real costs  + USC ]]</f>
        <v>0</v>
      </c>
    </row>
    <row r="210" spans="1:23" x14ac:dyDescent="0.25">
      <c r="A210" s="1" t="s">
        <v>312</v>
      </c>
      <c r="B210" s="1" t="s">
        <v>315</v>
      </c>
      <c r="C210" s="2">
        <v>187</v>
      </c>
      <c r="D210" s="2">
        <v>319</v>
      </c>
      <c r="E210" s="1" t="s">
        <v>229</v>
      </c>
      <c r="F210">
        <v>15</v>
      </c>
      <c r="G210">
        <v>2907.9</v>
      </c>
      <c r="H210">
        <v>0</v>
      </c>
      <c r="I210">
        <v>0</v>
      </c>
      <c r="J210">
        <v>320.95</v>
      </c>
      <c r="K210">
        <v>0</v>
      </c>
      <c r="L210">
        <v>0</v>
      </c>
      <c r="M210">
        <v>320.95</v>
      </c>
      <c r="N210">
        <v>11.04</v>
      </c>
      <c r="O210">
        <v>2586.9499999999998</v>
      </c>
      <c r="P210">
        <v>0</v>
      </c>
      <c r="Q210" t="str">
        <f>INDEX('Partner data'!A:DH,MATCH(C210,'Partner data'!DG:DG,0),83)</f>
        <v>Soggetto pubblico</v>
      </c>
      <c r="R210" t="b">
        <f>IF(E210="staff",IF(INDEX('Partner data'!A:DH,MATCH(C210,'Partner data'!DG:DG,0),112)="BL1 non presente","FALSO",INDEX('Partner data'!A:DH,MATCH(C210,'Partner data'!DG:DG,0),112)))</f>
        <v>0</v>
      </c>
      <c r="S210" t="b">
        <f t="shared" si="6"/>
        <v>1</v>
      </c>
      <c r="T210" t="b">
        <f t="shared" si="7"/>
        <v>1</v>
      </c>
      <c r="U210" s="154">
        <f>IFERROR(IF(R210&lt;&gt;FALSE,IF(S210=TRUE,INDEX('SummaryNOT_VALIDATED-BL'!$A$1:$F$16,MATCH(R210,'SummaryNOT_VALIDATED-BL'!$A$1:$A$16,0),6),0),IF(S210=TRUE,INDEX('SummaryNOT_VALIDATED-BL'!$A$1:$F$16,MATCH(E210,'SummaryNOT_VALIDATED-BL'!$A$1:$A$16,0),6),0)),0)</f>
        <v>6.6460469504890221E-2</v>
      </c>
      <c r="V210" s="81" cm="1">
        <f t="array" ref="V210">INDEX('Weight tables'!$A$24:$C$27,MATCH(1,(RendicontiTrasmessiBL__2[[#This Row],[Cut percentage on real costs + USC]]&gt;='Weight tables'!$B$24:$B$27)*(RendicontiTrasmessiBL__2[[#This Row],[Cut percentage on real costs + USC]]&lt;='Weight tables'!$C$24:$C$27),0),1)</f>
        <v>4</v>
      </c>
      <c r="W210" s="2">
        <f>RendicontiTrasmessiBL__2[[#This Row],[Weight real costs  + USC ]]</f>
        <v>4</v>
      </c>
    </row>
    <row r="211" spans="1:23" x14ac:dyDescent="0.25">
      <c r="A211" s="1" t="s">
        <v>312</v>
      </c>
      <c r="B211" s="1" t="s">
        <v>315</v>
      </c>
      <c r="C211" s="2">
        <v>187</v>
      </c>
      <c r="D211" s="2">
        <v>319</v>
      </c>
      <c r="E211" s="1" t="s">
        <v>230</v>
      </c>
      <c r="F211">
        <v>4</v>
      </c>
      <c r="G211">
        <v>775.44</v>
      </c>
      <c r="H211">
        <v>0</v>
      </c>
      <c r="I211">
        <v>0</v>
      </c>
      <c r="J211">
        <v>85.58</v>
      </c>
      <c r="K211">
        <v>0</v>
      </c>
      <c r="L211">
        <v>0</v>
      </c>
      <c r="M211">
        <v>85.58</v>
      </c>
      <c r="N211">
        <v>11.04</v>
      </c>
      <c r="O211">
        <v>689.86</v>
      </c>
      <c r="P211">
        <v>0</v>
      </c>
      <c r="Q211" t="str">
        <f>INDEX('Partner data'!A:DH,MATCH(C211,'Partner data'!DG:DG,0),83)</f>
        <v>Soggetto pubblico</v>
      </c>
      <c r="R211" t="b">
        <f>IF(E211="staff",IF(INDEX('Partner data'!A:DH,MATCH(C211,'Partner data'!DG:DG,0),112)="BL1 non presente","FALSO",INDEX('Partner data'!A:DH,MATCH(C211,'Partner data'!DG:DG,0),112)))</f>
        <v>0</v>
      </c>
      <c r="S211" t="b">
        <f t="shared" si="6"/>
        <v>1</v>
      </c>
      <c r="T211" t="b">
        <f t="shared" si="7"/>
        <v>1</v>
      </c>
      <c r="U211" s="154">
        <f>IFERROR(IF(R211&lt;&gt;FALSE,IF(S211=TRUE,INDEX('SummaryNOT_VALIDATED-BL'!$A$1:$F$16,MATCH(R211,'SummaryNOT_VALIDATED-BL'!$A$1:$A$16,0),6),0),IF(S211=TRUE,INDEX('SummaryNOT_VALIDATED-BL'!$A$1:$F$16,MATCH(E211,'SummaryNOT_VALIDATED-BL'!$A$1:$A$16,0),6),0)),0)</f>
        <v>6.3112622236488891E-2</v>
      </c>
      <c r="V211" s="81" cm="1">
        <f t="array" ref="V211">INDEX('Weight tables'!$A$24:$C$27,MATCH(1,(RendicontiTrasmessiBL__2[[#This Row],[Cut percentage on real costs + USC]]&gt;='Weight tables'!$B$24:$B$27)*(RendicontiTrasmessiBL__2[[#This Row],[Cut percentage on real costs + USC]]&lt;='Weight tables'!$C$24:$C$27),0),1)</f>
        <v>4</v>
      </c>
      <c r="W211" s="2">
        <f>RendicontiTrasmessiBL__2[[#This Row],[Weight real costs  + USC ]]</f>
        <v>4</v>
      </c>
    </row>
    <row r="212" spans="1:23" x14ac:dyDescent="0.25">
      <c r="A212" s="1" t="s">
        <v>312</v>
      </c>
      <c r="B212" s="1" t="s">
        <v>315</v>
      </c>
      <c r="C212" s="2">
        <v>187</v>
      </c>
      <c r="D212" s="2">
        <v>319</v>
      </c>
      <c r="E212" s="1" t="s">
        <v>231</v>
      </c>
      <c r="G212">
        <v>34130</v>
      </c>
      <c r="H212">
        <v>0</v>
      </c>
      <c r="I212">
        <v>0</v>
      </c>
      <c r="J212">
        <v>1415</v>
      </c>
      <c r="K212">
        <v>0</v>
      </c>
      <c r="L212">
        <v>0</v>
      </c>
      <c r="M212">
        <v>1415</v>
      </c>
      <c r="N212">
        <v>4.1500000000000004</v>
      </c>
      <c r="O212">
        <v>32715</v>
      </c>
      <c r="P212">
        <v>0</v>
      </c>
      <c r="Q212" t="str">
        <f>INDEX('Partner data'!A:DH,MATCH(C212,'Partner data'!DG:DG,0),83)</f>
        <v>Soggetto pubblico</v>
      </c>
      <c r="R212" t="b">
        <f>IF(E212="staff",IF(INDEX('Partner data'!A:DH,MATCH(C212,'Partner data'!DG:DG,0),112)="BL1 non presente","FALSO",INDEX('Partner data'!A:DH,MATCH(C212,'Partner data'!DG:DG,0),112)))</f>
        <v>0</v>
      </c>
      <c r="S212" t="b">
        <f t="shared" si="6"/>
        <v>1</v>
      </c>
      <c r="T212" t="b">
        <f t="shared" si="7"/>
        <v>1</v>
      </c>
      <c r="U212" s="154">
        <f>IFERROR(IF(R212&lt;&gt;FALSE,IF(S212=TRUE,INDEX('SummaryNOT_VALIDATED-BL'!$A$1:$F$16,MATCH(R212,'SummaryNOT_VALIDATED-BL'!$A$1:$A$16,0),6),0),IF(S212=TRUE,INDEX('SummaryNOT_VALIDATED-BL'!$A$1:$F$16,MATCH(E212,'SummaryNOT_VALIDATED-BL'!$A$1:$A$16,0),6),0)),0)</f>
        <v>5.577594442215475E-2</v>
      </c>
      <c r="V212" s="81" cm="1">
        <f t="array" ref="V212">INDEX('Weight tables'!$A$24:$C$27,MATCH(1,(RendicontiTrasmessiBL__2[[#This Row],[Cut percentage on real costs + USC]]&gt;='Weight tables'!$B$24:$B$27)*(RendicontiTrasmessiBL__2[[#This Row],[Cut percentage on real costs + USC]]&lt;='Weight tables'!$C$24:$C$27),0),1)</f>
        <v>4</v>
      </c>
      <c r="W212" s="2">
        <f>RendicontiTrasmessiBL__2[[#This Row],[Weight real costs  + USC ]]</f>
        <v>4</v>
      </c>
    </row>
    <row r="213" spans="1:23" x14ac:dyDescent="0.25">
      <c r="A213" s="1" t="s">
        <v>312</v>
      </c>
      <c r="B213" s="1" t="s">
        <v>315</v>
      </c>
      <c r="C213" s="2">
        <v>187</v>
      </c>
      <c r="D213" s="2">
        <v>319</v>
      </c>
      <c r="E213" s="1" t="s">
        <v>232</v>
      </c>
      <c r="G213">
        <v>62800</v>
      </c>
      <c r="H213">
        <v>0</v>
      </c>
      <c r="I213">
        <v>0</v>
      </c>
      <c r="J213">
        <v>9283.59</v>
      </c>
      <c r="K213">
        <v>0</v>
      </c>
      <c r="L213">
        <v>0</v>
      </c>
      <c r="M213">
        <v>9283.59</v>
      </c>
      <c r="N213">
        <v>14.78</v>
      </c>
      <c r="O213">
        <v>53516.41</v>
      </c>
      <c r="P213">
        <v>0</v>
      </c>
      <c r="Q213" t="str">
        <f>INDEX('Partner data'!A:DH,MATCH(C213,'Partner data'!DG:DG,0),83)</f>
        <v>Soggetto pubblico</v>
      </c>
      <c r="R213" t="b">
        <f>IF(E213="staff",IF(INDEX('Partner data'!A:DH,MATCH(C213,'Partner data'!DG:DG,0),112)="BL1 non presente","FALSO",INDEX('Partner data'!A:DH,MATCH(C213,'Partner data'!DG:DG,0),112)))</f>
        <v>0</v>
      </c>
      <c r="S213" t="b">
        <f t="shared" si="6"/>
        <v>1</v>
      </c>
      <c r="T213" t="b">
        <f t="shared" si="7"/>
        <v>1</v>
      </c>
      <c r="U213" s="154">
        <f>IFERROR(IF(R213&lt;&gt;FALSE,IF(S213=TRUE,INDEX('SummaryNOT_VALIDATED-BL'!$A$1:$F$16,MATCH(R213,'SummaryNOT_VALIDATED-BL'!$A$1:$A$16,0),6),0),IF(S213=TRUE,INDEX('SummaryNOT_VALIDATED-BL'!$A$1:$F$16,MATCH(E213,'SummaryNOT_VALIDATED-BL'!$A$1:$A$16,0),6),0)),0)</f>
        <v>1.102169095281242E-2</v>
      </c>
      <c r="V213" s="81" cm="1">
        <f t="array" ref="V213">INDEX('Weight tables'!$A$24:$C$27,MATCH(1,(RendicontiTrasmessiBL__2[[#This Row],[Cut percentage on real costs + USC]]&gt;='Weight tables'!$B$24:$B$27)*(RendicontiTrasmessiBL__2[[#This Row],[Cut percentage on real costs + USC]]&lt;='Weight tables'!$C$24:$C$27),0),1)</f>
        <v>0</v>
      </c>
      <c r="W213" s="2">
        <f>RendicontiTrasmessiBL__2[[#This Row],[Weight real costs  + USC ]]</f>
        <v>0</v>
      </c>
    </row>
    <row r="214" spans="1:23" x14ac:dyDescent="0.25">
      <c r="A214" s="1" t="s">
        <v>312</v>
      </c>
      <c r="B214" s="1" t="s">
        <v>315</v>
      </c>
      <c r="C214" s="2">
        <v>187</v>
      </c>
      <c r="D214" s="2">
        <v>319</v>
      </c>
      <c r="E214" s="1" t="s">
        <v>233</v>
      </c>
      <c r="G214">
        <v>0</v>
      </c>
      <c r="H214">
        <v>0</v>
      </c>
      <c r="I214">
        <v>0</v>
      </c>
      <c r="J214">
        <v>0</v>
      </c>
      <c r="K214">
        <v>0</v>
      </c>
      <c r="L214">
        <v>0</v>
      </c>
      <c r="M214">
        <v>0</v>
      </c>
      <c r="N214">
        <v>0</v>
      </c>
      <c r="O214">
        <v>0</v>
      </c>
      <c r="P214">
        <v>0</v>
      </c>
      <c r="Q214" t="str">
        <f>INDEX('Partner data'!A:DH,MATCH(C214,'Partner data'!DG:DG,0),83)</f>
        <v>Soggetto pubblico</v>
      </c>
      <c r="R214" t="b">
        <f>IF(E214="staff",IF(INDEX('Partner data'!A:DH,MATCH(C214,'Partner data'!DG:DG,0),112)="BL1 non presente","FALSO",INDEX('Partner data'!A:DH,MATCH(C214,'Partner data'!DG:DG,0),112)))</f>
        <v>0</v>
      </c>
      <c r="S214" t="b">
        <f t="shared" si="6"/>
        <v>0</v>
      </c>
      <c r="T214" t="b">
        <f t="shared" si="7"/>
        <v>1</v>
      </c>
      <c r="U214" s="154">
        <f>IFERROR(IF(R214&lt;&gt;FALSE,IF(S214=TRUE,INDEX('SummaryNOT_VALIDATED-BL'!$A$1:$F$16,MATCH(R214,'SummaryNOT_VALIDATED-BL'!$A$1:$A$16,0),6),0),IF(S214=TRUE,INDEX('SummaryNOT_VALIDATED-BL'!$A$1:$F$16,MATCH(E214,'SummaryNOT_VALIDATED-BL'!$A$1:$A$16,0),6),0)),0)</f>
        <v>0</v>
      </c>
      <c r="V214" s="81" cm="1">
        <f t="array" ref="V214">INDEX('Weight tables'!$A$24:$C$27,MATCH(1,(RendicontiTrasmessiBL__2[[#This Row],[Cut percentage on real costs + USC]]&gt;='Weight tables'!$B$24:$B$27)*(RendicontiTrasmessiBL__2[[#This Row],[Cut percentage on real costs + USC]]&lt;='Weight tables'!$C$24:$C$27),0),1)</f>
        <v>0</v>
      </c>
      <c r="W214" s="2">
        <f>RendicontiTrasmessiBL__2[[#This Row],[Weight real costs  + USC ]]</f>
        <v>0</v>
      </c>
    </row>
    <row r="215" spans="1:23" x14ac:dyDescent="0.25">
      <c r="A215" s="1" t="s">
        <v>312</v>
      </c>
      <c r="B215" s="1" t="s">
        <v>315</v>
      </c>
      <c r="C215" s="2">
        <v>187</v>
      </c>
      <c r="D215" s="2">
        <v>319</v>
      </c>
      <c r="E215" s="1" t="s">
        <v>234</v>
      </c>
      <c r="G215">
        <v>0</v>
      </c>
      <c r="H215">
        <v>0</v>
      </c>
      <c r="I215">
        <v>0</v>
      </c>
      <c r="J215">
        <v>0</v>
      </c>
      <c r="K215">
        <v>0</v>
      </c>
      <c r="L215">
        <v>0</v>
      </c>
      <c r="M215">
        <v>0</v>
      </c>
      <c r="N215">
        <v>0</v>
      </c>
      <c r="O215">
        <v>0</v>
      </c>
      <c r="P215">
        <v>0</v>
      </c>
      <c r="Q215" t="str">
        <f>INDEX('Partner data'!A:DH,MATCH(C215,'Partner data'!DG:DG,0),83)</f>
        <v>Soggetto pubblico</v>
      </c>
      <c r="R215" t="b">
        <f>IF(E215="staff",IF(INDEX('Partner data'!A:DH,MATCH(C215,'Partner data'!DG:DG,0),112)="BL1 non presente","FALSO",INDEX('Partner data'!A:DH,MATCH(C215,'Partner data'!DG:DG,0),112)))</f>
        <v>0</v>
      </c>
      <c r="S215" t="b">
        <f t="shared" si="6"/>
        <v>0</v>
      </c>
      <c r="T215" t="b">
        <f t="shared" si="7"/>
        <v>1</v>
      </c>
      <c r="U215" s="154">
        <f>IFERROR(IF(R215&lt;&gt;FALSE,IF(S215=TRUE,INDEX('SummaryNOT_VALIDATED-BL'!$A$1:$F$16,MATCH(R215,'SummaryNOT_VALIDATED-BL'!$A$1:$A$16,0),6),0),IF(S215=TRUE,INDEX('SummaryNOT_VALIDATED-BL'!$A$1:$F$16,MATCH(E215,'SummaryNOT_VALIDATED-BL'!$A$1:$A$16,0),6),0)),0)</f>
        <v>0</v>
      </c>
      <c r="V215" s="81" cm="1">
        <f t="array" ref="V215">INDEX('Weight tables'!$A$24:$C$27,MATCH(1,(RendicontiTrasmessiBL__2[[#This Row],[Cut percentage on real costs + USC]]&gt;='Weight tables'!$B$24:$B$27)*(RendicontiTrasmessiBL__2[[#This Row],[Cut percentage on real costs + USC]]&lt;='Weight tables'!$C$24:$C$27),0),1)</f>
        <v>0</v>
      </c>
      <c r="W215" s="2">
        <f>RendicontiTrasmessiBL__2[[#This Row],[Weight real costs  + USC ]]</f>
        <v>0</v>
      </c>
    </row>
    <row r="216" spans="1:23" x14ac:dyDescent="0.25">
      <c r="A216" s="1" t="s">
        <v>312</v>
      </c>
      <c r="B216" s="1" t="s">
        <v>315</v>
      </c>
      <c r="C216" s="2">
        <v>187</v>
      </c>
      <c r="D216" s="2">
        <v>319</v>
      </c>
      <c r="E216" s="1" t="s">
        <v>236</v>
      </c>
      <c r="G216">
        <v>0</v>
      </c>
      <c r="H216">
        <v>0</v>
      </c>
      <c r="I216">
        <v>0</v>
      </c>
      <c r="J216">
        <v>0</v>
      </c>
      <c r="K216">
        <v>0</v>
      </c>
      <c r="L216">
        <v>0</v>
      </c>
      <c r="M216">
        <v>0</v>
      </c>
      <c r="N216">
        <v>0</v>
      </c>
      <c r="O216">
        <v>0</v>
      </c>
      <c r="P216">
        <v>0</v>
      </c>
      <c r="Q216" t="str">
        <f>INDEX('Partner data'!A:DH,MATCH(C216,'Partner data'!DG:DG,0),83)</f>
        <v>Soggetto pubblico</v>
      </c>
      <c r="R216" t="b">
        <f>IF(E216="staff",IF(INDEX('Partner data'!A:DH,MATCH(C216,'Partner data'!DG:DG,0),112)="BL1 non presente","FALSO",INDEX('Partner data'!A:DH,MATCH(C216,'Partner data'!DG:DG,0),112)))</f>
        <v>0</v>
      </c>
      <c r="S216" t="b">
        <f t="shared" si="6"/>
        <v>0</v>
      </c>
      <c r="T216" t="b">
        <f t="shared" si="7"/>
        <v>1</v>
      </c>
      <c r="U216" s="154">
        <f>IFERROR(IF(R216&lt;&gt;FALSE,IF(S216=TRUE,INDEX('SummaryNOT_VALIDATED-BL'!$A$1:$F$16,MATCH(R216,'SummaryNOT_VALIDATED-BL'!$A$1:$A$16,0),6),0),IF(S216=TRUE,INDEX('SummaryNOT_VALIDATED-BL'!$A$1:$F$16,MATCH(E216,'SummaryNOT_VALIDATED-BL'!$A$1:$A$16,0),6),0)),0)</f>
        <v>0</v>
      </c>
      <c r="V216" s="81" cm="1">
        <f t="array" ref="V216">INDEX('Weight tables'!$A$24:$C$27,MATCH(1,(RendicontiTrasmessiBL__2[[#This Row],[Cut percentage on real costs + USC]]&gt;='Weight tables'!$B$24:$B$27)*(RendicontiTrasmessiBL__2[[#This Row],[Cut percentage on real costs + USC]]&lt;='Weight tables'!$C$24:$C$27),0),1)</f>
        <v>0</v>
      </c>
      <c r="W216" s="2">
        <f>RendicontiTrasmessiBL__2[[#This Row],[Weight real costs  + USC ]]</f>
        <v>0</v>
      </c>
    </row>
    <row r="217" spans="1:23" x14ac:dyDescent="0.25">
      <c r="A217" s="1" t="s">
        <v>312</v>
      </c>
      <c r="B217" s="1" t="s">
        <v>315</v>
      </c>
      <c r="C217" s="2">
        <v>187</v>
      </c>
      <c r="D217" s="2">
        <v>319</v>
      </c>
      <c r="E217" s="1" t="s">
        <v>237</v>
      </c>
      <c r="G217">
        <v>0</v>
      </c>
      <c r="H217">
        <v>0</v>
      </c>
      <c r="I217">
        <v>0</v>
      </c>
      <c r="J217">
        <v>0</v>
      </c>
      <c r="K217">
        <v>0</v>
      </c>
      <c r="L217">
        <v>0</v>
      </c>
      <c r="M217">
        <v>0</v>
      </c>
      <c r="N217">
        <v>0</v>
      </c>
      <c r="O217">
        <v>0</v>
      </c>
      <c r="P217">
        <v>0</v>
      </c>
      <c r="Q217" t="str">
        <f>INDEX('Partner data'!A:DH,MATCH(C217,'Partner data'!DG:DG,0),83)</f>
        <v>Soggetto pubblico</v>
      </c>
      <c r="R217" t="b">
        <f>IF(E217="staff",IF(INDEX('Partner data'!A:DH,MATCH(C217,'Partner data'!DG:DG,0),112)="BL1 non presente","FALSO",INDEX('Partner data'!A:DH,MATCH(C217,'Partner data'!DG:DG,0),112)))</f>
        <v>0</v>
      </c>
      <c r="S217" t="b">
        <f t="shared" si="6"/>
        <v>0</v>
      </c>
      <c r="T217" t="b">
        <f t="shared" si="7"/>
        <v>1</v>
      </c>
      <c r="U217" s="154">
        <f>IFERROR(IF(R217&lt;&gt;FALSE,IF(S217=TRUE,INDEX('SummaryNOT_VALIDATED-BL'!$A$1:$F$16,MATCH(R217,'SummaryNOT_VALIDATED-BL'!$A$1:$A$16,0),6),0),IF(S217=TRUE,INDEX('SummaryNOT_VALIDATED-BL'!$A$1:$F$16,MATCH(E217,'SummaryNOT_VALIDATED-BL'!$A$1:$A$16,0),6),0)),0)</f>
        <v>0</v>
      </c>
      <c r="V217" s="81" cm="1">
        <f t="array" ref="V217">INDEX('Weight tables'!$A$24:$C$27,MATCH(1,(RendicontiTrasmessiBL__2[[#This Row],[Cut percentage on real costs + USC]]&gt;='Weight tables'!$B$24:$B$27)*(RendicontiTrasmessiBL__2[[#This Row],[Cut percentage on real costs + USC]]&lt;='Weight tables'!$C$24:$C$27),0),1)</f>
        <v>0</v>
      </c>
      <c r="W217" s="2">
        <f>RendicontiTrasmessiBL__2[[#This Row],[Weight real costs  + USC ]]</f>
        <v>0</v>
      </c>
    </row>
    <row r="218" spans="1:23" x14ac:dyDescent="0.25">
      <c r="A218" s="1" t="s">
        <v>312</v>
      </c>
      <c r="B218" s="1" t="s">
        <v>316</v>
      </c>
      <c r="C218" s="2">
        <v>186</v>
      </c>
      <c r="D218" s="2">
        <v>329</v>
      </c>
      <c r="E218" s="1" t="s">
        <v>228</v>
      </c>
      <c r="F218">
        <v>20</v>
      </c>
      <c r="G218">
        <v>10420</v>
      </c>
      <c r="H218">
        <v>0</v>
      </c>
      <c r="I218">
        <v>0</v>
      </c>
      <c r="J218">
        <v>0</v>
      </c>
      <c r="K218">
        <v>0</v>
      </c>
      <c r="L218">
        <v>0</v>
      </c>
      <c r="M218">
        <v>0</v>
      </c>
      <c r="N218">
        <v>0</v>
      </c>
      <c r="O218">
        <v>10420</v>
      </c>
      <c r="P218">
        <v>0</v>
      </c>
      <c r="Q218" t="str">
        <f>INDEX('Partner data'!A:DH,MATCH(C218,'Partner data'!DG:DG,0),83)</f>
        <v>Soggetto pubblico</v>
      </c>
      <c r="R218" t="str">
        <f>IF(E218="staff",IF(INDEX('Partner data'!A:DH,MATCH(C218,'Partner data'!DG:DG,0),112)="BL1 non presente","FALSO",INDEX('Partner data'!A:DH,MATCH(C218,'Partner data'!DG:DG,0),112)))</f>
        <v>Tasso Forfettario 20%</v>
      </c>
      <c r="S218" t="b">
        <f t="shared" si="6"/>
        <v>0</v>
      </c>
      <c r="T218" t="b">
        <f t="shared" si="7"/>
        <v>1</v>
      </c>
      <c r="U218" s="154">
        <f>IFERROR(IF(R218&lt;&gt;FALSE,IF(S218=TRUE,INDEX('SummaryNOT_VALIDATED-BL'!$A$1:$F$16,MATCH(R218,'SummaryNOT_VALIDATED-BL'!$A$1:$A$16,0),6),0),IF(S218=TRUE,INDEX('SummaryNOT_VALIDATED-BL'!$A$1:$F$16,MATCH(E218,'SummaryNOT_VALIDATED-BL'!$A$1:$A$16,0),6),0)),0)</f>
        <v>0</v>
      </c>
      <c r="V218" s="81" cm="1">
        <f t="array" ref="V218">INDEX('Weight tables'!$A$24:$C$27,MATCH(1,(RendicontiTrasmessiBL__2[[#This Row],[Cut percentage on real costs + USC]]&gt;='Weight tables'!$B$24:$B$27)*(RendicontiTrasmessiBL__2[[#This Row],[Cut percentage on real costs + USC]]&lt;='Weight tables'!$C$24:$C$27),0),1)</f>
        <v>0</v>
      </c>
      <c r="W218" s="2">
        <f>RendicontiTrasmessiBL__2[[#This Row],[Weight real costs  + USC ]]</f>
        <v>0</v>
      </c>
    </row>
    <row r="219" spans="1:23" x14ac:dyDescent="0.25">
      <c r="A219" s="1" t="s">
        <v>312</v>
      </c>
      <c r="B219" s="1" t="s">
        <v>316</v>
      </c>
      <c r="C219" s="2">
        <v>186</v>
      </c>
      <c r="D219" s="2">
        <v>329</v>
      </c>
      <c r="E219" s="1" t="s">
        <v>229</v>
      </c>
      <c r="F219">
        <v>15</v>
      </c>
      <c r="G219">
        <v>1563</v>
      </c>
      <c r="H219">
        <v>0</v>
      </c>
      <c r="I219">
        <v>0</v>
      </c>
      <c r="J219">
        <v>0</v>
      </c>
      <c r="K219">
        <v>0</v>
      </c>
      <c r="L219">
        <v>0</v>
      </c>
      <c r="M219">
        <v>0</v>
      </c>
      <c r="N219">
        <v>0</v>
      </c>
      <c r="O219">
        <v>1563</v>
      </c>
      <c r="P219">
        <v>0</v>
      </c>
      <c r="Q219" t="str">
        <f>INDEX('Partner data'!A:DH,MATCH(C219,'Partner data'!DG:DG,0),83)</f>
        <v>Soggetto pubblico</v>
      </c>
      <c r="R219" t="b">
        <f>IF(E219="staff",IF(INDEX('Partner data'!A:DH,MATCH(C219,'Partner data'!DG:DG,0),112)="BL1 non presente","FALSO",INDEX('Partner data'!A:DH,MATCH(C219,'Partner data'!DG:DG,0),112)))</f>
        <v>0</v>
      </c>
      <c r="S219" t="b">
        <f t="shared" si="6"/>
        <v>0</v>
      </c>
      <c r="T219" t="b">
        <f t="shared" si="7"/>
        <v>1</v>
      </c>
      <c r="U219" s="154">
        <f>IFERROR(IF(R219&lt;&gt;FALSE,IF(S219=TRUE,INDEX('SummaryNOT_VALIDATED-BL'!$A$1:$F$16,MATCH(R219,'SummaryNOT_VALIDATED-BL'!$A$1:$A$16,0),6),0),IF(S219=TRUE,INDEX('SummaryNOT_VALIDATED-BL'!$A$1:$F$16,MATCH(E219,'SummaryNOT_VALIDATED-BL'!$A$1:$A$16,0),6),0)),0)</f>
        <v>0</v>
      </c>
      <c r="V219" s="81" cm="1">
        <f t="array" ref="V219">INDEX('Weight tables'!$A$24:$C$27,MATCH(1,(RendicontiTrasmessiBL__2[[#This Row],[Cut percentage on real costs + USC]]&gt;='Weight tables'!$B$24:$B$27)*(RendicontiTrasmessiBL__2[[#This Row],[Cut percentage on real costs + USC]]&lt;='Weight tables'!$C$24:$C$27),0),1)</f>
        <v>0</v>
      </c>
      <c r="W219" s="2">
        <f>RendicontiTrasmessiBL__2[[#This Row],[Weight real costs  + USC ]]</f>
        <v>0</v>
      </c>
    </row>
    <row r="220" spans="1:23" x14ac:dyDescent="0.25">
      <c r="A220" s="1" t="s">
        <v>312</v>
      </c>
      <c r="B220" s="1" t="s">
        <v>316</v>
      </c>
      <c r="C220" s="2">
        <v>186</v>
      </c>
      <c r="D220" s="2">
        <v>329</v>
      </c>
      <c r="E220" s="1" t="s">
        <v>230</v>
      </c>
      <c r="F220">
        <v>4</v>
      </c>
      <c r="G220">
        <v>416.8</v>
      </c>
      <c r="H220">
        <v>0</v>
      </c>
      <c r="I220">
        <v>0</v>
      </c>
      <c r="J220">
        <v>0</v>
      </c>
      <c r="K220">
        <v>0</v>
      </c>
      <c r="L220">
        <v>0</v>
      </c>
      <c r="M220">
        <v>0</v>
      </c>
      <c r="N220">
        <v>0</v>
      </c>
      <c r="O220">
        <v>416.8</v>
      </c>
      <c r="P220">
        <v>0</v>
      </c>
      <c r="Q220" t="str">
        <f>INDEX('Partner data'!A:DH,MATCH(C220,'Partner data'!DG:DG,0),83)</f>
        <v>Soggetto pubblico</v>
      </c>
      <c r="R220" t="b">
        <f>IF(E220="staff",IF(INDEX('Partner data'!A:DH,MATCH(C220,'Partner data'!DG:DG,0),112)="BL1 non presente","FALSO",INDEX('Partner data'!A:DH,MATCH(C220,'Partner data'!DG:DG,0),112)))</f>
        <v>0</v>
      </c>
      <c r="S220" t="b">
        <f t="shared" si="6"/>
        <v>0</v>
      </c>
      <c r="T220" t="b">
        <f t="shared" si="7"/>
        <v>1</v>
      </c>
      <c r="U220" s="154">
        <f>IFERROR(IF(R220&lt;&gt;FALSE,IF(S220=TRUE,INDEX('SummaryNOT_VALIDATED-BL'!$A$1:$F$16,MATCH(R220,'SummaryNOT_VALIDATED-BL'!$A$1:$A$16,0),6),0),IF(S220=TRUE,INDEX('SummaryNOT_VALIDATED-BL'!$A$1:$F$16,MATCH(E220,'SummaryNOT_VALIDATED-BL'!$A$1:$A$16,0),6),0)),0)</f>
        <v>0</v>
      </c>
      <c r="V220" s="81" cm="1">
        <f t="array" ref="V220">INDEX('Weight tables'!$A$24:$C$27,MATCH(1,(RendicontiTrasmessiBL__2[[#This Row],[Cut percentage on real costs + USC]]&gt;='Weight tables'!$B$24:$B$27)*(RendicontiTrasmessiBL__2[[#This Row],[Cut percentage on real costs + USC]]&lt;='Weight tables'!$C$24:$C$27),0),1)</f>
        <v>0</v>
      </c>
      <c r="W220" s="2">
        <f>RendicontiTrasmessiBL__2[[#This Row],[Weight real costs  + USC ]]</f>
        <v>0</v>
      </c>
    </row>
    <row r="221" spans="1:23" x14ac:dyDescent="0.25">
      <c r="A221" s="1" t="s">
        <v>312</v>
      </c>
      <c r="B221" s="1" t="s">
        <v>316</v>
      </c>
      <c r="C221" s="2">
        <v>186</v>
      </c>
      <c r="D221" s="2">
        <v>329</v>
      </c>
      <c r="E221" s="1" t="s">
        <v>231</v>
      </c>
      <c r="G221">
        <v>3600</v>
      </c>
      <c r="H221">
        <v>0</v>
      </c>
      <c r="I221">
        <v>0</v>
      </c>
      <c r="J221">
        <v>0</v>
      </c>
      <c r="K221">
        <v>0</v>
      </c>
      <c r="L221">
        <v>0</v>
      </c>
      <c r="M221">
        <v>0</v>
      </c>
      <c r="N221">
        <v>0</v>
      </c>
      <c r="O221">
        <v>3600</v>
      </c>
      <c r="P221">
        <v>0</v>
      </c>
      <c r="Q221" t="str">
        <f>INDEX('Partner data'!A:DH,MATCH(C221,'Partner data'!DG:DG,0),83)</f>
        <v>Soggetto pubblico</v>
      </c>
      <c r="R221" t="b">
        <f>IF(E221="staff",IF(INDEX('Partner data'!A:DH,MATCH(C221,'Partner data'!DG:DG,0),112)="BL1 non presente","FALSO",INDEX('Partner data'!A:DH,MATCH(C221,'Partner data'!DG:DG,0),112)))</f>
        <v>0</v>
      </c>
      <c r="S221" t="b">
        <f t="shared" si="6"/>
        <v>0</v>
      </c>
      <c r="T221" t="b">
        <f t="shared" si="7"/>
        <v>1</v>
      </c>
      <c r="U221" s="154">
        <f>IFERROR(IF(R221&lt;&gt;FALSE,IF(S221=TRUE,INDEX('SummaryNOT_VALIDATED-BL'!$A$1:$F$16,MATCH(R221,'SummaryNOT_VALIDATED-BL'!$A$1:$A$16,0),6),0),IF(S221=TRUE,INDEX('SummaryNOT_VALIDATED-BL'!$A$1:$F$16,MATCH(E221,'SummaryNOT_VALIDATED-BL'!$A$1:$A$16,0),6),0)),0)</f>
        <v>0</v>
      </c>
      <c r="V221" s="81" cm="1">
        <f t="array" ref="V221">INDEX('Weight tables'!$A$24:$C$27,MATCH(1,(RendicontiTrasmessiBL__2[[#This Row],[Cut percentage on real costs + USC]]&gt;='Weight tables'!$B$24:$B$27)*(RendicontiTrasmessiBL__2[[#This Row],[Cut percentage on real costs + USC]]&lt;='Weight tables'!$C$24:$C$27),0),1)</f>
        <v>0</v>
      </c>
      <c r="W221" s="2">
        <f>RendicontiTrasmessiBL__2[[#This Row],[Weight real costs  + USC ]]</f>
        <v>0</v>
      </c>
    </row>
    <row r="222" spans="1:23" x14ac:dyDescent="0.25">
      <c r="A222" s="1" t="s">
        <v>312</v>
      </c>
      <c r="B222" s="1" t="s">
        <v>316</v>
      </c>
      <c r="C222" s="2">
        <v>186</v>
      </c>
      <c r="D222" s="2">
        <v>329</v>
      </c>
      <c r="E222" s="1" t="s">
        <v>232</v>
      </c>
      <c r="G222">
        <v>48500</v>
      </c>
      <c r="H222">
        <v>0</v>
      </c>
      <c r="I222">
        <v>0</v>
      </c>
      <c r="J222">
        <v>0</v>
      </c>
      <c r="K222">
        <v>0</v>
      </c>
      <c r="L222">
        <v>0</v>
      </c>
      <c r="M222">
        <v>0</v>
      </c>
      <c r="N222">
        <v>0</v>
      </c>
      <c r="O222">
        <v>48500</v>
      </c>
      <c r="P222">
        <v>0</v>
      </c>
      <c r="Q222" t="str">
        <f>INDEX('Partner data'!A:DH,MATCH(C222,'Partner data'!DG:DG,0),83)</f>
        <v>Soggetto pubblico</v>
      </c>
      <c r="R222" t="b">
        <f>IF(E222="staff",IF(INDEX('Partner data'!A:DH,MATCH(C222,'Partner data'!DG:DG,0),112)="BL1 non presente","FALSO",INDEX('Partner data'!A:DH,MATCH(C222,'Partner data'!DG:DG,0),112)))</f>
        <v>0</v>
      </c>
      <c r="S222" t="b">
        <f t="shared" si="6"/>
        <v>0</v>
      </c>
      <c r="T222" t="b">
        <f t="shared" si="7"/>
        <v>1</v>
      </c>
      <c r="U222" s="154">
        <f>IFERROR(IF(R222&lt;&gt;FALSE,IF(S222=TRUE,INDEX('SummaryNOT_VALIDATED-BL'!$A$1:$F$16,MATCH(R222,'SummaryNOT_VALIDATED-BL'!$A$1:$A$16,0),6),0),IF(S222=TRUE,INDEX('SummaryNOT_VALIDATED-BL'!$A$1:$F$16,MATCH(E222,'SummaryNOT_VALIDATED-BL'!$A$1:$A$16,0),6),0)),0)</f>
        <v>0</v>
      </c>
      <c r="V222" s="81" cm="1">
        <f t="array" ref="V222">INDEX('Weight tables'!$A$24:$C$27,MATCH(1,(RendicontiTrasmessiBL__2[[#This Row],[Cut percentage on real costs + USC]]&gt;='Weight tables'!$B$24:$B$27)*(RendicontiTrasmessiBL__2[[#This Row],[Cut percentage on real costs + USC]]&lt;='Weight tables'!$C$24:$C$27),0),1)</f>
        <v>0</v>
      </c>
      <c r="W222" s="2">
        <f>RendicontiTrasmessiBL__2[[#This Row],[Weight real costs  + USC ]]</f>
        <v>0</v>
      </c>
    </row>
    <row r="223" spans="1:23" x14ac:dyDescent="0.25">
      <c r="A223" s="1" t="s">
        <v>312</v>
      </c>
      <c r="B223" s="1" t="s">
        <v>316</v>
      </c>
      <c r="C223" s="2">
        <v>186</v>
      </c>
      <c r="D223" s="2">
        <v>329</v>
      </c>
      <c r="E223" s="1" t="s">
        <v>233</v>
      </c>
      <c r="G223">
        <v>0</v>
      </c>
      <c r="H223">
        <v>0</v>
      </c>
      <c r="I223">
        <v>0</v>
      </c>
      <c r="J223">
        <v>0</v>
      </c>
      <c r="K223">
        <v>0</v>
      </c>
      <c r="L223">
        <v>0</v>
      </c>
      <c r="M223">
        <v>0</v>
      </c>
      <c r="N223">
        <v>0</v>
      </c>
      <c r="O223">
        <v>0</v>
      </c>
      <c r="P223">
        <v>0</v>
      </c>
      <c r="Q223" t="str">
        <f>INDEX('Partner data'!A:DH,MATCH(C223,'Partner data'!DG:DG,0),83)</f>
        <v>Soggetto pubblico</v>
      </c>
      <c r="R223" t="b">
        <f>IF(E223="staff",IF(INDEX('Partner data'!A:DH,MATCH(C223,'Partner data'!DG:DG,0),112)="BL1 non presente","FALSO",INDEX('Partner data'!A:DH,MATCH(C223,'Partner data'!DG:DG,0),112)))</f>
        <v>0</v>
      </c>
      <c r="S223" t="b">
        <f t="shared" si="6"/>
        <v>0</v>
      </c>
      <c r="T223" t="b">
        <f t="shared" si="7"/>
        <v>1</v>
      </c>
      <c r="U223" s="154">
        <f>IFERROR(IF(R223&lt;&gt;FALSE,IF(S223=TRUE,INDEX('SummaryNOT_VALIDATED-BL'!$A$1:$F$16,MATCH(R223,'SummaryNOT_VALIDATED-BL'!$A$1:$A$16,0),6),0),IF(S223=TRUE,INDEX('SummaryNOT_VALIDATED-BL'!$A$1:$F$16,MATCH(E223,'SummaryNOT_VALIDATED-BL'!$A$1:$A$16,0),6),0)),0)</f>
        <v>0</v>
      </c>
      <c r="V223" s="81" cm="1">
        <f t="array" ref="V223">INDEX('Weight tables'!$A$24:$C$27,MATCH(1,(RendicontiTrasmessiBL__2[[#This Row],[Cut percentage on real costs + USC]]&gt;='Weight tables'!$B$24:$B$27)*(RendicontiTrasmessiBL__2[[#This Row],[Cut percentage on real costs + USC]]&lt;='Weight tables'!$C$24:$C$27),0),1)</f>
        <v>0</v>
      </c>
      <c r="W223" s="2">
        <f>RendicontiTrasmessiBL__2[[#This Row],[Weight real costs  + USC ]]</f>
        <v>0</v>
      </c>
    </row>
    <row r="224" spans="1:23" x14ac:dyDescent="0.25">
      <c r="A224" s="1" t="s">
        <v>312</v>
      </c>
      <c r="B224" s="1" t="s">
        <v>316</v>
      </c>
      <c r="C224" s="2">
        <v>186</v>
      </c>
      <c r="D224" s="2">
        <v>329</v>
      </c>
      <c r="E224" s="1" t="s">
        <v>234</v>
      </c>
      <c r="G224">
        <v>0</v>
      </c>
      <c r="H224">
        <v>0</v>
      </c>
      <c r="I224">
        <v>0</v>
      </c>
      <c r="J224">
        <v>0</v>
      </c>
      <c r="K224">
        <v>0</v>
      </c>
      <c r="L224">
        <v>0</v>
      </c>
      <c r="M224">
        <v>0</v>
      </c>
      <c r="N224">
        <v>0</v>
      </c>
      <c r="O224">
        <v>0</v>
      </c>
      <c r="P224">
        <v>0</v>
      </c>
      <c r="Q224" t="str">
        <f>INDEX('Partner data'!A:DH,MATCH(C224,'Partner data'!DG:DG,0),83)</f>
        <v>Soggetto pubblico</v>
      </c>
      <c r="R224" t="b">
        <f>IF(E224="staff",IF(INDEX('Partner data'!A:DH,MATCH(C224,'Partner data'!DG:DG,0),112)="BL1 non presente","FALSO",INDEX('Partner data'!A:DH,MATCH(C224,'Partner data'!DG:DG,0),112)))</f>
        <v>0</v>
      </c>
      <c r="S224" t="b">
        <f t="shared" si="6"/>
        <v>0</v>
      </c>
      <c r="T224" t="b">
        <f t="shared" si="7"/>
        <v>1</v>
      </c>
      <c r="U224" s="154">
        <f>IFERROR(IF(R224&lt;&gt;FALSE,IF(S224=TRUE,INDEX('SummaryNOT_VALIDATED-BL'!$A$1:$F$16,MATCH(R224,'SummaryNOT_VALIDATED-BL'!$A$1:$A$16,0),6),0),IF(S224=TRUE,INDEX('SummaryNOT_VALIDATED-BL'!$A$1:$F$16,MATCH(E224,'SummaryNOT_VALIDATED-BL'!$A$1:$A$16,0),6),0)),0)</f>
        <v>0</v>
      </c>
      <c r="V224" s="81" cm="1">
        <f t="array" ref="V224">INDEX('Weight tables'!$A$24:$C$27,MATCH(1,(RendicontiTrasmessiBL__2[[#This Row],[Cut percentage on real costs + USC]]&gt;='Weight tables'!$B$24:$B$27)*(RendicontiTrasmessiBL__2[[#This Row],[Cut percentage on real costs + USC]]&lt;='Weight tables'!$C$24:$C$27),0),1)</f>
        <v>0</v>
      </c>
      <c r="W224" s="2">
        <f>RendicontiTrasmessiBL__2[[#This Row],[Weight real costs  + USC ]]</f>
        <v>0</v>
      </c>
    </row>
    <row r="225" spans="1:23" x14ac:dyDescent="0.25">
      <c r="A225" s="1" t="s">
        <v>312</v>
      </c>
      <c r="B225" s="1" t="s">
        <v>316</v>
      </c>
      <c r="C225" s="2">
        <v>186</v>
      </c>
      <c r="D225" s="2">
        <v>329</v>
      </c>
      <c r="E225" s="1" t="s">
        <v>236</v>
      </c>
      <c r="G225">
        <v>0</v>
      </c>
      <c r="H225">
        <v>0</v>
      </c>
      <c r="I225">
        <v>0</v>
      </c>
      <c r="J225">
        <v>0</v>
      </c>
      <c r="K225">
        <v>0</v>
      </c>
      <c r="L225">
        <v>0</v>
      </c>
      <c r="M225">
        <v>0</v>
      </c>
      <c r="N225">
        <v>0</v>
      </c>
      <c r="O225">
        <v>0</v>
      </c>
      <c r="P225">
        <v>0</v>
      </c>
      <c r="Q225" t="str">
        <f>INDEX('Partner data'!A:DH,MATCH(C225,'Partner data'!DG:DG,0),83)</f>
        <v>Soggetto pubblico</v>
      </c>
      <c r="R225" t="b">
        <f>IF(E225="staff",IF(INDEX('Partner data'!A:DH,MATCH(C225,'Partner data'!DG:DG,0),112)="BL1 non presente","FALSO",INDEX('Partner data'!A:DH,MATCH(C225,'Partner data'!DG:DG,0),112)))</f>
        <v>0</v>
      </c>
      <c r="S225" t="b">
        <f t="shared" si="6"/>
        <v>0</v>
      </c>
      <c r="T225" t="b">
        <f t="shared" si="7"/>
        <v>1</v>
      </c>
      <c r="U225" s="154">
        <f>IFERROR(IF(R225&lt;&gt;FALSE,IF(S225=TRUE,INDEX('SummaryNOT_VALIDATED-BL'!$A$1:$F$16,MATCH(R225,'SummaryNOT_VALIDATED-BL'!$A$1:$A$16,0),6),0),IF(S225=TRUE,INDEX('SummaryNOT_VALIDATED-BL'!$A$1:$F$16,MATCH(E225,'SummaryNOT_VALIDATED-BL'!$A$1:$A$16,0),6),0)),0)</f>
        <v>0</v>
      </c>
      <c r="V225" s="81" cm="1">
        <f t="array" ref="V225">INDEX('Weight tables'!$A$24:$C$27,MATCH(1,(RendicontiTrasmessiBL__2[[#This Row],[Cut percentage on real costs + USC]]&gt;='Weight tables'!$B$24:$B$27)*(RendicontiTrasmessiBL__2[[#This Row],[Cut percentage on real costs + USC]]&lt;='Weight tables'!$C$24:$C$27),0),1)</f>
        <v>0</v>
      </c>
      <c r="W225" s="2">
        <f>RendicontiTrasmessiBL__2[[#This Row],[Weight real costs  + USC ]]</f>
        <v>0</v>
      </c>
    </row>
    <row r="226" spans="1:23" x14ac:dyDescent="0.25">
      <c r="A226" s="1" t="s">
        <v>312</v>
      </c>
      <c r="B226" s="1" t="s">
        <v>316</v>
      </c>
      <c r="C226" s="2">
        <v>186</v>
      </c>
      <c r="D226" s="2">
        <v>329</v>
      </c>
      <c r="E226" s="1" t="s">
        <v>237</v>
      </c>
      <c r="G226">
        <v>0</v>
      </c>
      <c r="H226">
        <v>0</v>
      </c>
      <c r="I226">
        <v>0</v>
      </c>
      <c r="J226">
        <v>0</v>
      </c>
      <c r="K226">
        <v>0</v>
      </c>
      <c r="L226">
        <v>0</v>
      </c>
      <c r="M226">
        <v>0</v>
      </c>
      <c r="N226">
        <v>0</v>
      </c>
      <c r="O226">
        <v>0</v>
      </c>
      <c r="P226">
        <v>0</v>
      </c>
      <c r="Q226" t="str">
        <f>INDEX('Partner data'!A:DH,MATCH(C226,'Partner data'!DG:DG,0),83)</f>
        <v>Soggetto pubblico</v>
      </c>
      <c r="R226" t="b">
        <f>IF(E226="staff",IF(INDEX('Partner data'!A:DH,MATCH(C226,'Partner data'!DG:DG,0),112)="BL1 non presente","FALSO",INDEX('Partner data'!A:DH,MATCH(C226,'Partner data'!DG:DG,0),112)))</f>
        <v>0</v>
      </c>
      <c r="S226" t="b">
        <f t="shared" si="6"/>
        <v>0</v>
      </c>
      <c r="T226" t="b">
        <f t="shared" si="7"/>
        <v>1</v>
      </c>
      <c r="U226" s="154">
        <f>IFERROR(IF(R226&lt;&gt;FALSE,IF(S226=TRUE,INDEX('SummaryNOT_VALIDATED-BL'!$A$1:$F$16,MATCH(R226,'SummaryNOT_VALIDATED-BL'!$A$1:$A$16,0),6),0),IF(S226=TRUE,INDEX('SummaryNOT_VALIDATED-BL'!$A$1:$F$16,MATCH(E226,'SummaryNOT_VALIDATED-BL'!$A$1:$A$16,0),6),0)),0)</f>
        <v>0</v>
      </c>
      <c r="V226" s="81" cm="1">
        <f t="array" ref="V226">INDEX('Weight tables'!$A$24:$C$27,MATCH(1,(RendicontiTrasmessiBL__2[[#This Row],[Cut percentage on real costs + USC]]&gt;='Weight tables'!$B$24:$B$27)*(RendicontiTrasmessiBL__2[[#This Row],[Cut percentage on real costs + USC]]&lt;='Weight tables'!$C$24:$C$27),0),1)</f>
        <v>0</v>
      </c>
      <c r="W226" s="2">
        <f>RendicontiTrasmessiBL__2[[#This Row],[Weight real costs  + USC ]]</f>
        <v>0</v>
      </c>
    </row>
    <row r="227" spans="1:23" x14ac:dyDescent="0.25">
      <c r="A227" s="1" t="s">
        <v>337</v>
      </c>
      <c r="B227" s="1" t="s">
        <v>338</v>
      </c>
      <c r="C227" s="2">
        <v>124</v>
      </c>
      <c r="D227" s="2">
        <v>182</v>
      </c>
      <c r="E227" s="1" t="s">
        <v>228</v>
      </c>
      <c r="G227">
        <v>43400</v>
      </c>
      <c r="H227">
        <v>0</v>
      </c>
      <c r="I227">
        <v>0</v>
      </c>
      <c r="J227">
        <v>11279.78</v>
      </c>
      <c r="K227">
        <v>0</v>
      </c>
      <c r="L227">
        <v>9962</v>
      </c>
      <c r="M227">
        <v>11279.78</v>
      </c>
      <c r="N227">
        <v>25.99</v>
      </c>
      <c r="O227">
        <v>32120.22</v>
      </c>
      <c r="P227">
        <v>0</v>
      </c>
      <c r="Q227" t="str">
        <f>INDEX('Partner data'!A:DH,MATCH(C227,'Partner data'!DG:DG,0),83)</f>
        <v>Soggetto privato</v>
      </c>
      <c r="R227" t="str">
        <f>IF(E227="staff",IF(INDEX('Partner data'!A:DH,MATCH(C227,'Partner data'!DG:DG,0),112)="BL1 non presente","FALSO",INDEX('Partner data'!A:DH,MATCH(C227,'Partner data'!DG:DG,0),112)))</f>
        <v>COSTO REALE</v>
      </c>
      <c r="S227" t="b">
        <f t="shared" si="6"/>
        <v>1</v>
      </c>
      <c r="T227" t="b">
        <f t="shared" si="7"/>
        <v>0</v>
      </c>
      <c r="U227" s="154">
        <f>IFERROR(IF(R227&lt;&gt;FALSE,IF(S227=TRUE,INDEX('SummaryNOT_VALIDATED-BL'!$A$1:$F$16,MATCH(R227,'SummaryNOT_VALIDATED-BL'!$A$1:$A$16,0),6),0),IF(S227=TRUE,INDEX('SummaryNOT_VALIDATED-BL'!$A$1:$F$16,MATCH(E227,'SummaryNOT_VALIDATED-BL'!$A$1:$A$16,0),6),0)),0)</f>
        <v>9.1604133276901048E-2</v>
      </c>
      <c r="V227" s="81" cm="1">
        <f t="array" ref="V227">INDEX('Weight tables'!$A$24:$C$27,MATCH(1,(RendicontiTrasmessiBL__2[[#This Row],[Cut percentage on real costs + USC]]&gt;='Weight tables'!$B$24:$B$27)*(RendicontiTrasmessiBL__2[[#This Row],[Cut percentage on real costs + USC]]&lt;='Weight tables'!$C$24:$C$27),0),1)</f>
        <v>4</v>
      </c>
      <c r="W227" s="2">
        <f>RendicontiTrasmessiBL__2[[#This Row],[Weight real costs  + USC ]]</f>
        <v>4</v>
      </c>
    </row>
    <row r="228" spans="1:23" x14ac:dyDescent="0.25">
      <c r="A228" s="1" t="s">
        <v>337</v>
      </c>
      <c r="B228" s="1" t="s">
        <v>338</v>
      </c>
      <c r="C228" s="2">
        <v>124</v>
      </c>
      <c r="D228" s="2">
        <v>182</v>
      </c>
      <c r="E228" s="1" t="s">
        <v>229</v>
      </c>
      <c r="F228">
        <v>15</v>
      </c>
      <c r="G228">
        <v>6510</v>
      </c>
      <c r="H228">
        <v>0</v>
      </c>
      <c r="I228">
        <v>0</v>
      </c>
      <c r="J228">
        <v>1691.96</v>
      </c>
      <c r="K228">
        <v>0</v>
      </c>
      <c r="L228">
        <v>1494.3</v>
      </c>
      <c r="M228">
        <v>1691.96</v>
      </c>
      <c r="N228">
        <v>25.99</v>
      </c>
      <c r="O228">
        <v>4818.04</v>
      </c>
      <c r="P228">
        <v>0</v>
      </c>
      <c r="Q228" t="str">
        <f>INDEX('Partner data'!A:DH,MATCH(C228,'Partner data'!DG:DG,0),83)</f>
        <v>Soggetto privato</v>
      </c>
      <c r="R228" t="b">
        <f>IF(E228="staff",IF(INDEX('Partner data'!A:DH,MATCH(C228,'Partner data'!DG:DG,0),112)="BL1 non presente","FALSO",INDEX('Partner data'!A:DH,MATCH(C228,'Partner data'!DG:DG,0),112)))</f>
        <v>0</v>
      </c>
      <c r="S228" t="b">
        <f t="shared" si="6"/>
        <v>1</v>
      </c>
      <c r="T228" t="b">
        <f t="shared" si="7"/>
        <v>0</v>
      </c>
      <c r="U228" s="154">
        <f>IFERROR(IF(R228&lt;&gt;FALSE,IF(S228=TRUE,INDEX('SummaryNOT_VALIDATED-BL'!$A$1:$F$16,MATCH(R228,'SummaryNOT_VALIDATED-BL'!$A$1:$A$16,0),6),0),IF(S228=TRUE,INDEX('SummaryNOT_VALIDATED-BL'!$A$1:$F$16,MATCH(E228,'SummaryNOT_VALIDATED-BL'!$A$1:$A$16,0),6),0)),0)</f>
        <v>6.6460469504890221E-2</v>
      </c>
      <c r="V228" s="81" cm="1">
        <f t="array" ref="V228">INDEX('Weight tables'!$A$24:$C$27,MATCH(1,(RendicontiTrasmessiBL__2[[#This Row],[Cut percentage on real costs + USC]]&gt;='Weight tables'!$B$24:$B$27)*(RendicontiTrasmessiBL__2[[#This Row],[Cut percentage on real costs + USC]]&lt;='Weight tables'!$C$24:$C$27),0),1)</f>
        <v>4</v>
      </c>
      <c r="W228" s="2">
        <f>RendicontiTrasmessiBL__2[[#This Row],[Weight real costs  + USC ]]</f>
        <v>4</v>
      </c>
    </row>
    <row r="229" spans="1:23" x14ac:dyDescent="0.25">
      <c r="A229" s="1" t="s">
        <v>337</v>
      </c>
      <c r="B229" s="1" t="s">
        <v>338</v>
      </c>
      <c r="C229" s="2">
        <v>124</v>
      </c>
      <c r="D229" s="2">
        <v>182</v>
      </c>
      <c r="E229" s="1" t="s">
        <v>230</v>
      </c>
      <c r="F229">
        <v>4</v>
      </c>
      <c r="G229">
        <v>1736</v>
      </c>
      <c r="H229">
        <v>0</v>
      </c>
      <c r="I229">
        <v>0</v>
      </c>
      <c r="J229">
        <v>451.19</v>
      </c>
      <c r="K229">
        <v>0</v>
      </c>
      <c r="L229">
        <v>398.48</v>
      </c>
      <c r="M229">
        <v>451.19</v>
      </c>
      <c r="N229">
        <v>25.99</v>
      </c>
      <c r="O229">
        <v>1284.81</v>
      </c>
      <c r="P229">
        <v>0</v>
      </c>
      <c r="Q229" t="str">
        <f>INDEX('Partner data'!A:DH,MATCH(C229,'Partner data'!DG:DG,0),83)</f>
        <v>Soggetto privato</v>
      </c>
      <c r="R229" t="b">
        <f>IF(E229="staff",IF(INDEX('Partner data'!A:DH,MATCH(C229,'Partner data'!DG:DG,0),112)="BL1 non presente","FALSO",INDEX('Partner data'!A:DH,MATCH(C229,'Partner data'!DG:DG,0),112)))</f>
        <v>0</v>
      </c>
      <c r="S229" t="b">
        <f t="shared" si="6"/>
        <v>1</v>
      </c>
      <c r="T229" t="b">
        <f t="shared" si="7"/>
        <v>0</v>
      </c>
      <c r="U229" s="154">
        <f>IFERROR(IF(R229&lt;&gt;FALSE,IF(S229=TRUE,INDEX('SummaryNOT_VALIDATED-BL'!$A$1:$F$16,MATCH(R229,'SummaryNOT_VALIDATED-BL'!$A$1:$A$16,0),6),0),IF(S229=TRUE,INDEX('SummaryNOT_VALIDATED-BL'!$A$1:$F$16,MATCH(E229,'SummaryNOT_VALIDATED-BL'!$A$1:$A$16,0),6),0)),0)</f>
        <v>6.3112622236488891E-2</v>
      </c>
      <c r="V229" s="81" cm="1">
        <f t="array" ref="V229">INDEX('Weight tables'!$A$24:$C$27,MATCH(1,(RendicontiTrasmessiBL__2[[#This Row],[Cut percentage on real costs + USC]]&gt;='Weight tables'!$B$24:$B$27)*(RendicontiTrasmessiBL__2[[#This Row],[Cut percentage on real costs + USC]]&lt;='Weight tables'!$C$24:$C$27),0),1)</f>
        <v>4</v>
      </c>
      <c r="W229" s="2">
        <f>RendicontiTrasmessiBL__2[[#This Row],[Weight real costs  + USC ]]</f>
        <v>4</v>
      </c>
    </row>
    <row r="230" spans="1:23" x14ac:dyDescent="0.25">
      <c r="A230" s="1" t="s">
        <v>337</v>
      </c>
      <c r="B230" s="1" t="s">
        <v>338</v>
      </c>
      <c r="C230" s="2">
        <v>124</v>
      </c>
      <c r="D230" s="2">
        <v>182</v>
      </c>
      <c r="E230" s="1" t="s">
        <v>231</v>
      </c>
      <c r="G230">
        <v>37700</v>
      </c>
      <c r="H230">
        <v>0</v>
      </c>
      <c r="I230">
        <v>0</v>
      </c>
      <c r="J230">
        <v>12950</v>
      </c>
      <c r="K230">
        <v>0</v>
      </c>
      <c r="L230">
        <v>12950</v>
      </c>
      <c r="M230">
        <v>12950</v>
      </c>
      <c r="N230">
        <v>34.35</v>
      </c>
      <c r="O230">
        <v>24750</v>
      </c>
      <c r="P230">
        <v>0</v>
      </c>
      <c r="Q230" t="str">
        <f>INDEX('Partner data'!A:DH,MATCH(C230,'Partner data'!DG:DG,0),83)</f>
        <v>Soggetto privato</v>
      </c>
      <c r="R230" t="b">
        <f>IF(E230="staff",IF(INDEX('Partner data'!A:DH,MATCH(C230,'Partner data'!DG:DG,0),112)="BL1 non presente","FALSO",INDEX('Partner data'!A:DH,MATCH(C230,'Partner data'!DG:DG,0),112)))</f>
        <v>0</v>
      </c>
      <c r="S230" t="b">
        <f t="shared" si="6"/>
        <v>1</v>
      </c>
      <c r="T230" t="b">
        <f t="shared" si="7"/>
        <v>0</v>
      </c>
      <c r="U230" s="154">
        <f>IFERROR(IF(R230&lt;&gt;FALSE,IF(S230=TRUE,INDEX('SummaryNOT_VALIDATED-BL'!$A$1:$F$16,MATCH(R230,'SummaryNOT_VALIDATED-BL'!$A$1:$A$16,0),6),0),IF(S230=TRUE,INDEX('SummaryNOT_VALIDATED-BL'!$A$1:$F$16,MATCH(E230,'SummaryNOT_VALIDATED-BL'!$A$1:$A$16,0),6),0)),0)</f>
        <v>5.577594442215475E-2</v>
      </c>
      <c r="V230" s="81" cm="1">
        <f t="array" ref="V230">INDEX('Weight tables'!$A$24:$C$27,MATCH(1,(RendicontiTrasmessiBL__2[[#This Row],[Cut percentage on real costs + USC]]&gt;='Weight tables'!$B$24:$B$27)*(RendicontiTrasmessiBL__2[[#This Row],[Cut percentage on real costs + USC]]&lt;='Weight tables'!$C$24:$C$27),0),1)</f>
        <v>4</v>
      </c>
      <c r="W230" s="2">
        <f>RendicontiTrasmessiBL__2[[#This Row],[Weight real costs  + USC ]]</f>
        <v>4</v>
      </c>
    </row>
    <row r="231" spans="1:23" x14ac:dyDescent="0.25">
      <c r="A231" s="1" t="s">
        <v>337</v>
      </c>
      <c r="B231" s="1" t="s">
        <v>338</v>
      </c>
      <c r="C231" s="2">
        <v>124</v>
      </c>
      <c r="D231" s="2">
        <v>182</v>
      </c>
      <c r="E231" s="1" t="s">
        <v>232</v>
      </c>
      <c r="G231">
        <v>11000</v>
      </c>
      <c r="H231">
        <v>0</v>
      </c>
      <c r="I231">
        <v>0</v>
      </c>
      <c r="J231">
        <v>0</v>
      </c>
      <c r="K231">
        <v>0</v>
      </c>
      <c r="L231">
        <v>0</v>
      </c>
      <c r="M231">
        <v>0</v>
      </c>
      <c r="N231">
        <v>0</v>
      </c>
      <c r="O231">
        <v>11000</v>
      </c>
      <c r="P231">
        <v>0</v>
      </c>
      <c r="Q231" t="str">
        <f>INDEX('Partner data'!A:DH,MATCH(C231,'Partner data'!DG:DG,0),83)</f>
        <v>Soggetto privato</v>
      </c>
      <c r="R231" t="b">
        <f>IF(E231="staff",IF(INDEX('Partner data'!A:DH,MATCH(C231,'Partner data'!DG:DG,0),112)="BL1 non presente","FALSO",INDEX('Partner data'!A:DH,MATCH(C231,'Partner data'!DG:DG,0),112)))</f>
        <v>0</v>
      </c>
      <c r="S231" t="b">
        <f t="shared" si="6"/>
        <v>0</v>
      </c>
      <c r="T231" t="b">
        <f t="shared" si="7"/>
        <v>0</v>
      </c>
      <c r="U231" s="154">
        <f>IFERROR(IF(R231&lt;&gt;FALSE,IF(S231=TRUE,INDEX('SummaryNOT_VALIDATED-BL'!$A$1:$F$16,MATCH(R231,'SummaryNOT_VALIDATED-BL'!$A$1:$A$16,0),6),0),IF(S231=TRUE,INDEX('SummaryNOT_VALIDATED-BL'!$A$1:$F$16,MATCH(E231,'SummaryNOT_VALIDATED-BL'!$A$1:$A$16,0),6),0)),0)</f>
        <v>0</v>
      </c>
      <c r="V231" s="81" cm="1">
        <f t="array" ref="V231">INDEX('Weight tables'!$A$24:$C$27,MATCH(1,(RendicontiTrasmessiBL__2[[#This Row],[Cut percentage on real costs + USC]]&gt;='Weight tables'!$B$24:$B$27)*(RendicontiTrasmessiBL__2[[#This Row],[Cut percentage on real costs + USC]]&lt;='Weight tables'!$C$24:$C$27),0),1)</f>
        <v>0</v>
      </c>
      <c r="W231" s="2">
        <f>RendicontiTrasmessiBL__2[[#This Row],[Weight real costs  + USC ]]</f>
        <v>0</v>
      </c>
    </row>
    <row r="232" spans="1:23" x14ac:dyDescent="0.25">
      <c r="A232" s="1" t="s">
        <v>337</v>
      </c>
      <c r="B232" s="1" t="s">
        <v>338</v>
      </c>
      <c r="C232" s="2">
        <v>124</v>
      </c>
      <c r="D232" s="2">
        <v>182</v>
      </c>
      <c r="E232" s="1" t="s">
        <v>233</v>
      </c>
      <c r="G232">
        <v>0</v>
      </c>
      <c r="H232">
        <v>0</v>
      </c>
      <c r="I232">
        <v>0</v>
      </c>
      <c r="J232">
        <v>0</v>
      </c>
      <c r="K232">
        <v>0</v>
      </c>
      <c r="L232">
        <v>0</v>
      </c>
      <c r="M232">
        <v>0</v>
      </c>
      <c r="N232">
        <v>0</v>
      </c>
      <c r="O232">
        <v>0</v>
      </c>
      <c r="P232">
        <v>0</v>
      </c>
      <c r="Q232" t="str">
        <f>INDEX('Partner data'!A:DH,MATCH(C232,'Partner data'!DG:DG,0),83)</f>
        <v>Soggetto privato</v>
      </c>
      <c r="R232" t="b">
        <f>IF(E232="staff",IF(INDEX('Partner data'!A:DH,MATCH(C232,'Partner data'!DG:DG,0),112)="BL1 non presente","FALSO",INDEX('Partner data'!A:DH,MATCH(C232,'Partner data'!DG:DG,0),112)))</f>
        <v>0</v>
      </c>
      <c r="S232" t="b">
        <f t="shared" si="6"/>
        <v>0</v>
      </c>
      <c r="T232" t="b">
        <f t="shared" si="7"/>
        <v>0</v>
      </c>
      <c r="U232" s="154">
        <f>IFERROR(IF(R232&lt;&gt;FALSE,IF(S232=TRUE,INDEX('SummaryNOT_VALIDATED-BL'!$A$1:$F$16,MATCH(R232,'SummaryNOT_VALIDATED-BL'!$A$1:$A$16,0),6),0),IF(S232=TRUE,INDEX('SummaryNOT_VALIDATED-BL'!$A$1:$F$16,MATCH(E232,'SummaryNOT_VALIDATED-BL'!$A$1:$A$16,0),6),0)),0)</f>
        <v>0</v>
      </c>
      <c r="V232" s="81" cm="1">
        <f t="array" ref="V232">INDEX('Weight tables'!$A$24:$C$27,MATCH(1,(RendicontiTrasmessiBL__2[[#This Row],[Cut percentage on real costs + USC]]&gt;='Weight tables'!$B$24:$B$27)*(RendicontiTrasmessiBL__2[[#This Row],[Cut percentage on real costs + USC]]&lt;='Weight tables'!$C$24:$C$27),0),1)</f>
        <v>0</v>
      </c>
      <c r="W232" s="2">
        <f>RendicontiTrasmessiBL__2[[#This Row],[Weight real costs  + USC ]]</f>
        <v>0</v>
      </c>
    </row>
    <row r="233" spans="1:23" x14ac:dyDescent="0.25">
      <c r="A233" s="1" t="s">
        <v>337</v>
      </c>
      <c r="B233" s="1" t="s">
        <v>338</v>
      </c>
      <c r="C233" s="2">
        <v>124</v>
      </c>
      <c r="D233" s="2">
        <v>182</v>
      </c>
      <c r="E233" s="1" t="s">
        <v>234</v>
      </c>
      <c r="G233">
        <v>0</v>
      </c>
      <c r="H233">
        <v>0</v>
      </c>
      <c r="I233">
        <v>0</v>
      </c>
      <c r="J233">
        <v>0</v>
      </c>
      <c r="K233">
        <v>0</v>
      </c>
      <c r="L233">
        <v>0</v>
      </c>
      <c r="M233">
        <v>0</v>
      </c>
      <c r="N233">
        <v>0</v>
      </c>
      <c r="O233">
        <v>0</v>
      </c>
      <c r="P233">
        <v>0</v>
      </c>
      <c r="Q233" t="str">
        <f>INDEX('Partner data'!A:DH,MATCH(C233,'Partner data'!DG:DG,0),83)</f>
        <v>Soggetto privato</v>
      </c>
      <c r="R233" t="b">
        <f>IF(E233="staff",IF(INDEX('Partner data'!A:DH,MATCH(C233,'Partner data'!DG:DG,0),112)="BL1 non presente","FALSO",INDEX('Partner data'!A:DH,MATCH(C233,'Partner data'!DG:DG,0),112)))</f>
        <v>0</v>
      </c>
      <c r="S233" t="b">
        <f t="shared" si="6"/>
        <v>0</v>
      </c>
      <c r="T233" t="b">
        <f t="shared" si="7"/>
        <v>0</v>
      </c>
      <c r="U233" s="154">
        <f>IFERROR(IF(R233&lt;&gt;FALSE,IF(S233=TRUE,INDEX('SummaryNOT_VALIDATED-BL'!$A$1:$F$16,MATCH(R233,'SummaryNOT_VALIDATED-BL'!$A$1:$A$16,0),6),0),IF(S233=TRUE,INDEX('SummaryNOT_VALIDATED-BL'!$A$1:$F$16,MATCH(E233,'SummaryNOT_VALIDATED-BL'!$A$1:$A$16,0),6),0)),0)</f>
        <v>0</v>
      </c>
      <c r="V233" s="81" cm="1">
        <f t="array" ref="V233">INDEX('Weight tables'!$A$24:$C$27,MATCH(1,(RendicontiTrasmessiBL__2[[#This Row],[Cut percentage on real costs + USC]]&gt;='Weight tables'!$B$24:$B$27)*(RendicontiTrasmessiBL__2[[#This Row],[Cut percentage on real costs + USC]]&lt;='Weight tables'!$C$24:$C$27),0),1)</f>
        <v>0</v>
      </c>
      <c r="W233" s="2">
        <f>RendicontiTrasmessiBL__2[[#This Row],[Weight real costs  + USC ]]</f>
        <v>0</v>
      </c>
    </row>
    <row r="234" spans="1:23" x14ac:dyDescent="0.25">
      <c r="A234" s="1" t="s">
        <v>337</v>
      </c>
      <c r="B234" s="1" t="s">
        <v>338</v>
      </c>
      <c r="C234" s="2">
        <v>124</v>
      </c>
      <c r="D234" s="2">
        <v>182</v>
      </c>
      <c r="E234" s="1" t="s">
        <v>236</v>
      </c>
      <c r="G234">
        <v>0</v>
      </c>
      <c r="H234">
        <v>0</v>
      </c>
      <c r="I234">
        <v>0</v>
      </c>
      <c r="J234">
        <v>0</v>
      </c>
      <c r="K234">
        <v>0</v>
      </c>
      <c r="L234">
        <v>0</v>
      </c>
      <c r="M234">
        <v>0</v>
      </c>
      <c r="N234">
        <v>0</v>
      </c>
      <c r="O234">
        <v>0</v>
      </c>
      <c r="P234">
        <v>0</v>
      </c>
      <c r="Q234" t="str">
        <f>INDEX('Partner data'!A:DH,MATCH(C234,'Partner data'!DG:DG,0),83)</f>
        <v>Soggetto privato</v>
      </c>
      <c r="R234" t="b">
        <f>IF(E234="staff",IF(INDEX('Partner data'!A:DH,MATCH(C234,'Partner data'!DG:DG,0),112)="BL1 non presente","FALSO",INDEX('Partner data'!A:DH,MATCH(C234,'Partner data'!DG:DG,0),112)))</f>
        <v>0</v>
      </c>
      <c r="S234" t="b">
        <f t="shared" si="6"/>
        <v>0</v>
      </c>
      <c r="T234" t="b">
        <f t="shared" si="7"/>
        <v>0</v>
      </c>
      <c r="U234" s="154">
        <f>IFERROR(IF(R234&lt;&gt;FALSE,IF(S234=TRUE,INDEX('SummaryNOT_VALIDATED-BL'!$A$1:$F$16,MATCH(R234,'SummaryNOT_VALIDATED-BL'!$A$1:$A$16,0),6),0),IF(S234=TRUE,INDEX('SummaryNOT_VALIDATED-BL'!$A$1:$F$16,MATCH(E234,'SummaryNOT_VALIDATED-BL'!$A$1:$A$16,0),6),0)),0)</f>
        <v>0</v>
      </c>
      <c r="V234" s="81" cm="1">
        <f t="array" ref="V234">INDEX('Weight tables'!$A$24:$C$27,MATCH(1,(RendicontiTrasmessiBL__2[[#This Row],[Cut percentage on real costs + USC]]&gt;='Weight tables'!$B$24:$B$27)*(RendicontiTrasmessiBL__2[[#This Row],[Cut percentage on real costs + USC]]&lt;='Weight tables'!$C$24:$C$27),0),1)</f>
        <v>0</v>
      </c>
      <c r="W234" s="2">
        <f>RendicontiTrasmessiBL__2[[#This Row],[Weight real costs  + USC ]]</f>
        <v>0</v>
      </c>
    </row>
    <row r="235" spans="1:23" x14ac:dyDescent="0.25">
      <c r="A235" s="1" t="s">
        <v>337</v>
      </c>
      <c r="B235" s="1" t="s">
        <v>338</v>
      </c>
      <c r="C235" s="2">
        <v>124</v>
      </c>
      <c r="D235" s="2">
        <v>182</v>
      </c>
      <c r="E235" s="1" t="s">
        <v>237</v>
      </c>
      <c r="G235">
        <v>0</v>
      </c>
      <c r="H235">
        <v>0</v>
      </c>
      <c r="I235">
        <v>0</v>
      </c>
      <c r="J235">
        <v>0</v>
      </c>
      <c r="K235">
        <v>0</v>
      </c>
      <c r="L235">
        <v>0</v>
      </c>
      <c r="M235">
        <v>0</v>
      </c>
      <c r="N235">
        <v>0</v>
      </c>
      <c r="O235">
        <v>0</v>
      </c>
      <c r="P235">
        <v>0</v>
      </c>
      <c r="Q235" t="str">
        <f>INDEX('Partner data'!A:DH,MATCH(C235,'Partner data'!DG:DG,0),83)</f>
        <v>Soggetto privato</v>
      </c>
      <c r="R235" t="b">
        <f>IF(E235="staff",IF(INDEX('Partner data'!A:DH,MATCH(C235,'Partner data'!DG:DG,0),112)="BL1 non presente","FALSO",INDEX('Partner data'!A:DH,MATCH(C235,'Partner data'!DG:DG,0),112)))</f>
        <v>0</v>
      </c>
      <c r="S235" t="b">
        <f t="shared" si="6"/>
        <v>0</v>
      </c>
      <c r="T235" t="b">
        <f t="shared" si="7"/>
        <v>0</v>
      </c>
      <c r="U235" s="154">
        <f>IFERROR(IF(R235&lt;&gt;FALSE,IF(S235=TRUE,INDEX('SummaryNOT_VALIDATED-BL'!$A$1:$F$16,MATCH(R235,'SummaryNOT_VALIDATED-BL'!$A$1:$A$16,0),6),0),IF(S235=TRUE,INDEX('SummaryNOT_VALIDATED-BL'!$A$1:$F$16,MATCH(E235,'SummaryNOT_VALIDATED-BL'!$A$1:$A$16,0),6),0)),0)</f>
        <v>0</v>
      </c>
      <c r="V235" s="81" cm="1">
        <f t="array" ref="V235">INDEX('Weight tables'!$A$24:$C$27,MATCH(1,(RendicontiTrasmessiBL__2[[#This Row],[Cut percentage on real costs + USC]]&gt;='Weight tables'!$B$24:$B$27)*(RendicontiTrasmessiBL__2[[#This Row],[Cut percentage on real costs + USC]]&lt;='Weight tables'!$C$24:$C$27),0),1)</f>
        <v>0</v>
      </c>
      <c r="W235" s="2">
        <f>RendicontiTrasmessiBL__2[[#This Row],[Weight real costs  + USC ]]</f>
        <v>0</v>
      </c>
    </row>
    <row r="236" spans="1:23" x14ac:dyDescent="0.25">
      <c r="A236" s="1" t="s">
        <v>337</v>
      </c>
      <c r="B236" s="1" t="s">
        <v>42</v>
      </c>
      <c r="C236" s="2">
        <v>126</v>
      </c>
      <c r="D236" s="2">
        <v>140</v>
      </c>
      <c r="E236" s="1" t="s">
        <v>228</v>
      </c>
      <c r="G236">
        <v>52725</v>
      </c>
      <c r="H236">
        <v>0</v>
      </c>
      <c r="I236">
        <v>0</v>
      </c>
      <c r="J236">
        <v>8161.14</v>
      </c>
      <c r="K236">
        <v>0</v>
      </c>
      <c r="L236">
        <v>2620.21</v>
      </c>
      <c r="M236">
        <v>8161.14</v>
      </c>
      <c r="N236">
        <v>15.48</v>
      </c>
      <c r="O236">
        <v>44563.86</v>
      </c>
      <c r="P236">
        <v>0</v>
      </c>
      <c r="Q236" t="str">
        <f>INDEX('Partner data'!A:DH,MATCH(C236,'Partner data'!DG:DG,0),83)</f>
        <v>Soggetto pubblico</v>
      </c>
      <c r="R236" t="str">
        <f>IF(E236="staff",IF(INDEX('Partner data'!A:DH,MATCH(C236,'Partner data'!DG:DG,0),112)="BL1 non presente","FALSO",INDEX('Partner data'!A:DH,MATCH(C236,'Partner data'!DG:DG,0),112)))</f>
        <v>COSTO REALE</v>
      </c>
      <c r="S236" t="b">
        <f t="shared" si="6"/>
        <v>1</v>
      </c>
      <c r="T236" t="b">
        <f t="shared" si="7"/>
        <v>1</v>
      </c>
      <c r="U236" s="154">
        <f>IFERROR(IF(R236&lt;&gt;FALSE,IF(S236=TRUE,INDEX('SummaryNOT_VALIDATED-BL'!$A$1:$F$16,MATCH(R236,'SummaryNOT_VALIDATED-BL'!$A$1:$A$16,0),6),0),IF(S236=TRUE,INDEX('SummaryNOT_VALIDATED-BL'!$A$1:$F$16,MATCH(E236,'SummaryNOT_VALIDATED-BL'!$A$1:$A$16,0),6),0)),0)</f>
        <v>9.1604133276901048E-2</v>
      </c>
      <c r="V236" s="81" cm="1">
        <f t="array" ref="V236">INDEX('Weight tables'!$A$24:$C$27,MATCH(1,(RendicontiTrasmessiBL__2[[#This Row],[Cut percentage on real costs + USC]]&gt;='Weight tables'!$B$24:$B$27)*(RendicontiTrasmessiBL__2[[#This Row],[Cut percentage on real costs + USC]]&lt;='Weight tables'!$C$24:$C$27),0),1)</f>
        <v>4</v>
      </c>
      <c r="W236" s="2">
        <f>RendicontiTrasmessiBL__2[[#This Row],[Weight real costs  + USC ]]</f>
        <v>4</v>
      </c>
    </row>
    <row r="237" spans="1:23" x14ac:dyDescent="0.25">
      <c r="A237" s="1" t="s">
        <v>337</v>
      </c>
      <c r="B237" s="1" t="s">
        <v>42</v>
      </c>
      <c r="C237" s="2">
        <v>126</v>
      </c>
      <c r="D237" s="2">
        <v>140</v>
      </c>
      <c r="E237" s="1" t="s">
        <v>229</v>
      </c>
      <c r="G237">
        <v>0</v>
      </c>
      <c r="H237">
        <v>0</v>
      </c>
      <c r="I237">
        <v>0</v>
      </c>
      <c r="J237">
        <v>0</v>
      </c>
      <c r="K237">
        <v>0</v>
      </c>
      <c r="L237">
        <v>0</v>
      </c>
      <c r="M237">
        <v>0</v>
      </c>
      <c r="N237">
        <v>0</v>
      </c>
      <c r="O237">
        <v>0</v>
      </c>
      <c r="P237">
        <v>0</v>
      </c>
      <c r="Q237" t="str">
        <f>INDEX('Partner data'!A:DH,MATCH(C237,'Partner data'!DG:DG,0),83)</f>
        <v>Soggetto pubblico</v>
      </c>
      <c r="R237" t="b">
        <f>IF(E237="staff",IF(INDEX('Partner data'!A:DH,MATCH(C237,'Partner data'!DG:DG,0),112)="BL1 non presente","FALSO",INDEX('Partner data'!A:DH,MATCH(C237,'Partner data'!DG:DG,0),112)))</f>
        <v>0</v>
      </c>
      <c r="S237" t="b">
        <f t="shared" si="6"/>
        <v>0</v>
      </c>
      <c r="T237" t="b">
        <f t="shared" si="7"/>
        <v>1</v>
      </c>
      <c r="U237" s="154">
        <f>IFERROR(IF(R237&lt;&gt;FALSE,IF(S237=TRUE,INDEX('SummaryNOT_VALIDATED-BL'!$A$1:$F$16,MATCH(R237,'SummaryNOT_VALIDATED-BL'!$A$1:$A$16,0),6),0),IF(S237=TRUE,INDEX('SummaryNOT_VALIDATED-BL'!$A$1:$F$16,MATCH(E237,'SummaryNOT_VALIDATED-BL'!$A$1:$A$16,0),6),0)),0)</f>
        <v>0</v>
      </c>
      <c r="V237" s="81" cm="1">
        <f t="array" ref="V237">INDEX('Weight tables'!$A$24:$C$27,MATCH(1,(RendicontiTrasmessiBL__2[[#This Row],[Cut percentage on real costs + USC]]&gt;='Weight tables'!$B$24:$B$27)*(RendicontiTrasmessiBL__2[[#This Row],[Cut percentage on real costs + USC]]&lt;='Weight tables'!$C$24:$C$27),0),1)</f>
        <v>0</v>
      </c>
      <c r="W237" s="2">
        <f>RendicontiTrasmessiBL__2[[#This Row],[Weight real costs  + USC ]]</f>
        <v>0</v>
      </c>
    </row>
    <row r="238" spans="1:23" x14ac:dyDescent="0.25">
      <c r="A238" s="1" t="s">
        <v>337</v>
      </c>
      <c r="B238" s="1" t="s">
        <v>42</v>
      </c>
      <c r="C238" s="2">
        <v>126</v>
      </c>
      <c r="D238" s="2">
        <v>140</v>
      </c>
      <c r="E238" s="1" t="s">
        <v>230</v>
      </c>
      <c r="G238">
        <v>0</v>
      </c>
      <c r="H238">
        <v>0</v>
      </c>
      <c r="I238">
        <v>0</v>
      </c>
      <c r="J238">
        <v>0</v>
      </c>
      <c r="K238">
        <v>0</v>
      </c>
      <c r="L238">
        <v>0</v>
      </c>
      <c r="M238">
        <v>0</v>
      </c>
      <c r="N238">
        <v>0</v>
      </c>
      <c r="O238">
        <v>0</v>
      </c>
      <c r="P238">
        <v>0</v>
      </c>
      <c r="Q238" t="str">
        <f>INDEX('Partner data'!A:DH,MATCH(C238,'Partner data'!DG:DG,0),83)</f>
        <v>Soggetto pubblico</v>
      </c>
      <c r="R238" t="b">
        <f>IF(E238="staff",IF(INDEX('Partner data'!A:DH,MATCH(C238,'Partner data'!DG:DG,0),112)="BL1 non presente","FALSO",INDEX('Partner data'!A:DH,MATCH(C238,'Partner data'!DG:DG,0),112)))</f>
        <v>0</v>
      </c>
      <c r="S238" t="b">
        <f t="shared" si="6"/>
        <v>0</v>
      </c>
      <c r="T238" t="b">
        <f t="shared" si="7"/>
        <v>1</v>
      </c>
      <c r="U238" s="154">
        <f>IFERROR(IF(R238&lt;&gt;FALSE,IF(S238=TRUE,INDEX('SummaryNOT_VALIDATED-BL'!$A$1:$F$16,MATCH(R238,'SummaryNOT_VALIDATED-BL'!$A$1:$A$16,0),6),0),IF(S238=TRUE,INDEX('SummaryNOT_VALIDATED-BL'!$A$1:$F$16,MATCH(E238,'SummaryNOT_VALIDATED-BL'!$A$1:$A$16,0),6),0)),0)</f>
        <v>0</v>
      </c>
      <c r="V238" s="81" cm="1">
        <f t="array" ref="V238">INDEX('Weight tables'!$A$24:$C$27,MATCH(1,(RendicontiTrasmessiBL__2[[#This Row],[Cut percentage on real costs + USC]]&gt;='Weight tables'!$B$24:$B$27)*(RendicontiTrasmessiBL__2[[#This Row],[Cut percentage on real costs + USC]]&lt;='Weight tables'!$C$24:$C$27),0),1)</f>
        <v>0</v>
      </c>
      <c r="W238" s="2">
        <f>RendicontiTrasmessiBL__2[[#This Row],[Weight real costs  + USC ]]</f>
        <v>0</v>
      </c>
    </row>
    <row r="239" spans="1:23" x14ac:dyDescent="0.25">
      <c r="A239" s="1" t="s">
        <v>337</v>
      </c>
      <c r="B239" s="1" t="s">
        <v>42</v>
      </c>
      <c r="C239" s="2">
        <v>126</v>
      </c>
      <c r="D239" s="2">
        <v>140</v>
      </c>
      <c r="E239" s="1" t="s">
        <v>231</v>
      </c>
      <c r="G239">
        <v>0</v>
      </c>
      <c r="H239">
        <v>0</v>
      </c>
      <c r="I239">
        <v>0</v>
      </c>
      <c r="J239">
        <v>0</v>
      </c>
      <c r="K239">
        <v>0</v>
      </c>
      <c r="L239">
        <v>0</v>
      </c>
      <c r="M239">
        <v>0</v>
      </c>
      <c r="N239">
        <v>0</v>
      </c>
      <c r="O239">
        <v>0</v>
      </c>
      <c r="P239">
        <v>0</v>
      </c>
      <c r="Q239" t="str">
        <f>INDEX('Partner data'!A:DH,MATCH(C239,'Partner data'!DG:DG,0),83)</f>
        <v>Soggetto pubblico</v>
      </c>
      <c r="R239" t="b">
        <f>IF(E239="staff",IF(INDEX('Partner data'!A:DH,MATCH(C239,'Partner data'!DG:DG,0),112)="BL1 non presente","FALSO",INDEX('Partner data'!A:DH,MATCH(C239,'Partner data'!DG:DG,0),112)))</f>
        <v>0</v>
      </c>
      <c r="S239" t="b">
        <f t="shared" si="6"/>
        <v>0</v>
      </c>
      <c r="T239" t="b">
        <f t="shared" si="7"/>
        <v>1</v>
      </c>
      <c r="U239" s="154">
        <f>IFERROR(IF(R239&lt;&gt;FALSE,IF(S239=TRUE,INDEX('SummaryNOT_VALIDATED-BL'!$A$1:$F$16,MATCH(R239,'SummaryNOT_VALIDATED-BL'!$A$1:$A$16,0),6),0),IF(S239=TRUE,INDEX('SummaryNOT_VALIDATED-BL'!$A$1:$F$16,MATCH(E239,'SummaryNOT_VALIDATED-BL'!$A$1:$A$16,0),6),0)),0)</f>
        <v>0</v>
      </c>
      <c r="V239" s="81" cm="1">
        <f t="array" ref="V239">INDEX('Weight tables'!$A$24:$C$27,MATCH(1,(RendicontiTrasmessiBL__2[[#This Row],[Cut percentage on real costs + USC]]&gt;='Weight tables'!$B$24:$B$27)*(RendicontiTrasmessiBL__2[[#This Row],[Cut percentage on real costs + USC]]&lt;='Weight tables'!$C$24:$C$27),0),1)</f>
        <v>0</v>
      </c>
      <c r="W239" s="2">
        <f>RendicontiTrasmessiBL__2[[#This Row],[Weight real costs  + USC ]]</f>
        <v>0</v>
      </c>
    </row>
    <row r="240" spans="1:23" x14ac:dyDescent="0.25">
      <c r="A240" s="1" t="s">
        <v>337</v>
      </c>
      <c r="B240" s="1" t="s">
        <v>42</v>
      </c>
      <c r="C240" s="2">
        <v>126</v>
      </c>
      <c r="D240" s="2">
        <v>140</v>
      </c>
      <c r="E240" s="1" t="s">
        <v>232</v>
      </c>
      <c r="G240">
        <v>0</v>
      </c>
      <c r="H240">
        <v>0</v>
      </c>
      <c r="I240">
        <v>0</v>
      </c>
      <c r="J240">
        <v>0</v>
      </c>
      <c r="K240">
        <v>0</v>
      </c>
      <c r="L240">
        <v>0</v>
      </c>
      <c r="M240">
        <v>0</v>
      </c>
      <c r="N240">
        <v>0</v>
      </c>
      <c r="O240">
        <v>0</v>
      </c>
      <c r="P240">
        <v>0</v>
      </c>
      <c r="Q240" t="str">
        <f>INDEX('Partner data'!A:DH,MATCH(C240,'Partner data'!DG:DG,0),83)</f>
        <v>Soggetto pubblico</v>
      </c>
      <c r="R240" t="b">
        <f>IF(E240="staff",IF(INDEX('Partner data'!A:DH,MATCH(C240,'Partner data'!DG:DG,0),112)="BL1 non presente","FALSO",INDEX('Partner data'!A:DH,MATCH(C240,'Partner data'!DG:DG,0),112)))</f>
        <v>0</v>
      </c>
      <c r="S240" t="b">
        <f t="shared" si="6"/>
        <v>0</v>
      </c>
      <c r="T240" t="b">
        <f t="shared" si="7"/>
        <v>1</v>
      </c>
      <c r="U240" s="154">
        <f>IFERROR(IF(R240&lt;&gt;FALSE,IF(S240=TRUE,INDEX('SummaryNOT_VALIDATED-BL'!$A$1:$F$16,MATCH(R240,'SummaryNOT_VALIDATED-BL'!$A$1:$A$16,0),6),0),IF(S240=TRUE,INDEX('SummaryNOT_VALIDATED-BL'!$A$1:$F$16,MATCH(E240,'SummaryNOT_VALIDATED-BL'!$A$1:$A$16,0),6),0)),0)</f>
        <v>0</v>
      </c>
      <c r="V240" s="81" cm="1">
        <f t="array" ref="V240">INDEX('Weight tables'!$A$24:$C$27,MATCH(1,(RendicontiTrasmessiBL__2[[#This Row],[Cut percentage on real costs + USC]]&gt;='Weight tables'!$B$24:$B$27)*(RendicontiTrasmessiBL__2[[#This Row],[Cut percentage on real costs + USC]]&lt;='Weight tables'!$C$24:$C$27),0),1)</f>
        <v>0</v>
      </c>
      <c r="W240" s="2">
        <f>RendicontiTrasmessiBL__2[[#This Row],[Weight real costs  + USC ]]</f>
        <v>0</v>
      </c>
    </row>
    <row r="241" spans="1:23" x14ac:dyDescent="0.25">
      <c r="A241" s="1" t="s">
        <v>337</v>
      </c>
      <c r="B241" s="1" t="s">
        <v>42</v>
      </c>
      <c r="C241" s="2">
        <v>126</v>
      </c>
      <c r="D241" s="2">
        <v>140</v>
      </c>
      <c r="E241" s="1" t="s">
        <v>233</v>
      </c>
      <c r="G241">
        <v>0</v>
      </c>
      <c r="H241">
        <v>0</v>
      </c>
      <c r="I241">
        <v>0</v>
      </c>
      <c r="J241">
        <v>0</v>
      </c>
      <c r="K241">
        <v>0</v>
      </c>
      <c r="L241">
        <v>0</v>
      </c>
      <c r="M241">
        <v>0</v>
      </c>
      <c r="N241">
        <v>0</v>
      </c>
      <c r="O241">
        <v>0</v>
      </c>
      <c r="P241">
        <v>0</v>
      </c>
      <c r="Q241" t="str">
        <f>INDEX('Partner data'!A:DH,MATCH(C241,'Partner data'!DG:DG,0),83)</f>
        <v>Soggetto pubblico</v>
      </c>
      <c r="R241" t="b">
        <f>IF(E241="staff",IF(INDEX('Partner data'!A:DH,MATCH(C241,'Partner data'!DG:DG,0),112)="BL1 non presente","FALSO",INDEX('Partner data'!A:DH,MATCH(C241,'Partner data'!DG:DG,0),112)))</f>
        <v>0</v>
      </c>
      <c r="S241" t="b">
        <f t="shared" si="6"/>
        <v>0</v>
      </c>
      <c r="T241" t="b">
        <f t="shared" si="7"/>
        <v>1</v>
      </c>
      <c r="U241" s="154">
        <f>IFERROR(IF(R241&lt;&gt;FALSE,IF(S241=TRUE,INDEX('SummaryNOT_VALIDATED-BL'!$A$1:$F$16,MATCH(R241,'SummaryNOT_VALIDATED-BL'!$A$1:$A$16,0),6),0),IF(S241=TRUE,INDEX('SummaryNOT_VALIDATED-BL'!$A$1:$F$16,MATCH(E241,'SummaryNOT_VALIDATED-BL'!$A$1:$A$16,0),6),0)),0)</f>
        <v>0</v>
      </c>
      <c r="V241" s="81" cm="1">
        <f t="array" ref="V241">INDEX('Weight tables'!$A$24:$C$27,MATCH(1,(RendicontiTrasmessiBL__2[[#This Row],[Cut percentage on real costs + USC]]&gt;='Weight tables'!$B$24:$B$27)*(RendicontiTrasmessiBL__2[[#This Row],[Cut percentage on real costs + USC]]&lt;='Weight tables'!$C$24:$C$27),0),1)</f>
        <v>0</v>
      </c>
      <c r="W241" s="2">
        <f>RendicontiTrasmessiBL__2[[#This Row],[Weight real costs  + USC ]]</f>
        <v>0</v>
      </c>
    </row>
    <row r="242" spans="1:23" x14ac:dyDescent="0.25">
      <c r="A242" s="1" t="s">
        <v>337</v>
      </c>
      <c r="B242" s="1" t="s">
        <v>42</v>
      </c>
      <c r="C242" s="2">
        <v>126</v>
      </c>
      <c r="D242" s="2">
        <v>140</v>
      </c>
      <c r="E242" s="1" t="s">
        <v>234</v>
      </c>
      <c r="F242">
        <v>40</v>
      </c>
      <c r="G242">
        <v>21090</v>
      </c>
      <c r="H242">
        <v>0</v>
      </c>
      <c r="I242">
        <v>0</v>
      </c>
      <c r="J242">
        <v>3264.45</v>
      </c>
      <c r="K242">
        <v>0</v>
      </c>
      <c r="L242">
        <v>1048.08</v>
      </c>
      <c r="M242">
        <v>3264.45</v>
      </c>
      <c r="N242">
        <v>15.48</v>
      </c>
      <c r="O242">
        <v>17825.55</v>
      </c>
      <c r="P242">
        <v>0</v>
      </c>
      <c r="Q242" t="str">
        <f>INDEX('Partner data'!A:DH,MATCH(C242,'Partner data'!DG:DG,0),83)</f>
        <v>Soggetto pubblico</v>
      </c>
      <c r="R242" t="b">
        <f>IF(E242="staff",IF(INDEX('Partner data'!A:DH,MATCH(C242,'Partner data'!DG:DG,0),112)="BL1 non presente","FALSO",INDEX('Partner data'!A:DH,MATCH(C242,'Partner data'!DG:DG,0),112)))</f>
        <v>0</v>
      </c>
      <c r="S242" t="b">
        <f t="shared" si="6"/>
        <v>1</v>
      </c>
      <c r="T242" t="b">
        <f t="shared" si="7"/>
        <v>1</v>
      </c>
      <c r="U242" s="154">
        <f>IFERROR(IF(R242&lt;&gt;FALSE,IF(S242=TRUE,INDEX('SummaryNOT_VALIDATED-BL'!$A$1:$F$16,MATCH(R242,'SummaryNOT_VALIDATED-BL'!$A$1:$A$16,0),6),0),IF(S242=TRUE,INDEX('SummaryNOT_VALIDATED-BL'!$A$1:$F$16,MATCH(E242,'SummaryNOT_VALIDATED-BL'!$A$1:$A$16,0),6),0)),0)</f>
        <v>8.7645339819521315E-2</v>
      </c>
      <c r="V242" s="81" cm="1">
        <f t="array" ref="V242">INDEX('Weight tables'!$A$24:$C$27,MATCH(1,(RendicontiTrasmessiBL__2[[#This Row],[Cut percentage on real costs + USC]]&gt;='Weight tables'!$B$24:$B$27)*(RendicontiTrasmessiBL__2[[#This Row],[Cut percentage on real costs + USC]]&lt;='Weight tables'!$C$24:$C$27),0),1)</f>
        <v>4</v>
      </c>
      <c r="W242" s="2">
        <f>RendicontiTrasmessiBL__2[[#This Row],[Weight real costs  + USC ]]</f>
        <v>4</v>
      </c>
    </row>
    <row r="243" spans="1:23" x14ac:dyDescent="0.25">
      <c r="A243" s="1" t="s">
        <v>337</v>
      </c>
      <c r="B243" s="1" t="s">
        <v>42</v>
      </c>
      <c r="C243" s="2">
        <v>126</v>
      </c>
      <c r="D243" s="2">
        <v>140</v>
      </c>
      <c r="E243" s="1" t="s">
        <v>236</v>
      </c>
      <c r="G243">
        <v>0</v>
      </c>
      <c r="H243">
        <v>0</v>
      </c>
      <c r="I243">
        <v>0</v>
      </c>
      <c r="J243">
        <v>0</v>
      </c>
      <c r="K243">
        <v>0</v>
      </c>
      <c r="L243">
        <v>0</v>
      </c>
      <c r="M243">
        <v>0</v>
      </c>
      <c r="N243">
        <v>0</v>
      </c>
      <c r="O243">
        <v>0</v>
      </c>
      <c r="P243">
        <v>0</v>
      </c>
      <c r="Q243" t="str">
        <f>INDEX('Partner data'!A:DH,MATCH(C243,'Partner data'!DG:DG,0),83)</f>
        <v>Soggetto pubblico</v>
      </c>
      <c r="R243" t="b">
        <f>IF(E243="staff",IF(INDEX('Partner data'!A:DH,MATCH(C243,'Partner data'!DG:DG,0),112)="BL1 non presente","FALSO",INDEX('Partner data'!A:DH,MATCH(C243,'Partner data'!DG:DG,0),112)))</f>
        <v>0</v>
      </c>
      <c r="S243" t="b">
        <f t="shared" si="6"/>
        <v>0</v>
      </c>
      <c r="T243" t="b">
        <f t="shared" si="7"/>
        <v>1</v>
      </c>
      <c r="U243" s="154">
        <f>IFERROR(IF(R243&lt;&gt;FALSE,IF(S243=TRUE,INDEX('SummaryNOT_VALIDATED-BL'!$A$1:$F$16,MATCH(R243,'SummaryNOT_VALIDATED-BL'!$A$1:$A$16,0),6),0),IF(S243=TRUE,INDEX('SummaryNOT_VALIDATED-BL'!$A$1:$F$16,MATCH(E243,'SummaryNOT_VALIDATED-BL'!$A$1:$A$16,0),6),0)),0)</f>
        <v>0</v>
      </c>
      <c r="V243" s="81" cm="1">
        <f t="array" ref="V243">INDEX('Weight tables'!$A$24:$C$27,MATCH(1,(RendicontiTrasmessiBL__2[[#This Row],[Cut percentage on real costs + USC]]&gt;='Weight tables'!$B$24:$B$27)*(RendicontiTrasmessiBL__2[[#This Row],[Cut percentage on real costs + USC]]&lt;='Weight tables'!$C$24:$C$27),0),1)</f>
        <v>0</v>
      </c>
      <c r="W243" s="2">
        <f>RendicontiTrasmessiBL__2[[#This Row],[Weight real costs  + USC ]]</f>
        <v>0</v>
      </c>
    </row>
    <row r="244" spans="1:23" x14ac:dyDescent="0.25">
      <c r="A244" s="1" t="s">
        <v>337</v>
      </c>
      <c r="B244" s="1" t="s">
        <v>42</v>
      </c>
      <c r="C244" s="2">
        <v>126</v>
      </c>
      <c r="D244" s="2">
        <v>140</v>
      </c>
      <c r="E244" s="1" t="s">
        <v>237</v>
      </c>
      <c r="G244">
        <v>0</v>
      </c>
      <c r="H244">
        <v>0</v>
      </c>
      <c r="I244">
        <v>0</v>
      </c>
      <c r="J244">
        <v>0</v>
      </c>
      <c r="K244">
        <v>0</v>
      </c>
      <c r="L244">
        <v>0</v>
      </c>
      <c r="M244">
        <v>0</v>
      </c>
      <c r="N244">
        <v>0</v>
      </c>
      <c r="O244">
        <v>0</v>
      </c>
      <c r="P244">
        <v>0</v>
      </c>
      <c r="Q244" t="str">
        <f>INDEX('Partner data'!A:DH,MATCH(C244,'Partner data'!DG:DG,0),83)</f>
        <v>Soggetto pubblico</v>
      </c>
      <c r="R244" t="b">
        <f>IF(E244="staff",IF(INDEX('Partner data'!A:DH,MATCH(C244,'Partner data'!DG:DG,0),112)="BL1 non presente","FALSO",INDEX('Partner data'!A:DH,MATCH(C244,'Partner data'!DG:DG,0),112)))</f>
        <v>0</v>
      </c>
      <c r="S244" t="b">
        <f t="shared" si="6"/>
        <v>0</v>
      </c>
      <c r="T244" t="b">
        <f t="shared" si="7"/>
        <v>1</v>
      </c>
      <c r="U244" s="154">
        <f>IFERROR(IF(R244&lt;&gt;FALSE,IF(S244=TRUE,INDEX('SummaryNOT_VALIDATED-BL'!$A$1:$F$16,MATCH(R244,'SummaryNOT_VALIDATED-BL'!$A$1:$A$16,0),6),0),IF(S244=TRUE,INDEX('SummaryNOT_VALIDATED-BL'!$A$1:$F$16,MATCH(E244,'SummaryNOT_VALIDATED-BL'!$A$1:$A$16,0),6),0)),0)</f>
        <v>0</v>
      </c>
      <c r="V244" s="81" cm="1">
        <f t="array" ref="V244">INDEX('Weight tables'!$A$24:$C$27,MATCH(1,(RendicontiTrasmessiBL__2[[#This Row],[Cut percentage on real costs + USC]]&gt;='Weight tables'!$B$24:$B$27)*(RendicontiTrasmessiBL__2[[#This Row],[Cut percentage on real costs + USC]]&lt;='Weight tables'!$C$24:$C$27),0),1)</f>
        <v>0</v>
      </c>
      <c r="W244" s="2">
        <f>RendicontiTrasmessiBL__2[[#This Row],[Weight real costs  + USC ]]</f>
        <v>0</v>
      </c>
    </row>
    <row r="245" spans="1:23" x14ac:dyDescent="0.25">
      <c r="A245" s="1" t="s">
        <v>337</v>
      </c>
      <c r="B245" s="1" t="s">
        <v>339</v>
      </c>
      <c r="C245" s="2">
        <v>127</v>
      </c>
      <c r="D245" s="2">
        <v>168</v>
      </c>
      <c r="E245" s="1" t="s">
        <v>228</v>
      </c>
      <c r="G245">
        <v>23300</v>
      </c>
      <c r="H245">
        <v>0</v>
      </c>
      <c r="I245">
        <v>0</v>
      </c>
      <c r="J245">
        <v>5800</v>
      </c>
      <c r="K245">
        <v>0</v>
      </c>
      <c r="L245">
        <v>0</v>
      </c>
      <c r="M245">
        <v>5800</v>
      </c>
      <c r="N245">
        <v>24.89</v>
      </c>
      <c r="O245">
        <v>17500</v>
      </c>
      <c r="P245">
        <v>0</v>
      </c>
      <c r="Q245" t="str">
        <f>INDEX('Partner data'!A:DH,MATCH(C245,'Partner data'!DG:DG,0),83)</f>
        <v>Soggetto privato</v>
      </c>
      <c r="R245" t="str">
        <f>IF(E245="staff",IF(INDEX('Partner data'!A:DH,MATCH(C245,'Partner data'!DG:DG,0),112)="BL1 non presente","FALSO",INDEX('Partner data'!A:DH,MATCH(C245,'Partner data'!DG:DG,0),112)))</f>
        <v>COSTO REALE</v>
      </c>
      <c r="S245" t="b">
        <f t="shared" si="6"/>
        <v>1</v>
      </c>
      <c r="T245" t="b">
        <f t="shared" si="7"/>
        <v>0</v>
      </c>
      <c r="U245" s="154">
        <f>IFERROR(IF(R245&lt;&gt;FALSE,IF(S245=TRUE,INDEX('SummaryNOT_VALIDATED-BL'!$A$1:$F$16,MATCH(R245,'SummaryNOT_VALIDATED-BL'!$A$1:$A$16,0),6),0),IF(S245=TRUE,INDEX('SummaryNOT_VALIDATED-BL'!$A$1:$F$16,MATCH(E245,'SummaryNOT_VALIDATED-BL'!$A$1:$A$16,0),6),0)),0)</f>
        <v>9.1604133276901048E-2</v>
      </c>
      <c r="V245" s="81" cm="1">
        <f t="array" ref="V245">INDEX('Weight tables'!$A$24:$C$27,MATCH(1,(RendicontiTrasmessiBL__2[[#This Row],[Cut percentage on real costs + USC]]&gt;='Weight tables'!$B$24:$B$27)*(RendicontiTrasmessiBL__2[[#This Row],[Cut percentage on real costs + USC]]&lt;='Weight tables'!$C$24:$C$27),0),1)</f>
        <v>4</v>
      </c>
      <c r="W245" s="2">
        <f>RendicontiTrasmessiBL__2[[#This Row],[Weight real costs  + USC ]]</f>
        <v>4</v>
      </c>
    </row>
    <row r="246" spans="1:23" x14ac:dyDescent="0.25">
      <c r="A246" s="1" t="s">
        <v>337</v>
      </c>
      <c r="B246" s="1" t="s">
        <v>339</v>
      </c>
      <c r="C246" s="2">
        <v>127</v>
      </c>
      <c r="D246" s="2">
        <v>168</v>
      </c>
      <c r="E246" s="1" t="s">
        <v>229</v>
      </c>
      <c r="F246">
        <v>15</v>
      </c>
      <c r="G246">
        <v>3495</v>
      </c>
      <c r="H246">
        <v>0</v>
      </c>
      <c r="I246">
        <v>0</v>
      </c>
      <c r="J246">
        <v>870</v>
      </c>
      <c r="K246">
        <v>0</v>
      </c>
      <c r="L246">
        <v>0</v>
      </c>
      <c r="M246">
        <v>870</v>
      </c>
      <c r="N246">
        <v>24.89</v>
      </c>
      <c r="O246">
        <v>2625</v>
      </c>
      <c r="P246">
        <v>0</v>
      </c>
      <c r="Q246" t="str">
        <f>INDEX('Partner data'!A:DH,MATCH(C246,'Partner data'!DG:DG,0),83)</f>
        <v>Soggetto privato</v>
      </c>
      <c r="R246" t="b">
        <f>IF(E246="staff",IF(INDEX('Partner data'!A:DH,MATCH(C246,'Partner data'!DG:DG,0),112)="BL1 non presente","FALSO",INDEX('Partner data'!A:DH,MATCH(C246,'Partner data'!DG:DG,0),112)))</f>
        <v>0</v>
      </c>
      <c r="S246" t="b">
        <f t="shared" si="6"/>
        <v>1</v>
      </c>
      <c r="T246" t="b">
        <f t="shared" si="7"/>
        <v>0</v>
      </c>
      <c r="U246" s="154">
        <f>IFERROR(IF(R246&lt;&gt;FALSE,IF(S246=TRUE,INDEX('SummaryNOT_VALIDATED-BL'!$A$1:$F$16,MATCH(R246,'SummaryNOT_VALIDATED-BL'!$A$1:$A$16,0),6),0),IF(S246=TRUE,INDEX('SummaryNOT_VALIDATED-BL'!$A$1:$F$16,MATCH(E246,'SummaryNOT_VALIDATED-BL'!$A$1:$A$16,0),6),0)),0)</f>
        <v>6.6460469504890221E-2</v>
      </c>
      <c r="V246" s="81" cm="1">
        <f t="array" ref="V246">INDEX('Weight tables'!$A$24:$C$27,MATCH(1,(RendicontiTrasmessiBL__2[[#This Row],[Cut percentage on real costs + USC]]&gt;='Weight tables'!$B$24:$B$27)*(RendicontiTrasmessiBL__2[[#This Row],[Cut percentage on real costs + USC]]&lt;='Weight tables'!$C$24:$C$27),0),1)</f>
        <v>4</v>
      </c>
      <c r="W246" s="2">
        <f>RendicontiTrasmessiBL__2[[#This Row],[Weight real costs  + USC ]]</f>
        <v>4</v>
      </c>
    </row>
    <row r="247" spans="1:23" x14ac:dyDescent="0.25">
      <c r="A247" s="1" t="s">
        <v>337</v>
      </c>
      <c r="B247" s="1" t="s">
        <v>339</v>
      </c>
      <c r="C247" s="2">
        <v>127</v>
      </c>
      <c r="D247" s="2">
        <v>168</v>
      </c>
      <c r="E247" s="1" t="s">
        <v>230</v>
      </c>
      <c r="F247">
        <v>4</v>
      </c>
      <c r="G247">
        <v>932</v>
      </c>
      <c r="H247">
        <v>0</v>
      </c>
      <c r="I247">
        <v>0</v>
      </c>
      <c r="J247">
        <v>232</v>
      </c>
      <c r="K247">
        <v>0</v>
      </c>
      <c r="L247">
        <v>0</v>
      </c>
      <c r="M247">
        <v>232</v>
      </c>
      <c r="N247">
        <v>24.89</v>
      </c>
      <c r="O247">
        <v>700</v>
      </c>
      <c r="P247">
        <v>0</v>
      </c>
      <c r="Q247" t="str">
        <f>INDEX('Partner data'!A:DH,MATCH(C247,'Partner data'!DG:DG,0),83)</f>
        <v>Soggetto privato</v>
      </c>
      <c r="R247" t="b">
        <f>IF(E247="staff",IF(INDEX('Partner data'!A:DH,MATCH(C247,'Partner data'!DG:DG,0),112)="BL1 non presente","FALSO",INDEX('Partner data'!A:DH,MATCH(C247,'Partner data'!DG:DG,0),112)))</f>
        <v>0</v>
      </c>
      <c r="S247" t="b">
        <f t="shared" si="6"/>
        <v>1</v>
      </c>
      <c r="T247" t="b">
        <f t="shared" si="7"/>
        <v>0</v>
      </c>
      <c r="U247" s="154">
        <f>IFERROR(IF(R247&lt;&gt;FALSE,IF(S247=TRUE,INDEX('SummaryNOT_VALIDATED-BL'!$A$1:$F$16,MATCH(R247,'SummaryNOT_VALIDATED-BL'!$A$1:$A$16,0),6),0),IF(S247=TRUE,INDEX('SummaryNOT_VALIDATED-BL'!$A$1:$F$16,MATCH(E247,'SummaryNOT_VALIDATED-BL'!$A$1:$A$16,0),6),0)),0)</f>
        <v>6.3112622236488891E-2</v>
      </c>
      <c r="V247" s="81" cm="1">
        <f t="array" ref="V247">INDEX('Weight tables'!$A$24:$C$27,MATCH(1,(RendicontiTrasmessiBL__2[[#This Row],[Cut percentage on real costs + USC]]&gt;='Weight tables'!$B$24:$B$27)*(RendicontiTrasmessiBL__2[[#This Row],[Cut percentage on real costs + USC]]&lt;='Weight tables'!$C$24:$C$27),0),1)</f>
        <v>4</v>
      </c>
      <c r="W247" s="2">
        <f>RendicontiTrasmessiBL__2[[#This Row],[Weight real costs  + USC ]]</f>
        <v>4</v>
      </c>
    </row>
    <row r="248" spans="1:23" x14ac:dyDescent="0.25">
      <c r="A248" s="1" t="s">
        <v>337</v>
      </c>
      <c r="B248" s="1" t="s">
        <v>339</v>
      </c>
      <c r="C248" s="2">
        <v>127</v>
      </c>
      <c r="D248" s="2">
        <v>168</v>
      </c>
      <c r="E248" s="1" t="s">
        <v>231</v>
      </c>
      <c r="G248">
        <v>48000</v>
      </c>
      <c r="H248">
        <v>0</v>
      </c>
      <c r="I248">
        <v>0</v>
      </c>
      <c r="J248">
        <v>6030.75</v>
      </c>
      <c r="K248">
        <v>0</v>
      </c>
      <c r="L248">
        <v>0</v>
      </c>
      <c r="M248">
        <v>6030.75</v>
      </c>
      <c r="N248">
        <v>12.56</v>
      </c>
      <c r="O248">
        <v>41969.25</v>
      </c>
      <c r="P248">
        <v>0</v>
      </c>
      <c r="Q248" t="str">
        <f>INDEX('Partner data'!A:DH,MATCH(C248,'Partner data'!DG:DG,0),83)</f>
        <v>Soggetto privato</v>
      </c>
      <c r="R248" t="b">
        <f>IF(E248="staff",IF(INDEX('Partner data'!A:DH,MATCH(C248,'Partner data'!DG:DG,0),112)="BL1 non presente","FALSO",INDEX('Partner data'!A:DH,MATCH(C248,'Partner data'!DG:DG,0),112)))</f>
        <v>0</v>
      </c>
      <c r="S248" t="b">
        <f t="shared" si="6"/>
        <v>1</v>
      </c>
      <c r="T248" t="b">
        <f t="shared" si="7"/>
        <v>0</v>
      </c>
      <c r="U248" s="154">
        <f>IFERROR(IF(R248&lt;&gt;FALSE,IF(S248=TRUE,INDEX('SummaryNOT_VALIDATED-BL'!$A$1:$F$16,MATCH(R248,'SummaryNOT_VALIDATED-BL'!$A$1:$A$16,0),6),0),IF(S248=TRUE,INDEX('SummaryNOT_VALIDATED-BL'!$A$1:$F$16,MATCH(E248,'SummaryNOT_VALIDATED-BL'!$A$1:$A$16,0),6),0)),0)</f>
        <v>5.577594442215475E-2</v>
      </c>
      <c r="V248" s="81" cm="1">
        <f t="array" ref="V248">INDEX('Weight tables'!$A$24:$C$27,MATCH(1,(RendicontiTrasmessiBL__2[[#This Row],[Cut percentage on real costs + USC]]&gt;='Weight tables'!$B$24:$B$27)*(RendicontiTrasmessiBL__2[[#This Row],[Cut percentage on real costs + USC]]&lt;='Weight tables'!$C$24:$C$27),0),1)</f>
        <v>4</v>
      </c>
      <c r="W248" s="2">
        <f>RendicontiTrasmessiBL__2[[#This Row],[Weight real costs  + USC ]]</f>
        <v>4</v>
      </c>
    </row>
    <row r="249" spans="1:23" x14ac:dyDescent="0.25">
      <c r="A249" s="1" t="s">
        <v>337</v>
      </c>
      <c r="B249" s="1" t="s">
        <v>339</v>
      </c>
      <c r="C249" s="2">
        <v>127</v>
      </c>
      <c r="D249" s="2">
        <v>168</v>
      </c>
      <c r="E249" s="1" t="s">
        <v>232</v>
      </c>
      <c r="G249">
        <v>0</v>
      </c>
      <c r="H249">
        <v>0</v>
      </c>
      <c r="I249">
        <v>0</v>
      </c>
      <c r="J249">
        <v>0</v>
      </c>
      <c r="K249">
        <v>0</v>
      </c>
      <c r="L249">
        <v>0</v>
      </c>
      <c r="M249">
        <v>0</v>
      </c>
      <c r="N249">
        <v>0</v>
      </c>
      <c r="O249">
        <v>0</v>
      </c>
      <c r="P249">
        <v>0</v>
      </c>
      <c r="Q249" t="str">
        <f>INDEX('Partner data'!A:DH,MATCH(C249,'Partner data'!DG:DG,0),83)</f>
        <v>Soggetto privato</v>
      </c>
      <c r="R249" t="b">
        <f>IF(E249="staff",IF(INDEX('Partner data'!A:DH,MATCH(C249,'Partner data'!DG:DG,0),112)="BL1 non presente","FALSO",INDEX('Partner data'!A:DH,MATCH(C249,'Partner data'!DG:DG,0),112)))</f>
        <v>0</v>
      </c>
      <c r="S249" t="b">
        <f t="shared" si="6"/>
        <v>0</v>
      </c>
      <c r="T249" t="b">
        <f t="shared" si="7"/>
        <v>0</v>
      </c>
      <c r="U249" s="154">
        <f>IFERROR(IF(R249&lt;&gt;FALSE,IF(S249=TRUE,INDEX('SummaryNOT_VALIDATED-BL'!$A$1:$F$16,MATCH(R249,'SummaryNOT_VALIDATED-BL'!$A$1:$A$16,0),6),0),IF(S249=TRUE,INDEX('SummaryNOT_VALIDATED-BL'!$A$1:$F$16,MATCH(E249,'SummaryNOT_VALIDATED-BL'!$A$1:$A$16,0),6),0)),0)</f>
        <v>0</v>
      </c>
      <c r="V249" s="81" cm="1">
        <f t="array" ref="V249">INDEX('Weight tables'!$A$24:$C$27,MATCH(1,(RendicontiTrasmessiBL__2[[#This Row],[Cut percentage on real costs + USC]]&gt;='Weight tables'!$B$24:$B$27)*(RendicontiTrasmessiBL__2[[#This Row],[Cut percentage on real costs + USC]]&lt;='Weight tables'!$C$24:$C$27),0),1)</f>
        <v>0</v>
      </c>
      <c r="W249" s="2">
        <f>RendicontiTrasmessiBL__2[[#This Row],[Weight real costs  + USC ]]</f>
        <v>0</v>
      </c>
    </row>
    <row r="250" spans="1:23" x14ac:dyDescent="0.25">
      <c r="A250" s="1" t="s">
        <v>337</v>
      </c>
      <c r="B250" s="1" t="s">
        <v>339</v>
      </c>
      <c r="C250" s="2">
        <v>127</v>
      </c>
      <c r="D250" s="2">
        <v>168</v>
      </c>
      <c r="E250" s="1" t="s">
        <v>233</v>
      </c>
      <c r="G250">
        <v>0</v>
      </c>
      <c r="H250">
        <v>0</v>
      </c>
      <c r="I250">
        <v>0</v>
      </c>
      <c r="J250">
        <v>0</v>
      </c>
      <c r="K250">
        <v>0</v>
      </c>
      <c r="L250">
        <v>0</v>
      </c>
      <c r="M250">
        <v>0</v>
      </c>
      <c r="N250">
        <v>0</v>
      </c>
      <c r="O250">
        <v>0</v>
      </c>
      <c r="P250">
        <v>0</v>
      </c>
      <c r="Q250" t="str">
        <f>INDEX('Partner data'!A:DH,MATCH(C250,'Partner data'!DG:DG,0),83)</f>
        <v>Soggetto privato</v>
      </c>
      <c r="R250" t="b">
        <f>IF(E250="staff",IF(INDEX('Partner data'!A:DH,MATCH(C250,'Partner data'!DG:DG,0),112)="BL1 non presente","FALSO",INDEX('Partner data'!A:DH,MATCH(C250,'Partner data'!DG:DG,0),112)))</f>
        <v>0</v>
      </c>
      <c r="S250" t="b">
        <f t="shared" si="6"/>
        <v>0</v>
      </c>
      <c r="T250" t="b">
        <f t="shared" si="7"/>
        <v>0</v>
      </c>
      <c r="U250" s="154">
        <f>IFERROR(IF(R250&lt;&gt;FALSE,IF(S250=TRUE,INDEX('SummaryNOT_VALIDATED-BL'!$A$1:$F$16,MATCH(R250,'SummaryNOT_VALIDATED-BL'!$A$1:$A$16,0),6),0),IF(S250=TRUE,INDEX('SummaryNOT_VALIDATED-BL'!$A$1:$F$16,MATCH(E250,'SummaryNOT_VALIDATED-BL'!$A$1:$A$16,0),6),0)),0)</f>
        <v>0</v>
      </c>
      <c r="V250" s="81" cm="1">
        <f t="array" ref="V250">INDEX('Weight tables'!$A$24:$C$27,MATCH(1,(RendicontiTrasmessiBL__2[[#This Row],[Cut percentage on real costs + USC]]&gt;='Weight tables'!$B$24:$B$27)*(RendicontiTrasmessiBL__2[[#This Row],[Cut percentage on real costs + USC]]&lt;='Weight tables'!$C$24:$C$27),0),1)</f>
        <v>0</v>
      </c>
      <c r="W250" s="2">
        <f>RendicontiTrasmessiBL__2[[#This Row],[Weight real costs  + USC ]]</f>
        <v>0</v>
      </c>
    </row>
    <row r="251" spans="1:23" x14ac:dyDescent="0.25">
      <c r="A251" s="1" t="s">
        <v>337</v>
      </c>
      <c r="B251" s="1" t="s">
        <v>339</v>
      </c>
      <c r="C251" s="2">
        <v>127</v>
      </c>
      <c r="D251" s="2">
        <v>168</v>
      </c>
      <c r="E251" s="1" t="s">
        <v>234</v>
      </c>
      <c r="G251">
        <v>0</v>
      </c>
      <c r="H251">
        <v>0</v>
      </c>
      <c r="I251">
        <v>0</v>
      </c>
      <c r="J251">
        <v>0</v>
      </c>
      <c r="K251">
        <v>0</v>
      </c>
      <c r="L251">
        <v>0</v>
      </c>
      <c r="M251">
        <v>0</v>
      </c>
      <c r="N251">
        <v>0</v>
      </c>
      <c r="O251">
        <v>0</v>
      </c>
      <c r="P251">
        <v>0</v>
      </c>
      <c r="Q251" t="str">
        <f>INDEX('Partner data'!A:DH,MATCH(C251,'Partner data'!DG:DG,0),83)</f>
        <v>Soggetto privato</v>
      </c>
      <c r="R251" t="b">
        <f>IF(E251="staff",IF(INDEX('Partner data'!A:DH,MATCH(C251,'Partner data'!DG:DG,0),112)="BL1 non presente","FALSO",INDEX('Partner data'!A:DH,MATCH(C251,'Partner data'!DG:DG,0),112)))</f>
        <v>0</v>
      </c>
      <c r="S251" t="b">
        <f t="shared" si="6"/>
        <v>0</v>
      </c>
      <c r="T251" t="b">
        <f t="shared" si="7"/>
        <v>0</v>
      </c>
      <c r="U251" s="154">
        <f>IFERROR(IF(R251&lt;&gt;FALSE,IF(S251=TRUE,INDEX('SummaryNOT_VALIDATED-BL'!$A$1:$F$16,MATCH(R251,'SummaryNOT_VALIDATED-BL'!$A$1:$A$16,0),6),0),IF(S251=TRUE,INDEX('SummaryNOT_VALIDATED-BL'!$A$1:$F$16,MATCH(E251,'SummaryNOT_VALIDATED-BL'!$A$1:$A$16,0),6),0)),0)</f>
        <v>0</v>
      </c>
      <c r="V251" s="81" cm="1">
        <f t="array" ref="V251">INDEX('Weight tables'!$A$24:$C$27,MATCH(1,(RendicontiTrasmessiBL__2[[#This Row],[Cut percentage on real costs + USC]]&gt;='Weight tables'!$B$24:$B$27)*(RendicontiTrasmessiBL__2[[#This Row],[Cut percentage on real costs + USC]]&lt;='Weight tables'!$C$24:$C$27),0),1)</f>
        <v>0</v>
      </c>
      <c r="W251" s="2">
        <f>RendicontiTrasmessiBL__2[[#This Row],[Weight real costs  + USC ]]</f>
        <v>0</v>
      </c>
    </row>
    <row r="252" spans="1:23" x14ac:dyDescent="0.25">
      <c r="A252" s="1" t="s">
        <v>337</v>
      </c>
      <c r="B252" s="1" t="s">
        <v>339</v>
      </c>
      <c r="C252" s="2">
        <v>127</v>
      </c>
      <c r="D252" s="2">
        <v>168</v>
      </c>
      <c r="E252" s="1" t="s">
        <v>236</v>
      </c>
      <c r="G252">
        <v>0</v>
      </c>
      <c r="H252">
        <v>0</v>
      </c>
      <c r="I252">
        <v>0</v>
      </c>
      <c r="J252">
        <v>0</v>
      </c>
      <c r="K252">
        <v>0</v>
      </c>
      <c r="L252">
        <v>0</v>
      </c>
      <c r="M252">
        <v>0</v>
      </c>
      <c r="N252">
        <v>0</v>
      </c>
      <c r="O252">
        <v>0</v>
      </c>
      <c r="P252">
        <v>0</v>
      </c>
      <c r="Q252" t="str">
        <f>INDEX('Partner data'!A:DH,MATCH(C252,'Partner data'!DG:DG,0),83)</f>
        <v>Soggetto privato</v>
      </c>
      <c r="R252" t="b">
        <f>IF(E252="staff",IF(INDEX('Partner data'!A:DH,MATCH(C252,'Partner data'!DG:DG,0),112)="BL1 non presente","FALSO",INDEX('Partner data'!A:DH,MATCH(C252,'Partner data'!DG:DG,0),112)))</f>
        <v>0</v>
      </c>
      <c r="S252" t="b">
        <f t="shared" si="6"/>
        <v>0</v>
      </c>
      <c r="T252" t="b">
        <f t="shared" si="7"/>
        <v>0</v>
      </c>
      <c r="U252" s="154">
        <f>IFERROR(IF(R252&lt;&gt;FALSE,IF(S252=TRUE,INDEX('SummaryNOT_VALIDATED-BL'!$A$1:$F$16,MATCH(R252,'SummaryNOT_VALIDATED-BL'!$A$1:$A$16,0),6),0),IF(S252=TRUE,INDEX('SummaryNOT_VALIDATED-BL'!$A$1:$F$16,MATCH(E252,'SummaryNOT_VALIDATED-BL'!$A$1:$A$16,0),6),0)),0)</f>
        <v>0</v>
      </c>
      <c r="V252" s="81" cm="1">
        <f t="array" ref="V252">INDEX('Weight tables'!$A$24:$C$27,MATCH(1,(RendicontiTrasmessiBL__2[[#This Row],[Cut percentage on real costs + USC]]&gt;='Weight tables'!$B$24:$B$27)*(RendicontiTrasmessiBL__2[[#This Row],[Cut percentage on real costs + USC]]&lt;='Weight tables'!$C$24:$C$27),0),1)</f>
        <v>0</v>
      </c>
      <c r="W252" s="2">
        <f>RendicontiTrasmessiBL__2[[#This Row],[Weight real costs  + USC ]]</f>
        <v>0</v>
      </c>
    </row>
    <row r="253" spans="1:23" x14ac:dyDescent="0.25">
      <c r="A253" s="1" t="s">
        <v>337</v>
      </c>
      <c r="B253" s="1" t="s">
        <v>339</v>
      </c>
      <c r="C253" s="2">
        <v>127</v>
      </c>
      <c r="D253" s="2">
        <v>168</v>
      </c>
      <c r="E253" s="1" t="s">
        <v>237</v>
      </c>
      <c r="G253">
        <v>0</v>
      </c>
      <c r="H253">
        <v>0</v>
      </c>
      <c r="I253">
        <v>0</v>
      </c>
      <c r="J253">
        <v>0</v>
      </c>
      <c r="K253">
        <v>0</v>
      </c>
      <c r="L253">
        <v>0</v>
      </c>
      <c r="M253">
        <v>0</v>
      </c>
      <c r="N253">
        <v>0</v>
      </c>
      <c r="O253">
        <v>0</v>
      </c>
      <c r="P253">
        <v>0</v>
      </c>
      <c r="Q253" t="str">
        <f>INDEX('Partner data'!A:DH,MATCH(C253,'Partner data'!DG:DG,0),83)</f>
        <v>Soggetto privato</v>
      </c>
      <c r="R253" t="b">
        <f>IF(E253="staff",IF(INDEX('Partner data'!A:DH,MATCH(C253,'Partner data'!DG:DG,0),112)="BL1 non presente","FALSO",INDEX('Partner data'!A:DH,MATCH(C253,'Partner data'!DG:DG,0),112)))</f>
        <v>0</v>
      </c>
      <c r="S253" t="b">
        <f t="shared" si="6"/>
        <v>0</v>
      </c>
      <c r="T253" t="b">
        <f t="shared" si="7"/>
        <v>0</v>
      </c>
      <c r="U253" s="154">
        <f>IFERROR(IF(R253&lt;&gt;FALSE,IF(S253=TRUE,INDEX('SummaryNOT_VALIDATED-BL'!$A$1:$F$16,MATCH(R253,'SummaryNOT_VALIDATED-BL'!$A$1:$A$16,0),6),0),IF(S253=TRUE,INDEX('SummaryNOT_VALIDATED-BL'!$A$1:$F$16,MATCH(E253,'SummaryNOT_VALIDATED-BL'!$A$1:$A$16,0),6),0)),0)</f>
        <v>0</v>
      </c>
      <c r="V253" s="81" cm="1">
        <f t="array" ref="V253">INDEX('Weight tables'!$A$24:$C$27,MATCH(1,(RendicontiTrasmessiBL__2[[#This Row],[Cut percentage on real costs + USC]]&gt;='Weight tables'!$B$24:$B$27)*(RendicontiTrasmessiBL__2[[#This Row],[Cut percentage on real costs + USC]]&lt;='Weight tables'!$C$24:$C$27),0),1)</f>
        <v>0</v>
      </c>
      <c r="W253" s="2">
        <f>RendicontiTrasmessiBL__2[[#This Row],[Weight real costs  + USC ]]</f>
        <v>0</v>
      </c>
    </row>
    <row r="254" spans="1:23" x14ac:dyDescent="0.25">
      <c r="A254" s="1" t="s">
        <v>337</v>
      </c>
      <c r="B254" s="1" t="s">
        <v>307</v>
      </c>
      <c r="C254" s="2">
        <v>125</v>
      </c>
      <c r="D254" s="2">
        <v>232</v>
      </c>
      <c r="E254" s="1" t="s">
        <v>228</v>
      </c>
      <c r="G254">
        <v>83040</v>
      </c>
      <c r="H254">
        <v>0</v>
      </c>
      <c r="I254">
        <v>0</v>
      </c>
      <c r="J254">
        <v>16503</v>
      </c>
      <c r="K254">
        <v>0</v>
      </c>
      <c r="L254">
        <v>16476</v>
      </c>
      <c r="M254">
        <v>16503</v>
      </c>
      <c r="N254">
        <v>19.87</v>
      </c>
      <c r="O254">
        <v>66537</v>
      </c>
      <c r="P254">
        <v>0</v>
      </c>
      <c r="Q254" t="str">
        <f>INDEX('Partner data'!A:DH,MATCH(C254,'Partner data'!DG:DG,0),83)</f>
        <v>Soggetto privato</v>
      </c>
      <c r="R254" t="str">
        <f>IF(E254="staff",IF(INDEX('Partner data'!A:DH,MATCH(C254,'Partner data'!DG:DG,0),112)="BL1 non presente","FALSO",INDEX('Partner data'!A:DH,MATCH(C254,'Partner data'!DG:DG,0),112)))</f>
        <v>Costo Unitario Standard</v>
      </c>
      <c r="S254" t="b">
        <f t="shared" si="6"/>
        <v>1</v>
      </c>
      <c r="T254" t="b">
        <f t="shared" si="7"/>
        <v>0</v>
      </c>
      <c r="U254" s="154">
        <f>IFERROR(IF(R254&lt;&gt;FALSE,IF(S254=TRUE,INDEX('SummaryNOT_VALIDATED-BL'!$A$1:$F$16,MATCH(R254,'SummaryNOT_VALIDATED-BL'!$A$1:$A$16,0),6),0),IF(S254=TRUE,INDEX('SummaryNOT_VALIDATED-BL'!$A$1:$F$16,MATCH(E254,'SummaryNOT_VALIDATED-BL'!$A$1:$A$16,0),6),0)),0)</f>
        <v>3.2052879635441428E-2</v>
      </c>
      <c r="V254" s="81" cm="1">
        <f t="array" ref="V254">INDEX('Weight tables'!$A$24:$C$27,MATCH(1,(RendicontiTrasmessiBL__2[[#This Row],[Cut percentage on real costs + USC]]&gt;='Weight tables'!$B$24:$B$27)*(RendicontiTrasmessiBL__2[[#This Row],[Cut percentage on real costs + USC]]&lt;='Weight tables'!$C$24:$C$27),0),1)</f>
        <v>2</v>
      </c>
      <c r="W254" s="2">
        <f>RendicontiTrasmessiBL__2[[#This Row],[Weight real costs  + USC ]]</f>
        <v>2</v>
      </c>
    </row>
    <row r="255" spans="1:23" x14ac:dyDescent="0.25">
      <c r="A255" s="1" t="s">
        <v>337</v>
      </c>
      <c r="B255" s="1" t="s">
        <v>307</v>
      </c>
      <c r="C255" s="2">
        <v>125</v>
      </c>
      <c r="D255" s="2">
        <v>232</v>
      </c>
      <c r="E255" s="1" t="s">
        <v>229</v>
      </c>
      <c r="G255">
        <v>0</v>
      </c>
      <c r="H255">
        <v>0</v>
      </c>
      <c r="I255">
        <v>0</v>
      </c>
      <c r="J255">
        <v>0</v>
      </c>
      <c r="K255">
        <v>0</v>
      </c>
      <c r="L255">
        <v>0</v>
      </c>
      <c r="M255">
        <v>0</v>
      </c>
      <c r="N255">
        <v>0</v>
      </c>
      <c r="O255">
        <v>0</v>
      </c>
      <c r="P255">
        <v>0</v>
      </c>
      <c r="Q255" t="str">
        <f>INDEX('Partner data'!A:DH,MATCH(C255,'Partner data'!DG:DG,0),83)</f>
        <v>Soggetto privato</v>
      </c>
      <c r="R255" t="b">
        <f>IF(E255="staff",IF(INDEX('Partner data'!A:DH,MATCH(C255,'Partner data'!DG:DG,0),112)="BL1 non presente","FALSO",INDEX('Partner data'!A:DH,MATCH(C255,'Partner data'!DG:DG,0),112)))</f>
        <v>0</v>
      </c>
      <c r="S255" t="b">
        <f t="shared" si="6"/>
        <v>0</v>
      </c>
      <c r="T255" t="b">
        <f t="shared" si="7"/>
        <v>0</v>
      </c>
      <c r="U255" s="154">
        <f>IFERROR(IF(R255&lt;&gt;FALSE,IF(S255=TRUE,INDEX('SummaryNOT_VALIDATED-BL'!$A$1:$F$16,MATCH(R255,'SummaryNOT_VALIDATED-BL'!$A$1:$A$16,0),6),0),IF(S255=TRUE,INDEX('SummaryNOT_VALIDATED-BL'!$A$1:$F$16,MATCH(E255,'SummaryNOT_VALIDATED-BL'!$A$1:$A$16,0),6),0)),0)</f>
        <v>0</v>
      </c>
      <c r="V255" s="81" cm="1">
        <f t="array" ref="V255">INDEX('Weight tables'!$A$24:$C$27,MATCH(1,(RendicontiTrasmessiBL__2[[#This Row],[Cut percentage on real costs + USC]]&gt;='Weight tables'!$B$24:$B$27)*(RendicontiTrasmessiBL__2[[#This Row],[Cut percentage on real costs + USC]]&lt;='Weight tables'!$C$24:$C$27),0),1)</f>
        <v>0</v>
      </c>
      <c r="W255" s="2">
        <f>RendicontiTrasmessiBL__2[[#This Row],[Weight real costs  + USC ]]</f>
        <v>0</v>
      </c>
    </row>
    <row r="256" spans="1:23" x14ac:dyDescent="0.25">
      <c r="A256" s="1" t="s">
        <v>337</v>
      </c>
      <c r="B256" s="1" t="s">
        <v>307</v>
      </c>
      <c r="C256" s="2">
        <v>125</v>
      </c>
      <c r="D256" s="2">
        <v>232</v>
      </c>
      <c r="E256" s="1" t="s">
        <v>230</v>
      </c>
      <c r="G256">
        <v>0</v>
      </c>
      <c r="H256">
        <v>0</v>
      </c>
      <c r="I256">
        <v>0</v>
      </c>
      <c r="J256">
        <v>0</v>
      </c>
      <c r="K256">
        <v>0</v>
      </c>
      <c r="L256">
        <v>0</v>
      </c>
      <c r="M256">
        <v>0</v>
      </c>
      <c r="N256">
        <v>0</v>
      </c>
      <c r="O256">
        <v>0</v>
      </c>
      <c r="P256">
        <v>0</v>
      </c>
      <c r="Q256" t="str">
        <f>INDEX('Partner data'!A:DH,MATCH(C256,'Partner data'!DG:DG,0),83)</f>
        <v>Soggetto privato</v>
      </c>
      <c r="R256" t="b">
        <f>IF(E256="staff",IF(INDEX('Partner data'!A:DH,MATCH(C256,'Partner data'!DG:DG,0),112)="BL1 non presente","FALSO",INDEX('Partner data'!A:DH,MATCH(C256,'Partner data'!DG:DG,0),112)))</f>
        <v>0</v>
      </c>
      <c r="S256" t="b">
        <f t="shared" si="6"/>
        <v>0</v>
      </c>
      <c r="T256" t="b">
        <f t="shared" si="7"/>
        <v>0</v>
      </c>
      <c r="U256" s="154">
        <f>IFERROR(IF(R256&lt;&gt;FALSE,IF(S256=TRUE,INDEX('SummaryNOT_VALIDATED-BL'!$A$1:$F$16,MATCH(R256,'SummaryNOT_VALIDATED-BL'!$A$1:$A$16,0),6),0),IF(S256=TRUE,INDEX('SummaryNOT_VALIDATED-BL'!$A$1:$F$16,MATCH(E256,'SummaryNOT_VALIDATED-BL'!$A$1:$A$16,0),6),0)),0)</f>
        <v>0</v>
      </c>
      <c r="V256" s="81" cm="1">
        <f t="array" ref="V256">INDEX('Weight tables'!$A$24:$C$27,MATCH(1,(RendicontiTrasmessiBL__2[[#This Row],[Cut percentage on real costs + USC]]&gt;='Weight tables'!$B$24:$B$27)*(RendicontiTrasmessiBL__2[[#This Row],[Cut percentage on real costs + USC]]&lt;='Weight tables'!$C$24:$C$27),0),1)</f>
        <v>0</v>
      </c>
      <c r="W256" s="2">
        <f>RendicontiTrasmessiBL__2[[#This Row],[Weight real costs  + USC ]]</f>
        <v>0</v>
      </c>
    </row>
    <row r="257" spans="1:23" x14ac:dyDescent="0.25">
      <c r="A257" s="1" t="s">
        <v>337</v>
      </c>
      <c r="B257" s="1" t="s">
        <v>307</v>
      </c>
      <c r="C257" s="2">
        <v>125</v>
      </c>
      <c r="D257" s="2">
        <v>232</v>
      </c>
      <c r="E257" s="1" t="s">
        <v>231</v>
      </c>
      <c r="G257">
        <v>0</v>
      </c>
      <c r="H257">
        <v>0</v>
      </c>
      <c r="I257">
        <v>0</v>
      </c>
      <c r="J257">
        <v>0</v>
      </c>
      <c r="K257">
        <v>0</v>
      </c>
      <c r="L257">
        <v>0</v>
      </c>
      <c r="M257">
        <v>0</v>
      </c>
      <c r="N257">
        <v>0</v>
      </c>
      <c r="O257">
        <v>0</v>
      </c>
      <c r="P257">
        <v>0</v>
      </c>
      <c r="Q257" t="str">
        <f>INDEX('Partner data'!A:DH,MATCH(C257,'Partner data'!DG:DG,0),83)</f>
        <v>Soggetto privato</v>
      </c>
      <c r="R257" t="b">
        <f>IF(E257="staff",IF(INDEX('Partner data'!A:DH,MATCH(C257,'Partner data'!DG:DG,0),112)="BL1 non presente","FALSO",INDEX('Partner data'!A:DH,MATCH(C257,'Partner data'!DG:DG,0),112)))</f>
        <v>0</v>
      </c>
      <c r="S257" t="b">
        <f t="shared" si="6"/>
        <v>0</v>
      </c>
      <c r="T257" t="b">
        <f t="shared" si="7"/>
        <v>0</v>
      </c>
      <c r="U257" s="154">
        <f>IFERROR(IF(R257&lt;&gt;FALSE,IF(S257=TRUE,INDEX('SummaryNOT_VALIDATED-BL'!$A$1:$F$16,MATCH(R257,'SummaryNOT_VALIDATED-BL'!$A$1:$A$16,0),6),0),IF(S257=TRUE,INDEX('SummaryNOT_VALIDATED-BL'!$A$1:$F$16,MATCH(E257,'SummaryNOT_VALIDATED-BL'!$A$1:$A$16,0),6),0)),0)</f>
        <v>0</v>
      </c>
      <c r="V257" s="81" cm="1">
        <f t="array" ref="V257">INDEX('Weight tables'!$A$24:$C$27,MATCH(1,(RendicontiTrasmessiBL__2[[#This Row],[Cut percentage on real costs + USC]]&gt;='Weight tables'!$B$24:$B$27)*(RendicontiTrasmessiBL__2[[#This Row],[Cut percentage on real costs + USC]]&lt;='Weight tables'!$C$24:$C$27),0),1)</f>
        <v>0</v>
      </c>
      <c r="W257" s="2">
        <f>RendicontiTrasmessiBL__2[[#This Row],[Weight real costs  + USC ]]</f>
        <v>0</v>
      </c>
    </row>
    <row r="258" spans="1:23" x14ac:dyDescent="0.25">
      <c r="A258" s="1" t="s">
        <v>337</v>
      </c>
      <c r="B258" s="1" t="s">
        <v>307</v>
      </c>
      <c r="C258" s="2">
        <v>125</v>
      </c>
      <c r="D258" s="2">
        <v>232</v>
      </c>
      <c r="E258" s="1" t="s">
        <v>232</v>
      </c>
      <c r="G258">
        <v>0</v>
      </c>
      <c r="H258">
        <v>0</v>
      </c>
      <c r="I258">
        <v>0</v>
      </c>
      <c r="J258">
        <v>0</v>
      </c>
      <c r="K258">
        <v>0</v>
      </c>
      <c r="L258">
        <v>0</v>
      </c>
      <c r="M258">
        <v>0</v>
      </c>
      <c r="N258">
        <v>0</v>
      </c>
      <c r="O258">
        <v>0</v>
      </c>
      <c r="P258">
        <v>0</v>
      </c>
      <c r="Q258" t="str">
        <f>INDEX('Partner data'!A:DH,MATCH(C258,'Partner data'!DG:DG,0),83)</f>
        <v>Soggetto privato</v>
      </c>
      <c r="R258" t="b">
        <f>IF(E258="staff",IF(INDEX('Partner data'!A:DH,MATCH(C258,'Partner data'!DG:DG,0),112)="BL1 non presente","FALSO",INDEX('Partner data'!A:DH,MATCH(C258,'Partner data'!DG:DG,0),112)))</f>
        <v>0</v>
      </c>
      <c r="S258" t="b">
        <f t="shared" ref="S258:S321" si="8">IF(J258&lt;&gt;0,TRUE,FALSE)</f>
        <v>0</v>
      </c>
      <c r="T258" t="b">
        <f t="shared" ref="T258:T321" si="9">OR(Q258="Soggetto pubblico",Q258="Organismo di diritto pubblico ")</f>
        <v>0</v>
      </c>
      <c r="U258" s="154">
        <f>IFERROR(IF(R258&lt;&gt;FALSE,IF(S258=TRUE,INDEX('SummaryNOT_VALIDATED-BL'!$A$1:$F$16,MATCH(R258,'SummaryNOT_VALIDATED-BL'!$A$1:$A$16,0),6),0),IF(S258=TRUE,INDEX('SummaryNOT_VALIDATED-BL'!$A$1:$F$16,MATCH(E258,'SummaryNOT_VALIDATED-BL'!$A$1:$A$16,0),6),0)),0)</f>
        <v>0</v>
      </c>
      <c r="V258" s="81" cm="1">
        <f t="array" ref="V258">INDEX('Weight tables'!$A$24:$C$27,MATCH(1,(RendicontiTrasmessiBL__2[[#This Row],[Cut percentage on real costs + USC]]&gt;='Weight tables'!$B$24:$B$27)*(RendicontiTrasmessiBL__2[[#This Row],[Cut percentage on real costs + USC]]&lt;='Weight tables'!$C$24:$C$27),0),1)</f>
        <v>0</v>
      </c>
      <c r="W258" s="2">
        <f>RendicontiTrasmessiBL__2[[#This Row],[Weight real costs  + USC ]]</f>
        <v>0</v>
      </c>
    </row>
    <row r="259" spans="1:23" x14ac:dyDescent="0.25">
      <c r="A259" s="1" t="s">
        <v>337</v>
      </c>
      <c r="B259" s="1" t="s">
        <v>307</v>
      </c>
      <c r="C259" s="2">
        <v>125</v>
      </c>
      <c r="D259" s="2">
        <v>232</v>
      </c>
      <c r="E259" s="1" t="s">
        <v>233</v>
      </c>
      <c r="G259">
        <v>0</v>
      </c>
      <c r="H259">
        <v>0</v>
      </c>
      <c r="I259">
        <v>0</v>
      </c>
      <c r="J259">
        <v>0</v>
      </c>
      <c r="K259">
        <v>0</v>
      </c>
      <c r="L259">
        <v>0</v>
      </c>
      <c r="M259">
        <v>0</v>
      </c>
      <c r="N259">
        <v>0</v>
      </c>
      <c r="O259">
        <v>0</v>
      </c>
      <c r="P259">
        <v>0</v>
      </c>
      <c r="Q259" t="str">
        <f>INDEX('Partner data'!A:DH,MATCH(C259,'Partner data'!DG:DG,0),83)</f>
        <v>Soggetto privato</v>
      </c>
      <c r="R259" t="b">
        <f>IF(E259="staff",IF(INDEX('Partner data'!A:DH,MATCH(C259,'Partner data'!DG:DG,0),112)="BL1 non presente","FALSO",INDEX('Partner data'!A:DH,MATCH(C259,'Partner data'!DG:DG,0),112)))</f>
        <v>0</v>
      </c>
      <c r="S259" t="b">
        <f t="shared" si="8"/>
        <v>0</v>
      </c>
      <c r="T259" t="b">
        <f t="shared" si="9"/>
        <v>0</v>
      </c>
      <c r="U259" s="154">
        <f>IFERROR(IF(R259&lt;&gt;FALSE,IF(S259=TRUE,INDEX('SummaryNOT_VALIDATED-BL'!$A$1:$F$16,MATCH(R259,'SummaryNOT_VALIDATED-BL'!$A$1:$A$16,0),6),0),IF(S259=TRUE,INDEX('SummaryNOT_VALIDATED-BL'!$A$1:$F$16,MATCH(E259,'SummaryNOT_VALIDATED-BL'!$A$1:$A$16,0),6),0)),0)</f>
        <v>0</v>
      </c>
      <c r="V259" s="81" cm="1">
        <f t="array" ref="V259">INDEX('Weight tables'!$A$24:$C$27,MATCH(1,(RendicontiTrasmessiBL__2[[#This Row],[Cut percentage on real costs + USC]]&gt;='Weight tables'!$B$24:$B$27)*(RendicontiTrasmessiBL__2[[#This Row],[Cut percentage on real costs + USC]]&lt;='Weight tables'!$C$24:$C$27),0),1)</f>
        <v>0</v>
      </c>
      <c r="W259" s="2">
        <f>RendicontiTrasmessiBL__2[[#This Row],[Weight real costs  + USC ]]</f>
        <v>0</v>
      </c>
    </row>
    <row r="260" spans="1:23" x14ac:dyDescent="0.25">
      <c r="A260" s="1" t="s">
        <v>337</v>
      </c>
      <c r="B260" s="1" t="s">
        <v>307</v>
      </c>
      <c r="C260" s="2">
        <v>125</v>
      </c>
      <c r="D260" s="2">
        <v>232</v>
      </c>
      <c r="E260" s="1" t="s">
        <v>234</v>
      </c>
      <c r="F260">
        <v>40</v>
      </c>
      <c r="G260">
        <v>33216</v>
      </c>
      <c r="H260">
        <v>0</v>
      </c>
      <c r="I260">
        <v>0</v>
      </c>
      <c r="J260">
        <v>6601.2</v>
      </c>
      <c r="K260">
        <v>0</v>
      </c>
      <c r="L260">
        <v>6590.4</v>
      </c>
      <c r="M260">
        <v>6601.2</v>
      </c>
      <c r="N260">
        <v>19.87</v>
      </c>
      <c r="O260">
        <v>26614.799999999999</v>
      </c>
      <c r="P260">
        <v>0</v>
      </c>
      <c r="Q260" t="str">
        <f>INDEX('Partner data'!A:DH,MATCH(C260,'Partner data'!DG:DG,0),83)</f>
        <v>Soggetto privato</v>
      </c>
      <c r="R260" t="b">
        <f>IF(E260="staff",IF(INDEX('Partner data'!A:DH,MATCH(C260,'Partner data'!DG:DG,0),112)="BL1 non presente","FALSO",INDEX('Partner data'!A:DH,MATCH(C260,'Partner data'!DG:DG,0),112)))</f>
        <v>0</v>
      </c>
      <c r="S260" t="b">
        <f t="shared" si="8"/>
        <v>1</v>
      </c>
      <c r="T260" t="b">
        <f t="shared" si="9"/>
        <v>0</v>
      </c>
      <c r="U260" s="154">
        <f>IFERROR(IF(R260&lt;&gt;FALSE,IF(S260=TRUE,INDEX('SummaryNOT_VALIDATED-BL'!$A$1:$F$16,MATCH(R260,'SummaryNOT_VALIDATED-BL'!$A$1:$A$16,0),6),0),IF(S260=TRUE,INDEX('SummaryNOT_VALIDATED-BL'!$A$1:$F$16,MATCH(E260,'SummaryNOT_VALIDATED-BL'!$A$1:$A$16,0),6),0)),0)</f>
        <v>8.7645339819521315E-2</v>
      </c>
      <c r="V260" s="81" cm="1">
        <f t="array" ref="V260">INDEX('Weight tables'!$A$24:$C$27,MATCH(1,(RendicontiTrasmessiBL__2[[#This Row],[Cut percentage on real costs + USC]]&gt;='Weight tables'!$B$24:$B$27)*(RendicontiTrasmessiBL__2[[#This Row],[Cut percentage on real costs + USC]]&lt;='Weight tables'!$C$24:$C$27),0),1)</f>
        <v>4</v>
      </c>
      <c r="W260" s="2">
        <f>RendicontiTrasmessiBL__2[[#This Row],[Weight real costs  + USC ]]</f>
        <v>4</v>
      </c>
    </row>
    <row r="261" spans="1:23" x14ac:dyDescent="0.25">
      <c r="A261" s="1" t="s">
        <v>337</v>
      </c>
      <c r="B261" s="1" t="s">
        <v>307</v>
      </c>
      <c r="C261" s="2">
        <v>125</v>
      </c>
      <c r="D261" s="2">
        <v>232</v>
      </c>
      <c r="E261" s="1" t="s">
        <v>236</v>
      </c>
      <c r="G261">
        <v>0</v>
      </c>
      <c r="H261">
        <v>0</v>
      </c>
      <c r="I261">
        <v>0</v>
      </c>
      <c r="J261">
        <v>0</v>
      </c>
      <c r="K261">
        <v>0</v>
      </c>
      <c r="L261">
        <v>0</v>
      </c>
      <c r="M261">
        <v>0</v>
      </c>
      <c r="N261">
        <v>0</v>
      </c>
      <c r="O261">
        <v>0</v>
      </c>
      <c r="P261">
        <v>0</v>
      </c>
      <c r="Q261" t="str">
        <f>INDEX('Partner data'!A:DH,MATCH(C261,'Partner data'!DG:DG,0),83)</f>
        <v>Soggetto privato</v>
      </c>
      <c r="R261" t="b">
        <f>IF(E261="staff",IF(INDEX('Partner data'!A:DH,MATCH(C261,'Partner data'!DG:DG,0),112)="BL1 non presente","FALSO",INDEX('Partner data'!A:DH,MATCH(C261,'Partner data'!DG:DG,0),112)))</f>
        <v>0</v>
      </c>
      <c r="S261" t="b">
        <f t="shared" si="8"/>
        <v>0</v>
      </c>
      <c r="T261" t="b">
        <f t="shared" si="9"/>
        <v>0</v>
      </c>
      <c r="U261" s="154">
        <f>IFERROR(IF(R261&lt;&gt;FALSE,IF(S261=TRUE,INDEX('SummaryNOT_VALIDATED-BL'!$A$1:$F$16,MATCH(R261,'SummaryNOT_VALIDATED-BL'!$A$1:$A$16,0),6),0),IF(S261=TRUE,INDEX('SummaryNOT_VALIDATED-BL'!$A$1:$F$16,MATCH(E261,'SummaryNOT_VALIDATED-BL'!$A$1:$A$16,0),6),0)),0)</f>
        <v>0</v>
      </c>
      <c r="V261" s="81" cm="1">
        <f t="array" ref="V261">INDEX('Weight tables'!$A$24:$C$27,MATCH(1,(RendicontiTrasmessiBL__2[[#This Row],[Cut percentage on real costs + USC]]&gt;='Weight tables'!$B$24:$B$27)*(RendicontiTrasmessiBL__2[[#This Row],[Cut percentage on real costs + USC]]&lt;='Weight tables'!$C$24:$C$27),0),1)</f>
        <v>0</v>
      </c>
      <c r="W261" s="2">
        <f>RendicontiTrasmessiBL__2[[#This Row],[Weight real costs  + USC ]]</f>
        <v>0</v>
      </c>
    </row>
    <row r="262" spans="1:23" x14ac:dyDescent="0.25">
      <c r="A262" s="1" t="s">
        <v>337</v>
      </c>
      <c r="B262" s="1" t="s">
        <v>307</v>
      </c>
      <c r="C262" s="2">
        <v>125</v>
      </c>
      <c r="D262" s="2">
        <v>232</v>
      </c>
      <c r="E262" s="1" t="s">
        <v>237</v>
      </c>
      <c r="G262">
        <v>0</v>
      </c>
      <c r="H262">
        <v>0</v>
      </c>
      <c r="I262">
        <v>0</v>
      </c>
      <c r="J262">
        <v>0</v>
      </c>
      <c r="K262">
        <v>0</v>
      </c>
      <c r="L262">
        <v>0</v>
      </c>
      <c r="M262">
        <v>0</v>
      </c>
      <c r="N262">
        <v>0</v>
      </c>
      <c r="O262">
        <v>0</v>
      </c>
      <c r="P262">
        <v>0</v>
      </c>
      <c r="Q262" t="str">
        <f>INDEX('Partner data'!A:DH,MATCH(C262,'Partner data'!DG:DG,0),83)</f>
        <v>Soggetto privato</v>
      </c>
      <c r="R262" t="b">
        <f>IF(E262="staff",IF(INDEX('Partner data'!A:DH,MATCH(C262,'Partner data'!DG:DG,0),112)="BL1 non presente","FALSO",INDEX('Partner data'!A:DH,MATCH(C262,'Partner data'!DG:DG,0),112)))</f>
        <v>0</v>
      </c>
      <c r="S262" t="b">
        <f t="shared" si="8"/>
        <v>0</v>
      </c>
      <c r="T262" t="b">
        <f t="shared" si="9"/>
        <v>0</v>
      </c>
      <c r="U262" s="154">
        <f>IFERROR(IF(R262&lt;&gt;FALSE,IF(S262=TRUE,INDEX('SummaryNOT_VALIDATED-BL'!$A$1:$F$16,MATCH(R262,'SummaryNOT_VALIDATED-BL'!$A$1:$A$16,0),6),0),IF(S262=TRUE,INDEX('SummaryNOT_VALIDATED-BL'!$A$1:$F$16,MATCH(E262,'SummaryNOT_VALIDATED-BL'!$A$1:$A$16,0),6),0)),0)</f>
        <v>0</v>
      </c>
      <c r="V262" s="81" cm="1">
        <f t="array" ref="V262">INDEX('Weight tables'!$A$24:$C$27,MATCH(1,(RendicontiTrasmessiBL__2[[#This Row],[Cut percentage on real costs + USC]]&gt;='Weight tables'!$B$24:$B$27)*(RendicontiTrasmessiBL__2[[#This Row],[Cut percentage on real costs + USC]]&lt;='Weight tables'!$C$24:$C$27),0),1)</f>
        <v>0</v>
      </c>
      <c r="W262" s="2">
        <f>RendicontiTrasmessiBL__2[[#This Row],[Weight real costs  + USC ]]</f>
        <v>0</v>
      </c>
    </row>
    <row r="263" spans="1:23" x14ac:dyDescent="0.25">
      <c r="A263" s="1" t="s">
        <v>337</v>
      </c>
      <c r="B263" s="1" t="s">
        <v>340</v>
      </c>
      <c r="C263" s="2">
        <v>123</v>
      </c>
      <c r="D263" s="2">
        <v>141</v>
      </c>
      <c r="E263" s="1" t="s">
        <v>228</v>
      </c>
      <c r="G263">
        <v>92750</v>
      </c>
      <c r="H263">
        <v>0</v>
      </c>
      <c r="I263">
        <v>0</v>
      </c>
      <c r="J263">
        <v>1953.58</v>
      </c>
      <c r="K263">
        <v>0</v>
      </c>
      <c r="L263">
        <v>0</v>
      </c>
      <c r="M263">
        <v>1953.58</v>
      </c>
      <c r="N263">
        <v>2.11</v>
      </c>
      <c r="O263">
        <v>90796.42</v>
      </c>
      <c r="P263">
        <v>0</v>
      </c>
      <c r="Q263" t="str">
        <f>INDEX('Partner data'!A:DH,MATCH(C263,'Partner data'!DG:DG,0),83)</f>
        <v>Soggetto pubblico</v>
      </c>
      <c r="R263" t="str">
        <f>IF(E263="staff",IF(INDEX('Partner data'!A:DH,MATCH(C263,'Partner data'!DG:DG,0),112)="BL1 non presente","FALSO",INDEX('Partner data'!A:DH,MATCH(C263,'Partner data'!DG:DG,0),112)))</f>
        <v>COSTO REALE</v>
      </c>
      <c r="S263" t="b">
        <f t="shared" si="8"/>
        <v>1</v>
      </c>
      <c r="T263" t="b">
        <f t="shared" si="9"/>
        <v>1</v>
      </c>
      <c r="U263" s="154">
        <f>IFERROR(IF(R263&lt;&gt;FALSE,IF(S263=TRUE,INDEX('SummaryNOT_VALIDATED-BL'!$A$1:$F$16,MATCH(R263,'SummaryNOT_VALIDATED-BL'!$A$1:$A$16,0),6),0),IF(S263=TRUE,INDEX('SummaryNOT_VALIDATED-BL'!$A$1:$F$16,MATCH(E263,'SummaryNOT_VALIDATED-BL'!$A$1:$A$16,0),6),0)),0)</f>
        <v>9.1604133276901048E-2</v>
      </c>
      <c r="V263" s="81" cm="1">
        <f t="array" ref="V263">INDEX('Weight tables'!$A$24:$C$27,MATCH(1,(RendicontiTrasmessiBL__2[[#This Row],[Cut percentage on real costs + USC]]&gt;='Weight tables'!$B$24:$B$27)*(RendicontiTrasmessiBL__2[[#This Row],[Cut percentage on real costs + USC]]&lt;='Weight tables'!$C$24:$C$27),0),1)</f>
        <v>4</v>
      </c>
      <c r="W263" s="2">
        <f>RendicontiTrasmessiBL__2[[#This Row],[Weight real costs  + USC ]]</f>
        <v>4</v>
      </c>
    </row>
    <row r="264" spans="1:23" x14ac:dyDescent="0.25">
      <c r="A264" s="1" t="s">
        <v>337</v>
      </c>
      <c r="B264" s="1" t="s">
        <v>340</v>
      </c>
      <c r="C264" s="2">
        <v>123</v>
      </c>
      <c r="D264" s="2">
        <v>141</v>
      </c>
      <c r="E264" s="1" t="s">
        <v>229</v>
      </c>
      <c r="G264">
        <v>0</v>
      </c>
      <c r="H264">
        <v>0</v>
      </c>
      <c r="I264">
        <v>0</v>
      </c>
      <c r="J264">
        <v>0</v>
      </c>
      <c r="K264">
        <v>0</v>
      </c>
      <c r="L264">
        <v>0</v>
      </c>
      <c r="M264">
        <v>0</v>
      </c>
      <c r="N264">
        <v>0</v>
      </c>
      <c r="O264">
        <v>0</v>
      </c>
      <c r="P264">
        <v>0</v>
      </c>
      <c r="Q264" t="str">
        <f>INDEX('Partner data'!A:DH,MATCH(C264,'Partner data'!DG:DG,0),83)</f>
        <v>Soggetto pubblico</v>
      </c>
      <c r="R264" t="b">
        <f>IF(E264="staff",IF(INDEX('Partner data'!A:DH,MATCH(C264,'Partner data'!DG:DG,0),112)="BL1 non presente","FALSO",INDEX('Partner data'!A:DH,MATCH(C264,'Partner data'!DG:DG,0),112)))</f>
        <v>0</v>
      </c>
      <c r="S264" t="b">
        <f t="shared" si="8"/>
        <v>0</v>
      </c>
      <c r="T264" t="b">
        <f t="shared" si="9"/>
        <v>1</v>
      </c>
      <c r="U264" s="154">
        <f>IFERROR(IF(R264&lt;&gt;FALSE,IF(S264=TRUE,INDEX('SummaryNOT_VALIDATED-BL'!$A$1:$F$16,MATCH(R264,'SummaryNOT_VALIDATED-BL'!$A$1:$A$16,0),6),0),IF(S264=TRUE,INDEX('SummaryNOT_VALIDATED-BL'!$A$1:$F$16,MATCH(E264,'SummaryNOT_VALIDATED-BL'!$A$1:$A$16,0),6),0)),0)</f>
        <v>0</v>
      </c>
      <c r="V264" s="81" cm="1">
        <f t="array" ref="V264">INDEX('Weight tables'!$A$24:$C$27,MATCH(1,(RendicontiTrasmessiBL__2[[#This Row],[Cut percentage on real costs + USC]]&gt;='Weight tables'!$B$24:$B$27)*(RendicontiTrasmessiBL__2[[#This Row],[Cut percentage on real costs + USC]]&lt;='Weight tables'!$C$24:$C$27),0),1)</f>
        <v>0</v>
      </c>
      <c r="W264" s="2">
        <f>RendicontiTrasmessiBL__2[[#This Row],[Weight real costs  + USC ]]</f>
        <v>0</v>
      </c>
    </row>
    <row r="265" spans="1:23" x14ac:dyDescent="0.25">
      <c r="A265" s="1" t="s">
        <v>337</v>
      </c>
      <c r="B265" s="1" t="s">
        <v>340</v>
      </c>
      <c r="C265" s="2">
        <v>123</v>
      </c>
      <c r="D265" s="2">
        <v>141</v>
      </c>
      <c r="E265" s="1" t="s">
        <v>230</v>
      </c>
      <c r="G265">
        <v>0</v>
      </c>
      <c r="H265">
        <v>0</v>
      </c>
      <c r="I265">
        <v>0</v>
      </c>
      <c r="J265">
        <v>0</v>
      </c>
      <c r="K265">
        <v>0</v>
      </c>
      <c r="L265">
        <v>0</v>
      </c>
      <c r="M265">
        <v>0</v>
      </c>
      <c r="N265">
        <v>0</v>
      </c>
      <c r="O265">
        <v>0</v>
      </c>
      <c r="P265">
        <v>0</v>
      </c>
      <c r="Q265" t="str">
        <f>INDEX('Partner data'!A:DH,MATCH(C265,'Partner data'!DG:DG,0),83)</f>
        <v>Soggetto pubblico</v>
      </c>
      <c r="R265" t="b">
        <f>IF(E265="staff",IF(INDEX('Partner data'!A:DH,MATCH(C265,'Partner data'!DG:DG,0),112)="BL1 non presente","FALSO",INDEX('Partner data'!A:DH,MATCH(C265,'Partner data'!DG:DG,0),112)))</f>
        <v>0</v>
      </c>
      <c r="S265" t="b">
        <f t="shared" si="8"/>
        <v>0</v>
      </c>
      <c r="T265" t="b">
        <f t="shared" si="9"/>
        <v>1</v>
      </c>
      <c r="U265" s="154">
        <f>IFERROR(IF(R265&lt;&gt;FALSE,IF(S265=TRUE,INDEX('SummaryNOT_VALIDATED-BL'!$A$1:$F$16,MATCH(R265,'SummaryNOT_VALIDATED-BL'!$A$1:$A$16,0),6),0),IF(S265=TRUE,INDEX('SummaryNOT_VALIDATED-BL'!$A$1:$F$16,MATCH(E265,'SummaryNOT_VALIDATED-BL'!$A$1:$A$16,0),6),0)),0)</f>
        <v>0</v>
      </c>
      <c r="V265" s="81" cm="1">
        <f t="array" ref="V265">INDEX('Weight tables'!$A$24:$C$27,MATCH(1,(RendicontiTrasmessiBL__2[[#This Row],[Cut percentage on real costs + USC]]&gt;='Weight tables'!$B$24:$B$27)*(RendicontiTrasmessiBL__2[[#This Row],[Cut percentage on real costs + USC]]&lt;='Weight tables'!$C$24:$C$27),0),1)</f>
        <v>0</v>
      </c>
      <c r="W265" s="2">
        <f>RendicontiTrasmessiBL__2[[#This Row],[Weight real costs  + USC ]]</f>
        <v>0</v>
      </c>
    </row>
    <row r="266" spans="1:23" x14ac:dyDescent="0.25">
      <c r="A266" s="1" t="s">
        <v>337</v>
      </c>
      <c r="B266" s="1" t="s">
        <v>340</v>
      </c>
      <c r="C266" s="2">
        <v>123</v>
      </c>
      <c r="D266" s="2">
        <v>141</v>
      </c>
      <c r="E266" s="1" t="s">
        <v>231</v>
      </c>
      <c r="G266">
        <v>0</v>
      </c>
      <c r="H266">
        <v>0</v>
      </c>
      <c r="I266">
        <v>0</v>
      </c>
      <c r="J266">
        <v>0</v>
      </c>
      <c r="K266">
        <v>0</v>
      </c>
      <c r="L266">
        <v>0</v>
      </c>
      <c r="M266">
        <v>0</v>
      </c>
      <c r="N266">
        <v>0</v>
      </c>
      <c r="O266">
        <v>0</v>
      </c>
      <c r="P266">
        <v>0</v>
      </c>
      <c r="Q266" t="str">
        <f>INDEX('Partner data'!A:DH,MATCH(C266,'Partner data'!DG:DG,0),83)</f>
        <v>Soggetto pubblico</v>
      </c>
      <c r="R266" t="b">
        <f>IF(E266="staff",IF(INDEX('Partner data'!A:DH,MATCH(C266,'Partner data'!DG:DG,0),112)="BL1 non presente","FALSO",INDEX('Partner data'!A:DH,MATCH(C266,'Partner data'!DG:DG,0),112)))</f>
        <v>0</v>
      </c>
      <c r="S266" t="b">
        <f t="shared" si="8"/>
        <v>0</v>
      </c>
      <c r="T266" t="b">
        <f t="shared" si="9"/>
        <v>1</v>
      </c>
      <c r="U266" s="154">
        <f>IFERROR(IF(R266&lt;&gt;FALSE,IF(S266=TRUE,INDEX('SummaryNOT_VALIDATED-BL'!$A$1:$F$16,MATCH(R266,'SummaryNOT_VALIDATED-BL'!$A$1:$A$16,0),6),0),IF(S266=TRUE,INDEX('SummaryNOT_VALIDATED-BL'!$A$1:$F$16,MATCH(E266,'SummaryNOT_VALIDATED-BL'!$A$1:$A$16,0),6),0)),0)</f>
        <v>0</v>
      </c>
      <c r="V266" s="81" cm="1">
        <f t="array" ref="V266">INDEX('Weight tables'!$A$24:$C$27,MATCH(1,(RendicontiTrasmessiBL__2[[#This Row],[Cut percentage on real costs + USC]]&gt;='Weight tables'!$B$24:$B$27)*(RendicontiTrasmessiBL__2[[#This Row],[Cut percentage on real costs + USC]]&lt;='Weight tables'!$C$24:$C$27),0),1)</f>
        <v>0</v>
      </c>
      <c r="W266" s="2">
        <f>RendicontiTrasmessiBL__2[[#This Row],[Weight real costs  + USC ]]</f>
        <v>0</v>
      </c>
    </row>
    <row r="267" spans="1:23" x14ac:dyDescent="0.25">
      <c r="A267" s="1" t="s">
        <v>337</v>
      </c>
      <c r="B267" s="1" t="s">
        <v>340</v>
      </c>
      <c r="C267" s="2">
        <v>123</v>
      </c>
      <c r="D267" s="2">
        <v>141</v>
      </c>
      <c r="E267" s="1" t="s">
        <v>232</v>
      </c>
      <c r="G267">
        <v>0</v>
      </c>
      <c r="H267">
        <v>0</v>
      </c>
      <c r="I267">
        <v>0</v>
      </c>
      <c r="J267">
        <v>0</v>
      </c>
      <c r="K267">
        <v>0</v>
      </c>
      <c r="L267">
        <v>0</v>
      </c>
      <c r="M267">
        <v>0</v>
      </c>
      <c r="N267">
        <v>0</v>
      </c>
      <c r="O267">
        <v>0</v>
      </c>
      <c r="P267">
        <v>0</v>
      </c>
      <c r="Q267" t="str">
        <f>INDEX('Partner data'!A:DH,MATCH(C267,'Partner data'!DG:DG,0),83)</f>
        <v>Soggetto pubblico</v>
      </c>
      <c r="R267" t="b">
        <f>IF(E267="staff",IF(INDEX('Partner data'!A:DH,MATCH(C267,'Partner data'!DG:DG,0),112)="BL1 non presente","FALSO",INDEX('Partner data'!A:DH,MATCH(C267,'Partner data'!DG:DG,0),112)))</f>
        <v>0</v>
      </c>
      <c r="S267" t="b">
        <f t="shared" si="8"/>
        <v>0</v>
      </c>
      <c r="T267" t="b">
        <f t="shared" si="9"/>
        <v>1</v>
      </c>
      <c r="U267" s="154">
        <f>IFERROR(IF(R267&lt;&gt;FALSE,IF(S267=TRUE,INDEX('SummaryNOT_VALIDATED-BL'!$A$1:$F$16,MATCH(R267,'SummaryNOT_VALIDATED-BL'!$A$1:$A$16,0),6),0),IF(S267=TRUE,INDEX('SummaryNOT_VALIDATED-BL'!$A$1:$F$16,MATCH(E267,'SummaryNOT_VALIDATED-BL'!$A$1:$A$16,0),6),0)),0)</f>
        <v>0</v>
      </c>
      <c r="V267" s="81" cm="1">
        <f t="array" ref="V267">INDEX('Weight tables'!$A$24:$C$27,MATCH(1,(RendicontiTrasmessiBL__2[[#This Row],[Cut percentage on real costs + USC]]&gt;='Weight tables'!$B$24:$B$27)*(RendicontiTrasmessiBL__2[[#This Row],[Cut percentage on real costs + USC]]&lt;='Weight tables'!$C$24:$C$27),0),1)</f>
        <v>0</v>
      </c>
      <c r="W267" s="2">
        <f>RendicontiTrasmessiBL__2[[#This Row],[Weight real costs  + USC ]]</f>
        <v>0</v>
      </c>
    </row>
    <row r="268" spans="1:23" x14ac:dyDescent="0.25">
      <c r="A268" s="1" t="s">
        <v>337</v>
      </c>
      <c r="B268" s="1" t="s">
        <v>340</v>
      </c>
      <c r="C268" s="2">
        <v>123</v>
      </c>
      <c r="D268" s="2">
        <v>141</v>
      </c>
      <c r="E268" s="1" t="s">
        <v>233</v>
      </c>
      <c r="G268">
        <v>0</v>
      </c>
      <c r="H268">
        <v>0</v>
      </c>
      <c r="I268">
        <v>0</v>
      </c>
      <c r="J268">
        <v>0</v>
      </c>
      <c r="K268">
        <v>0</v>
      </c>
      <c r="L268">
        <v>0</v>
      </c>
      <c r="M268">
        <v>0</v>
      </c>
      <c r="N268">
        <v>0</v>
      </c>
      <c r="O268">
        <v>0</v>
      </c>
      <c r="P268">
        <v>0</v>
      </c>
      <c r="Q268" t="str">
        <f>INDEX('Partner data'!A:DH,MATCH(C268,'Partner data'!DG:DG,0),83)</f>
        <v>Soggetto pubblico</v>
      </c>
      <c r="R268" t="b">
        <f>IF(E268="staff",IF(INDEX('Partner data'!A:DH,MATCH(C268,'Partner data'!DG:DG,0),112)="BL1 non presente","FALSO",INDEX('Partner data'!A:DH,MATCH(C268,'Partner data'!DG:DG,0),112)))</f>
        <v>0</v>
      </c>
      <c r="S268" t="b">
        <f t="shared" si="8"/>
        <v>0</v>
      </c>
      <c r="T268" t="b">
        <f t="shared" si="9"/>
        <v>1</v>
      </c>
      <c r="U268" s="154">
        <f>IFERROR(IF(R268&lt;&gt;FALSE,IF(S268=TRUE,INDEX('SummaryNOT_VALIDATED-BL'!$A$1:$F$16,MATCH(R268,'SummaryNOT_VALIDATED-BL'!$A$1:$A$16,0),6),0),IF(S268=TRUE,INDEX('SummaryNOT_VALIDATED-BL'!$A$1:$F$16,MATCH(E268,'SummaryNOT_VALIDATED-BL'!$A$1:$A$16,0),6),0)),0)</f>
        <v>0</v>
      </c>
      <c r="V268" s="81" cm="1">
        <f t="array" ref="V268">INDEX('Weight tables'!$A$24:$C$27,MATCH(1,(RendicontiTrasmessiBL__2[[#This Row],[Cut percentage on real costs + USC]]&gt;='Weight tables'!$B$24:$B$27)*(RendicontiTrasmessiBL__2[[#This Row],[Cut percentage on real costs + USC]]&lt;='Weight tables'!$C$24:$C$27),0),1)</f>
        <v>0</v>
      </c>
      <c r="W268" s="2">
        <f>RendicontiTrasmessiBL__2[[#This Row],[Weight real costs  + USC ]]</f>
        <v>0</v>
      </c>
    </row>
    <row r="269" spans="1:23" x14ac:dyDescent="0.25">
      <c r="A269" s="1" t="s">
        <v>337</v>
      </c>
      <c r="B269" s="1" t="s">
        <v>340</v>
      </c>
      <c r="C269" s="2">
        <v>123</v>
      </c>
      <c r="D269" s="2">
        <v>141</v>
      </c>
      <c r="E269" s="1" t="s">
        <v>234</v>
      </c>
      <c r="F269">
        <v>40</v>
      </c>
      <c r="G269">
        <v>37100</v>
      </c>
      <c r="H269">
        <v>0</v>
      </c>
      <c r="I269">
        <v>0</v>
      </c>
      <c r="J269">
        <v>781.43</v>
      </c>
      <c r="K269">
        <v>0</v>
      </c>
      <c r="L269">
        <v>0</v>
      </c>
      <c r="M269">
        <v>781.43</v>
      </c>
      <c r="N269">
        <v>2.11</v>
      </c>
      <c r="O269">
        <v>36318.57</v>
      </c>
      <c r="P269">
        <v>0</v>
      </c>
      <c r="Q269" t="str">
        <f>INDEX('Partner data'!A:DH,MATCH(C269,'Partner data'!DG:DG,0),83)</f>
        <v>Soggetto pubblico</v>
      </c>
      <c r="R269" t="b">
        <f>IF(E269="staff",IF(INDEX('Partner data'!A:DH,MATCH(C269,'Partner data'!DG:DG,0),112)="BL1 non presente","FALSO",INDEX('Partner data'!A:DH,MATCH(C269,'Partner data'!DG:DG,0),112)))</f>
        <v>0</v>
      </c>
      <c r="S269" t="b">
        <f t="shared" si="8"/>
        <v>1</v>
      </c>
      <c r="T269" t="b">
        <f t="shared" si="9"/>
        <v>1</v>
      </c>
      <c r="U269" s="154">
        <f>IFERROR(IF(R269&lt;&gt;FALSE,IF(S269=TRUE,INDEX('SummaryNOT_VALIDATED-BL'!$A$1:$F$16,MATCH(R269,'SummaryNOT_VALIDATED-BL'!$A$1:$A$16,0),6),0),IF(S269=TRUE,INDEX('SummaryNOT_VALIDATED-BL'!$A$1:$F$16,MATCH(E269,'SummaryNOT_VALIDATED-BL'!$A$1:$A$16,0),6),0)),0)</f>
        <v>8.7645339819521315E-2</v>
      </c>
      <c r="V269" s="81" cm="1">
        <f t="array" ref="V269">INDEX('Weight tables'!$A$24:$C$27,MATCH(1,(RendicontiTrasmessiBL__2[[#This Row],[Cut percentage on real costs + USC]]&gt;='Weight tables'!$B$24:$B$27)*(RendicontiTrasmessiBL__2[[#This Row],[Cut percentage on real costs + USC]]&lt;='Weight tables'!$C$24:$C$27),0),1)</f>
        <v>4</v>
      </c>
      <c r="W269" s="2">
        <f>RendicontiTrasmessiBL__2[[#This Row],[Weight real costs  + USC ]]</f>
        <v>4</v>
      </c>
    </row>
    <row r="270" spans="1:23" x14ac:dyDescent="0.25">
      <c r="A270" s="1" t="s">
        <v>337</v>
      </c>
      <c r="B270" s="1" t="s">
        <v>340</v>
      </c>
      <c r="C270" s="2">
        <v>123</v>
      </c>
      <c r="D270" s="2">
        <v>141</v>
      </c>
      <c r="E270" s="1" t="s">
        <v>236</v>
      </c>
      <c r="G270">
        <v>0</v>
      </c>
      <c r="H270">
        <v>0</v>
      </c>
      <c r="I270">
        <v>0</v>
      </c>
      <c r="J270">
        <v>0</v>
      </c>
      <c r="K270">
        <v>0</v>
      </c>
      <c r="L270">
        <v>0</v>
      </c>
      <c r="M270">
        <v>0</v>
      </c>
      <c r="N270">
        <v>0</v>
      </c>
      <c r="O270">
        <v>0</v>
      </c>
      <c r="P270">
        <v>0</v>
      </c>
      <c r="Q270" t="str">
        <f>INDEX('Partner data'!A:DH,MATCH(C270,'Partner data'!DG:DG,0),83)</f>
        <v>Soggetto pubblico</v>
      </c>
      <c r="R270" t="b">
        <f>IF(E270="staff",IF(INDEX('Partner data'!A:DH,MATCH(C270,'Partner data'!DG:DG,0),112)="BL1 non presente","FALSO",INDEX('Partner data'!A:DH,MATCH(C270,'Partner data'!DG:DG,0),112)))</f>
        <v>0</v>
      </c>
      <c r="S270" t="b">
        <f t="shared" si="8"/>
        <v>0</v>
      </c>
      <c r="T270" t="b">
        <f t="shared" si="9"/>
        <v>1</v>
      </c>
      <c r="U270" s="154">
        <f>IFERROR(IF(R270&lt;&gt;FALSE,IF(S270=TRUE,INDEX('SummaryNOT_VALIDATED-BL'!$A$1:$F$16,MATCH(R270,'SummaryNOT_VALIDATED-BL'!$A$1:$A$16,0),6),0),IF(S270=TRUE,INDEX('SummaryNOT_VALIDATED-BL'!$A$1:$F$16,MATCH(E270,'SummaryNOT_VALIDATED-BL'!$A$1:$A$16,0),6),0)),0)</f>
        <v>0</v>
      </c>
      <c r="V270" s="81" cm="1">
        <f t="array" ref="V270">INDEX('Weight tables'!$A$24:$C$27,MATCH(1,(RendicontiTrasmessiBL__2[[#This Row],[Cut percentage on real costs + USC]]&gt;='Weight tables'!$B$24:$B$27)*(RendicontiTrasmessiBL__2[[#This Row],[Cut percentage on real costs + USC]]&lt;='Weight tables'!$C$24:$C$27),0),1)</f>
        <v>0</v>
      </c>
      <c r="W270" s="2">
        <f>RendicontiTrasmessiBL__2[[#This Row],[Weight real costs  + USC ]]</f>
        <v>0</v>
      </c>
    </row>
    <row r="271" spans="1:23" x14ac:dyDescent="0.25">
      <c r="A271" s="1" t="s">
        <v>337</v>
      </c>
      <c r="B271" s="1" t="s">
        <v>340</v>
      </c>
      <c r="C271" s="2">
        <v>123</v>
      </c>
      <c r="D271" s="2">
        <v>141</v>
      </c>
      <c r="E271" s="1" t="s">
        <v>237</v>
      </c>
      <c r="G271">
        <v>0</v>
      </c>
      <c r="H271">
        <v>0</v>
      </c>
      <c r="I271">
        <v>0</v>
      </c>
      <c r="J271">
        <v>0</v>
      </c>
      <c r="K271">
        <v>0</v>
      </c>
      <c r="L271">
        <v>0</v>
      </c>
      <c r="M271">
        <v>0</v>
      </c>
      <c r="N271">
        <v>0</v>
      </c>
      <c r="O271">
        <v>0</v>
      </c>
      <c r="P271">
        <v>0</v>
      </c>
      <c r="Q271" t="str">
        <f>INDEX('Partner data'!A:DH,MATCH(C271,'Partner data'!DG:DG,0),83)</f>
        <v>Soggetto pubblico</v>
      </c>
      <c r="R271" t="b">
        <f>IF(E271="staff",IF(INDEX('Partner data'!A:DH,MATCH(C271,'Partner data'!DG:DG,0),112)="BL1 non presente","FALSO",INDEX('Partner data'!A:DH,MATCH(C271,'Partner data'!DG:DG,0),112)))</f>
        <v>0</v>
      </c>
      <c r="S271" t="b">
        <f t="shared" si="8"/>
        <v>0</v>
      </c>
      <c r="T271" t="b">
        <f t="shared" si="9"/>
        <v>1</v>
      </c>
      <c r="U271" s="154">
        <f>IFERROR(IF(R271&lt;&gt;FALSE,IF(S271=TRUE,INDEX('SummaryNOT_VALIDATED-BL'!$A$1:$F$16,MATCH(R271,'SummaryNOT_VALIDATED-BL'!$A$1:$A$16,0),6),0),IF(S271=TRUE,INDEX('SummaryNOT_VALIDATED-BL'!$A$1:$F$16,MATCH(E271,'SummaryNOT_VALIDATED-BL'!$A$1:$A$16,0),6),0)),0)</f>
        <v>0</v>
      </c>
      <c r="V271" s="81" cm="1">
        <f t="array" ref="V271">INDEX('Weight tables'!$A$24:$C$27,MATCH(1,(RendicontiTrasmessiBL__2[[#This Row],[Cut percentage on real costs + USC]]&gt;='Weight tables'!$B$24:$B$27)*(RendicontiTrasmessiBL__2[[#This Row],[Cut percentage on real costs + USC]]&lt;='Weight tables'!$C$24:$C$27),0),1)</f>
        <v>0</v>
      </c>
      <c r="W271" s="2">
        <f>RendicontiTrasmessiBL__2[[#This Row],[Weight real costs  + USC ]]</f>
        <v>0</v>
      </c>
    </row>
    <row r="272" spans="1:23" x14ac:dyDescent="0.25">
      <c r="A272" s="1" t="s">
        <v>337</v>
      </c>
      <c r="B272" s="1" t="s">
        <v>292</v>
      </c>
      <c r="C272" s="2">
        <v>122</v>
      </c>
      <c r="D272" s="2">
        <v>22</v>
      </c>
      <c r="E272" s="1" t="s">
        <v>228</v>
      </c>
      <c r="G272">
        <v>98800</v>
      </c>
      <c r="H272">
        <v>0</v>
      </c>
      <c r="I272">
        <v>0</v>
      </c>
      <c r="J272">
        <v>15123.61</v>
      </c>
      <c r="K272">
        <v>0</v>
      </c>
      <c r="L272">
        <v>0</v>
      </c>
      <c r="M272">
        <v>15123.61</v>
      </c>
      <c r="N272">
        <v>15.31</v>
      </c>
      <c r="O272">
        <v>83676.39</v>
      </c>
      <c r="P272">
        <v>0</v>
      </c>
      <c r="Q272" t="str">
        <f>INDEX('Partner data'!A:DH,MATCH(C272,'Partner data'!DG:DG,0),83)</f>
        <v>Soggetto pubblico</v>
      </c>
      <c r="R272" t="str">
        <f>IF(E272="staff",IF(INDEX('Partner data'!A:DH,MATCH(C272,'Partner data'!DG:DG,0),112)="BL1 non presente","FALSO",INDEX('Partner data'!A:DH,MATCH(C272,'Partner data'!DG:DG,0),112)))</f>
        <v>COSTO REALE</v>
      </c>
      <c r="S272" t="b">
        <f t="shared" si="8"/>
        <v>1</v>
      </c>
      <c r="T272" t="b">
        <f t="shared" si="9"/>
        <v>1</v>
      </c>
      <c r="U272" s="154">
        <f>IFERROR(IF(R272&lt;&gt;FALSE,IF(S272=TRUE,INDEX('SummaryNOT_VALIDATED-BL'!$A$1:$F$16,MATCH(R272,'SummaryNOT_VALIDATED-BL'!$A$1:$A$16,0),6),0),IF(S272=TRUE,INDEX('SummaryNOT_VALIDATED-BL'!$A$1:$F$16,MATCH(E272,'SummaryNOT_VALIDATED-BL'!$A$1:$A$16,0),6),0)),0)</f>
        <v>9.1604133276901048E-2</v>
      </c>
      <c r="V272" s="81" cm="1">
        <f t="array" ref="V272">INDEX('Weight tables'!$A$24:$C$27,MATCH(1,(RendicontiTrasmessiBL__2[[#This Row],[Cut percentage on real costs + USC]]&gt;='Weight tables'!$B$24:$B$27)*(RendicontiTrasmessiBL__2[[#This Row],[Cut percentage on real costs + USC]]&lt;='Weight tables'!$C$24:$C$27),0),1)</f>
        <v>4</v>
      </c>
      <c r="W272" s="2">
        <f>RendicontiTrasmessiBL__2[[#This Row],[Weight real costs  + USC ]]</f>
        <v>4</v>
      </c>
    </row>
    <row r="273" spans="1:23" x14ac:dyDescent="0.25">
      <c r="A273" s="1" t="s">
        <v>337</v>
      </c>
      <c r="B273" s="1" t="s">
        <v>292</v>
      </c>
      <c r="C273" s="2">
        <v>122</v>
      </c>
      <c r="D273" s="2">
        <v>22</v>
      </c>
      <c r="E273" s="1" t="s">
        <v>229</v>
      </c>
      <c r="F273">
        <v>15</v>
      </c>
      <c r="G273">
        <v>14820</v>
      </c>
      <c r="H273">
        <v>0</v>
      </c>
      <c r="I273">
        <v>0</v>
      </c>
      <c r="J273">
        <v>2268.54</v>
      </c>
      <c r="K273">
        <v>0</v>
      </c>
      <c r="L273">
        <v>0</v>
      </c>
      <c r="M273">
        <v>2268.54</v>
      </c>
      <c r="N273">
        <v>15.31</v>
      </c>
      <c r="O273">
        <v>12551.46</v>
      </c>
      <c r="P273">
        <v>0</v>
      </c>
      <c r="Q273" t="str">
        <f>INDEX('Partner data'!A:DH,MATCH(C273,'Partner data'!DG:DG,0),83)</f>
        <v>Soggetto pubblico</v>
      </c>
      <c r="R273" t="b">
        <f>IF(E273="staff",IF(INDEX('Partner data'!A:DH,MATCH(C273,'Partner data'!DG:DG,0),112)="BL1 non presente","FALSO",INDEX('Partner data'!A:DH,MATCH(C273,'Partner data'!DG:DG,0),112)))</f>
        <v>0</v>
      </c>
      <c r="S273" t="b">
        <f t="shared" si="8"/>
        <v>1</v>
      </c>
      <c r="T273" t="b">
        <f t="shared" si="9"/>
        <v>1</v>
      </c>
      <c r="U273" s="154">
        <f>IFERROR(IF(R273&lt;&gt;FALSE,IF(S273=TRUE,INDEX('SummaryNOT_VALIDATED-BL'!$A$1:$F$16,MATCH(R273,'SummaryNOT_VALIDATED-BL'!$A$1:$A$16,0),6),0),IF(S273=TRUE,INDEX('SummaryNOT_VALIDATED-BL'!$A$1:$F$16,MATCH(E273,'SummaryNOT_VALIDATED-BL'!$A$1:$A$16,0),6),0)),0)</f>
        <v>6.6460469504890221E-2</v>
      </c>
      <c r="V273" s="81" cm="1">
        <f t="array" ref="V273">INDEX('Weight tables'!$A$24:$C$27,MATCH(1,(RendicontiTrasmessiBL__2[[#This Row],[Cut percentage on real costs + USC]]&gt;='Weight tables'!$B$24:$B$27)*(RendicontiTrasmessiBL__2[[#This Row],[Cut percentage on real costs + USC]]&lt;='Weight tables'!$C$24:$C$27),0),1)</f>
        <v>4</v>
      </c>
      <c r="W273" s="2">
        <f>RendicontiTrasmessiBL__2[[#This Row],[Weight real costs  + USC ]]</f>
        <v>4</v>
      </c>
    </row>
    <row r="274" spans="1:23" x14ac:dyDescent="0.25">
      <c r="A274" s="1" t="s">
        <v>337</v>
      </c>
      <c r="B274" s="1" t="s">
        <v>292</v>
      </c>
      <c r="C274" s="2">
        <v>122</v>
      </c>
      <c r="D274" s="2">
        <v>22</v>
      </c>
      <c r="E274" s="1" t="s">
        <v>230</v>
      </c>
      <c r="F274">
        <v>4</v>
      </c>
      <c r="G274">
        <v>3952</v>
      </c>
      <c r="H274">
        <v>0</v>
      </c>
      <c r="I274">
        <v>0</v>
      </c>
      <c r="J274">
        <v>604.94000000000005</v>
      </c>
      <c r="K274">
        <v>0</v>
      </c>
      <c r="L274">
        <v>0</v>
      </c>
      <c r="M274">
        <v>604.94000000000005</v>
      </c>
      <c r="N274">
        <v>15.31</v>
      </c>
      <c r="O274">
        <v>3347.06</v>
      </c>
      <c r="P274">
        <v>0</v>
      </c>
      <c r="Q274" t="str">
        <f>INDEX('Partner data'!A:DH,MATCH(C274,'Partner data'!DG:DG,0),83)</f>
        <v>Soggetto pubblico</v>
      </c>
      <c r="R274" t="b">
        <f>IF(E274="staff",IF(INDEX('Partner data'!A:DH,MATCH(C274,'Partner data'!DG:DG,0),112)="BL1 non presente","FALSO",INDEX('Partner data'!A:DH,MATCH(C274,'Partner data'!DG:DG,0),112)))</f>
        <v>0</v>
      </c>
      <c r="S274" t="b">
        <f t="shared" si="8"/>
        <v>1</v>
      </c>
      <c r="T274" t="b">
        <f t="shared" si="9"/>
        <v>1</v>
      </c>
      <c r="U274" s="154">
        <f>IFERROR(IF(R274&lt;&gt;FALSE,IF(S274=TRUE,INDEX('SummaryNOT_VALIDATED-BL'!$A$1:$F$16,MATCH(R274,'SummaryNOT_VALIDATED-BL'!$A$1:$A$16,0),6),0),IF(S274=TRUE,INDEX('SummaryNOT_VALIDATED-BL'!$A$1:$F$16,MATCH(E274,'SummaryNOT_VALIDATED-BL'!$A$1:$A$16,0),6),0)),0)</f>
        <v>6.3112622236488891E-2</v>
      </c>
      <c r="V274" s="81" cm="1">
        <f t="array" ref="V274">INDEX('Weight tables'!$A$24:$C$27,MATCH(1,(RendicontiTrasmessiBL__2[[#This Row],[Cut percentage on real costs + USC]]&gt;='Weight tables'!$B$24:$B$27)*(RendicontiTrasmessiBL__2[[#This Row],[Cut percentage on real costs + USC]]&lt;='Weight tables'!$C$24:$C$27),0),1)</f>
        <v>4</v>
      </c>
      <c r="W274" s="2">
        <f>RendicontiTrasmessiBL__2[[#This Row],[Weight real costs  + USC ]]</f>
        <v>4</v>
      </c>
    </row>
    <row r="275" spans="1:23" x14ac:dyDescent="0.25">
      <c r="A275" s="1" t="s">
        <v>337</v>
      </c>
      <c r="B275" s="1" t="s">
        <v>292</v>
      </c>
      <c r="C275" s="2">
        <v>122</v>
      </c>
      <c r="D275" s="2">
        <v>22</v>
      </c>
      <c r="E275" s="1" t="s">
        <v>231</v>
      </c>
      <c r="G275">
        <v>105400</v>
      </c>
      <c r="H275">
        <v>0</v>
      </c>
      <c r="I275">
        <v>0</v>
      </c>
      <c r="J275">
        <v>0</v>
      </c>
      <c r="K275">
        <v>0</v>
      </c>
      <c r="L275">
        <v>0</v>
      </c>
      <c r="M275">
        <v>0</v>
      </c>
      <c r="N275">
        <v>0</v>
      </c>
      <c r="O275">
        <v>105400</v>
      </c>
      <c r="P275">
        <v>0</v>
      </c>
      <c r="Q275" t="str">
        <f>INDEX('Partner data'!A:DH,MATCH(C275,'Partner data'!DG:DG,0),83)</f>
        <v>Soggetto pubblico</v>
      </c>
      <c r="R275" t="b">
        <f>IF(E275="staff",IF(INDEX('Partner data'!A:DH,MATCH(C275,'Partner data'!DG:DG,0),112)="BL1 non presente","FALSO",INDEX('Partner data'!A:DH,MATCH(C275,'Partner data'!DG:DG,0),112)))</f>
        <v>0</v>
      </c>
      <c r="S275" t="b">
        <f t="shared" si="8"/>
        <v>0</v>
      </c>
      <c r="T275" t="b">
        <f t="shared" si="9"/>
        <v>1</v>
      </c>
      <c r="U275" s="154">
        <f>IFERROR(IF(R275&lt;&gt;FALSE,IF(S275=TRUE,INDEX('SummaryNOT_VALIDATED-BL'!$A$1:$F$16,MATCH(R275,'SummaryNOT_VALIDATED-BL'!$A$1:$A$16,0),6),0),IF(S275=TRUE,INDEX('SummaryNOT_VALIDATED-BL'!$A$1:$F$16,MATCH(E275,'SummaryNOT_VALIDATED-BL'!$A$1:$A$16,0),6),0)),0)</f>
        <v>0</v>
      </c>
      <c r="V275" s="81" cm="1">
        <f t="array" ref="V275">INDEX('Weight tables'!$A$24:$C$27,MATCH(1,(RendicontiTrasmessiBL__2[[#This Row],[Cut percentage on real costs + USC]]&gt;='Weight tables'!$B$24:$B$27)*(RendicontiTrasmessiBL__2[[#This Row],[Cut percentage on real costs + USC]]&lt;='Weight tables'!$C$24:$C$27),0),1)</f>
        <v>0</v>
      </c>
      <c r="W275" s="2">
        <f>RendicontiTrasmessiBL__2[[#This Row],[Weight real costs  + USC ]]</f>
        <v>0</v>
      </c>
    </row>
    <row r="276" spans="1:23" x14ac:dyDescent="0.25">
      <c r="A276" s="1" t="s">
        <v>337</v>
      </c>
      <c r="B276" s="1" t="s">
        <v>292</v>
      </c>
      <c r="C276" s="2">
        <v>122</v>
      </c>
      <c r="D276" s="2">
        <v>22</v>
      </c>
      <c r="E276" s="1" t="s">
        <v>232</v>
      </c>
      <c r="G276">
        <v>22000</v>
      </c>
      <c r="H276">
        <v>0</v>
      </c>
      <c r="I276">
        <v>0</v>
      </c>
      <c r="J276">
        <v>4579.88</v>
      </c>
      <c r="K276">
        <v>0</v>
      </c>
      <c r="L276">
        <v>0</v>
      </c>
      <c r="M276">
        <v>4579.88</v>
      </c>
      <c r="N276">
        <v>20.82</v>
      </c>
      <c r="O276">
        <v>17420.12</v>
      </c>
      <c r="P276">
        <v>0</v>
      </c>
      <c r="Q276" t="str">
        <f>INDEX('Partner data'!A:DH,MATCH(C276,'Partner data'!DG:DG,0),83)</f>
        <v>Soggetto pubblico</v>
      </c>
      <c r="R276" t="b">
        <f>IF(E276="staff",IF(INDEX('Partner data'!A:DH,MATCH(C276,'Partner data'!DG:DG,0),112)="BL1 non presente","FALSO",INDEX('Partner data'!A:DH,MATCH(C276,'Partner data'!DG:DG,0),112)))</f>
        <v>0</v>
      </c>
      <c r="S276" t="b">
        <f t="shared" si="8"/>
        <v>1</v>
      </c>
      <c r="T276" t="b">
        <f t="shared" si="9"/>
        <v>1</v>
      </c>
      <c r="U276" s="154">
        <f>IFERROR(IF(R276&lt;&gt;FALSE,IF(S276=TRUE,INDEX('SummaryNOT_VALIDATED-BL'!$A$1:$F$16,MATCH(R276,'SummaryNOT_VALIDATED-BL'!$A$1:$A$16,0),6),0),IF(S276=TRUE,INDEX('SummaryNOT_VALIDATED-BL'!$A$1:$F$16,MATCH(E276,'SummaryNOT_VALIDATED-BL'!$A$1:$A$16,0),6),0)),0)</f>
        <v>1.102169095281242E-2</v>
      </c>
      <c r="V276" s="81" cm="1">
        <f t="array" ref="V276">INDEX('Weight tables'!$A$24:$C$27,MATCH(1,(RendicontiTrasmessiBL__2[[#This Row],[Cut percentage on real costs + USC]]&gt;='Weight tables'!$B$24:$B$27)*(RendicontiTrasmessiBL__2[[#This Row],[Cut percentage on real costs + USC]]&lt;='Weight tables'!$C$24:$C$27),0),1)</f>
        <v>0</v>
      </c>
      <c r="W276" s="2">
        <f>RendicontiTrasmessiBL__2[[#This Row],[Weight real costs  + USC ]]</f>
        <v>0</v>
      </c>
    </row>
    <row r="277" spans="1:23" x14ac:dyDescent="0.25">
      <c r="A277" s="1" t="s">
        <v>337</v>
      </c>
      <c r="B277" s="1" t="s">
        <v>292</v>
      </c>
      <c r="C277" s="2">
        <v>122</v>
      </c>
      <c r="D277" s="2">
        <v>22</v>
      </c>
      <c r="E277" s="1" t="s">
        <v>233</v>
      </c>
      <c r="G277">
        <v>0</v>
      </c>
      <c r="H277">
        <v>0</v>
      </c>
      <c r="I277">
        <v>0</v>
      </c>
      <c r="J277">
        <v>0</v>
      </c>
      <c r="K277">
        <v>0</v>
      </c>
      <c r="L277">
        <v>0</v>
      </c>
      <c r="M277">
        <v>0</v>
      </c>
      <c r="N277">
        <v>0</v>
      </c>
      <c r="O277">
        <v>0</v>
      </c>
      <c r="P277">
        <v>0</v>
      </c>
      <c r="Q277" t="str">
        <f>INDEX('Partner data'!A:DH,MATCH(C277,'Partner data'!DG:DG,0),83)</f>
        <v>Soggetto pubblico</v>
      </c>
      <c r="R277" t="b">
        <f>IF(E277="staff",IF(INDEX('Partner data'!A:DH,MATCH(C277,'Partner data'!DG:DG,0),112)="BL1 non presente","FALSO",INDEX('Partner data'!A:DH,MATCH(C277,'Partner data'!DG:DG,0),112)))</f>
        <v>0</v>
      </c>
      <c r="S277" t="b">
        <f t="shared" si="8"/>
        <v>0</v>
      </c>
      <c r="T277" t="b">
        <f t="shared" si="9"/>
        <v>1</v>
      </c>
      <c r="U277" s="154">
        <f>IFERROR(IF(R277&lt;&gt;FALSE,IF(S277=TRUE,INDEX('SummaryNOT_VALIDATED-BL'!$A$1:$F$16,MATCH(R277,'SummaryNOT_VALIDATED-BL'!$A$1:$A$16,0),6),0),IF(S277=TRUE,INDEX('SummaryNOT_VALIDATED-BL'!$A$1:$F$16,MATCH(E277,'SummaryNOT_VALIDATED-BL'!$A$1:$A$16,0),6),0)),0)</f>
        <v>0</v>
      </c>
      <c r="V277" s="81" cm="1">
        <f t="array" ref="V277">INDEX('Weight tables'!$A$24:$C$27,MATCH(1,(RendicontiTrasmessiBL__2[[#This Row],[Cut percentage on real costs + USC]]&gt;='Weight tables'!$B$24:$B$27)*(RendicontiTrasmessiBL__2[[#This Row],[Cut percentage on real costs + USC]]&lt;='Weight tables'!$C$24:$C$27),0),1)</f>
        <v>0</v>
      </c>
      <c r="W277" s="2">
        <f>RendicontiTrasmessiBL__2[[#This Row],[Weight real costs  + USC ]]</f>
        <v>0</v>
      </c>
    </row>
    <row r="278" spans="1:23" x14ac:dyDescent="0.25">
      <c r="A278" s="1" t="s">
        <v>337</v>
      </c>
      <c r="B278" s="1" t="s">
        <v>292</v>
      </c>
      <c r="C278" s="2">
        <v>122</v>
      </c>
      <c r="D278" s="2">
        <v>22</v>
      </c>
      <c r="E278" s="1" t="s">
        <v>234</v>
      </c>
      <c r="G278">
        <v>0</v>
      </c>
      <c r="H278">
        <v>0</v>
      </c>
      <c r="I278">
        <v>0</v>
      </c>
      <c r="J278">
        <v>0</v>
      </c>
      <c r="K278">
        <v>0</v>
      </c>
      <c r="L278">
        <v>0</v>
      </c>
      <c r="M278">
        <v>0</v>
      </c>
      <c r="N278">
        <v>0</v>
      </c>
      <c r="O278">
        <v>0</v>
      </c>
      <c r="P278">
        <v>0</v>
      </c>
      <c r="Q278" t="str">
        <f>INDEX('Partner data'!A:DH,MATCH(C278,'Partner data'!DG:DG,0),83)</f>
        <v>Soggetto pubblico</v>
      </c>
      <c r="R278" t="b">
        <f>IF(E278="staff",IF(INDEX('Partner data'!A:DH,MATCH(C278,'Partner data'!DG:DG,0),112)="BL1 non presente","FALSO",INDEX('Partner data'!A:DH,MATCH(C278,'Partner data'!DG:DG,0),112)))</f>
        <v>0</v>
      </c>
      <c r="S278" t="b">
        <f t="shared" si="8"/>
        <v>0</v>
      </c>
      <c r="T278" t="b">
        <f t="shared" si="9"/>
        <v>1</v>
      </c>
      <c r="U278" s="154">
        <f>IFERROR(IF(R278&lt;&gt;FALSE,IF(S278=TRUE,INDEX('SummaryNOT_VALIDATED-BL'!$A$1:$F$16,MATCH(R278,'SummaryNOT_VALIDATED-BL'!$A$1:$A$16,0),6),0),IF(S278=TRUE,INDEX('SummaryNOT_VALIDATED-BL'!$A$1:$F$16,MATCH(E278,'SummaryNOT_VALIDATED-BL'!$A$1:$A$16,0),6),0)),0)</f>
        <v>0</v>
      </c>
      <c r="V278" s="81" cm="1">
        <f t="array" ref="V278">INDEX('Weight tables'!$A$24:$C$27,MATCH(1,(RendicontiTrasmessiBL__2[[#This Row],[Cut percentage on real costs + USC]]&gt;='Weight tables'!$B$24:$B$27)*(RendicontiTrasmessiBL__2[[#This Row],[Cut percentage on real costs + USC]]&lt;='Weight tables'!$C$24:$C$27),0),1)</f>
        <v>0</v>
      </c>
      <c r="W278" s="2">
        <f>RendicontiTrasmessiBL__2[[#This Row],[Weight real costs  + USC ]]</f>
        <v>0</v>
      </c>
    </row>
    <row r="279" spans="1:23" x14ac:dyDescent="0.25">
      <c r="A279" s="1" t="s">
        <v>337</v>
      </c>
      <c r="B279" s="1" t="s">
        <v>292</v>
      </c>
      <c r="C279" s="2">
        <v>122</v>
      </c>
      <c r="D279" s="2">
        <v>22</v>
      </c>
      <c r="E279" s="1" t="s">
        <v>236</v>
      </c>
      <c r="G279">
        <v>0</v>
      </c>
      <c r="H279">
        <v>0</v>
      </c>
      <c r="I279">
        <v>0</v>
      </c>
      <c r="J279">
        <v>0</v>
      </c>
      <c r="K279">
        <v>0</v>
      </c>
      <c r="L279">
        <v>0</v>
      </c>
      <c r="M279">
        <v>0</v>
      </c>
      <c r="N279">
        <v>0</v>
      </c>
      <c r="O279">
        <v>0</v>
      </c>
      <c r="P279">
        <v>0</v>
      </c>
      <c r="Q279" t="str">
        <f>INDEX('Partner data'!A:DH,MATCH(C279,'Partner data'!DG:DG,0),83)</f>
        <v>Soggetto pubblico</v>
      </c>
      <c r="R279" t="b">
        <f>IF(E279="staff",IF(INDEX('Partner data'!A:DH,MATCH(C279,'Partner data'!DG:DG,0),112)="BL1 non presente","FALSO",INDEX('Partner data'!A:DH,MATCH(C279,'Partner data'!DG:DG,0),112)))</f>
        <v>0</v>
      </c>
      <c r="S279" t="b">
        <f t="shared" si="8"/>
        <v>0</v>
      </c>
      <c r="T279" t="b">
        <f t="shared" si="9"/>
        <v>1</v>
      </c>
      <c r="U279" s="154">
        <f>IFERROR(IF(R279&lt;&gt;FALSE,IF(S279=TRUE,INDEX('SummaryNOT_VALIDATED-BL'!$A$1:$F$16,MATCH(R279,'SummaryNOT_VALIDATED-BL'!$A$1:$A$16,0),6),0),IF(S279=TRUE,INDEX('SummaryNOT_VALIDATED-BL'!$A$1:$F$16,MATCH(E279,'SummaryNOT_VALIDATED-BL'!$A$1:$A$16,0),6),0)),0)</f>
        <v>0</v>
      </c>
      <c r="V279" s="81" cm="1">
        <f t="array" ref="V279">INDEX('Weight tables'!$A$24:$C$27,MATCH(1,(RendicontiTrasmessiBL__2[[#This Row],[Cut percentage on real costs + USC]]&gt;='Weight tables'!$B$24:$B$27)*(RendicontiTrasmessiBL__2[[#This Row],[Cut percentage on real costs + USC]]&lt;='Weight tables'!$C$24:$C$27),0),1)</f>
        <v>0</v>
      </c>
      <c r="W279" s="2">
        <f>RendicontiTrasmessiBL__2[[#This Row],[Weight real costs  + USC ]]</f>
        <v>0</v>
      </c>
    </row>
    <row r="280" spans="1:23" x14ac:dyDescent="0.25">
      <c r="A280" s="1" t="s">
        <v>337</v>
      </c>
      <c r="B280" s="1" t="s">
        <v>292</v>
      </c>
      <c r="C280" s="2">
        <v>122</v>
      </c>
      <c r="D280" s="2">
        <v>22</v>
      </c>
      <c r="E280" s="1" t="s">
        <v>237</v>
      </c>
      <c r="G280">
        <v>0</v>
      </c>
      <c r="H280">
        <v>0</v>
      </c>
      <c r="I280">
        <v>0</v>
      </c>
      <c r="J280">
        <v>0</v>
      </c>
      <c r="K280">
        <v>0</v>
      </c>
      <c r="L280">
        <v>0</v>
      </c>
      <c r="M280">
        <v>0</v>
      </c>
      <c r="N280">
        <v>0</v>
      </c>
      <c r="O280">
        <v>0</v>
      </c>
      <c r="P280">
        <v>0</v>
      </c>
      <c r="Q280" t="str">
        <f>INDEX('Partner data'!A:DH,MATCH(C280,'Partner data'!DG:DG,0),83)</f>
        <v>Soggetto pubblico</v>
      </c>
      <c r="R280" t="b">
        <f>IF(E280="staff",IF(INDEX('Partner data'!A:DH,MATCH(C280,'Partner data'!DG:DG,0),112)="BL1 non presente","FALSO",INDEX('Partner data'!A:DH,MATCH(C280,'Partner data'!DG:DG,0),112)))</f>
        <v>0</v>
      </c>
      <c r="S280" t="b">
        <f t="shared" si="8"/>
        <v>0</v>
      </c>
      <c r="T280" t="b">
        <f t="shared" si="9"/>
        <v>1</v>
      </c>
      <c r="U280" s="154">
        <f>IFERROR(IF(R280&lt;&gt;FALSE,IF(S280=TRUE,INDEX('SummaryNOT_VALIDATED-BL'!$A$1:$F$16,MATCH(R280,'SummaryNOT_VALIDATED-BL'!$A$1:$A$16,0),6),0),IF(S280=TRUE,INDEX('SummaryNOT_VALIDATED-BL'!$A$1:$F$16,MATCH(E280,'SummaryNOT_VALIDATED-BL'!$A$1:$A$16,0),6),0)),0)</f>
        <v>0</v>
      </c>
      <c r="V280" s="81" cm="1">
        <f t="array" ref="V280">INDEX('Weight tables'!$A$24:$C$27,MATCH(1,(RendicontiTrasmessiBL__2[[#This Row],[Cut percentage on real costs + USC]]&gt;='Weight tables'!$B$24:$B$27)*(RendicontiTrasmessiBL__2[[#This Row],[Cut percentage on real costs + USC]]&lt;='Weight tables'!$C$24:$C$27),0),1)</f>
        <v>0</v>
      </c>
      <c r="W280" s="2">
        <f>RendicontiTrasmessiBL__2[[#This Row],[Weight real costs  + USC ]]</f>
        <v>0</v>
      </c>
    </row>
    <row r="281" spans="1:23" x14ac:dyDescent="0.25">
      <c r="A281" s="1" t="s">
        <v>357</v>
      </c>
      <c r="B281" s="1" t="s">
        <v>358</v>
      </c>
      <c r="C281" s="2">
        <v>160</v>
      </c>
      <c r="D281" s="2">
        <v>225</v>
      </c>
      <c r="E281" s="1" t="s">
        <v>228</v>
      </c>
      <c r="G281">
        <v>72975</v>
      </c>
      <c r="H281">
        <v>0</v>
      </c>
      <c r="I281">
        <v>0</v>
      </c>
      <c r="J281">
        <v>10341</v>
      </c>
      <c r="K281">
        <v>0</v>
      </c>
      <c r="L281">
        <v>10341</v>
      </c>
      <c r="M281">
        <v>10341</v>
      </c>
      <c r="N281">
        <v>14.17</v>
      </c>
      <c r="O281">
        <v>62634</v>
      </c>
      <c r="P281">
        <v>0</v>
      </c>
      <c r="Q281" t="str">
        <f>INDEX('Partner data'!A:DH,MATCH(C281,'Partner data'!DG:DG,0),83)</f>
        <v xml:space="preserve">Organismo di diritto pubblico </v>
      </c>
      <c r="R281" t="str">
        <f>IF(E281="staff",IF(INDEX('Partner data'!A:DH,MATCH(C281,'Partner data'!DG:DG,0),112)="BL1 non presente","FALSO",INDEX('Partner data'!A:DH,MATCH(C281,'Partner data'!DG:DG,0),112)))</f>
        <v>Costo Unitario Standard</v>
      </c>
      <c r="S281" t="b">
        <f t="shared" si="8"/>
        <v>1</v>
      </c>
      <c r="T281" t="b">
        <f t="shared" si="9"/>
        <v>1</v>
      </c>
      <c r="U281" s="154">
        <f>IFERROR(IF(R281&lt;&gt;FALSE,IF(S281=TRUE,INDEX('SummaryNOT_VALIDATED-BL'!$A$1:$F$16,MATCH(R281,'SummaryNOT_VALIDATED-BL'!$A$1:$A$16,0),6),0),IF(S281=TRUE,INDEX('SummaryNOT_VALIDATED-BL'!$A$1:$F$16,MATCH(E281,'SummaryNOT_VALIDATED-BL'!$A$1:$A$16,0),6),0)),0)</f>
        <v>3.2052879635441428E-2</v>
      </c>
      <c r="V281" s="81" cm="1">
        <f t="array" ref="V281">INDEX('Weight tables'!$A$24:$C$27,MATCH(1,(RendicontiTrasmessiBL__2[[#This Row],[Cut percentage on real costs + USC]]&gt;='Weight tables'!$B$24:$B$27)*(RendicontiTrasmessiBL__2[[#This Row],[Cut percentage on real costs + USC]]&lt;='Weight tables'!$C$24:$C$27),0),1)</f>
        <v>2</v>
      </c>
      <c r="W281" s="2">
        <f>RendicontiTrasmessiBL__2[[#This Row],[Weight real costs  + USC ]]</f>
        <v>2</v>
      </c>
    </row>
    <row r="282" spans="1:23" x14ac:dyDescent="0.25">
      <c r="A282" s="1" t="s">
        <v>357</v>
      </c>
      <c r="B282" s="1" t="s">
        <v>358</v>
      </c>
      <c r="C282" s="2">
        <v>160</v>
      </c>
      <c r="D282" s="2">
        <v>225</v>
      </c>
      <c r="E282" s="1" t="s">
        <v>229</v>
      </c>
      <c r="F282">
        <v>15</v>
      </c>
      <c r="G282">
        <v>10946.25</v>
      </c>
      <c r="H282">
        <v>0</v>
      </c>
      <c r="I282">
        <v>0</v>
      </c>
      <c r="J282">
        <v>1551.15</v>
      </c>
      <c r="K282">
        <v>0</v>
      </c>
      <c r="L282">
        <v>1551.15</v>
      </c>
      <c r="M282">
        <v>1551.15</v>
      </c>
      <c r="N282">
        <v>14.17</v>
      </c>
      <c r="O282">
        <v>9395.1</v>
      </c>
      <c r="P282">
        <v>0</v>
      </c>
      <c r="Q282" t="str">
        <f>INDEX('Partner data'!A:DH,MATCH(C282,'Partner data'!DG:DG,0),83)</f>
        <v xml:space="preserve">Organismo di diritto pubblico </v>
      </c>
      <c r="R282" t="b">
        <f>IF(E282="staff",IF(INDEX('Partner data'!A:DH,MATCH(C282,'Partner data'!DG:DG,0),112)="BL1 non presente","FALSO",INDEX('Partner data'!A:DH,MATCH(C282,'Partner data'!DG:DG,0),112)))</f>
        <v>0</v>
      </c>
      <c r="S282" t="b">
        <f t="shared" si="8"/>
        <v>1</v>
      </c>
      <c r="T282" t="b">
        <f t="shared" si="9"/>
        <v>1</v>
      </c>
      <c r="U282" s="154">
        <f>IFERROR(IF(R282&lt;&gt;FALSE,IF(S282=TRUE,INDEX('SummaryNOT_VALIDATED-BL'!$A$1:$F$16,MATCH(R282,'SummaryNOT_VALIDATED-BL'!$A$1:$A$16,0),6),0),IF(S282=TRUE,INDEX('SummaryNOT_VALIDATED-BL'!$A$1:$F$16,MATCH(E282,'SummaryNOT_VALIDATED-BL'!$A$1:$A$16,0),6),0)),0)</f>
        <v>6.6460469504890221E-2</v>
      </c>
      <c r="V282" s="81" cm="1">
        <f t="array" ref="V282">INDEX('Weight tables'!$A$24:$C$27,MATCH(1,(RendicontiTrasmessiBL__2[[#This Row],[Cut percentage on real costs + USC]]&gt;='Weight tables'!$B$24:$B$27)*(RendicontiTrasmessiBL__2[[#This Row],[Cut percentage on real costs + USC]]&lt;='Weight tables'!$C$24:$C$27),0),1)</f>
        <v>4</v>
      </c>
      <c r="W282" s="2">
        <f>RendicontiTrasmessiBL__2[[#This Row],[Weight real costs  + USC ]]</f>
        <v>4</v>
      </c>
    </row>
    <row r="283" spans="1:23" x14ac:dyDescent="0.25">
      <c r="A283" s="1" t="s">
        <v>357</v>
      </c>
      <c r="B283" s="1" t="s">
        <v>358</v>
      </c>
      <c r="C283" s="2">
        <v>160</v>
      </c>
      <c r="D283" s="2">
        <v>225</v>
      </c>
      <c r="E283" s="1" t="s">
        <v>230</v>
      </c>
      <c r="F283">
        <v>4</v>
      </c>
      <c r="G283">
        <v>2919</v>
      </c>
      <c r="H283">
        <v>0</v>
      </c>
      <c r="I283">
        <v>0</v>
      </c>
      <c r="J283">
        <v>413.64</v>
      </c>
      <c r="K283">
        <v>0</v>
      </c>
      <c r="L283">
        <v>413.64</v>
      </c>
      <c r="M283">
        <v>413.64</v>
      </c>
      <c r="N283">
        <v>14.17</v>
      </c>
      <c r="O283">
        <v>2505.36</v>
      </c>
      <c r="P283">
        <v>0</v>
      </c>
      <c r="Q283" t="str">
        <f>INDEX('Partner data'!A:DH,MATCH(C283,'Partner data'!DG:DG,0),83)</f>
        <v xml:space="preserve">Organismo di diritto pubblico </v>
      </c>
      <c r="R283" t="b">
        <f>IF(E283="staff",IF(INDEX('Partner data'!A:DH,MATCH(C283,'Partner data'!DG:DG,0),112)="BL1 non presente","FALSO",INDEX('Partner data'!A:DH,MATCH(C283,'Partner data'!DG:DG,0),112)))</f>
        <v>0</v>
      </c>
      <c r="S283" t="b">
        <f t="shared" si="8"/>
        <v>1</v>
      </c>
      <c r="T283" t="b">
        <f t="shared" si="9"/>
        <v>1</v>
      </c>
      <c r="U283" s="154">
        <f>IFERROR(IF(R283&lt;&gt;FALSE,IF(S283=TRUE,INDEX('SummaryNOT_VALIDATED-BL'!$A$1:$F$16,MATCH(R283,'SummaryNOT_VALIDATED-BL'!$A$1:$A$16,0),6),0),IF(S283=TRUE,INDEX('SummaryNOT_VALIDATED-BL'!$A$1:$F$16,MATCH(E283,'SummaryNOT_VALIDATED-BL'!$A$1:$A$16,0),6),0)),0)</f>
        <v>6.3112622236488891E-2</v>
      </c>
      <c r="V283" s="81" cm="1">
        <f t="array" ref="V283">INDEX('Weight tables'!$A$24:$C$27,MATCH(1,(RendicontiTrasmessiBL__2[[#This Row],[Cut percentage on real costs + USC]]&gt;='Weight tables'!$B$24:$B$27)*(RendicontiTrasmessiBL__2[[#This Row],[Cut percentage on real costs + USC]]&lt;='Weight tables'!$C$24:$C$27),0),1)</f>
        <v>4</v>
      </c>
      <c r="W283" s="2">
        <f>RendicontiTrasmessiBL__2[[#This Row],[Weight real costs  + USC ]]</f>
        <v>4</v>
      </c>
    </row>
    <row r="284" spans="1:23" x14ac:dyDescent="0.25">
      <c r="A284" s="1" t="s">
        <v>357</v>
      </c>
      <c r="B284" s="1" t="s">
        <v>358</v>
      </c>
      <c r="C284" s="2">
        <v>160</v>
      </c>
      <c r="D284" s="2">
        <v>225</v>
      </c>
      <c r="E284" s="1" t="s">
        <v>231</v>
      </c>
      <c r="G284">
        <v>97200</v>
      </c>
      <c r="H284">
        <v>0</v>
      </c>
      <c r="I284">
        <v>0</v>
      </c>
      <c r="J284">
        <v>0</v>
      </c>
      <c r="K284">
        <v>0</v>
      </c>
      <c r="L284">
        <v>0</v>
      </c>
      <c r="M284">
        <v>0</v>
      </c>
      <c r="N284">
        <v>0</v>
      </c>
      <c r="O284">
        <v>97200</v>
      </c>
      <c r="P284">
        <v>0</v>
      </c>
      <c r="Q284" t="str">
        <f>INDEX('Partner data'!A:DH,MATCH(C284,'Partner data'!DG:DG,0),83)</f>
        <v xml:space="preserve">Organismo di diritto pubblico </v>
      </c>
      <c r="R284" t="b">
        <f>IF(E284="staff",IF(INDEX('Partner data'!A:DH,MATCH(C284,'Partner data'!DG:DG,0),112)="BL1 non presente","FALSO",INDEX('Partner data'!A:DH,MATCH(C284,'Partner data'!DG:DG,0),112)))</f>
        <v>0</v>
      </c>
      <c r="S284" t="b">
        <f t="shared" si="8"/>
        <v>0</v>
      </c>
      <c r="T284" t="b">
        <f t="shared" si="9"/>
        <v>1</v>
      </c>
      <c r="U284" s="154">
        <f>IFERROR(IF(R284&lt;&gt;FALSE,IF(S284=TRUE,INDEX('SummaryNOT_VALIDATED-BL'!$A$1:$F$16,MATCH(R284,'SummaryNOT_VALIDATED-BL'!$A$1:$A$16,0),6),0),IF(S284=TRUE,INDEX('SummaryNOT_VALIDATED-BL'!$A$1:$F$16,MATCH(E284,'SummaryNOT_VALIDATED-BL'!$A$1:$A$16,0),6),0)),0)</f>
        <v>0</v>
      </c>
      <c r="V284" s="81" cm="1">
        <f t="array" ref="V284">INDEX('Weight tables'!$A$24:$C$27,MATCH(1,(RendicontiTrasmessiBL__2[[#This Row],[Cut percentage on real costs + USC]]&gt;='Weight tables'!$B$24:$B$27)*(RendicontiTrasmessiBL__2[[#This Row],[Cut percentage on real costs + USC]]&lt;='Weight tables'!$C$24:$C$27),0),1)</f>
        <v>0</v>
      </c>
      <c r="W284" s="2">
        <f>RendicontiTrasmessiBL__2[[#This Row],[Weight real costs  + USC ]]</f>
        <v>0</v>
      </c>
    </row>
    <row r="285" spans="1:23" x14ac:dyDescent="0.25">
      <c r="A285" s="1" t="s">
        <v>357</v>
      </c>
      <c r="B285" s="1" t="s">
        <v>358</v>
      </c>
      <c r="C285" s="2">
        <v>160</v>
      </c>
      <c r="D285" s="2">
        <v>225</v>
      </c>
      <c r="E285" s="1" t="s">
        <v>232</v>
      </c>
      <c r="G285">
        <v>5800</v>
      </c>
      <c r="H285">
        <v>0</v>
      </c>
      <c r="I285">
        <v>0</v>
      </c>
      <c r="J285">
        <v>0</v>
      </c>
      <c r="K285">
        <v>0</v>
      </c>
      <c r="L285">
        <v>0</v>
      </c>
      <c r="M285">
        <v>0</v>
      </c>
      <c r="N285">
        <v>0</v>
      </c>
      <c r="O285">
        <v>5800</v>
      </c>
      <c r="P285">
        <v>0</v>
      </c>
      <c r="Q285" t="str">
        <f>INDEX('Partner data'!A:DH,MATCH(C285,'Partner data'!DG:DG,0),83)</f>
        <v xml:space="preserve">Organismo di diritto pubblico </v>
      </c>
      <c r="R285" t="b">
        <f>IF(E285="staff",IF(INDEX('Partner data'!A:DH,MATCH(C285,'Partner data'!DG:DG,0),112)="BL1 non presente","FALSO",INDEX('Partner data'!A:DH,MATCH(C285,'Partner data'!DG:DG,0),112)))</f>
        <v>0</v>
      </c>
      <c r="S285" t="b">
        <f t="shared" si="8"/>
        <v>0</v>
      </c>
      <c r="T285" t="b">
        <f t="shared" si="9"/>
        <v>1</v>
      </c>
      <c r="U285" s="154">
        <f>IFERROR(IF(R285&lt;&gt;FALSE,IF(S285=TRUE,INDEX('SummaryNOT_VALIDATED-BL'!$A$1:$F$16,MATCH(R285,'SummaryNOT_VALIDATED-BL'!$A$1:$A$16,0),6),0),IF(S285=TRUE,INDEX('SummaryNOT_VALIDATED-BL'!$A$1:$F$16,MATCH(E285,'SummaryNOT_VALIDATED-BL'!$A$1:$A$16,0),6),0)),0)</f>
        <v>0</v>
      </c>
      <c r="V285" s="81" cm="1">
        <f t="array" ref="V285">INDEX('Weight tables'!$A$24:$C$27,MATCH(1,(RendicontiTrasmessiBL__2[[#This Row],[Cut percentage on real costs + USC]]&gt;='Weight tables'!$B$24:$B$27)*(RendicontiTrasmessiBL__2[[#This Row],[Cut percentage on real costs + USC]]&lt;='Weight tables'!$C$24:$C$27),0),1)</f>
        <v>0</v>
      </c>
      <c r="W285" s="2">
        <f>RendicontiTrasmessiBL__2[[#This Row],[Weight real costs  + USC ]]</f>
        <v>0</v>
      </c>
    </row>
    <row r="286" spans="1:23" x14ac:dyDescent="0.25">
      <c r="A286" s="1" t="s">
        <v>357</v>
      </c>
      <c r="B286" s="1" t="s">
        <v>358</v>
      </c>
      <c r="C286" s="2">
        <v>160</v>
      </c>
      <c r="D286" s="2">
        <v>225</v>
      </c>
      <c r="E286" s="1" t="s">
        <v>233</v>
      </c>
      <c r="G286">
        <v>0</v>
      </c>
      <c r="H286">
        <v>0</v>
      </c>
      <c r="I286">
        <v>0</v>
      </c>
      <c r="J286">
        <v>0</v>
      </c>
      <c r="K286">
        <v>0</v>
      </c>
      <c r="L286">
        <v>0</v>
      </c>
      <c r="M286">
        <v>0</v>
      </c>
      <c r="N286">
        <v>0</v>
      </c>
      <c r="O286">
        <v>0</v>
      </c>
      <c r="P286">
        <v>0</v>
      </c>
      <c r="Q286" t="str">
        <f>INDEX('Partner data'!A:DH,MATCH(C286,'Partner data'!DG:DG,0),83)</f>
        <v xml:space="preserve">Organismo di diritto pubblico </v>
      </c>
      <c r="R286" t="b">
        <f>IF(E286="staff",IF(INDEX('Partner data'!A:DH,MATCH(C286,'Partner data'!DG:DG,0),112)="BL1 non presente","FALSO",INDEX('Partner data'!A:DH,MATCH(C286,'Partner data'!DG:DG,0),112)))</f>
        <v>0</v>
      </c>
      <c r="S286" t="b">
        <f t="shared" si="8"/>
        <v>0</v>
      </c>
      <c r="T286" t="b">
        <f t="shared" si="9"/>
        <v>1</v>
      </c>
      <c r="U286" s="154">
        <f>IFERROR(IF(R286&lt;&gt;FALSE,IF(S286=TRUE,INDEX('SummaryNOT_VALIDATED-BL'!$A$1:$F$16,MATCH(R286,'SummaryNOT_VALIDATED-BL'!$A$1:$A$16,0),6),0),IF(S286=TRUE,INDEX('SummaryNOT_VALIDATED-BL'!$A$1:$F$16,MATCH(E286,'SummaryNOT_VALIDATED-BL'!$A$1:$A$16,0),6),0)),0)</f>
        <v>0</v>
      </c>
      <c r="V286" s="81" cm="1">
        <f t="array" ref="V286">INDEX('Weight tables'!$A$24:$C$27,MATCH(1,(RendicontiTrasmessiBL__2[[#This Row],[Cut percentage on real costs + USC]]&gt;='Weight tables'!$B$24:$B$27)*(RendicontiTrasmessiBL__2[[#This Row],[Cut percentage on real costs + USC]]&lt;='Weight tables'!$C$24:$C$27),0),1)</f>
        <v>0</v>
      </c>
      <c r="W286" s="2">
        <f>RendicontiTrasmessiBL__2[[#This Row],[Weight real costs  + USC ]]</f>
        <v>0</v>
      </c>
    </row>
    <row r="287" spans="1:23" x14ac:dyDescent="0.25">
      <c r="A287" s="1" t="s">
        <v>357</v>
      </c>
      <c r="B287" s="1" t="s">
        <v>358</v>
      </c>
      <c r="C287" s="2">
        <v>160</v>
      </c>
      <c r="D287" s="2">
        <v>225</v>
      </c>
      <c r="E287" s="1" t="s">
        <v>234</v>
      </c>
      <c r="G287">
        <v>0</v>
      </c>
      <c r="H287">
        <v>0</v>
      </c>
      <c r="I287">
        <v>0</v>
      </c>
      <c r="J287">
        <v>0</v>
      </c>
      <c r="K287">
        <v>0</v>
      </c>
      <c r="L287">
        <v>0</v>
      </c>
      <c r="M287">
        <v>0</v>
      </c>
      <c r="N287">
        <v>0</v>
      </c>
      <c r="O287">
        <v>0</v>
      </c>
      <c r="P287">
        <v>0</v>
      </c>
      <c r="Q287" t="str">
        <f>INDEX('Partner data'!A:DH,MATCH(C287,'Partner data'!DG:DG,0),83)</f>
        <v xml:space="preserve">Organismo di diritto pubblico </v>
      </c>
      <c r="R287" t="b">
        <f>IF(E287="staff",IF(INDEX('Partner data'!A:DH,MATCH(C287,'Partner data'!DG:DG,0),112)="BL1 non presente","FALSO",INDEX('Partner data'!A:DH,MATCH(C287,'Partner data'!DG:DG,0),112)))</f>
        <v>0</v>
      </c>
      <c r="S287" t="b">
        <f t="shared" si="8"/>
        <v>0</v>
      </c>
      <c r="T287" t="b">
        <f t="shared" si="9"/>
        <v>1</v>
      </c>
      <c r="U287" s="154">
        <f>IFERROR(IF(R287&lt;&gt;FALSE,IF(S287=TRUE,INDEX('SummaryNOT_VALIDATED-BL'!$A$1:$F$16,MATCH(R287,'SummaryNOT_VALIDATED-BL'!$A$1:$A$16,0),6),0),IF(S287=TRUE,INDEX('SummaryNOT_VALIDATED-BL'!$A$1:$F$16,MATCH(E287,'SummaryNOT_VALIDATED-BL'!$A$1:$A$16,0),6),0)),0)</f>
        <v>0</v>
      </c>
      <c r="V287" s="81" cm="1">
        <f t="array" ref="V287">INDEX('Weight tables'!$A$24:$C$27,MATCH(1,(RendicontiTrasmessiBL__2[[#This Row],[Cut percentage on real costs + USC]]&gt;='Weight tables'!$B$24:$B$27)*(RendicontiTrasmessiBL__2[[#This Row],[Cut percentage on real costs + USC]]&lt;='Weight tables'!$C$24:$C$27),0),1)</f>
        <v>0</v>
      </c>
      <c r="W287" s="2">
        <f>RendicontiTrasmessiBL__2[[#This Row],[Weight real costs  + USC ]]</f>
        <v>0</v>
      </c>
    </row>
    <row r="288" spans="1:23" x14ac:dyDescent="0.25">
      <c r="A288" s="1" t="s">
        <v>357</v>
      </c>
      <c r="B288" s="1" t="s">
        <v>358</v>
      </c>
      <c r="C288" s="2">
        <v>160</v>
      </c>
      <c r="D288" s="2">
        <v>225</v>
      </c>
      <c r="E288" s="1" t="s">
        <v>236</v>
      </c>
      <c r="G288">
        <v>0</v>
      </c>
      <c r="H288">
        <v>0</v>
      </c>
      <c r="I288">
        <v>0</v>
      </c>
      <c r="J288">
        <v>0</v>
      </c>
      <c r="K288">
        <v>0</v>
      </c>
      <c r="L288">
        <v>0</v>
      </c>
      <c r="M288">
        <v>0</v>
      </c>
      <c r="N288">
        <v>0</v>
      </c>
      <c r="O288">
        <v>0</v>
      </c>
      <c r="P288">
        <v>0</v>
      </c>
      <c r="Q288" t="str">
        <f>INDEX('Partner data'!A:DH,MATCH(C288,'Partner data'!DG:DG,0),83)</f>
        <v xml:space="preserve">Organismo di diritto pubblico </v>
      </c>
      <c r="R288" t="b">
        <f>IF(E288="staff",IF(INDEX('Partner data'!A:DH,MATCH(C288,'Partner data'!DG:DG,0),112)="BL1 non presente","FALSO",INDEX('Partner data'!A:DH,MATCH(C288,'Partner data'!DG:DG,0),112)))</f>
        <v>0</v>
      </c>
      <c r="S288" t="b">
        <f t="shared" si="8"/>
        <v>0</v>
      </c>
      <c r="T288" t="b">
        <f t="shared" si="9"/>
        <v>1</v>
      </c>
      <c r="U288" s="154">
        <f>IFERROR(IF(R288&lt;&gt;FALSE,IF(S288=TRUE,INDEX('SummaryNOT_VALIDATED-BL'!$A$1:$F$16,MATCH(R288,'SummaryNOT_VALIDATED-BL'!$A$1:$A$16,0),6),0),IF(S288=TRUE,INDEX('SummaryNOT_VALIDATED-BL'!$A$1:$F$16,MATCH(E288,'SummaryNOT_VALIDATED-BL'!$A$1:$A$16,0),6),0)),0)</f>
        <v>0</v>
      </c>
      <c r="V288" s="81" cm="1">
        <f t="array" ref="V288">INDEX('Weight tables'!$A$24:$C$27,MATCH(1,(RendicontiTrasmessiBL__2[[#This Row],[Cut percentage on real costs + USC]]&gt;='Weight tables'!$B$24:$B$27)*(RendicontiTrasmessiBL__2[[#This Row],[Cut percentage on real costs + USC]]&lt;='Weight tables'!$C$24:$C$27),0),1)</f>
        <v>0</v>
      </c>
      <c r="W288" s="2">
        <f>RendicontiTrasmessiBL__2[[#This Row],[Weight real costs  + USC ]]</f>
        <v>0</v>
      </c>
    </row>
    <row r="289" spans="1:23" x14ac:dyDescent="0.25">
      <c r="A289" s="1" t="s">
        <v>357</v>
      </c>
      <c r="B289" s="1" t="s">
        <v>358</v>
      </c>
      <c r="C289" s="2">
        <v>160</v>
      </c>
      <c r="D289" s="2">
        <v>225</v>
      </c>
      <c r="E289" s="1" t="s">
        <v>237</v>
      </c>
      <c r="G289">
        <v>0</v>
      </c>
      <c r="H289">
        <v>0</v>
      </c>
      <c r="I289">
        <v>0</v>
      </c>
      <c r="J289">
        <v>0</v>
      </c>
      <c r="K289">
        <v>0</v>
      </c>
      <c r="L289">
        <v>0</v>
      </c>
      <c r="M289">
        <v>0</v>
      </c>
      <c r="N289">
        <v>0</v>
      </c>
      <c r="O289">
        <v>0</v>
      </c>
      <c r="P289">
        <v>0</v>
      </c>
      <c r="Q289" t="str">
        <f>INDEX('Partner data'!A:DH,MATCH(C289,'Partner data'!DG:DG,0),83)</f>
        <v xml:space="preserve">Organismo di diritto pubblico </v>
      </c>
      <c r="R289" t="b">
        <f>IF(E289="staff",IF(INDEX('Partner data'!A:DH,MATCH(C289,'Partner data'!DG:DG,0),112)="BL1 non presente","FALSO",INDEX('Partner data'!A:DH,MATCH(C289,'Partner data'!DG:DG,0),112)))</f>
        <v>0</v>
      </c>
      <c r="S289" t="b">
        <f t="shared" si="8"/>
        <v>0</v>
      </c>
      <c r="T289" t="b">
        <f t="shared" si="9"/>
        <v>1</v>
      </c>
      <c r="U289" s="154">
        <f>IFERROR(IF(R289&lt;&gt;FALSE,IF(S289=TRUE,INDEX('SummaryNOT_VALIDATED-BL'!$A$1:$F$16,MATCH(R289,'SummaryNOT_VALIDATED-BL'!$A$1:$A$16,0),6),0),IF(S289=TRUE,INDEX('SummaryNOT_VALIDATED-BL'!$A$1:$F$16,MATCH(E289,'SummaryNOT_VALIDATED-BL'!$A$1:$A$16,0),6),0)),0)</f>
        <v>0</v>
      </c>
      <c r="V289" s="81" cm="1">
        <f t="array" ref="V289">INDEX('Weight tables'!$A$24:$C$27,MATCH(1,(RendicontiTrasmessiBL__2[[#This Row],[Cut percentage on real costs + USC]]&gt;='Weight tables'!$B$24:$B$27)*(RendicontiTrasmessiBL__2[[#This Row],[Cut percentage on real costs + USC]]&lt;='Weight tables'!$C$24:$C$27),0),1)</f>
        <v>0</v>
      </c>
      <c r="W289" s="2">
        <f>RendicontiTrasmessiBL__2[[#This Row],[Weight real costs  + USC ]]</f>
        <v>0</v>
      </c>
    </row>
    <row r="290" spans="1:23" x14ac:dyDescent="0.25">
      <c r="A290" s="1" t="s">
        <v>357</v>
      </c>
      <c r="B290" s="1" t="s">
        <v>290</v>
      </c>
      <c r="C290" s="2">
        <v>232</v>
      </c>
      <c r="D290" s="2">
        <v>165</v>
      </c>
      <c r="E290" s="1" t="s">
        <v>228</v>
      </c>
      <c r="G290">
        <v>86032</v>
      </c>
      <c r="H290">
        <v>0</v>
      </c>
      <c r="I290">
        <v>0</v>
      </c>
      <c r="J290">
        <v>1650.68</v>
      </c>
      <c r="K290">
        <v>0</v>
      </c>
      <c r="L290">
        <v>1567.09</v>
      </c>
      <c r="M290">
        <v>1650.68</v>
      </c>
      <c r="N290">
        <v>1.92</v>
      </c>
      <c r="O290">
        <v>84381.32</v>
      </c>
      <c r="P290">
        <v>0</v>
      </c>
      <c r="Q290" t="str">
        <f>INDEX('Partner data'!A:DH,MATCH(C290,'Partner data'!DG:DG,0),83)</f>
        <v xml:space="preserve">Organismo di diritto pubblico </v>
      </c>
      <c r="R290" t="str">
        <f>IF(E290="staff",IF(INDEX('Partner data'!A:DH,MATCH(C290,'Partner data'!DG:DG,0),112)="BL1 non presente","FALSO",INDEX('Partner data'!A:DH,MATCH(C290,'Partner data'!DG:DG,0),112)))</f>
        <v>Costo Unitario Standard</v>
      </c>
      <c r="S290" t="b">
        <f t="shared" si="8"/>
        <v>1</v>
      </c>
      <c r="T290" t="b">
        <f t="shared" si="9"/>
        <v>1</v>
      </c>
      <c r="U290" s="154">
        <f>IFERROR(IF(R290&lt;&gt;FALSE,IF(S290=TRUE,INDEX('SummaryNOT_VALIDATED-BL'!$A$1:$F$16,MATCH(R290,'SummaryNOT_VALIDATED-BL'!$A$1:$A$16,0),6),0),IF(S290=TRUE,INDEX('SummaryNOT_VALIDATED-BL'!$A$1:$F$16,MATCH(E290,'SummaryNOT_VALIDATED-BL'!$A$1:$A$16,0),6),0)),0)</f>
        <v>3.2052879635441428E-2</v>
      </c>
      <c r="V290" s="81" cm="1">
        <f t="array" ref="V290">INDEX('Weight tables'!$A$24:$C$27,MATCH(1,(RendicontiTrasmessiBL__2[[#This Row],[Cut percentage on real costs + USC]]&gt;='Weight tables'!$B$24:$B$27)*(RendicontiTrasmessiBL__2[[#This Row],[Cut percentage on real costs + USC]]&lt;='Weight tables'!$C$24:$C$27),0),1)</f>
        <v>2</v>
      </c>
      <c r="W290" s="2">
        <f>RendicontiTrasmessiBL__2[[#This Row],[Weight real costs  + USC ]]</f>
        <v>2</v>
      </c>
    </row>
    <row r="291" spans="1:23" x14ac:dyDescent="0.25">
      <c r="A291" s="1" t="s">
        <v>357</v>
      </c>
      <c r="B291" s="1" t="s">
        <v>290</v>
      </c>
      <c r="C291" s="2">
        <v>232</v>
      </c>
      <c r="D291" s="2">
        <v>165</v>
      </c>
      <c r="E291" s="1" t="s">
        <v>229</v>
      </c>
      <c r="F291">
        <v>15</v>
      </c>
      <c r="G291">
        <v>12904.8</v>
      </c>
      <c r="H291">
        <v>0</v>
      </c>
      <c r="I291">
        <v>0</v>
      </c>
      <c r="J291">
        <v>247.6</v>
      </c>
      <c r="K291">
        <v>0</v>
      </c>
      <c r="L291">
        <v>235.06</v>
      </c>
      <c r="M291">
        <v>247.6</v>
      </c>
      <c r="N291">
        <v>1.92</v>
      </c>
      <c r="O291">
        <v>12657.2</v>
      </c>
      <c r="P291">
        <v>0</v>
      </c>
      <c r="Q291" t="str">
        <f>INDEX('Partner data'!A:DH,MATCH(C291,'Partner data'!DG:DG,0),83)</f>
        <v xml:space="preserve">Organismo di diritto pubblico </v>
      </c>
      <c r="R291" t="b">
        <f>IF(E291="staff",IF(INDEX('Partner data'!A:DH,MATCH(C291,'Partner data'!DG:DG,0),112)="BL1 non presente","FALSO",INDEX('Partner data'!A:DH,MATCH(C291,'Partner data'!DG:DG,0),112)))</f>
        <v>0</v>
      </c>
      <c r="S291" t="b">
        <f t="shared" si="8"/>
        <v>1</v>
      </c>
      <c r="T291" t="b">
        <f t="shared" si="9"/>
        <v>1</v>
      </c>
      <c r="U291" s="154">
        <f>IFERROR(IF(R291&lt;&gt;FALSE,IF(S291=TRUE,INDEX('SummaryNOT_VALIDATED-BL'!$A$1:$F$16,MATCH(R291,'SummaryNOT_VALIDATED-BL'!$A$1:$A$16,0),6),0),IF(S291=TRUE,INDEX('SummaryNOT_VALIDATED-BL'!$A$1:$F$16,MATCH(E291,'SummaryNOT_VALIDATED-BL'!$A$1:$A$16,0),6),0)),0)</f>
        <v>6.6460469504890221E-2</v>
      </c>
      <c r="V291" s="81" cm="1">
        <f t="array" ref="V291">INDEX('Weight tables'!$A$24:$C$27,MATCH(1,(RendicontiTrasmessiBL__2[[#This Row],[Cut percentage on real costs + USC]]&gt;='Weight tables'!$B$24:$B$27)*(RendicontiTrasmessiBL__2[[#This Row],[Cut percentage on real costs + USC]]&lt;='Weight tables'!$C$24:$C$27),0),1)</f>
        <v>4</v>
      </c>
      <c r="W291" s="2">
        <f>RendicontiTrasmessiBL__2[[#This Row],[Weight real costs  + USC ]]</f>
        <v>4</v>
      </c>
    </row>
    <row r="292" spans="1:23" x14ac:dyDescent="0.25">
      <c r="A292" s="1" t="s">
        <v>357</v>
      </c>
      <c r="B292" s="1" t="s">
        <v>290</v>
      </c>
      <c r="C292" s="2">
        <v>232</v>
      </c>
      <c r="D292" s="2">
        <v>165</v>
      </c>
      <c r="E292" s="1" t="s">
        <v>230</v>
      </c>
      <c r="F292">
        <v>4</v>
      </c>
      <c r="G292">
        <v>3441.28</v>
      </c>
      <c r="H292">
        <v>0</v>
      </c>
      <c r="I292">
        <v>0</v>
      </c>
      <c r="J292">
        <v>66.02</v>
      </c>
      <c r="K292">
        <v>0</v>
      </c>
      <c r="L292">
        <v>62.68</v>
      </c>
      <c r="M292">
        <v>66.02</v>
      </c>
      <c r="N292">
        <v>1.92</v>
      </c>
      <c r="O292">
        <v>3375.26</v>
      </c>
      <c r="P292">
        <v>0</v>
      </c>
      <c r="Q292" t="str">
        <f>INDEX('Partner data'!A:DH,MATCH(C292,'Partner data'!DG:DG,0),83)</f>
        <v xml:space="preserve">Organismo di diritto pubblico </v>
      </c>
      <c r="R292" t="b">
        <f>IF(E292="staff",IF(INDEX('Partner data'!A:DH,MATCH(C292,'Partner data'!DG:DG,0),112)="BL1 non presente","FALSO",INDEX('Partner data'!A:DH,MATCH(C292,'Partner data'!DG:DG,0),112)))</f>
        <v>0</v>
      </c>
      <c r="S292" t="b">
        <f t="shared" si="8"/>
        <v>1</v>
      </c>
      <c r="T292" t="b">
        <f t="shared" si="9"/>
        <v>1</v>
      </c>
      <c r="U292" s="154">
        <f>IFERROR(IF(R292&lt;&gt;FALSE,IF(S292=TRUE,INDEX('SummaryNOT_VALIDATED-BL'!$A$1:$F$16,MATCH(R292,'SummaryNOT_VALIDATED-BL'!$A$1:$A$16,0),6),0),IF(S292=TRUE,INDEX('SummaryNOT_VALIDATED-BL'!$A$1:$F$16,MATCH(E292,'SummaryNOT_VALIDATED-BL'!$A$1:$A$16,0),6),0)),0)</f>
        <v>6.3112622236488891E-2</v>
      </c>
      <c r="V292" s="81" cm="1">
        <f t="array" ref="V292">INDEX('Weight tables'!$A$24:$C$27,MATCH(1,(RendicontiTrasmessiBL__2[[#This Row],[Cut percentage on real costs + USC]]&gt;='Weight tables'!$B$24:$B$27)*(RendicontiTrasmessiBL__2[[#This Row],[Cut percentage on real costs + USC]]&lt;='Weight tables'!$C$24:$C$27),0),1)</f>
        <v>4</v>
      </c>
      <c r="W292" s="2">
        <f>RendicontiTrasmessiBL__2[[#This Row],[Weight real costs  + USC ]]</f>
        <v>4</v>
      </c>
    </row>
    <row r="293" spans="1:23" x14ac:dyDescent="0.25">
      <c r="A293" s="1" t="s">
        <v>357</v>
      </c>
      <c r="B293" s="1" t="s">
        <v>290</v>
      </c>
      <c r="C293" s="2">
        <v>232</v>
      </c>
      <c r="D293" s="2">
        <v>165</v>
      </c>
      <c r="E293" s="1" t="s">
        <v>231</v>
      </c>
      <c r="G293">
        <v>14600</v>
      </c>
      <c r="H293">
        <v>0</v>
      </c>
      <c r="I293">
        <v>0</v>
      </c>
      <c r="J293">
        <v>0</v>
      </c>
      <c r="K293">
        <v>0</v>
      </c>
      <c r="L293">
        <v>0</v>
      </c>
      <c r="M293">
        <v>0</v>
      </c>
      <c r="N293">
        <v>0</v>
      </c>
      <c r="O293">
        <v>14600</v>
      </c>
      <c r="P293">
        <v>0</v>
      </c>
      <c r="Q293" t="str">
        <f>INDEX('Partner data'!A:DH,MATCH(C293,'Partner data'!DG:DG,0),83)</f>
        <v xml:space="preserve">Organismo di diritto pubblico </v>
      </c>
      <c r="R293" t="b">
        <f>IF(E293="staff",IF(INDEX('Partner data'!A:DH,MATCH(C293,'Partner data'!DG:DG,0),112)="BL1 non presente","FALSO",INDEX('Partner data'!A:DH,MATCH(C293,'Partner data'!DG:DG,0),112)))</f>
        <v>0</v>
      </c>
      <c r="S293" t="b">
        <f t="shared" si="8"/>
        <v>0</v>
      </c>
      <c r="T293" t="b">
        <f t="shared" si="9"/>
        <v>1</v>
      </c>
      <c r="U293" s="154">
        <f>IFERROR(IF(R293&lt;&gt;FALSE,IF(S293=TRUE,INDEX('SummaryNOT_VALIDATED-BL'!$A$1:$F$16,MATCH(R293,'SummaryNOT_VALIDATED-BL'!$A$1:$A$16,0),6),0),IF(S293=TRUE,INDEX('SummaryNOT_VALIDATED-BL'!$A$1:$F$16,MATCH(E293,'SummaryNOT_VALIDATED-BL'!$A$1:$A$16,0),6),0)),0)</f>
        <v>0</v>
      </c>
      <c r="V293" s="81" cm="1">
        <f t="array" ref="V293">INDEX('Weight tables'!$A$24:$C$27,MATCH(1,(RendicontiTrasmessiBL__2[[#This Row],[Cut percentage on real costs + USC]]&gt;='Weight tables'!$B$24:$B$27)*(RendicontiTrasmessiBL__2[[#This Row],[Cut percentage on real costs + USC]]&lt;='Weight tables'!$C$24:$C$27),0),1)</f>
        <v>0</v>
      </c>
      <c r="W293" s="2">
        <f>RendicontiTrasmessiBL__2[[#This Row],[Weight real costs  + USC ]]</f>
        <v>0</v>
      </c>
    </row>
    <row r="294" spans="1:23" x14ac:dyDescent="0.25">
      <c r="A294" s="1" t="s">
        <v>357</v>
      </c>
      <c r="B294" s="1" t="s">
        <v>290</v>
      </c>
      <c r="C294" s="2">
        <v>232</v>
      </c>
      <c r="D294" s="2">
        <v>165</v>
      </c>
      <c r="E294" s="1" t="s">
        <v>232</v>
      </c>
      <c r="G294">
        <v>12000</v>
      </c>
      <c r="H294">
        <v>0</v>
      </c>
      <c r="I294">
        <v>0</v>
      </c>
      <c r="J294">
        <v>4066.78</v>
      </c>
      <c r="K294">
        <v>0</v>
      </c>
      <c r="L294">
        <v>4066.78</v>
      </c>
      <c r="M294">
        <v>4066.78</v>
      </c>
      <c r="N294">
        <v>33.89</v>
      </c>
      <c r="O294">
        <v>7933.22</v>
      </c>
      <c r="P294">
        <v>0</v>
      </c>
      <c r="Q294" t="str">
        <f>INDEX('Partner data'!A:DH,MATCH(C294,'Partner data'!DG:DG,0),83)</f>
        <v xml:space="preserve">Organismo di diritto pubblico </v>
      </c>
      <c r="R294" t="b">
        <f>IF(E294="staff",IF(INDEX('Partner data'!A:DH,MATCH(C294,'Partner data'!DG:DG,0),112)="BL1 non presente","FALSO",INDEX('Partner data'!A:DH,MATCH(C294,'Partner data'!DG:DG,0),112)))</f>
        <v>0</v>
      </c>
      <c r="S294" t="b">
        <f t="shared" si="8"/>
        <v>1</v>
      </c>
      <c r="T294" t="b">
        <f t="shared" si="9"/>
        <v>1</v>
      </c>
      <c r="U294" s="154">
        <f>IFERROR(IF(R294&lt;&gt;FALSE,IF(S294=TRUE,INDEX('SummaryNOT_VALIDATED-BL'!$A$1:$F$16,MATCH(R294,'SummaryNOT_VALIDATED-BL'!$A$1:$A$16,0),6),0),IF(S294=TRUE,INDEX('SummaryNOT_VALIDATED-BL'!$A$1:$F$16,MATCH(E294,'SummaryNOT_VALIDATED-BL'!$A$1:$A$16,0),6),0)),0)</f>
        <v>1.102169095281242E-2</v>
      </c>
      <c r="V294" s="81" cm="1">
        <f t="array" ref="V294">INDEX('Weight tables'!$A$24:$C$27,MATCH(1,(RendicontiTrasmessiBL__2[[#This Row],[Cut percentage on real costs + USC]]&gt;='Weight tables'!$B$24:$B$27)*(RendicontiTrasmessiBL__2[[#This Row],[Cut percentage on real costs + USC]]&lt;='Weight tables'!$C$24:$C$27),0),1)</f>
        <v>0</v>
      </c>
      <c r="W294" s="2">
        <f>RendicontiTrasmessiBL__2[[#This Row],[Weight real costs  + USC ]]</f>
        <v>0</v>
      </c>
    </row>
    <row r="295" spans="1:23" x14ac:dyDescent="0.25">
      <c r="A295" s="1" t="s">
        <v>357</v>
      </c>
      <c r="B295" s="1" t="s">
        <v>290</v>
      </c>
      <c r="C295" s="2">
        <v>232</v>
      </c>
      <c r="D295" s="2">
        <v>165</v>
      </c>
      <c r="E295" s="1" t="s">
        <v>233</v>
      </c>
      <c r="G295">
        <v>0</v>
      </c>
      <c r="H295">
        <v>0</v>
      </c>
      <c r="I295">
        <v>0</v>
      </c>
      <c r="J295">
        <v>0</v>
      </c>
      <c r="K295">
        <v>0</v>
      </c>
      <c r="L295">
        <v>0</v>
      </c>
      <c r="M295">
        <v>0</v>
      </c>
      <c r="N295">
        <v>0</v>
      </c>
      <c r="O295">
        <v>0</v>
      </c>
      <c r="P295">
        <v>0</v>
      </c>
      <c r="Q295" t="str">
        <f>INDEX('Partner data'!A:DH,MATCH(C295,'Partner data'!DG:DG,0),83)</f>
        <v xml:space="preserve">Organismo di diritto pubblico </v>
      </c>
      <c r="R295" t="b">
        <f>IF(E295="staff",IF(INDEX('Partner data'!A:DH,MATCH(C295,'Partner data'!DG:DG,0),112)="BL1 non presente","FALSO",INDEX('Partner data'!A:DH,MATCH(C295,'Partner data'!DG:DG,0),112)))</f>
        <v>0</v>
      </c>
      <c r="S295" t="b">
        <f t="shared" si="8"/>
        <v>0</v>
      </c>
      <c r="T295" t="b">
        <f t="shared" si="9"/>
        <v>1</v>
      </c>
      <c r="U295" s="154">
        <f>IFERROR(IF(R295&lt;&gt;FALSE,IF(S295=TRUE,INDEX('SummaryNOT_VALIDATED-BL'!$A$1:$F$16,MATCH(R295,'SummaryNOT_VALIDATED-BL'!$A$1:$A$16,0),6),0),IF(S295=TRUE,INDEX('SummaryNOT_VALIDATED-BL'!$A$1:$F$16,MATCH(E295,'SummaryNOT_VALIDATED-BL'!$A$1:$A$16,0),6),0)),0)</f>
        <v>0</v>
      </c>
      <c r="V295" s="81" cm="1">
        <f t="array" ref="V295">INDEX('Weight tables'!$A$24:$C$27,MATCH(1,(RendicontiTrasmessiBL__2[[#This Row],[Cut percentage on real costs + USC]]&gt;='Weight tables'!$B$24:$B$27)*(RendicontiTrasmessiBL__2[[#This Row],[Cut percentage on real costs + USC]]&lt;='Weight tables'!$C$24:$C$27),0),1)</f>
        <v>0</v>
      </c>
      <c r="W295" s="2">
        <f>RendicontiTrasmessiBL__2[[#This Row],[Weight real costs  + USC ]]</f>
        <v>0</v>
      </c>
    </row>
    <row r="296" spans="1:23" x14ac:dyDescent="0.25">
      <c r="A296" s="1" t="s">
        <v>357</v>
      </c>
      <c r="B296" s="1" t="s">
        <v>290</v>
      </c>
      <c r="C296" s="2">
        <v>232</v>
      </c>
      <c r="D296" s="2">
        <v>165</v>
      </c>
      <c r="E296" s="1" t="s">
        <v>234</v>
      </c>
      <c r="G296">
        <v>0</v>
      </c>
      <c r="H296">
        <v>0</v>
      </c>
      <c r="I296">
        <v>0</v>
      </c>
      <c r="J296">
        <v>0</v>
      </c>
      <c r="K296">
        <v>0</v>
      </c>
      <c r="L296">
        <v>0</v>
      </c>
      <c r="M296">
        <v>0</v>
      </c>
      <c r="N296">
        <v>0</v>
      </c>
      <c r="O296">
        <v>0</v>
      </c>
      <c r="P296">
        <v>0</v>
      </c>
      <c r="Q296" t="str">
        <f>INDEX('Partner data'!A:DH,MATCH(C296,'Partner data'!DG:DG,0),83)</f>
        <v xml:space="preserve">Organismo di diritto pubblico </v>
      </c>
      <c r="R296" t="b">
        <f>IF(E296="staff",IF(INDEX('Partner data'!A:DH,MATCH(C296,'Partner data'!DG:DG,0),112)="BL1 non presente","FALSO",INDEX('Partner data'!A:DH,MATCH(C296,'Partner data'!DG:DG,0),112)))</f>
        <v>0</v>
      </c>
      <c r="S296" t="b">
        <f t="shared" si="8"/>
        <v>0</v>
      </c>
      <c r="T296" t="b">
        <f t="shared" si="9"/>
        <v>1</v>
      </c>
      <c r="U296" s="154">
        <f>IFERROR(IF(R296&lt;&gt;FALSE,IF(S296=TRUE,INDEX('SummaryNOT_VALIDATED-BL'!$A$1:$F$16,MATCH(R296,'SummaryNOT_VALIDATED-BL'!$A$1:$A$16,0),6),0),IF(S296=TRUE,INDEX('SummaryNOT_VALIDATED-BL'!$A$1:$F$16,MATCH(E296,'SummaryNOT_VALIDATED-BL'!$A$1:$A$16,0),6),0)),0)</f>
        <v>0</v>
      </c>
      <c r="V296" s="81" cm="1">
        <f t="array" ref="V296">INDEX('Weight tables'!$A$24:$C$27,MATCH(1,(RendicontiTrasmessiBL__2[[#This Row],[Cut percentage on real costs + USC]]&gt;='Weight tables'!$B$24:$B$27)*(RendicontiTrasmessiBL__2[[#This Row],[Cut percentage on real costs + USC]]&lt;='Weight tables'!$C$24:$C$27),0),1)</f>
        <v>0</v>
      </c>
      <c r="W296" s="2">
        <f>RendicontiTrasmessiBL__2[[#This Row],[Weight real costs  + USC ]]</f>
        <v>0</v>
      </c>
    </row>
    <row r="297" spans="1:23" x14ac:dyDescent="0.25">
      <c r="A297" s="1" t="s">
        <v>357</v>
      </c>
      <c r="B297" s="1" t="s">
        <v>290</v>
      </c>
      <c r="C297" s="2">
        <v>232</v>
      </c>
      <c r="D297" s="2">
        <v>165</v>
      </c>
      <c r="E297" s="1" t="s">
        <v>236</v>
      </c>
      <c r="G297">
        <v>0</v>
      </c>
      <c r="H297">
        <v>0</v>
      </c>
      <c r="I297">
        <v>0</v>
      </c>
      <c r="J297">
        <v>0</v>
      </c>
      <c r="K297">
        <v>0</v>
      </c>
      <c r="L297">
        <v>0</v>
      </c>
      <c r="M297">
        <v>0</v>
      </c>
      <c r="N297">
        <v>0</v>
      </c>
      <c r="O297">
        <v>0</v>
      </c>
      <c r="P297">
        <v>0</v>
      </c>
      <c r="Q297" t="str">
        <f>INDEX('Partner data'!A:DH,MATCH(C297,'Partner data'!DG:DG,0),83)</f>
        <v xml:space="preserve">Organismo di diritto pubblico </v>
      </c>
      <c r="R297" t="b">
        <f>IF(E297="staff",IF(INDEX('Partner data'!A:DH,MATCH(C297,'Partner data'!DG:DG,0),112)="BL1 non presente","FALSO",INDEX('Partner data'!A:DH,MATCH(C297,'Partner data'!DG:DG,0),112)))</f>
        <v>0</v>
      </c>
      <c r="S297" t="b">
        <f t="shared" si="8"/>
        <v>0</v>
      </c>
      <c r="T297" t="b">
        <f t="shared" si="9"/>
        <v>1</v>
      </c>
      <c r="U297" s="154">
        <f>IFERROR(IF(R297&lt;&gt;FALSE,IF(S297=TRUE,INDEX('SummaryNOT_VALIDATED-BL'!$A$1:$F$16,MATCH(R297,'SummaryNOT_VALIDATED-BL'!$A$1:$A$16,0),6),0),IF(S297=TRUE,INDEX('SummaryNOT_VALIDATED-BL'!$A$1:$F$16,MATCH(E297,'SummaryNOT_VALIDATED-BL'!$A$1:$A$16,0),6),0)),0)</f>
        <v>0</v>
      </c>
      <c r="V297" s="81" cm="1">
        <f t="array" ref="V297">INDEX('Weight tables'!$A$24:$C$27,MATCH(1,(RendicontiTrasmessiBL__2[[#This Row],[Cut percentage on real costs + USC]]&gt;='Weight tables'!$B$24:$B$27)*(RendicontiTrasmessiBL__2[[#This Row],[Cut percentage on real costs + USC]]&lt;='Weight tables'!$C$24:$C$27),0),1)</f>
        <v>0</v>
      </c>
      <c r="W297" s="2">
        <f>RendicontiTrasmessiBL__2[[#This Row],[Weight real costs  + USC ]]</f>
        <v>0</v>
      </c>
    </row>
    <row r="298" spans="1:23" x14ac:dyDescent="0.25">
      <c r="A298" s="1" t="s">
        <v>357</v>
      </c>
      <c r="B298" s="1" t="s">
        <v>290</v>
      </c>
      <c r="C298" s="2">
        <v>232</v>
      </c>
      <c r="D298" s="2">
        <v>165</v>
      </c>
      <c r="E298" s="1" t="s">
        <v>237</v>
      </c>
      <c r="G298">
        <v>0</v>
      </c>
      <c r="H298">
        <v>0</v>
      </c>
      <c r="I298">
        <v>0</v>
      </c>
      <c r="J298">
        <v>0</v>
      </c>
      <c r="K298">
        <v>0</v>
      </c>
      <c r="L298">
        <v>0</v>
      </c>
      <c r="M298">
        <v>0</v>
      </c>
      <c r="N298">
        <v>0</v>
      </c>
      <c r="O298">
        <v>0</v>
      </c>
      <c r="P298">
        <v>0</v>
      </c>
      <c r="Q298" t="str">
        <f>INDEX('Partner data'!A:DH,MATCH(C298,'Partner data'!DG:DG,0),83)</f>
        <v xml:space="preserve">Organismo di diritto pubblico </v>
      </c>
      <c r="R298" t="b">
        <f>IF(E298="staff",IF(INDEX('Partner data'!A:DH,MATCH(C298,'Partner data'!DG:DG,0),112)="BL1 non presente","FALSO",INDEX('Partner data'!A:DH,MATCH(C298,'Partner data'!DG:DG,0),112)))</f>
        <v>0</v>
      </c>
      <c r="S298" t="b">
        <f t="shared" si="8"/>
        <v>0</v>
      </c>
      <c r="T298" t="b">
        <f t="shared" si="9"/>
        <v>1</v>
      </c>
      <c r="U298" s="154">
        <f>IFERROR(IF(R298&lt;&gt;FALSE,IF(S298=TRUE,INDEX('SummaryNOT_VALIDATED-BL'!$A$1:$F$16,MATCH(R298,'SummaryNOT_VALIDATED-BL'!$A$1:$A$16,0),6),0),IF(S298=TRUE,INDEX('SummaryNOT_VALIDATED-BL'!$A$1:$F$16,MATCH(E298,'SummaryNOT_VALIDATED-BL'!$A$1:$A$16,0),6),0)),0)</f>
        <v>0</v>
      </c>
      <c r="V298" s="81" cm="1">
        <f t="array" ref="V298">INDEX('Weight tables'!$A$24:$C$27,MATCH(1,(RendicontiTrasmessiBL__2[[#This Row],[Cut percentage on real costs + USC]]&gt;='Weight tables'!$B$24:$B$27)*(RendicontiTrasmessiBL__2[[#This Row],[Cut percentage on real costs + USC]]&lt;='Weight tables'!$C$24:$C$27),0),1)</f>
        <v>0</v>
      </c>
      <c r="W298" s="2">
        <f>RendicontiTrasmessiBL__2[[#This Row],[Weight real costs  + USC ]]</f>
        <v>0</v>
      </c>
    </row>
    <row r="299" spans="1:23" x14ac:dyDescent="0.25">
      <c r="A299" s="1" t="s">
        <v>357</v>
      </c>
      <c r="B299" s="1" t="s">
        <v>56</v>
      </c>
      <c r="C299" s="2">
        <v>209</v>
      </c>
      <c r="D299" s="2">
        <v>257</v>
      </c>
      <c r="E299" s="1" t="s">
        <v>228</v>
      </c>
      <c r="G299">
        <v>78000</v>
      </c>
      <c r="H299">
        <v>0</v>
      </c>
      <c r="I299">
        <v>0</v>
      </c>
      <c r="J299">
        <v>13603.52</v>
      </c>
      <c r="K299">
        <v>0</v>
      </c>
      <c r="L299">
        <v>12992.64</v>
      </c>
      <c r="M299">
        <v>13603.52</v>
      </c>
      <c r="N299">
        <v>17.440000000000001</v>
      </c>
      <c r="O299">
        <v>64396.480000000003</v>
      </c>
      <c r="P299">
        <v>0</v>
      </c>
      <c r="Q299" t="str">
        <f>INDEX('Partner data'!A:DH,MATCH(C299,'Partner data'!DG:DG,0),83)</f>
        <v>Soggetto pubblico</v>
      </c>
      <c r="R299" t="str">
        <f>IF(E299="staff",IF(INDEX('Partner data'!A:DH,MATCH(C299,'Partner data'!DG:DG,0),112)="BL1 non presente","FALSO",INDEX('Partner data'!A:DH,MATCH(C299,'Partner data'!DG:DG,0),112)))</f>
        <v>COSTO REALE</v>
      </c>
      <c r="S299" t="b">
        <f t="shared" si="8"/>
        <v>1</v>
      </c>
      <c r="T299" t="b">
        <f t="shared" si="9"/>
        <v>1</v>
      </c>
      <c r="U299" s="154">
        <f>IFERROR(IF(R299&lt;&gt;FALSE,IF(S299=TRUE,INDEX('SummaryNOT_VALIDATED-BL'!$A$1:$F$16,MATCH(R299,'SummaryNOT_VALIDATED-BL'!$A$1:$A$16,0),6),0),IF(S299=TRUE,INDEX('SummaryNOT_VALIDATED-BL'!$A$1:$F$16,MATCH(E299,'SummaryNOT_VALIDATED-BL'!$A$1:$A$16,0),6),0)),0)</f>
        <v>9.1604133276901048E-2</v>
      </c>
      <c r="V299" s="81" cm="1">
        <f t="array" ref="V299">INDEX('Weight tables'!$A$24:$C$27,MATCH(1,(RendicontiTrasmessiBL__2[[#This Row],[Cut percentage on real costs + USC]]&gt;='Weight tables'!$B$24:$B$27)*(RendicontiTrasmessiBL__2[[#This Row],[Cut percentage on real costs + USC]]&lt;='Weight tables'!$C$24:$C$27),0),1)</f>
        <v>4</v>
      </c>
      <c r="W299" s="2">
        <f>RendicontiTrasmessiBL__2[[#This Row],[Weight real costs  + USC ]]</f>
        <v>4</v>
      </c>
    </row>
    <row r="300" spans="1:23" x14ac:dyDescent="0.25">
      <c r="A300" s="1" t="s">
        <v>357</v>
      </c>
      <c r="B300" s="1" t="s">
        <v>56</v>
      </c>
      <c r="C300" s="2">
        <v>209</v>
      </c>
      <c r="D300" s="2">
        <v>257</v>
      </c>
      <c r="E300" s="1" t="s">
        <v>229</v>
      </c>
      <c r="G300">
        <v>0</v>
      </c>
      <c r="H300">
        <v>0</v>
      </c>
      <c r="I300">
        <v>0</v>
      </c>
      <c r="J300">
        <v>0</v>
      </c>
      <c r="K300">
        <v>0</v>
      </c>
      <c r="L300">
        <v>0</v>
      </c>
      <c r="M300">
        <v>0</v>
      </c>
      <c r="N300">
        <v>0</v>
      </c>
      <c r="O300">
        <v>0</v>
      </c>
      <c r="P300">
        <v>0</v>
      </c>
      <c r="Q300" t="str">
        <f>INDEX('Partner data'!A:DH,MATCH(C300,'Partner data'!DG:DG,0),83)</f>
        <v>Soggetto pubblico</v>
      </c>
      <c r="R300" t="b">
        <f>IF(E300="staff",IF(INDEX('Partner data'!A:DH,MATCH(C300,'Partner data'!DG:DG,0),112)="BL1 non presente","FALSO",INDEX('Partner data'!A:DH,MATCH(C300,'Partner data'!DG:DG,0),112)))</f>
        <v>0</v>
      </c>
      <c r="S300" t="b">
        <f t="shared" si="8"/>
        <v>0</v>
      </c>
      <c r="T300" t="b">
        <f t="shared" si="9"/>
        <v>1</v>
      </c>
      <c r="U300" s="154">
        <f>IFERROR(IF(R300&lt;&gt;FALSE,IF(S300=TRUE,INDEX('SummaryNOT_VALIDATED-BL'!$A$1:$F$16,MATCH(R300,'SummaryNOT_VALIDATED-BL'!$A$1:$A$16,0),6),0),IF(S300=TRUE,INDEX('SummaryNOT_VALIDATED-BL'!$A$1:$F$16,MATCH(E300,'SummaryNOT_VALIDATED-BL'!$A$1:$A$16,0),6),0)),0)</f>
        <v>0</v>
      </c>
      <c r="V300" s="81" cm="1">
        <f t="array" ref="V300">INDEX('Weight tables'!$A$24:$C$27,MATCH(1,(RendicontiTrasmessiBL__2[[#This Row],[Cut percentage on real costs + USC]]&gt;='Weight tables'!$B$24:$B$27)*(RendicontiTrasmessiBL__2[[#This Row],[Cut percentage on real costs + USC]]&lt;='Weight tables'!$C$24:$C$27),0),1)</f>
        <v>0</v>
      </c>
      <c r="W300" s="2">
        <f>RendicontiTrasmessiBL__2[[#This Row],[Weight real costs  + USC ]]</f>
        <v>0</v>
      </c>
    </row>
    <row r="301" spans="1:23" x14ac:dyDescent="0.25">
      <c r="A301" s="1" t="s">
        <v>357</v>
      </c>
      <c r="B301" s="1" t="s">
        <v>56</v>
      </c>
      <c r="C301" s="2">
        <v>209</v>
      </c>
      <c r="D301" s="2">
        <v>257</v>
      </c>
      <c r="E301" s="1" t="s">
        <v>230</v>
      </c>
      <c r="G301">
        <v>0</v>
      </c>
      <c r="H301">
        <v>0</v>
      </c>
      <c r="I301">
        <v>0</v>
      </c>
      <c r="J301">
        <v>0</v>
      </c>
      <c r="K301">
        <v>0</v>
      </c>
      <c r="L301">
        <v>0</v>
      </c>
      <c r="M301">
        <v>0</v>
      </c>
      <c r="N301">
        <v>0</v>
      </c>
      <c r="O301">
        <v>0</v>
      </c>
      <c r="P301">
        <v>0</v>
      </c>
      <c r="Q301" t="str">
        <f>INDEX('Partner data'!A:DH,MATCH(C301,'Partner data'!DG:DG,0),83)</f>
        <v>Soggetto pubblico</v>
      </c>
      <c r="R301" t="b">
        <f>IF(E301="staff",IF(INDEX('Partner data'!A:DH,MATCH(C301,'Partner data'!DG:DG,0),112)="BL1 non presente","FALSO",INDEX('Partner data'!A:DH,MATCH(C301,'Partner data'!DG:DG,0),112)))</f>
        <v>0</v>
      </c>
      <c r="S301" t="b">
        <f t="shared" si="8"/>
        <v>0</v>
      </c>
      <c r="T301" t="b">
        <f t="shared" si="9"/>
        <v>1</v>
      </c>
      <c r="U301" s="154">
        <f>IFERROR(IF(R301&lt;&gt;FALSE,IF(S301=TRUE,INDEX('SummaryNOT_VALIDATED-BL'!$A$1:$F$16,MATCH(R301,'SummaryNOT_VALIDATED-BL'!$A$1:$A$16,0),6),0),IF(S301=TRUE,INDEX('SummaryNOT_VALIDATED-BL'!$A$1:$F$16,MATCH(E301,'SummaryNOT_VALIDATED-BL'!$A$1:$A$16,0),6),0)),0)</f>
        <v>0</v>
      </c>
      <c r="V301" s="81" cm="1">
        <f t="array" ref="V301">INDEX('Weight tables'!$A$24:$C$27,MATCH(1,(RendicontiTrasmessiBL__2[[#This Row],[Cut percentage on real costs + USC]]&gt;='Weight tables'!$B$24:$B$27)*(RendicontiTrasmessiBL__2[[#This Row],[Cut percentage on real costs + USC]]&lt;='Weight tables'!$C$24:$C$27),0),1)</f>
        <v>0</v>
      </c>
      <c r="W301" s="2">
        <f>RendicontiTrasmessiBL__2[[#This Row],[Weight real costs  + USC ]]</f>
        <v>0</v>
      </c>
    </row>
    <row r="302" spans="1:23" x14ac:dyDescent="0.25">
      <c r="A302" s="1" t="s">
        <v>357</v>
      </c>
      <c r="B302" s="1" t="s">
        <v>56</v>
      </c>
      <c r="C302" s="2">
        <v>209</v>
      </c>
      <c r="D302" s="2">
        <v>257</v>
      </c>
      <c r="E302" s="1" t="s">
        <v>231</v>
      </c>
      <c r="G302">
        <v>0</v>
      </c>
      <c r="H302">
        <v>0</v>
      </c>
      <c r="I302">
        <v>0</v>
      </c>
      <c r="J302">
        <v>0</v>
      </c>
      <c r="K302">
        <v>0</v>
      </c>
      <c r="L302">
        <v>0</v>
      </c>
      <c r="M302">
        <v>0</v>
      </c>
      <c r="N302">
        <v>0</v>
      </c>
      <c r="O302">
        <v>0</v>
      </c>
      <c r="P302">
        <v>0</v>
      </c>
      <c r="Q302" t="str">
        <f>INDEX('Partner data'!A:DH,MATCH(C302,'Partner data'!DG:DG,0),83)</f>
        <v>Soggetto pubblico</v>
      </c>
      <c r="R302" t="b">
        <f>IF(E302="staff",IF(INDEX('Partner data'!A:DH,MATCH(C302,'Partner data'!DG:DG,0),112)="BL1 non presente","FALSO",INDEX('Partner data'!A:DH,MATCH(C302,'Partner data'!DG:DG,0),112)))</f>
        <v>0</v>
      </c>
      <c r="S302" t="b">
        <f t="shared" si="8"/>
        <v>0</v>
      </c>
      <c r="T302" t="b">
        <f t="shared" si="9"/>
        <v>1</v>
      </c>
      <c r="U302" s="154">
        <f>IFERROR(IF(R302&lt;&gt;FALSE,IF(S302=TRUE,INDEX('SummaryNOT_VALIDATED-BL'!$A$1:$F$16,MATCH(R302,'SummaryNOT_VALIDATED-BL'!$A$1:$A$16,0),6),0),IF(S302=TRUE,INDEX('SummaryNOT_VALIDATED-BL'!$A$1:$F$16,MATCH(E302,'SummaryNOT_VALIDATED-BL'!$A$1:$A$16,0),6),0)),0)</f>
        <v>0</v>
      </c>
      <c r="V302" s="81" cm="1">
        <f t="array" ref="V302">INDEX('Weight tables'!$A$24:$C$27,MATCH(1,(RendicontiTrasmessiBL__2[[#This Row],[Cut percentage on real costs + USC]]&gt;='Weight tables'!$B$24:$B$27)*(RendicontiTrasmessiBL__2[[#This Row],[Cut percentage on real costs + USC]]&lt;='Weight tables'!$C$24:$C$27),0),1)</f>
        <v>0</v>
      </c>
      <c r="W302" s="2">
        <f>RendicontiTrasmessiBL__2[[#This Row],[Weight real costs  + USC ]]</f>
        <v>0</v>
      </c>
    </row>
    <row r="303" spans="1:23" x14ac:dyDescent="0.25">
      <c r="A303" s="1" t="s">
        <v>357</v>
      </c>
      <c r="B303" s="1" t="s">
        <v>56</v>
      </c>
      <c r="C303" s="2">
        <v>209</v>
      </c>
      <c r="D303" s="2">
        <v>257</v>
      </c>
      <c r="E303" s="1" t="s">
        <v>232</v>
      </c>
      <c r="G303">
        <v>0</v>
      </c>
      <c r="H303">
        <v>0</v>
      </c>
      <c r="I303">
        <v>0</v>
      </c>
      <c r="J303">
        <v>0</v>
      </c>
      <c r="K303">
        <v>0</v>
      </c>
      <c r="L303">
        <v>0</v>
      </c>
      <c r="M303">
        <v>0</v>
      </c>
      <c r="N303">
        <v>0</v>
      </c>
      <c r="O303">
        <v>0</v>
      </c>
      <c r="P303">
        <v>0</v>
      </c>
      <c r="Q303" t="str">
        <f>INDEX('Partner data'!A:DH,MATCH(C303,'Partner data'!DG:DG,0),83)</f>
        <v>Soggetto pubblico</v>
      </c>
      <c r="R303" t="b">
        <f>IF(E303="staff",IF(INDEX('Partner data'!A:DH,MATCH(C303,'Partner data'!DG:DG,0),112)="BL1 non presente","FALSO",INDEX('Partner data'!A:DH,MATCH(C303,'Partner data'!DG:DG,0),112)))</f>
        <v>0</v>
      </c>
      <c r="S303" t="b">
        <f t="shared" si="8"/>
        <v>0</v>
      </c>
      <c r="T303" t="b">
        <f t="shared" si="9"/>
        <v>1</v>
      </c>
      <c r="U303" s="154">
        <f>IFERROR(IF(R303&lt;&gt;FALSE,IF(S303=TRUE,INDEX('SummaryNOT_VALIDATED-BL'!$A$1:$F$16,MATCH(R303,'SummaryNOT_VALIDATED-BL'!$A$1:$A$16,0),6),0),IF(S303=TRUE,INDEX('SummaryNOT_VALIDATED-BL'!$A$1:$F$16,MATCH(E303,'SummaryNOT_VALIDATED-BL'!$A$1:$A$16,0),6),0)),0)</f>
        <v>0</v>
      </c>
      <c r="V303" s="81" cm="1">
        <f t="array" ref="V303">INDEX('Weight tables'!$A$24:$C$27,MATCH(1,(RendicontiTrasmessiBL__2[[#This Row],[Cut percentage on real costs + USC]]&gt;='Weight tables'!$B$24:$B$27)*(RendicontiTrasmessiBL__2[[#This Row],[Cut percentage on real costs + USC]]&lt;='Weight tables'!$C$24:$C$27),0),1)</f>
        <v>0</v>
      </c>
      <c r="W303" s="2">
        <f>RendicontiTrasmessiBL__2[[#This Row],[Weight real costs  + USC ]]</f>
        <v>0</v>
      </c>
    </row>
    <row r="304" spans="1:23" x14ac:dyDescent="0.25">
      <c r="A304" s="1" t="s">
        <v>357</v>
      </c>
      <c r="B304" s="1" t="s">
        <v>56</v>
      </c>
      <c r="C304" s="2">
        <v>209</v>
      </c>
      <c r="D304" s="2">
        <v>257</v>
      </c>
      <c r="E304" s="1" t="s">
        <v>233</v>
      </c>
      <c r="G304">
        <v>0</v>
      </c>
      <c r="H304">
        <v>0</v>
      </c>
      <c r="I304">
        <v>0</v>
      </c>
      <c r="J304">
        <v>0</v>
      </c>
      <c r="K304">
        <v>0</v>
      </c>
      <c r="L304">
        <v>0</v>
      </c>
      <c r="M304">
        <v>0</v>
      </c>
      <c r="N304">
        <v>0</v>
      </c>
      <c r="O304">
        <v>0</v>
      </c>
      <c r="P304">
        <v>0</v>
      </c>
      <c r="Q304" t="str">
        <f>INDEX('Partner data'!A:DH,MATCH(C304,'Partner data'!DG:DG,0),83)</f>
        <v>Soggetto pubblico</v>
      </c>
      <c r="R304" t="b">
        <f>IF(E304="staff",IF(INDEX('Partner data'!A:DH,MATCH(C304,'Partner data'!DG:DG,0),112)="BL1 non presente","FALSO",INDEX('Partner data'!A:DH,MATCH(C304,'Partner data'!DG:DG,0),112)))</f>
        <v>0</v>
      </c>
      <c r="S304" t="b">
        <f t="shared" si="8"/>
        <v>0</v>
      </c>
      <c r="T304" t="b">
        <f t="shared" si="9"/>
        <v>1</v>
      </c>
      <c r="U304" s="154">
        <f>IFERROR(IF(R304&lt;&gt;FALSE,IF(S304=TRUE,INDEX('SummaryNOT_VALIDATED-BL'!$A$1:$F$16,MATCH(R304,'SummaryNOT_VALIDATED-BL'!$A$1:$A$16,0),6),0),IF(S304=TRUE,INDEX('SummaryNOT_VALIDATED-BL'!$A$1:$F$16,MATCH(E304,'SummaryNOT_VALIDATED-BL'!$A$1:$A$16,0),6),0)),0)</f>
        <v>0</v>
      </c>
      <c r="V304" s="81" cm="1">
        <f t="array" ref="V304">INDEX('Weight tables'!$A$24:$C$27,MATCH(1,(RendicontiTrasmessiBL__2[[#This Row],[Cut percentage on real costs + USC]]&gt;='Weight tables'!$B$24:$B$27)*(RendicontiTrasmessiBL__2[[#This Row],[Cut percentage on real costs + USC]]&lt;='Weight tables'!$C$24:$C$27),0),1)</f>
        <v>0</v>
      </c>
      <c r="W304" s="2">
        <f>RendicontiTrasmessiBL__2[[#This Row],[Weight real costs  + USC ]]</f>
        <v>0</v>
      </c>
    </row>
    <row r="305" spans="1:23" x14ac:dyDescent="0.25">
      <c r="A305" s="1" t="s">
        <v>357</v>
      </c>
      <c r="B305" s="1" t="s">
        <v>56</v>
      </c>
      <c r="C305" s="2">
        <v>209</v>
      </c>
      <c r="D305" s="2">
        <v>257</v>
      </c>
      <c r="E305" s="1" t="s">
        <v>234</v>
      </c>
      <c r="F305">
        <v>40</v>
      </c>
      <c r="G305">
        <v>31200</v>
      </c>
      <c r="H305">
        <v>0</v>
      </c>
      <c r="I305">
        <v>0</v>
      </c>
      <c r="J305">
        <v>5441.4</v>
      </c>
      <c r="K305">
        <v>0</v>
      </c>
      <c r="L305">
        <v>5197.05</v>
      </c>
      <c r="M305">
        <v>5441.4</v>
      </c>
      <c r="N305">
        <v>17.440000000000001</v>
      </c>
      <c r="O305">
        <v>25758.6</v>
      </c>
      <c r="P305">
        <v>0</v>
      </c>
      <c r="Q305" t="str">
        <f>INDEX('Partner data'!A:DH,MATCH(C305,'Partner data'!DG:DG,0),83)</f>
        <v>Soggetto pubblico</v>
      </c>
      <c r="R305" t="b">
        <f>IF(E305="staff",IF(INDEX('Partner data'!A:DH,MATCH(C305,'Partner data'!DG:DG,0),112)="BL1 non presente","FALSO",INDEX('Partner data'!A:DH,MATCH(C305,'Partner data'!DG:DG,0),112)))</f>
        <v>0</v>
      </c>
      <c r="S305" t="b">
        <f t="shared" si="8"/>
        <v>1</v>
      </c>
      <c r="T305" t="b">
        <f t="shared" si="9"/>
        <v>1</v>
      </c>
      <c r="U305" s="154">
        <f>IFERROR(IF(R305&lt;&gt;FALSE,IF(S305=TRUE,INDEX('SummaryNOT_VALIDATED-BL'!$A$1:$F$16,MATCH(R305,'SummaryNOT_VALIDATED-BL'!$A$1:$A$16,0),6),0),IF(S305=TRUE,INDEX('SummaryNOT_VALIDATED-BL'!$A$1:$F$16,MATCH(E305,'SummaryNOT_VALIDATED-BL'!$A$1:$A$16,0),6),0)),0)</f>
        <v>8.7645339819521315E-2</v>
      </c>
      <c r="V305" s="81" cm="1">
        <f t="array" ref="V305">INDEX('Weight tables'!$A$24:$C$27,MATCH(1,(RendicontiTrasmessiBL__2[[#This Row],[Cut percentage on real costs + USC]]&gt;='Weight tables'!$B$24:$B$27)*(RendicontiTrasmessiBL__2[[#This Row],[Cut percentage on real costs + USC]]&lt;='Weight tables'!$C$24:$C$27),0),1)</f>
        <v>4</v>
      </c>
      <c r="W305" s="2">
        <f>RendicontiTrasmessiBL__2[[#This Row],[Weight real costs  + USC ]]</f>
        <v>4</v>
      </c>
    </row>
    <row r="306" spans="1:23" x14ac:dyDescent="0.25">
      <c r="A306" s="1" t="s">
        <v>357</v>
      </c>
      <c r="B306" s="1" t="s">
        <v>56</v>
      </c>
      <c r="C306" s="2">
        <v>209</v>
      </c>
      <c r="D306" s="2">
        <v>257</v>
      </c>
      <c r="E306" s="1" t="s">
        <v>236</v>
      </c>
      <c r="G306">
        <v>0</v>
      </c>
      <c r="H306">
        <v>0</v>
      </c>
      <c r="I306">
        <v>0</v>
      </c>
      <c r="J306">
        <v>0</v>
      </c>
      <c r="K306">
        <v>0</v>
      </c>
      <c r="L306">
        <v>0</v>
      </c>
      <c r="M306">
        <v>0</v>
      </c>
      <c r="N306">
        <v>0</v>
      </c>
      <c r="O306">
        <v>0</v>
      </c>
      <c r="P306">
        <v>0</v>
      </c>
      <c r="Q306" t="str">
        <f>INDEX('Partner data'!A:DH,MATCH(C306,'Partner data'!DG:DG,0),83)</f>
        <v>Soggetto pubblico</v>
      </c>
      <c r="R306" t="b">
        <f>IF(E306="staff",IF(INDEX('Partner data'!A:DH,MATCH(C306,'Partner data'!DG:DG,0),112)="BL1 non presente","FALSO",INDEX('Partner data'!A:DH,MATCH(C306,'Partner data'!DG:DG,0),112)))</f>
        <v>0</v>
      </c>
      <c r="S306" t="b">
        <f t="shared" si="8"/>
        <v>0</v>
      </c>
      <c r="T306" t="b">
        <f t="shared" si="9"/>
        <v>1</v>
      </c>
      <c r="U306" s="154">
        <f>IFERROR(IF(R306&lt;&gt;FALSE,IF(S306=TRUE,INDEX('SummaryNOT_VALIDATED-BL'!$A$1:$F$16,MATCH(R306,'SummaryNOT_VALIDATED-BL'!$A$1:$A$16,0),6),0),IF(S306=TRUE,INDEX('SummaryNOT_VALIDATED-BL'!$A$1:$F$16,MATCH(E306,'SummaryNOT_VALIDATED-BL'!$A$1:$A$16,0),6),0)),0)</f>
        <v>0</v>
      </c>
      <c r="V306" s="81" cm="1">
        <f t="array" ref="V306">INDEX('Weight tables'!$A$24:$C$27,MATCH(1,(RendicontiTrasmessiBL__2[[#This Row],[Cut percentage on real costs + USC]]&gt;='Weight tables'!$B$24:$B$27)*(RendicontiTrasmessiBL__2[[#This Row],[Cut percentage on real costs + USC]]&lt;='Weight tables'!$C$24:$C$27),0),1)</f>
        <v>0</v>
      </c>
      <c r="W306" s="2">
        <f>RendicontiTrasmessiBL__2[[#This Row],[Weight real costs  + USC ]]</f>
        <v>0</v>
      </c>
    </row>
    <row r="307" spans="1:23" x14ac:dyDescent="0.25">
      <c r="A307" s="1" t="s">
        <v>357</v>
      </c>
      <c r="B307" s="1" t="s">
        <v>56</v>
      </c>
      <c r="C307" s="2">
        <v>209</v>
      </c>
      <c r="D307" s="2">
        <v>257</v>
      </c>
      <c r="E307" s="1" t="s">
        <v>237</v>
      </c>
      <c r="G307">
        <v>0</v>
      </c>
      <c r="H307">
        <v>0</v>
      </c>
      <c r="I307">
        <v>0</v>
      </c>
      <c r="J307">
        <v>0</v>
      </c>
      <c r="K307">
        <v>0</v>
      </c>
      <c r="L307">
        <v>0</v>
      </c>
      <c r="M307">
        <v>0</v>
      </c>
      <c r="N307">
        <v>0</v>
      </c>
      <c r="O307">
        <v>0</v>
      </c>
      <c r="P307">
        <v>0</v>
      </c>
      <c r="Q307" t="str">
        <f>INDEX('Partner data'!A:DH,MATCH(C307,'Partner data'!DG:DG,0),83)</f>
        <v>Soggetto pubblico</v>
      </c>
      <c r="R307" t="b">
        <f>IF(E307="staff",IF(INDEX('Partner data'!A:DH,MATCH(C307,'Partner data'!DG:DG,0),112)="BL1 non presente","FALSO",INDEX('Partner data'!A:DH,MATCH(C307,'Partner data'!DG:DG,0),112)))</f>
        <v>0</v>
      </c>
      <c r="S307" t="b">
        <f t="shared" si="8"/>
        <v>0</v>
      </c>
      <c r="T307" t="b">
        <f t="shared" si="9"/>
        <v>1</v>
      </c>
      <c r="U307" s="154">
        <f>IFERROR(IF(R307&lt;&gt;FALSE,IF(S307=TRUE,INDEX('SummaryNOT_VALIDATED-BL'!$A$1:$F$16,MATCH(R307,'SummaryNOT_VALIDATED-BL'!$A$1:$A$16,0),6),0),IF(S307=TRUE,INDEX('SummaryNOT_VALIDATED-BL'!$A$1:$F$16,MATCH(E307,'SummaryNOT_VALIDATED-BL'!$A$1:$A$16,0),6),0)),0)</f>
        <v>0</v>
      </c>
      <c r="V307" s="81" cm="1">
        <f t="array" ref="V307">INDEX('Weight tables'!$A$24:$C$27,MATCH(1,(RendicontiTrasmessiBL__2[[#This Row],[Cut percentage on real costs + USC]]&gt;='Weight tables'!$B$24:$B$27)*(RendicontiTrasmessiBL__2[[#This Row],[Cut percentage on real costs + USC]]&lt;='Weight tables'!$C$24:$C$27),0),1)</f>
        <v>0</v>
      </c>
      <c r="W307" s="2">
        <f>RendicontiTrasmessiBL__2[[#This Row],[Weight real costs  + USC ]]</f>
        <v>0</v>
      </c>
    </row>
    <row r="308" spans="1:23" x14ac:dyDescent="0.25">
      <c r="A308" s="1" t="s">
        <v>357</v>
      </c>
      <c r="B308" s="1" t="s">
        <v>359</v>
      </c>
      <c r="C308" s="2">
        <v>161</v>
      </c>
      <c r="D308" s="2">
        <v>315</v>
      </c>
      <c r="E308" s="1" t="s">
        <v>228</v>
      </c>
      <c r="G308">
        <v>55350</v>
      </c>
      <c r="H308">
        <v>0</v>
      </c>
      <c r="I308">
        <v>0</v>
      </c>
      <c r="J308">
        <v>11572.6</v>
      </c>
      <c r="K308">
        <v>0</v>
      </c>
      <c r="L308">
        <v>0</v>
      </c>
      <c r="M308">
        <v>11572.6</v>
      </c>
      <c r="N308">
        <v>20.91</v>
      </c>
      <c r="O308">
        <v>43777.4</v>
      </c>
      <c r="P308">
        <v>0</v>
      </c>
      <c r="Q308" t="str">
        <f>INDEX('Partner data'!A:DH,MATCH(C308,'Partner data'!DG:DG,0),83)</f>
        <v xml:space="preserve">Organismo di diritto pubblico </v>
      </c>
      <c r="R308" t="str">
        <f>IF(E308="staff",IF(INDEX('Partner data'!A:DH,MATCH(C308,'Partner data'!DG:DG,0),112)="BL1 non presente","FALSO",INDEX('Partner data'!A:DH,MATCH(C308,'Partner data'!DG:DG,0),112)))</f>
        <v>COSTO REALE</v>
      </c>
      <c r="S308" t="b">
        <f t="shared" si="8"/>
        <v>1</v>
      </c>
      <c r="T308" t="b">
        <f t="shared" si="9"/>
        <v>1</v>
      </c>
      <c r="U308" s="154">
        <f>IFERROR(IF(R308&lt;&gt;FALSE,IF(S308=TRUE,INDEX('SummaryNOT_VALIDATED-BL'!$A$1:$F$16,MATCH(R308,'SummaryNOT_VALIDATED-BL'!$A$1:$A$16,0),6),0),IF(S308=TRUE,INDEX('SummaryNOT_VALIDATED-BL'!$A$1:$F$16,MATCH(E308,'SummaryNOT_VALIDATED-BL'!$A$1:$A$16,0),6),0)),0)</f>
        <v>9.1604133276901048E-2</v>
      </c>
      <c r="V308" s="81" cm="1">
        <f t="array" ref="V308">INDEX('Weight tables'!$A$24:$C$27,MATCH(1,(RendicontiTrasmessiBL__2[[#This Row],[Cut percentage on real costs + USC]]&gt;='Weight tables'!$B$24:$B$27)*(RendicontiTrasmessiBL__2[[#This Row],[Cut percentage on real costs + USC]]&lt;='Weight tables'!$C$24:$C$27),0),1)</f>
        <v>4</v>
      </c>
      <c r="W308" s="2">
        <f>RendicontiTrasmessiBL__2[[#This Row],[Weight real costs  + USC ]]</f>
        <v>4</v>
      </c>
    </row>
    <row r="309" spans="1:23" x14ac:dyDescent="0.25">
      <c r="A309" s="1" t="s">
        <v>357</v>
      </c>
      <c r="B309" s="1" t="s">
        <v>359</v>
      </c>
      <c r="C309" s="2">
        <v>161</v>
      </c>
      <c r="D309" s="2">
        <v>315</v>
      </c>
      <c r="E309" s="1" t="s">
        <v>229</v>
      </c>
      <c r="F309">
        <v>15</v>
      </c>
      <c r="G309">
        <v>8302.5</v>
      </c>
      <c r="H309">
        <v>0</v>
      </c>
      <c r="I309">
        <v>0</v>
      </c>
      <c r="J309">
        <v>1735.89</v>
      </c>
      <c r="K309">
        <v>0</v>
      </c>
      <c r="L309">
        <v>0</v>
      </c>
      <c r="M309">
        <v>1735.89</v>
      </c>
      <c r="N309">
        <v>20.91</v>
      </c>
      <c r="O309">
        <v>6566.61</v>
      </c>
      <c r="P309">
        <v>0</v>
      </c>
      <c r="Q309" t="str">
        <f>INDEX('Partner data'!A:DH,MATCH(C309,'Partner data'!DG:DG,0),83)</f>
        <v xml:space="preserve">Organismo di diritto pubblico </v>
      </c>
      <c r="R309" t="b">
        <f>IF(E309="staff",IF(INDEX('Partner data'!A:DH,MATCH(C309,'Partner data'!DG:DG,0),112)="BL1 non presente","FALSO",INDEX('Partner data'!A:DH,MATCH(C309,'Partner data'!DG:DG,0),112)))</f>
        <v>0</v>
      </c>
      <c r="S309" t="b">
        <f t="shared" si="8"/>
        <v>1</v>
      </c>
      <c r="T309" t="b">
        <f t="shared" si="9"/>
        <v>1</v>
      </c>
      <c r="U309" s="154">
        <f>IFERROR(IF(R309&lt;&gt;FALSE,IF(S309=TRUE,INDEX('SummaryNOT_VALIDATED-BL'!$A$1:$F$16,MATCH(R309,'SummaryNOT_VALIDATED-BL'!$A$1:$A$16,0),6),0),IF(S309=TRUE,INDEX('SummaryNOT_VALIDATED-BL'!$A$1:$F$16,MATCH(E309,'SummaryNOT_VALIDATED-BL'!$A$1:$A$16,0),6),0)),0)</f>
        <v>6.6460469504890221E-2</v>
      </c>
      <c r="V309" s="81" cm="1">
        <f t="array" ref="V309">INDEX('Weight tables'!$A$24:$C$27,MATCH(1,(RendicontiTrasmessiBL__2[[#This Row],[Cut percentage on real costs + USC]]&gt;='Weight tables'!$B$24:$B$27)*(RendicontiTrasmessiBL__2[[#This Row],[Cut percentage on real costs + USC]]&lt;='Weight tables'!$C$24:$C$27),0),1)</f>
        <v>4</v>
      </c>
      <c r="W309" s="2">
        <f>RendicontiTrasmessiBL__2[[#This Row],[Weight real costs  + USC ]]</f>
        <v>4</v>
      </c>
    </row>
    <row r="310" spans="1:23" x14ac:dyDescent="0.25">
      <c r="A310" s="1" t="s">
        <v>357</v>
      </c>
      <c r="B310" s="1" t="s">
        <v>359</v>
      </c>
      <c r="C310" s="2">
        <v>161</v>
      </c>
      <c r="D310" s="2">
        <v>315</v>
      </c>
      <c r="E310" s="1" t="s">
        <v>230</v>
      </c>
      <c r="F310">
        <v>4</v>
      </c>
      <c r="G310">
        <v>2214</v>
      </c>
      <c r="H310">
        <v>0</v>
      </c>
      <c r="I310">
        <v>0</v>
      </c>
      <c r="J310">
        <v>462.9</v>
      </c>
      <c r="K310">
        <v>0</v>
      </c>
      <c r="L310">
        <v>0</v>
      </c>
      <c r="M310">
        <v>462.9</v>
      </c>
      <c r="N310">
        <v>20.91</v>
      </c>
      <c r="O310">
        <v>1751.1</v>
      </c>
      <c r="P310">
        <v>0</v>
      </c>
      <c r="Q310" t="str">
        <f>INDEX('Partner data'!A:DH,MATCH(C310,'Partner data'!DG:DG,0),83)</f>
        <v xml:space="preserve">Organismo di diritto pubblico </v>
      </c>
      <c r="R310" t="b">
        <f>IF(E310="staff",IF(INDEX('Partner data'!A:DH,MATCH(C310,'Partner data'!DG:DG,0),112)="BL1 non presente","FALSO",INDEX('Partner data'!A:DH,MATCH(C310,'Partner data'!DG:DG,0),112)))</f>
        <v>0</v>
      </c>
      <c r="S310" t="b">
        <f t="shared" si="8"/>
        <v>1</v>
      </c>
      <c r="T310" t="b">
        <f t="shared" si="9"/>
        <v>1</v>
      </c>
      <c r="U310" s="154">
        <f>IFERROR(IF(R310&lt;&gt;FALSE,IF(S310=TRUE,INDEX('SummaryNOT_VALIDATED-BL'!$A$1:$F$16,MATCH(R310,'SummaryNOT_VALIDATED-BL'!$A$1:$A$16,0),6),0),IF(S310=TRUE,INDEX('SummaryNOT_VALIDATED-BL'!$A$1:$F$16,MATCH(E310,'SummaryNOT_VALIDATED-BL'!$A$1:$A$16,0),6),0)),0)</f>
        <v>6.3112622236488891E-2</v>
      </c>
      <c r="V310" s="81" cm="1">
        <f t="array" ref="V310">INDEX('Weight tables'!$A$24:$C$27,MATCH(1,(RendicontiTrasmessiBL__2[[#This Row],[Cut percentage on real costs + USC]]&gt;='Weight tables'!$B$24:$B$27)*(RendicontiTrasmessiBL__2[[#This Row],[Cut percentage on real costs + USC]]&lt;='Weight tables'!$C$24:$C$27),0),1)</f>
        <v>4</v>
      </c>
      <c r="W310" s="2">
        <f>RendicontiTrasmessiBL__2[[#This Row],[Weight real costs  + USC ]]</f>
        <v>4</v>
      </c>
    </row>
    <row r="311" spans="1:23" x14ac:dyDescent="0.25">
      <c r="A311" s="1" t="s">
        <v>357</v>
      </c>
      <c r="B311" s="1" t="s">
        <v>359</v>
      </c>
      <c r="C311" s="2">
        <v>161</v>
      </c>
      <c r="D311" s="2">
        <v>315</v>
      </c>
      <c r="E311" s="1" t="s">
        <v>231</v>
      </c>
      <c r="G311">
        <v>87746.3</v>
      </c>
      <c r="H311">
        <v>0</v>
      </c>
      <c r="I311">
        <v>0</v>
      </c>
      <c r="J311">
        <v>3235</v>
      </c>
      <c r="K311">
        <v>0</v>
      </c>
      <c r="L311">
        <v>0</v>
      </c>
      <c r="M311">
        <v>3235</v>
      </c>
      <c r="N311">
        <v>3.69</v>
      </c>
      <c r="O311">
        <v>84511.3</v>
      </c>
      <c r="P311">
        <v>0</v>
      </c>
      <c r="Q311" t="str">
        <f>INDEX('Partner data'!A:DH,MATCH(C311,'Partner data'!DG:DG,0),83)</f>
        <v xml:space="preserve">Organismo di diritto pubblico </v>
      </c>
      <c r="R311" t="b">
        <f>IF(E311="staff",IF(INDEX('Partner data'!A:DH,MATCH(C311,'Partner data'!DG:DG,0),112)="BL1 non presente","FALSO",INDEX('Partner data'!A:DH,MATCH(C311,'Partner data'!DG:DG,0),112)))</f>
        <v>0</v>
      </c>
      <c r="S311" t="b">
        <f t="shared" si="8"/>
        <v>1</v>
      </c>
      <c r="T311" t="b">
        <f t="shared" si="9"/>
        <v>1</v>
      </c>
      <c r="U311" s="154">
        <f>IFERROR(IF(R311&lt;&gt;FALSE,IF(S311=TRUE,INDEX('SummaryNOT_VALIDATED-BL'!$A$1:$F$16,MATCH(R311,'SummaryNOT_VALIDATED-BL'!$A$1:$A$16,0),6),0),IF(S311=TRUE,INDEX('SummaryNOT_VALIDATED-BL'!$A$1:$F$16,MATCH(E311,'SummaryNOT_VALIDATED-BL'!$A$1:$A$16,0),6),0)),0)</f>
        <v>5.577594442215475E-2</v>
      </c>
      <c r="V311" s="81" cm="1">
        <f t="array" ref="V311">INDEX('Weight tables'!$A$24:$C$27,MATCH(1,(RendicontiTrasmessiBL__2[[#This Row],[Cut percentage on real costs + USC]]&gt;='Weight tables'!$B$24:$B$27)*(RendicontiTrasmessiBL__2[[#This Row],[Cut percentage on real costs + USC]]&lt;='Weight tables'!$C$24:$C$27),0),1)</f>
        <v>4</v>
      </c>
      <c r="W311" s="2">
        <f>RendicontiTrasmessiBL__2[[#This Row],[Weight real costs  + USC ]]</f>
        <v>4</v>
      </c>
    </row>
    <row r="312" spans="1:23" x14ac:dyDescent="0.25">
      <c r="A312" s="1" t="s">
        <v>357</v>
      </c>
      <c r="B312" s="1" t="s">
        <v>359</v>
      </c>
      <c r="C312" s="2">
        <v>161</v>
      </c>
      <c r="D312" s="2">
        <v>315</v>
      </c>
      <c r="E312" s="1" t="s">
        <v>232</v>
      </c>
      <c r="G312">
        <v>4900</v>
      </c>
      <c r="H312">
        <v>0</v>
      </c>
      <c r="I312">
        <v>0</v>
      </c>
      <c r="J312">
        <v>0</v>
      </c>
      <c r="K312">
        <v>0</v>
      </c>
      <c r="L312">
        <v>0</v>
      </c>
      <c r="M312">
        <v>0</v>
      </c>
      <c r="N312">
        <v>0</v>
      </c>
      <c r="O312">
        <v>4900</v>
      </c>
      <c r="P312">
        <v>0</v>
      </c>
      <c r="Q312" t="str">
        <f>INDEX('Partner data'!A:DH,MATCH(C312,'Partner data'!DG:DG,0),83)</f>
        <v xml:space="preserve">Organismo di diritto pubblico </v>
      </c>
      <c r="R312" t="b">
        <f>IF(E312="staff",IF(INDEX('Partner data'!A:DH,MATCH(C312,'Partner data'!DG:DG,0),112)="BL1 non presente","FALSO",INDEX('Partner data'!A:DH,MATCH(C312,'Partner data'!DG:DG,0),112)))</f>
        <v>0</v>
      </c>
      <c r="S312" t="b">
        <f t="shared" si="8"/>
        <v>0</v>
      </c>
      <c r="T312" t="b">
        <f t="shared" si="9"/>
        <v>1</v>
      </c>
      <c r="U312" s="154">
        <f>IFERROR(IF(R312&lt;&gt;FALSE,IF(S312=TRUE,INDEX('SummaryNOT_VALIDATED-BL'!$A$1:$F$16,MATCH(R312,'SummaryNOT_VALIDATED-BL'!$A$1:$A$16,0),6),0),IF(S312=TRUE,INDEX('SummaryNOT_VALIDATED-BL'!$A$1:$F$16,MATCH(E312,'SummaryNOT_VALIDATED-BL'!$A$1:$A$16,0),6),0)),0)</f>
        <v>0</v>
      </c>
      <c r="V312" s="81" cm="1">
        <f t="array" ref="V312">INDEX('Weight tables'!$A$24:$C$27,MATCH(1,(RendicontiTrasmessiBL__2[[#This Row],[Cut percentage on real costs + USC]]&gt;='Weight tables'!$B$24:$B$27)*(RendicontiTrasmessiBL__2[[#This Row],[Cut percentage on real costs + USC]]&lt;='Weight tables'!$C$24:$C$27),0),1)</f>
        <v>0</v>
      </c>
      <c r="W312" s="2">
        <f>RendicontiTrasmessiBL__2[[#This Row],[Weight real costs  + USC ]]</f>
        <v>0</v>
      </c>
    </row>
    <row r="313" spans="1:23" x14ac:dyDescent="0.25">
      <c r="A313" s="1" t="s">
        <v>357</v>
      </c>
      <c r="B313" s="1" t="s">
        <v>359</v>
      </c>
      <c r="C313" s="2">
        <v>161</v>
      </c>
      <c r="D313" s="2">
        <v>315</v>
      </c>
      <c r="E313" s="1" t="s">
        <v>233</v>
      </c>
      <c r="G313">
        <v>0</v>
      </c>
      <c r="H313">
        <v>0</v>
      </c>
      <c r="I313">
        <v>0</v>
      </c>
      <c r="J313">
        <v>0</v>
      </c>
      <c r="K313">
        <v>0</v>
      </c>
      <c r="L313">
        <v>0</v>
      </c>
      <c r="M313">
        <v>0</v>
      </c>
      <c r="N313">
        <v>0</v>
      </c>
      <c r="O313">
        <v>0</v>
      </c>
      <c r="P313">
        <v>0</v>
      </c>
      <c r="Q313" t="str">
        <f>INDEX('Partner data'!A:DH,MATCH(C313,'Partner data'!DG:DG,0),83)</f>
        <v xml:space="preserve">Organismo di diritto pubblico </v>
      </c>
      <c r="R313" t="b">
        <f>IF(E313="staff",IF(INDEX('Partner data'!A:DH,MATCH(C313,'Partner data'!DG:DG,0),112)="BL1 non presente","FALSO",INDEX('Partner data'!A:DH,MATCH(C313,'Partner data'!DG:DG,0),112)))</f>
        <v>0</v>
      </c>
      <c r="S313" t="b">
        <f t="shared" si="8"/>
        <v>0</v>
      </c>
      <c r="T313" t="b">
        <f t="shared" si="9"/>
        <v>1</v>
      </c>
      <c r="U313" s="154">
        <f>IFERROR(IF(R313&lt;&gt;FALSE,IF(S313=TRUE,INDEX('SummaryNOT_VALIDATED-BL'!$A$1:$F$16,MATCH(R313,'SummaryNOT_VALIDATED-BL'!$A$1:$A$16,0),6),0),IF(S313=TRUE,INDEX('SummaryNOT_VALIDATED-BL'!$A$1:$F$16,MATCH(E313,'SummaryNOT_VALIDATED-BL'!$A$1:$A$16,0),6),0)),0)</f>
        <v>0</v>
      </c>
      <c r="V313" s="81" cm="1">
        <f t="array" ref="V313">INDEX('Weight tables'!$A$24:$C$27,MATCH(1,(RendicontiTrasmessiBL__2[[#This Row],[Cut percentage on real costs + USC]]&gt;='Weight tables'!$B$24:$B$27)*(RendicontiTrasmessiBL__2[[#This Row],[Cut percentage on real costs + USC]]&lt;='Weight tables'!$C$24:$C$27),0),1)</f>
        <v>0</v>
      </c>
      <c r="W313" s="2">
        <f>RendicontiTrasmessiBL__2[[#This Row],[Weight real costs  + USC ]]</f>
        <v>0</v>
      </c>
    </row>
    <row r="314" spans="1:23" x14ac:dyDescent="0.25">
      <c r="A314" s="1" t="s">
        <v>357</v>
      </c>
      <c r="B314" s="1" t="s">
        <v>359</v>
      </c>
      <c r="C314" s="2">
        <v>161</v>
      </c>
      <c r="D314" s="2">
        <v>315</v>
      </c>
      <c r="E314" s="1" t="s">
        <v>234</v>
      </c>
      <c r="G314">
        <v>0</v>
      </c>
      <c r="H314">
        <v>0</v>
      </c>
      <c r="I314">
        <v>0</v>
      </c>
      <c r="J314">
        <v>0</v>
      </c>
      <c r="K314">
        <v>0</v>
      </c>
      <c r="L314">
        <v>0</v>
      </c>
      <c r="M314">
        <v>0</v>
      </c>
      <c r="N314">
        <v>0</v>
      </c>
      <c r="O314">
        <v>0</v>
      </c>
      <c r="P314">
        <v>0</v>
      </c>
      <c r="Q314" t="str">
        <f>INDEX('Partner data'!A:DH,MATCH(C314,'Partner data'!DG:DG,0),83)</f>
        <v xml:space="preserve">Organismo di diritto pubblico </v>
      </c>
      <c r="R314" t="b">
        <f>IF(E314="staff",IF(INDEX('Partner data'!A:DH,MATCH(C314,'Partner data'!DG:DG,0),112)="BL1 non presente","FALSO",INDEX('Partner data'!A:DH,MATCH(C314,'Partner data'!DG:DG,0),112)))</f>
        <v>0</v>
      </c>
      <c r="S314" t="b">
        <f t="shared" si="8"/>
        <v>0</v>
      </c>
      <c r="T314" t="b">
        <f t="shared" si="9"/>
        <v>1</v>
      </c>
      <c r="U314" s="154">
        <f>IFERROR(IF(R314&lt;&gt;FALSE,IF(S314=TRUE,INDEX('SummaryNOT_VALIDATED-BL'!$A$1:$F$16,MATCH(R314,'SummaryNOT_VALIDATED-BL'!$A$1:$A$16,0),6),0),IF(S314=TRUE,INDEX('SummaryNOT_VALIDATED-BL'!$A$1:$F$16,MATCH(E314,'SummaryNOT_VALIDATED-BL'!$A$1:$A$16,0),6),0)),0)</f>
        <v>0</v>
      </c>
      <c r="V314" s="81" cm="1">
        <f t="array" ref="V314">INDEX('Weight tables'!$A$24:$C$27,MATCH(1,(RendicontiTrasmessiBL__2[[#This Row],[Cut percentage on real costs + USC]]&gt;='Weight tables'!$B$24:$B$27)*(RendicontiTrasmessiBL__2[[#This Row],[Cut percentage on real costs + USC]]&lt;='Weight tables'!$C$24:$C$27),0),1)</f>
        <v>0</v>
      </c>
      <c r="W314" s="2">
        <f>RendicontiTrasmessiBL__2[[#This Row],[Weight real costs  + USC ]]</f>
        <v>0</v>
      </c>
    </row>
    <row r="315" spans="1:23" x14ac:dyDescent="0.25">
      <c r="A315" s="1" t="s">
        <v>357</v>
      </c>
      <c r="B315" s="1" t="s">
        <v>359</v>
      </c>
      <c r="C315" s="2">
        <v>161</v>
      </c>
      <c r="D315" s="2">
        <v>315</v>
      </c>
      <c r="E315" s="1" t="s">
        <v>236</v>
      </c>
      <c r="G315">
        <v>0</v>
      </c>
      <c r="H315">
        <v>0</v>
      </c>
      <c r="I315">
        <v>0</v>
      </c>
      <c r="J315">
        <v>0</v>
      </c>
      <c r="K315">
        <v>0</v>
      </c>
      <c r="L315">
        <v>0</v>
      </c>
      <c r="M315">
        <v>0</v>
      </c>
      <c r="N315">
        <v>0</v>
      </c>
      <c r="O315">
        <v>0</v>
      </c>
      <c r="P315">
        <v>0</v>
      </c>
      <c r="Q315" t="str">
        <f>INDEX('Partner data'!A:DH,MATCH(C315,'Partner data'!DG:DG,0),83)</f>
        <v xml:space="preserve">Organismo di diritto pubblico </v>
      </c>
      <c r="R315" t="b">
        <f>IF(E315="staff",IF(INDEX('Partner data'!A:DH,MATCH(C315,'Partner data'!DG:DG,0),112)="BL1 non presente","FALSO",INDEX('Partner data'!A:DH,MATCH(C315,'Partner data'!DG:DG,0),112)))</f>
        <v>0</v>
      </c>
      <c r="S315" t="b">
        <f t="shared" si="8"/>
        <v>0</v>
      </c>
      <c r="T315" t="b">
        <f t="shared" si="9"/>
        <v>1</v>
      </c>
      <c r="U315" s="154">
        <f>IFERROR(IF(R315&lt;&gt;FALSE,IF(S315=TRUE,INDEX('SummaryNOT_VALIDATED-BL'!$A$1:$F$16,MATCH(R315,'SummaryNOT_VALIDATED-BL'!$A$1:$A$16,0),6),0),IF(S315=TRUE,INDEX('SummaryNOT_VALIDATED-BL'!$A$1:$F$16,MATCH(E315,'SummaryNOT_VALIDATED-BL'!$A$1:$A$16,0),6),0)),0)</f>
        <v>0</v>
      </c>
      <c r="V315" s="81" cm="1">
        <f t="array" ref="V315">INDEX('Weight tables'!$A$24:$C$27,MATCH(1,(RendicontiTrasmessiBL__2[[#This Row],[Cut percentage on real costs + USC]]&gt;='Weight tables'!$B$24:$B$27)*(RendicontiTrasmessiBL__2[[#This Row],[Cut percentage on real costs + USC]]&lt;='Weight tables'!$C$24:$C$27),0),1)</f>
        <v>0</v>
      </c>
      <c r="W315" s="2">
        <f>RendicontiTrasmessiBL__2[[#This Row],[Weight real costs  + USC ]]</f>
        <v>0</v>
      </c>
    </row>
    <row r="316" spans="1:23" x14ac:dyDescent="0.25">
      <c r="A316" s="1" t="s">
        <v>357</v>
      </c>
      <c r="B316" s="1" t="s">
        <v>359</v>
      </c>
      <c r="C316" s="2">
        <v>161</v>
      </c>
      <c r="D316" s="2">
        <v>315</v>
      </c>
      <c r="E316" s="1" t="s">
        <v>237</v>
      </c>
      <c r="G316">
        <v>0</v>
      </c>
      <c r="H316">
        <v>0</v>
      </c>
      <c r="I316">
        <v>0</v>
      </c>
      <c r="J316">
        <v>0</v>
      </c>
      <c r="K316">
        <v>0</v>
      </c>
      <c r="L316">
        <v>0</v>
      </c>
      <c r="M316">
        <v>0</v>
      </c>
      <c r="N316">
        <v>0</v>
      </c>
      <c r="O316">
        <v>0</v>
      </c>
      <c r="P316">
        <v>0</v>
      </c>
      <c r="Q316" t="str">
        <f>INDEX('Partner data'!A:DH,MATCH(C316,'Partner data'!DG:DG,0),83)</f>
        <v xml:space="preserve">Organismo di diritto pubblico </v>
      </c>
      <c r="R316" t="b">
        <f>IF(E316="staff",IF(INDEX('Partner data'!A:DH,MATCH(C316,'Partner data'!DG:DG,0),112)="BL1 non presente","FALSO",INDEX('Partner data'!A:DH,MATCH(C316,'Partner data'!DG:DG,0),112)))</f>
        <v>0</v>
      </c>
      <c r="S316" t="b">
        <f t="shared" si="8"/>
        <v>0</v>
      </c>
      <c r="T316" t="b">
        <f t="shared" si="9"/>
        <v>1</v>
      </c>
      <c r="U316" s="154">
        <f>IFERROR(IF(R316&lt;&gt;FALSE,IF(S316=TRUE,INDEX('SummaryNOT_VALIDATED-BL'!$A$1:$F$16,MATCH(R316,'SummaryNOT_VALIDATED-BL'!$A$1:$A$16,0),6),0),IF(S316=TRUE,INDEX('SummaryNOT_VALIDATED-BL'!$A$1:$F$16,MATCH(E316,'SummaryNOT_VALIDATED-BL'!$A$1:$A$16,0),6),0)),0)</f>
        <v>0</v>
      </c>
      <c r="V316" s="81" cm="1">
        <f t="array" ref="V316">INDEX('Weight tables'!$A$24:$C$27,MATCH(1,(RendicontiTrasmessiBL__2[[#This Row],[Cut percentage on real costs + USC]]&gt;='Weight tables'!$B$24:$B$27)*(RendicontiTrasmessiBL__2[[#This Row],[Cut percentage on real costs + USC]]&lt;='Weight tables'!$C$24:$C$27),0),1)</f>
        <v>0</v>
      </c>
      <c r="W316" s="2">
        <f>RendicontiTrasmessiBL__2[[#This Row],[Weight real costs  + USC ]]</f>
        <v>0</v>
      </c>
    </row>
    <row r="317" spans="1:23" x14ac:dyDescent="0.25">
      <c r="A317" s="1" t="s">
        <v>357</v>
      </c>
      <c r="B317" s="1" t="s">
        <v>320</v>
      </c>
      <c r="C317" s="2">
        <v>210</v>
      </c>
      <c r="D317" s="2">
        <v>162</v>
      </c>
      <c r="E317" s="1" t="s">
        <v>228</v>
      </c>
      <c r="G317">
        <v>90480</v>
      </c>
      <c r="H317">
        <v>0</v>
      </c>
      <c r="I317">
        <v>0</v>
      </c>
      <c r="J317">
        <v>23906.42</v>
      </c>
      <c r="K317">
        <v>0</v>
      </c>
      <c r="L317">
        <v>17445.75</v>
      </c>
      <c r="M317">
        <v>23906.42</v>
      </c>
      <c r="N317">
        <v>26.42</v>
      </c>
      <c r="O317">
        <v>66573.58</v>
      </c>
      <c r="P317">
        <v>0</v>
      </c>
      <c r="Q317" t="str">
        <f>INDEX('Partner data'!A:DH,MATCH(C317,'Partner data'!DG:DG,0),83)</f>
        <v xml:space="preserve">Organismo di diritto pubblico </v>
      </c>
      <c r="R317" t="str">
        <f>IF(E317="staff",IF(INDEX('Partner data'!A:DH,MATCH(C317,'Partner data'!DG:DG,0),112)="BL1 non presente","FALSO",INDEX('Partner data'!A:DH,MATCH(C317,'Partner data'!DG:DG,0),112)))</f>
        <v>COSTO REALE</v>
      </c>
      <c r="S317" t="b">
        <f t="shared" si="8"/>
        <v>1</v>
      </c>
      <c r="T317" t="b">
        <f t="shared" si="9"/>
        <v>1</v>
      </c>
      <c r="U317" s="154">
        <f>IFERROR(IF(R317&lt;&gt;FALSE,IF(S317=TRUE,INDEX('SummaryNOT_VALIDATED-BL'!$A$1:$F$16,MATCH(R317,'SummaryNOT_VALIDATED-BL'!$A$1:$A$16,0),6),0),IF(S317=TRUE,INDEX('SummaryNOT_VALIDATED-BL'!$A$1:$F$16,MATCH(E317,'SummaryNOT_VALIDATED-BL'!$A$1:$A$16,0),6),0)),0)</f>
        <v>9.1604133276901048E-2</v>
      </c>
      <c r="V317" s="81" cm="1">
        <f t="array" ref="V317">INDEX('Weight tables'!$A$24:$C$27,MATCH(1,(RendicontiTrasmessiBL__2[[#This Row],[Cut percentage on real costs + USC]]&gt;='Weight tables'!$B$24:$B$27)*(RendicontiTrasmessiBL__2[[#This Row],[Cut percentage on real costs + USC]]&lt;='Weight tables'!$C$24:$C$27),0),1)</f>
        <v>4</v>
      </c>
      <c r="W317" s="2">
        <f>RendicontiTrasmessiBL__2[[#This Row],[Weight real costs  + USC ]]</f>
        <v>4</v>
      </c>
    </row>
    <row r="318" spans="1:23" x14ac:dyDescent="0.25">
      <c r="A318" s="1" t="s">
        <v>357</v>
      </c>
      <c r="B318" s="1" t="s">
        <v>320</v>
      </c>
      <c r="C318" s="2">
        <v>210</v>
      </c>
      <c r="D318" s="2">
        <v>162</v>
      </c>
      <c r="E318" s="1" t="s">
        <v>229</v>
      </c>
      <c r="G318">
        <v>0</v>
      </c>
      <c r="H318">
        <v>0</v>
      </c>
      <c r="I318">
        <v>0</v>
      </c>
      <c r="J318">
        <v>0</v>
      </c>
      <c r="K318">
        <v>0</v>
      </c>
      <c r="L318">
        <v>0</v>
      </c>
      <c r="M318">
        <v>0</v>
      </c>
      <c r="N318">
        <v>0</v>
      </c>
      <c r="O318">
        <v>0</v>
      </c>
      <c r="P318">
        <v>0</v>
      </c>
      <c r="Q318" t="str">
        <f>INDEX('Partner data'!A:DH,MATCH(C318,'Partner data'!DG:DG,0),83)</f>
        <v xml:space="preserve">Organismo di diritto pubblico </v>
      </c>
      <c r="R318" t="b">
        <f>IF(E318="staff",IF(INDEX('Partner data'!A:DH,MATCH(C318,'Partner data'!DG:DG,0),112)="BL1 non presente","FALSO",INDEX('Partner data'!A:DH,MATCH(C318,'Partner data'!DG:DG,0),112)))</f>
        <v>0</v>
      </c>
      <c r="S318" t="b">
        <f t="shared" si="8"/>
        <v>0</v>
      </c>
      <c r="T318" t="b">
        <f t="shared" si="9"/>
        <v>1</v>
      </c>
      <c r="U318" s="154">
        <f>IFERROR(IF(R318&lt;&gt;FALSE,IF(S318=TRUE,INDEX('SummaryNOT_VALIDATED-BL'!$A$1:$F$16,MATCH(R318,'SummaryNOT_VALIDATED-BL'!$A$1:$A$16,0),6),0),IF(S318=TRUE,INDEX('SummaryNOT_VALIDATED-BL'!$A$1:$F$16,MATCH(E318,'SummaryNOT_VALIDATED-BL'!$A$1:$A$16,0),6),0)),0)</f>
        <v>0</v>
      </c>
      <c r="V318" s="81" cm="1">
        <f t="array" ref="V318">INDEX('Weight tables'!$A$24:$C$27,MATCH(1,(RendicontiTrasmessiBL__2[[#This Row],[Cut percentage on real costs + USC]]&gt;='Weight tables'!$B$24:$B$27)*(RendicontiTrasmessiBL__2[[#This Row],[Cut percentage on real costs + USC]]&lt;='Weight tables'!$C$24:$C$27),0),1)</f>
        <v>0</v>
      </c>
      <c r="W318" s="2">
        <f>RendicontiTrasmessiBL__2[[#This Row],[Weight real costs  + USC ]]</f>
        <v>0</v>
      </c>
    </row>
    <row r="319" spans="1:23" x14ac:dyDescent="0.25">
      <c r="A319" s="1" t="s">
        <v>357</v>
      </c>
      <c r="B319" s="1" t="s">
        <v>320</v>
      </c>
      <c r="C319" s="2">
        <v>210</v>
      </c>
      <c r="D319" s="2">
        <v>162</v>
      </c>
      <c r="E319" s="1" t="s">
        <v>230</v>
      </c>
      <c r="G319">
        <v>0</v>
      </c>
      <c r="H319">
        <v>0</v>
      </c>
      <c r="I319">
        <v>0</v>
      </c>
      <c r="J319">
        <v>0</v>
      </c>
      <c r="K319">
        <v>0</v>
      </c>
      <c r="L319">
        <v>0</v>
      </c>
      <c r="M319">
        <v>0</v>
      </c>
      <c r="N319">
        <v>0</v>
      </c>
      <c r="O319">
        <v>0</v>
      </c>
      <c r="P319">
        <v>0</v>
      </c>
      <c r="Q319" t="str">
        <f>INDEX('Partner data'!A:DH,MATCH(C319,'Partner data'!DG:DG,0),83)</f>
        <v xml:space="preserve">Organismo di diritto pubblico </v>
      </c>
      <c r="R319" t="b">
        <f>IF(E319="staff",IF(INDEX('Partner data'!A:DH,MATCH(C319,'Partner data'!DG:DG,0),112)="BL1 non presente","FALSO",INDEX('Partner data'!A:DH,MATCH(C319,'Partner data'!DG:DG,0),112)))</f>
        <v>0</v>
      </c>
      <c r="S319" t="b">
        <f t="shared" si="8"/>
        <v>0</v>
      </c>
      <c r="T319" t="b">
        <f t="shared" si="9"/>
        <v>1</v>
      </c>
      <c r="U319" s="154">
        <f>IFERROR(IF(R319&lt;&gt;FALSE,IF(S319=TRUE,INDEX('SummaryNOT_VALIDATED-BL'!$A$1:$F$16,MATCH(R319,'SummaryNOT_VALIDATED-BL'!$A$1:$A$16,0),6),0),IF(S319=TRUE,INDEX('SummaryNOT_VALIDATED-BL'!$A$1:$F$16,MATCH(E319,'SummaryNOT_VALIDATED-BL'!$A$1:$A$16,0),6),0)),0)</f>
        <v>0</v>
      </c>
      <c r="V319" s="81" cm="1">
        <f t="array" ref="V319">INDEX('Weight tables'!$A$24:$C$27,MATCH(1,(RendicontiTrasmessiBL__2[[#This Row],[Cut percentage on real costs + USC]]&gt;='Weight tables'!$B$24:$B$27)*(RendicontiTrasmessiBL__2[[#This Row],[Cut percentage on real costs + USC]]&lt;='Weight tables'!$C$24:$C$27),0),1)</f>
        <v>0</v>
      </c>
      <c r="W319" s="2">
        <f>RendicontiTrasmessiBL__2[[#This Row],[Weight real costs  + USC ]]</f>
        <v>0</v>
      </c>
    </row>
    <row r="320" spans="1:23" x14ac:dyDescent="0.25">
      <c r="A320" s="1" t="s">
        <v>357</v>
      </c>
      <c r="B320" s="1" t="s">
        <v>320</v>
      </c>
      <c r="C320" s="2">
        <v>210</v>
      </c>
      <c r="D320" s="2">
        <v>162</v>
      </c>
      <c r="E320" s="1" t="s">
        <v>231</v>
      </c>
      <c r="G320">
        <v>0</v>
      </c>
      <c r="H320">
        <v>0</v>
      </c>
      <c r="I320">
        <v>0</v>
      </c>
      <c r="J320">
        <v>0</v>
      </c>
      <c r="K320">
        <v>0</v>
      </c>
      <c r="L320">
        <v>0</v>
      </c>
      <c r="M320">
        <v>0</v>
      </c>
      <c r="N320">
        <v>0</v>
      </c>
      <c r="O320">
        <v>0</v>
      </c>
      <c r="P320">
        <v>0</v>
      </c>
      <c r="Q320" t="str">
        <f>INDEX('Partner data'!A:DH,MATCH(C320,'Partner data'!DG:DG,0),83)</f>
        <v xml:space="preserve">Organismo di diritto pubblico </v>
      </c>
      <c r="R320" t="b">
        <f>IF(E320="staff",IF(INDEX('Partner data'!A:DH,MATCH(C320,'Partner data'!DG:DG,0),112)="BL1 non presente","FALSO",INDEX('Partner data'!A:DH,MATCH(C320,'Partner data'!DG:DG,0),112)))</f>
        <v>0</v>
      </c>
      <c r="S320" t="b">
        <f t="shared" si="8"/>
        <v>0</v>
      </c>
      <c r="T320" t="b">
        <f t="shared" si="9"/>
        <v>1</v>
      </c>
      <c r="U320" s="154">
        <f>IFERROR(IF(R320&lt;&gt;FALSE,IF(S320=TRUE,INDEX('SummaryNOT_VALIDATED-BL'!$A$1:$F$16,MATCH(R320,'SummaryNOT_VALIDATED-BL'!$A$1:$A$16,0),6),0),IF(S320=TRUE,INDEX('SummaryNOT_VALIDATED-BL'!$A$1:$F$16,MATCH(E320,'SummaryNOT_VALIDATED-BL'!$A$1:$A$16,0),6),0)),0)</f>
        <v>0</v>
      </c>
      <c r="V320" s="81" cm="1">
        <f t="array" ref="V320">INDEX('Weight tables'!$A$24:$C$27,MATCH(1,(RendicontiTrasmessiBL__2[[#This Row],[Cut percentage on real costs + USC]]&gt;='Weight tables'!$B$24:$B$27)*(RendicontiTrasmessiBL__2[[#This Row],[Cut percentage on real costs + USC]]&lt;='Weight tables'!$C$24:$C$27),0),1)</f>
        <v>0</v>
      </c>
      <c r="W320" s="2">
        <f>RendicontiTrasmessiBL__2[[#This Row],[Weight real costs  + USC ]]</f>
        <v>0</v>
      </c>
    </row>
    <row r="321" spans="1:23" x14ac:dyDescent="0.25">
      <c r="A321" s="1" t="s">
        <v>357</v>
      </c>
      <c r="B321" s="1" t="s">
        <v>320</v>
      </c>
      <c r="C321" s="2">
        <v>210</v>
      </c>
      <c r="D321" s="2">
        <v>162</v>
      </c>
      <c r="E321" s="1" t="s">
        <v>232</v>
      </c>
      <c r="G321">
        <v>0</v>
      </c>
      <c r="H321">
        <v>0</v>
      </c>
      <c r="I321">
        <v>0</v>
      </c>
      <c r="J321">
        <v>0</v>
      </c>
      <c r="K321">
        <v>0</v>
      </c>
      <c r="L321">
        <v>0</v>
      </c>
      <c r="M321">
        <v>0</v>
      </c>
      <c r="N321">
        <v>0</v>
      </c>
      <c r="O321">
        <v>0</v>
      </c>
      <c r="P321">
        <v>0</v>
      </c>
      <c r="Q321" t="str">
        <f>INDEX('Partner data'!A:DH,MATCH(C321,'Partner data'!DG:DG,0),83)</f>
        <v xml:space="preserve">Organismo di diritto pubblico </v>
      </c>
      <c r="R321" t="b">
        <f>IF(E321="staff",IF(INDEX('Partner data'!A:DH,MATCH(C321,'Partner data'!DG:DG,0),112)="BL1 non presente","FALSO",INDEX('Partner data'!A:DH,MATCH(C321,'Partner data'!DG:DG,0),112)))</f>
        <v>0</v>
      </c>
      <c r="S321" t="b">
        <f t="shared" si="8"/>
        <v>0</v>
      </c>
      <c r="T321" t="b">
        <f t="shared" si="9"/>
        <v>1</v>
      </c>
      <c r="U321" s="154">
        <f>IFERROR(IF(R321&lt;&gt;FALSE,IF(S321=TRUE,INDEX('SummaryNOT_VALIDATED-BL'!$A$1:$F$16,MATCH(R321,'SummaryNOT_VALIDATED-BL'!$A$1:$A$16,0),6),0),IF(S321=TRUE,INDEX('SummaryNOT_VALIDATED-BL'!$A$1:$F$16,MATCH(E321,'SummaryNOT_VALIDATED-BL'!$A$1:$A$16,0),6),0)),0)</f>
        <v>0</v>
      </c>
      <c r="V321" s="81" cm="1">
        <f t="array" ref="V321">INDEX('Weight tables'!$A$24:$C$27,MATCH(1,(RendicontiTrasmessiBL__2[[#This Row],[Cut percentage on real costs + USC]]&gt;='Weight tables'!$B$24:$B$27)*(RendicontiTrasmessiBL__2[[#This Row],[Cut percentage on real costs + USC]]&lt;='Weight tables'!$C$24:$C$27),0),1)</f>
        <v>0</v>
      </c>
      <c r="W321" s="2">
        <f>RendicontiTrasmessiBL__2[[#This Row],[Weight real costs  + USC ]]</f>
        <v>0</v>
      </c>
    </row>
    <row r="322" spans="1:23" x14ac:dyDescent="0.25">
      <c r="A322" s="1" t="s">
        <v>357</v>
      </c>
      <c r="B322" s="1" t="s">
        <v>320</v>
      </c>
      <c r="C322" s="2">
        <v>210</v>
      </c>
      <c r="D322" s="2">
        <v>162</v>
      </c>
      <c r="E322" s="1" t="s">
        <v>233</v>
      </c>
      <c r="G322">
        <v>0</v>
      </c>
      <c r="H322">
        <v>0</v>
      </c>
      <c r="I322">
        <v>0</v>
      </c>
      <c r="J322">
        <v>0</v>
      </c>
      <c r="K322">
        <v>0</v>
      </c>
      <c r="L322">
        <v>0</v>
      </c>
      <c r="M322">
        <v>0</v>
      </c>
      <c r="N322">
        <v>0</v>
      </c>
      <c r="O322">
        <v>0</v>
      </c>
      <c r="P322">
        <v>0</v>
      </c>
      <c r="Q322" t="str">
        <f>INDEX('Partner data'!A:DH,MATCH(C322,'Partner data'!DG:DG,0),83)</f>
        <v xml:space="preserve">Organismo di diritto pubblico </v>
      </c>
      <c r="R322" t="b">
        <f>IF(E322="staff",IF(INDEX('Partner data'!A:DH,MATCH(C322,'Partner data'!DG:DG,0),112)="BL1 non presente","FALSO",INDEX('Partner data'!A:DH,MATCH(C322,'Partner data'!DG:DG,0),112)))</f>
        <v>0</v>
      </c>
      <c r="S322" t="b">
        <f t="shared" ref="S322:S385" si="10">IF(J322&lt;&gt;0,TRUE,FALSE)</f>
        <v>0</v>
      </c>
      <c r="T322" t="b">
        <f t="shared" ref="T322:T385" si="11">OR(Q322="Soggetto pubblico",Q322="Organismo di diritto pubblico ")</f>
        <v>1</v>
      </c>
      <c r="U322" s="154">
        <f>IFERROR(IF(R322&lt;&gt;FALSE,IF(S322=TRUE,INDEX('SummaryNOT_VALIDATED-BL'!$A$1:$F$16,MATCH(R322,'SummaryNOT_VALIDATED-BL'!$A$1:$A$16,0),6),0),IF(S322=TRUE,INDEX('SummaryNOT_VALIDATED-BL'!$A$1:$F$16,MATCH(E322,'SummaryNOT_VALIDATED-BL'!$A$1:$A$16,0),6),0)),0)</f>
        <v>0</v>
      </c>
      <c r="V322" s="81" cm="1">
        <f t="array" ref="V322">INDEX('Weight tables'!$A$24:$C$27,MATCH(1,(RendicontiTrasmessiBL__2[[#This Row],[Cut percentage on real costs + USC]]&gt;='Weight tables'!$B$24:$B$27)*(RendicontiTrasmessiBL__2[[#This Row],[Cut percentage on real costs + USC]]&lt;='Weight tables'!$C$24:$C$27),0),1)</f>
        <v>0</v>
      </c>
      <c r="W322" s="2">
        <f>RendicontiTrasmessiBL__2[[#This Row],[Weight real costs  + USC ]]</f>
        <v>0</v>
      </c>
    </row>
    <row r="323" spans="1:23" x14ac:dyDescent="0.25">
      <c r="A323" s="1" t="s">
        <v>357</v>
      </c>
      <c r="B323" s="1" t="s">
        <v>320</v>
      </c>
      <c r="C323" s="2">
        <v>210</v>
      </c>
      <c r="D323" s="2">
        <v>162</v>
      </c>
      <c r="E323" s="1" t="s">
        <v>234</v>
      </c>
      <c r="F323">
        <v>40</v>
      </c>
      <c r="G323">
        <v>36192</v>
      </c>
      <c r="H323">
        <v>0</v>
      </c>
      <c r="I323">
        <v>0</v>
      </c>
      <c r="J323">
        <v>9562.56</v>
      </c>
      <c r="K323">
        <v>0</v>
      </c>
      <c r="L323">
        <v>6978.3</v>
      </c>
      <c r="M323">
        <v>9562.56</v>
      </c>
      <c r="N323">
        <v>26.42</v>
      </c>
      <c r="O323">
        <v>26629.439999999999</v>
      </c>
      <c r="P323">
        <v>0</v>
      </c>
      <c r="Q323" t="str">
        <f>INDEX('Partner data'!A:DH,MATCH(C323,'Partner data'!DG:DG,0),83)</f>
        <v xml:space="preserve">Organismo di diritto pubblico </v>
      </c>
      <c r="R323" t="b">
        <f>IF(E323="staff",IF(INDEX('Partner data'!A:DH,MATCH(C323,'Partner data'!DG:DG,0),112)="BL1 non presente","FALSO",INDEX('Partner data'!A:DH,MATCH(C323,'Partner data'!DG:DG,0),112)))</f>
        <v>0</v>
      </c>
      <c r="S323" t="b">
        <f t="shared" si="10"/>
        <v>1</v>
      </c>
      <c r="T323" t="b">
        <f t="shared" si="11"/>
        <v>1</v>
      </c>
      <c r="U323" s="154">
        <f>IFERROR(IF(R323&lt;&gt;FALSE,IF(S323=TRUE,INDEX('SummaryNOT_VALIDATED-BL'!$A$1:$F$16,MATCH(R323,'SummaryNOT_VALIDATED-BL'!$A$1:$A$16,0),6),0),IF(S323=TRUE,INDEX('SummaryNOT_VALIDATED-BL'!$A$1:$F$16,MATCH(E323,'SummaryNOT_VALIDATED-BL'!$A$1:$A$16,0),6),0)),0)</f>
        <v>8.7645339819521315E-2</v>
      </c>
      <c r="V323" s="81" cm="1">
        <f t="array" ref="V323">INDEX('Weight tables'!$A$24:$C$27,MATCH(1,(RendicontiTrasmessiBL__2[[#This Row],[Cut percentage on real costs + USC]]&gt;='Weight tables'!$B$24:$B$27)*(RendicontiTrasmessiBL__2[[#This Row],[Cut percentage on real costs + USC]]&lt;='Weight tables'!$C$24:$C$27),0),1)</f>
        <v>4</v>
      </c>
      <c r="W323" s="2">
        <f>RendicontiTrasmessiBL__2[[#This Row],[Weight real costs  + USC ]]</f>
        <v>4</v>
      </c>
    </row>
    <row r="324" spans="1:23" x14ac:dyDescent="0.25">
      <c r="A324" s="1" t="s">
        <v>357</v>
      </c>
      <c r="B324" s="1" t="s">
        <v>320</v>
      </c>
      <c r="C324" s="2">
        <v>210</v>
      </c>
      <c r="D324" s="2">
        <v>162</v>
      </c>
      <c r="E324" s="1" t="s">
        <v>236</v>
      </c>
      <c r="G324">
        <v>0</v>
      </c>
      <c r="H324">
        <v>0</v>
      </c>
      <c r="I324">
        <v>0</v>
      </c>
      <c r="J324">
        <v>0</v>
      </c>
      <c r="K324">
        <v>0</v>
      </c>
      <c r="L324">
        <v>0</v>
      </c>
      <c r="M324">
        <v>0</v>
      </c>
      <c r="N324">
        <v>0</v>
      </c>
      <c r="O324">
        <v>0</v>
      </c>
      <c r="P324">
        <v>0</v>
      </c>
      <c r="Q324" t="str">
        <f>INDEX('Partner data'!A:DH,MATCH(C324,'Partner data'!DG:DG,0),83)</f>
        <v xml:space="preserve">Organismo di diritto pubblico </v>
      </c>
      <c r="R324" t="b">
        <f>IF(E324="staff",IF(INDEX('Partner data'!A:DH,MATCH(C324,'Partner data'!DG:DG,0),112)="BL1 non presente","FALSO",INDEX('Partner data'!A:DH,MATCH(C324,'Partner data'!DG:DG,0),112)))</f>
        <v>0</v>
      </c>
      <c r="S324" t="b">
        <f t="shared" si="10"/>
        <v>0</v>
      </c>
      <c r="T324" t="b">
        <f t="shared" si="11"/>
        <v>1</v>
      </c>
      <c r="U324" s="154">
        <f>IFERROR(IF(R324&lt;&gt;FALSE,IF(S324=TRUE,INDEX('SummaryNOT_VALIDATED-BL'!$A$1:$F$16,MATCH(R324,'SummaryNOT_VALIDATED-BL'!$A$1:$A$16,0),6),0),IF(S324=TRUE,INDEX('SummaryNOT_VALIDATED-BL'!$A$1:$F$16,MATCH(E324,'SummaryNOT_VALIDATED-BL'!$A$1:$A$16,0),6),0)),0)</f>
        <v>0</v>
      </c>
      <c r="V324" s="81" cm="1">
        <f t="array" ref="V324">INDEX('Weight tables'!$A$24:$C$27,MATCH(1,(RendicontiTrasmessiBL__2[[#This Row],[Cut percentage on real costs + USC]]&gt;='Weight tables'!$B$24:$B$27)*(RendicontiTrasmessiBL__2[[#This Row],[Cut percentage on real costs + USC]]&lt;='Weight tables'!$C$24:$C$27),0),1)</f>
        <v>0</v>
      </c>
      <c r="W324" s="2">
        <f>RendicontiTrasmessiBL__2[[#This Row],[Weight real costs  + USC ]]</f>
        <v>0</v>
      </c>
    </row>
    <row r="325" spans="1:23" x14ac:dyDescent="0.25">
      <c r="A325" s="1" t="s">
        <v>357</v>
      </c>
      <c r="B325" s="1" t="s">
        <v>320</v>
      </c>
      <c r="C325" s="2">
        <v>210</v>
      </c>
      <c r="D325" s="2">
        <v>162</v>
      </c>
      <c r="E325" s="1" t="s">
        <v>237</v>
      </c>
      <c r="G325">
        <v>0</v>
      </c>
      <c r="H325">
        <v>0</v>
      </c>
      <c r="I325">
        <v>0</v>
      </c>
      <c r="J325">
        <v>0</v>
      </c>
      <c r="K325">
        <v>0</v>
      </c>
      <c r="L325">
        <v>0</v>
      </c>
      <c r="M325">
        <v>0</v>
      </c>
      <c r="N325">
        <v>0</v>
      </c>
      <c r="O325">
        <v>0</v>
      </c>
      <c r="P325">
        <v>0</v>
      </c>
      <c r="Q325" t="str">
        <f>INDEX('Partner data'!A:DH,MATCH(C325,'Partner data'!DG:DG,0),83)</f>
        <v xml:space="preserve">Organismo di diritto pubblico </v>
      </c>
      <c r="R325" t="b">
        <f>IF(E325="staff",IF(INDEX('Partner data'!A:DH,MATCH(C325,'Partner data'!DG:DG,0),112)="BL1 non presente","FALSO",INDEX('Partner data'!A:DH,MATCH(C325,'Partner data'!DG:DG,0),112)))</f>
        <v>0</v>
      </c>
      <c r="S325" t="b">
        <f t="shared" si="10"/>
        <v>0</v>
      </c>
      <c r="T325" t="b">
        <f t="shared" si="11"/>
        <v>1</v>
      </c>
      <c r="U325" s="154">
        <f>IFERROR(IF(R325&lt;&gt;FALSE,IF(S325=TRUE,INDEX('SummaryNOT_VALIDATED-BL'!$A$1:$F$16,MATCH(R325,'SummaryNOT_VALIDATED-BL'!$A$1:$A$16,0),6),0),IF(S325=TRUE,INDEX('SummaryNOT_VALIDATED-BL'!$A$1:$F$16,MATCH(E325,'SummaryNOT_VALIDATED-BL'!$A$1:$A$16,0),6),0)),0)</f>
        <v>0</v>
      </c>
      <c r="V325" s="81" cm="1">
        <f t="array" ref="V325">INDEX('Weight tables'!$A$24:$C$27,MATCH(1,(RendicontiTrasmessiBL__2[[#This Row],[Cut percentage on real costs + USC]]&gt;='Weight tables'!$B$24:$B$27)*(RendicontiTrasmessiBL__2[[#This Row],[Cut percentage on real costs + USC]]&lt;='Weight tables'!$C$24:$C$27),0),1)</f>
        <v>0</v>
      </c>
      <c r="W325" s="2">
        <f>RendicontiTrasmessiBL__2[[#This Row],[Weight real costs  + USC ]]</f>
        <v>0</v>
      </c>
    </row>
    <row r="326" spans="1:23" x14ac:dyDescent="0.25">
      <c r="A326" s="1" t="s">
        <v>365</v>
      </c>
      <c r="B326" s="1" t="s">
        <v>293</v>
      </c>
      <c r="C326" s="2">
        <v>266</v>
      </c>
      <c r="D326" s="2">
        <v>321</v>
      </c>
      <c r="E326" s="1" t="s">
        <v>228</v>
      </c>
      <c r="G326">
        <v>24975</v>
      </c>
      <c r="H326">
        <v>0</v>
      </c>
      <c r="I326">
        <v>0</v>
      </c>
      <c r="J326">
        <v>675</v>
      </c>
      <c r="K326">
        <v>0</v>
      </c>
      <c r="L326">
        <v>675</v>
      </c>
      <c r="M326">
        <v>675</v>
      </c>
      <c r="N326">
        <v>2.7</v>
      </c>
      <c r="O326">
        <v>24300</v>
      </c>
      <c r="P326">
        <v>0</v>
      </c>
      <c r="Q326" t="str">
        <f>INDEX('Partner data'!A:DH,MATCH(C326,'Partner data'!DG:DG,0),83)</f>
        <v>Soggetto pubblico</v>
      </c>
      <c r="R326" t="str">
        <f>IF(E326="staff",IF(INDEX('Partner data'!A:DH,MATCH(C326,'Partner data'!DG:DG,0),112)="BL1 non presente","FALSO",INDEX('Partner data'!A:DH,MATCH(C326,'Partner data'!DG:DG,0),112)))</f>
        <v>Costo Unitario Standard</v>
      </c>
      <c r="S326" t="b">
        <f t="shared" si="10"/>
        <v>1</v>
      </c>
      <c r="T326" t="b">
        <f t="shared" si="11"/>
        <v>1</v>
      </c>
      <c r="U326" s="154">
        <f>IFERROR(IF(R326&lt;&gt;FALSE,IF(S326=TRUE,INDEX('SummaryNOT_VALIDATED-BL'!$A$1:$F$16,MATCH(R326,'SummaryNOT_VALIDATED-BL'!$A$1:$A$16,0),6),0),IF(S326=TRUE,INDEX('SummaryNOT_VALIDATED-BL'!$A$1:$F$16,MATCH(E326,'SummaryNOT_VALIDATED-BL'!$A$1:$A$16,0),6),0)),0)</f>
        <v>3.2052879635441428E-2</v>
      </c>
      <c r="V326" s="81" cm="1">
        <f t="array" ref="V326">INDEX('Weight tables'!$A$24:$C$27,MATCH(1,(RendicontiTrasmessiBL__2[[#This Row],[Cut percentage on real costs + USC]]&gt;='Weight tables'!$B$24:$B$27)*(RendicontiTrasmessiBL__2[[#This Row],[Cut percentage on real costs + USC]]&lt;='Weight tables'!$C$24:$C$27),0),1)</f>
        <v>2</v>
      </c>
      <c r="W326" s="2">
        <f>RendicontiTrasmessiBL__2[[#This Row],[Weight real costs  + USC ]]</f>
        <v>2</v>
      </c>
    </row>
    <row r="327" spans="1:23" x14ac:dyDescent="0.25">
      <c r="A327" s="1" t="s">
        <v>365</v>
      </c>
      <c r="B327" s="1" t="s">
        <v>293</v>
      </c>
      <c r="C327" s="2">
        <v>266</v>
      </c>
      <c r="D327" s="2">
        <v>321</v>
      </c>
      <c r="E327" s="1" t="s">
        <v>229</v>
      </c>
      <c r="G327">
        <v>0</v>
      </c>
      <c r="H327">
        <v>0</v>
      </c>
      <c r="I327">
        <v>0</v>
      </c>
      <c r="J327">
        <v>0</v>
      </c>
      <c r="K327">
        <v>0</v>
      </c>
      <c r="L327">
        <v>0</v>
      </c>
      <c r="M327">
        <v>0</v>
      </c>
      <c r="N327">
        <v>0</v>
      </c>
      <c r="O327">
        <v>0</v>
      </c>
      <c r="P327">
        <v>0</v>
      </c>
      <c r="Q327" t="str">
        <f>INDEX('Partner data'!A:DH,MATCH(C327,'Partner data'!DG:DG,0),83)</f>
        <v>Soggetto pubblico</v>
      </c>
      <c r="R327" t="b">
        <f>IF(E327="staff",IF(INDEX('Partner data'!A:DH,MATCH(C327,'Partner data'!DG:DG,0),112)="BL1 non presente","FALSO",INDEX('Partner data'!A:DH,MATCH(C327,'Partner data'!DG:DG,0),112)))</f>
        <v>0</v>
      </c>
      <c r="S327" t="b">
        <f t="shared" si="10"/>
        <v>0</v>
      </c>
      <c r="T327" t="b">
        <f t="shared" si="11"/>
        <v>1</v>
      </c>
      <c r="U327" s="154">
        <f>IFERROR(IF(R327&lt;&gt;FALSE,IF(S327=TRUE,INDEX('SummaryNOT_VALIDATED-BL'!$A$1:$F$16,MATCH(R327,'SummaryNOT_VALIDATED-BL'!$A$1:$A$16,0),6),0),IF(S327=TRUE,INDEX('SummaryNOT_VALIDATED-BL'!$A$1:$F$16,MATCH(E327,'SummaryNOT_VALIDATED-BL'!$A$1:$A$16,0),6),0)),0)</f>
        <v>0</v>
      </c>
      <c r="V327" s="81" cm="1">
        <f t="array" ref="V327">INDEX('Weight tables'!$A$24:$C$27,MATCH(1,(RendicontiTrasmessiBL__2[[#This Row],[Cut percentage on real costs + USC]]&gt;='Weight tables'!$B$24:$B$27)*(RendicontiTrasmessiBL__2[[#This Row],[Cut percentage on real costs + USC]]&lt;='Weight tables'!$C$24:$C$27),0),1)</f>
        <v>0</v>
      </c>
      <c r="W327" s="2">
        <f>RendicontiTrasmessiBL__2[[#This Row],[Weight real costs  + USC ]]</f>
        <v>0</v>
      </c>
    </row>
    <row r="328" spans="1:23" x14ac:dyDescent="0.25">
      <c r="A328" s="1" t="s">
        <v>365</v>
      </c>
      <c r="B328" s="1" t="s">
        <v>293</v>
      </c>
      <c r="C328" s="2">
        <v>266</v>
      </c>
      <c r="D328" s="2">
        <v>321</v>
      </c>
      <c r="E328" s="1" t="s">
        <v>230</v>
      </c>
      <c r="G328">
        <v>0</v>
      </c>
      <c r="H328">
        <v>0</v>
      </c>
      <c r="I328">
        <v>0</v>
      </c>
      <c r="J328">
        <v>0</v>
      </c>
      <c r="K328">
        <v>0</v>
      </c>
      <c r="L328">
        <v>0</v>
      </c>
      <c r="M328">
        <v>0</v>
      </c>
      <c r="N328">
        <v>0</v>
      </c>
      <c r="O328">
        <v>0</v>
      </c>
      <c r="P328">
        <v>0</v>
      </c>
      <c r="Q328" t="str">
        <f>INDEX('Partner data'!A:DH,MATCH(C328,'Partner data'!DG:DG,0),83)</f>
        <v>Soggetto pubblico</v>
      </c>
      <c r="R328" t="b">
        <f>IF(E328="staff",IF(INDEX('Partner data'!A:DH,MATCH(C328,'Partner data'!DG:DG,0),112)="BL1 non presente","FALSO",INDEX('Partner data'!A:DH,MATCH(C328,'Partner data'!DG:DG,0),112)))</f>
        <v>0</v>
      </c>
      <c r="S328" t="b">
        <f t="shared" si="10"/>
        <v>0</v>
      </c>
      <c r="T328" t="b">
        <f t="shared" si="11"/>
        <v>1</v>
      </c>
      <c r="U328" s="154">
        <f>IFERROR(IF(R328&lt;&gt;FALSE,IF(S328=TRUE,INDEX('SummaryNOT_VALIDATED-BL'!$A$1:$F$16,MATCH(R328,'SummaryNOT_VALIDATED-BL'!$A$1:$A$16,0),6),0),IF(S328=TRUE,INDEX('SummaryNOT_VALIDATED-BL'!$A$1:$F$16,MATCH(E328,'SummaryNOT_VALIDATED-BL'!$A$1:$A$16,0),6),0)),0)</f>
        <v>0</v>
      </c>
      <c r="V328" s="81" cm="1">
        <f t="array" ref="V328">INDEX('Weight tables'!$A$24:$C$27,MATCH(1,(RendicontiTrasmessiBL__2[[#This Row],[Cut percentage on real costs + USC]]&gt;='Weight tables'!$B$24:$B$27)*(RendicontiTrasmessiBL__2[[#This Row],[Cut percentage on real costs + USC]]&lt;='Weight tables'!$C$24:$C$27),0),1)</f>
        <v>0</v>
      </c>
      <c r="W328" s="2">
        <f>RendicontiTrasmessiBL__2[[#This Row],[Weight real costs  + USC ]]</f>
        <v>0</v>
      </c>
    </row>
    <row r="329" spans="1:23" x14ac:dyDescent="0.25">
      <c r="A329" s="1" t="s">
        <v>365</v>
      </c>
      <c r="B329" s="1" t="s">
        <v>293</v>
      </c>
      <c r="C329" s="2">
        <v>266</v>
      </c>
      <c r="D329" s="2">
        <v>321</v>
      </c>
      <c r="E329" s="1" t="s">
        <v>231</v>
      </c>
      <c r="G329">
        <v>0</v>
      </c>
      <c r="H329">
        <v>0</v>
      </c>
      <c r="I329">
        <v>0</v>
      </c>
      <c r="J329">
        <v>0</v>
      </c>
      <c r="K329">
        <v>0</v>
      </c>
      <c r="L329">
        <v>0</v>
      </c>
      <c r="M329">
        <v>0</v>
      </c>
      <c r="N329">
        <v>0</v>
      </c>
      <c r="O329">
        <v>0</v>
      </c>
      <c r="P329">
        <v>0</v>
      </c>
      <c r="Q329" t="str">
        <f>INDEX('Partner data'!A:DH,MATCH(C329,'Partner data'!DG:DG,0),83)</f>
        <v>Soggetto pubblico</v>
      </c>
      <c r="R329" t="b">
        <f>IF(E329="staff",IF(INDEX('Partner data'!A:DH,MATCH(C329,'Partner data'!DG:DG,0),112)="BL1 non presente","FALSO",INDEX('Partner data'!A:DH,MATCH(C329,'Partner data'!DG:DG,0),112)))</f>
        <v>0</v>
      </c>
      <c r="S329" t="b">
        <f t="shared" si="10"/>
        <v>0</v>
      </c>
      <c r="T329" t="b">
        <f t="shared" si="11"/>
        <v>1</v>
      </c>
      <c r="U329" s="154">
        <f>IFERROR(IF(R329&lt;&gt;FALSE,IF(S329=TRUE,INDEX('SummaryNOT_VALIDATED-BL'!$A$1:$F$16,MATCH(R329,'SummaryNOT_VALIDATED-BL'!$A$1:$A$16,0),6),0),IF(S329=TRUE,INDEX('SummaryNOT_VALIDATED-BL'!$A$1:$F$16,MATCH(E329,'SummaryNOT_VALIDATED-BL'!$A$1:$A$16,0),6),0)),0)</f>
        <v>0</v>
      </c>
      <c r="V329" s="81" cm="1">
        <f t="array" ref="V329">INDEX('Weight tables'!$A$24:$C$27,MATCH(1,(RendicontiTrasmessiBL__2[[#This Row],[Cut percentage on real costs + USC]]&gt;='Weight tables'!$B$24:$B$27)*(RendicontiTrasmessiBL__2[[#This Row],[Cut percentage on real costs + USC]]&lt;='Weight tables'!$C$24:$C$27),0),1)</f>
        <v>0</v>
      </c>
      <c r="W329" s="2">
        <f>RendicontiTrasmessiBL__2[[#This Row],[Weight real costs  + USC ]]</f>
        <v>0</v>
      </c>
    </row>
    <row r="330" spans="1:23" x14ac:dyDescent="0.25">
      <c r="A330" s="1" t="s">
        <v>365</v>
      </c>
      <c r="B330" s="1" t="s">
        <v>293</v>
      </c>
      <c r="C330" s="2">
        <v>266</v>
      </c>
      <c r="D330" s="2">
        <v>321</v>
      </c>
      <c r="E330" s="1" t="s">
        <v>232</v>
      </c>
      <c r="G330">
        <v>0</v>
      </c>
      <c r="H330">
        <v>0</v>
      </c>
      <c r="I330">
        <v>0</v>
      </c>
      <c r="J330">
        <v>0</v>
      </c>
      <c r="K330">
        <v>0</v>
      </c>
      <c r="L330">
        <v>0</v>
      </c>
      <c r="M330">
        <v>0</v>
      </c>
      <c r="N330">
        <v>0</v>
      </c>
      <c r="O330">
        <v>0</v>
      </c>
      <c r="P330">
        <v>0</v>
      </c>
      <c r="Q330" t="str">
        <f>INDEX('Partner data'!A:DH,MATCH(C330,'Partner data'!DG:DG,0),83)</f>
        <v>Soggetto pubblico</v>
      </c>
      <c r="R330" t="b">
        <f>IF(E330="staff",IF(INDEX('Partner data'!A:DH,MATCH(C330,'Partner data'!DG:DG,0),112)="BL1 non presente","FALSO",INDEX('Partner data'!A:DH,MATCH(C330,'Partner data'!DG:DG,0),112)))</f>
        <v>0</v>
      </c>
      <c r="S330" t="b">
        <f t="shared" si="10"/>
        <v>0</v>
      </c>
      <c r="T330" t="b">
        <f t="shared" si="11"/>
        <v>1</v>
      </c>
      <c r="U330" s="154">
        <f>IFERROR(IF(R330&lt;&gt;FALSE,IF(S330=TRUE,INDEX('SummaryNOT_VALIDATED-BL'!$A$1:$F$16,MATCH(R330,'SummaryNOT_VALIDATED-BL'!$A$1:$A$16,0),6),0),IF(S330=TRUE,INDEX('SummaryNOT_VALIDATED-BL'!$A$1:$F$16,MATCH(E330,'SummaryNOT_VALIDATED-BL'!$A$1:$A$16,0),6),0)),0)</f>
        <v>0</v>
      </c>
      <c r="V330" s="81" cm="1">
        <f t="array" ref="V330">INDEX('Weight tables'!$A$24:$C$27,MATCH(1,(RendicontiTrasmessiBL__2[[#This Row],[Cut percentage on real costs + USC]]&gt;='Weight tables'!$B$24:$B$27)*(RendicontiTrasmessiBL__2[[#This Row],[Cut percentage on real costs + USC]]&lt;='Weight tables'!$C$24:$C$27),0),1)</f>
        <v>0</v>
      </c>
      <c r="W330" s="2">
        <f>RendicontiTrasmessiBL__2[[#This Row],[Weight real costs  + USC ]]</f>
        <v>0</v>
      </c>
    </row>
    <row r="331" spans="1:23" x14ac:dyDescent="0.25">
      <c r="A331" s="1" t="s">
        <v>365</v>
      </c>
      <c r="B331" s="1" t="s">
        <v>293</v>
      </c>
      <c r="C331" s="2">
        <v>266</v>
      </c>
      <c r="D331" s="2">
        <v>321</v>
      </c>
      <c r="E331" s="1" t="s">
        <v>233</v>
      </c>
      <c r="G331">
        <v>0</v>
      </c>
      <c r="H331">
        <v>0</v>
      </c>
      <c r="I331">
        <v>0</v>
      </c>
      <c r="J331">
        <v>0</v>
      </c>
      <c r="K331">
        <v>0</v>
      </c>
      <c r="L331">
        <v>0</v>
      </c>
      <c r="M331">
        <v>0</v>
      </c>
      <c r="N331">
        <v>0</v>
      </c>
      <c r="O331">
        <v>0</v>
      </c>
      <c r="P331">
        <v>0</v>
      </c>
      <c r="Q331" t="str">
        <f>INDEX('Partner data'!A:DH,MATCH(C331,'Partner data'!DG:DG,0),83)</f>
        <v>Soggetto pubblico</v>
      </c>
      <c r="R331" t="b">
        <f>IF(E331="staff",IF(INDEX('Partner data'!A:DH,MATCH(C331,'Partner data'!DG:DG,0),112)="BL1 non presente","FALSO",INDEX('Partner data'!A:DH,MATCH(C331,'Partner data'!DG:DG,0),112)))</f>
        <v>0</v>
      </c>
      <c r="S331" t="b">
        <f t="shared" si="10"/>
        <v>0</v>
      </c>
      <c r="T331" t="b">
        <f t="shared" si="11"/>
        <v>1</v>
      </c>
      <c r="U331" s="154">
        <f>IFERROR(IF(R331&lt;&gt;FALSE,IF(S331=TRUE,INDEX('SummaryNOT_VALIDATED-BL'!$A$1:$F$16,MATCH(R331,'SummaryNOT_VALIDATED-BL'!$A$1:$A$16,0),6),0),IF(S331=TRUE,INDEX('SummaryNOT_VALIDATED-BL'!$A$1:$F$16,MATCH(E331,'SummaryNOT_VALIDATED-BL'!$A$1:$A$16,0),6),0)),0)</f>
        <v>0</v>
      </c>
      <c r="V331" s="81" cm="1">
        <f t="array" ref="V331">INDEX('Weight tables'!$A$24:$C$27,MATCH(1,(RendicontiTrasmessiBL__2[[#This Row],[Cut percentage on real costs + USC]]&gt;='Weight tables'!$B$24:$B$27)*(RendicontiTrasmessiBL__2[[#This Row],[Cut percentage on real costs + USC]]&lt;='Weight tables'!$C$24:$C$27),0),1)</f>
        <v>0</v>
      </c>
      <c r="W331" s="2">
        <f>RendicontiTrasmessiBL__2[[#This Row],[Weight real costs  + USC ]]</f>
        <v>0</v>
      </c>
    </row>
    <row r="332" spans="1:23" x14ac:dyDescent="0.25">
      <c r="A332" s="1" t="s">
        <v>365</v>
      </c>
      <c r="B332" s="1" t="s">
        <v>293</v>
      </c>
      <c r="C332" s="2">
        <v>266</v>
      </c>
      <c r="D332" s="2">
        <v>321</v>
      </c>
      <c r="E332" s="1" t="s">
        <v>234</v>
      </c>
      <c r="F332">
        <v>40</v>
      </c>
      <c r="G332">
        <v>9990</v>
      </c>
      <c r="H332">
        <v>0</v>
      </c>
      <c r="I332">
        <v>0</v>
      </c>
      <c r="J332">
        <v>270</v>
      </c>
      <c r="K332">
        <v>0</v>
      </c>
      <c r="L332">
        <v>270</v>
      </c>
      <c r="M332">
        <v>270</v>
      </c>
      <c r="N332">
        <v>2.7</v>
      </c>
      <c r="O332">
        <v>9720</v>
      </c>
      <c r="P332">
        <v>0</v>
      </c>
      <c r="Q332" t="str">
        <f>INDEX('Partner data'!A:DH,MATCH(C332,'Partner data'!DG:DG,0),83)</f>
        <v>Soggetto pubblico</v>
      </c>
      <c r="R332" t="b">
        <f>IF(E332="staff",IF(INDEX('Partner data'!A:DH,MATCH(C332,'Partner data'!DG:DG,0),112)="BL1 non presente","FALSO",INDEX('Partner data'!A:DH,MATCH(C332,'Partner data'!DG:DG,0),112)))</f>
        <v>0</v>
      </c>
      <c r="S332" t="b">
        <f t="shared" si="10"/>
        <v>1</v>
      </c>
      <c r="T332" t="b">
        <f t="shared" si="11"/>
        <v>1</v>
      </c>
      <c r="U332" s="154">
        <f>IFERROR(IF(R332&lt;&gt;FALSE,IF(S332=TRUE,INDEX('SummaryNOT_VALIDATED-BL'!$A$1:$F$16,MATCH(R332,'SummaryNOT_VALIDATED-BL'!$A$1:$A$16,0),6),0),IF(S332=TRUE,INDEX('SummaryNOT_VALIDATED-BL'!$A$1:$F$16,MATCH(E332,'SummaryNOT_VALIDATED-BL'!$A$1:$A$16,0),6),0)),0)</f>
        <v>8.7645339819521315E-2</v>
      </c>
      <c r="V332" s="81" cm="1">
        <f t="array" ref="V332">INDEX('Weight tables'!$A$24:$C$27,MATCH(1,(RendicontiTrasmessiBL__2[[#This Row],[Cut percentage on real costs + USC]]&gt;='Weight tables'!$B$24:$B$27)*(RendicontiTrasmessiBL__2[[#This Row],[Cut percentage on real costs + USC]]&lt;='Weight tables'!$C$24:$C$27),0),1)</f>
        <v>4</v>
      </c>
      <c r="W332" s="2">
        <f>RendicontiTrasmessiBL__2[[#This Row],[Weight real costs  + USC ]]</f>
        <v>4</v>
      </c>
    </row>
    <row r="333" spans="1:23" x14ac:dyDescent="0.25">
      <c r="A333" s="1" t="s">
        <v>365</v>
      </c>
      <c r="B333" s="1" t="s">
        <v>293</v>
      </c>
      <c r="C333" s="2">
        <v>266</v>
      </c>
      <c r="D333" s="2">
        <v>321</v>
      </c>
      <c r="E333" s="1" t="s">
        <v>236</v>
      </c>
      <c r="G333">
        <v>0</v>
      </c>
      <c r="H333">
        <v>0</v>
      </c>
      <c r="I333">
        <v>0</v>
      </c>
      <c r="J333">
        <v>0</v>
      </c>
      <c r="K333">
        <v>0</v>
      </c>
      <c r="L333">
        <v>0</v>
      </c>
      <c r="M333">
        <v>0</v>
      </c>
      <c r="N333">
        <v>0</v>
      </c>
      <c r="O333">
        <v>0</v>
      </c>
      <c r="P333">
        <v>0</v>
      </c>
      <c r="Q333" t="str">
        <f>INDEX('Partner data'!A:DH,MATCH(C333,'Partner data'!DG:DG,0),83)</f>
        <v>Soggetto pubblico</v>
      </c>
      <c r="R333" t="b">
        <f>IF(E333="staff",IF(INDEX('Partner data'!A:DH,MATCH(C333,'Partner data'!DG:DG,0),112)="BL1 non presente","FALSO",INDEX('Partner data'!A:DH,MATCH(C333,'Partner data'!DG:DG,0),112)))</f>
        <v>0</v>
      </c>
      <c r="S333" t="b">
        <f t="shared" si="10"/>
        <v>0</v>
      </c>
      <c r="T333" t="b">
        <f t="shared" si="11"/>
        <v>1</v>
      </c>
      <c r="U333" s="154">
        <f>IFERROR(IF(R333&lt;&gt;FALSE,IF(S333=TRUE,INDEX('SummaryNOT_VALIDATED-BL'!$A$1:$F$16,MATCH(R333,'SummaryNOT_VALIDATED-BL'!$A$1:$A$16,0),6),0),IF(S333=TRUE,INDEX('SummaryNOT_VALIDATED-BL'!$A$1:$F$16,MATCH(E333,'SummaryNOT_VALIDATED-BL'!$A$1:$A$16,0),6),0)),0)</f>
        <v>0</v>
      </c>
      <c r="V333" s="81" cm="1">
        <f t="array" ref="V333">INDEX('Weight tables'!$A$24:$C$27,MATCH(1,(RendicontiTrasmessiBL__2[[#This Row],[Cut percentage on real costs + USC]]&gt;='Weight tables'!$B$24:$B$27)*(RendicontiTrasmessiBL__2[[#This Row],[Cut percentage on real costs + USC]]&lt;='Weight tables'!$C$24:$C$27),0),1)</f>
        <v>0</v>
      </c>
      <c r="W333" s="2">
        <f>RendicontiTrasmessiBL__2[[#This Row],[Weight real costs  + USC ]]</f>
        <v>0</v>
      </c>
    </row>
    <row r="334" spans="1:23" x14ac:dyDescent="0.25">
      <c r="A334" s="1" t="s">
        <v>365</v>
      </c>
      <c r="B334" s="1" t="s">
        <v>293</v>
      </c>
      <c r="C334" s="2">
        <v>266</v>
      </c>
      <c r="D334" s="2">
        <v>321</v>
      </c>
      <c r="E334" s="1" t="s">
        <v>237</v>
      </c>
      <c r="G334">
        <v>0</v>
      </c>
      <c r="H334">
        <v>0</v>
      </c>
      <c r="I334">
        <v>0</v>
      </c>
      <c r="J334">
        <v>0</v>
      </c>
      <c r="K334">
        <v>0</v>
      </c>
      <c r="L334">
        <v>0</v>
      </c>
      <c r="M334">
        <v>0</v>
      </c>
      <c r="N334">
        <v>0</v>
      </c>
      <c r="O334">
        <v>0</v>
      </c>
      <c r="P334">
        <v>0</v>
      </c>
      <c r="Q334" t="str">
        <f>INDEX('Partner data'!A:DH,MATCH(C334,'Partner data'!DG:DG,0),83)</f>
        <v>Soggetto pubblico</v>
      </c>
      <c r="R334" t="b">
        <f>IF(E334="staff",IF(INDEX('Partner data'!A:DH,MATCH(C334,'Partner data'!DG:DG,0),112)="BL1 non presente","FALSO",INDEX('Partner data'!A:DH,MATCH(C334,'Partner data'!DG:DG,0),112)))</f>
        <v>0</v>
      </c>
      <c r="S334" t="b">
        <f t="shared" si="10"/>
        <v>0</v>
      </c>
      <c r="T334" t="b">
        <f t="shared" si="11"/>
        <v>1</v>
      </c>
      <c r="U334" s="154">
        <f>IFERROR(IF(R334&lt;&gt;FALSE,IF(S334=TRUE,INDEX('SummaryNOT_VALIDATED-BL'!$A$1:$F$16,MATCH(R334,'SummaryNOT_VALIDATED-BL'!$A$1:$A$16,0),6),0),IF(S334=TRUE,INDEX('SummaryNOT_VALIDATED-BL'!$A$1:$F$16,MATCH(E334,'SummaryNOT_VALIDATED-BL'!$A$1:$A$16,0),6),0)),0)</f>
        <v>0</v>
      </c>
      <c r="V334" s="81" cm="1">
        <f t="array" ref="V334">INDEX('Weight tables'!$A$24:$C$27,MATCH(1,(RendicontiTrasmessiBL__2[[#This Row],[Cut percentage on real costs + USC]]&gt;='Weight tables'!$B$24:$B$27)*(RendicontiTrasmessiBL__2[[#This Row],[Cut percentage on real costs + USC]]&lt;='Weight tables'!$C$24:$C$27),0),1)</f>
        <v>0</v>
      </c>
      <c r="W334" s="2">
        <f>RendicontiTrasmessiBL__2[[#This Row],[Weight real costs  + USC ]]</f>
        <v>0</v>
      </c>
    </row>
    <row r="335" spans="1:23" x14ac:dyDescent="0.25">
      <c r="A335" s="1" t="s">
        <v>365</v>
      </c>
      <c r="B335" s="1" t="s">
        <v>366</v>
      </c>
      <c r="C335" s="2">
        <v>263</v>
      </c>
      <c r="D335" s="2">
        <v>265</v>
      </c>
      <c r="E335" s="1" t="s">
        <v>228</v>
      </c>
      <c r="G335">
        <v>57342</v>
      </c>
      <c r="H335">
        <v>0</v>
      </c>
      <c r="I335">
        <v>0</v>
      </c>
      <c r="J335">
        <v>13625.64</v>
      </c>
      <c r="K335">
        <v>0</v>
      </c>
      <c r="L335">
        <v>11906.01</v>
      </c>
      <c r="M335">
        <v>13625.64</v>
      </c>
      <c r="N335">
        <v>23.76</v>
      </c>
      <c r="O335">
        <v>43716.36</v>
      </c>
      <c r="P335">
        <v>0</v>
      </c>
      <c r="Q335" t="str">
        <f>INDEX('Partner data'!A:DH,MATCH(C335,'Partner data'!DG:DG,0),83)</f>
        <v>Soggetto privato</v>
      </c>
      <c r="R335" t="str">
        <f>IF(E335="staff",IF(INDEX('Partner data'!A:DH,MATCH(C335,'Partner data'!DG:DG,0),112)="BL1 non presente","FALSO",INDEX('Partner data'!A:DH,MATCH(C335,'Partner data'!DG:DG,0),112)))</f>
        <v>COSTO REALE</v>
      </c>
      <c r="S335" t="b">
        <f t="shared" si="10"/>
        <v>1</v>
      </c>
      <c r="T335" t="b">
        <f t="shared" si="11"/>
        <v>0</v>
      </c>
      <c r="U335" s="154">
        <f>IFERROR(IF(R335&lt;&gt;FALSE,IF(S335=TRUE,INDEX('SummaryNOT_VALIDATED-BL'!$A$1:$F$16,MATCH(R335,'SummaryNOT_VALIDATED-BL'!$A$1:$A$16,0),6),0),IF(S335=TRUE,INDEX('SummaryNOT_VALIDATED-BL'!$A$1:$F$16,MATCH(E335,'SummaryNOT_VALIDATED-BL'!$A$1:$A$16,0),6),0)),0)</f>
        <v>9.1604133276901048E-2</v>
      </c>
      <c r="V335" s="81" cm="1">
        <f t="array" ref="V335">INDEX('Weight tables'!$A$24:$C$27,MATCH(1,(RendicontiTrasmessiBL__2[[#This Row],[Cut percentage on real costs + USC]]&gt;='Weight tables'!$B$24:$B$27)*(RendicontiTrasmessiBL__2[[#This Row],[Cut percentage on real costs + USC]]&lt;='Weight tables'!$C$24:$C$27),0),1)</f>
        <v>4</v>
      </c>
      <c r="W335" s="2">
        <f>RendicontiTrasmessiBL__2[[#This Row],[Weight real costs  + USC ]]</f>
        <v>4</v>
      </c>
    </row>
    <row r="336" spans="1:23" x14ac:dyDescent="0.25">
      <c r="A336" s="1" t="s">
        <v>365</v>
      </c>
      <c r="B336" s="1" t="s">
        <v>366</v>
      </c>
      <c r="C336" s="2">
        <v>263</v>
      </c>
      <c r="D336" s="2">
        <v>265</v>
      </c>
      <c r="E336" s="1" t="s">
        <v>229</v>
      </c>
      <c r="G336">
        <v>0</v>
      </c>
      <c r="H336">
        <v>0</v>
      </c>
      <c r="I336">
        <v>0</v>
      </c>
      <c r="J336">
        <v>0</v>
      </c>
      <c r="K336">
        <v>0</v>
      </c>
      <c r="L336">
        <v>0</v>
      </c>
      <c r="M336">
        <v>0</v>
      </c>
      <c r="N336">
        <v>0</v>
      </c>
      <c r="O336">
        <v>0</v>
      </c>
      <c r="P336">
        <v>0</v>
      </c>
      <c r="Q336" t="str">
        <f>INDEX('Partner data'!A:DH,MATCH(C336,'Partner data'!DG:DG,0),83)</f>
        <v>Soggetto privato</v>
      </c>
      <c r="R336" t="b">
        <f>IF(E336="staff",IF(INDEX('Partner data'!A:DH,MATCH(C336,'Partner data'!DG:DG,0),112)="BL1 non presente","FALSO",INDEX('Partner data'!A:DH,MATCH(C336,'Partner data'!DG:DG,0),112)))</f>
        <v>0</v>
      </c>
      <c r="S336" t="b">
        <f t="shared" si="10"/>
        <v>0</v>
      </c>
      <c r="T336" t="b">
        <f t="shared" si="11"/>
        <v>0</v>
      </c>
      <c r="U336" s="154">
        <f>IFERROR(IF(R336&lt;&gt;FALSE,IF(S336=TRUE,INDEX('SummaryNOT_VALIDATED-BL'!$A$1:$F$16,MATCH(R336,'SummaryNOT_VALIDATED-BL'!$A$1:$A$16,0),6),0),IF(S336=TRUE,INDEX('SummaryNOT_VALIDATED-BL'!$A$1:$F$16,MATCH(E336,'SummaryNOT_VALIDATED-BL'!$A$1:$A$16,0),6),0)),0)</f>
        <v>0</v>
      </c>
      <c r="V336" s="81" cm="1">
        <f t="array" ref="V336">INDEX('Weight tables'!$A$24:$C$27,MATCH(1,(RendicontiTrasmessiBL__2[[#This Row],[Cut percentage on real costs + USC]]&gt;='Weight tables'!$B$24:$B$27)*(RendicontiTrasmessiBL__2[[#This Row],[Cut percentage on real costs + USC]]&lt;='Weight tables'!$C$24:$C$27),0),1)</f>
        <v>0</v>
      </c>
      <c r="W336" s="2">
        <f>RendicontiTrasmessiBL__2[[#This Row],[Weight real costs  + USC ]]</f>
        <v>0</v>
      </c>
    </row>
    <row r="337" spans="1:23" x14ac:dyDescent="0.25">
      <c r="A337" s="1" t="s">
        <v>365</v>
      </c>
      <c r="B337" s="1" t="s">
        <v>366</v>
      </c>
      <c r="C337" s="2">
        <v>263</v>
      </c>
      <c r="D337" s="2">
        <v>265</v>
      </c>
      <c r="E337" s="1" t="s">
        <v>230</v>
      </c>
      <c r="G337">
        <v>0</v>
      </c>
      <c r="H337">
        <v>0</v>
      </c>
      <c r="I337">
        <v>0</v>
      </c>
      <c r="J337">
        <v>0</v>
      </c>
      <c r="K337">
        <v>0</v>
      </c>
      <c r="L337">
        <v>0</v>
      </c>
      <c r="M337">
        <v>0</v>
      </c>
      <c r="N337">
        <v>0</v>
      </c>
      <c r="O337">
        <v>0</v>
      </c>
      <c r="P337">
        <v>0</v>
      </c>
      <c r="Q337" t="str">
        <f>INDEX('Partner data'!A:DH,MATCH(C337,'Partner data'!DG:DG,0),83)</f>
        <v>Soggetto privato</v>
      </c>
      <c r="R337" t="b">
        <f>IF(E337="staff",IF(INDEX('Partner data'!A:DH,MATCH(C337,'Partner data'!DG:DG,0),112)="BL1 non presente","FALSO",INDEX('Partner data'!A:DH,MATCH(C337,'Partner data'!DG:DG,0),112)))</f>
        <v>0</v>
      </c>
      <c r="S337" t="b">
        <f t="shared" si="10"/>
        <v>0</v>
      </c>
      <c r="T337" t="b">
        <f t="shared" si="11"/>
        <v>0</v>
      </c>
      <c r="U337" s="154">
        <f>IFERROR(IF(R337&lt;&gt;FALSE,IF(S337=TRUE,INDEX('SummaryNOT_VALIDATED-BL'!$A$1:$F$16,MATCH(R337,'SummaryNOT_VALIDATED-BL'!$A$1:$A$16,0),6),0),IF(S337=TRUE,INDEX('SummaryNOT_VALIDATED-BL'!$A$1:$F$16,MATCH(E337,'SummaryNOT_VALIDATED-BL'!$A$1:$A$16,0),6),0)),0)</f>
        <v>0</v>
      </c>
      <c r="V337" s="81" cm="1">
        <f t="array" ref="V337">INDEX('Weight tables'!$A$24:$C$27,MATCH(1,(RendicontiTrasmessiBL__2[[#This Row],[Cut percentage on real costs + USC]]&gt;='Weight tables'!$B$24:$B$27)*(RendicontiTrasmessiBL__2[[#This Row],[Cut percentage on real costs + USC]]&lt;='Weight tables'!$C$24:$C$27),0),1)</f>
        <v>0</v>
      </c>
      <c r="W337" s="2">
        <f>RendicontiTrasmessiBL__2[[#This Row],[Weight real costs  + USC ]]</f>
        <v>0</v>
      </c>
    </row>
    <row r="338" spans="1:23" x14ac:dyDescent="0.25">
      <c r="A338" s="1" t="s">
        <v>365</v>
      </c>
      <c r="B338" s="1" t="s">
        <v>366</v>
      </c>
      <c r="C338" s="2">
        <v>263</v>
      </c>
      <c r="D338" s="2">
        <v>265</v>
      </c>
      <c r="E338" s="1" t="s">
        <v>231</v>
      </c>
      <c r="G338">
        <v>0</v>
      </c>
      <c r="H338">
        <v>0</v>
      </c>
      <c r="I338">
        <v>0</v>
      </c>
      <c r="J338">
        <v>0</v>
      </c>
      <c r="K338">
        <v>0</v>
      </c>
      <c r="L338">
        <v>0</v>
      </c>
      <c r="M338">
        <v>0</v>
      </c>
      <c r="N338">
        <v>0</v>
      </c>
      <c r="O338">
        <v>0</v>
      </c>
      <c r="P338">
        <v>0</v>
      </c>
      <c r="Q338" t="str">
        <f>INDEX('Partner data'!A:DH,MATCH(C338,'Partner data'!DG:DG,0),83)</f>
        <v>Soggetto privato</v>
      </c>
      <c r="R338" t="b">
        <f>IF(E338="staff",IF(INDEX('Partner data'!A:DH,MATCH(C338,'Partner data'!DG:DG,0),112)="BL1 non presente","FALSO",INDEX('Partner data'!A:DH,MATCH(C338,'Partner data'!DG:DG,0),112)))</f>
        <v>0</v>
      </c>
      <c r="S338" t="b">
        <f t="shared" si="10"/>
        <v>0</v>
      </c>
      <c r="T338" t="b">
        <f t="shared" si="11"/>
        <v>0</v>
      </c>
      <c r="U338" s="154">
        <f>IFERROR(IF(R338&lt;&gt;FALSE,IF(S338=TRUE,INDEX('SummaryNOT_VALIDATED-BL'!$A$1:$F$16,MATCH(R338,'SummaryNOT_VALIDATED-BL'!$A$1:$A$16,0),6),0),IF(S338=TRUE,INDEX('SummaryNOT_VALIDATED-BL'!$A$1:$F$16,MATCH(E338,'SummaryNOT_VALIDATED-BL'!$A$1:$A$16,0),6),0)),0)</f>
        <v>0</v>
      </c>
      <c r="V338" s="81" cm="1">
        <f t="array" ref="V338">INDEX('Weight tables'!$A$24:$C$27,MATCH(1,(RendicontiTrasmessiBL__2[[#This Row],[Cut percentage on real costs + USC]]&gt;='Weight tables'!$B$24:$B$27)*(RendicontiTrasmessiBL__2[[#This Row],[Cut percentage on real costs + USC]]&lt;='Weight tables'!$C$24:$C$27),0),1)</f>
        <v>0</v>
      </c>
      <c r="W338" s="2">
        <f>RendicontiTrasmessiBL__2[[#This Row],[Weight real costs  + USC ]]</f>
        <v>0</v>
      </c>
    </row>
    <row r="339" spans="1:23" x14ac:dyDescent="0.25">
      <c r="A339" s="1" t="s">
        <v>365</v>
      </c>
      <c r="B339" s="1" t="s">
        <v>366</v>
      </c>
      <c r="C339" s="2">
        <v>263</v>
      </c>
      <c r="D339" s="2">
        <v>265</v>
      </c>
      <c r="E339" s="1" t="s">
        <v>232</v>
      </c>
      <c r="G339">
        <v>0</v>
      </c>
      <c r="H339">
        <v>0</v>
      </c>
      <c r="I339">
        <v>0</v>
      </c>
      <c r="J339">
        <v>0</v>
      </c>
      <c r="K339">
        <v>0</v>
      </c>
      <c r="L339">
        <v>0</v>
      </c>
      <c r="M339">
        <v>0</v>
      </c>
      <c r="N339">
        <v>0</v>
      </c>
      <c r="O339">
        <v>0</v>
      </c>
      <c r="P339">
        <v>0</v>
      </c>
      <c r="Q339" t="str">
        <f>INDEX('Partner data'!A:DH,MATCH(C339,'Partner data'!DG:DG,0),83)</f>
        <v>Soggetto privato</v>
      </c>
      <c r="R339" t="b">
        <f>IF(E339="staff",IF(INDEX('Partner data'!A:DH,MATCH(C339,'Partner data'!DG:DG,0),112)="BL1 non presente","FALSO",INDEX('Partner data'!A:DH,MATCH(C339,'Partner data'!DG:DG,0),112)))</f>
        <v>0</v>
      </c>
      <c r="S339" t="b">
        <f t="shared" si="10"/>
        <v>0</v>
      </c>
      <c r="T339" t="b">
        <f t="shared" si="11"/>
        <v>0</v>
      </c>
      <c r="U339" s="154">
        <f>IFERROR(IF(R339&lt;&gt;FALSE,IF(S339=TRUE,INDEX('SummaryNOT_VALIDATED-BL'!$A$1:$F$16,MATCH(R339,'SummaryNOT_VALIDATED-BL'!$A$1:$A$16,0),6),0),IF(S339=TRUE,INDEX('SummaryNOT_VALIDATED-BL'!$A$1:$F$16,MATCH(E339,'SummaryNOT_VALIDATED-BL'!$A$1:$A$16,0),6),0)),0)</f>
        <v>0</v>
      </c>
      <c r="V339" s="81" cm="1">
        <f t="array" ref="V339">INDEX('Weight tables'!$A$24:$C$27,MATCH(1,(RendicontiTrasmessiBL__2[[#This Row],[Cut percentage on real costs + USC]]&gt;='Weight tables'!$B$24:$B$27)*(RendicontiTrasmessiBL__2[[#This Row],[Cut percentage on real costs + USC]]&lt;='Weight tables'!$C$24:$C$27),0),1)</f>
        <v>0</v>
      </c>
      <c r="W339" s="2">
        <f>RendicontiTrasmessiBL__2[[#This Row],[Weight real costs  + USC ]]</f>
        <v>0</v>
      </c>
    </row>
    <row r="340" spans="1:23" x14ac:dyDescent="0.25">
      <c r="A340" s="1" t="s">
        <v>365</v>
      </c>
      <c r="B340" s="1" t="s">
        <v>366</v>
      </c>
      <c r="C340" s="2">
        <v>263</v>
      </c>
      <c r="D340" s="2">
        <v>265</v>
      </c>
      <c r="E340" s="1" t="s">
        <v>233</v>
      </c>
      <c r="G340">
        <v>0</v>
      </c>
      <c r="H340">
        <v>0</v>
      </c>
      <c r="I340">
        <v>0</v>
      </c>
      <c r="J340">
        <v>0</v>
      </c>
      <c r="K340">
        <v>0</v>
      </c>
      <c r="L340">
        <v>0</v>
      </c>
      <c r="M340">
        <v>0</v>
      </c>
      <c r="N340">
        <v>0</v>
      </c>
      <c r="O340">
        <v>0</v>
      </c>
      <c r="P340">
        <v>0</v>
      </c>
      <c r="Q340" t="str">
        <f>INDEX('Partner data'!A:DH,MATCH(C340,'Partner data'!DG:DG,0),83)</f>
        <v>Soggetto privato</v>
      </c>
      <c r="R340" t="b">
        <f>IF(E340="staff",IF(INDEX('Partner data'!A:DH,MATCH(C340,'Partner data'!DG:DG,0),112)="BL1 non presente","FALSO",INDEX('Partner data'!A:DH,MATCH(C340,'Partner data'!DG:DG,0),112)))</f>
        <v>0</v>
      </c>
      <c r="S340" t="b">
        <f t="shared" si="10"/>
        <v>0</v>
      </c>
      <c r="T340" t="b">
        <f t="shared" si="11"/>
        <v>0</v>
      </c>
      <c r="U340" s="154">
        <f>IFERROR(IF(R340&lt;&gt;FALSE,IF(S340=TRUE,INDEX('SummaryNOT_VALIDATED-BL'!$A$1:$F$16,MATCH(R340,'SummaryNOT_VALIDATED-BL'!$A$1:$A$16,0),6),0),IF(S340=TRUE,INDEX('SummaryNOT_VALIDATED-BL'!$A$1:$F$16,MATCH(E340,'SummaryNOT_VALIDATED-BL'!$A$1:$A$16,0),6),0)),0)</f>
        <v>0</v>
      </c>
      <c r="V340" s="81" cm="1">
        <f t="array" ref="V340">INDEX('Weight tables'!$A$24:$C$27,MATCH(1,(RendicontiTrasmessiBL__2[[#This Row],[Cut percentage on real costs + USC]]&gt;='Weight tables'!$B$24:$B$27)*(RendicontiTrasmessiBL__2[[#This Row],[Cut percentage on real costs + USC]]&lt;='Weight tables'!$C$24:$C$27),0),1)</f>
        <v>0</v>
      </c>
      <c r="W340" s="2">
        <f>RendicontiTrasmessiBL__2[[#This Row],[Weight real costs  + USC ]]</f>
        <v>0</v>
      </c>
    </row>
    <row r="341" spans="1:23" x14ac:dyDescent="0.25">
      <c r="A341" s="1" t="s">
        <v>365</v>
      </c>
      <c r="B341" s="1" t="s">
        <v>366</v>
      </c>
      <c r="C341" s="2">
        <v>263</v>
      </c>
      <c r="D341" s="2">
        <v>265</v>
      </c>
      <c r="E341" s="1" t="s">
        <v>234</v>
      </c>
      <c r="F341">
        <v>40</v>
      </c>
      <c r="G341">
        <v>22936.799999999999</v>
      </c>
      <c r="H341">
        <v>0</v>
      </c>
      <c r="I341">
        <v>0</v>
      </c>
      <c r="J341">
        <v>5450.25</v>
      </c>
      <c r="K341">
        <v>0</v>
      </c>
      <c r="L341">
        <v>4762.3999999999996</v>
      </c>
      <c r="M341">
        <v>5450.25</v>
      </c>
      <c r="N341">
        <v>23.76</v>
      </c>
      <c r="O341">
        <v>17486.55</v>
      </c>
      <c r="P341">
        <v>0</v>
      </c>
      <c r="Q341" t="str">
        <f>INDEX('Partner data'!A:DH,MATCH(C341,'Partner data'!DG:DG,0),83)</f>
        <v>Soggetto privato</v>
      </c>
      <c r="R341" t="b">
        <f>IF(E341="staff",IF(INDEX('Partner data'!A:DH,MATCH(C341,'Partner data'!DG:DG,0),112)="BL1 non presente","FALSO",INDEX('Partner data'!A:DH,MATCH(C341,'Partner data'!DG:DG,0),112)))</f>
        <v>0</v>
      </c>
      <c r="S341" t="b">
        <f t="shared" si="10"/>
        <v>1</v>
      </c>
      <c r="T341" t="b">
        <f t="shared" si="11"/>
        <v>0</v>
      </c>
      <c r="U341" s="154">
        <f>IFERROR(IF(R341&lt;&gt;FALSE,IF(S341=TRUE,INDEX('SummaryNOT_VALIDATED-BL'!$A$1:$F$16,MATCH(R341,'SummaryNOT_VALIDATED-BL'!$A$1:$A$16,0),6),0),IF(S341=TRUE,INDEX('SummaryNOT_VALIDATED-BL'!$A$1:$F$16,MATCH(E341,'SummaryNOT_VALIDATED-BL'!$A$1:$A$16,0),6),0)),0)</f>
        <v>8.7645339819521315E-2</v>
      </c>
      <c r="V341" s="81" cm="1">
        <f t="array" ref="V341">INDEX('Weight tables'!$A$24:$C$27,MATCH(1,(RendicontiTrasmessiBL__2[[#This Row],[Cut percentage on real costs + USC]]&gt;='Weight tables'!$B$24:$B$27)*(RendicontiTrasmessiBL__2[[#This Row],[Cut percentage on real costs + USC]]&lt;='Weight tables'!$C$24:$C$27),0),1)</f>
        <v>4</v>
      </c>
      <c r="W341" s="2">
        <f>RendicontiTrasmessiBL__2[[#This Row],[Weight real costs  + USC ]]</f>
        <v>4</v>
      </c>
    </row>
    <row r="342" spans="1:23" x14ac:dyDescent="0.25">
      <c r="A342" s="1" t="s">
        <v>365</v>
      </c>
      <c r="B342" s="1" t="s">
        <v>366</v>
      </c>
      <c r="C342" s="2">
        <v>263</v>
      </c>
      <c r="D342" s="2">
        <v>265</v>
      </c>
      <c r="E342" s="1" t="s">
        <v>236</v>
      </c>
      <c r="G342">
        <v>0</v>
      </c>
      <c r="H342">
        <v>0</v>
      </c>
      <c r="I342">
        <v>0</v>
      </c>
      <c r="J342">
        <v>0</v>
      </c>
      <c r="K342">
        <v>0</v>
      </c>
      <c r="L342">
        <v>0</v>
      </c>
      <c r="M342">
        <v>0</v>
      </c>
      <c r="N342">
        <v>0</v>
      </c>
      <c r="O342">
        <v>0</v>
      </c>
      <c r="P342">
        <v>0</v>
      </c>
      <c r="Q342" t="str">
        <f>INDEX('Partner data'!A:DH,MATCH(C342,'Partner data'!DG:DG,0),83)</f>
        <v>Soggetto privato</v>
      </c>
      <c r="R342" t="b">
        <f>IF(E342="staff",IF(INDEX('Partner data'!A:DH,MATCH(C342,'Partner data'!DG:DG,0),112)="BL1 non presente","FALSO",INDEX('Partner data'!A:DH,MATCH(C342,'Partner data'!DG:DG,0),112)))</f>
        <v>0</v>
      </c>
      <c r="S342" t="b">
        <f t="shared" si="10"/>
        <v>0</v>
      </c>
      <c r="T342" t="b">
        <f t="shared" si="11"/>
        <v>0</v>
      </c>
      <c r="U342" s="154">
        <f>IFERROR(IF(R342&lt;&gt;FALSE,IF(S342=TRUE,INDEX('SummaryNOT_VALIDATED-BL'!$A$1:$F$16,MATCH(R342,'SummaryNOT_VALIDATED-BL'!$A$1:$A$16,0),6),0),IF(S342=TRUE,INDEX('SummaryNOT_VALIDATED-BL'!$A$1:$F$16,MATCH(E342,'SummaryNOT_VALIDATED-BL'!$A$1:$A$16,0),6),0)),0)</f>
        <v>0</v>
      </c>
      <c r="V342" s="81" cm="1">
        <f t="array" ref="V342">INDEX('Weight tables'!$A$24:$C$27,MATCH(1,(RendicontiTrasmessiBL__2[[#This Row],[Cut percentage on real costs + USC]]&gt;='Weight tables'!$B$24:$B$27)*(RendicontiTrasmessiBL__2[[#This Row],[Cut percentage on real costs + USC]]&lt;='Weight tables'!$C$24:$C$27),0),1)</f>
        <v>0</v>
      </c>
      <c r="W342" s="2">
        <f>RendicontiTrasmessiBL__2[[#This Row],[Weight real costs  + USC ]]</f>
        <v>0</v>
      </c>
    </row>
    <row r="343" spans="1:23" x14ac:dyDescent="0.25">
      <c r="A343" s="1" t="s">
        <v>365</v>
      </c>
      <c r="B343" s="1" t="s">
        <v>366</v>
      </c>
      <c r="C343" s="2">
        <v>263</v>
      </c>
      <c r="D343" s="2">
        <v>265</v>
      </c>
      <c r="E343" s="1" t="s">
        <v>237</v>
      </c>
      <c r="G343">
        <v>0</v>
      </c>
      <c r="H343">
        <v>0</v>
      </c>
      <c r="I343">
        <v>0</v>
      </c>
      <c r="J343">
        <v>0</v>
      </c>
      <c r="K343">
        <v>0</v>
      </c>
      <c r="L343">
        <v>0</v>
      </c>
      <c r="M343">
        <v>0</v>
      </c>
      <c r="N343">
        <v>0</v>
      </c>
      <c r="O343">
        <v>0</v>
      </c>
      <c r="P343">
        <v>0</v>
      </c>
      <c r="Q343" t="str">
        <f>INDEX('Partner data'!A:DH,MATCH(C343,'Partner data'!DG:DG,0),83)</f>
        <v>Soggetto privato</v>
      </c>
      <c r="R343" t="b">
        <f>IF(E343="staff",IF(INDEX('Partner data'!A:DH,MATCH(C343,'Partner data'!DG:DG,0),112)="BL1 non presente","FALSO",INDEX('Partner data'!A:DH,MATCH(C343,'Partner data'!DG:DG,0),112)))</f>
        <v>0</v>
      </c>
      <c r="S343" t="b">
        <f t="shared" si="10"/>
        <v>0</v>
      </c>
      <c r="T343" t="b">
        <f t="shared" si="11"/>
        <v>0</v>
      </c>
      <c r="U343" s="154">
        <f>IFERROR(IF(R343&lt;&gt;FALSE,IF(S343=TRUE,INDEX('SummaryNOT_VALIDATED-BL'!$A$1:$F$16,MATCH(R343,'SummaryNOT_VALIDATED-BL'!$A$1:$A$16,0),6),0),IF(S343=TRUE,INDEX('SummaryNOT_VALIDATED-BL'!$A$1:$F$16,MATCH(E343,'SummaryNOT_VALIDATED-BL'!$A$1:$A$16,0),6),0)),0)</f>
        <v>0</v>
      </c>
      <c r="V343" s="81" cm="1">
        <f t="array" ref="V343">INDEX('Weight tables'!$A$24:$C$27,MATCH(1,(RendicontiTrasmessiBL__2[[#This Row],[Cut percentage on real costs + USC]]&gt;='Weight tables'!$B$24:$B$27)*(RendicontiTrasmessiBL__2[[#This Row],[Cut percentage on real costs + USC]]&lt;='Weight tables'!$C$24:$C$27),0),1)</f>
        <v>0</v>
      </c>
      <c r="W343" s="2">
        <f>RendicontiTrasmessiBL__2[[#This Row],[Weight real costs  + USC ]]</f>
        <v>0</v>
      </c>
    </row>
    <row r="344" spans="1:23" x14ac:dyDescent="0.25">
      <c r="A344" s="1" t="s">
        <v>365</v>
      </c>
      <c r="B344" s="1" t="s">
        <v>367</v>
      </c>
      <c r="C344" s="2">
        <v>241</v>
      </c>
      <c r="D344" s="2">
        <v>224</v>
      </c>
      <c r="E344" s="1" t="s">
        <v>228</v>
      </c>
      <c r="G344">
        <v>123556.34</v>
      </c>
      <c r="H344">
        <v>0</v>
      </c>
      <c r="I344">
        <v>0</v>
      </c>
      <c r="J344">
        <v>4288.54</v>
      </c>
      <c r="K344">
        <v>0</v>
      </c>
      <c r="L344">
        <v>4284.42</v>
      </c>
      <c r="M344">
        <v>4288.54</v>
      </c>
      <c r="N344">
        <v>3.47</v>
      </c>
      <c r="O344">
        <v>119267.8</v>
      </c>
      <c r="P344">
        <v>0</v>
      </c>
      <c r="Q344" t="str">
        <f>INDEX('Partner data'!A:DH,MATCH(C344,'Partner data'!DG:DG,0),83)</f>
        <v>Soggetto pubblico</v>
      </c>
      <c r="R344" t="str">
        <f>IF(E344="staff",IF(INDEX('Partner data'!A:DH,MATCH(C344,'Partner data'!DG:DG,0),112)="BL1 non presente","FALSO",INDEX('Partner data'!A:DH,MATCH(C344,'Partner data'!DG:DG,0),112)))</f>
        <v>COSTO REALE</v>
      </c>
      <c r="S344" t="b">
        <f t="shared" si="10"/>
        <v>1</v>
      </c>
      <c r="T344" t="b">
        <f t="shared" si="11"/>
        <v>1</v>
      </c>
      <c r="U344" s="154">
        <f>IFERROR(IF(R344&lt;&gt;FALSE,IF(S344=TRUE,INDEX('SummaryNOT_VALIDATED-BL'!$A$1:$F$16,MATCH(R344,'SummaryNOT_VALIDATED-BL'!$A$1:$A$16,0),6),0),IF(S344=TRUE,INDEX('SummaryNOT_VALIDATED-BL'!$A$1:$F$16,MATCH(E344,'SummaryNOT_VALIDATED-BL'!$A$1:$A$16,0),6),0)),0)</f>
        <v>9.1604133276901048E-2</v>
      </c>
      <c r="V344" s="81" cm="1">
        <f t="array" ref="V344">INDEX('Weight tables'!$A$24:$C$27,MATCH(1,(RendicontiTrasmessiBL__2[[#This Row],[Cut percentage on real costs + USC]]&gt;='Weight tables'!$B$24:$B$27)*(RendicontiTrasmessiBL__2[[#This Row],[Cut percentage on real costs + USC]]&lt;='Weight tables'!$C$24:$C$27),0),1)</f>
        <v>4</v>
      </c>
      <c r="W344" s="2">
        <f>RendicontiTrasmessiBL__2[[#This Row],[Weight real costs  + USC ]]</f>
        <v>4</v>
      </c>
    </row>
    <row r="345" spans="1:23" x14ac:dyDescent="0.25">
      <c r="A345" s="1" t="s">
        <v>365</v>
      </c>
      <c r="B345" s="1" t="s">
        <v>367</v>
      </c>
      <c r="C345" s="2">
        <v>241</v>
      </c>
      <c r="D345" s="2">
        <v>224</v>
      </c>
      <c r="E345" s="1" t="s">
        <v>229</v>
      </c>
      <c r="G345">
        <v>0</v>
      </c>
      <c r="H345">
        <v>0</v>
      </c>
      <c r="I345">
        <v>0</v>
      </c>
      <c r="J345">
        <v>0</v>
      </c>
      <c r="K345">
        <v>0</v>
      </c>
      <c r="L345">
        <v>0</v>
      </c>
      <c r="M345">
        <v>0</v>
      </c>
      <c r="N345">
        <v>0</v>
      </c>
      <c r="O345">
        <v>0</v>
      </c>
      <c r="P345">
        <v>0</v>
      </c>
      <c r="Q345" t="str">
        <f>INDEX('Partner data'!A:DH,MATCH(C345,'Partner data'!DG:DG,0),83)</f>
        <v>Soggetto pubblico</v>
      </c>
      <c r="R345" t="b">
        <f>IF(E345="staff",IF(INDEX('Partner data'!A:DH,MATCH(C345,'Partner data'!DG:DG,0),112)="BL1 non presente","FALSO",INDEX('Partner data'!A:DH,MATCH(C345,'Partner data'!DG:DG,0),112)))</f>
        <v>0</v>
      </c>
      <c r="S345" t="b">
        <f t="shared" si="10"/>
        <v>0</v>
      </c>
      <c r="T345" t="b">
        <f t="shared" si="11"/>
        <v>1</v>
      </c>
      <c r="U345" s="154">
        <f>IFERROR(IF(R345&lt;&gt;FALSE,IF(S345=TRUE,INDEX('SummaryNOT_VALIDATED-BL'!$A$1:$F$16,MATCH(R345,'SummaryNOT_VALIDATED-BL'!$A$1:$A$16,0),6),0),IF(S345=TRUE,INDEX('SummaryNOT_VALIDATED-BL'!$A$1:$F$16,MATCH(E345,'SummaryNOT_VALIDATED-BL'!$A$1:$A$16,0),6),0)),0)</f>
        <v>0</v>
      </c>
      <c r="V345" s="81" cm="1">
        <f t="array" ref="V345">INDEX('Weight tables'!$A$24:$C$27,MATCH(1,(RendicontiTrasmessiBL__2[[#This Row],[Cut percentage on real costs + USC]]&gt;='Weight tables'!$B$24:$B$27)*(RendicontiTrasmessiBL__2[[#This Row],[Cut percentage on real costs + USC]]&lt;='Weight tables'!$C$24:$C$27),0),1)</f>
        <v>0</v>
      </c>
      <c r="W345" s="2">
        <f>RendicontiTrasmessiBL__2[[#This Row],[Weight real costs  + USC ]]</f>
        <v>0</v>
      </c>
    </row>
    <row r="346" spans="1:23" x14ac:dyDescent="0.25">
      <c r="A346" s="1" t="s">
        <v>365</v>
      </c>
      <c r="B346" s="1" t="s">
        <v>367</v>
      </c>
      <c r="C346" s="2">
        <v>241</v>
      </c>
      <c r="D346" s="2">
        <v>224</v>
      </c>
      <c r="E346" s="1" t="s">
        <v>230</v>
      </c>
      <c r="G346">
        <v>0</v>
      </c>
      <c r="H346">
        <v>0</v>
      </c>
      <c r="I346">
        <v>0</v>
      </c>
      <c r="J346">
        <v>0</v>
      </c>
      <c r="K346">
        <v>0</v>
      </c>
      <c r="L346">
        <v>0</v>
      </c>
      <c r="M346">
        <v>0</v>
      </c>
      <c r="N346">
        <v>0</v>
      </c>
      <c r="O346">
        <v>0</v>
      </c>
      <c r="P346">
        <v>0</v>
      </c>
      <c r="Q346" t="str">
        <f>INDEX('Partner data'!A:DH,MATCH(C346,'Partner data'!DG:DG,0),83)</f>
        <v>Soggetto pubblico</v>
      </c>
      <c r="R346" t="b">
        <f>IF(E346="staff",IF(INDEX('Partner data'!A:DH,MATCH(C346,'Partner data'!DG:DG,0),112)="BL1 non presente","FALSO",INDEX('Partner data'!A:DH,MATCH(C346,'Partner data'!DG:DG,0),112)))</f>
        <v>0</v>
      </c>
      <c r="S346" t="b">
        <f t="shared" si="10"/>
        <v>0</v>
      </c>
      <c r="T346" t="b">
        <f t="shared" si="11"/>
        <v>1</v>
      </c>
      <c r="U346" s="154">
        <f>IFERROR(IF(R346&lt;&gt;FALSE,IF(S346=TRUE,INDEX('SummaryNOT_VALIDATED-BL'!$A$1:$F$16,MATCH(R346,'SummaryNOT_VALIDATED-BL'!$A$1:$A$16,0),6),0),IF(S346=TRUE,INDEX('SummaryNOT_VALIDATED-BL'!$A$1:$F$16,MATCH(E346,'SummaryNOT_VALIDATED-BL'!$A$1:$A$16,0),6),0)),0)</f>
        <v>0</v>
      </c>
      <c r="V346" s="81" cm="1">
        <f t="array" ref="V346">INDEX('Weight tables'!$A$24:$C$27,MATCH(1,(RendicontiTrasmessiBL__2[[#This Row],[Cut percentage on real costs + USC]]&gt;='Weight tables'!$B$24:$B$27)*(RendicontiTrasmessiBL__2[[#This Row],[Cut percentage on real costs + USC]]&lt;='Weight tables'!$C$24:$C$27),0),1)</f>
        <v>0</v>
      </c>
      <c r="W346" s="2">
        <f>RendicontiTrasmessiBL__2[[#This Row],[Weight real costs  + USC ]]</f>
        <v>0</v>
      </c>
    </row>
    <row r="347" spans="1:23" x14ac:dyDescent="0.25">
      <c r="A347" s="1" t="s">
        <v>365</v>
      </c>
      <c r="B347" s="1" t="s">
        <v>367</v>
      </c>
      <c r="C347" s="2">
        <v>241</v>
      </c>
      <c r="D347" s="2">
        <v>224</v>
      </c>
      <c r="E347" s="1" t="s">
        <v>231</v>
      </c>
      <c r="G347">
        <v>0</v>
      </c>
      <c r="H347">
        <v>0</v>
      </c>
      <c r="I347">
        <v>0</v>
      </c>
      <c r="J347">
        <v>0</v>
      </c>
      <c r="K347">
        <v>0</v>
      </c>
      <c r="L347">
        <v>0</v>
      </c>
      <c r="M347">
        <v>0</v>
      </c>
      <c r="N347">
        <v>0</v>
      </c>
      <c r="O347">
        <v>0</v>
      </c>
      <c r="P347">
        <v>0</v>
      </c>
      <c r="Q347" t="str">
        <f>INDEX('Partner data'!A:DH,MATCH(C347,'Partner data'!DG:DG,0),83)</f>
        <v>Soggetto pubblico</v>
      </c>
      <c r="R347" t="b">
        <f>IF(E347="staff",IF(INDEX('Partner data'!A:DH,MATCH(C347,'Partner data'!DG:DG,0),112)="BL1 non presente","FALSO",INDEX('Partner data'!A:DH,MATCH(C347,'Partner data'!DG:DG,0),112)))</f>
        <v>0</v>
      </c>
      <c r="S347" t="b">
        <f t="shared" si="10"/>
        <v>0</v>
      </c>
      <c r="T347" t="b">
        <f t="shared" si="11"/>
        <v>1</v>
      </c>
      <c r="U347" s="154">
        <f>IFERROR(IF(R347&lt;&gt;FALSE,IF(S347=TRUE,INDEX('SummaryNOT_VALIDATED-BL'!$A$1:$F$16,MATCH(R347,'SummaryNOT_VALIDATED-BL'!$A$1:$A$16,0),6),0),IF(S347=TRUE,INDEX('SummaryNOT_VALIDATED-BL'!$A$1:$F$16,MATCH(E347,'SummaryNOT_VALIDATED-BL'!$A$1:$A$16,0),6),0)),0)</f>
        <v>0</v>
      </c>
      <c r="V347" s="81" cm="1">
        <f t="array" ref="V347">INDEX('Weight tables'!$A$24:$C$27,MATCH(1,(RendicontiTrasmessiBL__2[[#This Row],[Cut percentage on real costs + USC]]&gt;='Weight tables'!$B$24:$B$27)*(RendicontiTrasmessiBL__2[[#This Row],[Cut percentage on real costs + USC]]&lt;='Weight tables'!$C$24:$C$27),0),1)</f>
        <v>0</v>
      </c>
      <c r="W347" s="2">
        <f>RendicontiTrasmessiBL__2[[#This Row],[Weight real costs  + USC ]]</f>
        <v>0</v>
      </c>
    </row>
    <row r="348" spans="1:23" x14ac:dyDescent="0.25">
      <c r="A348" s="1" t="s">
        <v>365</v>
      </c>
      <c r="B348" s="1" t="s">
        <v>367</v>
      </c>
      <c r="C348" s="2">
        <v>241</v>
      </c>
      <c r="D348" s="2">
        <v>224</v>
      </c>
      <c r="E348" s="1" t="s">
        <v>232</v>
      </c>
      <c r="G348">
        <v>0</v>
      </c>
      <c r="H348">
        <v>0</v>
      </c>
      <c r="I348">
        <v>0</v>
      </c>
      <c r="J348">
        <v>0</v>
      </c>
      <c r="K348">
        <v>0</v>
      </c>
      <c r="L348">
        <v>0</v>
      </c>
      <c r="M348">
        <v>0</v>
      </c>
      <c r="N348">
        <v>0</v>
      </c>
      <c r="O348">
        <v>0</v>
      </c>
      <c r="P348">
        <v>0</v>
      </c>
      <c r="Q348" t="str">
        <f>INDEX('Partner data'!A:DH,MATCH(C348,'Partner data'!DG:DG,0),83)</f>
        <v>Soggetto pubblico</v>
      </c>
      <c r="R348" t="b">
        <f>IF(E348="staff",IF(INDEX('Partner data'!A:DH,MATCH(C348,'Partner data'!DG:DG,0),112)="BL1 non presente","FALSO",INDEX('Partner data'!A:DH,MATCH(C348,'Partner data'!DG:DG,0),112)))</f>
        <v>0</v>
      </c>
      <c r="S348" t="b">
        <f t="shared" si="10"/>
        <v>0</v>
      </c>
      <c r="T348" t="b">
        <f t="shared" si="11"/>
        <v>1</v>
      </c>
      <c r="U348" s="154">
        <f>IFERROR(IF(R348&lt;&gt;FALSE,IF(S348=TRUE,INDEX('SummaryNOT_VALIDATED-BL'!$A$1:$F$16,MATCH(R348,'SummaryNOT_VALIDATED-BL'!$A$1:$A$16,0),6),0),IF(S348=TRUE,INDEX('SummaryNOT_VALIDATED-BL'!$A$1:$F$16,MATCH(E348,'SummaryNOT_VALIDATED-BL'!$A$1:$A$16,0),6),0)),0)</f>
        <v>0</v>
      </c>
      <c r="V348" s="81" cm="1">
        <f t="array" ref="V348">INDEX('Weight tables'!$A$24:$C$27,MATCH(1,(RendicontiTrasmessiBL__2[[#This Row],[Cut percentage on real costs + USC]]&gt;='Weight tables'!$B$24:$B$27)*(RendicontiTrasmessiBL__2[[#This Row],[Cut percentage on real costs + USC]]&lt;='Weight tables'!$C$24:$C$27),0),1)</f>
        <v>0</v>
      </c>
      <c r="W348" s="2">
        <f>RendicontiTrasmessiBL__2[[#This Row],[Weight real costs  + USC ]]</f>
        <v>0</v>
      </c>
    </row>
    <row r="349" spans="1:23" x14ac:dyDescent="0.25">
      <c r="A349" s="1" t="s">
        <v>365</v>
      </c>
      <c r="B349" s="1" t="s">
        <v>367</v>
      </c>
      <c r="C349" s="2">
        <v>241</v>
      </c>
      <c r="D349" s="2">
        <v>224</v>
      </c>
      <c r="E349" s="1" t="s">
        <v>233</v>
      </c>
      <c r="G349">
        <v>0</v>
      </c>
      <c r="H349">
        <v>0</v>
      </c>
      <c r="I349">
        <v>0</v>
      </c>
      <c r="J349">
        <v>0</v>
      </c>
      <c r="K349">
        <v>0</v>
      </c>
      <c r="L349">
        <v>0</v>
      </c>
      <c r="M349">
        <v>0</v>
      </c>
      <c r="N349">
        <v>0</v>
      </c>
      <c r="O349">
        <v>0</v>
      </c>
      <c r="P349">
        <v>0</v>
      </c>
      <c r="Q349" t="str">
        <f>INDEX('Partner data'!A:DH,MATCH(C349,'Partner data'!DG:DG,0),83)</f>
        <v>Soggetto pubblico</v>
      </c>
      <c r="R349" t="b">
        <f>IF(E349="staff",IF(INDEX('Partner data'!A:DH,MATCH(C349,'Partner data'!DG:DG,0),112)="BL1 non presente","FALSO",INDEX('Partner data'!A:DH,MATCH(C349,'Partner data'!DG:DG,0),112)))</f>
        <v>0</v>
      </c>
      <c r="S349" t="b">
        <f t="shared" si="10"/>
        <v>0</v>
      </c>
      <c r="T349" t="b">
        <f t="shared" si="11"/>
        <v>1</v>
      </c>
      <c r="U349" s="154">
        <f>IFERROR(IF(R349&lt;&gt;FALSE,IF(S349=TRUE,INDEX('SummaryNOT_VALIDATED-BL'!$A$1:$F$16,MATCH(R349,'SummaryNOT_VALIDATED-BL'!$A$1:$A$16,0),6),0),IF(S349=TRUE,INDEX('SummaryNOT_VALIDATED-BL'!$A$1:$F$16,MATCH(E349,'SummaryNOT_VALIDATED-BL'!$A$1:$A$16,0),6),0)),0)</f>
        <v>0</v>
      </c>
      <c r="V349" s="81" cm="1">
        <f t="array" ref="V349">INDEX('Weight tables'!$A$24:$C$27,MATCH(1,(RendicontiTrasmessiBL__2[[#This Row],[Cut percentage on real costs + USC]]&gt;='Weight tables'!$B$24:$B$27)*(RendicontiTrasmessiBL__2[[#This Row],[Cut percentage on real costs + USC]]&lt;='Weight tables'!$C$24:$C$27),0),1)</f>
        <v>0</v>
      </c>
      <c r="W349" s="2">
        <f>RendicontiTrasmessiBL__2[[#This Row],[Weight real costs  + USC ]]</f>
        <v>0</v>
      </c>
    </row>
    <row r="350" spans="1:23" x14ac:dyDescent="0.25">
      <c r="A350" s="1" t="s">
        <v>365</v>
      </c>
      <c r="B350" s="1" t="s">
        <v>367</v>
      </c>
      <c r="C350" s="2">
        <v>241</v>
      </c>
      <c r="D350" s="2">
        <v>224</v>
      </c>
      <c r="E350" s="1" t="s">
        <v>234</v>
      </c>
      <c r="F350">
        <v>40</v>
      </c>
      <c r="G350">
        <v>49422.53</v>
      </c>
      <c r="H350">
        <v>0</v>
      </c>
      <c r="I350">
        <v>0</v>
      </c>
      <c r="J350">
        <v>1715.41</v>
      </c>
      <c r="K350">
        <v>0</v>
      </c>
      <c r="L350">
        <v>1713.76</v>
      </c>
      <c r="M350">
        <v>1715.41</v>
      </c>
      <c r="N350">
        <v>3.47</v>
      </c>
      <c r="O350">
        <v>47707.12</v>
      </c>
      <c r="P350">
        <v>0</v>
      </c>
      <c r="Q350" t="str">
        <f>INDEX('Partner data'!A:DH,MATCH(C350,'Partner data'!DG:DG,0),83)</f>
        <v>Soggetto pubblico</v>
      </c>
      <c r="R350" t="b">
        <f>IF(E350="staff",IF(INDEX('Partner data'!A:DH,MATCH(C350,'Partner data'!DG:DG,0),112)="BL1 non presente","FALSO",INDEX('Partner data'!A:DH,MATCH(C350,'Partner data'!DG:DG,0),112)))</f>
        <v>0</v>
      </c>
      <c r="S350" t="b">
        <f t="shared" si="10"/>
        <v>1</v>
      </c>
      <c r="T350" t="b">
        <f t="shared" si="11"/>
        <v>1</v>
      </c>
      <c r="U350" s="154">
        <f>IFERROR(IF(R350&lt;&gt;FALSE,IF(S350=TRUE,INDEX('SummaryNOT_VALIDATED-BL'!$A$1:$F$16,MATCH(R350,'SummaryNOT_VALIDATED-BL'!$A$1:$A$16,0),6),0),IF(S350=TRUE,INDEX('SummaryNOT_VALIDATED-BL'!$A$1:$F$16,MATCH(E350,'SummaryNOT_VALIDATED-BL'!$A$1:$A$16,0),6),0)),0)</f>
        <v>8.7645339819521315E-2</v>
      </c>
      <c r="V350" s="81" cm="1">
        <f t="array" ref="V350">INDEX('Weight tables'!$A$24:$C$27,MATCH(1,(RendicontiTrasmessiBL__2[[#This Row],[Cut percentage on real costs + USC]]&gt;='Weight tables'!$B$24:$B$27)*(RendicontiTrasmessiBL__2[[#This Row],[Cut percentage on real costs + USC]]&lt;='Weight tables'!$C$24:$C$27),0),1)</f>
        <v>4</v>
      </c>
      <c r="W350" s="2">
        <f>RendicontiTrasmessiBL__2[[#This Row],[Weight real costs  + USC ]]</f>
        <v>4</v>
      </c>
    </row>
    <row r="351" spans="1:23" x14ac:dyDescent="0.25">
      <c r="A351" s="1" t="s">
        <v>365</v>
      </c>
      <c r="B351" s="1" t="s">
        <v>367</v>
      </c>
      <c r="C351" s="2">
        <v>241</v>
      </c>
      <c r="D351" s="2">
        <v>224</v>
      </c>
      <c r="E351" s="1" t="s">
        <v>236</v>
      </c>
      <c r="G351">
        <v>0</v>
      </c>
      <c r="H351">
        <v>0</v>
      </c>
      <c r="I351">
        <v>0</v>
      </c>
      <c r="J351">
        <v>0</v>
      </c>
      <c r="K351">
        <v>0</v>
      </c>
      <c r="L351">
        <v>0</v>
      </c>
      <c r="M351">
        <v>0</v>
      </c>
      <c r="N351">
        <v>0</v>
      </c>
      <c r="O351">
        <v>0</v>
      </c>
      <c r="P351">
        <v>0</v>
      </c>
      <c r="Q351" t="str">
        <f>INDEX('Partner data'!A:DH,MATCH(C351,'Partner data'!DG:DG,0),83)</f>
        <v>Soggetto pubblico</v>
      </c>
      <c r="R351" t="b">
        <f>IF(E351="staff",IF(INDEX('Partner data'!A:DH,MATCH(C351,'Partner data'!DG:DG,0),112)="BL1 non presente","FALSO",INDEX('Partner data'!A:DH,MATCH(C351,'Partner data'!DG:DG,0),112)))</f>
        <v>0</v>
      </c>
      <c r="S351" t="b">
        <f t="shared" si="10"/>
        <v>0</v>
      </c>
      <c r="T351" t="b">
        <f t="shared" si="11"/>
        <v>1</v>
      </c>
      <c r="U351" s="154">
        <f>IFERROR(IF(R351&lt;&gt;FALSE,IF(S351=TRUE,INDEX('SummaryNOT_VALIDATED-BL'!$A$1:$F$16,MATCH(R351,'SummaryNOT_VALIDATED-BL'!$A$1:$A$16,0),6),0),IF(S351=TRUE,INDEX('SummaryNOT_VALIDATED-BL'!$A$1:$F$16,MATCH(E351,'SummaryNOT_VALIDATED-BL'!$A$1:$A$16,0),6),0)),0)</f>
        <v>0</v>
      </c>
      <c r="V351" s="81" cm="1">
        <f t="array" ref="V351">INDEX('Weight tables'!$A$24:$C$27,MATCH(1,(RendicontiTrasmessiBL__2[[#This Row],[Cut percentage on real costs + USC]]&gt;='Weight tables'!$B$24:$B$27)*(RendicontiTrasmessiBL__2[[#This Row],[Cut percentage on real costs + USC]]&lt;='Weight tables'!$C$24:$C$27),0),1)</f>
        <v>0</v>
      </c>
      <c r="W351" s="2">
        <f>RendicontiTrasmessiBL__2[[#This Row],[Weight real costs  + USC ]]</f>
        <v>0</v>
      </c>
    </row>
    <row r="352" spans="1:23" x14ac:dyDescent="0.25">
      <c r="A352" s="1" t="s">
        <v>365</v>
      </c>
      <c r="B352" s="1" t="s">
        <v>367</v>
      </c>
      <c r="C352" s="2">
        <v>241</v>
      </c>
      <c r="D352" s="2">
        <v>224</v>
      </c>
      <c r="E352" s="1" t="s">
        <v>237</v>
      </c>
      <c r="G352">
        <v>0</v>
      </c>
      <c r="H352">
        <v>0</v>
      </c>
      <c r="I352">
        <v>0</v>
      </c>
      <c r="J352">
        <v>0</v>
      </c>
      <c r="K352">
        <v>0</v>
      </c>
      <c r="L352">
        <v>0</v>
      </c>
      <c r="M352">
        <v>0</v>
      </c>
      <c r="N352">
        <v>0</v>
      </c>
      <c r="O352">
        <v>0</v>
      </c>
      <c r="P352">
        <v>0</v>
      </c>
      <c r="Q352" t="str">
        <f>INDEX('Partner data'!A:DH,MATCH(C352,'Partner data'!DG:DG,0),83)</f>
        <v>Soggetto pubblico</v>
      </c>
      <c r="R352" t="b">
        <f>IF(E352="staff",IF(INDEX('Partner data'!A:DH,MATCH(C352,'Partner data'!DG:DG,0),112)="BL1 non presente","FALSO",INDEX('Partner data'!A:DH,MATCH(C352,'Partner data'!DG:DG,0),112)))</f>
        <v>0</v>
      </c>
      <c r="S352" t="b">
        <f t="shared" si="10"/>
        <v>0</v>
      </c>
      <c r="T352" t="b">
        <f t="shared" si="11"/>
        <v>1</v>
      </c>
      <c r="U352" s="154">
        <f>IFERROR(IF(R352&lt;&gt;FALSE,IF(S352=TRUE,INDEX('SummaryNOT_VALIDATED-BL'!$A$1:$F$16,MATCH(R352,'SummaryNOT_VALIDATED-BL'!$A$1:$A$16,0),6),0),IF(S352=TRUE,INDEX('SummaryNOT_VALIDATED-BL'!$A$1:$F$16,MATCH(E352,'SummaryNOT_VALIDATED-BL'!$A$1:$A$16,0),6),0)),0)</f>
        <v>0</v>
      </c>
      <c r="V352" s="81" cm="1">
        <f t="array" ref="V352">INDEX('Weight tables'!$A$24:$C$27,MATCH(1,(RendicontiTrasmessiBL__2[[#This Row],[Cut percentage on real costs + USC]]&gt;='Weight tables'!$B$24:$B$27)*(RendicontiTrasmessiBL__2[[#This Row],[Cut percentage on real costs + USC]]&lt;='Weight tables'!$C$24:$C$27),0),1)</f>
        <v>0</v>
      </c>
      <c r="W352" s="2">
        <f>RendicontiTrasmessiBL__2[[#This Row],[Weight real costs  + USC ]]</f>
        <v>0</v>
      </c>
    </row>
    <row r="353" spans="1:23" x14ac:dyDescent="0.25">
      <c r="A353" s="1" t="s">
        <v>365</v>
      </c>
      <c r="B353" s="1" t="s">
        <v>368</v>
      </c>
      <c r="C353" s="2">
        <v>265</v>
      </c>
      <c r="D353" s="2">
        <v>256</v>
      </c>
      <c r="E353" s="1" t="s">
        <v>228</v>
      </c>
      <c r="G353">
        <v>60003.360000000001</v>
      </c>
      <c r="H353">
        <v>0</v>
      </c>
      <c r="I353">
        <v>0</v>
      </c>
      <c r="J353">
        <v>1000.8</v>
      </c>
      <c r="K353">
        <v>0</v>
      </c>
      <c r="L353">
        <v>1000.8</v>
      </c>
      <c r="M353">
        <v>1000.8</v>
      </c>
      <c r="N353">
        <v>1.67</v>
      </c>
      <c r="O353">
        <v>59002.559999999998</v>
      </c>
      <c r="P353">
        <v>0</v>
      </c>
      <c r="Q353" t="str">
        <f>INDEX('Partner data'!A:DH,MATCH(C353,'Partner data'!DG:DG,0),83)</f>
        <v>Soggetto pubblico</v>
      </c>
      <c r="R353" t="str">
        <f>IF(E353="staff",IF(INDEX('Partner data'!A:DH,MATCH(C353,'Partner data'!DG:DG,0),112)="BL1 non presente","FALSO",INDEX('Partner data'!A:DH,MATCH(C353,'Partner data'!DG:DG,0),112)))</f>
        <v>COSTO REALE</v>
      </c>
      <c r="S353" t="b">
        <f t="shared" si="10"/>
        <v>1</v>
      </c>
      <c r="T353" t="b">
        <f t="shared" si="11"/>
        <v>1</v>
      </c>
      <c r="U353" s="154">
        <f>IFERROR(IF(R353&lt;&gt;FALSE,IF(S353=TRUE,INDEX('SummaryNOT_VALIDATED-BL'!$A$1:$F$16,MATCH(R353,'SummaryNOT_VALIDATED-BL'!$A$1:$A$16,0),6),0),IF(S353=TRUE,INDEX('SummaryNOT_VALIDATED-BL'!$A$1:$F$16,MATCH(E353,'SummaryNOT_VALIDATED-BL'!$A$1:$A$16,0),6),0)),0)</f>
        <v>9.1604133276901048E-2</v>
      </c>
      <c r="V353" s="81" cm="1">
        <f t="array" ref="V353">INDEX('Weight tables'!$A$24:$C$27,MATCH(1,(RendicontiTrasmessiBL__2[[#This Row],[Cut percentage on real costs + USC]]&gt;='Weight tables'!$B$24:$B$27)*(RendicontiTrasmessiBL__2[[#This Row],[Cut percentage on real costs + USC]]&lt;='Weight tables'!$C$24:$C$27),0),1)</f>
        <v>4</v>
      </c>
      <c r="W353" s="2">
        <f>RendicontiTrasmessiBL__2[[#This Row],[Weight real costs  + USC ]]</f>
        <v>4</v>
      </c>
    </row>
    <row r="354" spans="1:23" x14ac:dyDescent="0.25">
      <c r="A354" s="1" t="s">
        <v>365</v>
      </c>
      <c r="B354" s="1" t="s">
        <v>368</v>
      </c>
      <c r="C354" s="2">
        <v>265</v>
      </c>
      <c r="D354" s="2">
        <v>256</v>
      </c>
      <c r="E354" s="1" t="s">
        <v>229</v>
      </c>
      <c r="G354">
        <v>0</v>
      </c>
      <c r="H354">
        <v>0</v>
      </c>
      <c r="I354">
        <v>0</v>
      </c>
      <c r="J354">
        <v>0</v>
      </c>
      <c r="K354">
        <v>0</v>
      </c>
      <c r="L354">
        <v>0</v>
      </c>
      <c r="M354">
        <v>0</v>
      </c>
      <c r="N354">
        <v>0</v>
      </c>
      <c r="O354">
        <v>0</v>
      </c>
      <c r="P354">
        <v>0</v>
      </c>
      <c r="Q354" t="str">
        <f>INDEX('Partner data'!A:DH,MATCH(C354,'Partner data'!DG:DG,0),83)</f>
        <v>Soggetto pubblico</v>
      </c>
      <c r="R354" t="b">
        <f>IF(E354="staff",IF(INDEX('Partner data'!A:DH,MATCH(C354,'Partner data'!DG:DG,0),112)="BL1 non presente","FALSO",INDEX('Partner data'!A:DH,MATCH(C354,'Partner data'!DG:DG,0),112)))</f>
        <v>0</v>
      </c>
      <c r="S354" t="b">
        <f t="shared" si="10"/>
        <v>0</v>
      </c>
      <c r="T354" t="b">
        <f t="shared" si="11"/>
        <v>1</v>
      </c>
      <c r="U354" s="154">
        <f>IFERROR(IF(R354&lt;&gt;FALSE,IF(S354=TRUE,INDEX('SummaryNOT_VALIDATED-BL'!$A$1:$F$16,MATCH(R354,'SummaryNOT_VALIDATED-BL'!$A$1:$A$16,0),6),0),IF(S354=TRUE,INDEX('SummaryNOT_VALIDATED-BL'!$A$1:$F$16,MATCH(E354,'SummaryNOT_VALIDATED-BL'!$A$1:$A$16,0),6),0)),0)</f>
        <v>0</v>
      </c>
      <c r="V354" s="81" cm="1">
        <f t="array" ref="V354">INDEX('Weight tables'!$A$24:$C$27,MATCH(1,(RendicontiTrasmessiBL__2[[#This Row],[Cut percentage on real costs + USC]]&gt;='Weight tables'!$B$24:$B$27)*(RendicontiTrasmessiBL__2[[#This Row],[Cut percentage on real costs + USC]]&lt;='Weight tables'!$C$24:$C$27),0),1)</f>
        <v>0</v>
      </c>
      <c r="W354" s="2">
        <f>RendicontiTrasmessiBL__2[[#This Row],[Weight real costs  + USC ]]</f>
        <v>0</v>
      </c>
    </row>
    <row r="355" spans="1:23" x14ac:dyDescent="0.25">
      <c r="A355" s="1" t="s">
        <v>365</v>
      </c>
      <c r="B355" s="1" t="s">
        <v>368</v>
      </c>
      <c r="C355" s="2">
        <v>265</v>
      </c>
      <c r="D355" s="2">
        <v>256</v>
      </c>
      <c r="E355" s="1" t="s">
        <v>230</v>
      </c>
      <c r="G355">
        <v>0</v>
      </c>
      <c r="H355">
        <v>0</v>
      </c>
      <c r="I355">
        <v>0</v>
      </c>
      <c r="J355">
        <v>0</v>
      </c>
      <c r="K355">
        <v>0</v>
      </c>
      <c r="L355">
        <v>0</v>
      </c>
      <c r="M355">
        <v>0</v>
      </c>
      <c r="N355">
        <v>0</v>
      </c>
      <c r="O355">
        <v>0</v>
      </c>
      <c r="P355">
        <v>0</v>
      </c>
      <c r="Q355" t="str">
        <f>INDEX('Partner data'!A:DH,MATCH(C355,'Partner data'!DG:DG,0),83)</f>
        <v>Soggetto pubblico</v>
      </c>
      <c r="R355" t="b">
        <f>IF(E355="staff",IF(INDEX('Partner data'!A:DH,MATCH(C355,'Partner data'!DG:DG,0),112)="BL1 non presente","FALSO",INDEX('Partner data'!A:DH,MATCH(C355,'Partner data'!DG:DG,0),112)))</f>
        <v>0</v>
      </c>
      <c r="S355" t="b">
        <f t="shared" si="10"/>
        <v>0</v>
      </c>
      <c r="T355" t="b">
        <f t="shared" si="11"/>
        <v>1</v>
      </c>
      <c r="U355" s="154">
        <f>IFERROR(IF(R355&lt;&gt;FALSE,IF(S355=TRUE,INDEX('SummaryNOT_VALIDATED-BL'!$A$1:$F$16,MATCH(R355,'SummaryNOT_VALIDATED-BL'!$A$1:$A$16,0),6),0),IF(S355=TRUE,INDEX('SummaryNOT_VALIDATED-BL'!$A$1:$F$16,MATCH(E355,'SummaryNOT_VALIDATED-BL'!$A$1:$A$16,0),6),0)),0)</f>
        <v>0</v>
      </c>
      <c r="V355" s="81" cm="1">
        <f t="array" ref="V355">INDEX('Weight tables'!$A$24:$C$27,MATCH(1,(RendicontiTrasmessiBL__2[[#This Row],[Cut percentage on real costs + USC]]&gt;='Weight tables'!$B$24:$B$27)*(RendicontiTrasmessiBL__2[[#This Row],[Cut percentage on real costs + USC]]&lt;='Weight tables'!$C$24:$C$27),0),1)</f>
        <v>0</v>
      </c>
      <c r="W355" s="2">
        <f>RendicontiTrasmessiBL__2[[#This Row],[Weight real costs  + USC ]]</f>
        <v>0</v>
      </c>
    </row>
    <row r="356" spans="1:23" x14ac:dyDescent="0.25">
      <c r="A356" s="1" t="s">
        <v>365</v>
      </c>
      <c r="B356" s="1" t="s">
        <v>368</v>
      </c>
      <c r="C356" s="2">
        <v>265</v>
      </c>
      <c r="D356" s="2">
        <v>256</v>
      </c>
      <c r="E356" s="1" t="s">
        <v>231</v>
      </c>
      <c r="G356">
        <v>0</v>
      </c>
      <c r="H356">
        <v>0</v>
      </c>
      <c r="I356">
        <v>0</v>
      </c>
      <c r="J356">
        <v>0</v>
      </c>
      <c r="K356">
        <v>0</v>
      </c>
      <c r="L356">
        <v>0</v>
      </c>
      <c r="M356">
        <v>0</v>
      </c>
      <c r="N356">
        <v>0</v>
      </c>
      <c r="O356">
        <v>0</v>
      </c>
      <c r="P356">
        <v>0</v>
      </c>
      <c r="Q356" t="str">
        <f>INDEX('Partner data'!A:DH,MATCH(C356,'Partner data'!DG:DG,0),83)</f>
        <v>Soggetto pubblico</v>
      </c>
      <c r="R356" t="b">
        <f>IF(E356="staff",IF(INDEX('Partner data'!A:DH,MATCH(C356,'Partner data'!DG:DG,0),112)="BL1 non presente","FALSO",INDEX('Partner data'!A:DH,MATCH(C356,'Partner data'!DG:DG,0),112)))</f>
        <v>0</v>
      </c>
      <c r="S356" t="b">
        <f t="shared" si="10"/>
        <v>0</v>
      </c>
      <c r="T356" t="b">
        <f t="shared" si="11"/>
        <v>1</v>
      </c>
      <c r="U356" s="154">
        <f>IFERROR(IF(R356&lt;&gt;FALSE,IF(S356=TRUE,INDEX('SummaryNOT_VALIDATED-BL'!$A$1:$F$16,MATCH(R356,'SummaryNOT_VALIDATED-BL'!$A$1:$A$16,0),6),0),IF(S356=TRUE,INDEX('SummaryNOT_VALIDATED-BL'!$A$1:$F$16,MATCH(E356,'SummaryNOT_VALIDATED-BL'!$A$1:$A$16,0),6),0)),0)</f>
        <v>0</v>
      </c>
      <c r="V356" s="81" cm="1">
        <f t="array" ref="V356">INDEX('Weight tables'!$A$24:$C$27,MATCH(1,(RendicontiTrasmessiBL__2[[#This Row],[Cut percentage on real costs + USC]]&gt;='Weight tables'!$B$24:$B$27)*(RendicontiTrasmessiBL__2[[#This Row],[Cut percentage on real costs + USC]]&lt;='Weight tables'!$C$24:$C$27),0),1)</f>
        <v>0</v>
      </c>
      <c r="W356" s="2">
        <f>RendicontiTrasmessiBL__2[[#This Row],[Weight real costs  + USC ]]</f>
        <v>0</v>
      </c>
    </row>
    <row r="357" spans="1:23" x14ac:dyDescent="0.25">
      <c r="A357" s="1" t="s">
        <v>365</v>
      </c>
      <c r="B357" s="1" t="s">
        <v>368</v>
      </c>
      <c r="C357" s="2">
        <v>265</v>
      </c>
      <c r="D357" s="2">
        <v>256</v>
      </c>
      <c r="E357" s="1" t="s">
        <v>232</v>
      </c>
      <c r="G357">
        <v>0</v>
      </c>
      <c r="H357">
        <v>0</v>
      </c>
      <c r="I357">
        <v>0</v>
      </c>
      <c r="J357">
        <v>0</v>
      </c>
      <c r="K357">
        <v>0</v>
      </c>
      <c r="L357">
        <v>0</v>
      </c>
      <c r="M357">
        <v>0</v>
      </c>
      <c r="N357">
        <v>0</v>
      </c>
      <c r="O357">
        <v>0</v>
      </c>
      <c r="P357">
        <v>0</v>
      </c>
      <c r="Q357" t="str">
        <f>INDEX('Partner data'!A:DH,MATCH(C357,'Partner data'!DG:DG,0),83)</f>
        <v>Soggetto pubblico</v>
      </c>
      <c r="R357" t="b">
        <f>IF(E357="staff",IF(INDEX('Partner data'!A:DH,MATCH(C357,'Partner data'!DG:DG,0),112)="BL1 non presente","FALSO",INDEX('Partner data'!A:DH,MATCH(C357,'Partner data'!DG:DG,0),112)))</f>
        <v>0</v>
      </c>
      <c r="S357" t="b">
        <f t="shared" si="10"/>
        <v>0</v>
      </c>
      <c r="T357" t="b">
        <f t="shared" si="11"/>
        <v>1</v>
      </c>
      <c r="U357" s="154">
        <f>IFERROR(IF(R357&lt;&gt;FALSE,IF(S357=TRUE,INDEX('SummaryNOT_VALIDATED-BL'!$A$1:$F$16,MATCH(R357,'SummaryNOT_VALIDATED-BL'!$A$1:$A$16,0),6),0),IF(S357=TRUE,INDEX('SummaryNOT_VALIDATED-BL'!$A$1:$F$16,MATCH(E357,'SummaryNOT_VALIDATED-BL'!$A$1:$A$16,0),6),0)),0)</f>
        <v>0</v>
      </c>
      <c r="V357" s="81" cm="1">
        <f t="array" ref="V357">INDEX('Weight tables'!$A$24:$C$27,MATCH(1,(RendicontiTrasmessiBL__2[[#This Row],[Cut percentage on real costs + USC]]&gt;='Weight tables'!$B$24:$B$27)*(RendicontiTrasmessiBL__2[[#This Row],[Cut percentage on real costs + USC]]&lt;='Weight tables'!$C$24:$C$27),0),1)</f>
        <v>0</v>
      </c>
      <c r="W357" s="2">
        <f>RendicontiTrasmessiBL__2[[#This Row],[Weight real costs  + USC ]]</f>
        <v>0</v>
      </c>
    </row>
    <row r="358" spans="1:23" x14ac:dyDescent="0.25">
      <c r="A358" s="1" t="s">
        <v>365</v>
      </c>
      <c r="B358" s="1" t="s">
        <v>368</v>
      </c>
      <c r="C358" s="2">
        <v>265</v>
      </c>
      <c r="D358" s="2">
        <v>256</v>
      </c>
      <c r="E358" s="1" t="s">
        <v>233</v>
      </c>
      <c r="G358">
        <v>0</v>
      </c>
      <c r="H358">
        <v>0</v>
      </c>
      <c r="I358">
        <v>0</v>
      </c>
      <c r="J358">
        <v>0</v>
      </c>
      <c r="K358">
        <v>0</v>
      </c>
      <c r="L358">
        <v>0</v>
      </c>
      <c r="M358">
        <v>0</v>
      </c>
      <c r="N358">
        <v>0</v>
      </c>
      <c r="O358">
        <v>0</v>
      </c>
      <c r="P358">
        <v>0</v>
      </c>
      <c r="Q358" t="str">
        <f>INDEX('Partner data'!A:DH,MATCH(C358,'Partner data'!DG:DG,0),83)</f>
        <v>Soggetto pubblico</v>
      </c>
      <c r="R358" t="b">
        <f>IF(E358="staff",IF(INDEX('Partner data'!A:DH,MATCH(C358,'Partner data'!DG:DG,0),112)="BL1 non presente","FALSO",INDEX('Partner data'!A:DH,MATCH(C358,'Partner data'!DG:DG,0),112)))</f>
        <v>0</v>
      </c>
      <c r="S358" t="b">
        <f t="shared" si="10"/>
        <v>0</v>
      </c>
      <c r="T358" t="b">
        <f t="shared" si="11"/>
        <v>1</v>
      </c>
      <c r="U358" s="154">
        <f>IFERROR(IF(R358&lt;&gt;FALSE,IF(S358=TRUE,INDEX('SummaryNOT_VALIDATED-BL'!$A$1:$F$16,MATCH(R358,'SummaryNOT_VALIDATED-BL'!$A$1:$A$16,0),6),0),IF(S358=TRUE,INDEX('SummaryNOT_VALIDATED-BL'!$A$1:$F$16,MATCH(E358,'SummaryNOT_VALIDATED-BL'!$A$1:$A$16,0),6),0)),0)</f>
        <v>0</v>
      </c>
      <c r="V358" s="81" cm="1">
        <f t="array" ref="V358">INDEX('Weight tables'!$A$24:$C$27,MATCH(1,(RendicontiTrasmessiBL__2[[#This Row],[Cut percentage on real costs + USC]]&gt;='Weight tables'!$B$24:$B$27)*(RendicontiTrasmessiBL__2[[#This Row],[Cut percentage on real costs + USC]]&lt;='Weight tables'!$C$24:$C$27),0),1)</f>
        <v>0</v>
      </c>
      <c r="W358" s="2">
        <f>RendicontiTrasmessiBL__2[[#This Row],[Weight real costs  + USC ]]</f>
        <v>0</v>
      </c>
    </row>
    <row r="359" spans="1:23" x14ac:dyDescent="0.25">
      <c r="A359" s="1" t="s">
        <v>365</v>
      </c>
      <c r="B359" s="1" t="s">
        <v>368</v>
      </c>
      <c r="C359" s="2">
        <v>265</v>
      </c>
      <c r="D359" s="2">
        <v>256</v>
      </c>
      <c r="E359" s="1" t="s">
        <v>234</v>
      </c>
      <c r="F359">
        <v>40</v>
      </c>
      <c r="G359">
        <v>24001.34</v>
      </c>
      <c r="H359">
        <v>0</v>
      </c>
      <c r="I359">
        <v>0</v>
      </c>
      <c r="J359">
        <v>400.32</v>
      </c>
      <c r="K359">
        <v>0</v>
      </c>
      <c r="L359">
        <v>400.32</v>
      </c>
      <c r="M359">
        <v>400.32</v>
      </c>
      <c r="N359">
        <v>1.67</v>
      </c>
      <c r="O359">
        <v>23601.02</v>
      </c>
      <c r="P359">
        <v>0</v>
      </c>
      <c r="Q359" t="str">
        <f>INDEX('Partner data'!A:DH,MATCH(C359,'Partner data'!DG:DG,0),83)</f>
        <v>Soggetto pubblico</v>
      </c>
      <c r="R359" t="b">
        <f>IF(E359="staff",IF(INDEX('Partner data'!A:DH,MATCH(C359,'Partner data'!DG:DG,0),112)="BL1 non presente","FALSO",INDEX('Partner data'!A:DH,MATCH(C359,'Partner data'!DG:DG,0),112)))</f>
        <v>0</v>
      </c>
      <c r="S359" t="b">
        <f t="shared" si="10"/>
        <v>1</v>
      </c>
      <c r="T359" t="b">
        <f t="shared" si="11"/>
        <v>1</v>
      </c>
      <c r="U359" s="154">
        <f>IFERROR(IF(R359&lt;&gt;FALSE,IF(S359=TRUE,INDEX('SummaryNOT_VALIDATED-BL'!$A$1:$F$16,MATCH(R359,'SummaryNOT_VALIDATED-BL'!$A$1:$A$16,0),6),0),IF(S359=TRUE,INDEX('SummaryNOT_VALIDATED-BL'!$A$1:$F$16,MATCH(E359,'SummaryNOT_VALIDATED-BL'!$A$1:$A$16,0),6),0)),0)</f>
        <v>8.7645339819521315E-2</v>
      </c>
      <c r="V359" s="81" cm="1">
        <f t="array" ref="V359">INDEX('Weight tables'!$A$24:$C$27,MATCH(1,(RendicontiTrasmessiBL__2[[#This Row],[Cut percentage on real costs + USC]]&gt;='Weight tables'!$B$24:$B$27)*(RendicontiTrasmessiBL__2[[#This Row],[Cut percentage on real costs + USC]]&lt;='Weight tables'!$C$24:$C$27),0),1)</f>
        <v>4</v>
      </c>
      <c r="W359" s="2">
        <f>RendicontiTrasmessiBL__2[[#This Row],[Weight real costs  + USC ]]</f>
        <v>4</v>
      </c>
    </row>
    <row r="360" spans="1:23" x14ac:dyDescent="0.25">
      <c r="A360" s="1" t="s">
        <v>365</v>
      </c>
      <c r="B360" s="1" t="s">
        <v>368</v>
      </c>
      <c r="C360" s="2">
        <v>265</v>
      </c>
      <c r="D360" s="2">
        <v>256</v>
      </c>
      <c r="E360" s="1" t="s">
        <v>236</v>
      </c>
      <c r="G360">
        <v>0</v>
      </c>
      <c r="H360">
        <v>0</v>
      </c>
      <c r="I360">
        <v>0</v>
      </c>
      <c r="J360">
        <v>0</v>
      </c>
      <c r="K360">
        <v>0</v>
      </c>
      <c r="L360">
        <v>0</v>
      </c>
      <c r="M360">
        <v>0</v>
      </c>
      <c r="N360">
        <v>0</v>
      </c>
      <c r="O360">
        <v>0</v>
      </c>
      <c r="P360">
        <v>0</v>
      </c>
      <c r="Q360" t="str">
        <f>INDEX('Partner data'!A:DH,MATCH(C360,'Partner data'!DG:DG,0),83)</f>
        <v>Soggetto pubblico</v>
      </c>
      <c r="R360" t="b">
        <f>IF(E360="staff",IF(INDEX('Partner data'!A:DH,MATCH(C360,'Partner data'!DG:DG,0),112)="BL1 non presente","FALSO",INDEX('Partner data'!A:DH,MATCH(C360,'Partner data'!DG:DG,0),112)))</f>
        <v>0</v>
      </c>
      <c r="S360" t="b">
        <f t="shared" si="10"/>
        <v>0</v>
      </c>
      <c r="T360" t="b">
        <f t="shared" si="11"/>
        <v>1</v>
      </c>
      <c r="U360" s="154">
        <f>IFERROR(IF(R360&lt;&gt;FALSE,IF(S360=TRUE,INDEX('SummaryNOT_VALIDATED-BL'!$A$1:$F$16,MATCH(R360,'SummaryNOT_VALIDATED-BL'!$A$1:$A$16,0),6),0),IF(S360=TRUE,INDEX('SummaryNOT_VALIDATED-BL'!$A$1:$F$16,MATCH(E360,'SummaryNOT_VALIDATED-BL'!$A$1:$A$16,0),6),0)),0)</f>
        <v>0</v>
      </c>
      <c r="V360" s="81" cm="1">
        <f t="array" ref="V360">INDEX('Weight tables'!$A$24:$C$27,MATCH(1,(RendicontiTrasmessiBL__2[[#This Row],[Cut percentage on real costs + USC]]&gt;='Weight tables'!$B$24:$B$27)*(RendicontiTrasmessiBL__2[[#This Row],[Cut percentage on real costs + USC]]&lt;='Weight tables'!$C$24:$C$27),0),1)</f>
        <v>0</v>
      </c>
      <c r="W360" s="2">
        <f>RendicontiTrasmessiBL__2[[#This Row],[Weight real costs  + USC ]]</f>
        <v>0</v>
      </c>
    </row>
    <row r="361" spans="1:23" x14ac:dyDescent="0.25">
      <c r="A361" s="1" t="s">
        <v>365</v>
      </c>
      <c r="B361" s="1" t="s">
        <v>368</v>
      </c>
      <c r="C361" s="2">
        <v>265</v>
      </c>
      <c r="D361" s="2">
        <v>256</v>
      </c>
      <c r="E361" s="1" t="s">
        <v>237</v>
      </c>
      <c r="G361">
        <v>0</v>
      </c>
      <c r="H361">
        <v>0</v>
      </c>
      <c r="I361">
        <v>0</v>
      </c>
      <c r="J361">
        <v>0</v>
      </c>
      <c r="K361">
        <v>0</v>
      </c>
      <c r="L361">
        <v>0</v>
      </c>
      <c r="M361">
        <v>0</v>
      </c>
      <c r="N361">
        <v>0</v>
      </c>
      <c r="O361">
        <v>0</v>
      </c>
      <c r="P361">
        <v>0</v>
      </c>
      <c r="Q361" t="str">
        <f>INDEX('Partner data'!A:DH,MATCH(C361,'Partner data'!DG:DG,0),83)</f>
        <v>Soggetto pubblico</v>
      </c>
      <c r="R361" t="b">
        <f>IF(E361="staff",IF(INDEX('Partner data'!A:DH,MATCH(C361,'Partner data'!DG:DG,0),112)="BL1 non presente","FALSO",INDEX('Partner data'!A:DH,MATCH(C361,'Partner data'!DG:DG,0),112)))</f>
        <v>0</v>
      </c>
      <c r="S361" t="b">
        <f t="shared" si="10"/>
        <v>0</v>
      </c>
      <c r="T361" t="b">
        <f t="shared" si="11"/>
        <v>1</v>
      </c>
      <c r="U361" s="154">
        <f>IFERROR(IF(R361&lt;&gt;FALSE,IF(S361=TRUE,INDEX('SummaryNOT_VALIDATED-BL'!$A$1:$F$16,MATCH(R361,'SummaryNOT_VALIDATED-BL'!$A$1:$A$16,0),6),0),IF(S361=TRUE,INDEX('SummaryNOT_VALIDATED-BL'!$A$1:$F$16,MATCH(E361,'SummaryNOT_VALIDATED-BL'!$A$1:$A$16,0),6),0)),0)</f>
        <v>0</v>
      </c>
      <c r="V361" s="81" cm="1">
        <f t="array" ref="V361">INDEX('Weight tables'!$A$24:$C$27,MATCH(1,(RendicontiTrasmessiBL__2[[#This Row],[Cut percentage on real costs + USC]]&gt;='Weight tables'!$B$24:$B$27)*(RendicontiTrasmessiBL__2[[#This Row],[Cut percentage on real costs + USC]]&lt;='Weight tables'!$C$24:$C$27),0),1)</f>
        <v>0</v>
      </c>
      <c r="W361" s="2">
        <f>RendicontiTrasmessiBL__2[[#This Row],[Weight real costs  + USC ]]</f>
        <v>0</v>
      </c>
    </row>
    <row r="362" spans="1:23" x14ac:dyDescent="0.25">
      <c r="A362" s="1" t="s">
        <v>365</v>
      </c>
      <c r="B362" s="1" t="s">
        <v>369</v>
      </c>
      <c r="C362" s="2">
        <v>264</v>
      </c>
      <c r="D362" s="2">
        <v>270</v>
      </c>
      <c r="E362" s="1" t="s">
        <v>228</v>
      </c>
      <c r="G362">
        <v>56276.24</v>
      </c>
      <c r="H362">
        <v>0</v>
      </c>
      <c r="I362">
        <v>0</v>
      </c>
      <c r="J362">
        <v>7064</v>
      </c>
      <c r="K362">
        <v>0</v>
      </c>
      <c r="L362">
        <v>0</v>
      </c>
      <c r="M362">
        <v>7064</v>
      </c>
      <c r="N362">
        <v>12.55</v>
      </c>
      <c r="O362">
        <v>49212.24</v>
      </c>
      <c r="P362">
        <v>0</v>
      </c>
      <c r="Q362" t="str">
        <f>INDEX('Partner data'!A:DH,MATCH(C362,'Partner data'!DG:DG,0),83)</f>
        <v>Soggetto privato</v>
      </c>
      <c r="R362" t="str">
        <f>IF(E362="staff",IF(INDEX('Partner data'!A:DH,MATCH(C362,'Partner data'!DG:DG,0),112)="BL1 non presente","FALSO",INDEX('Partner data'!A:DH,MATCH(C362,'Partner data'!DG:DG,0),112)))</f>
        <v>Costo Unitario Standard</v>
      </c>
      <c r="S362" t="b">
        <f t="shared" si="10"/>
        <v>1</v>
      </c>
      <c r="T362" t="b">
        <f t="shared" si="11"/>
        <v>0</v>
      </c>
      <c r="U362" s="154">
        <f>IFERROR(IF(R362&lt;&gt;FALSE,IF(S362=TRUE,INDEX('SummaryNOT_VALIDATED-BL'!$A$1:$F$16,MATCH(R362,'SummaryNOT_VALIDATED-BL'!$A$1:$A$16,0),6),0),IF(S362=TRUE,INDEX('SummaryNOT_VALIDATED-BL'!$A$1:$F$16,MATCH(E362,'SummaryNOT_VALIDATED-BL'!$A$1:$A$16,0),6),0)),0)</f>
        <v>3.2052879635441428E-2</v>
      </c>
      <c r="V362" s="81" cm="1">
        <f t="array" ref="V362">INDEX('Weight tables'!$A$24:$C$27,MATCH(1,(RendicontiTrasmessiBL__2[[#This Row],[Cut percentage on real costs + USC]]&gt;='Weight tables'!$B$24:$B$27)*(RendicontiTrasmessiBL__2[[#This Row],[Cut percentage on real costs + USC]]&lt;='Weight tables'!$C$24:$C$27),0),1)</f>
        <v>2</v>
      </c>
      <c r="W362" s="2">
        <f>RendicontiTrasmessiBL__2[[#This Row],[Weight real costs  + USC ]]</f>
        <v>2</v>
      </c>
    </row>
    <row r="363" spans="1:23" x14ac:dyDescent="0.25">
      <c r="A363" s="1" t="s">
        <v>365</v>
      </c>
      <c r="B363" s="1" t="s">
        <v>369</v>
      </c>
      <c r="C363" s="2">
        <v>264</v>
      </c>
      <c r="D363" s="2">
        <v>270</v>
      </c>
      <c r="E363" s="1" t="s">
        <v>229</v>
      </c>
      <c r="G363">
        <v>0</v>
      </c>
      <c r="H363">
        <v>0</v>
      </c>
      <c r="I363">
        <v>0</v>
      </c>
      <c r="J363">
        <v>0</v>
      </c>
      <c r="K363">
        <v>0</v>
      </c>
      <c r="L363">
        <v>0</v>
      </c>
      <c r="M363">
        <v>0</v>
      </c>
      <c r="N363">
        <v>0</v>
      </c>
      <c r="O363">
        <v>0</v>
      </c>
      <c r="P363">
        <v>0</v>
      </c>
      <c r="Q363" t="str">
        <f>INDEX('Partner data'!A:DH,MATCH(C363,'Partner data'!DG:DG,0),83)</f>
        <v>Soggetto privato</v>
      </c>
      <c r="R363" t="b">
        <f>IF(E363="staff",IF(INDEX('Partner data'!A:DH,MATCH(C363,'Partner data'!DG:DG,0),112)="BL1 non presente","FALSO",INDEX('Partner data'!A:DH,MATCH(C363,'Partner data'!DG:DG,0),112)))</f>
        <v>0</v>
      </c>
      <c r="S363" t="b">
        <f t="shared" si="10"/>
        <v>0</v>
      </c>
      <c r="T363" t="b">
        <f t="shared" si="11"/>
        <v>0</v>
      </c>
      <c r="U363" s="154">
        <f>IFERROR(IF(R363&lt;&gt;FALSE,IF(S363=TRUE,INDEX('SummaryNOT_VALIDATED-BL'!$A$1:$F$16,MATCH(R363,'SummaryNOT_VALIDATED-BL'!$A$1:$A$16,0),6),0),IF(S363=TRUE,INDEX('SummaryNOT_VALIDATED-BL'!$A$1:$F$16,MATCH(E363,'SummaryNOT_VALIDATED-BL'!$A$1:$A$16,0),6),0)),0)</f>
        <v>0</v>
      </c>
      <c r="V363" s="81" cm="1">
        <f t="array" ref="V363">INDEX('Weight tables'!$A$24:$C$27,MATCH(1,(RendicontiTrasmessiBL__2[[#This Row],[Cut percentage on real costs + USC]]&gt;='Weight tables'!$B$24:$B$27)*(RendicontiTrasmessiBL__2[[#This Row],[Cut percentage on real costs + USC]]&lt;='Weight tables'!$C$24:$C$27),0),1)</f>
        <v>0</v>
      </c>
      <c r="W363" s="2">
        <f>RendicontiTrasmessiBL__2[[#This Row],[Weight real costs  + USC ]]</f>
        <v>0</v>
      </c>
    </row>
    <row r="364" spans="1:23" x14ac:dyDescent="0.25">
      <c r="A364" s="1" t="s">
        <v>365</v>
      </c>
      <c r="B364" s="1" t="s">
        <v>369</v>
      </c>
      <c r="C364" s="2">
        <v>264</v>
      </c>
      <c r="D364" s="2">
        <v>270</v>
      </c>
      <c r="E364" s="1" t="s">
        <v>230</v>
      </c>
      <c r="G364">
        <v>0</v>
      </c>
      <c r="H364">
        <v>0</v>
      </c>
      <c r="I364">
        <v>0</v>
      </c>
      <c r="J364">
        <v>0</v>
      </c>
      <c r="K364">
        <v>0</v>
      </c>
      <c r="L364">
        <v>0</v>
      </c>
      <c r="M364">
        <v>0</v>
      </c>
      <c r="N364">
        <v>0</v>
      </c>
      <c r="O364">
        <v>0</v>
      </c>
      <c r="P364">
        <v>0</v>
      </c>
      <c r="Q364" t="str">
        <f>INDEX('Partner data'!A:DH,MATCH(C364,'Partner data'!DG:DG,0),83)</f>
        <v>Soggetto privato</v>
      </c>
      <c r="R364" t="b">
        <f>IF(E364="staff",IF(INDEX('Partner data'!A:DH,MATCH(C364,'Partner data'!DG:DG,0),112)="BL1 non presente","FALSO",INDEX('Partner data'!A:DH,MATCH(C364,'Partner data'!DG:DG,0),112)))</f>
        <v>0</v>
      </c>
      <c r="S364" t="b">
        <f t="shared" si="10"/>
        <v>0</v>
      </c>
      <c r="T364" t="b">
        <f t="shared" si="11"/>
        <v>0</v>
      </c>
      <c r="U364" s="154">
        <f>IFERROR(IF(R364&lt;&gt;FALSE,IF(S364=TRUE,INDEX('SummaryNOT_VALIDATED-BL'!$A$1:$F$16,MATCH(R364,'SummaryNOT_VALIDATED-BL'!$A$1:$A$16,0),6),0),IF(S364=TRUE,INDEX('SummaryNOT_VALIDATED-BL'!$A$1:$F$16,MATCH(E364,'SummaryNOT_VALIDATED-BL'!$A$1:$A$16,0),6),0)),0)</f>
        <v>0</v>
      </c>
      <c r="V364" s="81" cm="1">
        <f t="array" ref="V364">INDEX('Weight tables'!$A$24:$C$27,MATCH(1,(RendicontiTrasmessiBL__2[[#This Row],[Cut percentage on real costs + USC]]&gt;='Weight tables'!$B$24:$B$27)*(RendicontiTrasmessiBL__2[[#This Row],[Cut percentage on real costs + USC]]&lt;='Weight tables'!$C$24:$C$27),0),1)</f>
        <v>0</v>
      </c>
      <c r="W364" s="2">
        <f>RendicontiTrasmessiBL__2[[#This Row],[Weight real costs  + USC ]]</f>
        <v>0</v>
      </c>
    </row>
    <row r="365" spans="1:23" x14ac:dyDescent="0.25">
      <c r="A365" s="1" t="s">
        <v>365</v>
      </c>
      <c r="B365" s="1" t="s">
        <v>369</v>
      </c>
      <c r="C365" s="2">
        <v>264</v>
      </c>
      <c r="D365" s="2">
        <v>270</v>
      </c>
      <c r="E365" s="1" t="s">
        <v>231</v>
      </c>
      <c r="G365">
        <v>0</v>
      </c>
      <c r="H365">
        <v>0</v>
      </c>
      <c r="I365">
        <v>0</v>
      </c>
      <c r="J365">
        <v>0</v>
      </c>
      <c r="K365">
        <v>0</v>
      </c>
      <c r="L365">
        <v>0</v>
      </c>
      <c r="M365">
        <v>0</v>
      </c>
      <c r="N365">
        <v>0</v>
      </c>
      <c r="O365">
        <v>0</v>
      </c>
      <c r="P365">
        <v>0</v>
      </c>
      <c r="Q365" t="str">
        <f>INDEX('Partner data'!A:DH,MATCH(C365,'Partner data'!DG:DG,0),83)</f>
        <v>Soggetto privato</v>
      </c>
      <c r="R365" t="b">
        <f>IF(E365="staff",IF(INDEX('Partner data'!A:DH,MATCH(C365,'Partner data'!DG:DG,0),112)="BL1 non presente","FALSO",INDEX('Partner data'!A:DH,MATCH(C365,'Partner data'!DG:DG,0),112)))</f>
        <v>0</v>
      </c>
      <c r="S365" t="b">
        <f t="shared" si="10"/>
        <v>0</v>
      </c>
      <c r="T365" t="b">
        <f t="shared" si="11"/>
        <v>0</v>
      </c>
      <c r="U365" s="154">
        <f>IFERROR(IF(R365&lt;&gt;FALSE,IF(S365=TRUE,INDEX('SummaryNOT_VALIDATED-BL'!$A$1:$F$16,MATCH(R365,'SummaryNOT_VALIDATED-BL'!$A$1:$A$16,0),6),0),IF(S365=TRUE,INDEX('SummaryNOT_VALIDATED-BL'!$A$1:$F$16,MATCH(E365,'SummaryNOT_VALIDATED-BL'!$A$1:$A$16,0),6),0)),0)</f>
        <v>0</v>
      </c>
      <c r="V365" s="81" cm="1">
        <f t="array" ref="V365">INDEX('Weight tables'!$A$24:$C$27,MATCH(1,(RendicontiTrasmessiBL__2[[#This Row],[Cut percentage on real costs + USC]]&gt;='Weight tables'!$B$24:$B$27)*(RendicontiTrasmessiBL__2[[#This Row],[Cut percentage on real costs + USC]]&lt;='Weight tables'!$C$24:$C$27),0),1)</f>
        <v>0</v>
      </c>
      <c r="W365" s="2">
        <f>RendicontiTrasmessiBL__2[[#This Row],[Weight real costs  + USC ]]</f>
        <v>0</v>
      </c>
    </row>
    <row r="366" spans="1:23" x14ac:dyDescent="0.25">
      <c r="A366" s="1" t="s">
        <v>365</v>
      </c>
      <c r="B366" s="1" t="s">
        <v>369</v>
      </c>
      <c r="C366" s="2">
        <v>264</v>
      </c>
      <c r="D366" s="2">
        <v>270</v>
      </c>
      <c r="E366" s="1" t="s">
        <v>232</v>
      </c>
      <c r="G366">
        <v>0</v>
      </c>
      <c r="H366">
        <v>0</v>
      </c>
      <c r="I366">
        <v>0</v>
      </c>
      <c r="J366">
        <v>0</v>
      </c>
      <c r="K366">
        <v>0</v>
      </c>
      <c r="L366">
        <v>0</v>
      </c>
      <c r="M366">
        <v>0</v>
      </c>
      <c r="N366">
        <v>0</v>
      </c>
      <c r="O366">
        <v>0</v>
      </c>
      <c r="P366">
        <v>0</v>
      </c>
      <c r="Q366" t="str">
        <f>INDEX('Partner data'!A:DH,MATCH(C366,'Partner data'!DG:DG,0),83)</f>
        <v>Soggetto privato</v>
      </c>
      <c r="R366" t="b">
        <f>IF(E366="staff",IF(INDEX('Partner data'!A:DH,MATCH(C366,'Partner data'!DG:DG,0),112)="BL1 non presente","FALSO",INDEX('Partner data'!A:DH,MATCH(C366,'Partner data'!DG:DG,0),112)))</f>
        <v>0</v>
      </c>
      <c r="S366" t="b">
        <f t="shared" si="10"/>
        <v>0</v>
      </c>
      <c r="T366" t="b">
        <f t="shared" si="11"/>
        <v>0</v>
      </c>
      <c r="U366" s="154">
        <f>IFERROR(IF(R366&lt;&gt;FALSE,IF(S366=TRUE,INDEX('SummaryNOT_VALIDATED-BL'!$A$1:$F$16,MATCH(R366,'SummaryNOT_VALIDATED-BL'!$A$1:$A$16,0),6),0),IF(S366=TRUE,INDEX('SummaryNOT_VALIDATED-BL'!$A$1:$F$16,MATCH(E366,'SummaryNOT_VALIDATED-BL'!$A$1:$A$16,0),6),0)),0)</f>
        <v>0</v>
      </c>
      <c r="V366" s="81" cm="1">
        <f t="array" ref="V366">INDEX('Weight tables'!$A$24:$C$27,MATCH(1,(RendicontiTrasmessiBL__2[[#This Row],[Cut percentage on real costs + USC]]&gt;='Weight tables'!$B$24:$B$27)*(RendicontiTrasmessiBL__2[[#This Row],[Cut percentage on real costs + USC]]&lt;='Weight tables'!$C$24:$C$27),0),1)</f>
        <v>0</v>
      </c>
      <c r="W366" s="2">
        <f>RendicontiTrasmessiBL__2[[#This Row],[Weight real costs  + USC ]]</f>
        <v>0</v>
      </c>
    </row>
    <row r="367" spans="1:23" x14ac:dyDescent="0.25">
      <c r="A367" s="1" t="s">
        <v>365</v>
      </c>
      <c r="B367" s="1" t="s">
        <v>369</v>
      </c>
      <c r="C367" s="2">
        <v>264</v>
      </c>
      <c r="D367" s="2">
        <v>270</v>
      </c>
      <c r="E367" s="1" t="s">
        <v>233</v>
      </c>
      <c r="G367">
        <v>0</v>
      </c>
      <c r="H367">
        <v>0</v>
      </c>
      <c r="I367">
        <v>0</v>
      </c>
      <c r="J367">
        <v>0</v>
      </c>
      <c r="K367">
        <v>0</v>
      </c>
      <c r="L367">
        <v>0</v>
      </c>
      <c r="M367">
        <v>0</v>
      </c>
      <c r="N367">
        <v>0</v>
      </c>
      <c r="O367">
        <v>0</v>
      </c>
      <c r="P367">
        <v>0</v>
      </c>
      <c r="Q367" t="str">
        <f>INDEX('Partner data'!A:DH,MATCH(C367,'Partner data'!DG:DG,0),83)</f>
        <v>Soggetto privato</v>
      </c>
      <c r="R367" t="b">
        <f>IF(E367="staff",IF(INDEX('Partner data'!A:DH,MATCH(C367,'Partner data'!DG:DG,0),112)="BL1 non presente","FALSO",INDEX('Partner data'!A:DH,MATCH(C367,'Partner data'!DG:DG,0),112)))</f>
        <v>0</v>
      </c>
      <c r="S367" t="b">
        <f t="shared" si="10"/>
        <v>0</v>
      </c>
      <c r="T367" t="b">
        <f t="shared" si="11"/>
        <v>0</v>
      </c>
      <c r="U367" s="154">
        <f>IFERROR(IF(R367&lt;&gt;FALSE,IF(S367=TRUE,INDEX('SummaryNOT_VALIDATED-BL'!$A$1:$F$16,MATCH(R367,'SummaryNOT_VALIDATED-BL'!$A$1:$A$16,0),6),0),IF(S367=TRUE,INDEX('SummaryNOT_VALIDATED-BL'!$A$1:$F$16,MATCH(E367,'SummaryNOT_VALIDATED-BL'!$A$1:$A$16,0),6),0)),0)</f>
        <v>0</v>
      </c>
      <c r="V367" s="81" cm="1">
        <f t="array" ref="V367">INDEX('Weight tables'!$A$24:$C$27,MATCH(1,(RendicontiTrasmessiBL__2[[#This Row],[Cut percentage on real costs + USC]]&gt;='Weight tables'!$B$24:$B$27)*(RendicontiTrasmessiBL__2[[#This Row],[Cut percentage on real costs + USC]]&lt;='Weight tables'!$C$24:$C$27),0),1)</f>
        <v>0</v>
      </c>
      <c r="W367" s="2">
        <f>RendicontiTrasmessiBL__2[[#This Row],[Weight real costs  + USC ]]</f>
        <v>0</v>
      </c>
    </row>
    <row r="368" spans="1:23" x14ac:dyDescent="0.25">
      <c r="A368" s="1" t="s">
        <v>365</v>
      </c>
      <c r="B368" s="1" t="s">
        <v>369</v>
      </c>
      <c r="C368" s="2">
        <v>264</v>
      </c>
      <c r="D368" s="2">
        <v>270</v>
      </c>
      <c r="E368" s="1" t="s">
        <v>234</v>
      </c>
      <c r="F368">
        <v>40</v>
      </c>
      <c r="G368">
        <v>22510.49</v>
      </c>
      <c r="H368">
        <v>0</v>
      </c>
      <c r="I368">
        <v>0</v>
      </c>
      <c r="J368">
        <v>2825.6</v>
      </c>
      <c r="K368">
        <v>0</v>
      </c>
      <c r="L368">
        <v>0</v>
      </c>
      <c r="M368">
        <v>2825.6</v>
      </c>
      <c r="N368">
        <v>12.55</v>
      </c>
      <c r="O368">
        <v>19684.89</v>
      </c>
      <c r="P368">
        <v>0</v>
      </c>
      <c r="Q368" t="str">
        <f>INDEX('Partner data'!A:DH,MATCH(C368,'Partner data'!DG:DG,0),83)</f>
        <v>Soggetto privato</v>
      </c>
      <c r="R368" t="b">
        <f>IF(E368="staff",IF(INDEX('Partner data'!A:DH,MATCH(C368,'Partner data'!DG:DG,0),112)="BL1 non presente","FALSO",INDEX('Partner data'!A:DH,MATCH(C368,'Partner data'!DG:DG,0),112)))</f>
        <v>0</v>
      </c>
      <c r="S368" t="b">
        <f t="shared" si="10"/>
        <v>1</v>
      </c>
      <c r="T368" t="b">
        <f t="shared" si="11"/>
        <v>0</v>
      </c>
      <c r="U368" s="154">
        <f>IFERROR(IF(R368&lt;&gt;FALSE,IF(S368=TRUE,INDEX('SummaryNOT_VALIDATED-BL'!$A$1:$F$16,MATCH(R368,'SummaryNOT_VALIDATED-BL'!$A$1:$A$16,0),6),0),IF(S368=TRUE,INDEX('SummaryNOT_VALIDATED-BL'!$A$1:$F$16,MATCH(E368,'SummaryNOT_VALIDATED-BL'!$A$1:$A$16,0),6),0)),0)</f>
        <v>8.7645339819521315E-2</v>
      </c>
      <c r="V368" s="81" cm="1">
        <f t="array" ref="V368">INDEX('Weight tables'!$A$24:$C$27,MATCH(1,(RendicontiTrasmessiBL__2[[#This Row],[Cut percentage on real costs + USC]]&gt;='Weight tables'!$B$24:$B$27)*(RendicontiTrasmessiBL__2[[#This Row],[Cut percentage on real costs + USC]]&lt;='Weight tables'!$C$24:$C$27),0),1)</f>
        <v>4</v>
      </c>
      <c r="W368" s="2">
        <f>RendicontiTrasmessiBL__2[[#This Row],[Weight real costs  + USC ]]</f>
        <v>4</v>
      </c>
    </row>
    <row r="369" spans="1:23" x14ac:dyDescent="0.25">
      <c r="A369" s="1" t="s">
        <v>365</v>
      </c>
      <c r="B369" s="1" t="s">
        <v>369</v>
      </c>
      <c r="C369" s="2">
        <v>264</v>
      </c>
      <c r="D369" s="2">
        <v>270</v>
      </c>
      <c r="E369" s="1" t="s">
        <v>236</v>
      </c>
      <c r="G369">
        <v>0</v>
      </c>
      <c r="H369">
        <v>0</v>
      </c>
      <c r="I369">
        <v>0</v>
      </c>
      <c r="J369">
        <v>0</v>
      </c>
      <c r="K369">
        <v>0</v>
      </c>
      <c r="L369">
        <v>0</v>
      </c>
      <c r="M369">
        <v>0</v>
      </c>
      <c r="N369">
        <v>0</v>
      </c>
      <c r="O369">
        <v>0</v>
      </c>
      <c r="P369">
        <v>0</v>
      </c>
      <c r="Q369" t="str">
        <f>INDEX('Partner data'!A:DH,MATCH(C369,'Partner data'!DG:DG,0),83)</f>
        <v>Soggetto privato</v>
      </c>
      <c r="R369" t="b">
        <f>IF(E369="staff",IF(INDEX('Partner data'!A:DH,MATCH(C369,'Partner data'!DG:DG,0),112)="BL1 non presente","FALSO",INDEX('Partner data'!A:DH,MATCH(C369,'Partner data'!DG:DG,0),112)))</f>
        <v>0</v>
      </c>
      <c r="S369" t="b">
        <f t="shared" si="10"/>
        <v>0</v>
      </c>
      <c r="T369" t="b">
        <f t="shared" si="11"/>
        <v>0</v>
      </c>
      <c r="U369" s="154">
        <f>IFERROR(IF(R369&lt;&gt;FALSE,IF(S369=TRUE,INDEX('SummaryNOT_VALIDATED-BL'!$A$1:$F$16,MATCH(R369,'SummaryNOT_VALIDATED-BL'!$A$1:$A$16,0),6),0),IF(S369=TRUE,INDEX('SummaryNOT_VALIDATED-BL'!$A$1:$F$16,MATCH(E369,'SummaryNOT_VALIDATED-BL'!$A$1:$A$16,0),6),0)),0)</f>
        <v>0</v>
      </c>
      <c r="V369" s="81" cm="1">
        <f t="array" ref="V369">INDEX('Weight tables'!$A$24:$C$27,MATCH(1,(RendicontiTrasmessiBL__2[[#This Row],[Cut percentage on real costs + USC]]&gt;='Weight tables'!$B$24:$B$27)*(RendicontiTrasmessiBL__2[[#This Row],[Cut percentage on real costs + USC]]&lt;='Weight tables'!$C$24:$C$27),0),1)</f>
        <v>0</v>
      </c>
      <c r="W369" s="2">
        <f>RendicontiTrasmessiBL__2[[#This Row],[Weight real costs  + USC ]]</f>
        <v>0</v>
      </c>
    </row>
    <row r="370" spans="1:23" x14ac:dyDescent="0.25">
      <c r="A370" s="1" t="s">
        <v>365</v>
      </c>
      <c r="B370" s="1" t="s">
        <v>369</v>
      </c>
      <c r="C370" s="2">
        <v>264</v>
      </c>
      <c r="D370" s="2">
        <v>270</v>
      </c>
      <c r="E370" s="1" t="s">
        <v>237</v>
      </c>
      <c r="G370">
        <v>0</v>
      </c>
      <c r="H370">
        <v>0</v>
      </c>
      <c r="I370">
        <v>0</v>
      </c>
      <c r="J370">
        <v>0</v>
      </c>
      <c r="K370">
        <v>0</v>
      </c>
      <c r="L370">
        <v>0</v>
      </c>
      <c r="M370">
        <v>0</v>
      </c>
      <c r="N370">
        <v>0</v>
      </c>
      <c r="O370">
        <v>0</v>
      </c>
      <c r="P370">
        <v>0</v>
      </c>
      <c r="Q370" t="str">
        <f>INDEX('Partner data'!A:DH,MATCH(C370,'Partner data'!DG:DG,0),83)</f>
        <v>Soggetto privato</v>
      </c>
      <c r="R370" t="b">
        <f>IF(E370="staff",IF(INDEX('Partner data'!A:DH,MATCH(C370,'Partner data'!DG:DG,0),112)="BL1 non presente","FALSO",INDEX('Partner data'!A:DH,MATCH(C370,'Partner data'!DG:DG,0),112)))</f>
        <v>0</v>
      </c>
      <c r="S370" t="b">
        <f t="shared" si="10"/>
        <v>0</v>
      </c>
      <c r="T370" t="b">
        <f t="shared" si="11"/>
        <v>0</v>
      </c>
      <c r="U370" s="154">
        <f>IFERROR(IF(R370&lt;&gt;FALSE,IF(S370=TRUE,INDEX('SummaryNOT_VALIDATED-BL'!$A$1:$F$16,MATCH(R370,'SummaryNOT_VALIDATED-BL'!$A$1:$A$16,0),6),0),IF(S370=TRUE,INDEX('SummaryNOT_VALIDATED-BL'!$A$1:$F$16,MATCH(E370,'SummaryNOT_VALIDATED-BL'!$A$1:$A$16,0),6),0)),0)</f>
        <v>0</v>
      </c>
      <c r="V370" s="81" cm="1">
        <f t="array" ref="V370">INDEX('Weight tables'!$A$24:$C$27,MATCH(1,(RendicontiTrasmessiBL__2[[#This Row],[Cut percentage on real costs + USC]]&gt;='Weight tables'!$B$24:$B$27)*(RendicontiTrasmessiBL__2[[#This Row],[Cut percentage on real costs + USC]]&lt;='Weight tables'!$C$24:$C$27),0),1)</f>
        <v>0</v>
      </c>
      <c r="W370" s="2">
        <f>RendicontiTrasmessiBL__2[[#This Row],[Weight real costs  + USC ]]</f>
        <v>0</v>
      </c>
    </row>
    <row r="371" spans="1:23" x14ac:dyDescent="0.25">
      <c r="A371" s="1" t="s">
        <v>365</v>
      </c>
      <c r="B371" s="1" t="s">
        <v>370</v>
      </c>
      <c r="C371" s="2">
        <v>249</v>
      </c>
      <c r="D371" s="2">
        <v>299</v>
      </c>
      <c r="E371" s="1" t="s">
        <v>228</v>
      </c>
      <c r="G371">
        <v>113760</v>
      </c>
      <c r="H371">
        <v>0</v>
      </c>
      <c r="I371">
        <v>0</v>
      </c>
      <c r="J371">
        <v>0</v>
      </c>
      <c r="K371">
        <v>0</v>
      </c>
      <c r="L371">
        <v>0</v>
      </c>
      <c r="M371">
        <v>0</v>
      </c>
      <c r="N371">
        <v>0</v>
      </c>
      <c r="O371">
        <v>113760</v>
      </c>
      <c r="P371">
        <v>0</v>
      </c>
      <c r="Q371" t="str">
        <f>INDEX('Partner data'!A:DH,MATCH(C371,'Partner data'!DG:DG,0),83)</f>
        <v>Soggetto pubblico</v>
      </c>
      <c r="R371" t="str">
        <f>IF(E371="staff",IF(INDEX('Partner data'!A:DH,MATCH(C371,'Partner data'!DG:DG,0),112)="BL1 non presente","FALSO",INDEX('Partner data'!A:DH,MATCH(C371,'Partner data'!DG:DG,0),112)))</f>
        <v>COSTO REALE</v>
      </c>
      <c r="S371" t="b">
        <f t="shared" si="10"/>
        <v>0</v>
      </c>
      <c r="T371" t="b">
        <f t="shared" si="11"/>
        <v>1</v>
      </c>
      <c r="U371" s="154">
        <f>IFERROR(IF(R371&lt;&gt;FALSE,IF(S371=TRUE,INDEX('SummaryNOT_VALIDATED-BL'!$A$1:$F$16,MATCH(R371,'SummaryNOT_VALIDATED-BL'!$A$1:$A$16,0),6),0),IF(S371=TRUE,INDEX('SummaryNOT_VALIDATED-BL'!$A$1:$F$16,MATCH(E371,'SummaryNOT_VALIDATED-BL'!$A$1:$A$16,0),6),0)),0)</f>
        <v>0</v>
      </c>
      <c r="V371" s="81" cm="1">
        <f t="array" ref="V371">INDEX('Weight tables'!$A$24:$C$27,MATCH(1,(RendicontiTrasmessiBL__2[[#This Row],[Cut percentage on real costs + USC]]&gt;='Weight tables'!$B$24:$B$27)*(RendicontiTrasmessiBL__2[[#This Row],[Cut percentage on real costs + USC]]&lt;='Weight tables'!$C$24:$C$27),0),1)</f>
        <v>0</v>
      </c>
      <c r="W371" s="2">
        <f>RendicontiTrasmessiBL__2[[#This Row],[Weight real costs  + USC ]]</f>
        <v>0</v>
      </c>
    </row>
    <row r="372" spans="1:23" x14ac:dyDescent="0.25">
      <c r="A372" s="1" t="s">
        <v>365</v>
      </c>
      <c r="B372" s="1" t="s">
        <v>370</v>
      </c>
      <c r="C372" s="2">
        <v>249</v>
      </c>
      <c r="D372" s="2">
        <v>299</v>
      </c>
      <c r="E372" s="1" t="s">
        <v>229</v>
      </c>
      <c r="F372">
        <v>15</v>
      </c>
      <c r="G372">
        <v>17064</v>
      </c>
      <c r="H372">
        <v>0</v>
      </c>
      <c r="I372">
        <v>0</v>
      </c>
      <c r="J372">
        <v>0</v>
      </c>
      <c r="K372">
        <v>0</v>
      </c>
      <c r="L372">
        <v>0</v>
      </c>
      <c r="M372">
        <v>0</v>
      </c>
      <c r="N372">
        <v>0</v>
      </c>
      <c r="O372">
        <v>17064</v>
      </c>
      <c r="P372">
        <v>0</v>
      </c>
      <c r="Q372" t="str">
        <f>INDEX('Partner data'!A:DH,MATCH(C372,'Partner data'!DG:DG,0),83)</f>
        <v>Soggetto pubblico</v>
      </c>
      <c r="R372" t="b">
        <f>IF(E372="staff",IF(INDEX('Partner data'!A:DH,MATCH(C372,'Partner data'!DG:DG,0),112)="BL1 non presente","FALSO",INDEX('Partner data'!A:DH,MATCH(C372,'Partner data'!DG:DG,0),112)))</f>
        <v>0</v>
      </c>
      <c r="S372" t="b">
        <f t="shared" si="10"/>
        <v>0</v>
      </c>
      <c r="T372" t="b">
        <f t="shared" si="11"/>
        <v>1</v>
      </c>
      <c r="U372" s="154">
        <f>IFERROR(IF(R372&lt;&gt;FALSE,IF(S372=TRUE,INDEX('SummaryNOT_VALIDATED-BL'!$A$1:$F$16,MATCH(R372,'SummaryNOT_VALIDATED-BL'!$A$1:$A$16,0),6),0),IF(S372=TRUE,INDEX('SummaryNOT_VALIDATED-BL'!$A$1:$F$16,MATCH(E372,'SummaryNOT_VALIDATED-BL'!$A$1:$A$16,0),6),0)),0)</f>
        <v>0</v>
      </c>
      <c r="V372" s="81" cm="1">
        <f t="array" ref="V372">INDEX('Weight tables'!$A$24:$C$27,MATCH(1,(RendicontiTrasmessiBL__2[[#This Row],[Cut percentage on real costs + USC]]&gt;='Weight tables'!$B$24:$B$27)*(RendicontiTrasmessiBL__2[[#This Row],[Cut percentage on real costs + USC]]&lt;='Weight tables'!$C$24:$C$27),0),1)</f>
        <v>0</v>
      </c>
      <c r="W372" s="2">
        <f>RendicontiTrasmessiBL__2[[#This Row],[Weight real costs  + USC ]]</f>
        <v>0</v>
      </c>
    </row>
    <row r="373" spans="1:23" x14ac:dyDescent="0.25">
      <c r="A373" s="1" t="s">
        <v>365</v>
      </c>
      <c r="B373" s="1" t="s">
        <v>370</v>
      </c>
      <c r="C373" s="2">
        <v>249</v>
      </c>
      <c r="D373" s="2">
        <v>299</v>
      </c>
      <c r="E373" s="1" t="s">
        <v>230</v>
      </c>
      <c r="F373">
        <v>4</v>
      </c>
      <c r="G373">
        <v>4550.3999999999996</v>
      </c>
      <c r="H373">
        <v>0</v>
      </c>
      <c r="I373">
        <v>0</v>
      </c>
      <c r="J373">
        <v>0</v>
      </c>
      <c r="K373">
        <v>0</v>
      </c>
      <c r="L373">
        <v>0</v>
      </c>
      <c r="M373">
        <v>0</v>
      </c>
      <c r="N373">
        <v>0</v>
      </c>
      <c r="O373">
        <v>4550.3999999999996</v>
      </c>
      <c r="P373">
        <v>0</v>
      </c>
      <c r="Q373" t="str">
        <f>INDEX('Partner data'!A:DH,MATCH(C373,'Partner data'!DG:DG,0),83)</f>
        <v>Soggetto pubblico</v>
      </c>
      <c r="R373" t="b">
        <f>IF(E373="staff",IF(INDEX('Partner data'!A:DH,MATCH(C373,'Partner data'!DG:DG,0),112)="BL1 non presente","FALSO",INDEX('Partner data'!A:DH,MATCH(C373,'Partner data'!DG:DG,0),112)))</f>
        <v>0</v>
      </c>
      <c r="S373" t="b">
        <f t="shared" si="10"/>
        <v>0</v>
      </c>
      <c r="T373" t="b">
        <f t="shared" si="11"/>
        <v>1</v>
      </c>
      <c r="U373" s="154">
        <f>IFERROR(IF(R373&lt;&gt;FALSE,IF(S373=TRUE,INDEX('SummaryNOT_VALIDATED-BL'!$A$1:$F$16,MATCH(R373,'SummaryNOT_VALIDATED-BL'!$A$1:$A$16,0),6),0),IF(S373=TRUE,INDEX('SummaryNOT_VALIDATED-BL'!$A$1:$F$16,MATCH(E373,'SummaryNOT_VALIDATED-BL'!$A$1:$A$16,0),6),0)),0)</f>
        <v>0</v>
      </c>
      <c r="V373" s="81" cm="1">
        <f t="array" ref="V373">INDEX('Weight tables'!$A$24:$C$27,MATCH(1,(RendicontiTrasmessiBL__2[[#This Row],[Cut percentage on real costs + USC]]&gt;='Weight tables'!$B$24:$B$27)*(RendicontiTrasmessiBL__2[[#This Row],[Cut percentage on real costs + USC]]&lt;='Weight tables'!$C$24:$C$27),0),1)</f>
        <v>0</v>
      </c>
      <c r="W373" s="2">
        <f>RendicontiTrasmessiBL__2[[#This Row],[Weight real costs  + USC ]]</f>
        <v>0</v>
      </c>
    </row>
    <row r="374" spans="1:23" x14ac:dyDescent="0.25">
      <c r="A374" s="1" t="s">
        <v>365</v>
      </c>
      <c r="B374" s="1" t="s">
        <v>370</v>
      </c>
      <c r="C374" s="2">
        <v>249</v>
      </c>
      <c r="D374" s="2">
        <v>299</v>
      </c>
      <c r="E374" s="1" t="s">
        <v>231</v>
      </c>
      <c r="G374">
        <v>4600</v>
      </c>
      <c r="H374">
        <v>0</v>
      </c>
      <c r="I374">
        <v>0</v>
      </c>
      <c r="J374">
        <v>0</v>
      </c>
      <c r="K374">
        <v>0</v>
      </c>
      <c r="L374">
        <v>0</v>
      </c>
      <c r="M374">
        <v>0</v>
      </c>
      <c r="N374">
        <v>0</v>
      </c>
      <c r="O374">
        <v>4600</v>
      </c>
      <c r="P374">
        <v>0</v>
      </c>
      <c r="Q374" t="str">
        <f>INDEX('Partner data'!A:DH,MATCH(C374,'Partner data'!DG:DG,0),83)</f>
        <v>Soggetto pubblico</v>
      </c>
      <c r="R374" t="b">
        <f>IF(E374="staff",IF(INDEX('Partner data'!A:DH,MATCH(C374,'Partner data'!DG:DG,0),112)="BL1 non presente","FALSO",INDEX('Partner data'!A:DH,MATCH(C374,'Partner data'!DG:DG,0),112)))</f>
        <v>0</v>
      </c>
      <c r="S374" t="b">
        <f t="shared" si="10"/>
        <v>0</v>
      </c>
      <c r="T374" t="b">
        <f t="shared" si="11"/>
        <v>1</v>
      </c>
      <c r="U374" s="154">
        <f>IFERROR(IF(R374&lt;&gt;FALSE,IF(S374=TRUE,INDEX('SummaryNOT_VALIDATED-BL'!$A$1:$F$16,MATCH(R374,'SummaryNOT_VALIDATED-BL'!$A$1:$A$16,0),6),0),IF(S374=TRUE,INDEX('SummaryNOT_VALIDATED-BL'!$A$1:$F$16,MATCH(E374,'SummaryNOT_VALIDATED-BL'!$A$1:$A$16,0),6),0)),0)</f>
        <v>0</v>
      </c>
      <c r="V374" s="81" cm="1">
        <f t="array" ref="V374">INDEX('Weight tables'!$A$24:$C$27,MATCH(1,(RendicontiTrasmessiBL__2[[#This Row],[Cut percentage on real costs + USC]]&gt;='Weight tables'!$B$24:$B$27)*(RendicontiTrasmessiBL__2[[#This Row],[Cut percentage on real costs + USC]]&lt;='Weight tables'!$C$24:$C$27),0),1)</f>
        <v>0</v>
      </c>
      <c r="W374" s="2">
        <f>RendicontiTrasmessiBL__2[[#This Row],[Weight real costs  + USC ]]</f>
        <v>0</v>
      </c>
    </row>
    <row r="375" spans="1:23" x14ac:dyDescent="0.25">
      <c r="A375" s="1" t="s">
        <v>365</v>
      </c>
      <c r="B375" s="1" t="s">
        <v>370</v>
      </c>
      <c r="C375" s="2">
        <v>249</v>
      </c>
      <c r="D375" s="2">
        <v>299</v>
      </c>
      <c r="E375" s="1" t="s">
        <v>232</v>
      </c>
      <c r="G375">
        <v>0</v>
      </c>
      <c r="H375">
        <v>0</v>
      </c>
      <c r="I375">
        <v>0</v>
      </c>
      <c r="J375">
        <v>0</v>
      </c>
      <c r="K375">
        <v>0</v>
      </c>
      <c r="L375">
        <v>0</v>
      </c>
      <c r="M375">
        <v>0</v>
      </c>
      <c r="N375">
        <v>0</v>
      </c>
      <c r="O375">
        <v>0</v>
      </c>
      <c r="P375">
        <v>0</v>
      </c>
      <c r="Q375" t="str">
        <f>INDEX('Partner data'!A:DH,MATCH(C375,'Partner data'!DG:DG,0),83)</f>
        <v>Soggetto pubblico</v>
      </c>
      <c r="R375" t="b">
        <f>IF(E375="staff",IF(INDEX('Partner data'!A:DH,MATCH(C375,'Partner data'!DG:DG,0),112)="BL1 non presente","FALSO",INDEX('Partner data'!A:DH,MATCH(C375,'Partner data'!DG:DG,0),112)))</f>
        <v>0</v>
      </c>
      <c r="S375" t="b">
        <f t="shared" si="10"/>
        <v>0</v>
      </c>
      <c r="T375" t="b">
        <f t="shared" si="11"/>
        <v>1</v>
      </c>
      <c r="U375" s="154">
        <f>IFERROR(IF(R375&lt;&gt;FALSE,IF(S375=TRUE,INDEX('SummaryNOT_VALIDATED-BL'!$A$1:$F$16,MATCH(R375,'SummaryNOT_VALIDATED-BL'!$A$1:$A$16,0),6),0),IF(S375=TRUE,INDEX('SummaryNOT_VALIDATED-BL'!$A$1:$F$16,MATCH(E375,'SummaryNOT_VALIDATED-BL'!$A$1:$A$16,0),6),0)),0)</f>
        <v>0</v>
      </c>
      <c r="V375" s="81" cm="1">
        <f t="array" ref="V375">INDEX('Weight tables'!$A$24:$C$27,MATCH(1,(RendicontiTrasmessiBL__2[[#This Row],[Cut percentage on real costs + USC]]&gt;='Weight tables'!$B$24:$B$27)*(RendicontiTrasmessiBL__2[[#This Row],[Cut percentage on real costs + USC]]&lt;='Weight tables'!$C$24:$C$27),0),1)</f>
        <v>0</v>
      </c>
      <c r="W375" s="2">
        <f>RendicontiTrasmessiBL__2[[#This Row],[Weight real costs  + USC ]]</f>
        <v>0</v>
      </c>
    </row>
    <row r="376" spans="1:23" x14ac:dyDescent="0.25">
      <c r="A376" s="1" t="s">
        <v>365</v>
      </c>
      <c r="B376" s="1" t="s">
        <v>370</v>
      </c>
      <c r="C376" s="2">
        <v>249</v>
      </c>
      <c r="D376" s="2">
        <v>299</v>
      </c>
      <c r="E376" s="1" t="s">
        <v>233</v>
      </c>
      <c r="G376">
        <v>0</v>
      </c>
      <c r="H376">
        <v>0</v>
      </c>
      <c r="I376">
        <v>0</v>
      </c>
      <c r="J376">
        <v>0</v>
      </c>
      <c r="K376">
        <v>0</v>
      </c>
      <c r="L376">
        <v>0</v>
      </c>
      <c r="M376">
        <v>0</v>
      </c>
      <c r="N376">
        <v>0</v>
      </c>
      <c r="O376">
        <v>0</v>
      </c>
      <c r="P376">
        <v>0</v>
      </c>
      <c r="Q376" t="str">
        <f>INDEX('Partner data'!A:DH,MATCH(C376,'Partner data'!DG:DG,0),83)</f>
        <v>Soggetto pubblico</v>
      </c>
      <c r="R376" t="b">
        <f>IF(E376="staff",IF(INDEX('Partner data'!A:DH,MATCH(C376,'Partner data'!DG:DG,0),112)="BL1 non presente","FALSO",INDEX('Partner data'!A:DH,MATCH(C376,'Partner data'!DG:DG,0),112)))</f>
        <v>0</v>
      </c>
      <c r="S376" t="b">
        <f t="shared" si="10"/>
        <v>0</v>
      </c>
      <c r="T376" t="b">
        <f t="shared" si="11"/>
        <v>1</v>
      </c>
      <c r="U376" s="154">
        <f>IFERROR(IF(R376&lt;&gt;FALSE,IF(S376=TRUE,INDEX('SummaryNOT_VALIDATED-BL'!$A$1:$F$16,MATCH(R376,'SummaryNOT_VALIDATED-BL'!$A$1:$A$16,0),6),0),IF(S376=TRUE,INDEX('SummaryNOT_VALIDATED-BL'!$A$1:$F$16,MATCH(E376,'SummaryNOT_VALIDATED-BL'!$A$1:$A$16,0),6),0)),0)</f>
        <v>0</v>
      </c>
      <c r="V376" s="81" cm="1">
        <f t="array" ref="V376">INDEX('Weight tables'!$A$24:$C$27,MATCH(1,(RendicontiTrasmessiBL__2[[#This Row],[Cut percentage on real costs + USC]]&gt;='Weight tables'!$B$24:$B$27)*(RendicontiTrasmessiBL__2[[#This Row],[Cut percentage on real costs + USC]]&lt;='Weight tables'!$C$24:$C$27),0),1)</f>
        <v>0</v>
      </c>
      <c r="W376" s="2">
        <f>RendicontiTrasmessiBL__2[[#This Row],[Weight real costs  + USC ]]</f>
        <v>0</v>
      </c>
    </row>
    <row r="377" spans="1:23" x14ac:dyDescent="0.25">
      <c r="A377" s="1" t="s">
        <v>365</v>
      </c>
      <c r="B377" s="1" t="s">
        <v>370</v>
      </c>
      <c r="C377" s="2">
        <v>249</v>
      </c>
      <c r="D377" s="2">
        <v>299</v>
      </c>
      <c r="E377" s="1" t="s">
        <v>234</v>
      </c>
      <c r="G377">
        <v>0</v>
      </c>
      <c r="H377">
        <v>0</v>
      </c>
      <c r="I377">
        <v>0</v>
      </c>
      <c r="J377">
        <v>0</v>
      </c>
      <c r="K377">
        <v>0</v>
      </c>
      <c r="L377">
        <v>0</v>
      </c>
      <c r="M377">
        <v>0</v>
      </c>
      <c r="N377">
        <v>0</v>
      </c>
      <c r="O377">
        <v>0</v>
      </c>
      <c r="P377">
        <v>0</v>
      </c>
      <c r="Q377" t="str">
        <f>INDEX('Partner data'!A:DH,MATCH(C377,'Partner data'!DG:DG,0),83)</f>
        <v>Soggetto pubblico</v>
      </c>
      <c r="R377" t="b">
        <f>IF(E377="staff",IF(INDEX('Partner data'!A:DH,MATCH(C377,'Partner data'!DG:DG,0),112)="BL1 non presente","FALSO",INDEX('Partner data'!A:DH,MATCH(C377,'Partner data'!DG:DG,0),112)))</f>
        <v>0</v>
      </c>
      <c r="S377" t="b">
        <f t="shared" si="10"/>
        <v>0</v>
      </c>
      <c r="T377" t="b">
        <f t="shared" si="11"/>
        <v>1</v>
      </c>
      <c r="U377" s="154">
        <f>IFERROR(IF(R377&lt;&gt;FALSE,IF(S377=TRUE,INDEX('SummaryNOT_VALIDATED-BL'!$A$1:$F$16,MATCH(R377,'SummaryNOT_VALIDATED-BL'!$A$1:$A$16,0),6),0),IF(S377=TRUE,INDEX('SummaryNOT_VALIDATED-BL'!$A$1:$F$16,MATCH(E377,'SummaryNOT_VALIDATED-BL'!$A$1:$A$16,0),6),0)),0)</f>
        <v>0</v>
      </c>
      <c r="V377" s="81" cm="1">
        <f t="array" ref="V377">INDEX('Weight tables'!$A$24:$C$27,MATCH(1,(RendicontiTrasmessiBL__2[[#This Row],[Cut percentage on real costs + USC]]&gt;='Weight tables'!$B$24:$B$27)*(RendicontiTrasmessiBL__2[[#This Row],[Cut percentage on real costs + USC]]&lt;='Weight tables'!$C$24:$C$27),0),1)</f>
        <v>0</v>
      </c>
      <c r="W377" s="2">
        <f>RendicontiTrasmessiBL__2[[#This Row],[Weight real costs  + USC ]]</f>
        <v>0</v>
      </c>
    </row>
    <row r="378" spans="1:23" x14ac:dyDescent="0.25">
      <c r="A378" s="1" t="s">
        <v>365</v>
      </c>
      <c r="B378" s="1" t="s">
        <v>370</v>
      </c>
      <c r="C378" s="2">
        <v>249</v>
      </c>
      <c r="D378" s="2">
        <v>299</v>
      </c>
      <c r="E378" s="1" t="s">
        <v>236</v>
      </c>
      <c r="G378">
        <v>0</v>
      </c>
      <c r="H378">
        <v>0</v>
      </c>
      <c r="I378">
        <v>0</v>
      </c>
      <c r="J378">
        <v>0</v>
      </c>
      <c r="K378">
        <v>0</v>
      </c>
      <c r="L378">
        <v>0</v>
      </c>
      <c r="M378">
        <v>0</v>
      </c>
      <c r="N378">
        <v>0</v>
      </c>
      <c r="O378">
        <v>0</v>
      </c>
      <c r="P378">
        <v>0</v>
      </c>
      <c r="Q378" t="str">
        <f>INDEX('Partner data'!A:DH,MATCH(C378,'Partner data'!DG:DG,0),83)</f>
        <v>Soggetto pubblico</v>
      </c>
      <c r="R378" t="b">
        <f>IF(E378="staff",IF(INDEX('Partner data'!A:DH,MATCH(C378,'Partner data'!DG:DG,0),112)="BL1 non presente","FALSO",INDEX('Partner data'!A:DH,MATCH(C378,'Partner data'!DG:DG,0),112)))</f>
        <v>0</v>
      </c>
      <c r="S378" t="b">
        <f t="shared" si="10"/>
        <v>0</v>
      </c>
      <c r="T378" t="b">
        <f t="shared" si="11"/>
        <v>1</v>
      </c>
      <c r="U378" s="154">
        <f>IFERROR(IF(R378&lt;&gt;FALSE,IF(S378=TRUE,INDEX('SummaryNOT_VALIDATED-BL'!$A$1:$F$16,MATCH(R378,'SummaryNOT_VALIDATED-BL'!$A$1:$A$16,0),6),0),IF(S378=TRUE,INDEX('SummaryNOT_VALIDATED-BL'!$A$1:$F$16,MATCH(E378,'SummaryNOT_VALIDATED-BL'!$A$1:$A$16,0),6),0)),0)</f>
        <v>0</v>
      </c>
      <c r="V378" s="81" cm="1">
        <f t="array" ref="V378">INDEX('Weight tables'!$A$24:$C$27,MATCH(1,(RendicontiTrasmessiBL__2[[#This Row],[Cut percentage on real costs + USC]]&gt;='Weight tables'!$B$24:$B$27)*(RendicontiTrasmessiBL__2[[#This Row],[Cut percentage on real costs + USC]]&lt;='Weight tables'!$C$24:$C$27),0),1)</f>
        <v>0</v>
      </c>
      <c r="W378" s="2">
        <f>RendicontiTrasmessiBL__2[[#This Row],[Weight real costs  + USC ]]</f>
        <v>0</v>
      </c>
    </row>
    <row r="379" spans="1:23" x14ac:dyDescent="0.25">
      <c r="A379" s="1" t="s">
        <v>365</v>
      </c>
      <c r="B379" s="1" t="s">
        <v>370</v>
      </c>
      <c r="C379" s="2">
        <v>249</v>
      </c>
      <c r="D379" s="2">
        <v>299</v>
      </c>
      <c r="E379" s="1" t="s">
        <v>237</v>
      </c>
      <c r="G379">
        <v>0</v>
      </c>
      <c r="H379">
        <v>0</v>
      </c>
      <c r="I379">
        <v>0</v>
      </c>
      <c r="J379">
        <v>0</v>
      </c>
      <c r="K379">
        <v>0</v>
      </c>
      <c r="L379">
        <v>0</v>
      </c>
      <c r="M379">
        <v>0</v>
      </c>
      <c r="N379">
        <v>0</v>
      </c>
      <c r="O379">
        <v>0</v>
      </c>
      <c r="P379">
        <v>0</v>
      </c>
      <c r="Q379" t="str">
        <f>INDEX('Partner data'!A:DH,MATCH(C379,'Partner data'!DG:DG,0),83)</f>
        <v>Soggetto pubblico</v>
      </c>
      <c r="R379" t="b">
        <f>IF(E379="staff",IF(INDEX('Partner data'!A:DH,MATCH(C379,'Partner data'!DG:DG,0),112)="BL1 non presente","FALSO",INDEX('Partner data'!A:DH,MATCH(C379,'Partner data'!DG:DG,0),112)))</f>
        <v>0</v>
      </c>
      <c r="S379" t="b">
        <f t="shared" si="10"/>
        <v>0</v>
      </c>
      <c r="T379" t="b">
        <f t="shared" si="11"/>
        <v>1</v>
      </c>
      <c r="U379" s="154">
        <f>IFERROR(IF(R379&lt;&gt;FALSE,IF(S379=TRUE,INDEX('SummaryNOT_VALIDATED-BL'!$A$1:$F$16,MATCH(R379,'SummaryNOT_VALIDATED-BL'!$A$1:$A$16,0),6),0),IF(S379=TRUE,INDEX('SummaryNOT_VALIDATED-BL'!$A$1:$F$16,MATCH(E379,'SummaryNOT_VALIDATED-BL'!$A$1:$A$16,0),6),0)),0)</f>
        <v>0</v>
      </c>
      <c r="V379" s="81" cm="1">
        <f t="array" ref="V379">INDEX('Weight tables'!$A$24:$C$27,MATCH(1,(RendicontiTrasmessiBL__2[[#This Row],[Cut percentage on real costs + USC]]&gt;='Weight tables'!$B$24:$B$27)*(RendicontiTrasmessiBL__2[[#This Row],[Cut percentage on real costs + USC]]&lt;='Weight tables'!$C$24:$C$27),0),1)</f>
        <v>0</v>
      </c>
      <c r="W379" s="2">
        <f>RendicontiTrasmessiBL__2[[#This Row],[Weight real costs  + USC ]]</f>
        <v>0</v>
      </c>
    </row>
    <row r="380" spans="1:23" x14ac:dyDescent="0.25">
      <c r="A380" s="1" t="s">
        <v>250</v>
      </c>
      <c r="B380" s="1" t="s">
        <v>252</v>
      </c>
      <c r="C380" s="2">
        <v>29</v>
      </c>
      <c r="D380" s="2">
        <v>323</v>
      </c>
      <c r="E380" s="1" t="s">
        <v>228</v>
      </c>
      <c r="G380">
        <v>60796</v>
      </c>
      <c r="H380">
        <v>0</v>
      </c>
      <c r="I380">
        <v>0</v>
      </c>
      <c r="J380">
        <v>9847</v>
      </c>
      <c r="K380">
        <v>0</v>
      </c>
      <c r="L380">
        <v>0</v>
      </c>
      <c r="M380">
        <v>9847</v>
      </c>
      <c r="N380">
        <v>16.2</v>
      </c>
      <c r="O380">
        <v>50949</v>
      </c>
      <c r="P380">
        <v>0</v>
      </c>
      <c r="Q380" t="str">
        <f>INDEX('Partner data'!A:DH,MATCH(C380,'Partner data'!DG:DG,0),83)</f>
        <v>Soggetto pubblico</v>
      </c>
      <c r="R380" t="str">
        <f>IF(E380="staff",IF(INDEX('Partner data'!A:DH,MATCH(C380,'Partner data'!DG:DG,0),112)="BL1 non presente","FALSO",INDEX('Partner data'!A:DH,MATCH(C380,'Partner data'!DG:DG,0),112)))</f>
        <v>Costo Unitario Standard</v>
      </c>
      <c r="S380" t="b">
        <f t="shared" si="10"/>
        <v>1</v>
      </c>
      <c r="T380" t="b">
        <f t="shared" si="11"/>
        <v>1</v>
      </c>
      <c r="U380" s="154">
        <f>IFERROR(IF(R380&lt;&gt;FALSE,IF(S380=TRUE,INDEX('SummaryNOT_VALIDATED-BL'!$A$1:$F$16,MATCH(R380,'SummaryNOT_VALIDATED-BL'!$A$1:$A$16,0),6),0),IF(S380=TRUE,INDEX('SummaryNOT_VALIDATED-BL'!$A$1:$F$16,MATCH(E380,'SummaryNOT_VALIDATED-BL'!$A$1:$A$16,0),6),0)),0)</f>
        <v>3.2052879635441428E-2</v>
      </c>
      <c r="V380" s="81" cm="1">
        <f t="array" ref="V380">INDEX('Weight tables'!$A$24:$C$27,MATCH(1,(RendicontiTrasmessiBL__2[[#This Row],[Cut percentage on real costs + USC]]&gt;='Weight tables'!$B$24:$B$27)*(RendicontiTrasmessiBL__2[[#This Row],[Cut percentage on real costs + USC]]&lt;='Weight tables'!$C$24:$C$27),0),1)</f>
        <v>2</v>
      </c>
      <c r="W380" s="2">
        <f>RendicontiTrasmessiBL__2[[#This Row],[Weight real costs  + USC ]]</f>
        <v>2</v>
      </c>
    </row>
    <row r="381" spans="1:23" x14ac:dyDescent="0.25">
      <c r="A381" s="1" t="s">
        <v>250</v>
      </c>
      <c r="B381" s="1" t="s">
        <v>252</v>
      </c>
      <c r="C381" s="2">
        <v>29</v>
      </c>
      <c r="D381" s="2">
        <v>323</v>
      </c>
      <c r="E381" s="1" t="s">
        <v>229</v>
      </c>
      <c r="F381">
        <v>15</v>
      </c>
      <c r="G381">
        <v>9119.4</v>
      </c>
      <c r="H381">
        <v>0</v>
      </c>
      <c r="I381">
        <v>0</v>
      </c>
      <c r="J381">
        <v>1477.05</v>
      </c>
      <c r="K381">
        <v>0</v>
      </c>
      <c r="L381">
        <v>0</v>
      </c>
      <c r="M381">
        <v>1477.05</v>
      </c>
      <c r="N381">
        <v>16.2</v>
      </c>
      <c r="O381">
        <v>7642.35</v>
      </c>
      <c r="P381">
        <v>0</v>
      </c>
      <c r="Q381" t="str">
        <f>INDEX('Partner data'!A:DH,MATCH(C381,'Partner data'!DG:DG,0),83)</f>
        <v>Soggetto pubblico</v>
      </c>
      <c r="R381" t="b">
        <f>IF(E381="staff",IF(INDEX('Partner data'!A:DH,MATCH(C381,'Partner data'!DG:DG,0),112)="BL1 non presente","FALSO",INDEX('Partner data'!A:DH,MATCH(C381,'Partner data'!DG:DG,0),112)))</f>
        <v>0</v>
      </c>
      <c r="S381" t="b">
        <f t="shared" si="10"/>
        <v>1</v>
      </c>
      <c r="T381" t="b">
        <f t="shared" si="11"/>
        <v>1</v>
      </c>
      <c r="U381" s="154">
        <f>IFERROR(IF(R381&lt;&gt;FALSE,IF(S381=TRUE,INDEX('SummaryNOT_VALIDATED-BL'!$A$1:$F$16,MATCH(R381,'SummaryNOT_VALIDATED-BL'!$A$1:$A$16,0),6),0),IF(S381=TRUE,INDEX('SummaryNOT_VALIDATED-BL'!$A$1:$F$16,MATCH(E381,'SummaryNOT_VALIDATED-BL'!$A$1:$A$16,0),6),0)),0)</f>
        <v>6.6460469504890221E-2</v>
      </c>
      <c r="V381" s="81" cm="1">
        <f t="array" ref="V381">INDEX('Weight tables'!$A$24:$C$27,MATCH(1,(RendicontiTrasmessiBL__2[[#This Row],[Cut percentage on real costs + USC]]&gt;='Weight tables'!$B$24:$B$27)*(RendicontiTrasmessiBL__2[[#This Row],[Cut percentage on real costs + USC]]&lt;='Weight tables'!$C$24:$C$27),0),1)</f>
        <v>4</v>
      </c>
      <c r="W381" s="2">
        <f>RendicontiTrasmessiBL__2[[#This Row],[Weight real costs  + USC ]]</f>
        <v>4</v>
      </c>
    </row>
    <row r="382" spans="1:23" x14ac:dyDescent="0.25">
      <c r="A382" s="1" t="s">
        <v>250</v>
      </c>
      <c r="B382" s="1" t="s">
        <v>252</v>
      </c>
      <c r="C382" s="2">
        <v>29</v>
      </c>
      <c r="D382" s="2">
        <v>323</v>
      </c>
      <c r="E382" s="1" t="s">
        <v>230</v>
      </c>
      <c r="F382">
        <v>4</v>
      </c>
      <c r="G382">
        <v>2431.84</v>
      </c>
      <c r="H382">
        <v>0</v>
      </c>
      <c r="I382">
        <v>0</v>
      </c>
      <c r="J382">
        <v>393.88</v>
      </c>
      <c r="K382">
        <v>0</v>
      </c>
      <c r="L382">
        <v>0</v>
      </c>
      <c r="M382">
        <v>393.88</v>
      </c>
      <c r="N382">
        <v>16.2</v>
      </c>
      <c r="O382">
        <v>2037.96</v>
      </c>
      <c r="P382">
        <v>0</v>
      </c>
      <c r="Q382" t="str">
        <f>INDEX('Partner data'!A:DH,MATCH(C382,'Partner data'!DG:DG,0),83)</f>
        <v>Soggetto pubblico</v>
      </c>
      <c r="R382" t="b">
        <f>IF(E382="staff",IF(INDEX('Partner data'!A:DH,MATCH(C382,'Partner data'!DG:DG,0),112)="BL1 non presente","FALSO",INDEX('Partner data'!A:DH,MATCH(C382,'Partner data'!DG:DG,0),112)))</f>
        <v>0</v>
      </c>
      <c r="S382" t="b">
        <f t="shared" si="10"/>
        <v>1</v>
      </c>
      <c r="T382" t="b">
        <f t="shared" si="11"/>
        <v>1</v>
      </c>
      <c r="U382" s="154">
        <f>IFERROR(IF(R382&lt;&gt;FALSE,IF(S382=TRUE,INDEX('SummaryNOT_VALIDATED-BL'!$A$1:$F$16,MATCH(R382,'SummaryNOT_VALIDATED-BL'!$A$1:$A$16,0),6),0),IF(S382=TRUE,INDEX('SummaryNOT_VALIDATED-BL'!$A$1:$F$16,MATCH(E382,'SummaryNOT_VALIDATED-BL'!$A$1:$A$16,0),6),0)),0)</f>
        <v>6.3112622236488891E-2</v>
      </c>
      <c r="V382" s="81" cm="1">
        <f t="array" ref="V382">INDEX('Weight tables'!$A$24:$C$27,MATCH(1,(RendicontiTrasmessiBL__2[[#This Row],[Cut percentage on real costs + USC]]&gt;='Weight tables'!$B$24:$B$27)*(RendicontiTrasmessiBL__2[[#This Row],[Cut percentage on real costs + USC]]&lt;='Weight tables'!$C$24:$C$27),0),1)</f>
        <v>4</v>
      </c>
      <c r="W382" s="2">
        <f>RendicontiTrasmessiBL__2[[#This Row],[Weight real costs  + USC ]]</f>
        <v>4</v>
      </c>
    </row>
    <row r="383" spans="1:23" x14ac:dyDescent="0.25">
      <c r="A383" s="1" t="s">
        <v>250</v>
      </c>
      <c r="B383" s="1" t="s">
        <v>252</v>
      </c>
      <c r="C383" s="2">
        <v>29</v>
      </c>
      <c r="D383" s="2">
        <v>323</v>
      </c>
      <c r="E383" s="1" t="s">
        <v>231</v>
      </c>
      <c r="G383">
        <v>6804.16</v>
      </c>
      <c r="H383">
        <v>0</v>
      </c>
      <c r="I383">
        <v>0</v>
      </c>
      <c r="J383">
        <v>0</v>
      </c>
      <c r="K383">
        <v>0</v>
      </c>
      <c r="L383">
        <v>0</v>
      </c>
      <c r="M383">
        <v>0</v>
      </c>
      <c r="N383">
        <v>0</v>
      </c>
      <c r="O383">
        <v>6804.16</v>
      </c>
      <c r="P383">
        <v>0</v>
      </c>
      <c r="Q383" t="str">
        <f>INDEX('Partner data'!A:DH,MATCH(C383,'Partner data'!DG:DG,0),83)</f>
        <v>Soggetto pubblico</v>
      </c>
      <c r="R383" t="b">
        <f>IF(E383="staff",IF(INDEX('Partner data'!A:DH,MATCH(C383,'Partner data'!DG:DG,0),112)="BL1 non presente","FALSO",INDEX('Partner data'!A:DH,MATCH(C383,'Partner data'!DG:DG,0),112)))</f>
        <v>0</v>
      </c>
      <c r="S383" t="b">
        <f t="shared" si="10"/>
        <v>0</v>
      </c>
      <c r="T383" t="b">
        <f t="shared" si="11"/>
        <v>1</v>
      </c>
      <c r="U383" s="154">
        <f>IFERROR(IF(R383&lt;&gt;FALSE,IF(S383=TRUE,INDEX('SummaryNOT_VALIDATED-BL'!$A$1:$F$16,MATCH(R383,'SummaryNOT_VALIDATED-BL'!$A$1:$A$16,0),6),0),IF(S383=TRUE,INDEX('SummaryNOT_VALIDATED-BL'!$A$1:$F$16,MATCH(E383,'SummaryNOT_VALIDATED-BL'!$A$1:$A$16,0),6),0)),0)</f>
        <v>0</v>
      </c>
      <c r="V383" s="81" cm="1">
        <f t="array" ref="V383">INDEX('Weight tables'!$A$24:$C$27,MATCH(1,(RendicontiTrasmessiBL__2[[#This Row],[Cut percentage on real costs + USC]]&gt;='Weight tables'!$B$24:$B$27)*(RendicontiTrasmessiBL__2[[#This Row],[Cut percentage on real costs + USC]]&lt;='Weight tables'!$C$24:$C$27),0),1)</f>
        <v>0</v>
      </c>
      <c r="W383" s="2">
        <f>RendicontiTrasmessiBL__2[[#This Row],[Weight real costs  + USC ]]</f>
        <v>0</v>
      </c>
    </row>
    <row r="384" spans="1:23" x14ac:dyDescent="0.25">
      <c r="A384" s="1" t="s">
        <v>250</v>
      </c>
      <c r="B384" s="1" t="s">
        <v>252</v>
      </c>
      <c r="C384" s="2">
        <v>29</v>
      </c>
      <c r="D384" s="2">
        <v>323</v>
      </c>
      <c r="E384" s="1" t="s">
        <v>232</v>
      </c>
      <c r="G384">
        <v>1000</v>
      </c>
      <c r="H384">
        <v>0</v>
      </c>
      <c r="I384">
        <v>0</v>
      </c>
      <c r="J384">
        <v>0</v>
      </c>
      <c r="K384">
        <v>0</v>
      </c>
      <c r="L384">
        <v>0</v>
      </c>
      <c r="M384">
        <v>0</v>
      </c>
      <c r="N384">
        <v>0</v>
      </c>
      <c r="O384">
        <v>1000</v>
      </c>
      <c r="P384">
        <v>0</v>
      </c>
      <c r="Q384" t="str">
        <f>INDEX('Partner data'!A:DH,MATCH(C384,'Partner data'!DG:DG,0),83)</f>
        <v>Soggetto pubblico</v>
      </c>
      <c r="R384" t="b">
        <f>IF(E384="staff",IF(INDEX('Partner data'!A:DH,MATCH(C384,'Partner data'!DG:DG,0),112)="BL1 non presente","FALSO",INDEX('Partner data'!A:DH,MATCH(C384,'Partner data'!DG:DG,0),112)))</f>
        <v>0</v>
      </c>
      <c r="S384" t="b">
        <f t="shared" si="10"/>
        <v>0</v>
      </c>
      <c r="T384" t="b">
        <f t="shared" si="11"/>
        <v>1</v>
      </c>
      <c r="U384" s="154">
        <f>IFERROR(IF(R384&lt;&gt;FALSE,IF(S384=TRUE,INDEX('SummaryNOT_VALIDATED-BL'!$A$1:$F$16,MATCH(R384,'SummaryNOT_VALIDATED-BL'!$A$1:$A$16,0),6),0),IF(S384=TRUE,INDEX('SummaryNOT_VALIDATED-BL'!$A$1:$F$16,MATCH(E384,'SummaryNOT_VALIDATED-BL'!$A$1:$A$16,0),6),0)),0)</f>
        <v>0</v>
      </c>
      <c r="V384" s="81" cm="1">
        <f t="array" ref="V384">INDEX('Weight tables'!$A$24:$C$27,MATCH(1,(RendicontiTrasmessiBL__2[[#This Row],[Cut percentage on real costs + USC]]&gt;='Weight tables'!$B$24:$B$27)*(RendicontiTrasmessiBL__2[[#This Row],[Cut percentage on real costs + USC]]&lt;='Weight tables'!$C$24:$C$27),0),1)</f>
        <v>0</v>
      </c>
      <c r="W384" s="2">
        <f>RendicontiTrasmessiBL__2[[#This Row],[Weight real costs  + USC ]]</f>
        <v>0</v>
      </c>
    </row>
    <row r="385" spans="1:23" x14ac:dyDescent="0.25">
      <c r="A385" s="1" t="s">
        <v>250</v>
      </c>
      <c r="B385" s="1" t="s">
        <v>252</v>
      </c>
      <c r="C385" s="2">
        <v>29</v>
      </c>
      <c r="D385" s="2">
        <v>323</v>
      </c>
      <c r="E385" s="1" t="s">
        <v>233</v>
      </c>
      <c r="G385">
        <v>0</v>
      </c>
      <c r="H385">
        <v>0</v>
      </c>
      <c r="I385">
        <v>0</v>
      </c>
      <c r="J385">
        <v>0</v>
      </c>
      <c r="K385">
        <v>0</v>
      </c>
      <c r="L385">
        <v>0</v>
      </c>
      <c r="M385">
        <v>0</v>
      </c>
      <c r="N385">
        <v>0</v>
      </c>
      <c r="O385">
        <v>0</v>
      </c>
      <c r="P385">
        <v>0</v>
      </c>
      <c r="Q385" t="str">
        <f>INDEX('Partner data'!A:DH,MATCH(C385,'Partner data'!DG:DG,0),83)</f>
        <v>Soggetto pubblico</v>
      </c>
      <c r="R385" t="b">
        <f>IF(E385="staff",IF(INDEX('Partner data'!A:DH,MATCH(C385,'Partner data'!DG:DG,0),112)="BL1 non presente","FALSO",INDEX('Partner data'!A:DH,MATCH(C385,'Partner data'!DG:DG,0),112)))</f>
        <v>0</v>
      </c>
      <c r="S385" t="b">
        <f t="shared" si="10"/>
        <v>0</v>
      </c>
      <c r="T385" t="b">
        <f t="shared" si="11"/>
        <v>1</v>
      </c>
      <c r="U385" s="154">
        <f>IFERROR(IF(R385&lt;&gt;FALSE,IF(S385=TRUE,INDEX('SummaryNOT_VALIDATED-BL'!$A$1:$F$16,MATCH(R385,'SummaryNOT_VALIDATED-BL'!$A$1:$A$16,0),6),0),IF(S385=TRUE,INDEX('SummaryNOT_VALIDATED-BL'!$A$1:$F$16,MATCH(E385,'SummaryNOT_VALIDATED-BL'!$A$1:$A$16,0),6),0)),0)</f>
        <v>0</v>
      </c>
      <c r="V385" s="81" cm="1">
        <f t="array" ref="V385">INDEX('Weight tables'!$A$24:$C$27,MATCH(1,(RendicontiTrasmessiBL__2[[#This Row],[Cut percentage on real costs + USC]]&gt;='Weight tables'!$B$24:$B$27)*(RendicontiTrasmessiBL__2[[#This Row],[Cut percentage on real costs + USC]]&lt;='Weight tables'!$C$24:$C$27),0),1)</f>
        <v>0</v>
      </c>
      <c r="W385" s="2">
        <f>RendicontiTrasmessiBL__2[[#This Row],[Weight real costs  + USC ]]</f>
        <v>0</v>
      </c>
    </row>
    <row r="386" spans="1:23" x14ac:dyDescent="0.25">
      <c r="A386" s="1" t="s">
        <v>250</v>
      </c>
      <c r="B386" s="1" t="s">
        <v>252</v>
      </c>
      <c r="C386" s="2">
        <v>29</v>
      </c>
      <c r="D386" s="2">
        <v>323</v>
      </c>
      <c r="E386" s="1" t="s">
        <v>234</v>
      </c>
      <c r="G386">
        <v>0</v>
      </c>
      <c r="H386">
        <v>0</v>
      </c>
      <c r="I386">
        <v>0</v>
      </c>
      <c r="J386">
        <v>0</v>
      </c>
      <c r="K386">
        <v>0</v>
      </c>
      <c r="L386">
        <v>0</v>
      </c>
      <c r="M386">
        <v>0</v>
      </c>
      <c r="N386">
        <v>0</v>
      </c>
      <c r="O386">
        <v>0</v>
      </c>
      <c r="P386">
        <v>0</v>
      </c>
      <c r="Q386" t="str">
        <f>INDEX('Partner data'!A:DH,MATCH(C386,'Partner data'!DG:DG,0),83)</f>
        <v>Soggetto pubblico</v>
      </c>
      <c r="R386" t="b">
        <f>IF(E386="staff",IF(INDEX('Partner data'!A:DH,MATCH(C386,'Partner data'!DG:DG,0),112)="BL1 non presente","FALSO",INDEX('Partner data'!A:DH,MATCH(C386,'Partner data'!DG:DG,0),112)))</f>
        <v>0</v>
      </c>
      <c r="S386" t="b">
        <f t="shared" ref="S386:S449" si="12">IF(J386&lt;&gt;0,TRUE,FALSE)</f>
        <v>0</v>
      </c>
      <c r="T386" t="b">
        <f t="shared" ref="T386:T449" si="13">OR(Q386="Soggetto pubblico",Q386="Organismo di diritto pubblico ")</f>
        <v>1</v>
      </c>
      <c r="U386" s="154">
        <f>IFERROR(IF(R386&lt;&gt;FALSE,IF(S386=TRUE,INDEX('SummaryNOT_VALIDATED-BL'!$A$1:$F$16,MATCH(R386,'SummaryNOT_VALIDATED-BL'!$A$1:$A$16,0),6),0),IF(S386=TRUE,INDEX('SummaryNOT_VALIDATED-BL'!$A$1:$F$16,MATCH(E386,'SummaryNOT_VALIDATED-BL'!$A$1:$A$16,0),6),0)),0)</f>
        <v>0</v>
      </c>
      <c r="V386" s="81" cm="1">
        <f t="array" ref="V386">INDEX('Weight tables'!$A$24:$C$27,MATCH(1,(RendicontiTrasmessiBL__2[[#This Row],[Cut percentage on real costs + USC]]&gt;='Weight tables'!$B$24:$B$27)*(RendicontiTrasmessiBL__2[[#This Row],[Cut percentage on real costs + USC]]&lt;='Weight tables'!$C$24:$C$27),0),1)</f>
        <v>0</v>
      </c>
      <c r="W386" s="2">
        <f>RendicontiTrasmessiBL__2[[#This Row],[Weight real costs  + USC ]]</f>
        <v>0</v>
      </c>
    </row>
    <row r="387" spans="1:23" x14ac:dyDescent="0.25">
      <c r="A387" s="1" t="s">
        <v>250</v>
      </c>
      <c r="B387" s="1" t="s">
        <v>252</v>
      </c>
      <c r="C387" s="2">
        <v>29</v>
      </c>
      <c r="D387" s="2">
        <v>323</v>
      </c>
      <c r="E387" s="1" t="s">
        <v>236</v>
      </c>
      <c r="G387">
        <v>0</v>
      </c>
      <c r="H387">
        <v>0</v>
      </c>
      <c r="I387">
        <v>0</v>
      </c>
      <c r="J387">
        <v>0</v>
      </c>
      <c r="K387">
        <v>0</v>
      </c>
      <c r="L387">
        <v>0</v>
      </c>
      <c r="M387">
        <v>0</v>
      </c>
      <c r="N387">
        <v>0</v>
      </c>
      <c r="O387">
        <v>0</v>
      </c>
      <c r="P387">
        <v>0</v>
      </c>
      <c r="Q387" t="str">
        <f>INDEX('Partner data'!A:DH,MATCH(C387,'Partner data'!DG:DG,0),83)</f>
        <v>Soggetto pubblico</v>
      </c>
      <c r="R387" t="b">
        <f>IF(E387="staff",IF(INDEX('Partner data'!A:DH,MATCH(C387,'Partner data'!DG:DG,0),112)="BL1 non presente","FALSO",INDEX('Partner data'!A:DH,MATCH(C387,'Partner data'!DG:DG,0),112)))</f>
        <v>0</v>
      </c>
      <c r="S387" t="b">
        <f t="shared" si="12"/>
        <v>0</v>
      </c>
      <c r="T387" t="b">
        <f t="shared" si="13"/>
        <v>1</v>
      </c>
      <c r="U387" s="154">
        <f>IFERROR(IF(R387&lt;&gt;FALSE,IF(S387=TRUE,INDEX('SummaryNOT_VALIDATED-BL'!$A$1:$F$16,MATCH(R387,'SummaryNOT_VALIDATED-BL'!$A$1:$A$16,0),6),0),IF(S387=TRUE,INDEX('SummaryNOT_VALIDATED-BL'!$A$1:$F$16,MATCH(E387,'SummaryNOT_VALIDATED-BL'!$A$1:$A$16,0),6),0)),0)</f>
        <v>0</v>
      </c>
      <c r="V387" s="81" cm="1">
        <f t="array" ref="V387">INDEX('Weight tables'!$A$24:$C$27,MATCH(1,(RendicontiTrasmessiBL__2[[#This Row],[Cut percentage on real costs + USC]]&gt;='Weight tables'!$B$24:$B$27)*(RendicontiTrasmessiBL__2[[#This Row],[Cut percentage on real costs + USC]]&lt;='Weight tables'!$C$24:$C$27),0),1)</f>
        <v>0</v>
      </c>
      <c r="W387" s="2">
        <f>RendicontiTrasmessiBL__2[[#This Row],[Weight real costs  + USC ]]</f>
        <v>0</v>
      </c>
    </row>
    <row r="388" spans="1:23" x14ac:dyDescent="0.25">
      <c r="A388" s="1" t="s">
        <v>250</v>
      </c>
      <c r="B388" s="1" t="s">
        <v>252</v>
      </c>
      <c r="C388" s="2">
        <v>29</v>
      </c>
      <c r="D388" s="2">
        <v>323</v>
      </c>
      <c r="E388" s="1" t="s">
        <v>237</v>
      </c>
      <c r="G388">
        <v>0</v>
      </c>
      <c r="H388">
        <v>0</v>
      </c>
      <c r="I388">
        <v>0</v>
      </c>
      <c r="J388">
        <v>0</v>
      </c>
      <c r="K388">
        <v>0</v>
      </c>
      <c r="L388">
        <v>0</v>
      </c>
      <c r="M388">
        <v>0</v>
      </c>
      <c r="N388">
        <v>0</v>
      </c>
      <c r="O388">
        <v>0</v>
      </c>
      <c r="P388">
        <v>0</v>
      </c>
      <c r="Q388" t="str">
        <f>INDEX('Partner data'!A:DH,MATCH(C388,'Partner data'!DG:DG,0),83)</f>
        <v>Soggetto pubblico</v>
      </c>
      <c r="R388" t="b">
        <f>IF(E388="staff",IF(INDEX('Partner data'!A:DH,MATCH(C388,'Partner data'!DG:DG,0),112)="BL1 non presente","FALSO",INDEX('Partner data'!A:DH,MATCH(C388,'Partner data'!DG:DG,0),112)))</f>
        <v>0</v>
      </c>
      <c r="S388" t="b">
        <f t="shared" si="12"/>
        <v>0</v>
      </c>
      <c r="T388" t="b">
        <f t="shared" si="13"/>
        <v>1</v>
      </c>
      <c r="U388" s="154">
        <f>IFERROR(IF(R388&lt;&gt;FALSE,IF(S388=TRUE,INDEX('SummaryNOT_VALIDATED-BL'!$A$1:$F$16,MATCH(R388,'SummaryNOT_VALIDATED-BL'!$A$1:$A$16,0),6),0),IF(S388=TRUE,INDEX('SummaryNOT_VALIDATED-BL'!$A$1:$F$16,MATCH(E388,'SummaryNOT_VALIDATED-BL'!$A$1:$A$16,0),6),0)),0)</f>
        <v>0</v>
      </c>
      <c r="V388" s="81" cm="1">
        <f t="array" ref="V388">INDEX('Weight tables'!$A$24:$C$27,MATCH(1,(RendicontiTrasmessiBL__2[[#This Row],[Cut percentage on real costs + USC]]&gt;='Weight tables'!$B$24:$B$27)*(RendicontiTrasmessiBL__2[[#This Row],[Cut percentage on real costs + USC]]&lt;='Weight tables'!$C$24:$C$27),0),1)</f>
        <v>0</v>
      </c>
      <c r="W388" s="2">
        <f>RendicontiTrasmessiBL__2[[#This Row],[Weight real costs  + USC ]]</f>
        <v>0</v>
      </c>
    </row>
    <row r="389" spans="1:23" x14ac:dyDescent="0.25">
      <c r="A389" s="1" t="s">
        <v>250</v>
      </c>
      <c r="B389" s="1" t="s">
        <v>256</v>
      </c>
      <c r="C389" s="2">
        <v>31</v>
      </c>
      <c r="D389" s="2">
        <v>250</v>
      </c>
      <c r="E389" s="1" t="s">
        <v>228</v>
      </c>
      <c r="G389">
        <v>108880</v>
      </c>
      <c r="H389">
        <v>0</v>
      </c>
      <c r="I389">
        <v>0</v>
      </c>
      <c r="J389">
        <v>33882.78</v>
      </c>
      <c r="K389">
        <v>0</v>
      </c>
      <c r="L389">
        <v>0</v>
      </c>
      <c r="M389">
        <v>33882.78</v>
      </c>
      <c r="N389">
        <v>31.12</v>
      </c>
      <c r="O389">
        <v>74997.22</v>
      </c>
      <c r="P389">
        <v>0</v>
      </c>
      <c r="Q389" t="str">
        <f>INDEX('Partner data'!A:DH,MATCH(C389,'Partner data'!DG:DG,0),83)</f>
        <v>Soggetto privato</v>
      </c>
      <c r="R389" t="str">
        <f>IF(E389="staff",IF(INDEX('Partner data'!A:DH,MATCH(C389,'Partner data'!DG:DG,0),112)="BL1 non presente","FALSO",INDEX('Partner data'!A:DH,MATCH(C389,'Partner data'!DG:DG,0),112)))</f>
        <v>COSTO REALE</v>
      </c>
      <c r="S389" t="b">
        <f t="shared" si="12"/>
        <v>1</v>
      </c>
      <c r="T389" t="b">
        <f t="shared" si="13"/>
        <v>0</v>
      </c>
      <c r="U389" s="154">
        <f>IFERROR(IF(R389&lt;&gt;FALSE,IF(S389=TRUE,INDEX('SummaryNOT_VALIDATED-BL'!$A$1:$F$16,MATCH(R389,'SummaryNOT_VALIDATED-BL'!$A$1:$A$16,0),6),0),IF(S389=TRUE,INDEX('SummaryNOT_VALIDATED-BL'!$A$1:$F$16,MATCH(E389,'SummaryNOT_VALIDATED-BL'!$A$1:$A$16,0),6),0)),0)</f>
        <v>9.1604133276901048E-2</v>
      </c>
      <c r="V389" s="81" cm="1">
        <f t="array" ref="V389">INDEX('Weight tables'!$A$24:$C$27,MATCH(1,(RendicontiTrasmessiBL__2[[#This Row],[Cut percentage on real costs + USC]]&gt;='Weight tables'!$B$24:$B$27)*(RendicontiTrasmessiBL__2[[#This Row],[Cut percentage on real costs + USC]]&lt;='Weight tables'!$C$24:$C$27),0),1)</f>
        <v>4</v>
      </c>
      <c r="W389" s="2">
        <f>RendicontiTrasmessiBL__2[[#This Row],[Weight real costs  + USC ]]</f>
        <v>4</v>
      </c>
    </row>
    <row r="390" spans="1:23" x14ac:dyDescent="0.25">
      <c r="A390" s="1" t="s">
        <v>250</v>
      </c>
      <c r="B390" s="1" t="s">
        <v>256</v>
      </c>
      <c r="C390" s="2">
        <v>31</v>
      </c>
      <c r="D390" s="2">
        <v>250</v>
      </c>
      <c r="E390" s="1" t="s">
        <v>229</v>
      </c>
      <c r="F390">
        <v>15</v>
      </c>
      <c r="G390">
        <v>16332</v>
      </c>
      <c r="H390">
        <v>0</v>
      </c>
      <c r="I390">
        <v>0</v>
      </c>
      <c r="J390">
        <v>5082.41</v>
      </c>
      <c r="K390">
        <v>0</v>
      </c>
      <c r="L390">
        <v>0</v>
      </c>
      <c r="M390">
        <v>5082.41</v>
      </c>
      <c r="N390">
        <v>31.12</v>
      </c>
      <c r="O390">
        <v>11249.59</v>
      </c>
      <c r="P390">
        <v>0</v>
      </c>
      <c r="Q390" t="str">
        <f>INDEX('Partner data'!A:DH,MATCH(C390,'Partner data'!DG:DG,0),83)</f>
        <v>Soggetto privato</v>
      </c>
      <c r="R390" t="b">
        <f>IF(E390="staff",IF(INDEX('Partner data'!A:DH,MATCH(C390,'Partner data'!DG:DG,0),112)="BL1 non presente","FALSO",INDEX('Partner data'!A:DH,MATCH(C390,'Partner data'!DG:DG,0),112)))</f>
        <v>0</v>
      </c>
      <c r="S390" t="b">
        <f t="shared" si="12"/>
        <v>1</v>
      </c>
      <c r="T390" t="b">
        <f t="shared" si="13"/>
        <v>0</v>
      </c>
      <c r="U390" s="154">
        <f>IFERROR(IF(R390&lt;&gt;FALSE,IF(S390=TRUE,INDEX('SummaryNOT_VALIDATED-BL'!$A$1:$F$16,MATCH(R390,'SummaryNOT_VALIDATED-BL'!$A$1:$A$16,0),6),0),IF(S390=TRUE,INDEX('SummaryNOT_VALIDATED-BL'!$A$1:$F$16,MATCH(E390,'SummaryNOT_VALIDATED-BL'!$A$1:$A$16,0),6),0)),0)</f>
        <v>6.6460469504890221E-2</v>
      </c>
      <c r="V390" s="81" cm="1">
        <f t="array" ref="V390">INDEX('Weight tables'!$A$24:$C$27,MATCH(1,(RendicontiTrasmessiBL__2[[#This Row],[Cut percentage on real costs + USC]]&gt;='Weight tables'!$B$24:$B$27)*(RendicontiTrasmessiBL__2[[#This Row],[Cut percentage on real costs + USC]]&lt;='Weight tables'!$C$24:$C$27),0),1)</f>
        <v>4</v>
      </c>
      <c r="W390" s="2">
        <f>RendicontiTrasmessiBL__2[[#This Row],[Weight real costs  + USC ]]</f>
        <v>4</v>
      </c>
    </row>
    <row r="391" spans="1:23" x14ac:dyDescent="0.25">
      <c r="A391" s="1" t="s">
        <v>250</v>
      </c>
      <c r="B391" s="1" t="s">
        <v>256</v>
      </c>
      <c r="C391" s="2">
        <v>31</v>
      </c>
      <c r="D391" s="2">
        <v>250</v>
      </c>
      <c r="E391" s="1" t="s">
        <v>230</v>
      </c>
      <c r="F391">
        <v>4</v>
      </c>
      <c r="G391">
        <v>4355.2</v>
      </c>
      <c r="H391">
        <v>0</v>
      </c>
      <c r="I391">
        <v>0</v>
      </c>
      <c r="J391">
        <v>1355.31</v>
      </c>
      <c r="K391">
        <v>0</v>
      </c>
      <c r="L391">
        <v>0</v>
      </c>
      <c r="M391">
        <v>1355.31</v>
      </c>
      <c r="N391">
        <v>31.12</v>
      </c>
      <c r="O391">
        <v>2999.89</v>
      </c>
      <c r="P391">
        <v>0</v>
      </c>
      <c r="Q391" t="str">
        <f>INDEX('Partner data'!A:DH,MATCH(C391,'Partner data'!DG:DG,0),83)</f>
        <v>Soggetto privato</v>
      </c>
      <c r="R391" t="b">
        <f>IF(E391="staff",IF(INDEX('Partner data'!A:DH,MATCH(C391,'Partner data'!DG:DG,0),112)="BL1 non presente","FALSO",INDEX('Partner data'!A:DH,MATCH(C391,'Partner data'!DG:DG,0),112)))</f>
        <v>0</v>
      </c>
      <c r="S391" t="b">
        <f t="shared" si="12"/>
        <v>1</v>
      </c>
      <c r="T391" t="b">
        <f t="shared" si="13"/>
        <v>0</v>
      </c>
      <c r="U391" s="154">
        <f>IFERROR(IF(R391&lt;&gt;FALSE,IF(S391=TRUE,INDEX('SummaryNOT_VALIDATED-BL'!$A$1:$F$16,MATCH(R391,'SummaryNOT_VALIDATED-BL'!$A$1:$A$16,0),6),0),IF(S391=TRUE,INDEX('SummaryNOT_VALIDATED-BL'!$A$1:$F$16,MATCH(E391,'SummaryNOT_VALIDATED-BL'!$A$1:$A$16,0),6),0)),0)</f>
        <v>6.3112622236488891E-2</v>
      </c>
      <c r="V391" s="81" cm="1">
        <f t="array" ref="V391">INDEX('Weight tables'!$A$24:$C$27,MATCH(1,(RendicontiTrasmessiBL__2[[#This Row],[Cut percentage on real costs + USC]]&gt;='Weight tables'!$B$24:$B$27)*(RendicontiTrasmessiBL__2[[#This Row],[Cut percentage on real costs + USC]]&lt;='Weight tables'!$C$24:$C$27),0),1)</f>
        <v>4</v>
      </c>
      <c r="W391" s="2">
        <f>RendicontiTrasmessiBL__2[[#This Row],[Weight real costs  + USC ]]</f>
        <v>4</v>
      </c>
    </row>
    <row r="392" spans="1:23" x14ac:dyDescent="0.25">
      <c r="A392" s="1" t="s">
        <v>250</v>
      </c>
      <c r="B392" s="1" t="s">
        <v>256</v>
      </c>
      <c r="C392" s="2">
        <v>31</v>
      </c>
      <c r="D392" s="2">
        <v>250</v>
      </c>
      <c r="E392" s="1" t="s">
        <v>231</v>
      </c>
      <c r="G392">
        <v>19500</v>
      </c>
      <c r="H392">
        <v>0</v>
      </c>
      <c r="I392">
        <v>0</v>
      </c>
      <c r="J392">
        <v>0</v>
      </c>
      <c r="K392">
        <v>0</v>
      </c>
      <c r="L392">
        <v>0</v>
      </c>
      <c r="M392">
        <v>0</v>
      </c>
      <c r="N392">
        <v>0</v>
      </c>
      <c r="O392">
        <v>19500</v>
      </c>
      <c r="P392">
        <v>0</v>
      </c>
      <c r="Q392" t="str">
        <f>INDEX('Partner data'!A:DH,MATCH(C392,'Partner data'!DG:DG,0),83)</f>
        <v>Soggetto privato</v>
      </c>
      <c r="R392" t="b">
        <f>IF(E392="staff",IF(INDEX('Partner data'!A:DH,MATCH(C392,'Partner data'!DG:DG,0),112)="BL1 non presente","FALSO",INDEX('Partner data'!A:DH,MATCH(C392,'Partner data'!DG:DG,0),112)))</f>
        <v>0</v>
      </c>
      <c r="S392" t="b">
        <f t="shared" si="12"/>
        <v>0</v>
      </c>
      <c r="T392" t="b">
        <f t="shared" si="13"/>
        <v>0</v>
      </c>
      <c r="U392" s="154">
        <f>IFERROR(IF(R392&lt;&gt;FALSE,IF(S392=TRUE,INDEX('SummaryNOT_VALIDATED-BL'!$A$1:$F$16,MATCH(R392,'SummaryNOT_VALIDATED-BL'!$A$1:$A$16,0),6),0),IF(S392=TRUE,INDEX('SummaryNOT_VALIDATED-BL'!$A$1:$F$16,MATCH(E392,'SummaryNOT_VALIDATED-BL'!$A$1:$A$16,0),6),0)),0)</f>
        <v>0</v>
      </c>
      <c r="V392" s="81" cm="1">
        <f t="array" ref="V392">INDEX('Weight tables'!$A$24:$C$27,MATCH(1,(RendicontiTrasmessiBL__2[[#This Row],[Cut percentage on real costs + USC]]&gt;='Weight tables'!$B$24:$B$27)*(RendicontiTrasmessiBL__2[[#This Row],[Cut percentage on real costs + USC]]&lt;='Weight tables'!$C$24:$C$27),0),1)</f>
        <v>0</v>
      </c>
      <c r="W392" s="2">
        <f>RendicontiTrasmessiBL__2[[#This Row],[Weight real costs  + USC ]]</f>
        <v>0</v>
      </c>
    </row>
    <row r="393" spans="1:23" x14ac:dyDescent="0.25">
      <c r="A393" s="1" t="s">
        <v>250</v>
      </c>
      <c r="B393" s="1" t="s">
        <v>256</v>
      </c>
      <c r="C393" s="2">
        <v>31</v>
      </c>
      <c r="D393" s="2">
        <v>250</v>
      </c>
      <c r="E393" s="1" t="s">
        <v>232</v>
      </c>
      <c r="G393">
        <v>0</v>
      </c>
      <c r="H393">
        <v>0</v>
      </c>
      <c r="I393">
        <v>0</v>
      </c>
      <c r="J393">
        <v>0</v>
      </c>
      <c r="K393">
        <v>0</v>
      </c>
      <c r="L393">
        <v>0</v>
      </c>
      <c r="M393">
        <v>0</v>
      </c>
      <c r="N393">
        <v>0</v>
      </c>
      <c r="O393">
        <v>0</v>
      </c>
      <c r="P393">
        <v>0</v>
      </c>
      <c r="Q393" t="str">
        <f>INDEX('Partner data'!A:DH,MATCH(C393,'Partner data'!DG:DG,0),83)</f>
        <v>Soggetto privato</v>
      </c>
      <c r="R393" t="b">
        <f>IF(E393="staff",IF(INDEX('Partner data'!A:DH,MATCH(C393,'Partner data'!DG:DG,0),112)="BL1 non presente","FALSO",INDEX('Partner data'!A:DH,MATCH(C393,'Partner data'!DG:DG,0),112)))</f>
        <v>0</v>
      </c>
      <c r="S393" t="b">
        <f t="shared" si="12"/>
        <v>0</v>
      </c>
      <c r="T393" t="b">
        <f t="shared" si="13"/>
        <v>0</v>
      </c>
      <c r="U393" s="154">
        <f>IFERROR(IF(R393&lt;&gt;FALSE,IF(S393=TRUE,INDEX('SummaryNOT_VALIDATED-BL'!$A$1:$F$16,MATCH(R393,'SummaryNOT_VALIDATED-BL'!$A$1:$A$16,0),6),0),IF(S393=TRUE,INDEX('SummaryNOT_VALIDATED-BL'!$A$1:$F$16,MATCH(E393,'SummaryNOT_VALIDATED-BL'!$A$1:$A$16,0),6),0)),0)</f>
        <v>0</v>
      </c>
      <c r="V393" s="81" cm="1">
        <f t="array" ref="V393">INDEX('Weight tables'!$A$24:$C$27,MATCH(1,(RendicontiTrasmessiBL__2[[#This Row],[Cut percentage on real costs + USC]]&gt;='Weight tables'!$B$24:$B$27)*(RendicontiTrasmessiBL__2[[#This Row],[Cut percentage on real costs + USC]]&lt;='Weight tables'!$C$24:$C$27),0),1)</f>
        <v>0</v>
      </c>
      <c r="W393" s="2">
        <f>RendicontiTrasmessiBL__2[[#This Row],[Weight real costs  + USC ]]</f>
        <v>0</v>
      </c>
    </row>
    <row r="394" spans="1:23" x14ac:dyDescent="0.25">
      <c r="A394" s="1" t="s">
        <v>250</v>
      </c>
      <c r="B394" s="1" t="s">
        <v>256</v>
      </c>
      <c r="C394" s="2">
        <v>31</v>
      </c>
      <c r="D394" s="2">
        <v>250</v>
      </c>
      <c r="E394" s="1" t="s">
        <v>233</v>
      </c>
      <c r="G394">
        <v>0</v>
      </c>
      <c r="H394">
        <v>0</v>
      </c>
      <c r="I394">
        <v>0</v>
      </c>
      <c r="J394">
        <v>0</v>
      </c>
      <c r="K394">
        <v>0</v>
      </c>
      <c r="L394">
        <v>0</v>
      </c>
      <c r="M394">
        <v>0</v>
      </c>
      <c r="N394">
        <v>0</v>
      </c>
      <c r="O394">
        <v>0</v>
      </c>
      <c r="P394">
        <v>0</v>
      </c>
      <c r="Q394" t="str">
        <f>INDEX('Partner data'!A:DH,MATCH(C394,'Partner data'!DG:DG,0),83)</f>
        <v>Soggetto privato</v>
      </c>
      <c r="R394" t="b">
        <f>IF(E394="staff",IF(INDEX('Partner data'!A:DH,MATCH(C394,'Partner data'!DG:DG,0),112)="BL1 non presente","FALSO",INDEX('Partner data'!A:DH,MATCH(C394,'Partner data'!DG:DG,0),112)))</f>
        <v>0</v>
      </c>
      <c r="S394" t="b">
        <f t="shared" si="12"/>
        <v>0</v>
      </c>
      <c r="T394" t="b">
        <f t="shared" si="13"/>
        <v>0</v>
      </c>
      <c r="U394" s="154">
        <f>IFERROR(IF(R394&lt;&gt;FALSE,IF(S394=TRUE,INDEX('SummaryNOT_VALIDATED-BL'!$A$1:$F$16,MATCH(R394,'SummaryNOT_VALIDATED-BL'!$A$1:$A$16,0),6),0),IF(S394=TRUE,INDEX('SummaryNOT_VALIDATED-BL'!$A$1:$F$16,MATCH(E394,'SummaryNOT_VALIDATED-BL'!$A$1:$A$16,0),6),0)),0)</f>
        <v>0</v>
      </c>
      <c r="V394" s="81" cm="1">
        <f t="array" ref="V394">INDEX('Weight tables'!$A$24:$C$27,MATCH(1,(RendicontiTrasmessiBL__2[[#This Row],[Cut percentage on real costs + USC]]&gt;='Weight tables'!$B$24:$B$27)*(RendicontiTrasmessiBL__2[[#This Row],[Cut percentage on real costs + USC]]&lt;='Weight tables'!$C$24:$C$27),0),1)</f>
        <v>0</v>
      </c>
      <c r="W394" s="2">
        <f>RendicontiTrasmessiBL__2[[#This Row],[Weight real costs  + USC ]]</f>
        <v>0</v>
      </c>
    </row>
    <row r="395" spans="1:23" x14ac:dyDescent="0.25">
      <c r="A395" s="1" t="s">
        <v>250</v>
      </c>
      <c r="B395" s="1" t="s">
        <v>256</v>
      </c>
      <c r="C395" s="2">
        <v>31</v>
      </c>
      <c r="D395" s="2">
        <v>250</v>
      </c>
      <c r="E395" s="1" t="s">
        <v>234</v>
      </c>
      <c r="G395">
        <v>0</v>
      </c>
      <c r="H395">
        <v>0</v>
      </c>
      <c r="I395">
        <v>0</v>
      </c>
      <c r="J395">
        <v>0</v>
      </c>
      <c r="K395">
        <v>0</v>
      </c>
      <c r="L395">
        <v>0</v>
      </c>
      <c r="M395">
        <v>0</v>
      </c>
      <c r="N395">
        <v>0</v>
      </c>
      <c r="O395">
        <v>0</v>
      </c>
      <c r="P395">
        <v>0</v>
      </c>
      <c r="Q395" t="str">
        <f>INDEX('Partner data'!A:DH,MATCH(C395,'Partner data'!DG:DG,0),83)</f>
        <v>Soggetto privato</v>
      </c>
      <c r="R395" t="b">
        <f>IF(E395="staff",IF(INDEX('Partner data'!A:DH,MATCH(C395,'Partner data'!DG:DG,0),112)="BL1 non presente","FALSO",INDEX('Partner data'!A:DH,MATCH(C395,'Partner data'!DG:DG,0),112)))</f>
        <v>0</v>
      </c>
      <c r="S395" t="b">
        <f t="shared" si="12"/>
        <v>0</v>
      </c>
      <c r="T395" t="b">
        <f t="shared" si="13"/>
        <v>0</v>
      </c>
      <c r="U395" s="154">
        <f>IFERROR(IF(R395&lt;&gt;FALSE,IF(S395=TRUE,INDEX('SummaryNOT_VALIDATED-BL'!$A$1:$F$16,MATCH(R395,'SummaryNOT_VALIDATED-BL'!$A$1:$A$16,0),6),0),IF(S395=TRUE,INDEX('SummaryNOT_VALIDATED-BL'!$A$1:$F$16,MATCH(E395,'SummaryNOT_VALIDATED-BL'!$A$1:$A$16,0),6),0)),0)</f>
        <v>0</v>
      </c>
      <c r="V395" s="81" cm="1">
        <f t="array" ref="V395">INDEX('Weight tables'!$A$24:$C$27,MATCH(1,(RendicontiTrasmessiBL__2[[#This Row],[Cut percentage on real costs + USC]]&gt;='Weight tables'!$B$24:$B$27)*(RendicontiTrasmessiBL__2[[#This Row],[Cut percentage on real costs + USC]]&lt;='Weight tables'!$C$24:$C$27),0),1)</f>
        <v>0</v>
      </c>
      <c r="W395" s="2">
        <f>RendicontiTrasmessiBL__2[[#This Row],[Weight real costs  + USC ]]</f>
        <v>0</v>
      </c>
    </row>
    <row r="396" spans="1:23" x14ac:dyDescent="0.25">
      <c r="A396" s="1" t="s">
        <v>250</v>
      </c>
      <c r="B396" s="1" t="s">
        <v>256</v>
      </c>
      <c r="C396" s="2">
        <v>31</v>
      </c>
      <c r="D396" s="2">
        <v>250</v>
      </c>
      <c r="E396" s="1" t="s">
        <v>236</v>
      </c>
      <c r="G396">
        <v>0</v>
      </c>
      <c r="H396">
        <v>0</v>
      </c>
      <c r="I396">
        <v>0</v>
      </c>
      <c r="J396">
        <v>0</v>
      </c>
      <c r="K396">
        <v>0</v>
      </c>
      <c r="L396">
        <v>0</v>
      </c>
      <c r="M396">
        <v>0</v>
      </c>
      <c r="N396">
        <v>0</v>
      </c>
      <c r="O396">
        <v>0</v>
      </c>
      <c r="P396">
        <v>0</v>
      </c>
      <c r="Q396" t="str">
        <f>INDEX('Partner data'!A:DH,MATCH(C396,'Partner data'!DG:DG,0),83)</f>
        <v>Soggetto privato</v>
      </c>
      <c r="R396" t="b">
        <f>IF(E396="staff",IF(INDEX('Partner data'!A:DH,MATCH(C396,'Partner data'!DG:DG,0),112)="BL1 non presente","FALSO",INDEX('Partner data'!A:DH,MATCH(C396,'Partner data'!DG:DG,0),112)))</f>
        <v>0</v>
      </c>
      <c r="S396" t="b">
        <f t="shared" si="12"/>
        <v>0</v>
      </c>
      <c r="T396" t="b">
        <f t="shared" si="13"/>
        <v>0</v>
      </c>
      <c r="U396" s="154">
        <f>IFERROR(IF(R396&lt;&gt;FALSE,IF(S396=TRUE,INDEX('SummaryNOT_VALIDATED-BL'!$A$1:$F$16,MATCH(R396,'SummaryNOT_VALIDATED-BL'!$A$1:$A$16,0),6),0),IF(S396=TRUE,INDEX('SummaryNOT_VALIDATED-BL'!$A$1:$F$16,MATCH(E396,'SummaryNOT_VALIDATED-BL'!$A$1:$A$16,0),6),0)),0)</f>
        <v>0</v>
      </c>
      <c r="V396" s="81" cm="1">
        <f t="array" ref="V396">INDEX('Weight tables'!$A$24:$C$27,MATCH(1,(RendicontiTrasmessiBL__2[[#This Row],[Cut percentage on real costs + USC]]&gt;='Weight tables'!$B$24:$B$27)*(RendicontiTrasmessiBL__2[[#This Row],[Cut percentage on real costs + USC]]&lt;='Weight tables'!$C$24:$C$27),0),1)</f>
        <v>0</v>
      </c>
      <c r="W396" s="2">
        <f>RendicontiTrasmessiBL__2[[#This Row],[Weight real costs  + USC ]]</f>
        <v>0</v>
      </c>
    </row>
    <row r="397" spans="1:23" x14ac:dyDescent="0.25">
      <c r="A397" s="1" t="s">
        <v>250</v>
      </c>
      <c r="B397" s="1" t="s">
        <v>256</v>
      </c>
      <c r="C397" s="2">
        <v>31</v>
      </c>
      <c r="D397" s="2">
        <v>250</v>
      </c>
      <c r="E397" s="1" t="s">
        <v>237</v>
      </c>
      <c r="G397">
        <v>0</v>
      </c>
      <c r="H397">
        <v>0</v>
      </c>
      <c r="I397">
        <v>0</v>
      </c>
      <c r="J397">
        <v>0</v>
      </c>
      <c r="K397">
        <v>0</v>
      </c>
      <c r="L397">
        <v>0</v>
      </c>
      <c r="M397">
        <v>0</v>
      </c>
      <c r="N397">
        <v>0</v>
      </c>
      <c r="O397">
        <v>0</v>
      </c>
      <c r="P397">
        <v>0</v>
      </c>
      <c r="Q397" t="str">
        <f>INDEX('Partner data'!A:DH,MATCH(C397,'Partner data'!DG:DG,0),83)</f>
        <v>Soggetto privato</v>
      </c>
      <c r="R397" t="b">
        <f>IF(E397="staff",IF(INDEX('Partner data'!A:DH,MATCH(C397,'Partner data'!DG:DG,0),112)="BL1 non presente","FALSO",INDEX('Partner data'!A:DH,MATCH(C397,'Partner data'!DG:DG,0),112)))</f>
        <v>0</v>
      </c>
      <c r="S397" t="b">
        <f t="shared" si="12"/>
        <v>0</v>
      </c>
      <c r="T397" t="b">
        <f t="shared" si="13"/>
        <v>0</v>
      </c>
      <c r="U397" s="154">
        <f>IFERROR(IF(R397&lt;&gt;FALSE,IF(S397=TRUE,INDEX('SummaryNOT_VALIDATED-BL'!$A$1:$F$16,MATCH(R397,'SummaryNOT_VALIDATED-BL'!$A$1:$A$16,0),6),0),IF(S397=TRUE,INDEX('SummaryNOT_VALIDATED-BL'!$A$1:$F$16,MATCH(E397,'SummaryNOT_VALIDATED-BL'!$A$1:$A$16,0),6),0)),0)</f>
        <v>0</v>
      </c>
      <c r="V397" s="81" cm="1">
        <f t="array" ref="V397">INDEX('Weight tables'!$A$24:$C$27,MATCH(1,(RendicontiTrasmessiBL__2[[#This Row],[Cut percentage on real costs + USC]]&gt;='Weight tables'!$B$24:$B$27)*(RendicontiTrasmessiBL__2[[#This Row],[Cut percentage on real costs + USC]]&lt;='Weight tables'!$C$24:$C$27),0),1)</f>
        <v>0</v>
      </c>
      <c r="W397" s="2">
        <f>RendicontiTrasmessiBL__2[[#This Row],[Weight real costs  + USC ]]</f>
        <v>0</v>
      </c>
    </row>
    <row r="398" spans="1:23" x14ac:dyDescent="0.25">
      <c r="A398" s="1" t="s">
        <v>250</v>
      </c>
      <c r="B398" s="1" t="s">
        <v>259</v>
      </c>
      <c r="C398" s="2">
        <v>33</v>
      </c>
      <c r="D398" s="2">
        <v>320</v>
      </c>
      <c r="E398" s="1" t="s">
        <v>228</v>
      </c>
      <c r="G398">
        <v>23850</v>
      </c>
      <c r="H398">
        <v>0</v>
      </c>
      <c r="I398">
        <v>0</v>
      </c>
      <c r="J398">
        <v>0</v>
      </c>
      <c r="K398">
        <v>0</v>
      </c>
      <c r="L398">
        <v>0</v>
      </c>
      <c r="M398">
        <v>0</v>
      </c>
      <c r="N398">
        <v>0</v>
      </c>
      <c r="O398">
        <v>23850</v>
      </c>
      <c r="P398">
        <v>0</v>
      </c>
      <c r="Q398" t="str">
        <f>INDEX('Partner data'!A:DH,MATCH(C398,'Partner data'!DG:DG,0),83)</f>
        <v>Soggetto pubblico</v>
      </c>
      <c r="R398" t="str">
        <f>IF(E398="staff",IF(INDEX('Partner data'!A:DH,MATCH(C398,'Partner data'!DG:DG,0),112)="BL1 non presente","FALSO",INDEX('Partner data'!A:DH,MATCH(C398,'Partner data'!DG:DG,0),112)))</f>
        <v>COSTO REALE</v>
      </c>
      <c r="S398" t="b">
        <f t="shared" si="12"/>
        <v>0</v>
      </c>
      <c r="T398" t="b">
        <f t="shared" si="13"/>
        <v>1</v>
      </c>
      <c r="U398" s="154">
        <f>IFERROR(IF(R398&lt;&gt;FALSE,IF(S398=TRUE,INDEX('SummaryNOT_VALIDATED-BL'!$A$1:$F$16,MATCH(R398,'SummaryNOT_VALIDATED-BL'!$A$1:$A$16,0),6),0),IF(S398=TRUE,INDEX('SummaryNOT_VALIDATED-BL'!$A$1:$F$16,MATCH(E398,'SummaryNOT_VALIDATED-BL'!$A$1:$A$16,0),6),0)),0)</f>
        <v>0</v>
      </c>
      <c r="V398" s="81" cm="1">
        <f t="array" ref="V398">INDEX('Weight tables'!$A$24:$C$27,MATCH(1,(RendicontiTrasmessiBL__2[[#This Row],[Cut percentage on real costs + USC]]&gt;='Weight tables'!$B$24:$B$27)*(RendicontiTrasmessiBL__2[[#This Row],[Cut percentage on real costs + USC]]&lt;='Weight tables'!$C$24:$C$27),0),1)</f>
        <v>0</v>
      </c>
      <c r="W398" s="2">
        <f>RendicontiTrasmessiBL__2[[#This Row],[Weight real costs  + USC ]]</f>
        <v>0</v>
      </c>
    </row>
    <row r="399" spans="1:23" x14ac:dyDescent="0.25">
      <c r="A399" s="1" t="s">
        <v>250</v>
      </c>
      <c r="B399" s="1" t="s">
        <v>259</v>
      </c>
      <c r="C399" s="2">
        <v>33</v>
      </c>
      <c r="D399" s="2">
        <v>320</v>
      </c>
      <c r="E399" s="1" t="s">
        <v>229</v>
      </c>
      <c r="F399">
        <v>15</v>
      </c>
      <c r="G399">
        <v>3577.5</v>
      </c>
      <c r="H399">
        <v>0</v>
      </c>
      <c r="I399">
        <v>0</v>
      </c>
      <c r="J399">
        <v>0</v>
      </c>
      <c r="K399">
        <v>0</v>
      </c>
      <c r="L399">
        <v>0</v>
      </c>
      <c r="M399">
        <v>0</v>
      </c>
      <c r="N399">
        <v>0</v>
      </c>
      <c r="O399">
        <v>3577.5</v>
      </c>
      <c r="P399">
        <v>0</v>
      </c>
      <c r="Q399" t="str">
        <f>INDEX('Partner data'!A:DH,MATCH(C399,'Partner data'!DG:DG,0),83)</f>
        <v>Soggetto pubblico</v>
      </c>
      <c r="R399" t="b">
        <f>IF(E399="staff",IF(INDEX('Partner data'!A:DH,MATCH(C399,'Partner data'!DG:DG,0),112)="BL1 non presente","FALSO",INDEX('Partner data'!A:DH,MATCH(C399,'Partner data'!DG:DG,0),112)))</f>
        <v>0</v>
      </c>
      <c r="S399" t="b">
        <f t="shared" si="12"/>
        <v>0</v>
      </c>
      <c r="T399" t="b">
        <f t="shared" si="13"/>
        <v>1</v>
      </c>
      <c r="U399" s="154">
        <f>IFERROR(IF(R399&lt;&gt;FALSE,IF(S399=TRUE,INDEX('SummaryNOT_VALIDATED-BL'!$A$1:$F$16,MATCH(R399,'SummaryNOT_VALIDATED-BL'!$A$1:$A$16,0),6),0),IF(S399=TRUE,INDEX('SummaryNOT_VALIDATED-BL'!$A$1:$F$16,MATCH(E399,'SummaryNOT_VALIDATED-BL'!$A$1:$A$16,0),6),0)),0)</f>
        <v>0</v>
      </c>
      <c r="V399" s="81" cm="1">
        <f t="array" ref="V399">INDEX('Weight tables'!$A$24:$C$27,MATCH(1,(RendicontiTrasmessiBL__2[[#This Row],[Cut percentage on real costs + USC]]&gt;='Weight tables'!$B$24:$B$27)*(RendicontiTrasmessiBL__2[[#This Row],[Cut percentage on real costs + USC]]&lt;='Weight tables'!$C$24:$C$27),0),1)</f>
        <v>0</v>
      </c>
      <c r="W399" s="2">
        <f>RendicontiTrasmessiBL__2[[#This Row],[Weight real costs  + USC ]]</f>
        <v>0</v>
      </c>
    </row>
    <row r="400" spans="1:23" x14ac:dyDescent="0.25">
      <c r="A400" s="1" t="s">
        <v>250</v>
      </c>
      <c r="B400" s="1" t="s">
        <v>259</v>
      </c>
      <c r="C400" s="2">
        <v>33</v>
      </c>
      <c r="D400" s="2">
        <v>320</v>
      </c>
      <c r="E400" s="1" t="s">
        <v>230</v>
      </c>
      <c r="F400">
        <v>4</v>
      </c>
      <c r="G400">
        <v>954</v>
      </c>
      <c r="H400">
        <v>0</v>
      </c>
      <c r="I400">
        <v>0</v>
      </c>
      <c r="J400">
        <v>0</v>
      </c>
      <c r="K400">
        <v>0</v>
      </c>
      <c r="L400">
        <v>0</v>
      </c>
      <c r="M400">
        <v>0</v>
      </c>
      <c r="N400">
        <v>0</v>
      </c>
      <c r="O400">
        <v>954</v>
      </c>
      <c r="P400">
        <v>0</v>
      </c>
      <c r="Q400" t="str">
        <f>INDEX('Partner data'!A:DH,MATCH(C400,'Partner data'!DG:DG,0),83)</f>
        <v>Soggetto pubblico</v>
      </c>
      <c r="R400" t="b">
        <f>IF(E400="staff",IF(INDEX('Partner data'!A:DH,MATCH(C400,'Partner data'!DG:DG,0),112)="BL1 non presente","FALSO",INDEX('Partner data'!A:DH,MATCH(C400,'Partner data'!DG:DG,0),112)))</f>
        <v>0</v>
      </c>
      <c r="S400" t="b">
        <f t="shared" si="12"/>
        <v>0</v>
      </c>
      <c r="T400" t="b">
        <f t="shared" si="13"/>
        <v>1</v>
      </c>
      <c r="U400" s="154">
        <f>IFERROR(IF(R400&lt;&gt;FALSE,IF(S400=TRUE,INDEX('SummaryNOT_VALIDATED-BL'!$A$1:$F$16,MATCH(R400,'SummaryNOT_VALIDATED-BL'!$A$1:$A$16,0),6),0),IF(S400=TRUE,INDEX('SummaryNOT_VALIDATED-BL'!$A$1:$F$16,MATCH(E400,'SummaryNOT_VALIDATED-BL'!$A$1:$A$16,0),6),0)),0)</f>
        <v>0</v>
      </c>
      <c r="V400" s="81" cm="1">
        <f t="array" ref="V400">INDEX('Weight tables'!$A$24:$C$27,MATCH(1,(RendicontiTrasmessiBL__2[[#This Row],[Cut percentage on real costs + USC]]&gt;='Weight tables'!$B$24:$B$27)*(RendicontiTrasmessiBL__2[[#This Row],[Cut percentage on real costs + USC]]&lt;='Weight tables'!$C$24:$C$27),0),1)</f>
        <v>0</v>
      </c>
      <c r="W400" s="2">
        <f>RendicontiTrasmessiBL__2[[#This Row],[Weight real costs  + USC ]]</f>
        <v>0</v>
      </c>
    </row>
    <row r="401" spans="1:23" x14ac:dyDescent="0.25">
      <c r="A401" s="1" t="s">
        <v>250</v>
      </c>
      <c r="B401" s="1" t="s">
        <v>259</v>
      </c>
      <c r="C401" s="2">
        <v>33</v>
      </c>
      <c r="D401" s="2">
        <v>320</v>
      </c>
      <c r="E401" s="1" t="s">
        <v>231</v>
      </c>
      <c r="G401">
        <v>13500</v>
      </c>
      <c r="H401">
        <v>0</v>
      </c>
      <c r="I401">
        <v>0</v>
      </c>
      <c r="J401">
        <v>0</v>
      </c>
      <c r="K401">
        <v>0</v>
      </c>
      <c r="L401">
        <v>0</v>
      </c>
      <c r="M401">
        <v>0</v>
      </c>
      <c r="N401">
        <v>0</v>
      </c>
      <c r="O401">
        <v>13500</v>
      </c>
      <c r="P401">
        <v>0</v>
      </c>
      <c r="Q401" t="str">
        <f>INDEX('Partner data'!A:DH,MATCH(C401,'Partner data'!DG:DG,0),83)</f>
        <v>Soggetto pubblico</v>
      </c>
      <c r="R401" t="b">
        <f>IF(E401="staff",IF(INDEX('Partner data'!A:DH,MATCH(C401,'Partner data'!DG:DG,0),112)="BL1 non presente","FALSO",INDEX('Partner data'!A:DH,MATCH(C401,'Partner data'!DG:DG,0),112)))</f>
        <v>0</v>
      </c>
      <c r="S401" t="b">
        <f t="shared" si="12"/>
        <v>0</v>
      </c>
      <c r="T401" t="b">
        <f t="shared" si="13"/>
        <v>1</v>
      </c>
      <c r="U401" s="154">
        <f>IFERROR(IF(R401&lt;&gt;FALSE,IF(S401=TRUE,INDEX('SummaryNOT_VALIDATED-BL'!$A$1:$F$16,MATCH(R401,'SummaryNOT_VALIDATED-BL'!$A$1:$A$16,0),6),0),IF(S401=TRUE,INDEX('SummaryNOT_VALIDATED-BL'!$A$1:$F$16,MATCH(E401,'SummaryNOT_VALIDATED-BL'!$A$1:$A$16,0),6),0)),0)</f>
        <v>0</v>
      </c>
      <c r="V401" s="81" cm="1">
        <f t="array" ref="V401">INDEX('Weight tables'!$A$24:$C$27,MATCH(1,(RendicontiTrasmessiBL__2[[#This Row],[Cut percentage on real costs + USC]]&gt;='Weight tables'!$B$24:$B$27)*(RendicontiTrasmessiBL__2[[#This Row],[Cut percentage on real costs + USC]]&lt;='Weight tables'!$C$24:$C$27),0),1)</f>
        <v>0</v>
      </c>
      <c r="W401" s="2">
        <f>RendicontiTrasmessiBL__2[[#This Row],[Weight real costs  + USC ]]</f>
        <v>0</v>
      </c>
    </row>
    <row r="402" spans="1:23" x14ac:dyDescent="0.25">
      <c r="A402" s="1" t="s">
        <v>250</v>
      </c>
      <c r="B402" s="1" t="s">
        <v>259</v>
      </c>
      <c r="C402" s="2">
        <v>33</v>
      </c>
      <c r="D402" s="2">
        <v>320</v>
      </c>
      <c r="E402" s="1" t="s">
        <v>232</v>
      </c>
      <c r="G402">
        <v>1000</v>
      </c>
      <c r="H402">
        <v>0</v>
      </c>
      <c r="I402">
        <v>0</v>
      </c>
      <c r="J402">
        <v>0</v>
      </c>
      <c r="K402">
        <v>0</v>
      </c>
      <c r="L402">
        <v>0</v>
      </c>
      <c r="M402">
        <v>0</v>
      </c>
      <c r="N402">
        <v>0</v>
      </c>
      <c r="O402">
        <v>1000</v>
      </c>
      <c r="P402">
        <v>0</v>
      </c>
      <c r="Q402" t="str">
        <f>INDEX('Partner data'!A:DH,MATCH(C402,'Partner data'!DG:DG,0),83)</f>
        <v>Soggetto pubblico</v>
      </c>
      <c r="R402" t="b">
        <f>IF(E402="staff",IF(INDEX('Partner data'!A:DH,MATCH(C402,'Partner data'!DG:DG,0),112)="BL1 non presente","FALSO",INDEX('Partner data'!A:DH,MATCH(C402,'Partner data'!DG:DG,0),112)))</f>
        <v>0</v>
      </c>
      <c r="S402" t="b">
        <f t="shared" si="12"/>
        <v>0</v>
      </c>
      <c r="T402" t="b">
        <f t="shared" si="13"/>
        <v>1</v>
      </c>
      <c r="U402" s="154">
        <f>IFERROR(IF(R402&lt;&gt;FALSE,IF(S402=TRUE,INDEX('SummaryNOT_VALIDATED-BL'!$A$1:$F$16,MATCH(R402,'SummaryNOT_VALIDATED-BL'!$A$1:$A$16,0),6),0),IF(S402=TRUE,INDEX('SummaryNOT_VALIDATED-BL'!$A$1:$F$16,MATCH(E402,'SummaryNOT_VALIDATED-BL'!$A$1:$A$16,0),6),0)),0)</f>
        <v>0</v>
      </c>
      <c r="V402" s="81" cm="1">
        <f t="array" ref="V402">INDEX('Weight tables'!$A$24:$C$27,MATCH(1,(RendicontiTrasmessiBL__2[[#This Row],[Cut percentage on real costs + USC]]&gt;='Weight tables'!$B$24:$B$27)*(RendicontiTrasmessiBL__2[[#This Row],[Cut percentage on real costs + USC]]&lt;='Weight tables'!$C$24:$C$27),0),1)</f>
        <v>0</v>
      </c>
      <c r="W402" s="2">
        <f>RendicontiTrasmessiBL__2[[#This Row],[Weight real costs  + USC ]]</f>
        <v>0</v>
      </c>
    </row>
    <row r="403" spans="1:23" x14ac:dyDescent="0.25">
      <c r="A403" s="1" t="s">
        <v>250</v>
      </c>
      <c r="B403" s="1" t="s">
        <v>259</v>
      </c>
      <c r="C403" s="2">
        <v>33</v>
      </c>
      <c r="D403" s="2">
        <v>320</v>
      </c>
      <c r="E403" s="1" t="s">
        <v>233</v>
      </c>
      <c r="G403">
        <v>0</v>
      </c>
      <c r="H403">
        <v>0</v>
      </c>
      <c r="I403">
        <v>0</v>
      </c>
      <c r="J403">
        <v>0</v>
      </c>
      <c r="K403">
        <v>0</v>
      </c>
      <c r="L403">
        <v>0</v>
      </c>
      <c r="M403">
        <v>0</v>
      </c>
      <c r="N403">
        <v>0</v>
      </c>
      <c r="O403">
        <v>0</v>
      </c>
      <c r="P403">
        <v>0</v>
      </c>
      <c r="Q403" t="str">
        <f>INDEX('Partner data'!A:DH,MATCH(C403,'Partner data'!DG:DG,0),83)</f>
        <v>Soggetto pubblico</v>
      </c>
      <c r="R403" t="b">
        <f>IF(E403="staff",IF(INDEX('Partner data'!A:DH,MATCH(C403,'Partner data'!DG:DG,0),112)="BL1 non presente","FALSO",INDEX('Partner data'!A:DH,MATCH(C403,'Partner data'!DG:DG,0),112)))</f>
        <v>0</v>
      </c>
      <c r="S403" t="b">
        <f t="shared" si="12"/>
        <v>0</v>
      </c>
      <c r="T403" t="b">
        <f t="shared" si="13"/>
        <v>1</v>
      </c>
      <c r="U403" s="154">
        <f>IFERROR(IF(R403&lt;&gt;FALSE,IF(S403=TRUE,INDEX('SummaryNOT_VALIDATED-BL'!$A$1:$F$16,MATCH(R403,'SummaryNOT_VALIDATED-BL'!$A$1:$A$16,0),6),0),IF(S403=TRUE,INDEX('SummaryNOT_VALIDATED-BL'!$A$1:$F$16,MATCH(E403,'SummaryNOT_VALIDATED-BL'!$A$1:$A$16,0),6),0)),0)</f>
        <v>0</v>
      </c>
      <c r="V403" s="81" cm="1">
        <f t="array" ref="V403">INDEX('Weight tables'!$A$24:$C$27,MATCH(1,(RendicontiTrasmessiBL__2[[#This Row],[Cut percentage on real costs + USC]]&gt;='Weight tables'!$B$24:$B$27)*(RendicontiTrasmessiBL__2[[#This Row],[Cut percentage on real costs + USC]]&lt;='Weight tables'!$C$24:$C$27),0),1)</f>
        <v>0</v>
      </c>
      <c r="W403" s="2">
        <f>RendicontiTrasmessiBL__2[[#This Row],[Weight real costs  + USC ]]</f>
        <v>0</v>
      </c>
    </row>
    <row r="404" spans="1:23" x14ac:dyDescent="0.25">
      <c r="A404" s="1" t="s">
        <v>250</v>
      </c>
      <c r="B404" s="1" t="s">
        <v>259</v>
      </c>
      <c r="C404" s="2">
        <v>33</v>
      </c>
      <c r="D404" s="2">
        <v>320</v>
      </c>
      <c r="E404" s="1" t="s">
        <v>234</v>
      </c>
      <c r="G404">
        <v>0</v>
      </c>
      <c r="H404">
        <v>0</v>
      </c>
      <c r="I404">
        <v>0</v>
      </c>
      <c r="J404">
        <v>0</v>
      </c>
      <c r="K404">
        <v>0</v>
      </c>
      <c r="L404">
        <v>0</v>
      </c>
      <c r="M404">
        <v>0</v>
      </c>
      <c r="N404">
        <v>0</v>
      </c>
      <c r="O404">
        <v>0</v>
      </c>
      <c r="P404">
        <v>0</v>
      </c>
      <c r="Q404" t="str">
        <f>INDEX('Partner data'!A:DH,MATCH(C404,'Partner data'!DG:DG,0),83)</f>
        <v>Soggetto pubblico</v>
      </c>
      <c r="R404" t="b">
        <f>IF(E404="staff",IF(INDEX('Partner data'!A:DH,MATCH(C404,'Partner data'!DG:DG,0),112)="BL1 non presente","FALSO",INDEX('Partner data'!A:DH,MATCH(C404,'Partner data'!DG:DG,0),112)))</f>
        <v>0</v>
      </c>
      <c r="S404" t="b">
        <f t="shared" si="12"/>
        <v>0</v>
      </c>
      <c r="T404" t="b">
        <f t="shared" si="13"/>
        <v>1</v>
      </c>
      <c r="U404" s="154">
        <f>IFERROR(IF(R404&lt;&gt;FALSE,IF(S404=TRUE,INDEX('SummaryNOT_VALIDATED-BL'!$A$1:$F$16,MATCH(R404,'SummaryNOT_VALIDATED-BL'!$A$1:$A$16,0),6),0),IF(S404=TRUE,INDEX('SummaryNOT_VALIDATED-BL'!$A$1:$F$16,MATCH(E404,'SummaryNOT_VALIDATED-BL'!$A$1:$A$16,0),6),0)),0)</f>
        <v>0</v>
      </c>
      <c r="V404" s="81" cm="1">
        <f t="array" ref="V404">INDEX('Weight tables'!$A$24:$C$27,MATCH(1,(RendicontiTrasmessiBL__2[[#This Row],[Cut percentage on real costs + USC]]&gt;='Weight tables'!$B$24:$B$27)*(RendicontiTrasmessiBL__2[[#This Row],[Cut percentage on real costs + USC]]&lt;='Weight tables'!$C$24:$C$27),0),1)</f>
        <v>0</v>
      </c>
      <c r="W404" s="2">
        <f>RendicontiTrasmessiBL__2[[#This Row],[Weight real costs  + USC ]]</f>
        <v>0</v>
      </c>
    </row>
    <row r="405" spans="1:23" x14ac:dyDescent="0.25">
      <c r="A405" s="1" t="s">
        <v>250</v>
      </c>
      <c r="B405" s="1" t="s">
        <v>259</v>
      </c>
      <c r="C405" s="2">
        <v>33</v>
      </c>
      <c r="D405" s="2">
        <v>320</v>
      </c>
      <c r="E405" s="1" t="s">
        <v>236</v>
      </c>
      <c r="G405">
        <v>0</v>
      </c>
      <c r="H405">
        <v>0</v>
      </c>
      <c r="I405">
        <v>0</v>
      </c>
      <c r="J405">
        <v>0</v>
      </c>
      <c r="K405">
        <v>0</v>
      </c>
      <c r="L405">
        <v>0</v>
      </c>
      <c r="M405">
        <v>0</v>
      </c>
      <c r="N405">
        <v>0</v>
      </c>
      <c r="O405">
        <v>0</v>
      </c>
      <c r="P405">
        <v>0</v>
      </c>
      <c r="Q405" t="str">
        <f>INDEX('Partner data'!A:DH,MATCH(C405,'Partner data'!DG:DG,0),83)</f>
        <v>Soggetto pubblico</v>
      </c>
      <c r="R405" t="b">
        <f>IF(E405="staff",IF(INDEX('Partner data'!A:DH,MATCH(C405,'Partner data'!DG:DG,0),112)="BL1 non presente","FALSO",INDEX('Partner data'!A:DH,MATCH(C405,'Partner data'!DG:DG,0),112)))</f>
        <v>0</v>
      </c>
      <c r="S405" t="b">
        <f t="shared" si="12"/>
        <v>0</v>
      </c>
      <c r="T405" t="b">
        <f t="shared" si="13"/>
        <v>1</v>
      </c>
      <c r="U405" s="154">
        <f>IFERROR(IF(R405&lt;&gt;FALSE,IF(S405=TRUE,INDEX('SummaryNOT_VALIDATED-BL'!$A$1:$F$16,MATCH(R405,'SummaryNOT_VALIDATED-BL'!$A$1:$A$16,0),6),0),IF(S405=TRUE,INDEX('SummaryNOT_VALIDATED-BL'!$A$1:$F$16,MATCH(E405,'SummaryNOT_VALIDATED-BL'!$A$1:$A$16,0),6),0)),0)</f>
        <v>0</v>
      </c>
      <c r="V405" s="81" cm="1">
        <f t="array" ref="V405">INDEX('Weight tables'!$A$24:$C$27,MATCH(1,(RendicontiTrasmessiBL__2[[#This Row],[Cut percentage on real costs + USC]]&gt;='Weight tables'!$B$24:$B$27)*(RendicontiTrasmessiBL__2[[#This Row],[Cut percentage on real costs + USC]]&lt;='Weight tables'!$C$24:$C$27),0),1)</f>
        <v>0</v>
      </c>
      <c r="W405" s="2">
        <f>RendicontiTrasmessiBL__2[[#This Row],[Weight real costs  + USC ]]</f>
        <v>0</v>
      </c>
    </row>
    <row r="406" spans="1:23" x14ac:dyDescent="0.25">
      <c r="A406" s="1" t="s">
        <v>250</v>
      </c>
      <c r="B406" s="1" t="s">
        <v>259</v>
      </c>
      <c r="C406" s="2">
        <v>33</v>
      </c>
      <c r="D406" s="2">
        <v>320</v>
      </c>
      <c r="E406" s="1" t="s">
        <v>237</v>
      </c>
      <c r="G406">
        <v>0</v>
      </c>
      <c r="H406">
        <v>0</v>
      </c>
      <c r="I406">
        <v>0</v>
      </c>
      <c r="J406">
        <v>0</v>
      </c>
      <c r="K406">
        <v>0</v>
      </c>
      <c r="L406">
        <v>0</v>
      </c>
      <c r="M406">
        <v>0</v>
      </c>
      <c r="N406">
        <v>0</v>
      </c>
      <c r="O406">
        <v>0</v>
      </c>
      <c r="P406">
        <v>0</v>
      </c>
      <c r="Q406" t="str">
        <f>INDEX('Partner data'!A:DH,MATCH(C406,'Partner data'!DG:DG,0),83)</f>
        <v>Soggetto pubblico</v>
      </c>
      <c r="R406" t="b">
        <f>IF(E406="staff",IF(INDEX('Partner data'!A:DH,MATCH(C406,'Partner data'!DG:DG,0),112)="BL1 non presente","FALSO",INDEX('Partner data'!A:DH,MATCH(C406,'Partner data'!DG:DG,0),112)))</f>
        <v>0</v>
      </c>
      <c r="S406" t="b">
        <f t="shared" si="12"/>
        <v>0</v>
      </c>
      <c r="T406" t="b">
        <f t="shared" si="13"/>
        <v>1</v>
      </c>
      <c r="U406" s="154">
        <f>IFERROR(IF(R406&lt;&gt;FALSE,IF(S406=TRUE,INDEX('SummaryNOT_VALIDATED-BL'!$A$1:$F$16,MATCH(R406,'SummaryNOT_VALIDATED-BL'!$A$1:$A$16,0),6),0),IF(S406=TRUE,INDEX('SummaryNOT_VALIDATED-BL'!$A$1:$F$16,MATCH(E406,'SummaryNOT_VALIDATED-BL'!$A$1:$A$16,0),6),0)),0)</f>
        <v>0</v>
      </c>
      <c r="V406" s="81" cm="1">
        <f t="array" ref="V406">INDEX('Weight tables'!$A$24:$C$27,MATCH(1,(RendicontiTrasmessiBL__2[[#This Row],[Cut percentage on real costs + USC]]&gt;='Weight tables'!$B$24:$B$27)*(RendicontiTrasmessiBL__2[[#This Row],[Cut percentage on real costs + USC]]&lt;='Weight tables'!$C$24:$C$27),0),1)</f>
        <v>0</v>
      </c>
      <c r="W406" s="2">
        <f>RendicontiTrasmessiBL__2[[#This Row],[Weight real costs  + USC ]]</f>
        <v>0</v>
      </c>
    </row>
    <row r="407" spans="1:23" x14ac:dyDescent="0.25">
      <c r="A407" s="1" t="s">
        <v>250</v>
      </c>
      <c r="B407" s="1" t="s">
        <v>261</v>
      </c>
      <c r="C407" s="2">
        <v>32</v>
      </c>
      <c r="D407" s="2">
        <v>252</v>
      </c>
      <c r="E407" s="1" t="s">
        <v>228</v>
      </c>
      <c r="G407">
        <v>85300</v>
      </c>
      <c r="H407">
        <v>0</v>
      </c>
      <c r="I407">
        <v>0</v>
      </c>
      <c r="J407">
        <v>26814.14</v>
      </c>
      <c r="K407">
        <v>0</v>
      </c>
      <c r="L407">
        <v>0</v>
      </c>
      <c r="M407">
        <v>26814.14</v>
      </c>
      <c r="N407">
        <v>31.44</v>
      </c>
      <c r="O407">
        <v>58485.86</v>
      </c>
      <c r="P407">
        <v>0</v>
      </c>
      <c r="Q407" t="str">
        <f>INDEX('Partner data'!A:DH,MATCH(C407,'Partner data'!DG:DG,0),83)</f>
        <v>Soggetto pubblico</v>
      </c>
      <c r="R407" t="str">
        <f>IF(E407="staff",IF(INDEX('Partner data'!A:DH,MATCH(C407,'Partner data'!DG:DG,0),112)="BL1 non presente","FALSO",INDEX('Partner data'!A:DH,MATCH(C407,'Partner data'!DG:DG,0),112)))</f>
        <v>COSTO REALE</v>
      </c>
      <c r="S407" t="b">
        <f t="shared" si="12"/>
        <v>1</v>
      </c>
      <c r="T407" t="b">
        <f t="shared" si="13"/>
        <v>1</v>
      </c>
      <c r="U407" s="154">
        <f>IFERROR(IF(R407&lt;&gt;FALSE,IF(S407=TRUE,INDEX('SummaryNOT_VALIDATED-BL'!$A$1:$F$16,MATCH(R407,'SummaryNOT_VALIDATED-BL'!$A$1:$A$16,0),6),0),IF(S407=TRUE,INDEX('SummaryNOT_VALIDATED-BL'!$A$1:$F$16,MATCH(E407,'SummaryNOT_VALIDATED-BL'!$A$1:$A$16,0),6),0)),0)</f>
        <v>9.1604133276901048E-2</v>
      </c>
      <c r="V407" s="81" cm="1">
        <f t="array" ref="V407">INDEX('Weight tables'!$A$24:$C$27,MATCH(1,(RendicontiTrasmessiBL__2[[#This Row],[Cut percentage on real costs + USC]]&gt;='Weight tables'!$B$24:$B$27)*(RendicontiTrasmessiBL__2[[#This Row],[Cut percentage on real costs + USC]]&lt;='Weight tables'!$C$24:$C$27),0),1)</f>
        <v>4</v>
      </c>
      <c r="W407" s="2">
        <f>RendicontiTrasmessiBL__2[[#This Row],[Weight real costs  + USC ]]</f>
        <v>4</v>
      </c>
    </row>
    <row r="408" spans="1:23" x14ac:dyDescent="0.25">
      <c r="A408" s="1" t="s">
        <v>250</v>
      </c>
      <c r="B408" s="1" t="s">
        <v>261</v>
      </c>
      <c r="C408" s="2">
        <v>32</v>
      </c>
      <c r="D408" s="2">
        <v>252</v>
      </c>
      <c r="E408" s="1" t="s">
        <v>229</v>
      </c>
      <c r="F408">
        <v>15</v>
      </c>
      <c r="G408">
        <v>12795</v>
      </c>
      <c r="H408">
        <v>0</v>
      </c>
      <c r="I408">
        <v>0</v>
      </c>
      <c r="J408">
        <v>4022.12</v>
      </c>
      <c r="K408">
        <v>0</v>
      </c>
      <c r="L408">
        <v>0</v>
      </c>
      <c r="M408">
        <v>4022.12</v>
      </c>
      <c r="N408">
        <v>31.44</v>
      </c>
      <c r="O408">
        <v>8772.8799999999992</v>
      </c>
      <c r="P408">
        <v>0</v>
      </c>
      <c r="Q408" t="str">
        <f>INDEX('Partner data'!A:DH,MATCH(C408,'Partner data'!DG:DG,0),83)</f>
        <v>Soggetto pubblico</v>
      </c>
      <c r="R408" t="b">
        <f>IF(E408="staff",IF(INDEX('Partner data'!A:DH,MATCH(C408,'Partner data'!DG:DG,0),112)="BL1 non presente","FALSO",INDEX('Partner data'!A:DH,MATCH(C408,'Partner data'!DG:DG,0),112)))</f>
        <v>0</v>
      </c>
      <c r="S408" t="b">
        <f t="shared" si="12"/>
        <v>1</v>
      </c>
      <c r="T408" t="b">
        <f t="shared" si="13"/>
        <v>1</v>
      </c>
      <c r="U408" s="154">
        <f>IFERROR(IF(R408&lt;&gt;FALSE,IF(S408=TRUE,INDEX('SummaryNOT_VALIDATED-BL'!$A$1:$F$16,MATCH(R408,'SummaryNOT_VALIDATED-BL'!$A$1:$A$16,0),6),0),IF(S408=TRUE,INDEX('SummaryNOT_VALIDATED-BL'!$A$1:$F$16,MATCH(E408,'SummaryNOT_VALIDATED-BL'!$A$1:$A$16,0),6),0)),0)</f>
        <v>6.6460469504890221E-2</v>
      </c>
      <c r="V408" s="81" cm="1">
        <f t="array" ref="V408">INDEX('Weight tables'!$A$24:$C$27,MATCH(1,(RendicontiTrasmessiBL__2[[#This Row],[Cut percentage on real costs + USC]]&gt;='Weight tables'!$B$24:$B$27)*(RendicontiTrasmessiBL__2[[#This Row],[Cut percentage on real costs + USC]]&lt;='Weight tables'!$C$24:$C$27),0),1)</f>
        <v>4</v>
      </c>
      <c r="W408" s="2">
        <f>RendicontiTrasmessiBL__2[[#This Row],[Weight real costs  + USC ]]</f>
        <v>4</v>
      </c>
    </row>
    <row r="409" spans="1:23" x14ac:dyDescent="0.25">
      <c r="A409" s="1" t="s">
        <v>250</v>
      </c>
      <c r="B409" s="1" t="s">
        <v>261</v>
      </c>
      <c r="C409" s="2">
        <v>32</v>
      </c>
      <c r="D409" s="2">
        <v>252</v>
      </c>
      <c r="E409" s="1" t="s">
        <v>230</v>
      </c>
      <c r="F409">
        <v>4</v>
      </c>
      <c r="G409">
        <v>3412</v>
      </c>
      <c r="H409">
        <v>0</v>
      </c>
      <c r="I409">
        <v>0</v>
      </c>
      <c r="J409">
        <v>1072.56</v>
      </c>
      <c r="K409">
        <v>0</v>
      </c>
      <c r="L409">
        <v>0</v>
      </c>
      <c r="M409">
        <v>1072.56</v>
      </c>
      <c r="N409">
        <v>31.43</v>
      </c>
      <c r="O409">
        <v>2339.44</v>
      </c>
      <c r="P409">
        <v>0</v>
      </c>
      <c r="Q409" t="str">
        <f>INDEX('Partner data'!A:DH,MATCH(C409,'Partner data'!DG:DG,0),83)</f>
        <v>Soggetto pubblico</v>
      </c>
      <c r="R409" t="b">
        <f>IF(E409="staff",IF(INDEX('Partner data'!A:DH,MATCH(C409,'Partner data'!DG:DG,0),112)="BL1 non presente","FALSO",INDEX('Partner data'!A:DH,MATCH(C409,'Partner data'!DG:DG,0),112)))</f>
        <v>0</v>
      </c>
      <c r="S409" t="b">
        <f t="shared" si="12"/>
        <v>1</v>
      </c>
      <c r="T409" t="b">
        <f t="shared" si="13"/>
        <v>1</v>
      </c>
      <c r="U409" s="154">
        <f>IFERROR(IF(R409&lt;&gt;FALSE,IF(S409=TRUE,INDEX('SummaryNOT_VALIDATED-BL'!$A$1:$F$16,MATCH(R409,'SummaryNOT_VALIDATED-BL'!$A$1:$A$16,0),6),0),IF(S409=TRUE,INDEX('SummaryNOT_VALIDATED-BL'!$A$1:$F$16,MATCH(E409,'SummaryNOT_VALIDATED-BL'!$A$1:$A$16,0),6),0)),0)</f>
        <v>6.3112622236488891E-2</v>
      </c>
      <c r="V409" s="81" cm="1">
        <f t="array" ref="V409">INDEX('Weight tables'!$A$24:$C$27,MATCH(1,(RendicontiTrasmessiBL__2[[#This Row],[Cut percentage on real costs + USC]]&gt;='Weight tables'!$B$24:$B$27)*(RendicontiTrasmessiBL__2[[#This Row],[Cut percentage on real costs + USC]]&lt;='Weight tables'!$C$24:$C$27),0),1)</f>
        <v>4</v>
      </c>
      <c r="W409" s="2">
        <f>RendicontiTrasmessiBL__2[[#This Row],[Weight real costs  + USC ]]</f>
        <v>4</v>
      </c>
    </row>
    <row r="410" spans="1:23" x14ac:dyDescent="0.25">
      <c r="A410" s="1" t="s">
        <v>250</v>
      </c>
      <c r="B410" s="1" t="s">
        <v>261</v>
      </c>
      <c r="C410" s="2">
        <v>32</v>
      </c>
      <c r="D410" s="2">
        <v>252</v>
      </c>
      <c r="E410" s="1" t="s">
        <v>231</v>
      </c>
      <c r="G410">
        <v>6500</v>
      </c>
      <c r="H410">
        <v>0</v>
      </c>
      <c r="I410">
        <v>0</v>
      </c>
      <c r="J410">
        <v>0</v>
      </c>
      <c r="K410">
        <v>0</v>
      </c>
      <c r="L410">
        <v>0</v>
      </c>
      <c r="M410">
        <v>0</v>
      </c>
      <c r="N410">
        <v>0</v>
      </c>
      <c r="O410">
        <v>6500</v>
      </c>
      <c r="P410">
        <v>0</v>
      </c>
      <c r="Q410" t="str">
        <f>INDEX('Partner data'!A:DH,MATCH(C410,'Partner data'!DG:DG,0),83)</f>
        <v>Soggetto pubblico</v>
      </c>
      <c r="R410" t="b">
        <f>IF(E410="staff",IF(INDEX('Partner data'!A:DH,MATCH(C410,'Partner data'!DG:DG,0),112)="BL1 non presente","FALSO",INDEX('Partner data'!A:DH,MATCH(C410,'Partner data'!DG:DG,0),112)))</f>
        <v>0</v>
      </c>
      <c r="S410" t="b">
        <f t="shared" si="12"/>
        <v>0</v>
      </c>
      <c r="T410" t="b">
        <f t="shared" si="13"/>
        <v>1</v>
      </c>
      <c r="U410" s="154">
        <f>IFERROR(IF(R410&lt;&gt;FALSE,IF(S410=TRUE,INDEX('SummaryNOT_VALIDATED-BL'!$A$1:$F$16,MATCH(R410,'SummaryNOT_VALIDATED-BL'!$A$1:$A$16,0),6),0),IF(S410=TRUE,INDEX('SummaryNOT_VALIDATED-BL'!$A$1:$F$16,MATCH(E410,'SummaryNOT_VALIDATED-BL'!$A$1:$A$16,0),6),0)),0)</f>
        <v>0</v>
      </c>
      <c r="V410" s="81" cm="1">
        <f t="array" ref="V410">INDEX('Weight tables'!$A$24:$C$27,MATCH(1,(RendicontiTrasmessiBL__2[[#This Row],[Cut percentage on real costs + USC]]&gt;='Weight tables'!$B$24:$B$27)*(RendicontiTrasmessiBL__2[[#This Row],[Cut percentage on real costs + USC]]&lt;='Weight tables'!$C$24:$C$27),0),1)</f>
        <v>0</v>
      </c>
      <c r="W410" s="2">
        <f>RendicontiTrasmessiBL__2[[#This Row],[Weight real costs  + USC ]]</f>
        <v>0</v>
      </c>
    </row>
    <row r="411" spans="1:23" x14ac:dyDescent="0.25">
      <c r="A411" s="1" t="s">
        <v>250</v>
      </c>
      <c r="B411" s="1" t="s">
        <v>261</v>
      </c>
      <c r="C411" s="2">
        <v>32</v>
      </c>
      <c r="D411" s="2">
        <v>252</v>
      </c>
      <c r="E411" s="1" t="s">
        <v>232</v>
      </c>
      <c r="G411">
        <v>0</v>
      </c>
      <c r="H411">
        <v>0</v>
      </c>
      <c r="I411">
        <v>0</v>
      </c>
      <c r="J411">
        <v>0</v>
      </c>
      <c r="K411">
        <v>0</v>
      </c>
      <c r="L411">
        <v>0</v>
      </c>
      <c r="M411">
        <v>0</v>
      </c>
      <c r="N411">
        <v>0</v>
      </c>
      <c r="O411">
        <v>0</v>
      </c>
      <c r="P411">
        <v>0</v>
      </c>
      <c r="Q411" t="str">
        <f>INDEX('Partner data'!A:DH,MATCH(C411,'Partner data'!DG:DG,0),83)</f>
        <v>Soggetto pubblico</v>
      </c>
      <c r="R411" t="b">
        <f>IF(E411="staff",IF(INDEX('Partner data'!A:DH,MATCH(C411,'Partner data'!DG:DG,0),112)="BL1 non presente","FALSO",INDEX('Partner data'!A:DH,MATCH(C411,'Partner data'!DG:DG,0),112)))</f>
        <v>0</v>
      </c>
      <c r="S411" t="b">
        <f t="shared" si="12"/>
        <v>0</v>
      </c>
      <c r="T411" t="b">
        <f t="shared" si="13"/>
        <v>1</v>
      </c>
      <c r="U411" s="154">
        <f>IFERROR(IF(R411&lt;&gt;FALSE,IF(S411=TRUE,INDEX('SummaryNOT_VALIDATED-BL'!$A$1:$F$16,MATCH(R411,'SummaryNOT_VALIDATED-BL'!$A$1:$A$16,0),6),0),IF(S411=TRUE,INDEX('SummaryNOT_VALIDATED-BL'!$A$1:$F$16,MATCH(E411,'SummaryNOT_VALIDATED-BL'!$A$1:$A$16,0),6),0)),0)</f>
        <v>0</v>
      </c>
      <c r="V411" s="81" cm="1">
        <f t="array" ref="V411">INDEX('Weight tables'!$A$24:$C$27,MATCH(1,(RendicontiTrasmessiBL__2[[#This Row],[Cut percentage on real costs + USC]]&gt;='Weight tables'!$B$24:$B$27)*(RendicontiTrasmessiBL__2[[#This Row],[Cut percentage on real costs + USC]]&lt;='Weight tables'!$C$24:$C$27),0),1)</f>
        <v>0</v>
      </c>
      <c r="W411" s="2">
        <f>RendicontiTrasmessiBL__2[[#This Row],[Weight real costs  + USC ]]</f>
        <v>0</v>
      </c>
    </row>
    <row r="412" spans="1:23" x14ac:dyDescent="0.25">
      <c r="A412" s="1" t="s">
        <v>250</v>
      </c>
      <c r="B412" s="1" t="s">
        <v>261</v>
      </c>
      <c r="C412" s="2">
        <v>32</v>
      </c>
      <c r="D412" s="2">
        <v>252</v>
      </c>
      <c r="E412" s="1" t="s">
        <v>233</v>
      </c>
      <c r="G412">
        <v>0</v>
      </c>
      <c r="H412">
        <v>0</v>
      </c>
      <c r="I412">
        <v>0</v>
      </c>
      <c r="J412">
        <v>0</v>
      </c>
      <c r="K412">
        <v>0</v>
      </c>
      <c r="L412">
        <v>0</v>
      </c>
      <c r="M412">
        <v>0</v>
      </c>
      <c r="N412">
        <v>0</v>
      </c>
      <c r="O412">
        <v>0</v>
      </c>
      <c r="P412">
        <v>0</v>
      </c>
      <c r="Q412" t="str">
        <f>INDEX('Partner data'!A:DH,MATCH(C412,'Partner data'!DG:DG,0),83)</f>
        <v>Soggetto pubblico</v>
      </c>
      <c r="R412" t="b">
        <f>IF(E412="staff",IF(INDEX('Partner data'!A:DH,MATCH(C412,'Partner data'!DG:DG,0),112)="BL1 non presente","FALSO",INDEX('Partner data'!A:DH,MATCH(C412,'Partner data'!DG:DG,0),112)))</f>
        <v>0</v>
      </c>
      <c r="S412" t="b">
        <f t="shared" si="12"/>
        <v>0</v>
      </c>
      <c r="T412" t="b">
        <f t="shared" si="13"/>
        <v>1</v>
      </c>
      <c r="U412" s="154">
        <f>IFERROR(IF(R412&lt;&gt;FALSE,IF(S412=TRUE,INDEX('SummaryNOT_VALIDATED-BL'!$A$1:$F$16,MATCH(R412,'SummaryNOT_VALIDATED-BL'!$A$1:$A$16,0),6),0),IF(S412=TRUE,INDEX('SummaryNOT_VALIDATED-BL'!$A$1:$F$16,MATCH(E412,'SummaryNOT_VALIDATED-BL'!$A$1:$A$16,0),6),0)),0)</f>
        <v>0</v>
      </c>
      <c r="V412" s="81" cm="1">
        <f t="array" ref="V412">INDEX('Weight tables'!$A$24:$C$27,MATCH(1,(RendicontiTrasmessiBL__2[[#This Row],[Cut percentage on real costs + USC]]&gt;='Weight tables'!$B$24:$B$27)*(RendicontiTrasmessiBL__2[[#This Row],[Cut percentage on real costs + USC]]&lt;='Weight tables'!$C$24:$C$27),0),1)</f>
        <v>0</v>
      </c>
      <c r="W412" s="2">
        <f>RendicontiTrasmessiBL__2[[#This Row],[Weight real costs  + USC ]]</f>
        <v>0</v>
      </c>
    </row>
    <row r="413" spans="1:23" x14ac:dyDescent="0.25">
      <c r="A413" s="1" t="s">
        <v>250</v>
      </c>
      <c r="B413" s="1" t="s">
        <v>261</v>
      </c>
      <c r="C413" s="2">
        <v>32</v>
      </c>
      <c r="D413" s="2">
        <v>252</v>
      </c>
      <c r="E413" s="1" t="s">
        <v>234</v>
      </c>
      <c r="G413">
        <v>0</v>
      </c>
      <c r="H413">
        <v>0</v>
      </c>
      <c r="I413">
        <v>0</v>
      </c>
      <c r="J413">
        <v>0</v>
      </c>
      <c r="K413">
        <v>0</v>
      </c>
      <c r="L413">
        <v>0</v>
      </c>
      <c r="M413">
        <v>0</v>
      </c>
      <c r="N413">
        <v>0</v>
      </c>
      <c r="O413">
        <v>0</v>
      </c>
      <c r="P413">
        <v>0</v>
      </c>
      <c r="Q413" t="str">
        <f>INDEX('Partner data'!A:DH,MATCH(C413,'Partner data'!DG:DG,0),83)</f>
        <v>Soggetto pubblico</v>
      </c>
      <c r="R413" t="b">
        <f>IF(E413="staff",IF(INDEX('Partner data'!A:DH,MATCH(C413,'Partner data'!DG:DG,0),112)="BL1 non presente","FALSO",INDEX('Partner data'!A:DH,MATCH(C413,'Partner data'!DG:DG,0),112)))</f>
        <v>0</v>
      </c>
      <c r="S413" t="b">
        <f t="shared" si="12"/>
        <v>0</v>
      </c>
      <c r="T413" t="b">
        <f t="shared" si="13"/>
        <v>1</v>
      </c>
      <c r="U413" s="154">
        <f>IFERROR(IF(R413&lt;&gt;FALSE,IF(S413=TRUE,INDEX('SummaryNOT_VALIDATED-BL'!$A$1:$F$16,MATCH(R413,'SummaryNOT_VALIDATED-BL'!$A$1:$A$16,0),6),0),IF(S413=TRUE,INDEX('SummaryNOT_VALIDATED-BL'!$A$1:$F$16,MATCH(E413,'SummaryNOT_VALIDATED-BL'!$A$1:$A$16,0),6),0)),0)</f>
        <v>0</v>
      </c>
      <c r="V413" s="81" cm="1">
        <f t="array" ref="V413">INDEX('Weight tables'!$A$24:$C$27,MATCH(1,(RendicontiTrasmessiBL__2[[#This Row],[Cut percentage on real costs + USC]]&gt;='Weight tables'!$B$24:$B$27)*(RendicontiTrasmessiBL__2[[#This Row],[Cut percentage on real costs + USC]]&lt;='Weight tables'!$C$24:$C$27),0),1)</f>
        <v>0</v>
      </c>
      <c r="W413" s="2">
        <f>RendicontiTrasmessiBL__2[[#This Row],[Weight real costs  + USC ]]</f>
        <v>0</v>
      </c>
    </row>
    <row r="414" spans="1:23" x14ac:dyDescent="0.25">
      <c r="A414" s="1" t="s">
        <v>250</v>
      </c>
      <c r="B414" s="1" t="s">
        <v>261</v>
      </c>
      <c r="C414" s="2">
        <v>32</v>
      </c>
      <c r="D414" s="2">
        <v>252</v>
      </c>
      <c r="E414" s="1" t="s">
        <v>236</v>
      </c>
      <c r="G414">
        <v>0</v>
      </c>
      <c r="H414">
        <v>0</v>
      </c>
      <c r="I414">
        <v>0</v>
      </c>
      <c r="J414">
        <v>0</v>
      </c>
      <c r="K414">
        <v>0</v>
      </c>
      <c r="L414">
        <v>0</v>
      </c>
      <c r="M414">
        <v>0</v>
      </c>
      <c r="N414">
        <v>0</v>
      </c>
      <c r="O414">
        <v>0</v>
      </c>
      <c r="P414">
        <v>0</v>
      </c>
      <c r="Q414" t="str">
        <f>INDEX('Partner data'!A:DH,MATCH(C414,'Partner data'!DG:DG,0),83)</f>
        <v>Soggetto pubblico</v>
      </c>
      <c r="R414" t="b">
        <f>IF(E414="staff",IF(INDEX('Partner data'!A:DH,MATCH(C414,'Partner data'!DG:DG,0),112)="BL1 non presente","FALSO",INDEX('Partner data'!A:DH,MATCH(C414,'Partner data'!DG:DG,0),112)))</f>
        <v>0</v>
      </c>
      <c r="S414" t="b">
        <f t="shared" si="12"/>
        <v>0</v>
      </c>
      <c r="T414" t="b">
        <f t="shared" si="13"/>
        <v>1</v>
      </c>
      <c r="U414" s="154">
        <f>IFERROR(IF(R414&lt;&gt;FALSE,IF(S414=TRUE,INDEX('SummaryNOT_VALIDATED-BL'!$A$1:$F$16,MATCH(R414,'SummaryNOT_VALIDATED-BL'!$A$1:$A$16,0),6),0),IF(S414=TRUE,INDEX('SummaryNOT_VALIDATED-BL'!$A$1:$F$16,MATCH(E414,'SummaryNOT_VALIDATED-BL'!$A$1:$A$16,0),6),0)),0)</f>
        <v>0</v>
      </c>
      <c r="V414" s="81" cm="1">
        <f t="array" ref="V414">INDEX('Weight tables'!$A$24:$C$27,MATCH(1,(RendicontiTrasmessiBL__2[[#This Row],[Cut percentage on real costs + USC]]&gt;='Weight tables'!$B$24:$B$27)*(RendicontiTrasmessiBL__2[[#This Row],[Cut percentage on real costs + USC]]&lt;='Weight tables'!$C$24:$C$27),0),1)</f>
        <v>0</v>
      </c>
      <c r="W414" s="2">
        <f>RendicontiTrasmessiBL__2[[#This Row],[Weight real costs  + USC ]]</f>
        <v>0</v>
      </c>
    </row>
    <row r="415" spans="1:23" x14ac:dyDescent="0.25">
      <c r="A415" s="1" t="s">
        <v>250</v>
      </c>
      <c r="B415" s="1" t="s">
        <v>261</v>
      </c>
      <c r="C415" s="2">
        <v>32</v>
      </c>
      <c r="D415" s="2">
        <v>252</v>
      </c>
      <c r="E415" s="1" t="s">
        <v>237</v>
      </c>
      <c r="G415">
        <v>0</v>
      </c>
      <c r="H415">
        <v>0</v>
      </c>
      <c r="I415">
        <v>0</v>
      </c>
      <c r="J415">
        <v>0</v>
      </c>
      <c r="K415">
        <v>0</v>
      </c>
      <c r="L415">
        <v>0</v>
      </c>
      <c r="M415">
        <v>0</v>
      </c>
      <c r="N415">
        <v>0</v>
      </c>
      <c r="O415">
        <v>0</v>
      </c>
      <c r="P415">
        <v>0</v>
      </c>
      <c r="Q415" t="str">
        <f>INDEX('Partner data'!A:DH,MATCH(C415,'Partner data'!DG:DG,0),83)</f>
        <v>Soggetto pubblico</v>
      </c>
      <c r="R415" t="b">
        <f>IF(E415="staff",IF(INDEX('Partner data'!A:DH,MATCH(C415,'Partner data'!DG:DG,0),112)="BL1 non presente","FALSO",INDEX('Partner data'!A:DH,MATCH(C415,'Partner data'!DG:DG,0),112)))</f>
        <v>0</v>
      </c>
      <c r="S415" t="b">
        <f t="shared" si="12"/>
        <v>0</v>
      </c>
      <c r="T415" t="b">
        <f t="shared" si="13"/>
        <v>1</v>
      </c>
      <c r="U415" s="154">
        <f>IFERROR(IF(R415&lt;&gt;FALSE,IF(S415=TRUE,INDEX('SummaryNOT_VALIDATED-BL'!$A$1:$F$16,MATCH(R415,'SummaryNOT_VALIDATED-BL'!$A$1:$A$16,0),6),0),IF(S415=TRUE,INDEX('SummaryNOT_VALIDATED-BL'!$A$1:$F$16,MATCH(E415,'SummaryNOT_VALIDATED-BL'!$A$1:$A$16,0),6),0)),0)</f>
        <v>0</v>
      </c>
      <c r="V415" s="81" cm="1">
        <f t="array" ref="V415">INDEX('Weight tables'!$A$24:$C$27,MATCH(1,(RendicontiTrasmessiBL__2[[#This Row],[Cut percentage on real costs + USC]]&gt;='Weight tables'!$B$24:$B$27)*(RendicontiTrasmessiBL__2[[#This Row],[Cut percentage on real costs + USC]]&lt;='Weight tables'!$C$24:$C$27),0),1)</f>
        <v>0</v>
      </c>
      <c r="W415" s="2">
        <f>RendicontiTrasmessiBL__2[[#This Row],[Weight real costs  + USC ]]</f>
        <v>0</v>
      </c>
    </row>
    <row r="416" spans="1:23" x14ac:dyDescent="0.25">
      <c r="A416" s="1" t="s">
        <v>250</v>
      </c>
      <c r="B416" s="1" t="s">
        <v>262</v>
      </c>
      <c r="C416" s="2">
        <v>30</v>
      </c>
      <c r="D416" s="2">
        <v>271</v>
      </c>
      <c r="E416" s="1" t="s">
        <v>228</v>
      </c>
      <c r="G416">
        <v>20863.75</v>
      </c>
      <c r="H416">
        <v>0</v>
      </c>
      <c r="I416">
        <v>0</v>
      </c>
      <c r="J416">
        <v>6329.4</v>
      </c>
      <c r="K416">
        <v>0</v>
      </c>
      <c r="L416">
        <v>0</v>
      </c>
      <c r="M416">
        <v>6329.4</v>
      </c>
      <c r="N416">
        <v>30.34</v>
      </c>
      <c r="O416">
        <v>14534.35</v>
      </c>
      <c r="P416">
        <v>0</v>
      </c>
      <c r="Q416" t="str">
        <f>INDEX('Partner data'!A:DH,MATCH(C416,'Partner data'!DG:DG,0),83)</f>
        <v>Soggetto pubblico</v>
      </c>
      <c r="R416" t="str">
        <f>IF(E416="staff",IF(INDEX('Partner data'!A:DH,MATCH(C416,'Partner data'!DG:DG,0),112)="BL1 non presente","FALSO",INDEX('Partner data'!A:DH,MATCH(C416,'Partner data'!DG:DG,0),112)))</f>
        <v>COSTO REALE</v>
      </c>
      <c r="S416" t="b">
        <f t="shared" si="12"/>
        <v>1</v>
      </c>
      <c r="T416" t="b">
        <f t="shared" si="13"/>
        <v>1</v>
      </c>
      <c r="U416" s="154">
        <f>IFERROR(IF(R416&lt;&gt;FALSE,IF(S416=TRUE,INDEX('SummaryNOT_VALIDATED-BL'!$A$1:$F$16,MATCH(R416,'SummaryNOT_VALIDATED-BL'!$A$1:$A$16,0),6),0),IF(S416=TRUE,INDEX('SummaryNOT_VALIDATED-BL'!$A$1:$F$16,MATCH(E416,'SummaryNOT_VALIDATED-BL'!$A$1:$A$16,0),6),0)),0)</f>
        <v>9.1604133276901048E-2</v>
      </c>
      <c r="V416" s="81" cm="1">
        <f t="array" ref="V416">INDEX('Weight tables'!$A$24:$C$27,MATCH(1,(RendicontiTrasmessiBL__2[[#This Row],[Cut percentage on real costs + USC]]&gt;='Weight tables'!$B$24:$B$27)*(RendicontiTrasmessiBL__2[[#This Row],[Cut percentage on real costs + USC]]&lt;='Weight tables'!$C$24:$C$27),0),1)</f>
        <v>4</v>
      </c>
      <c r="W416" s="2">
        <f>RendicontiTrasmessiBL__2[[#This Row],[Weight real costs  + USC ]]</f>
        <v>4</v>
      </c>
    </row>
    <row r="417" spans="1:23" x14ac:dyDescent="0.25">
      <c r="A417" s="1" t="s">
        <v>250</v>
      </c>
      <c r="B417" s="1" t="s">
        <v>262</v>
      </c>
      <c r="C417" s="2">
        <v>30</v>
      </c>
      <c r="D417" s="2">
        <v>271</v>
      </c>
      <c r="E417" s="1" t="s">
        <v>229</v>
      </c>
      <c r="F417">
        <v>15</v>
      </c>
      <c r="G417">
        <v>3129.56</v>
      </c>
      <c r="H417">
        <v>0</v>
      </c>
      <c r="I417">
        <v>0</v>
      </c>
      <c r="J417">
        <v>949.41</v>
      </c>
      <c r="K417">
        <v>0</v>
      </c>
      <c r="L417">
        <v>0</v>
      </c>
      <c r="M417">
        <v>949.41</v>
      </c>
      <c r="N417">
        <v>30.34</v>
      </c>
      <c r="O417">
        <v>2180.15</v>
      </c>
      <c r="P417">
        <v>0</v>
      </c>
      <c r="Q417" t="str">
        <f>INDEX('Partner data'!A:DH,MATCH(C417,'Partner data'!DG:DG,0),83)</f>
        <v>Soggetto pubblico</v>
      </c>
      <c r="R417" t="b">
        <f>IF(E417="staff",IF(INDEX('Partner data'!A:DH,MATCH(C417,'Partner data'!DG:DG,0),112)="BL1 non presente","FALSO",INDEX('Partner data'!A:DH,MATCH(C417,'Partner data'!DG:DG,0),112)))</f>
        <v>0</v>
      </c>
      <c r="S417" t="b">
        <f t="shared" si="12"/>
        <v>1</v>
      </c>
      <c r="T417" t="b">
        <f t="shared" si="13"/>
        <v>1</v>
      </c>
      <c r="U417" s="154">
        <f>IFERROR(IF(R417&lt;&gt;FALSE,IF(S417=TRUE,INDEX('SummaryNOT_VALIDATED-BL'!$A$1:$F$16,MATCH(R417,'SummaryNOT_VALIDATED-BL'!$A$1:$A$16,0),6),0),IF(S417=TRUE,INDEX('SummaryNOT_VALIDATED-BL'!$A$1:$F$16,MATCH(E417,'SummaryNOT_VALIDATED-BL'!$A$1:$A$16,0),6),0)),0)</f>
        <v>6.6460469504890221E-2</v>
      </c>
      <c r="V417" s="81" cm="1">
        <f t="array" ref="V417">INDEX('Weight tables'!$A$24:$C$27,MATCH(1,(RendicontiTrasmessiBL__2[[#This Row],[Cut percentage on real costs + USC]]&gt;='Weight tables'!$B$24:$B$27)*(RendicontiTrasmessiBL__2[[#This Row],[Cut percentage on real costs + USC]]&lt;='Weight tables'!$C$24:$C$27),0),1)</f>
        <v>4</v>
      </c>
      <c r="W417" s="2">
        <f>RendicontiTrasmessiBL__2[[#This Row],[Weight real costs  + USC ]]</f>
        <v>4</v>
      </c>
    </row>
    <row r="418" spans="1:23" x14ac:dyDescent="0.25">
      <c r="A418" s="1" t="s">
        <v>250</v>
      </c>
      <c r="B418" s="1" t="s">
        <v>262</v>
      </c>
      <c r="C418" s="2">
        <v>30</v>
      </c>
      <c r="D418" s="2">
        <v>271</v>
      </c>
      <c r="E418" s="1" t="s">
        <v>230</v>
      </c>
      <c r="F418">
        <v>4</v>
      </c>
      <c r="G418">
        <v>834.55</v>
      </c>
      <c r="H418">
        <v>0</v>
      </c>
      <c r="I418">
        <v>0</v>
      </c>
      <c r="J418">
        <v>253.17</v>
      </c>
      <c r="K418">
        <v>0</v>
      </c>
      <c r="L418">
        <v>0</v>
      </c>
      <c r="M418">
        <v>253.17</v>
      </c>
      <c r="N418">
        <v>30.34</v>
      </c>
      <c r="O418">
        <v>581.38</v>
      </c>
      <c r="P418">
        <v>0</v>
      </c>
      <c r="Q418" t="str">
        <f>INDEX('Partner data'!A:DH,MATCH(C418,'Partner data'!DG:DG,0),83)</f>
        <v>Soggetto pubblico</v>
      </c>
      <c r="R418" t="b">
        <f>IF(E418="staff",IF(INDEX('Partner data'!A:DH,MATCH(C418,'Partner data'!DG:DG,0),112)="BL1 non presente","FALSO",INDEX('Partner data'!A:DH,MATCH(C418,'Partner data'!DG:DG,0),112)))</f>
        <v>0</v>
      </c>
      <c r="S418" t="b">
        <f t="shared" si="12"/>
        <v>1</v>
      </c>
      <c r="T418" t="b">
        <f t="shared" si="13"/>
        <v>1</v>
      </c>
      <c r="U418" s="154">
        <f>IFERROR(IF(R418&lt;&gt;FALSE,IF(S418=TRUE,INDEX('SummaryNOT_VALIDATED-BL'!$A$1:$F$16,MATCH(R418,'SummaryNOT_VALIDATED-BL'!$A$1:$A$16,0),6),0),IF(S418=TRUE,INDEX('SummaryNOT_VALIDATED-BL'!$A$1:$F$16,MATCH(E418,'SummaryNOT_VALIDATED-BL'!$A$1:$A$16,0),6),0)),0)</f>
        <v>6.3112622236488891E-2</v>
      </c>
      <c r="V418" s="81" cm="1">
        <f t="array" ref="V418">INDEX('Weight tables'!$A$24:$C$27,MATCH(1,(RendicontiTrasmessiBL__2[[#This Row],[Cut percentage on real costs + USC]]&gt;='Weight tables'!$B$24:$B$27)*(RendicontiTrasmessiBL__2[[#This Row],[Cut percentage on real costs + USC]]&lt;='Weight tables'!$C$24:$C$27),0),1)</f>
        <v>4</v>
      </c>
      <c r="W418" s="2">
        <f>RendicontiTrasmessiBL__2[[#This Row],[Weight real costs  + USC ]]</f>
        <v>4</v>
      </c>
    </row>
    <row r="419" spans="1:23" x14ac:dyDescent="0.25">
      <c r="A419" s="1" t="s">
        <v>250</v>
      </c>
      <c r="B419" s="1" t="s">
        <v>262</v>
      </c>
      <c r="C419" s="2">
        <v>30</v>
      </c>
      <c r="D419" s="2">
        <v>271</v>
      </c>
      <c r="E419" s="1" t="s">
        <v>231</v>
      </c>
      <c r="G419">
        <v>62503.58</v>
      </c>
      <c r="H419">
        <v>0</v>
      </c>
      <c r="I419">
        <v>0</v>
      </c>
      <c r="J419">
        <v>1458.67</v>
      </c>
      <c r="K419">
        <v>0</v>
      </c>
      <c r="L419">
        <v>0</v>
      </c>
      <c r="M419">
        <v>1458.67</v>
      </c>
      <c r="N419">
        <v>2.33</v>
      </c>
      <c r="O419">
        <v>61044.91</v>
      </c>
      <c r="P419">
        <v>0</v>
      </c>
      <c r="Q419" t="str">
        <f>INDEX('Partner data'!A:DH,MATCH(C419,'Partner data'!DG:DG,0),83)</f>
        <v>Soggetto pubblico</v>
      </c>
      <c r="R419" t="b">
        <f>IF(E419="staff",IF(INDEX('Partner data'!A:DH,MATCH(C419,'Partner data'!DG:DG,0),112)="BL1 non presente","FALSO",INDEX('Partner data'!A:DH,MATCH(C419,'Partner data'!DG:DG,0),112)))</f>
        <v>0</v>
      </c>
      <c r="S419" t="b">
        <f t="shared" si="12"/>
        <v>1</v>
      </c>
      <c r="T419" t="b">
        <f t="shared" si="13"/>
        <v>1</v>
      </c>
      <c r="U419" s="154">
        <f>IFERROR(IF(R419&lt;&gt;FALSE,IF(S419=TRUE,INDEX('SummaryNOT_VALIDATED-BL'!$A$1:$F$16,MATCH(R419,'SummaryNOT_VALIDATED-BL'!$A$1:$A$16,0),6),0),IF(S419=TRUE,INDEX('SummaryNOT_VALIDATED-BL'!$A$1:$F$16,MATCH(E419,'SummaryNOT_VALIDATED-BL'!$A$1:$A$16,0),6),0)),0)</f>
        <v>5.577594442215475E-2</v>
      </c>
      <c r="V419" s="81" cm="1">
        <f t="array" ref="V419">INDEX('Weight tables'!$A$24:$C$27,MATCH(1,(RendicontiTrasmessiBL__2[[#This Row],[Cut percentage on real costs + USC]]&gt;='Weight tables'!$B$24:$B$27)*(RendicontiTrasmessiBL__2[[#This Row],[Cut percentage on real costs + USC]]&lt;='Weight tables'!$C$24:$C$27),0),1)</f>
        <v>4</v>
      </c>
      <c r="W419" s="2">
        <f>RendicontiTrasmessiBL__2[[#This Row],[Weight real costs  + USC ]]</f>
        <v>4</v>
      </c>
    </row>
    <row r="420" spans="1:23" x14ac:dyDescent="0.25">
      <c r="A420" s="1" t="s">
        <v>250</v>
      </c>
      <c r="B420" s="1" t="s">
        <v>262</v>
      </c>
      <c r="C420" s="2">
        <v>30</v>
      </c>
      <c r="D420" s="2">
        <v>271</v>
      </c>
      <c r="E420" s="1" t="s">
        <v>232</v>
      </c>
      <c r="G420">
        <v>1006.1</v>
      </c>
      <c r="H420">
        <v>0</v>
      </c>
      <c r="I420">
        <v>0</v>
      </c>
      <c r="J420">
        <v>0</v>
      </c>
      <c r="K420">
        <v>0</v>
      </c>
      <c r="L420">
        <v>0</v>
      </c>
      <c r="M420">
        <v>0</v>
      </c>
      <c r="N420">
        <v>0</v>
      </c>
      <c r="O420">
        <v>1006.1</v>
      </c>
      <c r="P420">
        <v>0</v>
      </c>
      <c r="Q420" t="str">
        <f>INDEX('Partner data'!A:DH,MATCH(C420,'Partner data'!DG:DG,0),83)</f>
        <v>Soggetto pubblico</v>
      </c>
      <c r="R420" t="b">
        <f>IF(E420="staff",IF(INDEX('Partner data'!A:DH,MATCH(C420,'Partner data'!DG:DG,0),112)="BL1 non presente","FALSO",INDEX('Partner data'!A:DH,MATCH(C420,'Partner data'!DG:DG,0),112)))</f>
        <v>0</v>
      </c>
      <c r="S420" t="b">
        <f t="shared" si="12"/>
        <v>0</v>
      </c>
      <c r="T420" t="b">
        <f t="shared" si="13"/>
        <v>1</v>
      </c>
      <c r="U420" s="154">
        <f>IFERROR(IF(R420&lt;&gt;FALSE,IF(S420=TRUE,INDEX('SummaryNOT_VALIDATED-BL'!$A$1:$F$16,MATCH(R420,'SummaryNOT_VALIDATED-BL'!$A$1:$A$16,0),6),0),IF(S420=TRUE,INDEX('SummaryNOT_VALIDATED-BL'!$A$1:$F$16,MATCH(E420,'SummaryNOT_VALIDATED-BL'!$A$1:$A$16,0),6),0)),0)</f>
        <v>0</v>
      </c>
      <c r="V420" s="81" cm="1">
        <f t="array" ref="V420">INDEX('Weight tables'!$A$24:$C$27,MATCH(1,(RendicontiTrasmessiBL__2[[#This Row],[Cut percentage on real costs + USC]]&gt;='Weight tables'!$B$24:$B$27)*(RendicontiTrasmessiBL__2[[#This Row],[Cut percentage on real costs + USC]]&lt;='Weight tables'!$C$24:$C$27),0),1)</f>
        <v>0</v>
      </c>
      <c r="W420" s="2">
        <f>RendicontiTrasmessiBL__2[[#This Row],[Weight real costs  + USC ]]</f>
        <v>0</v>
      </c>
    </row>
    <row r="421" spans="1:23" x14ac:dyDescent="0.25">
      <c r="A421" s="1" t="s">
        <v>250</v>
      </c>
      <c r="B421" s="1" t="s">
        <v>262</v>
      </c>
      <c r="C421" s="2">
        <v>30</v>
      </c>
      <c r="D421" s="2">
        <v>271</v>
      </c>
      <c r="E421" s="1" t="s">
        <v>233</v>
      </c>
      <c r="G421">
        <v>0</v>
      </c>
      <c r="H421">
        <v>0</v>
      </c>
      <c r="I421">
        <v>0</v>
      </c>
      <c r="J421">
        <v>0</v>
      </c>
      <c r="K421">
        <v>0</v>
      </c>
      <c r="L421">
        <v>0</v>
      </c>
      <c r="M421">
        <v>0</v>
      </c>
      <c r="N421">
        <v>0</v>
      </c>
      <c r="O421">
        <v>0</v>
      </c>
      <c r="P421">
        <v>0</v>
      </c>
      <c r="Q421" t="str">
        <f>INDEX('Partner data'!A:DH,MATCH(C421,'Partner data'!DG:DG,0),83)</f>
        <v>Soggetto pubblico</v>
      </c>
      <c r="R421" t="b">
        <f>IF(E421="staff",IF(INDEX('Partner data'!A:DH,MATCH(C421,'Partner data'!DG:DG,0),112)="BL1 non presente","FALSO",INDEX('Partner data'!A:DH,MATCH(C421,'Partner data'!DG:DG,0),112)))</f>
        <v>0</v>
      </c>
      <c r="S421" t="b">
        <f t="shared" si="12"/>
        <v>0</v>
      </c>
      <c r="T421" t="b">
        <f t="shared" si="13"/>
        <v>1</v>
      </c>
      <c r="U421" s="154">
        <f>IFERROR(IF(R421&lt;&gt;FALSE,IF(S421=TRUE,INDEX('SummaryNOT_VALIDATED-BL'!$A$1:$F$16,MATCH(R421,'SummaryNOT_VALIDATED-BL'!$A$1:$A$16,0),6),0),IF(S421=TRUE,INDEX('SummaryNOT_VALIDATED-BL'!$A$1:$F$16,MATCH(E421,'SummaryNOT_VALIDATED-BL'!$A$1:$A$16,0),6),0)),0)</f>
        <v>0</v>
      </c>
      <c r="V421" s="81" cm="1">
        <f t="array" ref="V421">INDEX('Weight tables'!$A$24:$C$27,MATCH(1,(RendicontiTrasmessiBL__2[[#This Row],[Cut percentage on real costs + USC]]&gt;='Weight tables'!$B$24:$B$27)*(RendicontiTrasmessiBL__2[[#This Row],[Cut percentage on real costs + USC]]&lt;='Weight tables'!$C$24:$C$27),0),1)</f>
        <v>0</v>
      </c>
      <c r="W421" s="2">
        <f>RendicontiTrasmessiBL__2[[#This Row],[Weight real costs  + USC ]]</f>
        <v>0</v>
      </c>
    </row>
    <row r="422" spans="1:23" x14ac:dyDescent="0.25">
      <c r="A422" s="1" t="s">
        <v>250</v>
      </c>
      <c r="B422" s="1" t="s">
        <v>262</v>
      </c>
      <c r="C422" s="2">
        <v>30</v>
      </c>
      <c r="D422" s="2">
        <v>271</v>
      </c>
      <c r="E422" s="1" t="s">
        <v>234</v>
      </c>
      <c r="G422">
        <v>0</v>
      </c>
      <c r="H422">
        <v>0</v>
      </c>
      <c r="I422">
        <v>0</v>
      </c>
      <c r="J422">
        <v>0</v>
      </c>
      <c r="K422">
        <v>0</v>
      </c>
      <c r="L422">
        <v>0</v>
      </c>
      <c r="M422">
        <v>0</v>
      </c>
      <c r="N422">
        <v>0</v>
      </c>
      <c r="O422">
        <v>0</v>
      </c>
      <c r="P422">
        <v>0</v>
      </c>
      <c r="Q422" t="str">
        <f>INDEX('Partner data'!A:DH,MATCH(C422,'Partner data'!DG:DG,0),83)</f>
        <v>Soggetto pubblico</v>
      </c>
      <c r="R422" t="b">
        <f>IF(E422="staff",IF(INDEX('Partner data'!A:DH,MATCH(C422,'Partner data'!DG:DG,0),112)="BL1 non presente","FALSO",INDEX('Partner data'!A:DH,MATCH(C422,'Partner data'!DG:DG,0),112)))</f>
        <v>0</v>
      </c>
      <c r="S422" t="b">
        <f t="shared" si="12"/>
        <v>0</v>
      </c>
      <c r="T422" t="b">
        <f t="shared" si="13"/>
        <v>1</v>
      </c>
      <c r="U422" s="154">
        <f>IFERROR(IF(R422&lt;&gt;FALSE,IF(S422=TRUE,INDEX('SummaryNOT_VALIDATED-BL'!$A$1:$F$16,MATCH(R422,'SummaryNOT_VALIDATED-BL'!$A$1:$A$16,0),6),0),IF(S422=TRUE,INDEX('SummaryNOT_VALIDATED-BL'!$A$1:$F$16,MATCH(E422,'SummaryNOT_VALIDATED-BL'!$A$1:$A$16,0),6),0)),0)</f>
        <v>0</v>
      </c>
      <c r="V422" s="81" cm="1">
        <f t="array" ref="V422">INDEX('Weight tables'!$A$24:$C$27,MATCH(1,(RendicontiTrasmessiBL__2[[#This Row],[Cut percentage on real costs + USC]]&gt;='Weight tables'!$B$24:$B$27)*(RendicontiTrasmessiBL__2[[#This Row],[Cut percentage on real costs + USC]]&lt;='Weight tables'!$C$24:$C$27),0),1)</f>
        <v>0</v>
      </c>
      <c r="W422" s="2">
        <f>RendicontiTrasmessiBL__2[[#This Row],[Weight real costs  + USC ]]</f>
        <v>0</v>
      </c>
    </row>
    <row r="423" spans="1:23" x14ac:dyDescent="0.25">
      <c r="A423" s="1" t="s">
        <v>250</v>
      </c>
      <c r="B423" s="1" t="s">
        <v>262</v>
      </c>
      <c r="C423" s="2">
        <v>30</v>
      </c>
      <c r="D423" s="2">
        <v>271</v>
      </c>
      <c r="E423" s="1" t="s">
        <v>236</v>
      </c>
      <c r="G423">
        <v>0</v>
      </c>
      <c r="H423">
        <v>0</v>
      </c>
      <c r="I423">
        <v>0</v>
      </c>
      <c r="J423">
        <v>0</v>
      </c>
      <c r="K423">
        <v>0</v>
      </c>
      <c r="L423">
        <v>0</v>
      </c>
      <c r="M423">
        <v>0</v>
      </c>
      <c r="N423">
        <v>0</v>
      </c>
      <c r="O423">
        <v>0</v>
      </c>
      <c r="P423">
        <v>0</v>
      </c>
      <c r="Q423" t="str">
        <f>INDEX('Partner data'!A:DH,MATCH(C423,'Partner data'!DG:DG,0),83)</f>
        <v>Soggetto pubblico</v>
      </c>
      <c r="R423" t="b">
        <f>IF(E423="staff",IF(INDEX('Partner data'!A:DH,MATCH(C423,'Partner data'!DG:DG,0),112)="BL1 non presente","FALSO",INDEX('Partner data'!A:DH,MATCH(C423,'Partner data'!DG:DG,0),112)))</f>
        <v>0</v>
      </c>
      <c r="S423" t="b">
        <f t="shared" si="12"/>
        <v>0</v>
      </c>
      <c r="T423" t="b">
        <f t="shared" si="13"/>
        <v>1</v>
      </c>
      <c r="U423" s="154">
        <f>IFERROR(IF(R423&lt;&gt;FALSE,IF(S423=TRUE,INDEX('SummaryNOT_VALIDATED-BL'!$A$1:$F$16,MATCH(R423,'SummaryNOT_VALIDATED-BL'!$A$1:$A$16,0),6),0),IF(S423=TRUE,INDEX('SummaryNOT_VALIDATED-BL'!$A$1:$F$16,MATCH(E423,'SummaryNOT_VALIDATED-BL'!$A$1:$A$16,0),6),0)),0)</f>
        <v>0</v>
      </c>
      <c r="V423" s="81" cm="1">
        <f t="array" ref="V423">INDEX('Weight tables'!$A$24:$C$27,MATCH(1,(RendicontiTrasmessiBL__2[[#This Row],[Cut percentage on real costs + USC]]&gt;='Weight tables'!$B$24:$B$27)*(RendicontiTrasmessiBL__2[[#This Row],[Cut percentage on real costs + USC]]&lt;='Weight tables'!$C$24:$C$27),0),1)</f>
        <v>0</v>
      </c>
      <c r="W423" s="2">
        <f>RendicontiTrasmessiBL__2[[#This Row],[Weight real costs  + USC ]]</f>
        <v>0</v>
      </c>
    </row>
    <row r="424" spans="1:23" x14ac:dyDescent="0.25">
      <c r="A424" s="1" t="s">
        <v>250</v>
      </c>
      <c r="B424" s="1" t="s">
        <v>262</v>
      </c>
      <c r="C424" s="2">
        <v>30</v>
      </c>
      <c r="D424" s="2">
        <v>271</v>
      </c>
      <c r="E424" s="1" t="s">
        <v>237</v>
      </c>
      <c r="G424">
        <v>0</v>
      </c>
      <c r="H424">
        <v>0</v>
      </c>
      <c r="I424">
        <v>0</v>
      </c>
      <c r="J424">
        <v>0</v>
      </c>
      <c r="K424">
        <v>0</v>
      </c>
      <c r="L424">
        <v>0</v>
      </c>
      <c r="M424">
        <v>0</v>
      </c>
      <c r="N424">
        <v>0</v>
      </c>
      <c r="O424">
        <v>0</v>
      </c>
      <c r="P424">
        <v>0</v>
      </c>
      <c r="Q424" t="str">
        <f>INDEX('Partner data'!A:DH,MATCH(C424,'Partner data'!DG:DG,0),83)</f>
        <v>Soggetto pubblico</v>
      </c>
      <c r="R424" t="b">
        <f>IF(E424="staff",IF(INDEX('Partner data'!A:DH,MATCH(C424,'Partner data'!DG:DG,0),112)="BL1 non presente","FALSO",INDEX('Partner data'!A:DH,MATCH(C424,'Partner data'!DG:DG,0),112)))</f>
        <v>0</v>
      </c>
      <c r="S424" t="b">
        <f t="shared" si="12"/>
        <v>0</v>
      </c>
      <c r="T424" t="b">
        <f t="shared" si="13"/>
        <v>1</v>
      </c>
      <c r="U424" s="154">
        <f>IFERROR(IF(R424&lt;&gt;FALSE,IF(S424=TRUE,INDEX('SummaryNOT_VALIDATED-BL'!$A$1:$F$16,MATCH(R424,'SummaryNOT_VALIDATED-BL'!$A$1:$A$16,0),6),0),IF(S424=TRUE,INDEX('SummaryNOT_VALIDATED-BL'!$A$1:$F$16,MATCH(E424,'SummaryNOT_VALIDATED-BL'!$A$1:$A$16,0),6),0)),0)</f>
        <v>0</v>
      </c>
      <c r="V424" s="81" cm="1">
        <f t="array" ref="V424">INDEX('Weight tables'!$A$24:$C$27,MATCH(1,(RendicontiTrasmessiBL__2[[#This Row],[Cut percentage on real costs + USC]]&gt;='Weight tables'!$B$24:$B$27)*(RendicontiTrasmessiBL__2[[#This Row],[Cut percentage on real costs + USC]]&lt;='Weight tables'!$C$24:$C$27),0),1)</f>
        <v>0</v>
      </c>
      <c r="W424" s="2">
        <f>RendicontiTrasmessiBL__2[[#This Row],[Weight real costs  + USC ]]</f>
        <v>0</v>
      </c>
    </row>
    <row r="425" spans="1:23" x14ac:dyDescent="0.25">
      <c r="A425" s="1" t="s">
        <v>250</v>
      </c>
      <c r="B425" s="1" t="s">
        <v>263</v>
      </c>
      <c r="C425" s="2">
        <v>28</v>
      </c>
      <c r="D425" s="2">
        <v>280</v>
      </c>
      <c r="E425" s="1" t="s">
        <v>228</v>
      </c>
      <c r="G425">
        <v>46601.4</v>
      </c>
      <c r="H425">
        <v>0</v>
      </c>
      <c r="I425">
        <v>0</v>
      </c>
      <c r="J425">
        <v>10556.6</v>
      </c>
      <c r="K425">
        <v>0</v>
      </c>
      <c r="L425">
        <v>0</v>
      </c>
      <c r="M425">
        <v>10556.6</v>
      </c>
      <c r="N425">
        <v>22.65</v>
      </c>
      <c r="O425">
        <v>36044.800000000003</v>
      </c>
      <c r="P425">
        <v>0</v>
      </c>
      <c r="Q425" t="str">
        <f>INDEX('Partner data'!A:DH,MATCH(C425,'Partner data'!DG:DG,0),83)</f>
        <v>Soggetto privato</v>
      </c>
      <c r="R425" t="str">
        <f>IF(E425="staff",IF(INDEX('Partner data'!A:DH,MATCH(C425,'Partner data'!DG:DG,0),112)="BL1 non presente","FALSO",INDEX('Partner data'!A:DH,MATCH(C425,'Partner data'!DG:DG,0),112)))</f>
        <v>COSTO REALE</v>
      </c>
      <c r="S425" t="b">
        <f t="shared" si="12"/>
        <v>1</v>
      </c>
      <c r="T425" t="b">
        <f t="shared" si="13"/>
        <v>0</v>
      </c>
      <c r="U425" s="154">
        <f>IFERROR(IF(R425&lt;&gt;FALSE,IF(S425=TRUE,INDEX('SummaryNOT_VALIDATED-BL'!$A$1:$F$16,MATCH(R425,'SummaryNOT_VALIDATED-BL'!$A$1:$A$16,0),6),0),IF(S425=TRUE,INDEX('SummaryNOT_VALIDATED-BL'!$A$1:$F$16,MATCH(E425,'SummaryNOT_VALIDATED-BL'!$A$1:$A$16,0),6),0)),0)</f>
        <v>9.1604133276901048E-2</v>
      </c>
      <c r="V425" s="81" cm="1">
        <f t="array" ref="V425">INDEX('Weight tables'!$A$24:$C$27,MATCH(1,(RendicontiTrasmessiBL__2[[#This Row],[Cut percentage on real costs + USC]]&gt;='Weight tables'!$B$24:$B$27)*(RendicontiTrasmessiBL__2[[#This Row],[Cut percentage on real costs + USC]]&lt;='Weight tables'!$C$24:$C$27),0),1)</f>
        <v>4</v>
      </c>
      <c r="W425" s="2">
        <f>RendicontiTrasmessiBL__2[[#This Row],[Weight real costs  + USC ]]</f>
        <v>4</v>
      </c>
    </row>
    <row r="426" spans="1:23" x14ac:dyDescent="0.25">
      <c r="A426" s="1" t="s">
        <v>250</v>
      </c>
      <c r="B426" s="1" t="s">
        <v>263</v>
      </c>
      <c r="C426" s="2">
        <v>28</v>
      </c>
      <c r="D426" s="2">
        <v>280</v>
      </c>
      <c r="E426" s="1" t="s">
        <v>229</v>
      </c>
      <c r="F426">
        <v>15</v>
      </c>
      <c r="G426">
        <v>6990.21</v>
      </c>
      <c r="H426">
        <v>0</v>
      </c>
      <c r="I426">
        <v>0</v>
      </c>
      <c r="J426">
        <v>1583.49</v>
      </c>
      <c r="K426">
        <v>0</v>
      </c>
      <c r="L426">
        <v>0</v>
      </c>
      <c r="M426">
        <v>1583.49</v>
      </c>
      <c r="N426">
        <v>22.65</v>
      </c>
      <c r="O426">
        <v>5406.72</v>
      </c>
      <c r="P426">
        <v>0</v>
      </c>
      <c r="Q426" t="str">
        <f>INDEX('Partner data'!A:DH,MATCH(C426,'Partner data'!DG:DG,0),83)</f>
        <v>Soggetto privato</v>
      </c>
      <c r="R426" t="b">
        <f>IF(E426="staff",IF(INDEX('Partner data'!A:DH,MATCH(C426,'Partner data'!DG:DG,0),112)="BL1 non presente","FALSO",INDEX('Partner data'!A:DH,MATCH(C426,'Partner data'!DG:DG,0),112)))</f>
        <v>0</v>
      </c>
      <c r="S426" t="b">
        <f t="shared" si="12"/>
        <v>1</v>
      </c>
      <c r="T426" t="b">
        <f t="shared" si="13"/>
        <v>0</v>
      </c>
      <c r="U426" s="154">
        <f>IFERROR(IF(R426&lt;&gt;FALSE,IF(S426=TRUE,INDEX('SummaryNOT_VALIDATED-BL'!$A$1:$F$16,MATCH(R426,'SummaryNOT_VALIDATED-BL'!$A$1:$A$16,0),6),0),IF(S426=TRUE,INDEX('SummaryNOT_VALIDATED-BL'!$A$1:$F$16,MATCH(E426,'SummaryNOT_VALIDATED-BL'!$A$1:$A$16,0),6),0)),0)</f>
        <v>6.6460469504890221E-2</v>
      </c>
      <c r="V426" s="81" cm="1">
        <f t="array" ref="V426">INDEX('Weight tables'!$A$24:$C$27,MATCH(1,(RendicontiTrasmessiBL__2[[#This Row],[Cut percentage on real costs + USC]]&gt;='Weight tables'!$B$24:$B$27)*(RendicontiTrasmessiBL__2[[#This Row],[Cut percentage on real costs + USC]]&lt;='Weight tables'!$C$24:$C$27),0),1)</f>
        <v>4</v>
      </c>
      <c r="W426" s="2">
        <f>RendicontiTrasmessiBL__2[[#This Row],[Weight real costs  + USC ]]</f>
        <v>4</v>
      </c>
    </row>
    <row r="427" spans="1:23" x14ac:dyDescent="0.25">
      <c r="A427" s="1" t="s">
        <v>250</v>
      </c>
      <c r="B427" s="1" t="s">
        <v>263</v>
      </c>
      <c r="C427" s="2">
        <v>28</v>
      </c>
      <c r="D427" s="2">
        <v>280</v>
      </c>
      <c r="E427" s="1" t="s">
        <v>230</v>
      </c>
      <c r="F427">
        <v>4</v>
      </c>
      <c r="G427">
        <v>1864.05</v>
      </c>
      <c r="H427">
        <v>0</v>
      </c>
      <c r="I427">
        <v>0</v>
      </c>
      <c r="J427">
        <v>422.26</v>
      </c>
      <c r="K427">
        <v>0</v>
      </c>
      <c r="L427">
        <v>0</v>
      </c>
      <c r="M427">
        <v>422.26</v>
      </c>
      <c r="N427">
        <v>22.65</v>
      </c>
      <c r="O427">
        <v>1441.79</v>
      </c>
      <c r="P427">
        <v>0</v>
      </c>
      <c r="Q427" t="str">
        <f>INDEX('Partner data'!A:DH,MATCH(C427,'Partner data'!DG:DG,0),83)</f>
        <v>Soggetto privato</v>
      </c>
      <c r="R427" t="b">
        <f>IF(E427="staff",IF(INDEX('Partner data'!A:DH,MATCH(C427,'Partner data'!DG:DG,0),112)="BL1 non presente","FALSO",INDEX('Partner data'!A:DH,MATCH(C427,'Partner data'!DG:DG,0),112)))</f>
        <v>0</v>
      </c>
      <c r="S427" t="b">
        <f t="shared" si="12"/>
        <v>1</v>
      </c>
      <c r="T427" t="b">
        <f t="shared" si="13"/>
        <v>0</v>
      </c>
      <c r="U427" s="154">
        <f>IFERROR(IF(R427&lt;&gt;FALSE,IF(S427=TRUE,INDEX('SummaryNOT_VALIDATED-BL'!$A$1:$F$16,MATCH(R427,'SummaryNOT_VALIDATED-BL'!$A$1:$A$16,0),6),0),IF(S427=TRUE,INDEX('SummaryNOT_VALIDATED-BL'!$A$1:$F$16,MATCH(E427,'SummaryNOT_VALIDATED-BL'!$A$1:$A$16,0),6),0)),0)</f>
        <v>6.3112622236488891E-2</v>
      </c>
      <c r="V427" s="81" cm="1">
        <f t="array" ref="V427">INDEX('Weight tables'!$A$24:$C$27,MATCH(1,(RendicontiTrasmessiBL__2[[#This Row],[Cut percentage on real costs + USC]]&gt;='Weight tables'!$B$24:$B$27)*(RendicontiTrasmessiBL__2[[#This Row],[Cut percentage on real costs + USC]]&lt;='Weight tables'!$C$24:$C$27),0),1)</f>
        <v>4</v>
      </c>
      <c r="W427" s="2">
        <f>RendicontiTrasmessiBL__2[[#This Row],[Weight real costs  + USC ]]</f>
        <v>4</v>
      </c>
    </row>
    <row r="428" spans="1:23" x14ac:dyDescent="0.25">
      <c r="A428" s="1" t="s">
        <v>250</v>
      </c>
      <c r="B428" s="1" t="s">
        <v>263</v>
      </c>
      <c r="C428" s="2">
        <v>28</v>
      </c>
      <c r="D428" s="2">
        <v>280</v>
      </c>
      <c r="E428" s="1" t="s">
        <v>231</v>
      </c>
      <c r="G428">
        <v>129471.22</v>
      </c>
      <c r="H428">
        <v>0</v>
      </c>
      <c r="I428">
        <v>0</v>
      </c>
      <c r="J428">
        <v>18066.77</v>
      </c>
      <c r="K428">
        <v>0</v>
      </c>
      <c r="L428">
        <v>0</v>
      </c>
      <c r="M428">
        <v>18066.77</v>
      </c>
      <c r="N428">
        <v>13.95</v>
      </c>
      <c r="O428">
        <v>111404.45</v>
      </c>
      <c r="P428">
        <v>0</v>
      </c>
      <c r="Q428" t="str">
        <f>INDEX('Partner data'!A:DH,MATCH(C428,'Partner data'!DG:DG,0),83)</f>
        <v>Soggetto privato</v>
      </c>
      <c r="R428" t="b">
        <f>IF(E428="staff",IF(INDEX('Partner data'!A:DH,MATCH(C428,'Partner data'!DG:DG,0),112)="BL1 non presente","FALSO",INDEX('Partner data'!A:DH,MATCH(C428,'Partner data'!DG:DG,0),112)))</f>
        <v>0</v>
      </c>
      <c r="S428" t="b">
        <f t="shared" si="12"/>
        <v>1</v>
      </c>
      <c r="T428" t="b">
        <f t="shared" si="13"/>
        <v>0</v>
      </c>
      <c r="U428" s="154">
        <f>IFERROR(IF(R428&lt;&gt;FALSE,IF(S428=TRUE,INDEX('SummaryNOT_VALIDATED-BL'!$A$1:$F$16,MATCH(R428,'SummaryNOT_VALIDATED-BL'!$A$1:$A$16,0),6),0),IF(S428=TRUE,INDEX('SummaryNOT_VALIDATED-BL'!$A$1:$F$16,MATCH(E428,'SummaryNOT_VALIDATED-BL'!$A$1:$A$16,0),6),0)),0)</f>
        <v>5.577594442215475E-2</v>
      </c>
      <c r="V428" s="81" cm="1">
        <f t="array" ref="V428">INDEX('Weight tables'!$A$24:$C$27,MATCH(1,(RendicontiTrasmessiBL__2[[#This Row],[Cut percentage on real costs + USC]]&gt;='Weight tables'!$B$24:$B$27)*(RendicontiTrasmessiBL__2[[#This Row],[Cut percentage on real costs + USC]]&lt;='Weight tables'!$C$24:$C$27),0),1)</f>
        <v>4</v>
      </c>
      <c r="W428" s="2">
        <f>RendicontiTrasmessiBL__2[[#This Row],[Weight real costs  + USC ]]</f>
        <v>4</v>
      </c>
    </row>
    <row r="429" spans="1:23" x14ac:dyDescent="0.25">
      <c r="A429" s="1" t="s">
        <v>250</v>
      </c>
      <c r="B429" s="1" t="s">
        <v>263</v>
      </c>
      <c r="C429" s="2">
        <v>28</v>
      </c>
      <c r="D429" s="2">
        <v>280</v>
      </c>
      <c r="E429" s="1" t="s">
        <v>232</v>
      </c>
      <c r="G429">
        <v>0</v>
      </c>
      <c r="H429">
        <v>0</v>
      </c>
      <c r="I429">
        <v>0</v>
      </c>
      <c r="J429">
        <v>0</v>
      </c>
      <c r="K429">
        <v>0</v>
      </c>
      <c r="L429">
        <v>0</v>
      </c>
      <c r="M429">
        <v>0</v>
      </c>
      <c r="N429">
        <v>0</v>
      </c>
      <c r="O429">
        <v>0</v>
      </c>
      <c r="P429">
        <v>0</v>
      </c>
      <c r="Q429" t="str">
        <f>INDEX('Partner data'!A:DH,MATCH(C429,'Partner data'!DG:DG,0),83)</f>
        <v>Soggetto privato</v>
      </c>
      <c r="R429" t="b">
        <f>IF(E429="staff",IF(INDEX('Partner data'!A:DH,MATCH(C429,'Partner data'!DG:DG,0),112)="BL1 non presente","FALSO",INDEX('Partner data'!A:DH,MATCH(C429,'Partner data'!DG:DG,0),112)))</f>
        <v>0</v>
      </c>
      <c r="S429" t="b">
        <f t="shared" si="12"/>
        <v>0</v>
      </c>
      <c r="T429" t="b">
        <f t="shared" si="13"/>
        <v>0</v>
      </c>
      <c r="U429" s="154">
        <f>IFERROR(IF(R429&lt;&gt;FALSE,IF(S429=TRUE,INDEX('SummaryNOT_VALIDATED-BL'!$A$1:$F$16,MATCH(R429,'SummaryNOT_VALIDATED-BL'!$A$1:$A$16,0),6),0),IF(S429=TRUE,INDEX('SummaryNOT_VALIDATED-BL'!$A$1:$F$16,MATCH(E429,'SummaryNOT_VALIDATED-BL'!$A$1:$A$16,0),6),0)),0)</f>
        <v>0</v>
      </c>
      <c r="V429" s="81" cm="1">
        <f t="array" ref="V429">INDEX('Weight tables'!$A$24:$C$27,MATCH(1,(RendicontiTrasmessiBL__2[[#This Row],[Cut percentage on real costs + USC]]&gt;='Weight tables'!$B$24:$B$27)*(RendicontiTrasmessiBL__2[[#This Row],[Cut percentage on real costs + USC]]&lt;='Weight tables'!$C$24:$C$27),0),1)</f>
        <v>0</v>
      </c>
      <c r="W429" s="2">
        <f>RendicontiTrasmessiBL__2[[#This Row],[Weight real costs  + USC ]]</f>
        <v>0</v>
      </c>
    </row>
    <row r="430" spans="1:23" x14ac:dyDescent="0.25">
      <c r="A430" s="1" t="s">
        <v>250</v>
      </c>
      <c r="B430" s="1" t="s">
        <v>263</v>
      </c>
      <c r="C430" s="2">
        <v>28</v>
      </c>
      <c r="D430" s="2">
        <v>280</v>
      </c>
      <c r="E430" s="1" t="s">
        <v>233</v>
      </c>
      <c r="G430">
        <v>0</v>
      </c>
      <c r="H430">
        <v>0</v>
      </c>
      <c r="I430">
        <v>0</v>
      </c>
      <c r="J430">
        <v>0</v>
      </c>
      <c r="K430">
        <v>0</v>
      </c>
      <c r="L430">
        <v>0</v>
      </c>
      <c r="M430">
        <v>0</v>
      </c>
      <c r="N430">
        <v>0</v>
      </c>
      <c r="O430">
        <v>0</v>
      </c>
      <c r="P430">
        <v>0</v>
      </c>
      <c r="Q430" t="str">
        <f>INDEX('Partner data'!A:DH,MATCH(C430,'Partner data'!DG:DG,0),83)</f>
        <v>Soggetto privato</v>
      </c>
      <c r="R430" t="b">
        <f>IF(E430="staff",IF(INDEX('Partner data'!A:DH,MATCH(C430,'Partner data'!DG:DG,0),112)="BL1 non presente","FALSO",INDEX('Partner data'!A:DH,MATCH(C430,'Partner data'!DG:DG,0),112)))</f>
        <v>0</v>
      </c>
      <c r="S430" t="b">
        <f t="shared" si="12"/>
        <v>0</v>
      </c>
      <c r="T430" t="b">
        <f t="shared" si="13"/>
        <v>0</v>
      </c>
      <c r="U430" s="154">
        <f>IFERROR(IF(R430&lt;&gt;FALSE,IF(S430=TRUE,INDEX('SummaryNOT_VALIDATED-BL'!$A$1:$F$16,MATCH(R430,'SummaryNOT_VALIDATED-BL'!$A$1:$A$16,0),6),0),IF(S430=TRUE,INDEX('SummaryNOT_VALIDATED-BL'!$A$1:$F$16,MATCH(E430,'SummaryNOT_VALIDATED-BL'!$A$1:$A$16,0),6),0)),0)</f>
        <v>0</v>
      </c>
      <c r="V430" s="81" cm="1">
        <f t="array" ref="V430">INDEX('Weight tables'!$A$24:$C$27,MATCH(1,(RendicontiTrasmessiBL__2[[#This Row],[Cut percentage on real costs + USC]]&gt;='Weight tables'!$B$24:$B$27)*(RendicontiTrasmessiBL__2[[#This Row],[Cut percentage on real costs + USC]]&lt;='Weight tables'!$C$24:$C$27),0),1)</f>
        <v>0</v>
      </c>
      <c r="W430" s="2">
        <f>RendicontiTrasmessiBL__2[[#This Row],[Weight real costs  + USC ]]</f>
        <v>0</v>
      </c>
    </row>
    <row r="431" spans="1:23" x14ac:dyDescent="0.25">
      <c r="A431" s="1" t="s">
        <v>250</v>
      </c>
      <c r="B431" s="1" t="s">
        <v>263</v>
      </c>
      <c r="C431" s="2">
        <v>28</v>
      </c>
      <c r="D431" s="2">
        <v>280</v>
      </c>
      <c r="E431" s="1" t="s">
        <v>234</v>
      </c>
      <c r="G431">
        <v>0</v>
      </c>
      <c r="H431">
        <v>0</v>
      </c>
      <c r="I431">
        <v>0</v>
      </c>
      <c r="J431">
        <v>0</v>
      </c>
      <c r="K431">
        <v>0</v>
      </c>
      <c r="L431">
        <v>0</v>
      </c>
      <c r="M431">
        <v>0</v>
      </c>
      <c r="N431">
        <v>0</v>
      </c>
      <c r="O431">
        <v>0</v>
      </c>
      <c r="P431">
        <v>0</v>
      </c>
      <c r="Q431" t="str">
        <f>INDEX('Partner data'!A:DH,MATCH(C431,'Partner data'!DG:DG,0),83)</f>
        <v>Soggetto privato</v>
      </c>
      <c r="R431" t="b">
        <f>IF(E431="staff",IF(INDEX('Partner data'!A:DH,MATCH(C431,'Partner data'!DG:DG,0),112)="BL1 non presente","FALSO",INDEX('Partner data'!A:DH,MATCH(C431,'Partner data'!DG:DG,0),112)))</f>
        <v>0</v>
      </c>
      <c r="S431" t="b">
        <f t="shared" si="12"/>
        <v>0</v>
      </c>
      <c r="T431" t="b">
        <f t="shared" si="13"/>
        <v>0</v>
      </c>
      <c r="U431" s="154">
        <f>IFERROR(IF(R431&lt;&gt;FALSE,IF(S431=TRUE,INDEX('SummaryNOT_VALIDATED-BL'!$A$1:$F$16,MATCH(R431,'SummaryNOT_VALIDATED-BL'!$A$1:$A$16,0),6),0),IF(S431=TRUE,INDEX('SummaryNOT_VALIDATED-BL'!$A$1:$F$16,MATCH(E431,'SummaryNOT_VALIDATED-BL'!$A$1:$A$16,0),6),0)),0)</f>
        <v>0</v>
      </c>
      <c r="V431" s="81" cm="1">
        <f t="array" ref="V431">INDEX('Weight tables'!$A$24:$C$27,MATCH(1,(RendicontiTrasmessiBL__2[[#This Row],[Cut percentage on real costs + USC]]&gt;='Weight tables'!$B$24:$B$27)*(RendicontiTrasmessiBL__2[[#This Row],[Cut percentage on real costs + USC]]&lt;='Weight tables'!$C$24:$C$27),0),1)</f>
        <v>0</v>
      </c>
      <c r="W431" s="2">
        <f>RendicontiTrasmessiBL__2[[#This Row],[Weight real costs  + USC ]]</f>
        <v>0</v>
      </c>
    </row>
    <row r="432" spans="1:23" x14ac:dyDescent="0.25">
      <c r="A432" s="1" t="s">
        <v>250</v>
      </c>
      <c r="B432" s="1" t="s">
        <v>263</v>
      </c>
      <c r="C432" s="2">
        <v>28</v>
      </c>
      <c r="D432" s="2">
        <v>280</v>
      </c>
      <c r="E432" s="1" t="s">
        <v>236</v>
      </c>
      <c r="G432">
        <v>0</v>
      </c>
      <c r="H432">
        <v>0</v>
      </c>
      <c r="I432">
        <v>0</v>
      </c>
      <c r="J432">
        <v>0</v>
      </c>
      <c r="K432">
        <v>0</v>
      </c>
      <c r="L432">
        <v>0</v>
      </c>
      <c r="M432">
        <v>0</v>
      </c>
      <c r="N432">
        <v>0</v>
      </c>
      <c r="O432">
        <v>0</v>
      </c>
      <c r="P432">
        <v>0</v>
      </c>
      <c r="Q432" t="str">
        <f>INDEX('Partner data'!A:DH,MATCH(C432,'Partner data'!DG:DG,0),83)</f>
        <v>Soggetto privato</v>
      </c>
      <c r="R432" t="b">
        <f>IF(E432="staff",IF(INDEX('Partner data'!A:DH,MATCH(C432,'Partner data'!DG:DG,0),112)="BL1 non presente","FALSO",INDEX('Partner data'!A:DH,MATCH(C432,'Partner data'!DG:DG,0),112)))</f>
        <v>0</v>
      </c>
      <c r="S432" t="b">
        <f t="shared" si="12"/>
        <v>0</v>
      </c>
      <c r="T432" t="b">
        <f t="shared" si="13"/>
        <v>0</v>
      </c>
      <c r="U432" s="154">
        <f>IFERROR(IF(R432&lt;&gt;FALSE,IF(S432=TRUE,INDEX('SummaryNOT_VALIDATED-BL'!$A$1:$F$16,MATCH(R432,'SummaryNOT_VALIDATED-BL'!$A$1:$A$16,0),6),0),IF(S432=TRUE,INDEX('SummaryNOT_VALIDATED-BL'!$A$1:$F$16,MATCH(E432,'SummaryNOT_VALIDATED-BL'!$A$1:$A$16,0),6),0)),0)</f>
        <v>0</v>
      </c>
      <c r="V432" s="81" cm="1">
        <f t="array" ref="V432">INDEX('Weight tables'!$A$24:$C$27,MATCH(1,(RendicontiTrasmessiBL__2[[#This Row],[Cut percentage on real costs + USC]]&gt;='Weight tables'!$B$24:$B$27)*(RendicontiTrasmessiBL__2[[#This Row],[Cut percentage on real costs + USC]]&lt;='Weight tables'!$C$24:$C$27),0),1)</f>
        <v>0</v>
      </c>
      <c r="W432" s="2">
        <f>RendicontiTrasmessiBL__2[[#This Row],[Weight real costs  + USC ]]</f>
        <v>0</v>
      </c>
    </row>
    <row r="433" spans="1:23" x14ac:dyDescent="0.25">
      <c r="A433" s="1" t="s">
        <v>250</v>
      </c>
      <c r="B433" s="1" t="s">
        <v>263</v>
      </c>
      <c r="C433" s="2">
        <v>28</v>
      </c>
      <c r="D433" s="2">
        <v>280</v>
      </c>
      <c r="E433" s="1" t="s">
        <v>237</v>
      </c>
      <c r="G433">
        <v>0</v>
      </c>
      <c r="H433">
        <v>0</v>
      </c>
      <c r="I433">
        <v>0</v>
      </c>
      <c r="J433">
        <v>0</v>
      </c>
      <c r="K433">
        <v>0</v>
      </c>
      <c r="L433">
        <v>0</v>
      </c>
      <c r="M433">
        <v>0</v>
      </c>
      <c r="N433">
        <v>0</v>
      </c>
      <c r="O433">
        <v>0</v>
      </c>
      <c r="P433">
        <v>0</v>
      </c>
      <c r="Q433" t="str">
        <f>INDEX('Partner data'!A:DH,MATCH(C433,'Partner data'!DG:DG,0),83)</f>
        <v>Soggetto privato</v>
      </c>
      <c r="R433" t="b">
        <f>IF(E433="staff",IF(INDEX('Partner data'!A:DH,MATCH(C433,'Partner data'!DG:DG,0),112)="BL1 non presente","FALSO",INDEX('Partner data'!A:DH,MATCH(C433,'Partner data'!DG:DG,0),112)))</f>
        <v>0</v>
      </c>
      <c r="S433" t="b">
        <f t="shared" si="12"/>
        <v>0</v>
      </c>
      <c r="T433" t="b">
        <f t="shared" si="13"/>
        <v>0</v>
      </c>
      <c r="U433" s="154">
        <f>IFERROR(IF(R433&lt;&gt;FALSE,IF(S433=TRUE,INDEX('SummaryNOT_VALIDATED-BL'!$A$1:$F$16,MATCH(R433,'SummaryNOT_VALIDATED-BL'!$A$1:$A$16,0),6),0),IF(S433=TRUE,INDEX('SummaryNOT_VALIDATED-BL'!$A$1:$F$16,MATCH(E433,'SummaryNOT_VALIDATED-BL'!$A$1:$A$16,0),6),0)),0)</f>
        <v>0</v>
      </c>
      <c r="V433" s="81" cm="1">
        <f t="array" ref="V433">INDEX('Weight tables'!$A$24:$C$27,MATCH(1,(RendicontiTrasmessiBL__2[[#This Row],[Cut percentage on real costs + USC]]&gt;='Weight tables'!$B$24:$B$27)*(RendicontiTrasmessiBL__2[[#This Row],[Cut percentage on real costs + USC]]&lt;='Weight tables'!$C$24:$C$27),0),1)</f>
        <v>0</v>
      </c>
      <c r="W433" s="2">
        <f>RendicontiTrasmessiBL__2[[#This Row],[Weight real costs  + USC ]]</f>
        <v>0</v>
      </c>
    </row>
    <row r="434" spans="1:23" x14ac:dyDescent="0.25">
      <c r="A434" s="1" t="s">
        <v>283</v>
      </c>
      <c r="B434" s="1" t="s">
        <v>56</v>
      </c>
      <c r="C434" s="2">
        <v>92</v>
      </c>
      <c r="D434" s="2">
        <v>125</v>
      </c>
      <c r="E434" s="1" t="s">
        <v>228</v>
      </c>
      <c r="G434">
        <v>130225.34</v>
      </c>
      <c r="H434">
        <v>0</v>
      </c>
      <c r="I434">
        <v>0</v>
      </c>
      <c r="J434">
        <v>27728.11</v>
      </c>
      <c r="K434">
        <v>0</v>
      </c>
      <c r="L434">
        <v>0</v>
      </c>
      <c r="M434">
        <v>27728.11</v>
      </c>
      <c r="N434">
        <v>21.29</v>
      </c>
      <c r="O434">
        <v>102497.23</v>
      </c>
      <c r="P434">
        <v>0</v>
      </c>
      <c r="Q434" t="str">
        <f>INDEX('Partner data'!A:DH,MATCH(C434,'Partner data'!DG:DG,0),83)</f>
        <v>Soggetto pubblico</v>
      </c>
      <c r="R434" t="str">
        <f>IF(E434="staff",IF(INDEX('Partner data'!A:DH,MATCH(C434,'Partner data'!DG:DG,0),112)="BL1 non presente","FALSO",INDEX('Partner data'!A:DH,MATCH(C434,'Partner data'!DG:DG,0),112)))</f>
        <v>COSTO REALE</v>
      </c>
      <c r="S434" t="b">
        <f t="shared" si="12"/>
        <v>1</v>
      </c>
      <c r="T434" t="b">
        <f t="shared" si="13"/>
        <v>1</v>
      </c>
      <c r="U434" s="154">
        <f>IFERROR(IF(R434&lt;&gt;FALSE,IF(S434=TRUE,INDEX('SummaryNOT_VALIDATED-BL'!$A$1:$F$16,MATCH(R434,'SummaryNOT_VALIDATED-BL'!$A$1:$A$16,0),6),0),IF(S434=TRUE,INDEX('SummaryNOT_VALIDATED-BL'!$A$1:$F$16,MATCH(E434,'SummaryNOT_VALIDATED-BL'!$A$1:$A$16,0),6),0)),0)</f>
        <v>9.1604133276901048E-2</v>
      </c>
      <c r="V434" s="81" cm="1">
        <f t="array" ref="V434">INDEX('Weight tables'!$A$24:$C$27,MATCH(1,(RendicontiTrasmessiBL__2[[#This Row],[Cut percentage on real costs + USC]]&gt;='Weight tables'!$B$24:$B$27)*(RendicontiTrasmessiBL__2[[#This Row],[Cut percentage on real costs + USC]]&lt;='Weight tables'!$C$24:$C$27),0),1)</f>
        <v>4</v>
      </c>
      <c r="W434" s="2">
        <f>RendicontiTrasmessiBL__2[[#This Row],[Weight real costs  + USC ]]</f>
        <v>4</v>
      </c>
    </row>
    <row r="435" spans="1:23" x14ac:dyDescent="0.25">
      <c r="A435" s="1" t="s">
        <v>283</v>
      </c>
      <c r="B435" s="1" t="s">
        <v>56</v>
      </c>
      <c r="C435" s="2">
        <v>92</v>
      </c>
      <c r="D435" s="2">
        <v>125</v>
      </c>
      <c r="E435" s="1" t="s">
        <v>229</v>
      </c>
      <c r="G435">
        <v>0</v>
      </c>
      <c r="H435">
        <v>0</v>
      </c>
      <c r="I435">
        <v>0</v>
      </c>
      <c r="J435">
        <v>0</v>
      </c>
      <c r="K435">
        <v>0</v>
      </c>
      <c r="L435">
        <v>0</v>
      </c>
      <c r="M435">
        <v>0</v>
      </c>
      <c r="N435">
        <v>0</v>
      </c>
      <c r="O435">
        <v>0</v>
      </c>
      <c r="P435">
        <v>0</v>
      </c>
      <c r="Q435" t="str">
        <f>INDEX('Partner data'!A:DH,MATCH(C435,'Partner data'!DG:DG,0),83)</f>
        <v>Soggetto pubblico</v>
      </c>
      <c r="R435" t="b">
        <f>IF(E435="staff",IF(INDEX('Partner data'!A:DH,MATCH(C435,'Partner data'!DG:DG,0),112)="BL1 non presente","FALSO",INDEX('Partner data'!A:DH,MATCH(C435,'Partner data'!DG:DG,0),112)))</f>
        <v>0</v>
      </c>
      <c r="S435" t="b">
        <f t="shared" si="12"/>
        <v>0</v>
      </c>
      <c r="T435" t="b">
        <f t="shared" si="13"/>
        <v>1</v>
      </c>
      <c r="U435" s="154">
        <f>IFERROR(IF(R435&lt;&gt;FALSE,IF(S435=TRUE,INDEX('SummaryNOT_VALIDATED-BL'!$A$1:$F$16,MATCH(R435,'SummaryNOT_VALIDATED-BL'!$A$1:$A$16,0),6),0),IF(S435=TRUE,INDEX('SummaryNOT_VALIDATED-BL'!$A$1:$F$16,MATCH(E435,'SummaryNOT_VALIDATED-BL'!$A$1:$A$16,0),6),0)),0)</f>
        <v>0</v>
      </c>
      <c r="V435" s="81" cm="1">
        <f t="array" ref="V435">INDEX('Weight tables'!$A$24:$C$27,MATCH(1,(RendicontiTrasmessiBL__2[[#This Row],[Cut percentage on real costs + USC]]&gt;='Weight tables'!$B$24:$B$27)*(RendicontiTrasmessiBL__2[[#This Row],[Cut percentage on real costs + USC]]&lt;='Weight tables'!$C$24:$C$27),0),1)</f>
        <v>0</v>
      </c>
      <c r="W435" s="2">
        <f>RendicontiTrasmessiBL__2[[#This Row],[Weight real costs  + USC ]]</f>
        <v>0</v>
      </c>
    </row>
    <row r="436" spans="1:23" x14ac:dyDescent="0.25">
      <c r="A436" s="1" t="s">
        <v>283</v>
      </c>
      <c r="B436" s="1" t="s">
        <v>56</v>
      </c>
      <c r="C436" s="2">
        <v>92</v>
      </c>
      <c r="D436" s="2">
        <v>125</v>
      </c>
      <c r="E436" s="1" t="s">
        <v>230</v>
      </c>
      <c r="G436">
        <v>0</v>
      </c>
      <c r="H436">
        <v>0</v>
      </c>
      <c r="I436">
        <v>0</v>
      </c>
      <c r="J436">
        <v>0</v>
      </c>
      <c r="K436">
        <v>0</v>
      </c>
      <c r="L436">
        <v>0</v>
      </c>
      <c r="M436">
        <v>0</v>
      </c>
      <c r="N436">
        <v>0</v>
      </c>
      <c r="O436">
        <v>0</v>
      </c>
      <c r="P436">
        <v>0</v>
      </c>
      <c r="Q436" t="str">
        <f>INDEX('Partner data'!A:DH,MATCH(C436,'Partner data'!DG:DG,0),83)</f>
        <v>Soggetto pubblico</v>
      </c>
      <c r="R436" t="b">
        <f>IF(E436="staff",IF(INDEX('Partner data'!A:DH,MATCH(C436,'Partner data'!DG:DG,0),112)="BL1 non presente","FALSO",INDEX('Partner data'!A:DH,MATCH(C436,'Partner data'!DG:DG,0),112)))</f>
        <v>0</v>
      </c>
      <c r="S436" t="b">
        <f t="shared" si="12"/>
        <v>0</v>
      </c>
      <c r="T436" t="b">
        <f t="shared" si="13"/>
        <v>1</v>
      </c>
      <c r="U436" s="154">
        <f>IFERROR(IF(R436&lt;&gt;FALSE,IF(S436=TRUE,INDEX('SummaryNOT_VALIDATED-BL'!$A$1:$F$16,MATCH(R436,'SummaryNOT_VALIDATED-BL'!$A$1:$A$16,0),6),0),IF(S436=TRUE,INDEX('SummaryNOT_VALIDATED-BL'!$A$1:$F$16,MATCH(E436,'SummaryNOT_VALIDATED-BL'!$A$1:$A$16,0),6),0)),0)</f>
        <v>0</v>
      </c>
      <c r="V436" s="81" cm="1">
        <f t="array" ref="V436">INDEX('Weight tables'!$A$24:$C$27,MATCH(1,(RendicontiTrasmessiBL__2[[#This Row],[Cut percentage on real costs + USC]]&gt;='Weight tables'!$B$24:$B$27)*(RendicontiTrasmessiBL__2[[#This Row],[Cut percentage on real costs + USC]]&lt;='Weight tables'!$C$24:$C$27),0),1)</f>
        <v>0</v>
      </c>
      <c r="W436" s="2">
        <f>RendicontiTrasmessiBL__2[[#This Row],[Weight real costs  + USC ]]</f>
        <v>0</v>
      </c>
    </row>
    <row r="437" spans="1:23" x14ac:dyDescent="0.25">
      <c r="A437" s="1" t="s">
        <v>283</v>
      </c>
      <c r="B437" s="1" t="s">
        <v>56</v>
      </c>
      <c r="C437" s="2">
        <v>92</v>
      </c>
      <c r="D437" s="2">
        <v>125</v>
      </c>
      <c r="E437" s="1" t="s">
        <v>231</v>
      </c>
      <c r="G437">
        <v>0</v>
      </c>
      <c r="H437">
        <v>0</v>
      </c>
      <c r="I437">
        <v>0</v>
      </c>
      <c r="J437">
        <v>0</v>
      </c>
      <c r="K437">
        <v>0</v>
      </c>
      <c r="L437">
        <v>0</v>
      </c>
      <c r="M437">
        <v>0</v>
      </c>
      <c r="N437">
        <v>0</v>
      </c>
      <c r="O437">
        <v>0</v>
      </c>
      <c r="P437">
        <v>0</v>
      </c>
      <c r="Q437" t="str">
        <f>INDEX('Partner data'!A:DH,MATCH(C437,'Partner data'!DG:DG,0),83)</f>
        <v>Soggetto pubblico</v>
      </c>
      <c r="R437" t="b">
        <f>IF(E437="staff",IF(INDEX('Partner data'!A:DH,MATCH(C437,'Partner data'!DG:DG,0),112)="BL1 non presente","FALSO",INDEX('Partner data'!A:DH,MATCH(C437,'Partner data'!DG:DG,0),112)))</f>
        <v>0</v>
      </c>
      <c r="S437" t="b">
        <f t="shared" si="12"/>
        <v>0</v>
      </c>
      <c r="T437" t="b">
        <f t="shared" si="13"/>
        <v>1</v>
      </c>
      <c r="U437" s="154">
        <f>IFERROR(IF(R437&lt;&gt;FALSE,IF(S437=TRUE,INDEX('SummaryNOT_VALIDATED-BL'!$A$1:$F$16,MATCH(R437,'SummaryNOT_VALIDATED-BL'!$A$1:$A$16,0),6),0),IF(S437=TRUE,INDEX('SummaryNOT_VALIDATED-BL'!$A$1:$F$16,MATCH(E437,'SummaryNOT_VALIDATED-BL'!$A$1:$A$16,0),6),0)),0)</f>
        <v>0</v>
      </c>
      <c r="V437" s="81" cm="1">
        <f t="array" ref="V437">INDEX('Weight tables'!$A$24:$C$27,MATCH(1,(RendicontiTrasmessiBL__2[[#This Row],[Cut percentage on real costs + USC]]&gt;='Weight tables'!$B$24:$B$27)*(RendicontiTrasmessiBL__2[[#This Row],[Cut percentage on real costs + USC]]&lt;='Weight tables'!$C$24:$C$27),0),1)</f>
        <v>0</v>
      </c>
      <c r="W437" s="2">
        <f>RendicontiTrasmessiBL__2[[#This Row],[Weight real costs  + USC ]]</f>
        <v>0</v>
      </c>
    </row>
    <row r="438" spans="1:23" x14ac:dyDescent="0.25">
      <c r="A438" s="1" t="s">
        <v>283</v>
      </c>
      <c r="B438" s="1" t="s">
        <v>56</v>
      </c>
      <c r="C438" s="2">
        <v>92</v>
      </c>
      <c r="D438" s="2">
        <v>125</v>
      </c>
      <c r="E438" s="1" t="s">
        <v>232</v>
      </c>
      <c r="G438">
        <v>0</v>
      </c>
      <c r="H438">
        <v>0</v>
      </c>
      <c r="I438">
        <v>0</v>
      </c>
      <c r="J438">
        <v>0</v>
      </c>
      <c r="K438">
        <v>0</v>
      </c>
      <c r="L438">
        <v>0</v>
      </c>
      <c r="M438">
        <v>0</v>
      </c>
      <c r="N438">
        <v>0</v>
      </c>
      <c r="O438">
        <v>0</v>
      </c>
      <c r="P438">
        <v>0</v>
      </c>
      <c r="Q438" t="str">
        <f>INDEX('Partner data'!A:DH,MATCH(C438,'Partner data'!DG:DG,0),83)</f>
        <v>Soggetto pubblico</v>
      </c>
      <c r="R438" t="b">
        <f>IF(E438="staff",IF(INDEX('Partner data'!A:DH,MATCH(C438,'Partner data'!DG:DG,0),112)="BL1 non presente","FALSO",INDEX('Partner data'!A:DH,MATCH(C438,'Partner data'!DG:DG,0),112)))</f>
        <v>0</v>
      </c>
      <c r="S438" t="b">
        <f t="shared" si="12"/>
        <v>0</v>
      </c>
      <c r="T438" t="b">
        <f t="shared" si="13"/>
        <v>1</v>
      </c>
      <c r="U438" s="154">
        <f>IFERROR(IF(R438&lt;&gt;FALSE,IF(S438=TRUE,INDEX('SummaryNOT_VALIDATED-BL'!$A$1:$F$16,MATCH(R438,'SummaryNOT_VALIDATED-BL'!$A$1:$A$16,0),6),0),IF(S438=TRUE,INDEX('SummaryNOT_VALIDATED-BL'!$A$1:$F$16,MATCH(E438,'SummaryNOT_VALIDATED-BL'!$A$1:$A$16,0),6),0)),0)</f>
        <v>0</v>
      </c>
      <c r="V438" s="81" cm="1">
        <f t="array" ref="V438">INDEX('Weight tables'!$A$24:$C$27,MATCH(1,(RendicontiTrasmessiBL__2[[#This Row],[Cut percentage on real costs + USC]]&gt;='Weight tables'!$B$24:$B$27)*(RendicontiTrasmessiBL__2[[#This Row],[Cut percentage on real costs + USC]]&lt;='Weight tables'!$C$24:$C$27),0),1)</f>
        <v>0</v>
      </c>
      <c r="W438" s="2">
        <f>RendicontiTrasmessiBL__2[[#This Row],[Weight real costs  + USC ]]</f>
        <v>0</v>
      </c>
    </row>
    <row r="439" spans="1:23" x14ac:dyDescent="0.25">
      <c r="A439" s="1" t="s">
        <v>283</v>
      </c>
      <c r="B439" s="1" t="s">
        <v>56</v>
      </c>
      <c r="C439" s="2">
        <v>92</v>
      </c>
      <c r="D439" s="2">
        <v>125</v>
      </c>
      <c r="E439" s="1" t="s">
        <v>233</v>
      </c>
      <c r="G439">
        <v>0</v>
      </c>
      <c r="H439">
        <v>0</v>
      </c>
      <c r="I439">
        <v>0</v>
      </c>
      <c r="J439">
        <v>0</v>
      </c>
      <c r="K439">
        <v>0</v>
      </c>
      <c r="L439">
        <v>0</v>
      </c>
      <c r="M439">
        <v>0</v>
      </c>
      <c r="N439">
        <v>0</v>
      </c>
      <c r="O439">
        <v>0</v>
      </c>
      <c r="P439">
        <v>0</v>
      </c>
      <c r="Q439" t="str">
        <f>INDEX('Partner data'!A:DH,MATCH(C439,'Partner data'!DG:DG,0),83)</f>
        <v>Soggetto pubblico</v>
      </c>
      <c r="R439" t="b">
        <f>IF(E439="staff",IF(INDEX('Partner data'!A:DH,MATCH(C439,'Partner data'!DG:DG,0),112)="BL1 non presente","FALSO",INDEX('Partner data'!A:DH,MATCH(C439,'Partner data'!DG:DG,0),112)))</f>
        <v>0</v>
      </c>
      <c r="S439" t="b">
        <f t="shared" si="12"/>
        <v>0</v>
      </c>
      <c r="T439" t="b">
        <f t="shared" si="13"/>
        <v>1</v>
      </c>
      <c r="U439" s="154">
        <f>IFERROR(IF(R439&lt;&gt;FALSE,IF(S439=TRUE,INDEX('SummaryNOT_VALIDATED-BL'!$A$1:$F$16,MATCH(R439,'SummaryNOT_VALIDATED-BL'!$A$1:$A$16,0),6),0),IF(S439=TRUE,INDEX('SummaryNOT_VALIDATED-BL'!$A$1:$F$16,MATCH(E439,'SummaryNOT_VALIDATED-BL'!$A$1:$A$16,0),6),0)),0)</f>
        <v>0</v>
      </c>
      <c r="V439" s="81" cm="1">
        <f t="array" ref="V439">INDEX('Weight tables'!$A$24:$C$27,MATCH(1,(RendicontiTrasmessiBL__2[[#This Row],[Cut percentage on real costs + USC]]&gt;='Weight tables'!$B$24:$B$27)*(RendicontiTrasmessiBL__2[[#This Row],[Cut percentage on real costs + USC]]&lt;='Weight tables'!$C$24:$C$27),0),1)</f>
        <v>0</v>
      </c>
      <c r="W439" s="2">
        <f>RendicontiTrasmessiBL__2[[#This Row],[Weight real costs  + USC ]]</f>
        <v>0</v>
      </c>
    </row>
    <row r="440" spans="1:23" x14ac:dyDescent="0.25">
      <c r="A440" s="1" t="s">
        <v>283</v>
      </c>
      <c r="B440" s="1" t="s">
        <v>56</v>
      </c>
      <c r="C440" s="2">
        <v>92</v>
      </c>
      <c r="D440" s="2">
        <v>125</v>
      </c>
      <c r="E440" s="1" t="s">
        <v>234</v>
      </c>
      <c r="F440">
        <v>40</v>
      </c>
      <c r="G440">
        <v>52090.13</v>
      </c>
      <c r="H440">
        <v>0</v>
      </c>
      <c r="I440">
        <v>0</v>
      </c>
      <c r="J440">
        <v>11091.24</v>
      </c>
      <c r="K440">
        <v>0</v>
      </c>
      <c r="L440">
        <v>0</v>
      </c>
      <c r="M440">
        <v>11091.24</v>
      </c>
      <c r="N440">
        <v>21.29</v>
      </c>
      <c r="O440">
        <v>40998.89</v>
      </c>
      <c r="P440">
        <v>0</v>
      </c>
      <c r="Q440" t="str">
        <f>INDEX('Partner data'!A:DH,MATCH(C440,'Partner data'!DG:DG,0),83)</f>
        <v>Soggetto pubblico</v>
      </c>
      <c r="R440" t="b">
        <f>IF(E440="staff",IF(INDEX('Partner data'!A:DH,MATCH(C440,'Partner data'!DG:DG,0),112)="BL1 non presente","FALSO",INDEX('Partner data'!A:DH,MATCH(C440,'Partner data'!DG:DG,0),112)))</f>
        <v>0</v>
      </c>
      <c r="S440" t="b">
        <f t="shared" si="12"/>
        <v>1</v>
      </c>
      <c r="T440" t="b">
        <f t="shared" si="13"/>
        <v>1</v>
      </c>
      <c r="U440" s="154">
        <f>IFERROR(IF(R440&lt;&gt;FALSE,IF(S440=TRUE,INDEX('SummaryNOT_VALIDATED-BL'!$A$1:$F$16,MATCH(R440,'SummaryNOT_VALIDATED-BL'!$A$1:$A$16,0),6),0),IF(S440=TRUE,INDEX('SummaryNOT_VALIDATED-BL'!$A$1:$F$16,MATCH(E440,'SummaryNOT_VALIDATED-BL'!$A$1:$A$16,0),6),0)),0)</f>
        <v>8.7645339819521315E-2</v>
      </c>
      <c r="V440" s="81" cm="1">
        <f t="array" ref="V440">INDEX('Weight tables'!$A$24:$C$27,MATCH(1,(RendicontiTrasmessiBL__2[[#This Row],[Cut percentage on real costs + USC]]&gt;='Weight tables'!$B$24:$B$27)*(RendicontiTrasmessiBL__2[[#This Row],[Cut percentage on real costs + USC]]&lt;='Weight tables'!$C$24:$C$27),0),1)</f>
        <v>4</v>
      </c>
      <c r="W440" s="2">
        <f>RendicontiTrasmessiBL__2[[#This Row],[Weight real costs  + USC ]]</f>
        <v>4</v>
      </c>
    </row>
    <row r="441" spans="1:23" x14ac:dyDescent="0.25">
      <c r="A441" s="1" t="s">
        <v>283</v>
      </c>
      <c r="B441" s="1" t="s">
        <v>56</v>
      </c>
      <c r="C441" s="2">
        <v>92</v>
      </c>
      <c r="D441" s="2">
        <v>125</v>
      </c>
      <c r="E441" s="1" t="s">
        <v>236</v>
      </c>
      <c r="G441">
        <v>0</v>
      </c>
      <c r="H441">
        <v>0</v>
      </c>
      <c r="I441">
        <v>0</v>
      </c>
      <c r="J441">
        <v>0</v>
      </c>
      <c r="K441">
        <v>0</v>
      </c>
      <c r="L441">
        <v>0</v>
      </c>
      <c r="M441">
        <v>0</v>
      </c>
      <c r="N441">
        <v>0</v>
      </c>
      <c r="O441">
        <v>0</v>
      </c>
      <c r="P441">
        <v>0</v>
      </c>
      <c r="Q441" t="str">
        <f>INDEX('Partner data'!A:DH,MATCH(C441,'Partner data'!DG:DG,0),83)</f>
        <v>Soggetto pubblico</v>
      </c>
      <c r="R441" t="b">
        <f>IF(E441="staff",IF(INDEX('Partner data'!A:DH,MATCH(C441,'Partner data'!DG:DG,0),112)="BL1 non presente","FALSO",INDEX('Partner data'!A:DH,MATCH(C441,'Partner data'!DG:DG,0),112)))</f>
        <v>0</v>
      </c>
      <c r="S441" t="b">
        <f t="shared" si="12"/>
        <v>0</v>
      </c>
      <c r="T441" t="b">
        <f t="shared" si="13"/>
        <v>1</v>
      </c>
      <c r="U441" s="154">
        <f>IFERROR(IF(R441&lt;&gt;FALSE,IF(S441=TRUE,INDEX('SummaryNOT_VALIDATED-BL'!$A$1:$F$16,MATCH(R441,'SummaryNOT_VALIDATED-BL'!$A$1:$A$16,0),6),0),IF(S441=TRUE,INDEX('SummaryNOT_VALIDATED-BL'!$A$1:$F$16,MATCH(E441,'SummaryNOT_VALIDATED-BL'!$A$1:$A$16,0),6),0)),0)</f>
        <v>0</v>
      </c>
      <c r="V441" s="81" cm="1">
        <f t="array" ref="V441">INDEX('Weight tables'!$A$24:$C$27,MATCH(1,(RendicontiTrasmessiBL__2[[#This Row],[Cut percentage on real costs + USC]]&gt;='Weight tables'!$B$24:$B$27)*(RendicontiTrasmessiBL__2[[#This Row],[Cut percentage on real costs + USC]]&lt;='Weight tables'!$C$24:$C$27),0),1)</f>
        <v>0</v>
      </c>
      <c r="W441" s="2">
        <f>RendicontiTrasmessiBL__2[[#This Row],[Weight real costs  + USC ]]</f>
        <v>0</v>
      </c>
    </row>
    <row r="442" spans="1:23" x14ac:dyDescent="0.25">
      <c r="A442" s="1" t="s">
        <v>283</v>
      </c>
      <c r="B442" s="1" t="s">
        <v>56</v>
      </c>
      <c r="C442" s="2">
        <v>92</v>
      </c>
      <c r="D442" s="2">
        <v>125</v>
      </c>
      <c r="E442" s="1" t="s">
        <v>237</v>
      </c>
      <c r="G442">
        <v>0</v>
      </c>
      <c r="H442">
        <v>0</v>
      </c>
      <c r="I442">
        <v>0</v>
      </c>
      <c r="J442">
        <v>0</v>
      </c>
      <c r="K442">
        <v>0</v>
      </c>
      <c r="L442">
        <v>0</v>
      </c>
      <c r="M442">
        <v>0</v>
      </c>
      <c r="N442">
        <v>0</v>
      </c>
      <c r="O442">
        <v>0</v>
      </c>
      <c r="P442">
        <v>0</v>
      </c>
      <c r="Q442" t="str">
        <f>INDEX('Partner data'!A:DH,MATCH(C442,'Partner data'!DG:DG,0),83)</f>
        <v>Soggetto pubblico</v>
      </c>
      <c r="R442" t="b">
        <f>IF(E442="staff",IF(INDEX('Partner data'!A:DH,MATCH(C442,'Partner data'!DG:DG,0),112)="BL1 non presente","FALSO",INDEX('Partner data'!A:DH,MATCH(C442,'Partner data'!DG:DG,0),112)))</f>
        <v>0</v>
      </c>
      <c r="S442" t="b">
        <f t="shared" si="12"/>
        <v>0</v>
      </c>
      <c r="T442" t="b">
        <f t="shared" si="13"/>
        <v>1</v>
      </c>
      <c r="U442" s="154">
        <f>IFERROR(IF(R442&lt;&gt;FALSE,IF(S442=TRUE,INDEX('SummaryNOT_VALIDATED-BL'!$A$1:$F$16,MATCH(R442,'SummaryNOT_VALIDATED-BL'!$A$1:$A$16,0),6),0),IF(S442=TRUE,INDEX('SummaryNOT_VALIDATED-BL'!$A$1:$F$16,MATCH(E442,'SummaryNOT_VALIDATED-BL'!$A$1:$A$16,0),6),0)),0)</f>
        <v>0</v>
      </c>
      <c r="V442" s="81" cm="1">
        <f t="array" ref="V442">INDEX('Weight tables'!$A$24:$C$27,MATCH(1,(RendicontiTrasmessiBL__2[[#This Row],[Cut percentage on real costs + USC]]&gt;='Weight tables'!$B$24:$B$27)*(RendicontiTrasmessiBL__2[[#This Row],[Cut percentage on real costs + USC]]&lt;='Weight tables'!$C$24:$C$27),0),1)</f>
        <v>0</v>
      </c>
      <c r="W442" s="2">
        <f>RendicontiTrasmessiBL__2[[#This Row],[Weight real costs  + USC ]]</f>
        <v>0</v>
      </c>
    </row>
    <row r="443" spans="1:23" x14ac:dyDescent="0.25">
      <c r="A443" s="1" t="s">
        <v>283</v>
      </c>
      <c r="B443" s="1" t="s">
        <v>284</v>
      </c>
      <c r="C443" s="2">
        <v>167</v>
      </c>
      <c r="D443" s="2">
        <v>327</v>
      </c>
      <c r="E443" s="1" t="s">
        <v>228</v>
      </c>
      <c r="F443">
        <v>20</v>
      </c>
      <c r="G443">
        <v>22460</v>
      </c>
      <c r="H443">
        <v>0</v>
      </c>
      <c r="I443">
        <v>0</v>
      </c>
      <c r="J443">
        <v>0</v>
      </c>
      <c r="K443">
        <v>0</v>
      </c>
      <c r="L443">
        <v>0</v>
      </c>
      <c r="M443">
        <v>0</v>
      </c>
      <c r="N443">
        <v>0</v>
      </c>
      <c r="O443">
        <v>22460</v>
      </c>
      <c r="P443">
        <v>0</v>
      </c>
      <c r="Q443" t="str">
        <f>INDEX('Partner data'!A:DH,MATCH(C443,'Partner data'!DG:DG,0),83)</f>
        <v>Soggetto pubblico</v>
      </c>
      <c r="R443" t="str">
        <f>IF(E443="staff",IF(INDEX('Partner data'!A:DH,MATCH(C443,'Partner data'!DG:DG,0),112)="BL1 non presente","FALSO",INDEX('Partner data'!A:DH,MATCH(C443,'Partner data'!DG:DG,0),112)))</f>
        <v>Tasso Forfettario 20%</v>
      </c>
      <c r="S443" t="b">
        <f t="shared" si="12"/>
        <v>0</v>
      </c>
      <c r="T443" t="b">
        <f t="shared" si="13"/>
        <v>1</v>
      </c>
      <c r="U443" s="154">
        <f>IFERROR(IF(R443&lt;&gt;FALSE,IF(S443=TRUE,INDEX('SummaryNOT_VALIDATED-BL'!$A$1:$F$16,MATCH(R443,'SummaryNOT_VALIDATED-BL'!$A$1:$A$16,0),6),0),IF(S443=TRUE,INDEX('SummaryNOT_VALIDATED-BL'!$A$1:$F$16,MATCH(E443,'SummaryNOT_VALIDATED-BL'!$A$1:$A$16,0),6),0)),0)</f>
        <v>0</v>
      </c>
      <c r="V443" s="81" cm="1">
        <f t="array" ref="V443">INDEX('Weight tables'!$A$24:$C$27,MATCH(1,(RendicontiTrasmessiBL__2[[#This Row],[Cut percentage on real costs + USC]]&gt;='Weight tables'!$B$24:$B$27)*(RendicontiTrasmessiBL__2[[#This Row],[Cut percentage on real costs + USC]]&lt;='Weight tables'!$C$24:$C$27),0),1)</f>
        <v>0</v>
      </c>
      <c r="W443" s="2">
        <f>RendicontiTrasmessiBL__2[[#This Row],[Weight real costs  + USC ]]</f>
        <v>0</v>
      </c>
    </row>
    <row r="444" spans="1:23" x14ac:dyDescent="0.25">
      <c r="A444" s="1" t="s">
        <v>283</v>
      </c>
      <c r="B444" s="1" t="s">
        <v>284</v>
      </c>
      <c r="C444" s="2">
        <v>167</v>
      </c>
      <c r="D444" s="2">
        <v>327</v>
      </c>
      <c r="E444" s="1" t="s">
        <v>229</v>
      </c>
      <c r="F444">
        <v>15</v>
      </c>
      <c r="G444">
        <v>3369</v>
      </c>
      <c r="H444">
        <v>0</v>
      </c>
      <c r="I444">
        <v>0</v>
      </c>
      <c r="J444">
        <v>0</v>
      </c>
      <c r="K444">
        <v>0</v>
      </c>
      <c r="L444">
        <v>0</v>
      </c>
      <c r="M444">
        <v>0</v>
      </c>
      <c r="N444">
        <v>0</v>
      </c>
      <c r="O444">
        <v>3369</v>
      </c>
      <c r="P444">
        <v>0</v>
      </c>
      <c r="Q444" t="str">
        <f>INDEX('Partner data'!A:DH,MATCH(C444,'Partner data'!DG:DG,0),83)</f>
        <v>Soggetto pubblico</v>
      </c>
      <c r="R444" t="b">
        <f>IF(E444="staff",IF(INDEX('Partner data'!A:DH,MATCH(C444,'Partner data'!DG:DG,0),112)="BL1 non presente","FALSO",INDEX('Partner data'!A:DH,MATCH(C444,'Partner data'!DG:DG,0),112)))</f>
        <v>0</v>
      </c>
      <c r="S444" t="b">
        <f t="shared" si="12"/>
        <v>0</v>
      </c>
      <c r="T444" t="b">
        <f t="shared" si="13"/>
        <v>1</v>
      </c>
      <c r="U444" s="154">
        <f>IFERROR(IF(R444&lt;&gt;FALSE,IF(S444=TRUE,INDEX('SummaryNOT_VALIDATED-BL'!$A$1:$F$16,MATCH(R444,'SummaryNOT_VALIDATED-BL'!$A$1:$A$16,0),6),0),IF(S444=TRUE,INDEX('SummaryNOT_VALIDATED-BL'!$A$1:$F$16,MATCH(E444,'SummaryNOT_VALIDATED-BL'!$A$1:$A$16,0),6),0)),0)</f>
        <v>0</v>
      </c>
      <c r="V444" s="81" cm="1">
        <f t="array" ref="V444">INDEX('Weight tables'!$A$24:$C$27,MATCH(1,(RendicontiTrasmessiBL__2[[#This Row],[Cut percentage on real costs + USC]]&gt;='Weight tables'!$B$24:$B$27)*(RendicontiTrasmessiBL__2[[#This Row],[Cut percentage on real costs + USC]]&lt;='Weight tables'!$C$24:$C$27),0),1)</f>
        <v>0</v>
      </c>
      <c r="W444" s="2">
        <f>RendicontiTrasmessiBL__2[[#This Row],[Weight real costs  + USC ]]</f>
        <v>0</v>
      </c>
    </row>
    <row r="445" spans="1:23" x14ac:dyDescent="0.25">
      <c r="A445" s="1" t="s">
        <v>283</v>
      </c>
      <c r="B445" s="1" t="s">
        <v>284</v>
      </c>
      <c r="C445" s="2">
        <v>167</v>
      </c>
      <c r="D445" s="2">
        <v>327</v>
      </c>
      <c r="E445" s="1" t="s">
        <v>230</v>
      </c>
      <c r="F445">
        <v>4</v>
      </c>
      <c r="G445">
        <v>898.4</v>
      </c>
      <c r="H445">
        <v>0</v>
      </c>
      <c r="I445">
        <v>0</v>
      </c>
      <c r="J445">
        <v>0</v>
      </c>
      <c r="K445">
        <v>0</v>
      </c>
      <c r="L445">
        <v>0</v>
      </c>
      <c r="M445">
        <v>0</v>
      </c>
      <c r="N445">
        <v>0</v>
      </c>
      <c r="O445">
        <v>898.4</v>
      </c>
      <c r="P445">
        <v>0</v>
      </c>
      <c r="Q445" t="str">
        <f>INDEX('Partner data'!A:DH,MATCH(C445,'Partner data'!DG:DG,0),83)</f>
        <v>Soggetto pubblico</v>
      </c>
      <c r="R445" t="b">
        <f>IF(E445="staff",IF(INDEX('Partner data'!A:DH,MATCH(C445,'Partner data'!DG:DG,0),112)="BL1 non presente","FALSO",INDEX('Partner data'!A:DH,MATCH(C445,'Partner data'!DG:DG,0),112)))</f>
        <v>0</v>
      </c>
      <c r="S445" t="b">
        <f t="shared" si="12"/>
        <v>0</v>
      </c>
      <c r="T445" t="b">
        <f t="shared" si="13"/>
        <v>1</v>
      </c>
      <c r="U445" s="154">
        <f>IFERROR(IF(R445&lt;&gt;FALSE,IF(S445=TRUE,INDEX('SummaryNOT_VALIDATED-BL'!$A$1:$F$16,MATCH(R445,'SummaryNOT_VALIDATED-BL'!$A$1:$A$16,0),6),0),IF(S445=TRUE,INDEX('SummaryNOT_VALIDATED-BL'!$A$1:$F$16,MATCH(E445,'SummaryNOT_VALIDATED-BL'!$A$1:$A$16,0),6),0)),0)</f>
        <v>0</v>
      </c>
      <c r="V445" s="81" cm="1">
        <f t="array" ref="V445">INDEX('Weight tables'!$A$24:$C$27,MATCH(1,(RendicontiTrasmessiBL__2[[#This Row],[Cut percentage on real costs + USC]]&gt;='Weight tables'!$B$24:$B$27)*(RendicontiTrasmessiBL__2[[#This Row],[Cut percentage on real costs + USC]]&lt;='Weight tables'!$C$24:$C$27),0),1)</f>
        <v>0</v>
      </c>
      <c r="W445" s="2">
        <f>RendicontiTrasmessiBL__2[[#This Row],[Weight real costs  + USC ]]</f>
        <v>0</v>
      </c>
    </row>
    <row r="446" spans="1:23" x14ac:dyDescent="0.25">
      <c r="A446" s="1" t="s">
        <v>283</v>
      </c>
      <c r="B446" s="1" t="s">
        <v>284</v>
      </c>
      <c r="C446" s="2">
        <v>167</v>
      </c>
      <c r="D446" s="2">
        <v>327</v>
      </c>
      <c r="E446" s="1" t="s">
        <v>231</v>
      </c>
      <c r="G446">
        <v>112300</v>
      </c>
      <c r="H446">
        <v>0</v>
      </c>
      <c r="I446">
        <v>0</v>
      </c>
      <c r="J446">
        <v>0</v>
      </c>
      <c r="K446">
        <v>0</v>
      </c>
      <c r="L446">
        <v>0</v>
      </c>
      <c r="M446">
        <v>0</v>
      </c>
      <c r="N446">
        <v>0</v>
      </c>
      <c r="O446">
        <v>112300</v>
      </c>
      <c r="P446">
        <v>0</v>
      </c>
      <c r="Q446" t="str">
        <f>INDEX('Partner data'!A:DH,MATCH(C446,'Partner data'!DG:DG,0),83)</f>
        <v>Soggetto pubblico</v>
      </c>
      <c r="R446" t="b">
        <f>IF(E446="staff",IF(INDEX('Partner data'!A:DH,MATCH(C446,'Partner data'!DG:DG,0),112)="BL1 non presente","FALSO",INDEX('Partner data'!A:DH,MATCH(C446,'Partner data'!DG:DG,0),112)))</f>
        <v>0</v>
      </c>
      <c r="S446" t="b">
        <f t="shared" si="12"/>
        <v>0</v>
      </c>
      <c r="T446" t="b">
        <f t="shared" si="13"/>
        <v>1</v>
      </c>
      <c r="U446" s="154">
        <f>IFERROR(IF(R446&lt;&gt;FALSE,IF(S446=TRUE,INDEX('SummaryNOT_VALIDATED-BL'!$A$1:$F$16,MATCH(R446,'SummaryNOT_VALIDATED-BL'!$A$1:$A$16,0),6),0),IF(S446=TRUE,INDEX('SummaryNOT_VALIDATED-BL'!$A$1:$F$16,MATCH(E446,'SummaryNOT_VALIDATED-BL'!$A$1:$A$16,0),6),0)),0)</f>
        <v>0</v>
      </c>
      <c r="V446" s="81" cm="1">
        <f t="array" ref="V446">INDEX('Weight tables'!$A$24:$C$27,MATCH(1,(RendicontiTrasmessiBL__2[[#This Row],[Cut percentage on real costs + USC]]&gt;='Weight tables'!$B$24:$B$27)*(RendicontiTrasmessiBL__2[[#This Row],[Cut percentage on real costs + USC]]&lt;='Weight tables'!$C$24:$C$27),0),1)</f>
        <v>0</v>
      </c>
      <c r="W446" s="2">
        <f>RendicontiTrasmessiBL__2[[#This Row],[Weight real costs  + USC ]]</f>
        <v>0</v>
      </c>
    </row>
    <row r="447" spans="1:23" x14ac:dyDescent="0.25">
      <c r="A447" s="1" t="s">
        <v>283</v>
      </c>
      <c r="B447" s="1" t="s">
        <v>284</v>
      </c>
      <c r="C447" s="2">
        <v>167</v>
      </c>
      <c r="D447" s="2">
        <v>327</v>
      </c>
      <c r="E447" s="1" t="s">
        <v>232</v>
      </c>
      <c r="G447">
        <v>0</v>
      </c>
      <c r="H447">
        <v>0</v>
      </c>
      <c r="I447">
        <v>0</v>
      </c>
      <c r="J447">
        <v>0</v>
      </c>
      <c r="K447">
        <v>0</v>
      </c>
      <c r="L447">
        <v>0</v>
      </c>
      <c r="M447">
        <v>0</v>
      </c>
      <c r="N447">
        <v>0</v>
      </c>
      <c r="O447">
        <v>0</v>
      </c>
      <c r="P447">
        <v>0</v>
      </c>
      <c r="Q447" t="str">
        <f>INDEX('Partner data'!A:DH,MATCH(C447,'Partner data'!DG:DG,0),83)</f>
        <v>Soggetto pubblico</v>
      </c>
      <c r="R447" t="b">
        <f>IF(E447="staff",IF(INDEX('Partner data'!A:DH,MATCH(C447,'Partner data'!DG:DG,0),112)="BL1 non presente","FALSO",INDEX('Partner data'!A:DH,MATCH(C447,'Partner data'!DG:DG,0),112)))</f>
        <v>0</v>
      </c>
      <c r="S447" t="b">
        <f t="shared" si="12"/>
        <v>0</v>
      </c>
      <c r="T447" t="b">
        <f t="shared" si="13"/>
        <v>1</v>
      </c>
      <c r="U447" s="154">
        <f>IFERROR(IF(R447&lt;&gt;FALSE,IF(S447=TRUE,INDEX('SummaryNOT_VALIDATED-BL'!$A$1:$F$16,MATCH(R447,'SummaryNOT_VALIDATED-BL'!$A$1:$A$16,0),6),0),IF(S447=TRUE,INDEX('SummaryNOT_VALIDATED-BL'!$A$1:$F$16,MATCH(E447,'SummaryNOT_VALIDATED-BL'!$A$1:$A$16,0),6),0)),0)</f>
        <v>0</v>
      </c>
      <c r="V447" s="81" cm="1">
        <f t="array" ref="V447">INDEX('Weight tables'!$A$24:$C$27,MATCH(1,(RendicontiTrasmessiBL__2[[#This Row],[Cut percentage on real costs + USC]]&gt;='Weight tables'!$B$24:$B$27)*(RendicontiTrasmessiBL__2[[#This Row],[Cut percentage on real costs + USC]]&lt;='Weight tables'!$C$24:$C$27),0),1)</f>
        <v>0</v>
      </c>
      <c r="W447" s="2">
        <f>RendicontiTrasmessiBL__2[[#This Row],[Weight real costs  + USC ]]</f>
        <v>0</v>
      </c>
    </row>
    <row r="448" spans="1:23" x14ac:dyDescent="0.25">
      <c r="A448" s="1" t="s">
        <v>283</v>
      </c>
      <c r="B448" s="1" t="s">
        <v>284</v>
      </c>
      <c r="C448" s="2">
        <v>167</v>
      </c>
      <c r="D448" s="2">
        <v>327</v>
      </c>
      <c r="E448" s="1" t="s">
        <v>233</v>
      </c>
      <c r="G448">
        <v>0</v>
      </c>
      <c r="H448">
        <v>0</v>
      </c>
      <c r="I448">
        <v>0</v>
      </c>
      <c r="J448">
        <v>0</v>
      </c>
      <c r="K448">
        <v>0</v>
      </c>
      <c r="L448">
        <v>0</v>
      </c>
      <c r="M448">
        <v>0</v>
      </c>
      <c r="N448">
        <v>0</v>
      </c>
      <c r="O448">
        <v>0</v>
      </c>
      <c r="P448">
        <v>0</v>
      </c>
      <c r="Q448" t="str">
        <f>INDEX('Partner data'!A:DH,MATCH(C448,'Partner data'!DG:DG,0),83)</f>
        <v>Soggetto pubblico</v>
      </c>
      <c r="R448" t="b">
        <f>IF(E448="staff",IF(INDEX('Partner data'!A:DH,MATCH(C448,'Partner data'!DG:DG,0),112)="BL1 non presente","FALSO",INDEX('Partner data'!A:DH,MATCH(C448,'Partner data'!DG:DG,0),112)))</f>
        <v>0</v>
      </c>
      <c r="S448" t="b">
        <f t="shared" si="12"/>
        <v>0</v>
      </c>
      <c r="T448" t="b">
        <f t="shared" si="13"/>
        <v>1</v>
      </c>
      <c r="U448" s="154">
        <f>IFERROR(IF(R448&lt;&gt;FALSE,IF(S448=TRUE,INDEX('SummaryNOT_VALIDATED-BL'!$A$1:$F$16,MATCH(R448,'SummaryNOT_VALIDATED-BL'!$A$1:$A$16,0),6),0),IF(S448=TRUE,INDEX('SummaryNOT_VALIDATED-BL'!$A$1:$F$16,MATCH(E448,'SummaryNOT_VALIDATED-BL'!$A$1:$A$16,0),6),0)),0)</f>
        <v>0</v>
      </c>
      <c r="V448" s="81" cm="1">
        <f t="array" ref="V448">INDEX('Weight tables'!$A$24:$C$27,MATCH(1,(RendicontiTrasmessiBL__2[[#This Row],[Cut percentage on real costs + USC]]&gt;='Weight tables'!$B$24:$B$27)*(RendicontiTrasmessiBL__2[[#This Row],[Cut percentage on real costs + USC]]&lt;='Weight tables'!$C$24:$C$27),0),1)</f>
        <v>0</v>
      </c>
      <c r="W448" s="2">
        <f>RendicontiTrasmessiBL__2[[#This Row],[Weight real costs  + USC ]]</f>
        <v>0</v>
      </c>
    </row>
    <row r="449" spans="1:23" x14ac:dyDescent="0.25">
      <c r="A449" s="1" t="s">
        <v>283</v>
      </c>
      <c r="B449" s="1" t="s">
        <v>284</v>
      </c>
      <c r="C449" s="2">
        <v>167</v>
      </c>
      <c r="D449" s="2">
        <v>327</v>
      </c>
      <c r="E449" s="1" t="s">
        <v>234</v>
      </c>
      <c r="G449">
        <v>0</v>
      </c>
      <c r="H449">
        <v>0</v>
      </c>
      <c r="I449">
        <v>0</v>
      </c>
      <c r="J449">
        <v>0</v>
      </c>
      <c r="K449">
        <v>0</v>
      </c>
      <c r="L449">
        <v>0</v>
      </c>
      <c r="M449">
        <v>0</v>
      </c>
      <c r="N449">
        <v>0</v>
      </c>
      <c r="O449">
        <v>0</v>
      </c>
      <c r="P449">
        <v>0</v>
      </c>
      <c r="Q449" t="str">
        <f>INDEX('Partner data'!A:DH,MATCH(C449,'Partner data'!DG:DG,0),83)</f>
        <v>Soggetto pubblico</v>
      </c>
      <c r="R449" t="b">
        <f>IF(E449="staff",IF(INDEX('Partner data'!A:DH,MATCH(C449,'Partner data'!DG:DG,0),112)="BL1 non presente","FALSO",INDEX('Partner data'!A:DH,MATCH(C449,'Partner data'!DG:DG,0),112)))</f>
        <v>0</v>
      </c>
      <c r="S449" t="b">
        <f t="shared" si="12"/>
        <v>0</v>
      </c>
      <c r="T449" t="b">
        <f t="shared" si="13"/>
        <v>1</v>
      </c>
      <c r="U449" s="154">
        <f>IFERROR(IF(R449&lt;&gt;FALSE,IF(S449=TRUE,INDEX('SummaryNOT_VALIDATED-BL'!$A$1:$F$16,MATCH(R449,'SummaryNOT_VALIDATED-BL'!$A$1:$A$16,0),6),0),IF(S449=TRUE,INDEX('SummaryNOT_VALIDATED-BL'!$A$1:$F$16,MATCH(E449,'SummaryNOT_VALIDATED-BL'!$A$1:$A$16,0),6),0)),0)</f>
        <v>0</v>
      </c>
      <c r="V449" s="81" cm="1">
        <f t="array" ref="V449">INDEX('Weight tables'!$A$24:$C$27,MATCH(1,(RendicontiTrasmessiBL__2[[#This Row],[Cut percentage on real costs + USC]]&gt;='Weight tables'!$B$24:$B$27)*(RendicontiTrasmessiBL__2[[#This Row],[Cut percentage on real costs + USC]]&lt;='Weight tables'!$C$24:$C$27),0),1)</f>
        <v>0</v>
      </c>
      <c r="W449" s="2">
        <f>RendicontiTrasmessiBL__2[[#This Row],[Weight real costs  + USC ]]</f>
        <v>0</v>
      </c>
    </row>
    <row r="450" spans="1:23" x14ac:dyDescent="0.25">
      <c r="A450" s="1" t="s">
        <v>283</v>
      </c>
      <c r="B450" s="1" t="s">
        <v>284</v>
      </c>
      <c r="C450" s="2">
        <v>167</v>
      </c>
      <c r="D450" s="2">
        <v>327</v>
      </c>
      <c r="E450" s="1" t="s">
        <v>236</v>
      </c>
      <c r="G450">
        <v>0</v>
      </c>
      <c r="H450">
        <v>0</v>
      </c>
      <c r="I450">
        <v>0</v>
      </c>
      <c r="J450">
        <v>0</v>
      </c>
      <c r="K450">
        <v>0</v>
      </c>
      <c r="L450">
        <v>0</v>
      </c>
      <c r="M450">
        <v>0</v>
      </c>
      <c r="N450">
        <v>0</v>
      </c>
      <c r="O450">
        <v>0</v>
      </c>
      <c r="P450">
        <v>0</v>
      </c>
      <c r="Q450" t="str">
        <f>INDEX('Partner data'!A:DH,MATCH(C450,'Partner data'!DG:DG,0),83)</f>
        <v>Soggetto pubblico</v>
      </c>
      <c r="R450" t="b">
        <f>IF(E450="staff",IF(INDEX('Partner data'!A:DH,MATCH(C450,'Partner data'!DG:DG,0),112)="BL1 non presente","FALSO",INDEX('Partner data'!A:DH,MATCH(C450,'Partner data'!DG:DG,0),112)))</f>
        <v>0</v>
      </c>
      <c r="S450" t="b">
        <f t="shared" ref="S450:S513" si="14">IF(J450&lt;&gt;0,TRUE,FALSE)</f>
        <v>0</v>
      </c>
      <c r="T450" t="b">
        <f t="shared" ref="T450:T513" si="15">OR(Q450="Soggetto pubblico",Q450="Organismo di diritto pubblico ")</f>
        <v>1</v>
      </c>
      <c r="U450" s="154">
        <f>IFERROR(IF(R450&lt;&gt;FALSE,IF(S450=TRUE,INDEX('SummaryNOT_VALIDATED-BL'!$A$1:$F$16,MATCH(R450,'SummaryNOT_VALIDATED-BL'!$A$1:$A$16,0),6),0),IF(S450=TRUE,INDEX('SummaryNOT_VALIDATED-BL'!$A$1:$F$16,MATCH(E450,'SummaryNOT_VALIDATED-BL'!$A$1:$A$16,0),6),0)),0)</f>
        <v>0</v>
      </c>
      <c r="V450" s="81" cm="1">
        <f t="array" ref="V450">INDEX('Weight tables'!$A$24:$C$27,MATCH(1,(RendicontiTrasmessiBL__2[[#This Row],[Cut percentage on real costs + USC]]&gt;='Weight tables'!$B$24:$B$27)*(RendicontiTrasmessiBL__2[[#This Row],[Cut percentage on real costs + USC]]&lt;='Weight tables'!$C$24:$C$27),0),1)</f>
        <v>0</v>
      </c>
      <c r="W450" s="2">
        <f>RendicontiTrasmessiBL__2[[#This Row],[Weight real costs  + USC ]]</f>
        <v>0</v>
      </c>
    </row>
    <row r="451" spans="1:23" x14ac:dyDescent="0.25">
      <c r="A451" s="1" t="s">
        <v>283</v>
      </c>
      <c r="B451" s="1" t="s">
        <v>284</v>
      </c>
      <c r="C451" s="2">
        <v>167</v>
      </c>
      <c r="D451" s="2">
        <v>327</v>
      </c>
      <c r="E451" s="1" t="s">
        <v>237</v>
      </c>
      <c r="G451">
        <v>0</v>
      </c>
      <c r="H451">
        <v>0</v>
      </c>
      <c r="I451">
        <v>0</v>
      </c>
      <c r="J451">
        <v>0</v>
      </c>
      <c r="K451">
        <v>0</v>
      </c>
      <c r="L451">
        <v>0</v>
      </c>
      <c r="M451">
        <v>0</v>
      </c>
      <c r="N451">
        <v>0</v>
      </c>
      <c r="O451">
        <v>0</v>
      </c>
      <c r="P451">
        <v>0</v>
      </c>
      <c r="Q451" t="str">
        <f>INDEX('Partner data'!A:DH,MATCH(C451,'Partner data'!DG:DG,0),83)</f>
        <v>Soggetto pubblico</v>
      </c>
      <c r="R451" t="b">
        <f>IF(E451="staff",IF(INDEX('Partner data'!A:DH,MATCH(C451,'Partner data'!DG:DG,0),112)="BL1 non presente","FALSO",INDEX('Partner data'!A:DH,MATCH(C451,'Partner data'!DG:DG,0),112)))</f>
        <v>0</v>
      </c>
      <c r="S451" t="b">
        <f t="shared" si="14"/>
        <v>0</v>
      </c>
      <c r="T451" t="b">
        <f t="shared" si="15"/>
        <v>1</v>
      </c>
      <c r="U451" s="154">
        <f>IFERROR(IF(R451&lt;&gt;FALSE,IF(S451=TRUE,INDEX('SummaryNOT_VALIDATED-BL'!$A$1:$F$16,MATCH(R451,'SummaryNOT_VALIDATED-BL'!$A$1:$A$16,0),6),0),IF(S451=TRUE,INDEX('SummaryNOT_VALIDATED-BL'!$A$1:$F$16,MATCH(E451,'SummaryNOT_VALIDATED-BL'!$A$1:$A$16,0),6),0)),0)</f>
        <v>0</v>
      </c>
      <c r="V451" s="81" cm="1">
        <f t="array" ref="V451">INDEX('Weight tables'!$A$24:$C$27,MATCH(1,(RendicontiTrasmessiBL__2[[#This Row],[Cut percentage on real costs + USC]]&gt;='Weight tables'!$B$24:$B$27)*(RendicontiTrasmessiBL__2[[#This Row],[Cut percentage on real costs + USC]]&lt;='Weight tables'!$C$24:$C$27),0),1)</f>
        <v>0</v>
      </c>
      <c r="W451" s="2">
        <f>RendicontiTrasmessiBL__2[[#This Row],[Weight real costs  + USC ]]</f>
        <v>0</v>
      </c>
    </row>
    <row r="452" spans="1:23" x14ac:dyDescent="0.25">
      <c r="A452" s="1" t="s">
        <v>283</v>
      </c>
      <c r="B452" s="1" t="s">
        <v>285</v>
      </c>
      <c r="C452" s="2">
        <v>197</v>
      </c>
      <c r="D452" s="2">
        <v>219</v>
      </c>
      <c r="E452" s="1" t="s">
        <v>228</v>
      </c>
      <c r="G452">
        <v>66000</v>
      </c>
      <c r="H452">
        <v>0</v>
      </c>
      <c r="I452">
        <v>0</v>
      </c>
      <c r="J452">
        <v>14710.22</v>
      </c>
      <c r="K452">
        <v>0</v>
      </c>
      <c r="L452">
        <v>14710.22</v>
      </c>
      <c r="M452">
        <v>14710.22</v>
      </c>
      <c r="N452">
        <v>22.29</v>
      </c>
      <c r="O452">
        <v>51289.78</v>
      </c>
      <c r="P452">
        <v>0</v>
      </c>
      <c r="Q452" t="str">
        <f>INDEX('Partner data'!A:DH,MATCH(C452,'Partner data'!DG:DG,0),83)</f>
        <v>Soggetto pubblico</v>
      </c>
      <c r="R452" t="str">
        <f>IF(E452="staff",IF(INDEX('Partner data'!A:DH,MATCH(C452,'Partner data'!DG:DG,0),112)="BL1 non presente","FALSO",INDEX('Partner data'!A:DH,MATCH(C452,'Partner data'!DG:DG,0),112)))</f>
        <v>COSTO REALE</v>
      </c>
      <c r="S452" t="b">
        <f t="shared" si="14"/>
        <v>1</v>
      </c>
      <c r="T452" t="b">
        <f t="shared" si="15"/>
        <v>1</v>
      </c>
      <c r="U452" s="154">
        <f>IFERROR(IF(R452&lt;&gt;FALSE,IF(S452=TRUE,INDEX('SummaryNOT_VALIDATED-BL'!$A$1:$F$16,MATCH(R452,'SummaryNOT_VALIDATED-BL'!$A$1:$A$16,0),6),0),IF(S452=TRUE,INDEX('SummaryNOT_VALIDATED-BL'!$A$1:$F$16,MATCH(E452,'SummaryNOT_VALIDATED-BL'!$A$1:$A$16,0),6),0)),0)</f>
        <v>9.1604133276901048E-2</v>
      </c>
      <c r="V452" s="81" cm="1">
        <f t="array" ref="V452">INDEX('Weight tables'!$A$24:$C$27,MATCH(1,(RendicontiTrasmessiBL__2[[#This Row],[Cut percentage on real costs + USC]]&gt;='Weight tables'!$B$24:$B$27)*(RendicontiTrasmessiBL__2[[#This Row],[Cut percentage on real costs + USC]]&lt;='Weight tables'!$C$24:$C$27),0),1)</f>
        <v>4</v>
      </c>
      <c r="W452" s="2">
        <f>RendicontiTrasmessiBL__2[[#This Row],[Weight real costs  + USC ]]</f>
        <v>4</v>
      </c>
    </row>
    <row r="453" spans="1:23" x14ac:dyDescent="0.25">
      <c r="A453" s="1" t="s">
        <v>283</v>
      </c>
      <c r="B453" s="1" t="s">
        <v>285</v>
      </c>
      <c r="C453" s="2">
        <v>197</v>
      </c>
      <c r="D453" s="2">
        <v>219</v>
      </c>
      <c r="E453" s="1" t="s">
        <v>229</v>
      </c>
      <c r="F453">
        <v>15</v>
      </c>
      <c r="G453">
        <v>9900</v>
      </c>
      <c r="H453">
        <v>0</v>
      </c>
      <c r="I453">
        <v>0</v>
      </c>
      <c r="J453">
        <v>2206.5300000000002</v>
      </c>
      <c r="K453">
        <v>0</v>
      </c>
      <c r="L453">
        <v>2206.5300000000002</v>
      </c>
      <c r="M453">
        <v>2206.5300000000002</v>
      </c>
      <c r="N453">
        <v>22.29</v>
      </c>
      <c r="O453">
        <v>7693.47</v>
      </c>
      <c r="P453">
        <v>0</v>
      </c>
      <c r="Q453" t="str">
        <f>INDEX('Partner data'!A:DH,MATCH(C453,'Partner data'!DG:DG,0),83)</f>
        <v>Soggetto pubblico</v>
      </c>
      <c r="R453" t="b">
        <f>IF(E453="staff",IF(INDEX('Partner data'!A:DH,MATCH(C453,'Partner data'!DG:DG,0),112)="BL1 non presente","FALSO",INDEX('Partner data'!A:DH,MATCH(C453,'Partner data'!DG:DG,0),112)))</f>
        <v>0</v>
      </c>
      <c r="S453" t="b">
        <f t="shared" si="14"/>
        <v>1</v>
      </c>
      <c r="T453" t="b">
        <f t="shared" si="15"/>
        <v>1</v>
      </c>
      <c r="U453" s="154">
        <f>IFERROR(IF(R453&lt;&gt;FALSE,IF(S453=TRUE,INDEX('SummaryNOT_VALIDATED-BL'!$A$1:$F$16,MATCH(R453,'SummaryNOT_VALIDATED-BL'!$A$1:$A$16,0),6),0),IF(S453=TRUE,INDEX('SummaryNOT_VALIDATED-BL'!$A$1:$F$16,MATCH(E453,'SummaryNOT_VALIDATED-BL'!$A$1:$A$16,0),6),0)),0)</f>
        <v>6.6460469504890221E-2</v>
      </c>
      <c r="V453" s="81" cm="1">
        <f t="array" ref="V453">INDEX('Weight tables'!$A$24:$C$27,MATCH(1,(RendicontiTrasmessiBL__2[[#This Row],[Cut percentage on real costs + USC]]&gt;='Weight tables'!$B$24:$B$27)*(RendicontiTrasmessiBL__2[[#This Row],[Cut percentage on real costs + USC]]&lt;='Weight tables'!$C$24:$C$27),0),1)</f>
        <v>4</v>
      </c>
      <c r="W453" s="2">
        <f>RendicontiTrasmessiBL__2[[#This Row],[Weight real costs  + USC ]]</f>
        <v>4</v>
      </c>
    </row>
    <row r="454" spans="1:23" x14ac:dyDescent="0.25">
      <c r="A454" s="1" t="s">
        <v>283</v>
      </c>
      <c r="B454" s="1" t="s">
        <v>285</v>
      </c>
      <c r="C454" s="2">
        <v>197</v>
      </c>
      <c r="D454" s="2">
        <v>219</v>
      </c>
      <c r="E454" s="1" t="s">
        <v>230</v>
      </c>
      <c r="F454">
        <v>4</v>
      </c>
      <c r="G454">
        <v>2640</v>
      </c>
      <c r="H454">
        <v>0</v>
      </c>
      <c r="I454">
        <v>0</v>
      </c>
      <c r="J454">
        <v>588.4</v>
      </c>
      <c r="K454">
        <v>0</v>
      </c>
      <c r="L454">
        <v>588.4</v>
      </c>
      <c r="M454">
        <v>588.4</v>
      </c>
      <c r="N454">
        <v>22.29</v>
      </c>
      <c r="O454">
        <v>2051.6</v>
      </c>
      <c r="P454">
        <v>0</v>
      </c>
      <c r="Q454" t="str">
        <f>INDEX('Partner data'!A:DH,MATCH(C454,'Partner data'!DG:DG,0),83)</f>
        <v>Soggetto pubblico</v>
      </c>
      <c r="R454" t="b">
        <f>IF(E454="staff",IF(INDEX('Partner data'!A:DH,MATCH(C454,'Partner data'!DG:DG,0),112)="BL1 non presente","FALSO",INDEX('Partner data'!A:DH,MATCH(C454,'Partner data'!DG:DG,0),112)))</f>
        <v>0</v>
      </c>
      <c r="S454" t="b">
        <f t="shared" si="14"/>
        <v>1</v>
      </c>
      <c r="T454" t="b">
        <f t="shared" si="15"/>
        <v>1</v>
      </c>
      <c r="U454" s="154">
        <f>IFERROR(IF(R454&lt;&gt;FALSE,IF(S454=TRUE,INDEX('SummaryNOT_VALIDATED-BL'!$A$1:$F$16,MATCH(R454,'SummaryNOT_VALIDATED-BL'!$A$1:$A$16,0),6),0),IF(S454=TRUE,INDEX('SummaryNOT_VALIDATED-BL'!$A$1:$F$16,MATCH(E454,'SummaryNOT_VALIDATED-BL'!$A$1:$A$16,0),6),0)),0)</f>
        <v>6.3112622236488891E-2</v>
      </c>
      <c r="V454" s="81" cm="1">
        <f t="array" ref="V454">INDEX('Weight tables'!$A$24:$C$27,MATCH(1,(RendicontiTrasmessiBL__2[[#This Row],[Cut percentage on real costs + USC]]&gt;='Weight tables'!$B$24:$B$27)*(RendicontiTrasmessiBL__2[[#This Row],[Cut percentage on real costs + USC]]&lt;='Weight tables'!$C$24:$C$27),0),1)</f>
        <v>4</v>
      </c>
      <c r="W454" s="2">
        <f>RendicontiTrasmessiBL__2[[#This Row],[Weight real costs  + USC ]]</f>
        <v>4</v>
      </c>
    </row>
    <row r="455" spans="1:23" x14ac:dyDescent="0.25">
      <c r="A455" s="1" t="s">
        <v>283</v>
      </c>
      <c r="B455" s="1" t="s">
        <v>285</v>
      </c>
      <c r="C455" s="2">
        <v>197</v>
      </c>
      <c r="D455" s="2">
        <v>219</v>
      </c>
      <c r="E455" s="1" t="s">
        <v>231</v>
      </c>
      <c r="G455">
        <v>43500</v>
      </c>
      <c r="H455">
        <v>0</v>
      </c>
      <c r="I455">
        <v>0</v>
      </c>
      <c r="J455">
        <v>131.4</v>
      </c>
      <c r="K455">
        <v>0</v>
      </c>
      <c r="L455">
        <v>131.4</v>
      </c>
      <c r="M455">
        <v>131.4</v>
      </c>
      <c r="N455">
        <v>0.3</v>
      </c>
      <c r="O455">
        <v>43368.6</v>
      </c>
      <c r="P455">
        <v>0</v>
      </c>
      <c r="Q455" t="str">
        <f>INDEX('Partner data'!A:DH,MATCH(C455,'Partner data'!DG:DG,0),83)</f>
        <v>Soggetto pubblico</v>
      </c>
      <c r="R455" t="b">
        <f>IF(E455="staff",IF(INDEX('Partner data'!A:DH,MATCH(C455,'Partner data'!DG:DG,0),112)="BL1 non presente","FALSO",INDEX('Partner data'!A:DH,MATCH(C455,'Partner data'!DG:DG,0),112)))</f>
        <v>0</v>
      </c>
      <c r="S455" t="b">
        <f t="shared" si="14"/>
        <v>1</v>
      </c>
      <c r="T455" t="b">
        <f t="shared" si="15"/>
        <v>1</v>
      </c>
      <c r="U455" s="154">
        <f>IFERROR(IF(R455&lt;&gt;FALSE,IF(S455=TRUE,INDEX('SummaryNOT_VALIDATED-BL'!$A$1:$F$16,MATCH(R455,'SummaryNOT_VALIDATED-BL'!$A$1:$A$16,0),6),0),IF(S455=TRUE,INDEX('SummaryNOT_VALIDATED-BL'!$A$1:$F$16,MATCH(E455,'SummaryNOT_VALIDATED-BL'!$A$1:$A$16,0),6),0)),0)</f>
        <v>5.577594442215475E-2</v>
      </c>
      <c r="V455" s="81" cm="1">
        <f t="array" ref="V455">INDEX('Weight tables'!$A$24:$C$27,MATCH(1,(RendicontiTrasmessiBL__2[[#This Row],[Cut percentage on real costs + USC]]&gt;='Weight tables'!$B$24:$B$27)*(RendicontiTrasmessiBL__2[[#This Row],[Cut percentage on real costs + USC]]&lt;='Weight tables'!$C$24:$C$27),0),1)</f>
        <v>4</v>
      </c>
      <c r="W455" s="2">
        <f>RendicontiTrasmessiBL__2[[#This Row],[Weight real costs  + USC ]]</f>
        <v>4</v>
      </c>
    </row>
    <row r="456" spans="1:23" x14ac:dyDescent="0.25">
      <c r="A456" s="1" t="s">
        <v>283</v>
      </c>
      <c r="B456" s="1" t="s">
        <v>285</v>
      </c>
      <c r="C456" s="2">
        <v>197</v>
      </c>
      <c r="D456" s="2">
        <v>219</v>
      </c>
      <c r="E456" s="1" t="s">
        <v>232</v>
      </c>
      <c r="G456">
        <v>7960</v>
      </c>
      <c r="H456">
        <v>0</v>
      </c>
      <c r="I456">
        <v>0</v>
      </c>
      <c r="J456">
        <v>195.45</v>
      </c>
      <c r="K456">
        <v>0</v>
      </c>
      <c r="L456">
        <v>195.45</v>
      </c>
      <c r="M456">
        <v>195.45</v>
      </c>
      <c r="N456">
        <v>2.46</v>
      </c>
      <c r="O456">
        <v>7764.55</v>
      </c>
      <c r="P456">
        <v>0</v>
      </c>
      <c r="Q456" t="str">
        <f>INDEX('Partner data'!A:DH,MATCH(C456,'Partner data'!DG:DG,0),83)</f>
        <v>Soggetto pubblico</v>
      </c>
      <c r="R456" t="b">
        <f>IF(E456="staff",IF(INDEX('Partner data'!A:DH,MATCH(C456,'Partner data'!DG:DG,0),112)="BL1 non presente","FALSO",INDEX('Partner data'!A:DH,MATCH(C456,'Partner data'!DG:DG,0),112)))</f>
        <v>0</v>
      </c>
      <c r="S456" t="b">
        <f t="shared" si="14"/>
        <v>1</v>
      </c>
      <c r="T456" t="b">
        <f t="shared" si="15"/>
        <v>1</v>
      </c>
      <c r="U456" s="154">
        <f>IFERROR(IF(R456&lt;&gt;FALSE,IF(S456=TRUE,INDEX('SummaryNOT_VALIDATED-BL'!$A$1:$F$16,MATCH(R456,'SummaryNOT_VALIDATED-BL'!$A$1:$A$16,0),6),0),IF(S456=TRUE,INDEX('SummaryNOT_VALIDATED-BL'!$A$1:$F$16,MATCH(E456,'SummaryNOT_VALIDATED-BL'!$A$1:$A$16,0),6),0)),0)</f>
        <v>1.102169095281242E-2</v>
      </c>
      <c r="V456" s="81" cm="1">
        <f t="array" ref="V456">INDEX('Weight tables'!$A$24:$C$27,MATCH(1,(RendicontiTrasmessiBL__2[[#This Row],[Cut percentage on real costs + USC]]&gt;='Weight tables'!$B$24:$B$27)*(RendicontiTrasmessiBL__2[[#This Row],[Cut percentage on real costs + USC]]&lt;='Weight tables'!$C$24:$C$27),0),1)</f>
        <v>0</v>
      </c>
      <c r="W456" s="2">
        <f>RendicontiTrasmessiBL__2[[#This Row],[Weight real costs  + USC ]]</f>
        <v>0</v>
      </c>
    </row>
    <row r="457" spans="1:23" x14ac:dyDescent="0.25">
      <c r="A457" s="1" t="s">
        <v>283</v>
      </c>
      <c r="B457" s="1" t="s">
        <v>285</v>
      </c>
      <c r="C457" s="2">
        <v>197</v>
      </c>
      <c r="D457" s="2">
        <v>219</v>
      </c>
      <c r="E457" s="1" t="s">
        <v>233</v>
      </c>
      <c r="G457">
        <v>0</v>
      </c>
      <c r="H457">
        <v>0</v>
      </c>
      <c r="I457">
        <v>0</v>
      </c>
      <c r="J457">
        <v>0</v>
      </c>
      <c r="K457">
        <v>0</v>
      </c>
      <c r="L457">
        <v>0</v>
      </c>
      <c r="M457">
        <v>0</v>
      </c>
      <c r="N457">
        <v>0</v>
      </c>
      <c r="O457">
        <v>0</v>
      </c>
      <c r="P457">
        <v>0</v>
      </c>
      <c r="Q457" t="str">
        <f>INDEX('Partner data'!A:DH,MATCH(C457,'Partner data'!DG:DG,0),83)</f>
        <v>Soggetto pubblico</v>
      </c>
      <c r="R457" t="b">
        <f>IF(E457="staff",IF(INDEX('Partner data'!A:DH,MATCH(C457,'Partner data'!DG:DG,0),112)="BL1 non presente","FALSO",INDEX('Partner data'!A:DH,MATCH(C457,'Partner data'!DG:DG,0),112)))</f>
        <v>0</v>
      </c>
      <c r="S457" t="b">
        <f t="shared" si="14"/>
        <v>0</v>
      </c>
      <c r="T457" t="b">
        <f t="shared" si="15"/>
        <v>1</v>
      </c>
      <c r="U457" s="154">
        <f>IFERROR(IF(R457&lt;&gt;FALSE,IF(S457=TRUE,INDEX('SummaryNOT_VALIDATED-BL'!$A$1:$F$16,MATCH(R457,'SummaryNOT_VALIDATED-BL'!$A$1:$A$16,0),6),0),IF(S457=TRUE,INDEX('SummaryNOT_VALIDATED-BL'!$A$1:$F$16,MATCH(E457,'SummaryNOT_VALIDATED-BL'!$A$1:$A$16,0),6),0)),0)</f>
        <v>0</v>
      </c>
      <c r="V457" s="81" cm="1">
        <f t="array" ref="V457">INDEX('Weight tables'!$A$24:$C$27,MATCH(1,(RendicontiTrasmessiBL__2[[#This Row],[Cut percentage on real costs + USC]]&gt;='Weight tables'!$B$24:$B$27)*(RendicontiTrasmessiBL__2[[#This Row],[Cut percentage on real costs + USC]]&lt;='Weight tables'!$C$24:$C$27),0),1)</f>
        <v>0</v>
      </c>
      <c r="W457" s="2">
        <f>RendicontiTrasmessiBL__2[[#This Row],[Weight real costs  + USC ]]</f>
        <v>0</v>
      </c>
    </row>
    <row r="458" spans="1:23" x14ac:dyDescent="0.25">
      <c r="A458" s="1" t="s">
        <v>283</v>
      </c>
      <c r="B458" s="1" t="s">
        <v>285</v>
      </c>
      <c r="C458" s="2">
        <v>197</v>
      </c>
      <c r="D458" s="2">
        <v>219</v>
      </c>
      <c r="E458" s="1" t="s">
        <v>234</v>
      </c>
      <c r="G458">
        <v>0</v>
      </c>
      <c r="H458">
        <v>0</v>
      </c>
      <c r="I458">
        <v>0</v>
      </c>
      <c r="J458">
        <v>0</v>
      </c>
      <c r="K458">
        <v>0</v>
      </c>
      <c r="L458">
        <v>0</v>
      </c>
      <c r="M458">
        <v>0</v>
      </c>
      <c r="N458">
        <v>0</v>
      </c>
      <c r="O458">
        <v>0</v>
      </c>
      <c r="P458">
        <v>0</v>
      </c>
      <c r="Q458" t="str">
        <f>INDEX('Partner data'!A:DH,MATCH(C458,'Partner data'!DG:DG,0),83)</f>
        <v>Soggetto pubblico</v>
      </c>
      <c r="R458" t="b">
        <f>IF(E458="staff",IF(INDEX('Partner data'!A:DH,MATCH(C458,'Partner data'!DG:DG,0),112)="BL1 non presente","FALSO",INDEX('Partner data'!A:DH,MATCH(C458,'Partner data'!DG:DG,0),112)))</f>
        <v>0</v>
      </c>
      <c r="S458" t="b">
        <f t="shared" si="14"/>
        <v>0</v>
      </c>
      <c r="T458" t="b">
        <f t="shared" si="15"/>
        <v>1</v>
      </c>
      <c r="U458" s="154">
        <f>IFERROR(IF(R458&lt;&gt;FALSE,IF(S458=TRUE,INDEX('SummaryNOT_VALIDATED-BL'!$A$1:$F$16,MATCH(R458,'SummaryNOT_VALIDATED-BL'!$A$1:$A$16,0),6),0),IF(S458=TRUE,INDEX('SummaryNOT_VALIDATED-BL'!$A$1:$F$16,MATCH(E458,'SummaryNOT_VALIDATED-BL'!$A$1:$A$16,0),6),0)),0)</f>
        <v>0</v>
      </c>
      <c r="V458" s="81" cm="1">
        <f t="array" ref="V458">INDEX('Weight tables'!$A$24:$C$27,MATCH(1,(RendicontiTrasmessiBL__2[[#This Row],[Cut percentage on real costs + USC]]&gt;='Weight tables'!$B$24:$B$27)*(RendicontiTrasmessiBL__2[[#This Row],[Cut percentage on real costs + USC]]&lt;='Weight tables'!$C$24:$C$27),0),1)</f>
        <v>0</v>
      </c>
      <c r="W458" s="2">
        <f>RendicontiTrasmessiBL__2[[#This Row],[Weight real costs  + USC ]]</f>
        <v>0</v>
      </c>
    </row>
    <row r="459" spans="1:23" x14ac:dyDescent="0.25">
      <c r="A459" s="1" t="s">
        <v>283</v>
      </c>
      <c r="B459" s="1" t="s">
        <v>285</v>
      </c>
      <c r="C459" s="2">
        <v>197</v>
      </c>
      <c r="D459" s="2">
        <v>219</v>
      </c>
      <c r="E459" s="1" t="s">
        <v>236</v>
      </c>
      <c r="G459">
        <v>0</v>
      </c>
      <c r="H459">
        <v>0</v>
      </c>
      <c r="I459">
        <v>0</v>
      </c>
      <c r="J459">
        <v>0</v>
      </c>
      <c r="K459">
        <v>0</v>
      </c>
      <c r="L459">
        <v>0</v>
      </c>
      <c r="M459">
        <v>0</v>
      </c>
      <c r="N459">
        <v>0</v>
      </c>
      <c r="O459">
        <v>0</v>
      </c>
      <c r="P459">
        <v>0</v>
      </c>
      <c r="Q459" t="str">
        <f>INDEX('Partner data'!A:DH,MATCH(C459,'Partner data'!DG:DG,0),83)</f>
        <v>Soggetto pubblico</v>
      </c>
      <c r="R459" t="b">
        <f>IF(E459="staff",IF(INDEX('Partner data'!A:DH,MATCH(C459,'Partner data'!DG:DG,0),112)="BL1 non presente","FALSO",INDEX('Partner data'!A:DH,MATCH(C459,'Partner data'!DG:DG,0),112)))</f>
        <v>0</v>
      </c>
      <c r="S459" t="b">
        <f t="shared" si="14"/>
        <v>0</v>
      </c>
      <c r="T459" t="b">
        <f t="shared" si="15"/>
        <v>1</v>
      </c>
      <c r="U459" s="154">
        <f>IFERROR(IF(R459&lt;&gt;FALSE,IF(S459=TRUE,INDEX('SummaryNOT_VALIDATED-BL'!$A$1:$F$16,MATCH(R459,'SummaryNOT_VALIDATED-BL'!$A$1:$A$16,0),6),0),IF(S459=TRUE,INDEX('SummaryNOT_VALIDATED-BL'!$A$1:$F$16,MATCH(E459,'SummaryNOT_VALIDATED-BL'!$A$1:$A$16,0),6),0)),0)</f>
        <v>0</v>
      </c>
      <c r="V459" s="81" cm="1">
        <f t="array" ref="V459">INDEX('Weight tables'!$A$24:$C$27,MATCH(1,(RendicontiTrasmessiBL__2[[#This Row],[Cut percentage on real costs + USC]]&gt;='Weight tables'!$B$24:$B$27)*(RendicontiTrasmessiBL__2[[#This Row],[Cut percentage on real costs + USC]]&lt;='Weight tables'!$C$24:$C$27),0),1)</f>
        <v>0</v>
      </c>
      <c r="W459" s="2">
        <f>RendicontiTrasmessiBL__2[[#This Row],[Weight real costs  + USC ]]</f>
        <v>0</v>
      </c>
    </row>
    <row r="460" spans="1:23" x14ac:dyDescent="0.25">
      <c r="A460" s="1" t="s">
        <v>283</v>
      </c>
      <c r="B460" s="1" t="s">
        <v>285</v>
      </c>
      <c r="C460" s="2">
        <v>197</v>
      </c>
      <c r="D460" s="2">
        <v>219</v>
      </c>
      <c r="E460" s="1" t="s">
        <v>237</v>
      </c>
      <c r="G460">
        <v>0</v>
      </c>
      <c r="H460">
        <v>0</v>
      </c>
      <c r="I460">
        <v>0</v>
      </c>
      <c r="J460">
        <v>0</v>
      </c>
      <c r="K460">
        <v>0</v>
      </c>
      <c r="L460">
        <v>0</v>
      </c>
      <c r="M460">
        <v>0</v>
      </c>
      <c r="N460">
        <v>0</v>
      </c>
      <c r="O460">
        <v>0</v>
      </c>
      <c r="P460">
        <v>0</v>
      </c>
      <c r="Q460" t="str">
        <f>INDEX('Partner data'!A:DH,MATCH(C460,'Partner data'!DG:DG,0),83)</f>
        <v>Soggetto pubblico</v>
      </c>
      <c r="R460" t="b">
        <f>IF(E460="staff",IF(INDEX('Partner data'!A:DH,MATCH(C460,'Partner data'!DG:DG,0),112)="BL1 non presente","FALSO",INDEX('Partner data'!A:DH,MATCH(C460,'Partner data'!DG:DG,0),112)))</f>
        <v>0</v>
      </c>
      <c r="S460" t="b">
        <f t="shared" si="14"/>
        <v>0</v>
      </c>
      <c r="T460" t="b">
        <f t="shared" si="15"/>
        <v>1</v>
      </c>
      <c r="U460" s="154">
        <f>IFERROR(IF(R460&lt;&gt;FALSE,IF(S460=TRUE,INDEX('SummaryNOT_VALIDATED-BL'!$A$1:$F$16,MATCH(R460,'SummaryNOT_VALIDATED-BL'!$A$1:$A$16,0),6),0),IF(S460=TRUE,INDEX('SummaryNOT_VALIDATED-BL'!$A$1:$F$16,MATCH(E460,'SummaryNOT_VALIDATED-BL'!$A$1:$A$16,0),6),0)),0)</f>
        <v>0</v>
      </c>
      <c r="V460" s="81" cm="1">
        <f t="array" ref="V460">INDEX('Weight tables'!$A$24:$C$27,MATCH(1,(RendicontiTrasmessiBL__2[[#This Row],[Cut percentage on real costs + USC]]&gt;='Weight tables'!$B$24:$B$27)*(RendicontiTrasmessiBL__2[[#This Row],[Cut percentage on real costs + USC]]&lt;='Weight tables'!$C$24:$C$27),0),1)</f>
        <v>0</v>
      </c>
      <c r="W460" s="2">
        <f>RendicontiTrasmessiBL__2[[#This Row],[Weight real costs  + USC ]]</f>
        <v>0</v>
      </c>
    </row>
    <row r="461" spans="1:23" x14ac:dyDescent="0.25">
      <c r="A461" s="1" t="s">
        <v>283</v>
      </c>
      <c r="B461" s="1" t="s">
        <v>286</v>
      </c>
      <c r="C461" s="2">
        <v>198</v>
      </c>
      <c r="D461" s="2">
        <v>149</v>
      </c>
      <c r="E461" s="1" t="s">
        <v>228</v>
      </c>
      <c r="G461">
        <v>100528.4</v>
      </c>
      <c r="H461">
        <v>0</v>
      </c>
      <c r="I461">
        <v>0</v>
      </c>
      <c r="J461">
        <v>13656.75</v>
      </c>
      <c r="K461">
        <v>0</v>
      </c>
      <c r="L461">
        <v>13656.75</v>
      </c>
      <c r="M461">
        <v>13656.75</v>
      </c>
      <c r="N461">
        <v>13.58</v>
      </c>
      <c r="O461">
        <v>86871.65</v>
      </c>
      <c r="P461">
        <v>0</v>
      </c>
      <c r="Q461" t="str">
        <f>INDEX('Partner data'!A:DH,MATCH(C461,'Partner data'!DG:DG,0),83)</f>
        <v>Soggetto pubblico</v>
      </c>
      <c r="R461" t="str">
        <f>IF(E461="staff",IF(INDEX('Partner data'!A:DH,MATCH(C461,'Partner data'!DG:DG,0),112)="BL1 non presente","FALSO",INDEX('Partner data'!A:DH,MATCH(C461,'Partner data'!DG:DG,0),112)))</f>
        <v>COSTO REALE</v>
      </c>
      <c r="S461" t="b">
        <f t="shared" si="14"/>
        <v>1</v>
      </c>
      <c r="T461" t="b">
        <f t="shared" si="15"/>
        <v>1</v>
      </c>
      <c r="U461" s="154">
        <f>IFERROR(IF(R461&lt;&gt;FALSE,IF(S461=TRUE,INDEX('SummaryNOT_VALIDATED-BL'!$A$1:$F$16,MATCH(R461,'SummaryNOT_VALIDATED-BL'!$A$1:$A$16,0),6),0),IF(S461=TRUE,INDEX('SummaryNOT_VALIDATED-BL'!$A$1:$F$16,MATCH(E461,'SummaryNOT_VALIDATED-BL'!$A$1:$A$16,0),6),0)),0)</f>
        <v>9.1604133276901048E-2</v>
      </c>
      <c r="V461" s="81" cm="1">
        <f t="array" ref="V461">INDEX('Weight tables'!$A$24:$C$27,MATCH(1,(RendicontiTrasmessiBL__2[[#This Row],[Cut percentage on real costs + USC]]&gt;='Weight tables'!$B$24:$B$27)*(RendicontiTrasmessiBL__2[[#This Row],[Cut percentage on real costs + USC]]&lt;='Weight tables'!$C$24:$C$27),0),1)</f>
        <v>4</v>
      </c>
      <c r="W461" s="2">
        <f>RendicontiTrasmessiBL__2[[#This Row],[Weight real costs  + USC ]]</f>
        <v>4</v>
      </c>
    </row>
    <row r="462" spans="1:23" x14ac:dyDescent="0.25">
      <c r="A462" s="1" t="s">
        <v>283</v>
      </c>
      <c r="B462" s="1" t="s">
        <v>286</v>
      </c>
      <c r="C462" s="2">
        <v>198</v>
      </c>
      <c r="D462" s="2">
        <v>149</v>
      </c>
      <c r="E462" s="1" t="s">
        <v>229</v>
      </c>
      <c r="G462">
        <v>0</v>
      </c>
      <c r="H462">
        <v>0</v>
      </c>
      <c r="I462">
        <v>0</v>
      </c>
      <c r="J462">
        <v>0</v>
      </c>
      <c r="K462">
        <v>0</v>
      </c>
      <c r="L462">
        <v>0</v>
      </c>
      <c r="M462">
        <v>0</v>
      </c>
      <c r="N462">
        <v>0</v>
      </c>
      <c r="O462">
        <v>0</v>
      </c>
      <c r="P462">
        <v>0</v>
      </c>
      <c r="Q462" t="str">
        <f>INDEX('Partner data'!A:DH,MATCH(C462,'Partner data'!DG:DG,0),83)</f>
        <v>Soggetto pubblico</v>
      </c>
      <c r="R462" t="b">
        <f>IF(E462="staff",IF(INDEX('Partner data'!A:DH,MATCH(C462,'Partner data'!DG:DG,0),112)="BL1 non presente","FALSO",INDEX('Partner data'!A:DH,MATCH(C462,'Partner data'!DG:DG,0),112)))</f>
        <v>0</v>
      </c>
      <c r="S462" t="b">
        <f t="shared" si="14"/>
        <v>0</v>
      </c>
      <c r="T462" t="b">
        <f t="shared" si="15"/>
        <v>1</v>
      </c>
      <c r="U462" s="154">
        <f>IFERROR(IF(R462&lt;&gt;FALSE,IF(S462=TRUE,INDEX('SummaryNOT_VALIDATED-BL'!$A$1:$F$16,MATCH(R462,'SummaryNOT_VALIDATED-BL'!$A$1:$A$16,0),6),0),IF(S462=TRUE,INDEX('SummaryNOT_VALIDATED-BL'!$A$1:$F$16,MATCH(E462,'SummaryNOT_VALIDATED-BL'!$A$1:$A$16,0),6),0)),0)</f>
        <v>0</v>
      </c>
      <c r="V462" s="81" cm="1">
        <f t="array" ref="V462">INDEX('Weight tables'!$A$24:$C$27,MATCH(1,(RendicontiTrasmessiBL__2[[#This Row],[Cut percentage on real costs + USC]]&gt;='Weight tables'!$B$24:$B$27)*(RendicontiTrasmessiBL__2[[#This Row],[Cut percentage on real costs + USC]]&lt;='Weight tables'!$C$24:$C$27),0),1)</f>
        <v>0</v>
      </c>
      <c r="W462" s="2">
        <f>RendicontiTrasmessiBL__2[[#This Row],[Weight real costs  + USC ]]</f>
        <v>0</v>
      </c>
    </row>
    <row r="463" spans="1:23" x14ac:dyDescent="0.25">
      <c r="A463" s="1" t="s">
        <v>283</v>
      </c>
      <c r="B463" s="1" t="s">
        <v>286</v>
      </c>
      <c r="C463" s="2">
        <v>198</v>
      </c>
      <c r="D463" s="2">
        <v>149</v>
      </c>
      <c r="E463" s="1" t="s">
        <v>230</v>
      </c>
      <c r="G463">
        <v>0</v>
      </c>
      <c r="H463">
        <v>0</v>
      </c>
      <c r="I463">
        <v>0</v>
      </c>
      <c r="J463">
        <v>0</v>
      </c>
      <c r="K463">
        <v>0</v>
      </c>
      <c r="L463">
        <v>0</v>
      </c>
      <c r="M463">
        <v>0</v>
      </c>
      <c r="N463">
        <v>0</v>
      </c>
      <c r="O463">
        <v>0</v>
      </c>
      <c r="P463">
        <v>0</v>
      </c>
      <c r="Q463" t="str">
        <f>INDEX('Partner data'!A:DH,MATCH(C463,'Partner data'!DG:DG,0),83)</f>
        <v>Soggetto pubblico</v>
      </c>
      <c r="R463" t="b">
        <f>IF(E463="staff",IF(INDEX('Partner data'!A:DH,MATCH(C463,'Partner data'!DG:DG,0),112)="BL1 non presente","FALSO",INDEX('Partner data'!A:DH,MATCH(C463,'Partner data'!DG:DG,0),112)))</f>
        <v>0</v>
      </c>
      <c r="S463" t="b">
        <f t="shared" si="14"/>
        <v>0</v>
      </c>
      <c r="T463" t="b">
        <f t="shared" si="15"/>
        <v>1</v>
      </c>
      <c r="U463" s="154">
        <f>IFERROR(IF(R463&lt;&gt;FALSE,IF(S463=TRUE,INDEX('SummaryNOT_VALIDATED-BL'!$A$1:$F$16,MATCH(R463,'SummaryNOT_VALIDATED-BL'!$A$1:$A$16,0),6),0),IF(S463=TRUE,INDEX('SummaryNOT_VALIDATED-BL'!$A$1:$F$16,MATCH(E463,'SummaryNOT_VALIDATED-BL'!$A$1:$A$16,0),6),0)),0)</f>
        <v>0</v>
      </c>
      <c r="V463" s="81" cm="1">
        <f t="array" ref="V463">INDEX('Weight tables'!$A$24:$C$27,MATCH(1,(RendicontiTrasmessiBL__2[[#This Row],[Cut percentage on real costs + USC]]&gt;='Weight tables'!$B$24:$B$27)*(RendicontiTrasmessiBL__2[[#This Row],[Cut percentage on real costs + USC]]&lt;='Weight tables'!$C$24:$C$27),0),1)</f>
        <v>0</v>
      </c>
      <c r="W463" s="2">
        <f>RendicontiTrasmessiBL__2[[#This Row],[Weight real costs  + USC ]]</f>
        <v>0</v>
      </c>
    </row>
    <row r="464" spans="1:23" x14ac:dyDescent="0.25">
      <c r="A464" s="1" t="s">
        <v>283</v>
      </c>
      <c r="B464" s="1" t="s">
        <v>286</v>
      </c>
      <c r="C464" s="2">
        <v>198</v>
      </c>
      <c r="D464" s="2">
        <v>149</v>
      </c>
      <c r="E464" s="1" t="s">
        <v>231</v>
      </c>
      <c r="G464">
        <v>0</v>
      </c>
      <c r="H464">
        <v>0</v>
      </c>
      <c r="I464">
        <v>0</v>
      </c>
      <c r="J464">
        <v>0</v>
      </c>
      <c r="K464">
        <v>0</v>
      </c>
      <c r="L464">
        <v>0</v>
      </c>
      <c r="M464">
        <v>0</v>
      </c>
      <c r="N464">
        <v>0</v>
      </c>
      <c r="O464">
        <v>0</v>
      </c>
      <c r="P464">
        <v>0</v>
      </c>
      <c r="Q464" t="str">
        <f>INDEX('Partner data'!A:DH,MATCH(C464,'Partner data'!DG:DG,0),83)</f>
        <v>Soggetto pubblico</v>
      </c>
      <c r="R464" t="b">
        <f>IF(E464="staff",IF(INDEX('Partner data'!A:DH,MATCH(C464,'Partner data'!DG:DG,0),112)="BL1 non presente","FALSO",INDEX('Partner data'!A:DH,MATCH(C464,'Partner data'!DG:DG,0),112)))</f>
        <v>0</v>
      </c>
      <c r="S464" t="b">
        <f t="shared" si="14"/>
        <v>0</v>
      </c>
      <c r="T464" t="b">
        <f t="shared" si="15"/>
        <v>1</v>
      </c>
      <c r="U464" s="154">
        <f>IFERROR(IF(R464&lt;&gt;FALSE,IF(S464=TRUE,INDEX('SummaryNOT_VALIDATED-BL'!$A$1:$F$16,MATCH(R464,'SummaryNOT_VALIDATED-BL'!$A$1:$A$16,0),6),0),IF(S464=TRUE,INDEX('SummaryNOT_VALIDATED-BL'!$A$1:$F$16,MATCH(E464,'SummaryNOT_VALIDATED-BL'!$A$1:$A$16,0),6),0)),0)</f>
        <v>0</v>
      </c>
      <c r="V464" s="81" cm="1">
        <f t="array" ref="V464">INDEX('Weight tables'!$A$24:$C$27,MATCH(1,(RendicontiTrasmessiBL__2[[#This Row],[Cut percentage on real costs + USC]]&gt;='Weight tables'!$B$24:$B$27)*(RendicontiTrasmessiBL__2[[#This Row],[Cut percentage on real costs + USC]]&lt;='Weight tables'!$C$24:$C$27),0),1)</f>
        <v>0</v>
      </c>
      <c r="W464" s="2">
        <f>RendicontiTrasmessiBL__2[[#This Row],[Weight real costs  + USC ]]</f>
        <v>0</v>
      </c>
    </row>
    <row r="465" spans="1:23" x14ac:dyDescent="0.25">
      <c r="A465" s="1" t="s">
        <v>283</v>
      </c>
      <c r="B465" s="1" t="s">
        <v>286</v>
      </c>
      <c r="C465" s="2">
        <v>198</v>
      </c>
      <c r="D465" s="2">
        <v>149</v>
      </c>
      <c r="E465" s="1" t="s">
        <v>232</v>
      </c>
      <c r="G465">
        <v>0</v>
      </c>
      <c r="H465">
        <v>0</v>
      </c>
      <c r="I465">
        <v>0</v>
      </c>
      <c r="J465">
        <v>0</v>
      </c>
      <c r="K465">
        <v>0</v>
      </c>
      <c r="L465">
        <v>0</v>
      </c>
      <c r="M465">
        <v>0</v>
      </c>
      <c r="N465">
        <v>0</v>
      </c>
      <c r="O465">
        <v>0</v>
      </c>
      <c r="P465">
        <v>0</v>
      </c>
      <c r="Q465" t="str">
        <f>INDEX('Partner data'!A:DH,MATCH(C465,'Partner data'!DG:DG,0),83)</f>
        <v>Soggetto pubblico</v>
      </c>
      <c r="R465" t="b">
        <f>IF(E465="staff",IF(INDEX('Partner data'!A:DH,MATCH(C465,'Partner data'!DG:DG,0),112)="BL1 non presente","FALSO",INDEX('Partner data'!A:DH,MATCH(C465,'Partner data'!DG:DG,0),112)))</f>
        <v>0</v>
      </c>
      <c r="S465" t="b">
        <f t="shared" si="14"/>
        <v>0</v>
      </c>
      <c r="T465" t="b">
        <f t="shared" si="15"/>
        <v>1</v>
      </c>
      <c r="U465" s="154">
        <f>IFERROR(IF(R465&lt;&gt;FALSE,IF(S465=TRUE,INDEX('SummaryNOT_VALIDATED-BL'!$A$1:$F$16,MATCH(R465,'SummaryNOT_VALIDATED-BL'!$A$1:$A$16,0),6),0),IF(S465=TRUE,INDEX('SummaryNOT_VALIDATED-BL'!$A$1:$F$16,MATCH(E465,'SummaryNOT_VALIDATED-BL'!$A$1:$A$16,0),6),0)),0)</f>
        <v>0</v>
      </c>
      <c r="V465" s="81" cm="1">
        <f t="array" ref="V465">INDEX('Weight tables'!$A$24:$C$27,MATCH(1,(RendicontiTrasmessiBL__2[[#This Row],[Cut percentage on real costs + USC]]&gt;='Weight tables'!$B$24:$B$27)*(RendicontiTrasmessiBL__2[[#This Row],[Cut percentage on real costs + USC]]&lt;='Weight tables'!$C$24:$C$27),0),1)</f>
        <v>0</v>
      </c>
      <c r="W465" s="2">
        <f>RendicontiTrasmessiBL__2[[#This Row],[Weight real costs  + USC ]]</f>
        <v>0</v>
      </c>
    </row>
    <row r="466" spans="1:23" x14ac:dyDescent="0.25">
      <c r="A466" s="1" t="s">
        <v>283</v>
      </c>
      <c r="B466" s="1" t="s">
        <v>286</v>
      </c>
      <c r="C466" s="2">
        <v>198</v>
      </c>
      <c r="D466" s="2">
        <v>149</v>
      </c>
      <c r="E466" s="1" t="s">
        <v>233</v>
      </c>
      <c r="G466">
        <v>0</v>
      </c>
      <c r="H466">
        <v>0</v>
      </c>
      <c r="I466">
        <v>0</v>
      </c>
      <c r="J466">
        <v>0</v>
      </c>
      <c r="K466">
        <v>0</v>
      </c>
      <c r="L466">
        <v>0</v>
      </c>
      <c r="M466">
        <v>0</v>
      </c>
      <c r="N466">
        <v>0</v>
      </c>
      <c r="O466">
        <v>0</v>
      </c>
      <c r="P466">
        <v>0</v>
      </c>
      <c r="Q466" t="str">
        <f>INDEX('Partner data'!A:DH,MATCH(C466,'Partner data'!DG:DG,0),83)</f>
        <v>Soggetto pubblico</v>
      </c>
      <c r="R466" t="b">
        <f>IF(E466="staff",IF(INDEX('Partner data'!A:DH,MATCH(C466,'Partner data'!DG:DG,0),112)="BL1 non presente","FALSO",INDEX('Partner data'!A:DH,MATCH(C466,'Partner data'!DG:DG,0),112)))</f>
        <v>0</v>
      </c>
      <c r="S466" t="b">
        <f t="shared" si="14"/>
        <v>0</v>
      </c>
      <c r="T466" t="b">
        <f t="shared" si="15"/>
        <v>1</v>
      </c>
      <c r="U466" s="154">
        <f>IFERROR(IF(R466&lt;&gt;FALSE,IF(S466=TRUE,INDEX('SummaryNOT_VALIDATED-BL'!$A$1:$F$16,MATCH(R466,'SummaryNOT_VALIDATED-BL'!$A$1:$A$16,0),6),0),IF(S466=TRUE,INDEX('SummaryNOT_VALIDATED-BL'!$A$1:$F$16,MATCH(E466,'SummaryNOT_VALIDATED-BL'!$A$1:$A$16,0),6),0)),0)</f>
        <v>0</v>
      </c>
      <c r="V466" s="81" cm="1">
        <f t="array" ref="V466">INDEX('Weight tables'!$A$24:$C$27,MATCH(1,(RendicontiTrasmessiBL__2[[#This Row],[Cut percentage on real costs + USC]]&gt;='Weight tables'!$B$24:$B$27)*(RendicontiTrasmessiBL__2[[#This Row],[Cut percentage on real costs + USC]]&lt;='Weight tables'!$C$24:$C$27),0),1)</f>
        <v>0</v>
      </c>
      <c r="W466" s="2">
        <f>RendicontiTrasmessiBL__2[[#This Row],[Weight real costs  + USC ]]</f>
        <v>0</v>
      </c>
    </row>
    <row r="467" spans="1:23" x14ac:dyDescent="0.25">
      <c r="A467" s="1" t="s">
        <v>283</v>
      </c>
      <c r="B467" s="1" t="s">
        <v>286</v>
      </c>
      <c r="C467" s="2">
        <v>198</v>
      </c>
      <c r="D467" s="2">
        <v>149</v>
      </c>
      <c r="E467" s="1" t="s">
        <v>234</v>
      </c>
      <c r="F467">
        <v>40</v>
      </c>
      <c r="G467">
        <v>40211.360000000001</v>
      </c>
      <c r="H467">
        <v>0</v>
      </c>
      <c r="I467">
        <v>0</v>
      </c>
      <c r="J467">
        <v>5462.7</v>
      </c>
      <c r="K467">
        <v>0</v>
      </c>
      <c r="L467">
        <v>5462.7</v>
      </c>
      <c r="M467">
        <v>5462.7</v>
      </c>
      <c r="N467">
        <v>13.58</v>
      </c>
      <c r="O467">
        <v>34748.660000000003</v>
      </c>
      <c r="P467">
        <v>0</v>
      </c>
      <c r="Q467" t="str">
        <f>INDEX('Partner data'!A:DH,MATCH(C467,'Partner data'!DG:DG,0),83)</f>
        <v>Soggetto pubblico</v>
      </c>
      <c r="R467" t="b">
        <f>IF(E467="staff",IF(INDEX('Partner data'!A:DH,MATCH(C467,'Partner data'!DG:DG,0),112)="BL1 non presente","FALSO",INDEX('Partner data'!A:DH,MATCH(C467,'Partner data'!DG:DG,0),112)))</f>
        <v>0</v>
      </c>
      <c r="S467" t="b">
        <f t="shared" si="14"/>
        <v>1</v>
      </c>
      <c r="T467" t="b">
        <f t="shared" si="15"/>
        <v>1</v>
      </c>
      <c r="U467" s="154">
        <f>IFERROR(IF(R467&lt;&gt;FALSE,IF(S467=TRUE,INDEX('SummaryNOT_VALIDATED-BL'!$A$1:$F$16,MATCH(R467,'SummaryNOT_VALIDATED-BL'!$A$1:$A$16,0),6),0),IF(S467=TRUE,INDEX('SummaryNOT_VALIDATED-BL'!$A$1:$F$16,MATCH(E467,'SummaryNOT_VALIDATED-BL'!$A$1:$A$16,0),6),0)),0)</f>
        <v>8.7645339819521315E-2</v>
      </c>
      <c r="V467" s="81" cm="1">
        <f t="array" ref="V467">INDEX('Weight tables'!$A$24:$C$27,MATCH(1,(RendicontiTrasmessiBL__2[[#This Row],[Cut percentage on real costs + USC]]&gt;='Weight tables'!$B$24:$B$27)*(RendicontiTrasmessiBL__2[[#This Row],[Cut percentage on real costs + USC]]&lt;='Weight tables'!$C$24:$C$27),0),1)</f>
        <v>4</v>
      </c>
      <c r="W467" s="2">
        <f>RendicontiTrasmessiBL__2[[#This Row],[Weight real costs  + USC ]]</f>
        <v>4</v>
      </c>
    </row>
    <row r="468" spans="1:23" x14ac:dyDescent="0.25">
      <c r="A468" s="1" t="s">
        <v>283</v>
      </c>
      <c r="B468" s="1" t="s">
        <v>286</v>
      </c>
      <c r="C468" s="2">
        <v>198</v>
      </c>
      <c r="D468" s="2">
        <v>149</v>
      </c>
      <c r="E468" s="1" t="s">
        <v>236</v>
      </c>
      <c r="G468">
        <v>0</v>
      </c>
      <c r="H468">
        <v>0</v>
      </c>
      <c r="I468">
        <v>0</v>
      </c>
      <c r="J468">
        <v>0</v>
      </c>
      <c r="K468">
        <v>0</v>
      </c>
      <c r="L468">
        <v>0</v>
      </c>
      <c r="M468">
        <v>0</v>
      </c>
      <c r="N468">
        <v>0</v>
      </c>
      <c r="O468">
        <v>0</v>
      </c>
      <c r="P468">
        <v>0</v>
      </c>
      <c r="Q468" t="str">
        <f>INDEX('Partner data'!A:DH,MATCH(C468,'Partner data'!DG:DG,0),83)</f>
        <v>Soggetto pubblico</v>
      </c>
      <c r="R468" t="b">
        <f>IF(E468="staff",IF(INDEX('Partner data'!A:DH,MATCH(C468,'Partner data'!DG:DG,0),112)="BL1 non presente","FALSO",INDEX('Partner data'!A:DH,MATCH(C468,'Partner data'!DG:DG,0),112)))</f>
        <v>0</v>
      </c>
      <c r="S468" t="b">
        <f t="shared" si="14"/>
        <v>0</v>
      </c>
      <c r="T468" t="b">
        <f t="shared" si="15"/>
        <v>1</v>
      </c>
      <c r="U468" s="154">
        <f>IFERROR(IF(R468&lt;&gt;FALSE,IF(S468=TRUE,INDEX('SummaryNOT_VALIDATED-BL'!$A$1:$F$16,MATCH(R468,'SummaryNOT_VALIDATED-BL'!$A$1:$A$16,0),6),0),IF(S468=TRUE,INDEX('SummaryNOT_VALIDATED-BL'!$A$1:$F$16,MATCH(E468,'SummaryNOT_VALIDATED-BL'!$A$1:$A$16,0),6),0)),0)</f>
        <v>0</v>
      </c>
      <c r="V468" s="81" cm="1">
        <f t="array" ref="V468">INDEX('Weight tables'!$A$24:$C$27,MATCH(1,(RendicontiTrasmessiBL__2[[#This Row],[Cut percentage on real costs + USC]]&gt;='Weight tables'!$B$24:$B$27)*(RendicontiTrasmessiBL__2[[#This Row],[Cut percentage on real costs + USC]]&lt;='Weight tables'!$C$24:$C$27),0),1)</f>
        <v>0</v>
      </c>
      <c r="W468" s="2">
        <f>RendicontiTrasmessiBL__2[[#This Row],[Weight real costs  + USC ]]</f>
        <v>0</v>
      </c>
    </row>
    <row r="469" spans="1:23" x14ac:dyDescent="0.25">
      <c r="A469" s="1" t="s">
        <v>283</v>
      </c>
      <c r="B469" s="1" t="s">
        <v>286</v>
      </c>
      <c r="C469" s="2">
        <v>198</v>
      </c>
      <c r="D469" s="2">
        <v>149</v>
      </c>
      <c r="E469" s="1" t="s">
        <v>237</v>
      </c>
      <c r="G469">
        <v>0</v>
      </c>
      <c r="H469">
        <v>0</v>
      </c>
      <c r="I469">
        <v>0</v>
      </c>
      <c r="J469">
        <v>0</v>
      </c>
      <c r="K469">
        <v>0</v>
      </c>
      <c r="L469">
        <v>0</v>
      </c>
      <c r="M469">
        <v>0</v>
      </c>
      <c r="N469">
        <v>0</v>
      </c>
      <c r="O469">
        <v>0</v>
      </c>
      <c r="P469">
        <v>0</v>
      </c>
      <c r="Q469" t="str">
        <f>INDEX('Partner data'!A:DH,MATCH(C469,'Partner data'!DG:DG,0),83)</f>
        <v>Soggetto pubblico</v>
      </c>
      <c r="R469" t="b">
        <f>IF(E469="staff",IF(INDEX('Partner data'!A:DH,MATCH(C469,'Partner data'!DG:DG,0),112)="BL1 non presente","FALSO",INDEX('Partner data'!A:DH,MATCH(C469,'Partner data'!DG:DG,0),112)))</f>
        <v>0</v>
      </c>
      <c r="S469" t="b">
        <f t="shared" si="14"/>
        <v>0</v>
      </c>
      <c r="T469" t="b">
        <f t="shared" si="15"/>
        <v>1</v>
      </c>
      <c r="U469" s="154">
        <f>IFERROR(IF(R469&lt;&gt;FALSE,IF(S469=TRUE,INDEX('SummaryNOT_VALIDATED-BL'!$A$1:$F$16,MATCH(R469,'SummaryNOT_VALIDATED-BL'!$A$1:$A$16,0),6),0),IF(S469=TRUE,INDEX('SummaryNOT_VALIDATED-BL'!$A$1:$F$16,MATCH(E469,'SummaryNOT_VALIDATED-BL'!$A$1:$A$16,0),6),0)),0)</f>
        <v>0</v>
      </c>
      <c r="V469" s="81" cm="1">
        <f t="array" ref="V469">INDEX('Weight tables'!$A$24:$C$27,MATCH(1,(RendicontiTrasmessiBL__2[[#This Row],[Cut percentage on real costs + USC]]&gt;='Weight tables'!$B$24:$B$27)*(RendicontiTrasmessiBL__2[[#This Row],[Cut percentage on real costs + USC]]&lt;='Weight tables'!$C$24:$C$27),0),1)</f>
        <v>0</v>
      </c>
      <c r="W469" s="2">
        <f>RendicontiTrasmessiBL__2[[#This Row],[Weight real costs  + USC ]]</f>
        <v>0</v>
      </c>
    </row>
    <row r="470" spans="1:23" x14ac:dyDescent="0.25">
      <c r="A470" s="1" t="s">
        <v>283</v>
      </c>
      <c r="B470" s="1" t="s">
        <v>287</v>
      </c>
      <c r="C470" s="2">
        <v>199</v>
      </c>
      <c r="D470" s="2">
        <v>286</v>
      </c>
      <c r="E470" s="1" t="s">
        <v>228</v>
      </c>
      <c r="G470">
        <v>100130</v>
      </c>
      <c r="H470">
        <v>0</v>
      </c>
      <c r="I470">
        <v>0</v>
      </c>
      <c r="J470">
        <v>12070.4</v>
      </c>
      <c r="K470">
        <v>0</v>
      </c>
      <c r="L470">
        <v>11910.95</v>
      </c>
      <c r="M470">
        <v>12070.4</v>
      </c>
      <c r="N470">
        <v>12.05</v>
      </c>
      <c r="O470">
        <v>88059.6</v>
      </c>
      <c r="P470">
        <v>0</v>
      </c>
      <c r="Q470" t="str">
        <f>INDEX('Partner data'!A:DH,MATCH(C470,'Partner data'!DG:DG,0),83)</f>
        <v xml:space="preserve">Organismo di diritto pubblico </v>
      </c>
      <c r="R470" t="str">
        <f>IF(E470="staff",IF(INDEX('Partner data'!A:DH,MATCH(C470,'Partner data'!DG:DG,0),112)="BL1 non presente","FALSO",INDEX('Partner data'!A:DH,MATCH(C470,'Partner data'!DG:DG,0),112)))</f>
        <v>COSTO REALE</v>
      </c>
      <c r="S470" t="b">
        <f t="shared" si="14"/>
        <v>1</v>
      </c>
      <c r="T470" t="b">
        <f t="shared" si="15"/>
        <v>1</v>
      </c>
      <c r="U470" s="154">
        <f>IFERROR(IF(R470&lt;&gt;FALSE,IF(S470=TRUE,INDEX('SummaryNOT_VALIDATED-BL'!$A$1:$F$16,MATCH(R470,'SummaryNOT_VALIDATED-BL'!$A$1:$A$16,0),6),0),IF(S470=TRUE,INDEX('SummaryNOT_VALIDATED-BL'!$A$1:$F$16,MATCH(E470,'SummaryNOT_VALIDATED-BL'!$A$1:$A$16,0),6),0)),0)</f>
        <v>9.1604133276901048E-2</v>
      </c>
      <c r="V470" s="81" cm="1">
        <f t="array" ref="V470">INDEX('Weight tables'!$A$24:$C$27,MATCH(1,(RendicontiTrasmessiBL__2[[#This Row],[Cut percentage on real costs + USC]]&gt;='Weight tables'!$B$24:$B$27)*(RendicontiTrasmessiBL__2[[#This Row],[Cut percentage on real costs + USC]]&lt;='Weight tables'!$C$24:$C$27),0),1)</f>
        <v>4</v>
      </c>
      <c r="W470" s="2">
        <f>RendicontiTrasmessiBL__2[[#This Row],[Weight real costs  + USC ]]</f>
        <v>4</v>
      </c>
    </row>
    <row r="471" spans="1:23" x14ac:dyDescent="0.25">
      <c r="A471" s="1" t="s">
        <v>283</v>
      </c>
      <c r="B471" s="1" t="s">
        <v>287</v>
      </c>
      <c r="C471" s="2">
        <v>199</v>
      </c>
      <c r="D471" s="2">
        <v>286</v>
      </c>
      <c r="E471" s="1" t="s">
        <v>229</v>
      </c>
      <c r="G471">
        <v>0</v>
      </c>
      <c r="H471">
        <v>0</v>
      </c>
      <c r="I471">
        <v>0</v>
      </c>
      <c r="J471">
        <v>0</v>
      </c>
      <c r="K471">
        <v>0</v>
      </c>
      <c r="L471">
        <v>0</v>
      </c>
      <c r="M471">
        <v>0</v>
      </c>
      <c r="N471">
        <v>0</v>
      </c>
      <c r="O471">
        <v>0</v>
      </c>
      <c r="P471">
        <v>0</v>
      </c>
      <c r="Q471" t="str">
        <f>INDEX('Partner data'!A:DH,MATCH(C471,'Partner data'!DG:DG,0),83)</f>
        <v xml:space="preserve">Organismo di diritto pubblico </v>
      </c>
      <c r="R471" t="b">
        <f>IF(E471="staff",IF(INDEX('Partner data'!A:DH,MATCH(C471,'Partner data'!DG:DG,0),112)="BL1 non presente","FALSO",INDEX('Partner data'!A:DH,MATCH(C471,'Partner data'!DG:DG,0),112)))</f>
        <v>0</v>
      </c>
      <c r="S471" t="b">
        <f t="shared" si="14"/>
        <v>0</v>
      </c>
      <c r="T471" t="b">
        <f t="shared" si="15"/>
        <v>1</v>
      </c>
      <c r="U471" s="154">
        <f>IFERROR(IF(R471&lt;&gt;FALSE,IF(S471=TRUE,INDEX('SummaryNOT_VALIDATED-BL'!$A$1:$F$16,MATCH(R471,'SummaryNOT_VALIDATED-BL'!$A$1:$A$16,0),6),0),IF(S471=TRUE,INDEX('SummaryNOT_VALIDATED-BL'!$A$1:$F$16,MATCH(E471,'SummaryNOT_VALIDATED-BL'!$A$1:$A$16,0),6),0)),0)</f>
        <v>0</v>
      </c>
      <c r="V471" s="81" cm="1">
        <f t="array" ref="V471">INDEX('Weight tables'!$A$24:$C$27,MATCH(1,(RendicontiTrasmessiBL__2[[#This Row],[Cut percentage on real costs + USC]]&gt;='Weight tables'!$B$24:$B$27)*(RendicontiTrasmessiBL__2[[#This Row],[Cut percentage on real costs + USC]]&lt;='Weight tables'!$C$24:$C$27),0),1)</f>
        <v>0</v>
      </c>
      <c r="W471" s="2">
        <f>RendicontiTrasmessiBL__2[[#This Row],[Weight real costs  + USC ]]</f>
        <v>0</v>
      </c>
    </row>
    <row r="472" spans="1:23" x14ac:dyDescent="0.25">
      <c r="A472" s="1" t="s">
        <v>283</v>
      </c>
      <c r="B472" s="1" t="s">
        <v>287</v>
      </c>
      <c r="C472" s="2">
        <v>199</v>
      </c>
      <c r="D472" s="2">
        <v>286</v>
      </c>
      <c r="E472" s="1" t="s">
        <v>230</v>
      </c>
      <c r="G472">
        <v>0</v>
      </c>
      <c r="H472">
        <v>0</v>
      </c>
      <c r="I472">
        <v>0</v>
      </c>
      <c r="J472">
        <v>0</v>
      </c>
      <c r="K472">
        <v>0</v>
      </c>
      <c r="L472">
        <v>0</v>
      </c>
      <c r="M472">
        <v>0</v>
      </c>
      <c r="N472">
        <v>0</v>
      </c>
      <c r="O472">
        <v>0</v>
      </c>
      <c r="P472">
        <v>0</v>
      </c>
      <c r="Q472" t="str">
        <f>INDEX('Partner data'!A:DH,MATCH(C472,'Partner data'!DG:DG,0),83)</f>
        <v xml:space="preserve">Organismo di diritto pubblico </v>
      </c>
      <c r="R472" t="b">
        <f>IF(E472="staff",IF(INDEX('Partner data'!A:DH,MATCH(C472,'Partner data'!DG:DG,0),112)="BL1 non presente","FALSO",INDEX('Partner data'!A:DH,MATCH(C472,'Partner data'!DG:DG,0),112)))</f>
        <v>0</v>
      </c>
      <c r="S472" t="b">
        <f t="shared" si="14"/>
        <v>0</v>
      </c>
      <c r="T472" t="b">
        <f t="shared" si="15"/>
        <v>1</v>
      </c>
      <c r="U472" s="154">
        <f>IFERROR(IF(R472&lt;&gt;FALSE,IF(S472=TRUE,INDEX('SummaryNOT_VALIDATED-BL'!$A$1:$F$16,MATCH(R472,'SummaryNOT_VALIDATED-BL'!$A$1:$A$16,0),6),0),IF(S472=TRUE,INDEX('SummaryNOT_VALIDATED-BL'!$A$1:$F$16,MATCH(E472,'SummaryNOT_VALIDATED-BL'!$A$1:$A$16,0),6),0)),0)</f>
        <v>0</v>
      </c>
      <c r="V472" s="81" cm="1">
        <f t="array" ref="V472">INDEX('Weight tables'!$A$24:$C$27,MATCH(1,(RendicontiTrasmessiBL__2[[#This Row],[Cut percentage on real costs + USC]]&gt;='Weight tables'!$B$24:$B$27)*(RendicontiTrasmessiBL__2[[#This Row],[Cut percentage on real costs + USC]]&lt;='Weight tables'!$C$24:$C$27),0),1)</f>
        <v>0</v>
      </c>
      <c r="W472" s="2">
        <f>RendicontiTrasmessiBL__2[[#This Row],[Weight real costs  + USC ]]</f>
        <v>0</v>
      </c>
    </row>
    <row r="473" spans="1:23" x14ac:dyDescent="0.25">
      <c r="A473" s="1" t="s">
        <v>283</v>
      </c>
      <c r="B473" s="1" t="s">
        <v>287</v>
      </c>
      <c r="C473" s="2">
        <v>199</v>
      </c>
      <c r="D473" s="2">
        <v>286</v>
      </c>
      <c r="E473" s="1" t="s">
        <v>231</v>
      </c>
      <c r="G473">
        <v>0</v>
      </c>
      <c r="H473">
        <v>0</v>
      </c>
      <c r="I473">
        <v>0</v>
      </c>
      <c r="J473">
        <v>0</v>
      </c>
      <c r="K473">
        <v>0</v>
      </c>
      <c r="L473">
        <v>0</v>
      </c>
      <c r="M473">
        <v>0</v>
      </c>
      <c r="N473">
        <v>0</v>
      </c>
      <c r="O473">
        <v>0</v>
      </c>
      <c r="P473">
        <v>0</v>
      </c>
      <c r="Q473" t="str">
        <f>INDEX('Partner data'!A:DH,MATCH(C473,'Partner data'!DG:DG,0),83)</f>
        <v xml:space="preserve">Organismo di diritto pubblico </v>
      </c>
      <c r="R473" t="b">
        <f>IF(E473="staff",IF(INDEX('Partner data'!A:DH,MATCH(C473,'Partner data'!DG:DG,0),112)="BL1 non presente","FALSO",INDEX('Partner data'!A:DH,MATCH(C473,'Partner data'!DG:DG,0),112)))</f>
        <v>0</v>
      </c>
      <c r="S473" t="b">
        <f t="shared" si="14"/>
        <v>0</v>
      </c>
      <c r="T473" t="b">
        <f t="shared" si="15"/>
        <v>1</v>
      </c>
      <c r="U473" s="154">
        <f>IFERROR(IF(R473&lt;&gt;FALSE,IF(S473=TRUE,INDEX('SummaryNOT_VALIDATED-BL'!$A$1:$F$16,MATCH(R473,'SummaryNOT_VALIDATED-BL'!$A$1:$A$16,0),6),0),IF(S473=TRUE,INDEX('SummaryNOT_VALIDATED-BL'!$A$1:$F$16,MATCH(E473,'SummaryNOT_VALIDATED-BL'!$A$1:$A$16,0),6),0)),0)</f>
        <v>0</v>
      </c>
      <c r="V473" s="81" cm="1">
        <f t="array" ref="V473">INDEX('Weight tables'!$A$24:$C$27,MATCH(1,(RendicontiTrasmessiBL__2[[#This Row],[Cut percentage on real costs + USC]]&gt;='Weight tables'!$B$24:$B$27)*(RendicontiTrasmessiBL__2[[#This Row],[Cut percentage on real costs + USC]]&lt;='Weight tables'!$C$24:$C$27),0),1)</f>
        <v>0</v>
      </c>
      <c r="W473" s="2">
        <f>RendicontiTrasmessiBL__2[[#This Row],[Weight real costs  + USC ]]</f>
        <v>0</v>
      </c>
    </row>
    <row r="474" spans="1:23" x14ac:dyDescent="0.25">
      <c r="A474" s="1" t="s">
        <v>283</v>
      </c>
      <c r="B474" s="1" t="s">
        <v>287</v>
      </c>
      <c r="C474" s="2">
        <v>199</v>
      </c>
      <c r="D474" s="2">
        <v>286</v>
      </c>
      <c r="E474" s="1" t="s">
        <v>232</v>
      </c>
      <c r="G474">
        <v>0</v>
      </c>
      <c r="H474">
        <v>0</v>
      </c>
      <c r="I474">
        <v>0</v>
      </c>
      <c r="J474">
        <v>0</v>
      </c>
      <c r="K474">
        <v>0</v>
      </c>
      <c r="L474">
        <v>0</v>
      </c>
      <c r="M474">
        <v>0</v>
      </c>
      <c r="N474">
        <v>0</v>
      </c>
      <c r="O474">
        <v>0</v>
      </c>
      <c r="P474">
        <v>0</v>
      </c>
      <c r="Q474" t="str">
        <f>INDEX('Partner data'!A:DH,MATCH(C474,'Partner data'!DG:DG,0),83)</f>
        <v xml:space="preserve">Organismo di diritto pubblico </v>
      </c>
      <c r="R474" t="b">
        <f>IF(E474="staff",IF(INDEX('Partner data'!A:DH,MATCH(C474,'Partner data'!DG:DG,0),112)="BL1 non presente","FALSO",INDEX('Partner data'!A:DH,MATCH(C474,'Partner data'!DG:DG,0),112)))</f>
        <v>0</v>
      </c>
      <c r="S474" t="b">
        <f t="shared" si="14"/>
        <v>0</v>
      </c>
      <c r="T474" t="b">
        <f t="shared" si="15"/>
        <v>1</v>
      </c>
      <c r="U474" s="154">
        <f>IFERROR(IF(R474&lt;&gt;FALSE,IF(S474=TRUE,INDEX('SummaryNOT_VALIDATED-BL'!$A$1:$F$16,MATCH(R474,'SummaryNOT_VALIDATED-BL'!$A$1:$A$16,0),6),0),IF(S474=TRUE,INDEX('SummaryNOT_VALIDATED-BL'!$A$1:$F$16,MATCH(E474,'SummaryNOT_VALIDATED-BL'!$A$1:$A$16,0),6),0)),0)</f>
        <v>0</v>
      </c>
      <c r="V474" s="81" cm="1">
        <f t="array" ref="V474">INDEX('Weight tables'!$A$24:$C$27,MATCH(1,(RendicontiTrasmessiBL__2[[#This Row],[Cut percentage on real costs + USC]]&gt;='Weight tables'!$B$24:$B$27)*(RendicontiTrasmessiBL__2[[#This Row],[Cut percentage on real costs + USC]]&lt;='Weight tables'!$C$24:$C$27),0),1)</f>
        <v>0</v>
      </c>
      <c r="W474" s="2">
        <f>RendicontiTrasmessiBL__2[[#This Row],[Weight real costs  + USC ]]</f>
        <v>0</v>
      </c>
    </row>
    <row r="475" spans="1:23" x14ac:dyDescent="0.25">
      <c r="A475" s="1" t="s">
        <v>283</v>
      </c>
      <c r="B475" s="1" t="s">
        <v>287</v>
      </c>
      <c r="C475" s="2">
        <v>199</v>
      </c>
      <c r="D475" s="2">
        <v>286</v>
      </c>
      <c r="E475" s="1" t="s">
        <v>233</v>
      </c>
      <c r="G475">
        <v>0</v>
      </c>
      <c r="H475">
        <v>0</v>
      </c>
      <c r="I475">
        <v>0</v>
      </c>
      <c r="J475">
        <v>0</v>
      </c>
      <c r="K475">
        <v>0</v>
      </c>
      <c r="L475">
        <v>0</v>
      </c>
      <c r="M475">
        <v>0</v>
      </c>
      <c r="N475">
        <v>0</v>
      </c>
      <c r="O475">
        <v>0</v>
      </c>
      <c r="P475">
        <v>0</v>
      </c>
      <c r="Q475" t="str">
        <f>INDEX('Partner data'!A:DH,MATCH(C475,'Partner data'!DG:DG,0),83)</f>
        <v xml:space="preserve">Organismo di diritto pubblico </v>
      </c>
      <c r="R475" t="b">
        <f>IF(E475="staff",IF(INDEX('Partner data'!A:DH,MATCH(C475,'Partner data'!DG:DG,0),112)="BL1 non presente","FALSO",INDEX('Partner data'!A:DH,MATCH(C475,'Partner data'!DG:DG,0),112)))</f>
        <v>0</v>
      </c>
      <c r="S475" t="b">
        <f t="shared" si="14"/>
        <v>0</v>
      </c>
      <c r="T475" t="b">
        <f t="shared" si="15"/>
        <v>1</v>
      </c>
      <c r="U475" s="154">
        <f>IFERROR(IF(R475&lt;&gt;FALSE,IF(S475=TRUE,INDEX('SummaryNOT_VALIDATED-BL'!$A$1:$F$16,MATCH(R475,'SummaryNOT_VALIDATED-BL'!$A$1:$A$16,0),6),0),IF(S475=TRUE,INDEX('SummaryNOT_VALIDATED-BL'!$A$1:$F$16,MATCH(E475,'SummaryNOT_VALIDATED-BL'!$A$1:$A$16,0),6),0)),0)</f>
        <v>0</v>
      </c>
      <c r="V475" s="81" cm="1">
        <f t="array" ref="V475">INDEX('Weight tables'!$A$24:$C$27,MATCH(1,(RendicontiTrasmessiBL__2[[#This Row],[Cut percentage on real costs + USC]]&gt;='Weight tables'!$B$24:$B$27)*(RendicontiTrasmessiBL__2[[#This Row],[Cut percentage on real costs + USC]]&lt;='Weight tables'!$C$24:$C$27),0),1)</f>
        <v>0</v>
      </c>
      <c r="W475" s="2">
        <f>RendicontiTrasmessiBL__2[[#This Row],[Weight real costs  + USC ]]</f>
        <v>0</v>
      </c>
    </row>
    <row r="476" spans="1:23" x14ac:dyDescent="0.25">
      <c r="A476" s="1" t="s">
        <v>283</v>
      </c>
      <c r="B476" s="1" t="s">
        <v>287</v>
      </c>
      <c r="C476" s="2">
        <v>199</v>
      </c>
      <c r="D476" s="2">
        <v>286</v>
      </c>
      <c r="E476" s="1" t="s">
        <v>234</v>
      </c>
      <c r="F476">
        <v>40</v>
      </c>
      <c r="G476">
        <v>40052</v>
      </c>
      <c r="H476">
        <v>0</v>
      </c>
      <c r="I476">
        <v>0</v>
      </c>
      <c r="J476">
        <v>4828.16</v>
      </c>
      <c r="K476">
        <v>0</v>
      </c>
      <c r="L476">
        <v>4764.38</v>
      </c>
      <c r="M476">
        <v>4828.16</v>
      </c>
      <c r="N476">
        <v>12.05</v>
      </c>
      <c r="O476">
        <v>35223.839999999997</v>
      </c>
      <c r="P476">
        <v>0</v>
      </c>
      <c r="Q476" t="str">
        <f>INDEX('Partner data'!A:DH,MATCH(C476,'Partner data'!DG:DG,0),83)</f>
        <v xml:space="preserve">Organismo di diritto pubblico </v>
      </c>
      <c r="R476" t="b">
        <f>IF(E476="staff",IF(INDEX('Partner data'!A:DH,MATCH(C476,'Partner data'!DG:DG,0),112)="BL1 non presente","FALSO",INDEX('Partner data'!A:DH,MATCH(C476,'Partner data'!DG:DG,0),112)))</f>
        <v>0</v>
      </c>
      <c r="S476" t="b">
        <f t="shared" si="14"/>
        <v>1</v>
      </c>
      <c r="T476" t="b">
        <f t="shared" si="15"/>
        <v>1</v>
      </c>
      <c r="U476" s="154">
        <f>IFERROR(IF(R476&lt;&gt;FALSE,IF(S476=TRUE,INDEX('SummaryNOT_VALIDATED-BL'!$A$1:$F$16,MATCH(R476,'SummaryNOT_VALIDATED-BL'!$A$1:$A$16,0),6),0),IF(S476=TRUE,INDEX('SummaryNOT_VALIDATED-BL'!$A$1:$F$16,MATCH(E476,'SummaryNOT_VALIDATED-BL'!$A$1:$A$16,0),6),0)),0)</f>
        <v>8.7645339819521315E-2</v>
      </c>
      <c r="V476" s="81" cm="1">
        <f t="array" ref="V476">INDEX('Weight tables'!$A$24:$C$27,MATCH(1,(RendicontiTrasmessiBL__2[[#This Row],[Cut percentage on real costs + USC]]&gt;='Weight tables'!$B$24:$B$27)*(RendicontiTrasmessiBL__2[[#This Row],[Cut percentage on real costs + USC]]&lt;='Weight tables'!$C$24:$C$27),0),1)</f>
        <v>4</v>
      </c>
      <c r="W476" s="2">
        <f>RendicontiTrasmessiBL__2[[#This Row],[Weight real costs  + USC ]]</f>
        <v>4</v>
      </c>
    </row>
    <row r="477" spans="1:23" x14ac:dyDescent="0.25">
      <c r="A477" s="1" t="s">
        <v>283</v>
      </c>
      <c r="B477" s="1" t="s">
        <v>287</v>
      </c>
      <c r="C477" s="2">
        <v>199</v>
      </c>
      <c r="D477" s="2">
        <v>286</v>
      </c>
      <c r="E477" s="1" t="s">
        <v>236</v>
      </c>
      <c r="G477">
        <v>0</v>
      </c>
      <c r="H477">
        <v>0</v>
      </c>
      <c r="I477">
        <v>0</v>
      </c>
      <c r="J477">
        <v>0</v>
      </c>
      <c r="K477">
        <v>0</v>
      </c>
      <c r="L477">
        <v>0</v>
      </c>
      <c r="M477">
        <v>0</v>
      </c>
      <c r="N477">
        <v>0</v>
      </c>
      <c r="O477">
        <v>0</v>
      </c>
      <c r="P477">
        <v>0</v>
      </c>
      <c r="Q477" t="str">
        <f>INDEX('Partner data'!A:DH,MATCH(C477,'Partner data'!DG:DG,0),83)</f>
        <v xml:space="preserve">Organismo di diritto pubblico </v>
      </c>
      <c r="R477" t="b">
        <f>IF(E477="staff",IF(INDEX('Partner data'!A:DH,MATCH(C477,'Partner data'!DG:DG,0),112)="BL1 non presente","FALSO",INDEX('Partner data'!A:DH,MATCH(C477,'Partner data'!DG:DG,0),112)))</f>
        <v>0</v>
      </c>
      <c r="S477" t="b">
        <f t="shared" si="14"/>
        <v>0</v>
      </c>
      <c r="T477" t="b">
        <f t="shared" si="15"/>
        <v>1</v>
      </c>
      <c r="U477" s="154">
        <f>IFERROR(IF(R477&lt;&gt;FALSE,IF(S477=TRUE,INDEX('SummaryNOT_VALIDATED-BL'!$A$1:$F$16,MATCH(R477,'SummaryNOT_VALIDATED-BL'!$A$1:$A$16,0),6),0),IF(S477=TRUE,INDEX('SummaryNOT_VALIDATED-BL'!$A$1:$F$16,MATCH(E477,'SummaryNOT_VALIDATED-BL'!$A$1:$A$16,0),6),0)),0)</f>
        <v>0</v>
      </c>
      <c r="V477" s="81" cm="1">
        <f t="array" ref="V477">INDEX('Weight tables'!$A$24:$C$27,MATCH(1,(RendicontiTrasmessiBL__2[[#This Row],[Cut percentage on real costs + USC]]&gt;='Weight tables'!$B$24:$B$27)*(RendicontiTrasmessiBL__2[[#This Row],[Cut percentage on real costs + USC]]&lt;='Weight tables'!$C$24:$C$27),0),1)</f>
        <v>0</v>
      </c>
      <c r="W477" s="2">
        <f>RendicontiTrasmessiBL__2[[#This Row],[Weight real costs  + USC ]]</f>
        <v>0</v>
      </c>
    </row>
    <row r="478" spans="1:23" x14ac:dyDescent="0.25">
      <c r="A478" s="1" t="s">
        <v>283</v>
      </c>
      <c r="B478" s="1" t="s">
        <v>287</v>
      </c>
      <c r="C478" s="2">
        <v>199</v>
      </c>
      <c r="D478" s="2">
        <v>286</v>
      </c>
      <c r="E478" s="1" t="s">
        <v>237</v>
      </c>
      <c r="G478">
        <v>0</v>
      </c>
      <c r="H478">
        <v>0</v>
      </c>
      <c r="I478">
        <v>0</v>
      </c>
      <c r="J478">
        <v>0</v>
      </c>
      <c r="K478">
        <v>0</v>
      </c>
      <c r="L478">
        <v>0</v>
      </c>
      <c r="M478">
        <v>0</v>
      </c>
      <c r="N478">
        <v>0</v>
      </c>
      <c r="O478">
        <v>0</v>
      </c>
      <c r="P478">
        <v>0</v>
      </c>
      <c r="Q478" t="str">
        <f>INDEX('Partner data'!A:DH,MATCH(C478,'Partner data'!DG:DG,0),83)</f>
        <v xml:space="preserve">Organismo di diritto pubblico </v>
      </c>
      <c r="R478" t="b">
        <f>IF(E478="staff",IF(INDEX('Partner data'!A:DH,MATCH(C478,'Partner data'!DG:DG,0),112)="BL1 non presente","FALSO",INDEX('Partner data'!A:DH,MATCH(C478,'Partner data'!DG:DG,0),112)))</f>
        <v>0</v>
      </c>
      <c r="S478" t="b">
        <f t="shared" si="14"/>
        <v>0</v>
      </c>
      <c r="T478" t="b">
        <f t="shared" si="15"/>
        <v>1</v>
      </c>
      <c r="U478" s="154">
        <f>IFERROR(IF(R478&lt;&gt;FALSE,IF(S478=TRUE,INDEX('SummaryNOT_VALIDATED-BL'!$A$1:$F$16,MATCH(R478,'SummaryNOT_VALIDATED-BL'!$A$1:$A$16,0),6),0),IF(S478=TRUE,INDEX('SummaryNOT_VALIDATED-BL'!$A$1:$F$16,MATCH(E478,'SummaryNOT_VALIDATED-BL'!$A$1:$A$16,0),6),0)),0)</f>
        <v>0</v>
      </c>
      <c r="V478" s="81" cm="1">
        <f t="array" ref="V478">INDEX('Weight tables'!$A$24:$C$27,MATCH(1,(RendicontiTrasmessiBL__2[[#This Row],[Cut percentage on real costs + USC]]&gt;='Weight tables'!$B$24:$B$27)*(RendicontiTrasmessiBL__2[[#This Row],[Cut percentage on real costs + USC]]&lt;='Weight tables'!$C$24:$C$27),0),1)</f>
        <v>0</v>
      </c>
      <c r="W478" s="2">
        <f>RendicontiTrasmessiBL__2[[#This Row],[Weight real costs  + USC ]]</f>
        <v>0</v>
      </c>
    </row>
    <row r="479" spans="1:23" x14ac:dyDescent="0.25">
      <c r="A479" s="1" t="s">
        <v>304</v>
      </c>
      <c r="B479" s="1" t="s">
        <v>0</v>
      </c>
      <c r="C479" s="2">
        <v>174</v>
      </c>
      <c r="D479" s="2">
        <v>268</v>
      </c>
      <c r="E479" s="1" t="s">
        <v>228</v>
      </c>
      <c r="G479">
        <v>71412</v>
      </c>
      <c r="H479">
        <v>0</v>
      </c>
      <c r="I479">
        <v>0</v>
      </c>
      <c r="J479">
        <v>17262</v>
      </c>
      <c r="K479">
        <v>0</v>
      </c>
      <c r="L479">
        <v>17072</v>
      </c>
      <c r="M479">
        <v>17262</v>
      </c>
      <c r="N479">
        <v>24.17</v>
      </c>
      <c r="O479">
        <v>54150</v>
      </c>
      <c r="P479">
        <v>0</v>
      </c>
      <c r="Q479" t="str">
        <f>INDEX('Partner data'!A:DH,MATCH(C479,'Partner data'!DG:DG,0),83)</f>
        <v>Soggetto pubblico</v>
      </c>
      <c r="R479" t="str">
        <f>IF(E479="staff",IF(INDEX('Partner data'!A:DH,MATCH(C479,'Partner data'!DG:DG,0),112)="BL1 non presente","FALSO",INDEX('Partner data'!A:DH,MATCH(C479,'Partner data'!DG:DG,0),112)))</f>
        <v>Costo Unitario Standard</v>
      </c>
      <c r="S479" t="b">
        <f t="shared" si="14"/>
        <v>1</v>
      </c>
      <c r="T479" t="b">
        <f t="shared" si="15"/>
        <v>1</v>
      </c>
      <c r="U479" s="154">
        <f>IFERROR(IF(R479&lt;&gt;FALSE,IF(S479=TRUE,INDEX('SummaryNOT_VALIDATED-BL'!$A$1:$F$16,MATCH(R479,'SummaryNOT_VALIDATED-BL'!$A$1:$A$16,0),6),0),IF(S479=TRUE,INDEX('SummaryNOT_VALIDATED-BL'!$A$1:$F$16,MATCH(E479,'SummaryNOT_VALIDATED-BL'!$A$1:$A$16,0),6),0)),0)</f>
        <v>3.2052879635441428E-2</v>
      </c>
      <c r="V479" s="81" cm="1">
        <f t="array" ref="V479">INDEX('Weight tables'!$A$24:$C$27,MATCH(1,(RendicontiTrasmessiBL__2[[#This Row],[Cut percentage on real costs + USC]]&gt;='Weight tables'!$B$24:$B$27)*(RendicontiTrasmessiBL__2[[#This Row],[Cut percentage on real costs + USC]]&lt;='Weight tables'!$C$24:$C$27),0),1)</f>
        <v>2</v>
      </c>
      <c r="W479" s="2">
        <f>RendicontiTrasmessiBL__2[[#This Row],[Weight real costs  + USC ]]</f>
        <v>2</v>
      </c>
    </row>
    <row r="480" spans="1:23" x14ac:dyDescent="0.25">
      <c r="A480" s="1" t="s">
        <v>304</v>
      </c>
      <c r="B480" s="1" t="s">
        <v>0</v>
      </c>
      <c r="C480" s="2">
        <v>174</v>
      </c>
      <c r="D480" s="2">
        <v>268</v>
      </c>
      <c r="E480" s="1" t="s">
        <v>229</v>
      </c>
      <c r="G480">
        <v>0</v>
      </c>
      <c r="H480">
        <v>0</v>
      </c>
      <c r="I480">
        <v>0</v>
      </c>
      <c r="J480">
        <v>0</v>
      </c>
      <c r="K480">
        <v>0</v>
      </c>
      <c r="L480">
        <v>0</v>
      </c>
      <c r="M480">
        <v>0</v>
      </c>
      <c r="N480">
        <v>0</v>
      </c>
      <c r="O480">
        <v>0</v>
      </c>
      <c r="P480">
        <v>0</v>
      </c>
      <c r="Q480" t="str">
        <f>INDEX('Partner data'!A:DH,MATCH(C480,'Partner data'!DG:DG,0),83)</f>
        <v>Soggetto pubblico</v>
      </c>
      <c r="R480" t="b">
        <f>IF(E480="staff",IF(INDEX('Partner data'!A:DH,MATCH(C480,'Partner data'!DG:DG,0),112)="BL1 non presente","FALSO",INDEX('Partner data'!A:DH,MATCH(C480,'Partner data'!DG:DG,0),112)))</f>
        <v>0</v>
      </c>
      <c r="S480" t="b">
        <f t="shared" si="14"/>
        <v>0</v>
      </c>
      <c r="T480" t="b">
        <f t="shared" si="15"/>
        <v>1</v>
      </c>
      <c r="U480" s="154">
        <f>IFERROR(IF(R480&lt;&gt;FALSE,IF(S480=TRUE,INDEX('SummaryNOT_VALIDATED-BL'!$A$1:$F$16,MATCH(R480,'SummaryNOT_VALIDATED-BL'!$A$1:$A$16,0),6),0),IF(S480=TRUE,INDEX('SummaryNOT_VALIDATED-BL'!$A$1:$F$16,MATCH(E480,'SummaryNOT_VALIDATED-BL'!$A$1:$A$16,0),6),0)),0)</f>
        <v>0</v>
      </c>
      <c r="V480" s="81" cm="1">
        <f t="array" ref="V480">INDEX('Weight tables'!$A$24:$C$27,MATCH(1,(RendicontiTrasmessiBL__2[[#This Row],[Cut percentage on real costs + USC]]&gt;='Weight tables'!$B$24:$B$27)*(RendicontiTrasmessiBL__2[[#This Row],[Cut percentage on real costs + USC]]&lt;='Weight tables'!$C$24:$C$27),0),1)</f>
        <v>0</v>
      </c>
      <c r="W480" s="2">
        <f>RendicontiTrasmessiBL__2[[#This Row],[Weight real costs  + USC ]]</f>
        <v>0</v>
      </c>
    </row>
    <row r="481" spans="1:23" x14ac:dyDescent="0.25">
      <c r="A481" s="1" t="s">
        <v>304</v>
      </c>
      <c r="B481" s="1" t="s">
        <v>0</v>
      </c>
      <c r="C481" s="2">
        <v>174</v>
      </c>
      <c r="D481" s="2">
        <v>268</v>
      </c>
      <c r="E481" s="1" t="s">
        <v>230</v>
      </c>
      <c r="G481">
        <v>0</v>
      </c>
      <c r="H481">
        <v>0</v>
      </c>
      <c r="I481">
        <v>0</v>
      </c>
      <c r="J481">
        <v>0</v>
      </c>
      <c r="K481">
        <v>0</v>
      </c>
      <c r="L481">
        <v>0</v>
      </c>
      <c r="M481">
        <v>0</v>
      </c>
      <c r="N481">
        <v>0</v>
      </c>
      <c r="O481">
        <v>0</v>
      </c>
      <c r="P481">
        <v>0</v>
      </c>
      <c r="Q481" t="str">
        <f>INDEX('Partner data'!A:DH,MATCH(C481,'Partner data'!DG:DG,0),83)</f>
        <v>Soggetto pubblico</v>
      </c>
      <c r="R481" t="b">
        <f>IF(E481="staff",IF(INDEX('Partner data'!A:DH,MATCH(C481,'Partner data'!DG:DG,0),112)="BL1 non presente","FALSO",INDEX('Partner data'!A:DH,MATCH(C481,'Partner data'!DG:DG,0),112)))</f>
        <v>0</v>
      </c>
      <c r="S481" t="b">
        <f t="shared" si="14"/>
        <v>0</v>
      </c>
      <c r="T481" t="b">
        <f t="shared" si="15"/>
        <v>1</v>
      </c>
      <c r="U481" s="154">
        <f>IFERROR(IF(R481&lt;&gt;FALSE,IF(S481=TRUE,INDEX('SummaryNOT_VALIDATED-BL'!$A$1:$F$16,MATCH(R481,'SummaryNOT_VALIDATED-BL'!$A$1:$A$16,0),6),0),IF(S481=TRUE,INDEX('SummaryNOT_VALIDATED-BL'!$A$1:$F$16,MATCH(E481,'SummaryNOT_VALIDATED-BL'!$A$1:$A$16,0),6),0)),0)</f>
        <v>0</v>
      </c>
      <c r="V481" s="81" cm="1">
        <f t="array" ref="V481">INDEX('Weight tables'!$A$24:$C$27,MATCH(1,(RendicontiTrasmessiBL__2[[#This Row],[Cut percentage on real costs + USC]]&gt;='Weight tables'!$B$24:$B$27)*(RendicontiTrasmessiBL__2[[#This Row],[Cut percentage on real costs + USC]]&lt;='Weight tables'!$C$24:$C$27),0),1)</f>
        <v>0</v>
      </c>
      <c r="W481" s="2">
        <f>RendicontiTrasmessiBL__2[[#This Row],[Weight real costs  + USC ]]</f>
        <v>0</v>
      </c>
    </row>
    <row r="482" spans="1:23" x14ac:dyDescent="0.25">
      <c r="A482" s="1" t="s">
        <v>304</v>
      </c>
      <c r="B482" s="1" t="s">
        <v>0</v>
      </c>
      <c r="C482" s="2">
        <v>174</v>
      </c>
      <c r="D482" s="2">
        <v>268</v>
      </c>
      <c r="E482" s="1" t="s">
        <v>231</v>
      </c>
      <c r="G482">
        <v>0</v>
      </c>
      <c r="H482">
        <v>0</v>
      </c>
      <c r="I482">
        <v>0</v>
      </c>
      <c r="J482">
        <v>0</v>
      </c>
      <c r="K482">
        <v>0</v>
      </c>
      <c r="L482">
        <v>0</v>
      </c>
      <c r="M482">
        <v>0</v>
      </c>
      <c r="N482">
        <v>0</v>
      </c>
      <c r="O482">
        <v>0</v>
      </c>
      <c r="P482">
        <v>0</v>
      </c>
      <c r="Q482" t="str">
        <f>INDEX('Partner data'!A:DH,MATCH(C482,'Partner data'!DG:DG,0),83)</f>
        <v>Soggetto pubblico</v>
      </c>
      <c r="R482" t="b">
        <f>IF(E482="staff",IF(INDEX('Partner data'!A:DH,MATCH(C482,'Partner data'!DG:DG,0),112)="BL1 non presente","FALSO",INDEX('Partner data'!A:DH,MATCH(C482,'Partner data'!DG:DG,0),112)))</f>
        <v>0</v>
      </c>
      <c r="S482" t="b">
        <f t="shared" si="14"/>
        <v>0</v>
      </c>
      <c r="T482" t="b">
        <f t="shared" si="15"/>
        <v>1</v>
      </c>
      <c r="U482" s="154">
        <f>IFERROR(IF(R482&lt;&gt;FALSE,IF(S482=TRUE,INDEX('SummaryNOT_VALIDATED-BL'!$A$1:$F$16,MATCH(R482,'SummaryNOT_VALIDATED-BL'!$A$1:$A$16,0),6),0),IF(S482=TRUE,INDEX('SummaryNOT_VALIDATED-BL'!$A$1:$F$16,MATCH(E482,'SummaryNOT_VALIDATED-BL'!$A$1:$A$16,0),6),0)),0)</f>
        <v>0</v>
      </c>
      <c r="V482" s="81" cm="1">
        <f t="array" ref="V482">INDEX('Weight tables'!$A$24:$C$27,MATCH(1,(RendicontiTrasmessiBL__2[[#This Row],[Cut percentage on real costs + USC]]&gt;='Weight tables'!$B$24:$B$27)*(RendicontiTrasmessiBL__2[[#This Row],[Cut percentage on real costs + USC]]&lt;='Weight tables'!$C$24:$C$27),0),1)</f>
        <v>0</v>
      </c>
      <c r="W482" s="2">
        <f>RendicontiTrasmessiBL__2[[#This Row],[Weight real costs  + USC ]]</f>
        <v>0</v>
      </c>
    </row>
    <row r="483" spans="1:23" x14ac:dyDescent="0.25">
      <c r="A483" s="1" t="s">
        <v>304</v>
      </c>
      <c r="B483" s="1" t="s">
        <v>0</v>
      </c>
      <c r="C483" s="2">
        <v>174</v>
      </c>
      <c r="D483" s="2">
        <v>268</v>
      </c>
      <c r="E483" s="1" t="s">
        <v>232</v>
      </c>
      <c r="G483">
        <v>0</v>
      </c>
      <c r="H483">
        <v>0</v>
      </c>
      <c r="I483">
        <v>0</v>
      </c>
      <c r="J483">
        <v>0</v>
      </c>
      <c r="K483">
        <v>0</v>
      </c>
      <c r="L483">
        <v>0</v>
      </c>
      <c r="M483">
        <v>0</v>
      </c>
      <c r="N483">
        <v>0</v>
      </c>
      <c r="O483">
        <v>0</v>
      </c>
      <c r="P483">
        <v>0</v>
      </c>
      <c r="Q483" t="str">
        <f>INDEX('Partner data'!A:DH,MATCH(C483,'Partner data'!DG:DG,0),83)</f>
        <v>Soggetto pubblico</v>
      </c>
      <c r="R483" t="b">
        <f>IF(E483="staff",IF(INDEX('Partner data'!A:DH,MATCH(C483,'Partner data'!DG:DG,0),112)="BL1 non presente","FALSO",INDEX('Partner data'!A:DH,MATCH(C483,'Partner data'!DG:DG,0),112)))</f>
        <v>0</v>
      </c>
      <c r="S483" t="b">
        <f t="shared" si="14"/>
        <v>0</v>
      </c>
      <c r="T483" t="b">
        <f t="shared" si="15"/>
        <v>1</v>
      </c>
      <c r="U483" s="154">
        <f>IFERROR(IF(R483&lt;&gt;FALSE,IF(S483=TRUE,INDEX('SummaryNOT_VALIDATED-BL'!$A$1:$F$16,MATCH(R483,'SummaryNOT_VALIDATED-BL'!$A$1:$A$16,0),6),0),IF(S483=TRUE,INDEX('SummaryNOT_VALIDATED-BL'!$A$1:$F$16,MATCH(E483,'SummaryNOT_VALIDATED-BL'!$A$1:$A$16,0),6),0)),0)</f>
        <v>0</v>
      </c>
      <c r="V483" s="81" cm="1">
        <f t="array" ref="V483">INDEX('Weight tables'!$A$24:$C$27,MATCH(1,(RendicontiTrasmessiBL__2[[#This Row],[Cut percentage on real costs + USC]]&gt;='Weight tables'!$B$24:$B$27)*(RendicontiTrasmessiBL__2[[#This Row],[Cut percentage on real costs + USC]]&lt;='Weight tables'!$C$24:$C$27),0),1)</f>
        <v>0</v>
      </c>
      <c r="W483" s="2">
        <f>RendicontiTrasmessiBL__2[[#This Row],[Weight real costs  + USC ]]</f>
        <v>0</v>
      </c>
    </row>
    <row r="484" spans="1:23" x14ac:dyDescent="0.25">
      <c r="A484" s="1" t="s">
        <v>304</v>
      </c>
      <c r="B484" s="1" t="s">
        <v>0</v>
      </c>
      <c r="C484" s="2">
        <v>174</v>
      </c>
      <c r="D484" s="2">
        <v>268</v>
      </c>
      <c r="E484" s="1" t="s">
        <v>233</v>
      </c>
      <c r="G484">
        <v>0</v>
      </c>
      <c r="H484">
        <v>0</v>
      </c>
      <c r="I484">
        <v>0</v>
      </c>
      <c r="J484">
        <v>0</v>
      </c>
      <c r="K484">
        <v>0</v>
      </c>
      <c r="L484">
        <v>0</v>
      </c>
      <c r="M484">
        <v>0</v>
      </c>
      <c r="N484">
        <v>0</v>
      </c>
      <c r="O484">
        <v>0</v>
      </c>
      <c r="P484">
        <v>0</v>
      </c>
      <c r="Q484" t="str">
        <f>INDEX('Partner data'!A:DH,MATCH(C484,'Partner data'!DG:DG,0),83)</f>
        <v>Soggetto pubblico</v>
      </c>
      <c r="R484" t="b">
        <f>IF(E484="staff",IF(INDEX('Partner data'!A:DH,MATCH(C484,'Partner data'!DG:DG,0),112)="BL1 non presente","FALSO",INDEX('Partner data'!A:DH,MATCH(C484,'Partner data'!DG:DG,0),112)))</f>
        <v>0</v>
      </c>
      <c r="S484" t="b">
        <f t="shared" si="14"/>
        <v>0</v>
      </c>
      <c r="T484" t="b">
        <f t="shared" si="15"/>
        <v>1</v>
      </c>
      <c r="U484" s="154">
        <f>IFERROR(IF(R484&lt;&gt;FALSE,IF(S484=TRUE,INDEX('SummaryNOT_VALIDATED-BL'!$A$1:$F$16,MATCH(R484,'SummaryNOT_VALIDATED-BL'!$A$1:$A$16,0),6),0),IF(S484=TRUE,INDEX('SummaryNOT_VALIDATED-BL'!$A$1:$F$16,MATCH(E484,'SummaryNOT_VALIDATED-BL'!$A$1:$A$16,0),6),0)),0)</f>
        <v>0</v>
      </c>
      <c r="V484" s="81" cm="1">
        <f t="array" ref="V484">INDEX('Weight tables'!$A$24:$C$27,MATCH(1,(RendicontiTrasmessiBL__2[[#This Row],[Cut percentage on real costs + USC]]&gt;='Weight tables'!$B$24:$B$27)*(RendicontiTrasmessiBL__2[[#This Row],[Cut percentage on real costs + USC]]&lt;='Weight tables'!$C$24:$C$27),0),1)</f>
        <v>0</v>
      </c>
      <c r="W484" s="2">
        <f>RendicontiTrasmessiBL__2[[#This Row],[Weight real costs  + USC ]]</f>
        <v>0</v>
      </c>
    </row>
    <row r="485" spans="1:23" x14ac:dyDescent="0.25">
      <c r="A485" s="1" t="s">
        <v>304</v>
      </c>
      <c r="B485" s="1" t="s">
        <v>0</v>
      </c>
      <c r="C485" s="2">
        <v>174</v>
      </c>
      <c r="D485" s="2">
        <v>268</v>
      </c>
      <c r="E485" s="1" t="s">
        <v>234</v>
      </c>
      <c r="F485">
        <v>40</v>
      </c>
      <c r="G485">
        <v>28564.799999999999</v>
      </c>
      <c r="H485">
        <v>0</v>
      </c>
      <c r="I485">
        <v>0</v>
      </c>
      <c r="J485">
        <v>6904.8</v>
      </c>
      <c r="K485">
        <v>0</v>
      </c>
      <c r="L485">
        <v>6828.8</v>
      </c>
      <c r="M485">
        <v>6904.8</v>
      </c>
      <c r="N485">
        <v>24.17</v>
      </c>
      <c r="O485">
        <v>21660</v>
      </c>
      <c r="P485">
        <v>0</v>
      </c>
      <c r="Q485" t="str">
        <f>INDEX('Partner data'!A:DH,MATCH(C485,'Partner data'!DG:DG,0),83)</f>
        <v>Soggetto pubblico</v>
      </c>
      <c r="R485" t="b">
        <f>IF(E485="staff",IF(INDEX('Partner data'!A:DH,MATCH(C485,'Partner data'!DG:DG,0),112)="BL1 non presente","FALSO",INDEX('Partner data'!A:DH,MATCH(C485,'Partner data'!DG:DG,0),112)))</f>
        <v>0</v>
      </c>
      <c r="S485" t="b">
        <f t="shared" si="14"/>
        <v>1</v>
      </c>
      <c r="T485" t="b">
        <f t="shared" si="15"/>
        <v>1</v>
      </c>
      <c r="U485" s="154">
        <f>IFERROR(IF(R485&lt;&gt;FALSE,IF(S485=TRUE,INDEX('SummaryNOT_VALIDATED-BL'!$A$1:$F$16,MATCH(R485,'SummaryNOT_VALIDATED-BL'!$A$1:$A$16,0),6),0),IF(S485=TRUE,INDEX('SummaryNOT_VALIDATED-BL'!$A$1:$F$16,MATCH(E485,'SummaryNOT_VALIDATED-BL'!$A$1:$A$16,0),6),0)),0)</f>
        <v>8.7645339819521315E-2</v>
      </c>
      <c r="V485" s="81" cm="1">
        <f t="array" ref="V485">INDEX('Weight tables'!$A$24:$C$27,MATCH(1,(RendicontiTrasmessiBL__2[[#This Row],[Cut percentage on real costs + USC]]&gt;='Weight tables'!$B$24:$B$27)*(RendicontiTrasmessiBL__2[[#This Row],[Cut percentage on real costs + USC]]&lt;='Weight tables'!$C$24:$C$27),0),1)</f>
        <v>4</v>
      </c>
      <c r="W485" s="2">
        <f>RendicontiTrasmessiBL__2[[#This Row],[Weight real costs  + USC ]]</f>
        <v>4</v>
      </c>
    </row>
    <row r="486" spans="1:23" x14ac:dyDescent="0.25">
      <c r="A486" s="1" t="s">
        <v>304</v>
      </c>
      <c r="B486" s="1" t="s">
        <v>0</v>
      </c>
      <c r="C486" s="2">
        <v>174</v>
      </c>
      <c r="D486" s="2">
        <v>268</v>
      </c>
      <c r="E486" s="1" t="s">
        <v>236</v>
      </c>
      <c r="G486">
        <v>0</v>
      </c>
      <c r="H486">
        <v>0</v>
      </c>
      <c r="I486">
        <v>0</v>
      </c>
      <c r="J486">
        <v>0</v>
      </c>
      <c r="K486">
        <v>0</v>
      </c>
      <c r="L486">
        <v>0</v>
      </c>
      <c r="M486">
        <v>0</v>
      </c>
      <c r="N486">
        <v>0</v>
      </c>
      <c r="O486">
        <v>0</v>
      </c>
      <c r="P486">
        <v>0</v>
      </c>
      <c r="Q486" t="str">
        <f>INDEX('Partner data'!A:DH,MATCH(C486,'Partner data'!DG:DG,0),83)</f>
        <v>Soggetto pubblico</v>
      </c>
      <c r="R486" t="b">
        <f>IF(E486="staff",IF(INDEX('Partner data'!A:DH,MATCH(C486,'Partner data'!DG:DG,0),112)="BL1 non presente","FALSO",INDEX('Partner data'!A:DH,MATCH(C486,'Partner data'!DG:DG,0),112)))</f>
        <v>0</v>
      </c>
      <c r="S486" t="b">
        <f t="shared" si="14"/>
        <v>0</v>
      </c>
      <c r="T486" t="b">
        <f t="shared" si="15"/>
        <v>1</v>
      </c>
      <c r="U486" s="154">
        <f>IFERROR(IF(R486&lt;&gt;FALSE,IF(S486=TRUE,INDEX('SummaryNOT_VALIDATED-BL'!$A$1:$F$16,MATCH(R486,'SummaryNOT_VALIDATED-BL'!$A$1:$A$16,0),6),0),IF(S486=TRUE,INDEX('SummaryNOT_VALIDATED-BL'!$A$1:$F$16,MATCH(E486,'SummaryNOT_VALIDATED-BL'!$A$1:$A$16,0),6),0)),0)</f>
        <v>0</v>
      </c>
      <c r="V486" s="81" cm="1">
        <f t="array" ref="V486">INDEX('Weight tables'!$A$24:$C$27,MATCH(1,(RendicontiTrasmessiBL__2[[#This Row],[Cut percentage on real costs + USC]]&gt;='Weight tables'!$B$24:$B$27)*(RendicontiTrasmessiBL__2[[#This Row],[Cut percentage on real costs + USC]]&lt;='Weight tables'!$C$24:$C$27),0),1)</f>
        <v>0</v>
      </c>
      <c r="W486" s="2">
        <f>RendicontiTrasmessiBL__2[[#This Row],[Weight real costs  + USC ]]</f>
        <v>0</v>
      </c>
    </row>
    <row r="487" spans="1:23" x14ac:dyDescent="0.25">
      <c r="A487" s="1" t="s">
        <v>304</v>
      </c>
      <c r="B487" s="1" t="s">
        <v>0</v>
      </c>
      <c r="C487" s="2">
        <v>174</v>
      </c>
      <c r="D487" s="2">
        <v>268</v>
      </c>
      <c r="E487" s="1" t="s">
        <v>237</v>
      </c>
      <c r="G487">
        <v>0</v>
      </c>
      <c r="H487">
        <v>0</v>
      </c>
      <c r="I487">
        <v>0</v>
      </c>
      <c r="J487">
        <v>0</v>
      </c>
      <c r="K487">
        <v>0</v>
      </c>
      <c r="L487">
        <v>0</v>
      </c>
      <c r="M487">
        <v>0</v>
      </c>
      <c r="N487">
        <v>0</v>
      </c>
      <c r="O487">
        <v>0</v>
      </c>
      <c r="P487">
        <v>0</v>
      </c>
      <c r="Q487" t="str">
        <f>INDEX('Partner data'!A:DH,MATCH(C487,'Partner data'!DG:DG,0),83)</f>
        <v>Soggetto pubblico</v>
      </c>
      <c r="R487" t="b">
        <f>IF(E487="staff",IF(INDEX('Partner data'!A:DH,MATCH(C487,'Partner data'!DG:DG,0),112)="BL1 non presente","FALSO",INDEX('Partner data'!A:DH,MATCH(C487,'Partner data'!DG:DG,0),112)))</f>
        <v>0</v>
      </c>
      <c r="S487" t="b">
        <f t="shared" si="14"/>
        <v>0</v>
      </c>
      <c r="T487" t="b">
        <f t="shared" si="15"/>
        <v>1</v>
      </c>
      <c r="U487" s="154">
        <f>IFERROR(IF(R487&lt;&gt;FALSE,IF(S487=TRUE,INDEX('SummaryNOT_VALIDATED-BL'!$A$1:$F$16,MATCH(R487,'SummaryNOT_VALIDATED-BL'!$A$1:$A$16,0),6),0),IF(S487=TRUE,INDEX('SummaryNOT_VALIDATED-BL'!$A$1:$F$16,MATCH(E487,'SummaryNOT_VALIDATED-BL'!$A$1:$A$16,0),6),0)),0)</f>
        <v>0</v>
      </c>
      <c r="V487" s="81" cm="1">
        <f t="array" ref="V487">INDEX('Weight tables'!$A$24:$C$27,MATCH(1,(RendicontiTrasmessiBL__2[[#This Row],[Cut percentage on real costs + USC]]&gt;='Weight tables'!$B$24:$B$27)*(RendicontiTrasmessiBL__2[[#This Row],[Cut percentage on real costs + USC]]&lt;='Weight tables'!$C$24:$C$27),0),1)</f>
        <v>0</v>
      </c>
      <c r="W487" s="2">
        <f>RendicontiTrasmessiBL__2[[#This Row],[Weight real costs  + USC ]]</f>
        <v>0</v>
      </c>
    </row>
    <row r="488" spans="1:23" x14ac:dyDescent="0.25">
      <c r="A488" s="1" t="s">
        <v>304</v>
      </c>
      <c r="B488" s="1" t="s">
        <v>305</v>
      </c>
      <c r="C488" s="2">
        <v>101</v>
      </c>
      <c r="D488" s="2">
        <v>124</v>
      </c>
      <c r="E488" s="1" t="s">
        <v>228</v>
      </c>
      <c r="F488">
        <v>20</v>
      </c>
      <c r="G488">
        <v>28600</v>
      </c>
      <c r="H488">
        <v>0</v>
      </c>
      <c r="I488">
        <v>0</v>
      </c>
      <c r="J488">
        <v>758.28</v>
      </c>
      <c r="K488">
        <v>0</v>
      </c>
      <c r="L488">
        <v>758.28</v>
      </c>
      <c r="M488">
        <v>758.28</v>
      </c>
      <c r="N488">
        <v>2.65</v>
      </c>
      <c r="O488">
        <v>27841.72</v>
      </c>
      <c r="P488">
        <v>0</v>
      </c>
      <c r="Q488" t="str">
        <f>INDEX('Partner data'!A:DH,MATCH(C488,'Partner data'!DG:DG,0),83)</f>
        <v>Soggetto pubblico</v>
      </c>
      <c r="R488" t="str">
        <f>IF(E488="staff",IF(INDEX('Partner data'!A:DH,MATCH(C488,'Partner data'!DG:DG,0),112)="BL1 non presente","FALSO",INDEX('Partner data'!A:DH,MATCH(C488,'Partner data'!DG:DG,0),112)))</f>
        <v>Tasso Forfettario 20%</v>
      </c>
      <c r="S488" t="b">
        <f t="shared" si="14"/>
        <v>1</v>
      </c>
      <c r="T488" t="b">
        <f t="shared" si="15"/>
        <v>1</v>
      </c>
      <c r="U488" s="154">
        <f>IFERROR(IF(R488&lt;&gt;FALSE,IF(S488=TRUE,INDEX('SummaryNOT_VALIDATED-BL'!$A$1:$F$16,MATCH(R488,'SummaryNOT_VALIDATED-BL'!$A$1:$A$16,0),6),0),IF(S488=TRUE,INDEX('SummaryNOT_VALIDATED-BL'!$A$1:$F$16,MATCH(E488,'SummaryNOT_VALIDATED-BL'!$A$1:$A$16,0),6),0)),0)</f>
        <v>1.2653355650533233E-2</v>
      </c>
      <c r="V488" s="81" cm="1">
        <f t="array" ref="V488">INDEX('Weight tables'!$A$24:$C$27,MATCH(1,(RendicontiTrasmessiBL__2[[#This Row],[Cut percentage on real costs + USC]]&gt;='Weight tables'!$B$24:$B$27)*(RendicontiTrasmessiBL__2[[#This Row],[Cut percentage on real costs + USC]]&lt;='Weight tables'!$C$24:$C$27),0),1)</f>
        <v>0</v>
      </c>
      <c r="W488" s="2">
        <f>RendicontiTrasmessiBL__2[[#This Row],[Weight real costs  + USC ]]</f>
        <v>0</v>
      </c>
    </row>
    <row r="489" spans="1:23" x14ac:dyDescent="0.25">
      <c r="A489" s="1" t="s">
        <v>304</v>
      </c>
      <c r="B489" s="1" t="s">
        <v>305</v>
      </c>
      <c r="C489" s="2">
        <v>101</v>
      </c>
      <c r="D489" s="2">
        <v>124</v>
      </c>
      <c r="E489" s="1" t="s">
        <v>229</v>
      </c>
      <c r="F489">
        <v>15</v>
      </c>
      <c r="G489">
        <v>4290</v>
      </c>
      <c r="H489">
        <v>0</v>
      </c>
      <c r="I489">
        <v>0</v>
      </c>
      <c r="J489">
        <v>113.74</v>
      </c>
      <c r="K489">
        <v>0</v>
      </c>
      <c r="L489">
        <v>113.74</v>
      </c>
      <c r="M489">
        <v>113.74</v>
      </c>
      <c r="N489">
        <v>2.65</v>
      </c>
      <c r="O489">
        <v>4176.26</v>
      </c>
      <c r="P489">
        <v>0</v>
      </c>
      <c r="Q489" t="str">
        <f>INDEX('Partner data'!A:DH,MATCH(C489,'Partner data'!DG:DG,0),83)</f>
        <v>Soggetto pubblico</v>
      </c>
      <c r="R489" t="b">
        <f>IF(E489="staff",IF(INDEX('Partner data'!A:DH,MATCH(C489,'Partner data'!DG:DG,0),112)="BL1 non presente","FALSO",INDEX('Partner data'!A:DH,MATCH(C489,'Partner data'!DG:DG,0),112)))</f>
        <v>0</v>
      </c>
      <c r="S489" t="b">
        <f t="shared" si="14"/>
        <v>1</v>
      </c>
      <c r="T489" t="b">
        <f t="shared" si="15"/>
        <v>1</v>
      </c>
      <c r="U489" s="154">
        <f>IFERROR(IF(R489&lt;&gt;FALSE,IF(S489=TRUE,INDEX('SummaryNOT_VALIDATED-BL'!$A$1:$F$16,MATCH(R489,'SummaryNOT_VALIDATED-BL'!$A$1:$A$16,0),6),0),IF(S489=TRUE,INDEX('SummaryNOT_VALIDATED-BL'!$A$1:$F$16,MATCH(E489,'SummaryNOT_VALIDATED-BL'!$A$1:$A$16,0),6),0)),0)</f>
        <v>6.6460469504890221E-2</v>
      </c>
      <c r="V489" s="81" cm="1">
        <f t="array" ref="V489">INDEX('Weight tables'!$A$24:$C$27,MATCH(1,(RendicontiTrasmessiBL__2[[#This Row],[Cut percentage on real costs + USC]]&gt;='Weight tables'!$B$24:$B$27)*(RendicontiTrasmessiBL__2[[#This Row],[Cut percentage on real costs + USC]]&lt;='Weight tables'!$C$24:$C$27),0),1)</f>
        <v>4</v>
      </c>
      <c r="W489" s="2">
        <f>RendicontiTrasmessiBL__2[[#This Row],[Weight real costs  + USC ]]</f>
        <v>4</v>
      </c>
    </row>
    <row r="490" spans="1:23" x14ac:dyDescent="0.25">
      <c r="A490" s="1" t="s">
        <v>304</v>
      </c>
      <c r="B490" s="1" t="s">
        <v>305</v>
      </c>
      <c r="C490" s="2">
        <v>101</v>
      </c>
      <c r="D490" s="2">
        <v>124</v>
      </c>
      <c r="E490" s="1" t="s">
        <v>230</v>
      </c>
      <c r="F490">
        <v>4</v>
      </c>
      <c r="G490">
        <v>1144</v>
      </c>
      <c r="H490">
        <v>0</v>
      </c>
      <c r="I490">
        <v>0</v>
      </c>
      <c r="J490">
        <v>30.33</v>
      </c>
      <c r="K490">
        <v>0</v>
      </c>
      <c r="L490">
        <v>30.33</v>
      </c>
      <c r="M490">
        <v>30.33</v>
      </c>
      <c r="N490">
        <v>2.65</v>
      </c>
      <c r="O490">
        <v>1113.67</v>
      </c>
      <c r="P490">
        <v>0</v>
      </c>
      <c r="Q490" t="str">
        <f>INDEX('Partner data'!A:DH,MATCH(C490,'Partner data'!DG:DG,0),83)</f>
        <v>Soggetto pubblico</v>
      </c>
      <c r="R490" t="b">
        <f>IF(E490="staff",IF(INDEX('Partner data'!A:DH,MATCH(C490,'Partner data'!DG:DG,0),112)="BL1 non presente","FALSO",INDEX('Partner data'!A:DH,MATCH(C490,'Partner data'!DG:DG,0),112)))</f>
        <v>0</v>
      </c>
      <c r="S490" t="b">
        <f t="shared" si="14"/>
        <v>1</v>
      </c>
      <c r="T490" t="b">
        <f t="shared" si="15"/>
        <v>1</v>
      </c>
      <c r="U490" s="154">
        <f>IFERROR(IF(R490&lt;&gt;FALSE,IF(S490=TRUE,INDEX('SummaryNOT_VALIDATED-BL'!$A$1:$F$16,MATCH(R490,'SummaryNOT_VALIDATED-BL'!$A$1:$A$16,0),6),0),IF(S490=TRUE,INDEX('SummaryNOT_VALIDATED-BL'!$A$1:$F$16,MATCH(E490,'SummaryNOT_VALIDATED-BL'!$A$1:$A$16,0),6),0)),0)</f>
        <v>6.3112622236488891E-2</v>
      </c>
      <c r="V490" s="81" cm="1">
        <f t="array" ref="V490">INDEX('Weight tables'!$A$24:$C$27,MATCH(1,(RendicontiTrasmessiBL__2[[#This Row],[Cut percentage on real costs + USC]]&gt;='Weight tables'!$B$24:$B$27)*(RendicontiTrasmessiBL__2[[#This Row],[Cut percentage on real costs + USC]]&lt;='Weight tables'!$C$24:$C$27),0),1)</f>
        <v>4</v>
      </c>
      <c r="W490" s="2">
        <f>RendicontiTrasmessiBL__2[[#This Row],[Weight real costs  + USC ]]</f>
        <v>4</v>
      </c>
    </row>
    <row r="491" spans="1:23" x14ac:dyDescent="0.25">
      <c r="A491" s="1" t="s">
        <v>304</v>
      </c>
      <c r="B491" s="1" t="s">
        <v>305</v>
      </c>
      <c r="C491" s="2">
        <v>101</v>
      </c>
      <c r="D491" s="2">
        <v>124</v>
      </c>
      <c r="E491" s="1" t="s">
        <v>231</v>
      </c>
      <c r="G491">
        <v>21000</v>
      </c>
      <c r="H491">
        <v>0</v>
      </c>
      <c r="I491">
        <v>0</v>
      </c>
      <c r="J491">
        <v>3791.44</v>
      </c>
      <c r="K491">
        <v>0</v>
      </c>
      <c r="L491">
        <v>3791.44</v>
      </c>
      <c r="M491">
        <v>3791.44</v>
      </c>
      <c r="N491">
        <v>18.05</v>
      </c>
      <c r="O491">
        <v>17208.560000000001</v>
      </c>
      <c r="P491">
        <v>0</v>
      </c>
      <c r="Q491" t="str">
        <f>INDEX('Partner data'!A:DH,MATCH(C491,'Partner data'!DG:DG,0),83)</f>
        <v>Soggetto pubblico</v>
      </c>
      <c r="R491" t="b">
        <f>IF(E491="staff",IF(INDEX('Partner data'!A:DH,MATCH(C491,'Partner data'!DG:DG,0),112)="BL1 non presente","FALSO",INDEX('Partner data'!A:DH,MATCH(C491,'Partner data'!DG:DG,0),112)))</f>
        <v>0</v>
      </c>
      <c r="S491" t="b">
        <f t="shared" si="14"/>
        <v>1</v>
      </c>
      <c r="T491" t="b">
        <f t="shared" si="15"/>
        <v>1</v>
      </c>
      <c r="U491" s="154">
        <f>IFERROR(IF(R491&lt;&gt;FALSE,IF(S491=TRUE,INDEX('SummaryNOT_VALIDATED-BL'!$A$1:$F$16,MATCH(R491,'SummaryNOT_VALIDATED-BL'!$A$1:$A$16,0),6),0),IF(S491=TRUE,INDEX('SummaryNOT_VALIDATED-BL'!$A$1:$F$16,MATCH(E491,'SummaryNOT_VALIDATED-BL'!$A$1:$A$16,0),6),0)),0)</f>
        <v>5.577594442215475E-2</v>
      </c>
      <c r="V491" s="81" cm="1">
        <f t="array" ref="V491">INDEX('Weight tables'!$A$24:$C$27,MATCH(1,(RendicontiTrasmessiBL__2[[#This Row],[Cut percentage on real costs + USC]]&gt;='Weight tables'!$B$24:$B$27)*(RendicontiTrasmessiBL__2[[#This Row],[Cut percentage on real costs + USC]]&lt;='Weight tables'!$C$24:$C$27),0),1)</f>
        <v>4</v>
      </c>
      <c r="W491" s="2">
        <f>RendicontiTrasmessiBL__2[[#This Row],[Weight real costs  + USC ]]</f>
        <v>4</v>
      </c>
    </row>
    <row r="492" spans="1:23" x14ac:dyDescent="0.25">
      <c r="A492" s="1" t="s">
        <v>304</v>
      </c>
      <c r="B492" s="1" t="s">
        <v>305</v>
      </c>
      <c r="C492" s="2">
        <v>101</v>
      </c>
      <c r="D492" s="2">
        <v>124</v>
      </c>
      <c r="E492" s="1" t="s">
        <v>232</v>
      </c>
      <c r="G492">
        <v>0</v>
      </c>
      <c r="H492">
        <v>0</v>
      </c>
      <c r="I492">
        <v>0</v>
      </c>
      <c r="J492">
        <v>0</v>
      </c>
      <c r="K492">
        <v>0</v>
      </c>
      <c r="L492">
        <v>0</v>
      </c>
      <c r="M492">
        <v>0</v>
      </c>
      <c r="N492">
        <v>0</v>
      </c>
      <c r="O492">
        <v>0</v>
      </c>
      <c r="P492">
        <v>0</v>
      </c>
      <c r="Q492" t="str">
        <f>INDEX('Partner data'!A:DH,MATCH(C492,'Partner data'!DG:DG,0),83)</f>
        <v>Soggetto pubblico</v>
      </c>
      <c r="R492" t="b">
        <f>IF(E492="staff",IF(INDEX('Partner data'!A:DH,MATCH(C492,'Partner data'!DG:DG,0),112)="BL1 non presente","FALSO",INDEX('Partner data'!A:DH,MATCH(C492,'Partner data'!DG:DG,0),112)))</f>
        <v>0</v>
      </c>
      <c r="S492" t="b">
        <f t="shared" si="14"/>
        <v>0</v>
      </c>
      <c r="T492" t="b">
        <f t="shared" si="15"/>
        <v>1</v>
      </c>
      <c r="U492" s="154">
        <f>IFERROR(IF(R492&lt;&gt;FALSE,IF(S492=TRUE,INDEX('SummaryNOT_VALIDATED-BL'!$A$1:$F$16,MATCH(R492,'SummaryNOT_VALIDATED-BL'!$A$1:$A$16,0),6),0),IF(S492=TRUE,INDEX('SummaryNOT_VALIDATED-BL'!$A$1:$F$16,MATCH(E492,'SummaryNOT_VALIDATED-BL'!$A$1:$A$16,0),6),0)),0)</f>
        <v>0</v>
      </c>
      <c r="V492" s="81" cm="1">
        <f t="array" ref="V492">INDEX('Weight tables'!$A$24:$C$27,MATCH(1,(RendicontiTrasmessiBL__2[[#This Row],[Cut percentage on real costs + USC]]&gt;='Weight tables'!$B$24:$B$27)*(RendicontiTrasmessiBL__2[[#This Row],[Cut percentage on real costs + USC]]&lt;='Weight tables'!$C$24:$C$27),0),1)</f>
        <v>0</v>
      </c>
      <c r="W492" s="2">
        <f>RendicontiTrasmessiBL__2[[#This Row],[Weight real costs  + USC ]]</f>
        <v>0</v>
      </c>
    </row>
    <row r="493" spans="1:23" x14ac:dyDescent="0.25">
      <c r="A493" s="1" t="s">
        <v>304</v>
      </c>
      <c r="B493" s="1" t="s">
        <v>305</v>
      </c>
      <c r="C493" s="2">
        <v>101</v>
      </c>
      <c r="D493" s="2">
        <v>124</v>
      </c>
      <c r="E493" s="1" t="s">
        <v>233</v>
      </c>
      <c r="G493">
        <v>122000</v>
      </c>
      <c r="H493">
        <v>0</v>
      </c>
      <c r="I493">
        <v>0</v>
      </c>
      <c r="J493">
        <v>0</v>
      </c>
      <c r="K493">
        <v>0</v>
      </c>
      <c r="L493">
        <v>0</v>
      </c>
      <c r="M493">
        <v>0</v>
      </c>
      <c r="N493">
        <v>0</v>
      </c>
      <c r="O493">
        <v>122000</v>
      </c>
      <c r="P493">
        <v>0</v>
      </c>
      <c r="Q493" t="str">
        <f>INDEX('Partner data'!A:DH,MATCH(C493,'Partner data'!DG:DG,0),83)</f>
        <v>Soggetto pubblico</v>
      </c>
      <c r="R493" t="b">
        <f>IF(E493="staff",IF(INDEX('Partner data'!A:DH,MATCH(C493,'Partner data'!DG:DG,0),112)="BL1 non presente","FALSO",INDEX('Partner data'!A:DH,MATCH(C493,'Partner data'!DG:DG,0),112)))</f>
        <v>0</v>
      </c>
      <c r="S493" t="b">
        <f t="shared" si="14"/>
        <v>0</v>
      </c>
      <c r="T493" t="b">
        <f t="shared" si="15"/>
        <v>1</v>
      </c>
      <c r="U493" s="154">
        <f>IFERROR(IF(R493&lt;&gt;FALSE,IF(S493=TRUE,INDEX('SummaryNOT_VALIDATED-BL'!$A$1:$F$16,MATCH(R493,'SummaryNOT_VALIDATED-BL'!$A$1:$A$16,0),6),0),IF(S493=TRUE,INDEX('SummaryNOT_VALIDATED-BL'!$A$1:$F$16,MATCH(E493,'SummaryNOT_VALIDATED-BL'!$A$1:$A$16,0),6),0)),0)</f>
        <v>0</v>
      </c>
      <c r="V493" s="81" cm="1">
        <f t="array" ref="V493">INDEX('Weight tables'!$A$24:$C$27,MATCH(1,(RendicontiTrasmessiBL__2[[#This Row],[Cut percentage on real costs + USC]]&gt;='Weight tables'!$B$24:$B$27)*(RendicontiTrasmessiBL__2[[#This Row],[Cut percentage on real costs + USC]]&lt;='Weight tables'!$C$24:$C$27),0),1)</f>
        <v>0</v>
      </c>
      <c r="W493" s="2">
        <f>RendicontiTrasmessiBL__2[[#This Row],[Weight real costs  + USC ]]</f>
        <v>0</v>
      </c>
    </row>
    <row r="494" spans="1:23" x14ac:dyDescent="0.25">
      <c r="A494" s="1" t="s">
        <v>304</v>
      </c>
      <c r="B494" s="1" t="s">
        <v>305</v>
      </c>
      <c r="C494" s="2">
        <v>101</v>
      </c>
      <c r="D494" s="2">
        <v>124</v>
      </c>
      <c r="E494" s="1" t="s">
        <v>234</v>
      </c>
      <c r="G494">
        <v>0</v>
      </c>
      <c r="H494">
        <v>0</v>
      </c>
      <c r="I494">
        <v>0</v>
      </c>
      <c r="J494">
        <v>0</v>
      </c>
      <c r="K494">
        <v>0</v>
      </c>
      <c r="L494">
        <v>0</v>
      </c>
      <c r="M494">
        <v>0</v>
      </c>
      <c r="N494">
        <v>0</v>
      </c>
      <c r="O494">
        <v>0</v>
      </c>
      <c r="P494">
        <v>0</v>
      </c>
      <c r="Q494" t="str">
        <f>INDEX('Partner data'!A:DH,MATCH(C494,'Partner data'!DG:DG,0),83)</f>
        <v>Soggetto pubblico</v>
      </c>
      <c r="R494" t="b">
        <f>IF(E494="staff",IF(INDEX('Partner data'!A:DH,MATCH(C494,'Partner data'!DG:DG,0),112)="BL1 non presente","FALSO",INDEX('Partner data'!A:DH,MATCH(C494,'Partner data'!DG:DG,0),112)))</f>
        <v>0</v>
      </c>
      <c r="S494" t="b">
        <f t="shared" si="14"/>
        <v>0</v>
      </c>
      <c r="T494" t="b">
        <f t="shared" si="15"/>
        <v>1</v>
      </c>
      <c r="U494" s="154">
        <f>IFERROR(IF(R494&lt;&gt;FALSE,IF(S494=TRUE,INDEX('SummaryNOT_VALIDATED-BL'!$A$1:$F$16,MATCH(R494,'SummaryNOT_VALIDATED-BL'!$A$1:$A$16,0),6),0),IF(S494=TRUE,INDEX('SummaryNOT_VALIDATED-BL'!$A$1:$F$16,MATCH(E494,'SummaryNOT_VALIDATED-BL'!$A$1:$A$16,0),6),0)),0)</f>
        <v>0</v>
      </c>
      <c r="V494" s="81" cm="1">
        <f t="array" ref="V494">INDEX('Weight tables'!$A$24:$C$27,MATCH(1,(RendicontiTrasmessiBL__2[[#This Row],[Cut percentage on real costs + USC]]&gt;='Weight tables'!$B$24:$B$27)*(RendicontiTrasmessiBL__2[[#This Row],[Cut percentage on real costs + USC]]&lt;='Weight tables'!$C$24:$C$27),0),1)</f>
        <v>0</v>
      </c>
      <c r="W494" s="2">
        <f>RendicontiTrasmessiBL__2[[#This Row],[Weight real costs  + USC ]]</f>
        <v>0</v>
      </c>
    </row>
    <row r="495" spans="1:23" x14ac:dyDescent="0.25">
      <c r="A495" s="1" t="s">
        <v>304</v>
      </c>
      <c r="B495" s="1" t="s">
        <v>305</v>
      </c>
      <c r="C495" s="2">
        <v>101</v>
      </c>
      <c r="D495" s="2">
        <v>124</v>
      </c>
      <c r="E495" s="1" t="s">
        <v>236</v>
      </c>
      <c r="G495">
        <v>0</v>
      </c>
      <c r="H495">
        <v>0</v>
      </c>
      <c r="I495">
        <v>0</v>
      </c>
      <c r="J495">
        <v>0</v>
      </c>
      <c r="K495">
        <v>0</v>
      </c>
      <c r="L495">
        <v>0</v>
      </c>
      <c r="M495">
        <v>0</v>
      </c>
      <c r="N495">
        <v>0</v>
      </c>
      <c r="O495">
        <v>0</v>
      </c>
      <c r="P495">
        <v>0</v>
      </c>
      <c r="Q495" t="str">
        <f>INDEX('Partner data'!A:DH,MATCH(C495,'Partner data'!DG:DG,0),83)</f>
        <v>Soggetto pubblico</v>
      </c>
      <c r="R495" t="b">
        <f>IF(E495="staff",IF(INDEX('Partner data'!A:DH,MATCH(C495,'Partner data'!DG:DG,0),112)="BL1 non presente","FALSO",INDEX('Partner data'!A:DH,MATCH(C495,'Partner data'!DG:DG,0),112)))</f>
        <v>0</v>
      </c>
      <c r="S495" t="b">
        <f t="shared" si="14"/>
        <v>0</v>
      </c>
      <c r="T495" t="b">
        <f t="shared" si="15"/>
        <v>1</v>
      </c>
      <c r="U495" s="154">
        <f>IFERROR(IF(R495&lt;&gt;FALSE,IF(S495=TRUE,INDEX('SummaryNOT_VALIDATED-BL'!$A$1:$F$16,MATCH(R495,'SummaryNOT_VALIDATED-BL'!$A$1:$A$16,0),6),0),IF(S495=TRUE,INDEX('SummaryNOT_VALIDATED-BL'!$A$1:$F$16,MATCH(E495,'SummaryNOT_VALIDATED-BL'!$A$1:$A$16,0),6),0)),0)</f>
        <v>0</v>
      </c>
      <c r="V495" s="81" cm="1">
        <f t="array" ref="V495">INDEX('Weight tables'!$A$24:$C$27,MATCH(1,(RendicontiTrasmessiBL__2[[#This Row],[Cut percentage on real costs + USC]]&gt;='Weight tables'!$B$24:$B$27)*(RendicontiTrasmessiBL__2[[#This Row],[Cut percentage on real costs + USC]]&lt;='Weight tables'!$C$24:$C$27),0),1)</f>
        <v>0</v>
      </c>
      <c r="W495" s="2">
        <f>RendicontiTrasmessiBL__2[[#This Row],[Weight real costs  + USC ]]</f>
        <v>0</v>
      </c>
    </row>
    <row r="496" spans="1:23" x14ac:dyDescent="0.25">
      <c r="A496" s="1" t="s">
        <v>304</v>
      </c>
      <c r="B496" s="1" t="s">
        <v>305</v>
      </c>
      <c r="C496" s="2">
        <v>101</v>
      </c>
      <c r="D496" s="2">
        <v>124</v>
      </c>
      <c r="E496" s="1" t="s">
        <v>237</v>
      </c>
      <c r="G496">
        <v>0</v>
      </c>
      <c r="H496">
        <v>0</v>
      </c>
      <c r="I496">
        <v>0</v>
      </c>
      <c r="J496">
        <v>0</v>
      </c>
      <c r="K496">
        <v>0</v>
      </c>
      <c r="L496">
        <v>0</v>
      </c>
      <c r="M496">
        <v>0</v>
      </c>
      <c r="N496">
        <v>0</v>
      </c>
      <c r="O496">
        <v>0</v>
      </c>
      <c r="P496">
        <v>0</v>
      </c>
      <c r="Q496" t="str">
        <f>INDEX('Partner data'!A:DH,MATCH(C496,'Partner data'!DG:DG,0),83)</f>
        <v>Soggetto pubblico</v>
      </c>
      <c r="R496" t="b">
        <f>IF(E496="staff",IF(INDEX('Partner data'!A:DH,MATCH(C496,'Partner data'!DG:DG,0),112)="BL1 non presente","FALSO",INDEX('Partner data'!A:DH,MATCH(C496,'Partner data'!DG:DG,0),112)))</f>
        <v>0</v>
      </c>
      <c r="S496" t="b">
        <f t="shared" si="14"/>
        <v>0</v>
      </c>
      <c r="T496" t="b">
        <f t="shared" si="15"/>
        <v>1</v>
      </c>
      <c r="U496" s="154">
        <f>IFERROR(IF(R496&lt;&gt;FALSE,IF(S496=TRUE,INDEX('SummaryNOT_VALIDATED-BL'!$A$1:$F$16,MATCH(R496,'SummaryNOT_VALIDATED-BL'!$A$1:$A$16,0),6),0),IF(S496=TRUE,INDEX('SummaryNOT_VALIDATED-BL'!$A$1:$F$16,MATCH(E496,'SummaryNOT_VALIDATED-BL'!$A$1:$A$16,0),6),0)),0)</f>
        <v>0</v>
      </c>
      <c r="V496" s="81" cm="1">
        <f t="array" ref="V496">INDEX('Weight tables'!$A$24:$C$27,MATCH(1,(RendicontiTrasmessiBL__2[[#This Row],[Cut percentage on real costs + USC]]&gt;='Weight tables'!$B$24:$B$27)*(RendicontiTrasmessiBL__2[[#This Row],[Cut percentage on real costs + USC]]&lt;='Weight tables'!$C$24:$C$27),0),1)</f>
        <v>0</v>
      </c>
      <c r="W496" s="2">
        <f>RendicontiTrasmessiBL__2[[#This Row],[Weight real costs  + USC ]]</f>
        <v>0</v>
      </c>
    </row>
    <row r="497" spans="1:23" x14ac:dyDescent="0.25">
      <c r="A497" s="1" t="s">
        <v>304</v>
      </c>
      <c r="B497" s="1" t="s">
        <v>306</v>
      </c>
      <c r="C497" s="2">
        <v>105</v>
      </c>
      <c r="D497" s="2">
        <v>330</v>
      </c>
      <c r="E497" s="1" t="s">
        <v>228</v>
      </c>
      <c r="G497">
        <v>24161.25</v>
      </c>
      <c r="H497">
        <v>0</v>
      </c>
      <c r="I497">
        <v>0</v>
      </c>
      <c r="J497">
        <v>0</v>
      </c>
      <c r="K497">
        <v>0</v>
      </c>
      <c r="L497">
        <v>0</v>
      </c>
      <c r="M497">
        <v>0</v>
      </c>
      <c r="N497">
        <v>0</v>
      </c>
      <c r="O497">
        <v>24161.25</v>
      </c>
      <c r="P497">
        <v>0</v>
      </c>
      <c r="Q497" t="str">
        <f>INDEX('Partner data'!A:DH,MATCH(C497,'Partner data'!DG:DG,0),83)</f>
        <v>Soggetto pubblico</v>
      </c>
      <c r="R497" t="str">
        <f>IF(E497="staff",IF(INDEX('Partner data'!A:DH,MATCH(C497,'Partner data'!DG:DG,0),112)="BL1 non presente","FALSO",INDEX('Partner data'!A:DH,MATCH(C497,'Partner data'!DG:DG,0),112)))</f>
        <v>COSTO REALE</v>
      </c>
      <c r="S497" t="b">
        <f t="shared" si="14"/>
        <v>0</v>
      </c>
      <c r="T497" t="b">
        <f t="shared" si="15"/>
        <v>1</v>
      </c>
      <c r="U497" s="154">
        <f>IFERROR(IF(R497&lt;&gt;FALSE,IF(S497=TRUE,INDEX('SummaryNOT_VALIDATED-BL'!$A$1:$F$16,MATCH(R497,'SummaryNOT_VALIDATED-BL'!$A$1:$A$16,0),6),0),IF(S497=TRUE,INDEX('SummaryNOT_VALIDATED-BL'!$A$1:$F$16,MATCH(E497,'SummaryNOT_VALIDATED-BL'!$A$1:$A$16,0),6),0)),0)</f>
        <v>0</v>
      </c>
      <c r="V497" s="81" cm="1">
        <f t="array" ref="V497">INDEX('Weight tables'!$A$24:$C$27,MATCH(1,(RendicontiTrasmessiBL__2[[#This Row],[Cut percentage on real costs + USC]]&gt;='Weight tables'!$B$24:$B$27)*(RendicontiTrasmessiBL__2[[#This Row],[Cut percentage on real costs + USC]]&lt;='Weight tables'!$C$24:$C$27),0),1)</f>
        <v>0</v>
      </c>
      <c r="W497" s="2">
        <f>RendicontiTrasmessiBL__2[[#This Row],[Weight real costs  + USC ]]</f>
        <v>0</v>
      </c>
    </row>
    <row r="498" spans="1:23" x14ac:dyDescent="0.25">
      <c r="A498" s="1" t="s">
        <v>304</v>
      </c>
      <c r="B498" s="1" t="s">
        <v>306</v>
      </c>
      <c r="C498" s="2">
        <v>105</v>
      </c>
      <c r="D498" s="2">
        <v>330</v>
      </c>
      <c r="E498" s="1" t="s">
        <v>229</v>
      </c>
      <c r="F498">
        <v>15</v>
      </c>
      <c r="G498">
        <v>3624.18</v>
      </c>
      <c r="H498">
        <v>0</v>
      </c>
      <c r="I498">
        <v>0</v>
      </c>
      <c r="J498">
        <v>0</v>
      </c>
      <c r="K498">
        <v>0</v>
      </c>
      <c r="L498">
        <v>0</v>
      </c>
      <c r="M498">
        <v>0</v>
      </c>
      <c r="N498">
        <v>0</v>
      </c>
      <c r="O498">
        <v>3624.18</v>
      </c>
      <c r="P498">
        <v>0</v>
      </c>
      <c r="Q498" t="str">
        <f>INDEX('Partner data'!A:DH,MATCH(C498,'Partner data'!DG:DG,0),83)</f>
        <v>Soggetto pubblico</v>
      </c>
      <c r="R498" t="b">
        <f>IF(E498="staff",IF(INDEX('Partner data'!A:DH,MATCH(C498,'Partner data'!DG:DG,0),112)="BL1 non presente","FALSO",INDEX('Partner data'!A:DH,MATCH(C498,'Partner data'!DG:DG,0),112)))</f>
        <v>0</v>
      </c>
      <c r="S498" t="b">
        <f t="shared" si="14"/>
        <v>0</v>
      </c>
      <c r="T498" t="b">
        <f t="shared" si="15"/>
        <v>1</v>
      </c>
      <c r="U498" s="154">
        <f>IFERROR(IF(R498&lt;&gt;FALSE,IF(S498=TRUE,INDEX('SummaryNOT_VALIDATED-BL'!$A$1:$F$16,MATCH(R498,'SummaryNOT_VALIDATED-BL'!$A$1:$A$16,0),6),0),IF(S498=TRUE,INDEX('SummaryNOT_VALIDATED-BL'!$A$1:$F$16,MATCH(E498,'SummaryNOT_VALIDATED-BL'!$A$1:$A$16,0),6),0)),0)</f>
        <v>0</v>
      </c>
      <c r="V498" s="81" cm="1">
        <f t="array" ref="V498">INDEX('Weight tables'!$A$24:$C$27,MATCH(1,(RendicontiTrasmessiBL__2[[#This Row],[Cut percentage on real costs + USC]]&gt;='Weight tables'!$B$24:$B$27)*(RendicontiTrasmessiBL__2[[#This Row],[Cut percentage on real costs + USC]]&lt;='Weight tables'!$C$24:$C$27),0),1)</f>
        <v>0</v>
      </c>
      <c r="W498" s="2">
        <f>RendicontiTrasmessiBL__2[[#This Row],[Weight real costs  + USC ]]</f>
        <v>0</v>
      </c>
    </row>
    <row r="499" spans="1:23" x14ac:dyDescent="0.25">
      <c r="A499" s="1" t="s">
        <v>304</v>
      </c>
      <c r="B499" s="1" t="s">
        <v>306</v>
      </c>
      <c r="C499" s="2">
        <v>105</v>
      </c>
      <c r="D499" s="2">
        <v>330</v>
      </c>
      <c r="E499" s="1" t="s">
        <v>230</v>
      </c>
      <c r="F499">
        <v>4</v>
      </c>
      <c r="G499">
        <v>966.45</v>
      </c>
      <c r="H499">
        <v>0</v>
      </c>
      <c r="I499">
        <v>0</v>
      </c>
      <c r="J499">
        <v>0</v>
      </c>
      <c r="K499">
        <v>0</v>
      </c>
      <c r="L499">
        <v>0</v>
      </c>
      <c r="M499">
        <v>0</v>
      </c>
      <c r="N499">
        <v>0</v>
      </c>
      <c r="O499">
        <v>966.45</v>
      </c>
      <c r="P499">
        <v>0</v>
      </c>
      <c r="Q499" t="str">
        <f>INDEX('Partner data'!A:DH,MATCH(C499,'Partner data'!DG:DG,0),83)</f>
        <v>Soggetto pubblico</v>
      </c>
      <c r="R499" t="b">
        <f>IF(E499="staff",IF(INDEX('Partner data'!A:DH,MATCH(C499,'Partner data'!DG:DG,0),112)="BL1 non presente","FALSO",INDEX('Partner data'!A:DH,MATCH(C499,'Partner data'!DG:DG,0),112)))</f>
        <v>0</v>
      </c>
      <c r="S499" t="b">
        <f t="shared" si="14"/>
        <v>0</v>
      </c>
      <c r="T499" t="b">
        <f t="shared" si="15"/>
        <v>1</v>
      </c>
      <c r="U499" s="154">
        <f>IFERROR(IF(R499&lt;&gt;FALSE,IF(S499=TRUE,INDEX('SummaryNOT_VALIDATED-BL'!$A$1:$F$16,MATCH(R499,'SummaryNOT_VALIDATED-BL'!$A$1:$A$16,0),6),0),IF(S499=TRUE,INDEX('SummaryNOT_VALIDATED-BL'!$A$1:$F$16,MATCH(E499,'SummaryNOT_VALIDATED-BL'!$A$1:$A$16,0),6),0)),0)</f>
        <v>0</v>
      </c>
      <c r="V499" s="81" cm="1">
        <f t="array" ref="V499">INDEX('Weight tables'!$A$24:$C$27,MATCH(1,(RendicontiTrasmessiBL__2[[#This Row],[Cut percentage on real costs + USC]]&gt;='Weight tables'!$B$24:$B$27)*(RendicontiTrasmessiBL__2[[#This Row],[Cut percentage on real costs + USC]]&lt;='Weight tables'!$C$24:$C$27),0),1)</f>
        <v>0</v>
      </c>
      <c r="W499" s="2">
        <f>RendicontiTrasmessiBL__2[[#This Row],[Weight real costs  + USC ]]</f>
        <v>0</v>
      </c>
    </row>
    <row r="500" spans="1:23" x14ac:dyDescent="0.25">
      <c r="A500" s="1" t="s">
        <v>304</v>
      </c>
      <c r="B500" s="1" t="s">
        <v>306</v>
      </c>
      <c r="C500" s="2">
        <v>105</v>
      </c>
      <c r="D500" s="2">
        <v>330</v>
      </c>
      <c r="E500" s="1" t="s">
        <v>231</v>
      </c>
      <c r="G500">
        <v>69529</v>
      </c>
      <c r="H500">
        <v>0</v>
      </c>
      <c r="I500">
        <v>0</v>
      </c>
      <c r="J500">
        <v>0</v>
      </c>
      <c r="K500">
        <v>0</v>
      </c>
      <c r="L500">
        <v>0</v>
      </c>
      <c r="M500">
        <v>0</v>
      </c>
      <c r="N500">
        <v>0</v>
      </c>
      <c r="O500">
        <v>69529</v>
      </c>
      <c r="P500">
        <v>0</v>
      </c>
      <c r="Q500" t="str">
        <f>INDEX('Partner data'!A:DH,MATCH(C500,'Partner data'!DG:DG,0),83)</f>
        <v>Soggetto pubblico</v>
      </c>
      <c r="R500" t="b">
        <f>IF(E500="staff",IF(INDEX('Partner data'!A:DH,MATCH(C500,'Partner data'!DG:DG,0),112)="BL1 non presente","FALSO",INDEX('Partner data'!A:DH,MATCH(C500,'Partner data'!DG:DG,0),112)))</f>
        <v>0</v>
      </c>
      <c r="S500" t="b">
        <f t="shared" si="14"/>
        <v>0</v>
      </c>
      <c r="T500" t="b">
        <f t="shared" si="15"/>
        <v>1</v>
      </c>
      <c r="U500" s="154">
        <f>IFERROR(IF(R500&lt;&gt;FALSE,IF(S500=TRUE,INDEX('SummaryNOT_VALIDATED-BL'!$A$1:$F$16,MATCH(R500,'SummaryNOT_VALIDATED-BL'!$A$1:$A$16,0),6),0),IF(S500=TRUE,INDEX('SummaryNOT_VALIDATED-BL'!$A$1:$F$16,MATCH(E500,'SummaryNOT_VALIDATED-BL'!$A$1:$A$16,0),6),0)),0)</f>
        <v>0</v>
      </c>
      <c r="V500" s="81" cm="1">
        <f t="array" ref="V500">INDEX('Weight tables'!$A$24:$C$27,MATCH(1,(RendicontiTrasmessiBL__2[[#This Row],[Cut percentage on real costs + USC]]&gt;='Weight tables'!$B$24:$B$27)*(RendicontiTrasmessiBL__2[[#This Row],[Cut percentage on real costs + USC]]&lt;='Weight tables'!$C$24:$C$27),0),1)</f>
        <v>0</v>
      </c>
      <c r="W500" s="2">
        <f>RendicontiTrasmessiBL__2[[#This Row],[Weight real costs  + USC ]]</f>
        <v>0</v>
      </c>
    </row>
    <row r="501" spans="1:23" x14ac:dyDescent="0.25">
      <c r="A501" s="1" t="s">
        <v>304</v>
      </c>
      <c r="B501" s="1" t="s">
        <v>306</v>
      </c>
      <c r="C501" s="2">
        <v>105</v>
      </c>
      <c r="D501" s="2">
        <v>330</v>
      </c>
      <c r="E501" s="1" t="s">
        <v>232</v>
      </c>
      <c r="G501">
        <v>0</v>
      </c>
      <c r="H501">
        <v>0</v>
      </c>
      <c r="I501">
        <v>0</v>
      </c>
      <c r="J501">
        <v>0</v>
      </c>
      <c r="K501">
        <v>0</v>
      </c>
      <c r="L501">
        <v>0</v>
      </c>
      <c r="M501">
        <v>0</v>
      </c>
      <c r="N501">
        <v>0</v>
      </c>
      <c r="O501">
        <v>0</v>
      </c>
      <c r="P501">
        <v>0</v>
      </c>
      <c r="Q501" t="str">
        <f>INDEX('Partner data'!A:DH,MATCH(C501,'Partner data'!DG:DG,0),83)</f>
        <v>Soggetto pubblico</v>
      </c>
      <c r="R501" t="b">
        <f>IF(E501="staff",IF(INDEX('Partner data'!A:DH,MATCH(C501,'Partner data'!DG:DG,0),112)="BL1 non presente","FALSO",INDEX('Partner data'!A:DH,MATCH(C501,'Partner data'!DG:DG,0),112)))</f>
        <v>0</v>
      </c>
      <c r="S501" t="b">
        <f t="shared" si="14"/>
        <v>0</v>
      </c>
      <c r="T501" t="b">
        <f t="shared" si="15"/>
        <v>1</v>
      </c>
      <c r="U501" s="154">
        <f>IFERROR(IF(R501&lt;&gt;FALSE,IF(S501=TRUE,INDEX('SummaryNOT_VALIDATED-BL'!$A$1:$F$16,MATCH(R501,'SummaryNOT_VALIDATED-BL'!$A$1:$A$16,0),6),0),IF(S501=TRUE,INDEX('SummaryNOT_VALIDATED-BL'!$A$1:$F$16,MATCH(E501,'SummaryNOT_VALIDATED-BL'!$A$1:$A$16,0),6),0)),0)</f>
        <v>0</v>
      </c>
      <c r="V501" s="81" cm="1">
        <f t="array" ref="V501">INDEX('Weight tables'!$A$24:$C$27,MATCH(1,(RendicontiTrasmessiBL__2[[#This Row],[Cut percentage on real costs + USC]]&gt;='Weight tables'!$B$24:$B$27)*(RendicontiTrasmessiBL__2[[#This Row],[Cut percentage on real costs + USC]]&lt;='Weight tables'!$C$24:$C$27),0),1)</f>
        <v>0</v>
      </c>
      <c r="W501" s="2">
        <f>RendicontiTrasmessiBL__2[[#This Row],[Weight real costs  + USC ]]</f>
        <v>0</v>
      </c>
    </row>
    <row r="502" spans="1:23" x14ac:dyDescent="0.25">
      <c r="A502" s="1" t="s">
        <v>304</v>
      </c>
      <c r="B502" s="1" t="s">
        <v>306</v>
      </c>
      <c r="C502" s="2">
        <v>105</v>
      </c>
      <c r="D502" s="2">
        <v>330</v>
      </c>
      <c r="E502" s="1" t="s">
        <v>233</v>
      </c>
      <c r="G502">
        <v>0</v>
      </c>
      <c r="H502">
        <v>0</v>
      </c>
      <c r="I502">
        <v>0</v>
      </c>
      <c r="J502">
        <v>0</v>
      </c>
      <c r="K502">
        <v>0</v>
      </c>
      <c r="L502">
        <v>0</v>
      </c>
      <c r="M502">
        <v>0</v>
      </c>
      <c r="N502">
        <v>0</v>
      </c>
      <c r="O502">
        <v>0</v>
      </c>
      <c r="P502">
        <v>0</v>
      </c>
      <c r="Q502" t="str">
        <f>INDEX('Partner data'!A:DH,MATCH(C502,'Partner data'!DG:DG,0),83)</f>
        <v>Soggetto pubblico</v>
      </c>
      <c r="R502" t="b">
        <f>IF(E502="staff",IF(INDEX('Partner data'!A:DH,MATCH(C502,'Partner data'!DG:DG,0),112)="BL1 non presente","FALSO",INDEX('Partner data'!A:DH,MATCH(C502,'Partner data'!DG:DG,0),112)))</f>
        <v>0</v>
      </c>
      <c r="S502" t="b">
        <f t="shared" si="14"/>
        <v>0</v>
      </c>
      <c r="T502" t="b">
        <f t="shared" si="15"/>
        <v>1</v>
      </c>
      <c r="U502" s="154">
        <f>IFERROR(IF(R502&lt;&gt;FALSE,IF(S502=TRUE,INDEX('SummaryNOT_VALIDATED-BL'!$A$1:$F$16,MATCH(R502,'SummaryNOT_VALIDATED-BL'!$A$1:$A$16,0),6),0),IF(S502=TRUE,INDEX('SummaryNOT_VALIDATED-BL'!$A$1:$F$16,MATCH(E502,'SummaryNOT_VALIDATED-BL'!$A$1:$A$16,0),6),0)),0)</f>
        <v>0</v>
      </c>
      <c r="V502" s="81" cm="1">
        <f t="array" ref="V502">INDEX('Weight tables'!$A$24:$C$27,MATCH(1,(RendicontiTrasmessiBL__2[[#This Row],[Cut percentage on real costs + USC]]&gt;='Weight tables'!$B$24:$B$27)*(RendicontiTrasmessiBL__2[[#This Row],[Cut percentage on real costs + USC]]&lt;='Weight tables'!$C$24:$C$27),0),1)</f>
        <v>0</v>
      </c>
      <c r="W502" s="2">
        <f>RendicontiTrasmessiBL__2[[#This Row],[Weight real costs  + USC ]]</f>
        <v>0</v>
      </c>
    </row>
    <row r="503" spans="1:23" x14ac:dyDescent="0.25">
      <c r="A503" s="1" t="s">
        <v>304</v>
      </c>
      <c r="B503" s="1" t="s">
        <v>306</v>
      </c>
      <c r="C503" s="2">
        <v>105</v>
      </c>
      <c r="D503" s="2">
        <v>330</v>
      </c>
      <c r="E503" s="1" t="s">
        <v>234</v>
      </c>
      <c r="G503">
        <v>0</v>
      </c>
      <c r="H503">
        <v>0</v>
      </c>
      <c r="I503">
        <v>0</v>
      </c>
      <c r="J503">
        <v>0</v>
      </c>
      <c r="K503">
        <v>0</v>
      </c>
      <c r="L503">
        <v>0</v>
      </c>
      <c r="M503">
        <v>0</v>
      </c>
      <c r="N503">
        <v>0</v>
      </c>
      <c r="O503">
        <v>0</v>
      </c>
      <c r="P503">
        <v>0</v>
      </c>
      <c r="Q503" t="str">
        <f>INDEX('Partner data'!A:DH,MATCH(C503,'Partner data'!DG:DG,0),83)</f>
        <v>Soggetto pubblico</v>
      </c>
      <c r="R503" t="b">
        <f>IF(E503="staff",IF(INDEX('Partner data'!A:DH,MATCH(C503,'Partner data'!DG:DG,0),112)="BL1 non presente","FALSO",INDEX('Partner data'!A:DH,MATCH(C503,'Partner data'!DG:DG,0),112)))</f>
        <v>0</v>
      </c>
      <c r="S503" t="b">
        <f t="shared" si="14"/>
        <v>0</v>
      </c>
      <c r="T503" t="b">
        <f t="shared" si="15"/>
        <v>1</v>
      </c>
      <c r="U503" s="154">
        <f>IFERROR(IF(R503&lt;&gt;FALSE,IF(S503=TRUE,INDEX('SummaryNOT_VALIDATED-BL'!$A$1:$F$16,MATCH(R503,'SummaryNOT_VALIDATED-BL'!$A$1:$A$16,0),6),0),IF(S503=TRUE,INDEX('SummaryNOT_VALIDATED-BL'!$A$1:$F$16,MATCH(E503,'SummaryNOT_VALIDATED-BL'!$A$1:$A$16,0),6),0)),0)</f>
        <v>0</v>
      </c>
      <c r="V503" s="81" cm="1">
        <f t="array" ref="V503">INDEX('Weight tables'!$A$24:$C$27,MATCH(1,(RendicontiTrasmessiBL__2[[#This Row],[Cut percentage on real costs + USC]]&gt;='Weight tables'!$B$24:$B$27)*(RendicontiTrasmessiBL__2[[#This Row],[Cut percentage on real costs + USC]]&lt;='Weight tables'!$C$24:$C$27),0),1)</f>
        <v>0</v>
      </c>
      <c r="W503" s="2">
        <f>RendicontiTrasmessiBL__2[[#This Row],[Weight real costs  + USC ]]</f>
        <v>0</v>
      </c>
    </row>
    <row r="504" spans="1:23" x14ac:dyDescent="0.25">
      <c r="A504" s="1" t="s">
        <v>304</v>
      </c>
      <c r="B504" s="1" t="s">
        <v>306</v>
      </c>
      <c r="C504" s="2">
        <v>105</v>
      </c>
      <c r="D504" s="2">
        <v>330</v>
      </c>
      <c r="E504" s="1" t="s">
        <v>236</v>
      </c>
      <c r="G504">
        <v>0</v>
      </c>
      <c r="H504">
        <v>0</v>
      </c>
      <c r="I504">
        <v>0</v>
      </c>
      <c r="J504">
        <v>0</v>
      </c>
      <c r="K504">
        <v>0</v>
      </c>
      <c r="L504">
        <v>0</v>
      </c>
      <c r="M504">
        <v>0</v>
      </c>
      <c r="N504">
        <v>0</v>
      </c>
      <c r="O504">
        <v>0</v>
      </c>
      <c r="P504">
        <v>0</v>
      </c>
      <c r="Q504" t="str">
        <f>INDEX('Partner data'!A:DH,MATCH(C504,'Partner data'!DG:DG,0),83)</f>
        <v>Soggetto pubblico</v>
      </c>
      <c r="R504" t="b">
        <f>IF(E504="staff",IF(INDEX('Partner data'!A:DH,MATCH(C504,'Partner data'!DG:DG,0),112)="BL1 non presente","FALSO",INDEX('Partner data'!A:DH,MATCH(C504,'Partner data'!DG:DG,0),112)))</f>
        <v>0</v>
      </c>
      <c r="S504" t="b">
        <f t="shared" si="14"/>
        <v>0</v>
      </c>
      <c r="T504" t="b">
        <f t="shared" si="15"/>
        <v>1</v>
      </c>
      <c r="U504" s="154">
        <f>IFERROR(IF(R504&lt;&gt;FALSE,IF(S504=TRUE,INDEX('SummaryNOT_VALIDATED-BL'!$A$1:$F$16,MATCH(R504,'SummaryNOT_VALIDATED-BL'!$A$1:$A$16,0),6),0),IF(S504=TRUE,INDEX('SummaryNOT_VALIDATED-BL'!$A$1:$F$16,MATCH(E504,'SummaryNOT_VALIDATED-BL'!$A$1:$A$16,0),6),0)),0)</f>
        <v>0</v>
      </c>
      <c r="V504" s="81" cm="1">
        <f t="array" ref="V504">INDEX('Weight tables'!$A$24:$C$27,MATCH(1,(RendicontiTrasmessiBL__2[[#This Row],[Cut percentage on real costs + USC]]&gt;='Weight tables'!$B$24:$B$27)*(RendicontiTrasmessiBL__2[[#This Row],[Cut percentage on real costs + USC]]&lt;='Weight tables'!$C$24:$C$27),0),1)</f>
        <v>0</v>
      </c>
      <c r="W504" s="2">
        <f>RendicontiTrasmessiBL__2[[#This Row],[Weight real costs  + USC ]]</f>
        <v>0</v>
      </c>
    </row>
    <row r="505" spans="1:23" x14ac:dyDescent="0.25">
      <c r="A505" s="1" t="s">
        <v>304</v>
      </c>
      <c r="B505" s="1" t="s">
        <v>306</v>
      </c>
      <c r="C505" s="2">
        <v>105</v>
      </c>
      <c r="D505" s="2">
        <v>330</v>
      </c>
      <c r="E505" s="1" t="s">
        <v>237</v>
      </c>
      <c r="G505">
        <v>0</v>
      </c>
      <c r="H505">
        <v>0</v>
      </c>
      <c r="I505">
        <v>0</v>
      </c>
      <c r="J505">
        <v>0</v>
      </c>
      <c r="K505">
        <v>0</v>
      </c>
      <c r="L505">
        <v>0</v>
      </c>
      <c r="M505">
        <v>0</v>
      </c>
      <c r="N505">
        <v>0</v>
      </c>
      <c r="O505">
        <v>0</v>
      </c>
      <c r="P505">
        <v>0</v>
      </c>
      <c r="Q505" t="str">
        <f>INDEX('Partner data'!A:DH,MATCH(C505,'Partner data'!DG:DG,0),83)</f>
        <v>Soggetto pubblico</v>
      </c>
      <c r="R505" t="b">
        <f>IF(E505="staff",IF(INDEX('Partner data'!A:DH,MATCH(C505,'Partner data'!DG:DG,0),112)="BL1 non presente","FALSO",INDEX('Partner data'!A:DH,MATCH(C505,'Partner data'!DG:DG,0),112)))</f>
        <v>0</v>
      </c>
      <c r="S505" t="b">
        <f t="shared" si="14"/>
        <v>0</v>
      </c>
      <c r="T505" t="b">
        <f t="shared" si="15"/>
        <v>1</v>
      </c>
      <c r="U505" s="154">
        <f>IFERROR(IF(R505&lt;&gt;FALSE,IF(S505=TRUE,INDEX('SummaryNOT_VALIDATED-BL'!$A$1:$F$16,MATCH(R505,'SummaryNOT_VALIDATED-BL'!$A$1:$A$16,0),6),0),IF(S505=TRUE,INDEX('SummaryNOT_VALIDATED-BL'!$A$1:$F$16,MATCH(E505,'SummaryNOT_VALIDATED-BL'!$A$1:$A$16,0),6),0)),0)</f>
        <v>0</v>
      </c>
      <c r="V505" s="81" cm="1">
        <f t="array" ref="V505">INDEX('Weight tables'!$A$24:$C$27,MATCH(1,(RendicontiTrasmessiBL__2[[#This Row],[Cut percentage on real costs + USC]]&gt;='Weight tables'!$B$24:$B$27)*(RendicontiTrasmessiBL__2[[#This Row],[Cut percentage on real costs + USC]]&lt;='Weight tables'!$C$24:$C$27),0),1)</f>
        <v>0</v>
      </c>
      <c r="W505" s="2">
        <f>RendicontiTrasmessiBL__2[[#This Row],[Weight real costs  + USC ]]</f>
        <v>0</v>
      </c>
    </row>
    <row r="506" spans="1:23" x14ac:dyDescent="0.25">
      <c r="A506" s="1" t="s">
        <v>304</v>
      </c>
      <c r="B506" s="1" t="s">
        <v>307</v>
      </c>
      <c r="C506" s="2">
        <v>171</v>
      </c>
      <c r="D506" s="2">
        <v>273</v>
      </c>
      <c r="E506" s="1" t="s">
        <v>228</v>
      </c>
      <c r="G506">
        <v>71252.7</v>
      </c>
      <c r="H506">
        <v>0</v>
      </c>
      <c r="I506">
        <v>0</v>
      </c>
      <c r="J506">
        <v>5408.19</v>
      </c>
      <c r="K506">
        <v>0</v>
      </c>
      <c r="L506">
        <v>5408.19</v>
      </c>
      <c r="M506">
        <v>5408.19</v>
      </c>
      <c r="N506">
        <v>7.59</v>
      </c>
      <c r="O506">
        <v>65844.509999999995</v>
      </c>
      <c r="P506">
        <v>0</v>
      </c>
      <c r="Q506" t="str">
        <f>INDEX('Partner data'!A:DH,MATCH(C506,'Partner data'!DG:DG,0),83)</f>
        <v>Soggetto privato</v>
      </c>
      <c r="R506" t="str">
        <f>IF(E506="staff",IF(INDEX('Partner data'!A:DH,MATCH(C506,'Partner data'!DG:DG,0),112)="BL1 non presente","FALSO",INDEX('Partner data'!A:DH,MATCH(C506,'Partner data'!DG:DG,0),112)))</f>
        <v>COSTO REALE</v>
      </c>
      <c r="S506" t="b">
        <f t="shared" si="14"/>
        <v>1</v>
      </c>
      <c r="T506" t="b">
        <f t="shared" si="15"/>
        <v>0</v>
      </c>
      <c r="U506" s="154">
        <f>IFERROR(IF(R506&lt;&gt;FALSE,IF(S506=TRUE,INDEX('SummaryNOT_VALIDATED-BL'!$A$1:$F$16,MATCH(R506,'SummaryNOT_VALIDATED-BL'!$A$1:$A$16,0),6),0),IF(S506=TRUE,INDEX('SummaryNOT_VALIDATED-BL'!$A$1:$F$16,MATCH(E506,'SummaryNOT_VALIDATED-BL'!$A$1:$A$16,0),6),0)),0)</f>
        <v>9.1604133276901048E-2</v>
      </c>
      <c r="V506" s="81" cm="1">
        <f t="array" ref="V506">INDEX('Weight tables'!$A$24:$C$27,MATCH(1,(RendicontiTrasmessiBL__2[[#This Row],[Cut percentage on real costs + USC]]&gt;='Weight tables'!$B$24:$B$27)*(RendicontiTrasmessiBL__2[[#This Row],[Cut percentage on real costs + USC]]&lt;='Weight tables'!$C$24:$C$27),0),1)</f>
        <v>4</v>
      </c>
      <c r="W506" s="2">
        <f>RendicontiTrasmessiBL__2[[#This Row],[Weight real costs  + USC ]]</f>
        <v>4</v>
      </c>
    </row>
    <row r="507" spans="1:23" x14ac:dyDescent="0.25">
      <c r="A507" s="1" t="s">
        <v>304</v>
      </c>
      <c r="B507" s="1" t="s">
        <v>307</v>
      </c>
      <c r="C507" s="2">
        <v>171</v>
      </c>
      <c r="D507" s="2">
        <v>273</v>
      </c>
      <c r="E507" s="1" t="s">
        <v>229</v>
      </c>
      <c r="G507">
        <v>0</v>
      </c>
      <c r="H507">
        <v>0</v>
      </c>
      <c r="I507">
        <v>0</v>
      </c>
      <c r="J507">
        <v>0</v>
      </c>
      <c r="K507">
        <v>0</v>
      </c>
      <c r="L507">
        <v>0</v>
      </c>
      <c r="M507">
        <v>0</v>
      </c>
      <c r="N507">
        <v>0</v>
      </c>
      <c r="O507">
        <v>0</v>
      </c>
      <c r="P507">
        <v>0</v>
      </c>
      <c r="Q507" t="str">
        <f>INDEX('Partner data'!A:DH,MATCH(C507,'Partner data'!DG:DG,0),83)</f>
        <v>Soggetto privato</v>
      </c>
      <c r="R507" t="b">
        <f>IF(E507="staff",IF(INDEX('Partner data'!A:DH,MATCH(C507,'Partner data'!DG:DG,0),112)="BL1 non presente","FALSO",INDEX('Partner data'!A:DH,MATCH(C507,'Partner data'!DG:DG,0),112)))</f>
        <v>0</v>
      </c>
      <c r="S507" t="b">
        <f t="shared" si="14"/>
        <v>0</v>
      </c>
      <c r="T507" t="b">
        <f t="shared" si="15"/>
        <v>0</v>
      </c>
      <c r="U507" s="154">
        <f>IFERROR(IF(R507&lt;&gt;FALSE,IF(S507=TRUE,INDEX('SummaryNOT_VALIDATED-BL'!$A$1:$F$16,MATCH(R507,'SummaryNOT_VALIDATED-BL'!$A$1:$A$16,0),6),0),IF(S507=TRUE,INDEX('SummaryNOT_VALIDATED-BL'!$A$1:$F$16,MATCH(E507,'SummaryNOT_VALIDATED-BL'!$A$1:$A$16,0),6),0)),0)</f>
        <v>0</v>
      </c>
      <c r="V507" s="81" cm="1">
        <f t="array" ref="V507">INDEX('Weight tables'!$A$24:$C$27,MATCH(1,(RendicontiTrasmessiBL__2[[#This Row],[Cut percentage on real costs + USC]]&gt;='Weight tables'!$B$24:$B$27)*(RendicontiTrasmessiBL__2[[#This Row],[Cut percentage on real costs + USC]]&lt;='Weight tables'!$C$24:$C$27),0),1)</f>
        <v>0</v>
      </c>
      <c r="W507" s="2">
        <f>RendicontiTrasmessiBL__2[[#This Row],[Weight real costs  + USC ]]</f>
        <v>0</v>
      </c>
    </row>
    <row r="508" spans="1:23" x14ac:dyDescent="0.25">
      <c r="A508" s="1" t="s">
        <v>304</v>
      </c>
      <c r="B508" s="1" t="s">
        <v>307</v>
      </c>
      <c r="C508" s="2">
        <v>171</v>
      </c>
      <c r="D508" s="2">
        <v>273</v>
      </c>
      <c r="E508" s="1" t="s">
        <v>230</v>
      </c>
      <c r="G508">
        <v>0</v>
      </c>
      <c r="H508">
        <v>0</v>
      </c>
      <c r="I508">
        <v>0</v>
      </c>
      <c r="J508">
        <v>0</v>
      </c>
      <c r="K508">
        <v>0</v>
      </c>
      <c r="L508">
        <v>0</v>
      </c>
      <c r="M508">
        <v>0</v>
      </c>
      <c r="N508">
        <v>0</v>
      </c>
      <c r="O508">
        <v>0</v>
      </c>
      <c r="P508">
        <v>0</v>
      </c>
      <c r="Q508" t="str">
        <f>INDEX('Partner data'!A:DH,MATCH(C508,'Partner data'!DG:DG,0),83)</f>
        <v>Soggetto privato</v>
      </c>
      <c r="R508" t="b">
        <f>IF(E508="staff",IF(INDEX('Partner data'!A:DH,MATCH(C508,'Partner data'!DG:DG,0),112)="BL1 non presente","FALSO",INDEX('Partner data'!A:DH,MATCH(C508,'Partner data'!DG:DG,0),112)))</f>
        <v>0</v>
      </c>
      <c r="S508" t="b">
        <f t="shared" si="14"/>
        <v>0</v>
      </c>
      <c r="T508" t="b">
        <f t="shared" si="15"/>
        <v>0</v>
      </c>
      <c r="U508" s="154">
        <f>IFERROR(IF(R508&lt;&gt;FALSE,IF(S508=TRUE,INDEX('SummaryNOT_VALIDATED-BL'!$A$1:$F$16,MATCH(R508,'SummaryNOT_VALIDATED-BL'!$A$1:$A$16,0),6),0),IF(S508=TRUE,INDEX('SummaryNOT_VALIDATED-BL'!$A$1:$F$16,MATCH(E508,'SummaryNOT_VALIDATED-BL'!$A$1:$A$16,0),6),0)),0)</f>
        <v>0</v>
      </c>
      <c r="V508" s="81" cm="1">
        <f t="array" ref="V508">INDEX('Weight tables'!$A$24:$C$27,MATCH(1,(RendicontiTrasmessiBL__2[[#This Row],[Cut percentage on real costs + USC]]&gt;='Weight tables'!$B$24:$B$27)*(RendicontiTrasmessiBL__2[[#This Row],[Cut percentage on real costs + USC]]&lt;='Weight tables'!$C$24:$C$27),0),1)</f>
        <v>0</v>
      </c>
      <c r="W508" s="2">
        <f>RendicontiTrasmessiBL__2[[#This Row],[Weight real costs  + USC ]]</f>
        <v>0</v>
      </c>
    </row>
    <row r="509" spans="1:23" x14ac:dyDescent="0.25">
      <c r="A509" s="1" t="s">
        <v>304</v>
      </c>
      <c r="B509" s="1" t="s">
        <v>307</v>
      </c>
      <c r="C509" s="2">
        <v>171</v>
      </c>
      <c r="D509" s="2">
        <v>273</v>
      </c>
      <c r="E509" s="1" t="s">
        <v>231</v>
      </c>
      <c r="G509">
        <v>0</v>
      </c>
      <c r="H509">
        <v>0</v>
      </c>
      <c r="I509">
        <v>0</v>
      </c>
      <c r="J509">
        <v>0</v>
      </c>
      <c r="K509">
        <v>0</v>
      </c>
      <c r="L509">
        <v>0</v>
      </c>
      <c r="M509">
        <v>0</v>
      </c>
      <c r="N509">
        <v>0</v>
      </c>
      <c r="O509">
        <v>0</v>
      </c>
      <c r="P509">
        <v>0</v>
      </c>
      <c r="Q509" t="str">
        <f>INDEX('Partner data'!A:DH,MATCH(C509,'Partner data'!DG:DG,0),83)</f>
        <v>Soggetto privato</v>
      </c>
      <c r="R509" t="b">
        <f>IF(E509="staff",IF(INDEX('Partner data'!A:DH,MATCH(C509,'Partner data'!DG:DG,0),112)="BL1 non presente","FALSO",INDEX('Partner data'!A:DH,MATCH(C509,'Partner data'!DG:DG,0),112)))</f>
        <v>0</v>
      </c>
      <c r="S509" t="b">
        <f t="shared" si="14"/>
        <v>0</v>
      </c>
      <c r="T509" t="b">
        <f t="shared" si="15"/>
        <v>0</v>
      </c>
      <c r="U509" s="154">
        <f>IFERROR(IF(R509&lt;&gt;FALSE,IF(S509=TRUE,INDEX('SummaryNOT_VALIDATED-BL'!$A$1:$F$16,MATCH(R509,'SummaryNOT_VALIDATED-BL'!$A$1:$A$16,0),6),0),IF(S509=TRUE,INDEX('SummaryNOT_VALIDATED-BL'!$A$1:$F$16,MATCH(E509,'SummaryNOT_VALIDATED-BL'!$A$1:$A$16,0),6),0)),0)</f>
        <v>0</v>
      </c>
      <c r="V509" s="81" cm="1">
        <f t="array" ref="V509">INDEX('Weight tables'!$A$24:$C$27,MATCH(1,(RendicontiTrasmessiBL__2[[#This Row],[Cut percentage on real costs + USC]]&gt;='Weight tables'!$B$24:$B$27)*(RendicontiTrasmessiBL__2[[#This Row],[Cut percentage on real costs + USC]]&lt;='Weight tables'!$C$24:$C$27),0),1)</f>
        <v>0</v>
      </c>
      <c r="W509" s="2">
        <f>RendicontiTrasmessiBL__2[[#This Row],[Weight real costs  + USC ]]</f>
        <v>0</v>
      </c>
    </row>
    <row r="510" spans="1:23" x14ac:dyDescent="0.25">
      <c r="A510" s="1" t="s">
        <v>304</v>
      </c>
      <c r="B510" s="1" t="s">
        <v>307</v>
      </c>
      <c r="C510" s="2">
        <v>171</v>
      </c>
      <c r="D510" s="2">
        <v>273</v>
      </c>
      <c r="E510" s="1" t="s">
        <v>232</v>
      </c>
      <c r="G510">
        <v>0</v>
      </c>
      <c r="H510">
        <v>0</v>
      </c>
      <c r="I510">
        <v>0</v>
      </c>
      <c r="J510">
        <v>0</v>
      </c>
      <c r="K510">
        <v>0</v>
      </c>
      <c r="L510">
        <v>0</v>
      </c>
      <c r="M510">
        <v>0</v>
      </c>
      <c r="N510">
        <v>0</v>
      </c>
      <c r="O510">
        <v>0</v>
      </c>
      <c r="P510">
        <v>0</v>
      </c>
      <c r="Q510" t="str">
        <f>INDEX('Partner data'!A:DH,MATCH(C510,'Partner data'!DG:DG,0),83)</f>
        <v>Soggetto privato</v>
      </c>
      <c r="R510" t="b">
        <f>IF(E510="staff",IF(INDEX('Partner data'!A:DH,MATCH(C510,'Partner data'!DG:DG,0),112)="BL1 non presente","FALSO",INDEX('Partner data'!A:DH,MATCH(C510,'Partner data'!DG:DG,0),112)))</f>
        <v>0</v>
      </c>
      <c r="S510" t="b">
        <f t="shared" si="14"/>
        <v>0</v>
      </c>
      <c r="T510" t="b">
        <f t="shared" si="15"/>
        <v>0</v>
      </c>
      <c r="U510" s="154">
        <f>IFERROR(IF(R510&lt;&gt;FALSE,IF(S510=TRUE,INDEX('SummaryNOT_VALIDATED-BL'!$A$1:$F$16,MATCH(R510,'SummaryNOT_VALIDATED-BL'!$A$1:$A$16,0),6),0),IF(S510=TRUE,INDEX('SummaryNOT_VALIDATED-BL'!$A$1:$F$16,MATCH(E510,'SummaryNOT_VALIDATED-BL'!$A$1:$A$16,0),6),0)),0)</f>
        <v>0</v>
      </c>
      <c r="V510" s="81" cm="1">
        <f t="array" ref="V510">INDEX('Weight tables'!$A$24:$C$27,MATCH(1,(RendicontiTrasmessiBL__2[[#This Row],[Cut percentage on real costs + USC]]&gt;='Weight tables'!$B$24:$B$27)*(RendicontiTrasmessiBL__2[[#This Row],[Cut percentage on real costs + USC]]&lt;='Weight tables'!$C$24:$C$27),0),1)</f>
        <v>0</v>
      </c>
      <c r="W510" s="2">
        <f>RendicontiTrasmessiBL__2[[#This Row],[Weight real costs  + USC ]]</f>
        <v>0</v>
      </c>
    </row>
    <row r="511" spans="1:23" x14ac:dyDescent="0.25">
      <c r="A511" s="1" t="s">
        <v>304</v>
      </c>
      <c r="B511" s="1" t="s">
        <v>307</v>
      </c>
      <c r="C511" s="2">
        <v>171</v>
      </c>
      <c r="D511" s="2">
        <v>273</v>
      </c>
      <c r="E511" s="1" t="s">
        <v>233</v>
      </c>
      <c r="G511">
        <v>0</v>
      </c>
      <c r="H511">
        <v>0</v>
      </c>
      <c r="I511">
        <v>0</v>
      </c>
      <c r="J511">
        <v>0</v>
      </c>
      <c r="K511">
        <v>0</v>
      </c>
      <c r="L511">
        <v>0</v>
      </c>
      <c r="M511">
        <v>0</v>
      </c>
      <c r="N511">
        <v>0</v>
      </c>
      <c r="O511">
        <v>0</v>
      </c>
      <c r="P511">
        <v>0</v>
      </c>
      <c r="Q511" t="str">
        <f>INDEX('Partner data'!A:DH,MATCH(C511,'Partner data'!DG:DG,0),83)</f>
        <v>Soggetto privato</v>
      </c>
      <c r="R511" t="b">
        <f>IF(E511="staff",IF(INDEX('Partner data'!A:DH,MATCH(C511,'Partner data'!DG:DG,0),112)="BL1 non presente","FALSO",INDEX('Partner data'!A:DH,MATCH(C511,'Partner data'!DG:DG,0),112)))</f>
        <v>0</v>
      </c>
      <c r="S511" t="b">
        <f t="shared" si="14"/>
        <v>0</v>
      </c>
      <c r="T511" t="b">
        <f t="shared" si="15"/>
        <v>0</v>
      </c>
      <c r="U511" s="154">
        <f>IFERROR(IF(R511&lt;&gt;FALSE,IF(S511=TRUE,INDEX('SummaryNOT_VALIDATED-BL'!$A$1:$F$16,MATCH(R511,'SummaryNOT_VALIDATED-BL'!$A$1:$A$16,0),6),0),IF(S511=TRUE,INDEX('SummaryNOT_VALIDATED-BL'!$A$1:$F$16,MATCH(E511,'SummaryNOT_VALIDATED-BL'!$A$1:$A$16,0),6),0)),0)</f>
        <v>0</v>
      </c>
      <c r="V511" s="81" cm="1">
        <f t="array" ref="V511">INDEX('Weight tables'!$A$24:$C$27,MATCH(1,(RendicontiTrasmessiBL__2[[#This Row],[Cut percentage on real costs + USC]]&gt;='Weight tables'!$B$24:$B$27)*(RendicontiTrasmessiBL__2[[#This Row],[Cut percentage on real costs + USC]]&lt;='Weight tables'!$C$24:$C$27),0),1)</f>
        <v>0</v>
      </c>
      <c r="W511" s="2">
        <f>RendicontiTrasmessiBL__2[[#This Row],[Weight real costs  + USC ]]</f>
        <v>0</v>
      </c>
    </row>
    <row r="512" spans="1:23" x14ac:dyDescent="0.25">
      <c r="A512" s="1" t="s">
        <v>304</v>
      </c>
      <c r="B512" s="1" t="s">
        <v>307</v>
      </c>
      <c r="C512" s="2">
        <v>171</v>
      </c>
      <c r="D512" s="2">
        <v>273</v>
      </c>
      <c r="E512" s="1" t="s">
        <v>234</v>
      </c>
      <c r="F512">
        <v>40</v>
      </c>
      <c r="G512">
        <v>28501.08</v>
      </c>
      <c r="H512">
        <v>0</v>
      </c>
      <c r="I512">
        <v>0</v>
      </c>
      <c r="J512">
        <v>2163.27</v>
      </c>
      <c r="K512">
        <v>0</v>
      </c>
      <c r="L512">
        <v>2163.27</v>
      </c>
      <c r="M512">
        <v>2163.27</v>
      </c>
      <c r="N512">
        <v>7.59</v>
      </c>
      <c r="O512">
        <v>26337.81</v>
      </c>
      <c r="P512">
        <v>0</v>
      </c>
      <c r="Q512" t="str">
        <f>INDEX('Partner data'!A:DH,MATCH(C512,'Partner data'!DG:DG,0),83)</f>
        <v>Soggetto privato</v>
      </c>
      <c r="R512" t="b">
        <f>IF(E512="staff",IF(INDEX('Partner data'!A:DH,MATCH(C512,'Partner data'!DG:DG,0),112)="BL1 non presente","FALSO",INDEX('Partner data'!A:DH,MATCH(C512,'Partner data'!DG:DG,0),112)))</f>
        <v>0</v>
      </c>
      <c r="S512" t="b">
        <f t="shared" si="14"/>
        <v>1</v>
      </c>
      <c r="T512" t="b">
        <f t="shared" si="15"/>
        <v>0</v>
      </c>
      <c r="U512" s="154">
        <f>IFERROR(IF(R512&lt;&gt;FALSE,IF(S512=TRUE,INDEX('SummaryNOT_VALIDATED-BL'!$A$1:$F$16,MATCH(R512,'SummaryNOT_VALIDATED-BL'!$A$1:$A$16,0),6),0),IF(S512=TRUE,INDEX('SummaryNOT_VALIDATED-BL'!$A$1:$F$16,MATCH(E512,'SummaryNOT_VALIDATED-BL'!$A$1:$A$16,0),6),0)),0)</f>
        <v>8.7645339819521315E-2</v>
      </c>
      <c r="V512" s="81" cm="1">
        <f t="array" ref="V512">INDEX('Weight tables'!$A$24:$C$27,MATCH(1,(RendicontiTrasmessiBL__2[[#This Row],[Cut percentage on real costs + USC]]&gt;='Weight tables'!$B$24:$B$27)*(RendicontiTrasmessiBL__2[[#This Row],[Cut percentage on real costs + USC]]&lt;='Weight tables'!$C$24:$C$27),0),1)</f>
        <v>4</v>
      </c>
      <c r="W512" s="2">
        <f>RendicontiTrasmessiBL__2[[#This Row],[Weight real costs  + USC ]]</f>
        <v>4</v>
      </c>
    </row>
    <row r="513" spans="1:23" x14ac:dyDescent="0.25">
      <c r="A513" s="1" t="s">
        <v>304</v>
      </c>
      <c r="B513" s="1" t="s">
        <v>307</v>
      </c>
      <c r="C513" s="2">
        <v>171</v>
      </c>
      <c r="D513" s="2">
        <v>273</v>
      </c>
      <c r="E513" s="1" t="s">
        <v>236</v>
      </c>
      <c r="G513">
        <v>0</v>
      </c>
      <c r="H513">
        <v>0</v>
      </c>
      <c r="I513">
        <v>0</v>
      </c>
      <c r="J513">
        <v>0</v>
      </c>
      <c r="K513">
        <v>0</v>
      </c>
      <c r="L513">
        <v>0</v>
      </c>
      <c r="M513">
        <v>0</v>
      </c>
      <c r="N513">
        <v>0</v>
      </c>
      <c r="O513">
        <v>0</v>
      </c>
      <c r="P513">
        <v>0</v>
      </c>
      <c r="Q513" t="str">
        <f>INDEX('Partner data'!A:DH,MATCH(C513,'Partner data'!DG:DG,0),83)</f>
        <v>Soggetto privato</v>
      </c>
      <c r="R513" t="b">
        <f>IF(E513="staff",IF(INDEX('Partner data'!A:DH,MATCH(C513,'Partner data'!DG:DG,0),112)="BL1 non presente","FALSO",INDEX('Partner data'!A:DH,MATCH(C513,'Partner data'!DG:DG,0),112)))</f>
        <v>0</v>
      </c>
      <c r="S513" t="b">
        <f t="shared" si="14"/>
        <v>0</v>
      </c>
      <c r="T513" t="b">
        <f t="shared" si="15"/>
        <v>0</v>
      </c>
      <c r="U513" s="154">
        <f>IFERROR(IF(R513&lt;&gt;FALSE,IF(S513=TRUE,INDEX('SummaryNOT_VALIDATED-BL'!$A$1:$F$16,MATCH(R513,'SummaryNOT_VALIDATED-BL'!$A$1:$A$16,0),6),0),IF(S513=TRUE,INDEX('SummaryNOT_VALIDATED-BL'!$A$1:$F$16,MATCH(E513,'SummaryNOT_VALIDATED-BL'!$A$1:$A$16,0),6),0)),0)</f>
        <v>0</v>
      </c>
      <c r="V513" s="81" cm="1">
        <f t="array" ref="V513">INDEX('Weight tables'!$A$24:$C$27,MATCH(1,(RendicontiTrasmessiBL__2[[#This Row],[Cut percentage on real costs + USC]]&gt;='Weight tables'!$B$24:$B$27)*(RendicontiTrasmessiBL__2[[#This Row],[Cut percentage on real costs + USC]]&lt;='Weight tables'!$C$24:$C$27),0),1)</f>
        <v>0</v>
      </c>
      <c r="W513" s="2">
        <f>RendicontiTrasmessiBL__2[[#This Row],[Weight real costs  + USC ]]</f>
        <v>0</v>
      </c>
    </row>
    <row r="514" spans="1:23" x14ac:dyDescent="0.25">
      <c r="A514" s="1" t="s">
        <v>304</v>
      </c>
      <c r="B514" s="1" t="s">
        <v>307</v>
      </c>
      <c r="C514" s="2">
        <v>171</v>
      </c>
      <c r="D514" s="2">
        <v>273</v>
      </c>
      <c r="E514" s="1" t="s">
        <v>237</v>
      </c>
      <c r="G514">
        <v>0</v>
      </c>
      <c r="H514">
        <v>0</v>
      </c>
      <c r="I514">
        <v>0</v>
      </c>
      <c r="J514">
        <v>0</v>
      </c>
      <c r="K514">
        <v>0</v>
      </c>
      <c r="L514">
        <v>0</v>
      </c>
      <c r="M514">
        <v>0</v>
      </c>
      <c r="N514">
        <v>0</v>
      </c>
      <c r="O514">
        <v>0</v>
      </c>
      <c r="P514">
        <v>0</v>
      </c>
      <c r="Q514" t="str">
        <f>INDEX('Partner data'!A:DH,MATCH(C514,'Partner data'!DG:DG,0),83)</f>
        <v>Soggetto privato</v>
      </c>
      <c r="R514" t="b">
        <f>IF(E514="staff",IF(INDEX('Partner data'!A:DH,MATCH(C514,'Partner data'!DG:DG,0),112)="BL1 non presente","FALSO",INDEX('Partner data'!A:DH,MATCH(C514,'Partner data'!DG:DG,0),112)))</f>
        <v>0</v>
      </c>
      <c r="S514" t="b">
        <f t="shared" ref="S514:S577" si="16">IF(J514&lt;&gt;0,TRUE,FALSE)</f>
        <v>0</v>
      </c>
      <c r="T514" t="b">
        <f t="shared" ref="T514:T577" si="17">OR(Q514="Soggetto pubblico",Q514="Organismo di diritto pubblico ")</f>
        <v>0</v>
      </c>
      <c r="U514" s="154">
        <f>IFERROR(IF(R514&lt;&gt;FALSE,IF(S514=TRUE,INDEX('SummaryNOT_VALIDATED-BL'!$A$1:$F$16,MATCH(R514,'SummaryNOT_VALIDATED-BL'!$A$1:$A$16,0),6),0),IF(S514=TRUE,INDEX('SummaryNOT_VALIDATED-BL'!$A$1:$F$16,MATCH(E514,'SummaryNOT_VALIDATED-BL'!$A$1:$A$16,0),6),0)),0)</f>
        <v>0</v>
      </c>
      <c r="V514" s="81" cm="1">
        <f t="array" ref="V514">INDEX('Weight tables'!$A$24:$C$27,MATCH(1,(RendicontiTrasmessiBL__2[[#This Row],[Cut percentage on real costs + USC]]&gt;='Weight tables'!$B$24:$B$27)*(RendicontiTrasmessiBL__2[[#This Row],[Cut percentage on real costs + USC]]&lt;='Weight tables'!$C$24:$C$27),0),1)</f>
        <v>0</v>
      </c>
      <c r="W514" s="2">
        <f>RendicontiTrasmessiBL__2[[#This Row],[Weight real costs  + USC ]]</f>
        <v>0</v>
      </c>
    </row>
    <row r="515" spans="1:23" x14ac:dyDescent="0.25">
      <c r="A515" s="1" t="s">
        <v>304</v>
      </c>
      <c r="B515" s="1" t="s">
        <v>308</v>
      </c>
      <c r="C515" s="2">
        <v>114</v>
      </c>
      <c r="D515" s="2">
        <v>194</v>
      </c>
      <c r="E515" s="1" t="s">
        <v>228</v>
      </c>
      <c r="F515">
        <v>20</v>
      </c>
      <c r="G515">
        <v>16155.03</v>
      </c>
      <c r="H515">
        <v>0</v>
      </c>
      <c r="I515">
        <v>0</v>
      </c>
      <c r="J515">
        <v>0</v>
      </c>
      <c r="K515">
        <v>0</v>
      </c>
      <c r="L515">
        <v>0</v>
      </c>
      <c r="M515">
        <v>0</v>
      </c>
      <c r="N515">
        <v>0</v>
      </c>
      <c r="O515">
        <v>16155.03</v>
      </c>
      <c r="P515">
        <v>0</v>
      </c>
      <c r="Q515" t="str">
        <f>INDEX('Partner data'!A:DH,MATCH(C515,'Partner data'!DG:DG,0),83)</f>
        <v>Soggetto pubblico</v>
      </c>
      <c r="R515" t="str">
        <f>IF(E515="staff",IF(INDEX('Partner data'!A:DH,MATCH(C515,'Partner data'!DG:DG,0),112)="BL1 non presente","FALSO",INDEX('Partner data'!A:DH,MATCH(C515,'Partner data'!DG:DG,0),112)))</f>
        <v>Tasso Forfettario 20%</v>
      </c>
      <c r="S515" t="b">
        <f t="shared" si="16"/>
        <v>0</v>
      </c>
      <c r="T515" t="b">
        <f t="shared" si="17"/>
        <v>1</v>
      </c>
      <c r="U515" s="154">
        <f>IFERROR(IF(R515&lt;&gt;FALSE,IF(S515=TRUE,INDEX('SummaryNOT_VALIDATED-BL'!$A$1:$F$16,MATCH(R515,'SummaryNOT_VALIDATED-BL'!$A$1:$A$16,0),6),0),IF(S515=TRUE,INDEX('SummaryNOT_VALIDATED-BL'!$A$1:$F$16,MATCH(E515,'SummaryNOT_VALIDATED-BL'!$A$1:$A$16,0),6),0)),0)</f>
        <v>0</v>
      </c>
      <c r="V515" s="81" cm="1">
        <f t="array" ref="V515">INDEX('Weight tables'!$A$24:$C$27,MATCH(1,(RendicontiTrasmessiBL__2[[#This Row],[Cut percentage on real costs + USC]]&gt;='Weight tables'!$B$24:$B$27)*(RendicontiTrasmessiBL__2[[#This Row],[Cut percentage on real costs + USC]]&lt;='Weight tables'!$C$24:$C$27),0),1)</f>
        <v>0</v>
      </c>
      <c r="W515" s="2">
        <f>RendicontiTrasmessiBL__2[[#This Row],[Weight real costs  + USC ]]</f>
        <v>0</v>
      </c>
    </row>
    <row r="516" spans="1:23" x14ac:dyDescent="0.25">
      <c r="A516" s="1" t="s">
        <v>304</v>
      </c>
      <c r="B516" s="1" t="s">
        <v>308</v>
      </c>
      <c r="C516" s="2">
        <v>114</v>
      </c>
      <c r="D516" s="2">
        <v>194</v>
      </c>
      <c r="E516" s="1" t="s">
        <v>229</v>
      </c>
      <c r="F516">
        <v>15</v>
      </c>
      <c r="G516">
        <v>2423.25</v>
      </c>
      <c r="H516">
        <v>0</v>
      </c>
      <c r="I516">
        <v>0</v>
      </c>
      <c r="J516">
        <v>0</v>
      </c>
      <c r="K516">
        <v>0</v>
      </c>
      <c r="L516">
        <v>0</v>
      </c>
      <c r="M516">
        <v>0</v>
      </c>
      <c r="N516">
        <v>0</v>
      </c>
      <c r="O516">
        <v>2423.25</v>
      </c>
      <c r="P516">
        <v>0</v>
      </c>
      <c r="Q516" t="str">
        <f>INDEX('Partner data'!A:DH,MATCH(C516,'Partner data'!DG:DG,0),83)</f>
        <v>Soggetto pubblico</v>
      </c>
      <c r="R516" t="b">
        <f>IF(E516="staff",IF(INDEX('Partner data'!A:DH,MATCH(C516,'Partner data'!DG:DG,0),112)="BL1 non presente","FALSO",INDEX('Partner data'!A:DH,MATCH(C516,'Partner data'!DG:DG,0),112)))</f>
        <v>0</v>
      </c>
      <c r="S516" t="b">
        <f t="shared" si="16"/>
        <v>0</v>
      </c>
      <c r="T516" t="b">
        <f t="shared" si="17"/>
        <v>1</v>
      </c>
      <c r="U516" s="154">
        <f>IFERROR(IF(R516&lt;&gt;FALSE,IF(S516=TRUE,INDEX('SummaryNOT_VALIDATED-BL'!$A$1:$F$16,MATCH(R516,'SummaryNOT_VALIDATED-BL'!$A$1:$A$16,0),6),0),IF(S516=TRUE,INDEX('SummaryNOT_VALIDATED-BL'!$A$1:$F$16,MATCH(E516,'SummaryNOT_VALIDATED-BL'!$A$1:$A$16,0),6),0)),0)</f>
        <v>0</v>
      </c>
      <c r="V516" s="81" cm="1">
        <f t="array" ref="V516">INDEX('Weight tables'!$A$24:$C$27,MATCH(1,(RendicontiTrasmessiBL__2[[#This Row],[Cut percentage on real costs + USC]]&gt;='Weight tables'!$B$24:$B$27)*(RendicontiTrasmessiBL__2[[#This Row],[Cut percentage on real costs + USC]]&lt;='Weight tables'!$C$24:$C$27),0),1)</f>
        <v>0</v>
      </c>
      <c r="W516" s="2">
        <f>RendicontiTrasmessiBL__2[[#This Row],[Weight real costs  + USC ]]</f>
        <v>0</v>
      </c>
    </row>
    <row r="517" spans="1:23" x14ac:dyDescent="0.25">
      <c r="A517" s="1" t="s">
        <v>304</v>
      </c>
      <c r="B517" s="1" t="s">
        <v>308</v>
      </c>
      <c r="C517" s="2">
        <v>114</v>
      </c>
      <c r="D517" s="2">
        <v>194</v>
      </c>
      <c r="E517" s="1" t="s">
        <v>230</v>
      </c>
      <c r="F517">
        <v>4</v>
      </c>
      <c r="G517">
        <v>646.20000000000005</v>
      </c>
      <c r="H517">
        <v>0</v>
      </c>
      <c r="I517">
        <v>0</v>
      </c>
      <c r="J517">
        <v>0</v>
      </c>
      <c r="K517">
        <v>0</v>
      </c>
      <c r="L517">
        <v>0</v>
      </c>
      <c r="M517">
        <v>0</v>
      </c>
      <c r="N517">
        <v>0</v>
      </c>
      <c r="O517">
        <v>646.20000000000005</v>
      </c>
      <c r="P517">
        <v>0</v>
      </c>
      <c r="Q517" t="str">
        <f>INDEX('Partner data'!A:DH,MATCH(C517,'Partner data'!DG:DG,0),83)</f>
        <v>Soggetto pubblico</v>
      </c>
      <c r="R517" t="b">
        <f>IF(E517="staff",IF(INDEX('Partner data'!A:DH,MATCH(C517,'Partner data'!DG:DG,0),112)="BL1 non presente","FALSO",INDEX('Partner data'!A:DH,MATCH(C517,'Partner data'!DG:DG,0),112)))</f>
        <v>0</v>
      </c>
      <c r="S517" t="b">
        <f t="shared" si="16"/>
        <v>0</v>
      </c>
      <c r="T517" t="b">
        <f t="shared" si="17"/>
        <v>1</v>
      </c>
      <c r="U517" s="154">
        <f>IFERROR(IF(R517&lt;&gt;FALSE,IF(S517=TRUE,INDEX('SummaryNOT_VALIDATED-BL'!$A$1:$F$16,MATCH(R517,'SummaryNOT_VALIDATED-BL'!$A$1:$A$16,0),6),0),IF(S517=TRUE,INDEX('SummaryNOT_VALIDATED-BL'!$A$1:$F$16,MATCH(E517,'SummaryNOT_VALIDATED-BL'!$A$1:$A$16,0),6),0)),0)</f>
        <v>0</v>
      </c>
      <c r="V517" s="81" cm="1">
        <f t="array" ref="V517">INDEX('Weight tables'!$A$24:$C$27,MATCH(1,(RendicontiTrasmessiBL__2[[#This Row],[Cut percentage on real costs + USC]]&gt;='Weight tables'!$B$24:$B$27)*(RendicontiTrasmessiBL__2[[#This Row],[Cut percentage on real costs + USC]]&lt;='Weight tables'!$C$24:$C$27),0),1)</f>
        <v>0</v>
      </c>
      <c r="W517" s="2">
        <f>RendicontiTrasmessiBL__2[[#This Row],[Weight real costs  + USC ]]</f>
        <v>0</v>
      </c>
    </row>
    <row r="518" spans="1:23" x14ac:dyDescent="0.25">
      <c r="A518" s="1" t="s">
        <v>304</v>
      </c>
      <c r="B518" s="1" t="s">
        <v>308</v>
      </c>
      <c r="C518" s="2">
        <v>114</v>
      </c>
      <c r="D518" s="2">
        <v>194</v>
      </c>
      <c r="E518" s="1" t="s">
        <v>231</v>
      </c>
      <c r="G518">
        <v>80775.16</v>
      </c>
      <c r="H518">
        <v>0</v>
      </c>
      <c r="I518">
        <v>0</v>
      </c>
      <c r="J518">
        <v>0</v>
      </c>
      <c r="K518">
        <v>0</v>
      </c>
      <c r="L518">
        <v>0</v>
      </c>
      <c r="M518">
        <v>0</v>
      </c>
      <c r="N518">
        <v>0</v>
      </c>
      <c r="O518">
        <v>80775.16</v>
      </c>
      <c r="P518">
        <v>0</v>
      </c>
      <c r="Q518" t="str">
        <f>INDEX('Partner data'!A:DH,MATCH(C518,'Partner data'!DG:DG,0),83)</f>
        <v>Soggetto pubblico</v>
      </c>
      <c r="R518" t="b">
        <f>IF(E518="staff",IF(INDEX('Partner data'!A:DH,MATCH(C518,'Partner data'!DG:DG,0),112)="BL1 non presente","FALSO",INDEX('Partner data'!A:DH,MATCH(C518,'Partner data'!DG:DG,0),112)))</f>
        <v>0</v>
      </c>
      <c r="S518" t="b">
        <f t="shared" si="16"/>
        <v>0</v>
      </c>
      <c r="T518" t="b">
        <f t="shared" si="17"/>
        <v>1</v>
      </c>
      <c r="U518" s="154">
        <f>IFERROR(IF(R518&lt;&gt;FALSE,IF(S518=TRUE,INDEX('SummaryNOT_VALIDATED-BL'!$A$1:$F$16,MATCH(R518,'SummaryNOT_VALIDATED-BL'!$A$1:$A$16,0),6),0),IF(S518=TRUE,INDEX('SummaryNOT_VALIDATED-BL'!$A$1:$F$16,MATCH(E518,'SummaryNOT_VALIDATED-BL'!$A$1:$A$16,0),6),0)),0)</f>
        <v>0</v>
      </c>
      <c r="V518" s="81" cm="1">
        <f t="array" ref="V518">INDEX('Weight tables'!$A$24:$C$27,MATCH(1,(RendicontiTrasmessiBL__2[[#This Row],[Cut percentage on real costs + USC]]&gt;='Weight tables'!$B$24:$B$27)*(RendicontiTrasmessiBL__2[[#This Row],[Cut percentage on real costs + USC]]&lt;='Weight tables'!$C$24:$C$27),0),1)</f>
        <v>0</v>
      </c>
      <c r="W518" s="2">
        <f>RendicontiTrasmessiBL__2[[#This Row],[Weight real costs  + USC ]]</f>
        <v>0</v>
      </c>
    </row>
    <row r="519" spans="1:23" x14ac:dyDescent="0.25">
      <c r="A519" s="1" t="s">
        <v>304</v>
      </c>
      <c r="B519" s="1" t="s">
        <v>308</v>
      </c>
      <c r="C519" s="2">
        <v>114</v>
      </c>
      <c r="D519" s="2">
        <v>194</v>
      </c>
      <c r="E519" s="1" t="s">
        <v>232</v>
      </c>
      <c r="G519">
        <v>0</v>
      </c>
      <c r="H519">
        <v>0</v>
      </c>
      <c r="I519">
        <v>0</v>
      </c>
      <c r="J519">
        <v>0</v>
      </c>
      <c r="K519">
        <v>0</v>
      </c>
      <c r="L519">
        <v>0</v>
      </c>
      <c r="M519">
        <v>0</v>
      </c>
      <c r="N519">
        <v>0</v>
      </c>
      <c r="O519">
        <v>0</v>
      </c>
      <c r="P519">
        <v>0</v>
      </c>
      <c r="Q519" t="str">
        <f>INDEX('Partner data'!A:DH,MATCH(C519,'Partner data'!DG:DG,0),83)</f>
        <v>Soggetto pubblico</v>
      </c>
      <c r="R519" t="b">
        <f>IF(E519="staff",IF(INDEX('Partner data'!A:DH,MATCH(C519,'Partner data'!DG:DG,0),112)="BL1 non presente","FALSO",INDEX('Partner data'!A:DH,MATCH(C519,'Partner data'!DG:DG,0),112)))</f>
        <v>0</v>
      </c>
      <c r="S519" t="b">
        <f t="shared" si="16"/>
        <v>0</v>
      </c>
      <c r="T519" t="b">
        <f t="shared" si="17"/>
        <v>1</v>
      </c>
      <c r="U519" s="154">
        <f>IFERROR(IF(R519&lt;&gt;FALSE,IF(S519=TRUE,INDEX('SummaryNOT_VALIDATED-BL'!$A$1:$F$16,MATCH(R519,'SummaryNOT_VALIDATED-BL'!$A$1:$A$16,0),6),0),IF(S519=TRUE,INDEX('SummaryNOT_VALIDATED-BL'!$A$1:$F$16,MATCH(E519,'SummaryNOT_VALIDATED-BL'!$A$1:$A$16,0),6),0)),0)</f>
        <v>0</v>
      </c>
      <c r="V519" s="81" cm="1">
        <f t="array" ref="V519">INDEX('Weight tables'!$A$24:$C$27,MATCH(1,(RendicontiTrasmessiBL__2[[#This Row],[Cut percentage on real costs + USC]]&gt;='Weight tables'!$B$24:$B$27)*(RendicontiTrasmessiBL__2[[#This Row],[Cut percentage on real costs + USC]]&lt;='Weight tables'!$C$24:$C$27),0),1)</f>
        <v>0</v>
      </c>
      <c r="W519" s="2">
        <f>RendicontiTrasmessiBL__2[[#This Row],[Weight real costs  + USC ]]</f>
        <v>0</v>
      </c>
    </row>
    <row r="520" spans="1:23" x14ac:dyDescent="0.25">
      <c r="A520" s="1" t="s">
        <v>304</v>
      </c>
      <c r="B520" s="1" t="s">
        <v>308</v>
      </c>
      <c r="C520" s="2">
        <v>114</v>
      </c>
      <c r="D520" s="2">
        <v>194</v>
      </c>
      <c r="E520" s="1" t="s">
        <v>233</v>
      </c>
      <c r="G520">
        <v>0</v>
      </c>
      <c r="H520">
        <v>0</v>
      </c>
      <c r="I520">
        <v>0</v>
      </c>
      <c r="J520">
        <v>0</v>
      </c>
      <c r="K520">
        <v>0</v>
      </c>
      <c r="L520">
        <v>0</v>
      </c>
      <c r="M520">
        <v>0</v>
      </c>
      <c r="N520">
        <v>0</v>
      </c>
      <c r="O520">
        <v>0</v>
      </c>
      <c r="P520">
        <v>0</v>
      </c>
      <c r="Q520" t="str">
        <f>INDEX('Partner data'!A:DH,MATCH(C520,'Partner data'!DG:DG,0),83)</f>
        <v>Soggetto pubblico</v>
      </c>
      <c r="R520" t="b">
        <f>IF(E520="staff",IF(INDEX('Partner data'!A:DH,MATCH(C520,'Partner data'!DG:DG,0),112)="BL1 non presente","FALSO",INDEX('Partner data'!A:DH,MATCH(C520,'Partner data'!DG:DG,0),112)))</f>
        <v>0</v>
      </c>
      <c r="S520" t="b">
        <f t="shared" si="16"/>
        <v>0</v>
      </c>
      <c r="T520" t="b">
        <f t="shared" si="17"/>
        <v>1</v>
      </c>
      <c r="U520" s="154">
        <f>IFERROR(IF(R520&lt;&gt;FALSE,IF(S520=TRUE,INDEX('SummaryNOT_VALIDATED-BL'!$A$1:$F$16,MATCH(R520,'SummaryNOT_VALIDATED-BL'!$A$1:$A$16,0),6),0),IF(S520=TRUE,INDEX('SummaryNOT_VALIDATED-BL'!$A$1:$F$16,MATCH(E520,'SummaryNOT_VALIDATED-BL'!$A$1:$A$16,0),6),0)),0)</f>
        <v>0</v>
      </c>
      <c r="V520" s="81" cm="1">
        <f t="array" ref="V520">INDEX('Weight tables'!$A$24:$C$27,MATCH(1,(RendicontiTrasmessiBL__2[[#This Row],[Cut percentage on real costs + USC]]&gt;='Weight tables'!$B$24:$B$27)*(RendicontiTrasmessiBL__2[[#This Row],[Cut percentage on real costs + USC]]&lt;='Weight tables'!$C$24:$C$27),0),1)</f>
        <v>0</v>
      </c>
      <c r="W520" s="2">
        <f>RendicontiTrasmessiBL__2[[#This Row],[Weight real costs  + USC ]]</f>
        <v>0</v>
      </c>
    </row>
    <row r="521" spans="1:23" x14ac:dyDescent="0.25">
      <c r="A521" s="1" t="s">
        <v>304</v>
      </c>
      <c r="B521" s="1" t="s">
        <v>308</v>
      </c>
      <c r="C521" s="2">
        <v>114</v>
      </c>
      <c r="D521" s="2">
        <v>194</v>
      </c>
      <c r="E521" s="1" t="s">
        <v>234</v>
      </c>
      <c r="G521">
        <v>0</v>
      </c>
      <c r="H521">
        <v>0</v>
      </c>
      <c r="I521">
        <v>0</v>
      </c>
      <c r="J521">
        <v>0</v>
      </c>
      <c r="K521">
        <v>0</v>
      </c>
      <c r="L521">
        <v>0</v>
      </c>
      <c r="M521">
        <v>0</v>
      </c>
      <c r="N521">
        <v>0</v>
      </c>
      <c r="O521">
        <v>0</v>
      </c>
      <c r="P521">
        <v>0</v>
      </c>
      <c r="Q521" t="str">
        <f>INDEX('Partner data'!A:DH,MATCH(C521,'Partner data'!DG:DG,0),83)</f>
        <v>Soggetto pubblico</v>
      </c>
      <c r="R521" t="b">
        <f>IF(E521="staff",IF(INDEX('Partner data'!A:DH,MATCH(C521,'Partner data'!DG:DG,0),112)="BL1 non presente","FALSO",INDEX('Partner data'!A:DH,MATCH(C521,'Partner data'!DG:DG,0),112)))</f>
        <v>0</v>
      </c>
      <c r="S521" t="b">
        <f t="shared" si="16"/>
        <v>0</v>
      </c>
      <c r="T521" t="b">
        <f t="shared" si="17"/>
        <v>1</v>
      </c>
      <c r="U521" s="154">
        <f>IFERROR(IF(R521&lt;&gt;FALSE,IF(S521=TRUE,INDEX('SummaryNOT_VALIDATED-BL'!$A$1:$F$16,MATCH(R521,'SummaryNOT_VALIDATED-BL'!$A$1:$A$16,0),6),0),IF(S521=TRUE,INDEX('SummaryNOT_VALIDATED-BL'!$A$1:$F$16,MATCH(E521,'SummaryNOT_VALIDATED-BL'!$A$1:$A$16,0),6),0)),0)</f>
        <v>0</v>
      </c>
      <c r="V521" s="81" cm="1">
        <f t="array" ref="V521">INDEX('Weight tables'!$A$24:$C$27,MATCH(1,(RendicontiTrasmessiBL__2[[#This Row],[Cut percentage on real costs + USC]]&gt;='Weight tables'!$B$24:$B$27)*(RendicontiTrasmessiBL__2[[#This Row],[Cut percentage on real costs + USC]]&lt;='Weight tables'!$C$24:$C$27),0),1)</f>
        <v>0</v>
      </c>
      <c r="W521" s="2">
        <f>RendicontiTrasmessiBL__2[[#This Row],[Weight real costs  + USC ]]</f>
        <v>0</v>
      </c>
    </row>
    <row r="522" spans="1:23" x14ac:dyDescent="0.25">
      <c r="A522" s="1" t="s">
        <v>304</v>
      </c>
      <c r="B522" s="1" t="s">
        <v>308</v>
      </c>
      <c r="C522" s="2">
        <v>114</v>
      </c>
      <c r="D522" s="2">
        <v>194</v>
      </c>
      <c r="E522" s="1" t="s">
        <v>236</v>
      </c>
      <c r="G522">
        <v>0</v>
      </c>
      <c r="H522">
        <v>0</v>
      </c>
      <c r="I522">
        <v>0</v>
      </c>
      <c r="J522">
        <v>0</v>
      </c>
      <c r="K522">
        <v>0</v>
      </c>
      <c r="L522">
        <v>0</v>
      </c>
      <c r="M522">
        <v>0</v>
      </c>
      <c r="N522">
        <v>0</v>
      </c>
      <c r="O522">
        <v>0</v>
      </c>
      <c r="P522">
        <v>0</v>
      </c>
      <c r="Q522" t="str">
        <f>INDEX('Partner data'!A:DH,MATCH(C522,'Partner data'!DG:DG,0),83)</f>
        <v>Soggetto pubblico</v>
      </c>
      <c r="R522" t="b">
        <f>IF(E522="staff",IF(INDEX('Partner data'!A:DH,MATCH(C522,'Partner data'!DG:DG,0),112)="BL1 non presente","FALSO",INDEX('Partner data'!A:DH,MATCH(C522,'Partner data'!DG:DG,0),112)))</f>
        <v>0</v>
      </c>
      <c r="S522" t="b">
        <f t="shared" si="16"/>
        <v>0</v>
      </c>
      <c r="T522" t="b">
        <f t="shared" si="17"/>
        <v>1</v>
      </c>
      <c r="U522" s="154">
        <f>IFERROR(IF(R522&lt;&gt;FALSE,IF(S522=TRUE,INDEX('SummaryNOT_VALIDATED-BL'!$A$1:$F$16,MATCH(R522,'SummaryNOT_VALIDATED-BL'!$A$1:$A$16,0),6),0),IF(S522=TRUE,INDEX('SummaryNOT_VALIDATED-BL'!$A$1:$F$16,MATCH(E522,'SummaryNOT_VALIDATED-BL'!$A$1:$A$16,0),6),0)),0)</f>
        <v>0</v>
      </c>
      <c r="V522" s="81" cm="1">
        <f t="array" ref="V522">INDEX('Weight tables'!$A$24:$C$27,MATCH(1,(RendicontiTrasmessiBL__2[[#This Row],[Cut percentage on real costs + USC]]&gt;='Weight tables'!$B$24:$B$27)*(RendicontiTrasmessiBL__2[[#This Row],[Cut percentage on real costs + USC]]&lt;='Weight tables'!$C$24:$C$27),0),1)</f>
        <v>0</v>
      </c>
      <c r="W522" s="2">
        <f>RendicontiTrasmessiBL__2[[#This Row],[Weight real costs  + USC ]]</f>
        <v>0</v>
      </c>
    </row>
    <row r="523" spans="1:23" x14ac:dyDescent="0.25">
      <c r="A523" s="1" t="s">
        <v>304</v>
      </c>
      <c r="B523" s="1" t="s">
        <v>308</v>
      </c>
      <c r="C523" s="2">
        <v>114</v>
      </c>
      <c r="D523" s="2">
        <v>194</v>
      </c>
      <c r="E523" s="1" t="s">
        <v>237</v>
      </c>
      <c r="G523">
        <v>0</v>
      </c>
      <c r="H523">
        <v>0</v>
      </c>
      <c r="I523">
        <v>0</v>
      </c>
      <c r="J523">
        <v>0</v>
      </c>
      <c r="K523">
        <v>0</v>
      </c>
      <c r="L523">
        <v>0</v>
      </c>
      <c r="M523">
        <v>0</v>
      </c>
      <c r="N523">
        <v>0</v>
      </c>
      <c r="O523">
        <v>0</v>
      </c>
      <c r="P523">
        <v>0</v>
      </c>
      <c r="Q523" t="str">
        <f>INDEX('Partner data'!A:DH,MATCH(C523,'Partner data'!DG:DG,0),83)</f>
        <v>Soggetto pubblico</v>
      </c>
      <c r="R523" t="b">
        <f>IF(E523="staff",IF(INDEX('Partner data'!A:DH,MATCH(C523,'Partner data'!DG:DG,0),112)="BL1 non presente","FALSO",INDEX('Partner data'!A:DH,MATCH(C523,'Partner data'!DG:DG,0),112)))</f>
        <v>0</v>
      </c>
      <c r="S523" t="b">
        <f t="shared" si="16"/>
        <v>0</v>
      </c>
      <c r="T523" t="b">
        <f t="shared" si="17"/>
        <v>1</v>
      </c>
      <c r="U523" s="154">
        <f>IFERROR(IF(R523&lt;&gt;FALSE,IF(S523=TRUE,INDEX('SummaryNOT_VALIDATED-BL'!$A$1:$F$16,MATCH(R523,'SummaryNOT_VALIDATED-BL'!$A$1:$A$16,0),6),0),IF(S523=TRUE,INDEX('SummaryNOT_VALIDATED-BL'!$A$1:$F$16,MATCH(E523,'SummaryNOT_VALIDATED-BL'!$A$1:$A$16,0),6),0)),0)</f>
        <v>0</v>
      </c>
      <c r="V523" s="81" cm="1">
        <f t="array" ref="V523">INDEX('Weight tables'!$A$24:$C$27,MATCH(1,(RendicontiTrasmessiBL__2[[#This Row],[Cut percentage on real costs + USC]]&gt;='Weight tables'!$B$24:$B$27)*(RendicontiTrasmessiBL__2[[#This Row],[Cut percentage on real costs + USC]]&lt;='Weight tables'!$C$24:$C$27),0),1)</f>
        <v>0</v>
      </c>
      <c r="W523" s="2">
        <f>RendicontiTrasmessiBL__2[[#This Row],[Weight real costs  + USC ]]</f>
        <v>0</v>
      </c>
    </row>
    <row r="524" spans="1:23" x14ac:dyDescent="0.25">
      <c r="A524" s="1" t="s">
        <v>304</v>
      </c>
      <c r="B524" s="1" t="s">
        <v>309</v>
      </c>
      <c r="C524" s="2">
        <v>103</v>
      </c>
      <c r="D524" s="2">
        <v>231</v>
      </c>
      <c r="E524" s="1" t="s">
        <v>228</v>
      </c>
      <c r="G524">
        <v>97077.96</v>
      </c>
      <c r="H524">
        <v>0</v>
      </c>
      <c r="I524">
        <v>0</v>
      </c>
      <c r="J524">
        <v>18033.900000000001</v>
      </c>
      <c r="K524">
        <v>0</v>
      </c>
      <c r="L524">
        <v>17227.87</v>
      </c>
      <c r="M524">
        <v>18033.900000000001</v>
      </c>
      <c r="N524">
        <v>18.579999999999998</v>
      </c>
      <c r="O524">
        <v>79044.06</v>
      </c>
      <c r="P524">
        <v>0</v>
      </c>
      <c r="Q524" t="str">
        <f>INDEX('Partner data'!A:DH,MATCH(C524,'Partner data'!DG:DG,0),83)</f>
        <v>Soggetto pubblico</v>
      </c>
      <c r="R524" t="str">
        <f>IF(E524="staff",IF(INDEX('Partner data'!A:DH,MATCH(C524,'Partner data'!DG:DG,0),112)="BL1 non presente","FALSO",INDEX('Partner data'!A:DH,MATCH(C524,'Partner data'!DG:DG,0),112)))</f>
        <v>COSTO REALE</v>
      </c>
      <c r="S524" t="b">
        <f t="shared" si="16"/>
        <v>1</v>
      </c>
      <c r="T524" t="b">
        <f t="shared" si="17"/>
        <v>1</v>
      </c>
      <c r="U524" s="154">
        <f>IFERROR(IF(R524&lt;&gt;FALSE,IF(S524=TRUE,INDEX('SummaryNOT_VALIDATED-BL'!$A$1:$F$16,MATCH(R524,'SummaryNOT_VALIDATED-BL'!$A$1:$A$16,0),6),0),IF(S524=TRUE,INDEX('SummaryNOT_VALIDATED-BL'!$A$1:$F$16,MATCH(E524,'SummaryNOT_VALIDATED-BL'!$A$1:$A$16,0),6),0)),0)</f>
        <v>9.1604133276901048E-2</v>
      </c>
      <c r="V524" s="81" cm="1">
        <f t="array" ref="V524">INDEX('Weight tables'!$A$24:$C$27,MATCH(1,(RendicontiTrasmessiBL__2[[#This Row],[Cut percentage on real costs + USC]]&gt;='Weight tables'!$B$24:$B$27)*(RendicontiTrasmessiBL__2[[#This Row],[Cut percentage on real costs + USC]]&lt;='Weight tables'!$C$24:$C$27),0),1)</f>
        <v>4</v>
      </c>
      <c r="W524" s="2">
        <f>RendicontiTrasmessiBL__2[[#This Row],[Weight real costs  + USC ]]</f>
        <v>4</v>
      </c>
    </row>
    <row r="525" spans="1:23" x14ac:dyDescent="0.25">
      <c r="A525" s="1" t="s">
        <v>304</v>
      </c>
      <c r="B525" s="1" t="s">
        <v>309</v>
      </c>
      <c r="C525" s="2">
        <v>103</v>
      </c>
      <c r="D525" s="2">
        <v>231</v>
      </c>
      <c r="E525" s="1" t="s">
        <v>229</v>
      </c>
      <c r="G525">
        <v>0</v>
      </c>
      <c r="H525">
        <v>0</v>
      </c>
      <c r="I525">
        <v>0</v>
      </c>
      <c r="J525">
        <v>0</v>
      </c>
      <c r="K525">
        <v>0</v>
      </c>
      <c r="L525">
        <v>0</v>
      </c>
      <c r="M525">
        <v>0</v>
      </c>
      <c r="N525">
        <v>0</v>
      </c>
      <c r="O525">
        <v>0</v>
      </c>
      <c r="P525">
        <v>0</v>
      </c>
      <c r="Q525" t="str">
        <f>INDEX('Partner data'!A:DH,MATCH(C525,'Partner data'!DG:DG,0),83)</f>
        <v>Soggetto pubblico</v>
      </c>
      <c r="R525" t="b">
        <f>IF(E525="staff",IF(INDEX('Partner data'!A:DH,MATCH(C525,'Partner data'!DG:DG,0),112)="BL1 non presente","FALSO",INDEX('Partner data'!A:DH,MATCH(C525,'Partner data'!DG:DG,0),112)))</f>
        <v>0</v>
      </c>
      <c r="S525" t="b">
        <f t="shared" si="16"/>
        <v>0</v>
      </c>
      <c r="T525" t="b">
        <f t="shared" si="17"/>
        <v>1</v>
      </c>
      <c r="U525" s="154">
        <f>IFERROR(IF(R525&lt;&gt;FALSE,IF(S525=TRUE,INDEX('SummaryNOT_VALIDATED-BL'!$A$1:$F$16,MATCH(R525,'SummaryNOT_VALIDATED-BL'!$A$1:$A$16,0),6),0),IF(S525=TRUE,INDEX('SummaryNOT_VALIDATED-BL'!$A$1:$F$16,MATCH(E525,'SummaryNOT_VALIDATED-BL'!$A$1:$A$16,0),6),0)),0)</f>
        <v>0</v>
      </c>
      <c r="V525" s="81" cm="1">
        <f t="array" ref="V525">INDEX('Weight tables'!$A$24:$C$27,MATCH(1,(RendicontiTrasmessiBL__2[[#This Row],[Cut percentage on real costs + USC]]&gt;='Weight tables'!$B$24:$B$27)*(RendicontiTrasmessiBL__2[[#This Row],[Cut percentage on real costs + USC]]&lt;='Weight tables'!$C$24:$C$27),0),1)</f>
        <v>0</v>
      </c>
      <c r="W525" s="2">
        <f>RendicontiTrasmessiBL__2[[#This Row],[Weight real costs  + USC ]]</f>
        <v>0</v>
      </c>
    </row>
    <row r="526" spans="1:23" x14ac:dyDescent="0.25">
      <c r="A526" s="1" t="s">
        <v>304</v>
      </c>
      <c r="B526" s="1" t="s">
        <v>309</v>
      </c>
      <c r="C526" s="2">
        <v>103</v>
      </c>
      <c r="D526" s="2">
        <v>231</v>
      </c>
      <c r="E526" s="1" t="s">
        <v>230</v>
      </c>
      <c r="G526">
        <v>0</v>
      </c>
      <c r="H526">
        <v>0</v>
      </c>
      <c r="I526">
        <v>0</v>
      </c>
      <c r="J526">
        <v>0</v>
      </c>
      <c r="K526">
        <v>0</v>
      </c>
      <c r="L526">
        <v>0</v>
      </c>
      <c r="M526">
        <v>0</v>
      </c>
      <c r="N526">
        <v>0</v>
      </c>
      <c r="O526">
        <v>0</v>
      </c>
      <c r="P526">
        <v>0</v>
      </c>
      <c r="Q526" t="str">
        <f>INDEX('Partner data'!A:DH,MATCH(C526,'Partner data'!DG:DG,0),83)</f>
        <v>Soggetto pubblico</v>
      </c>
      <c r="R526" t="b">
        <f>IF(E526="staff",IF(INDEX('Partner data'!A:DH,MATCH(C526,'Partner data'!DG:DG,0),112)="BL1 non presente","FALSO",INDEX('Partner data'!A:DH,MATCH(C526,'Partner data'!DG:DG,0),112)))</f>
        <v>0</v>
      </c>
      <c r="S526" t="b">
        <f t="shared" si="16"/>
        <v>0</v>
      </c>
      <c r="T526" t="b">
        <f t="shared" si="17"/>
        <v>1</v>
      </c>
      <c r="U526" s="154">
        <f>IFERROR(IF(R526&lt;&gt;FALSE,IF(S526=TRUE,INDEX('SummaryNOT_VALIDATED-BL'!$A$1:$F$16,MATCH(R526,'SummaryNOT_VALIDATED-BL'!$A$1:$A$16,0),6),0),IF(S526=TRUE,INDEX('SummaryNOT_VALIDATED-BL'!$A$1:$F$16,MATCH(E526,'SummaryNOT_VALIDATED-BL'!$A$1:$A$16,0),6),0)),0)</f>
        <v>0</v>
      </c>
      <c r="V526" s="81" cm="1">
        <f t="array" ref="V526">INDEX('Weight tables'!$A$24:$C$27,MATCH(1,(RendicontiTrasmessiBL__2[[#This Row],[Cut percentage on real costs + USC]]&gt;='Weight tables'!$B$24:$B$27)*(RendicontiTrasmessiBL__2[[#This Row],[Cut percentage on real costs + USC]]&lt;='Weight tables'!$C$24:$C$27),0),1)</f>
        <v>0</v>
      </c>
      <c r="W526" s="2">
        <f>RendicontiTrasmessiBL__2[[#This Row],[Weight real costs  + USC ]]</f>
        <v>0</v>
      </c>
    </row>
    <row r="527" spans="1:23" x14ac:dyDescent="0.25">
      <c r="A527" s="1" t="s">
        <v>304</v>
      </c>
      <c r="B527" s="1" t="s">
        <v>309</v>
      </c>
      <c r="C527" s="2">
        <v>103</v>
      </c>
      <c r="D527" s="2">
        <v>231</v>
      </c>
      <c r="E527" s="1" t="s">
        <v>231</v>
      </c>
      <c r="G527">
        <v>0</v>
      </c>
      <c r="H527">
        <v>0</v>
      </c>
      <c r="I527">
        <v>0</v>
      </c>
      <c r="J527">
        <v>0</v>
      </c>
      <c r="K527">
        <v>0</v>
      </c>
      <c r="L527">
        <v>0</v>
      </c>
      <c r="M527">
        <v>0</v>
      </c>
      <c r="N527">
        <v>0</v>
      </c>
      <c r="O527">
        <v>0</v>
      </c>
      <c r="P527">
        <v>0</v>
      </c>
      <c r="Q527" t="str">
        <f>INDEX('Partner data'!A:DH,MATCH(C527,'Partner data'!DG:DG,0),83)</f>
        <v>Soggetto pubblico</v>
      </c>
      <c r="R527" t="b">
        <f>IF(E527="staff",IF(INDEX('Partner data'!A:DH,MATCH(C527,'Partner data'!DG:DG,0),112)="BL1 non presente","FALSO",INDEX('Partner data'!A:DH,MATCH(C527,'Partner data'!DG:DG,0),112)))</f>
        <v>0</v>
      </c>
      <c r="S527" t="b">
        <f t="shared" si="16"/>
        <v>0</v>
      </c>
      <c r="T527" t="b">
        <f t="shared" si="17"/>
        <v>1</v>
      </c>
      <c r="U527" s="154">
        <f>IFERROR(IF(R527&lt;&gt;FALSE,IF(S527=TRUE,INDEX('SummaryNOT_VALIDATED-BL'!$A$1:$F$16,MATCH(R527,'SummaryNOT_VALIDATED-BL'!$A$1:$A$16,0),6),0),IF(S527=TRUE,INDEX('SummaryNOT_VALIDATED-BL'!$A$1:$F$16,MATCH(E527,'SummaryNOT_VALIDATED-BL'!$A$1:$A$16,0),6),0)),0)</f>
        <v>0</v>
      </c>
      <c r="V527" s="81" cm="1">
        <f t="array" ref="V527">INDEX('Weight tables'!$A$24:$C$27,MATCH(1,(RendicontiTrasmessiBL__2[[#This Row],[Cut percentage on real costs + USC]]&gt;='Weight tables'!$B$24:$B$27)*(RendicontiTrasmessiBL__2[[#This Row],[Cut percentage on real costs + USC]]&lt;='Weight tables'!$C$24:$C$27),0),1)</f>
        <v>0</v>
      </c>
      <c r="W527" s="2">
        <f>RendicontiTrasmessiBL__2[[#This Row],[Weight real costs  + USC ]]</f>
        <v>0</v>
      </c>
    </row>
    <row r="528" spans="1:23" x14ac:dyDescent="0.25">
      <c r="A528" s="1" t="s">
        <v>304</v>
      </c>
      <c r="B528" s="1" t="s">
        <v>309</v>
      </c>
      <c r="C528" s="2">
        <v>103</v>
      </c>
      <c r="D528" s="2">
        <v>231</v>
      </c>
      <c r="E528" s="1" t="s">
        <v>232</v>
      </c>
      <c r="G528">
        <v>0</v>
      </c>
      <c r="H528">
        <v>0</v>
      </c>
      <c r="I528">
        <v>0</v>
      </c>
      <c r="J528">
        <v>0</v>
      </c>
      <c r="K528">
        <v>0</v>
      </c>
      <c r="L528">
        <v>0</v>
      </c>
      <c r="M528">
        <v>0</v>
      </c>
      <c r="N528">
        <v>0</v>
      </c>
      <c r="O528">
        <v>0</v>
      </c>
      <c r="P528">
        <v>0</v>
      </c>
      <c r="Q528" t="str">
        <f>INDEX('Partner data'!A:DH,MATCH(C528,'Partner data'!DG:DG,0),83)</f>
        <v>Soggetto pubblico</v>
      </c>
      <c r="R528" t="b">
        <f>IF(E528="staff",IF(INDEX('Partner data'!A:DH,MATCH(C528,'Partner data'!DG:DG,0),112)="BL1 non presente","FALSO",INDEX('Partner data'!A:DH,MATCH(C528,'Partner data'!DG:DG,0),112)))</f>
        <v>0</v>
      </c>
      <c r="S528" t="b">
        <f t="shared" si="16"/>
        <v>0</v>
      </c>
      <c r="T528" t="b">
        <f t="shared" si="17"/>
        <v>1</v>
      </c>
      <c r="U528" s="154">
        <f>IFERROR(IF(R528&lt;&gt;FALSE,IF(S528=TRUE,INDEX('SummaryNOT_VALIDATED-BL'!$A$1:$F$16,MATCH(R528,'SummaryNOT_VALIDATED-BL'!$A$1:$A$16,0),6),0),IF(S528=TRUE,INDEX('SummaryNOT_VALIDATED-BL'!$A$1:$F$16,MATCH(E528,'SummaryNOT_VALIDATED-BL'!$A$1:$A$16,0),6),0)),0)</f>
        <v>0</v>
      </c>
      <c r="V528" s="81" cm="1">
        <f t="array" ref="V528">INDEX('Weight tables'!$A$24:$C$27,MATCH(1,(RendicontiTrasmessiBL__2[[#This Row],[Cut percentage on real costs + USC]]&gt;='Weight tables'!$B$24:$B$27)*(RendicontiTrasmessiBL__2[[#This Row],[Cut percentage on real costs + USC]]&lt;='Weight tables'!$C$24:$C$27),0),1)</f>
        <v>0</v>
      </c>
      <c r="W528" s="2">
        <f>RendicontiTrasmessiBL__2[[#This Row],[Weight real costs  + USC ]]</f>
        <v>0</v>
      </c>
    </row>
    <row r="529" spans="1:23" x14ac:dyDescent="0.25">
      <c r="A529" s="1" t="s">
        <v>304</v>
      </c>
      <c r="B529" s="1" t="s">
        <v>309</v>
      </c>
      <c r="C529" s="2">
        <v>103</v>
      </c>
      <c r="D529" s="2">
        <v>231</v>
      </c>
      <c r="E529" s="1" t="s">
        <v>233</v>
      </c>
      <c r="G529">
        <v>0</v>
      </c>
      <c r="H529">
        <v>0</v>
      </c>
      <c r="I529">
        <v>0</v>
      </c>
      <c r="J529">
        <v>0</v>
      </c>
      <c r="K529">
        <v>0</v>
      </c>
      <c r="L529">
        <v>0</v>
      </c>
      <c r="M529">
        <v>0</v>
      </c>
      <c r="N529">
        <v>0</v>
      </c>
      <c r="O529">
        <v>0</v>
      </c>
      <c r="P529">
        <v>0</v>
      </c>
      <c r="Q529" t="str">
        <f>INDEX('Partner data'!A:DH,MATCH(C529,'Partner data'!DG:DG,0),83)</f>
        <v>Soggetto pubblico</v>
      </c>
      <c r="R529" t="b">
        <f>IF(E529="staff",IF(INDEX('Partner data'!A:DH,MATCH(C529,'Partner data'!DG:DG,0),112)="BL1 non presente","FALSO",INDEX('Partner data'!A:DH,MATCH(C529,'Partner data'!DG:DG,0),112)))</f>
        <v>0</v>
      </c>
      <c r="S529" t="b">
        <f t="shared" si="16"/>
        <v>0</v>
      </c>
      <c r="T529" t="b">
        <f t="shared" si="17"/>
        <v>1</v>
      </c>
      <c r="U529" s="154">
        <f>IFERROR(IF(R529&lt;&gt;FALSE,IF(S529=TRUE,INDEX('SummaryNOT_VALIDATED-BL'!$A$1:$F$16,MATCH(R529,'SummaryNOT_VALIDATED-BL'!$A$1:$A$16,0),6),0),IF(S529=TRUE,INDEX('SummaryNOT_VALIDATED-BL'!$A$1:$F$16,MATCH(E529,'SummaryNOT_VALIDATED-BL'!$A$1:$A$16,0),6),0)),0)</f>
        <v>0</v>
      </c>
      <c r="V529" s="81" cm="1">
        <f t="array" ref="V529">INDEX('Weight tables'!$A$24:$C$27,MATCH(1,(RendicontiTrasmessiBL__2[[#This Row],[Cut percentage on real costs + USC]]&gt;='Weight tables'!$B$24:$B$27)*(RendicontiTrasmessiBL__2[[#This Row],[Cut percentage on real costs + USC]]&lt;='Weight tables'!$C$24:$C$27),0),1)</f>
        <v>0</v>
      </c>
      <c r="W529" s="2">
        <f>RendicontiTrasmessiBL__2[[#This Row],[Weight real costs  + USC ]]</f>
        <v>0</v>
      </c>
    </row>
    <row r="530" spans="1:23" x14ac:dyDescent="0.25">
      <c r="A530" s="1" t="s">
        <v>304</v>
      </c>
      <c r="B530" s="1" t="s">
        <v>309</v>
      </c>
      <c r="C530" s="2">
        <v>103</v>
      </c>
      <c r="D530" s="2">
        <v>231</v>
      </c>
      <c r="E530" s="1" t="s">
        <v>234</v>
      </c>
      <c r="F530">
        <v>40</v>
      </c>
      <c r="G530">
        <v>38831.18</v>
      </c>
      <c r="H530">
        <v>0</v>
      </c>
      <c r="I530">
        <v>0</v>
      </c>
      <c r="J530">
        <v>7213.56</v>
      </c>
      <c r="K530">
        <v>0</v>
      </c>
      <c r="L530">
        <v>6891.14</v>
      </c>
      <c r="M530">
        <v>7213.56</v>
      </c>
      <c r="N530">
        <v>18.579999999999998</v>
      </c>
      <c r="O530">
        <v>31617.62</v>
      </c>
      <c r="P530">
        <v>0</v>
      </c>
      <c r="Q530" t="str">
        <f>INDEX('Partner data'!A:DH,MATCH(C530,'Partner data'!DG:DG,0),83)</f>
        <v>Soggetto pubblico</v>
      </c>
      <c r="R530" t="b">
        <f>IF(E530="staff",IF(INDEX('Partner data'!A:DH,MATCH(C530,'Partner data'!DG:DG,0),112)="BL1 non presente","FALSO",INDEX('Partner data'!A:DH,MATCH(C530,'Partner data'!DG:DG,0),112)))</f>
        <v>0</v>
      </c>
      <c r="S530" t="b">
        <f t="shared" si="16"/>
        <v>1</v>
      </c>
      <c r="T530" t="b">
        <f t="shared" si="17"/>
        <v>1</v>
      </c>
      <c r="U530" s="154">
        <f>IFERROR(IF(R530&lt;&gt;FALSE,IF(S530=TRUE,INDEX('SummaryNOT_VALIDATED-BL'!$A$1:$F$16,MATCH(R530,'SummaryNOT_VALIDATED-BL'!$A$1:$A$16,0),6),0),IF(S530=TRUE,INDEX('SummaryNOT_VALIDATED-BL'!$A$1:$F$16,MATCH(E530,'SummaryNOT_VALIDATED-BL'!$A$1:$A$16,0),6),0)),0)</f>
        <v>8.7645339819521315E-2</v>
      </c>
      <c r="V530" s="81" cm="1">
        <f t="array" ref="V530">INDEX('Weight tables'!$A$24:$C$27,MATCH(1,(RendicontiTrasmessiBL__2[[#This Row],[Cut percentage on real costs + USC]]&gt;='Weight tables'!$B$24:$B$27)*(RendicontiTrasmessiBL__2[[#This Row],[Cut percentage on real costs + USC]]&lt;='Weight tables'!$C$24:$C$27),0),1)</f>
        <v>4</v>
      </c>
      <c r="W530" s="2">
        <f>RendicontiTrasmessiBL__2[[#This Row],[Weight real costs  + USC ]]</f>
        <v>4</v>
      </c>
    </row>
    <row r="531" spans="1:23" x14ac:dyDescent="0.25">
      <c r="A531" s="1" t="s">
        <v>304</v>
      </c>
      <c r="B531" s="1" t="s">
        <v>309</v>
      </c>
      <c r="C531" s="2">
        <v>103</v>
      </c>
      <c r="D531" s="2">
        <v>231</v>
      </c>
      <c r="E531" s="1" t="s">
        <v>236</v>
      </c>
      <c r="G531">
        <v>0</v>
      </c>
      <c r="H531">
        <v>0</v>
      </c>
      <c r="I531">
        <v>0</v>
      </c>
      <c r="J531">
        <v>0</v>
      </c>
      <c r="K531">
        <v>0</v>
      </c>
      <c r="L531">
        <v>0</v>
      </c>
      <c r="M531">
        <v>0</v>
      </c>
      <c r="N531">
        <v>0</v>
      </c>
      <c r="O531">
        <v>0</v>
      </c>
      <c r="P531">
        <v>0</v>
      </c>
      <c r="Q531" t="str">
        <f>INDEX('Partner data'!A:DH,MATCH(C531,'Partner data'!DG:DG,0),83)</f>
        <v>Soggetto pubblico</v>
      </c>
      <c r="R531" t="b">
        <f>IF(E531="staff",IF(INDEX('Partner data'!A:DH,MATCH(C531,'Partner data'!DG:DG,0),112)="BL1 non presente","FALSO",INDEX('Partner data'!A:DH,MATCH(C531,'Partner data'!DG:DG,0),112)))</f>
        <v>0</v>
      </c>
      <c r="S531" t="b">
        <f t="shared" si="16"/>
        <v>0</v>
      </c>
      <c r="T531" t="b">
        <f t="shared" si="17"/>
        <v>1</v>
      </c>
      <c r="U531" s="154">
        <f>IFERROR(IF(R531&lt;&gt;FALSE,IF(S531=TRUE,INDEX('SummaryNOT_VALIDATED-BL'!$A$1:$F$16,MATCH(R531,'SummaryNOT_VALIDATED-BL'!$A$1:$A$16,0),6),0),IF(S531=TRUE,INDEX('SummaryNOT_VALIDATED-BL'!$A$1:$F$16,MATCH(E531,'SummaryNOT_VALIDATED-BL'!$A$1:$A$16,0),6),0)),0)</f>
        <v>0</v>
      </c>
      <c r="V531" s="81" cm="1">
        <f t="array" ref="V531">INDEX('Weight tables'!$A$24:$C$27,MATCH(1,(RendicontiTrasmessiBL__2[[#This Row],[Cut percentage on real costs + USC]]&gt;='Weight tables'!$B$24:$B$27)*(RendicontiTrasmessiBL__2[[#This Row],[Cut percentage on real costs + USC]]&lt;='Weight tables'!$C$24:$C$27),0),1)</f>
        <v>0</v>
      </c>
      <c r="W531" s="2">
        <f>RendicontiTrasmessiBL__2[[#This Row],[Weight real costs  + USC ]]</f>
        <v>0</v>
      </c>
    </row>
    <row r="532" spans="1:23" x14ac:dyDescent="0.25">
      <c r="A532" s="1" t="s">
        <v>304</v>
      </c>
      <c r="B532" s="1" t="s">
        <v>309</v>
      </c>
      <c r="C532" s="2">
        <v>103</v>
      </c>
      <c r="D532" s="2">
        <v>231</v>
      </c>
      <c r="E532" s="1" t="s">
        <v>237</v>
      </c>
      <c r="G532">
        <v>0</v>
      </c>
      <c r="H532">
        <v>0</v>
      </c>
      <c r="I532">
        <v>0</v>
      </c>
      <c r="J532">
        <v>0</v>
      </c>
      <c r="K532">
        <v>0</v>
      </c>
      <c r="L532">
        <v>0</v>
      </c>
      <c r="M532">
        <v>0</v>
      </c>
      <c r="N532">
        <v>0</v>
      </c>
      <c r="O532">
        <v>0</v>
      </c>
      <c r="P532">
        <v>0</v>
      </c>
      <c r="Q532" t="str">
        <f>INDEX('Partner data'!A:DH,MATCH(C532,'Partner data'!DG:DG,0),83)</f>
        <v>Soggetto pubblico</v>
      </c>
      <c r="R532" t="b">
        <f>IF(E532="staff",IF(INDEX('Partner data'!A:DH,MATCH(C532,'Partner data'!DG:DG,0),112)="BL1 non presente","FALSO",INDEX('Partner data'!A:DH,MATCH(C532,'Partner data'!DG:DG,0),112)))</f>
        <v>0</v>
      </c>
      <c r="S532" t="b">
        <f t="shared" si="16"/>
        <v>0</v>
      </c>
      <c r="T532" t="b">
        <f t="shared" si="17"/>
        <v>1</v>
      </c>
      <c r="U532" s="154">
        <f>IFERROR(IF(R532&lt;&gt;FALSE,IF(S532=TRUE,INDEX('SummaryNOT_VALIDATED-BL'!$A$1:$F$16,MATCH(R532,'SummaryNOT_VALIDATED-BL'!$A$1:$A$16,0),6),0),IF(S532=TRUE,INDEX('SummaryNOT_VALIDATED-BL'!$A$1:$F$16,MATCH(E532,'SummaryNOT_VALIDATED-BL'!$A$1:$A$16,0),6),0)),0)</f>
        <v>0</v>
      </c>
      <c r="V532" s="81" cm="1">
        <f t="array" ref="V532">INDEX('Weight tables'!$A$24:$C$27,MATCH(1,(RendicontiTrasmessiBL__2[[#This Row],[Cut percentage on real costs + USC]]&gt;='Weight tables'!$B$24:$B$27)*(RendicontiTrasmessiBL__2[[#This Row],[Cut percentage on real costs + USC]]&lt;='Weight tables'!$C$24:$C$27),0),1)</f>
        <v>0</v>
      </c>
      <c r="W532" s="2">
        <f>RendicontiTrasmessiBL__2[[#This Row],[Weight real costs  + USC ]]</f>
        <v>0</v>
      </c>
    </row>
    <row r="533" spans="1:23" x14ac:dyDescent="0.25">
      <c r="A533" s="1" t="s">
        <v>346</v>
      </c>
      <c r="B533" s="1" t="s">
        <v>347</v>
      </c>
      <c r="C533" s="2">
        <v>293</v>
      </c>
      <c r="D533" s="2">
        <v>296</v>
      </c>
      <c r="E533" s="1" t="s">
        <v>228</v>
      </c>
      <c r="F533">
        <v>20</v>
      </c>
      <c r="G533">
        <v>23000</v>
      </c>
      <c r="H533">
        <v>0</v>
      </c>
      <c r="I533">
        <v>0</v>
      </c>
      <c r="J533">
        <v>195</v>
      </c>
      <c r="K533">
        <v>0</v>
      </c>
      <c r="L533">
        <v>195</v>
      </c>
      <c r="M533">
        <v>195</v>
      </c>
      <c r="N533">
        <v>0.85</v>
      </c>
      <c r="O533">
        <v>22805</v>
      </c>
      <c r="P533">
        <v>0</v>
      </c>
      <c r="Q533" t="str">
        <f>INDEX('Partner data'!A:DH,MATCH(C533,'Partner data'!DG:DG,0),83)</f>
        <v>Soggetto pubblico</v>
      </c>
      <c r="R533" t="str">
        <f>IF(E533="staff",IF(INDEX('Partner data'!A:DH,MATCH(C533,'Partner data'!DG:DG,0),112)="BL1 non presente","FALSO",INDEX('Partner data'!A:DH,MATCH(C533,'Partner data'!DG:DG,0),112)))</f>
        <v>Tasso Forfettario 20%</v>
      </c>
      <c r="S533" t="b">
        <f t="shared" si="16"/>
        <v>1</v>
      </c>
      <c r="T533" t="b">
        <f t="shared" si="17"/>
        <v>1</v>
      </c>
      <c r="U533" s="154">
        <f>IFERROR(IF(R533&lt;&gt;FALSE,IF(S533=TRUE,INDEX('SummaryNOT_VALIDATED-BL'!$A$1:$F$16,MATCH(R533,'SummaryNOT_VALIDATED-BL'!$A$1:$A$16,0),6),0),IF(S533=TRUE,INDEX('SummaryNOT_VALIDATED-BL'!$A$1:$F$16,MATCH(E533,'SummaryNOT_VALIDATED-BL'!$A$1:$A$16,0),6),0)),0)</f>
        <v>1.2653355650533233E-2</v>
      </c>
      <c r="V533" s="81" cm="1">
        <f t="array" ref="V533">INDEX('Weight tables'!$A$24:$C$27,MATCH(1,(RendicontiTrasmessiBL__2[[#This Row],[Cut percentage on real costs + USC]]&gt;='Weight tables'!$B$24:$B$27)*(RendicontiTrasmessiBL__2[[#This Row],[Cut percentage on real costs + USC]]&lt;='Weight tables'!$C$24:$C$27),0),1)</f>
        <v>0</v>
      </c>
      <c r="W533" s="2">
        <f>RendicontiTrasmessiBL__2[[#This Row],[Weight real costs  + USC ]]</f>
        <v>0</v>
      </c>
    </row>
    <row r="534" spans="1:23" x14ac:dyDescent="0.25">
      <c r="A534" s="1" t="s">
        <v>346</v>
      </c>
      <c r="B534" s="1" t="s">
        <v>347</v>
      </c>
      <c r="C534" s="2">
        <v>293</v>
      </c>
      <c r="D534" s="2">
        <v>296</v>
      </c>
      <c r="E534" s="1" t="s">
        <v>229</v>
      </c>
      <c r="F534">
        <v>15</v>
      </c>
      <c r="G534">
        <v>3450</v>
      </c>
      <c r="H534">
        <v>0</v>
      </c>
      <c r="I534">
        <v>0</v>
      </c>
      <c r="J534">
        <v>29.25</v>
      </c>
      <c r="K534">
        <v>0</v>
      </c>
      <c r="L534">
        <v>29.25</v>
      </c>
      <c r="M534">
        <v>29.25</v>
      </c>
      <c r="N534">
        <v>0.85</v>
      </c>
      <c r="O534">
        <v>3420.75</v>
      </c>
      <c r="P534">
        <v>0</v>
      </c>
      <c r="Q534" t="str">
        <f>INDEX('Partner data'!A:DH,MATCH(C534,'Partner data'!DG:DG,0),83)</f>
        <v>Soggetto pubblico</v>
      </c>
      <c r="R534" t="b">
        <f>IF(E534="staff",IF(INDEX('Partner data'!A:DH,MATCH(C534,'Partner data'!DG:DG,0),112)="BL1 non presente","FALSO",INDEX('Partner data'!A:DH,MATCH(C534,'Partner data'!DG:DG,0),112)))</f>
        <v>0</v>
      </c>
      <c r="S534" t="b">
        <f t="shared" si="16"/>
        <v>1</v>
      </c>
      <c r="T534" t="b">
        <f t="shared" si="17"/>
        <v>1</v>
      </c>
      <c r="U534" s="154">
        <f>IFERROR(IF(R534&lt;&gt;FALSE,IF(S534=TRUE,INDEX('SummaryNOT_VALIDATED-BL'!$A$1:$F$16,MATCH(R534,'SummaryNOT_VALIDATED-BL'!$A$1:$A$16,0),6),0),IF(S534=TRUE,INDEX('SummaryNOT_VALIDATED-BL'!$A$1:$F$16,MATCH(E534,'SummaryNOT_VALIDATED-BL'!$A$1:$A$16,0),6),0)),0)</f>
        <v>6.6460469504890221E-2</v>
      </c>
      <c r="V534" s="81" cm="1">
        <f t="array" ref="V534">INDEX('Weight tables'!$A$24:$C$27,MATCH(1,(RendicontiTrasmessiBL__2[[#This Row],[Cut percentage on real costs + USC]]&gt;='Weight tables'!$B$24:$B$27)*(RendicontiTrasmessiBL__2[[#This Row],[Cut percentage on real costs + USC]]&lt;='Weight tables'!$C$24:$C$27),0),1)</f>
        <v>4</v>
      </c>
      <c r="W534" s="2">
        <f>RendicontiTrasmessiBL__2[[#This Row],[Weight real costs  + USC ]]</f>
        <v>4</v>
      </c>
    </row>
    <row r="535" spans="1:23" x14ac:dyDescent="0.25">
      <c r="A535" s="1" t="s">
        <v>346</v>
      </c>
      <c r="B535" s="1" t="s">
        <v>347</v>
      </c>
      <c r="C535" s="2">
        <v>293</v>
      </c>
      <c r="D535" s="2">
        <v>296</v>
      </c>
      <c r="E535" s="1" t="s">
        <v>230</v>
      </c>
      <c r="F535">
        <v>4</v>
      </c>
      <c r="G535">
        <v>920</v>
      </c>
      <c r="H535">
        <v>0</v>
      </c>
      <c r="I535">
        <v>0</v>
      </c>
      <c r="J535">
        <v>7.8</v>
      </c>
      <c r="K535">
        <v>0</v>
      </c>
      <c r="L535">
        <v>7.8</v>
      </c>
      <c r="M535">
        <v>7.8</v>
      </c>
      <c r="N535">
        <v>0.85</v>
      </c>
      <c r="O535">
        <v>912.2</v>
      </c>
      <c r="P535">
        <v>0</v>
      </c>
      <c r="Q535" t="str">
        <f>INDEX('Partner data'!A:DH,MATCH(C535,'Partner data'!DG:DG,0),83)</f>
        <v>Soggetto pubblico</v>
      </c>
      <c r="R535" t="b">
        <f>IF(E535="staff",IF(INDEX('Partner data'!A:DH,MATCH(C535,'Partner data'!DG:DG,0),112)="BL1 non presente","FALSO",INDEX('Partner data'!A:DH,MATCH(C535,'Partner data'!DG:DG,0),112)))</f>
        <v>0</v>
      </c>
      <c r="S535" t="b">
        <f t="shared" si="16"/>
        <v>1</v>
      </c>
      <c r="T535" t="b">
        <f t="shared" si="17"/>
        <v>1</v>
      </c>
      <c r="U535" s="154">
        <f>IFERROR(IF(R535&lt;&gt;FALSE,IF(S535=TRUE,INDEX('SummaryNOT_VALIDATED-BL'!$A$1:$F$16,MATCH(R535,'SummaryNOT_VALIDATED-BL'!$A$1:$A$16,0),6),0),IF(S535=TRUE,INDEX('SummaryNOT_VALIDATED-BL'!$A$1:$F$16,MATCH(E535,'SummaryNOT_VALIDATED-BL'!$A$1:$A$16,0),6),0)),0)</f>
        <v>6.3112622236488891E-2</v>
      </c>
      <c r="V535" s="81" cm="1">
        <f t="array" ref="V535">INDEX('Weight tables'!$A$24:$C$27,MATCH(1,(RendicontiTrasmessiBL__2[[#This Row],[Cut percentage on real costs + USC]]&gt;='Weight tables'!$B$24:$B$27)*(RendicontiTrasmessiBL__2[[#This Row],[Cut percentage on real costs + USC]]&lt;='Weight tables'!$C$24:$C$27),0),1)</f>
        <v>4</v>
      </c>
      <c r="W535" s="2">
        <f>RendicontiTrasmessiBL__2[[#This Row],[Weight real costs  + USC ]]</f>
        <v>4</v>
      </c>
    </row>
    <row r="536" spans="1:23" x14ac:dyDescent="0.25">
      <c r="A536" s="1" t="s">
        <v>346</v>
      </c>
      <c r="B536" s="1" t="s">
        <v>347</v>
      </c>
      <c r="C536" s="2">
        <v>293</v>
      </c>
      <c r="D536" s="2">
        <v>296</v>
      </c>
      <c r="E536" s="1" t="s">
        <v>231</v>
      </c>
      <c r="G536">
        <v>25000</v>
      </c>
      <c r="H536">
        <v>0</v>
      </c>
      <c r="I536">
        <v>0</v>
      </c>
      <c r="J536">
        <v>975</v>
      </c>
      <c r="K536">
        <v>0</v>
      </c>
      <c r="L536">
        <v>975</v>
      </c>
      <c r="M536">
        <v>975</v>
      </c>
      <c r="N536">
        <v>3.9</v>
      </c>
      <c r="O536">
        <v>24025</v>
      </c>
      <c r="P536">
        <v>0</v>
      </c>
      <c r="Q536" t="str">
        <f>INDEX('Partner data'!A:DH,MATCH(C536,'Partner data'!DG:DG,0),83)</f>
        <v>Soggetto pubblico</v>
      </c>
      <c r="R536" t="b">
        <f>IF(E536="staff",IF(INDEX('Partner data'!A:DH,MATCH(C536,'Partner data'!DG:DG,0),112)="BL1 non presente","FALSO",INDEX('Partner data'!A:DH,MATCH(C536,'Partner data'!DG:DG,0),112)))</f>
        <v>0</v>
      </c>
      <c r="S536" t="b">
        <f t="shared" si="16"/>
        <v>1</v>
      </c>
      <c r="T536" t="b">
        <f t="shared" si="17"/>
        <v>1</v>
      </c>
      <c r="U536" s="154">
        <f>IFERROR(IF(R536&lt;&gt;FALSE,IF(S536=TRUE,INDEX('SummaryNOT_VALIDATED-BL'!$A$1:$F$16,MATCH(R536,'SummaryNOT_VALIDATED-BL'!$A$1:$A$16,0),6),0),IF(S536=TRUE,INDEX('SummaryNOT_VALIDATED-BL'!$A$1:$F$16,MATCH(E536,'SummaryNOT_VALIDATED-BL'!$A$1:$A$16,0),6),0)),0)</f>
        <v>5.577594442215475E-2</v>
      </c>
      <c r="V536" s="81" cm="1">
        <f t="array" ref="V536">INDEX('Weight tables'!$A$24:$C$27,MATCH(1,(RendicontiTrasmessiBL__2[[#This Row],[Cut percentage on real costs + USC]]&gt;='Weight tables'!$B$24:$B$27)*(RendicontiTrasmessiBL__2[[#This Row],[Cut percentage on real costs + USC]]&lt;='Weight tables'!$C$24:$C$27),0),1)</f>
        <v>4</v>
      </c>
      <c r="W536" s="2">
        <f>RendicontiTrasmessiBL__2[[#This Row],[Weight real costs  + USC ]]</f>
        <v>4</v>
      </c>
    </row>
    <row r="537" spans="1:23" x14ac:dyDescent="0.25">
      <c r="A537" s="1" t="s">
        <v>346</v>
      </c>
      <c r="B537" s="1" t="s">
        <v>347</v>
      </c>
      <c r="C537" s="2">
        <v>293</v>
      </c>
      <c r="D537" s="2">
        <v>296</v>
      </c>
      <c r="E537" s="1" t="s">
        <v>232</v>
      </c>
      <c r="G537">
        <v>90000</v>
      </c>
      <c r="H537">
        <v>0</v>
      </c>
      <c r="I537">
        <v>0</v>
      </c>
      <c r="J537">
        <v>0</v>
      </c>
      <c r="K537">
        <v>0</v>
      </c>
      <c r="L537">
        <v>0</v>
      </c>
      <c r="M537">
        <v>0</v>
      </c>
      <c r="N537">
        <v>0</v>
      </c>
      <c r="O537">
        <v>90000</v>
      </c>
      <c r="P537">
        <v>0</v>
      </c>
      <c r="Q537" t="str">
        <f>INDEX('Partner data'!A:DH,MATCH(C537,'Partner data'!DG:DG,0),83)</f>
        <v>Soggetto pubblico</v>
      </c>
      <c r="R537" t="b">
        <f>IF(E537="staff",IF(INDEX('Partner data'!A:DH,MATCH(C537,'Partner data'!DG:DG,0),112)="BL1 non presente","FALSO",INDEX('Partner data'!A:DH,MATCH(C537,'Partner data'!DG:DG,0),112)))</f>
        <v>0</v>
      </c>
      <c r="S537" t="b">
        <f t="shared" si="16"/>
        <v>0</v>
      </c>
      <c r="T537" t="b">
        <f t="shared" si="17"/>
        <v>1</v>
      </c>
      <c r="U537" s="154">
        <f>IFERROR(IF(R537&lt;&gt;FALSE,IF(S537=TRUE,INDEX('SummaryNOT_VALIDATED-BL'!$A$1:$F$16,MATCH(R537,'SummaryNOT_VALIDATED-BL'!$A$1:$A$16,0),6),0),IF(S537=TRUE,INDEX('SummaryNOT_VALIDATED-BL'!$A$1:$F$16,MATCH(E537,'SummaryNOT_VALIDATED-BL'!$A$1:$A$16,0),6),0)),0)</f>
        <v>0</v>
      </c>
      <c r="V537" s="81" cm="1">
        <f t="array" ref="V537">INDEX('Weight tables'!$A$24:$C$27,MATCH(1,(RendicontiTrasmessiBL__2[[#This Row],[Cut percentage on real costs + USC]]&gt;='Weight tables'!$B$24:$B$27)*(RendicontiTrasmessiBL__2[[#This Row],[Cut percentage on real costs + USC]]&lt;='Weight tables'!$C$24:$C$27),0),1)</f>
        <v>0</v>
      </c>
      <c r="W537" s="2">
        <f>RendicontiTrasmessiBL__2[[#This Row],[Weight real costs  + USC ]]</f>
        <v>0</v>
      </c>
    </row>
    <row r="538" spans="1:23" x14ac:dyDescent="0.25">
      <c r="A538" s="1" t="s">
        <v>346</v>
      </c>
      <c r="B538" s="1" t="s">
        <v>347</v>
      </c>
      <c r="C538" s="2">
        <v>293</v>
      </c>
      <c r="D538" s="2">
        <v>296</v>
      </c>
      <c r="E538" s="1" t="s">
        <v>233</v>
      </c>
      <c r="G538">
        <v>0</v>
      </c>
      <c r="H538">
        <v>0</v>
      </c>
      <c r="I538">
        <v>0</v>
      </c>
      <c r="J538">
        <v>0</v>
      </c>
      <c r="K538">
        <v>0</v>
      </c>
      <c r="L538">
        <v>0</v>
      </c>
      <c r="M538">
        <v>0</v>
      </c>
      <c r="N538">
        <v>0</v>
      </c>
      <c r="O538">
        <v>0</v>
      </c>
      <c r="P538">
        <v>0</v>
      </c>
      <c r="Q538" t="str">
        <f>INDEX('Partner data'!A:DH,MATCH(C538,'Partner data'!DG:DG,0),83)</f>
        <v>Soggetto pubblico</v>
      </c>
      <c r="R538" t="b">
        <f>IF(E538="staff",IF(INDEX('Partner data'!A:DH,MATCH(C538,'Partner data'!DG:DG,0),112)="BL1 non presente","FALSO",INDEX('Partner data'!A:DH,MATCH(C538,'Partner data'!DG:DG,0),112)))</f>
        <v>0</v>
      </c>
      <c r="S538" t="b">
        <f t="shared" si="16"/>
        <v>0</v>
      </c>
      <c r="T538" t="b">
        <f t="shared" si="17"/>
        <v>1</v>
      </c>
      <c r="U538" s="154">
        <f>IFERROR(IF(R538&lt;&gt;FALSE,IF(S538=TRUE,INDEX('SummaryNOT_VALIDATED-BL'!$A$1:$F$16,MATCH(R538,'SummaryNOT_VALIDATED-BL'!$A$1:$A$16,0),6),0),IF(S538=TRUE,INDEX('SummaryNOT_VALIDATED-BL'!$A$1:$F$16,MATCH(E538,'SummaryNOT_VALIDATED-BL'!$A$1:$A$16,0),6),0)),0)</f>
        <v>0</v>
      </c>
      <c r="V538" s="81" cm="1">
        <f t="array" ref="V538">INDEX('Weight tables'!$A$24:$C$27,MATCH(1,(RendicontiTrasmessiBL__2[[#This Row],[Cut percentage on real costs + USC]]&gt;='Weight tables'!$B$24:$B$27)*(RendicontiTrasmessiBL__2[[#This Row],[Cut percentage on real costs + USC]]&lt;='Weight tables'!$C$24:$C$27),0),1)</f>
        <v>0</v>
      </c>
      <c r="W538" s="2">
        <f>RendicontiTrasmessiBL__2[[#This Row],[Weight real costs  + USC ]]</f>
        <v>0</v>
      </c>
    </row>
    <row r="539" spans="1:23" x14ac:dyDescent="0.25">
      <c r="A539" s="1" t="s">
        <v>346</v>
      </c>
      <c r="B539" s="1" t="s">
        <v>347</v>
      </c>
      <c r="C539" s="2">
        <v>293</v>
      </c>
      <c r="D539" s="2">
        <v>296</v>
      </c>
      <c r="E539" s="1" t="s">
        <v>234</v>
      </c>
      <c r="G539">
        <v>0</v>
      </c>
      <c r="H539">
        <v>0</v>
      </c>
      <c r="I539">
        <v>0</v>
      </c>
      <c r="J539">
        <v>0</v>
      </c>
      <c r="K539">
        <v>0</v>
      </c>
      <c r="L539">
        <v>0</v>
      </c>
      <c r="M539">
        <v>0</v>
      </c>
      <c r="N539">
        <v>0</v>
      </c>
      <c r="O539">
        <v>0</v>
      </c>
      <c r="P539">
        <v>0</v>
      </c>
      <c r="Q539" t="str">
        <f>INDEX('Partner data'!A:DH,MATCH(C539,'Partner data'!DG:DG,0),83)</f>
        <v>Soggetto pubblico</v>
      </c>
      <c r="R539" t="b">
        <f>IF(E539="staff",IF(INDEX('Partner data'!A:DH,MATCH(C539,'Partner data'!DG:DG,0),112)="BL1 non presente","FALSO",INDEX('Partner data'!A:DH,MATCH(C539,'Partner data'!DG:DG,0),112)))</f>
        <v>0</v>
      </c>
      <c r="S539" t="b">
        <f t="shared" si="16"/>
        <v>0</v>
      </c>
      <c r="T539" t="b">
        <f t="shared" si="17"/>
        <v>1</v>
      </c>
      <c r="U539" s="154">
        <f>IFERROR(IF(R539&lt;&gt;FALSE,IF(S539=TRUE,INDEX('SummaryNOT_VALIDATED-BL'!$A$1:$F$16,MATCH(R539,'SummaryNOT_VALIDATED-BL'!$A$1:$A$16,0),6),0),IF(S539=TRUE,INDEX('SummaryNOT_VALIDATED-BL'!$A$1:$F$16,MATCH(E539,'SummaryNOT_VALIDATED-BL'!$A$1:$A$16,0),6),0)),0)</f>
        <v>0</v>
      </c>
      <c r="V539" s="81" cm="1">
        <f t="array" ref="V539">INDEX('Weight tables'!$A$24:$C$27,MATCH(1,(RendicontiTrasmessiBL__2[[#This Row],[Cut percentage on real costs + USC]]&gt;='Weight tables'!$B$24:$B$27)*(RendicontiTrasmessiBL__2[[#This Row],[Cut percentage on real costs + USC]]&lt;='Weight tables'!$C$24:$C$27),0),1)</f>
        <v>0</v>
      </c>
      <c r="W539" s="2">
        <f>RendicontiTrasmessiBL__2[[#This Row],[Weight real costs  + USC ]]</f>
        <v>0</v>
      </c>
    </row>
    <row r="540" spans="1:23" x14ac:dyDescent="0.25">
      <c r="A540" s="1" t="s">
        <v>346</v>
      </c>
      <c r="B540" s="1" t="s">
        <v>347</v>
      </c>
      <c r="C540" s="2">
        <v>293</v>
      </c>
      <c r="D540" s="2">
        <v>296</v>
      </c>
      <c r="E540" s="1" t="s">
        <v>236</v>
      </c>
      <c r="G540">
        <v>0</v>
      </c>
      <c r="H540">
        <v>0</v>
      </c>
      <c r="I540">
        <v>0</v>
      </c>
      <c r="J540">
        <v>0</v>
      </c>
      <c r="K540">
        <v>0</v>
      </c>
      <c r="L540">
        <v>0</v>
      </c>
      <c r="M540">
        <v>0</v>
      </c>
      <c r="N540">
        <v>0</v>
      </c>
      <c r="O540">
        <v>0</v>
      </c>
      <c r="P540">
        <v>0</v>
      </c>
      <c r="Q540" t="str">
        <f>INDEX('Partner data'!A:DH,MATCH(C540,'Partner data'!DG:DG,0),83)</f>
        <v>Soggetto pubblico</v>
      </c>
      <c r="R540" t="b">
        <f>IF(E540="staff",IF(INDEX('Partner data'!A:DH,MATCH(C540,'Partner data'!DG:DG,0),112)="BL1 non presente","FALSO",INDEX('Partner data'!A:DH,MATCH(C540,'Partner data'!DG:DG,0),112)))</f>
        <v>0</v>
      </c>
      <c r="S540" t="b">
        <f t="shared" si="16"/>
        <v>0</v>
      </c>
      <c r="T540" t="b">
        <f t="shared" si="17"/>
        <v>1</v>
      </c>
      <c r="U540" s="154">
        <f>IFERROR(IF(R540&lt;&gt;FALSE,IF(S540=TRUE,INDEX('SummaryNOT_VALIDATED-BL'!$A$1:$F$16,MATCH(R540,'SummaryNOT_VALIDATED-BL'!$A$1:$A$16,0),6),0),IF(S540=TRUE,INDEX('SummaryNOT_VALIDATED-BL'!$A$1:$F$16,MATCH(E540,'SummaryNOT_VALIDATED-BL'!$A$1:$A$16,0),6),0)),0)</f>
        <v>0</v>
      </c>
      <c r="V540" s="81" cm="1">
        <f t="array" ref="V540">INDEX('Weight tables'!$A$24:$C$27,MATCH(1,(RendicontiTrasmessiBL__2[[#This Row],[Cut percentage on real costs + USC]]&gt;='Weight tables'!$B$24:$B$27)*(RendicontiTrasmessiBL__2[[#This Row],[Cut percentage on real costs + USC]]&lt;='Weight tables'!$C$24:$C$27),0),1)</f>
        <v>0</v>
      </c>
      <c r="W540" s="2">
        <f>RendicontiTrasmessiBL__2[[#This Row],[Weight real costs  + USC ]]</f>
        <v>0</v>
      </c>
    </row>
    <row r="541" spans="1:23" x14ac:dyDescent="0.25">
      <c r="A541" s="1" t="s">
        <v>346</v>
      </c>
      <c r="B541" s="1" t="s">
        <v>347</v>
      </c>
      <c r="C541" s="2">
        <v>293</v>
      </c>
      <c r="D541" s="2">
        <v>296</v>
      </c>
      <c r="E541" s="1" t="s">
        <v>237</v>
      </c>
      <c r="G541">
        <v>0</v>
      </c>
      <c r="H541">
        <v>0</v>
      </c>
      <c r="I541">
        <v>0</v>
      </c>
      <c r="J541">
        <v>0</v>
      </c>
      <c r="K541">
        <v>0</v>
      </c>
      <c r="L541">
        <v>0</v>
      </c>
      <c r="M541">
        <v>0</v>
      </c>
      <c r="N541">
        <v>0</v>
      </c>
      <c r="O541">
        <v>0</v>
      </c>
      <c r="P541">
        <v>0</v>
      </c>
      <c r="Q541" t="str">
        <f>INDEX('Partner data'!A:DH,MATCH(C541,'Partner data'!DG:DG,0),83)</f>
        <v>Soggetto pubblico</v>
      </c>
      <c r="R541" t="b">
        <f>IF(E541="staff",IF(INDEX('Partner data'!A:DH,MATCH(C541,'Partner data'!DG:DG,0),112)="BL1 non presente","FALSO",INDEX('Partner data'!A:DH,MATCH(C541,'Partner data'!DG:DG,0),112)))</f>
        <v>0</v>
      </c>
      <c r="S541" t="b">
        <f t="shared" si="16"/>
        <v>0</v>
      </c>
      <c r="T541" t="b">
        <f t="shared" si="17"/>
        <v>1</v>
      </c>
      <c r="U541" s="154">
        <f>IFERROR(IF(R541&lt;&gt;FALSE,IF(S541=TRUE,INDEX('SummaryNOT_VALIDATED-BL'!$A$1:$F$16,MATCH(R541,'SummaryNOT_VALIDATED-BL'!$A$1:$A$16,0),6),0),IF(S541=TRUE,INDEX('SummaryNOT_VALIDATED-BL'!$A$1:$F$16,MATCH(E541,'SummaryNOT_VALIDATED-BL'!$A$1:$A$16,0),6),0)),0)</f>
        <v>0</v>
      </c>
      <c r="V541" s="81" cm="1">
        <f t="array" ref="V541">INDEX('Weight tables'!$A$24:$C$27,MATCH(1,(RendicontiTrasmessiBL__2[[#This Row],[Cut percentage on real costs + USC]]&gt;='Weight tables'!$B$24:$B$27)*(RendicontiTrasmessiBL__2[[#This Row],[Cut percentage on real costs + USC]]&lt;='Weight tables'!$C$24:$C$27),0),1)</f>
        <v>0</v>
      </c>
      <c r="W541" s="2">
        <f>RendicontiTrasmessiBL__2[[#This Row],[Weight real costs  + USC ]]</f>
        <v>0</v>
      </c>
    </row>
    <row r="542" spans="1:23" x14ac:dyDescent="0.25">
      <c r="A542" s="1" t="s">
        <v>346</v>
      </c>
      <c r="B542" s="1" t="s">
        <v>348</v>
      </c>
      <c r="C542" s="2">
        <v>295</v>
      </c>
      <c r="D542" s="2">
        <v>190</v>
      </c>
      <c r="E542" s="1" t="s">
        <v>228</v>
      </c>
      <c r="G542">
        <v>60000</v>
      </c>
      <c r="H542">
        <v>0</v>
      </c>
      <c r="I542">
        <v>0</v>
      </c>
      <c r="J542">
        <v>13222.6</v>
      </c>
      <c r="K542">
        <v>0</v>
      </c>
      <c r="L542">
        <v>12501.13</v>
      </c>
      <c r="M542">
        <v>13222.6</v>
      </c>
      <c r="N542">
        <v>22.04</v>
      </c>
      <c r="O542">
        <v>46777.4</v>
      </c>
      <c r="P542">
        <v>0</v>
      </c>
      <c r="Q542" t="str">
        <f>INDEX('Partner data'!A:DH,MATCH(C542,'Partner data'!DG:DG,0),83)</f>
        <v>Soggetto pubblico</v>
      </c>
      <c r="R542" t="str">
        <f>IF(E542="staff",IF(INDEX('Partner data'!A:DH,MATCH(C542,'Partner data'!DG:DG,0),112)="BL1 non presente","FALSO",INDEX('Partner data'!A:DH,MATCH(C542,'Partner data'!DG:DG,0),112)))</f>
        <v>COSTO REALE</v>
      </c>
      <c r="S542" t="b">
        <f t="shared" si="16"/>
        <v>1</v>
      </c>
      <c r="T542" t="b">
        <f t="shared" si="17"/>
        <v>1</v>
      </c>
      <c r="U542" s="154">
        <f>IFERROR(IF(R542&lt;&gt;FALSE,IF(S542=TRUE,INDEX('SummaryNOT_VALIDATED-BL'!$A$1:$F$16,MATCH(R542,'SummaryNOT_VALIDATED-BL'!$A$1:$A$16,0),6),0),IF(S542=TRUE,INDEX('SummaryNOT_VALIDATED-BL'!$A$1:$F$16,MATCH(E542,'SummaryNOT_VALIDATED-BL'!$A$1:$A$16,0),6),0)),0)</f>
        <v>9.1604133276901048E-2</v>
      </c>
      <c r="V542" s="81" cm="1">
        <f t="array" ref="V542">INDEX('Weight tables'!$A$24:$C$27,MATCH(1,(RendicontiTrasmessiBL__2[[#This Row],[Cut percentage on real costs + USC]]&gt;='Weight tables'!$B$24:$B$27)*(RendicontiTrasmessiBL__2[[#This Row],[Cut percentage on real costs + USC]]&lt;='Weight tables'!$C$24:$C$27),0),1)</f>
        <v>4</v>
      </c>
      <c r="W542" s="2">
        <f>RendicontiTrasmessiBL__2[[#This Row],[Weight real costs  + USC ]]</f>
        <v>4</v>
      </c>
    </row>
    <row r="543" spans="1:23" x14ac:dyDescent="0.25">
      <c r="A543" s="1" t="s">
        <v>346</v>
      </c>
      <c r="B543" s="1" t="s">
        <v>348</v>
      </c>
      <c r="C543" s="2">
        <v>295</v>
      </c>
      <c r="D543" s="2">
        <v>190</v>
      </c>
      <c r="E543" s="1" t="s">
        <v>229</v>
      </c>
      <c r="F543">
        <v>15</v>
      </c>
      <c r="G543">
        <v>9000</v>
      </c>
      <c r="H543">
        <v>0</v>
      </c>
      <c r="I543">
        <v>0</v>
      </c>
      <c r="J543">
        <v>1983.39</v>
      </c>
      <c r="K543">
        <v>0</v>
      </c>
      <c r="L543">
        <v>1875.16</v>
      </c>
      <c r="M543">
        <v>1983.39</v>
      </c>
      <c r="N543">
        <v>22.04</v>
      </c>
      <c r="O543">
        <v>7016.61</v>
      </c>
      <c r="P543">
        <v>0</v>
      </c>
      <c r="Q543" t="str">
        <f>INDEX('Partner data'!A:DH,MATCH(C543,'Partner data'!DG:DG,0),83)</f>
        <v>Soggetto pubblico</v>
      </c>
      <c r="R543" t="b">
        <f>IF(E543="staff",IF(INDEX('Partner data'!A:DH,MATCH(C543,'Partner data'!DG:DG,0),112)="BL1 non presente","FALSO",INDEX('Partner data'!A:DH,MATCH(C543,'Partner data'!DG:DG,0),112)))</f>
        <v>0</v>
      </c>
      <c r="S543" t="b">
        <f t="shared" si="16"/>
        <v>1</v>
      </c>
      <c r="T543" t="b">
        <f t="shared" si="17"/>
        <v>1</v>
      </c>
      <c r="U543" s="154">
        <f>IFERROR(IF(R543&lt;&gt;FALSE,IF(S543=TRUE,INDEX('SummaryNOT_VALIDATED-BL'!$A$1:$F$16,MATCH(R543,'SummaryNOT_VALIDATED-BL'!$A$1:$A$16,0),6),0),IF(S543=TRUE,INDEX('SummaryNOT_VALIDATED-BL'!$A$1:$F$16,MATCH(E543,'SummaryNOT_VALIDATED-BL'!$A$1:$A$16,0),6),0)),0)</f>
        <v>6.6460469504890221E-2</v>
      </c>
      <c r="V543" s="81" cm="1">
        <f t="array" ref="V543">INDEX('Weight tables'!$A$24:$C$27,MATCH(1,(RendicontiTrasmessiBL__2[[#This Row],[Cut percentage on real costs + USC]]&gt;='Weight tables'!$B$24:$B$27)*(RendicontiTrasmessiBL__2[[#This Row],[Cut percentage on real costs + USC]]&lt;='Weight tables'!$C$24:$C$27),0),1)</f>
        <v>4</v>
      </c>
      <c r="W543" s="2">
        <f>RendicontiTrasmessiBL__2[[#This Row],[Weight real costs  + USC ]]</f>
        <v>4</v>
      </c>
    </row>
    <row r="544" spans="1:23" x14ac:dyDescent="0.25">
      <c r="A544" s="1" t="s">
        <v>346</v>
      </c>
      <c r="B544" s="1" t="s">
        <v>348</v>
      </c>
      <c r="C544" s="2">
        <v>295</v>
      </c>
      <c r="D544" s="2">
        <v>190</v>
      </c>
      <c r="E544" s="1" t="s">
        <v>230</v>
      </c>
      <c r="F544">
        <v>4</v>
      </c>
      <c r="G544">
        <v>2400</v>
      </c>
      <c r="H544">
        <v>0</v>
      </c>
      <c r="I544">
        <v>0</v>
      </c>
      <c r="J544">
        <v>528.9</v>
      </c>
      <c r="K544">
        <v>0</v>
      </c>
      <c r="L544">
        <v>500.04</v>
      </c>
      <c r="M544">
        <v>528.9</v>
      </c>
      <c r="N544">
        <v>22.04</v>
      </c>
      <c r="O544">
        <v>1871.1</v>
      </c>
      <c r="P544">
        <v>0</v>
      </c>
      <c r="Q544" t="str">
        <f>INDEX('Partner data'!A:DH,MATCH(C544,'Partner data'!DG:DG,0),83)</f>
        <v>Soggetto pubblico</v>
      </c>
      <c r="R544" t="b">
        <f>IF(E544="staff",IF(INDEX('Partner data'!A:DH,MATCH(C544,'Partner data'!DG:DG,0),112)="BL1 non presente","FALSO",INDEX('Partner data'!A:DH,MATCH(C544,'Partner data'!DG:DG,0),112)))</f>
        <v>0</v>
      </c>
      <c r="S544" t="b">
        <f t="shared" si="16"/>
        <v>1</v>
      </c>
      <c r="T544" t="b">
        <f t="shared" si="17"/>
        <v>1</v>
      </c>
      <c r="U544" s="154">
        <f>IFERROR(IF(R544&lt;&gt;FALSE,IF(S544=TRUE,INDEX('SummaryNOT_VALIDATED-BL'!$A$1:$F$16,MATCH(R544,'SummaryNOT_VALIDATED-BL'!$A$1:$A$16,0),6),0),IF(S544=TRUE,INDEX('SummaryNOT_VALIDATED-BL'!$A$1:$F$16,MATCH(E544,'SummaryNOT_VALIDATED-BL'!$A$1:$A$16,0),6),0)),0)</f>
        <v>6.3112622236488891E-2</v>
      </c>
      <c r="V544" s="81" cm="1">
        <f t="array" ref="V544">INDEX('Weight tables'!$A$24:$C$27,MATCH(1,(RendicontiTrasmessiBL__2[[#This Row],[Cut percentage on real costs + USC]]&gt;='Weight tables'!$B$24:$B$27)*(RendicontiTrasmessiBL__2[[#This Row],[Cut percentage on real costs + USC]]&lt;='Weight tables'!$C$24:$C$27),0),1)</f>
        <v>4</v>
      </c>
      <c r="W544" s="2">
        <f>RendicontiTrasmessiBL__2[[#This Row],[Weight real costs  + USC ]]</f>
        <v>4</v>
      </c>
    </row>
    <row r="545" spans="1:23" x14ac:dyDescent="0.25">
      <c r="A545" s="1" t="s">
        <v>346</v>
      </c>
      <c r="B545" s="1" t="s">
        <v>348</v>
      </c>
      <c r="C545" s="2">
        <v>295</v>
      </c>
      <c r="D545" s="2">
        <v>190</v>
      </c>
      <c r="E545" s="1" t="s">
        <v>231</v>
      </c>
      <c r="G545">
        <v>45000</v>
      </c>
      <c r="H545">
        <v>0</v>
      </c>
      <c r="I545">
        <v>0</v>
      </c>
      <c r="J545">
        <v>915</v>
      </c>
      <c r="K545">
        <v>0</v>
      </c>
      <c r="L545">
        <v>915</v>
      </c>
      <c r="M545">
        <v>915</v>
      </c>
      <c r="N545">
        <v>2.0299999999999998</v>
      </c>
      <c r="O545">
        <v>44085</v>
      </c>
      <c r="P545">
        <v>0</v>
      </c>
      <c r="Q545" t="str">
        <f>INDEX('Partner data'!A:DH,MATCH(C545,'Partner data'!DG:DG,0),83)</f>
        <v>Soggetto pubblico</v>
      </c>
      <c r="R545" t="b">
        <f>IF(E545="staff",IF(INDEX('Partner data'!A:DH,MATCH(C545,'Partner data'!DG:DG,0),112)="BL1 non presente","FALSO",INDEX('Partner data'!A:DH,MATCH(C545,'Partner data'!DG:DG,0),112)))</f>
        <v>0</v>
      </c>
      <c r="S545" t="b">
        <f t="shared" si="16"/>
        <v>1</v>
      </c>
      <c r="T545" t="b">
        <f t="shared" si="17"/>
        <v>1</v>
      </c>
      <c r="U545" s="154">
        <f>IFERROR(IF(R545&lt;&gt;FALSE,IF(S545=TRUE,INDEX('SummaryNOT_VALIDATED-BL'!$A$1:$F$16,MATCH(R545,'SummaryNOT_VALIDATED-BL'!$A$1:$A$16,0),6),0),IF(S545=TRUE,INDEX('SummaryNOT_VALIDATED-BL'!$A$1:$F$16,MATCH(E545,'SummaryNOT_VALIDATED-BL'!$A$1:$A$16,0),6),0)),0)</f>
        <v>5.577594442215475E-2</v>
      </c>
      <c r="V545" s="81" cm="1">
        <f t="array" ref="V545">INDEX('Weight tables'!$A$24:$C$27,MATCH(1,(RendicontiTrasmessiBL__2[[#This Row],[Cut percentage on real costs + USC]]&gt;='Weight tables'!$B$24:$B$27)*(RendicontiTrasmessiBL__2[[#This Row],[Cut percentage on real costs + USC]]&lt;='Weight tables'!$C$24:$C$27),0),1)</f>
        <v>4</v>
      </c>
      <c r="W545" s="2">
        <f>RendicontiTrasmessiBL__2[[#This Row],[Weight real costs  + USC ]]</f>
        <v>4</v>
      </c>
    </row>
    <row r="546" spans="1:23" x14ac:dyDescent="0.25">
      <c r="A546" s="1" t="s">
        <v>346</v>
      </c>
      <c r="B546" s="1" t="s">
        <v>348</v>
      </c>
      <c r="C546" s="2">
        <v>295</v>
      </c>
      <c r="D546" s="2">
        <v>190</v>
      </c>
      <c r="E546" s="1" t="s">
        <v>232</v>
      </c>
      <c r="G546">
        <v>0</v>
      </c>
      <c r="H546">
        <v>0</v>
      </c>
      <c r="I546">
        <v>0</v>
      </c>
      <c r="J546">
        <v>0</v>
      </c>
      <c r="K546">
        <v>0</v>
      </c>
      <c r="L546">
        <v>0</v>
      </c>
      <c r="M546">
        <v>0</v>
      </c>
      <c r="N546">
        <v>0</v>
      </c>
      <c r="O546">
        <v>0</v>
      </c>
      <c r="P546">
        <v>0</v>
      </c>
      <c r="Q546" t="str">
        <f>INDEX('Partner data'!A:DH,MATCH(C546,'Partner data'!DG:DG,0),83)</f>
        <v>Soggetto pubblico</v>
      </c>
      <c r="R546" t="b">
        <f>IF(E546="staff",IF(INDEX('Partner data'!A:DH,MATCH(C546,'Partner data'!DG:DG,0),112)="BL1 non presente","FALSO",INDEX('Partner data'!A:DH,MATCH(C546,'Partner data'!DG:DG,0),112)))</f>
        <v>0</v>
      </c>
      <c r="S546" t="b">
        <f t="shared" si="16"/>
        <v>0</v>
      </c>
      <c r="T546" t="b">
        <f t="shared" si="17"/>
        <v>1</v>
      </c>
      <c r="U546" s="154">
        <f>IFERROR(IF(R546&lt;&gt;FALSE,IF(S546=TRUE,INDEX('SummaryNOT_VALIDATED-BL'!$A$1:$F$16,MATCH(R546,'SummaryNOT_VALIDATED-BL'!$A$1:$A$16,0),6),0),IF(S546=TRUE,INDEX('SummaryNOT_VALIDATED-BL'!$A$1:$F$16,MATCH(E546,'SummaryNOT_VALIDATED-BL'!$A$1:$A$16,0),6),0)),0)</f>
        <v>0</v>
      </c>
      <c r="V546" s="81" cm="1">
        <f t="array" ref="V546">INDEX('Weight tables'!$A$24:$C$27,MATCH(1,(RendicontiTrasmessiBL__2[[#This Row],[Cut percentage on real costs + USC]]&gt;='Weight tables'!$B$24:$B$27)*(RendicontiTrasmessiBL__2[[#This Row],[Cut percentage on real costs + USC]]&lt;='Weight tables'!$C$24:$C$27),0),1)</f>
        <v>0</v>
      </c>
      <c r="W546" s="2">
        <f>RendicontiTrasmessiBL__2[[#This Row],[Weight real costs  + USC ]]</f>
        <v>0</v>
      </c>
    </row>
    <row r="547" spans="1:23" x14ac:dyDescent="0.25">
      <c r="A547" s="1" t="s">
        <v>346</v>
      </c>
      <c r="B547" s="1" t="s">
        <v>348</v>
      </c>
      <c r="C547" s="2">
        <v>295</v>
      </c>
      <c r="D547" s="2">
        <v>190</v>
      </c>
      <c r="E547" s="1" t="s">
        <v>233</v>
      </c>
      <c r="G547">
        <v>91110</v>
      </c>
      <c r="H547">
        <v>0</v>
      </c>
      <c r="I547">
        <v>0</v>
      </c>
      <c r="J547">
        <v>873.02</v>
      </c>
      <c r="K547">
        <v>0</v>
      </c>
      <c r="L547">
        <v>873.02</v>
      </c>
      <c r="M547">
        <v>873.02</v>
      </c>
      <c r="N547">
        <v>0.96</v>
      </c>
      <c r="O547">
        <v>90236.98</v>
      </c>
      <c r="P547">
        <v>0</v>
      </c>
      <c r="Q547" t="str">
        <f>INDEX('Partner data'!A:DH,MATCH(C547,'Partner data'!DG:DG,0),83)</f>
        <v>Soggetto pubblico</v>
      </c>
      <c r="R547" t="b">
        <f>IF(E547="staff",IF(INDEX('Partner data'!A:DH,MATCH(C547,'Partner data'!DG:DG,0),112)="BL1 non presente","FALSO",INDEX('Partner data'!A:DH,MATCH(C547,'Partner data'!DG:DG,0),112)))</f>
        <v>0</v>
      </c>
      <c r="S547" t="b">
        <f t="shared" si="16"/>
        <v>1</v>
      </c>
      <c r="T547" t="b">
        <f t="shared" si="17"/>
        <v>1</v>
      </c>
      <c r="U547" s="154">
        <f>IFERROR(IF(R547&lt;&gt;FALSE,IF(S547=TRUE,INDEX('SummaryNOT_VALIDATED-BL'!$A$1:$F$16,MATCH(R547,'SummaryNOT_VALIDATED-BL'!$A$1:$A$16,0),6),0),IF(S547=TRUE,INDEX('SummaryNOT_VALIDATED-BL'!$A$1:$F$16,MATCH(E547,'SummaryNOT_VALIDATED-BL'!$A$1:$A$16,0),6),0)),0)</f>
        <v>0</v>
      </c>
      <c r="V547" s="81" cm="1">
        <f t="array" ref="V547">INDEX('Weight tables'!$A$24:$C$27,MATCH(1,(RendicontiTrasmessiBL__2[[#This Row],[Cut percentage on real costs + USC]]&gt;='Weight tables'!$B$24:$B$27)*(RendicontiTrasmessiBL__2[[#This Row],[Cut percentage on real costs + USC]]&lt;='Weight tables'!$C$24:$C$27),0),1)</f>
        <v>0</v>
      </c>
      <c r="W547" s="2">
        <f>RendicontiTrasmessiBL__2[[#This Row],[Weight real costs  + USC ]]</f>
        <v>0</v>
      </c>
    </row>
    <row r="548" spans="1:23" x14ac:dyDescent="0.25">
      <c r="A548" s="1" t="s">
        <v>346</v>
      </c>
      <c r="B548" s="1" t="s">
        <v>348</v>
      </c>
      <c r="C548" s="2">
        <v>295</v>
      </c>
      <c r="D548" s="2">
        <v>190</v>
      </c>
      <c r="E548" s="1" t="s">
        <v>234</v>
      </c>
      <c r="G548">
        <v>0</v>
      </c>
      <c r="H548">
        <v>0</v>
      </c>
      <c r="I548">
        <v>0</v>
      </c>
      <c r="J548">
        <v>0</v>
      </c>
      <c r="K548">
        <v>0</v>
      </c>
      <c r="L548">
        <v>0</v>
      </c>
      <c r="M548">
        <v>0</v>
      </c>
      <c r="N548">
        <v>0</v>
      </c>
      <c r="O548">
        <v>0</v>
      </c>
      <c r="P548">
        <v>0</v>
      </c>
      <c r="Q548" t="str">
        <f>INDEX('Partner data'!A:DH,MATCH(C548,'Partner data'!DG:DG,0),83)</f>
        <v>Soggetto pubblico</v>
      </c>
      <c r="R548" t="b">
        <f>IF(E548="staff",IF(INDEX('Partner data'!A:DH,MATCH(C548,'Partner data'!DG:DG,0),112)="BL1 non presente","FALSO",INDEX('Partner data'!A:DH,MATCH(C548,'Partner data'!DG:DG,0),112)))</f>
        <v>0</v>
      </c>
      <c r="S548" t="b">
        <f t="shared" si="16"/>
        <v>0</v>
      </c>
      <c r="T548" t="b">
        <f t="shared" si="17"/>
        <v>1</v>
      </c>
      <c r="U548" s="154">
        <f>IFERROR(IF(R548&lt;&gt;FALSE,IF(S548=TRUE,INDEX('SummaryNOT_VALIDATED-BL'!$A$1:$F$16,MATCH(R548,'SummaryNOT_VALIDATED-BL'!$A$1:$A$16,0),6),0),IF(S548=TRUE,INDEX('SummaryNOT_VALIDATED-BL'!$A$1:$F$16,MATCH(E548,'SummaryNOT_VALIDATED-BL'!$A$1:$A$16,0),6),0)),0)</f>
        <v>0</v>
      </c>
      <c r="V548" s="81" cm="1">
        <f t="array" ref="V548">INDEX('Weight tables'!$A$24:$C$27,MATCH(1,(RendicontiTrasmessiBL__2[[#This Row],[Cut percentage on real costs + USC]]&gt;='Weight tables'!$B$24:$B$27)*(RendicontiTrasmessiBL__2[[#This Row],[Cut percentage on real costs + USC]]&lt;='Weight tables'!$C$24:$C$27),0),1)</f>
        <v>0</v>
      </c>
      <c r="W548" s="2">
        <f>RendicontiTrasmessiBL__2[[#This Row],[Weight real costs  + USC ]]</f>
        <v>0</v>
      </c>
    </row>
    <row r="549" spans="1:23" x14ac:dyDescent="0.25">
      <c r="A549" s="1" t="s">
        <v>346</v>
      </c>
      <c r="B549" s="1" t="s">
        <v>348</v>
      </c>
      <c r="C549" s="2">
        <v>295</v>
      </c>
      <c r="D549" s="2">
        <v>190</v>
      </c>
      <c r="E549" s="1" t="s">
        <v>236</v>
      </c>
      <c r="G549">
        <v>0</v>
      </c>
      <c r="H549">
        <v>0</v>
      </c>
      <c r="I549">
        <v>0</v>
      </c>
      <c r="J549">
        <v>0</v>
      </c>
      <c r="K549">
        <v>0</v>
      </c>
      <c r="L549">
        <v>0</v>
      </c>
      <c r="M549">
        <v>0</v>
      </c>
      <c r="N549">
        <v>0</v>
      </c>
      <c r="O549">
        <v>0</v>
      </c>
      <c r="P549">
        <v>0</v>
      </c>
      <c r="Q549" t="str">
        <f>INDEX('Partner data'!A:DH,MATCH(C549,'Partner data'!DG:DG,0),83)</f>
        <v>Soggetto pubblico</v>
      </c>
      <c r="R549" t="b">
        <f>IF(E549="staff",IF(INDEX('Partner data'!A:DH,MATCH(C549,'Partner data'!DG:DG,0),112)="BL1 non presente","FALSO",INDEX('Partner data'!A:DH,MATCH(C549,'Partner data'!DG:DG,0),112)))</f>
        <v>0</v>
      </c>
      <c r="S549" t="b">
        <f t="shared" si="16"/>
        <v>0</v>
      </c>
      <c r="T549" t="b">
        <f t="shared" si="17"/>
        <v>1</v>
      </c>
      <c r="U549" s="154">
        <f>IFERROR(IF(R549&lt;&gt;FALSE,IF(S549=TRUE,INDEX('SummaryNOT_VALIDATED-BL'!$A$1:$F$16,MATCH(R549,'SummaryNOT_VALIDATED-BL'!$A$1:$A$16,0),6),0),IF(S549=TRUE,INDEX('SummaryNOT_VALIDATED-BL'!$A$1:$F$16,MATCH(E549,'SummaryNOT_VALIDATED-BL'!$A$1:$A$16,0),6),0)),0)</f>
        <v>0</v>
      </c>
      <c r="V549" s="81" cm="1">
        <f t="array" ref="V549">INDEX('Weight tables'!$A$24:$C$27,MATCH(1,(RendicontiTrasmessiBL__2[[#This Row],[Cut percentage on real costs + USC]]&gt;='Weight tables'!$B$24:$B$27)*(RendicontiTrasmessiBL__2[[#This Row],[Cut percentage on real costs + USC]]&lt;='Weight tables'!$C$24:$C$27),0),1)</f>
        <v>0</v>
      </c>
      <c r="W549" s="2">
        <f>RendicontiTrasmessiBL__2[[#This Row],[Weight real costs  + USC ]]</f>
        <v>0</v>
      </c>
    </row>
    <row r="550" spans="1:23" x14ac:dyDescent="0.25">
      <c r="A550" s="1" t="s">
        <v>346</v>
      </c>
      <c r="B550" s="1" t="s">
        <v>348</v>
      </c>
      <c r="C550" s="2">
        <v>295</v>
      </c>
      <c r="D550" s="2">
        <v>190</v>
      </c>
      <c r="E550" s="1" t="s">
        <v>237</v>
      </c>
      <c r="G550">
        <v>0</v>
      </c>
      <c r="H550">
        <v>0</v>
      </c>
      <c r="I550">
        <v>0</v>
      </c>
      <c r="J550">
        <v>0</v>
      </c>
      <c r="K550">
        <v>0</v>
      </c>
      <c r="L550">
        <v>0</v>
      </c>
      <c r="M550">
        <v>0</v>
      </c>
      <c r="N550">
        <v>0</v>
      </c>
      <c r="O550">
        <v>0</v>
      </c>
      <c r="P550">
        <v>0</v>
      </c>
      <c r="Q550" t="str">
        <f>INDEX('Partner data'!A:DH,MATCH(C550,'Partner data'!DG:DG,0),83)</f>
        <v>Soggetto pubblico</v>
      </c>
      <c r="R550" t="b">
        <f>IF(E550="staff",IF(INDEX('Partner data'!A:DH,MATCH(C550,'Partner data'!DG:DG,0),112)="BL1 non presente","FALSO",INDEX('Partner data'!A:DH,MATCH(C550,'Partner data'!DG:DG,0),112)))</f>
        <v>0</v>
      </c>
      <c r="S550" t="b">
        <f t="shared" si="16"/>
        <v>0</v>
      </c>
      <c r="T550" t="b">
        <f t="shared" si="17"/>
        <v>1</v>
      </c>
      <c r="U550" s="154">
        <f>IFERROR(IF(R550&lt;&gt;FALSE,IF(S550=TRUE,INDEX('SummaryNOT_VALIDATED-BL'!$A$1:$F$16,MATCH(R550,'SummaryNOT_VALIDATED-BL'!$A$1:$A$16,0),6),0),IF(S550=TRUE,INDEX('SummaryNOT_VALIDATED-BL'!$A$1:$F$16,MATCH(E550,'SummaryNOT_VALIDATED-BL'!$A$1:$A$16,0),6),0)),0)</f>
        <v>0</v>
      </c>
      <c r="V550" s="81" cm="1">
        <f t="array" ref="V550">INDEX('Weight tables'!$A$24:$C$27,MATCH(1,(RendicontiTrasmessiBL__2[[#This Row],[Cut percentage on real costs + USC]]&gt;='Weight tables'!$B$24:$B$27)*(RendicontiTrasmessiBL__2[[#This Row],[Cut percentage on real costs + USC]]&lt;='Weight tables'!$C$24:$C$27),0),1)</f>
        <v>0</v>
      </c>
      <c r="W550" s="2">
        <f>RendicontiTrasmessiBL__2[[#This Row],[Weight real costs  + USC ]]</f>
        <v>0</v>
      </c>
    </row>
    <row r="551" spans="1:23" x14ac:dyDescent="0.25">
      <c r="A551" s="1" t="s">
        <v>346</v>
      </c>
      <c r="B551" s="1" t="s">
        <v>285</v>
      </c>
      <c r="C551" s="2">
        <v>257</v>
      </c>
      <c r="D551" s="2">
        <v>197</v>
      </c>
      <c r="E551" s="1" t="s">
        <v>228</v>
      </c>
      <c r="G551">
        <v>136000</v>
      </c>
      <c r="H551">
        <v>0</v>
      </c>
      <c r="I551">
        <v>0</v>
      </c>
      <c r="J551">
        <v>28772</v>
      </c>
      <c r="K551">
        <v>0</v>
      </c>
      <c r="L551">
        <v>28772</v>
      </c>
      <c r="M551">
        <v>28772</v>
      </c>
      <c r="N551">
        <v>21.16</v>
      </c>
      <c r="O551">
        <v>107228</v>
      </c>
      <c r="P551">
        <v>0</v>
      </c>
      <c r="Q551" t="str">
        <f>INDEX('Partner data'!A:DH,MATCH(C551,'Partner data'!DG:DG,0),83)</f>
        <v>Soggetto pubblico</v>
      </c>
      <c r="R551" t="str">
        <f>IF(E551="staff",IF(INDEX('Partner data'!A:DH,MATCH(C551,'Partner data'!DG:DG,0),112)="BL1 non presente","FALSO",INDEX('Partner data'!A:DH,MATCH(C551,'Partner data'!DG:DG,0),112)))</f>
        <v>COSTO REALE</v>
      </c>
      <c r="S551" t="b">
        <f t="shared" si="16"/>
        <v>1</v>
      </c>
      <c r="T551" t="b">
        <f t="shared" si="17"/>
        <v>1</v>
      </c>
      <c r="U551" s="154">
        <f>IFERROR(IF(R551&lt;&gt;FALSE,IF(S551=TRUE,INDEX('SummaryNOT_VALIDATED-BL'!$A$1:$F$16,MATCH(R551,'SummaryNOT_VALIDATED-BL'!$A$1:$A$16,0),6),0),IF(S551=TRUE,INDEX('SummaryNOT_VALIDATED-BL'!$A$1:$F$16,MATCH(E551,'SummaryNOT_VALIDATED-BL'!$A$1:$A$16,0),6),0)),0)</f>
        <v>9.1604133276901048E-2</v>
      </c>
      <c r="V551" s="81" cm="1">
        <f t="array" ref="V551">INDEX('Weight tables'!$A$24:$C$27,MATCH(1,(RendicontiTrasmessiBL__2[[#This Row],[Cut percentage on real costs + USC]]&gt;='Weight tables'!$B$24:$B$27)*(RendicontiTrasmessiBL__2[[#This Row],[Cut percentage on real costs + USC]]&lt;='Weight tables'!$C$24:$C$27),0),1)</f>
        <v>4</v>
      </c>
      <c r="W551" s="2">
        <f>RendicontiTrasmessiBL__2[[#This Row],[Weight real costs  + USC ]]</f>
        <v>4</v>
      </c>
    </row>
    <row r="552" spans="1:23" x14ac:dyDescent="0.25">
      <c r="A552" s="1" t="s">
        <v>346</v>
      </c>
      <c r="B552" s="1" t="s">
        <v>285</v>
      </c>
      <c r="C552" s="2">
        <v>257</v>
      </c>
      <c r="D552" s="2">
        <v>197</v>
      </c>
      <c r="E552" s="1" t="s">
        <v>229</v>
      </c>
      <c r="F552">
        <v>15</v>
      </c>
      <c r="G552">
        <v>20400</v>
      </c>
      <c r="H552">
        <v>0</v>
      </c>
      <c r="I552">
        <v>0</v>
      </c>
      <c r="J552">
        <v>4315.8</v>
      </c>
      <c r="K552">
        <v>0</v>
      </c>
      <c r="L552">
        <v>4315.8</v>
      </c>
      <c r="M552">
        <v>4315.8</v>
      </c>
      <c r="N552">
        <v>21.16</v>
      </c>
      <c r="O552">
        <v>16084.2</v>
      </c>
      <c r="P552">
        <v>0</v>
      </c>
      <c r="Q552" t="str">
        <f>INDEX('Partner data'!A:DH,MATCH(C552,'Partner data'!DG:DG,0),83)</f>
        <v>Soggetto pubblico</v>
      </c>
      <c r="R552" t="b">
        <f>IF(E552="staff",IF(INDEX('Partner data'!A:DH,MATCH(C552,'Partner data'!DG:DG,0),112)="BL1 non presente","FALSO",INDEX('Partner data'!A:DH,MATCH(C552,'Partner data'!DG:DG,0),112)))</f>
        <v>0</v>
      </c>
      <c r="S552" t="b">
        <f t="shared" si="16"/>
        <v>1</v>
      </c>
      <c r="T552" t="b">
        <f t="shared" si="17"/>
        <v>1</v>
      </c>
      <c r="U552" s="154">
        <f>IFERROR(IF(R552&lt;&gt;FALSE,IF(S552=TRUE,INDEX('SummaryNOT_VALIDATED-BL'!$A$1:$F$16,MATCH(R552,'SummaryNOT_VALIDATED-BL'!$A$1:$A$16,0),6),0),IF(S552=TRUE,INDEX('SummaryNOT_VALIDATED-BL'!$A$1:$F$16,MATCH(E552,'SummaryNOT_VALIDATED-BL'!$A$1:$A$16,0),6),0)),0)</f>
        <v>6.6460469504890221E-2</v>
      </c>
      <c r="V552" s="81" cm="1">
        <f t="array" ref="V552">INDEX('Weight tables'!$A$24:$C$27,MATCH(1,(RendicontiTrasmessiBL__2[[#This Row],[Cut percentage on real costs + USC]]&gt;='Weight tables'!$B$24:$B$27)*(RendicontiTrasmessiBL__2[[#This Row],[Cut percentage on real costs + USC]]&lt;='Weight tables'!$C$24:$C$27),0),1)</f>
        <v>4</v>
      </c>
      <c r="W552" s="2">
        <f>RendicontiTrasmessiBL__2[[#This Row],[Weight real costs  + USC ]]</f>
        <v>4</v>
      </c>
    </row>
    <row r="553" spans="1:23" x14ac:dyDescent="0.25">
      <c r="A553" s="1" t="s">
        <v>346</v>
      </c>
      <c r="B553" s="1" t="s">
        <v>285</v>
      </c>
      <c r="C553" s="2">
        <v>257</v>
      </c>
      <c r="D553" s="2">
        <v>197</v>
      </c>
      <c r="E553" s="1" t="s">
        <v>230</v>
      </c>
      <c r="F553">
        <v>4</v>
      </c>
      <c r="G553">
        <v>5440</v>
      </c>
      <c r="H553">
        <v>0</v>
      </c>
      <c r="I553">
        <v>0</v>
      </c>
      <c r="J553">
        <v>1150.8800000000001</v>
      </c>
      <c r="K553">
        <v>0</v>
      </c>
      <c r="L553">
        <v>1150.8800000000001</v>
      </c>
      <c r="M553">
        <v>1150.8800000000001</v>
      </c>
      <c r="N553">
        <v>21.16</v>
      </c>
      <c r="O553">
        <v>4289.12</v>
      </c>
      <c r="P553">
        <v>0</v>
      </c>
      <c r="Q553" t="str">
        <f>INDEX('Partner data'!A:DH,MATCH(C553,'Partner data'!DG:DG,0),83)</f>
        <v>Soggetto pubblico</v>
      </c>
      <c r="R553" t="b">
        <f>IF(E553="staff",IF(INDEX('Partner data'!A:DH,MATCH(C553,'Partner data'!DG:DG,0),112)="BL1 non presente","FALSO",INDEX('Partner data'!A:DH,MATCH(C553,'Partner data'!DG:DG,0),112)))</f>
        <v>0</v>
      </c>
      <c r="S553" t="b">
        <f t="shared" si="16"/>
        <v>1</v>
      </c>
      <c r="T553" t="b">
        <f t="shared" si="17"/>
        <v>1</v>
      </c>
      <c r="U553" s="154">
        <f>IFERROR(IF(R553&lt;&gt;FALSE,IF(S553=TRUE,INDEX('SummaryNOT_VALIDATED-BL'!$A$1:$F$16,MATCH(R553,'SummaryNOT_VALIDATED-BL'!$A$1:$A$16,0),6),0),IF(S553=TRUE,INDEX('SummaryNOT_VALIDATED-BL'!$A$1:$F$16,MATCH(E553,'SummaryNOT_VALIDATED-BL'!$A$1:$A$16,0),6),0)),0)</f>
        <v>6.3112622236488891E-2</v>
      </c>
      <c r="V553" s="81" cm="1">
        <f t="array" ref="V553">INDEX('Weight tables'!$A$24:$C$27,MATCH(1,(RendicontiTrasmessiBL__2[[#This Row],[Cut percentage on real costs + USC]]&gt;='Weight tables'!$B$24:$B$27)*(RendicontiTrasmessiBL__2[[#This Row],[Cut percentage on real costs + USC]]&lt;='Weight tables'!$C$24:$C$27),0),1)</f>
        <v>4</v>
      </c>
      <c r="W553" s="2">
        <f>RendicontiTrasmessiBL__2[[#This Row],[Weight real costs  + USC ]]</f>
        <v>4</v>
      </c>
    </row>
    <row r="554" spans="1:23" x14ac:dyDescent="0.25">
      <c r="A554" s="1" t="s">
        <v>346</v>
      </c>
      <c r="B554" s="1" t="s">
        <v>285</v>
      </c>
      <c r="C554" s="2">
        <v>257</v>
      </c>
      <c r="D554" s="2">
        <v>197</v>
      </c>
      <c r="E554" s="1" t="s">
        <v>231</v>
      </c>
      <c r="G554">
        <v>50063</v>
      </c>
      <c r="H554">
        <v>0</v>
      </c>
      <c r="I554">
        <v>0</v>
      </c>
      <c r="J554">
        <v>684.33</v>
      </c>
      <c r="K554">
        <v>0</v>
      </c>
      <c r="L554">
        <v>684.33</v>
      </c>
      <c r="M554">
        <v>684.33</v>
      </c>
      <c r="N554">
        <v>1.37</v>
      </c>
      <c r="O554">
        <v>49378.67</v>
      </c>
      <c r="P554">
        <v>0</v>
      </c>
      <c r="Q554" t="str">
        <f>INDEX('Partner data'!A:DH,MATCH(C554,'Partner data'!DG:DG,0),83)</f>
        <v>Soggetto pubblico</v>
      </c>
      <c r="R554" t="b">
        <f>IF(E554="staff",IF(INDEX('Partner data'!A:DH,MATCH(C554,'Partner data'!DG:DG,0),112)="BL1 non presente","FALSO",INDEX('Partner data'!A:DH,MATCH(C554,'Partner data'!DG:DG,0),112)))</f>
        <v>0</v>
      </c>
      <c r="S554" t="b">
        <f t="shared" si="16"/>
        <v>1</v>
      </c>
      <c r="T554" t="b">
        <f t="shared" si="17"/>
        <v>1</v>
      </c>
      <c r="U554" s="154">
        <f>IFERROR(IF(R554&lt;&gt;FALSE,IF(S554=TRUE,INDEX('SummaryNOT_VALIDATED-BL'!$A$1:$F$16,MATCH(R554,'SummaryNOT_VALIDATED-BL'!$A$1:$A$16,0),6),0),IF(S554=TRUE,INDEX('SummaryNOT_VALIDATED-BL'!$A$1:$F$16,MATCH(E554,'SummaryNOT_VALIDATED-BL'!$A$1:$A$16,0),6),0)),0)</f>
        <v>5.577594442215475E-2</v>
      </c>
      <c r="V554" s="81" cm="1">
        <f t="array" ref="V554">INDEX('Weight tables'!$A$24:$C$27,MATCH(1,(RendicontiTrasmessiBL__2[[#This Row],[Cut percentage on real costs + USC]]&gt;='Weight tables'!$B$24:$B$27)*(RendicontiTrasmessiBL__2[[#This Row],[Cut percentage on real costs + USC]]&lt;='Weight tables'!$C$24:$C$27),0),1)</f>
        <v>4</v>
      </c>
      <c r="W554" s="2">
        <f>RendicontiTrasmessiBL__2[[#This Row],[Weight real costs  + USC ]]</f>
        <v>4</v>
      </c>
    </row>
    <row r="555" spans="1:23" x14ac:dyDescent="0.25">
      <c r="A555" s="1" t="s">
        <v>346</v>
      </c>
      <c r="B555" s="1" t="s">
        <v>285</v>
      </c>
      <c r="C555" s="2">
        <v>257</v>
      </c>
      <c r="D555" s="2">
        <v>197</v>
      </c>
      <c r="E555" s="1" t="s">
        <v>232</v>
      </c>
      <c r="G555">
        <v>3600</v>
      </c>
      <c r="H555">
        <v>0</v>
      </c>
      <c r="I555">
        <v>0</v>
      </c>
      <c r="J555">
        <v>381.72</v>
      </c>
      <c r="K555">
        <v>0</v>
      </c>
      <c r="L555">
        <v>381.72</v>
      </c>
      <c r="M555">
        <v>381.72</v>
      </c>
      <c r="N555">
        <v>10.6</v>
      </c>
      <c r="O555">
        <v>3218.28</v>
      </c>
      <c r="P555">
        <v>0</v>
      </c>
      <c r="Q555" t="str">
        <f>INDEX('Partner data'!A:DH,MATCH(C555,'Partner data'!DG:DG,0),83)</f>
        <v>Soggetto pubblico</v>
      </c>
      <c r="R555" t="b">
        <f>IF(E555="staff",IF(INDEX('Partner data'!A:DH,MATCH(C555,'Partner data'!DG:DG,0),112)="BL1 non presente","FALSO",INDEX('Partner data'!A:DH,MATCH(C555,'Partner data'!DG:DG,0),112)))</f>
        <v>0</v>
      </c>
      <c r="S555" t="b">
        <f t="shared" si="16"/>
        <v>1</v>
      </c>
      <c r="T555" t="b">
        <f t="shared" si="17"/>
        <v>1</v>
      </c>
      <c r="U555" s="154">
        <f>IFERROR(IF(R555&lt;&gt;FALSE,IF(S555=TRUE,INDEX('SummaryNOT_VALIDATED-BL'!$A$1:$F$16,MATCH(R555,'SummaryNOT_VALIDATED-BL'!$A$1:$A$16,0),6),0),IF(S555=TRUE,INDEX('SummaryNOT_VALIDATED-BL'!$A$1:$F$16,MATCH(E555,'SummaryNOT_VALIDATED-BL'!$A$1:$A$16,0),6),0)),0)</f>
        <v>1.102169095281242E-2</v>
      </c>
      <c r="V555" s="81" cm="1">
        <f t="array" ref="V555">INDEX('Weight tables'!$A$24:$C$27,MATCH(1,(RendicontiTrasmessiBL__2[[#This Row],[Cut percentage on real costs + USC]]&gt;='Weight tables'!$B$24:$B$27)*(RendicontiTrasmessiBL__2[[#This Row],[Cut percentage on real costs + USC]]&lt;='Weight tables'!$C$24:$C$27),0),1)</f>
        <v>0</v>
      </c>
      <c r="W555" s="2">
        <f>RendicontiTrasmessiBL__2[[#This Row],[Weight real costs  + USC ]]</f>
        <v>0</v>
      </c>
    </row>
    <row r="556" spans="1:23" x14ac:dyDescent="0.25">
      <c r="A556" s="1" t="s">
        <v>346</v>
      </c>
      <c r="B556" s="1" t="s">
        <v>285</v>
      </c>
      <c r="C556" s="2">
        <v>257</v>
      </c>
      <c r="D556" s="2">
        <v>197</v>
      </c>
      <c r="E556" s="1" t="s">
        <v>233</v>
      </c>
      <c r="G556">
        <v>43000</v>
      </c>
      <c r="H556">
        <v>0</v>
      </c>
      <c r="I556">
        <v>0</v>
      </c>
      <c r="J556">
        <v>31698.15</v>
      </c>
      <c r="K556">
        <v>0</v>
      </c>
      <c r="L556">
        <v>31698.15</v>
      </c>
      <c r="M556">
        <v>31698.15</v>
      </c>
      <c r="N556">
        <v>73.72</v>
      </c>
      <c r="O556">
        <v>11301.85</v>
      </c>
      <c r="P556">
        <v>0</v>
      </c>
      <c r="Q556" t="str">
        <f>INDEX('Partner data'!A:DH,MATCH(C556,'Partner data'!DG:DG,0),83)</f>
        <v>Soggetto pubblico</v>
      </c>
      <c r="R556" t="b">
        <f>IF(E556="staff",IF(INDEX('Partner data'!A:DH,MATCH(C556,'Partner data'!DG:DG,0),112)="BL1 non presente","FALSO",INDEX('Partner data'!A:DH,MATCH(C556,'Partner data'!DG:DG,0),112)))</f>
        <v>0</v>
      </c>
      <c r="S556" t="b">
        <f t="shared" si="16"/>
        <v>1</v>
      </c>
      <c r="T556" t="b">
        <f t="shared" si="17"/>
        <v>1</v>
      </c>
      <c r="U556" s="154">
        <f>IFERROR(IF(R556&lt;&gt;FALSE,IF(S556=TRUE,INDEX('SummaryNOT_VALIDATED-BL'!$A$1:$F$16,MATCH(R556,'SummaryNOT_VALIDATED-BL'!$A$1:$A$16,0),6),0),IF(S556=TRUE,INDEX('SummaryNOT_VALIDATED-BL'!$A$1:$F$16,MATCH(E556,'SummaryNOT_VALIDATED-BL'!$A$1:$A$16,0),6),0)),0)</f>
        <v>0</v>
      </c>
      <c r="V556" s="81" cm="1">
        <f t="array" ref="V556">INDEX('Weight tables'!$A$24:$C$27,MATCH(1,(RendicontiTrasmessiBL__2[[#This Row],[Cut percentage on real costs + USC]]&gt;='Weight tables'!$B$24:$B$27)*(RendicontiTrasmessiBL__2[[#This Row],[Cut percentage on real costs + USC]]&lt;='Weight tables'!$C$24:$C$27),0),1)</f>
        <v>0</v>
      </c>
      <c r="W556" s="2">
        <f>RendicontiTrasmessiBL__2[[#This Row],[Weight real costs  + USC ]]</f>
        <v>0</v>
      </c>
    </row>
    <row r="557" spans="1:23" x14ac:dyDescent="0.25">
      <c r="A557" s="1" t="s">
        <v>346</v>
      </c>
      <c r="B557" s="1" t="s">
        <v>285</v>
      </c>
      <c r="C557" s="2">
        <v>257</v>
      </c>
      <c r="D557" s="2">
        <v>197</v>
      </c>
      <c r="E557" s="1" t="s">
        <v>234</v>
      </c>
      <c r="G557">
        <v>0</v>
      </c>
      <c r="H557">
        <v>0</v>
      </c>
      <c r="I557">
        <v>0</v>
      </c>
      <c r="J557">
        <v>0</v>
      </c>
      <c r="K557">
        <v>0</v>
      </c>
      <c r="L557">
        <v>0</v>
      </c>
      <c r="M557">
        <v>0</v>
      </c>
      <c r="N557">
        <v>0</v>
      </c>
      <c r="O557">
        <v>0</v>
      </c>
      <c r="P557">
        <v>0</v>
      </c>
      <c r="Q557" t="str">
        <f>INDEX('Partner data'!A:DH,MATCH(C557,'Partner data'!DG:DG,0),83)</f>
        <v>Soggetto pubblico</v>
      </c>
      <c r="R557" t="b">
        <f>IF(E557="staff",IF(INDEX('Partner data'!A:DH,MATCH(C557,'Partner data'!DG:DG,0),112)="BL1 non presente","FALSO",INDEX('Partner data'!A:DH,MATCH(C557,'Partner data'!DG:DG,0),112)))</f>
        <v>0</v>
      </c>
      <c r="S557" t="b">
        <f t="shared" si="16"/>
        <v>0</v>
      </c>
      <c r="T557" t="b">
        <f t="shared" si="17"/>
        <v>1</v>
      </c>
      <c r="U557" s="154">
        <f>IFERROR(IF(R557&lt;&gt;FALSE,IF(S557=TRUE,INDEX('SummaryNOT_VALIDATED-BL'!$A$1:$F$16,MATCH(R557,'SummaryNOT_VALIDATED-BL'!$A$1:$A$16,0),6),0),IF(S557=TRUE,INDEX('SummaryNOT_VALIDATED-BL'!$A$1:$F$16,MATCH(E557,'SummaryNOT_VALIDATED-BL'!$A$1:$A$16,0),6),0)),0)</f>
        <v>0</v>
      </c>
      <c r="V557" s="81" cm="1">
        <f t="array" ref="V557">INDEX('Weight tables'!$A$24:$C$27,MATCH(1,(RendicontiTrasmessiBL__2[[#This Row],[Cut percentage on real costs + USC]]&gt;='Weight tables'!$B$24:$B$27)*(RendicontiTrasmessiBL__2[[#This Row],[Cut percentage on real costs + USC]]&lt;='Weight tables'!$C$24:$C$27),0),1)</f>
        <v>0</v>
      </c>
      <c r="W557" s="2">
        <f>RendicontiTrasmessiBL__2[[#This Row],[Weight real costs  + USC ]]</f>
        <v>0</v>
      </c>
    </row>
    <row r="558" spans="1:23" x14ac:dyDescent="0.25">
      <c r="A558" s="1" t="s">
        <v>346</v>
      </c>
      <c r="B558" s="1" t="s">
        <v>285</v>
      </c>
      <c r="C558" s="2">
        <v>257</v>
      </c>
      <c r="D558" s="2">
        <v>197</v>
      </c>
      <c r="E558" s="1" t="s">
        <v>236</v>
      </c>
      <c r="G558">
        <v>0</v>
      </c>
      <c r="H558">
        <v>0</v>
      </c>
      <c r="I558">
        <v>0</v>
      </c>
      <c r="J558">
        <v>0</v>
      </c>
      <c r="K558">
        <v>0</v>
      </c>
      <c r="L558">
        <v>0</v>
      </c>
      <c r="M558">
        <v>0</v>
      </c>
      <c r="N558">
        <v>0</v>
      </c>
      <c r="O558">
        <v>0</v>
      </c>
      <c r="P558">
        <v>0</v>
      </c>
      <c r="Q558" t="str">
        <f>INDEX('Partner data'!A:DH,MATCH(C558,'Partner data'!DG:DG,0),83)</f>
        <v>Soggetto pubblico</v>
      </c>
      <c r="R558" t="b">
        <f>IF(E558="staff",IF(INDEX('Partner data'!A:DH,MATCH(C558,'Partner data'!DG:DG,0),112)="BL1 non presente","FALSO",INDEX('Partner data'!A:DH,MATCH(C558,'Partner data'!DG:DG,0),112)))</f>
        <v>0</v>
      </c>
      <c r="S558" t="b">
        <f t="shared" si="16"/>
        <v>0</v>
      </c>
      <c r="T558" t="b">
        <f t="shared" si="17"/>
        <v>1</v>
      </c>
      <c r="U558" s="154">
        <f>IFERROR(IF(R558&lt;&gt;FALSE,IF(S558=TRUE,INDEX('SummaryNOT_VALIDATED-BL'!$A$1:$F$16,MATCH(R558,'SummaryNOT_VALIDATED-BL'!$A$1:$A$16,0),6),0),IF(S558=TRUE,INDEX('SummaryNOT_VALIDATED-BL'!$A$1:$F$16,MATCH(E558,'SummaryNOT_VALIDATED-BL'!$A$1:$A$16,0),6),0)),0)</f>
        <v>0</v>
      </c>
      <c r="V558" s="81" cm="1">
        <f t="array" ref="V558">INDEX('Weight tables'!$A$24:$C$27,MATCH(1,(RendicontiTrasmessiBL__2[[#This Row],[Cut percentage on real costs + USC]]&gt;='Weight tables'!$B$24:$B$27)*(RendicontiTrasmessiBL__2[[#This Row],[Cut percentage on real costs + USC]]&lt;='Weight tables'!$C$24:$C$27),0),1)</f>
        <v>0</v>
      </c>
      <c r="W558" s="2">
        <f>RendicontiTrasmessiBL__2[[#This Row],[Weight real costs  + USC ]]</f>
        <v>0</v>
      </c>
    </row>
    <row r="559" spans="1:23" x14ac:dyDescent="0.25">
      <c r="A559" s="1" t="s">
        <v>346</v>
      </c>
      <c r="B559" s="1" t="s">
        <v>285</v>
      </c>
      <c r="C559" s="2">
        <v>257</v>
      </c>
      <c r="D559" s="2">
        <v>197</v>
      </c>
      <c r="E559" s="1" t="s">
        <v>237</v>
      </c>
      <c r="G559">
        <v>0</v>
      </c>
      <c r="H559">
        <v>0</v>
      </c>
      <c r="I559">
        <v>0</v>
      </c>
      <c r="J559">
        <v>0</v>
      </c>
      <c r="K559">
        <v>0</v>
      </c>
      <c r="L559">
        <v>0</v>
      </c>
      <c r="M559">
        <v>0</v>
      </c>
      <c r="N559">
        <v>0</v>
      </c>
      <c r="O559">
        <v>0</v>
      </c>
      <c r="P559">
        <v>0</v>
      </c>
      <c r="Q559" t="str">
        <f>INDEX('Partner data'!A:DH,MATCH(C559,'Partner data'!DG:DG,0),83)</f>
        <v>Soggetto pubblico</v>
      </c>
      <c r="R559" t="b">
        <f>IF(E559="staff",IF(INDEX('Partner data'!A:DH,MATCH(C559,'Partner data'!DG:DG,0),112)="BL1 non presente","FALSO",INDEX('Partner data'!A:DH,MATCH(C559,'Partner data'!DG:DG,0),112)))</f>
        <v>0</v>
      </c>
      <c r="S559" t="b">
        <f t="shared" si="16"/>
        <v>0</v>
      </c>
      <c r="T559" t="b">
        <f t="shared" si="17"/>
        <v>1</v>
      </c>
      <c r="U559" s="154">
        <f>IFERROR(IF(R559&lt;&gt;FALSE,IF(S559=TRUE,INDEX('SummaryNOT_VALIDATED-BL'!$A$1:$F$16,MATCH(R559,'SummaryNOT_VALIDATED-BL'!$A$1:$A$16,0),6),0),IF(S559=TRUE,INDEX('SummaryNOT_VALIDATED-BL'!$A$1:$F$16,MATCH(E559,'SummaryNOT_VALIDATED-BL'!$A$1:$A$16,0),6),0)),0)</f>
        <v>0</v>
      </c>
      <c r="V559" s="81" cm="1">
        <f t="array" ref="V559">INDEX('Weight tables'!$A$24:$C$27,MATCH(1,(RendicontiTrasmessiBL__2[[#This Row],[Cut percentage on real costs + USC]]&gt;='Weight tables'!$B$24:$B$27)*(RendicontiTrasmessiBL__2[[#This Row],[Cut percentage on real costs + USC]]&lt;='Weight tables'!$C$24:$C$27),0),1)</f>
        <v>0</v>
      </c>
      <c r="W559" s="2">
        <f>RendicontiTrasmessiBL__2[[#This Row],[Weight real costs  + USC ]]</f>
        <v>0</v>
      </c>
    </row>
    <row r="560" spans="1:23" x14ac:dyDescent="0.25">
      <c r="A560" s="1" t="s">
        <v>346</v>
      </c>
      <c r="B560" s="1" t="s">
        <v>349</v>
      </c>
      <c r="C560" s="2">
        <v>294</v>
      </c>
      <c r="D560" s="2">
        <v>312</v>
      </c>
      <c r="E560" s="1" t="s">
        <v>228</v>
      </c>
      <c r="G560">
        <v>40014</v>
      </c>
      <c r="H560">
        <v>0</v>
      </c>
      <c r="I560">
        <v>0</v>
      </c>
      <c r="J560">
        <v>8694</v>
      </c>
      <c r="K560">
        <v>0</v>
      </c>
      <c r="L560">
        <v>0</v>
      </c>
      <c r="M560">
        <v>8694</v>
      </c>
      <c r="N560">
        <v>21.73</v>
      </c>
      <c r="O560">
        <v>31320</v>
      </c>
      <c r="P560">
        <v>0</v>
      </c>
      <c r="Q560" t="str">
        <f>INDEX('Partner data'!A:DH,MATCH(C560,'Partner data'!DG:DG,0),83)</f>
        <v xml:space="preserve">Organismo di diritto pubblico </v>
      </c>
      <c r="R560" t="str">
        <f>IF(E560="staff",IF(INDEX('Partner data'!A:DH,MATCH(C560,'Partner data'!DG:DG,0),112)="BL1 non presente","FALSO",INDEX('Partner data'!A:DH,MATCH(C560,'Partner data'!DG:DG,0),112)))</f>
        <v>COSTO REALE</v>
      </c>
      <c r="S560" t="b">
        <f t="shared" si="16"/>
        <v>1</v>
      </c>
      <c r="T560" t="b">
        <f t="shared" si="17"/>
        <v>1</v>
      </c>
      <c r="U560" s="154">
        <f>IFERROR(IF(R560&lt;&gt;FALSE,IF(S560=TRUE,INDEX('SummaryNOT_VALIDATED-BL'!$A$1:$F$16,MATCH(R560,'SummaryNOT_VALIDATED-BL'!$A$1:$A$16,0),6),0),IF(S560=TRUE,INDEX('SummaryNOT_VALIDATED-BL'!$A$1:$F$16,MATCH(E560,'SummaryNOT_VALIDATED-BL'!$A$1:$A$16,0),6),0)),0)</f>
        <v>9.1604133276901048E-2</v>
      </c>
      <c r="V560" s="81" cm="1">
        <f t="array" ref="V560">INDEX('Weight tables'!$A$24:$C$27,MATCH(1,(RendicontiTrasmessiBL__2[[#This Row],[Cut percentage on real costs + USC]]&gt;='Weight tables'!$B$24:$B$27)*(RendicontiTrasmessiBL__2[[#This Row],[Cut percentage on real costs + USC]]&lt;='Weight tables'!$C$24:$C$27),0),1)</f>
        <v>4</v>
      </c>
      <c r="W560" s="2">
        <f>RendicontiTrasmessiBL__2[[#This Row],[Weight real costs  + USC ]]</f>
        <v>4</v>
      </c>
    </row>
    <row r="561" spans="1:23" x14ac:dyDescent="0.25">
      <c r="A561" s="1" t="s">
        <v>346</v>
      </c>
      <c r="B561" s="1" t="s">
        <v>349</v>
      </c>
      <c r="C561" s="2">
        <v>294</v>
      </c>
      <c r="D561" s="2">
        <v>312</v>
      </c>
      <c r="E561" s="1" t="s">
        <v>229</v>
      </c>
      <c r="F561">
        <v>15</v>
      </c>
      <c r="G561">
        <v>6002.1</v>
      </c>
      <c r="H561">
        <v>0</v>
      </c>
      <c r="I561">
        <v>0</v>
      </c>
      <c r="J561">
        <v>1304.0999999999999</v>
      </c>
      <c r="K561">
        <v>0</v>
      </c>
      <c r="L561">
        <v>0</v>
      </c>
      <c r="M561">
        <v>1304.0999999999999</v>
      </c>
      <c r="N561">
        <v>21.73</v>
      </c>
      <c r="O561">
        <v>4698</v>
      </c>
      <c r="P561">
        <v>0</v>
      </c>
      <c r="Q561" t="str">
        <f>INDEX('Partner data'!A:DH,MATCH(C561,'Partner data'!DG:DG,0),83)</f>
        <v xml:space="preserve">Organismo di diritto pubblico </v>
      </c>
      <c r="R561" t="b">
        <f>IF(E561="staff",IF(INDEX('Partner data'!A:DH,MATCH(C561,'Partner data'!DG:DG,0),112)="BL1 non presente","FALSO",INDEX('Partner data'!A:DH,MATCH(C561,'Partner data'!DG:DG,0),112)))</f>
        <v>0</v>
      </c>
      <c r="S561" t="b">
        <f t="shared" si="16"/>
        <v>1</v>
      </c>
      <c r="T561" t="b">
        <f t="shared" si="17"/>
        <v>1</v>
      </c>
      <c r="U561" s="154">
        <f>IFERROR(IF(R561&lt;&gt;FALSE,IF(S561=TRUE,INDEX('SummaryNOT_VALIDATED-BL'!$A$1:$F$16,MATCH(R561,'SummaryNOT_VALIDATED-BL'!$A$1:$A$16,0),6),0),IF(S561=TRUE,INDEX('SummaryNOT_VALIDATED-BL'!$A$1:$F$16,MATCH(E561,'SummaryNOT_VALIDATED-BL'!$A$1:$A$16,0),6),0)),0)</f>
        <v>6.6460469504890221E-2</v>
      </c>
      <c r="V561" s="81" cm="1">
        <f t="array" ref="V561">INDEX('Weight tables'!$A$24:$C$27,MATCH(1,(RendicontiTrasmessiBL__2[[#This Row],[Cut percentage on real costs + USC]]&gt;='Weight tables'!$B$24:$B$27)*(RendicontiTrasmessiBL__2[[#This Row],[Cut percentage on real costs + USC]]&lt;='Weight tables'!$C$24:$C$27),0),1)</f>
        <v>4</v>
      </c>
      <c r="W561" s="2">
        <f>RendicontiTrasmessiBL__2[[#This Row],[Weight real costs  + USC ]]</f>
        <v>4</v>
      </c>
    </row>
    <row r="562" spans="1:23" x14ac:dyDescent="0.25">
      <c r="A562" s="1" t="s">
        <v>346</v>
      </c>
      <c r="B562" s="1" t="s">
        <v>349</v>
      </c>
      <c r="C562" s="2">
        <v>294</v>
      </c>
      <c r="D562" s="2">
        <v>312</v>
      </c>
      <c r="E562" s="1" t="s">
        <v>230</v>
      </c>
      <c r="F562">
        <v>4</v>
      </c>
      <c r="G562">
        <v>1600.56</v>
      </c>
      <c r="H562">
        <v>0</v>
      </c>
      <c r="I562">
        <v>0</v>
      </c>
      <c r="J562">
        <v>347.76</v>
      </c>
      <c r="K562">
        <v>0</v>
      </c>
      <c r="L562">
        <v>0</v>
      </c>
      <c r="M562">
        <v>347.76</v>
      </c>
      <c r="N562">
        <v>21.73</v>
      </c>
      <c r="O562">
        <v>1252.8</v>
      </c>
      <c r="P562">
        <v>0</v>
      </c>
      <c r="Q562" t="str">
        <f>INDEX('Partner data'!A:DH,MATCH(C562,'Partner data'!DG:DG,0),83)</f>
        <v xml:space="preserve">Organismo di diritto pubblico </v>
      </c>
      <c r="R562" t="b">
        <f>IF(E562="staff",IF(INDEX('Partner data'!A:DH,MATCH(C562,'Partner data'!DG:DG,0),112)="BL1 non presente","FALSO",INDEX('Partner data'!A:DH,MATCH(C562,'Partner data'!DG:DG,0),112)))</f>
        <v>0</v>
      </c>
      <c r="S562" t="b">
        <f t="shared" si="16"/>
        <v>1</v>
      </c>
      <c r="T562" t="b">
        <f t="shared" si="17"/>
        <v>1</v>
      </c>
      <c r="U562" s="154">
        <f>IFERROR(IF(R562&lt;&gt;FALSE,IF(S562=TRUE,INDEX('SummaryNOT_VALIDATED-BL'!$A$1:$F$16,MATCH(R562,'SummaryNOT_VALIDATED-BL'!$A$1:$A$16,0),6),0),IF(S562=TRUE,INDEX('SummaryNOT_VALIDATED-BL'!$A$1:$F$16,MATCH(E562,'SummaryNOT_VALIDATED-BL'!$A$1:$A$16,0),6),0)),0)</f>
        <v>6.3112622236488891E-2</v>
      </c>
      <c r="V562" s="81" cm="1">
        <f t="array" ref="V562">INDEX('Weight tables'!$A$24:$C$27,MATCH(1,(RendicontiTrasmessiBL__2[[#This Row],[Cut percentage on real costs + USC]]&gt;='Weight tables'!$B$24:$B$27)*(RendicontiTrasmessiBL__2[[#This Row],[Cut percentage on real costs + USC]]&lt;='Weight tables'!$C$24:$C$27),0),1)</f>
        <v>4</v>
      </c>
      <c r="W562" s="2">
        <f>RendicontiTrasmessiBL__2[[#This Row],[Weight real costs  + USC ]]</f>
        <v>4</v>
      </c>
    </row>
    <row r="563" spans="1:23" x14ac:dyDescent="0.25">
      <c r="A563" s="1" t="s">
        <v>346</v>
      </c>
      <c r="B563" s="1" t="s">
        <v>349</v>
      </c>
      <c r="C563" s="2">
        <v>294</v>
      </c>
      <c r="D563" s="2">
        <v>312</v>
      </c>
      <c r="E563" s="1" t="s">
        <v>231</v>
      </c>
      <c r="G563">
        <v>55000</v>
      </c>
      <c r="H563">
        <v>0</v>
      </c>
      <c r="I563">
        <v>0</v>
      </c>
      <c r="J563">
        <v>0</v>
      </c>
      <c r="K563">
        <v>0</v>
      </c>
      <c r="L563">
        <v>0</v>
      </c>
      <c r="M563">
        <v>0</v>
      </c>
      <c r="N563">
        <v>0</v>
      </c>
      <c r="O563">
        <v>55000</v>
      </c>
      <c r="P563">
        <v>0</v>
      </c>
      <c r="Q563" t="str">
        <f>INDEX('Partner data'!A:DH,MATCH(C563,'Partner data'!DG:DG,0),83)</f>
        <v xml:space="preserve">Organismo di diritto pubblico </v>
      </c>
      <c r="R563" t="b">
        <f>IF(E563="staff",IF(INDEX('Partner data'!A:DH,MATCH(C563,'Partner data'!DG:DG,0),112)="BL1 non presente","FALSO",INDEX('Partner data'!A:DH,MATCH(C563,'Partner data'!DG:DG,0),112)))</f>
        <v>0</v>
      </c>
      <c r="S563" t="b">
        <f t="shared" si="16"/>
        <v>0</v>
      </c>
      <c r="T563" t="b">
        <f t="shared" si="17"/>
        <v>1</v>
      </c>
      <c r="U563" s="154">
        <f>IFERROR(IF(R563&lt;&gt;FALSE,IF(S563=TRUE,INDEX('SummaryNOT_VALIDATED-BL'!$A$1:$F$16,MATCH(R563,'SummaryNOT_VALIDATED-BL'!$A$1:$A$16,0),6),0),IF(S563=TRUE,INDEX('SummaryNOT_VALIDATED-BL'!$A$1:$F$16,MATCH(E563,'SummaryNOT_VALIDATED-BL'!$A$1:$A$16,0),6),0)),0)</f>
        <v>0</v>
      </c>
      <c r="V563" s="81" cm="1">
        <f t="array" ref="V563">INDEX('Weight tables'!$A$24:$C$27,MATCH(1,(RendicontiTrasmessiBL__2[[#This Row],[Cut percentage on real costs + USC]]&gt;='Weight tables'!$B$24:$B$27)*(RendicontiTrasmessiBL__2[[#This Row],[Cut percentage on real costs + USC]]&lt;='Weight tables'!$C$24:$C$27),0),1)</f>
        <v>0</v>
      </c>
      <c r="W563" s="2">
        <f>RendicontiTrasmessiBL__2[[#This Row],[Weight real costs  + USC ]]</f>
        <v>0</v>
      </c>
    </row>
    <row r="564" spans="1:23" x14ac:dyDescent="0.25">
      <c r="A564" s="1" t="s">
        <v>346</v>
      </c>
      <c r="B564" s="1" t="s">
        <v>349</v>
      </c>
      <c r="C564" s="2">
        <v>294</v>
      </c>
      <c r="D564" s="2">
        <v>312</v>
      </c>
      <c r="E564" s="1" t="s">
        <v>232</v>
      </c>
      <c r="G564">
        <v>0</v>
      </c>
      <c r="H564">
        <v>0</v>
      </c>
      <c r="I564">
        <v>0</v>
      </c>
      <c r="J564">
        <v>0</v>
      </c>
      <c r="K564">
        <v>0</v>
      </c>
      <c r="L564">
        <v>0</v>
      </c>
      <c r="M564">
        <v>0</v>
      </c>
      <c r="N564">
        <v>0</v>
      </c>
      <c r="O564">
        <v>0</v>
      </c>
      <c r="P564">
        <v>0</v>
      </c>
      <c r="Q564" t="str">
        <f>INDEX('Partner data'!A:DH,MATCH(C564,'Partner data'!DG:DG,0),83)</f>
        <v xml:space="preserve">Organismo di diritto pubblico </v>
      </c>
      <c r="R564" t="b">
        <f>IF(E564="staff",IF(INDEX('Partner data'!A:DH,MATCH(C564,'Partner data'!DG:DG,0),112)="BL1 non presente","FALSO",INDEX('Partner data'!A:DH,MATCH(C564,'Partner data'!DG:DG,0),112)))</f>
        <v>0</v>
      </c>
      <c r="S564" t="b">
        <f t="shared" si="16"/>
        <v>0</v>
      </c>
      <c r="T564" t="b">
        <f t="shared" si="17"/>
        <v>1</v>
      </c>
      <c r="U564" s="154">
        <f>IFERROR(IF(R564&lt;&gt;FALSE,IF(S564=TRUE,INDEX('SummaryNOT_VALIDATED-BL'!$A$1:$F$16,MATCH(R564,'SummaryNOT_VALIDATED-BL'!$A$1:$A$16,0),6),0),IF(S564=TRUE,INDEX('SummaryNOT_VALIDATED-BL'!$A$1:$F$16,MATCH(E564,'SummaryNOT_VALIDATED-BL'!$A$1:$A$16,0),6),0)),0)</f>
        <v>0</v>
      </c>
      <c r="V564" s="81" cm="1">
        <f t="array" ref="V564">INDEX('Weight tables'!$A$24:$C$27,MATCH(1,(RendicontiTrasmessiBL__2[[#This Row],[Cut percentage on real costs + USC]]&gt;='Weight tables'!$B$24:$B$27)*(RendicontiTrasmessiBL__2[[#This Row],[Cut percentage on real costs + USC]]&lt;='Weight tables'!$C$24:$C$27),0),1)</f>
        <v>0</v>
      </c>
      <c r="W564" s="2">
        <f>RendicontiTrasmessiBL__2[[#This Row],[Weight real costs  + USC ]]</f>
        <v>0</v>
      </c>
    </row>
    <row r="565" spans="1:23" x14ac:dyDescent="0.25">
      <c r="A565" s="1" t="s">
        <v>346</v>
      </c>
      <c r="B565" s="1" t="s">
        <v>349</v>
      </c>
      <c r="C565" s="2">
        <v>294</v>
      </c>
      <c r="D565" s="2">
        <v>312</v>
      </c>
      <c r="E565" s="1" t="s">
        <v>233</v>
      </c>
      <c r="G565">
        <v>30000</v>
      </c>
      <c r="H565">
        <v>0</v>
      </c>
      <c r="I565">
        <v>0</v>
      </c>
      <c r="J565">
        <v>0</v>
      </c>
      <c r="K565">
        <v>0</v>
      </c>
      <c r="L565">
        <v>0</v>
      </c>
      <c r="M565">
        <v>0</v>
      </c>
      <c r="N565">
        <v>0</v>
      </c>
      <c r="O565">
        <v>30000</v>
      </c>
      <c r="P565">
        <v>0</v>
      </c>
      <c r="Q565" t="str">
        <f>INDEX('Partner data'!A:DH,MATCH(C565,'Partner data'!DG:DG,0),83)</f>
        <v xml:space="preserve">Organismo di diritto pubblico </v>
      </c>
      <c r="R565" t="b">
        <f>IF(E565="staff",IF(INDEX('Partner data'!A:DH,MATCH(C565,'Partner data'!DG:DG,0),112)="BL1 non presente","FALSO",INDEX('Partner data'!A:DH,MATCH(C565,'Partner data'!DG:DG,0),112)))</f>
        <v>0</v>
      </c>
      <c r="S565" t="b">
        <f t="shared" si="16"/>
        <v>0</v>
      </c>
      <c r="T565" t="b">
        <f t="shared" si="17"/>
        <v>1</v>
      </c>
      <c r="U565" s="154">
        <f>IFERROR(IF(R565&lt;&gt;FALSE,IF(S565=TRUE,INDEX('SummaryNOT_VALIDATED-BL'!$A$1:$F$16,MATCH(R565,'SummaryNOT_VALIDATED-BL'!$A$1:$A$16,0),6),0),IF(S565=TRUE,INDEX('SummaryNOT_VALIDATED-BL'!$A$1:$F$16,MATCH(E565,'SummaryNOT_VALIDATED-BL'!$A$1:$A$16,0),6),0)),0)</f>
        <v>0</v>
      </c>
      <c r="V565" s="81" cm="1">
        <f t="array" ref="V565">INDEX('Weight tables'!$A$24:$C$27,MATCH(1,(RendicontiTrasmessiBL__2[[#This Row],[Cut percentage on real costs + USC]]&gt;='Weight tables'!$B$24:$B$27)*(RendicontiTrasmessiBL__2[[#This Row],[Cut percentage on real costs + USC]]&lt;='Weight tables'!$C$24:$C$27),0),1)</f>
        <v>0</v>
      </c>
      <c r="W565" s="2">
        <f>RendicontiTrasmessiBL__2[[#This Row],[Weight real costs  + USC ]]</f>
        <v>0</v>
      </c>
    </row>
    <row r="566" spans="1:23" x14ac:dyDescent="0.25">
      <c r="A566" s="1" t="s">
        <v>346</v>
      </c>
      <c r="B566" s="1" t="s">
        <v>349</v>
      </c>
      <c r="C566" s="2">
        <v>294</v>
      </c>
      <c r="D566" s="2">
        <v>312</v>
      </c>
      <c r="E566" s="1" t="s">
        <v>234</v>
      </c>
      <c r="G566">
        <v>0</v>
      </c>
      <c r="H566">
        <v>0</v>
      </c>
      <c r="I566">
        <v>0</v>
      </c>
      <c r="J566">
        <v>0</v>
      </c>
      <c r="K566">
        <v>0</v>
      </c>
      <c r="L566">
        <v>0</v>
      </c>
      <c r="M566">
        <v>0</v>
      </c>
      <c r="N566">
        <v>0</v>
      </c>
      <c r="O566">
        <v>0</v>
      </c>
      <c r="P566">
        <v>0</v>
      </c>
      <c r="Q566" t="str">
        <f>INDEX('Partner data'!A:DH,MATCH(C566,'Partner data'!DG:DG,0),83)</f>
        <v xml:space="preserve">Organismo di diritto pubblico </v>
      </c>
      <c r="R566" t="b">
        <f>IF(E566="staff",IF(INDEX('Partner data'!A:DH,MATCH(C566,'Partner data'!DG:DG,0),112)="BL1 non presente","FALSO",INDEX('Partner data'!A:DH,MATCH(C566,'Partner data'!DG:DG,0),112)))</f>
        <v>0</v>
      </c>
      <c r="S566" t="b">
        <f t="shared" si="16"/>
        <v>0</v>
      </c>
      <c r="T566" t="b">
        <f t="shared" si="17"/>
        <v>1</v>
      </c>
      <c r="U566" s="154">
        <f>IFERROR(IF(R566&lt;&gt;FALSE,IF(S566=TRUE,INDEX('SummaryNOT_VALIDATED-BL'!$A$1:$F$16,MATCH(R566,'SummaryNOT_VALIDATED-BL'!$A$1:$A$16,0),6),0),IF(S566=TRUE,INDEX('SummaryNOT_VALIDATED-BL'!$A$1:$F$16,MATCH(E566,'SummaryNOT_VALIDATED-BL'!$A$1:$A$16,0),6),0)),0)</f>
        <v>0</v>
      </c>
      <c r="V566" s="81" cm="1">
        <f t="array" ref="V566">INDEX('Weight tables'!$A$24:$C$27,MATCH(1,(RendicontiTrasmessiBL__2[[#This Row],[Cut percentage on real costs + USC]]&gt;='Weight tables'!$B$24:$B$27)*(RendicontiTrasmessiBL__2[[#This Row],[Cut percentage on real costs + USC]]&lt;='Weight tables'!$C$24:$C$27),0),1)</f>
        <v>0</v>
      </c>
      <c r="W566" s="2">
        <f>RendicontiTrasmessiBL__2[[#This Row],[Weight real costs  + USC ]]</f>
        <v>0</v>
      </c>
    </row>
    <row r="567" spans="1:23" x14ac:dyDescent="0.25">
      <c r="A567" s="1" t="s">
        <v>346</v>
      </c>
      <c r="B567" s="1" t="s">
        <v>349</v>
      </c>
      <c r="C567" s="2">
        <v>294</v>
      </c>
      <c r="D567" s="2">
        <v>312</v>
      </c>
      <c r="E567" s="1" t="s">
        <v>236</v>
      </c>
      <c r="G567">
        <v>0</v>
      </c>
      <c r="H567">
        <v>0</v>
      </c>
      <c r="I567">
        <v>0</v>
      </c>
      <c r="J567">
        <v>0</v>
      </c>
      <c r="K567">
        <v>0</v>
      </c>
      <c r="L567">
        <v>0</v>
      </c>
      <c r="M567">
        <v>0</v>
      </c>
      <c r="N567">
        <v>0</v>
      </c>
      <c r="O567">
        <v>0</v>
      </c>
      <c r="P567">
        <v>0</v>
      </c>
      <c r="Q567" t="str">
        <f>INDEX('Partner data'!A:DH,MATCH(C567,'Partner data'!DG:DG,0),83)</f>
        <v xml:space="preserve">Organismo di diritto pubblico </v>
      </c>
      <c r="R567" t="b">
        <f>IF(E567="staff",IF(INDEX('Partner data'!A:DH,MATCH(C567,'Partner data'!DG:DG,0),112)="BL1 non presente","FALSO",INDEX('Partner data'!A:DH,MATCH(C567,'Partner data'!DG:DG,0),112)))</f>
        <v>0</v>
      </c>
      <c r="S567" t="b">
        <f t="shared" si="16"/>
        <v>0</v>
      </c>
      <c r="T567" t="b">
        <f t="shared" si="17"/>
        <v>1</v>
      </c>
      <c r="U567" s="154">
        <f>IFERROR(IF(R567&lt;&gt;FALSE,IF(S567=TRUE,INDEX('SummaryNOT_VALIDATED-BL'!$A$1:$F$16,MATCH(R567,'SummaryNOT_VALIDATED-BL'!$A$1:$A$16,0),6),0),IF(S567=TRUE,INDEX('SummaryNOT_VALIDATED-BL'!$A$1:$F$16,MATCH(E567,'SummaryNOT_VALIDATED-BL'!$A$1:$A$16,0),6),0)),0)</f>
        <v>0</v>
      </c>
      <c r="V567" s="81" cm="1">
        <f t="array" ref="V567">INDEX('Weight tables'!$A$24:$C$27,MATCH(1,(RendicontiTrasmessiBL__2[[#This Row],[Cut percentage on real costs + USC]]&gt;='Weight tables'!$B$24:$B$27)*(RendicontiTrasmessiBL__2[[#This Row],[Cut percentage on real costs + USC]]&lt;='Weight tables'!$C$24:$C$27),0),1)</f>
        <v>0</v>
      </c>
      <c r="W567" s="2">
        <f>RendicontiTrasmessiBL__2[[#This Row],[Weight real costs  + USC ]]</f>
        <v>0</v>
      </c>
    </row>
    <row r="568" spans="1:23" x14ac:dyDescent="0.25">
      <c r="A568" s="1" t="s">
        <v>346</v>
      </c>
      <c r="B568" s="1" t="s">
        <v>349</v>
      </c>
      <c r="C568" s="2">
        <v>294</v>
      </c>
      <c r="D568" s="2">
        <v>312</v>
      </c>
      <c r="E568" s="1" t="s">
        <v>237</v>
      </c>
      <c r="G568">
        <v>0</v>
      </c>
      <c r="H568">
        <v>0</v>
      </c>
      <c r="I568">
        <v>0</v>
      </c>
      <c r="J568">
        <v>0</v>
      </c>
      <c r="K568">
        <v>0</v>
      </c>
      <c r="L568">
        <v>0</v>
      </c>
      <c r="M568">
        <v>0</v>
      </c>
      <c r="N568">
        <v>0</v>
      </c>
      <c r="O568">
        <v>0</v>
      </c>
      <c r="P568">
        <v>0</v>
      </c>
      <c r="Q568" t="str">
        <f>INDEX('Partner data'!A:DH,MATCH(C568,'Partner data'!DG:DG,0),83)</f>
        <v xml:space="preserve">Organismo di diritto pubblico </v>
      </c>
      <c r="R568" t="b">
        <f>IF(E568="staff",IF(INDEX('Partner data'!A:DH,MATCH(C568,'Partner data'!DG:DG,0),112)="BL1 non presente","FALSO",INDEX('Partner data'!A:DH,MATCH(C568,'Partner data'!DG:DG,0),112)))</f>
        <v>0</v>
      </c>
      <c r="S568" t="b">
        <f t="shared" si="16"/>
        <v>0</v>
      </c>
      <c r="T568" t="b">
        <f t="shared" si="17"/>
        <v>1</v>
      </c>
      <c r="U568" s="154">
        <f>IFERROR(IF(R568&lt;&gt;FALSE,IF(S568=TRUE,INDEX('SummaryNOT_VALIDATED-BL'!$A$1:$F$16,MATCH(R568,'SummaryNOT_VALIDATED-BL'!$A$1:$A$16,0),6),0),IF(S568=TRUE,INDEX('SummaryNOT_VALIDATED-BL'!$A$1:$F$16,MATCH(E568,'SummaryNOT_VALIDATED-BL'!$A$1:$A$16,0),6),0)),0)</f>
        <v>0</v>
      </c>
      <c r="V568" s="81" cm="1">
        <f t="array" ref="V568">INDEX('Weight tables'!$A$24:$C$27,MATCH(1,(RendicontiTrasmessiBL__2[[#This Row],[Cut percentage on real costs + USC]]&gt;='Weight tables'!$B$24:$B$27)*(RendicontiTrasmessiBL__2[[#This Row],[Cut percentage on real costs + USC]]&lt;='Weight tables'!$C$24:$C$27),0),1)</f>
        <v>0</v>
      </c>
      <c r="W568" s="2">
        <f>RendicontiTrasmessiBL__2[[#This Row],[Weight real costs  + USC ]]</f>
        <v>0</v>
      </c>
    </row>
    <row r="569" spans="1:23" x14ac:dyDescent="0.25">
      <c r="A569" s="1" t="s">
        <v>296</v>
      </c>
      <c r="B569" s="1" t="s">
        <v>297</v>
      </c>
      <c r="C569" s="2">
        <v>193</v>
      </c>
      <c r="D569" s="2">
        <v>240</v>
      </c>
      <c r="E569" s="1" t="s">
        <v>228</v>
      </c>
      <c r="F569">
        <v>20</v>
      </c>
      <c r="G569">
        <v>13000</v>
      </c>
      <c r="H569">
        <v>0</v>
      </c>
      <c r="I569">
        <v>0</v>
      </c>
      <c r="J569">
        <v>0</v>
      </c>
      <c r="K569">
        <v>0</v>
      </c>
      <c r="L569">
        <v>0</v>
      </c>
      <c r="M569">
        <v>0</v>
      </c>
      <c r="N569">
        <v>0</v>
      </c>
      <c r="O569">
        <v>13000</v>
      </c>
      <c r="P569">
        <v>0</v>
      </c>
      <c r="Q569" t="str">
        <f>INDEX('Partner data'!A:DH,MATCH(C569,'Partner data'!DG:DG,0),83)</f>
        <v>Soggetto pubblico</v>
      </c>
      <c r="R569" t="str">
        <f>IF(E569="staff",IF(INDEX('Partner data'!A:DH,MATCH(C569,'Partner data'!DG:DG,0),112)="BL1 non presente","FALSO",INDEX('Partner data'!A:DH,MATCH(C569,'Partner data'!DG:DG,0),112)))</f>
        <v>Tasso Forfettario 20%</v>
      </c>
      <c r="S569" t="b">
        <f t="shared" si="16"/>
        <v>0</v>
      </c>
      <c r="T569" t="b">
        <f t="shared" si="17"/>
        <v>1</v>
      </c>
      <c r="U569" s="154">
        <f>IFERROR(IF(R569&lt;&gt;FALSE,IF(S569=TRUE,INDEX('SummaryNOT_VALIDATED-BL'!$A$1:$F$16,MATCH(R569,'SummaryNOT_VALIDATED-BL'!$A$1:$A$16,0),6),0),IF(S569=TRUE,INDEX('SummaryNOT_VALIDATED-BL'!$A$1:$F$16,MATCH(E569,'SummaryNOT_VALIDATED-BL'!$A$1:$A$16,0),6),0)),0)</f>
        <v>0</v>
      </c>
      <c r="V569" s="81" cm="1">
        <f t="array" ref="V569">INDEX('Weight tables'!$A$24:$C$27,MATCH(1,(RendicontiTrasmessiBL__2[[#This Row],[Cut percentage on real costs + USC]]&gt;='Weight tables'!$B$24:$B$27)*(RendicontiTrasmessiBL__2[[#This Row],[Cut percentage on real costs + USC]]&lt;='Weight tables'!$C$24:$C$27),0),1)</f>
        <v>0</v>
      </c>
      <c r="W569" s="2">
        <f>RendicontiTrasmessiBL__2[[#This Row],[Weight real costs  + USC ]]</f>
        <v>0</v>
      </c>
    </row>
    <row r="570" spans="1:23" x14ac:dyDescent="0.25">
      <c r="A570" s="1" t="s">
        <v>296</v>
      </c>
      <c r="B570" s="1" t="s">
        <v>297</v>
      </c>
      <c r="C570" s="2">
        <v>193</v>
      </c>
      <c r="D570" s="2">
        <v>240</v>
      </c>
      <c r="E570" s="1" t="s">
        <v>229</v>
      </c>
      <c r="F570">
        <v>15</v>
      </c>
      <c r="G570">
        <v>1950</v>
      </c>
      <c r="H570">
        <v>0</v>
      </c>
      <c r="I570">
        <v>0</v>
      </c>
      <c r="J570">
        <v>0</v>
      </c>
      <c r="K570">
        <v>0</v>
      </c>
      <c r="L570">
        <v>0</v>
      </c>
      <c r="M570">
        <v>0</v>
      </c>
      <c r="N570">
        <v>0</v>
      </c>
      <c r="O570">
        <v>1950</v>
      </c>
      <c r="P570">
        <v>0</v>
      </c>
      <c r="Q570" t="str">
        <f>INDEX('Partner data'!A:DH,MATCH(C570,'Partner data'!DG:DG,0),83)</f>
        <v>Soggetto pubblico</v>
      </c>
      <c r="R570" t="b">
        <f>IF(E570="staff",IF(INDEX('Partner data'!A:DH,MATCH(C570,'Partner data'!DG:DG,0),112)="BL1 non presente","FALSO",INDEX('Partner data'!A:DH,MATCH(C570,'Partner data'!DG:DG,0),112)))</f>
        <v>0</v>
      </c>
      <c r="S570" t="b">
        <f t="shared" si="16"/>
        <v>0</v>
      </c>
      <c r="T570" t="b">
        <f t="shared" si="17"/>
        <v>1</v>
      </c>
      <c r="U570" s="154">
        <f>IFERROR(IF(R570&lt;&gt;FALSE,IF(S570=TRUE,INDEX('SummaryNOT_VALIDATED-BL'!$A$1:$F$16,MATCH(R570,'SummaryNOT_VALIDATED-BL'!$A$1:$A$16,0),6),0),IF(S570=TRUE,INDEX('SummaryNOT_VALIDATED-BL'!$A$1:$F$16,MATCH(E570,'SummaryNOT_VALIDATED-BL'!$A$1:$A$16,0),6),0)),0)</f>
        <v>0</v>
      </c>
      <c r="V570" s="81" cm="1">
        <f t="array" ref="V570">INDEX('Weight tables'!$A$24:$C$27,MATCH(1,(RendicontiTrasmessiBL__2[[#This Row],[Cut percentage on real costs + USC]]&gt;='Weight tables'!$B$24:$B$27)*(RendicontiTrasmessiBL__2[[#This Row],[Cut percentage on real costs + USC]]&lt;='Weight tables'!$C$24:$C$27),0),1)</f>
        <v>0</v>
      </c>
      <c r="W570" s="2">
        <f>RendicontiTrasmessiBL__2[[#This Row],[Weight real costs  + USC ]]</f>
        <v>0</v>
      </c>
    </row>
    <row r="571" spans="1:23" x14ac:dyDescent="0.25">
      <c r="A571" s="1" t="s">
        <v>296</v>
      </c>
      <c r="B571" s="1" t="s">
        <v>297</v>
      </c>
      <c r="C571" s="2">
        <v>193</v>
      </c>
      <c r="D571" s="2">
        <v>240</v>
      </c>
      <c r="E571" s="1" t="s">
        <v>230</v>
      </c>
      <c r="F571">
        <v>4</v>
      </c>
      <c r="G571">
        <v>520</v>
      </c>
      <c r="H571">
        <v>0</v>
      </c>
      <c r="I571">
        <v>0</v>
      </c>
      <c r="J571">
        <v>0</v>
      </c>
      <c r="K571">
        <v>0</v>
      </c>
      <c r="L571">
        <v>0</v>
      </c>
      <c r="M571">
        <v>0</v>
      </c>
      <c r="N571">
        <v>0</v>
      </c>
      <c r="O571">
        <v>520</v>
      </c>
      <c r="P571">
        <v>0</v>
      </c>
      <c r="Q571" t="str">
        <f>INDEX('Partner data'!A:DH,MATCH(C571,'Partner data'!DG:DG,0),83)</f>
        <v>Soggetto pubblico</v>
      </c>
      <c r="R571" t="b">
        <f>IF(E571="staff",IF(INDEX('Partner data'!A:DH,MATCH(C571,'Partner data'!DG:DG,0),112)="BL1 non presente","FALSO",INDEX('Partner data'!A:DH,MATCH(C571,'Partner data'!DG:DG,0),112)))</f>
        <v>0</v>
      </c>
      <c r="S571" t="b">
        <f t="shared" si="16"/>
        <v>0</v>
      </c>
      <c r="T571" t="b">
        <f t="shared" si="17"/>
        <v>1</v>
      </c>
      <c r="U571" s="154">
        <f>IFERROR(IF(R571&lt;&gt;FALSE,IF(S571=TRUE,INDEX('SummaryNOT_VALIDATED-BL'!$A$1:$F$16,MATCH(R571,'SummaryNOT_VALIDATED-BL'!$A$1:$A$16,0),6),0),IF(S571=TRUE,INDEX('SummaryNOT_VALIDATED-BL'!$A$1:$F$16,MATCH(E571,'SummaryNOT_VALIDATED-BL'!$A$1:$A$16,0),6),0)),0)</f>
        <v>0</v>
      </c>
      <c r="V571" s="81" cm="1">
        <f t="array" ref="V571">INDEX('Weight tables'!$A$24:$C$27,MATCH(1,(RendicontiTrasmessiBL__2[[#This Row],[Cut percentage on real costs + USC]]&gt;='Weight tables'!$B$24:$B$27)*(RendicontiTrasmessiBL__2[[#This Row],[Cut percentage on real costs + USC]]&lt;='Weight tables'!$C$24:$C$27),0),1)</f>
        <v>0</v>
      </c>
      <c r="W571" s="2">
        <f>RendicontiTrasmessiBL__2[[#This Row],[Weight real costs  + USC ]]</f>
        <v>0</v>
      </c>
    </row>
    <row r="572" spans="1:23" x14ac:dyDescent="0.25">
      <c r="A572" s="1" t="s">
        <v>296</v>
      </c>
      <c r="B572" s="1" t="s">
        <v>297</v>
      </c>
      <c r="C572" s="2">
        <v>193</v>
      </c>
      <c r="D572" s="2">
        <v>240</v>
      </c>
      <c r="E572" s="1" t="s">
        <v>231</v>
      </c>
      <c r="G572">
        <v>35000</v>
      </c>
      <c r="H572">
        <v>0</v>
      </c>
      <c r="I572">
        <v>0</v>
      </c>
      <c r="J572">
        <v>0</v>
      </c>
      <c r="K572">
        <v>0</v>
      </c>
      <c r="L572">
        <v>0</v>
      </c>
      <c r="M572">
        <v>0</v>
      </c>
      <c r="N572">
        <v>0</v>
      </c>
      <c r="O572">
        <v>35000</v>
      </c>
      <c r="P572">
        <v>0</v>
      </c>
      <c r="Q572" t="str">
        <f>INDEX('Partner data'!A:DH,MATCH(C572,'Partner data'!DG:DG,0),83)</f>
        <v>Soggetto pubblico</v>
      </c>
      <c r="R572" t="b">
        <f>IF(E572="staff",IF(INDEX('Partner data'!A:DH,MATCH(C572,'Partner data'!DG:DG,0),112)="BL1 non presente","FALSO",INDEX('Partner data'!A:DH,MATCH(C572,'Partner data'!DG:DG,0),112)))</f>
        <v>0</v>
      </c>
      <c r="S572" t="b">
        <f t="shared" si="16"/>
        <v>0</v>
      </c>
      <c r="T572" t="b">
        <f t="shared" si="17"/>
        <v>1</v>
      </c>
      <c r="U572" s="154">
        <f>IFERROR(IF(R572&lt;&gt;FALSE,IF(S572=TRUE,INDEX('SummaryNOT_VALIDATED-BL'!$A$1:$F$16,MATCH(R572,'SummaryNOT_VALIDATED-BL'!$A$1:$A$16,0),6),0),IF(S572=TRUE,INDEX('SummaryNOT_VALIDATED-BL'!$A$1:$F$16,MATCH(E572,'SummaryNOT_VALIDATED-BL'!$A$1:$A$16,0),6),0)),0)</f>
        <v>0</v>
      </c>
      <c r="V572" s="81" cm="1">
        <f t="array" ref="V572">INDEX('Weight tables'!$A$24:$C$27,MATCH(1,(RendicontiTrasmessiBL__2[[#This Row],[Cut percentage on real costs + USC]]&gt;='Weight tables'!$B$24:$B$27)*(RendicontiTrasmessiBL__2[[#This Row],[Cut percentage on real costs + USC]]&lt;='Weight tables'!$C$24:$C$27),0),1)</f>
        <v>0</v>
      </c>
      <c r="W572" s="2">
        <f>RendicontiTrasmessiBL__2[[#This Row],[Weight real costs  + USC ]]</f>
        <v>0</v>
      </c>
    </row>
    <row r="573" spans="1:23" x14ac:dyDescent="0.25">
      <c r="A573" s="1" t="s">
        <v>296</v>
      </c>
      <c r="B573" s="1" t="s">
        <v>297</v>
      </c>
      <c r="C573" s="2">
        <v>193</v>
      </c>
      <c r="D573" s="2">
        <v>240</v>
      </c>
      <c r="E573" s="1" t="s">
        <v>232</v>
      </c>
      <c r="G573">
        <v>30000</v>
      </c>
      <c r="H573">
        <v>0</v>
      </c>
      <c r="I573">
        <v>0</v>
      </c>
      <c r="J573">
        <v>0</v>
      </c>
      <c r="K573">
        <v>0</v>
      </c>
      <c r="L573">
        <v>0</v>
      </c>
      <c r="M573">
        <v>0</v>
      </c>
      <c r="N573">
        <v>0</v>
      </c>
      <c r="O573">
        <v>30000</v>
      </c>
      <c r="P573">
        <v>0</v>
      </c>
      <c r="Q573" t="str">
        <f>INDEX('Partner data'!A:DH,MATCH(C573,'Partner data'!DG:DG,0),83)</f>
        <v>Soggetto pubblico</v>
      </c>
      <c r="R573" t="b">
        <f>IF(E573="staff",IF(INDEX('Partner data'!A:DH,MATCH(C573,'Partner data'!DG:DG,0),112)="BL1 non presente","FALSO",INDEX('Partner data'!A:DH,MATCH(C573,'Partner data'!DG:DG,0),112)))</f>
        <v>0</v>
      </c>
      <c r="S573" t="b">
        <f t="shared" si="16"/>
        <v>0</v>
      </c>
      <c r="T573" t="b">
        <f t="shared" si="17"/>
        <v>1</v>
      </c>
      <c r="U573" s="154">
        <f>IFERROR(IF(R573&lt;&gt;FALSE,IF(S573=TRUE,INDEX('SummaryNOT_VALIDATED-BL'!$A$1:$F$16,MATCH(R573,'SummaryNOT_VALIDATED-BL'!$A$1:$A$16,0),6),0),IF(S573=TRUE,INDEX('SummaryNOT_VALIDATED-BL'!$A$1:$F$16,MATCH(E573,'SummaryNOT_VALIDATED-BL'!$A$1:$A$16,0),6),0)),0)</f>
        <v>0</v>
      </c>
      <c r="V573" s="81" cm="1">
        <f t="array" ref="V573">INDEX('Weight tables'!$A$24:$C$27,MATCH(1,(RendicontiTrasmessiBL__2[[#This Row],[Cut percentage on real costs + USC]]&gt;='Weight tables'!$B$24:$B$27)*(RendicontiTrasmessiBL__2[[#This Row],[Cut percentage on real costs + USC]]&lt;='Weight tables'!$C$24:$C$27),0),1)</f>
        <v>0</v>
      </c>
      <c r="W573" s="2">
        <f>RendicontiTrasmessiBL__2[[#This Row],[Weight real costs  + USC ]]</f>
        <v>0</v>
      </c>
    </row>
    <row r="574" spans="1:23" x14ac:dyDescent="0.25">
      <c r="A574" s="1" t="s">
        <v>296</v>
      </c>
      <c r="B574" s="1" t="s">
        <v>297</v>
      </c>
      <c r="C574" s="2">
        <v>193</v>
      </c>
      <c r="D574" s="2">
        <v>240</v>
      </c>
      <c r="E574" s="1" t="s">
        <v>233</v>
      </c>
      <c r="G574">
        <v>0</v>
      </c>
      <c r="H574">
        <v>0</v>
      </c>
      <c r="I574">
        <v>0</v>
      </c>
      <c r="J574">
        <v>0</v>
      </c>
      <c r="K574">
        <v>0</v>
      </c>
      <c r="L574">
        <v>0</v>
      </c>
      <c r="M574">
        <v>0</v>
      </c>
      <c r="N574">
        <v>0</v>
      </c>
      <c r="O574">
        <v>0</v>
      </c>
      <c r="P574">
        <v>0</v>
      </c>
      <c r="Q574" t="str">
        <f>INDEX('Partner data'!A:DH,MATCH(C574,'Partner data'!DG:DG,0),83)</f>
        <v>Soggetto pubblico</v>
      </c>
      <c r="R574" t="b">
        <f>IF(E574="staff",IF(INDEX('Partner data'!A:DH,MATCH(C574,'Partner data'!DG:DG,0),112)="BL1 non presente","FALSO",INDEX('Partner data'!A:DH,MATCH(C574,'Partner data'!DG:DG,0),112)))</f>
        <v>0</v>
      </c>
      <c r="S574" t="b">
        <f t="shared" si="16"/>
        <v>0</v>
      </c>
      <c r="T574" t="b">
        <f t="shared" si="17"/>
        <v>1</v>
      </c>
      <c r="U574" s="154">
        <f>IFERROR(IF(R574&lt;&gt;FALSE,IF(S574=TRUE,INDEX('SummaryNOT_VALIDATED-BL'!$A$1:$F$16,MATCH(R574,'SummaryNOT_VALIDATED-BL'!$A$1:$A$16,0),6),0),IF(S574=TRUE,INDEX('SummaryNOT_VALIDATED-BL'!$A$1:$F$16,MATCH(E574,'SummaryNOT_VALIDATED-BL'!$A$1:$A$16,0),6),0)),0)</f>
        <v>0</v>
      </c>
      <c r="V574" s="81" cm="1">
        <f t="array" ref="V574">INDEX('Weight tables'!$A$24:$C$27,MATCH(1,(RendicontiTrasmessiBL__2[[#This Row],[Cut percentage on real costs + USC]]&gt;='Weight tables'!$B$24:$B$27)*(RendicontiTrasmessiBL__2[[#This Row],[Cut percentage on real costs + USC]]&lt;='Weight tables'!$C$24:$C$27),0),1)</f>
        <v>0</v>
      </c>
      <c r="W574" s="2">
        <f>RendicontiTrasmessiBL__2[[#This Row],[Weight real costs  + USC ]]</f>
        <v>0</v>
      </c>
    </row>
    <row r="575" spans="1:23" x14ac:dyDescent="0.25">
      <c r="A575" s="1" t="s">
        <v>296</v>
      </c>
      <c r="B575" s="1" t="s">
        <v>297</v>
      </c>
      <c r="C575" s="2">
        <v>193</v>
      </c>
      <c r="D575" s="2">
        <v>240</v>
      </c>
      <c r="E575" s="1" t="s">
        <v>234</v>
      </c>
      <c r="G575">
        <v>0</v>
      </c>
      <c r="H575">
        <v>0</v>
      </c>
      <c r="I575">
        <v>0</v>
      </c>
      <c r="J575">
        <v>0</v>
      </c>
      <c r="K575">
        <v>0</v>
      </c>
      <c r="L575">
        <v>0</v>
      </c>
      <c r="M575">
        <v>0</v>
      </c>
      <c r="N575">
        <v>0</v>
      </c>
      <c r="O575">
        <v>0</v>
      </c>
      <c r="P575">
        <v>0</v>
      </c>
      <c r="Q575" t="str">
        <f>INDEX('Partner data'!A:DH,MATCH(C575,'Partner data'!DG:DG,0),83)</f>
        <v>Soggetto pubblico</v>
      </c>
      <c r="R575" t="b">
        <f>IF(E575="staff",IF(INDEX('Partner data'!A:DH,MATCH(C575,'Partner data'!DG:DG,0),112)="BL1 non presente","FALSO",INDEX('Partner data'!A:DH,MATCH(C575,'Partner data'!DG:DG,0),112)))</f>
        <v>0</v>
      </c>
      <c r="S575" t="b">
        <f t="shared" si="16"/>
        <v>0</v>
      </c>
      <c r="T575" t="b">
        <f t="shared" si="17"/>
        <v>1</v>
      </c>
      <c r="U575" s="154">
        <f>IFERROR(IF(R575&lt;&gt;FALSE,IF(S575=TRUE,INDEX('SummaryNOT_VALIDATED-BL'!$A$1:$F$16,MATCH(R575,'SummaryNOT_VALIDATED-BL'!$A$1:$A$16,0),6),0),IF(S575=TRUE,INDEX('SummaryNOT_VALIDATED-BL'!$A$1:$F$16,MATCH(E575,'SummaryNOT_VALIDATED-BL'!$A$1:$A$16,0),6),0)),0)</f>
        <v>0</v>
      </c>
      <c r="V575" s="81" cm="1">
        <f t="array" ref="V575">INDEX('Weight tables'!$A$24:$C$27,MATCH(1,(RendicontiTrasmessiBL__2[[#This Row],[Cut percentage on real costs + USC]]&gt;='Weight tables'!$B$24:$B$27)*(RendicontiTrasmessiBL__2[[#This Row],[Cut percentage on real costs + USC]]&lt;='Weight tables'!$C$24:$C$27),0),1)</f>
        <v>0</v>
      </c>
      <c r="W575" s="2">
        <f>RendicontiTrasmessiBL__2[[#This Row],[Weight real costs  + USC ]]</f>
        <v>0</v>
      </c>
    </row>
    <row r="576" spans="1:23" x14ac:dyDescent="0.25">
      <c r="A576" s="1" t="s">
        <v>296</v>
      </c>
      <c r="B576" s="1" t="s">
        <v>297</v>
      </c>
      <c r="C576" s="2">
        <v>193</v>
      </c>
      <c r="D576" s="2">
        <v>240</v>
      </c>
      <c r="E576" s="1" t="s">
        <v>236</v>
      </c>
      <c r="G576">
        <v>0</v>
      </c>
      <c r="H576">
        <v>0</v>
      </c>
      <c r="I576">
        <v>0</v>
      </c>
      <c r="J576">
        <v>0</v>
      </c>
      <c r="K576">
        <v>0</v>
      </c>
      <c r="L576">
        <v>0</v>
      </c>
      <c r="M576">
        <v>0</v>
      </c>
      <c r="N576">
        <v>0</v>
      </c>
      <c r="O576">
        <v>0</v>
      </c>
      <c r="P576">
        <v>0</v>
      </c>
      <c r="Q576" t="str">
        <f>INDEX('Partner data'!A:DH,MATCH(C576,'Partner data'!DG:DG,0),83)</f>
        <v>Soggetto pubblico</v>
      </c>
      <c r="R576" t="b">
        <f>IF(E576="staff",IF(INDEX('Partner data'!A:DH,MATCH(C576,'Partner data'!DG:DG,0),112)="BL1 non presente","FALSO",INDEX('Partner data'!A:DH,MATCH(C576,'Partner data'!DG:DG,0),112)))</f>
        <v>0</v>
      </c>
      <c r="S576" t="b">
        <f t="shared" si="16"/>
        <v>0</v>
      </c>
      <c r="T576" t="b">
        <f t="shared" si="17"/>
        <v>1</v>
      </c>
      <c r="U576" s="154">
        <f>IFERROR(IF(R576&lt;&gt;FALSE,IF(S576=TRUE,INDEX('SummaryNOT_VALIDATED-BL'!$A$1:$F$16,MATCH(R576,'SummaryNOT_VALIDATED-BL'!$A$1:$A$16,0),6),0),IF(S576=TRUE,INDEX('SummaryNOT_VALIDATED-BL'!$A$1:$F$16,MATCH(E576,'SummaryNOT_VALIDATED-BL'!$A$1:$A$16,0),6),0)),0)</f>
        <v>0</v>
      </c>
      <c r="V576" s="81" cm="1">
        <f t="array" ref="V576">INDEX('Weight tables'!$A$24:$C$27,MATCH(1,(RendicontiTrasmessiBL__2[[#This Row],[Cut percentage on real costs + USC]]&gt;='Weight tables'!$B$24:$B$27)*(RendicontiTrasmessiBL__2[[#This Row],[Cut percentage on real costs + USC]]&lt;='Weight tables'!$C$24:$C$27),0),1)</f>
        <v>0</v>
      </c>
      <c r="W576" s="2">
        <f>RendicontiTrasmessiBL__2[[#This Row],[Weight real costs  + USC ]]</f>
        <v>0</v>
      </c>
    </row>
    <row r="577" spans="1:23" x14ac:dyDescent="0.25">
      <c r="A577" s="1" t="s">
        <v>296</v>
      </c>
      <c r="B577" s="1" t="s">
        <v>297</v>
      </c>
      <c r="C577" s="2">
        <v>193</v>
      </c>
      <c r="D577" s="2">
        <v>240</v>
      </c>
      <c r="E577" s="1" t="s">
        <v>237</v>
      </c>
      <c r="G577">
        <v>0</v>
      </c>
      <c r="H577">
        <v>0</v>
      </c>
      <c r="I577">
        <v>0</v>
      </c>
      <c r="J577">
        <v>0</v>
      </c>
      <c r="K577">
        <v>0</v>
      </c>
      <c r="L577">
        <v>0</v>
      </c>
      <c r="M577">
        <v>0</v>
      </c>
      <c r="N577">
        <v>0</v>
      </c>
      <c r="O577">
        <v>0</v>
      </c>
      <c r="P577">
        <v>0</v>
      </c>
      <c r="Q577" t="str">
        <f>INDEX('Partner data'!A:DH,MATCH(C577,'Partner data'!DG:DG,0),83)</f>
        <v>Soggetto pubblico</v>
      </c>
      <c r="R577" t="b">
        <f>IF(E577="staff",IF(INDEX('Partner data'!A:DH,MATCH(C577,'Partner data'!DG:DG,0),112)="BL1 non presente","FALSO",INDEX('Partner data'!A:DH,MATCH(C577,'Partner data'!DG:DG,0),112)))</f>
        <v>0</v>
      </c>
      <c r="S577" t="b">
        <f t="shared" si="16"/>
        <v>0</v>
      </c>
      <c r="T577" t="b">
        <f t="shared" si="17"/>
        <v>1</v>
      </c>
      <c r="U577" s="154">
        <f>IFERROR(IF(R577&lt;&gt;FALSE,IF(S577=TRUE,INDEX('SummaryNOT_VALIDATED-BL'!$A$1:$F$16,MATCH(R577,'SummaryNOT_VALIDATED-BL'!$A$1:$A$16,0),6),0),IF(S577=TRUE,INDEX('SummaryNOT_VALIDATED-BL'!$A$1:$F$16,MATCH(E577,'SummaryNOT_VALIDATED-BL'!$A$1:$A$16,0),6),0)),0)</f>
        <v>0</v>
      </c>
      <c r="V577" s="81" cm="1">
        <f t="array" ref="V577">INDEX('Weight tables'!$A$24:$C$27,MATCH(1,(RendicontiTrasmessiBL__2[[#This Row],[Cut percentage on real costs + USC]]&gt;='Weight tables'!$B$24:$B$27)*(RendicontiTrasmessiBL__2[[#This Row],[Cut percentage on real costs + USC]]&lt;='Weight tables'!$C$24:$C$27),0),1)</f>
        <v>0</v>
      </c>
      <c r="W577" s="2">
        <f>RendicontiTrasmessiBL__2[[#This Row],[Weight real costs  + USC ]]</f>
        <v>0</v>
      </c>
    </row>
    <row r="578" spans="1:23" x14ac:dyDescent="0.25">
      <c r="A578" s="1" t="s">
        <v>296</v>
      </c>
      <c r="B578" s="1" t="s">
        <v>0</v>
      </c>
      <c r="C578" s="2">
        <v>195</v>
      </c>
      <c r="D578" s="2">
        <v>298</v>
      </c>
      <c r="E578" s="1" t="s">
        <v>228</v>
      </c>
      <c r="G578">
        <v>24462</v>
      </c>
      <c r="H578">
        <v>0</v>
      </c>
      <c r="I578">
        <v>0</v>
      </c>
      <c r="J578">
        <v>5674</v>
      </c>
      <c r="K578">
        <v>0</v>
      </c>
      <c r="L578">
        <v>5674</v>
      </c>
      <c r="M578">
        <v>5674</v>
      </c>
      <c r="N578">
        <v>23.2</v>
      </c>
      <c r="O578">
        <v>18788</v>
      </c>
      <c r="P578">
        <v>0</v>
      </c>
      <c r="Q578" t="str">
        <f>INDEX('Partner data'!A:DH,MATCH(C578,'Partner data'!DG:DG,0),83)</f>
        <v>Soggetto pubblico</v>
      </c>
      <c r="R578" t="str">
        <f>IF(E578="staff",IF(INDEX('Partner data'!A:DH,MATCH(C578,'Partner data'!DG:DG,0),112)="BL1 non presente","FALSO",INDEX('Partner data'!A:DH,MATCH(C578,'Partner data'!DG:DG,0),112)))</f>
        <v>Costo Unitario Standard</v>
      </c>
      <c r="S578" t="b">
        <f t="shared" ref="S578:S641" si="18">IF(J578&lt;&gt;0,TRUE,FALSE)</f>
        <v>1</v>
      </c>
      <c r="T578" t="b">
        <f t="shared" ref="T578:T641" si="19">OR(Q578="Soggetto pubblico",Q578="Organismo di diritto pubblico ")</f>
        <v>1</v>
      </c>
      <c r="U578" s="154">
        <f>IFERROR(IF(R578&lt;&gt;FALSE,IF(S578=TRUE,INDEX('SummaryNOT_VALIDATED-BL'!$A$1:$F$16,MATCH(R578,'SummaryNOT_VALIDATED-BL'!$A$1:$A$16,0),6),0),IF(S578=TRUE,INDEX('SummaryNOT_VALIDATED-BL'!$A$1:$F$16,MATCH(E578,'SummaryNOT_VALIDATED-BL'!$A$1:$A$16,0),6),0)),0)</f>
        <v>3.2052879635441428E-2</v>
      </c>
      <c r="V578" s="81" cm="1">
        <f t="array" ref="V578">INDEX('Weight tables'!$A$24:$C$27,MATCH(1,(RendicontiTrasmessiBL__2[[#This Row],[Cut percentage on real costs + USC]]&gt;='Weight tables'!$B$24:$B$27)*(RendicontiTrasmessiBL__2[[#This Row],[Cut percentage on real costs + USC]]&lt;='Weight tables'!$C$24:$C$27),0),1)</f>
        <v>2</v>
      </c>
      <c r="W578" s="2">
        <f>RendicontiTrasmessiBL__2[[#This Row],[Weight real costs  + USC ]]</f>
        <v>2</v>
      </c>
    </row>
    <row r="579" spans="1:23" x14ac:dyDescent="0.25">
      <c r="A579" s="1" t="s">
        <v>296</v>
      </c>
      <c r="B579" s="1" t="s">
        <v>0</v>
      </c>
      <c r="C579" s="2">
        <v>195</v>
      </c>
      <c r="D579" s="2">
        <v>298</v>
      </c>
      <c r="E579" s="1" t="s">
        <v>229</v>
      </c>
      <c r="F579">
        <v>15</v>
      </c>
      <c r="G579">
        <v>3669.3</v>
      </c>
      <c r="H579">
        <v>0</v>
      </c>
      <c r="I579">
        <v>0</v>
      </c>
      <c r="J579">
        <v>851.1</v>
      </c>
      <c r="K579">
        <v>0</v>
      </c>
      <c r="L579">
        <v>851.1</v>
      </c>
      <c r="M579">
        <v>851.1</v>
      </c>
      <c r="N579">
        <v>23.2</v>
      </c>
      <c r="O579">
        <v>2818.2</v>
      </c>
      <c r="P579">
        <v>0</v>
      </c>
      <c r="Q579" t="str">
        <f>INDEX('Partner data'!A:DH,MATCH(C579,'Partner data'!DG:DG,0),83)</f>
        <v>Soggetto pubblico</v>
      </c>
      <c r="R579" t="b">
        <f>IF(E579="staff",IF(INDEX('Partner data'!A:DH,MATCH(C579,'Partner data'!DG:DG,0),112)="BL1 non presente","FALSO",INDEX('Partner data'!A:DH,MATCH(C579,'Partner data'!DG:DG,0),112)))</f>
        <v>0</v>
      </c>
      <c r="S579" t="b">
        <f t="shared" si="18"/>
        <v>1</v>
      </c>
      <c r="T579" t="b">
        <f t="shared" si="19"/>
        <v>1</v>
      </c>
      <c r="U579" s="154">
        <f>IFERROR(IF(R579&lt;&gt;FALSE,IF(S579=TRUE,INDEX('SummaryNOT_VALIDATED-BL'!$A$1:$F$16,MATCH(R579,'SummaryNOT_VALIDATED-BL'!$A$1:$A$16,0),6),0),IF(S579=TRUE,INDEX('SummaryNOT_VALIDATED-BL'!$A$1:$F$16,MATCH(E579,'SummaryNOT_VALIDATED-BL'!$A$1:$A$16,0),6),0)),0)</f>
        <v>6.6460469504890221E-2</v>
      </c>
      <c r="V579" s="81" cm="1">
        <f t="array" ref="V579">INDEX('Weight tables'!$A$24:$C$27,MATCH(1,(RendicontiTrasmessiBL__2[[#This Row],[Cut percentage on real costs + USC]]&gt;='Weight tables'!$B$24:$B$27)*(RendicontiTrasmessiBL__2[[#This Row],[Cut percentage on real costs + USC]]&lt;='Weight tables'!$C$24:$C$27),0),1)</f>
        <v>4</v>
      </c>
      <c r="W579" s="2">
        <f>RendicontiTrasmessiBL__2[[#This Row],[Weight real costs  + USC ]]</f>
        <v>4</v>
      </c>
    </row>
    <row r="580" spans="1:23" x14ac:dyDescent="0.25">
      <c r="A580" s="1" t="s">
        <v>296</v>
      </c>
      <c r="B580" s="1" t="s">
        <v>0</v>
      </c>
      <c r="C580" s="2">
        <v>195</v>
      </c>
      <c r="D580" s="2">
        <v>298</v>
      </c>
      <c r="E580" s="1" t="s">
        <v>230</v>
      </c>
      <c r="F580">
        <v>4</v>
      </c>
      <c r="G580">
        <v>978.48</v>
      </c>
      <c r="H580">
        <v>0</v>
      </c>
      <c r="I580">
        <v>0</v>
      </c>
      <c r="J580">
        <v>226.96</v>
      </c>
      <c r="K580">
        <v>0</v>
      </c>
      <c r="L580">
        <v>226.96</v>
      </c>
      <c r="M580">
        <v>226.96</v>
      </c>
      <c r="N580">
        <v>23.2</v>
      </c>
      <c r="O580">
        <v>751.52</v>
      </c>
      <c r="P580">
        <v>0</v>
      </c>
      <c r="Q580" t="str">
        <f>INDEX('Partner data'!A:DH,MATCH(C580,'Partner data'!DG:DG,0),83)</f>
        <v>Soggetto pubblico</v>
      </c>
      <c r="R580" t="b">
        <f>IF(E580="staff",IF(INDEX('Partner data'!A:DH,MATCH(C580,'Partner data'!DG:DG,0),112)="BL1 non presente","FALSO",INDEX('Partner data'!A:DH,MATCH(C580,'Partner data'!DG:DG,0),112)))</f>
        <v>0</v>
      </c>
      <c r="S580" t="b">
        <f t="shared" si="18"/>
        <v>1</v>
      </c>
      <c r="T580" t="b">
        <f t="shared" si="19"/>
        <v>1</v>
      </c>
      <c r="U580" s="154">
        <f>IFERROR(IF(R580&lt;&gt;FALSE,IF(S580=TRUE,INDEX('SummaryNOT_VALIDATED-BL'!$A$1:$F$16,MATCH(R580,'SummaryNOT_VALIDATED-BL'!$A$1:$A$16,0),6),0),IF(S580=TRUE,INDEX('SummaryNOT_VALIDATED-BL'!$A$1:$F$16,MATCH(E580,'SummaryNOT_VALIDATED-BL'!$A$1:$A$16,0),6),0)),0)</f>
        <v>6.3112622236488891E-2</v>
      </c>
      <c r="V580" s="81" cm="1">
        <f t="array" ref="V580">INDEX('Weight tables'!$A$24:$C$27,MATCH(1,(RendicontiTrasmessiBL__2[[#This Row],[Cut percentage on real costs + USC]]&gt;='Weight tables'!$B$24:$B$27)*(RendicontiTrasmessiBL__2[[#This Row],[Cut percentage on real costs + USC]]&lt;='Weight tables'!$C$24:$C$27),0),1)</f>
        <v>4</v>
      </c>
      <c r="W580" s="2">
        <f>RendicontiTrasmessiBL__2[[#This Row],[Weight real costs  + USC ]]</f>
        <v>4</v>
      </c>
    </row>
    <row r="581" spans="1:23" x14ac:dyDescent="0.25">
      <c r="A581" s="1" t="s">
        <v>296</v>
      </c>
      <c r="B581" s="1" t="s">
        <v>0</v>
      </c>
      <c r="C581" s="2">
        <v>195</v>
      </c>
      <c r="D581" s="2">
        <v>298</v>
      </c>
      <c r="E581" s="1" t="s">
        <v>231</v>
      </c>
      <c r="G581">
        <v>10000</v>
      </c>
      <c r="H581">
        <v>0</v>
      </c>
      <c r="I581">
        <v>0</v>
      </c>
      <c r="J581">
        <v>0</v>
      </c>
      <c r="K581">
        <v>0</v>
      </c>
      <c r="L581">
        <v>0</v>
      </c>
      <c r="M581">
        <v>0</v>
      </c>
      <c r="N581">
        <v>0</v>
      </c>
      <c r="O581">
        <v>10000</v>
      </c>
      <c r="P581">
        <v>0</v>
      </c>
      <c r="Q581" t="str">
        <f>INDEX('Partner data'!A:DH,MATCH(C581,'Partner data'!DG:DG,0),83)</f>
        <v>Soggetto pubblico</v>
      </c>
      <c r="R581" t="b">
        <f>IF(E581="staff",IF(INDEX('Partner data'!A:DH,MATCH(C581,'Partner data'!DG:DG,0),112)="BL1 non presente","FALSO",INDEX('Partner data'!A:DH,MATCH(C581,'Partner data'!DG:DG,0),112)))</f>
        <v>0</v>
      </c>
      <c r="S581" t="b">
        <f t="shared" si="18"/>
        <v>0</v>
      </c>
      <c r="T581" t="b">
        <f t="shared" si="19"/>
        <v>1</v>
      </c>
      <c r="U581" s="154">
        <f>IFERROR(IF(R581&lt;&gt;FALSE,IF(S581=TRUE,INDEX('SummaryNOT_VALIDATED-BL'!$A$1:$F$16,MATCH(R581,'SummaryNOT_VALIDATED-BL'!$A$1:$A$16,0),6),0),IF(S581=TRUE,INDEX('SummaryNOT_VALIDATED-BL'!$A$1:$F$16,MATCH(E581,'SummaryNOT_VALIDATED-BL'!$A$1:$A$16,0),6),0)),0)</f>
        <v>0</v>
      </c>
      <c r="V581" s="81" cm="1">
        <f t="array" ref="V581">INDEX('Weight tables'!$A$24:$C$27,MATCH(1,(RendicontiTrasmessiBL__2[[#This Row],[Cut percentage on real costs + USC]]&gt;='Weight tables'!$B$24:$B$27)*(RendicontiTrasmessiBL__2[[#This Row],[Cut percentage on real costs + USC]]&lt;='Weight tables'!$C$24:$C$27),0),1)</f>
        <v>0</v>
      </c>
      <c r="W581" s="2">
        <f>RendicontiTrasmessiBL__2[[#This Row],[Weight real costs  + USC ]]</f>
        <v>0</v>
      </c>
    </row>
    <row r="582" spans="1:23" x14ac:dyDescent="0.25">
      <c r="A582" s="1" t="s">
        <v>296</v>
      </c>
      <c r="B582" s="1" t="s">
        <v>0</v>
      </c>
      <c r="C582" s="2">
        <v>195</v>
      </c>
      <c r="D582" s="2">
        <v>298</v>
      </c>
      <c r="E582" s="1" t="s">
        <v>232</v>
      </c>
      <c r="G582">
        <v>80000</v>
      </c>
      <c r="H582">
        <v>0</v>
      </c>
      <c r="I582">
        <v>0</v>
      </c>
      <c r="J582">
        <v>0</v>
      </c>
      <c r="K582">
        <v>0</v>
      </c>
      <c r="L582">
        <v>0</v>
      </c>
      <c r="M582">
        <v>0</v>
      </c>
      <c r="N582">
        <v>0</v>
      </c>
      <c r="O582">
        <v>80000</v>
      </c>
      <c r="P582">
        <v>0</v>
      </c>
      <c r="Q582" t="str">
        <f>INDEX('Partner data'!A:DH,MATCH(C582,'Partner data'!DG:DG,0),83)</f>
        <v>Soggetto pubblico</v>
      </c>
      <c r="R582" t="b">
        <f>IF(E582="staff",IF(INDEX('Partner data'!A:DH,MATCH(C582,'Partner data'!DG:DG,0),112)="BL1 non presente","FALSO",INDEX('Partner data'!A:DH,MATCH(C582,'Partner data'!DG:DG,0),112)))</f>
        <v>0</v>
      </c>
      <c r="S582" t="b">
        <f t="shared" si="18"/>
        <v>0</v>
      </c>
      <c r="T582" t="b">
        <f t="shared" si="19"/>
        <v>1</v>
      </c>
      <c r="U582" s="154">
        <f>IFERROR(IF(R582&lt;&gt;FALSE,IF(S582=TRUE,INDEX('SummaryNOT_VALIDATED-BL'!$A$1:$F$16,MATCH(R582,'SummaryNOT_VALIDATED-BL'!$A$1:$A$16,0),6),0),IF(S582=TRUE,INDEX('SummaryNOT_VALIDATED-BL'!$A$1:$F$16,MATCH(E582,'SummaryNOT_VALIDATED-BL'!$A$1:$A$16,0),6),0)),0)</f>
        <v>0</v>
      </c>
      <c r="V582" s="81" cm="1">
        <f t="array" ref="V582">INDEX('Weight tables'!$A$24:$C$27,MATCH(1,(RendicontiTrasmessiBL__2[[#This Row],[Cut percentage on real costs + USC]]&gt;='Weight tables'!$B$24:$B$27)*(RendicontiTrasmessiBL__2[[#This Row],[Cut percentage on real costs + USC]]&lt;='Weight tables'!$C$24:$C$27),0),1)</f>
        <v>0</v>
      </c>
      <c r="W582" s="2">
        <f>RendicontiTrasmessiBL__2[[#This Row],[Weight real costs  + USC ]]</f>
        <v>0</v>
      </c>
    </row>
    <row r="583" spans="1:23" x14ac:dyDescent="0.25">
      <c r="A583" s="1" t="s">
        <v>296</v>
      </c>
      <c r="B583" s="1" t="s">
        <v>0</v>
      </c>
      <c r="C583" s="2">
        <v>195</v>
      </c>
      <c r="D583" s="2">
        <v>298</v>
      </c>
      <c r="E583" s="1" t="s">
        <v>233</v>
      </c>
      <c r="G583">
        <v>0</v>
      </c>
      <c r="H583">
        <v>0</v>
      </c>
      <c r="I583">
        <v>0</v>
      </c>
      <c r="J583">
        <v>0</v>
      </c>
      <c r="K583">
        <v>0</v>
      </c>
      <c r="L583">
        <v>0</v>
      </c>
      <c r="M583">
        <v>0</v>
      </c>
      <c r="N583">
        <v>0</v>
      </c>
      <c r="O583">
        <v>0</v>
      </c>
      <c r="P583">
        <v>0</v>
      </c>
      <c r="Q583" t="str">
        <f>INDEX('Partner data'!A:DH,MATCH(C583,'Partner data'!DG:DG,0),83)</f>
        <v>Soggetto pubblico</v>
      </c>
      <c r="R583" t="b">
        <f>IF(E583="staff",IF(INDEX('Partner data'!A:DH,MATCH(C583,'Partner data'!DG:DG,0),112)="BL1 non presente","FALSO",INDEX('Partner data'!A:DH,MATCH(C583,'Partner data'!DG:DG,0),112)))</f>
        <v>0</v>
      </c>
      <c r="S583" t="b">
        <f t="shared" si="18"/>
        <v>0</v>
      </c>
      <c r="T583" t="b">
        <f t="shared" si="19"/>
        <v>1</v>
      </c>
      <c r="U583" s="154">
        <f>IFERROR(IF(R583&lt;&gt;FALSE,IF(S583=TRUE,INDEX('SummaryNOT_VALIDATED-BL'!$A$1:$F$16,MATCH(R583,'SummaryNOT_VALIDATED-BL'!$A$1:$A$16,0),6),0),IF(S583=TRUE,INDEX('SummaryNOT_VALIDATED-BL'!$A$1:$F$16,MATCH(E583,'SummaryNOT_VALIDATED-BL'!$A$1:$A$16,0),6),0)),0)</f>
        <v>0</v>
      </c>
      <c r="V583" s="81" cm="1">
        <f t="array" ref="V583">INDEX('Weight tables'!$A$24:$C$27,MATCH(1,(RendicontiTrasmessiBL__2[[#This Row],[Cut percentage on real costs + USC]]&gt;='Weight tables'!$B$24:$B$27)*(RendicontiTrasmessiBL__2[[#This Row],[Cut percentage on real costs + USC]]&lt;='Weight tables'!$C$24:$C$27),0),1)</f>
        <v>0</v>
      </c>
      <c r="W583" s="2">
        <f>RendicontiTrasmessiBL__2[[#This Row],[Weight real costs  + USC ]]</f>
        <v>0</v>
      </c>
    </row>
    <row r="584" spans="1:23" x14ac:dyDescent="0.25">
      <c r="A584" s="1" t="s">
        <v>296</v>
      </c>
      <c r="B584" s="1" t="s">
        <v>0</v>
      </c>
      <c r="C584" s="2">
        <v>195</v>
      </c>
      <c r="D584" s="2">
        <v>298</v>
      </c>
      <c r="E584" s="1" t="s">
        <v>234</v>
      </c>
      <c r="G584">
        <v>0</v>
      </c>
      <c r="H584">
        <v>0</v>
      </c>
      <c r="I584">
        <v>0</v>
      </c>
      <c r="J584">
        <v>0</v>
      </c>
      <c r="K584">
        <v>0</v>
      </c>
      <c r="L584">
        <v>0</v>
      </c>
      <c r="M584">
        <v>0</v>
      </c>
      <c r="N584">
        <v>0</v>
      </c>
      <c r="O584">
        <v>0</v>
      </c>
      <c r="P584">
        <v>0</v>
      </c>
      <c r="Q584" t="str">
        <f>INDEX('Partner data'!A:DH,MATCH(C584,'Partner data'!DG:DG,0),83)</f>
        <v>Soggetto pubblico</v>
      </c>
      <c r="R584" t="b">
        <f>IF(E584="staff",IF(INDEX('Partner data'!A:DH,MATCH(C584,'Partner data'!DG:DG,0),112)="BL1 non presente","FALSO",INDEX('Partner data'!A:DH,MATCH(C584,'Partner data'!DG:DG,0),112)))</f>
        <v>0</v>
      </c>
      <c r="S584" t="b">
        <f t="shared" si="18"/>
        <v>0</v>
      </c>
      <c r="T584" t="b">
        <f t="shared" si="19"/>
        <v>1</v>
      </c>
      <c r="U584" s="154">
        <f>IFERROR(IF(R584&lt;&gt;FALSE,IF(S584=TRUE,INDEX('SummaryNOT_VALIDATED-BL'!$A$1:$F$16,MATCH(R584,'SummaryNOT_VALIDATED-BL'!$A$1:$A$16,0),6),0),IF(S584=TRUE,INDEX('SummaryNOT_VALIDATED-BL'!$A$1:$F$16,MATCH(E584,'SummaryNOT_VALIDATED-BL'!$A$1:$A$16,0),6),0)),0)</f>
        <v>0</v>
      </c>
      <c r="V584" s="81" cm="1">
        <f t="array" ref="V584">INDEX('Weight tables'!$A$24:$C$27,MATCH(1,(RendicontiTrasmessiBL__2[[#This Row],[Cut percentage on real costs + USC]]&gt;='Weight tables'!$B$24:$B$27)*(RendicontiTrasmessiBL__2[[#This Row],[Cut percentage on real costs + USC]]&lt;='Weight tables'!$C$24:$C$27),0),1)</f>
        <v>0</v>
      </c>
      <c r="W584" s="2">
        <f>RendicontiTrasmessiBL__2[[#This Row],[Weight real costs  + USC ]]</f>
        <v>0</v>
      </c>
    </row>
    <row r="585" spans="1:23" x14ac:dyDescent="0.25">
      <c r="A585" s="1" t="s">
        <v>296</v>
      </c>
      <c r="B585" s="1" t="s">
        <v>0</v>
      </c>
      <c r="C585" s="2">
        <v>195</v>
      </c>
      <c r="D585" s="2">
        <v>298</v>
      </c>
      <c r="E585" s="1" t="s">
        <v>236</v>
      </c>
      <c r="G585">
        <v>0</v>
      </c>
      <c r="H585">
        <v>0</v>
      </c>
      <c r="I585">
        <v>0</v>
      </c>
      <c r="J585">
        <v>0</v>
      </c>
      <c r="K585">
        <v>0</v>
      </c>
      <c r="L585">
        <v>0</v>
      </c>
      <c r="M585">
        <v>0</v>
      </c>
      <c r="N585">
        <v>0</v>
      </c>
      <c r="O585">
        <v>0</v>
      </c>
      <c r="P585">
        <v>0</v>
      </c>
      <c r="Q585" t="str">
        <f>INDEX('Partner data'!A:DH,MATCH(C585,'Partner data'!DG:DG,0),83)</f>
        <v>Soggetto pubblico</v>
      </c>
      <c r="R585" t="b">
        <f>IF(E585="staff",IF(INDEX('Partner data'!A:DH,MATCH(C585,'Partner data'!DG:DG,0),112)="BL1 non presente","FALSO",INDEX('Partner data'!A:DH,MATCH(C585,'Partner data'!DG:DG,0),112)))</f>
        <v>0</v>
      </c>
      <c r="S585" t="b">
        <f t="shared" si="18"/>
        <v>0</v>
      </c>
      <c r="T585" t="b">
        <f t="shared" si="19"/>
        <v>1</v>
      </c>
      <c r="U585" s="154">
        <f>IFERROR(IF(R585&lt;&gt;FALSE,IF(S585=TRUE,INDEX('SummaryNOT_VALIDATED-BL'!$A$1:$F$16,MATCH(R585,'SummaryNOT_VALIDATED-BL'!$A$1:$A$16,0),6),0),IF(S585=TRUE,INDEX('SummaryNOT_VALIDATED-BL'!$A$1:$F$16,MATCH(E585,'SummaryNOT_VALIDATED-BL'!$A$1:$A$16,0),6),0)),0)</f>
        <v>0</v>
      </c>
      <c r="V585" s="81" cm="1">
        <f t="array" ref="V585">INDEX('Weight tables'!$A$24:$C$27,MATCH(1,(RendicontiTrasmessiBL__2[[#This Row],[Cut percentage on real costs + USC]]&gt;='Weight tables'!$B$24:$B$27)*(RendicontiTrasmessiBL__2[[#This Row],[Cut percentage on real costs + USC]]&lt;='Weight tables'!$C$24:$C$27),0),1)</f>
        <v>0</v>
      </c>
      <c r="W585" s="2">
        <f>RendicontiTrasmessiBL__2[[#This Row],[Weight real costs  + USC ]]</f>
        <v>0</v>
      </c>
    </row>
    <row r="586" spans="1:23" x14ac:dyDescent="0.25">
      <c r="A586" s="1" t="s">
        <v>296</v>
      </c>
      <c r="B586" s="1" t="s">
        <v>0</v>
      </c>
      <c r="C586" s="2">
        <v>195</v>
      </c>
      <c r="D586" s="2">
        <v>298</v>
      </c>
      <c r="E586" s="1" t="s">
        <v>237</v>
      </c>
      <c r="G586">
        <v>0</v>
      </c>
      <c r="H586">
        <v>0</v>
      </c>
      <c r="I586">
        <v>0</v>
      </c>
      <c r="J586">
        <v>0</v>
      </c>
      <c r="K586">
        <v>0</v>
      </c>
      <c r="L586">
        <v>0</v>
      </c>
      <c r="M586">
        <v>0</v>
      </c>
      <c r="N586">
        <v>0</v>
      </c>
      <c r="O586">
        <v>0</v>
      </c>
      <c r="P586">
        <v>0</v>
      </c>
      <c r="Q586" t="str">
        <f>INDEX('Partner data'!A:DH,MATCH(C586,'Partner data'!DG:DG,0),83)</f>
        <v>Soggetto pubblico</v>
      </c>
      <c r="R586" t="b">
        <f>IF(E586="staff",IF(INDEX('Partner data'!A:DH,MATCH(C586,'Partner data'!DG:DG,0),112)="BL1 non presente","FALSO",INDEX('Partner data'!A:DH,MATCH(C586,'Partner data'!DG:DG,0),112)))</f>
        <v>0</v>
      </c>
      <c r="S586" t="b">
        <f t="shared" si="18"/>
        <v>0</v>
      </c>
      <c r="T586" t="b">
        <f t="shared" si="19"/>
        <v>1</v>
      </c>
      <c r="U586" s="154">
        <f>IFERROR(IF(R586&lt;&gt;FALSE,IF(S586=TRUE,INDEX('SummaryNOT_VALIDATED-BL'!$A$1:$F$16,MATCH(R586,'SummaryNOT_VALIDATED-BL'!$A$1:$A$16,0),6),0),IF(S586=TRUE,INDEX('SummaryNOT_VALIDATED-BL'!$A$1:$F$16,MATCH(E586,'SummaryNOT_VALIDATED-BL'!$A$1:$A$16,0),6),0)),0)</f>
        <v>0</v>
      </c>
      <c r="V586" s="81" cm="1">
        <f t="array" ref="V586">INDEX('Weight tables'!$A$24:$C$27,MATCH(1,(RendicontiTrasmessiBL__2[[#This Row],[Cut percentage on real costs + USC]]&gt;='Weight tables'!$B$24:$B$27)*(RendicontiTrasmessiBL__2[[#This Row],[Cut percentage on real costs + USC]]&lt;='Weight tables'!$C$24:$C$27),0),1)</f>
        <v>0</v>
      </c>
      <c r="W586" s="2">
        <f>RendicontiTrasmessiBL__2[[#This Row],[Weight real costs  + USC ]]</f>
        <v>0</v>
      </c>
    </row>
    <row r="587" spans="1:23" x14ac:dyDescent="0.25">
      <c r="A587" s="1" t="s">
        <v>296</v>
      </c>
      <c r="B587" s="1" t="s">
        <v>298</v>
      </c>
      <c r="C587" s="2">
        <v>196</v>
      </c>
      <c r="D587" s="2">
        <v>336</v>
      </c>
      <c r="E587" s="1" t="s">
        <v>228</v>
      </c>
      <c r="G587">
        <v>19517</v>
      </c>
      <c r="H587">
        <v>0</v>
      </c>
      <c r="I587">
        <v>0</v>
      </c>
      <c r="J587">
        <v>0</v>
      </c>
      <c r="K587">
        <v>0</v>
      </c>
      <c r="L587">
        <v>0</v>
      </c>
      <c r="M587">
        <v>0</v>
      </c>
      <c r="N587">
        <v>0</v>
      </c>
      <c r="O587">
        <v>19517</v>
      </c>
      <c r="P587">
        <v>0</v>
      </c>
      <c r="Q587" t="str">
        <f>INDEX('Partner data'!A:DH,MATCH(C587,'Partner data'!DG:DG,0),83)</f>
        <v>Soggetto pubblico</v>
      </c>
      <c r="R587" t="str">
        <f>IF(E587="staff",IF(INDEX('Partner data'!A:DH,MATCH(C587,'Partner data'!DG:DG,0),112)="BL1 non presente","FALSO",INDEX('Partner data'!A:DH,MATCH(C587,'Partner data'!DG:DG,0),112)))</f>
        <v>COSTO REALE</v>
      </c>
      <c r="S587" t="b">
        <f t="shared" si="18"/>
        <v>0</v>
      </c>
      <c r="T587" t="b">
        <f t="shared" si="19"/>
        <v>1</v>
      </c>
      <c r="U587" s="154">
        <f>IFERROR(IF(R587&lt;&gt;FALSE,IF(S587=TRUE,INDEX('SummaryNOT_VALIDATED-BL'!$A$1:$F$16,MATCH(R587,'SummaryNOT_VALIDATED-BL'!$A$1:$A$16,0),6),0),IF(S587=TRUE,INDEX('SummaryNOT_VALIDATED-BL'!$A$1:$F$16,MATCH(E587,'SummaryNOT_VALIDATED-BL'!$A$1:$A$16,0),6),0)),0)</f>
        <v>0</v>
      </c>
      <c r="V587" s="81" cm="1">
        <f t="array" ref="V587">INDEX('Weight tables'!$A$24:$C$27,MATCH(1,(RendicontiTrasmessiBL__2[[#This Row],[Cut percentage on real costs + USC]]&gt;='Weight tables'!$B$24:$B$27)*(RendicontiTrasmessiBL__2[[#This Row],[Cut percentage on real costs + USC]]&lt;='Weight tables'!$C$24:$C$27),0),1)</f>
        <v>0</v>
      </c>
      <c r="W587" s="2">
        <f>RendicontiTrasmessiBL__2[[#This Row],[Weight real costs  + USC ]]</f>
        <v>0</v>
      </c>
    </row>
    <row r="588" spans="1:23" x14ac:dyDescent="0.25">
      <c r="A588" s="1" t="s">
        <v>296</v>
      </c>
      <c r="B588" s="1" t="s">
        <v>298</v>
      </c>
      <c r="C588" s="2">
        <v>196</v>
      </c>
      <c r="D588" s="2">
        <v>336</v>
      </c>
      <c r="E588" s="1" t="s">
        <v>229</v>
      </c>
      <c r="F588">
        <v>15</v>
      </c>
      <c r="G588">
        <v>2927.55</v>
      </c>
      <c r="H588">
        <v>0</v>
      </c>
      <c r="I588">
        <v>0</v>
      </c>
      <c r="J588">
        <v>0</v>
      </c>
      <c r="K588">
        <v>0</v>
      </c>
      <c r="L588">
        <v>0</v>
      </c>
      <c r="M588">
        <v>0</v>
      </c>
      <c r="N588">
        <v>0</v>
      </c>
      <c r="O588">
        <v>2927.55</v>
      </c>
      <c r="P588">
        <v>0</v>
      </c>
      <c r="Q588" t="str">
        <f>INDEX('Partner data'!A:DH,MATCH(C588,'Partner data'!DG:DG,0),83)</f>
        <v>Soggetto pubblico</v>
      </c>
      <c r="R588" t="b">
        <f>IF(E588="staff",IF(INDEX('Partner data'!A:DH,MATCH(C588,'Partner data'!DG:DG,0),112)="BL1 non presente","FALSO",INDEX('Partner data'!A:DH,MATCH(C588,'Partner data'!DG:DG,0),112)))</f>
        <v>0</v>
      </c>
      <c r="S588" t="b">
        <f t="shared" si="18"/>
        <v>0</v>
      </c>
      <c r="T588" t="b">
        <f t="shared" si="19"/>
        <v>1</v>
      </c>
      <c r="U588" s="154">
        <f>IFERROR(IF(R588&lt;&gt;FALSE,IF(S588=TRUE,INDEX('SummaryNOT_VALIDATED-BL'!$A$1:$F$16,MATCH(R588,'SummaryNOT_VALIDATED-BL'!$A$1:$A$16,0),6),0),IF(S588=TRUE,INDEX('SummaryNOT_VALIDATED-BL'!$A$1:$F$16,MATCH(E588,'SummaryNOT_VALIDATED-BL'!$A$1:$A$16,0),6),0)),0)</f>
        <v>0</v>
      </c>
      <c r="V588" s="81" cm="1">
        <f t="array" ref="V588">INDEX('Weight tables'!$A$24:$C$27,MATCH(1,(RendicontiTrasmessiBL__2[[#This Row],[Cut percentage on real costs + USC]]&gt;='Weight tables'!$B$24:$B$27)*(RendicontiTrasmessiBL__2[[#This Row],[Cut percentage on real costs + USC]]&lt;='Weight tables'!$C$24:$C$27),0),1)</f>
        <v>0</v>
      </c>
      <c r="W588" s="2">
        <f>RendicontiTrasmessiBL__2[[#This Row],[Weight real costs  + USC ]]</f>
        <v>0</v>
      </c>
    </row>
    <row r="589" spans="1:23" x14ac:dyDescent="0.25">
      <c r="A589" s="1" t="s">
        <v>296</v>
      </c>
      <c r="B589" s="1" t="s">
        <v>298</v>
      </c>
      <c r="C589" s="2">
        <v>196</v>
      </c>
      <c r="D589" s="2">
        <v>336</v>
      </c>
      <c r="E589" s="1" t="s">
        <v>230</v>
      </c>
      <c r="F589">
        <v>4</v>
      </c>
      <c r="G589">
        <v>780.68</v>
      </c>
      <c r="H589">
        <v>0</v>
      </c>
      <c r="I589">
        <v>0</v>
      </c>
      <c r="J589">
        <v>0</v>
      </c>
      <c r="K589">
        <v>0</v>
      </c>
      <c r="L589">
        <v>0</v>
      </c>
      <c r="M589">
        <v>0</v>
      </c>
      <c r="N589">
        <v>0</v>
      </c>
      <c r="O589">
        <v>780.68</v>
      </c>
      <c r="P589">
        <v>0</v>
      </c>
      <c r="Q589" t="str">
        <f>INDEX('Partner data'!A:DH,MATCH(C589,'Partner data'!DG:DG,0),83)</f>
        <v>Soggetto pubblico</v>
      </c>
      <c r="R589" t="b">
        <f>IF(E589="staff",IF(INDEX('Partner data'!A:DH,MATCH(C589,'Partner data'!DG:DG,0),112)="BL1 non presente","FALSO",INDEX('Partner data'!A:DH,MATCH(C589,'Partner data'!DG:DG,0),112)))</f>
        <v>0</v>
      </c>
      <c r="S589" t="b">
        <f t="shared" si="18"/>
        <v>0</v>
      </c>
      <c r="T589" t="b">
        <f t="shared" si="19"/>
        <v>1</v>
      </c>
      <c r="U589" s="154">
        <f>IFERROR(IF(R589&lt;&gt;FALSE,IF(S589=TRUE,INDEX('SummaryNOT_VALIDATED-BL'!$A$1:$F$16,MATCH(R589,'SummaryNOT_VALIDATED-BL'!$A$1:$A$16,0),6),0),IF(S589=TRUE,INDEX('SummaryNOT_VALIDATED-BL'!$A$1:$F$16,MATCH(E589,'SummaryNOT_VALIDATED-BL'!$A$1:$A$16,0),6),0)),0)</f>
        <v>0</v>
      </c>
      <c r="V589" s="81" cm="1">
        <f t="array" ref="V589">INDEX('Weight tables'!$A$24:$C$27,MATCH(1,(RendicontiTrasmessiBL__2[[#This Row],[Cut percentage on real costs + USC]]&gt;='Weight tables'!$B$24:$B$27)*(RendicontiTrasmessiBL__2[[#This Row],[Cut percentage on real costs + USC]]&lt;='Weight tables'!$C$24:$C$27),0),1)</f>
        <v>0</v>
      </c>
      <c r="W589" s="2">
        <f>RendicontiTrasmessiBL__2[[#This Row],[Weight real costs  + USC ]]</f>
        <v>0</v>
      </c>
    </row>
    <row r="590" spans="1:23" x14ac:dyDescent="0.25">
      <c r="A590" s="1" t="s">
        <v>296</v>
      </c>
      <c r="B590" s="1" t="s">
        <v>298</v>
      </c>
      <c r="C590" s="2">
        <v>196</v>
      </c>
      <c r="D590" s="2">
        <v>336</v>
      </c>
      <c r="E590" s="1" t="s">
        <v>231</v>
      </c>
      <c r="G590">
        <v>72558</v>
      </c>
      <c r="H590">
        <v>0</v>
      </c>
      <c r="I590">
        <v>0</v>
      </c>
      <c r="J590">
        <v>0</v>
      </c>
      <c r="K590">
        <v>0</v>
      </c>
      <c r="L590">
        <v>0</v>
      </c>
      <c r="M590">
        <v>0</v>
      </c>
      <c r="N590">
        <v>0</v>
      </c>
      <c r="O590">
        <v>72558</v>
      </c>
      <c r="P590">
        <v>0</v>
      </c>
      <c r="Q590" t="str">
        <f>INDEX('Partner data'!A:DH,MATCH(C590,'Partner data'!DG:DG,0),83)</f>
        <v>Soggetto pubblico</v>
      </c>
      <c r="R590" t="b">
        <f>IF(E590="staff",IF(INDEX('Partner data'!A:DH,MATCH(C590,'Partner data'!DG:DG,0),112)="BL1 non presente","FALSO",INDEX('Partner data'!A:DH,MATCH(C590,'Partner data'!DG:DG,0),112)))</f>
        <v>0</v>
      </c>
      <c r="S590" t="b">
        <f t="shared" si="18"/>
        <v>0</v>
      </c>
      <c r="T590" t="b">
        <f t="shared" si="19"/>
        <v>1</v>
      </c>
      <c r="U590" s="154">
        <f>IFERROR(IF(R590&lt;&gt;FALSE,IF(S590=TRUE,INDEX('SummaryNOT_VALIDATED-BL'!$A$1:$F$16,MATCH(R590,'SummaryNOT_VALIDATED-BL'!$A$1:$A$16,0),6),0),IF(S590=TRUE,INDEX('SummaryNOT_VALIDATED-BL'!$A$1:$F$16,MATCH(E590,'SummaryNOT_VALIDATED-BL'!$A$1:$A$16,0),6),0)),0)</f>
        <v>0</v>
      </c>
      <c r="V590" s="81" cm="1">
        <f t="array" ref="V590">INDEX('Weight tables'!$A$24:$C$27,MATCH(1,(RendicontiTrasmessiBL__2[[#This Row],[Cut percentage on real costs + USC]]&gt;='Weight tables'!$B$24:$B$27)*(RendicontiTrasmessiBL__2[[#This Row],[Cut percentage on real costs + USC]]&lt;='Weight tables'!$C$24:$C$27),0),1)</f>
        <v>0</v>
      </c>
      <c r="W590" s="2">
        <f>RendicontiTrasmessiBL__2[[#This Row],[Weight real costs  + USC ]]</f>
        <v>0</v>
      </c>
    </row>
    <row r="591" spans="1:23" x14ac:dyDescent="0.25">
      <c r="A591" s="1" t="s">
        <v>296</v>
      </c>
      <c r="B591" s="1" t="s">
        <v>298</v>
      </c>
      <c r="C591" s="2">
        <v>196</v>
      </c>
      <c r="D591" s="2">
        <v>336</v>
      </c>
      <c r="E591" s="1" t="s">
        <v>232</v>
      </c>
      <c r="G591">
        <v>35000</v>
      </c>
      <c r="H591">
        <v>0</v>
      </c>
      <c r="I591">
        <v>0</v>
      </c>
      <c r="J591">
        <v>0</v>
      </c>
      <c r="K591">
        <v>0</v>
      </c>
      <c r="L591">
        <v>0</v>
      </c>
      <c r="M591">
        <v>0</v>
      </c>
      <c r="N591">
        <v>0</v>
      </c>
      <c r="O591">
        <v>35000</v>
      </c>
      <c r="P591">
        <v>0</v>
      </c>
      <c r="Q591" t="str">
        <f>INDEX('Partner data'!A:DH,MATCH(C591,'Partner data'!DG:DG,0),83)</f>
        <v>Soggetto pubblico</v>
      </c>
      <c r="R591" t="b">
        <f>IF(E591="staff",IF(INDEX('Partner data'!A:DH,MATCH(C591,'Partner data'!DG:DG,0),112)="BL1 non presente","FALSO",INDEX('Partner data'!A:DH,MATCH(C591,'Partner data'!DG:DG,0),112)))</f>
        <v>0</v>
      </c>
      <c r="S591" t="b">
        <f t="shared" si="18"/>
        <v>0</v>
      </c>
      <c r="T591" t="b">
        <f t="shared" si="19"/>
        <v>1</v>
      </c>
      <c r="U591" s="154">
        <f>IFERROR(IF(R591&lt;&gt;FALSE,IF(S591=TRUE,INDEX('SummaryNOT_VALIDATED-BL'!$A$1:$F$16,MATCH(R591,'SummaryNOT_VALIDATED-BL'!$A$1:$A$16,0),6),0),IF(S591=TRUE,INDEX('SummaryNOT_VALIDATED-BL'!$A$1:$F$16,MATCH(E591,'SummaryNOT_VALIDATED-BL'!$A$1:$A$16,0),6),0)),0)</f>
        <v>0</v>
      </c>
      <c r="V591" s="81" cm="1">
        <f t="array" ref="V591">INDEX('Weight tables'!$A$24:$C$27,MATCH(1,(RendicontiTrasmessiBL__2[[#This Row],[Cut percentage on real costs + USC]]&gt;='Weight tables'!$B$24:$B$27)*(RendicontiTrasmessiBL__2[[#This Row],[Cut percentage on real costs + USC]]&lt;='Weight tables'!$C$24:$C$27),0),1)</f>
        <v>0</v>
      </c>
      <c r="W591" s="2">
        <f>RendicontiTrasmessiBL__2[[#This Row],[Weight real costs  + USC ]]</f>
        <v>0</v>
      </c>
    </row>
    <row r="592" spans="1:23" x14ac:dyDescent="0.25">
      <c r="A592" s="1" t="s">
        <v>296</v>
      </c>
      <c r="B592" s="1" t="s">
        <v>298</v>
      </c>
      <c r="C592" s="2">
        <v>196</v>
      </c>
      <c r="D592" s="2">
        <v>336</v>
      </c>
      <c r="E592" s="1" t="s">
        <v>233</v>
      </c>
      <c r="G592">
        <v>0</v>
      </c>
      <c r="H592">
        <v>0</v>
      </c>
      <c r="I592">
        <v>0</v>
      </c>
      <c r="J592">
        <v>0</v>
      </c>
      <c r="K592">
        <v>0</v>
      </c>
      <c r="L592">
        <v>0</v>
      </c>
      <c r="M592">
        <v>0</v>
      </c>
      <c r="N592">
        <v>0</v>
      </c>
      <c r="O592">
        <v>0</v>
      </c>
      <c r="P592">
        <v>0</v>
      </c>
      <c r="Q592" t="str">
        <f>INDEX('Partner data'!A:DH,MATCH(C592,'Partner data'!DG:DG,0),83)</f>
        <v>Soggetto pubblico</v>
      </c>
      <c r="R592" t="b">
        <f>IF(E592="staff",IF(INDEX('Partner data'!A:DH,MATCH(C592,'Partner data'!DG:DG,0),112)="BL1 non presente","FALSO",INDEX('Partner data'!A:DH,MATCH(C592,'Partner data'!DG:DG,0),112)))</f>
        <v>0</v>
      </c>
      <c r="S592" t="b">
        <f t="shared" si="18"/>
        <v>0</v>
      </c>
      <c r="T592" t="b">
        <f t="shared" si="19"/>
        <v>1</v>
      </c>
      <c r="U592" s="154">
        <f>IFERROR(IF(R592&lt;&gt;FALSE,IF(S592=TRUE,INDEX('SummaryNOT_VALIDATED-BL'!$A$1:$F$16,MATCH(R592,'SummaryNOT_VALIDATED-BL'!$A$1:$A$16,0),6),0),IF(S592=TRUE,INDEX('SummaryNOT_VALIDATED-BL'!$A$1:$F$16,MATCH(E592,'SummaryNOT_VALIDATED-BL'!$A$1:$A$16,0),6),0)),0)</f>
        <v>0</v>
      </c>
      <c r="V592" s="81" cm="1">
        <f t="array" ref="V592">INDEX('Weight tables'!$A$24:$C$27,MATCH(1,(RendicontiTrasmessiBL__2[[#This Row],[Cut percentage on real costs + USC]]&gt;='Weight tables'!$B$24:$B$27)*(RendicontiTrasmessiBL__2[[#This Row],[Cut percentage on real costs + USC]]&lt;='Weight tables'!$C$24:$C$27),0),1)</f>
        <v>0</v>
      </c>
      <c r="W592" s="2">
        <f>RendicontiTrasmessiBL__2[[#This Row],[Weight real costs  + USC ]]</f>
        <v>0</v>
      </c>
    </row>
    <row r="593" spans="1:23" x14ac:dyDescent="0.25">
      <c r="A593" s="1" t="s">
        <v>296</v>
      </c>
      <c r="B593" s="1" t="s">
        <v>298</v>
      </c>
      <c r="C593" s="2">
        <v>196</v>
      </c>
      <c r="D593" s="2">
        <v>336</v>
      </c>
      <c r="E593" s="1" t="s">
        <v>234</v>
      </c>
      <c r="G593">
        <v>0</v>
      </c>
      <c r="H593">
        <v>0</v>
      </c>
      <c r="I593">
        <v>0</v>
      </c>
      <c r="J593">
        <v>0</v>
      </c>
      <c r="K593">
        <v>0</v>
      </c>
      <c r="L593">
        <v>0</v>
      </c>
      <c r="M593">
        <v>0</v>
      </c>
      <c r="N593">
        <v>0</v>
      </c>
      <c r="O593">
        <v>0</v>
      </c>
      <c r="P593">
        <v>0</v>
      </c>
      <c r="Q593" t="str">
        <f>INDEX('Partner data'!A:DH,MATCH(C593,'Partner data'!DG:DG,0),83)</f>
        <v>Soggetto pubblico</v>
      </c>
      <c r="R593" t="b">
        <f>IF(E593="staff",IF(INDEX('Partner data'!A:DH,MATCH(C593,'Partner data'!DG:DG,0),112)="BL1 non presente","FALSO",INDEX('Partner data'!A:DH,MATCH(C593,'Partner data'!DG:DG,0),112)))</f>
        <v>0</v>
      </c>
      <c r="S593" t="b">
        <f t="shared" si="18"/>
        <v>0</v>
      </c>
      <c r="T593" t="b">
        <f t="shared" si="19"/>
        <v>1</v>
      </c>
      <c r="U593" s="154">
        <f>IFERROR(IF(R593&lt;&gt;FALSE,IF(S593=TRUE,INDEX('SummaryNOT_VALIDATED-BL'!$A$1:$F$16,MATCH(R593,'SummaryNOT_VALIDATED-BL'!$A$1:$A$16,0),6),0),IF(S593=TRUE,INDEX('SummaryNOT_VALIDATED-BL'!$A$1:$F$16,MATCH(E593,'SummaryNOT_VALIDATED-BL'!$A$1:$A$16,0),6),0)),0)</f>
        <v>0</v>
      </c>
      <c r="V593" s="81" cm="1">
        <f t="array" ref="V593">INDEX('Weight tables'!$A$24:$C$27,MATCH(1,(RendicontiTrasmessiBL__2[[#This Row],[Cut percentage on real costs + USC]]&gt;='Weight tables'!$B$24:$B$27)*(RendicontiTrasmessiBL__2[[#This Row],[Cut percentage on real costs + USC]]&lt;='Weight tables'!$C$24:$C$27),0),1)</f>
        <v>0</v>
      </c>
      <c r="W593" s="2">
        <f>RendicontiTrasmessiBL__2[[#This Row],[Weight real costs  + USC ]]</f>
        <v>0</v>
      </c>
    </row>
    <row r="594" spans="1:23" x14ac:dyDescent="0.25">
      <c r="A594" s="1" t="s">
        <v>296</v>
      </c>
      <c r="B594" s="1" t="s">
        <v>298</v>
      </c>
      <c r="C594" s="2">
        <v>196</v>
      </c>
      <c r="D594" s="2">
        <v>336</v>
      </c>
      <c r="E594" s="1" t="s">
        <v>236</v>
      </c>
      <c r="G594">
        <v>0</v>
      </c>
      <c r="H594">
        <v>0</v>
      </c>
      <c r="I594">
        <v>0</v>
      </c>
      <c r="J594">
        <v>0</v>
      </c>
      <c r="K594">
        <v>0</v>
      </c>
      <c r="L594">
        <v>0</v>
      </c>
      <c r="M594">
        <v>0</v>
      </c>
      <c r="N594">
        <v>0</v>
      </c>
      <c r="O594">
        <v>0</v>
      </c>
      <c r="P594">
        <v>0</v>
      </c>
      <c r="Q594" t="str">
        <f>INDEX('Partner data'!A:DH,MATCH(C594,'Partner data'!DG:DG,0),83)</f>
        <v>Soggetto pubblico</v>
      </c>
      <c r="R594" t="b">
        <f>IF(E594="staff",IF(INDEX('Partner data'!A:DH,MATCH(C594,'Partner data'!DG:DG,0),112)="BL1 non presente","FALSO",INDEX('Partner data'!A:DH,MATCH(C594,'Partner data'!DG:DG,0),112)))</f>
        <v>0</v>
      </c>
      <c r="S594" t="b">
        <f t="shared" si="18"/>
        <v>0</v>
      </c>
      <c r="T594" t="b">
        <f t="shared" si="19"/>
        <v>1</v>
      </c>
      <c r="U594" s="154">
        <f>IFERROR(IF(R594&lt;&gt;FALSE,IF(S594=TRUE,INDEX('SummaryNOT_VALIDATED-BL'!$A$1:$F$16,MATCH(R594,'SummaryNOT_VALIDATED-BL'!$A$1:$A$16,0),6),0),IF(S594=TRUE,INDEX('SummaryNOT_VALIDATED-BL'!$A$1:$F$16,MATCH(E594,'SummaryNOT_VALIDATED-BL'!$A$1:$A$16,0),6),0)),0)</f>
        <v>0</v>
      </c>
      <c r="V594" s="81" cm="1">
        <f t="array" ref="V594">INDEX('Weight tables'!$A$24:$C$27,MATCH(1,(RendicontiTrasmessiBL__2[[#This Row],[Cut percentage on real costs + USC]]&gt;='Weight tables'!$B$24:$B$27)*(RendicontiTrasmessiBL__2[[#This Row],[Cut percentage on real costs + USC]]&lt;='Weight tables'!$C$24:$C$27),0),1)</f>
        <v>0</v>
      </c>
      <c r="W594" s="2">
        <f>RendicontiTrasmessiBL__2[[#This Row],[Weight real costs  + USC ]]</f>
        <v>0</v>
      </c>
    </row>
    <row r="595" spans="1:23" x14ac:dyDescent="0.25">
      <c r="A595" s="1" t="s">
        <v>296</v>
      </c>
      <c r="B595" s="1" t="s">
        <v>298</v>
      </c>
      <c r="C595" s="2">
        <v>196</v>
      </c>
      <c r="D595" s="2">
        <v>336</v>
      </c>
      <c r="E595" s="1" t="s">
        <v>237</v>
      </c>
      <c r="G595">
        <v>0</v>
      </c>
      <c r="H595">
        <v>0</v>
      </c>
      <c r="I595">
        <v>0</v>
      </c>
      <c r="J595">
        <v>0</v>
      </c>
      <c r="K595">
        <v>0</v>
      </c>
      <c r="L595">
        <v>0</v>
      </c>
      <c r="M595">
        <v>0</v>
      </c>
      <c r="N595">
        <v>0</v>
      </c>
      <c r="O595">
        <v>0</v>
      </c>
      <c r="P595">
        <v>0</v>
      </c>
      <c r="Q595" t="str">
        <f>INDEX('Partner data'!A:DH,MATCH(C595,'Partner data'!DG:DG,0),83)</f>
        <v>Soggetto pubblico</v>
      </c>
      <c r="R595" t="b">
        <f>IF(E595="staff",IF(INDEX('Partner data'!A:DH,MATCH(C595,'Partner data'!DG:DG,0),112)="BL1 non presente","FALSO",INDEX('Partner data'!A:DH,MATCH(C595,'Partner data'!DG:DG,0),112)))</f>
        <v>0</v>
      </c>
      <c r="S595" t="b">
        <f t="shared" si="18"/>
        <v>0</v>
      </c>
      <c r="T595" t="b">
        <f t="shared" si="19"/>
        <v>1</v>
      </c>
      <c r="U595" s="154">
        <f>IFERROR(IF(R595&lt;&gt;FALSE,IF(S595=TRUE,INDEX('SummaryNOT_VALIDATED-BL'!$A$1:$F$16,MATCH(R595,'SummaryNOT_VALIDATED-BL'!$A$1:$A$16,0),6),0),IF(S595=TRUE,INDEX('SummaryNOT_VALIDATED-BL'!$A$1:$F$16,MATCH(E595,'SummaryNOT_VALIDATED-BL'!$A$1:$A$16,0),6),0)),0)</f>
        <v>0</v>
      </c>
      <c r="V595" s="81" cm="1">
        <f t="array" ref="V595">INDEX('Weight tables'!$A$24:$C$27,MATCH(1,(RendicontiTrasmessiBL__2[[#This Row],[Cut percentage on real costs + USC]]&gt;='Weight tables'!$B$24:$B$27)*(RendicontiTrasmessiBL__2[[#This Row],[Cut percentage on real costs + USC]]&lt;='Weight tables'!$C$24:$C$27),0),1)</f>
        <v>0</v>
      </c>
      <c r="W595" s="2">
        <f>RendicontiTrasmessiBL__2[[#This Row],[Weight real costs  + USC ]]</f>
        <v>0</v>
      </c>
    </row>
    <row r="596" spans="1:23" x14ac:dyDescent="0.25">
      <c r="A596" s="1" t="s">
        <v>296</v>
      </c>
      <c r="B596" s="1" t="s">
        <v>275</v>
      </c>
      <c r="C596" s="2">
        <v>52</v>
      </c>
      <c r="D596" s="2">
        <v>262</v>
      </c>
      <c r="E596" s="1" t="s">
        <v>228</v>
      </c>
      <c r="F596">
        <v>20</v>
      </c>
      <c r="G596">
        <v>24620</v>
      </c>
      <c r="H596">
        <v>0</v>
      </c>
      <c r="I596">
        <v>0</v>
      </c>
      <c r="J596">
        <v>0</v>
      </c>
      <c r="K596">
        <v>0</v>
      </c>
      <c r="L596">
        <v>0</v>
      </c>
      <c r="M596">
        <v>0</v>
      </c>
      <c r="N596">
        <v>0</v>
      </c>
      <c r="O596">
        <v>24620</v>
      </c>
      <c r="P596">
        <v>0</v>
      </c>
      <c r="Q596" t="str">
        <f>INDEX('Partner data'!A:DH,MATCH(C596,'Partner data'!DG:DG,0),83)</f>
        <v>Soggetto pubblico</v>
      </c>
      <c r="R596" t="str">
        <f>IF(E596="staff",IF(INDEX('Partner data'!A:DH,MATCH(C596,'Partner data'!DG:DG,0),112)="BL1 non presente","FALSO",INDEX('Partner data'!A:DH,MATCH(C596,'Partner data'!DG:DG,0),112)))</f>
        <v>Tasso Forfettario 20%</v>
      </c>
      <c r="S596" t="b">
        <f t="shared" si="18"/>
        <v>0</v>
      </c>
      <c r="T596" t="b">
        <f t="shared" si="19"/>
        <v>1</v>
      </c>
      <c r="U596" s="154">
        <f>IFERROR(IF(R596&lt;&gt;FALSE,IF(S596=TRUE,INDEX('SummaryNOT_VALIDATED-BL'!$A$1:$F$16,MATCH(R596,'SummaryNOT_VALIDATED-BL'!$A$1:$A$16,0),6),0),IF(S596=TRUE,INDEX('SummaryNOT_VALIDATED-BL'!$A$1:$F$16,MATCH(E596,'SummaryNOT_VALIDATED-BL'!$A$1:$A$16,0),6),0)),0)</f>
        <v>0</v>
      </c>
      <c r="V596" s="81" cm="1">
        <f t="array" ref="V596">INDEX('Weight tables'!$A$24:$C$27,MATCH(1,(RendicontiTrasmessiBL__2[[#This Row],[Cut percentage on real costs + USC]]&gt;='Weight tables'!$B$24:$B$27)*(RendicontiTrasmessiBL__2[[#This Row],[Cut percentage on real costs + USC]]&lt;='Weight tables'!$C$24:$C$27),0),1)</f>
        <v>0</v>
      </c>
      <c r="W596" s="2">
        <f>RendicontiTrasmessiBL__2[[#This Row],[Weight real costs  + USC ]]</f>
        <v>0</v>
      </c>
    </row>
    <row r="597" spans="1:23" x14ac:dyDescent="0.25">
      <c r="A597" s="1" t="s">
        <v>296</v>
      </c>
      <c r="B597" s="1" t="s">
        <v>275</v>
      </c>
      <c r="C597" s="2">
        <v>52</v>
      </c>
      <c r="D597" s="2">
        <v>262</v>
      </c>
      <c r="E597" s="1" t="s">
        <v>229</v>
      </c>
      <c r="F597">
        <v>15</v>
      </c>
      <c r="G597">
        <v>3693</v>
      </c>
      <c r="H597">
        <v>0</v>
      </c>
      <c r="I597">
        <v>0</v>
      </c>
      <c r="J597">
        <v>0</v>
      </c>
      <c r="K597">
        <v>0</v>
      </c>
      <c r="L597">
        <v>0</v>
      </c>
      <c r="M597">
        <v>0</v>
      </c>
      <c r="N597">
        <v>0</v>
      </c>
      <c r="O597">
        <v>3693</v>
      </c>
      <c r="P597">
        <v>0</v>
      </c>
      <c r="Q597" t="str">
        <f>INDEX('Partner data'!A:DH,MATCH(C597,'Partner data'!DG:DG,0),83)</f>
        <v>Soggetto pubblico</v>
      </c>
      <c r="R597" t="b">
        <f>IF(E597="staff",IF(INDEX('Partner data'!A:DH,MATCH(C597,'Partner data'!DG:DG,0),112)="BL1 non presente","FALSO",INDEX('Partner data'!A:DH,MATCH(C597,'Partner data'!DG:DG,0),112)))</f>
        <v>0</v>
      </c>
      <c r="S597" t="b">
        <f t="shared" si="18"/>
        <v>0</v>
      </c>
      <c r="T597" t="b">
        <f t="shared" si="19"/>
        <v>1</v>
      </c>
      <c r="U597" s="154">
        <f>IFERROR(IF(R597&lt;&gt;FALSE,IF(S597=TRUE,INDEX('SummaryNOT_VALIDATED-BL'!$A$1:$F$16,MATCH(R597,'SummaryNOT_VALIDATED-BL'!$A$1:$A$16,0),6),0),IF(S597=TRUE,INDEX('SummaryNOT_VALIDATED-BL'!$A$1:$F$16,MATCH(E597,'SummaryNOT_VALIDATED-BL'!$A$1:$A$16,0),6),0)),0)</f>
        <v>0</v>
      </c>
      <c r="V597" s="81" cm="1">
        <f t="array" ref="V597">INDEX('Weight tables'!$A$24:$C$27,MATCH(1,(RendicontiTrasmessiBL__2[[#This Row],[Cut percentage on real costs + USC]]&gt;='Weight tables'!$B$24:$B$27)*(RendicontiTrasmessiBL__2[[#This Row],[Cut percentage on real costs + USC]]&lt;='Weight tables'!$C$24:$C$27),0),1)</f>
        <v>0</v>
      </c>
      <c r="W597" s="2">
        <f>RendicontiTrasmessiBL__2[[#This Row],[Weight real costs  + USC ]]</f>
        <v>0</v>
      </c>
    </row>
    <row r="598" spans="1:23" x14ac:dyDescent="0.25">
      <c r="A598" s="1" t="s">
        <v>296</v>
      </c>
      <c r="B598" s="1" t="s">
        <v>275</v>
      </c>
      <c r="C598" s="2">
        <v>52</v>
      </c>
      <c r="D598" s="2">
        <v>262</v>
      </c>
      <c r="E598" s="1" t="s">
        <v>230</v>
      </c>
      <c r="F598">
        <v>4</v>
      </c>
      <c r="G598">
        <v>984.8</v>
      </c>
      <c r="H598">
        <v>0</v>
      </c>
      <c r="I598">
        <v>0</v>
      </c>
      <c r="J598">
        <v>0</v>
      </c>
      <c r="K598">
        <v>0</v>
      </c>
      <c r="L598">
        <v>0</v>
      </c>
      <c r="M598">
        <v>0</v>
      </c>
      <c r="N598">
        <v>0</v>
      </c>
      <c r="O598">
        <v>984.8</v>
      </c>
      <c r="P598">
        <v>0</v>
      </c>
      <c r="Q598" t="str">
        <f>INDEX('Partner data'!A:DH,MATCH(C598,'Partner data'!DG:DG,0),83)</f>
        <v>Soggetto pubblico</v>
      </c>
      <c r="R598" t="b">
        <f>IF(E598="staff",IF(INDEX('Partner data'!A:DH,MATCH(C598,'Partner data'!DG:DG,0),112)="BL1 non presente","FALSO",INDEX('Partner data'!A:DH,MATCH(C598,'Partner data'!DG:DG,0),112)))</f>
        <v>0</v>
      </c>
      <c r="S598" t="b">
        <f t="shared" si="18"/>
        <v>0</v>
      </c>
      <c r="T598" t="b">
        <f t="shared" si="19"/>
        <v>1</v>
      </c>
      <c r="U598" s="154">
        <f>IFERROR(IF(R598&lt;&gt;FALSE,IF(S598=TRUE,INDEX('SummaryNOT_VALIDATED-BL'!$A$1:$F$16,MATCH(R598,'SummaryNOT_VALIDATED-BL'!$A$1:$A$16,0),6),0),IF(S598=TRUE,INDEX('SummaryNOT_VALIDATED-BL'!$A$1:$F$16,MATCH(E598,'SummaryNOT_VALIDATED-BL'!$A$1:$A$16,0),6),0)),0)</f>
        <v>0</v>
      </c>
      <c r="V598" s="81" cm="1">
        <f t="array" ref="V598">INDEX('Weight tables'!$A$24:$C$27,MATCH(1,(RendicontiTrasmessiBL__2[[#This Row],[Cut percentage on real costs + USC]]&gt;='Weight tables'!$B$24:$B$27)*(RendicontiTrasmessiBL__2[[#This Row],[Cut percentage on real costs + USC]]&lt;='Weight tables'!$C$24:$C$27),0),1)</f>
        <v>0</v>
      </c>
      <c r="W598" s="2">
        <f>RendicontiTrasmessiBL__2[[#This Row],[Weight real costs  + USC ]]</f>
        <v>0</v>
      </c>
    </row>
    <row r="599" spans="1:23" x14ac:dyDescent="0.25">
      <c r="A599" s="1" t="s">
        <v>296</v>
      </c>
      <c r="B599" s="1" t="s">
        <v>275</v>
      </c>
      <c r="C599" s="2">
        <v>52</v>
      </c>
      <c r="D599" s="2">
        <v>262</v>
      </c>
      <c r="E599" s="1" t="s">
        <v>231</v>
      </c>
      <c r="G599">
        <v>67000</v>
      </c>
      <c r="H599">
        <v>0</v>
      </c>
      <c r="I599">
        <v>0</v>
      </c>
      <c r="J599">
        <v>0</v>
      </c>
      <c r="K599">
        <v>0</v>
      </c>
      <c r="L599">
        <v>0</v>
      </c>
      <c r="M599">
        <v>0</v>
      </c>
      <c r="N599">
        <v>0</v>
      </c>
      <c r="O599">
        <v>67000</v>
      </c>
      <c r="P599">
        <v>0</v>
      </c>
      <c r="Q599" t="str">
        <f>INDEX('Partner data'!A:DH,MATCH(C599,'Partner data'!DG:DG,0),83)</f>
        <v>Soggetto pubblico</v>
      </c>
      <c r="R599" t="b">
        <f>IF(E599="staff",IF(INDEX('Partner data'!A:DH,MATCH(C599,'Partner data'!DG:DG,0),112)="BL1 non presente","FALSO",INDEX('Partner data'!A:DH,MATCH(C599,'Partner data'!DG:DG,0),112)))</f>
        <v>0</v>
      </c>
      <c r="S599" t="b">
        <f t="shared" si="18"/>
        <v>0</v>
      </c>
      <c r="T599" t="b">
        <f t="shared" si="19"/>
        <v>1</v>
      </c>
      <c r="U599" s="154">
        <f>IFERROR(IF(R599&lt;&gt;FALSE,IF(S599=TRUE,INDEX('SummaryNOT_VALIDATED-BL'!$A$1:$F$16,MATCH(R599,'SummaryNOT_VALIDATED-BL'!$A$1:$A$16,0),6),0),IF(S599=TRUE,INDEX('SummaryNOT_VALIDATED-BL'!$A$1:$F$16,MATCH(E599,'SummaryNOT_VALIDATED-BL'!$A$1:$A$16,0),6),0)),0)</f>
        <v>0</v>
      </c>
      <c r="V599" s="81" cm="1">
        <f t="array" ref="V599">INDEX('Weight tables'!$A$24:$C$27,MATCH(1,(RendicontiTrasmessiBL__2[[#This Row],[Cut percentage on real costs + USC]]&gt;='Weight tables'!$B$24:$B$27)*(RendicontiTrasmessiBL__2[[#This Row],[Cut percentage on real costs + USC]]&lt;='Weight tables'!$C$24:$C$27),0),1)</f>
        <v>0</v>
      </c>
      <c r="W599" s="2">
        <f>RendicontiTrasmessiBL__2[[#This Row],[Weight real costs  + USC ]]</f>
        <v>0</v>
      </c>
    </row>
    <row r="600" spans="1:23" x14ac:dyDescent="0.25">
      <c r="A600" s="1" t="s">
        <v>296</v>
      </c>
      <c r="B600" s="1" t="s">
        <v>275</v>
      </c>
      <c r="C600" s="2">
        <v>52</v>
      </c>
      <c r="D600" s="2">
        <v>262</v>
      </c>
      <c r="E600" s="1" t="s">
        <v>232</v>
      </c>
      <c r="G600">
        <v>28060</v>
      </c>
      <c r="H600">
        <v>0</v>
      </c>
      <c r="I600">
        <v>0</v>
      </c>
      <c r="J600">
        <v>0</v>
      </c>
      <c r="K600">
        <v>0</v>
      </c>
      <c r="L600">
        <v>0</v>
      </c>
      <c r="M600">
        <v>0</v>
      </c>
      <c r="N600">
        <v>0</v>
      </c>
      <c r="O600">
        <v>28060</v>
      </c>
      <c r="P600">
        <v>0</v>
      </c>
      <c r="Q600" t="str">
        <f>INDEX('Partner data'!A:DH,MATCH(C600,'Partner data'!DG:DG,0),83)</f>
        <v>Soggetto pubblico</v>
      </c>
      <c r="R600" t="b">
        <f>IF(E600="staff",IF(INDEX('Partner data'!A:DH,MATCH(C600,'Partner data'!DG:DG,0),112)="BL1 non presente","FALSO",INDEX('Partner data'!A:DH,MATCH(C600,'Partner data'!DG:DG,0),112)))</f>
        <v>0</v>
      </c>
      <c r="S600" t="b">
        <f t="shared" si="18"/>
        <v>0</v>
      </c>
      <c r="T600" t="b">
        <f t="shared" si="19"/>
        <v>1</v>
      </c>
      <c r="U600" s="154">
        <f>IFERROR(IF(R600&lt;&gt;FALSE,IF(S600=TRUE,INDEX('SummaryNOT_VALIDATED-BL'!$A$1:$F$16,MATCH(R600,'SummaryNOT_VALIDATED-BL'!$A$1:$A$16,0),6),0),IF(S600=TRUE,INDEX('SummaryNOT_VALIDATED-BL'!$A$1:$F$16,MATCH(E600,'SummaryNOT_VALIDATED-BL'!$A$1:$A$16,0),6),0)),0)</f>
        <v>0</v>
      </c>
      <c r="V600" s="81" cm="1">
        <f t="array" ref="V600">INDEX('Weight tables'!$A$24:$C$27,MATCH(1,(RendicontiTrasmessiBL__2[[#This Row],[Cut percentage on real costs + USC]]&gt;='Weight tables'!$B$24:$B$27)*(RendicontiTrasmessiBL__2[[#This Row],[Cut percentage on real costs + USC]]&lt;='Weight tables'!$C$24:$C$27),0),1)</f>
        <v>0</v>
      </c>
      <c r="W600" s="2">
        <f>RendicontiTrasmessiBL__2[[#This Row],[Weight real costs  + USC ]]</f>
        <v>0</v>
      </c>
    </row>
    <row r="601" spans="1:23" x14ac:dyDescent="0.25">
      <c r="A601" s="1" t="s">
        <v>296</v>
      </c>
      <c r="B601" s="1" t="s">
        <v>275</v>
      </c>
      <c r="C601" s="2">
        <v>52</v>
      </c>
      <c r="D601" s="2">
        <v>262</v>
      </c>
      <c r="E601" s="1" t="s">
        <v>233</v>
      </c>
      <c r="G601">
        <v>28040</v>
      </c>
      <c r="H601">
        <v>0</v>
      </c>
      <c r="I601">
        <v>0</v>
      </c>
      <c r="J601">
        <v>0</v>
      </c>
      <c r="K601">
        <v>0</v>
      </c>
      <c r="L601">
        <v>0</v>
      </c>
      <c r="M601">
        <v>0</v>
      </c>
      <c r="N601">
        <v>0</v>
      </c>
      <c r="O601">
        <v>28040</v>
      </c>
      <c r="P601">
        <v>0</v>
      </c>
      <c r="Q601" t="str">
        <f>INDEX('Partner data'!A:DH,MATCH(C601,'Partner data'!DG:DG,0),83)</f>
        <v>Soggetto pubblico</v>
      </c>
      <c r="R601" t="b">
        <f>IF(E601="staff",IF(INDEX('Partner data'!A:DH,MATCH(C601,'Partner data'!DG:DG,0),112)="BL1 non presente","FALSO",INDEX('Partner data'!A:DH,MATCH(C601,'Partner data'!DG:DG,0),112)))</f>
        <v>0</v>
      </c>
      <c r="S601" t="b">
        <f t="shared" si="18"/>
        <v>0</v>
      </c>
      <c r="T601" t="b">
        <f t="shared" si="19"/>
        <v>1</v>
      </c>
      <c r="U601" s="154">
        <f>IFERROR(IF(R601&lt;&gt;FALSE,IF(S601=TRUE,INDEX('SummaryNOT_VALIDATED-BL'!$A$1:$F$16,MATCH(R601,'SummaryNOT_VALIDATED-BL'!$A$1:$A$16,0),6),0),IF(S601=TRUE,INDEX('SummaryNOT_VALIDATED-BL'!$A$1:$F$16,MATCH(E601,'SummaryNOT_VALIDATED-BL'!$A$1:$A$16,0),6),0)),0)</f>
        <v>0</v>
      </c>
      <c r="V601" s="81" cm="1">
        <f t="array" ref="V601">INDEX('Weight tables'!$A$24:$C$27,MATCH(1,(RendicontiTrasmessiBL__2[[#This Row],[Cut percentage on real costs + USC]]&gt;='Weight tables'!$B$24:$B$27)*(RendicontiTrasmessiBL__2[[#This Row],[Cut percentage on real costs + USC]]&lt;='Weight tables'!$C$24:$C$27),0),1)</f>
        <v>0</v>
      </c>
      <c r="W601" s="2">
        <f>RendicontiTrasmessiBL__2[[#This Row],[Weight real costs  + USC ]]</f>
        <v>0</v>
      </c>
    </row>
    <row r="602" spans="1:23" x14ac:dyDescent="0.25">
      <c r="A602" s="1" t="s">
        <v>296</v>
      </c>
      <c r="B602" s="1" t="s">
        <v>275</v>
      </c>
      <c r="C602" s="2">
        <v>52</v>
      </c>
      <c r="D602" s="2">
        <v>262</v>
      </c>
      <c r="E602" s="1" t="s">
        <v>234</v>
      </c>
      <c r="G602">
        <v>0</v>
      </c>
      <c r="H602">
        <v>0</v>
      </c>
      <c r="I602">
        <v>0</v>
      </c>
      <c r="J602">
        <v>0</v>
      </c>
      <c r="K602">
        <v>0</v>
      </c>
      <c r="L602">
        <v>0</v>
      </c>
      <c r="M602">
        <v>0</v>
      </c>
      <c r="N602">
        <v>0</v>
      </c>
      <c r="O602">
        <v>0</v>
      </c>
      <c r="P602">
        <v>0</v>
      </c>
      <c r="Q602" t="str">
        <f>INDEX('Partner data'!A:DH,MATCH(C602,'Partner data'!DG:DG,0),83)</f>
        <v>Soggetto pubblico</v>
      </c>
      <c r="R602" t="b">
        <f>IF(E602="staff",IF(INDEX('Partner data'!A:DH,MATCH(C602,'Partner data'!DG:DG,0),112)="BL1 non presente","FALSO",INDEX('Partner data'!A:DH,MATCH(C602,'Partner data'!DG:DG,0),112)))</f>
        <v>0</v>
      </c>
      <c r="S602" t="b">
        <f t="shared" si="18"/>
        <v>0</v>
      </c>
      <c r="T602" t="b">
        <f t="shared" si="19"/>
        <v>1</v>
      </c>
      <c r="U602" s="154">
        <f>IFERROR(IF(R602&lt;&gt;FALSE,IF(S602=TRUE,INDEX('SummaryNOT_VALIDATED-BL'!$A$1:$F$16,MATCH(R602,'SummaryNOT_VALIDATED-BL'!$A$1:$A$16,0),6),0),IF(S602=TRUE,INDEX('SummaryNOT_VALIDATED-BL'!$A$1:$F$16,MATCH(E602,'SummaryNOT_VALIDATED-BL'!$A$1:$A$16,0),6),0)),0)</f>
        <v>0</v>
      </c>
      <c r="V602" s="81" cm="1">
        <f t="array" ref="V602">INDEX('Weight tables'!$A$24:$C$27,MATCH(1,(RendicontiTrasmessiBL__2[[#This Row],[Cut percentage on real costs + USC]]&gt;='Weight tables'!$B$24:$B$27)*(RendicontiTrasmessiBL__2[[#This Row],[Cut percentage on real costs + USC]]&lt;='Weight tables'!$C$24:$C$27),0),1)</f>
        <v>0</v>
      </c>
      <c r="W602" s="2">
        <f>RendicontiTrasmessiBL__2[[#This Row],[Weight real costs  + USC ]]</f>
        <v>0</v>
      </c>
    </row>
    <row r="603" spans="1:23" x14ac:dyDescent="0.25">
      <c r="A603" s="1" t="s">
        <v>296</v>
      </c>
      <c r="B603" s="1" t="s">
        <v>275</v>
      </c>
      <c r="C603" s="2">
        <v>52</v>
      </c>
      <c r="D603" s="2">
        <v>262</v>
      </c>
      <c r="E603" s="1" t="s">
        <v>236</v>
      </c>
      <c r="G603">
        <v>0</v>
      </c>
      <c r="H603">
        <v>0</v>
      </c>
      <c r="I603">
        <v>0</v>
      </c>
      <c r="J603">
        <v>0</v>
      </c>
      <c r="K603">
        <v>0</v>
      </c>
      <c r="L603">
        <v>0</v>
      </c>
      <c r="M603">
        <v>0</v>
      </c>
      <c r="N603">
        <v>0</v>
      </c>
      <c r="O603">
        <v>0</v>
      </c>
      <c r="P603">
        <v>0</v>
      </c>
      <c r="Q603" t="str">
        <f>INDEX('Partner data'!A:DH,MATCH(C603,'Partner data'!DG:DG,0),83)</f>
        <v>Soggetto pubblico</v>
      </c>
      <c r="R603" t="b">
        <f>IF(E603="staff",IF(INDEX('Partner data'!A:DH,MATCH(C603,'Partner data'!DG:DG,0),112)="BL1 non presente","FALSO",INDEX('Partner data'!A:DH,MATCH(C603,'Partner data'!DG:DG,0),112)))</f>
        <v>0</v>
      </c>
      <c r="S603" t="b">
        <f t="shared" si="18"/>
        <v>0</v>
      </c>
      <c r="T603" t="b">
        <f t="shared" si="19"/>
        <v>1</v>
      </c>
      <c r="U603" s="154">
        <f>IFERROR(IF(R603&lt;&gt;FALSE,IF(S603=TRUE,INDEX('SummaryNOT_VALIDATED-BL'!$A$1:$F$16,MATCH(R603,'SummaryNOT_VALIDATED-BL'!$A$1:$A$16,0),6),0),IF(S603=TRUE,INDEX('SummaryNOT_VALIDATED-BL'!$A$1:$F$16,MATCH(E603,'SummaryNOT_VALIDATED-BL'!$A$1:$A$16,0),6),0)),0)</f>
        <v>0</v>
      </c>
      <c r="V603" s="81" cm="1">
        <f t="array" ref="V603">INDEX('Weight tables'!$A$24:$C$27,MATCH(1,(RendicontiTrasmessiBL__2[[#This Row],[Cut percentage on real costs + USC]]&gt;='Weight tables'!$B$24:$B$27)*(RendicontiTrasmessiBL__2[[#This Row],[Cut percentage on real costs + USC]]&lt;='Weight tables'!$C$24:$C$27),0),1)</f>
        <v>0</v>
      </c>
      <c r="W603" s="2">
        <f>RendicontiTrasmessiBL__2[[#This Row],[Weight real costs  + USC ]]</f>
        <v>0</v>
      </c>
    </row>
    <row r="604" spans="1:23" x14ac:dyDescent="0.25">
      <c r="A604" s="1" t="s">
        <v>296</v>
      </c>
      <c r="B604" s="1" t="s">
        <v>275</v>
      </c>
      <c r="C604" s="2">
        <v>52</v>
      </c>
      <c r="D604" s="2">
        <v>262</v>
      </c>
      <c r="E604" s="1" t="s">
        <v>237</v>
      </c>
      <c r="G604">
        <v>0</v>
      </c>
      <c r="H604">
        <v>0</v>
      </c>
      <c r="I604">
        <v>0</v>
      </c>
      <c r="J604">
        <v>0</v>
      </c>
      <c r="K604">
        <v>0</v>
      </c>
      <c r="L604">
        <v>0</v>
      </c>
      <c r="M604">
        <v>0</v>
      </c>
      <c r="N604">
        <v>0</v>
      </c>
      <c r="O604">
        <v>0</v>
      </c>
      <c r="P604">
        <v>0</v>
      </c>
      <c r="Q604" t="str">
        <f>INDEX('Partner data'!A:DH,MATCH(C604,'Partner data'!DG:DG,0),83)</f>
        <v>Soggetto pubblico</v>
      </c>
      <c r="R604" t="b">
        <f>IF(E604="staff",IF(INDEX('Partner data'!A:DH,MATCH(C604,'Partner data'!DG:DG,0),112)="BL1 non presente","FALSO",INDEX('Partner data'!A:DH,MATCH(C604,'Partner data'!DG:DG,0),112)))</f>
        <v>0</v>
      </c>
      <c r="S604" t="b">
        <f t="shared" si="18"/>
        <v>0</v>
      </c>
      <c r="T604" t="b">
        <f t="shared" si="19"/>
        <v>1</v>
      </c>
      <c r="U604" s="154">
        <f>IFERROR(IF(R604&lt;&gt;FALSE,IF(S604=TRUE,INDEX('SummaryNOT_VALIDATED-BL'!$A$1:$F$16,MATCH(R604,'SummaryNOT_VALIDATED-BL'!$A$1:$A$16,0),6),0),IF(S604=TRUE,INDEX('SummaryNOT_VALIDATED-BL'!$A$1:$F$16,MATCH(E604,'SummaryNOT_VALIDATED-BL'!$A$1:$A$16,0),6),0)),0)</f>
        <v>0</v>
      </c>
      <c r="V604" s="81" cm="1">
        <f t="array" ref="V604">INDEX('Weight tables'!$A$24:$C$27,MATCH(1,(RendicontiTrasmessiBL__2[[#This Row],[Cut percentage on real costs + USC]]&gt;='Weight tables'!$B$24:$B$27)*(RendicontiTrasmessiBL__2[[#This Row],[Cut percentage on real costs + USC]]&lt;='Weight tables'!$C$24:$C$27),0),1)</f>
        <v>0</v>
      </c>
      <c r="W604" s="2">
        <f>RendicontiTrasmessiBL__2[[#This Row],[Weight real costs  + USC ]]</f>
        <v>0</v>
      </c>
    </row>
    <row r="605" spans="1:23" x14ac:dyDescent="0.25">
      <c r="A605" s="1" t="s">
        <v>296</v>
      </c>
      <c r="B605" s="1" t="s">
        <v>299</v>
      </c>
      <c r="C605" s="2">
        <v>192</v>
      </c>
      <c r="D605" s="2">
        <v>342</v>
      </c>
      <c r="E605" s="1" t="s">
        <v>228</v>
      </c>
      <c r="G605">
        <v>0</v>
      </c>
      <c r="H605">
        <v>0</v>
      </c>
      <c r="I605">
        <v>0</v>
      </c>
      <c r="J605">
        <v>0</v>
      </c>
      <c r="K605">
        <v>0</v>
      </c>
      <c r="L605">
        <v>0</v>
      </c>
      <c r="M605">
        <v>0</v>
      </c>
      <c r="N605">
        <v>0</v>
      </c>
      <c r="O605">
        <v>0</v>
      </c>
      <c r="P605">
        <v>0</v>
      </c>
      <c r="Q605" t="str">
        <f>INDEX('Partner data'!A:DH,MATCH(C605,'Partner data'!DG:DG,0),83)</f>
        <v>Soggetto pubblico</v>
      </c>
      <c r="R605" t="str">
        <f>IF(E605="staff",IF(INDEX('Partner data'!A:DH,MATCH(C605,'Partner data'!DG:DG,0),112)="BL1 non presente","FALSO",INDEX('Partner data'!A:DH,MATCH(C605,'Partner data'!DG:DG,0),112)))</f>
        <v>FALSO</v>
      </c>
      <c r="S605" t="b">
        <f t="shared" si="18"/>
        <v>0</v>
      </c>
      <c r="T605" t="b">
        <f t="shared" si="19"/>
        <v>1</v>
      </c>
      <c r="U605" s="154">
        <f>IFERROR(IF(R605&lt;&gt;FALSE,IF(S605=TRUE,INDEX('SummaryNOT_VALIDATED-BL'!$A$1:$F$16,MATCH(R605,'SummaryNOT_VALIDATED-BL'!$A$1:$A$16,0),6),0),IF(S605=TRUE,INDEX('SummaryNOT_VALIDATED-BL'!$A$1:$F$16,MATCH(E605,'SummaryNOT_VALIDATED-BL'!$A$1:$A$16,0),6),0)),0)</f>
        <v>0</v>
      </c>
      <c r="V605" s="81" cm="1">
        <f t="array" ref="V605">INDEX('Weight tables'!$A$24:$C$27,MATCH(1,(RendicontiTrasmessiBL__2[[#This Row],[Cut percentage on real costs + USC]]&gt;='Weight tables'!$B$24:$B$27)*(RendicontiTrasmessiBL__2[[#This Row],[Cut percentage on real costs + USC]]&lt;='Weight tables'!$C$24:$C$27),0),1)</f>
        <v>0</v>
      </c>
      <c r="W605" s="2">
        <f>RendicontiTrasmessiBL__2[[#This Row],[Weight real costs  + USC ]]</f>
        <v>0</v>
      </c>
    </row>
    <row r="606" spans="1:23" x14ac:dyDescent="0.25">
      <c r="A606" s="1" t="s">
        <v>296</v>
      </c>
      <c r="B606" s="1" t="s">
        <v>299</v>
      </c>
      <c r="C606" s="2">
        <v>192</v>
      </c>
      <c r="D606" s="2">
        <v>342</v>
      </c>
      <c r="E606" s="1" t="s">
        <v>229</v>
      </c>
      <c r="G606">
        <v>0</v>
      </c>
      <c r="H606">
        <v>0</v>
      </c>
      <c r="I606">
        <v>0</v>
      </c>
      <c r="J606">
        <v>0</v>
      </c>
      <c r="K606">
        <v>0</v>
      </c>
      <c r="L606">
        <v>0</v>
      </c>
      <c r="M606">
        <v>0</v>
      </c>
      <c r="N606">
        <v>0</v>
      </c>
      <c r="O606">
        <v>0</v>
      </c>
      <c r="P606">
        <v>0</v>
      </c>
      <c r="Q606" t="str">
        <f>INDEX('Partner data'!A:DH,MATCH(C606,'Partner data'!DG:DG,0),83)</f>
        <v>Soggetto pubblico</v>
      </c>
      <c r="R606" t="b">
        <f>IF(E606="staff",IF(INDEX('Partner data'!A:DH,MATCH(C606,'Partner data'!DG:DG,0),112)="BL1 non presente","FALSO",INDEX('Partner data'!A:DH,MATCH(C606,'Partner data'!DG:DG,0),112)))</f>
        <v>0</v>
      </c>
      <c r="S606" t="b">
        <f t="shared" si="18"/>
        <v>0</v>
      </c>
      <c r="T606" t="b">
        <f t="shared" si="19"/>
        <v>1</v>
      </c>
      <c r="U606" s="154">
        <f>IFERROR(IF(R606&lt;&gt;FALSE,IF(S606=TRUE,INDEX('SummaryNOT_VALIDATED-BL'!$A$1:$F$16,MATCH(R606,'SummaryNOT_VALIDATED-BL'!$A$1:$A$16,0),6),0),IF(S606=TRUE,INDEX('SummaryNOT_VALIDATED-BL'!$A$1:$F$16,MATCH(E606,'SummaryNOT_VALIDATED-BL'!$A$1:$A$16,0),6),0)),0)</f>
        <v>0</v>
      </c>
      <c r="V606" s="81" cm="1">
        <f t="array" ref="V606">INDEX('Weight tables'!$A$24:$C$27,MATCH(1,(RendicontiTrasmessiBL__2[[#This Row],[Cut percentage on real costs + USC]]&gt;='Weight tables'!$B$24:$B$27)*(RendicontiTrasmessiBL__2[[#This Row],[Cut percentage on real costs + USC]]&lt;='Weight tables'!$C$24:$C$27),0),1)</f>
        <v>0</v>
      </c>
      <c r="W606" s="2">
        <f>RendicontiTrasmessiBL__2[[#This Row],[Weight real costs  + USC ]]</f>
        <v>0</v>
      </c>
    </row>
    <row r="607" spans="1:23" x14ac:dyDescent="0.25">
      <c r="A607" s="1" t="s">
        <v>296</v>
      </c>
      <c r="B607" s="1" t="s">
        <v>299</v>
      </c>
      <c r="C607" s="2">
        <v>192</v>
      </c>
      <c r="D607" s="2">
        <v>342</v>
      </c>
      <c r="E607" s="1" t="s">
        <v>230</v>
      </c>
      <c r="G607">
        <v>0</v>
      </c>
      <c r="H607">
        <v>0</v>
      </c>
      <c r="I607">
        <v>0</v>
      </c>
      <c r="J607">
        <v>0</v>
      </c>
      <c r="K607">
        <v>0</v>
      </c>
      <c r="L607">
        <v>0</v>
      </c>
      <c r="M607">
        <v>0</v>
      </c>
      <c r="N607">
        <v>0</v>
      </c>
      <c r="O607">
        <v>0</v>
      </c>
      <c r="P607">
        <v>0</v>
      </c>
      <c r="Q607" t="str">
        <f>INDEX('Partner data'!A:DH,MATCH(C607,'Partner data'!DG:DG,0),83)</f>
        <v>Soggetto pubblico</v>
      </c>
      <c r="R607" t="b">
        <f>IF(E607="staff",IF(INDEX('Partner data'!A:DH,MATCH(C607,'Partner data'!DG:DG,0),112)="BL1 non presente","FALSO",INDEX('Partner data'!A:DH,MATCH(C607,'Partner data'!DG:DG,0),112)))</f>
        <v>0</v>
      </c>
      <c r="S607" t="b">
        <f t="shared" si="18"/>
        <v>0</v>
      </c>
      <c r="T607" t="b">
        <f t="shared" si="19"/>
        <v>1</v>
      </c>
      <c r="U607" s="154">
        <f>IFERROR(IF(R607&lt;&gt;FALSE,IF(S607=TRUE,INDEX('SummaryNOT_VALIDATED-BL'!$A$1:$F$16,MATCH(R607,'SummaryNOT_VALIDATED-BL'!$A$1:$A$16,0),6),0),IF(S607=TRUE,INDEX('SummaryNOT_VALIDATED-BL'!$A$1:$F$16,MATCH(E607,'SummaryNOT_VALIDATED-BL'!$A$1:$A$16,0),6),0)),0)</f>
        <v>0</v>
      </c>
      <c r="V607" s="81" cm="1">
        <f t="array" ref="V607">INDEX('Weight tables'!$A$24:$C$27,MATCH(1,(RendicontiTrasmessiBL__2[[#This Row],[Cut percentage on real costs + USC]]&gt;='Weight tables'!$B$24:$B$27)*(RendicontiTrasmessiBL__2[[#This Row],[Cut percentage on real costs + USC]]&lt;='Weight tables'!$C$24:$C$27),0),1)</f>
        <v>0</v>
      </c>
      <c r="W607" s="2">
        <f>RendicontiTrasmessiBL__2[[#This Row],[Weight real costs  + USC ]]</f>
        <v>0</v>
      </c>
    </row>
    <row r="608" spans="1:23" x14ac:dyDescent="0.25">
      <c r="A608" s="1" t="s">
        <v>296</v>
      </c>
      <c r="B608" s="1" t="s">
        <v>299</v>
      </c>
      <c r="C608" s="2">
        <v>192</v>
      </c>
      <c r="D608" s="2">
        <v>342</v>
      </c>
      <c r="E608" s="1" t="s">
        <v>231</v>
      </c>
      <c r="G608">
        <v>4000</v>
      </c>
      <c r="H608">
        <v>0</v>
      </c>
      <c r="I608">
        <v>0</v>
      </c>
      <c r="J608">
        <v>0</v>
      </c>
      <c r="K608">
        <v>0</v>
      </c>
      <c r="L608">
        <v>0</v>
      </c>
      <c r="M608">
        <v>0</v>
      </c>
      <c r="N608">
        <v>0</v>
      </c>
      <c r="O608">
        <v>4000</v>
      </c>
      <c r="P608">
        <v>0</v>
      </c>
      <c r="Q608" t="str">
        <f>INDEX('Partner data'!A:DH,MATCH(C608,'Partner data'!DG:DG,0),83)</f>
        <v>Soggetto pubblico</v>
      </c>
      <c r="R608" t="b">
        <f>IF(E608="staff",IF(INDEX('Partner data'!A:DH,MATCH(C608,'Partner data'!DG:DG,0),112)="BL1 non presente","FALSO",INDEX('Partner data'!A:DH,MATCH(C608,'Partner data'!DG:DG,0),112)))</f>
        <v>0</v>
      </c>
      <c r="S608" t="b">
        <f t="shared" si="18"/>
        <v>0</v>
      </c>
      <c r="T608" t="b">
        <f t="shared" si="19"/>
        <v>1</v>
      </c>
      <c r="U608" s="154">
        <f>IFERROR(IF(R608&lt;&gt;FALSE,IF(S608=TRUE,INDEX('SummaryNOT_VALIDATED-BL'!$A$1:$F$16,MATCH(R608,'SummaryNOT_VALIDATED-BL'!$A$1:$A$16,0),6),0),IF(S608=TRUE,INDEX('SummaryNOT_VALIDATED-BL'!$A$1:$F$16,MATCH(E608,'SummaryNOT_VALIDATED-BL'!$A$1:$A$16,0),6),0)),0)</f>
        <v>0</v>
      </c>
      <c r="V608" s="81" cm="1">
        <f t="array" ref="V608">INDEX('Weight tables'!$A$24:$C$27,MATCH(1,(RendicontiTrasmessiBL__2[[#This Row],[Cut percentage on real costs + USC]]&gt;='Weight tables'!$B$24:$B$27)*(RendicontiTrasmessiBL__2[[#This Row],[Cut percentage on real costs + USC]]&lt;='Weight tables'!$C$24:$C$27),0),1)</f>
        <v>0</v>
      </c>
      <c r="W608" s="2">
        <f>RendicontiTrasmessiBL__2[[#This Row],[Weight real costs  + USC ]]</f>
        <v>0</v>
      </c>
    </row>
    <row r="609" spans="1:23" x14ac:dyDescent="0.25">
      <c r="A609" s="1" t="s">
        <v>296</v>
      </c>
      <c r="B609" s="1" t="s">
        <v>299</v>
      </c>
      <c r="C609" s="2">
        <v>192</v>
      </c>
      <c r="D609" s="2">
        <v>342</v>
      </c>
      <c r="E609" s="1" t="s">
        <v>232</v>
      </c>
      <c r="G609">
        <v>5000</v>
      </c>
      <c r="H609">
        <v>0</v>
      </c>
      <c r="I609">
        <v>0</v>
      </c>
      <c r="J609">
        <v>0</v>
      </c>
      <c r="K609">
        <v>0</v>
      </c>
      <c r="L609">
        <v>0</v>
      </c>
      <c r="M609">
        <v>0</v>
      </c>
      <c r="N609">
        <v>0</v>
      </c>
      <c r="O609">
        <v>5000</v>
      </c>
      <c r="P609">
        <v>0</v>
      </c>
      <c r="Q609" t="str">
        <f>INDEX('Partner data'!A:DH,MATCH(C609,'Partner data'!DG:DG,0),83)</f>
        <v>Soggetto pubblico</v>
      </c>
      <c r="R609" t="b">
        <f>IF(E609="staff",IF(INDEX('Partner data'!A:DH,MATCH(C609,'Partner data'!DG:DG,0),112)="BL1 non presente","FALSO",INDEX('Partner data'!A:DH,MATCH(C609,'Partner data'!DG:DG,0),112)))</f>
        <v>0</v>
      </c>
      <c r="S609" t="b">
        <f t="shared" si="18"/>
        <v>0</v>
      </c>
      <c r="T609" t="b">
        <f t="shared" si="19"/>
        <v>1</v>
      </c>
      <c r="U609" s="154">
        <f>IFERROR(IF(R609&lt;&gt;FALSE,IF(S609=TRUE,INDEX('SummaryNOT_VALIDATED-BL'!$A$1:$F$16,MATCH(R609,'SummaryNOT_VALIDATED-BL'!$A$1:$A$16,0),6),0),IF(S609=TRUE,INDEX('SummaryNOT_VALIDATED-BL'!$A$1:$F$16,MATCH(E609,'SummaryNOT_VALIDATED-BL'!$A$1:$A$16,0),6),0)),0)</f>
        <v>0</v>
      </c>
      <c r="V609" s="81" cm="1">
        <f t="array" ref="V609">INDEX('Weight tables'!$A$24:$C$27,MATCH(1,(RendicontiTrasmessiBL__2[[#This Row],[Cut percentage on real costs + USC]]&gt;='Weight tables'!$B$24:$B$27)*(RendicontiTrasmessiBL__2[[#This Row],[Cut percentage on real costs + USC]]&lt;='Weight tables'!$C$24:$C$27),0),1)</f>
        <v>0</v>
      </c>
      <c r="W609" s="2">
        <f>RendicontiTrasmessiBL__2[[#This Row],[Weight real costs  + USC ]]</f>
        <v>0</v>
      </c>
    </row>
    <row r="610" spans="1:23" x14ac:dyDescent="0.25">
      <c r="A610" s="1" t="s">
        <v>296</v>
      </c>
      <c r="B610" s="1" t="s">
        <v>299</v>
      </c>
      <c r="C610" s="2">
        <v>192</v>
      </c>
      <c r="D610" s="2">
        <v>342</v>
      </c>
      <c r="E610" s="1" t="s">
        <v>233</v>
      </c>
      <c r="G610">
        <v>122000</v>
      </c>
      <c r="H610">
        <v>0</v>
      </c>
      <c r="I610">
        <v>0</v>
      </c>
      <c r="J610">
        <v>0</v>
      </c>
      <c r="K610">
        <v>0</v>
      </c>
      <c r="L610">
        <v>0</v>
      </c>
      <c r="M610">
        <v>0</v>
      </c>
      <c r="N610">
        <v>0</v>
      </c>
      <c r="O610">
        <v>122000</v>
      </c>
      <c r="P610">
        <v>0</v>
      </c>
      <c r="Q610" t="str">
        <f>INDEX('Partner data'!A:DH,MATCH(C610,'Partner data'!DG:DG,0),83)</f>
        <v>Soggetto pubblico</v>
      </c>
      <c r="R610" t="b">
        <f>IF(E610="staff",IF(INDEX('Partner data'!A:DH,MATCH(C610,'Partner data'!DG:DG,0),112)="BL1 non presente","FALSO",INDEX('Partner data'!A:DH,MATCH(C610,'Partner data'!DG:DG,0),112)))</f>
        <v>0</v>
      </c>
      <c r="S610" t="b">
        <f t="shared" si="18"/>
        <v>0</v>
      </c>
      <c r="T610" t="b">
        <f t="shared" si="19"/>
        <v>1</v>
      </c>
      <c r="U610" s="154">
        <f>IFERROR(IF(R610&lt;&gt;FALSE,IF(S610=TRUE,INDEX('SummaryNOT_VALIDATED-BL'!$A$1:$F$16,MATCH(R610,'SummaryNOT_VALIDATED-BL'!$A$1:$A$16,0),6),0),IF(S610=TRUE,INDEX('SummaryNOT_VALIDATED-BL'!$A$1:$F$16,MATCH(E610,'SummaryNOT_VALIDATED-BL'!$A$1:$A$16,0),6),0)),0)</f>
        <v>0</v>
      </c>
      <c r="V610" s="81" cm="1">
        <f t="array" ref="V610">INDEX('Weight tables'!$A$24:$C$27,MATCH(1,(RendicontiTrasmessiBL__2[[#This Row],[Cut percentage on real costs + USC]]&gt;='Weight tables'!$B$24:$B$27)*(RendicontiTrasmessiBL__2[[#This Row],[Cut percentage on real costs + USC]]&lt;='Weight tables'!$C$24:$C$27),0),1)</f>
        <v>0</v>
      </c>
      <c r="W610" s="2">
        <f>RendicontiTrasmessiBL__2[[#This Row],[Weight real costs  + USC ]]</f>
        <v>0</v>
      </c>
    </row>
    <row r="611" spans="1:23" x14ac:dyDescent="0.25">
      <c r="A611" s="1" t="s">
        <v>296</v>
      </c>
      <c r="B611" s="1" t="s">
        <v>299</v>
      </c>
      <c r="C611" s="2">
        <v>192</v>
      </c>
      <c r="D611" s="2">
        <v>342</v>
      </c>
      <c r="E611" s="1" t="s">
        <v>234</v>
      </c>
      <c r="G611">
        <v>0</v>
      </c>
      <c r="H611">
        <v>0</v>
      </c>
      <c r="I611">
        <v>0</v>
      </c>
      <c r="J611">
        <v>0</v>
      </c>
      <c r="K611">
        <v>0</v>
      </c>
      <c r="L611">
        <v>0</v>
      </c>
      <c r="M611">
        <v>0</v>
      </c>
      <c r="N611">
        <v>0</v>
      </c>
      <c r="O611">
        <v>0</v>
      </c>
      <c r="P611">
        <v>0</v>
      </c>
      <c r="Q611" t="str">
        <f>INDEX('Partner data'!A:DH,MATCH(C611,'Partner data'!DG:DG,0),83)</f>
        <v>Soggetto pubblico</v>
      </c>
      <c r="R611" t="b">
        <f>IF(E611="staff",IF(INDEX('Partner data'!A:DH,MATCH(C611,'Partner data'!DG:DG,0),112)="BL1 non presente","FALSO",INDEX('Partner data'!A:DH,MATCH(C611,'Partner data'!DG:DG,0),112)))</f>
        <v>0</v>
      </c>
      <c r="S611" t="b">
        <f t="shared" si="18"/>
        <v>0</v>
      </c>
      <c r="T611" t="b">
        <f t="shared" si="19"/>
        <v>1</v>
      </c>
      <c r="U611" s="154">
        <f>IFERROR(IF(R611&lt;&gt;FALSE,IF(S611=TRUE,INDEX('SummaryNOT_VALIDATED-BL'!$A$1:$F$16,MATCH(R611,'SummaryNOT_VALIDATED-BL'!$A$1:$A$16,0),6),0),IF(S611=TRUE,INDEX('SummaryNOT_VALIDATED-BL'!$A$1:$F$16,MATCH(E611,'SummaryNOT_VALIDATED-BL'!$A$1:$A$16,0),6),0)),0)</f>
        <v>0</v>
      </c>
      <c r="V611" s="81" cm="1">
        <f t="array" ref="V611">INDEX('Weight tables'!$A$24:$C$27,MATCH(1,(RendicontiTrasmessiBL__2[[#This Row],[Cut percentage on real costs + USC]]&gt;='Weight tables'!$B$24:$B$27)*(RendicontiTrasmessiBL__2[[#This Row],[Cut percentage on real costs + USC]]&lt;='Weight tables'!$C$24:$C$27),0),1)</f>
        <v>0</v>
      </c>
      <c r="W611" s="2">
        <f>RendicontiTrasmessiBL__2[[#This Row],[Weight real costs  + USC ]]</f>
        <v>0</v>
      </c>
    </row>
    <row r="612" spans="1:23" x14ac:dyDescent="0.25">
      <c r="A612" s="1" t="s">
        <v>296</v>
      </c>
      <c r="B612" s="1" t="s">
        <v>299</v>
      </c>
      <c r="C612" s="2">
        <v>192</v>
      </c>
      <c r="D612" s="2">
        <v>342</v>
      </c>
      <c r="E612" s="1" t="s">
        <v>236</v>
      </c>
      <c r="G612">
        <v>0</v>
      </c>
      <c r="H612">
        <v>0</v>
      </c>
      <c r="I612">
        <v>0</v>
      </c>
      <c r="J612">
        <v>0</v>
      </c>
      <c r="K612">
        <v>0</v>
      </c>
      <c r="L612">
        <v>0</v>
      </c>
      <c r="M612">
        <v>0</v>
      </c>
      <c r="N612">
        <v>0</v>
      </c>
      <c r="O612">
        <v>0</v>
      </c>
      <c r="P612">
        <v>0</v>
      </c>
      <c r="Q612" t="str">
        <f>INDEX('Partner data'!A:DH,MATCH(C612,'Partner data'!DG:DG,0),83)</f>
        <v>Soggetto pubblico</v>
      </c>
      <c r="R612" t="b">
        <f>IF(E612="staff",IF(INDEX('Partner data'!A:DH,MATCH(C612,'Partner data'!DG:DG,0),112)="BL1 non presente","FALSO",INDEX('Partner data'!A:DH,MATCH(C612,'Partner data'!DG:DG,0),112)))</f>
        <v>0</v>
      </c>
      <c r="S612" t="b">
        <f t="shared" si="18"/>
        <v>0</v>
      </c>
      <c r="T612" t="b">
        <f t="shared" si="19"/>
        <v>1</v>
      </c>
      <c r="U612" s="154">
        <f>IFERROR(IF(R612&lt;&gt;FALSE,IF(S612=TRUE,INDEX('SummaryNOT_VALIDATED-BL'!$A$1:$F$16,MATCH(R612,'SummaryNOT_VALIDATED-BL'!$A$1:$A$16,0),6),0),IF(S612=TRUE,INDEX('SummaryNOT_VALIDATED-BL'!$A$1:$F$16,MATCH(E612,'SummaryNOT_VALIDATED-BL'!$A$1:$A$16,0),6),0)),0)</f>
        <v>0</v>
      </c>
      <c r="V612" s="81" cm="1">
        <f t="array" ref="V612">INDEX('Weight tables'!$A$24:$C$27,MATCH(1,(RendicontiTrasmessiBL__2[[#This Row],[Cut percentage on real costs + USC]]&gt;='Weight tables'!$B$24:$B$27)*(RendicontiTrasmessiBL__2[[#This Row],[Cut percentage on real costs + USC]]&lt;='Weight tables'!$C$24:$C$27),0),1)</f>
        <v>0</v>
      </c>
      <c r="W612" s="2">
        <f>RendicontiTrasmessiBL__2[[#This Row],[Weight real costs  + USC ]]</f>
        <v>0</v>
      </c>
    </row>
    <row r="613" spans="1:23" x14ac:dyDescent="0.25">
      <c r="A613" s="1" t="s">
        <v>296</v>
      </c>
      <c r="B613" s="1" t="s">
        <v>299</v>
      </c>
      <c r="C613" s="2">
        <v>192</v>
      </c>
      <c r="D613" s="2">
        <v>342</v>
      </c>
      <c r="E613" s="1" t="s">
        <v>237</v>
      </c>
      <c r="G613">
        <v>0</v>
      </c>
      <c r="H613">
        <v>0</v>
      </c>
      <c r="I613">
        <v>0</v>
      </c>
      <c r="J613">
        <v>0</v>
      </c>
      <c r="K613">
        <v>0</v>
      </c>
      <c r="L613">
        <v>0</v>
      </c>
      <c r="M613">
        <v>0</v>
      </c>
      <c r="N613">
        <v>0</v>
      </c>
      <c r="O613">
        <v>0</v>
      </c>
      <c r="P613">
        <v>0</v>
      </c>
      <c r="Q613" t="str">
        <f>INDEX('Partner data'!A:DH,MATCH(C613,'Partner data'!DG:DG,0),83)</f>
        <v>Soggetto pubblico</v>
      </c>
      <c r="R613" t="b">
        <f>IF(E613="staff",IF(INDEX('Partner data'!A:DH,MATCH(C613,'Partner data'!DG:DG,0),112)="BL1 non presente","FALSO",INDEX('Partner data'!A:DH,MATCH(C613,'Partner data'!DG:DG,0),112)))</f>
        <v>0</v>
      </c>
      <c r="S613" t="b">
        <f t="shared" si="18"/>
        <v>0</v>
      </c>
      <c r="T613" t="b">
        <f t="shared" si="19"/>
        <v>1</v>
      </c>
      <c r="U613" s="154">
        <f>IFERROR(IF(R613&lt;&gt;FALSE,IF(S613=TRUE,INDEX('SummaryNOT_VALIDATED-BL'!$A$1:$F$16,MATCH(R613,'SummaryNOT_VALIDATED-BL'!$A$1:$A$16,0),6),0),IF(S613=TRUE,INDEX('SummaryNOT_VALIDATED-BL'!$A$1:$F$16,MATCH(E613,'SummaryNOT_VALIDATED-BL'!$A$1:$A$16,0),6),0)),0)</f>
        <v>0</v>
      </c>
      <c r="V613" s="81" cm="1">
        <f t="array" ref="V613">INDEX('Weight tables'!$A$24:$C$27,MATCH(1,(RendicontiTrasmessiBL__2[[#This Row],[Cut percentage on real costs + USC]]&gt;='Weight tables'!$B$24:$B$27)*(RendicontiTrasmessiBL__2[[#This Row],[Cut percentage on real costs + USC]]&lt;='Weight tables'!$C$24:$C$27),0),1)</f>
        <v>0</v>
      </c>
      <c r="W613" s="2">
        <f>RendicontiTrasmessiBL__2[[#This Row],[Weight real costs  + USC ]]</f>
        <v>0</v>
      </c>
    </row>
    <row r="614" spans="1:23" x14ac:dyDescent="0.25">
      <c r="A614" s="1" t="s">
        <v>296</v>
      </c>
      <c r="B614" s="1" t="s">
        <v>300</v>
      </c>
      <c r="C614" s="2">
        <v>191</v>
      </c>
      <c r="D614" s="2">
        <v>196</v>
      </c>
      <c r="E614" s="1" t="s">
        <v>228</v>
      </c>
      <c r="G614">
        <v>32200</v>
      </c>
      <c r="H614">
        <v>0</v>
      </c>
      <c r="I614">
        <v>0</v>
      </c>
      <c r="J614">
        <v>0</v>
      </c>
      <c r="K614">
        <v>0</v>
      </c>
      <c r="L614">
        <v>0</v>
      </c>
      <c r="M614">
        <v>0</v>
      </c>
      <c r="N614">
        <v>0</v>
      </c>
      <c r="O614">
        <v>32200</v>
      </c>
      <c r="P614">
        <v>0</v>
      </c>
      <c r="Q614" t="str">
        <f>INDEX('Partner data'!A:DH,MATCH(C614,'Partner data'!DG:DG,0),83)</f>
        <v>Soggetto pubblico</v>
      </c>
      <c r="R614" t="str">
        <f>IF(E614="staff",IF(INDEX('Partner data'!A:DH,MATCH(C614,'Partner data'!DG:DG,0),112)="BL1 non presente","FALSO",INDEX('Partner data'!A:DH,MATCH(C614,'Partner data'!DG:DG,0),112)))</f>
        <v>COSTO REALE</v>
      </c>
      <c r="S614" t="b">
        <f t="shared" si="18"/>
        <v>0</v>
      </c>
      <c r="T614" t="b">
        <f t="shared" si="19"/>
        <v>1</v>
      </c>
      <c r="U614" s="154">
        <f>IFERROR(IF(R614&lt;&gt;FALSE,IF(S614=TRUE,INDEX('SummaryNOT_VALIDATED-BL'!$A$1:$F$16,MATCH(R614,'SummaryNOT_VALIDATED-BL'!$A$1:$A$16,0),6),0),IF(S614=TRUE,INDEX('SummaryNOT_VALIDATED-BL'!$A$1:$F$16,MATCH(E614,'SummaryNOT_VALIDATED-BL'!$A$1:$A$16,0),6),0)),0)</f>
        <v>0</v>
      </c>
      <c r="V614" s="81" cm="1">
        <f t="array" ref="V614">INDEX('Weight tables'!$A$24:$C$27,MATCH(1,(RendicontiTrasmessiBL__2[[#This Row],[Cut percentage on real costs + USC]]&gt;='Weight tables'!$B$24:$B$27)*(RendicontiTrasmessiBL__2[[#This Row],[Cut percentage on real costs + USC]]&lt;='Weight tables'!$C$24:$C$27),0),1)</f>
        <v>0</v>
      </c>
      <c r="W614" s="2">
        <f>RendicontiTrasmessiBL__2[[#This Row],[Weight real costs  + USC ]]</f>
        <v>0</v>
      </c>
    </row>
    <row r="615" spans="1:23" x14ac:dyDescent="0.25">
      <c r="A615" s="1" t="s">
        <v>296</v>
      </c>
      <c r="B615" s="1" t="s">
        <v>300</v>
      </c>
      <c r="C615" s="2">
        <v>191</v>
      </c>
      <c r="D615" s="2">
        <v>196</v>
      </c>
      <c r="E615" s="1" t="s">
        <v>229</v>
      </c>
      <c r="F615">
        <v>15</v>
      </c>
      <c r="G615">
        <v>4830</v>
      </c>
      <c r="H615">
        <v>0</v>
      </c>
      <c r="I615">
        <v>0</v>
      </c>
      <c r="J615">
        <v>0</v>
      </c>
      <c r="K615">
        <v>0</v>
      </c>
      <c r="L615">
        <v>0</v>
      </c>
      <c r="M615">
        <v>0</v>
      </c>
      <c r="N615">
        <v>0</v>
      </c>
      <c r="O615">
        <v>4830</v>
      </c>
      <c r="P615">
        <v>0</v>
      </c>
      <c r="Q615" t="str">
        <f>INDEX('Partner data'!A:DH,MATCH(C615,'Partner data'!DG:DG,0),83)</f>
        <v>Soggetto pubblico</v>
      </c>
      <c r="R615" t="b">
        <f>IF(E615="staff",IF(INDEX('Partner data'!A:DH,MATCH(C615,'Partner data'!DG:DG,0),112)="BL1 non presente","FALSO",INDEX('Partner data'!A:DH,MATCH(C615,'Partner data'!DG:DG,0),112)))</f>
        <v>0</v>
      </c>
      <c r="S615" t="b">
        <f t="shared" si="18"/>
        <v>0</v>
      </c>
      <c r="T615" t="b">
        <f t="shared" si="19"/>
        <v>1</v>
      </c>
      <c r="U615" s="154">
        <f>IFERROR(IF(R615&lt;&gt;FALSE,IF(S615=TRUE,INDEX('SummaryNOT_VALIDATED-BL'!$A$1:$F$16,MATCH(R615,'SummaryNOT_VALIDATED-BL'!$A$1:$A$16,0),6),0),IF(S615=TRUE,INDEX('SummaryNOT_VALIDATED-BL'!$A$1:$F$16,MATCH(E615,'SummaryNOT_VALIDATED-BL'!$A$1:$A$16,0),6),0)),0)</f>
        <v>0</v>
      </c>
      <c r="V615" s="81" cm="1">
        <f t="array" ref="V615">INDEX('Weight tables'!$A$24:$C$27,MATCH(1,(RendicontiTrasmessiBL__2[[#This Row],[Cut percentage on real costs + USC]]&gt;='Weight tables'!$B$24:$B$27)*(RendicontiTrasmessiBL__2[[#This Row],[Cut percentage on real costs + USC]]&lt;='Weight tables'!$C$24:$C$27),0),1)</f>
        <v>0</v>
      </c>
      <c r="W615" s="2">
        <f>RendicontiTrasmessiBL__2[[#This Row],[Weight real costs  + USC ]]</f>
        <v>0</v>
      </c>
    </row>
    <row r="616" spans="1:23" x14ac:dyDescent="0.25">
      <c r="A616" s="1" t="s">
        <v>296</v>
      </c>
      <c r="B616" s="1" t="s">
        <v>300</v>
      </c>
      <c r="C616" s="2">
        <v>191</v>
      </c>
      <c r="D616" s="2">
        <v>196</v>
      </c>
      <c r="E616" s="1" t="s">
        <v>230</v>
      </c>
      <c r="F616">
        <v>4</v>
      </c>
      <c r="G616">
        <v>1288</v>
      </c>
      <c r="H616">
        <v>0</v>
      </c>
      <c r="I616">
        <v>0</v>
      </c>
      <c r="J616">
        <v>0</v>
      </c>
      <c r="K616">
        <v>0</v>
      </c>
      <c r="L616">
        <v>0</v>
      </c>
      <c r="M616">
        <v>0</v>
      </c>
      <c r="N616">
        <v>0</v>
      </c>
      <c r="O616">
        <v>1288</v>
      </c>
      <c r="P616">
        <v>0</v>
      </c>
      <c r="Q616" t="str">
        <f>INDEX('Partner data'!A:DH,MATCH(C616,'Partner data'!DG:DG,0),83)</f>
        <v>Soggetto pubblico</v>
      </c>
      <c r="R616" t="b">
        <f>IF(E616="staff",IF(INDEX('Partner data'!A:DH,MATCH(C616,'Partner data'!DG:DG,0),112)="BL1 non presente","FALSO",INDEX('Partner data'!A:DH,MATCH(C616,'Partner data'!DG:DG,0),112)))</f>
        <v>0</v>
      </c>
      <c r="S616" t="b">
        <f t="shared" si="18"/>
        <v>0</v>
      </c>
      <c r="T616" t="b">
        <f t="shared" si="19"/>
        <v>1</v>
      </c>
      <c r="U616" s="154">
        <f>IFERROR(IF(R616&lt;&gt;FALSE,IF(S616=TRUE,INDEX('SummaryNOT_VALIDATED-BL'!$A$1:$F$16,MATCH(R616,'SummaryNOT_VALIDATED-BL'!$A$1:$A$16,0),6),0),IF(S616=TRUE,INDEX('SummaryNOT_VALIDATED-BL'!$A$1:$F$16,MATCH(E616,'SummaryNOT_VALIDATED-BL'!$A$1:$A$16,0),6),0)),0)</f>
        <v>0</v>
      </c>
      <c r="V616" s="81" cm="1">
        <f t="array" ref="V616">INDEX('Weight tables'!$A$24:$C$27,MATCH(1,(RendicontiTrasmessiBL__2[[#This Row],[Cut percentage on real costs + USC]]&gt;='Weight tables'!$B$24:$B$27)*(RendicontiTrasmessiBL__2[[#This Row],[Cut percentage on real costs + USC]]&lt;='Weight tables'!$C$24:$C$27),0),1)</f>
        <v>0</v>
      </c>
      <c r="W616" s="2">
        <f>RendicontiTrasmessiBL__2[[#This Row],[Weight real costs  + USC ]]</f>
        <v>0</v>
      </c>
    </row>
    <row r="617" spans="1:23" x14ac:dyDescent="0.25">
      <c r="A617" s="1" t="s">
        <v>296</v>
      </c>
      <c r="B617" s="1" t="s">
        <v>300</v>
      </c>
      <c r="C617" s="2">
        <v>191</v>
      </c>
      <c r="D617" s="2">
        <v>196</v>
      </c>
      <c r="E617" s="1" t="s">
        <v>231</v>
      </c>
      <c r="G617">
        <v>81682</v>
      </c>
      <c r="H617">
        <v>0</v>
      </c>
      <c r="I617">
        <v>0</v>
      </c>
      <c r="J617">
        <v>0</v>
      </c>
      <c r="K617">
        <v>0</v>
      </c>
      <c r="L617">
        <v>0</v>
      </c>
      <c r="M617">
        <v>0</v>
      </c>
      <c r="N617">
        <v>0</v>
      </c>
      <c r="O617">
        <v>81682</v>
      </c>
      <c r="P617">
        <v>0</v>
      </c>
      <c r="Q617" t="str">
        <f>INDEX('Partner data'!A:DH,MATCH(C617,'Partner data'!DG:DG,0),83)</f>
        <v>Soggetto pubblico</v>
      </c>
      <c r="R617" t="b">
        <f>IF(E617="staff",IF(INDEX('Partner data'!A:DH,MATCH(C617,'Partner data'!DG:DG,0),112)="BL1 non presente","FALSO",INDEX('Partner data'!A:DH,MATCH(C617,'Partner data'!DG:DG,0),112)))</f>
        <v>0</v>
      </c>
      <c r="S617" t="b">
        <f t="shared" si="18"/>
        <v>0</v>
      </c>
      <c r="T617" t="b">
        <f t="shared" si="19"/>
        <v>1</v>
      </c>
      <c r="U617" s="154">
        <f>IFERROR(IF(R617&lt;&gt;FALSE,IF(S617=TRUE,INDEX('SummaryNOT_VALIDATED-BL'!$A$1:$F$16,MATCH(R617,'SummaryNOT_VALIDATED-BL'!$A$1:$A$16,0),6),0),IF(S617=TRUE,INDEX('SummaryNOT_VALIDATED-BL'!$A$1:$F$16,MATCH(E617,'SummaryNOT_VALIDATED-BL'!$A$1:$A$16,0),6),0)),0)</f>
        <v>0</v>
      </c>
      <c r="V617" s="81" cm="1">
        <f t="array" ref="V617">INDEX('Weight tables'!$A$24:$C$27,MATCH(1,(RendicontiTrasmessiBL__2[[#This Row],[Cut percentage on real costs + USC]]&gt;='Weight tables'!$B$24:$B$27)*(RendicontiTrasmessiBL__2[[#This Row],[Cut percentage on real costs + USC]]&lt;='Weight tables'!$C$24:$C$27),0),1)</f>
        <v>0</v>
      </c>
      <c r="W617" s="2">
        <f>RendicontiTrasmessiBL__2[[#This Row],[Weight real costs  + USC ]]</f>
        <v>0</v>
      </c>
    </row>
    <row r="618" spans="1:23" x14ac:dyDescent="0.25">
      <c r="A618" s="1" t="s">
        <v>296</v>
      </c>
      <c r="B618" s="1" t="s">
        <v>300</v>
      </c>
      <c r="C618" s="2">
        <v>191</v>
      </c>
      <c r="D618" s="2">
        <v>196</v>
      </c>
      <c r="E618" s="1" t="s">
        <v>232</v>
      </c>
      <c r="G618">
        <v>0</v>
      </c>
      <c r="H618">
        <v>0</v>
      </c>
      <c r="I618">
        <v>0</v>
      </c>
      <c r="J618">
        <v>0</v>
      </c>
      <c r="K618">
        <v>0</v>
      </c>
      <c r="L618">
        <v>0</v>
      </c>
      <c r="M618">
        <v>0</v>
      </c>
      <c r="N618">
        <v>0</v>
      </c>
      <c r="O618">
        <v>0</v>
      </c>
      <c r="P618">
        <v>0</v>
      </c>
      <c r="Q618" t="str">
        <f>INDEX('Partner data'!A:DH,MATCH(C618,'Partner data'!DG:DG,0),83)</f>
        <v>Soggetto pubblico</v>
      </c>
      <c r="R618" t="b">
        <f>IF(E618="staff",IF(INDEX('Partner data'!A:DH,MATCH(C618,'Partner data'!DG:DG,0),112)="BL1 non presente","FALSO",INDEX('Partner data'!A:DH,MATCH(C618,'Partner data'!DG:DG,0),112)))</f>
        <v>0</v>
      </c>
      <c r="S618" t="b">
        <f t="shared" si="18"/>
        <v>0</v>
      </c>
      <c r="T618" t="b">
        <f t="shared" si="19"/>
        <v>1</v>
      </c>
      <c r="U618" s="154">
        <f>IFERROR(IF(R618&lt;&gt;FALSE,IF(S618=TRUE,INDEX('SummaryNOT_VALIDATED-BL'!$A$1:$F$16,MATCH(R618,'SummaryNOT_VALIDATED-BL'!$A$1:$A$16,0),6),0),IF(S618=TRUE,INDEX('SummaryNOT_VALIDATED-BL'!$A$1:$F$16,MATCH(E618,'SummaryNOT_VALIDATED-BL'!$A$1:$A$16,0),6),0)),0)</f>
        <v>0</v>
      </c>
      <c r="V618" s="81" cm="1">
        <f t="array" ref="V618">INDEX('Weight tables'!$A$24:$C$27,MATCH(1,(RendicontiTrasmessiBL__2[[#This Row],[Cut percentage on real costs + USC]]&gt;='Weight tables'!$B$24:$B$27)*(RendicontiTrasmessiBL__2[[#This Row],[Cut percentage on real costs + USC]]&lt;='Weight tables'!$C$24:$C$27),0),1)</f>
        <v>0</v>
      </c>
      <c r="W618" s="2">
        <f>RendicontiTrasmessiBL__2[[#This Row],[Weight real costs  + USC ]]</f>
        <v>0</v>
      </c>
    </row>
    <row r="619" spans="1:23" x14ac:dyDescent="0.25">
      <c r="A619" s="1" t="s">
        <v>296</v>
      </c>
      <c r="B619" s="1" t="s">
        <v>300</v>
      </c>
      <c r="C619" s="2">
        <v>191</v>
      </c>
      <c r="D619" s="2">
        <v>196</v>
      </c>
      <c r="E619" s="1" t="s">
        <v>233</v>
      </c>
      <c r="G619">
        <v>0</v>
      </c>
      <c r="H619">
        <v>0</v>
      </c>
      <c r="I619">
        <v>0</v>
      </c>
      <c r="J619">
        <v>0</v>
      </c>
      <c r="K619">
        <v>0</v>
      </c>
      <c r="L619">
        <v>0</v>
      </c>
      <c r="M619">
        <v>0</v>
      </c>
      <c r="N619">
        <v>0</v>
      </c>
      <c r="O619">
        <v>0</v>
      </c>
      <c r="P619">
        <v>0</v>
      </c>
      <c r="Q619" t="str">
        <f>INDEX('Partner data'!A:DH,MATCH(C619,'Partner data'!DG:DG,0),83)</f>
        <v>Soggetto pubblico</v>
      </c>
      <c r="R619" t="b">
        <f>IF(E619="staff",IF(INDEX('Partner data'!A:DH,MATCH(C619,'Partner data'!DG:DG,0),112)="BL1 non presente","FALSO",INDEX('Partner data'!A:DH,MATCH(C619,'Partner data'!DG:DG,0),112)))</f>
        <v>0</v>
      </c>
      <c r="S619" t="b">
        <f t="shared" si="18"/>
        <v>0</v>
      </c>
      <c r="T619" t="b">
        <f t="shared" si="19"/>
        <v>1</v>
      </c>
      <c r="U619" s="154">
        <f>IFERROR(IF(R619&lt;&gt;FALSE,IF(S619=TRUE,INDEX('SummaryNOT_VALIDATED-BL'!$A$1:$F$16,MATCH(R619,'SummaryNOT_VALIDATED-BL'!$A$1:$A$16,0),6),0),IF(S619=TRUE,INDEX('SummaryNOT_VALIDATED-BL'!$A$1:$F$16,MATCH(E619,'SummaryNOT_VALIDATED-BL'!$A$1:$A$16,0),6),0)),0)</f>
        <v>0</v>
      </c>
      <c r="V619" s="81" cm="1">
        <f t="array" ref="V619">INDEX('Weight tables'!$A$24:$C$27,MATCH(1,(RendicontiTrasmessiBL__2[[#This Row],[Cut percentage on real costs + USC]]&gt;='Weight tables'!$B$24:$B$27)*(RendicontiTrasmessiBL__2[[#This Row],[Cut percentage on real costs + USC]]&lt;='Weight tables'!$C$24:$C$27),0),1)</f>
        <v>0</v>
      </c>
      <c r="W619" s="2">
        <f>RendicontiTrasmessiBL__2[[#This Row],[Weight real costs  + USC ]]</f>
        <v>0</v>
      </c>
    </row>
    <row r="620" spans="1:23" x14ac:dyDescent="0.25">
      <c r="A620" s="1" t="s">
        <v>296</v>
      </c>
      <c r="B620" s="1" t="s">
        <v>300</v>
      </c>
      <c r="C620" s="2">
        <v>191</v>
      </c>
      <c r="D620" s="2">
        <v>196</v>
      </c>
      <c r="E620" s="1" t="s">
        <v>234</v>
      </c>
      <c r="G620">
        <v>0</v>
      </c>
      <c r="H620">
        <v>0</v>
      </c>
      <c r="I620">
        <v>0</v>
      </c>
      <c r="J620">
        <v>0</v>
      </c>
      <c r="K620">
        <v>0</v>
      </c>
      <c r="L620">
        <v>0</v>
      </c>
      <c r="M620">
        <v>0</v>
      </c>
      <c r="N620">
        <v>0</v>
      </c>
      <c r="O620">
        <v>0</v>
      </c>
      <c r="P620">
        <v>0</v>
      </c>
      <c r="Q620" t="str">
        <f>INDEX('Partner data'!A:DH,MATCH(C620,'Partner data'!DG:DG,0),83)</f>
        <v>Soggetto pubblico</v>
      </c>
      <c r="R620" t="b">
        <f>IF(E620="staff",IF(INDEX('Partner data'!A:DH,MATCH(C620,'Partner data'!DG:DG,0),112)="BL1 non presente","FALSO",INDEX('Partner data'!A:DH,MATCH(C620,'Partner data'!DG:DG,0),112)))</f>
        <v>0</v>
      </c>
      <c r="S620" t="b">
        <f t="shared" si="18"/>
        <v>0</v>
      </c>
      <c r="T620" t="b">
        <f t="shared" si="19"/>
        <v>1</v>
      </c>
      <c r="U620" s="154">
        <f>IFERROR(IF(R620&lt;&gt;FALSE,IF(S620=TRUE,INDEX('SummaryNOT_VALIDATED-BL'!$A$1:$F$16,MATCH(R620,'SummaryNOT_VALIDATED-BL'!$A$1:$A$16,0),6),0),IF(S620=TRUE,INDEX('SummaryNOT_VALIDATED-BL'!$A$1:$F$16,MATCH(E620,'SummaryNOT_VALIDATED-BL'!$A$1:$A$16,0),6),0)),0)</f>
        <v>0</v>
      </c>
      <c r="V620" s="81" cm="1">
        <f t="array" ref="V620">INDEX('Weight tables'!$A$24:$C$27,MATCH(1,(RendicontiTrasmessiBL__2[[#This Row],[Cut percentage on real costs + USC]]&gt;='Weight tables'!$B$24:$B$27)*(RendicontiTrasmessiBL__2[[#This Row],[Cut percentage on real costs + USC]]&lt;='Weight tables'!$C$24:$C$27),0),1)</f>
        <v>0</v>
      </c>
      <c r="W620" s="2">
        <f>RendicontiTrasmessiBL__2[[#This Row],[Weight real costs  + USC ]]</f>
        <v>0</v>
      </c>
    </row>
    <row r="621" spans="1:23" x14ac:dyDescent="0.25">
      <c r="A621" s="1" t="s">
        <v>296</v>
      </c>
      <c r="B621" s="1" t="s">
        <v>300</v>
      </c>
      <c r="C621" s="2">
        <v>191</v>
      </c>
      <c r="D621" s="2">
        <v>196</v>
      </c>
      <c r="E621" s="1" t="s">
        <v>236</v>
      </c>
      <c r="G621">
        <v>0</v>
      </c>
      <c r="H621">
        <v>0</v>
      </c>
      <c r="I621">
        <v>0</v>
      </c>
      <c r="J621">
        <v>0</v>
      </c>
      <c r="K621">
        <v>0</v>
      </c>
      <c r="L621">
        <v>0</v>
      </c>
      <c r="M621">
        <v>0</v>
      </c>
      <c r="N621">
        <v>0</v>
      </c>
      <c r="O621">
        <v>0</v>
      </c>
      <c r="P621">
        <v>0</v>
      </c>
      <c r="Q621" t="str">
        <f>INDEX('Partner data'!A:DH,MATCH(C621,'Partner data'!DG:DG,0),83)</f>
        <v>Soggetto pubblico</v>
      </c>
      <c r="R621" t="b">
        <f>IF(E621="staff",IF(INDEX('Partner data'!A:DH,MATCH(C621,'Partner data'!DG:DG,0),112)="BL1 non presente","FALSO",INDEX('Partner data'!A:DH,MATCH(C621,'Partner data'!DG:DG,0),112)))</f>
        <v>0</v>
      </c>
      <c r="S621" t="b">
        <f t="shared" si="18"/>
        <v>0</v>
      </c>
      <c r="T621" t="b">
        <f t="shared" si="19"/>
        <v>1</v>
      </c>
      <c r="U621" s="154">
        <f>IFERROR(IF(R621&lt;&gt;FALSE,IF(S621=TRUE,INDEX('SummaryNOT_VALIDATED-BL'!$A$1:$F$16,MATCH(R621,'SummaryNOT_VALIDATED-BL'!$A$1:$A$16,0),6),0),IF(S621=TRUE,INDEX('SummaryNOT_VALIDATED-BL'!$A$1:$F$16,MATCH(E621,'SummaryNOT_VALIDATED-BL'!$A$1:$A$16,0),6),0)),0)</f>
        <v>0</v>
      </c>
      <c r="V621" s="81" cm="1">
        <f t="array" ref="V621">INDEX('Weight tables'!$A$24:$C$27,MATCH(1,(RendicontiTrasmessiBL__2[[#This Row],[Cut percentage on real costs + USC]]&gt;='Weight tables'!$B$24:$B$27)*(RendicontiTrasmessiBL__2[[#This Row],[Cut percentage on real costs + USC]]&lt;='Weight tables'!$C$24:$C$27),0),1)</f>
        <v>0</v>
      </c>
      <c r="W621" s="2">
        <f>RendicontiTrasmessiBL__2[[#This Row],[Weight real costs  + USC ]]</f>
        <v>0</v>
      </c>
    </row>
    <row r="622" spans="1:23" x14ac:dyDescent="0.25">
      <c r="A622" s="1" t="s">
        <v>296</v>
      </c>
      <c r="B622" s="1" t="s">
        <v>300</v>
      </c>
      <c r="C622" s="2">
        <v>191</v>
      </c>
      <c r="D622" s="2">
        <v>196</v>
      </c>
      <c r="E622" s="1" t="s">
        <v>237</v>
      </c>
      <c r="G622">
        <v>0</v>
      </c>
      <c r="H622">
        <v>0</v>
      </c>
      <c r="I622">
        <v>0</v>
      </c>
      <c r="J622">
        <v>0</v>
      </c>
      <c r="K622">
        <v>0</v>
      </c>
      <c r="L622">
        <v>0</v>
      </c>
      <c r="M622">
        <v>0</v>
      </c>
      <c r="N622">
        <v>0</v>
      </c>
      <c r="O622">
        <v>0</v>
      </c>
      <c r="P622">
        <v>0</v>
      </c>
      <c r="Q622" t="str">
        <f>INDEX('Partner data'!A:DH,MATCH(C622,'Partner data'!DG:DG,0),83)</f>
        <v>Soggetto pubblico</v>
      </c>
      <c r="R622" t="b">
        <f>IF(E622="staff",IF(INDEX('Partner data'!A:DH,MATCH(C622,'Partner data'!DG:DG,0),112)="BL1 non presente","FALSO",INDEX('Partner data'!A:DH,MATCH(C622,'Partner data'!DG:DG,0),112)))</f>
        <v>0</v>
      </c>
      <c r="S622" t="b">
        <f t="shared" si="18"/>
        <v>0</v>
      </c>
      <c r="T622" t="b">
        <f t="shared" si="19"/>
        <v>1</v>
      </c>
      <c r="U622" s="154">
        <f>IFERROR(IF(R622&lt;&gt;FALSE,IF(S622=TRUE,INDEX('SummaryNOT_VALIDATED-BL'!$A$1:$F$16,MATCH(R622,'SummaryNOT_VALIDATED-BL'!$A$1:$A$16,0),6),0),IF(S622=TRUE,INDEX('SummaryNOT_VALIDATED-BL'!$A$1:$F$16,MATCH(E622,'SummaryNOT_VALIDATED-BL'!$A$1:$A$16,0),6),0)),0)</f>
        <v>0</v>
      </c>
      <c r="V622" s="81" cm="1">
        <f t="array" ref="V622">INDEX('Weight tables'!$A$24:$C$27,MATCH(1,(RendicontiTrasmessiBL__2[[#This Row],[Cut percentage on real costs + USC]]&gt;='Weight tables'!$B$24:$B$27)*(RendicontiTrasmessiBL__2[[#This Row],[Cut percentage on real costs + USC]]&lt;='Weight tables'!$C$24:$C$27),0),1)</f>
        <v>0</v>
      </c>
      <c r="W622" s="2">
        <f>RendicontiTrasmessiBL__2[[#This Row],[Weight real costs  + USC ]]</f>
        <v>0</v>
      </c>
    </row>
    <row r="623" spans="1:23" x14ac:dyDescent="0.25">
      <c r="A623" s="1" t="s">
        <v>61</v>
      </c>
      <c r="B623" s="1" t="s">
        <v>293</v>
      </c>
      <c r="C623" s="2">
        <v>112</v>
      </c>
      <c r="D623" s="2">
        <v>171</v>
      </c>
      <c r="E623" s="1" t="s">
        <v>228</v>
      </c>
      <c r="G623">
        <v>65464</v>
      </c>
      <c r="H623">
        <v>0</v>
      </c>
      <c r="I623">
        <v>0</v>
      </c>
      <c r="J623">
        <v>1276</v>
      </c>
      <c r="K623">
        <v>0</v>
      </c>
      <c r="L623">
        <v>1276</v>
      </c>
      <c r="M623">
        <v>1276</v>
      </c>
      <c r="N623">
        <v>1.95</v>
      </c>
      <c r="O623">
        <v>64188</v>
      </c>
      <c r="P623">
        <v>0</v>
      </c>
      <c r="Q623" t="str">
        <f>INDEX('Partner data'!A:DH,MATCH(C623,'Partner data'!DG:DG,0),83)</f>
        <v>Soggetto pubblico</v>
      </c>
      <c r="R623" t="str">
        <f>IF(E623="staff",IF(INDEX('Partner data'!A:DH,MATCH(C623,'Partner data'!DG:DG,0),112)="BL1 non presente","FALSO",INDEX('Partner data'!A:DH,MATCH(C623,'Partner data'!DG:DG,0),112)))</f>
        <v>Costo Unitario Standard</v>
      </c>
      <c r="S623" t="b">
        <f t="shared" si="18"/>
        <v>1</v>
      </c>
      <c r="T623" t="b">
        <f t="shared" si="19"/>
        <v>1</v>
      </c>
      <c r="U623" s="154">
        <f>IFERROR(IF(R623&lt;&gt;FALSE,IF(S623=TRUE,INDEX('SummaryNOT_VALIDATED-BL'!$A$1:$F$16,MATCH(R623,'SummaryNOT_VALIDATED-BL'!$A$1:$A$16,0),6),0),IF(S623=TRUE,INDEX('SummaryNOT_VALIDATED-BL'!$A$1:$F$16,MATCH(E623,'SummaryNOT_VALIDATED-BL'!$A$1:$A$16,0),6),0)),0)</f>
        <v>3.2052879635441428E-2</v>
      </c>
      <c r="V623" s="81" cm="1">
        <f t="array" ref="V623">INDEX('Weight tables'!$A$24:$C$27,MATCH(1,(RendicontiTrasmessiBL__2[[#This Row],[Cut percentage on real costs + USC]]&gt;='Weight tables'!$B$24:$B$27)*(RendicontiTrasmessiBL__2[[#This Row],[Cut percentage on real costs + USC]]&lt;='Weight tables'!$C$24:$C$27),0),1)</f>
        <v>2</v>
      </c>
      <c r="W623" s="2">
        <f>RendicontiTrasmessiBL__2[[#This Row],[Weight real costs  + USC ]]</f>
        <v>2</v>
      </c>
    </row>
    <row r="624" spans="1:23" x14ac:dyDescent="0.25">
      <c r="A624" s="1" t="s">
        <v>61</v>
      </c>
      <c r="B624" s="1" t="s">
        <v>293</v>
      </c>
      <c r="C624" s="2">
        <v>112</v>
      </c>
      <c r="D624" s="2">
        <v>171</v>
      </c>
      <c r="E624" s="1" t="s">
        <v>229</v>
      </c>
      <c r="G624">
        <v>0</v>
      </c>
      <c r="H624">
        <v>0</v>
      </c>
      <c r="I624">
        <v>0</v>
      </c>
      <c r="J624">
        <v>0</v>
      </c>
      <c r="K624">
        <v>0</v>
      </c>
      <c r="L624">
        <v>0</v>
      </c>
      <c r="M624">
        <v>0</v>
      </c>
      <c r="N624">
        <v>0</v>
      </c>
      <c r="O624">
        <v>0</v>
      </c>
      <c r="P624">
        <v>0</v>
      </c>
      <c r="Q624" t="str">
        <f>INDEX('Partner data'!A:DH,MATCH(C624,'Partner data'!DG:DG,0),83)</f>
        <v>Soggetto pubblico</v>
      </c>
      <c r="R624" t="b">
        <f>IF(E624="staff",IF(INDEX('Partner data'!A:DH,MATCH(C624,'Partner data'!DG:DG,0),112)="BL1 non presente","FALSO",INDEX('Partner data'!A:DH,MATCH(C624,'Partner data'!DG:DG,0),112)))</f>
        <v>0</v>
      </c>
      <c r="S624" t="b">
        <f t="shared" si="18"/>
        <v>0</v>
      </c>
      <c r="T624" t="b">
        <f t="shared" si="19"/>
        <v>1</v>
      </c>
      <c r="U624" s="154">
        <f>IFERROR(IF(R624&lt;&gt;FALSE,IF(S624=TRUE,INDEX('SummaryNOT_VALIDATED-BL'!$A$1:$F$16,MATCH(R624,'SummaryNOT_VALIDATED-BL'!$A$1:$A$16,0),6),0),IF(S624=TRUE,INDEX('SummaryNOT_VALIDATED-BL'!$A$1:$F$16,MATCH(E624,'SummaryNOT_VALIDATED-BL'!$A$1:$A$16,0),6),0)),0)</f>
        <v>0</v>
      </c>
      <c r="V624" s="81" cm="1">
        <f t="array" ref="V624">INDEX('Weight tables'!$A$24:$C$27,MATCH(1,(RendicontiTrasmessiBL__2[[#This Row],[Cut percentage on real costs + USC]]&gt;='Weight tables'!$B$24:$B$27)*(RendicontiTrasmessiBL__2[[#This Row],[Cut percentage on real costs + USC]]&lt;='Weight tables'!$C$24:$C$27),0),1)</f>
        <v>0</v>
      </c>
      <c r="W624" s="2">
        <f>RendicontiTrasmessiBL__2[[#This Row],[Weight real costs  + USC ]]</f>
        <v>0</v>
      </c>
    </row>
    <row r="625" spans="1:23" x14ac:dyDescent="0.25">
      <c r="A625" s="1" t="s">
        <v>61</v>
      </c>
      <c r="B625" s="1" t="s">
        <v>293</v>
      </c>
      <c r="C625" s="2">
        <v>112</v>
      </c>
      <c r="D625" s="2">
        <v>171</v>
      </c>
      <c r="E625" s="1" t="s">
        <v>230</v>
      </c>
      <c r="G625">
        <v>0</v>
      </c>
      <c r="H625">
        <v>0</v>
      </c>
      <c r="I625">
        <v>0</v>
      </c>
      <c r="J625">
        <v>0</v>
      </c>
      <c r="K625">
        <v>0</v>
      </c>
      <c r="L625">
        <v>0</v>
      </c>
      <c r="M625">
        <v>0</v>
      </c>
      <c r="N625">
        <v>0</v>
      </c>
      <c r="O625">
        <v>0</v>
      </c>
      <c r="P625">
        <v>0</v>
      </c>
      <c r="Q625" t="str">
        <f>INDEX('Partner data'!A:DH,MATCH(C625,'Partner data'!DG:DG,0),83)</f>
        <v>Soggetto pubblico</v>
      </c>
      <c r="R625" t="b">
        <f>IF(E625="staff",IF(INDEX('Partner data'!A:DH,MATCH(C625,'Partner data'!DG:DG,0),112)="BL1 non presente","FALSO",INDEX('Partner data'!A:DH,MATCH(C625,'Partner data'!DG:DG,0),112)))</f>
        <v>0</v>
      </c>
      <c r="S625" t="b">
        <f t="shared" si="18"/>
        <v>0</v>
      </c>
      <c r="T625" t="b">
        <f t="shared" si="19"/>
        <v>1</v>
      </c>
      <c r="U625" s="154">
        <f>IFERROR(IF(R625&lt;&gt;FALSE,IF(S625=TRUE,INDEX('SummaryNOT_VALIDATED-BL'!$A$1:$F$16,MATCH(R625,'SummaryNOT_VALIDATED-BL'!$A$1:$A$16,0),6),0),IF(S625=TRUE,INDEX('SummaryNOT_VALIDATED-BL'!$A$1:$F$16,MATCH(E625,'SummaryNOT_VALIDATED-BL'!$A$1:$A$16,0),6),0)),0)</f>
        <v>0</v>
      </c>
      <c r="V625" s="81" cm="1">
        <f t="array" ref="V625">INDEX('Weight tables'!$A$24:$C$27,MATCH(1,(RendicontiTrasmessiBL__2[[#This Row],[Cut percentage on real costs + USC]]&gt;='Weight tables'!$B$24:$B$27)*(RendicontiTrasmessiBL__2[[#This Row],[Cut percentage on real costs + USC]]&lt;='Weight tables'!$C$24:$C$27),0),1)</f>
        <v>0</v>
      </c>
      <c r="W625" s="2">
        <f>RendicontiTrasmessiBL__2[[#This Row],[Weight real costs  + USC ]]</f>
        <v>0</v>
      </c>
    </row>
    <row r="626" spans="1:23" x14ac:dyDescent="0.25">
      <c r="A626" s="1" t="s">
        <v>61</v>
      </c>
      <c r="B626" s="1" t="s">
        <v>293</v>
      </c>
      <c r="C626" s="2">
        <v>112</v>
      </c>
      <c r="D626" s="2">
        <v>171</v>
      </c>
      <c r="E626" s="1" t="s">
        <v>231</v>
      </c>
      <c r="G626">
        <v>0</v>
      </c>
      <c r="H626">
        <v>0</v>
      </c>
      <c r="I626">
        <v>0</v>
      </c>
      <c r="J626">
        <v>0</v>
      </c>
      <c r="K626">
        <v>0</v>
      </c>
      <c r="L626">
        <v>0</v>
      </c>
      <c r="M626">
        <v>0</v>
      </c>
      <c r="N626">
        <v>0</v>
      </c>
      <c r="O626">
        <v>0</v>
      </c>
      <c r="P626">
        <v>0</v>
      </c>
      <c r="Q626" t="str">
        <f>INDEX('Partner data'!A:DH,MATCH(C626,'Partner data'!DG:DG,0),83)</f>
        <v>Soggetto pubblico</v>
      </c>
      <c r="R626" t="b">
        <f>IF(E626="staff",IF(INDEX('Partner data'!A:DH,MATCH(C626,'Partner data'!DG:DG,0),112)="BL1 non presente","FALSO",INDEX('Partner data'!A:DH,MATCH(C626,'Partner data'!DG:DG,0),112)))</f>
        <v>0</v>
      </c>
      <c r="S626" t="b">
        <f t="shared" si="18"/>
        <v>0</v>
      </c>
      <c r="T626" t="b">
        <f t="shared" si="19"/>
        <v>1</v>
      </c>
      <c r="U626" s="154">
        <f>IFERROR(IF(R626&lt;&gt;FALSE,IF(S626=TRUE,INDEX('SummaryNOT_VALIDATED-BL'!$A$1:$F$16,MATCH(R626,'SummaryNOT_VALIDATED-BL'!$A$1:$A$16,0),6),0),IF(S626=TRUE,INDEX('SummaryNOT_VALIDATED-BL'!$A$1:$F$16,MATCH(E626,'SummaryNOT_VALIDATED-BL'!$A$1:$A$16,0),6),0)),0)</f>
        <v>0</v>
      </c>
      <c r="V626" s="81" cm="1">
        <f t="array" ref="V626">INDEX('Weight tables'!$A$24:$C$27,MATCH(1,(RendicontiTrasmessiBL__2[[#This Row],[Cut percentage on real costs + USC]]&gt;='Weight tables'!$B$24:$B$27)*(RendicontiTrasmessiBL__2[[#This Row],[Cut percentage on real costs + USC]]&lt;='Weight tables'!$C$24:$C$27),0),1)</f>
        <v>0</v>
      </c>
      <c r="W626" s="2">
        <f>RendicontiTrasmessiBL__2[[#This Row],[Weight real costs  + USC ]]</f>
        <v>0</v>
      </c>
    </row>
    <row r="627" spans="1:23" x14ac:dyDescent="0.25">
      <c r="A627" s="1" t="s">
        <v>61</v>
      </c>
      <c r="B627" s="1" t="s">
        <v>293</v>
      </c>
      <c r="C627" s="2">
        <v>112</v>
      </c>
      <c r="D627" s="2">
        <v>171</v>
      </c>
      <c r="E627" s="1" t="s">
        <v>232</v>
      </c>
      <c r="G627">
        <v>0</v>
      </c>
      <c r="H627">
        <v>0</v>
      </c>
      <c r="I627">
        <v>0</v>
      </c>
      <c r="J627">
        <v>0</v>
      </c>
      <c r="K627">
        <v>0</v>
      </c>
      <c r="L627">
        <v>0</v>
      </c>
      <c r="M627">
        <v>0</v>
      </c>
      <c r="N627">
        <v>0</v>
      </c>
      <c r="O627">
        <v>0</v>
      </c>
      <c r="P627">
        <v>0</v>
      </c>
      <c r="Q627" t="str">
        <f>INDEX('Partner data'!A:DH,MATCH(C627,'Partner data'!DG:DG,0),83)</f>
        <v>Soggetto pubblico</v>
      </c>
      <c r="R627" t="b">
        <f>IF(E627="staff",IF(INDEX('Partner data'!A:DH,MATCH(C627,'Partner data'!DG:DG,0),112)="BL1 non presente","FALSO",INDEX('Partner data'!A:DH,MATCH(C627,'Partner data'!DG:DG,0),112)))</f>
        <v>0</v>
      </c>
      <c r="S627" t="b">
        <f t="shared" si="18"/>
        <v>0</v>
      </c>
      <c r="T627" t="b">
        <f t="shared" si="19"/>
        <v>1</v>
      </c>
      <c r="U627" s="154">
        <f>IFERROR(IF(R627&lt;&gt;FALSE,IF(S627=TRUE,INDEX('SummaryNOT_VALIDATED-BL'!$A$1:$F$16,MATCH(R627,'SummaryNOT_VALIDATED-BL'!$A$1:$A$16,0),6),0),IF(S627=TRUE,INDEX('SummaryNOT_VALIDATED-BL'!$A$1:$F$16,MATCH(E627,'SummaryNOT_VALIDATED-BL'!$A$1:$A$16,0),6),0)),0)</f>
        <v>0</v>
      </c>
      <c r="V627" s="81" cm="1">
        <f t="array" ref="V627">INDEX('Weight tables'!$A$24:$C$27,MATCH(1,(RendicontiTrasmessiBL__2[[#This Row],[Cut percentage on real costs + USC]]&gt;='Weight tables'!$B$24:$B$27)*(RendicontiTrasmessiBL__2[[#This Row],[Cut percentage on real costs + USC]]&lt;='Weight tables'!$C$24:$C$27),0),1)</f>
        <v>0</v>
      </c>
      <c r="W627" s="2">
        <f>RendicontiTrasmessiBL__2[[#This Row],[Weight real costs  + USC ]]</f>
        <v>0</v>
      </c>
    </row>
    <row r="628" spans="1:23" x14ac:dyDescent="0.25">
      <c r="A628" s="1" t="s">
        <v>61</v>
      </c>
      <c r="B628" s="1" t="s">
        <v>293</v>
      </c>
      <c r="C628" s="2">
        <v>112</v>
      </c>
      <c r="D628" s="2">
        <v>171</v>
      </c>
      <c r="E628" s="1" t="s">
        <v>233</v>
      </c>
      <c r="G628">
        <v>0</v>
      </c>
      <c r="H628">
        <v>0</v>
      </c>
      <c r="I628">
        <v>0</v>
      </c>
      <c r="J628">
        <v>0</v>
      </c>
      <c r="K628">
        <v>0</v>
      </c>
      <c r="L628">
        <v>0</v>
      </c>
      <c r="M628">
        <v>0</v>
      </c>
      <c r="N628">
        <v>0</v>
      </c>
      <c r="O628">
        <v>0</v>
      </c>
      <c r="P628">
        <v>0</v>
      </c>
      <c r="Q628" t="str">
        <f>INDEX('Partner data'!A:DH,MATCH(C628,'Partner data'!DG:DG,0),83)</f>
        <v>Soggetto pubblico</v>
      </c>
      <c r="R628" t="b">
        <f>IF(E628="staff",IF(INDEX('Partner data'!A:DH,MATCH(C628,'Partner data'!DG:DG,0),112)="BL1 non presente","FALSO",INDEX('Partner data'!A:DH,MATCH(C628,'Partner data'!DG:DG,0),112)))</f>
        <v>0</v>
      </c>
      <c r="S628" t="b">
        <f t="shared" si="18"/>
        <v>0</v>
      </c>
      <c r="T628" t="b">
        <f t="shared" si="19"/>
        <v>1</v>
      </c>
      <c r="U628" s="154">
        <f>IFERROR(IF(R628&lt;&gt;FALSE,IF(S628=TRUE,INDEX('SummaryNOT_VALIDATED-BL'!$A$1:$F$16,MATCH(R628,'SummaryNOT_VALIDATED-BL'!$A$1:$A$16,0),6),0),IF(S628=TRUE,INDEX('SummaryNOT_VALIDATED-BL'!$A$1:$F$16,MATCH(E628,'SummaryNOT_VALIDATED-BL'!$A$1:$A$16,0),6),0)),0)</f>
        <v>0</v>
      </c>
      <c r="V628" s="81" cm="1">
        <f t="array" ref="V628">INDEX('Weight tables'!$A$24:$C$27,MATCH(1,(RendicontiTrasmessiBL__2[[#This Row],[Cut percentage on real costs + USC]]&gt;='Weight tables'!$B$24:$B$27)*(RendicontiTrasmessiBL__2[[#This Row],[Cut percentage on real costs + USC]]&lt;='Weight tables'!$C$24:$C$27),0),1)</f>
        <v>0</v>
      </c>
      <c r="W628" s="2">
        <f>RendicontiTrasmessiBL__2[[#This Row],[Weight real costs  + USC ]]</f>
        <v>0</v>
      </c>
    </row>
    <row r="629" spans="1:23" x14ac:dyDescent="0.25">
      <c r="A629" s="1" t="s">
        <v>61</v>
      </c>
      <c r="B629" s="1" t="s">
        <v>293</v>
      </c>
      <c r="C629" s="2">
        <v>112</v>
      </c>
      <c r="D629" s="2">
        <v>171</v>
      </c>
      <c r="E629" s="1" t="s">
        <v>234</v>
      </c>
      <c r="F629">
        <v>40</v>
      </c>
      <c r="G629">
        <v>26185.599999999999</v>
      </c>
      <c r="H629">
        <v>0</v>
      </c>
      <c r="I629">
        <v>0</v>
      </c>
      <c r="J629">
        <v>510.4</v>
      </c>
      <c r="K629">
        <v>0</v>
      </c>
      <c r="L629">
        <v>510.4</v>
      </c>
      <c r="M629">
        <v>510.4</v>
      </c>
      <c r="N629">
        <v>1.95</v>
      </c>
      <c r="O629">
        <v>25675.200000000001</v>
      </c>
      <c r="P629">
        <v>0</v>
      </c>
      <c r="Q629" t="str">
        <f>INDEX('Partner data'!A:DH,MATCH(C629,'Partner data'!DG:DG,0),83)</f>
        <v>Soggetto pubblico</v>
      </c>
      <c r="R629" t="b">
        <f>IF(E629="staff",IF(INDEX('Partner data'!A:DH,MATCH(C629,'Partner data'!DG:DG,0),112)="BL1 non presente","FALSO",INDEX('Partner data'!A:DH,MATCH(C629,'Partner data'!DG:DG,0),112)))</f>
        <v>0</v>
      </c>
      <c r="S629" t="b">
        <f t="shared" si="18"/>
        <v>1</v>
      </c>
      <c r="T629" t="b">
        <f t="shared" si="19"/>
        <v>1</v>
      </c>
      <c r="U629" s="154">
        <f>IFERROR(IF(R629&lt;&gt;FALSE,IF(S629=TRUE,INDEX('SummaryNOT_VALIDATED-BL'!$A$1:$F$16,MATCH(R629,'SummaryNOT_VALIDATED-BL'!$A$1:$A$16,0),6),0),IF(S629=TRUE,INDEX('SummaryNOT_VALIDATED-BL'!$A$1:$F$16,MATCH(E629,'SummaryNOT_VALIDATED-BL'!$A$1:$A$16,0),6),0)),0)</f>
        <v>8.7645339819521315E-2</v>
      </c>
      <c r="V629" s="81" cm="1">
        <f t="array" ref="V629">INDEX('Weight tables'!$A$24:$C$27,MATCH(1,(RendicontiTrasmessiBL__2[[#This Row],[Cut percentage on real costs + USC]]&gt;='Weight tables'!$B$24:$B$27)*(RendicontiTrasmessiBL__2[[#This Row],[Cut percentage on real costs + USC]]&lt;='Weight tables'!$C$24:$C$27),0),1)</f>
        <v>4</v>
      </c>
      <c r="W629" s="2">
        <f>RendicontiTrasmessiBL__2[[#This Row],[Weight real costs  + USC ]]</f>
        <v>4</v>
      </c>
    </row>
    <row r="630" spans="1:23" x14ac:dyDescent="0.25">
      <c r="A630" s="1" t="s">
        <v>61</v>
      </c>
      <c r="B630" s="1" t="s">
        <v>293</v>
      </c>
      <c r="C630" s="2">
        <v>112</v>
      </c>
      <c r="D630" s="2">
        <v>171</v>
      </c>
      <c r="E630" s="1" t="s">
        <v>236</v>
      </c>
      <c r="G630">
        <v>0</v>
      </c>
      <c r="H630">
        <v>0</v>
      </c>
      <c r="I630">
        <v>0</v>
      </c>
      <c r="J630">
        <v>0</v>
      </c>
      <c r="K630">
        <v>0</v>
      </c>
      <c r="L630">
        <v>0</v>
      </c>
      <c r="M630">
        <v>0</v>
      </c>
      <c r="N630">
        <v>0</v>
      </c>
      <c r="O630">
        <v>0</v>
      </c>
      <c r="P630">
        <v>0</v>
      </c>
      <c r="Q630" t="str">
        <f>INDEX('Partner data'!A:DH,MATCH(C630,'Partner data'!DG:DG,0),83)</f>
        <v>Soggetto pubblico</v>
      </c>
      <c r="R630" t="b">
        <f>IF(E630="staff",IF(INDEX('Partner data'!A:DH,MATCH(C630,'Partner data'!DG:DG,0),112)="BL1 non presente","FALSO",INDEX('Partner data'!A:DH,MATCH(C630,'Partner data'!DG:DG,0),112)))</f>
        <v>0</v>
      </c>
      <c r="S630" t="b">
        <f t="shared" si="18"/>
        <v>0</v>
      </c>
      <c r="T630" t="b">
        <f t="shared" si="19"/>
        <v>1</v>
      </c>
      <c r="U630" s="154">
        <f>IFERROR(IF(R630&lt;&gt;FALSE,IF(S630=TRUE,INDEX('SummaryNOT_VALIDATED-BL'!$A$1:$F$16,MATCH(R630,'SummaryNOT_VALIDATED-BL'!$A$1:$A$16,0),6),0),IF(S630=TRUE,INDEX('SummaryNOT_VALIDATED-BL'!$A$1:$F$16,MATCH(E630,'SummaryNOT_VALIDATED-BL'!$A$1:$A$16,0),6),0)),0)</f>
        <v>0</v>
      </c>
      <c r="V630" s="81" cm="1">
        <f t="array" ref="V630">INDEX('Weight tables'!$A$24:$C$27,MATCH(1,(RendicontiTrasmessiBL__2[[#This Row],[Cut percentage on real costs + USC]]&gt;='Weight tables'!$B$24:$B$27)*(RendicontiTrasmessiBL__2[[#This Row],[Cut percentage on real costs + USC]]&lt;='Weight tables'!$C$24:$C$27),0),1)</f>
        <v>0</v>
      </c>
      <c r="W630" s="2">
        <f>RendicontiTrasmessiBL__2[[#This Row],[Weight real costs  + USC ]]</f>
        <v>0</v>
      </c>
    </row>
    <row r="631" spans="1:23" x14ac:dyDescent="0.25">
      <c r="A631" s="1" t="s">
        <v>61</v>
      </c>
      <c r="B631" s="1" t="s">
        <v>293</v>
      </c>
      <c r="C631" s="2">
        <v>112</v>
      </c>
      <c r="D631" s="2">
        <v>171</v>
      </c>
      <c r="E631" s="1" t="s">
        <v>237</v>
      </c>
      <c r="G631">
        <v>0</v>
      </c>
      <c r="H631">
        <v>0</v>
      </c>
      <c r="I631">
        <v>0</v>
      </c>
      <c r="J631">
        <v>0</v>
      </c>
      <c r="K631">
        <v>0</v>
      </c>
      <c r="L631">
        <v>0</v>
      </c>
      <c r="M631">
        <v>0</v>
      </c>
      <c r="N631">
        <v>0</v>
      </c>
      <c r="O631">
        <v>0</v>
      </c>
      <c r="P631">
        <v>0</v>
      </c>
      <c r="Q631" t="str">
        <f>INDEX('Partner data'!A:DH,MATCH(C631,'Partner data'!DG:DG,0),83)</f>
        <v>Soggetto pubblico</v>
      </c>
      <c r="R631" t="b">
        <f>IF(E631="staff",IF(INDEX('Partner data'!A:DH,MATCH(C631,'Partner data'!DG:DG,0),112)="BL1 non presente","FALSO",INDEX('Partner data'!A:DH,MATCH(C631,'Partner data'!DG:DG,0),112)))</f>
        <v>0</v>
      </c>
      <c r="S631" t="b">
        <f t="shared" si="18"/>
        <v>0</v>
      </c>
      <c r="T631" t="b">
        <f t="shared" si="19"/>
        <v>1</v>
      </c>
      <c r="U631" s="154">
        <f>IFERROR(IF(R631&lt;&gt;FALSE,IF(S631=TRUE,INDEX('SummaryNOT_VALIDATED-BL'!$A$1:$F$16,MATCH(R631,'SummaryNOT_VALIDATED-BL'!$A$1:$A$16,0),6),0),IF(S631=TRUE,INDEX('SummaryNOT_VALIDATED-BL'!$A$1:$F$16,MATCH(E631,'SummaryNOT_VALIDATED-BL'!$A$1:$A$16,0),6),0)),0)</f>
        <v>0</v>
      </c>
      <c r="V631" s="81" cm="1">
        <f t="array" ref="V631">INDEX('Weight tables'!$A$24:$C$27,MATCH(1,(RendicontiTrasmessiBL__2[[#This Row],[Cut percentage on real costs + USC]]&gt;='Weight tables'!$B$24:$B$27)*(RendicontiTrasmessiBL__2[[#This Row],[Cut percentage on real costs + USC]]&lt;='Weight tables'!$C$24:$C$27),0),1)</f>
        <v>0</v>
      </c>
      <c r="W631" s="2">
        <f>RendicontiTrasmessiBL__2[[#This Row],[Weight real costs  + USC ]]</f>
        <v>0</v>
      </c>
    </row>
    <row r="632" spans="1:23" x14ac:dyDescent="0.25">
      <c r="A632" s="1" t="s">
        <v>61</v>
      </c>
      <c r="B632" s="1" t="s">
        <v>294</v>
      </c>
      <c r="C632" s="2">
        <v>90</v>
      </c>
      <c r="D632" s="2">
        <v>200</v>
      </c>
      <c r="E632" s="1" t="s">
        <v>228</v>
      </c>
      <c r="G632">
        <v>176360</v>
      </c>
      <c r="H632">
        <v>0</v>
      </c>
      <c r="I632">
        <v>0</v>
      </c>
      <c r="J632">
        <v>43685.43</v>
      </c>
      <c r="K632">
        <v>0</v>
      </c>
      <c r="L632">
        <v>41194.129999999997</v>
      </c>
      <c r="M632">
        <v>43685.43</v>
      </c>
      <c r="N632">
        <v>24.77</v>
      </c>
      <c r="O632">
        <v>132674.57</v>
      </c>
      <c r="P632">
        <v>0</v>
      </c>
      <c r="Q632" t="str">
        <f>INDEX('Partner data'!A:DH,MATCH(C632,'Partner data'!DG:DG,0),83)</f>
        <v>Soggetto privato</v>
      </c>
      <c r="R632" t="str">
        <f>IF(E632="staff",IF(INDEX('Partner data'!A:DH,MATCH(C632,'Partner data'!DG:DG,0),112)="BL1 non presente","FALSO",INDEX('Partner data'!A:DH,MATCH(C632,'Partner data'!DG:DG,0),112)))</f>
        <v>COSTO REALE</v>
      </c>
      <c r="S632" t="b">
        <f t="shared" si="18"/>
        <v>1</v>
      </c>
      <c r="T632" t="b">
        <f t="shared" si="19"/>
        <v>0</v>
      </c>
      <c r="U632" s="154">
        <f>IFERROR(IF(R632&lt;&gt;FALSE,IF(S632=TRUE,INDEX('SummaryNOT_VALIDATED-BL'!$A$1:$F$16,MATCH(R632,'SummaryNOT_VALIDATED-BL'!$A$1:$A$16,0),6),0),IF(S632=TRUE,INDEX('SummaryNOT_VALIDATED-BL'!$A$1:$F$16,MATCH(E632,'SummaryNOT_VALIDATED-BL'!$A$1:$A$16,0),6),0)),0)</f>
        <v>9.1604133276901048E-2</v>
      </c>
      <c r="V632" s="81" cm="1">
        <f t="array" ref="V632">INDEX('Weight tables'!$A$24:$C$27,MATCH(1,(RendicontiTrasmessiBL__2[[#This Row],[Cut percentage on real costs + USC]]&gt;='Weight tables'!$B$24:$B$27)*(RendicontiTrasmessiBL__2[[#This Row],[Cut percentage on real costs + USC]]&lt;='Weight tables'!$C$24:$C$27),0),1)</f>
        <v>4</v>
      </c>
      <c r="W632" s="2">
        <f>RendicontiTrasmessiBL__2[[#This Row],[Weight real costs  + USC ]]</f>
        <v>4</v>
      </c>
    </row>
    <row r="633" spans="1:23" x14ac:dyDescent="0.25">
      <c r="A633" s="1" t="s">
        <v>61</v>
      </c>
      <c r="B633" s="1" t="s">
        <v>294</v>
      </c>
      <c r="C633" s="2">
        <v>90</v>
      </c>
      <c r="D633" s="2">
        <v>200</v>
      </c>
      <c r="E633" s="1" t="s">
        <v>229</v>
      </c>
      <c r="G633">
        <v>0</v>
      </c>
      <c r="H633">
        <v>0</v>
      </c>
      <c r="I633">
        <v>0</v>
      </c>
      <c r="J633">
        <v>0</v>
      </c>
      <c r="K633">
        <v>0</v>
      </c>
      <c r="L633">
        <v>0</v>
      </c>
      <c r="M633">
        <v>0</v>
      </c>
      <c r="N633">
        <v>0</v>
      </c>
      <c r="O633">
        <v>0</v>
      </c>
      <c r="P633">
        <v>0</v>
      </c>
      <c r="Q633" t="str">
        <f>INDEX('Partner data'!A:DH,MATCH(C633,'Partner data'!DG:DG,0),83)</f>
        <v>Soggetto privato</v>
      </c>
      <c r="R633" t="b">
        <f>IF(E633="staff",IF(INDEX('Partner data'!A:DH,MATCH(C633,'Partner data'!DG:DG,0),112)="BL1 non presente","FALSO",INDEX('Partner data'!A:DH,MATCH(C633,'Partner data'!DG:DG,0),112)))</f>
        <v>0</v>
      </c>
      <c r="S633" t="b">
        <f t="shared" si="18"/>
        <v>0</v>
      </c>
      <c r="T633" t="b">
        <f t="shared" si="19"/>
        <v>0</v>
      </c>
      <c r="U633" s="154">
        <f>IFERROR(IF(R633&lt;&gt;FALSE,IF(S633=TRUE,INDEX('SummaryNOT_VALIDATED-BL'!$A$1:$F$16,MATCH(R633,'SummaryNOT_VALIDATED-BL'!$A$1:$A$16,0),6),0),IF(S633=TRUE,INDEX('SummaryNOT_VALIDATED-BL'!$A$1:$F$16,MATCH(E633,'SummaryNOT_VALIDATED-BL'!$A$1:$A$16,0),6),0)),0)</f>
        <v>0</v>
      </c>
      <c r="V633" s="81" cm="1">
        <f t="array" ref="V633">INDEX('Weight tables'!$A$24:$C$27,MATCH(1,(RendicontiTrasmessiBL__2[[#This Row],[Cut percentage on real costs + USC]]&gt;='Weight tables'!$B$24:$B$27)*(RendicontiTrasmessiBL__2[[#This Row],[Cut percentage on real costs + USC]]&lt;='Weight tables'!$C$24:$C$27),0),1)</f>
        <v>0</v>
      </c>
      <c r="W633" s="2">
        <f>RendicontiTrasmessiBL__2[[#This Row],[Weight real costs  + USC ]]</f>
        <v>0</v>
      </c>
    </row>
    <row r="634" spans="1:23" x14ac:dyDescent="0.25">
      <c r="A634" s="1" t="s">
        <v>61</v>
      </c>
      <c r="B634" s="1" t="s">
        <v>294</v>
      </c>
      <c r="C634" s="2">
        <v>90</v>
      </c>
      <c r="D634" s="2">
        <v>200</v>
      </c>
      <c r="E634" s="1" t="s">
        <v>230</v>
      </c>
      <c r="G634">
        <v>0</v>
      </c>
      <c r="H634">
        <v>0</v>
      </c>
      <c r="I634">
        <v>0</v>
      </c>
      <c r="J634">
        <v>0</v>
      </c>
      <c r="K634">
        <v>0</v>
      </c>
      <c r="L634">
        <v>0</v>
      </c>
      <c r="M634">
        <v>0</v>
      </c>
      <c r="N634">
        <v>0</v>
      </c>
      <c r="O634">
        <v>0</v>
      </c>
      <c r="P634">
        <v>0</v>
      </c>
      <c r="Q634" t="str">
        <f>INDEX('Partner data'!A:DH,MATCH(C634,'Partner data'!DG:DG,0),83)</f>
        <v>Soggetto privato</v>
      </c>
      <c r="R634" t="b">
        <f>IF(E634="staff",IF(INDEX('Partner data'!A:DH,MATCH(C634,'Partner data'!DG:DG,0),112)="BL1 non presente","FALSO",INDEX('Partner data'!A:DH,MATCH(C634,'Partner data'!DG:DG,0),112)))</f>
        <v>0</v>
      </c>
      <c r="S634" t="b">
        <f t="shared" si="18"/>
        <v>0</v>
      </c>
      <c r="T634" t="b">
        <f t="shared" si="19"/>
        <v>0</v>
      </c>
      <c r="U634" s="154">
        <f>IFERROR(IF(R634&lt;&gt;FALSE,IF(S634=TRUE,INDEX('SummaryNOT_VALIDATED-BL'!$A$1:$F$16,MATCH(R634,'SummaryNOT_VALIDATED-BL'!$A$1:$A$16,0),6),0),IF(S634=TRUE,INDEX('SummaryNOT_VALIDATED-BL'!$A$1:$F$16,MATCH(E634,'SummaryNOT_VALIDATED-BL'!$A$1:$A$16,0),6),0)),0)</f>
        <v>0</v>
      </c>
      <c r="V634" s="81" cm="1">
        <f t="array" ref="V634">INDEX('Weight tables'!$A$24:$C$27,MATCH(1,(RendicontiTrasmessiBL__2[[#This Row],[Cut percentage on real costs + USC]]&gt;='Weight tables'!$B$24:$B$27)*(RendicontiTrasmessiBL__2[[#This Row],[Cut percentage on real costs + USC]]&lt;='Weight tables'!$C$24:$C$27),0),1)</f>
        <v>0</v>
      </c>
      <c r="W634" s="2">
        <f>RendicontiTrasmessiBL__2[[#This Row],[Weight real costs  + USC ]]</f>
        <v>0</v>
      </c>
    </row>
    <row r="635" spans="1:23" x14ac:dyDescent="0.25">
      <c r="A635" s="1" t="s">
        <v>61</v>
      </c>
      <c r="B635" s="1" t="s">
        <v>294</v>
      </c>
      <c r="C635" s="2">
        <v>90</v>
      </c>
      <c r="D635" s="2">
        <v>200</v>
      </c>
      <c r="E635" s="1" t="s">
        <v>231</v>
      </c>
      <c r="G635">
        <v>0</v>
      </c>
      <c r="H635">
        <v>0</v>
      </c>
      <c r="I635">
        <v>0</v>
      </c>
      <c r="J635">
        <v>0</v>
      </c>
      <c r="K635">
        <v>0</v>
      </c>
      <c r="L635">
        <v>0</v>
      </c>
      <c r="M635">
        <v>0</v>
      </c>
      <c r="N635">
        <v>0</v>
      </c>
      <c r="O635">
        <v>0</v>
      </c>
      <c r="P635">
        <v>0</v>
      </c>
      <c r="Q635" t="str">
        <f>INDEX('Partner data'!A:DH,MATCH(C635,'Partner data'!DG:DG,0),83)</f>
        <v>Soggetto privato</v>
      </c>
      <c r="R635" t="b">
        <f>IF(E635="staff",IF(INDEX('Partner data'!A:DH,MATCH(C635,'Partner data'!DG:DG,0),112)="BL1 non presente","FALSO",INDEX('Partner data'!A:DH,MATCH(C635,'Partner data'!DG:DG,0),112)))</f>
        <v>0</v>
      </c>
      <c r="S635" t="b">
        <f t="shared" si="18"/>
        <v>0</v>
      </c>
      <c r="T635" t="b">
        <f t="shared" si="19"/>
        <v>0</v>
      </c>
      <c r="U635" s="154">
        <f>IFERROR(IF(R635&lt;&gt;FALSE,IF(S635=TRUE,INDEX('SummaryNOT_VALIDATED-BL'!$A$1:$F$16,MATCH(R635,'SummaryNOT_VALIDATED-BL'!$A$1:$A$16,0),6),0),IF(S635=TRUE,INDEX('SummaryNOT_VALIDATED-BL'!$A$1:$F$16,MATCH(E635,'SummaryNOT_VALIDATED-BL'!$A$1:$A$16,0),6),0)),0)</f>
        <v>0</v>
      </c>
      <c r="V635" s="81" cm="1">
        <f t="array" ref="V635">INDEX('Weight tables'!$A$24:$C$27,MATCH(1,(RendicontiTrasmessiBL__2[[#This Row],[Cut percentage on real costs + USC]]&gt;='Weight tables'!$B$24:$B$27)*(RendicontiTrasmessiBL__2[[#This Row],[Cut percentage on real costs + USC]]&lt;='Weight tables'!$C$24:$C$27),0),1)</f>
        <v>0</v>
      </c>
      <c r="W635" s="2">
        <f>RendicontiTrasmessiBL__2[[#This Row],[Weight real costs  + USC ]]</f>
        <v>0</v>
      </c>
    </row>
    <row r="636" spans="1:23" x14ac:dyDescent="0.25">
      <c r="A636" s="1" t="s">
        <v>61</v>
      </c>
      <c r="B636" s="1" t="s">
        <v>294</v>
      </c>
      <c r="C636" s="2">
        <v>90</v>
      </c>
      <c r="D636" s="2">
        <v>200</v>
      </c>
      <c r="E636" s="1" t="s">
        <v>232</v>
      </c>
      <c r="G636">
        <v>0</v>
      </c>
      <c r="H636">
        <v>0</v>
      </c>
      <c r="I636">
        <v>0</v>
      </c>
      <c r="J636">
        <v>0</v>
      </c>
      <c r="K636">
        <v>0</v>
      </c>
      <c r="L636">
        <v>0</v>
      </c>
      <c r="M636">
        <v>0</v>
      </c>
      <c r="N636">
        <v>0</v>
      </c>
      <c r="O636">
        <v>0</v>
      </c>
      <c r="P636">
        <v>0</v>
      </c>
      <c r="Q636" t="str">
        <f>INDEX('Partner data'!A:DH,MATCH(C636,'Partner data'!DG:DG,0),83)</f>
        <v>Soggetto privato</v>
      </c>
      <c r="R636" t="b">
        <f>IF(E636="staff",IF(INDEX('Partner data'!A:DH,MATCH(C636,'Partner data'!DG:DG,0),112)="BL1 non presente","FALSO",INDEX('Partner data'!A:DH,MATCH(C636,'Partner data'!DG:DG,0),112)))</f>
        <v>0</v>
      </c>
      <c r="S636" t="b">
        <f t="shared" si="18"/>
        <v>0</v>
      </c>
      <c r="T636" t="b">
        <f t="shared" si="19"/>
        <v>0</v>
      </c>
      <c r="U636" s="154">
        <f>IFERROR(IF(R636&lt;&gt;FALSE,IF(S636=TRUE,INDEX('SummaryNOT_VALIDATED-BL'!$A$1:$F$16,MATCH(R636,'SummaryNOT_VALIDATED-BL'!$A$1:$A$16,0),6),0),IF(S636=TRUE,INDEX('SummaryNOT_VALIDATED-BL'!$A$1:$F$16,MATCH(E636,'SummaryNOT_VALIDATED-BL'!$A$1:$A$16,0),6),0)),0)</f>
        <v>0</v>
      </c>
      <c r="V636" s="81" cm="1">
        <f t="array" ref="V636">INDEX('Weight tables'!$A$24:$C$27,MATCH(1,(RendicontiTrasmessiBL__2[[#This Row],[Cut percentage on real costs + USC]]&gt;='Weight tables'!$B$24:$B$27)*(RendicontiTrasmessiBL__2[[#This Row],[Cut percentage on real costs + USC]]&lt;='Weight tables'!$C$24:$C$27),0),1)</f>
        <v>0</v>
      </c>
      <c r="W636" s="2">
        <f>RendicontiTrasmessiBL__2[[#This Row],[Weight real costs  + USC ]]</f>
        <v>0</v>
      </c>
    </row>
    <row r="637" spans="1:23" x14ac:dyDescent="0.25">
      <c r="A637" s="1" t="s">
        <v>61</v>
      </c>
      <c r="B637" s="1" t="s">
        <v>294</v>
      </c>
      <c r="C637" s="2">
        <v>90</v>
      </c>
      <c r="D637" s="2">
        <v>200</v>
      </c>
      <c r="E637" s="1" t="s">
        <v>233</v>
      </c>
      <c r="G637">
        <v>0</v>
      </c>
      <c r="H637">
        <v>0</v>
      </c>
      <c r="I637">
        <v>0</v>
      </c>
      <c r="J637">
        <v>0</v>
      </c>
      <c r="K637">
        <v>0</v>
      </c>
      <c r="L637">
        <v>0</v>
      </c>
      <c r="M637">
        <v>0</v>
      </c>
      <c r="N637">
        <v>0</v>
      </c>
      <c r="O637">
        <v>0</v>
      </c>
      <c r="P637">
        <v>0</v>
      </c>
      <c r="Q637" t="str">
        <f>INDEX('Partner data'!A:DH,MATCH(C637,'Partner data'!DG:DG,0),83)</f>
        <v>Soggetto privato</v>
      </c>
      <c r="R637" t="b">
        <f>IF(E637="staff",IF(INDEX('Partner data'!A:DH,MATCH(C637,'Partner data'!DG:DG,0),112)="BL1 non presente","FALSO",INDEX('Partner data'!A:DH,MATCH(C637,'Partner data'!DG:DG,0),112)))</f>
        <v>0</v>
      </c>
      <c r="S637" t="b">
        <f t="shared" si="18"/>
        <v>0</v>
      </c>
      <c r="T637" t="b">
        <f t="shared" si="19"/>
        <v>0</v>
      </c>
      <c r="U637" s="154">
        <f>IFERROR(IF(R637&lt;&gt;FALSE,IF(S637=TRUE,INDEX('SummaryNOT_VALIDATED-BL'!$A$1:$F$16,MATCH(R637,'SummaryNOT_VALIDATED-BL'!$A$1:$A$16,0),6),0),IF(S637=TRUE,INDEX('SummaryNOT_VALIDATED-BL'!$A$1:$F$16,MATCH(E637,'SummaryNOT_VALIDATED-BL'!$A$1:$A$16,0),6),0)),0)</f>
        <v>0</v>
      </c>
      <c r="V637" s="81" cm="1">
        <f t="array" ref="V637">INDEX('Weight tables'!$A$24:$C$27,MATCH(1,(RendicontiTrasmessiBL__2[[#This Row],[Cut percentage on real costs + USC]]&gt;='Weight tables'!$B$24:$B$27)*(RendicontiTrasmessiBL__2[[#This Row],[Cut percentage on real costs + USC]]&lt;='Weight tables'!$C$24:$C$27),0),1)</f>
        <v>0</v>
      </c>
      <c r="W637" s="2">
        <f>RendicontiTrasmessiBL__2[[#This Row],[Weight real costs  + USC ]]</f>
        <v>0</v>
      </c>
    </row>
    <row r="638" spans="1:23" x14ac:dyDescent="0.25">
      <c r="A638" s="1" t="s">
        <v>61</v>
      </c>
      <c r="B638" s="1" t="s">
        <v>294</v>
      </c>
      <c r="C638" s="2">
        <v>90</v>
      </c>
      <c r="D638" s="2">
        <v>200</v>
      </c>
      <c r="E638" s="1" t="s">
        <v>234</v>
      </c>
      <c r="F638">
        <v>40</v>
      </c>
      <c r="G638">
        <v>70544</v>
      </c>
      <c r="H638">
        <v>0</v>
      </c>
      <c r="I638">
        <v>0</v>
      </c>
      <c r="J638">
        <v>17474.169999999998</v>
      </c>
      <c r="K638">
        <v>0</v>
      </c>
      <c r="L638">
        <v>16477.650000000001</v>
      </c>
      <c r="M638">
        <v>17474.169999999998</v>
      </c>
      <c r="N638">
        <v>24.77</v>
      </c>
      <c r="O638">
        <v>53069.83</v>
      </c>
      <c r="P638">
        <v>0</v>
      </c>
      <c r="Q638" t="str">
        <f>INDEX('Partner data'!A:DH,MATCH(C638,'Partner data'!DG:DG,0),83)</f>
        <v>Soggetto privato</v>
      </c>
      <c r="R638" t="b">
        <f>IF(E638="staff",IF(INDEX('Partner data'!A:DH,MATCH(C638,'Partner data'!DG:DG,0),112)="BL1 non presente","FALSO",INDEX('Partner data'!A:DH,MATCH(C638,'Partner data'!DG:DG,0),112)))</f>
        <v>0</v>
      </c>
      <c r="S638" t="b">
        <f t="shared" si="18"/>
        <v>1</v>
      </c>
      <c r="T638" t="b">
        <f t="shared" si="19"/>
        <v>0</v>
      </c>
      <c r="U638" s="154">
        <f>IFERROR(IF(R638&lt;&gt;FALSE,IF(S638=TRUE,INDEX('SummaryNOT_VALIDATED-BL'!$A$1:$F$16,MATCH(R638,'SummaryNOT_VALIDATED-BL'!$A$1:$A$16,0),6),0),IF(S638=TRUE,INDEX('SummaryNOT_VALIDATED-BL'!$A$1:$F$16,MATCH(E638,'SummaryNOT_VALIDATED-BL'!$A$1:$A$16,0),6),0)),0)</f>
        <v>8.7645339819521315E-2</v>
      </c>
      <c r="V638" s="81" cm="1">
        <f t="array" ref="V638">INDEX('Weight tables'!$A$24:$C$27,MATCH(1,(RendicontiTrasmessiBL__2[[#This Row],[Cut percentage on real costs + USC]]&gt;='Weight tables'!$B$24:$B$27)*(RendicontiTrasmessiBL__2[[#This Row],[Cut percentage on real costs + USC]]&lt;='Weight tables'!$C$24:$C$27),0),1)</f>
        <v>4</v>
      </c>
      <c r="W638" s="2">
        <f>RendicontiTrasmessiBL__2[[#This Row],[Weight real costs  + USC ]]</f>
        <v>4</v>
      </c>
    </row>
    <row r="639" spans="1:23" x14ac:dyDescent="0.25">
      <c r="A639" s="1" t="s">
        <v>61</v>
      </c>
      <c r="B639" s="1" t="s">
        <v>294</v>
      </c>
      <c r="C639" s="2">
        <v>90</v>
      </c>
      <c r="D639" s="2">
        <v>200</v>
      </c>
      <c r="E639" s="1" t="s">
        <v>236</v>
      </c>
      <c r="G639">
        <v>0</v>
      </c>
      <c r="H639">
        <v>0</v>
      </c>
      <c r="I639">
        <v>0</v>
      </c>
      <c r="J639">
        <v>0</v>
      </c>
      <c r="K639">
        <v>0</v>
      </c>
      <c r="L639">
        <v>0</v>
      </c>
      <c r="M639">
        <v>0</v>
      </c>
      <c r="N639">
        <v>0</v>
      </c>
      <c r="O639">
        <v>0</v>
      </c>
      <c r="P639">
        <v>0</v>
      </c>
      <c r="Q639" t="str">
        <f>INDEX('Partner data'!A:DH,MATCH(C639,'Partner data'!DG:DG,0),83)</f>
        <v>Soggetto privato</v>
      </c>
      <c r="R639" t="b">
        <f>IF(E639="staff",IF(INDEX('Partner data'!A:DH,MATCH(C639,'Partner data'!DG:DG,0),112)="BL1 non presente","FALSO",INDEX('Partner data'!A:DH,MATCH(C639,'Partner data'!DG:DG,0),112)))</f>
        <v>0</v>
      </c>
      <c r="S639" t="b">
        <f t="shared" si="18"/>
        <v>0</v>
      </c>
      <c r="T639" t="b">
        <f t="shared" si="19"/>
        <v>0</v>
      </c>
      <c r="U639" s="154">
        <f>IFERROR(IF(R639&lt;&gt;FALSE,IF(S639=TRUE,INDEX('SummaryNOT_VALIDATED-BL'!$A$1:$F$16,MATCH(R639,'SummaryNOT_VALIDATED-BL'!$A$1:$A$16,0),6),0),IF(S639=TRUE,INDEX('SummaryNOT_VALIDATED-BL'!$A$1:$F$16,MATCH(E639,'SummaryNOT_VALIDATED-BL'!$A$1:$A$16,0),6),0)),0)</f>
        <v>0</v>
      </c>
      <c r="V639" s="81" cm="1">
        <f t="array" ref="V639">INDEX('Weight tables'!$A$24:$C$27,MATCH(1,(RendicontiTrasmessiBL__2[[#This Row],[Cut percentage on real costs + USC]]&gt;='Weight tables'!$B$24:$B$27)*(RendicontiTrasmessiBL__2[[#This Row],[Cut percentage on real costs + USC]]&lt;='Weight tables'!$C$24:$C$27),0),1)</f>
        <v>0</v>
      </c>
      <c r="W639" s="2">
        <f>RendicontiTrasmessiBL__2[[#This Row],[Weight real costs  + USC ]]</f>
        <v>0</v>
      </c>
    </row>
    <row r="640" spans="1:23" x14ac:dyDescent="0.25">
      <c r="A640" s="1" t="s">
        <v>61</v>
      </c>
      <c r="B640" s="1" t="s">
        <v>294</v>
      </c>
      <c r="C640" s="2">
        <v>90</v>
      </c>
      <c r="D640" s="2">
        <v>200</v>
      </c>
      <c r="E640" s="1" t="s">
        <v>237</v>
      </c>
      <c r="G640">
        <v>0</v>
      </c>
      <c r="H640">
        <v>0</v>
      </c>
      <c r="I640">
        <v>0</v>
      </c>
      <c r="J640">
        <v>0</v>
      </c>
      <c r="K640">
        <v>0</v>
      </c>
      <c r="L640">
        <v>0</v>
      </c>
      <c r="M640">
        <v>0</v>
      </c>
      <c r="N640">
        <v>0</v>
      </c>
      <c r="O640">
        <v>0</v>
      </c>
      <c r="P640">
        <v>0</v>
      </c>
      <c r="Q640" t="str">
        <f>INDEX('Partner data'!A:DH,MATCH(C640,'Partner data'!DG:DG,0),83)</f>
        <v>Soggetto privato</v>
      </c>
      <c r="R640" t="b">
        <f>IF(E640="staff",IF(INDEX('Partner data'!A:DH,MATCH(C640,'Partner data'!DG:DG,0),112)="BL1 non presente","FALSO",INDEX('Partner data'!A:DH,MATCH(C640,'Partner data'!DG:DG,0),112)))</f>
        <v>0</v>
      </c>
      <c r="S640" t="b">
        <f t="shared" si="18"/>
        <v>0</v>
      </c>
      <c r="T640" t="b">
        <f t="shared" si="19"/>
        <v>0</v>
      </c>
      <c r="U640" s="154">
        <f>IFERROR(IF(R640&lt;&gt;FALSE,IF(S640=TRUE,INDEX('SummaryNOT_VALIDATED-BL'!$A$1:$F$16,MATCH(R640,'SummaryNOT_VALIDATED-BL'!$A$1:$A$16,0),6),0),IF(S640=TRUE,INDEX('SummaryNOT_VALIDATED-BL'!$A$1:$F$16,MATCH(E640,'SummaryNOT_VALIDATED-BL'!$A$1:$A$16,0),6),0)),0)</f>
        <v>0</v>
      </c>
      <c r="V640" s="81" cm="1">
        <f t="array" ref="V640">INDEX('Weight tables'!$A$24:$C$27,MATCH(1,(RendicontiTrasmessiBL__2[[#This Row],[Cut percentage on real costs + USC]]&gt;='Weight tables'!$B$24:$B$27)*(RendicontiTrasmessiBL__2[[#This Row],[Cut percentage on real costs + USC]]&lt;='Weight tables'!$C$24:$C$27),0),1)</f>
        <v>0</v>
      </c>
      <c r="W640" s="2">
        <f>RendicontiTrasmessiBL__2[[#This Row],[Weight real costs  + USC ]]</f>
        <v>0</v>
      </c>
    </row>
    <row r="641" spans="1:23" x14ac:dyDescent="0.25">
      <c r="A641" s="1" t="s">
        <v>61</v>
      </c>
      <c r="B641" s="1" t="s">
        <v>295</v>
      </c>
      <c r="C641" s="2">
        <v>91</v>
      </c>
      <c r="D641" s="2">
        <v>287</v>
      </c>
      <c r="E641" s="1" t="s">
        <v>228</v>
      </c>
      <c r="G641">
        <v>65500</v>
      </c>
      <c r="H641">
        <v>0</v>
      </c>
      <c r="I641">
        <v>0</v>
      </c>
      <c r="J641">
        <v>1422.22</v>
      </c>
      <c r="K641">
        <v>0</v>
      </c>
      <c r="L641">
        <v>0</v>
      </c>
      <c r="M641">
        <v>1422.22</v>
      </c>
      <c r="N641">
        <v>2.17</v>
      </c>
      <c r="O641">
        <v>64077.78</v>
      </c>
      <c r="P641">
        <v>0</v>
      </c>
      <c r="Q641" t="str">
        <f>INDEX('Partner data'!A:DH,MATCH(C641,'Partner data'!DG:DG,0),83)</f>
        <v>Soggetto pubblico</v>
      </c>
      <c r="R641" t="str">
        <f>IF(E641="staff",IF(INDEX('Partner data'!A:DH,MATCH(C641,'Partner data'!DG:DG,0),112)="BL1 non presente","FALSO",INDEX('Partner data'!A:DH,MATCH(C641,'Partner data'!DG:DG,0),112)))</f>
        <v>COSTO REALE</v>
      </c>
      <c r="S641" t="b">
        <f t="shared" si="18"/>
        <v>1</v>
      </c>
      <c r="T641" t="b">
        <f t="shared" si="19"/>
        <v>1</v>
      </c>
      <c r="U641" s="154">
        <f>IFERROR(IF(R641&lt;&gt;FALSE,IF(S641=TRUE,INDEX('SummaryNOT_VALIDATED-BL'!$A$1:$F$16,MATCH(R641,'SummaryNOT_VALIDATED-BL'!$A$1:$A$16,0),6),0),IF(S641=TRUE,INDEX('SummaryNOT_VALIDATED-BL'!$A$1:$F$16,MATCH(E641,'SummaryNOT_VALIDATED-BL'!$A$1:$A$16,0),6),0)),0)</f>
        <v>9.1604133276901048E-2</v>
      </c>
      <c r="V641" s="81" cm="1">
        <f t="array" ref="V641">INDEX('Weight tables'!$A$24:$C$27,MATCH(1,(RendicontiTrasmessiBL__2[[#This Row],[Cut percentage on real costs + USC]]&gt;='Weight tables'!$B$24:$B$27)*(RendicontiTrasmessiBL__2[[#This Row],[Cut percentage on real costs + USC]]&lt;='Weight tables'!$C$24:$C$27),0),1)</f>
        <v>4</v>
      </c>
      <c r="W641" s="2">
        <f>RendicontiTrasmessiBL__2[[#This Row],[Weight real costs  + USC ]]</f>
        <v>4</v>
      </c>
    </row>
    <row r="642" spans="1:23" x14ac:dyDescent="0.25">
      <c r="A642" s="1" t="s">
        <v>61</v>
      </c>
      <c r="B642" s="1" t="s">
        <v>295</v>
      </c>
      <c r="C642" s="2">
        <v>91</v>
      </c>
      <c r="D642" s="2">
        <v>287</v>
      </c>
      <c r="E642" s="1" t="s">
        <v>229</v>
      </c>
      <c r="G642">
        <v>0</v>
      </c>
      <c r="H642">
        <v>0</v>
      </c>
      <c r="I642">
        <v>0</v>
      </c>
      <c r="J642">
        <v>0</v>
      </c>
      <c r="K642">
        <v>0</v>
      </c>
      <c r="L642">
        <v>0</v>
      </c>
      <c r="M642">
        <v>0</v>
      </c>
      <c r="N642">
        <v>0</v>
      </c>
      <c r="O642">
        <v>0</v>
      </c>
      <c r="P642">
        <v>0</v>
      </c>
      <c r="Q642" t="str">
        <f>INDEX('Partner data'!A:DH,MATCH(C642,'Partner data'!DG:DG,0),83)</f>
        <v>Soggetto pubblico</v>
      </c>
      <c r="R642" t="b">
        <f>IF(E642="staff",IF(INDEX('Partner data'!A:DH,MATCH(C642,'Partner data'!DG:DG,0),112)="BL1 non presente","FALSO",INDEX('Partner data'!A:DH,MATCH(C642,'Partner data'!DG:DG,0),112)))</f>
        <v>0</v>
      </c>
      <c r="S642" t="b">
        <f t="shared" ref="S642:S705" si="20">IF(J642&lt;&gt;0,TRUE,FALSE)</f>
        <v>0</v>
      </c>
      <c r="T642" t="b">
        <f t="shared" ref="T642:T705" si="21">OR(Q642="Soggetto pubblico",Q642="Organismo di diritto pubblico ")</f>
        <v>1</v>
      </c>
      <c r="U642" s="154">
        <f>IFERROR(IF(R642&lt;&gt;FALSE,IF(S642=TRUE,INDEX('SummaryNOT_VALIDATED-BL'!$A$1:$F$16,MATCH(R642,'SummaryNOT_VALIDATED-BL'!$A$1:$A$16,0),6),0),IF(S642=TRUE,INDEX('SummaryNOT_VALIDATED-BL'!$A$1:$F$16,MATCH(E642,'SummaryNOT_VALIDATED-BL'!$A$1:$A$16,0),6),0)),0)</f>
        <v>0</v>
      </c>
      <c r="V642" s="81" cm="1">
        <f t="array" ref="V642">INDEX('Weight tables'!$A$24:$C$27,MATCH(1,(RendicontiTrasmessiBL__2[[#This Row],[Cut percentage on real costs + USC]]&gt;='Weight tables'!$B$24:$B$27)*(RendicontiTrasmessiBL__2[[#This Row],[Cut percentage on real costs + USC]]&lt;='Weight tables'!$C$24:$C$27),0),1)</f>
        <v>0</v>
      </c>
      <c r="W642" s="2">
        <f>RendicontiTrasmessiBL__2[[#This Row],[Weight real costs  + USC ]]</f>
        <v>0</v>
      </c>
    </row>
    <row r="643" spans="1:23" x14ac:dyDescent="0.25">
      <c r="A643" s="1" t="s">
        <v>61</v>
      </c>
      <c r="B643" s="1" t="s">
        <v>295</v>
      </c>
      <c r="C643" s="2">
        <v>91</v>
      </c>
      <c r="D643" s="2">
        <v>287</v>
      </c>
      <c r="E643" s="1" t="s">
        <v>230</v>
      </c>
      <c r="G643">
        <v>0</v>
      </c>
      <c r="H643">
        <v>0</v>
      </c>
      <c r="I643">
        <v>0</v>
      </c>
      <c r="J643">
        <v>0</v>
      </c>
      <c r="K643">
        <v>0</v>
      </c>
      <c r="L643">
        <v>0</v>
      </c>
      <c r="M643">
        <v>0</v>
      </c>
      <c r="N643">
        <v>0</v>
      </c>
      <c r="O643">
        <v>0</v>
      </c>
      <c r="P643">
        <v>0</v>
      </c>
      <c r="Q643" t="str">
        <f>INDEX('Partner data'!A:DH,MATCH(C643,'Partner data'!DG:DG,0),83)</f>
        <v>Soggetto pubblico</v>
      </c>
      <c r="R643" t="b">
        <f>IF(E643="staff",IF(INDEX('Partner data'!A:DH,MATCH(C643,'Partner data'!DG:DG,0),112)="BL1 non presente","FALSO",INDEX('Partner data'!A:DH,MATCH(C643,'Partner data'!DG:DG,0),112)))</f>
        <v>0</v>
      </c>
      <c r="S643" t="b">
        <f t="shared" si="20"/>
        <v>0</v>
      </c>
      <c r="T643" t="b">
        <f t="shared" si="21"/>
        <v>1</v>
      </c>
      <c r="U643" s="154">
        <f>IFERROR(IF(R643&lt;&gt;FALSE,IF(S643=TRUE,INDEX('SummaryNOT_VALIDATED-BL'!$A$1:$F$16,MATCH(R643,'SummaryNOT_VALIDATED-BL'!$A$1:$A$16,0),6),0),IF(S643=TRUE,INDEX('SummaryNOT_VALIDATED-BL'!$A$1:$F$16,MATCH(E643,'SummaryNOT_VALIDATED-BL'!$A$1:$A$16,0),6),0)),0)</f>
        <v>0</v>
      </c>
      <c r="V643" s="81" cm="1">
        <f t="array" ref="V643">INDEX('Weight tables'!$A$24:$C$27,MATCH(1,(RendicontiTrasmessiBL__2[[#This Row],[Cut percentage on real costs + USC]]&gt;='Weight tables'!$B$24:$B$27)*(RendicontiTrasmessiBL__2[[#This Row],[Cut percentage on real costs + USC]]&lt;='Weight tables'!$C$24:$C$27),0),1)</f>
        <v>0</v>
      </c>
      <c r="W643" s="2">
        <f>RendicontiTrasmessiBL__2[[#This Row],[Weight real costs  + USC ]]</f>
        <v>0</v>
      </c>
    </row>
    <row r="644" spans="1:23" x14ac:dyDescent="0.25">
      <c r="A644" s="1" t="s">
        <v>61</v>
      </c>
      <c r="B644" s="1" t="s">
        <v>295</v>
      </c>
      <c r="C644" s="2">
        <v>91</v>
      </c>
      <c r="D644" s="2">
        <v>287</v>
      </c>
      <c r="E644" s="1" t="s">
        <v>231</v>
      </c>
      <c r="G644">
        <v>0</v>
      </c>
      <c r="H644">
        <v>0</v>
      </c>
      <c r="I644">
        <v>0</v>
      </c>
      <c r="J644">
        <v>0</v>
      </c>
      <c r="K644">
        <v>0</v>
      </c>
      <c r="L644">
        <v>0</v>
      </c>
      <c r="M644">
        <v>0</v>
      </c>
      <c r="N644">
        <v>0</v>
      </c>
      <c r="O644">
        <v>0</v>
      </c>
      <c r="P644">
        <v>0</v>
      </c>
      <c r="Q644" t="str">
        <f>INDEX('Partner data'!A:DH,MATCH(C644,'Partner data'!DG:DG,0),83)</f>
        <v>Soggetto pubblico</v>
      </c>
      <c r="R644" t="b">
        <f>IF(E644="staff",IF(INDEX('Partner data'!A:DH,MATCH(C644,'Partner data'!DG:DG,0),112)="BL1 non presente","FALSO",INDEX('Partner data'!A:DH,MATCH(C644,'Partner data'!DG:DG,0),112)))</f>
        <v>0</v>
      </c>
      <c r="S644" t="b">
        <f t="shared" si="20"/>
        <v>0</v>
      </c>
      <c r="T644" t="b">
        <f t="shared" si="21"/>
        <v>1</v>
      </c>
      <c r="U644" s="154">
        <f>IFERROR(IF(R644&lt;&gt;FALSE,IF(S644=TRUE,INDEX('SummaryNOT_VALIDATED-BL'!$A$1:$F$16,MATCH(R644,'SummaryNOT_VALIDATED-BL'!$A$1:$A$16,0),6),0),IF(S644=TRUE,INDEX('SummaryNOT_VALIDATED-BL'!$A$1:$F$16,MATCH(E644,'SummaryNOT_VALIDATED-BL'!$A$1:$A$16,0),6),0)),0)</f>
        <v>0</v>
      </c>
      <c r="V644" s="81" cm="1">
        <f t="array" ref="V644">INDEX('Weight tables'!$A$24:$C$27,MATCH(1,(RendicontiTrasmessiBL__2[[#This Row],[Cut percentage on real costs + USC]]&gt;='Weight tables'!$B$24:$B$27)*(RendicontiTrasmessiBL__2[[#This Row],[Cut percentage on real costs + USC]]&lt;='Weight tables'!$C$24:$C$27),0),1)</f>
        <v>0</v>
      </c>
      <c r="W644" s="2">
        <f>RendicontiTrasmessiBL__2[[#This Row],[Weight real costs  + USC ]]</f>
        <v>0</v>
      </c>
    </row>
    <row r="645" spans="1:23" x14ac:dyDescent="0.25">
      <c r="A645" s="1" t="s">
        <v>61</v>
      </c>
      <c r="B645" s="1" t="s">
        <v>295</v>
      </c>
      <c r="C645" s="2">
        <v>91</v>
      </c>
      <c r="D645" s="2">
        <v>287</v>
      </c>
      <c r="E645" s="1" t="s">
        <v>232</v>
      </c>
      <c r="G645">
        <v>0</v>
      </c>
      <c r="H645">
        <v>0</v>
      </c>
      <c r="I645">
        <v>0</v>
      </c>
      <c r="J645">
        <v>0</v>
      </c>
      <c r="K645">
        <v>0</v>
      </c>
      <c r="L645">
        <v>0</v>
      </c>
      <c r="M645">
        <v>0</v>
      </c>
      <c r="N645">
        <v>0</v>
      </c>
      <c r="O645">
        <v>0</v>
      </c>
      <c r="P645">
        <v>0</v>
      </c>
      <c r="Q645" t="str">
        <f>INDEX('Partner data'!A:DH,MATCH(C645,'Partner data'!DG:DG,0),83)</f>
        <v>Soggetto pubblico</v>
      </c>
      <c r="R645" t="b">
        <f>IF(E645="staff",IF(INDEX('Partner data'!A:DH,MATCH(C645,'Partner data'!DG:DG,0),112)="BL1 non presente","FALSO",INDEX('Partner data'!A:DH,MATCH(C645,'Partner data'!DG:DG,0),112)))</f>
        <v>0</v>
      </c>
      <c r="S645" t="b">
        <f t="shared" si="20"/>
        <v>0</v>
      </c>
      <c r="T645" t="b">
        <f t="shared" si="21"/>
        <v>1</v>
      </c>
      <c r="U645" s="154">
        <f>IFERROR(IF(R645&lt;&gt;FALSE,IF(S645=TRUE,INDEX('SummaryNOT_VALIDATED-BL'!$A$1:$F$16,MATCH(R645,'SummaryNOT_VALIDATED-BL'!$A$1:$A$16,0),6),0),IF(S645=TRUE,INDEX('SummaryNOT_VALIDATED-BL'!$A$1:$F$16,MATCH(E645,'SummaryNOT_VALIDATED-BL'!$A$1:$A$16,0),6),0)),0)</f>
        <v>0</v>
      </c>
      <c r="V645" s="81" cm="1">
        <f t="array" ref="V645">INDEX('Weight tables'!$A$24:$C$27,MATCH(1,(RendicontiTrasmessiBL__2[[#This Row],[Cut percentage on real costs + USC]]&gt;='Weight tables'!$B$24:$B$27)*(RendicontiTrasmessiBL__2[[#This Row],[Cut percentage on real costs + USC]]&lt;='Weight tables'!$C$24:$C$27),0),1)</f>
        <v>0</v>
      </c>
      <c r="W645" s="2">
        <f>RendicontiTrasmessiBL__2[[#This Row],[Weight real costs  + USC ]]</f>
        <v>0</v>
      </c>
    </row>
    <row r="646" spans="1:23" x14ac:dyDescent="0.25">
      <c r="A646" s="1" t="s">
        <v>61</v>
      </c>
      <c r="B646" s="1" t="s">
        <v>295</v>
      </c>
      <c r="C646" s="2">
        <v>91</v>
      </c>
      <c r="D646" s="2">
        <v>287</v>
      </c>
      <c r="E646" s="1" t="s">
        <v>233</v>
      </c>
      <c r="G646">
        <v>0</v>
      </c>
      <c r="H646">
        <v>0</v>
      </c>
      <c r="I646">
        <v>0</v>
      </c>
      <c r="J646">
        <v>0</v>
      </c>
      <c r="K646">
        <v>0</v>
      </c>
      <c r="L646">
        <v>0</v>
      </c>
      <c r="M646">
        <v>0</v>
      </c>
      <c r="N646">
        <v>0</v>
      </c>
      <c r="O646">
        <v>0</v>
      </c>
      <c r="P646">
        <v>0</v>
      </c>
      <c r="Q646" t="str">
        <f>INDEX('Partner data'!A:DH,MATCH(C646,'Partner data'!DG:DG,0),83)</f>
        <v>Soggetto pubblico</v>
      </c>
      <c r="R646" t="b">
        <f>IF(E646="staff",IF(INDEX('Partner data'!A:DH,MATCH(C646,'Partner data'!DG:DG,0),112)="BL1 non presente","FALSO",INDEX('Partner data'!A:DH,MATCH(C646,'Partner data'!DG:DG,0),112)))</f>
        <v>0</v>
      </c>
      <c r="S646" t="b">
        <f t="shared" si="20"/>
        <v>0</v>
      </c>
      <c r="T646" t="b">
        <f t="shared" si="21"/>
        <v>1</v>
      </c>
      <c r="U646" s="154">
        <f>IFERROR(IF(R646&lt;&gt;FALSE,IF(S646=TRUE,INDEX('SummaryNOT_VALIDATED-BL'!$A$1:$F$16,MATCH(R646,'SummaryNOT_VALIDATED-BL'!$A$1:$A$16,0),6),0),IF(S646=TRUE,INDEX('SummaryNOT_VALIDATED-BL'!$A$1:$F$16,MATCH(E646,'SummaryNOT_VALIDATED-BL'!$A$1:$A$16,0),6),0)),0)</f>
        <v>0</v>
      </c>
      <c r="V646" s="81" cm="1">
        <f t="array" ref="V646">INDEX('Weight tables'!$A$24:$C$27,MATCH(1,(RendicontiTrasmessiBL__2[[#This Row],[Cut percentage on real costs + USC]]&gt;='Weight tables'!$B$24:$B$27)*(RendicontiTrasmessiBL__2[[#This Row],[Cut percentage on real costs + USC]]&lt;='Weight tables'!$C$24:$C$27),0),1)</f>
        <v>0</v>
      </c>
      <c r="W646" s="2">
        <f>RendicontiTrasmessiBL__2[[#This Row],[Weight real costs  + USC ]]</f>
        <v>0</v>
      </c>
    </row>
    <row r="647" spans="1:23" x14ac:dyDescent="0.25">
      <c r="A647" s="1" t="s">
        <v>61</v>
      </c>
      <c r="B647" s="1" t="s">
        <v>295</v>
      </c>
      <c r="C647" s="2">
        <v>91</v>
      </c>
      <c r="D647" s="2">
        <v>287</v>
      </c>
      <c r="E647" s="1" t="s">
        <v>234</v>
      </c>
      <c r="F647">
        <v>40</v>
      </c>
      <c r="G647">
        <v>26200</v>
      </c>
      <c r="H647">
        <v>0</v>
      </c>
      <c r="I647">
        <v>0</v>
      </c>
      <c r="J647">
        <v>568.88</v>
      </c>
      <c r="K647">
        <v>0</v>
      </c>
      <c r="L647">
        <v>0</v>
      </c>
      <c r="M647">
        <v>568.88</v>
      </c>
      <c r="N647">
        <v>2.17</v>
      </c>
      <c r="O647">
        <v>25631.119999999999</v>
      </c>
      <c r="P647">
        <v>0</v>
      </c>
      <c r="Q647" t="str">
        <f>INDEX('Partner data'!A:DH,MATCH(C647,'Partner data'!DG:DG,0),83)</f>
        <v>Soggetto pubblico</v>
      </c>
      <c r="R647" t="b">
        <f>IF(E647="staff",IF(INDEX('Partner data'!A:DH,MATCH(C647,'Partner data'!DG:DG,0),112)="BL1 non presente","FALSO",INDEX('Partner data'!A:DH,MATCH(C647,'Partner data'!DG:DG,0),112)))</f>
        <v>0</v>
      </c>
      <c r="S647" t="b">
        <f t="shared" si="20"/>
        <v>1</v>
      </c>
      <c r="T647" t="b">
        <f t="shared" si="21"/>
        <v>1</v>
      </c>
      <c r="U647" s="154">
        <f>IFERROR(IF(R647&lt;&gt;FALSE,IF(S647=TRUE,INDEX('SummaryNOT_VALIDATED-BL'!$A$1:$F$16,MATCH(R647,'SummaryNOT_VALIDATED-BL'!$A$1:$A$16,0),6),0),IF(S647=TRUE,INDEX('SummaryNOT_VALIDATED-BL'!$A$1:$F$16,MATCH(E647,'SummaryNOT_VALIDATED-BL'!$A$1:$A$16,0),6),0)),0)</f>
        <v>8.7645339819521315E-2</v>
      </c>
      <c r="V647" s="81" cm="1">
        <f t="array" ref="V647">INDEX('Weight tables'!$A$24:$C$27,MATCH(1,(RendicontiTrasmessiBL__2[[#This Row],[Cut percentage on real costs + USC]]&gt;='Weight tables'!$B$24:$B$27)*(RendicontiTrasmessiBL__2[[#This Row],[Cut percentage on real costs + USC]]&lt;='Weight tables'!$C$24:$C$27),0),1)</f>
        <v>4</v>
      </c>
      <c r="W647" s="2">
        <f>RendicontiTrasmessiBL__2[[#This Row],[Weight real costs  + USC ]]</f>
        <v>4</v>
      </c>
    </row>
    <row r="648" spans="1:23" x14ac:dyDescent="0.25">
      <c r="A648" s="1" t="s">
        <v>61</v>
      </c>
      <c r="B648" s="1" t="s">
        <v>295</v>
      </c>
      <c r="C648" s="2">
        <v>91</v>
      </c>
      <c r="D648" s="2">
        <v>287</v>
      </c>
      <c r="E648" s="1" t="s">
        <v>236</v>
      </c>
      <c r="G648">
        <v>0</v>
      </c>
      <c r="H648">
        <v>0</v>
      </c>
      <c r="I648">
        <v>0</v>
      </c>
      <c r="J648">
        <v>0</v>
      </c>
      <c r="K648">
        <v>0</v>
      </c>
      <c r="L648">
        <v>0</v>
      </c>
      <c r="M648">
        <v>0</v>
      </c>
      <c r="N648">
        <v>0</v>
      </c>
      <c r="O648">
        <v>0</v>
      </c>
      <c r="P648">
        <v>0</v>
      </c>
      <c r="Q648" t="str">
        <f>INDEX('Partner data'!A:DH,MATCH(C648,'Partner data'!DG:DG,0),83)</f>
        <v>Soggetto pubblico</v>
      </c>
      <c r="R648" t="b">
        <f>IF(E648="staff",IF(INDEX('Partner data'!A:DH,MATCH(C648,'Partner data'!DG:DG,0),112)="BL1 non presente","FALSO",INDEX('Partner data'!A:DH,MATCH(C648,'Partner data'!DG:DG,0),112)))</f>
        <v>0</v>
      </c>
      <c r="S648" t="b">
        <f t="shared" si="20"/>
        <v>0</v>
      </c>
      <c r="T648" t="b">
        <f t="shared" si="21"/>
        <v>1</v>
      </c>
      <c r="U648" s="154">
        <f>IFERROR(IF(R648&lt;&gt;FALSE,IF(S648=TRUE,INDEX('SummaryNOT_VALIDATED-BL'!$A$1:$F$16,MATCH(R648,'SummaryNOT_VALIDATED-BL'!$A$1:$A$16,0),6),0),IF(S648=TRUE,INDEX('SummaryNOT_VALIDATED-BL'!$A$1:$F$16,MATCH(E648,'SummaryNOT_VALIDATED-BL'!$A$1:$A$16,0),6),0)),0)</f>
        <v>0</v>
      </c>
      <c r="V648" s="81" cm="1">
        <f t="array" ref="V648">INDEX('Weight tables'!$A$24:$C$27,MATCH(1,(RendicontiTrasmessiBL__2[[#This Row],[Cut percentage on real costs + USC]]&gt;='Weight tables'!$B$24:$B$27)*(RendicontiTrasmessiBL__2[[#This Row],[Cut percentage on real costs + USC]]&lt;='Weight tables'!$C$24:$C$27),0),1)</f>
        <v>0</v>
      </c>
      <c r="W648" s="2">
        <f>RendicontiTrasmessiBL__2[[#This Row],[Weight real costs  + USC ]]</f>
        <v>0</v>
      </c>
    </row>
    <row r="649" spans="1:23" x14ac:dyDescent="0.25">
      <c r="A649" s="1" t="s">
        <v>61</v>
      </c>
      <c r="B649" s="1" t="s">
        <v>295</v>
      </c>
      <c r="C649" s="2">
        <v>91</v>
      </c>
      <c r="D649" s="2">
        <v>287</v>
      </c>
      <c r="E649" s="1" t="s">
        <v>237</v>
      </c>
      <c r="G649">
        <v>0</v>
      </c>
      <c r="H649">
        <v>0</v>
      </c>
      <c r="I649">
        <v>0</v>
      </c>
      <c r="J649">
        <v>0</v>
      </c>
      <c r="K649">
        <v>0</v>
      </c>
      <c r="L649">
        <v>0</v>
      </c>
      <c r="M649">
        <v>0</v>
      </c>
      <c r="N649">
        <v>0</v>
      </c>
      <c r="O649">
        <v>0</v>
      </c>
      <c r="P649">
        <v>0</v>
      </c>
      <c r="Q649" t="str">
        <f>INDEX('Partner data'!A:DH,MATCH(C649,'Partner data'!DG:DG,0),83)</f>
        <v>Soggetto pubblico</v>
      </c>
      <c r="R649" t="b">
        <f>IF(E649="staff",IF(INDEX('Partner data'!A:DH,MATCH(C649,'Partner data'!DG:DG,0),112)="BL1 non presente","FALSO",INDEX('Partner data'!A:DH,MATCH(C649,'Partner data'!DG:DG,0),112)))</f>
        <v>0</v>
      </c>
      <c r="S649" t="b">
        <f t="shared" si="20"/>
        <v>0</v>
      </c>
      <c r="T649" t="b">
        <f t="shared" si="21"/>
        <v>1</v>
      </c>
      <c r="U649" s="154">
        <f>IFERROR(IF(R649&lt;&gt;FALSE,IF(S649=TRUE,INDEX('SummaryNOT_VALIDATED-BL'!$A$1:$F$16,MATCH(R649,'SummaryNOT_VALIDATED-BL'!$A$1:$A$16,0),6),0),IF(S649=TRUE,INDEX('SummaryNOT_VALIDATED-BL'!$A$1:$F$16,MATCH(E649,'SummaryNOT_VALIDATED-BL'!$A$1:$A$16,0),6),0)),0)</f>
        <v>0</v>
      </c>
      <c r="V649" s="81" cm="1">
        <f t="array" ref="V649">INDEX('Weight tables'!$A$24:$C$27,MATCH(1,(RendicontiTrasmessiBL__2[[#This Row],[Cut percentage on real costs + USC]]&gt;='Weight tables'!$B$24:$B$27)*(RendicontiTrasmessiBL__2[[#This Row],[Cut percentage on real costs + USC]]&lt;='Weight tables'!$C$24:$C$27),0),1)</f>
        <v>0</v>
      </c>
      <c r="W649" s="2">
        <f>RendicontiTrasmessiBL__2[[#This Row],[Weight real costs  + USC ]]</f>
        <v>0</v>
      </c>
    </row>
    <row r="650" spans="1:23" x14ac:dyDescent="0.25">
      <c r="A650" s="1" t="s">
        <v>61</v>
      </c>
      <c r="B650" s="1" t="s">
        <v>286</v>
      </c>
      <c r="C650" s="2">
        <v>111</v>
      </c>
      <c r="D650" s="2">
        <v>160</v>
      </c>
      <c r="E650" s="1" t="s">
        <v>228</v>
      </c>
      <c r="G650">
        <v>65030</v>
      </c>
      <c r="H650">
        <v>0</v>
      </c>
      <c r="I650">
        <v>0</v>
      </c>
      <c r="J650">
        <v>4731</v>
      </c>
      <c r="K650">
        <v>0</v>
      </c>
      <c r="L650">
        <v>4731</v>
      </c>
      <c r="M650">
        <v>4731</v>
      </c>
      <c r="N650">
        <v>7.28</v>
      </c>
      <c r="O650">
        <v>60299</v>
      </c>
      <c r="P650">
        <v>0</v>
      </c>
      <c r="Q650" t="str">
        <f>INDEX('Partner data'!A:DH,MATCH(C650,'Partner data'!DG:DG,0),83)</f>
        <v>Soggetto pubblico</v>
      </c>
      <c r="R650" t="str">
        <f>IF(E650="staff",IF(INDEX('Partner data'!A:DH,MATCH(C650,'Partner data'!DG:DG,0),112)="BL1 non presente","FALSO",INDEX('Partner data'!A:DH,MATCH(C650,'Partner data'!DG:DG,0),112)))</f>
        <v>Costo Unitario Standard</v>
      </c>
      <c r="S650" t="b">
        <f t="shared" si="20"/>
        <v>1</v>
      </c>
      <c r="T650" t="b">
        <f t="shared" si="21"/>
        <v>1</v>
      </c>
      <c r="U650" s="154">
        <f>IFERROR(IF(R650&lt;&gt;FALSE,IF(S650=TRUE,INDEX('SummaryNOT_VALIDATED-BL'!$A$1:$F$16,MATCH(R650,'SummaryNOT_VALIDATED-BL'!$A$1:$A$16,0),6),0),IF(S650=TRUE,INDEX('SummaryNOT_VALIDATED-BL'!$A$1:$F$16,MATCH(E650,'SummaryNOT_VALIDATED-BL'!$A$1:$A$16,0),6),0)),0)</f>
        <v>3.2052879635441428E-2</v>
      </c>
      <c r="V650" s="81" cm="1">
        <f t="array" ref="V650">INDEX('Weight tables'!$A$24:$C$27,MATCH(1,(RendicontiTrasmessiBL__2[[#This Row],[Cut percentage on real costs + USC]]&gt;='Weight tables'!$B$24:$B$27)*(RendicontiTrasmessiBL__2[[#This Row],[Cut percentage on real costs + USC]]&lt;='Weight tables'!$C$24:$C$27),0),1)</f>
        <v>2</v>
      </c>
      <c r="W650" s="2">
        <f>RendicontiTrasmessiBL__2[[#This Row],[Weight real costs  + USC ]]</f>
        <v>2</v>
      </c>
    </row>
    <row r="651" spans="1:23" x14ac:dyDescent="0.25">
      <c r="A651" s="1" t="s">
        <v>61</v>
      </c>
      <c r="B651" s="1" t="s">
        <v>286</v>
      </c>
      <c r="C651" s="2">
        <v>111</v>
      </c>
      <c r="D651" s="2">
        <v>160</v>
      </c>
      <c r="E651" s="1" t="s">
        <v>229</v>
      </c>
      <c r="G651">
        <v>0</v>
      </c>
      <c r="H651">
        <v>0</v>
      </c>
      <c r="I651">
        <v>0</v>
      </c>
      <c r="J651">
        <v>0</v>
      </c>
      <c r="K651">
        <v>0</v>
      </c>
      <c r="L651">
        <v>0</v>
      </c>
      <c r="M651">
        <v>0</v>
      </c>
      <c r="N651">
        <v>0</v>
      </c>
      <c r="O651">
        <v>0</v>
      </c>
      <c r="P651">
        <v>0</v>
      </c>
      <c r="Q651" t="str">
        <f>INDEX('Partner data'!A:DH,MATCH(C651,'Partner data'!DG:DG,0),83)</f>
        <v>Soggetto pubblico</v>
      </c>
      <c r="R651" t="b">
        <f>IF(E651="staff",IF(INDEX('Partner data'!A:DH,MATCH(C651,'Partner data'!DG:DG,0),112)="BL1 non presente","FALSO",INDEX('Partner data'!A:DH,MATCH(C651,'Partner data'!DG:DG,0),112)))</f>
        <v>0</v>
      </c>
      <c r="S651" t="b">
        <f t="shared" si="20"/>
        <v>0</v>
      </c>
      <c r="T651" t="b">
        <f t="shared" si="21"/>
        <v>1</v>
      </c>
      <c r="U651" s="154">
        <f>IFERROR(IF(R651&lt;&gt;FALSE,IF(S651=TRUE,INDEX('SummaryNOT_VALIDATED-BL'!$A$1:$F$16,MATCH(R651,'SummaryNOT_VALIDATED-BL'!$A$1:$A$16,0),6),0),IF(S651=TRUE,INDEX('SummaryNOT_VALIDATED-BL'!$A$1:$F$16,MATCH(E651,'SummaryNOT_VALIDATED-BL'!$A$1:$A$16,0),6),0)),0)</f>
        <v>0</v>
      </c>
      <c r="V651" s="81" cm="1">
        <f t="array" ref="V651">INDEX('Weight tables'!$A$24:$C$27,MATCH(1,(RendicontiTrasmessiBL__2[[#This Row],[Cut percentage on real costs + USC]]&gt;='Weight tables'!$B$24:$B$27)*(RendicontiTrasmessiBL__2[[#This Row],[Cut percentage on real costs + USC]]&lt;='Weight tables'!$C$24:$C$27),0),1)</f>
        <v>0</v>
      </c>
      <c r="W651" s="2">
        <f>RendicontiTrasmessiBL__2[[#This Row],[Weight real costs  + USC ]]</f>
        <v>0</v>
      </c>
    </row>
    <row r="652" spans="1:23" x14ac:dyDescent="0.25">
      <c r="A652" s="1" t="s">
        <v>61</v>
      </c>
      <c r="B652" s="1" t="s">
        <v>286</v>
      </c>
      <c r="C652" s="2">
        <v>111</v>
      </c>
      <c r="D652" s="2">
        <v>160</v>
      </c>
      <c r="E652" s="1" t="s">
        <v>230</v>
      </c>
      <c r="G652">
        <v>0</v>
      </c>
      <c r="H652">
        <v>0</v>
      </c>
      <c r="I652">
        <v>0</v>
      </c>
      <c r="J652">
        <v>0</v>
      </c>
      <c r="K652">
        <v>0</v>
      </c>
      <c r="L652">
        <v>0</v>
      </c>
      <c r="M652">
        <v>0</v>
      </c>
      <c r="N652">
        <v>0</v>
      </c>
      <c r="O652">
        <v>0</v>
      </c>
      <c r="P652">
        <v>0</v>
      </c>
      <c r="Q652" t="str">
        <f>INDEX('Partner data'!A:DH,MATCH(C652,'Partner data'!DG:DG,0),83)</f>
        <v>Soggetto pubblico</v>
      </c>
      <c r="R652" t="b">
        <f>IF(E652="staff",IF(INDEX('Partner data'!A:DH,MATCH(C652,'Partner data'!DG:DG,0),112)="BL1 non presente","FALSO",INDEX('Partner data'!A:DH,MATCH(C652,'Partner data'!DG:DG,0),112)))</f>
        <v>0</v>
      </c>
      <c r="S652" t="b">
        <f t="shared" si="20"/>
        <v>0</v>
      </c>
      <c r="T652" t="b">
        <f t="shared" si="21"/>
        <v>1</v>
      </c>
      <c r="U652" s="154">
        <f>IFERROR(IF(R652&lt;&gt;FALSE,IF(S652=TRUE,INDEX('SummaryNOT_VALIDATED-BL'!$A$1:$F$16,MATCH(R652,'SummaryNOT_VALIDATED-BL'!$A$1:$A$16,0),6),0),IF(S652=TRUE,INDEX('SummaryNOT_VALIDATED-BL'!$A$1:$F$16,MATCH(E652,'SummaryNOT_VALIDATED-BL'!$A$1:$A$16,0),6),0)),0)</f>
        <v>0</v>
      </c>
      <c r="V652" s="81" cm="1">
        <f t="array" ref="V652">INDEX('Weight tables'!$A$24:$C$27,MATCH(1,(RendicontiTrasmessiBL__2[[#This Row],[Cut percentage on real costs + USC]]&gt;='Weight tables'!$B$24:$B$27)*(RendicontiTrasmessiBL__2[[#This Row],[Cut percentage on real costs + USC]]&lt;='Weight tables'!$C$24:$C$27),0),1)</f>
        <v>0</v>
      </c>
      <c r="W652" s="2">
        <f>RendicontiTrasmessiBL__2[[#This Row],[Weight real costs  + USC ]]</f>
        <v>0</v>
      </c>
    </row>
    <row r="653" spans="1:23" x14ac:dyDescent="0.25">
      <c r="A653" s="1" t="s">
        <v>61</v>
      </c>
      <c r="B653" s="1" t="s">
        <v>286</v>
      </c>
      <c r="C653" s="2">
        <v>111</v>
      </c>
      <c r="D653" s="2">
        <v>160</v>
      </c>
      <c r="E653" s="1" t="s">
        <v>231</v>
      </c>
      <c r="G653">
        <v>0</v>
      </c>
      <c r="H653">
        <v>0</v>
      </c>
      <c r="I653">
        <v>0</v>
      </c>
      <c r="J653">
        <v>0</v>
      </c>
      <c r="K653">
        <v>0</v>
      </c>
      <c r="L653">
        <v>0</v>
      </c>
      <c r="M653">
        <v>0</v>
      </c>
      <c r="N653">
        <v>0</v>
      </c>
      <c r="O653">
        <v>0</v>
      </c>
      <c r="P653">
        <v>0</v>
      </c>
      <c r="Q653" t="str">
        <f>INDEX('Partner data'!A:DH,MATCH(C653,'Partner data'!DG:DG,0),83)</f>
        <v>Soggetto pubblico</v>
      </c>
      <c r="R653" t="b">
        <f>IF(E653="staff",IF(INDEX('Partner data'!A:DH,MATCH(C653,'Partner data'!DG:DG,0),112)="BL1 non presente","FALSO",INDEX('Partner data'!A:DH,MATCH(C653,'Partner data'!DG:DG,0),112)))</f>
        <v>0</v>
      </c>
      <c r="S653" t="b">
        <f t="shared" si="20"/>
        <v>0</v>
      </c>
      <c r="T653" t="b">
        <f t="shared" si="21"/>
        <v>1</v>
      </c>
      <c r="U653" s="154">
        <f>IFERROR(IF(R653&lt;&gt;FALSE,IF(S653=TRUE,INDEX('SummaryNOT_VALIDATED-BL'!$A$1:$F$16,MATCH(R653,'SummaryNOT_VALIDATED-BL'!$A$1:$A$16,0),6),0),IF(S653=TRUE,INDEX('SummaryNOT_VALIDATED-BL'!$A$1:$F$16,MATCH(E653,'SummaryNOT_VALIDATED-BL'!$A$1:$A$16,0),6),0)),0)</f>
        <v>0</v>
      </c>
      <c r="V653" s="81" cm="1">
        <f t="array" ref="V653">INDEX('Weight tables'!$A$24:$C$27,MATCH(1,(RendicontiTrasmessiBL__2[[#This Row],[Cut percentage on real costs + USC]]&gt;='Weight tables'!$B$24:$B$27)*(RendicontiTrasmessiBL__2[[#This Row],[Cut percentage on real costs + USC]]&lt;='Weight tables'!$C$24:$C$27),0),1)</f>
        <v>0</v>
      </c>
      <c r="W653" s="2">
        <f>RendicontiTrasmessiBL__2[[#This Row],[Weight real costs  + USC ]]</f>
        <v>0</v>
      </c>
    </row>
    <row r="654" spans="1:23" x14ac:dyDescent="0.25">
      <c r="A654" s="1" t="s">
        <v>61</v>
      </c>
      <c r="B654" s="1" t="s">
        <v>286</v>
      </c>
      <c r="C654" s="2">
        <v>111</v>
      </c>
      <c r="D654" s="2">
        <v>160</v>
      </c>
      <c r="E654" s="1" t="s">
        <v>232</v>
      </c>
      <c r="G654">
        <v>0</v>
      </c>
      <c r="H654">
        <v>0</v>
      </c>
      <c r="I654">
        <v>0</v>
      </c>
      <c r="J654">
        <v>0</v>
      </c>
      <c r="K654">
        <v>0</v>
      </c>
      <c r="L654">
        <v>0</v>
      </c>
      <c r="M654">
        <v>0</v>
      </c>
      <c r="N654">
        <v>0</v>
      </c>
      <c r="O654">
        <v>0</v>
      </c>
      <c r="P654">
        <v>0</v>
      </c>
      <c r="Q654" t="str">
        <f>INDEX('Partner data'!A:DH,MATCH(C654,'Partner data'!DG:DG,0),83)</f>
        <v>Soggetto pubblico</v>
      </c>
      <c r="R654" t="b">
        <f>IF(E654="staff",IF(INDEX('Partner data'!A:DH,MATCH(C654,'Partner data'!DG:DG,0),112)="BL1 non presente","FALSO",INDEX('Partner data'!A:DH,MATCH(C654,'Partner data'!DG:DG,0),112)))</f>
        <v>0</v>
      </c>
      <c r="S654" t="b">
        <f t="shared" si="20"/>
        <v>0</v>
      </c>
      <c r="T654" t="b">
        <f t="shared" si="21"/>
        <v>1</v>
      </c>
      <c r="U654" s="154">
        <f>IFERROR(IF(R654&lt;&gt;FALSE,IF(S654=TRUE,INDEX('SummaryNOT_VALIDATED-BL'!$A$1:$F$16,MATCH(R654,'SummaryNOT_VALIDATED-BL'!$A$1:$A$16,0),6),0),IF(S654=TRUE,INDEX('SummaryNOT_VALIDATED-BL'!$A$1:$F$16,MATCH(E654,'SummaryNOT_VALIDATED-BL'!$A$1:$A$16,0),6),0)),0)</f>
        <v>0</v>
      </c>
      <c r="V654" s="81" cm="1">
        <f t="array" ref="V654">INDEX('Weight tables'!$A$24:$C$27,MATCH(1,(RendicontiTrasmessiBL__2[[#This Row],[Cut percentage on real costs + USC]]&gt;='Weight tables'!$B$24:$B$27)*(RendicontiTrasmessiBL__2[[#This Row],[Cut percentage on real costs + USC]]&lt;='Weight tables'!$C$24:$C$27),0),1)</f>
        <v>0</v>
      </c>
      <c r="W654" s="2">
        <f>RendicontiTrasmessiBL__2[[#This Row],[Weight real costs  + USC ]]</f>
        <v>0</v>
      </c>
    </row>
    <row r="655" spans="1:23" x14ac:dyDescent="0.25">
      <c r="A655" s="1" t="s">
        <v>61</v>
      </c>
      <c r="B655" s="1" t="s">
        <v>286</v>
      </c>
      <c r="C655" s="2">
        <v>111</v>
      </c>
      <c r="D655" s="2">
        <v>160</v>
      </c>
      <c r="E655" s="1" t="s">
        <v>233</v>
      </c>
      <c r="G655">
        <v>0</v>
      </c>
      <c r="H655">
        <v>0</v>
      </c>
      <c r="I655">
        <v>0</v>
      </c>
      <c r="J655">
        <v>0</v>
      </c>
      <c r="K655">
        <v>0</v>
      </c>
      <c r="L655">
        <v>0</v>
      </c>
      <c r="M655">
        <v>0</v>
      </c>
      <c r="N655">
        <v>0</v>
      </c>
      <c r="O655">
        <v>0</v>
      </c>
      <c r="P655">
        <v>0</v>
      </c>
      <c r="Q655" t="str">
        <f>INDEX('Partner data'!A:DH,MATCH(C655,'Partner data'!DG:DG,0),83)</f>
        <v>Soggetto pubblico</v>
      </c>
      <c r="R655" t="b">
        <f>IF(E655="staff",IF(INDEX('Partner data'!A:DH,MATCH(C655,'Partner data'!DG:DG,0),112)="BL1 non presente","FALSO",INDEX('Partner data'!A:DH,MATCH(C655,'Partner data'!DG:DG,0),112)))</f>
        <v>0</v>
      </c>
      <c r="S655" t="b">
        <f t="shared" si="20"/>
        <v>0</v>
      </c>
      <c r="T655" t="b">
        <f t="shared" si="21"/>
        <v>1</v>
      </c>
      <c r="U655" s="154">
        <f>IFERROR(IF(R655&lt;&gt;FALSE,IF(S655=TRUE,INDEX('SummaryNOT_VALIDATED-BL'!$A$1:$F$16,MATCH(R655,'SummaryNOT_VALIDATED-BL'!$A$1:$A$16,0),6),0),IF(S655=TRUE,INDEX('SummaryNOT_VALIDATED-BL'!$A$1:$F$16,MATCH(E655,'SummaryNOT_VALIDATED-BL'!$A$1:$A$16,0),6),0)),0)</f>
        <v>0</v>
      </c>
      <c r="V655" s="81" cm="1">
        <f t="array" ref="V655">INDEX('Weight tables'!$A$24:$C$27,MATCH(1,(RendicontiTrasmessiBL__2[[#This Row],[Cut percentage on real costs + USC]]&gt;='Weight tables'!$B$24:$B$27)*(RendicontiTrasmessiBL__2[[#This Row],[Cut percentage on real costs + USC]]&lt;='Weight tables'!$C$24:$C$27),0),1)</f>
        <v>0</v>
      </c>
      <c r="W655" s="2">
        <f>RendicontiTrasmessiBL__2[[#This Row],[Weight real costs  + USC ]]</f>
        <v>0</v>
      </c>
    </row>
    <row r="656" spans="1:23" x14ac:dyDescent="0.25">
      <c r="A656" s="1" t="s">
        <v>61</v>
      </c>
      <c r="B656" s="1" t="s">
        <v>286</v>
      </c>
      <c r="C656" s="2">
        <v>111</v>
      </c>
      <c r="D656" s="2">
        <v>160</v>
      </c>
      <c r="E656" s="1" t="s">
        <v>234</v>
      </c>
      <c r="F656">
        <v>40</v>
      </c>
      <c r="G656">
        <v>26012</v>
      </c>
      <c r="H656">
        <v>0</v>
      </c>
      <c r="I656">
        <v>0</v>
      </c>
      <c r="J656">
        <v>1892.4</v>
      </c>
      <c r="K656">
        <v>0</v>
      </c>
      <c r="L656">
        <v>1892.4</v>
      </c>
      <c r="M656">
        <v>1892.4</v>
      </c>
      <c r="N656">
        <v>7.28</v>
      </c>
      <c r="O656">
        <v>24119.599999999999</v>
      </c>
      <c r="P656">
        <v>0</v>
      </c>
      <c r="Q656" t="str">
        <f>INDEX('Partner data'!A:DH,MATCH(C656,'Partner data'!DG:DG,0),83)</f>
        <v>Soggetto pubblico</v>
      </c>
      <c r="R656" t="b">
        <f>IF(E656="staff",IF(INDEX('Partner data'!A:DH,MATCH(C656,'Partner data'!DG:DG,0),112)="BL1 non presente","FALSO",INDEX('Partner data'!A:DH,MATCH(C656,'Partner data'!DG:DG,0),112)))</f>
        <v>0</v>
      </c>
      <c r="S656" t="b">
        <f t="shared" si="20"/>
        <v>1</v>
      </c>
      <c r="T656" t="b">
        <f t="shared" si="21"/>
        <v>1</v>
      </c>
      <c r="U656" s="154">
        <f>IFERROR(IF(R656&lt;&gt;FALSE,IF(S656=TRUE,INDEX('SummaryNOT_VALIDATED-BL'!$A$1:$F$16,MATCH(R656,'SummaryNOT_VALIDATED-BL'!$A$1:$A$16,0),6),0),IF(S656=TRUE,INDEX('SummaryNOT_VALIDATED-BL'!$A$1:$F$16,MATCH(E656,'SummaryNOT_VALIDATED-BL'!$A$1:$A$16,0),6),0)),0)</f>
        <v>8.7645339819521315E-2</v>
      </c>
      <c r="V656" s="81" cm="1">
        <f t="array" ref="V656">INDEX('Weight tables'!$A$24:$C$27,MATCH(1,(RendicontiTrasmessiBL__2[[#This Row],[Cut percentage on real costs + USC]]&gt;='Weight tables'!$B$24:$B$27)*(RendicontiTrasmessiBL__2[[#This Row],[Cut percentage on real costs + USC]]&lt;='Weight tables'!$C$24:$C$27),0),1)</f>
        <v>4</v>
      </c>
      <c r="W656" s="2">
        <f>RendicontiTrasmessiBL__2[[#This Row],[Weight real costs  + USC ]]</f>
        <v>4</v>
      </c>
    </row>
    <row r="657" spans="1:23" x14ac:dyDescent="0.25">
      <c r="A657" s="1" t="s">
        <v>61</v>
      </c>
      <c r="B657" s="1" t="s">
        <v>286</v>
      </c>
      <c r="C657" s="2">
        <v>111</v>
      </c>
      <c r="D657" s="2">
        <v>160</v>
      </c>
      <c r="E657" s="1" t="s">
        <v>236</v>
      </c>
      <c r="G657">
        <v>0</v>
      </c>
      <c r="H657">
        <v>0</v>
      </c>
      <c r="I657">
        <v>0</v>
      </c>
      <c r="J657">
        <v>0</v>
      </c>
      <c r="K657">
        <v>0</v>
      </c>
      <c r="L657">
        <v>0</v>
      </c>
      <c r="M657">
        <v>0</v>
      </c>
      <c r="N657">
        <v>0</v>
      </c>
      <c r="O657">
        <v>0</v>
      </c>
      <c r="P657">
        <v>0</v>
      </c>
      <c r="Q657" t="str">
        <f>INDEX('Partner data'!A:DH,MATCH(C657,'Partner data'!DG:DG,0),83)</f>
        <v>Soggetto pubblico</v>
      </c>
      <c r="R657" t="b">
        <f>IF(E657="staff",IF(INDEX('Partner data'!A:DH,MATCH(C657,'Partner data'!DG:DG,0),112)="BL1 non presente","FALSO",INDEX('Partner data'!A:DH,MATCH(C657,'Partner data'!DG:DG,0),112)))</f>
        <v>0</v>
      </c>
      <c r="S657" t="b">
        <f t="shared" si="20"/>
        <v>0</v>
      </c>
      <c r="T657" t="b">
        <f t="shared" si="21"/>
        <v>1</v>
      </c>
      <c r="U657" s="154">
        <f>IFERROR(IF(R657&lt;&gt;FALSE,IF(S657=TRUE,INDEX('SummaryNOT_VALIDATED-BL'!$A$1:$F$16,MATCH(R657,'SummaryNOT_VALIDATED-BL'!$A$1:$A$16,0),6),0),IF(S657=TRUE,INDEX('SummaryNOT_VALIDATED-BL'!$A$1:$F$16,MATCH(E657,'SummaryNOT_VALIDATED-BL'!$A$1:$A$16,0),6),0)),0)</f>
        <v>0</v>
      </c>
      <c r="V657" s="81" cm="1">
        <f t="array" ref="V657">INDEX('Weight tables'!$A$24:$C$27,MATCH(1,(RendicontiTrasmessiBL__2[[#This Row],[Cut percentage on real costs + USC]]&gt;='Weight tables'!$B$24:$B$27)*(RendicontiTrasmessiBL__2[[#This Row],[Cut percentage on real costs + USC]]&lt;='Weight tables'!$C$24:$C$27),0),1)</f>
        <v>0</v>
      </c>
      <c r="W657" s="2">
        <f>RendicontiTrasmessiBL__2[[#This Row],[Weight real costs  + USC ]]</f>
        <v>0</v>
      </c>
    </row>
    <row r="658" spans="1:23" x14ac:dyDescent="0.25">
      <c r="A658" s="1" t="s">
        <v>61</v>
      </c>
      <c r="B658" s="1" t="s">
        <v>286</v>
      </c>
      <c r="C658" s="2">
        <v>111</v>
      </c>
      <c r="D658" s="2">
        <v>160</v>
      </c>
      <c r="E658" s="1" t="s">
        <v>237</v>
      </c>
      <c r="G658">
        <v>0</v>
      </c>
      <c r="H658">
        <v>0</v>
      </c>
      <c r="I658">
        <v>0</v>
      </c>
      <c r="J658">
        <v>0</v>
      </c>
      <c r="K658">
        <v>0</v>
      </c>
      <c r="L658">
        <v>0</v>
      </c>
      <c r="M658">
        <v>0</v>
      </c>
      <c r="N658">
        <v>0</v>
      </c>
      <c r="O658">
        <v>0</v>
      </c>
      <c r="P658">
        <v>0</v>
      </c>
      <c r="Q658" t="str">
        <f>INDEX('Partner data'!A:DH,MATCH(C658,'Partner data'!DG:DG,0),83)</f>
        <v>Soggetto pubblico</v>
      </c>
      <c r="R658" t="b">
        <f>IF(E658="staff",IF(INDEX('Partner data'!A:DH,MATCH(C658,'Partner data'!DG:DG,0),112)="BL1 non presente","FALSO",INDEX('Partner data'!A:DH,MATCH(C658,'Partner data'!DG:DG,0),112)))</f>
        <v>0</v>
      </c>
      <c r="S658" t="b">
        <f t="shared" si="20"/>
        <v>0</v>
      </c>
      <c r="T658" t="b">
        <f t="shared" si="21"/>
        <v>1</v>
      </c>
      <c r="U658" s="154">
        <f>IFERROR(IF(R658&lt;&gt;FALSE,IF(S658=TRUE,INDEX('SummaryNOT_VALIDATED-BL'!$A$1:$F$16,MATCH(R658,'SummaryNOT_VALIDATED-BL'!$A$1:$A$16,0),6),0),IF(S658=TRUE,INDEX('SummaryNOT_VALIDATED-BL'!$A$1:$F$16,MATCH(E658,'SummaryNOT_VALIDATED-BL'!$A$1:$A$16,0),6),0)),0)</f>
        <v>0</v>
      </c>
      <c r="V658" s="81" cm="1">
        <f t="array" ref="V658">INDEX('Weight tables'!$A$24:$C$27,MATCH(1,(RendicontiTrasmessiBL__2[[#This Row],[Cut percentage on real costs + USC]]&gt;='Weight tables'!$B$24:$B$27)*(RendicontiTrasmessiBL__2[[#This Row],[Cut percentage on real costs + USC]]&lt;='Weight tables'!$C$24:$C$27),0),1)</f>
        <v>0</v>
      </c>
      <c r="W658" s="2">
        <f>RendicontiTrasmessiBL__2[[#This Row],[Weight real costs  + USC ]]</f>
        <v>0</v>
      </c>
    </row>
    <row r="659" spans="1:23" x14ac:dyDescent="0.25">
      <c r="A659" s="1" t="s">
        <v>61</v>
      </c>
      <c r="B659" s="1" t="s">
        <v>31</v>
      </c>
      <c r="C659" s="2">
        <v>109</v>
      </c>
      <c r="D659" s="2">
        <v>313</v>
      </c>
      <c r="E659" s="1" t="s">
        <v>228</v>
      </c>
      <c r="G659">
        <v>90760</v>
      </c>
      <c r="H659">
        <v>12003.31</v>
      </c>
      <c r="I659">
        <v>0</v>
      </c>
      <c r="J659">
        <v>16161.3</v>
      </c>
      <c r="K659">
        <v>0</v>
      </c>
      <c r="L659">
        <v>0</v>
      </c>
      <c r="M659">
        <v>28164.61</v>
      </c>
      <c r="N659">
        <v>31.03</v>
      </c>
      <c r="O659">
        <v>62595.39</v>
      </c>
      <c r="P659">
        <v>12003.31</v>
      </c>
      <c r="Q659" t="str">
        <f>INDEX('Partner data'!A:DH,MATCH(C659,'Partner data'!DG:DG,0),83)</f>
        <v>Soggetto privato</v>
      </c>
      <c r="R659" t="str">
        <f>IF(E659="staff",IF(INDEX('Partner data'!A:DH,MATCH(C659,'Partner data'!DG:DG,0),112)="BL1 non presente","FALSO",INDEX('Partner data'!A:DH,MATCH(C659,'Partner data'!DG:DG,0),112)))</f>
        <v>COSTO REALE</v>
      </c>
      <c r="S659" t="b">
        <f t="shared" si="20"/>
        <v>1</v>
      </c>
      <c r="T659" t="b">
        <f t="shared" si="21"/>
        <v>0</v>
      </c>
      <c r="U659" s="154">
        <f>IFERROR(IF(R659&lt;&gt;FALSE,IF(S659=TRUE,INDEX('SummaryNOT_VALIDATED-BL'!$A$1:$F$16,MATCH(R659,'SummaryNOT_VALIDATED-BL'!$A$1:$A$16,0),6),0),IF(S659=TRUE,INDEX('SummaryNOT_VALIDATED-BL'!$A$1:$F$16,MATCH(E659,'SummaryNOT_VALIDATED-BL'!$A$1:$A$16,0),6),0)),0)</f>
        <v>9.1604133276901048E-2</v>
      </c>
      <c r="V659" s="81" cm="1">
        <f t="array" ref="V659">INDEX('Weight tables'!$A$24:$C$27,MATCH(1,(RendicontiTrasmessiBL__2[[#This Row],[Cut percentage on real costs + USC]]&gt;='Weight tables'!$B$24:$B$27)*(RendicontiTrasmessiBL__2[[#This Row],[Cut percentage on real costs + USC]]&lt;='Weight tables'!$C$24:$C$27),0),1)</f>
        <v>4</v>
      </c>
      <c r="W659" s="2">
        <f>RendicontiTrasmessiBL__2[[#This Row],[Weight real costs  + USC ]]</f>
        <v>4</v>
      </c>
    </row>
    <row r="660" spans="1:23" x14ac:dyDescent="0.25">
      <c r="A660" s="1" t="s">
        <v>61</v>
      </c>
      <c r="B660" s="1" t="s">
        <v>31</v>
      </c>
      <c r="C660" s="2">
        <v>109</v>
      </c>
      <c r="D660" s="2">
        <v>313</v>
      </c>
      <c r="E660" s="1" t="s">
        <v>229</v>
      </c>
      <c r="G660">
        <v>0</v>
      </c>
      <c r="H660">
        <v>0</v>
      </c>
      <c r="I660">
        <v>0</v>
      </c>
      <c r="J660">
        <v>0</v>
      </c>
      <c r="K660">
        <v>0</v>
      </c>
      <c r="L660">
        <v>0</v>
      </c>
      <c r="M660">
        <v>0</v>
      </c>
      <c r="N660">
        <v>0</v>
      </c>
      <c r="O660">
        <v>0</v>
      </c>
      <c r="P660">
        <v>0</v>
      </c>
      <c r="Q660" t="str">
        <f>INDEX('Partner data'!A:DH,MATCH(C660,'Partner data'!DG:DG,0),83)</f>
        <v>Soggetto privato</v>
      </c>
      <c r="R660" t="b">
        <f>IF(E660="staff",IF(INDEX('Partner data'!A:DH,MATCH(C660,'Partner data'!DG:DG,0),112)="BL1 non presente","FALSO",INDEX('Partner data'!A:DH,MATCH(C660,'Partner data'!DG:DG,0),112)))</f>
        <v>0</v>
      </c>
      <c r="S660" t="b">
        <f t="shared" si="20"/>
        <v>0</v>
      </c>
      <c r="T660" t="b">
        <f t="shared" si="21"/>
        <v>0</v>
      </c>
      <c r="U660" s="154">
        <f>IFERROR(IF(R660&lt;&gt;FALSE,IF(S660=TRUE,INDEX('SummaryNOT_VALIDATED-BL'!$A$1:$F$16,MATCH(R660,'SummaryNOT_VALIDATED-BL'!$A$1:$A$16,0),6),0),IF(S660=TRUE,INDEX('SummaryNOT_VALIDATED-BL'!$A$1:$F$16,MATCH(E660,'SummaryNOT_VALIDATED-BL'!$A$1:$A$16,0),6),0)),0)</f>
        <v>0</v>
      </c>
      <c r="V660" s="81" cm="1">
        <f t="array" ref="V660">INDEX('Weight tables'!$A$24:$C$27,MATCH(1,(RendicontiTrasmessiBL__2[[#This Row],[Cut percentage on real costs + USC]]&gt;='Weight tables'!$B$24:$B$27)*(RendicontiTrasmessiBL__2[[#This Row],[Cut percentage on real costs + USC]]&lt;='Weight tables'!$C$24:$C$27),0),1)</f>
        <v>0</v>
      </c>
      <c r="W660" s="2">
        <f>RendicontiTrasmessiBL__2[[#This Row],[Weight real costs  + USC ]]</f>
        <v>0</v>
      </c>
    </row>
    <row r="661" spans="1:23" x14ac:dyDescent="0.25">
      <c r="A661" s="1" t="s">
        <v>61</v>
      </c>
      <c r="B661" s="1" t="s">
        <v>31</v>
      </c>
      <c r="C661" s="2">
        <v>109</v>
      </c>
      <c r="D661" s="2">
        <v>313</v>
      </c>
      <c r="E661" s="1" t="s">
        <v>230</v>
      </c>
      <c r="G661">
        <v>0</v>
      </c>
      <c r="H661">
        <v>0</v>
      </c>
      <c r="I661">
        <v>0</v>
      </c>
      <c r="J661">
        <v>0</v>
      </c>
      <c r="K661">
        <v>0</v>
      </c>
      <c r="L661">
        <v>0</v>
      </c>
      <c r="M661">
        <v>0</v>
      </c>
      <c r="N661">
        <v>0</v>
      </c>
      <c r="O661">
        <v>0</v>
      </c>
      <c r="P661">
        <v>0</v>
      </c>
      <c r="Q661" t="str">
        <f>INDEX('Partner data'!A:DH,MATCH(C661,'Partner data'!DG:DG,0),83)</f>
        <v>Soggetto privato</v>
      </c>
      <c r="R661" t="b">
        <f>IF(E661="staff",IF(INDEX('Partner data'!A:DH,MATCH(C661,'Partner data'!DG:DG,0),112)="BL1 non presente","FALSO",INDEX('Partner data'!A:DH,MATCH(C661,'Partner data'!DG:DG,0),112)))</f>
        <v>0</v>
      </c>
      <c r="S661" t="b">
        <f t="shared" si="20"/>
        <v>0</v>
      </c>
      <c r="T661" t="b">
        <f t="shared" si="21"/>
        <v>0</v>
      </c>
      <c r="U661" s="154">
        <f>IFERROR(IF(R661&lt;&gt;FALSE,IF(S661=TRUE,INDEX('SummaryNOT_VALIDATED-BL'!$A$1:$F$16,MATCH(R661,'SummaryNOT_VALIDATED-BL'!$A$1:$A$16,0),6),0),IF(S661=TRUE,INDEX('SummaryNOT_VALIDATED-BL'!$A$1:$F$16,MATCH(E661,'SummaryNOT_VALIDATED-BL'!$A$1:$A$16,0),6),0)),0)</f>
        <v>0</v>
      </c>
      <c r="V661" s="81" cm="1">
        <f t="array" ref="V661">INDEX('Weight tables'!$A$24:$C$27,MATCH(1,(RendicontiTrasmessiBL__2[[#This Row],[Cut percentage on real costs + USC]]&gt;='Weight tables'!$B$24:$B$27)*(RendicontiTrasmessiBL__2[[#This Row],[Cut percentage on real costs + USC]]&lt;='Weight tables'!$C$24:$C$27),0),1)</f>
        <v>0</v>
      </c>
      <c r="W661" s="2">
        <f>RendicontiTrasmessiBL__2[[#This Row],[Weight real costs  + USC ]]</f>
        <v>0</v>
      </c>
    </row>
    <row r="662" spans="1:23" x14ac:dyDescent="0.25">
      <c r="A662" s="1" t="s">
        <v>61</v>
      </c>
      <c r="B662" s="1" t="s">
        <v>31</v>
      </c>
      <c r="C662" s="2">
        <v>109</v>
      </c>
      <c r="D662" s="2">
        <v>313</v>
      </c>
      <c r="E662" s="1" t="s">
        <v>231</v>
      </c>
      <c r="G662">
        <v>0</v>
      </c>
      <c r="H662">
        <v>0</v>
      </c>
      <c r="I662">
        <v>0</v>
      </c>
      <c r="J662">
        <v>0</v>
      </c>
      <c r="K662">
        <v>0</v>
      </c>
      <c r="L662">
        <v>0</v>
      </c>
      <c r="M662">
        <v>0</v>
      </c>
      <c r="N662">
        <v>0</v>
      </c>
      <c r="O662">
        <v>0</v>
      </c>
      <c r="P662">
        <v>0</v>
      </c>
      <c r="Q662" t="str">
        <f>INDEX('Partner data'!A:DH,MATCH(C662,'Partner data'!DG:DG,0),83)</f>
        <v>Soggetto privato</v>
      </c>
      <c r="R662" t="b">
        <f>IF(E662="staff",IF(INDEX('Partner data'!A:DH,MATCH(C662,'Partner data'!DG:DG,0),112)="BL1 non presente","FALSO",INDEX('Partner data'!A:DH,MATCH(C662,'Partner data'!DG:DG,0),112)))</f>
        <v>0</v>
      </c>
      <c r="S662" t="b">
        <f t="shared" si="20"/>
        <v>0</v>
      </c>
      <c r="T662" t="b">
        <f t="shared" si="21"/>
        <v>0</v>
      </c>
      <c r="U662" s="154">
        <f>IFERROR(IF(R662&lt;&gt;FALSE,IF(S662=TRUE,INDEX('SummaryNOT_VALIDATED-BL'!$A$1:$F$16,MATCH(R662,'SummaryNOT_VALIDATED-BL'!$A$1:$A$16,0),6),0),IF(S662=TRUE,INDEX('SummaryNOT_VALIDATED-BL'!$A$1:$F$16,MATCH(E662,'SummaryNOT_VALIDATED-BL'!$A$1:$A$16,0),6),0)),0)</f>
        <v>0</v>
      </c>
      <c r="V662" s="81" cm="1">
        <f t="array" ref="V662">INDEX('Weight tables'!$A$24:$C$27,MATCH(1,(RendicontiTrasmessiBL__2[[#This Row],[Cut percentage on real costs + USC]]&gt;='Weight tables'!$B$24:$B$27)*(RendicontiTrasmessiBL__2[[#This Row],[Cut percentage on real costs + USC]]&lt;='Weight tables'!$C$24:$C$27),0),1)</f>
        <v>0</v>
      </c>
      <c r="W662" s="2">
        <f>RendicontiTrasmessiBL__2[[#This Row],[Weight real costs  + USC ]]</f>
        <v>0</v>
      </c>
    </row>
    <row r="663" spans="1:23" x14ac:dyDescent="0.25">
      <c r="A663" s="1" t="s">
        <v>61</v>
      </c>
      <c r="B663" s="1" t="s">
        <v>31</v>
      </c>
      <c r="C663" s="2">
        <v>109</v>
      </c>
      <c r="D663" s="2">
        <v>313</v>
      </c>
      <c r="E663" s="1" t="s">
        <v>232</v>
      </c>
      <c r="G663">
        <v>0</v>
      </c>
      <c r="H663">
        <v>0</v>
      </c>
      <c r="I663">
        <v>0</v>
      </c>
      <c r="J663">
        <v>0</v>
      </c>
      <c r="K663">
        <v>0</v>
      </c>
      <c r="L663">
        <v>0</v>
      </c>
      <c r="M663">
        <v>0</v>
      </c>
      <c r="N663">
        <v>0</v>
      </c>
      <c r="O663">
        <v>0</v>
      </c>
      <c r="P663">
        <v>0</v>
      </c>
      <c r="Q663" t="str">
        <f>INDEX('Partner data'!A:DH,MATCH(C663,'Partner data'!DG:DG,0),83)</f>
        <v>Soggetto privato</v>
      </c>
      <c r="R663" t="b">
        <f>IF(E663="staff",IF(INDEX('Partner data'!A:DH,MATCH(C663,'Partner data'!DG:DG,0),112)="BL1 non presente","FALSO",INDEX('Partner data'!A:DH,MATCH(C663,'Partner data'!DG:DG,0),112)))</f>
        <v>0</v>
      </c>
      <c r="S663" t="b">
        <f t="shared" si="20"/>
        <v>0</v>
      </c>
      <c r="T663" t="b">
        <f t="shared" si="21"/>
        <v>0</v>
      </c>
      <c r="U663" s="154">
        <f>IFERROR(IF(R663&lt;&gt;FALSE,IF(S663=TRUE,INDEX('SummaryNOT_VALIDATED-BL'!$A$1:$F$16,MATCH(R663,'SummaryNOT_VALIDATED-BL'!$A$1:$A$16,0),6),0),IF(S663=TRUE,INDEX('SummaryNOT_VALIDATED-BL'!$A$1:$F$16,MATCH(E663,'SummaryNOT_VALIDATED-BL'!$A$1:$A$16,0),6),0)),0)</f>
        <v>0</v>
      </c>
      <c r="V663" s="81" cm="1">
        <f t="array" ref="V663">INDEX('Weight tables'!$A$24:$C$27,MATCH(1,(RendicontiTrasmessiBL__2[[#This Row],[Cut percentage on real costs + USC]]&gt;='Weight tables'!$B$24:$B$27)*(RendicontiTrasmessiBL__2[[#This Row],[Cut percentage on real costs + USC]]&lt;='Weight tables'!$C$24:$C$27),0),1)</f>
        <v>0</v>
      </c>
      <c r="W663" s="2">
        <f>RendicontiTrasmessiBL__2[[#This Row],[Weight real costs  + USC ]]</f>
        <v>0</v>
      </c>
    </row>
    <row r="664" spans="1:23" x14ac:dyDescent="0.25">
      <c r="A664" s="1" t="s">
        <v>61</v>
      </c>
      <c r="B664" s="1" t="s">
        <v>31</v>
      </c>
      <c r="C664" s="2">
        <v>109</v>
      </c>
      <c r="D664" s="2">
        <v>313</v>
      </c>
      <c r="E664" s="1" t="s">
        <v>233</v>
      </c>
      <c r="G664">
        <v>0</v>
      </c>
      <c r="H664">
        <v>0</v>
      </c>
      <c r="I664">
        <v>0</v>
      </c>
      <c r="J664">
        <v>0</v>
      </c>
      <c r="K664">
        <v>0</v>
      </c>
      <c r="L664">
        <v>0</v>
      </c>
      <c r="M664">
        <v>0</v>
      </c>
      <c r="N664">
        <v>0</v>
      </c>
      <c r="O664">
        <v>0</v>
      </c>
      <c r="P664">
        <v>0</v>
      </c>
      <c r="Q664" t="str">
        <f>INDEX('Partner data'!A:DH,MATCH(C664,'Partner data'!DG:DG,0),83)</f>
        <v>Soggetto privato</v>
      </c>
      <c r="R664" t="b">
        <f>IF(E664="staff",IF(INDEX('Partner data'!A:DH,MATCH(C664,'Partner data'!DG:DG,0),112)="BL1 non presente","FALSO",INDEX('Partner data'!A:DH,MATCH(C664,'Partner data'!DG:DG,0),112)))</f>
        <v>0</v>
      </c>
      <c r="S664" t="b">
        <f t="shared" si="20"/>
        <v>0</v>
      </c>
      <c r="T664" t="b">
        <f t="shared" si="21"/>
        <v>0</v>
      </c>
      <c r="U664" s="154">
        <f>IFERROR(IF(R664&lt;&gt;FALSE,IF(S664=TRUE,INDEX('SummaryNOT_VALIDATED-BL'!$A$1:$F$16,MATCH(R664,'SummaryNOT_VALIDATED-BL'!$A$1:$A$16,0),6),0),IF(S664=TRUE,INDEX('SummaryNOT_VALIDATED-BL'!$A$1:$F$16,MATCH(E664,'SummaryNOT_VALIDATED-BL'!$A$1:$A$16,0),6),0)),0)</f>
        <v>0</v>
      </c>
      <c r="V664" s="81" cm="1">
        <f t="array" ref="V664">INDEX('Weight tables'!$A$24:$C$27,MATCH(1,(RendicontiTrasmessiBL__2[[#This Row],[Cut percentage on real costs + USC]]&gt;='Weight tables'!$B$24:$B$27)*(RendicontiTrasmessiBL__2[[#This Row],[Cut percentage on real costs + USC]]&lt;='Weight tables'!$C$24:$C$27),0),1)</f>
        <v>0</v>
      </c>
      <c r="W664" s="2">
        <f>RendicontiTrasmessiBL__2[[#This Row],[Weight real costs  + USC ]]</f>
        <v>0</v>
      </c>
    </row>
    <row r="665" spans="1:23" x14ac:dyDescent="0.25">
      <c r="A665" s="1" t="s">
        <v>61</v>
      </c>
      <c r="B665" s="1" t="s">
        <v>31</v>
      </c>
      <c r="C665" s="2">
        <v>109</v>
      </c>
      <c r="D665" s="2">
        <v>313</v>
      </c>
      <c r="E665" s="1" t="s">
        <v>234</v>
      </c>
      <c r="F665">
        <v>40</v>
      </c>
      <c r="G665">
        <v>36304</v>
      </c>
      <c r="H665">
        <v>4801.32</v>
      </c>
      <c r="I665">
        <v>0</v>
      </c>
      <c r="J665">
        <v>6464.52</v>
      </c>
      <c r="K665">
        <v>0</v>
      </c>
      <c r="L665">
        <v>0</v>
      </c>
      <c r="M665">
        <v>11265.84</v>
      </c>
      <c r="N665">
        <v>31.03</v>
      </c>
      <c r="O665">
        <v>25038.16</v>
      </c>
      <c r="P665">
        <v>4801.32</v>
      </c>
      <c r="Q665" t="str">
        <f>INDEX('Partner data'!A:DH,MATCH(C665,'Partner data'!DG:DG,0),83)</f>
        <v>Soggetto privato</v>
      </c>
      <c r="R665" t="b">
        <f>IF(E665="staff",IF(INDEX('Partner data'!A:DH,MATCH(C665,'Partner data'!DG:DG,0),112)="BL1 non presente","FALSO",INDEX('Partner data'!A:DH,MATCH(C665,'Partner data'!DG:DG,0),112)))</f>
        <v>0</v>
      </c>
      <c r="S665" t="b">
        <f t="shared" si="20"/>
        <v>1</v>
      </c>
      <c r="T665" t="b">
        <f t="shared" si="21"/>
        <v>0</v>
      </c>
      <c r="U665" s="154">
        <f>IFERROR(IF(R665&lt;&gt;FALSE,IF(S665=TRUE,INDEX('SummaryNOT_VALIDATED-BL'!$A$1:$F$16,MATCH(R665,'SummaryNOT_VALIDATED-BL'!$A$1:$A$16,0),6),0),IF(S665=TRUE,INDEX('SummaryNOT_VALIDATED-BL'!$A$1:$F$16,MATCH(E665,'SummaryNOT_VALIDATED-BL'!$A$1:$A$16,0),6),0)),0)</f>
        <v>8.7645339819521315E-2</v>
      </c>
      <c r="V665" s="81" cm="1">
        <f t="array" ref="V665">INDEX('Weight tables'!$A$24:$C$27,MATCH(1,(RendicontiTrasmessiBL__2[[#This Row],[Cut percentage on real costs + USC]]&gt;='Weight tables'!$B$24:$B$27)*(RendicontiTrasmessiBL__2[[#This Row],[Cut percentage on real costs + USC]]&lt;='Weight tables'!$C$24:$C$27),0),1)</f>
        <v>4</v>
      </c>
      <c r="W665" s="2">
        <f>RendicontiTrasmessiBL__2[[#This Row],[Weight real costs  + USC ]]</f>
        <v>4</v>
      </c>
    </row>
    <row r="666" spans="1:23" x14ac:dyDescent="0.25">
      <c r="A666" s="1" t="s">
        <v>61</v>
      </c>
      <c r="B666" s="1" t="s">
        <v>31</v>
      </c>
      <c r="C666" s="2">
        <v>109</v>
      </c>
      <c r="D666" s="2">
        <v>313</v>
      </c>
      <c r="E666" s="1" t="s">
        <v>236</v>
      </c>
      <c r="G666">
        <v>0</v>
      </c>
      <c r="H666">
        <v>0</v>
      </c>
      <c r="I666">
        <v>0</v>
      </c>
      <c r="J666">
        <v>0</v>
      </c>
      <c r="K666">
        <v>0</v>
      </c>
      <c r="L666">
        <v>0</v>
      </c>
      <c r="M666">
        <v>0</v>
      </c>
      <c r="N666">
        <v>0</v>
      </c>
      <c r="O666">
        <v>0</v>
      </c>
      <c r="P666">
        <v>0</v>
      </c>
      <c r="Q666" t="str">
        <f>INDEX('Partner data'!A:DH,MATCH(C666,'Partner data'!DG:DG,0),83)</f>
        <v>Soggetto privato</v>
      </c>
      <c r="R666" t="b">
        <f>IF(E666="staff",IF(INDEX('Partner data'!A:DH,MATCH(C666,'Partner data'!DG:DG,0),112)="BL1 non presente","FALSO",INDEX('Partner data'!A:DH,MATCH(C666,'Partner data'!DG:DG,0),112)))</f>
        <v>0</v>
      </c>
      <c r="S666" t="b">
        <f t="shared" si="20"/>
        <v>0</v>
      </c>
      <c r="T666" t="b">
        <f t="shared" si="21"/>
        <v>0</v>
      </c>
      <c r="U666" s="154">
        <f>IFERROR(IF(R666&lt;&gt;FALSE,IF(S666=TRUE,INDEX('SummaryNOT_VALIDATED-BL'!$A$1:$F$16,MATCH(R666,'SummaryNOT_VALIDATED-BL'!$A$1:$A$16,0),6),0),IF(S666=TRUE,INDEX('SummaryNOT_VALIDATED-BL'!$A$1:$F$16,MATCH(E666,'SummaryNOT_VALIDATED-BL'!$A$1:$A$16,0),6),0)),0)</f>
        <v>0</v>
      </c>
      <c r="V666" s="81" cm="1">
        <f t="array" ref="V666">INDEX('Weight tables'!$A$24:$C$27,MATCH(1,(RendicontiTrasmessiBL__2[[#This Row],[Cut percentage on real costs + USC]]&gt;='Weight tables'!$B$24:$B$27)*(RendicontiTrasmessiBL__2[[#This Row],[Cut percentage on real costs + USC]]&lt;='Weight tables'!$C$24:$C$27),0),1)</f>
        <v>0</v>
      </c>
      <c r="W666" s="2">
        <f>RendicontiTrasmessiBL__2[[#This Row],[Weight real costs  + USC ]]</f>
        <v>0</v>
      </c>
    </row>
    <row r="667" spans="1:23" x14ac:dyDescent="0.25">
      <c r="A667" s="1" t="s">
        <v>61</v>
      </c>
      <c r="B667" s="1" t="s">
        <v>31</v>
      </c>
      <c r="C667" s="2">
        <v>109</v>
      </c>
      <c r="D667" s="2">
        <v>313</v>
      </c>
      <c r="E667" s="1" t="s">
        <v>237</v>
      </c>
      <c r="G667">
        <v>0</v>
      </c>
      <c r="H667">
        <v>0</v>
      </c>
      <c r="I667">
        <v>0</v>
      </c>
      <c r="J667">
        <v>0</v>
      </c>
      <c r="K667">
        <v>0</v>
      </c>
      <c r="L667">
        <v>0</v>
      </c>
      <c r="M667">
        <v>0</v>
      </c>
      <c r="N667">
        <v>0</v>
      </c>
      <c r="O667">
        <v>0</v>
      </c>
      <c r="P667">
        <v>0</v>
      </c>
      <c r="Q667" t="str">
        <f>INDEX('Partner data'!A:DH,MATCH(C667,'Partner data'!DG:DG,0),83)</f>
        <v>Soggetto privato</v>
      </c>
      <c r="R667" t="b">
        <f>IF(E667="staff",IF(INDEX('Partner data'!A:DH,MATCH(C667,'Partner data'!DG:DG,0),112)="BL1 non presente","FALSO",INDEX('Partner data'!A:DH,MATCH(C667,'Partner data'!DG:DG,0),112)))</f>
        <v>0</v>
      </c>
      <c r="S667" t="b">
        <f t="shared" si="20"/>
        <v>0</v>
      </c>
      <c r="T667" t="b">
        <f t="shared" si="21"/>
        <v>0</v>
      </c>
      <c r="U667" s="154">
        <f>IFERROR(IF(R667&lt;&gt;FALSE,IF(S667=TRUE,INDEX('SummaryNOT_VALIDATED-BL'!$A$1:$F$16,MATCH(R667,'SummaryNOT_VALIDATED-BL'!$A$1:$A$16,0),6),0),IF(S667=TRUE,INDEX('SummaryNOT_VALIDATED-BL'!$A$1:$F$16,MATCH(E667,'SummaryNOT_VALIDATED-BL'!$A$1:$A$16,0),6),0)),0)</f>
        <v>0</v>
      </c>
      <c r="V667" s="81" cm="1">
        <f t="array" ref="V667">INDEX('Weight tables'!$A$24:$C$27,MATCH(1,(RendicontiTrasmessiBL__2[[#This Row],[Cut percentage on real costs + USC]]&gt;='Weight tables'!$B$24:$B$27)*(RendicontiTrasmessiBL__2[[#This Row],[Cut percentage on real costs + USC]]&lt;='Weight tables'!$C$24:$C$27),0),1)</f>
        <v>0</v>
      </c>
      <c r="W667" s="2">
        <f>RendicontiTrasmessiBL__2[[#This Row],[Weight real costs  + USC ]]</f>
        <v>0</v>
      </c>
    </row>
    <row r="668" spans="1:23" x14ac:dyDescent="0.25">
      <c r="A668" s="1" t="s">
        <v>61</v>
      </c>
      <c r="B668" s="1" t="s">
        <v>31</v>
      </c>
      <c r="C668" s="2">
        <v>109</v>
      </c>
      <c r="D668" s="2">
        <v>37</v>
      </c>
      <c r="E668" s="1" t="s">
        <v>228</v>
      </c>
      <c r="G668">
        <v>90760</v>
      </c>
      <c r="H668">
        <v>0</v>
      </c>
      <c r="I668">
        <v>0</v>
      </c>
      <c r="J668">
        <v>12003.31</v>
      </c>
      <c r="K668">
        <v>0</v>
      </c>
      <c r="L668">
        <v>12003.31</v>
      </c>
      <c r="M668">
        <v>12003.31</v>
      </c>
      <c r="N668">
        <v>13.23</v>
      </c>
      <c r="O668">
        <v>78756.69</v>
      </c>
      <c r="P668">
        <v>0</v>
      </c>
      <c r="Q668" t="str">
        <f>INDEX('Partner data'!A:DH,MATCH(C668,'Partner data'!DG:DG,0),83)</f>
        <v>Soggetto privato</v>
      </c>
      <c r="R668" t="str">
        <f>IF(E668="staff",IF(INDEX('Partner data'!A:DH,MATCH(C668,'Partner data'!DG:DG,0),112)="BL1 non presente","FALSO",INDEX('Partner data'!A:DH,MATCH(C668,'Partner data'!DG:DG,0),112)))</f>
        <v>COSTO REALE</v>
      </c>
      <c r="S668" t="b">
        <f t="shared" si="20"/>
        <v>1</v>
      </c>
      <c r="T668" t="b">
        <f t="shared" si="21"/>
        <v>0</v>
      </c>
      <c r="U668" s="154">
        <f>IFERROR(IF(R668&lt;&gt;FALSE,IF(S668=TRUE,INDEX('SummaryNOT_VALIDATED-BL'!$A$1:$F$16,MATCH(R668,'SummaryNOT_VALIDATED-BL'!$A$1:$A$16,0),6),0),IF(S668=TRUE,INDEX('SummaryNOT_VALIDATED-BL'!$A$1:$F$16,MATCH(E668,'SummaryNOT_VALIDATED-BL'!$A$1:$A$16,0),6),0)),0)</f>
        <v>9.1604133276901048E-2</v>
      </c>
      <c r="V668" s="81" cm="1">
        <f t="array" ref="V668">INDEX('Weight tables'!$A$24:$C$27,MATCH(1,(RendicontiTrasmessiBL__2[[#This Row],[Cut percentage on real costs + USC]]&gt;='Weight tables'!$B$24:$B$27)*(RendicontiTrasmessiBL__2[[#This Row],[Cut percentage on real costs + USC]]&lt;='Weight tables'!$C$24:$C$27),0),1)</f>
        <v>4</v>
      </c>
      <c r="W668" s="2">
        <f>RendicontiTrasmessiBL__2[[#This Row],[Weight real costs  + USC ]]</f>
        <v>4</v>
      </c>
    </row>
    <row r="669" spans="1:23" x14ac:dyDescent="0.25">
      <c r="A669" s="1" t="s">
        <v>61</v>
      </c>
      <c r="B669" s="1" t="s">
        <v>31</v>
      </c>
      <c r="C669" s="2">
        <v>109</v>
      </c>
      <c r="D669" s="2">
        <v>37</v>
      </c>
      <c r="E669" s="1" t="s">
        <v>229</v>
      </c>
      <c r="G669">
        <v>0</v>
      </c>
      <c r="H669">
        <v>0</v>
      </c>
      <c r="I669">
        <v>0</v>
      </c>
      <c r="J669">
        <v>0</v>
      </c>
      <c r="K669">
        <v>0</v>
      </c>
      <c r="L669">
        <v>0</v>
      </c>
      <c r="M669">
        <v>0</v>
      </c>
      <c r="N669">
        <v>0</v>
      </c>
      <c r="O669">
        <v>0</v>
      </c>
      <c r="P669">
        <v>0</v>
      </c>
      <c r="Q669" t="str">
        <f>INDEX('Partner data'!A:DH,MATCH(C669,'Partner data'!DG:DG,0),83)</f>
        <v>Soggetto privato</v>
      </c>
      <c r="R669" t="b">
        <f>IF(E669="staff",IF(INDEX('Partner data'!A:DH,MATCH(C669,'Partner data'!DG:DG,0),112)="BL1 non presente","FALSO",INDEX('Partner data'!A:DH,MATCH(C669,'Partner data'!DG:DG,0),112)))</f>
        <v>0</v>
      </c>
      <c r="S669" t="b">
        <f t="shared" si="20"/>
        <v>0</v>
      </c>
      <c r="T669" t="b">
        <f t="shared" si="21"/>
        <v>0</v>
      </c>
      <c r="U669" s="154">
        <f>IFERROR(IF(R669&lt;&gt;FALSE,IF(S669=TRUE,INDEX('SummaryNOT_VALIDATED-BL'!$A$1:$F$16,MATCH(R669,'SummaryNOT_VALIDATED-BL'!$A$1:$A$16,0),6),0),IF(S669=TRUE,INDEX('SummaryNOT_VALIDATED-BL'!$A$1:$F$16,MATCH(E669,'SummaryNOT_VALIDATED-BL'!$A$1:$A$16,0),6),0)),0)</f>
        <v>0</v>
      </c>
      <c r="V669" s="81" cm="1">
        <f t="array" ref="V669">INDEX('Weight tables'!$A$24:$C$27,MATCH(1,(RendicontiTrasmessiBL__2[[#This Row],[Cut percentage on real costs + USC]]&gt;='Weight tables'!$B$24:$B$27)*(RendicontiTrasmessiBL__2[[#This Row],[Cut percentage on real costs + USC]]&lt;='Weight tables'!$C$24:$C$27),0),1)</f>
        <v>0</v>
      </c>
      <c r="W669" s="2">
        <f>RendicontiTrasmessiBL__2[[#This Row],[Weight real costs  + USC ]]</f>
        <v>0</v>
      </c>
    </row>
    <row r="670" spans="1:23" x14ac:dyDescent="0.25">
      <c r="A670" s="1" t="s">
        <v>61</v>
      </c>
      <c r="B670" s="1" t="s">
        <v>31</v>
      </c>
      <c r="C670" s="2">
        <v>109</v>
      </c>
      <c r="D670" s="2">
        <v>37</v>
      </c>
      <c r="E670" s="1" t="s">
        <v>230</v>
      </c>
      <c r="G670">
        <v>0</v>
      </c>
      <c r="H670">
        <v>0</v>
      </c>
      <c r="I670">
        <v>0</v>
      </c>
      <c r="J670">
        <v>0</v>
      </c>
      <c r="K670">
        <v>0</v>
      </c>
      <c r="L670">
        <v>0</v>
      </c>
      <c r="M670">
        <v>0</v>
      </c>
      <c r="N670">
        <v>0</v>
      </c>
      <c r="O670">
        <v>0</v>
      </c>
      <c r="P670">
        <v>0</v>
      </c>
      <c r="Q670" t="str">
        <f>INDEX('Partner data'!A:DH,MATCH(C670,'Partner data'!DG:DG,0),83)</f>
        <v>Soggetto privato</v>
      </c>
      <c r="R670" t="b">
        <f>IF(E670="staff",IF(INDEX('Partner data'!A:DH,MATCH(C670,'Partner data'!DG:DG,0),112)="BL1 non presente","FALSO",INDEX('Partner data'!A:DH,MATCH(C670,'Partner data'!DG:DG,0),112)))</f>
        <v>0</v>
      </c>
      <c r="S670" t="b">
        <f t="shared" si="20"/>
        <v>0</v>
      </c>
      <c r="T670" t="b">
        <f t="shared" si="21"/>
        <v>0</v>
      </c>
      <c r="U670" s="154">
        <f>IFERROR(IF(R670&lt;&gt;FALSE,IF(S670=TRUE,INDEX('SummaryNOT_VALIDATED-BL'!$A$1:$F$16,MATCH(R670,'SummaryNOT_VALIDATED-BL'!$A$1:$A$16,0),6),0),IF(S670=TRUE,INDEX('SummaryNOT_VALIDATED-BL'!$A$1:$F$16,MATCH(E670,'SummaryNOT_VALIDATED-BL'!$A$1:$A$16,0),6),0)),0)</f>
        <v>0</v>
      </c>
      <c r="V670" s="81" cm="1">
        <f t="array" ref="V670">INDEX('Weight tables'!$A$24:$C$27,MATCH(1,(RendicontiTrasmessiBL__2[[#This Row],[Cut percentage on real costs + USC]]&gt;='Weight tables'!$B$24:$B$27)*(RendicontiTrasmessiBL__2[[#This Row],[Cut percentage on real costs + USC]]&lt;='Weight tables'!$C$24:$C$27),0),1)</f>
        <v>0</v>
      </c>
      <c r="W670" s="2">
        <f>RendicontiTrasmessiBL__2[[#This Row],[Weight real costs  + USC ]]</f>
        <v>0</v>
      </c>
    </row>
    <row r="671" spans="1:23" x14ac:dyDescent="0.25">
      <c r="A671" s="1" t="s">
        <v>61</v>
      </c>
      <c r="B671" s="1" t="s">
        <v>31</v>
      </c>
      <c r="C671" s="2">
        <v>109</v>
      </c>
      <c r="D671" s="2">
        <v>37</v>
      </c>
      <c r="E671" s="1" t="s">
        <v>231</v>
      </c>
      <c r="G671">
        <v>0</v>
      </c>
      <c r="H671">
        <v>0</v>
      </c>
      <c r="I671">
        <v>0</v>
      </c>
      <c r="J671">
        <v>0</v>
      </c>
      <c r="K671">
        <v>0</v>
      </c>
      <c r="L671">
        <v>0</v>
      </c>
      <c r="M671">
        <v>0</v>
      </c>
      <c r="N671">
        <v>0</v>
      </c>
      <c r="O671">
        <v>0</v>
      </c>
      <c r="P671">
        <v>0</v>
      </c>
      <c r="Q671" t="str">
        <f>INDEX('Partner data'!A:DH,MATCH(C671,'Partner data'!DG:DG,0),83)</f>
        <v>Soggetto privato</v>
      </c>
      <c r="R671" t="b">
        <f>IF(E671="staff",IF(INDEX('Partner data'!A:DH,MATCH(C671,'Partner data'!DG:DG,0),112)="BL1 non presente","FALSO",INDEX('Partner data'!A:DH,MATCH(C671,'Partner data'!DG:DG,0),112)))</f>
        <v>0</v>
      </c>
      <c r="S671" t="b">
        <f t="shared" si="20"/>
        <v>0</v>
      </c>
      <c r="T671" t="b">
        <f t="shared" si="21"/>
        <v>0</v>
      </c>
      <c r="U671" s="154">
        <f>IFERROR(IF(R671&lt;&gt;FALSE,IF(S671=TRUE,INDEX('SummaryNOT_VALIDATED-BL'!$A$1:$F$16,MATCH(R671,'SummaryNOT_VALIDATED-BL'!$A$1:$A$16,0),6),0),IF(S671=TRUE,INDEX('SummaryNOT_VALIDATED-BL'!$A$1:$F$16,MATCH(E671,'SummaryNOT_VALIDATED-BL'!$A$1:$A$16,0),6),0)),0)</f>
        <v>0</v>
      </c>
      <c r="V671" s="81" cm="1">
        <f t="array" ref="V671">INDEX('Weight tables'!$A$24:$C$27,MATCH(1,(RendicontiTrasmessiBL__2[[#This Row],[Cut percentage on real costs + USC]]&gt;='Weight tables'!$B$24:$B$27)*(RendicontiTrasmessiBL__2[[#This Row],[Cut percentage on real costs + USC]]&lt;='Weight tables'!$C$24:$C$27),0),1)</f>
        <v>0</v>
      </c>
      <c r="W671" s="2">
        <f>RendicontiTrasmessiBL__2[[#This Row],[Weight real costs  + USC ]]</f>
        <v>0</v>
      </c>
    </row>
    <row r="672" spans="1:23" x14ac:dyDescent="0.25">
      <c r="A672" s="1" t="s">
        <v>61</v>
      </c>
      <c r="B672" s="1" t="s">
        <v>31</v>
      </c>
      <c r="C672" s="2">
        <v>109</v>
      </c>
      <c r="D672" s="2">
        <v>37</v>
      </c>
      <c r="E672" s="1" t="s">
        <v>232</v>
      </c>
      <c r="G672">
        <v>0</v>
      </c>
      <c r="H672">
        <v>0</v>
      </c>
      <c r="I672">
        <v>0</v>
      </c>
      <c r="J672">
        <v>0</v>
      </c>
      <c r="K672">
        <v>0</v>
      </c>
      <c r="L672">
        <v>0</v>
      </c>
      <c r="M672">
        <v>0</v>
      </c>
      <c r="N672">
        <v>0</v>
      </c>
      <c r="O672">
        <v>0</v>
      </c>
      <c r="P672">
        <v>0</v>
      </c>
      <c r="Q672" t="str">
        <f>INDEX('Partner data'!A:DH,MATCH(C672,'Partner data'!DG:DG,0),83)</f>
        <v>Soggetto privato</v>
      </c>
      <c r="R672" t="b">
        <f>IF(E672="staff",IF(INDEX('Partner data'!A:DH,MATCH(C672,'Partner data'!DG:DG,0),112)="BL1 non presente","FALSO",INDEX('Partner data'!A:DH,MATCH(C672,'Partner data'!DG:DG,0),112)))</f>
        <v>0</v>
      </c>
      <c r="S672" t="b">
        <f t="shared" si="20"/>
        <v>0</v>
      </c>
      <c r="T672" t="b">
        <f t="shared" si="21"/>
        <v>0</v>
      </c>
      <c r="U672" s="154">
        <f>IFERROR(IF(R672&lt;&gt;FALSE,IF(S672=TRUE,INDEX('SummaryNOT_VALIDATED-BL'!$A$1:$F$16,MATCH(R672,'SummaryNOT_VALIDATED-BL'!$A$1:$A$16,0),6),0),IF(S672=TRUE,INDEX('SummaryNOT_VALIDATED-BL'!$A$1:$F$16,MATCH(E672,'SummaryNOT_VALIDATED-BL'!$A$1:$A$16,0),6),0)),0)</f>
        <v>0</v>
      </c>
      <c r="V672" s="81" cm="1">
        <f t="array" ref="V672">INDEX('Weight tables'!$A$24:$C$27,MATCH(1,(RendicontiTrasmessiBL__2[[#This Row],[Cut percentage on real costs + USC]]&gt;='Weight tables'!$B$24:$B$27)*(RendicontiTrasmessiBL__2[[#This Row],[Cut percentage on real costs + USC]]&lt;='Weight tables'!$C$24:$C$27),0),1)</f>
        <v>0</v>
      </c>
      <c r="W672" s="2">
        <f>RendicontiTrasmessiBL__2[[#This Row],[Weight real costs  + USC ]]</f>
        <v>0</v>
      </c>
    </row>
    <row r="673" spans="1:23" x14ac:dyDescent="0.25">
      <c r="A673" s="1" t="s">
        <v>61</v>
      </c>
      <c r="B673" s="1" t="s">
        <v>31</v>
      </c>
      <c r="C673" s="2">
        <v>109</v>
      </c>
      <c r="D673" s="2">
        <v>37</v>
      </c>
      <c r="E673" s="1" t="s">
        <v>233</v>
      </c>
      <c r="G673">
        <v>0</v>
      </c>
      <c r="H673">
        <v>0</v>
      </c>
      <c r="I673">
        <v>0</v>
      </c>
      <c r="J673">
        <v>0</v>
      </c>
      <c r="K673">
        <v>0</v>
      </c>
      <c r="L673">
        <v>0</v>
      </c>
      <c r="M673">
        <v>0</v>
      </c>
      <c r="N673">
        <v>0</v>
      </c>
      <c r="O673">
        <v>0</v>
      </c>
      <c r="P673">
        <v>0</v>
      </c>
      <c r="Q673" t="str">
        <f>INDEX('Partner data'!A:DH,MATCH(C673,'Partner data'!DG:DG,0),83)</f>
        <v>Soggetto privato</v>
      </c>
      <c r="R673" t="b">
        <f>IF(E673="staff",IF(INDEX('Partner data'!A:DH,MATCH(C673,'Partner data'!DG:DG,0),112)="BL1 non presente","FALSO",INDEX('Partner data'!A:DH,MATCH(C673,'Partner data'!DG:DG,0),112)))</f>
        <v>0</v>
      </c>
      <c r="S673" t="b">
        <f t="shared" si="20"/>
        <v>0</v>
      </c>
      <c r="T673" t="b">
        <f t="shared" si="21"/>
        <v>0</v>
      </c>
      <c r="U673" s="154">
        <f>IFERROR(IF(R673&lt;&gt;FALSE,IF(S673=TRUE,INDEX('SummaryNOT_VALIDATED-BL'!$A$1:$F$16,MATCH(R673,'SummaryNOT_VALIDATED-BL'!$A$1:$A$16,0),6),0),IF(S673=TRUE,INDEX('SummaryNOT_VALIDATED-BL'!$A$1:$F$16,MATCH(E673,'SummaryNOT_VALIDATED-BL'!$A$1:$A$16,0),6),0)),0)</f>
        <v>0</v>
      </c>
      <c r="V673" s="81" cm="1">
        <f t="array" ref="V673">INDEX('Weight tables'!$A$24:$C$27,MATCH(1,(RendicontiTrasmessiBL__2[[#This Row],[Cut percentage on real costs + USC]]&gt;='Weight tables'!$B$24:$B$27)*(RendicontiTrasmessiBL__2[[#This Row],[Cut percentage on real costs + USC]]&lt;='Weight tables'!$C$24:$C$27),0),1)</f>
        <v>0</v>
      </c>
      <c r="W673" s="2">
        <f>RendicontiTrasmessiBL__2[[#This Row],[Weight real costs  + USC ]]</f>
        <v>0</v>
      </c>
    </row>
    <row r="674" spans="1:23" x14ac:dyDescent="0.25">
      <c r="A674" s="1" t="s">
        <v>61</v>
      </c>
      <c r="B674" s="1" t="s">
        <v>31</v>
      </c>
      <c r="C674" s="2">
        <v>109</v>
      </c>
      <c r="D674" s="2">
        <v>37</v>
      </c>
      <c r="E674" s="1" t="s">
        <v>234</v>
      </c>
      <c r="F674">
        <v>40</v>
      </c>
      <c r="G674">
        <v>36304</v>
      </c>
      <c r="H674">
        <v>0</v>
      </c>
      <c r="I674">
        <v>0</v>
      </c>
      <c r="J674">
        <v>4801.32</v>
      </c>
      <c r="K674">
        <v>0</v>
      </c>
      <c r="L674">
        <v>4801.32</v>
      </c>
      <c r="M674">
        <v>4801.32</v>
      </c>
      <c r="N674">
        <v>13.23</v>
      </c>
      <c r="O674">
        <v>31502.68</v>
      </c>
      <c r="P674">
        <v>0</v>
      </c>
      <c r="Q674" t="str">
        <f>INDEX('Partner data'!A:DH,MATCH(C674,'Partner data'!DG:DG,0),83)</f>
        <v>Soggetto privato</v>
      </c>
      <c r="R674" t="b">
        <f>IF(E674="staff",IF(INDEX('Partner data'!A:DH,MATCH(C674,'Partner data'!DG:DG,0),112)="BL1 non presente","FALSO",INDEX('Partner data'!A:DH,MATCH(C674,'Partner data'!DG:DG,0),112)))</f>
        <v>0</v>
      </c>
      <c r="S674" t="b">
        <f t="shared" si="20"/>
        <v>1</v>
      </c>
      <c r="T674" t="b">
        <f t="shared" si="21"/>
        <v>0</v>
      </c>
      <c r="U674" s="154">
        <f>IFERROR(IF(R674&lt;&gt;FALSE,IF(S674=TRUE,INDEX('SummaryNOT_VALIDATED-BL'!$A$1:$F$16,MATCH(R674,'SummaryNOT_VALIDATED-BL'!$A$1:$A$16,0),6),0),IF(S674=TRUE,INDEX('SummaryNOT_VALIDATED-BL'!$A$1:$F$16,MATCH(E674,'SummaryNOT_VALIDATED-BL'!$A$1:$A$16,0),6),0)),0)</f>
        <v>8.7645339819521315E-2</v>
      </c>
      <c r="V674" s="81" cm="1">
        <f t="array" ref="V674">INDEX('Weight tables'!$A$24:$C$27,MATCH(1,(RendicontiTrasmessiBL__2[[#This Row],[Cut percentage on real costs + USC]]&gt;='Weight tables'!$B$24:$B$27)*(RendicontiTrasmessiBL__2[[#This Row],[Cut percentage on real costs + USC]]&lt;='Weight tables'!$C$24:$C$27),0),1)</f>
        <v>4</v>
      </c>
      <c r="W674" s="2">
        <f>RendicontiTrasmessiBL__2[[#This Row],[Weight real costs  + USC ]]</f>
        <v>4</v>
      </c>
    </row>
    <row r="675" spans="1:23" x14ac:dyDescent="0.25">
      <c r="A675" s="1" t="s">
        <v>61</v>
      </c>
      <c r="B675" s="1" t="s">
        <v>31</v>
      </c>
      <c r="C675" s="2">
        <v>109</v>
      </c>
      <c r="D675" s="2">
        <v>37</v>
      </c>
      <c r="E675" s="1" t="s">
        <v>236</v>
      </c>
      <c r="G675">
        <v>0</v>
      </c>
      <c r="H675">
        <v>0</v>
      </c>
      <c r="I675">
        <v>0</v>
      </c>
      <c r="J675">
        <v>0</v>
      </c>
      <c r="K675">
        <v>0</v>
      </c>
      <c r="L675">
        <v>0</v>
      </c>
      <c r="M675">
        <v>0</v>
      </c>
      <c r="N675">
        <v>0</v>
      </c>
      <c r="O675">
        <v>0</v>
      </c>
      <c r="P675">
        <v>0</v>
      </c>
      <c r="Q675" t="str">
        <f>INDEX('Partner data'!A:DH,MATCH(C675,'Partner data'!DG:DG,0),83)</f>
        <v>Soggetto privato</v>
      </c>
      <c r="R675" t="b">
        <f>IF(E675="staff",IF(INDEX('Partner data'!A:DH,MATCH(C675,'Partner data'!DG:DG,0),112)="BL1 non presente","FALSO",INDEX('Partner data'!A:DH,MATCH(C675,'Partner data'!DG:DG,0),112)))</f>
        <v>0</v>
      </c>
      <c r="S675" t="b">
        <f t="shared" si="20"/>
        <v>0</v>
      </c>
      <c r="T675" t="b">
        <f t="shared" si="21"/>
        <v>0</v>
      </c>
      <c r="U675" s="154">
        <f>IFERROR(IF(R675&lt;&gt;FALSE,IF(S675=TRUE,INDEX('SummaryNOT_VALIDATED-BL'!$A$1:$F$16,MATCH(R675,'SummaryNOT_VALIDATED-BL'!$A$1:$A$16,0),6),0),IF(S675=TRUE,INDEX('SummaryNOT_VALIDATED-BL'!$A$1:$F$16,MATCH(E675,'SummaryNOT_VALIDATED-BL'!$A$1:$A$16,0),6),0)),0)</f>
        <v>0</v>
      </c>
      <c r="V675" s="81" cm="1">
        <f t="array" ref="V675">INDEX('Weight tables'!$A$24:$C$27,MATCH(1,(RendicontiTrasmessiBL__2[[#This Row],[Cut percentage on real costs + USC]]&gt;='Weight tables'!$B$24:$B$27)*(RendicontiTrasmessiBL__2[[#This Row],[Cut percentage on real costs + USC]]&lt;='Weight tables'!$C$24:$C$27),0),1)</f>
        <v>0</v>
      </c>
      <c r="W675" s="2">
        <f>RendicontiTrasmessiBL__2[[#This Row],[Weight real costs  + USC ]]</f>
        <v>0</v>
      </c>
    </row>
    <row r="676" spans="1:23" x14ac:dyDescent="0.25">
      <c r="A676" s="1" t="s">
        <v>61</v>
      </c>
      <c r="B676" s="1" t="s">
        <v>31</v>
      </c>
      <c r="C676" s="2">
        <v>109</v>
      </c>
      <c r="D676" s="2">
        <v>37</v>
      </c>
      <c r="E676" s="1" t="s">
        <v>237</v>
      </c>
      <c r="G676">
        <v>0</v>
      </c>
      <c r="H676">
        <v>0</v>
      </c>
      <c r="I676">
        <v>0</v>
      </c>
      <c r="J676">
        <v>0</v>
      </c>
      <c r="K676">
        <v>0</v>
      </c>
      <c r="L676">
        <v>0</v>
      </c>
      <c r="M676">
        <v>0</v>
      </c>
      <c r="N676">
        <v>0</v>
      </c>
      <c r="O676">
        <v>0</v>
      </c>
      <c r="P676">
        <v>0</v>
      </c>
      <c r="Q676" t="str">
        <f>INDEX('Partner data'!A:DH,MATCH(C676,'Partner data'!DG:DG,0),83)</f>
        <v>Soggetto privato</v>
      </c>
      <c r="R676" t="b">
        <f>IF(E676="staff",IF(INDEX('Partner data'!A:DH,MATCH(C676,'Partner data'!DG:DG,0),112)="BL1 non presente","FALSO",INDEX('Partner data'!A:DH,MATCH(C676,'Partner data'!DG:DG,0),112)))</f>
        <v>0</v>
      </c>
      <c r="S676" t="b">
        <f t="shared" si="20"/>
        <v>0</v>
      </c>
      <c r="T676" t="b">
        <f t="shared" si="21"/>
        <v>0</v>
      </c>
      <c r="U676" s="154">
        <f>IFERROR(IF(R676&lt;&gt;FALSE,IF(S676=TRUE,INDEX('SummaryNOT_VALIDATED-BL'!$A$1:$F$16,MATCH(R676,'SummaryNOT_VALIDATED-BL'!$A$1:$A$16,0),6),0),IF(S676=TRUE,INDEX('SummaryNOT_VALIDATED-BL'!$A$1:$F$16,MATCH(E676,'SummaryNOT_VALIDATED-BL'!$A$1:$A$16,0),6),0)),0)</f>
        <v>0</v>
      </c>
      <c r="V676" s="81" cm="1">
        <f t="array" ref="V676">INDEX('Weight tables'!$A$24:$C$27,MATCH(1,(RendicontiTrasmessiBL__2[[#This Row],[Cut percentage on real costs + USC]]&gt;='Weight tables'!$B$24:$B$27)*(RendicontiTrasmessiBL__2[[#This Row],[Cut percentage on real costs + USC]]&lt;='Weight tables'!$C$24:$C$27),0),1)</f>
        <v>0</v>
      </c>
      <c r="W676" s="2">
        <f>RendicontiTrasmessiBL__2[[#This Row],[Weight real costs  + USC ]]</f>
        <v>0</v>
      </c>
    </row>
    <row r="677" spans="1:23" x14ac:dyDescent="0.25">
      <c r="A677" s="1" t="s">
        <v>61</v>
      </c>
      <c r="B677" s="1" t="s">
        <v>53</v>
      </c>
      <c r="C677" s="2">
        <v>113</v>
      </c>
      <c r="D677" s="2">
        <v>204</v>
      </c>
      <c r="E677" s="1" t="s">
        <v>228</v>
      </c>
      <c r="G677">
        <v>65500</v>
      </c>
      <c r="H677">
        <v>0</v>
      </c>
      <c r="I677">
        <v>0</v>
      </c>
      <c r="J677">
        <v>13951.93</v>
      </c>
      <c r="K677">
        <v>0</v>
      </c>
      <c r="L677">
        <v>13801.18</v>
      </c>
      <c r="M677">
        <v>13951.93</v>
      </c>
      <c r="N677">
        <v>21.3</v>
      </c>
      <c r="O677">
        <v>51548.07</v>
      </c>
      <c r="P677">
        <v>0</v>
      </c>
      <c r="Q677" t="str">
        <f>INDEX('Partner data'!A:DH,MATCH(C677,'Partner data'!DG:DG,0),83)</f>
        <v>Soggetto pubblico</v>
      </c>
      <c r="R677" t="str">
        <f>IF(E677="staff",IF(INDEX('Partner data'!A:DH,MATCH(C677,'Partner data'!DG:DG,0),112)="BL1 non presente","FALSO",INDEX('Partner data'!A:DH,MATCH(C677,'Partner data'!DG:DG,0),112)))</f>
        <v>COSTO REALE</v>
      </c>
      <c r="S677" t="b">
        <f t="shared" si="20"/>
        <v>1</v>
      </c>
      <c r="T677" t="b">
        <f t="shared" si="21"/>
        <v>1</v>
      </c>
      <c r="U677" s="154">
        <f>IFERROR(IF(R677&lt;&gt;FALSE,IF(S677=TRUE,INDEX('SummaryNOT_VALIDATED-BL'!$A$1:$F$16,MATCH(R677,'SummaryNOT_VALIDATED-BL'!$A$1:$A$16,0),6),0),IF(S677=TRUE,INDEX('SummaryNOT_VALIDATED-BL'!$A$1:$F$16,MATCH(E677,'SummaryNOT_VALIDATED-BL'!$A$1:$A$16,0),6),0)),0)</f>
        <v>9.1604133276901048E-2</v>
      </c>
      <c r="V677" s="81" cm="1">
        <f t="array" ref="V677">INDEX('Weight tables'!$A$24:$C$27,MATCH(1,(RendicontiTrasmessiBL__2[[#This Row],[Cut percentage on real costs + USC]]&gt;='Weight tables'!$B$24:$B$27)*(RendicontiTrasmessiBL__2[[#This Row],[Cut percentage on real costs + USC]]&lt;='Weight tables'!$C$24:$C$27),0),1)</f>
        <v>4</v>
      </c>
      <c r="W677" s="2">
        <f>RendicontiTrasmessiBL__2[[#This Row],[Weight real costs  + USC ]]</f>
        <v>4</v>
      </c>
    </row>
    <row r="678" spans="1:23" x14ac:dyDescent="0.25">
      <c r="A678" s="1" t="s">
        <v>61</v>
      </c>
      <c r="B678" s="1" t="s">
        <v>53</v>
      </c>
      <c r="C678" s="2">
        <v>113</v>
      </c>
      <c r="D678" s="2">
        <v>204</v>
      </c>
      <c r="E678" s="1" t="s">
        <v>229</v>
      </c>
      <c r="G678">
        <v>0</v>
      </c>
      <c r="H678">
        <v>0</v>
      </c>
      <c r="I678">
        <v>0</v>
      </c>
      <c r="J678">
        <v>0</v>
      </c>
      <c r="K678">
        <v>0</v>
      </c>
      <c r="L678">
        <v>0</v>
      </c>
      <c r="M678">
        <v>0</v>
      </c>
      <c r="N678">
        <v>0</v>
      </c>
      <c r="O678">
        <v>0</v>
      </c>
      <c r="P678">
        <v>0</v>
      </c>
      <c r="Q678" t="str">
        <f>INDEX('Partner data'!A:DH,MATCH(C678,'Partner data'!DG:DG,0),83)</f>
        <v>Soggetto pubblico</v>
      </c>
      <c r="R678" t="b">
        <f>IF(E678="staff",IF(INDEX('Partner data'!A:DH,MATCH(C678,'Partner data'!DG:DG,0),112)="BL1 non presente","FALSO",INDEX('Partner data'!A:DH,MATCH(C678,'Partner data'!DG:DG,0),112)))</f>
        <v>0</v>
      </c>
      <c r="S678" t="b">
        <f t="shared" si="20"/>
        <v>0</v>
      </c>
      <c r="T678" t="b">
        <f t="shared" si="21"/>
        <v>1</v>
      </c>
      <c r="U678" s="154">
        <f>IFERROR(IF(R678&lt;&gt;FALSE,IF(S678=TRUE,INDEX('SummaryNOT_VALIDATED-BL'!$A$1:$F$16,MATCH(R678,'SummaryNOT_VALIDATED-BL'!$A$1:$A$16,0),6),0),IF(S678=TRUE,INDEX('SummaryNOT_VALIDATED-BL'!$A$1:$F$16,MATCH(E678,'SummaryNOT_VALIDATED-BL'!$A$1:$A$16,0),6),0)),0)</f>
        <v>0</v>
      </c>
      <c r="V678" s="81" cm="1">
        <f t="array" ref="V678">INDEX('Weight tables'!$A$24:$C$27,MATCH(1,(RendicontiTrasmessiBL__2[[#This Row],[Cut percentage on real costs + USC]]&gt;='Weight tables'!$B$24:$B$27)*(RendicontiTrasmessiBL__2[[#This Row],[Cut percentage on real costs + USC]]&lt;='Weight tables'!$C$24:$C$27),0),1)</f>
        <v>0</v>
      </c>
      <c r="W678" s="2">
        <f>RendicontiTrasmessiBL__2[[#This Row],[Weight real costs  + USC ]]</f>
        <v>0</v>
      </c>
    </row>
    <row r="679" spans="1:23" x14ac:dyDescent="0.25">
      <c r="A679" s="1" t="s">
        <v>61</v>
      </c>
      <c r="B679" s="1" t="s">
        <v>53</v>
      </c>
      <c r="C679" s="2">
        <v>113</v>
      </c>
      <c r="D679" s="2">
        <v>204</v>
      </c>
      <c r="E679" s="1" t="s">
        <v>230</v>
      </c>
      <c r="G679">
        <v>0</v>
      </c>
      <c r="H679">
        <v>0</v>
      </c>
      <c r="I679">
        <v>0</v>
      </c>
      <c r="J679">
        <v>0</v>
      </c>
      <c r="K679">
        <v>0</v>
      </c>
      <c r="L679">
        <v>0</v>
      </c>
      <c r="M679">
        <v>0</v>
      </c>
      <c r="N679">
        <v>0</v>
      </c>
      <c r="O679">
        <v>0</v>
      </c>
      <c r="P679">
        <v>0</v>
      </c>
      <c r="Q679" t="str">
        <f>INDEX('Partner data'!A:DH,MATCH(C679,'Partner data'!DG:DG,0),83)</f>
        <v>Soggetto pubblico</v>
      </c>
      <c r="R679" t="b">
        <f>IF(E679="staff",IF(INDEX('Partner data'!A:DH,MATCH(C679,'Partner data'!DG:DG,0),112)="BL1 non presente","FALSO",INDEX('Partner data'!A:DH,MATCH(C679,'Partner data'!DG:DG,0),112)))</f>
        <v>0</v>
      </c>
      <c r="S679" t="b">
        <f t="shared" si="20"/>
        <v>0</v>
      </c>
      <c r="T679" t="b">
        <f t="shared" si="21"/>
        <v>1</v>
      </c>
      <c r="U679" s="154">
        <f>IFERROR(IF(R679&lt;&gt;FALSE,IF(S679=TRUE,INDEX('SummaryNOT_VALIDATED-BL'!$A$1:$F$16,MATCH(R679,'SummaryNOT_VALIDATED-BL'!$A$1:$A$16,0),6),0),IF(S679=TRUE,INDEX('SummaryNOT_VALIDATED-BL'!$A$1:$F$16,MATCH(E679,'SummaryNOT_VALIDATED-BL'!$A$1:$A$16,0),6),0)),0)</f>
        <v>0</v>
      </c>
      <c r="V679" s="81" cm="1">
        <f t="array" ref="V679">INDEX('Weight tables'!$A$24:$C$27,MATCH(1,(RendicontiTrasmessiBL__2[[#This Row],[Cut percentage on real costs + USC]]&gt;='Weight tables'!$B$24:$B$27)*(RendicontiTrasmessiBL__2[[#This Row],[Cut percentage on real costs + USC]]&lt;='Weight tables'!$C$24:$C$27),0),1)</f>
        <v>0</v>
      </c>
      <c r="W679" s="2">
        <f>RendicontiTrasmessiBL__2[[#This Row],[Weight real costs  + USC ]]</f>
        <v>0</v>
      </c>
    </row>
    <row r="680" spans="1:23" x14ac:dyDescent="0.25">
      <c r="A680" s="1" t="s">
        <v>61</v>
      </c>
      <c r="B680" s="1" t="s">
        <v>53</v>
      </c>
      <c r="C680" s="2">
        <v>113</v>
      </c>
      <c r="D680" s="2">
        <v>204</v>
      </c>
      <c r="E680" s="1" t="s">
        <v>231</v>
      </c>
      <c r="G680">
        <v>0</v>
      </c>
      <c r="H680">
        <v>0</v>
      </c>
      <c r="I680">
        <v>0</v>
      </c>
      <c r="J680">
        <v>0</v>
      </c>
      <c r="K680">
        <v>0</v>
      </c>
      <c r="L680">
        <v>0</v>
      </c>
      <c r="M680">
        <v>0</v>
      </c>
      <c r="N680">
        <v>0</v>
      </c>
      <c r="O680">
        <v>0</v>
      </c>
      <c r="P680">
        <v>0</v>
      </c>
      <c r="Q680" t="str">
        <f>INDEX('Partner data'!A:DH,MATCH(C680,'Partner data'!DG:DG,0),83)</f>
        <v>Soggetto pubblico</v>
      </c>
      <c r="R680" t="b">
        <f>IF(E680="staff",IF(INDEX('Partner data'!A:DH,MATCH(C680,'Partner data'!DG:DG,0),112)="BL1 non presente","FALSO",INDEX('Partner data'!A:DH,MATCH(C680,'Partner data'!DG:DG,0),112)))</f>
        <v>0</v>
      </c>
      <c r="S680" t="b">
        <f t="shared" si="20"/>
        <v>0</v>
      </c>
      <c r="T680" t="b">
        <f t="shared" si="21"/>
        <v>1</v>
      </c>
      <c r="U680" s="154">
        <f>IFERROR(IF(R680&lt;&gt;FALSE,IF(S680=TRUE,INDEX('SummaryNOT_VALIDATED-BL'!$A$1:$F$16,MATCH(R680,'SummaryNOT_VALIDATED-BL'!$A$1:$A$16,0),6),0),IF(S680=TRUE,INDEX('SummaryNOT_VALIDATED-BL'!$A$1:$F$16,MATCH(E680,'SummaryNOT_VALIDATED-BL'!$A$1:$A$16,0),6),0)),0)</f>
        <v>0</v>
      </c>
      <c r="V680" s="81" cm="1">
        <f t="array" ref="V680">INDEX('Weight tables'!$A$24:$C$27,MATCH(1,(RendicontiTrasmessiBL__2[[#This Row],[Cut percentage on real costs + USC]]&gt;='Weight tables'!$B$24:$B$27)*(RendicontiTrasmessiBL__2[[#This Row],[Cut percentage on real costs + USC]]&lt;='Weight tables'!$C$24:$C$27),0),1)</f>
        <v>0</v>
      </c>
      <c r="W680" s="2">
        <f>RendicontiTrasmessiBL__2[[#This Row],[Weight real costs  + USC ]]</f>
        <v>0</v>
      </c>
    </row>
    <row r="681" spans="1:23" x14ac:dyDescent="0.25">
      <c r="A681" s="1" t="s">
        <v>61</v>
      </c>
      <c r="B681" s="1" t="s">
        <v>53</v>
      </c>
      <c r="C681" s="2">
        <v>113</v>
      </c>
      <c r="D681" s="2">
        <v>204</v>
      </c>
      <c r="E681" s="1" t="s">
        <v>232</v>
      </c>
      <c r="G681">
        <v>0</v>
      </c>
      <c r="H681">
        <v>0</v>
      </c>
      <c r="I681">
        <v>0</v>
      </c>
      <c r="J681">
        <v>0</v>
      </c>
      <c r="K681">
        <v>0</v>
      </c>
      <c r="L681">
        <v>0</v>
      </c>
      <c r="M681">
        <v>0</v>
      </c>
      <c r="N681">
        <v>0</v>
      </c>
      <c r="O681">
        <v>0</v>
      </c>
      <c r="P681">
        <v>0</v>
      </c>
      <c r="Q681" t="str">
        <f>INDEX('Partner data'!A:DH,MATCH(C681,'Partner data'!DG:DG,0),83)</f>
        <v>Soggetto pubblico</v>
      </c>
      <c r="R681" t="b">
        <f>IF(E681="staff",IF(INDEX('Partner data'!A:DH,MATCH(C681,'Partner data'!DG:DG,0),112)="BL1 non presente","FALSO",INDEX('Partner data'!A:DH,MATCH(C681,'Partner data'!DG:DG,0),112)))</f>
        <v>0</v>
      </c>
      <c r="S681" t="b">
        <f t="shared" si="20"/>
        <v>0</v>
      </c>
      <c r="T681" t="b">
        <f t="shared" si="21"/>
        <v>1</v>
      </c>
      <c r="U681" s="154">
        <f>IFERROR(IF(R681&lt;&gt;FALSE,IF(S681=TRUE,INDEX('SummaryNOT_VALIDATED-BL'!$A$1:$F$16,MATCH(R681,'SummaryNOT_VALIDATED-BL'!$A$1:$A$16,0),6),0),IF(S681=TRUE,INDEX('SummaryNOT_VALIDATED-BL'!$A$1:$F$16,MATCH(E681,'SummaryNOT_VALIDATED-BL'!$A$1:$A$16,0),6),0)),0)</f>
        <v>0</v>
      </c>
      <c r="V681" s="81" cm="1">
        <f t="array" ref="V681">INDEX('Weight tables'!$A$24:$C$27,MATCH(1,(RendicontiTrasmessiBL__2[[#This Row],[Cut percentage on real costs + USC]]&gt;='Weight tables'!$B$24:$B$27)*(RendicontiTrasmessiBL__2[[#This Row],[Cut percentage on real costs + USC]]&lt;='Weight tables'!$C$24:$C$27),0),1)</f>
        <v>0</v>
      </c>
      <c r="W681" s="2">
        <f>RendicontiTrasmessiBL__2[[#This Row],[Weight real costs  + USC ]]</f>
        <v>0</v>
      </c>
    </row>
    <row r="682" spans="1:23" x14ac:dyDescent="0.25">
      <c r="A682" s="1" t="s">
        <v>61</v>
      </c>
      <c r="B682" s="1" t="s">
        <v>53</v>
      </c>
      <c r="C682" s="2">
        <v>113</v>
      </c>
      <c r="D682" s="2">
        <v>204</v>
      </c>
      <c r="E682" s="1" t="s">
        <v>233</v>
      </c>
      <c r="G682">
        <v>0</v>
      </c>
      <c r="H682">
        <v>0</v>
      </c>
      <c r="I682">
        <v>0</v>
      </c>
      <c r="J682">
        <v>0</v>
      </c>
      <c r="K682">
        <v>0</v>
      </c>
      <c r="L682">
        <v>0</v>
      </c>
      <c r="M682">
        <v>0</v>
      </c>
      <c r="N682">
        <v>0</v>
      </c>
      <c r="O682">
        <v>0</v>
      </c>
      <c r="P682">
        <v>0</v>
      </c>
      <c r="Q682" t="str">
        <f>INDEX('Partner data'!A:DH,MATCH(C682,'Partner data'!DG:DG,0),83)</f>
        <v>Soggetto pubblico</v>
      </c>
      <c r="R682" t="b">
        <f>IF(E682="staff",IF(INDEX('Partner data'!A:DH,MATCH(C682,'Partner data'!DG:DG,0),112)="BL1 non presente","FALSO",INDEX('Partner data'!A:DH,MATCH(C682,'Partner data'!DG:DG,0),112)))</f>
        <v>0</v>
      </c>
      <c r="S682" t="b">
        <f t="shared" si="20"/>
        <v>0</v>
      </c>
      <c r="T682" t="b">
        <f t="shared" si="21"/>
        <v>1</v>
      </c>
      <c r="U682" s="154">
        <f>IFERROR(IF(R682&lt;&gt;FALSE,IF(S682=TRUE,INDEX('SummaryNOT_VALIDATED-BL'!$A$1:$F$16,MATCH(R682,'SummaryNOT_VALIDATED-BL'!$A$1:$A$16,0),6),0),IF(S682=TRUE,INDEX('SummaryNOT_VALIDATED-BL'!$A$1:$F$16,MATCH(E682,'SummaryNOT_VALIDATED-BL'!$A$1:$A$16,0),6),0)),0)</f>
        <v>0</v>
      </c>
      <c r="V682" s="81" cm="1">
        <f t="array" ref="V682">INDEX('Weight tables'!$A$24:$C$27,MATCH(1,(RendicontiTrasmessiBL__2[[#This Row],[Cut percentage on real costs + USC]]&gt;='Weight tables'!$B$24:$B$27)*(RendicontiTrasmessiBL__2[[#This Row],[Cut percentage on real costs + USC]]&lt;='Weight tables'!$C$24:$C$27),0),1)</f>
        <v>0</v>
      </c>
      <c r="W682" s="2">
        <f>RendicontiTrasmessiBL__2[[#This Row],[Weight real costs  + USC ]]</f>
        <v>0</v>
      </c>
    </row>
    <row r="683" spans="1:23" x14ac:dyDescent="0.25">
      <c r="A683" s="1" t="s">
        <v>61</v>
      </c>
      <c r="B683" s="1" t="s">
        <v>53</v>
      </c>
      <c r="C683" s="2">
        <v>113</v>
      </c>
      <c r="D683" s="2">
        <v>204</v>
      </c>
      <c r="E683" s="1" t="s">
        <v>234</v>
      </c>
      <c r="F683">
        <v>40</v>
      </c>
      <c r="G683">
        <v>26200</v>
      </c>
      <c r="H683">
        <v>0</v>
      </c>
      <c r="I683">
        <v>0</v>
      </c>
      <c r="J683">
        <v>5580.77</v>
      </c>
      <c r="K683">
        <v>0</v>
      </c>
      <c r="L683">
        <v>5520.47</v>
      </c>
      <c r="M683">
        <v>5580.77</v>
      </c>
      <c r="N683">
        <v>21.3</v>
      </c>
      <c r="O683">
        <v>20619.23</v>
      </c>
      <c r="P683">
        <v>0</v>
      </c>
      <c r="Q683" t="str">
        <f>INDEX('Partner data'!A:DH,MATCH(C683,'Partner data'!DG:DG,0),83)</f>
        <v>Soggetto pubblico</v>
      </c>
      <c r="R683" t="b">
        <f>IF(E683="staff",IF(INDEX('Partner data'!A:DH,MATCH(C683,'Partner data'!DG:DG,0),112)="BL1 non presente","FALSO",INDEX('Partner data'!A:DH,MATCH(C683,'Partner data'!DG:DG,0),112)))</f>
        <v>0</v>
      </c>
      <c r="S683" t="b">
        <f t="shared" si="20"/>
        <v>1</v>
      </c>
      <c r="T683" t="b">
        <f t="shared" si="21"/>
        <v>1</v>
      </c>
      <c r="U683" s="154">
        <f>IFERROR(IF(R683&lt;&gt;FALSE,IF(S683=TRUE,INDEX('SummaryNOT_VALIDATED-BL'!$A$1:$F$16,MATCH(R683,'SummaryNOT_VALIDATED-BL'!$A$1:$A$16,0),6),0),IF(S683=TRUE,INDEX('SummaryNOT_VALIDATED-BL'!$A$1:$F$16,MATCH(E683,'SummaryNOT_VALIDATED-BL'!$A$1:$A$16,0),6),0)),0)</f>
        <v>8.7645339819521315E-2</v>
      </c>
      <c r="V683" s="81" cm="1">
        <f t="array" ref="V683">INDEX('Weight tables'!$A$24:$C$27,MATCH(1,(RendicontiTrasmessiBL__2[[#This Row],[Cut percentage on real costs + USC]]&gt;='Weight tables'!$B$24:$B$27)*(RendicontiTrasmessiBL__2[[#This Row],[Cut percentage on real costs + USC]]&lt;='Weight tables'!$C$24:$C$27),0),1)</f>
        <v>4</v>
      </c>
      <c r="W683" s="2">
        <f>RendicontiTrasmessiBL__2[[#This Row],[Weight real costs  + USC ]]</f>
        <v>4</v>
      </c>
    </row>
    <row r="684" spans="1:23" x14ac:dyDescent="0.25">
      <c r="A684" s="1" t="s">
        <v>61</v>
      </c>
      <c r="B684" s="1" t="s">
        <v>53</v>
      </c>
      <c r="C684" s="2">
        <v>113</v>
      </c>
      <c r="D684" s="2">
        <v>204</v>
      </c>
      <c r="E684" s="1" t="s">
        <v>236</v>
      </c>
      <c r="G684">
        <v>0</v>
      </c>
      <c r="H684">
        <v>0</v>
      </c>
      <c r="I684">
        <v>0</v>
      </c>
      <c r="J684">
        <v>0</v>
      </c>
      <c r="K684">
        <v>0</v>
      </c>
      <c r="L684">
        <v>0</v>
      </c>
      <c r="M684">
        <v>0</v>
      </c>
      <c r="N684">
        <v>0</v>
      </c>
      <c r="O684">
        <v>0</v>
      </c>
      <c r="P684">
        <v>0</v>
      </c>
      <c r="Q684" t="str">
        <f>INDEX('Partner data'!A:DH,MATCH(C684,'Partner data'!DG:DG,0),83)</f>
        <v>Soggetto pubblico</v>
      </c>
      <c r="R684" t="b">
        <f>IF(E684="staff",IF(INDEX('Partner data'!A:DH,MATCH(C684,'Partner data'!DG:DG,0),112)="BL1 non presente","FALSO",INDEX('Partner data'!A:DH,MATCH(C684,'Partner data'!DG:DG,0),112)))</f>
        <v>0</v>
      </c>
      <c r="S684" t="b">
        <f t="shared" si="20"/>
        <v>0</v>
      </c>
      <c r="T684" t="b">
        <f t="shared" si="21"/>
        <v>1</v>
      </c>
      <c r="U684" s="154">
        <f>IFERROR(IF(R684&lt;&gt;FALSE,IF(S684=TRUE,INDEX('SummaryNOT_VALIDATED-BL'!$A$1:$F$16,MATCH(R684,'SummaryNOT_VALIDATED-BL'!$A$1:$A$16,0),6),0),IF(S684=TRUE,INDEX('SummaryNOT_VALIDATED-BL'!$A$1:$F$16,MATCH(E684,'SummaryNOT_VALIDATED-BL'!$A$1:$A$16,0),6),0)),0)</f>
        <v>0</v>
      </c>
      <c r="V684" s="81" cm="1">
        <f t="array" ref="V684">INDEX('Weight tables'!$A$24:$C$27,MATCH(1,(RendicontiTrasmessiBL__2[[#This Row],[Cut percentage on real costs + USC]]&gt;='Weight tables'!$B$24:$B$27)*(RendicontiTrasmessiBL__2[[#This Row],[Cut percentage on real costs + USC]]&lt;='Weight tables'!$C$24:$C$27),0),1)</f>
        <v>0</v>
      </c>
      <c r="W684" s="2">
        <f>RendicontiTrasmessiBL__2[[#This Row],[Weight real costs  + USC ]]</f>
        <v>0</v>
      </c>
    </row>
    <row r="685" spans="1:23" x14ac:dyDescent="0.25">
      <c r="A685" s="1" t="s">
        <v>61</v>
      </c>
      <c r="B685" s="1" t="s">
        <v>53</v>
      </c>
      <c r="C685" s="2">
        <v>113</v>
      </c>
      <c r="D685" s="2">
        <v>204</v>
      </c>
      <c r="E685" s="1" t="s">
        <v>237</v>
      </c>
      <c r="G685">
        <v>0</v>
      </c>
      <c r="H685">
        <v>0</v>
      </c>
      <c r="I685">
        <v>0</v>
      </c>
      <c r="J685">
        <v>0</v>
      </c>
      <c r="K685">
        <v>0</v>
      </c>
      <c r="L685">
        <v>0</v>
      </c>
      <c r="M685">
        <v>0</v>
      </c>
      <c r="N685">
        <v>0</v>
      </c>
      <c r="O685">
        <v>0</v>
      </c>
      <c r="P685">
        <v>0</v>
      </c>
      <c r="Q685" t="str">
        <f>INDEX('Partner data'!A:DH,MATCH(C685,'Partner data'!DG:DG,0),83)</f>
        <v>Soggetto pubblico</v>
      </c>
      <c r="R685" t="b">
        <f>IF(E685="staff",IF(INDEX('Partner data'!A:DH,MATCH(C685,'Partner data'!DG:DG,0),112)="BL1 non presente","FALSO",INDEX('Partner data'!A:DH,MATCH(C685,'Partner data'!DG:DG,0),112)))</f>
        <v>0</v>
      </c>
      <c r="S685" t="b">
        <f t="shared" si="20"/>
        <v>0</v>
      </c>
      <c r="T685" t="b">
        <f t="shared" si="21"/>
        <v>1</v>
      </c>
      <c r="U685" s="154">
        <f>IFERROR(IF(R685&lt;&gt;FALSE,IF(S685=TRUE,INDEX('SummaryNOT_VALIDATED-BL'!$A$1:$F$16,MATCH(R685,'SummaryNOT_VALIDATED-BL'!$A$1:$A$16,0),6),0),IF(S685=TRUE,INDEX('SummaryNOT_VALIDATED-BL'!$A$1:$F$16,MATCH(E685,'SummaryNOT_VALIDATED-BL'!$A$1:$A$16,0),6),0)),0)</f>
        <v>0</v>
      </c>
      <c r="V685" s="81" cm="1">
        <f t="array" ref="V685">INDEX('Weight tables'!$A$24:$C$27,MATCH(1,(RendicontiTrasmessiBL__2[[#This Row],[Cut percentage on real costs + USC]]&gt;='Weight tables'!$B$24:$B$27)*(RendicontiTrasmessiBL__2[[#This Row],[Cut percentage on real costs + USC]]&lt;='Weight tables'!$C$24:$C$27),0),1)</f>
        <v>0</v>
      </c>
      <c r="W685" s="2">
        <f>RendicontiTrasmessiBL__2[[#This Row],[Weight real costs  + USC ]]</f>
        <v>0</v>
      </c>
    </row>
    <row r="686" spans="1:23" x14ac:dyDescent="0.25">
      <c r="A686" s="1" t="s">
        <v>361</v>
      </c>
      <c r="B686" s="1" t="s">
        <v>362</v>
      </c>
      <c r="C686" s="2">
        <v>243</v>
      </c>
      <c r="D686" s="2">
        <v>152</v>
      </c>
      <c r="E686" s="1" t="s">
        <v>228</v>
      </c>
      <c r="F686">
        <v>20</v>
      </c>
      <c r="G686">
        <v>21860</v>
      </c>
      <c r="H686">
        <v>0</v>
      </c>
      <c r="I686">
        <v>0</v>
      </c>
      <c r="J686">
        <v>0</v>
      </c>
      <c r="K686">
        <v>0</v>
      </c>
      <c r="L686">
        <v>0</v>
      </c>
      <c r="M686">
        <v>0</v>
      </c>
      <c r="N686">
        <v>0</v>
      </c>
      <c r="O686">
        <v>21860</v>
      </c>
      <c r="P686">
        <v>0</v>
      </c>
      <c r="Q686" t="str">
        <f>INDEX('Partner data'!A:DH,MATCH(C686,'Partner data'!DG:DG,0),83)</f>
        <v>Soggetto pubblico</v>
      </c>
      <c r="R686" t="str">
        <f>IF(E686="staff",IF(INDEX('Partner data'!A:DH,MATCH(C686,'Partner data'!DG:DG,0),112)="BL1 non presente","FALSO",INDEX('Partner data'!A:DH,MATCH(C686,'Partner data'!DG:DG,0),112)))</f>
        <v>Tasso Forfettario 20%</v>
      </c>
      <c r="S686" t="b">
        <f t="shared" si="20"/>
        <v>0</v>
      </c>
      <c r="T686" t="b">
        <f t="shared" si="21"/>
        <v>1</v>
      </c>
      <c r="U686" s="154">
        <f>IFERROR(IF(R686&lt;&gt;FALSE,IF(S686=TRUE,INDEX('SummaryNOT_VALIDATED-BL'!$A$1:$F$16,MATCH(R686,'SummaryNOT_VALIDATED-BL'!$A$1:$A$16,0),6),0),IF(S686=TRUE,INDEX('SummaryNOT_VALIDATED-BL'!$A$1:$F$16,MATCH(E686,'SummaryNOT_VALIDATED-BL'!$A$1:$A$16,0),6),0)),0)</f>
        <v>0</v>
      </c>
      <c r="V686" s="81" cm="1">
        <f t="array" ref="V686">INDEX('Weight tables'!$A$24:$C$27,MATCH(1,(RendicontiTrasmessiBL__2[[#This Row],[Cut percentage on real costs + USC]]&gt;='Weight tables'!$B$24:$B$27)*(RendicontiTrasmessiBL__2[[#This Row],[Cut percentage on real costs + USC]]&lt;='Weight tables'!$C$24:$C$27),0),1)</f>
        <v>0</v>
      </c>
      <c r="W686" s="2">
        <f>RendicontiTrasmessiBL__2[[#This Row],[Weight real costs  + USC ]]</f>
        <v>0</v>
      </c>
    </row>
    <row r="687" spans="1:23" x14ac:dyDescent="0.25">
      <c r="A687" s="1" t="s">
        <v>361</v>
      </c>
      <c r="B687" s="1" t="s">
        <v>362</v>
      </c>
      <c r="C687" s="2">
        <v>243</v>
      </c>
      <c r="D687" s="2">
        <v>152</v>
      </c>
      <c r="E687" s="1" t="s">
        <v>229</v>
      </c>
      <c r="F687">
        <v>15</v>
      </c>
      <c r="G687">
        <v>3279</v>
      </c>
      <c r="H687">
        <v>0</v>
      </c>
      <c r="I687">
        <v>0</v>
      </c>
      <c r="J687">
        <v>0</v>
      </c>
      <c r="K687">
        <v>0</v>
      </c>
      <c r="L687">
        <v>0</v>
      </c>
      <c r="M687">
        <v>0</v>
      </c>
      <c r="N687">
        <v>0</v>
      </c>
      <c r="O687">
        <v>3279</v>
      </c>
      <c r="P687">
        <v>0</v>
      </c>
      <c r="Q687" t="str">
        <f>INDEX('Partner data'!A:DH,MATCH(C687,'Partner data'!DG:DG,0),83)</f>
        <v>Soggetto pubblico</v>
      </c>
      <c r="R687" t="b">
        <f>IF(E687="staff",IF(INDEX('Partner data'!A:DH,MATCH(C687,'Partner data'!DG:DG,0),112)="BL1 non presente","FALSO",INDEX('Partner data'!A:DH,MATCH(C687,'Partner data'!DG:DG,0),112)))</f>
        <v>0</v>
      </c>
      <c r="S687" t="b">
        <f t="shared" si="20"/>
        <v>0</v>
      </c>
      <c r="T687" t="b">
        <f t="shared" si="21"/>
        <v>1</v>
      </c>
      <c r="U687" s="154">
        <f>IFERROR(IF(R687&lt;&gt;FALSE,IF(S687=TRUE,INDEX('SummaryNOT_VALIDATED-BL'!$A$1:$F$16,MATCH(R687,'SummaryNOT_VALIDATED-BL'!$A$1:$A$16,0),6),0),IF(S687=TRUE,INDEX('SummaryNOT_VALIDATED-BL'!$A$1:$F$16,MATCH(E687,'SummaryNOT_VALIDATED-BL'!$A$1:$A$16,0),6),0)),0)</f>
        <v>0</v>
      </c>
      <c r="V687" s="81" cm="1">
        <f t="array" ref="V687">INDEX('Weight tables'!$A$24:$C$27,MATCH(1,(RendicontiTrasmessiBL__2[[#This Row],[Cut percentage on real costs + USC]]&gt;='Weight tables'!$B$24:$B$27)*(RendicontiTrasmessiBL__2[[#This Row],[Cut percentage on real costs + USC]]&lt;='Weight tables'!$C$24:$C$27),0),1)</f>
        <v>0</v>
      </c>
      <c r="W687" s="2">
        <f>RendicontiTrasmessiBL__2[[#This Row],[Weight real costs  + USC ]]</f>
        <v>0</v>
      </c>
    </row>
    <row r="688" spans="1:23" x14ac:dyDescent="0.25">
      <c r="A688" s="1" t="s">
        <v>361</v>
      </c>
      <c r="B688" s="1" t="s">
        <v>362</v>
      </c>
      <c r="C688" s="2">
        <v>243</v>
      </c>
      <c r="D688" s="2">
        <v>152</v>
      </c>
      <c r="E688" s="1" t="s">
        <v>230</v>
      </c>
      <c r="F688">
        <v>4</v>
      </c>
      <c r="G688">
        <v>874.4</v>
      </c>
      <c r="H688">
        <v>0</v>
      </c>
      <c r="I688">
        <v>0</v>
      </c>
      <c r="J688">
        <v>0</v>
      </c>
      <c r="K688">
        <v>0</v>
      </c>
      <c r="L688">
        <v>0</v>
      </c>
      <c r="M688">
        <v>0</v>
      </c>
      <c r="N688">
        <v>0</v>
      </c>
      <c r="O688">
        <v>874.4</v>
      </c>
      <c r="P688">
        <v>0</v>
      </c>
      <c r="Q688" t="str">
        <f>INDEX('Partner data'!A:DH,MATCH(C688,'Partner data'!DG:DG,0),83)</f>
        <v>Soggetto pubblico</v>
      </c>
      <c r="R688" t="b">
        <f>IF(E688="staff",IF(INDEX('Partner data'!A:DH,MATCH(C688,'Partner data'!DG:DG,0),112)="BL1 non presente","FALSO",INDEX('Partner data'!A:DH,MATCH(C688,'Partner data'!DG:DG,0),112)))</f>
        <v>0</v>
      </c>
      <c r="S688" t="b">
        <f t="shared" si="20"/>
        <v>0</v>
      </c>
      <c r="T688" t="b">
        <f t="shared" si="21"/>
        <v>1</v>
      </c>
      <c r="U688" s="154">
        <f>IFERROR(IF(R688&lt;&gt;FALSE,IF(S688=TRUE,INDEX('SummaryNOT_VALIDATED-BL'!$A$1:$F$16,MATCH(R688,'SummaryNOT_VALIDATED-BL'!$A$1:$A$16,0),6),0),IF(S688=TRUE,INDEX('SummaryNOT_VALIDATED-BL'!$A$1:$F$16,MATCH(E688,'SummaryNOT_VALIDATED-BL'!$A$1:$A$16,0),6),0)),0)</f>
        <v>0</v>
      </c>
      <c r="V688" s="81" cm="1">
        <f t="array" ref="V688">INDEX('Weight tables'!$A$24:$C$27,MATCH(1,(RendicontiTrasmessiBL__2[[#This Row],[Cut percentage on real costs + USC]]&gt;='Weight tables'!$B$24:$B$27)*(RendicontiTrasmessiBL__2[[#This Row],[Cut percentage on real costs + USC]]&lt;='Weight tables'!$C$24:$C$27),0),1)</f>
        <v>0</v>
      </c>
      <c r="W688" s="2">
        <f>RendicontiTrasmessiBL__2[[#This Row],[Weight real costs  + USC ]]</f>
        <v>0</v>
      </c>
    </row>
    <row r="689" spans="1:23" x14ac:dyDescent="0.25">
      <c r="A689" s="1" t="s">
        <v>361</v>
      </c>
      <c r="B689" s="1" t="s">
        <v>362</v>
      </c>
      <c r="C689" s="2">
        <v>243</v>
      </c>
      <c r="D689" s="2">
        <v>152</v>
      </c>
      <c r="E689" s="1" t="s">
        <v>231</v>
      </c>
      <c r="G689">
        <v>103700</v>
      </c>
      <c r="H689">
        <v>0</v>
      </c>
      <c r="I689">
        <v>0</v>
      </c>
      <c r="J689">
        <v>0</v>
      </c>
      <c r="K689">
        <v>0</v>
      </c>
      <c r="L689">
        <v>0</v>
      </c>
      <c r="M689">
        <v>0</v>
      </c>
      <c r="N689">
        <v>0</v>
      </c>
      <c r="O689">
        <v>103700</v>
      </c>
      <c r="P689">
        <v>0</v>
      </c>
      <c r="Q689" t="str">
        <f>INDEX('Partner data'!A:DH,MATCH(C689,'Partner data'!DG:DG,0),83)</f>
        <v>Soggetto pubblico</v>
      </c>
      <c r="R689" t="b">
        <f>IF(E689="staff",IF(INDEX('Partner data'!A:DH,MATCH(C689,'Partner data'!DG:DG,0),112)="BL1 non presente","FALSO",INDEX('Partner data'!A:DH,MATCH(C689,'Partner data'!DG:DG,0),112)))</f>
        <v>0</v>
      </c>
      <c r="S689" t="b">
        <f t="shared" si="20"/>
        <v>0</v>
      </c>
      <c r="T689" t="b">
        <f t="shared" si="21"/>
        <v>1</v>
      </c>
      <c r="U689" s="154">
        <f>IFERROR(IF(R689&lt;&gt;FALSE,IF(S689=TRUE,INDEX('SummaryNOT_VALIDATED-BL'!$A$1:$F$16,MATCH(R689,'SummaryNOT_VALIDATED-BL'!$A$1:$A$16,0),6),0),IF(S689=TRUE,INDEX('SummaryNOT_VALIDATED-BL'!$A$1:$F$16,MATCH(E689,'SummaryNOT_VALIDATED-BL'!$A$1:$A$16,0),6),0)),0)</f>
        <v>0</v>
      </c>
      <c r="V689" s="81" cm="1">
        <f t="array" ref="V689">INDEX('Weight tables'!$A$24:$C$27,MATCH(1,(RendicontiTrasmessiBL__2[[#This Row],[Cut percentage on real costs + USC]]&gt;='Weight tables'!$B$24:$B$27)*(RendicontiTrasmessiBL__2[[#This Row],[Cut percentage on real costs + USC]]&lt;='Weight tables'!$C$24:$C$27),0),1)</f>
        <v>0</v>
      </c>
      <c r="W689" s="2">
        <f>RendicontiTrasmessiBL__2[[#This Row],[Weight real costs  + USC ]]</f>
        <v>0</v>
      </c>
    </row>
    <row r="690" spans="1:23" x14ac:dyDescent="0.25">
      <c r="A690" s="1" t="s">
        <v>361</v>
      </c>
      <c r="B690" s="1" t="s">
        <v>362</v>
      </c>
      <c r="C690" s="2">
        <v>243</v>
      </c>
      <c r="D690" s="2">
        <v>152</v>
      </c>
      <c r="E690" s="1" t="s">
        <v>232</v>
      </c>
      <c r="G690">
        <v>5600</v>
      </c>
      <c r="H690">
        <v>0</v>
      </c>
      <c r="I690">
        <v>0</v>
      </c>
      <c r="J690">
        <v>0</v>
      </c>
      <c r="K690">
        <v>0</v>
      </c>
      <c r="L690">
        <v>0</v>
      </c>
      <c r="M690">
        <v>0</v>
      </c>
      <c r="N690">
        <v>0</v>
      </c>
      <c r="O690">
        <v>5600</v>
      </c>
      <c r="P690">
        <v>0</v>
      </c>
      <c r="Q690" t="str">
        <f>INDEX('Partner data'!A:DH,MATCH(C690,'Partner data'!DG:DG,0),83)</f>
        <v>Soggetto pubblico</v>
      </c>
      <c r="R690" t="b">
        <f>IF(E690="staff",IF(INDEX('Partner data'!A:DH,MATCH(C690,'Partner data'!DG:DG,0),112)="BL1 non presente","FALSO",INDEX('Partner data'!A:DH,MATCH(C690,'Partner data'!DG:DG,0),112)))</f>
        <v>0</v>
      </c>
      <c r="S690" t="b">
        <f t="shared" si="20"/>
        <v>0</v>
      </c>
      <c r="T690" t="b">
        <f t="shared" si="21"/>
        <v>1</v>
      </c>
      <c r="U690" s="154">
        <f>IFERROR(IF(R690&lt;&gt;FALSE,IF(S690=TRUE,INDEX('SummaryNOT_VALIDATED-BL'!$A$1:$F$16,MATCH(R690,'SummaryNOT_VALIDATED-BL'!$A$1:$A$16,0),6),0),IF(S690=TRUE,INDEX('SummaryNOT_VALIDATED-BL'!$A$1:$F$16,MATCH(E690,'SummaryNOT_VALIDATED-BL'!$A$1:$A$16,0),6),0)),0)</f>
        <v>0</v>
      </c>
      <c r="V690" s="81" cm="1">
        <f t="array" ref="V690">INDEX('Weight tables'!$A$24:$C$27,MATCH(1,(RendicontiTrasmessiBL__2[[#This Row],[Cut percentage on real costs + USC]]&gt;='Weight tables'!$B$24:$B$27)*(RendicontiTrasmessiBL__2[[#This Row],[Cut percentage on real costs + USC]]&lt;='Weight tables'!$C$24:$C$27),0),1)</f>
        <v>0</v>
      </c>
      <c r="W690" s="2">
        <f>RendicontiTrasmessiBL__2[[#This Row],[Weight real costs  + USC ]]</f>
        <v>0</v>
      </c>
    </row>
    <row r="691" spans="1:23" x14ac:dyDescent="0.25">
      <c r="A691" s="1" t="s">
        <v>361</v>
      </c>
      <c r="B691" s="1" t="s">
        <v>362</v>
      </c>
      <c r="C691" s="2">
        <v>243</v>
      </c>
      <c r="D691" s="2">
        <v>152</v>
      </c>
      <c r="E691" s="1" t="s">
        <v>233</v>
      </c>
      <c r="G691">
        <v>0</v>
      </c>
      <c r="H691">
        <v>0</v>
      </c>
      <c r="I691">
        <v>0</v>
      </c>
      <c r="J691">
        <v>0</v>
      </c>
      <c r="K691">
        <v>0</v>
      </c>
      <c r="L691">
        <v>0</v>
      </c>
      <c r="M691">
        <v>0</v>
      </c>
      <c r="N691">
        <v>0</v>
      </c>
      <c r="O691">
        <v>0</v>
      </c>
      <c r="P691">
        <v>0</v>
      </c>
      <c r="Q691" t="str">
        <f>INDEX('Partner data'!A:DH,MATCH(C691,'Partner data'!DG:DG,0),83)</f>
        <v>Soggetto pubblico</v>
      </c>
      <c r="R691" t="b">
        <f>IF(E691="staff",IF(INDEX('Partner data'!A:DH,MATCH(C691,'Partner data'!DG:DG,0),112)="BL1 non presente","FALSO",INDEX('Partner data'!A:DH,MATCH(C691,'Partner data'!DG:DG,0),112)))</f>
        <v>0</v>
      </c>
      <c r="S691" t="b">
        <f t="shared" si="20"/>
        <v>0</v>
      </c>
      <c r="T691" t="b">
        <f t="shared" si="21"/>
        <v>1</v>
      </c>
      <c r="U691" s="154">
        <f>IFERROR(IF(R691&lt;&gt;FALSE,IF(S691=TRUE,INDEX('SummaryNOT_VALIDATED-BL'!$A$1:$F$16,MATCH(R691,'SummaryNOT_VALIDATED-BL'!$A$1:$A$16,0),6),0),IF(S691=TRUE,INDEX('SummaryNOT_VALIDATED-BL'!$A$1:$F$16,MATCH(E691,'SummaryNOT_VALIDATED-BL'!$A$1:$A$16,0),6),0)),0)</f>
        <v>0</v>
      </c>
      <c r="V691" s="81" cm="1">
        <f t="array" ref="V691">INDEX('Weight tables'!$A$24:$C$27,MATCH(1,(RendicontiTrasmessiBL__2[[#This Row],[Cut percentage on real costs + USC]]&gt;='Weight tables'!$B$24:$B$27)*(RendicontiTrasmessiBL__2[[#This Row],[Cut percentage on real costs + USC]]&lt;='Weight tables'!$C$24:$C$27),0),1)</f>
        <v>0</v>
      </c>
      <c r="W691" s="2">
        <f>RendicontiTrasmessiBL__2[[#This Row],[Weight real costs  + USC ]]</f>
        <v>0</v>
      </c>
    </row>
    <row r="692" spans="1:23" x14ac:dyDescent="0.25">
      <c r="A692" s="1" t="s">
        <v>361</v>
      </c>
      <c r="B692" s="1" t="s">
        <v>362</v>
      </c>
      <c r="C692" s="2">
        <v>243</v>
      </c>
      <c r="D692" s="2">
        <v>152</v>
      </c>
      <c r="E692" s="1" t="s">
        <v>234</v>
      </c>
      <c r="G692">
        <v>0</v>
      </c>
      <c r="H692">
        <v>0</v>
      </c>
      <c r="I692">
        <v>0</v>
      </c>
      <c r="J692">
        <v>0</v>
      </c>
      <c r="K692">
        <v>0</v>
      </c>
      <c r="L692">
        <v>0</v>
      </c>
      <c r="M692">
        <v>0</v>
      </c>
      <c r="N692">
        <v>0</v>
      </c>
      <c r="O692">
        <v>0</v>
      </c>
      <c r="P692">
        <v>0</v>
      </c>
      <c r="Q692" t="str">
        <f>INDEX('Partner data'!A:DH,MATCH(C692,'Partner data'!DG:DG,0),83)</f>
        <v>Soggetto pubblico</v>
      </c>
      <c r="R692" t="b">
        <f>IF(E692="staff",IF(INDEX('Partner data'!A:DH,MATCH(C692,'Partner data'!DG:DG,0),112)="BL1 non presente","FALSO",INDEX('Partner data'!A:DH,MATCH(C692,'Partner data'!DG:DG,0),112)))</f>
        <v>0</v>
      </c>
      <c r="S692" t="b">
        <f t="shared" si="20"/>
        <v>0</v>
      </c>
      <c r="T692" t="b">
        <f t="shared" si="21"/>
        <v>1</v>
      </c>
      <c r="U692" s="154">
        <f>IFERROR(IF(R692&lt;&gt;FALSE,IF(S692=TRUE,INDEX('SummaryNOT_VALIDATED-BL'!$A$1:$F$16,MATCH(R692,'SummaryNOT_VALIDATED-BL'!$A$1:$A$16,0),6),0),IF(S692=TRUE,INDEX('SummaryNOT_VALIDATED-BL'!$A$1:$F$16,MATCH(E692,'SummaryNOT_VALIDATED-BL'!$A$1:$A$16,0),6),0)),0)</f>
        <v>0</v>
      </c>
      <c r="V692" s="81" cm="1">
        <f t="array" ref="V692">INDEX('Weight tables'!$A$24:$C$27,MATCH(1,(RendicontiTrasmessiBL__2[[#This Row],[Cut percentage on real costs + USC]]&gt;='Weight tables'!$B$24:$B$27)*(RendicontiTrasmessiBL__2[[#This Row],[Cut percentage on real costs + USC]]&lt;='Weight tables'!$C$24:$C$27),0),1)</f>
        <v>0</v>
      </c>
      <c r="W692" s="2">
        <f>RendicontiTrasmessiBL__2[[#This Row],[Weight real costs  + USC ]]</f>
        <v>0</v>
      </c>
    </row>
    <row r="693" spans="1:23" x14ac:dyDescent="0.25">
      <c r="A693" s="1" t="s">
        <v>361</v>
      </c>
      <c r="B693" s="1" t="s">
        <v>362</v>
      </c>
      <c r="C693" s="2">
        <v>243</v>
      </c>
      <c r="D693" s="2">
        <v>152</v>
      </c>
      <c r="E693" s="1" t="s">
        <v>236</v>
      </c>
      <c r="G693">
        <v>0</v>
      </c>
      <c r="H693">
        <v>0</v>
      </c>
      <c r="I693">
        <v>0</v>
      </c>
      <c r="J693">
        <v>0</v>
      </c>
      <c r="K693">
        <v>0</v>
      </c>
      <c r="L693">
        <v>0</v>
      </c>
      <c r="M693">
        <v>0</v>
      </c>
      <c r="N693">
        <v>0</v>
      </c>
      <c r="O693">
        <v>0</v>
      </c>
      <c r="P693">
        <v>0</v>
      </c>
      <c r="Q693" t="str">
        <f>INDEX('Partner data'!A:DH,MATCH(C693,'Partner data'!DG:DG,0),83)</f>
        <v>Soggetto pubblico</v>
      </c>
      <c r="R693" t="b">
        <f>IF(E693="staff",IF(INDEX('Partner data'!A:DH,MATCH(C693,'Partner data'!DG:DG,0),112)="BL1 non presente","FALSO",INDEX('Partner data'!A:DH,MATCH(C693,'Partner data'!DG:DG,0),112)))</f>
        <v>0</v>
      </c>
      <c r="S693" t="b">
        <f t="shared" si="20"/>
        <v>0</v>
      </c>
      <c r="T693" t="b">
        <f t="shared" si="21"/>
        <v>1</v>
      </c>
      <c r="U693" s="154">
        <f>IFERROR(IF(R693&lt;&gt;FALSE,IF(S693=TRUE,INDEX('SummaryNOT_VALIDATED-BL'!$A$1:$F$16,MATCH(R693,'SummaryNOT_VALIDATED-BL'!$A$1:$A$16,0),6),0),IF(S693=TRUE,INDEX('SummaryNOT_VALIDATED-BL'!$A$1:$F$16,MATCH(E693,'SummaryNOT_VALIDATED-BL'!$A$1:$A$16,0),6),0)),0)</f>
        <v>0</v>
      </c>
      <c r="V693" s="81" cm="1">
        <f t="array" ref="V693">INDEX('Weight tables'!$A$24:$C$27,MATCH(1,(RendicontiTrasmessiBL__2[[#This Row],[Cut percentage on real costs + USC]]&gt;='Weight tables'!$B$24:$B$27)*(RendicontiTrasmessiBL__2[[#This Row],[Cut percentage on real costs + USC]]&lt;='Weight tables'!$C$24:$C$27),0),1)</f>
        <v>0</v>
      </c>
      <c r="W693" s="2">
        <f>RendicontiTrasmessiBL__2[[#This Row],[Weight real costs  + USC ]]</f>
        <v>0</v>
      </c>
    </row>
    <row r="694" spans="1:23" x14ac:dyDescent="0.25">
      <c r="A694" s="1" t="s">
        <v>361</v>
      </c>
      <c r="B694" s="1" t="s">
        <v>362</v>
      </c>
      <c r="C694" s="2">
        <v>243</v>
      </c>
      <c r="D694" s="2">
        <v>152</v>
      </c>
      <c r="E694" s="1" t="s">
        <v>237</v>
      </c>
      <c r="G694">
        <v>0</v>
      </c>
      <c r="H694">
        <v>0</v>
      </c>
      <c r="I694">
        <v>0</v>
      </c>
      <c r="J694">
        <v>0</v>
      </c>
      <c r="K694">
        <v>0</v>
      </c>
      <c r="L694">
        <v>0</v>
      </c>
      <c r="M694">
        <v>0</v>
      </c>
      <c r="N694">
        <v>0</v>
      </c>
      <c r="O694">
        <v>0</v>
      </c>
      <c r="P694">
        <v>0</v>
      </c>
      <c r="Q694" t="str">
        <f>INDEX('Partner data'!A:DH,MATCH(C694,'Partner data'!DG:DG,0),83)</f>
        <v>Soggetto pubblico</v>
      </c>
      <c r="R694" t="b">
        <f>IF(E694="staff",IF(INDEX('Partner data'!A:DH,MATCH(C694,'Partner data'!DG:DG,0),112)="BL1 non presente","FALSO",INDEX('Partner data'!A:DH,MATCH(C694,'Partner data'!DG:DG,0),112)))</f>
        <v>0</v>
      </c>
      <c r="S694" t="b">
        <f t="shared" si="20"/>
        <v>0</v>
      </c>
      <c r="T694" t="b">
        <f t="shared" si="21"/>
        <v>1</v>
      </c>
      <c r="U694" s="154">
        <f>IFERROR(IF(R694&lt;&gt;FALSE,IF(S694=TRUE,INDEX('SummaryNOT_VALIDATED-BL'!$A$1:$F$16,MATCH(R694,'SummaryNOT_VALIDATED-BL'!$A$1:$A$16,0),6),0),IF(S694=TRUE,INDEX('SummaryNOT_VALIDATED-BL'!$A$1:$F$16,MATCH(E694,'SummaryNOT_VALIDATED-BL'!$A$1:$A$16,0),6),0)),0)</f>
        <v>0</v>
      </c>
      <c r="V694" s="81" cm="1">
        <f t="array" ref="V694">INDEX('Weight tables'!$A$24:$C$27,MATCH(1,(RendicontiTrasmessiBL__2[[#This Row],[Cut percentage on real costs + USC]]&gt;='Weight tables'!$B$24:$B$27)*(RendicontiTrasmessiBL__2[[#This Row],[Cut percentage on real costs + USC]]&lt;='Weight tables'!$C$24:$C$27),0),1)</f>
        <v>0</v>
      </c>
      <c r="W694" s="2">
        <f>RendicontiTrasmessiBL__2[[#This Row],[Weight real costs  + USC ]]</f>
        <v>0</v>
      </c>
    </row>
    <row r="695" spans="1:23" x14ac:dyDescent="0.25">
      <c r="A695" s="1" t="s">
        <v>361</v>
      </c>
      <c r="B695" s="1" t="s">
        <v>342</v>
      </c>
      <c r="C695" s="2">
        <v>240</v>
      </c>
      <c r="D695" s="2">
        <v>211</v>
      </c>
      <c r="E695" s="1" t="s">
        <v>228</v>
      </c>
      <c r="F695">
        <v>20</v>
      </c>
      <c r="G695">
        <v>17780</v>
      </c>
      <c r="H695">
        <v>0</v>
      </c>
      <c r="I695">
        <v>0</v>
      </c>
      <c r="J695">
        <v>394.54</v>
      </c>
      <c r="K695">
        <v>0</v>
      </c>
      <c r="L695">
        <v>0</v>
      </c>
      <c r="M695">
        <v>394.54</v>
      </c>
      <c r="N695">
        <v>2.2200000000000002</v>
      </c>
      <c r="O695">
        <v>17385.46</v>
      </c>
      <c r="P695">
        <v>0</v>
      </c>
      <c r="Q695" t="str">
        <f>INDEX('Partner data'!A:DH,MATCH(C695,'Partner data'!DG:DG,0),83)</f>
        <v>Soggetto pubblico</v>
      </c>
      <c r="R695" t="str">
        <f>IF(E695="staff",IF(INDEX('Partner data'!A:DH,MATCH(C695,'Partner data'!DG:DG,0),112)="BL1 non presente","FALSO",INDEX('Partner data'!A:DH,MATCH(C695,'Partner data'!DG:DG,0),112)))</f>
        <v>Tasso Forfettario 20%</v>
      </c>
      <c r="S695" t="b">
        <f t="shared" si="20"/>
        <v>1</v>
      </c>
      <c r="T695" t="b">
        <f t="shared" si="21"/>
        <v>1</v>
      </c>
      <c r="U695" s="154">
        <f>IFERROR(IF(R695&lt;&gt;FALSE,IF(S695=TRUE,INDEX('SummaryNOT_VALIDATED-BL'!$A$1:$F$16,MATCH(R695,'SummaryNOT_VALIDATED-BL'!$A$1:$A$16,0),6),0),IF(S695=TRUE,INDEX('SummaryNOT_VALIDATED-BL'!$A$1:$F$16,MATCH(E695,'SummaryNOT_VALIDATED-BL'!$A$1:$A$16,0),6),0)),0)</f>
        <v>1.2653355650533233E-2</v>
      </c>
      <c r="V695" s="81" cm="1">
        <f t="array" ref="V695">INDEX('Weight tables'!$A$24:$C$27,MATCH(1,(RendicontiTrasmessiBL__2[[#This Row],[Cut percentage on real costs + USC]]&gt;='Weight tables'!$B$24:$B$27)*(RendicontiTrasmessiBL__2[[#This Row],[Cut percentage on real costs + USC]]&lt;='Weight tables'!$C$24:$C$27),0),1)</f>
        <v>0</v>
      </c>
      <c r="W695" s="2">
        <f>RendicontiTrasmessiBL__2[[#This Row],[Weight real costs  + USC ]]</f>
        <v>0</v>
      </c>
    </row>
    <row r="696" spans="1:23" x14ac:dyDescent="0.25">
      <c r="A696" s="1" t="s">
        <v>361</v>
      </c>
      <c r="B696" s="1" t="s">
        <v>342</v>
      </c>
      <c r="C696" s="2">
        <v>240</v>
      </c>
      <c r="D696" s="2">
        <v>211</v>
      </c>
      <c r="E696" s="1" t="s">
        <v>229</v>
      </c>
      <c r="F696">
        <v>15</v>
      </c>
      <c r="G696">
        <v>2667</v>
      </c>
      <c r="H696">
        <v>0</v>
      </c>
      <c r="I696">
        <v>0</v>
      </c>
      <c r="J696">
        <v>59.18</v>
      </c>
      <c r="K696">
        <v>0</v>
      </c>
      <c r="L696">
        <v>0</v>
      </c>
      <c r="M696">
        <v>59.18</v>
      </c>
      <c r="N696">
        <v>2.2200000000000002</v>
      </c>
      <c r="O696">
        <v>2607.8200000000002</v>
      </c>
      <c r="P696">
        <v>0</v>
      </c>
      <c r="Q696" t="str">
        <f>INDEX('Partner data'!A:DH,MATCH(C696,'Partner data'!DG:DG,0),83)</f>
        <v>Soggetto pubblico</v>
      </c>
      <c r="R696" t="b">
        <f>IF(E696="staff",IF(INDEX('Partner data'!A:DH,MATCH(C696,'Partner data'!DG:DG,0),112)="BL1 non presente","FALSO",INDEX('Partner data'!A:DH,MATCH(C696,'Partner data'!DG:DG,0),112)))</f>
        <v>0</v>
      </c>
      <c r="S696" t="b">
        <f t="shared" si="20"/>
        <v>1</v>
      </c>
      <c r="T696" t="b">
        <f t="shared" si="21"/>
        <v>1</v>
      </c>
      <c r="U696" s="154">
        <f>IFERROR(IF(R696&lt;&gt;FALSE,IF(S696=TRUE,INDEX('SummaryNOT_VALIDATED-BL'!$A$1:$F$16,MATCH(R696,'SummaryNOT_VALIDATED-BL'!$A$1:$A$16,0),6),0),IF(S696=TRUE,INDEX('SummaryNOT_VALIDATED-BL'!$A$1:$F$16,MATCH(E696,'SummaryNOT_VALIDATED-BL'!$A$1:$A$16,0),6),0)),0)</f>
        <v>6.6460469504890221E-2</v>
      </c>
      <c r="V696" s="81" cm="1">
        <f t="array" ref="V696">INDEX('Weight tables'!$A$24:$C$27,MATCH(1,(RendicontiTrasmessiBL__2[[#This Row],[Cut percentage on real costs + USC]]&gt;='Weight tables'!$B$24:$B$27)*(RendicontiTrasmessiBL__2[[#This Row],[Cut percentage on real costs + USC]]&lt;='Weight tables'!$C$24:$C$27),0),1)</f>
        <v>4</v>
      </c>
      <c r="W696" s="2">
        <f>RendicontiTrasmessiBL__2[[#This Row],[Weight real costs  + USC ]]</f>
        <v>4</v>
      </c>
    </row>
    <row r="697" spans="1:23" x14ac:dyDescent="0.25">
      <c r="A697" s="1" t="s">
        <v>361</v>
      </c>
      <c r="B697" s="1" t="s">
        <v>342</v>
      </c>
      <c r="C697" s="2">
        <v>240</v>
      </c>
      <c r="D697" s="2">
        <v>211</v>
      </c>
      <c r="E697" s="1" t="s">
        <v>230</v>
      </c>
      <c r="F697">
        <v>4</v>
      </c>
      <c r="G697">
        <v>711.2</v>
      </c>
      <c r="H697">
        <v>0</v>
      </c>
      <c r="I697">
        <v>0</v>
      </c>
      <c r="J697">
        <v>15.78</v>
      </c>
      <c r="K697">
        <v>0</v>
      </c>
      <c r="L697">
        <v>0</v>
      </c>
      <c r="M697">
        <v>15.78</v>
      </c>
      <c r="N697">
        <v>2.2200000000000002</v>
      </c>
      <c r="O697">
        <v>695.42</v>
      </c>
      <c r="P697">
        <v>0</v>
      </c>
      <c r="Q697" t="str">
        <f>INDEX('Partner data'!A:DH,MATCH(C697,'Partner data'!DG:DG,0),83)</f>
        <v>Soggetto pubblico</v>
      </c>
      <c r="R697" t="b">
        <f>IF(E697="staff",IF(INDEX('Partner data'!A:DH,MATCH(C697,'Partner data'!DG:DG,0),112)="BL1 non presente","FALSO",INDEX('Partner data'!A:DH,MATCH(C697,'Partner data'!DG:DG,0),112)))</f>
        <v>0</v>
      </c>
      <c r="S697" t="b">
        <f t="shared" si="20"/>
        <v>1</v>
      </c>
      <c r="T697" t="b">
        <f t="shared" si="21"/>
        <v>1</v>
      </c>
      <c r="U697" s="154">
        <f>IFERROR(IF(R697&lt;&gt;FALSE,IF(S697=TRUE,INDEX('SummaryNOT_VALIDATED-BL'!$A$1:$F$16,MATCH(R697,'SummaryNOT_VALIDATED-BL'!$A$1:$A$16,0),6),0),IF(S697=TRUE,INDEX('SummaryNOT_VALIDATED-BL'!$A$1:$F$16,MATCH(E697,'SummaryNOT_VALIDATED-BL'!$A$1:$A$16,0),6),0)),0)</f>
        <v>6.3112622236488891E-2</v>
      </c>
      <c r="V697" s="81" cm="1">
        <f t="array" ref="V697">INDEX('Weight tables'!$A$24:$C$27,MATCH(1,(RendicontiTrasmessiBL__2[[#This Row],[Cut percentage on real costs + USC]]&gt;='Weight tables'!$B$24:$B$27)*(RendicontiTrasmessiBL__2[[#This Row],[Cut percentage on real costs + USC]]&lt;='Weight tables'!$C$24:$C$27),0),1)</f>
        <v>4</v>
      </c>
      <c r="W697" s="2">
        <f>RendicontiTrasmessiBL__2[[#This Row],[Weight real costs  + USC ]]</f>
        <v>4</v>
      </c>
    </row>
    <row r="698" spans="1:23" x14ac:dyDescent="0.25">
      <c r="A698" s="1" t="s">
        <v>361</v>
      </c>
      <c r="B698" s="1" t="s">
        <v>342</v>
      </c>
      <c r="C698" s="2">
        <v>240</v>
      </c>
      <c r="D698" s="2">
        <v>211</v>
      </c>
      <c r="E698" s="1" t="s">
        <v>231</v>
      </c>
      <c r="G698">
        <v>50500</v>
      </c>
      <c r="H698">
        <v>0</v>
      </c>
      <c r="I698">
        <v>0</v>
      </c>
      <c r="J698">
        <v>0</v>
      </c>
      <c r="K698">
        <v>0</v>
      </c>
      <c r="L698">
        <v>0</v>
      </c>
      <c r="M698">
        <v>0</v>
      </c>
      <c r="N698">
        <v>0</v>
      </c>
      <c r="O698">
        <v>50500</v>
      </c>
      <c r="P698">
        <v>0</v>
      </c>
      <c r="Q698" t="str">
        <f>INDEX('Partner data'!A:DH,MATCH(C698,'Partner data'!DG:DG,0),83)</f>
        <v>Soggetto pubblico</v>
      </c>
      <c r="R698" t="b">
        <f>IF(E698="staff",IF(INDEX('Partner data'!A:DH,MATCH(C698,'Partner data'!DG:DG,0),112)="BL1 non presente","FALSO",INDEX('Partner data'!A:DH,MATCH(C698,'Partner data'!DG:DG,0),112)))</f>
        <v>0</v>
      </c>
      <c r="S698" t="b">
        <f t="shared" si="20"/>
        <v>0</v>
      </c>
      <c r="T698" t="b">
        <f t="shared" si="21"/>
        <v>1</v>
      </c>
      <c r="U698" s="154">
        <f>IFERROR(IF(R698&lt;&gt;FALSE,IF(S698=TRUE,INDEX('SummaryNOT_VALIDATED-BL'!$A$1:$F$16,MATCH(R698,'SummaryNOT_VALIDATED-BL'!$A$1:$A$16,0),6),0),IF(S698=TRUE,INDEX('SummaryNOT_VALIDATED-BL'!$A$1:$F$16,MATCH(E698,'SummaryNOT_VALIDATED-BL'!$A$1:$A$16,0),6),0)),0)</f>
        <v>0</v>
      </c>
      <c r="V698" s="81" cm="1">
        <f t="array" ref="V698">INDEX('Weight tables'!$A$24:$C$27,MATCH(1,(RendicontiTrasmessiBL__2[[#This Row],[Cut percentage on real costs + USC]]&gt;='Weight tables'!$B$24:$B$27)*(RendicontiTrasmessiBL__2[[#This Row],[Cut percentage on real costs + USC]]&lt;='Weight tables'!$C$24:$C$27),0),1)</f>
        <v>0</v>
      </c>
      <c r="W698" s="2">
        <f>RendicontiTrasmessiBL__2[[#This Row],[Weight real costs  + USC ]]</f>
        <v>0</v>
      </c>
    </row>
    <row r="699" spans="1:23" x14ac:dyDescent="0.25">
      <c r="A699" s="1" t="s">
        <v>361</v>
      </c>
      <c r="B699" s="1" t="s">
        <v>342</v>
      </c>
      <c r="C699" s="2">
        <v>240</v>
      </c>
      <c r="D699" s="2">
        <v>211</v>
      </c>
      <c r="E699" s="1" t="s">
        <v>232</v>
      </c>
      <c r="G699">
        <v>38400</v>
      </c>
      <c r="H699">
        <v>0</v>
      </c>
      <c r="I699">
        <v>0</v>
      </c>
      <c r="J699">
        <v>1972.7</v>
      </c>
      <c r="K699">
        <v>0</v>
      </c>
      <c r="L699">
        <v>0</v>
      </c>
      <c r="M699">
        <v>1972.7</v>
      </c>
      <c r="N699">
        <v>5.14</v>
      </c>
      <c r="O699">
        <v>36427.300000000003</v>
      </c>
      <c r="P699">
        <v>0</v>
      </c>
      <c r="Q699" t="str">
        <f>INDEX('Partner data'!A:DH,MATCH(C699,'Partner data'!DG:DG,0),83)</f>
        <v>Soggetto pubblico</v>
      </c>
      <c r="R699" t="b">
        <f>IF(E699="staff",IF(INDEX('Partner data'!A:DH,MATCH(C699,'Partner data'!DG:DG,0),112)="BL1 non presente","FALSO",INDEX('Partner data'!A:DH,MATCH(C699,'Partner data'!DG:DG,0),112)))</f>
        <v>0</v>
      </c>
      <c r="S699" t="b">
        <f t="shared" si="20"/>
        <v>1</v>
      </c>
      <c r="T699" t="b">
        <f t="shared" si="21"/>
        <v>1</v>
      </c>
      <c r="U699" s="154">
        <f>IFERROR(IF(R699&lt;&gt;FALSE,IF(S699=TRUE,INDEX('SummaryNOT_VALIDATED-BL'!$A$1:$F$16,MATCH(R699,'SummaryNOT_VALIDATED-BL'!$A$1:$A$16,0),6),0),IF(S699=TRUE,INDEX('SummaryNOT_VALIDATED-BL'!$A$1:$F$16,MATCH(E699,'SummaryNOT_VALIDATED-BL'!$A$1:$A$16,0),6),0)),0)</f>
        <v>1.102169095281242E-2</v>
      </c>
      <c r="V699" s="81" cm="1">
        <f t="array" ref="V699">INDEX('Weight tables'!$A$24:$C$27,MATCH(1,(RendicontiTrasmessiBL__2[[#This Row],[Cut percentage on real costs + USC]]&gt;='Weight tables'!$B$24:$B$27)*(RendicontiTrasmessiBL__2[[#This Row],[Cut percentage on real costs + USC]]&lt;='Weight tables'!$C$24:$C$27),0),1)</f>
        <v>0</v>
      </c>
      <c r="W699" s="2">
        <f>RendicontiTrasmessiBL__2[[#This Row],[Weight real costs  + USC ]]</f>
        <v>0</v>
      </c>
    </row>
    <row r="700" spans="1:23" x14ac:dyDescent="0.25">
      <c r="A700" s="1" t="s">
        <v>361</v>
      </c>
      <c r="B700" s="1" t="s">
        <v>342</v>
      </c>
      <c r="C700" s="2">
        <v>240</v>
      </c>
      <c r="D700" s="2">
        <v>211</v>
      </c>
      <c r="E700" s="1" t="s">
        <v>233</v>
      </c>
      <c r="G700">
        <v>0</v>
      </c>
      <c r="H700">
        <v>0</v>
      </c>
      <c r="I700">
        <v>0</v>
      </c>
      <c r="J700">
        <v>0</v>
      </c>
      <c r="K700">
        <v>0</v>
      </c>
      <c r="L700">
        <v>0</v>
      </c>
      <c r="M700">
        <v>0</v>
      </c>
      <c r="N700">
        <v>0</v>
      </c>
      <c r="O700">
        <v>0</v>
      </c>
      <c r="P700">
        <v>0</v>
      </c>
      <c r="Q700" t="str">
        <f>INDEX('Partner data'!A:DH,MATCH(C700,'Partner data'!DG:DG,0),83)</f>
        <v>Soggetto pubblico</v>
      </c>
      <c r="R700" t="b">
        <f>IF(E700="staff",IF(INDEX('Partner data'!A:DH,MATCH(C700,'Partner data'!DG:DG,0),112)="BL1 non presente","FALSO",INDEX('Partner data'!A:DH,MATCH(C700,'Partner data'!DG:DG,0),112)))</f>
        <v>0</v>
      </c>
      <c r="S700" t="b">
        <f t="shared" si="20"/>
        <v>0</v>
      </c>
      <c r="T700" t="b">
        <f t="shared" si="21"/>
        <v>1</v>
      </c>
      <c r="U700" s="154">
        <f>IFERROR(IF(R700&lt;&gt;FALSE,IF(S700=TRUE,INDEX('SummaryNOT_VALIDATED-BL'!$A$1:$F$16,MATCH(R700,'SummaryNOT_VALIDATED-BL'!$A$1:$A$16,0),6),0),IF(S700=TRUE,INDEX('SummaryNOT_VALIDATED-BL'!$A$1:$F$16,MATCH(E700,'SummaryNOT_VALIDATED-BL'!$A$1:$A$16,0),6),0)),0)</f>
        <v>0</v>
      </c>
      <c r="V700" s="81" cm="1">
        <f t="array" ref="V700">INDEX('Weight tables'!$A$24:$C$27,MATCH(1,(RendicontiTrasmessiBL__2[[#This Row],[Cut percentage on real costs + USC]]&gt;='Weight tables'!$B$24:$B$27)*(RendicontiTrasmessiBL__2[[#This Row],[Cut percentage on real costs + USC]]&lt;='Weight tables'!$C$24:$C$27),0),1)</f>
        <v>0</v>
      </c>
      <c r="W700" s="2">
        <f>RendicontiTrasmessiBL__2[[#This Row],[Weight real costs  + USC ]]</f>
        <v>0</v>
      </c>
    </row>
    <row r="701" spans="1:23" x14ac:dyDescent="0.25">
      <c r="A701" s="1" t="s">
        <v>361</v>
      </c>
      <c r="B701" s="1" t="s">
        <v>342</v>
      </c>
      <c r="C701" s="2">
        <v>240</v>
      </c>
      <c r="D701" s="2">
        <v>211</v>
      </c>
      <c r="E701" s="1" t="s">
        <v>234</v>
      </c>
      <c r="G701">
        <v>0</v>
      </c>
      <c r="H701">
        <v>0</v>
      </c>
      <c r="I701">
        <v>0</v>
      </c>
      <c r="J701">
        <v>0</v>
      </c>
      <c r="K701">
        <v>0</v>
      </c>
      <c r="L701">
        <v>0</v>
      </c>
      <c r="M701">
        <v>0</v>
      </c>
      <c r="N701">
        <v>0</v>
      </c>
      <c r="O701">
        <v>0</v>
      </c>
      <c r="P701">
        <v>0</v>
      </c>
      <c r="Q701" t="str">
        <f>INDEX('Partner data'!A:DH,MATCH(C701,'Partner data'!DG:DG,0),83)</f>
        <v>Soggetto pubblico</v>
      </c>
      <c r="R701" t="b">
        <f>IF(E701="staff",IF(INDEX('Partner data'!A:DH,MATCH(C701,'Partner data'!DG:DG,0),112)="BL1 non presente","FALSO",INDEX('Partner data'!A:DH,MATCH(C701,'Partner data'!DG:DG,0),112)))</f>
        <v>0</v>
      </c>
      <c r="S701" t="b">
        <f t="shared" si="20"/>
        <v>0</v>
      </c>
      <c r="T701" t="b">
        <f t="shared" si="21"/>
        <v>1</v>
      </c>
      <c r="U701" s="154">
        <f>IFERROR(IF(R701&lt;&gt;FALSE,IF(S701=TRUE,INDEX('SummaryNOT_VALIDATED-BL'!$A$1:$F$16,MATCH(R701,'SummaryNOT_VALIDATED-BL'!$A$1:$A$16,0),6),0),IF(S701=TRUE,INDEX('SummaryNOT_VALIDATED-BL'!$A$1:$F$16,MATCH(E701,'SummaryNOT_VALIDATED-BL'!$A$1:$A$16,0),6),0)),0)</f>
        <v>0</v>
      </c>
      <c r="V701" s="81" cm="1">
        <f t="array" ref="V701">INDEX('Weight tables'!$A$24:$C$27,MATCH(1,(RendicontiTrasmessiBL__2[[#This Row],[Cut percentage on real costs + USC]]&gt;='Weight tables'!$B$24:$B$27)*(RendicontiTrasmessiBL__2[[#This Row],[Cut percentage on real costs + USC]]&lt;='Weight tables'!$C$24:$C$27),0),1)</f>
        <v>0</v>
      </c>
      <c r="W701" s="2">
        <f>RendicontiTrasmessiBL__2[[#This Row],[Weight real costs  + USC ]]</f>
        <v>0</v>
      </c>
    </row>
    <row r="702" spans="1:23" x14ac:dyDescent="0.25">
      <c r="A702" s="1" t="s">
        <v>361</v>
      </c>
      <c r="B702" s="1" t="s">
        <v>342</v>
      </c>
      <c r="C702" s="2">
        <v>240</v>
      </c>
      <c r="D702" s="2">
        <v>211</v>
      </c>
      <c r="E702" s="1" t="s">
        <v>236</v>
      </c>
      <c r="G702">
        <v>0</v>
      </c>
      <c r="H702">
        <v>0</v>
      </c>
      <c r="I702">
        <v>0</v>
      </c>
      <c r="J702">
        <v>0</v>
      </c>
      <c r="K702">
        <v>0</v>
      </c>
      <c r="L702">
        <v>0</v>
      </c>
      <c r="M702">
        <v>0</v>
      </c>
      <c r="N702">
        <v>0</v>
      </c>
      <c r="O702">
        <v>0</v>
      </c>
      <c r="P702">
        <v>0</v>
      </c>
      <c r="Q702" t="str">
        <f>INDEX('Partner data'!A:DH,MATCH(C702,'Partner data'!DG:DG,0),83)</f>
        <v>Soggetto pubblico</v>
      </c>
      <c r="R702" t="b">
        <f>IF(E702="staff",IF(INDEX('Partner data'!A:DH,MATCH(C702,'Partner data'!DG:DG,0),112)="BL1 non presente","FALSO",INDEX('Partner data'!A:DH,MATCH(C702,'Partner data'!DG:DG,0),112)))</f>
        <v>0</v>
      </c>
      <c r="S702" t="b">
        <f t="shared" si="20"/>
        <v>0</v>
      </c>
      <c r="T702" t="b">
        <f t="shared" si="21"/>
        <v>1</v>
      </c>
      <c r="U702" s="154">
        <f>IFERROR(IF(R702&lt;&gt;FALSE,IF(S702=TRUE,INDEX('SummaryNOT_VALIDATED-BL'!$A$1:$F$16,MATCH(R702,'SummaryNOT_VALIDATED-BL'!$A$1:$A$16,0),6),0),IF(S702=TRUE,INDEX('SummaryNOT_VALIDATED-BL'!$A$1:$F$16,MATCH(E702,'SummaryNOT_VALIDATED-BL'!$A$1:$A$16,0),6),0)),0)</f>
        <v>0</v>
      </c>
      <c r="V702" s="81" cm="1">
        <f t="array" ref="V702">INDEX('Weight tables'!$A$24:$C$27,MATCH(1,(RendicontiTrasmessiBL__2[[#This Row],[Cut percentage on real costs + USC]]&gt;='Weight tables'!$B$24:$B$27)*(RendicontiTrasmessiBL__2[[#This Row],[Cut percentage on real costs + USC]]&lt;='Weight tables'!$C$24:$C$27),0),1)</f>
        <v>0</v>
      </c>
      <c r="W702" s="2">
        <f>RendicontiTrasmessiBL__2[[#This Row],[Weight real costs  + USC ]]</f>
        <v>0</v>
      </c>
    </row>
    <row r="703" spans="1:23" x14ac:dyDescent="0.25">
      <c r="A703" s="1" t="s">
        <v>361</v>
      </c>
      <c r="B703" s="1" t="s">
        <v>342</v>
      </c>
      <c r="C703" s="2">
        <v>240</v>
      </c>
      <c r="D703" s="2">
        <v>211</v>
      </c>
      <c r="E703" s="1" t="s">
        <v>237</v>
      </c>
      <c r="G703">
        <v>0</v>
      </c>
      <c r="H703">
        <v>0</v>
      </c>
      <c r="I703">
        <v>0</v>
      </c>
      <c r="J703">
        <v>0</v>
      </c>
      <c r="K703">
        <v>0</v>
      </c>
      <c r="L703">
        <v>0</v>
      </c>
      <c r="M703">
        <v>0</v>
      </c>
      <c r="N703">
        <v>0</v>
      </c>
      <c r="O703">
        <v>0</v>
      </c>
      <c r="P703">
        <v>0</v>
      </c>
      <c r="Q703" t="str">
        <f>INDEX('Partner data'!A:DH,MATCH(C703,'Partner data'!DG:DG,0),83)</f>
        <v>Soggetto pubblico</v>
      </c>
      <c r="R703" t="b">
        <f>IF(E703="staff",IF(INDEX('Partner data'!A:DH,MATCH(C703,'Partner data'!DG:DG,0),112)="BL1 non presente","FALSO",INDEX('Partner data'!A:DH,MATCH(C703,'Partner data'!DG:DG,0),112)))</f>
        <v>0</v>
      </c>
      <c r="S703" t="b">
        <f t="shared" si="20"/>
        <v>0</v>
      </c>
      <c r="T703" t="b">
        <f t="shared" si="21"/>
        <v>1</v>
      </c>
      <c r="U703" s="154">
        <f>IFERROR(IF(R703&lt;&gt;FALSE,IF(S703=TRUE,INDEX('SummaryNOT_VALIDATED-BL'!$A$1:$F$16,MATCH(R703,'SummaryNOT_VALIDATED-BL'!$A$1:$A$16,0),6),0),IF(S703=TRUE,INDEX('SummaryNOT_VALIDATED-BL'!$A$1:$F$16,MATCH(E703,'SummaryNOT_VALIDATED-BL'!$A$1:$A$16,0),6),0)),0)</f>
        <v>0</v>
      </c>
      <c r="V703" s="81" cm="1">
        <f t="array" ref="V703">INDEX('Weight tables'!$A$24:$C$27,MATCH(1,(RendicontiTrasmessiBL__2[[#This Row],[Cut percentage on real costs + USC]]&gt;='Weight tables'!$B$24:$B$27)*(RendicontiTrasmessiBL__2[[#This Row],[Cut percentage on real costs + USC]]&lt;='Weight tables'!$C$24:$C$27),0),1)</f>
        <v>0</v>
      </c>
      <c r="W703" s="2">
        <f>RendicontiTrasmessiBL__2[[#This Row],[Weight real costs  + USC ]]</f>
        <v>0</v>
      </c>
    </row>
    <row r="704" spans="1:23" x14ac:dyDescent="0.25">
      <c r="A704" s="1" t="s">
        <v>361</v>
      </c>
      <c r="B704" s="1" t="s">
        <v>363</v>
      </c>
      <c r="C704" s="2">
        <v>239</v>
      </c>
      <c r="D704" s="2">
        <v>144</v>
      </c>
      <c r="E704" s="1" t="s">
        <v>228</v>
      </c>
      <c r="G704">
        <v>90000</v>
      </c>
      <c r="H704">
        <v>0</v>
      </c>
      <c r="I704">
        <v>0</v>
      </c>
      <c r="J704">
        <v>37322.120000000003</v>
      </c>
      <c r="K704">
        <v>0</v>
      </c>
      <c r="L704">
        <v>37322.089999999997</v>
      </c>
      <c r="M704">
        <v>37322.120000000003</v>
      </c>
      <c r="N704">
        <v>41.47</v>
      </c>
      <c r="O704">
        <v>52677.88</v>
      </c>
      <c r="P704">
        <v>0</v>
      </c>
      <c r="Q704" t="str">
        <f>INDEX('Partner data'!A:DH,MATCH(C704,'Partner data'!DG:DG,0),83)</f>
        <v>Soggetto pubblico</v>
      </c>
      <c r="R704" t="str">
        <f>IF(E704="staff",IF(INDEX('Partner data'!A:DH,MATCH(C704,'Partner data'!DG:DG,0),112)="BL1 non presente","FALSO",INDEX('Partner data'!A:DH,MATCH(C704,'Partner data'!DG:DG,0),112)))</f>
        <v>COSTO REALE</v>
      </c>
      <c r="S704" t="b">
        <f t="shared" si="20"/>
        <v>1</v>
      </c>
      <c r="T704" t="b">
        <f t="shared" si="21"/>
        <v>1</v>
      </c>
      <c r="U704" s="154">
        <f>IFERROR(IF(R704&lt;&gt;FALSE,IF(S704=TRUE,INDEX('SummaryNOT_VALIDATED-BL'!$A$1:$F$16,MATCH(R704,'SummaryNOT_VALIDATED-BL'!$A$1:$A$16,0),6),0),IF(S704=TRUE,INDEX('SummaryNOT_VALIDATED-BL'!$A$1:$F$16,MATCH(E704,'SummaryNOT_VALIDATED-BL'!$A$1:$A$16,0),6),0)),0)</f>
        <v>9.1604133276901048E-2</v>
      </c>
      <c r="V704" s="81" cm="1">
        <f t="array" ref="V704">INDEX('Weight tables'!$A$24:$C$27,MATCH(1,(RendicontiTrasmessiBL__2[[#This Row],[Cut percentage on real costs + USC]]&gt;='Weight tables'!$B$24:$B$27)*(RendicontiTrasmessiBL__2[[#This Row],[Cut percentage on real costs + USC]]&lt;='Weight tables'!$C$24:$C$27),0),1)</f>
        <v>4</v>
      </c>
      <c r="W704" s="2">
        <f>RendicontiTrasmessiBL__2[[#This Row],[Weight real costs  + USC ]]</f>
        <v>4</v>
      </c>
    </row>
    <row r="705" spans="1:23" x14ac:dyDescent="0.25">
      <c r="A705" s="1" t="s">
        <v>361</v>
      </c>
      <c r="B705" s="1" t="s">
        <v>363</v>
      </c>
      <c r="C705" s="2">
        <v>239</v>
      </c>
      <c r="D705" s="2">
        <v>144</v>
      </c>
      <c r="E705" s="1" t="s">
        <v>229</v>
      </c>
      <c r="G705">
        <v>0</v>
      </c>
      <c r="H705">
        <v>0</v>
      </c>
      <c r="I705">
        <v>0</v>
      </c>
      <c r="J705">
        <v>0</v>
      </c>
      <c r="K705">
        <v>0</v>
      </c>
      <c r="L705">
        <v>0</v>
      </c>
      <c r="M705">
        <v>0</v>
      </c>
      <c r="N705">
        <v>0</v>
      </c>
      <c r="O705">
        <v>0</v>
      </c>
      <c r="P705">
        <v>0</v>
      </c>
      <c r="Q705" t="str">
        <f>INDEX('Partner data'!A:DH,MATCH(C705,'Partner data'!DG:DG,0),83)</f>
        <v>Soggetto pubblico</v>
      </c>
      <c r="R705" t="b">
        <f>IF(E705="staff",IF(INDEX('Partner data'!A:DH,MATCH(C705,'Partner data'!DG:DG,0),112)="BL1 non presente","FALSO",INDEX('Partner data'!A:DH,MATCH(C705,'Partner data'!DG:DG,0),112)))</f>
        <v>0</v>
      </c>
      <c r="S705" t="b">
        <f t="shared" si="20"/>
        <v>0</v>
      </c>
      <c r="T705" t="b">
        <f t="shared" si="21"/>
        <v>1</v>
      </c>
      <c r="U705" s="154">
        <f>IFERROR(IF(R705&lt;&gt;FALSE,IF(S705=TRUE,INDEX('SummaryNOT_VALIDATED-BL'!$A$1:$F$16,MATCH(R705,'SummaryNOT_VALIDATED-BL'!$A$1:$A$16,0),6),0),IF(S705=TRUE,INDEX('SummaryNOT_VALIDATED-BL'!$A$1:$F$16,MATCH(E705,'SummaryNOT_VALIDATED-BL'!$A$1:$A$16,0),6),0)),0)</f>
        <v>0</v>
      </c>
      <c r="V705" s="81" cm="1">
        <f t="array" ref="V705">INDEX('Weight tables'!$A$24:$C$27,MATCH(1,(RendicontiTrasmessiBL__2[[#This Row],[Cut percentage on real costs + USC]]&gt;='Weight tables'!$B$24:$B$27)*(RendicontiTrasmessiBL__2[[#This Row],[Cut percentage on real costs + USC]]&lt;='Weight tables'!$C$24:$C$27),0),1)</f>
        <v>0</v>
      </c>
      <c r="W705" s="2">
        <f>RendicontiTrasmessiBL__2[[#This Row],[Weight real costs  + USC ]]</f>
        <v>0</v>
      </c>
    </row>
    <row r="706" spans="1:23" x14ac:dyDescent="0.25">
      <c r="A706" s="1" t="s">
        <v>361</v>
      </c>
      <c r="B706" s="1" t="s">
        <v>363</v>
      </c>
      <c r="C706" s="2">
        <v>239</v>
      </c>
      <c r="D706" s="2">
        <v>144</v>
      </c>
      <c r="E706" s="1" t="s">
        <v>230</v>
      </c>
      <c r="G706">
        <v>0</v>
      </c>
      <c r="H706">
        <v>0</v>
      </c>
      <c r="I706">
        <v>0</v>
      </c>
      <c r="J706">
        <v>0</v>
      </c>
      <c r="K706">
        <v>0</v>
      </c>
      <c r="L706">
        <v>0</v>
      </c>
      <c r="M706">
        <v>0</v>
      </c>
      <c r="N706">
        <v>0</v>
      </c>
      <c r="O706">
        <v>0</v>
      </c>
      <c r="P706">
        <v>0</v>
      </c>
      <c r="Q706" t="str">
        <f>INDEX('Partner data'!A:DH,MATCH(C706,'Partner data'!DG:DG,0),83)</f>
        <v>Soggetto pubblico</v>
      </c>
      <c r="R706" t="b">
        <f>IF(E706="staff",IF(INDEX('Partner data'!A:DH,MATCH(C706,'Partner data'!DG:DG,0),112)="BL1 non presente","FALSO",INDEX('Partner data'!A:DH,MATCH(C706,'Partner data'!DG:DG,0),112)))</f>
        <v>0</v>
      </c>
      <c r="S706" t="b">
        <f t="shared" ref="S706:S769" si="22">IF(J706&lt;&gt;0,TRUE,FALSE)</f>
        <v>0</v>
      </c>
      <c r="T706" t="b">
        <f t="shared" ref="T706:T769" si="23">OR(Q706="Soggetto pubblico",Q706="Organismo di diritto pubblico ")</f>
        <v>1</v>
      </c>
      <c r="U706" s="154">
        <f>IFERROR(IF(R706&lt;&gt;FALSE,IF(S706=TRUE,INDEX('SummaryNOT_VALIDATED-BL'!$A$1:$F$16,MATCH(R706,'SummaryNOT_VALIDATED-BL'!$A$1:$A$16,0),6),0),IF(S706=TRUE,INDEX('SummaryNOT_VALIDATED-BL'!$A$1:$F$16,MATCH(E706,'SummaryNOT_VALIDATED-BL'!$A$1:$A$16,0),6),0)),0)</f>
        <v>0</v>
      </c>
      <c r="V706" s="81" cm="1">
        <f t="array" ref="V706">INDEX('Weight tables'!$A$24:$C$27,MATCH(1,(RendicontiTrasmessiBL__2[[#This Row],[Cut percentage on real costs + USC]]&gt;='Weight tables'!$B$24:$B$27)*(RendicontiTrasmessiBL__2[[#This Row],[Cut percentage on real costs + USC]]&lt;='Weight tables'!$C$24:$C$27),0),1)</f>
        <v>0</v>
      </c>
      <c r="W706" s="2">
        <f>RendicontiTrasmessiBL__2[[#This Row],[Weight real costs  + USC ]]</f>
        <v>0</v>
      </c>
    </row>
    <row r="707" spans="1:23" x14ac:dyDescent="0.25">
      <c r="A707" s="1" t="s">
        <v>361</v>
      </c>
      <c r="B707" s="1" t="s">
        <v>363</v>
      </c>
      <c r="C707" s="2">
        <v>239</v>
      </c>
      <c r="D707" s="2">
        <v>144</v>
      </c>
      <c r="E707" s="1" t="s">
        <v>231</v>
      </c>
      <c r="G707">
        <v>0</v>
      </c>
      <c r="H707">
        <v>0</v>
      </c>
      <c r="I707">
        <v>0</v>
      </c>
      <c r="J707">
        <v>0</v>
      </c>
      <c r="K707">
        <v>0</v>
      </c>
      <c r="L707">
        <v>0</v>
      </c>
      <c r="M707">
        <v>0</v>
      </c>
      <c r="N707">
        <v>0</v>
      </c>
      <c r="O707">
        <v>0</v>
      </c>
      <c r="P707">
        <v>0</v>
      </c>
      <c r="Q707" t="str">
        <f>INDEX('Partner data'!A:DH,MATCH(C707,'Partner data'!DG:DG,0),83)</f>
        <v>Soggetto pubblico</v>
      </c>
      <c r="R707" t="b">
        <f>IF(E707="staff",IF(INDEX('Partner data'!A:DH,MATCH(C707,'Partner data'!DG:DG,0),112)="BL1 non presente","FALSO",INDEX('Partner data'!A:DH,MATCH(C707,'Partner data'!DG:DG,0),112)))</f>
        <v>0</v>
      </c>
      <c r="S707" t="b">
        <f t="shared" si="22"/>
        <v>0</v>
      </c>
      <c r="T707" t="b">
        <f t="shared" si="23"/>
        <v>1</v>
      </c>
      <c r="U707" s="154">
        <f>IFERROR(IF(R707&lt;&gt;FALSE,IF(S707=TRUE,INDEX('SummaryNOT_VALIDATED-BL'!$A$1:$F$16,MATCH(R707,'SummaryNOT_VALIDATED-BL'!$A$1:$A$16,0),6),0),IF(S707=TRUE,INDEX('SummaryNOT_VALIDATED-BL'!$A$1:$F$16,MATCH(E707,'SummaryNOT_VALIDATED-BL'!$A$1:$A$16,0),6),0)),0)</f>
        <v>0</v>
      </c>
      <c r="V707" s="81" cm="1">
        <f t="array" ref="V707">INDEX('Weight tables'!$A$24:$C$27,MATCH(1,(RendicontiTrasmessiBL__2[[#This Row],[Cut percentage on real costs + USC]]&gt;='Weight tables'!$B$24:$B$27)*(RendicontiTrasmessiBL__2[[#This Row],[Cut percentage on real costs + USC]]&lt;='Weight tables'!$C$24:$C$27),0),1)</f>
        <v>0</v>
      </c>
      <c r="W707" s="2">
        <f>RendicontiTrasmessiBL__2[[#This Row],[Weight real costs  + USC ]]</f>
        <v>0</v>
      </c>
    </row>
    <row r="708" spans="1:23" x14ac:dyDescent="0.25">
      <c r="A708" s="1" t="s">
        <v>361</v>
      </c>
      <c r="B708" s="1" t="s">
        <v>363</v>
      </c>
      <c r="C708" s="2">
        <v>239</v>
      </c>
      <c r="D708" s="2">
        <v>144</v>
      </c>
      <c r="E708" s="1" t="s">
        <v>232</v>
      </c>
      <c r="G708">
        <v>0</v>
      </c>
      <c r="H708">
        <v>0</v>
      </c>
      <c r="I708">
        <v>0</v>
      </c>
      <c r="J708">
        <v>0</v>
      </c>
      <c r="K708">
        <v>0</v>
      </c>
      <c r="L708">
        <v>0</v>
      </c>
      <c r="M708">
        <v>0</v>
      </c>
      <c r="N708">
        <v>0</v>
      </c>
      <c r="O708">
        <v>0</v>
      </c>
      <c r="P708">
        <v>0</v>
      </c>
      <c r="Q708" t="str">
        <f>INDEX('Partner data'!A:DH,MATCH(C708,'Partner data'!DG:DG,0),83)</f>
        <v>Soggetto pubblico</v>
      </c>
      <c r="R708" t="b">
        <f>IF(E708="staff",IF(INDEX('Partner data'!A:DH,MATCH(C708,'Partner data'!DG:DG,0),112)="BL1 non presente","FALSO",INDEX('Partner data'!A:DH,MATCH(C708,'Partner data'!DG:DG,0),112)))</f>
        <v>0</v>
      </c>
      <c r="S708" t="b">
        <f t="shared" si="22"/>
        <v>0</v>
      </c>
      <c r="T708" t="b">
        <f t="shared" si="23"/>
        <v>1</v>
      </c>
      <c r="U708" s="154">
        <f>IFERROR(IF(R708&lt;&gt;FALSE,IF(S708=TRUE,INDEX('SummaryNOT_VALIDATED-BL'!$A$1:$F$16,MATCH(R708,'SummaryNOT_VALIDATED-BL'!$A$1:$A$16,0),6),0),IF(S708=TRUE,INDEX('SummaryNOT_VALIDATED-BL'!$A$1:$F$16,MATCH(E708,'SummaryNOT_VALIDATED-BL'!$A$1:$A$16,0),6),0)),0)</f>
        <v>0</v>
      </c>
      <c r="V708" s="81" cm="1">
        <f t="array" ref="V708">INDEX('Weight tables'!$A$24:$C$27,MATCH(1,(RendicontiTrasmessiBL__2[[#This Row],[Cut percentage on real costs + USC]]&gt;='Weight tables'!$B$24:$B$27)*(RendicontiTrasmessiBL__2[[#This Row],[Cut percentage on real costs + USC]]&lt;='Weight tables'!$C$24:$C$27),0),1)</f>
        <v>0</v>
      </c>
      <c r="W708" s="2">
        <f>RendicontiTrasmessiBL__2[[#This Row],[Weight real costs  + USC ]]</f>
        <v>0</v>
      </c>
    </row>
    <row r="709" spans="1:23" x14ac:dyDescent="0.25">
      <c r="A709" s="1" t="s">
        <v>361</v>
      </c>
      <c r="B709" s="1" t="s">
        <v>363</v>
      </c>
      <c r="C709" s="2">
        <v>239</v>
      </c>
      <c r="D709" s="2">
        <v>144</v>
      </c>
      <c r="E709" s="1" t="s">
        <v>233</v>
      </c>
      <c r="G709">
        <v>0</v>
      </c>
      <c r="H709">
        <v>0</v>
      </c>
      <c r="I709">
        <v>0</v>
      </c>
      <c r="J709">
        <v>0</v>
      </c>
      <c r="K709">
        <v>0</v>
      </c>
      <c r="L709">
        <v>0</v>
      </c>
      <c r="M709">
        <v>0</v>
      </c>
      <c r="N709">
        <v>0</v>
      </c>
      <c r="O709">
        <v>0</v>
      </c>
      <c r="P709">
        <v>0</v>
      </c>
      <c r="Q709" t="str">
        <f>INDEX('Partner data'!A:DH,MATCH(C709,'Partner data'!DG:DG,0),83)</f>
        <v>Soggetto pubblico</v>
      </c>
      <c r="R709" t="b">
        <f>IF(E709="staff",IF(INDEX('Partner data'!A:DH,MATCH(C709,'Partner data'!DG:DG,0),112)="BL1 non presente","FALSO",INDEX('Partner data'!A:DH,MATCH(C709,'Partner data'!DG:DG,0),112)))</f>
        <v>0</v>
      </c>
      <c r="S709" t="b">
        <f t="shared" si="22"/>
        <v>0</v>
      </c>
      <c r="T709" t="b">
        <f t="shared" si="23"/>
        <v>1</v>
      </c>
      <c r="U709" s="154">
        <f>IFERROR(IF(R709&lt;&gt;FALSE,IF(S709=TRUE,INDEX('SummaryNOT_VALIDATED-BL'!$A$1:$F$16,MATCH(R709,'SummaryNOT_VALIDATED-BL'!$A$1:$A$16,0),6),0),IF(S709=TRUE,INDEX('SummaryNOT_VALIDATED-BL'!$A$1:$F$16,MATCH(E709,'SummaryNOT_VALIDATED-BL'!$A$1:$A$16,0),6),0)),0)</f>
        <v>0</v>
      </c>
      <c r="V709" s="81" cm="1">
        <f t="array" ref="V709">INDEX('Weight tables'!$A$24:$C$27,MATCH(1,(RendicontiTrasmessiBL__2[[#This Row],[Cut percentage on real costs + USC]]&gt;='Weight tables'!$B$24:$B$27)*(RendicontiTrasmessiBL__2[[#This Row],[Cut percentage on real costs + USC]]&lt;='Weight tables'!$C$24:$C$27),0),1)</f>
        <v>0</v>
      </c>
      <c r="W709" s="2">
        <f>RendicontiTrasmessiBL__2[[#This Row],[Weight real costs  + USC ]]</f>
        <v>0</v>
      </c>
    </row>
    <row r="710" spans="1:23" x14ac:dyDescent="0.25">
      <c r="A710" s="1" t="s">
        <v>361</v>
      </c>
      <c r="B710" s="1" t="s">
        <v>363</v>
      </c>
      <c r="C710" s="2">
        <v>239</v>
      </c>
      <c r="D710" s="2">
        <v>144</v>
      </c>
      <c r="E710" s="1" t="s">
        <v>234</v>
      </c>
      <c r="F710">
        <v>40</v>
      </c>
      <c r="G710">
        <v>36000</v>
      </c>
      <c r="H710">
        <v>0</v>
      </c>
      <c r="I710">
        <v>0</v>
      </c>
      <c r="J710">
        <v>14928.84</v>
      </c>
      <c r="K710">
        <v>0</v>
      </c>
      <c r="L710">
        <v>14928.83</v>
      </c>
      <c r="M710">
        <v>14928.84</v>
      </c>
      <c r="N710">
        <v>41.47</v>
      </c>
      <c r="O710">
        <v>21071.16</v>
      </c>
      <c r="P710">
        <v>0</v>
      </c>
      <c r="Q710" t="str">
        <f>INDEX('Partner data'!A:DH,MATCH(C710,'Partner data'!DG:DG,0),83)</f>
        <v>Soggetto pubblico</v>
      </c>
      <c r="R710" t="b">
        <f>IF(E710="staff",IF(INDEX('Partner data'!A:DH,MATCH(C710,'Partner data'!DG:DG,0),112)="BL1 non presente","FALSO",INDEX('Partner data'!A:DH,MATCH(C710,'Partner data'!DG:DG,0),112)))</f>
        <v>0</v>
      </c>
      <c r="S710" t="b">
        <f t="shared" si="22"/>
        <v>1</v>
      </c>
      <c r="T710" t="b">
        <f t="shared" si="23"/>
        <v>1</v>
      </c>
      <c r="U710" s="154">
        <f>IFERROR(IF(R710&lt;&gt;FALSE,IF(S710=TRUE,INDEX('SummaryNOT_VALIDATED-BL'!$A$1:$F$16,MATCH(R710,'SummaryNOT_VALIDATED-BL'!$A$1:$A$16,0),6),0),IF(S710=TRUE,INDEX('SummaryNOT_VALIDATED-BL'!$A$1:$F$16,MATCH(E710,'SummaryNOT_VALIDATED-BL'!$A$1:$A$16,0),6),0)),0)</f>
        <v>8.7645339819521315E-2</v>
      </c>
      <c r="V710" s="81" cm="1">
        <f t="array" ref="V710">INDEX('Weight tables'!$A$24:$C$27,MATCH(1,(RendicontiTrasmessiBL__2[[#This Row],[Cut percentage on real costs + USC]]&gt;='Weight tables'!$B$24:$B$27)*(RendicontiTrasmessiBL__2[[#This Row],[Cut percentage on real costs + USC]]&lt;='Weight tables'!$C$24:$C$27),0),1)</f>
        <v>4</v>
      </c>
      <c r="W710" s="2">
        <f>RendicontiTrasmessiBL__2[[#This Row],[Weight real costs  + USC ]]</f>
        <v>4</v>
      </c>
    </row>
    <row r="711" spans="1:23" x14ac:dyDescent="0.25">
      <c r="A711" s="1" t="s">
        <v>361</v>
      </c>
      <c r="B711" s="1" t="s">
        <v>363</v>
      </c>
      <c r="C711" s="2">
        <v>239</v>
      </c>
      <c r="D711" s="2">
        <v>144</v>
      </c>
      <c r="E711" s="1" t="s">
        <v>236</v>
      </c>
      <c r="G711">
        <v>0</v>
      </c>
      <c r="H711">
        <v>0</v>
      </c>
      <c r="I711">
        <v>0</v>
      </c>
      <c r="J711">
        <v>0</v>
      </c>
      <c r="K711">
        <v>0</v>
      </c>
      <c r="L711">
        <v>0</v>
      </c>
      <c r="M711">
        <v>0</v>
      </c>
      <c r="N711">
        <v>0</v>
      </c>
      <c r="O711">
        <v>0</v>
      </c>
      <c r="P711">
        <v>0</v>
      </c>
      <c r="Q711" t="str">
        <f>INDEX('Partner data'!A:DH,MATCH(C711,'Partner data'!DG:DG,0),83)</f>
        <v>Soggetto pubblico</v>
      </c>
      <c r="R711" t="b">
        <f>IF(E711="staff",IF(INDEX('Partner data'!A:DH,MATCH(C711,'Partner data'!DG:DG,0),112)="BL1 non presente","FALSO",INDEX('Partner data'!A:DH,MATCH(C711,'Partner data'!DG:DG,0),112)))</f>
        <v>0</v>
      </c>
      <c r="S711" t="b">
        <f t="shared" si="22"/>
        <v>0</v>
      </c>
      <c r="T711" t="b">
        <f t="shared" si="23"/>
        <v>1</v>
      </c>
      <c r="U711" s="154">
        <f>IFERROR(IF(R711&lt;&gt;FALSE,IF(S711=TRUE,INDEX('SummaryNOT_VALIDATED-BL'!$A$1:$F$16,MATCH(R711,'SummaryNOT_VALIDATED-BL'!$A$1:$A$16,0),6),0),IF(S711=TRUE,INDEX('SummaryNOT_VALIDATED-BL'!$A$1:$F$16,MATCH(E711,'SummaryNOT_VALIDATED-BL'!$A$1:$A$16,0),6),0)),0)</f>
        <v>0</v>
      </c>
      <c r="V711" s="81" cm="1">
        <f t="array" ref="V711">INDEX('Weight tables'!$A$24:$C$27,MATCH(1,(RendicontiTrasmessiBL__2[[#This Row],[Cut percentage on real costs + USC]]&gt;='Weight tables'!$B$24:$B$27)*(RendicontiTrasmessiBL__2[[#This Row],[Cut percentage on real costs + USC]]&lt;='Weight tables'!$C$24:$C$27),0),1)</f>
        <v>0</v>
      </c>
      <c r="W711" s="2">
        <f>RendicontiTrasmessiBL__2[[#This Row],[Weight real costs  + USC ]]</f>
        <v>0</v>
      </c>
    </row>
    <row r="712" spans="1:23" x14ac:dyDescent="0.25">
      <c r="A712" s="1" t="s">
        <v>361</v>
      </c>
      <c r="B712" s="1" t="s">
        <v>363</v>
      </c>
      <c r="C712" s="2">
        <v>239</v>
      </c>
      <c r="D712" s="2">
        <v>144</v>
      </c>
      <c r="E712" s="1" t="s">
        <v>237</v>
      </c>
      <c r="G712">
        <v>0</v>
      </c>
      <c r="H712">
        <v>0</v>
      </c>
      <c r="I712">
        <v>0</v>
      </c>
      <c r="J712">
        <v>0</v>
      </c>
      <c r="K712">
        <v>0</v>
      </c>
      <c r="L712">
        <v>0</v>
      </c>
      <c r="M712">
        <v>0</v>
      </c>
      <c r="N712">
        <v>0</v>
      </c>
      <c r="O712">
        <v>0</v>
      </c>
      <c r="P712">
        <v>0</v>
      </c>
      <c r="Q712" t="str">
        <f>INDEX('Partner data'!A:DH,MATCH(C712,'Partner data'!DG:DG,0),83)</f>
        <v>Soggetto pubblico</v>
      </c>
      <c r="R712" t="b">
        <f>IF(E712="staff",IF(INDEX('Partner data'!A:DH,MATCH(C712,'Partner data'!DG:DG,0),112)="BL1 non presente","FALSO",INDEX('Partner data'!A:DH,MATCH(C712,'Partner data'!DG:DG,0),112)))</f>
        <v>0</v>
      </c>
      <c r="S712" t="b">
        <f t="shared" si="22"/>
        <v>0</v>
      </c>
      <c r="T712" t="b">
        <f t="shared" si="23"/>
        <v>1</v>
      </c>
      <c r="U712" s="154">
        <f>IFERROR(IF(R712&lt;&gt;FALSE,IF(S712=TRUE,INDEX('SummaryNOT_VALIDATED-BL'!$A$1:$F$16,MATCH(R712,'SummaryNOT_VALIDATED-BL'!$A$1:$A$16,0),6),0),IF(S712=TRUE,INDEX('SummaryNOT_VALIDATED-BL'!$A$1:$F$16,MATCH(E712,'SummaryNOT_VALIDATED-BL'!$A$1:$A$16,0),6),0)),0)</f>
        <v>0</v>
      </c>
      <c r="V712" s="81" cm="1">
        <f t="array" ref="V712">INDEX('Weight tables'!$A$24:$C$27,MATCH(1,(RendicontiTrasmessiBL__2[[#This Row],[Cut percentage on real costs + USC]]&gt;='Weight tables'!$B$24:$B$27)*(RendicontiTrasmessiBL__2[[#This Row],[Cut percentage on real costs + USC]]&lt;='Weight tables'!$C$24:$C$27),0),1)</f>
        <v>0</v>
      </c>
      <c r="W712" s="2">
        <f>RendicontiTrasmessiBL__2[[#This Row],[Weight real costs  + USC ]]</f>
        <v>0</v>
      </c>
    </row>
    <row r="713" spans="1:23" x14ac:dyDescent="0.25">
      <c r="A713" s="1" t="s">
        <v>361</v>
      </c>
      <c r="B713" s="1" t="s">
        <v>364</v>
      </c>
      <c r="C713" s="2">
        <v>242</v>
      </c>
      <c r="D713" s="2">
        <v>230</v>
      </c>
      <c r="E713" s="1" t="s">
        <v>228</v>
      </c>
      <c r="G713">
        <v>56190</v>
      </c>
      <c r="H713">
        <v>0</v>
      </c>
      <c r="I713">
        <v>0</v>
      </c>
      <c r="J713">
        <v>11844.68</v>
      </c>
      <c r="K713">
        <v>0</v>
      </c>
      <c r="L713">
        <v>11844.68</v>
      </c>
      <c r="M713">
        <v>11844.68</v>
      </c>
      <c r="N713">
        <v>21.08</v>
      </c>
      <c r="O713">
        <v>44345.32</v>
      </c>
      <c r="P713">
        <v>0</v>
      </c>
      <c r="Q713" t="str">
        <f>INDEX('Partner data'!A:DH,MATCH(C713,'Partner data'!DG:DG,0),83)</f>
        <v>Soggetto privato</v>
      </c>
      <c r="R713" t="str">
        <f>IF(E713="staff",IF(INDEX('Partner data'!A:DH,MATCH(C713,'Partner data'!DG:DG,0),112)="BL1 non presente","FALSO",INDEX('Partner data'!A:DH,MATCH(C713,'Partner data'!DG:DG,0),112)))</f>
        <v>COSTO REALE</v>
      </c>
      <c r="S713" t="b">
        <f t="shared" si="22"/>
        <v>1</v>
      </c>
      <c r="T713" t="b">
        <f t="shared" si="23"/>
        <v>0</v>
      </c>
      <c r="U713" s="154">
        <f>IFERROR(IF(R713&lt;&gt;FALSE,IF(S713=TRUE,INDEX('SummaryNOT_VALIDATED-BL'!$A$1:$F$16,MATCH(R713,'SummaryNOT_VALIDATED-BL'!$A$1:$A$16,0),6),0),IF(S713=TRUE,INDEX('SummaryNOT_VALIDATED-BL'!$A$1:$F$16,MATCH(E713,'SummaryNOT_VALIDATED-BL'!$A$1:$A$16,0),6),0)),0)</f>
        <v>9.1604133276901048E-2</v>
      </c>
      <c r="V713" s="81" cm="1">
        <f t="array" ref="V713">INDEX('Weight tables'!$A$24:$C$27,MATCH(1,(RendicontiTrasmessiBL__2[[#This Row],[Cut percentage on real costs + USC]]&gt;='Weight tables'!$B$24:$B$27)*(RendicontiTrasmessiBL__2[[#This Row],[Cut percentage on real costs + USC]]&lt;='Weight tables'!$C$24:$C$27),0),1)</f>
        <v>4</v>
      </c>
      <c r="W713" s="2">
        <f>RendicontiTrasmessiBL__2[[#This Row],[Weight real costs  + USC ]]</f>
        <v>4</v>
      </c>
    </row>
    <row r="714" spans="1:23" x14ac:dyDescent="0.25">
      <c r="A714" s="1" t="s">
        <v>361</v>
      </c>
      <c r="B714" s="1" t="s">
        <v>364</v>
      </c>
      <c r="C714" s="2">
        <v>242</v>
      </c>
      <c r="D714" s="2">
        <v>230</v>
      </c>
      <c r="E714" s="1" t="s">
        <v>229</v>
      </c>
      <c r="F714">
        <v>15</v>
      </c>
      <c r="G714">
        <v>8428.5</v>
      </c>
      <c r="H714">
        <v>0</v>
      </c>
      <c r="I714">
        <v>0</v>
      </c>
      <c r="J714">
        <v>1776.7</v>
      </c>
      <c r="K714">
        <v>0</v>
      </c>
      <c r="L714">
        <v>1776.7</v>
      </c>
      <c r="M714">
        <v>1776.7</v>
      </c>
      <c r="N714">
        <v>21.08</v>
      </c>
      <c r="O714">
        <v>6651.8</v>
      </c>
      <c r="P714">
        <v>0</v>
      </c>
      <c r="Q714" t="str">
        <f>INDEX('Partner data'!A:DH,MATCH(C714,'Partner data'!DG:DG,0),83)</f>
        <v>Soggetto privato</v>
      </c>
      <c r="R714" t="b">
        <f>IF(E714="staff",IF(INDEX('Partner data'!A:DH,MATCH(C714,'Partner data'!DG:DG,0),112)="BL1 non presente","FALSO",INDEX('Partner data'!A:DH,MATCH(C714,'Partner data'!DG:DG,0),112)))</f>
        <v>0</v>
      </c>
      <c r="S714" t="b">
        <f t="shared" si="22"/>
        <v>1</v>
      </c>
      <c r="T714" t="b">
        <f t="shared" si="23"/>
        <v>0</v>
      </c>
      <c r="U714" s="154">
        <f>IFERROR(IF(R714&lt;&gt;FALSE,IF(S714=TRUE,INDEX('SummaryNOT_VALIDATED-BL'!$A$1:$F$16,MATCH(R714,'SummaryNOT_VALIDATED-BL'!$A$1:$A$16,0),6),0),IF(S714=TRUE,INDEX('SummaryNOT_VALIDATED-BL'!$A$1:$F$16,MATCH(E714,'SummaryNOT_VALIDATED-BL'!$A$1:$A$16,0),6),0)),0)</f>
        <v>6.6460469504890221E-2</v>
      </c>
      <c r="V714" s="81" cm="1">
        <f t="array" ref="V714">INDEX('Weight tables'!$A$24:$C$27,MATCH(1,(RendicontiTrasmessiBL__2[[#This Row],[Cut percentage on real costs + USC]]&gt;='Weight tables'!$B$24:$B$27)*(RendicontiTrasmessiBL__2[[#This Row],[Cut percentage on real costs + USC]]&lt;='Weight tables'!$C$24:$C$27),0),1)</f>
        <v>4</v>
      </c>
      <c r="W714" s="2">
        <f>RendicontiTrasmessiBL__2[[#This Row],[Weight real costs  + USC ]]</f>
        <v>4</v>
      </c>
    </row>
    <row r="715" spans="1:23" x14ac:dyDescent="0.25">
      <c r="A715" s="1" t="s">
        <v>361</v>
      </c>
      <c r="B715" s="1" t="s">
        <v>364</v>
      </c>
      <c r="C715" s="2">
        <v>242</v>
      </c>
      <c r="D715" s="2">
        <v>230</v>
      </c>
      <c r="E715" s="1" t="s">
        <v>230</v>
      </c>
      <c r="F715">
        <v>4</v>
      </c>
      <c r="G715">
        <v>2247.6</v>
      </c>
      <c r="H715">
        <v>0</v>
      </c>
      <c r="I715">
        <v>0</v>
      </c>
      <c r="J715">
        <v>473.78</v>
      </c>
      <c r="K715">
        <v>0</v>
      </c>
      <c r="L715">
        <v>473.78</v>
      </c>
      <c r="M715">
        <v>473.78</v>
      </c>
      <c r="N715">
        <v>21.08</v>
      </c>
      <c r="O715">
        <v>1773.82</v>
      </c>
      <c r="P715">
        <v>0</v>
      </c>
      <c r="Q715" t="str">
        <f>INDEX('Partner data'!A:DH,MATCH(C715,'Partner data'!DG:DG,0),83)</f>
        <v>Soggetto privato</v>
      </c>
      <c r="R715" t="b">
        <f>IF(E715="staff",IF(INDEX('Partner data'!A:DH,MATCH(C715,'Partner data'!DG:DG,0),112)="BL1 non presente","FALSO",INDEX('Partner data'!A:DH,MATCH(C715,'Partner data'!DG:DG,0),112)))</f>
        <v>0</v>
      </c>
      <c r="S715" t="b">
        <f t="shared" si="22"/>
        <v>1</v>
      </c>
      <c r="T715" t="b">
        <f t="shared" si="23"/>
        <v>0</v>
      </c>
      <c r="U715" s="154">
        <f>IFERROR(IF(R715&lt;&gt;FALSE,IF(S715=TRUE,INDEX('SummaryNOT_VALIDATED-BL'!$A$1:$F$16,MATCH(R715,'SummaryNOT_VALIDATED-BL'!$A$1:$A$16,0),6),0),IF(S715=TRUE,INDEX('SummaryNOT_VALIDATED-BL'!$A$1:$F$16,MATCH(E715,'SummaryNOT_VALIDATED-BL'!$A$1:$A$16,0),6),0)),0)</f>
        <v>6.3112622236488891E-2</v>
      </c>
      <c r="V715" s="81" cm="1">
        <f t="array" ref="V715">INDEX('Weight tables'!$A$24:$C$27,MATCH(1,(RendicontiTrasmessiBL__2[[#This Row],[Cut percentage on real costs + USC]]&gt;='Weight tables'!$B$24:$B$27)*(RendicontiTrasmessiBL__2[[#This Row],[Cut percentage on real costs + USC]]&lt;='Weight tables'!$C$24:$C$27),0),1)</f>
        <v>4</v>
      </c>
      <c r="W715" s="2">
        <f>RendicontiTrasmessiBL__2[[#This Row],[Weight real costs  + USC ]]</f>
        <v>4</v>
      </c>
    </row>
    <row r="716" spans="1:23" x14ac:dyDescent="0.25">
      <c r="A716" s="1" t="s">
        <v>361</v>
      </c>
      <c r="B716" s="1" t="s">
        <v>364</v>
      </c>
      <c r="C716" s="2">
        <v>242</v>
      </c>
      <c r="D716" s="2">
        <v>230</v>
      </c>
      <c r="E716" s="1" t="s">
        <v>231</v>
      </c>
      <c r="G716">
        <v>50000</v>
      </c>
      <c r="H716">
        <v>0</v>
      </c>
      <c r="I716">
        <v>0</v>
      </c>
      <c r="J716">
        <v>0</v>
      </c>
      <c r="K716">
        <v>0</v>
      </c>
      <c r="L716">
        <v>0</v>
      </c>
      <c r="M716">
        <v>0</v>
      </c>
      <c r="N716">
        <v>0</v>
      </c>
      <c r="O716">
        <v>50000</v>
      </c>
      <c r="P716">
        <v>0</v>
      </c>
      <c r="Q716" t="str">
        <f>INDEX('Partner data'!A:DH,MATCH(C716,'Partner data'!DG:DG,0),83)</f>
        <v>Soggetto privato</v>
      </c>
      <c r="R716" t="b">
        <f>IF(E716="staff",IF(INDEX('Partner data'!A:DH,MATCH(C716,'Partner data'!DG:DG,0),112)="BL1 non presente","FALSO",INDEX('Partner data'!A:DH,MATCH(C716,'Partner data'!DG:DG,0),112)))</f>
        <v>0</v>
      </c>
      <c r="S716" t="b">
        <f t="shared" si="22"/>
        <v>0</v>
      </c>
      <c r="T716" t="b">
        <f t="shared" si="23"/>
        <v>0</v>
      </c>
      <c r="U716" s="154">
        <f>IFERROR(IF(R716&lt;&gt;FALSE,IF(S716=TRUE,INDEX('SummaryNOT_VALIDATED-BL'!$A$1:$F$16,MATCH(R716,'SummaryNOT_VALIDATED-BL'!$A$1:$A$16,0),6),0),IF(S716=TRUE,INDEX('SummaryNOT_VALIDATED-BL'!$A$1:$F$16,MATCH(E716,'SummaryNOT_VALIDATED-BL'!$A$1:$A$16,0),6),0)),0)</f>
        <v>0</v>
      </c>
      <c r="V716" s="81" cm="1">
        <f t="array" ref="V716">INDEX('Weight tables'!$A$24:$C$27,MATCH(1,(RendicontiTrasmessiBL__2[[#This Row],[Cut percentage on real costs + USC]]&gt;='Weight tables'!$B$24:$B$27)*(RendicontiTrasmessiBL__2[[#This Row],[Cut percentage on real costs + USC]]&lt;='Weight tables'!$C$24:$C$27),0),1)</f>
        <v>0</v>
      </c>
      <c r="W716" s="2">
        <f>RendicontiTrasmessiBL__2[[#This Row],[Weight real costs  + USC ]]</f>
        <v>0</v>
      </c>
    </row>
    <row r="717" spans="1:23" x14ac:dyDescent="0.25">
      <c r="A717" s="1" t="s">
        <v>361</v>
      </c>
      <c r="B717" s="1" t="s">
        <v>364</v>
      </c>
      <c r="C717" s="2">
        <v>242</v>
      </c>
      <c r="D717" s="2">
        <v>230</v>
      </c>
      <c r="E717" s="1" t="s">
        <v>232</v>
      </c>
      <c r="G717">
        <v>5000</v>
      </c>
      <c r="H717">
        <v>0</v>
      </c>
      <c r="I717">
        <v>0</v>
      </c>
      <c r="J717">
        <v>0</v>
      </c>
      <c r="K717">
        <v>0</v>
      </c>
      <c r="L717">
        <v>0</v>
      </c>
      <c r="M717">
        <v>0</v>
      </c>
      <c r="N717">
        <v>0</v>
      </c>
      <c r="O717">
        <v>5000</v>
      </c>
      <c r="P717">
        <v>0</v>
      </c>
      <c r="Q717" t="str">
        <f>INDEX('Partner data'!A:DH,MATCH(C717,'Partner data'!DG:DG,0),83)</f>
        <v>Soggetto privato</v>
      </c>
      <c r="R717" t="b">
        <f>IF(E717="staff",IF(INDEX('Partner data'!A:DH,MATCH(C717,'Partner data'!DG:DG,0),112)="BL1 non presente","FALSO",INDEX('Partner data'!A:DH,MATCH(C717,'Partner data'!DG:DG,0),112)))</f>
        <v>0</v>
      </c>
      <c r="S717" t="b">
        <f t="shared" si="22"/>
        <v>0</v>
      </c>
      <c r="T717" t="b">
        <f t="shared" si="23"/>
        <v>0</v>
      </c>
      <c r="U717" s="154">
        <f>IFERROR(IF(R717&lt;&gt;FALSE,IF(S717=TRUE,INDEX('SummaryNOT_VALIDATED-BL'!$A$1:$F$16,MATCH(R717,'SummaryNOT_VALIDATED-BL'!$A$1:$A$16,0),6),0),IF(S717=TRUE,INDEX('SummaryNOT_VALIDATED-BL'!$A$1:$F$16,MATCH(E717,'SummaryNOT_VALIDATED-BL'!$A$1:$A$16,0),6),0)),0)</f>
        <v>0</v>
      </c>
      <c r="V717" s="81" cm="1">
        <f t="array" ref="V717">INDEX('Weight tables'!$A$24:$C$27,MATCH(1,(RendicontiTrasmessiBL__2[[#This Row],[Cut percentage on real costs + USC]]&gt;='Weight tables'!$B$24:$B$27)*(RendicontiTrasmessiBL__2[[#This Row],[Cut percentage on real costs + USC]]&lt;='Weight tables'!$C$24:$C$27),0),1)</f>
        <v>0</v>
      </c>
      <c r="W717" s="2">
        <f>RendicontiTrasmessiBL__2[[#This Row],[Weight real costs  + USC ]]</f>
        <v>0</v>
      </c>
    </row>
    <row r="718" spans="1:23" x14ac:dyDescent="0.25">
      <c r="A718" s="1" t="s">
        <v>361</v>
      </c>
      <c r="B718" s="1" t="s">
        <v>364</v>
      </c>
      <c r="C718" s="2">
        <v>242</v>
      </c>
      <c r="D718" s="2">
        <v>230</v>
      </c>
      <c r="E718" s="1" t="s">
        <v>233</v>
      </c>
      <c r="G718">
        <v>0</v>
      </c>
      <c r="H718">
        <v>0</v>
      </c>
      <c r="I718">
        <v>0</v>
      </c>
      <c r="J718">
        <v>0</v>
      </c>
      <c r="K718">
        <v>0</v>
      </c>
      <c r="L718">
        <v>0</v>
      </c>
      <c r="M718">
        <v>0</v>
      </c>
      <c r="N718">
        <v>0</v>
      </c>
      <c r="O718">
        <v>0</v>
      </c>
      <c r="P718">
        <v>0</v>
      </c>
      <c r="Q718" t="str">
        <f>INDEX('Partner data'!A:DH,MATCH(C718,'Partner data'!DG:DG,0),83)</f>
        <v>Soggetto privato</v>
      </c>
      <c r="R718" t="b">
        <f>IF(E718="staff",IF(INDEX('Partner data'!A:DH,MATCH(C718,'Partner data'!DG:DG,0),112)="BL1 non presente","FALSO",INDEX('Partner data'!A:DH,MATCH(C718,'Partner data'!DG:DG,0),112)))</f>
        <v>0</v>
      </c>
      <c r="S718" t="b">
        <f t="shared" si="22"/>
        <v>0</v>
      </c>
      <c r="T718" t="b">
        <f t="shared" si="23"/>
        <v>0</v>
      </c>
      <c r="U718" s="154">
        <f>IFERROR(IF(R718&lt;&gt;FALSE,IF(S718=TRUE,INDEX('SummaryNOT_VALIDATED-BL'!$A$1:$F$16,MATCH(R718,'SummaryNOT_VALIDATED-BL'!$A$1:$A$16,0),6),0),IF(S718=TRUE,INDEX('SummaryNOT_VALIDATED-BL'!$A$1:$F$16,MATCH(E718,'SummaryNOT_VALIDATED-BL'!$A$1:$A$16,0),6),0)),0)</f>
        <v>0</v>
      </c>
      <c r="V718" s="81" cm="1">
        <f t="array" ref="V718">INDEX('Weight tables'!$A$24:$C$27,MATCH(1,(RendicontiTrasmessiBL__2[[#This Row],[Cut percentage on real costs + USC]]&gt;='Weight tables'!$B$24:$B$27)*(RendicontiTrasmessiBL__2[[#This Row],[Cut percentage on real costs + USC]]&lt;='Weight tables'!$C$24:$C$27),0),1)</f>
        <v>0</v>
      </c>
      <c r="W718" s="2">
        <f>RendicontiTrasmessiBL__2[[#This Row],[Weight real costs  + USC ]]</f>
        <v>0</v>
      </c>
    </row>
    <row r="719" spans="1:23" x14ac:dyDescent="0.25">
      <c r="A719" s="1" t="s">
        <v>361</v>
      </c>
      <c r="B719" s="1" t="s">
        <v>364</v>
      </c>
      <c r="C719" s="2">
        <v>242</v>
      </c>
      <c r="D719" s="2">
        <v>230</v>
      </c>
      <c r="E719" s="1" t="s">
        <v>234</v>
      </c>
      <c r="G719">
        <v>0</v>
      </c>
      <c r="H719">
        <v>0</v>
      </c>
      <c r="I719">
        <v>0</v>
      </c>
      <c r="J719">
        <v>0</v>
      </c>
      <c r="K719">
        <v>0</v>
      </c>
      <c r="L719">
        <v>0</v>
      </c>
      <c r="M719">
        <v>0</v>
      </c>
      <c r="N719">
        <v>0</v>
      </c>
      <c r="O719">
        <v>0</v>
      </c>
      <c r="P719">
        <v>0</v>
      </c>
      <c r="Q719" t="str">
        <f>INDEX('Partner data'!A:DH,MATCH(C719,'Partner data'!DG:DG,0),83)</f>
        <v>Soggetto privato</v>
      </c>
      <c r="R719" t="b">
        <f>IF(E719="staff",IF(INDEX('Partner data'!A:DH,MATCH(C719,'Partner data'!DG:DG,0),112)="BL1 non presente","FALSO",INDEX('Partner data'!A:DH,MATCH(C719,'Partner data'!DG:DG,0),112)))</f>
        <v>0</v>
      </c>
      <c r="S719" t="b">
        <f t="shared" si="22"/>
        <v>0</v>
      </c>
      <c r="T719" t="b">
        <f t="shared" si="23"/>
        <v>0</v>
      </c>
      <c r="U719" s="154">
        <f>IFERROR(IF(R719&lt;&gt;FALSE,IF(S719=TRUE,INDEX('SummaryNOT_VALIDATED-BL'!$A$1:$F$16,MATCH(R719,'SummaryNOT_VALIDATED-BL'!$A$1:$A$16,0),6),0),IF(S719=TRUE,INDEX('SummaryNOT_VALIDATED-BL'!$A$1:$F$16,MATCH(E719,'SummaryNOT_VALIDATED-BL'!$A$1:$A$16,0),6),0)),0)</f>
        <v>0</v>
      </c>
      <c r="V719" s="81" cm="1">
        <f t="array" ref="V719">INDEX('Weight tables'!$A$24:$C$27,MATCH(1,(RendicontiTrasmessiBL__2[[#This Row],[Cut percentage on real costs + USC]]&gt;='Weight tables'!$B$24:$B$27)*(RendicontiTrasmessiBL__2[[#This Row],[Cut percentage on real costs + USC]]&lt;='Weight tables'!$C$24:$C$27),0),1)</f>
        <v>0</v>
      </c>
      <c r="W719" s="2">
        <f>RendicontiTrasmessiBL__2[[#This Row],[Weight real costs  + USC ]]</f>
        <v>0</v>
      </c>
    </row>
    <row r="720" spans="1:23" x14ac:dyDescent="0.25">
      <c r="A720" s="1" t="s">
        <v>361</v>
      </c>
      <c r="B720" s="1" t="s">
        <v>364</v>
      </c>
      <c r="C720" s="2">
        <v>242</v>
      </c>
      <c r="D720" s="2">
        <v>230</v>
      </c>
      <c r="E720" s="1" t="s">
        <v>236</v>
      </c>
      <c r="G720">
        <v>0</v>
      </c>
      <c r="H720">
        <v>0</v>
      </c>
      <c r="I720">
        <v>0</v>
      </c>
      <c r="J720">
        <v>0</v>
      </c>
      <c r="K720">
        <v>0</v>
      </c>
      <c r="L720">
        <v>0</v>
      </c>
      <c r="M720">
        <v>0</v>
      </c>
      <c r="N720">
        <v>0</v>
      </c>
      <c r="O720">
        <v>0</v>
      </c>
      <c r="P720">
        <v>0</v>
      </c>
      <c r="Q720" t="str">
        <f>INDEX('Partner data'!A:DH,MATCH(C720,'Partner data'!DG:DG,0),83)</f>
        <v>Soggetto privato</v>
      </c>
      <c r="R720" t="b">
        <f>IF(E720="staff",IF(INDEX('Partner data'!A:DH,MATCH(C720,'Partner data'!DG:DG,0),112)="BL1 non presente","FALSO",INDEX('Partner data'!A:DH,MATCH(C720,'Partner data'!DG:DG,0),112)))</f>
        <v>0</v>
      </c>
      <c r="S720" t="b">
        <f t="shared" si="22"/>
        <v>0</v>
      </c>
      <c r="T720" t="b">
        <f t="shared" si="23"/>
        <v>0</v>
      </c>
      <c r="U720" s="154">
        <f>IFERROR(IF(R720&lt;&gt;FALSE,IF(S720=TRUE,INDEX('SummaryNOT_VALIDATED-BL'!$A$1:$F$16,MATCH(R720,'SummaryNOT_VALIDATED-BL'!$A$1:$A$16,0),6),0),IF(S720=TRUE,INDEX('SummaryNOT_VALIDATED-BL'!$A$1:$F$16,MATCH(E720,'SummaryNOT_VALIDATED-BL'!$A$1:$A$16,0),6),0)),0)</f>
        <v>0</v>
      </c>
      <c r="V720" s="81" cm="1">
        <f t="array" ref="V720">INDEX('Weight tables'!$A$24:$C$27,MATCH(1,(RendicontiTrasmessiBL__2[[#This Row],[Cut percentage on real costs + USC]]&gt;='Weight tables'!$B$24:$B$27)*(RendicontiTrasmessiBL__2[[#This Row],[Cut percentage on real costs + USC]]&lt;='Weight tables'!$C$24:$C$27),0),1)</f>
        <v>0</v>
      </c>
      <c r="W720" s="2">
        <f>RendicontiTrasmessiBL__2[[#This Row],[Weight real costs  + USC ]]</f>
        <v>0</v>
      </c>
    </row>
    <row r="721" spans="1:23" x14ac:dyDescent="0.25">
      <c r="A721" s="1" t="s">
        <v>361</v>
      </c>
      <c r="B721" s="1" t="s">
        <v>364</v>
      </c>
      <c r="C721" s="2">
        <v>242</v>
      </c>
      <c r="D721" s="2">
        <v>230</v>
      </c>
      <c r="E721" s="1" t="s">
        <v>237</v>
      </c>
      <c r="G721">
        <v>0</v>
      </c>
      <c r="H721">
        <v>0</v>
      </c>
      <c r="I721">
        <v>0</v>
      </c>
      <c r="J721">
        <v>0</v>
      </c>
      <c r="K721">
        <v>0</v>
      </c>
      <c r="L721">
        <v>0</v>
      </c>
      <c r="M721">
        <v>0</v>
      </c>
      <c r="N721">
        <v>0</v>
      </c>
      <c r="O721">
        <v>0</v>
      </c>
      <c r="P721">
        <v>0</v>
      </c>
      <c r="Q721" t="str">
        <f>INDEX('Partner data'!A:DH,MATCH(C721,'Partner data'!DG:DG,0),83)</f>
        <v>Soggetto privato</v>
      </c>
      <c r="R721" t="b">
        <f>IF(E721="staff",IF(INDEX('Partner data'!A:DH,MATCH(C721,'Partner data'!DG:DG,0),112)="BL1 non presente","FALSO",INDEX('Partner data'!A:DH,MATCH(C721,'Partner data'!DG:DG,0),112)))</f>
        <v>0</v>
      </c>
      <c r="S721" t="b">
        <f t="shared" si="22"/>
        <v>0</v>
      </c>
      <c r="T721" t="b">
        <f t="shared" si="23"/>
        <v>0</v>
      </c>
      <c r="U721" s="154">
        <f>IFERROR(IF(R721&lt;&gt;FALSE,IF(S721=TRUE,INDEX('SummaryNOT_VALIDATED-BL'!$A$1:$F$16,MATCH(R721,'SummaryNOT_VALIDATED-BL'!$A$1:$A$16,0),6),0),IF(S721=TRUE,INDEX('SummaryNOT_VALIDATED-BL'!$A$1:$F$16,MATCH(E721,'SummaryNOT_VALIDATED-BL'!$A$1:$A$16,0),6),0)),0)</f>
        <v>0</v>
      </c>
      <c r="V721" s="81" cm="1">
        <f t="array" ref="V721">INDEX('Weight tables'!$A$24:$C$27,MATCH(1,(RendicontiTrasmessiBL__2[[#This Row],[Cut percentage on real costs + USC]]&gt;='Weight tables'!$B$24:$B$27)*(RendicontiTrasmessiBL__2[[#This Row],[Cut percentage on real costs + USC]]&lt;='Weight tables'!$C$24:$C$27),0),1)</f>
        <v>0</v>
      </c>
      <c r="W721" s="2">
        <f>RendicontiTrasmessiBL__2[[#This Row],[Weight real costs  + USC ]]</f>
        <v>0</v>
      </c>
    </row>
    <row r="722" spans="1:23" x14ac:dyDescent="0.25">
      <c r="A722" s="1" t="s">
        <v>361</v>
      </c>
      <c r="B722" s="1" t="s">
        <v>300</v>
      </c>
      <c r="C722" s="2">
        <v>238</v>
      </c>
      <c r="D722" s="2">
        <v>143</v>
      </c>
      <c r="E722" s="1" t="s">
        <v>228</v>
      </c>
      <c r="G722">
        <v>35000</v>
      </c>
      <c r="H722">
        <v>0</v>
      </c>
      <c r="I722">
        <v>0</v>
      </c>
      <c r="J722">
        <v>0</v>
      </c>
      <c r="K722">
        <v>0</v>
      </c>
      <c r="L722">
        <v>0</v>
      </c>
      <c r="M722">
        <v>0</v>
      </c>
      <c r="N722">
        <v>0</v>
      </c>
      <c r="O722">
        <v>35000</v>
      </c>
      <c r="P722">
        <v>0</v>
      </c>
      <c r="Q722" t="str">
        <f>INDEX('Partner data'!A:DH,MATCH(C722,'Partner data'!DG:DG,0),83)</f>
        <v>Soggetto pubblico</v>
      </c>
      <c r="R722" t="str">
        <f>IF(E722="staff",IF(INDEX('Partner data'!A:DH,MATCH(C722,'Partner data'!DG:DG,0),112)="BL1 non presente","FALSO",INDEX('Partner data'!A:DH,MATCH(C722,'Partner data'!DG:DG,0),112)))</f>
        <v>COSTO REALE</v>
      </c>
      <c r="S722" t="b">
        <f t="shared" si="22"/>
        <v>0</v>
      </c>
      <c r="T722" t="b">
        <f t="shared" si="23"/>
        <v>1</v>
      </c>
      <c r="U722" s="154">
        <f>IFERROR(IF(R722&lt;&gt;FALSE,IF(S722=TRUE,INDEX('SummaryNOT_VALIDATED-BL'!$A$1:$F$16,MATCH(R722,'SummaryNOT_VALIDATED-BL'!$A$1:$A$16,0),6),0),IF(S722=TRUE,INDEX('SummaryNOT_VALIDATED-BL'!$A$1:$F$16,MATCH(E722,'SummaryNOT_VALIDATED-BL'!$A$1:$A$16,0),6),0)),0)</f>
        <v>0</v>
      </c>
      <c r="V722" s="81" cm="1">
        <f t="array" ref="V722">INDEX('Weight tables'!$A$24:$C$27,MATCH(1,(RendicontiTrasmessiBL__2[[#This Row],[Cut percentage on real costs + USC]]&gt;='Weight tables'!$B$24:$B$27)*(RendicontiTrasmessiBL__2[[#This Row],[Cut percentage on real costs + USC]]&lt;='Weight tables'!$C$24:$C$27),0),1)</f>
        <v>0</v>
      </c>
      <c r="W722" s="2">
        <f>RendicontiTrasmessiBL__2[[#This Row],[Weight real costs  + USC ]]</f>
        <v>0</v>
      </c>
    </row>
    <row r="723" spans="1:23" x14ac:dyDescent="0.25">
      <c r="A723" s="1" t="s">
        <v>361</v>
      </c>
      <c r="B723" s="1" t="s">
        <v>300</v>
      </c>
      <c r="C723" s="2">
        <v>238</v>
      </c>
      <c r="D723" s="2">
        <v>143</v>
      </c>
      <c r="E723" s="1" t="s">
        <v>229</v>
      </c>
      <c r="F723">
        <v>15</v>
      </c>
      <c r="G723">
        <v>5250</v>
      </c>
      <c r="H723">
        <v>0</v>
      </c>
      <c r="I723">
        <v>0</v>
      </c>
      <c r="J723">
        <v>0</v>
      </c>
      <c r="K723">
        <v>0</v>
      </c>
      <c r="L723">
        <v>0</v>
      </c>
      <c r="M723">
        <v>0</v>
      </c>
      <c r="N723">
        <v>0</v>
      </c>
      <c r="O723">
        <v>5250</v>
      </c>
      <c r="P723">
        <v>0</v>
      </c>
      <c r="Q723" t="str">
        <f>INDEX('Partner data'!A:DH,MATCH(C723,'Partner data'!DG:DG,0),83)</f>
        <v>Soggetto pubblico</v>
      </c>
      <c r="R723" t="b">
        <f>IF(E723="staff",IF(INDEX('Partner data'!A:DH,MATCH(C723,'Partner data'!DG:DG,0),112)="BL1 non presente","FALSO",INDEX('Partner data'!A:DH,MATCH(C723,'Partner data'!DG:DG,0),112)))</f>
        <v>0</v>
      </c>
      <c r="S723" t="b">
        <f t="shared" si="22"/>
        <v>0</v>
      </c>
      <c r="T723" t="b">
        <f t="shared" si="23"/>
        <v>1</v>
      </c>
      <c r="U723" s="154">
        <f>IFERROR(IF(R723&lt;&gt;FALSE,IF(S723=TRUE,INDEX('SummaryNOT_VALIDATED-BL'!$A$1:$F$16,MATCH(R723,'SummaryNOT_VALIDATED-BL'!$A$1:$A$16,0),6),0),IF(S723=TRUE,INDEX('SummaryNOT_VALIDATED-BL'!$A$1:$F$16,MATCH(E723,'SummaryNOT_VALIDATED-BL'!$A$1:$A$16,0),6),0)),0)</f>
        <v>0</v>
      </c>
      <c r="V723" s="81" cm="1">
        <f t="array" ref="V723">INDEX('Weight tables'!$A$24:$C$27,MATCH(1,(RendicontiTrasmessiBL__2[[#This Row],[Cut percentage on real costs + USC]]&gt;='Weight tables'!$B$24:$B$27)*(RendicontiTrasmessiBL__2[[#This Row],[Cut percentage on real costs + USC]]&lt;='Weight tables'!$C$24:$C$27),0),1)</f>
        <v>0</v>
      </c>
      <c r="W723" s="2">
        <f>RendicontiTrasmessiBL__2[[#This Row],[Weight real costs  + USC ]]</f>
        <v>0</v>
      </c>
    </row>
    <row r="724" spans="1:23" x14ac:dyDescent="0.25">
      <c r="A724" s="1" t="s">
        <v>361</v>
      </c>
      <c r="B724" s="1" t="s">
        <v>300</v>
      </c>
      <c r="C724" s="2">
        <v>238</v>
      </c>
      <c r="D724" s="2">
        <v>143</v>
      </c>
      <c r="E724" s="1" t="s">
        <v>230</v>
      </c>
      <c r="F724">
        <v>4</v>
      </c>
      <c r="G724">
        <v>1400</v>
      </c>
      <c r="H724">
        <v>0</v>
      </c>
      <c r="I724">
        <v>0</v>
      </c>
      <c r="J724">
        <v>0</v>
      </c>
      <c r="K724">
        <v>0</v>
      </c>
      <c r="L724">
        <v>0</v>
      </c>
      <c r="M724">
        <v>0</v>
      </c>
      <c r="N724">
        <v>0</v>
      </c>
      <c r="O724">
        <v>1400</v>
      </c>
      <c r="P724">
        <v>0</v>
      </c>
      <c r="Q724" t="str">
        <f>INDEX('Partner data'!A:DH,MATCH(C724,'Partner data'!DG:DG,0),83)</f>
        <v>Soggetto pubblico</v>
      </c>
      <c r="R724" t="b">
        <f>IF(E724="staff",IF(INDEX('Partner data'!A:DH,MATCH(C724,'Partner data'!DG:DG,0),112)="BL1 non presente","FALSO",INDEX('Partner data'!A:DH,MATCH(C724,'Partner data'!DG:DG,0),112)))</f>
        <v>0</v>
      </c>
      <c r="S724" t="b">
        <f t="shared" si="22"/>
        <v>0</v>
      </c>
      <c r="T724" t="b">
        <f t="shared" si="23"/>
        <v>1</v>
      </c>
      <c r="U724" s="154">
        <f>IFERROR(IF(R724&lt;&gt;FALSE,IF(S724=TRUE,INDEX('SummaryNOT_VALIDATED-BL'!$A$1:$F$16,MATCH(R724,'SummaryNOT_VALIDATED-BL'!$A$1:$A$16,0),6),0),IF(S724=TRUE,INDEX('SummaryNOT_VALIDATED-BL'!$A$1:$F$16,MATCH(E724,'SummaryNOT_VALIDATED-BL'!$A$1:$A$16,0),6),0)),0)</f>
        <v>0</v>
      </c>
      <c r="V724" s="81" cm="1">
        <f t="array" ref="V724">INDEX('Weight tables'!$A$24:$C$27,MATCH(1,(RendicontiTrasmessiBL__2[[#This Row],[Cut percentage on real costs + USC]]&gt;='Weight tables'!$B$24:$B$27)*(RendicontiTrasmessiBL__2[[#This Row],[Cut percentage on real costs + USC]]&lt;='Weight tables'!$C$24:$C$27),0),1)</f>
        <v>0</v>
      </c>
      <c r="W724" s="2">
        <f>RendicontiTrasmessiBL__2[[#This Row],[Weight real costs  + USC ]]</f>
        <v>0</v>
      </c>
    </row>
    <row r="725" spans="1:23" x14ac:dyDescent="0.25">
      <c r="A725" s="1" t="s">
        <v>361</v>
      </c>
      <c r="B725" s="1" t="s">
        <v>300</v>
      </c>
      <c r="C725" s="2">
        <v>238</v>
      </c>
      <c r="D725" s="2">
        <v>143</v>
      </c>
      <c r="E725" s="1" t="s">
        <v>231</v>
      </c>
      <c r="G725">
        <v>62000</v>
      </c>
      <c r="H725">
        <v>0</v>
      </c>
      <c r="I725">
        <v>0</v>
      </c>
      <c r="J725">
        <v>1615.95</v>
      </c>
      <c r="K725">
        <v>0</v>
      </c>
      <c r="L725">
        <v>1615.95</v>
      </c>
      <c r="M725">
        <v>1615.95</v>
      </c>
      <c r="N725">
        <v>2.61</v>
      </c>
      <c r="O725">
        <v>60384.05</v>
      </c>
      <c r="P725">
        <v>0</v>
      </c>
      <c r="Q725" t="str">
        <f>INDEX('Partner data'!A:DH,MATCH(C725,'Partner data'!DG:DG,0),83)</f>
        <v>Soggetto pubblico</v>
      </c>
      <c r="R725" t="b">
        <f>IF(E725="staff",IF(INDEX('Partner data'!A:DH,MATCH(C725,'Partner data'!DG:DG,0),112)="BL1 non presente","FALSO",INDEX('Partner data'!A:DH,MATCH(C725,'Partner data'!DG:DG,0),112)))</f>
        <v>0</v>
      </c>
      <c r="S725" t="b">
        <f t="shared" si="22"/>
        <v>1</v>
      </c>
      <c r="T725" t="b">
        <f t="shared" si="23"/>
        <v>1</v>
      </c>
      <c r="U725" s="154">
        <f>IFERROR(IF(R725&lt;&gt;FALSE,IF(S725=TRUE,INDEX('SummaryNOT_VALIDATED-BL'!$A$1:$F$16,MATCH(R725,'SummaryNOT_VALIDATED-BL'!$A$1:$A$16,0),6),0),IF(S725=TRUE,INDEX('SummaryNOT_VALIDATED-BL'!$A$1:$F$16,MATCH(E725,'SummaryNOT_VALIDATED-BL'!$A$1:$A$16,0),6),0)),0)</f>
        <v>5.577594442215475E-2</v>
      </c>
      <c r="V725" s="81" cm="1">
        <f t="array" ref="V725">INDEX('Weight tables'!$A$24:$C$27,MATCH(1,(RendicontiTrasmessiBL__2[[#This Row],[Cut percentage on real costs + USC]]&gt;='Weight tables'!$B$24:$B$27)*(RendicontiTrasmessiBL__2[[#This Row],[Cut percentage on real costs + USC]]&lt;='Weight tables'!$C$24:$C$27),0),1)</f>
        <v>4</v>
      </c>
      <c r="W725" s="2">
        <f>RendicontiTrasmessiBL__2[[#This Row],[Weight real costs  + USC ]]</f>
        <v>4</v>
      </c>
    </row>
    <row r="726" spans="1:23" x14ac:dyDescent="0.25">
      <c r="A726" s="1" t="s">
        <v>361</v>
      </c>
      <c r="B726" s="1" t="s">
        <v>300</v>
      </c>
      <c r="C726" s="2">
        <v>238</v>
      </c>
      <c r="D726" s="2">
        <v>143</v>
      </c>
      <c r="E726" s="1" t="s">
        <v>232</v>
      </c>
      <c r="G726">
        <v>30000</v>
      </c>
      <c r="H726">
        <v>0</v>
      </c>
      <c r="I726">
        <v>0</v>
      </c>
      <c r="J726">
        <v>0</v>
      </c>
      <c r="K726">
        <v>0</v>
      </c>
      <c r="L726">
        <v>0</v>
      </c>
      <c r="M726">
        <v>0</v>
      </c>
      <c r="N726">
        <v>0</v>
      </c>
      <c r="O726">
        <v>30000</v>
      </c>
      <c r="P726">
        <v>0</v>
      </c>
      <c r="Q726" t="str">
        <f>INDEX('Partner data'!A:DH,MATCH(C726,'Partner data'!DG:DG,0),83)</f>
        <v>Soggetto pubblico</v>
      </c>
      <c r="R726" t="b">
        <f>IF(E726="staff",IF(INDEX('Partner data'!A:DH,MATCH(C726,'Partner data'!DG:DG,0),112)="BL1 non presente","FALSO",INDEX('Partner data'!A:DH,MATCH(C726,'Partner data'!DG:DG,0),112)))</f>
        <v>0</v>
      </c>
      <c r="S726" t="b">
        <f t="shared" si="22"/>
        <v>0</v>
      </c>
      <c r="T726" t="b">
        <f t="shared" si="23"/>
        <v>1</v>
      </c>
      <c r="U726" s="154">
        <f>IFERROR(IF(R726&lt;&gt;FALSE,IF(S726=TRUE,INDEX('SummaryNOT_VALIDATED-BL'!$A$1:$F$16,MATCH(R726,'SummaryNOT_VALIDATED-BL'!$A$1:$A$16,0),6),0),IF(S726=TRUE,INDEX('SummaryNOT_VALIDATED-BL'!$A$1:$F$16,MATCH(E726,'SummaryNOT_VALIDATED-BL'!$A$1:$A$16,0),6),0)),0)</f>
        <v>0</v>
      </c>
      <c r="V726" s="81" cm="1">
        <f t="array" ref="V726">INDEX('Weight tables'!$A$24:$C$27,MATCH(1,(RendicontiTrasmessiBL__2[[#This Row],[Cut percentage on real costs + USC]]&gt;='Weight tables'!$B$24:$B$27)*(RendicontiTrasmessiBL__2[[#This Row],[Cut percentage on real costs + USC]]&lt;='Weight tables'!$C$24:$C$27),0),1)</f>
        <v>0</v>
      </c>
      <c r="W726" s="2">
        <f>RendicontiTrasmessiBL__2[[#This Row],[Weight real costs  + USC ]]</f>
        <v>0</v>
      </c>
    </row>
    <row r="727" spans="1:23" x14ac:dyDescent="0.25">
      <c r="A727" s="1" t="s">
        <v>361</v>
      </c>
      <c r="B727" s="1" t="s">
        <v>300</v>
      </c>
      <c r="C727" s="2">
        <v>238</v>
      </c>
      <c r="D727" s="2">
        <v>143</v>
      </c>
      <c r="E727" s="1" t="s">
        <v>233</v>
      </c>
      <c r="G727">
        <v>0</v>
      </c>
      <c r="H727">
        <v>0</v>
      </c>
      <c r="I727">
        <v>0</v>
      </c>
      <c r="J727">
        <v>0</v>
      </c>
      <c r="K727">
        <v>0</v>
      </c>
      <c r="L727">
        <v>0</v>
      </c>
      <c r="M727">
        <v>0</v>
      </c>
      <c r="N727">
        <v>0</v>
      </c>
      <c r="O727">
        <v>0</v>
      </c>
      <c r="P727">
        <v>0</v>
      </c>
      <c r="Q727" t="str">
        <f>INDEX('Partner data'!A:DH,MATCH(C727,'Partner data'!DG:DG,0),83)</f>
        <v>Soggetto pubblico</v>
      </c>
      <c r="R727" t="b">
        <f>IF(E727="staff",IF(INDEX('Partner data'!A:DH,MATCH(C727,'Partner data'!DG:DG,0),112)="BL1 non presente","FALSO",INDEX('Partner data'!A:DH,MATCH(C727,'Partner data'!DG:DG,0),112)))</f>
        <v>0</v>
      </c>
      <c r="S727" t="b">
        <f t="shared" si="22"/>
        <v>0</v>
      </c>
      <c r="T727" t="b">
        <f t="shared" si="23"/>
        <v>1</v>
      </c>
      <c r="U727" s="154">
        <f>IFERROR(IF(R727&lt;&gt;FALSE,IF(S727=TRUE,INDEX('SummaryNOT_VALIDATED-BL'!$A$1:$F$16,MATCH(R727,'SummaryNOT_VALIDATED-BL'!$A$1:$A$16,0),6),0),IF(S727=TRUE,INDEX('SummaryNOT_VALIDATED-BL'!$A$1:$F$16,MATCH(E727,'SummaryNOT_VALIDATED-BL'!$A$1:$A$16,0),6),0)),0)</f>
        <v>0</v>
      </c>
      <c r="V727" s="81" cm="1">
        <f t="array" ref="V727">INDEX('Weight tables'!$A$24:$C$27,MATCH(1,(RendicontiTrasmessiBL__2[[#This Row],[Cut percentage on real costs + USC]]&gt;='Weight tables'!$B$24:$B$27)*(RendicontiTrasmessiBL__2[[#This Row],[Cut percentage on real costs + USC]]&lt;='Weight tables'!$C$24:$C$27),0),1)</f>
        <v>0</v>
      </c>
      <c r="W727" s="2">
        <f>RendicontiTrasmessiBL__2[[#This Row],[Weight real costs  + USC ]]</f>
        <v>0</v>
      </c>
    </row>
    <row r="728" spans="1:23" x14ac:dyDescent="0.25">
      <c r="A728" s="1" t="s">
        <v>361</v>
      </c>
      <c r="B728" s="1" t="s">
        <v>300</v>
      </c>
      <c r="C728" s="2">
        <v>238</v>
      </c>
      <c r="D728" s="2">
        <v>143</v>
      </c>
      <c r="E728" s="1" t="s">
        <v>234</v>
      </c>
      <c r="G728">
        <v>0</v>
      </c>
      <c r="H728">
        <v>0</v>
      </c>
      <c r="I728">
        <v>0</v>
      </c>
      <c r="J728">
        <v>0</v>
      </c>
      <c r="K728">
        <v>0</v>
      </c>
      <c r="L728">
        <v>0</v>
      </c>
      <c r="M728">
        <v>0</v>
      </c>
      <c r="N728">
        <v>0</v>
      </c>
      <c r="O728">
        <v>0</v>
      </c>
      <c r="P728">
        <v>0</v>
      </c>
      <c r="Q728" t="str">
        <f>INDEX('Partner data'!A:DH,MATCH(C728,'Partner data'!DG:DG,0),83)</f>
        <v>Soggetto pubblico</v>
      </c>
      <c r="R728" t="b">
        <f>IF(E728="staff",IF(INDEX('Partner data'!A:DH,MATCH(C728,'Partner data'!DG:DG,0),112)="BL1 non presente","FALSO",INDEX('Partner data'!A:DH,MATCH(C728,'Partner data'!DG:DG,0),112)))</f>
        <v>0</v>
      </c>
      <c r="S728" t="b">
        <f t="shared" si="22"/>
        <v>0</v>
      </c>
      <c r="T728" t="b">
        <f t="shared" si="23"/>
        <v>1</v>
      </c>
      <c r="U728" s="154">
        <f>IFERROR(IF(R728&lt;&gt;FALSE,IF(S728=TRUE,INDEX('SummaryNOT_VALIDATED-BL'!$A$1:$F$16,MATCH(R728,'SummaryNOT_VALIDATED-BL'!$A$1:$A$16,0),6),0),IF(S728=TRUE,INDEX('SummaryNOT_VALIDATED-BL'!$A$1:$F$16,MATCH(E728,'SummaryNOT_VALIDATED-BL'!$A$1:$A$16,0),6),0)),0)</f>
        <v>0</v>
      </c>
      <c r="V728" s="81" cm="1">
        <f t="array" ref="V728">INDEX('Weight tables'!$A$24:$C$27,MATCH(1,(RendicontiTrasmessiBL__2[[#This Row],[Cut percentage on real costs + USC]]&gt;='Weight tables'!$B$24:$B$27)*(RendicontiTrasmessiBL__2[[#This Row],[Cut percentage on real costs + USC]]&lt;='Weight tables'!$C$24:$C$27),0),1)</f>
        <v>0</v>
      </c>
      <c r="W728" s="2">
        <f>RendicontiTrasmessiBL__2[[#This Row],[Weight real costs  + USC ]]</f>
        <v>0</v>
      </c>
    </row>
    <row r="729" spans="1:23" x14ac:dyDescent="0.25">
      <c r="A729" s="1" t="s">
        <v>361</v>
      </c>
      <c r="B729" s="1" t="s">
        <v>300</v>
      </c>
      <c r="C729" s="2">
        <v>238</v>
      </c>
      <c r="D729" s="2">
        <v>143</v>
      </c>
      <c r="E729" s="1" t="s">
        <v>236</v>
      </c>
      <c r="G729">
        <v>0</v>
      </c>
      <c r="H729">
        <v>0</v>
      </c>
      <c r="I729">
        <v>0</v>
      </c>
      <c r="J729">
        <v>0</v>
      </c>
      <c r="K729">
        <v>0</v>
      </c>
      <c r="L729">
        <v>0</v>
      </c>
      <c r="M729">
        <v>0</v>
      </c>
      <c r="N729">
        <v>0</v>
      </c>
      <c r="O729">
        <v>0</v>
      </c>
      <c r="P729">
        <v>0</v>
      </c>
      <c r="Q729" t="str">
        <f>INDEX('Partner data'!A:DH,MATCH(C729,'Partner data'!DG:DG,0),83)</f>
        <v>Soggetto pubblico</v>
      </c>
      <c r="R729" t="b">
        <f>IF(E729="staff",IF(INDEX('Partner data'!A:DH,MATCH(C729,'Partner data'!DG:DG,0),112)="BL1 non presente","FALSO",INDEX('Partner data'!A:DH,MATCH(C729,'Partner data'!DG:DG,0),112)))</f>
        <v>0</v>
      </c>
      <c r="S729" t="b">
        <f t="shared" si="22"/>
        <v>0</v>
      </c>
      <c r="T729" t="b">
        <f t="shared" si="23"/>
        <v>1</v>
      </c>
      <c r="U729" s="154">
        <f>IFERROR(IF(R729&lt;&gt;FALSE,IF(S729=TRUE,INDEX('SummaryNOT_VALIDATED-BL'!$A$1:$F$16,MATCH(R729,'SummaryNOT_VALIDATED-BL'!$A$1:$A$16,0),6),0),IF(S729=TRUE,INDEX('SummaryNOT_VALIDATED-BL'!$A$1:$F$16,MATCH(E729,'SummaryNOT_VALIDATED-BL'!$A$1:$A$16,0),6),0)),0)</f>
        <v>0</v>
      </c>
      <c r="V729" s="81" cm="1">
        <f t="array" ref="V729">INDEX('Weight tables'!$A$24:$C$27,MATCH(1,(RendicontiTrasmessiBL__2[[#This Row],[Cut percentage on real costs + USC]]&gt;='Weight tables'!$B$24:$B$27)*(RendicontiTrasmessiBL__2[[#This Row],[Cut percentage on real costs + USC]]&lt;='Weight tables'!$C$24:$C$27),0),1)</f>
        <v>0</v>
      </c>
      <c r="W729" s="2">
        <f>RendicontiTrasmessiBL__2[[#This Row],[Weight real costs  + USC ]]</f>
        <v>0</v>
      </c>
    </row>
    <row r="730" spans="1:23" x14ac:dyDescent="0.25">
      <c r="A730" s="1" t="s">
        <v>361</v>
      </c>
      <c r="B730" s="1" t="s">
        <v>300</v>
      </c>
      <c r="C730" s="2">
        <v>238</v>
      </c>
      <c r="D730" s="2">
        <v>143</v>
      </c>
      <c r="E730" s="1" t="s">
        <v>237</v>
      </c>
      <c r="G730">
        <v>0</v>
      </c>
      <c r="H730">
        <v>0</v>
      </c>
      <c r="I730">
        <v>0</v>
      </c>
      <c r="J730">
        <v>0</v>
      </c>
      <c r="K730">
        <v>0</v>
      </c>
      <c r="L730">
        <v>0</v>
      </c>
      <c r="M730">
        <v>0</v>
      </c>
      <c r="N730">
        <v>0</v>
      </c>
      <c r="O730">
        <v>0</v>
      </c>
      <c r="P730">
        <v>0</v>
      </c>
      <c r="Q730" t="str">
        <f>INDEX('Partner data'!A:DH,MATCH(C730,'Partner data'!DG:DG,0),83)</f>
        <v>Soggetto pubblico</v>
      </c>
      <c r="R730" t="b">
        <f>IF(E730="staff",IF(INDEX('Partner data'!A:DH,MATCH(C730,'Partner data'!DG:DG,0),112)="BL1 non presente","FALSO",INDEX('Partner data'!A:DH,MATCH(C730,'Partner data'!DG:DG,0),112)))</f>
        <v>0</v>
      </c>
      <c r="S730" t="b">
        <f t="shared" si="22"/>
        <v>0</v>
      </c>
      <c r="T730" t="b">
        <f t="shared" si="23"/>
        <v>1</v>
      </c>
      <c r="U730" s="154">
        <f>IFERROR(IF(R730&lt;&gt;FALSE,IF(S730=TRUE,INDEX('SummaryNOT_VALIDATED-BL'!$A$1:$F$16,MATCH(R730,'SummaryNOT_VALIDATED-BL'!$A$1:$A$16,0),6),0),IF(S730=TRUE,INDEX('SummaryNOT_VALIDATED-BL'!$A$1:$F$16,MATCH(E730,'SummaryNOT_VALIDATED-BL'!$A$1:$A$16,0),6),0)),0)</f>
        <v>0</v>
      </c>
      <c r="V730" s="81" cm="1">
        <f t="array" ref="V730">INDEX('Weight tables'!$A$24:$C$27,MATCH(1,(RendicontiTrasmessiBL__2[[#This Row],[Cut percentage on real costs + USC]]&gt;='Weight tables'!$B$24:$B$27)*(RendicontiTrasmessiBL__2[[#This Row],[Cut percentage on real costs + USC]]&lt;='Weight tables'!$C$24:$C$27),0),1)</f>
        <v>0</v>
      </c>
      <c r="W730" s="2">
        <f>RendicontiTrasmessiBL__2[[#This Row],[Weight real costs  + USC ]]</f>
        <v>0</v>
      </c>
    </row>
    <row r="731" spans="1:23" x14ac:dyDescent="0.25">
      <c r="A731" s="1" t="s">
        <v>361</v>
      </c>
      <c r="B731" s="1" t="s">
        <v>69</v>
      </c>
      <c r="C731" s="2">
        <v>244</v>
      </c>
      <c r="D731" s="2">
        <v>193</v>
      </c>
      <c r="E731" s="1" t="s">
        <v>228</v>
      </c>
      <c r="G731">
        <v>81480</v>
      </c>
      <c r="H731">
        <v>0</v>
      </c>
      <c r="I731">
        <v>0</v>
      </c>
      <c r="J731">
        <v>13034</v>
      </c>
      <c r="K731">
        <v>0</v>
      </c>
      <c r="L731">
        <v>12996</v>
      </c>
      <c r="M731">
        <v>13034</v>
      </c>
      <c r="N731">
        <v>16</v>
      </c>
      <c r="O731">
        <v>68446</v>
      </c>
      <c r="P731">
        <v>0</v>
      </c>
      <c r="Q731" t="str">
        <f>INDEX('Partner data'!A:DH,MATCH(C731,'Partner data'!DG:DG,0),83)</f>
        <v>Soggetto pubblico</v>
      </c>
      <c r="R731" t="str">
        <f>IF(E731="staff",IF(INDEX('Partner data'!A:DH,MATCH(C731,'Partner data'!DG:DG,0),112)="BL1 non presente","FALSO",INDEX('Partner data'!A:DH,MATCH(C731,'Partner data'!DG:DG,0),112)))</f>
        <v>Costo Unitario Standard</v>
      </c>
      <c r="S731" t="b">
        <f t="shared" si="22"/>
        <v>1</v>
      </c>
      <c r="T731" t="b">
        <f t="shared" si="23"/>
        <v>1</v>
      </c>
      <c r="U731" s="154">
        <f>IFERROR(IF(R731&lt;&gt;FALSE,IF(S731=TRUE,INDEX('SummaryNOT_VALIDATED-BL'!$A$1:$F$16,MATCH(R731,'SummaryNOT_VALIDATED-BL'!$A$1:$A$16,0),6),0),IF(S731=TRUE,INDEX('SummaryNOT_VALIDATED-BL'!$A$1:$F$16,MATCH(E731,'SummaryNOT_VALIDATED-BL'!$A$1:$A$16,0),6),0)),0)</f>
        <v>3.2052879635441428E-2</v>
      </c>
      <c r="V731" s="81" cm="1">
        <f t="array" ref="V731">INDEX('Weight tables'!$A$24:$C$27,MATCH(1,(RendicontiTrasmessiBL__2[[#This Row],[Cut percentage on real costs + USC]]&gt;='Weight tables'!$B$24:$B$27)*(RendicontiTrasmessiBL__2[[#This Row],[Cut percentage on real costs + USC]]&lt;='Weight tables'!$C$24:$C$27),0),1)</f>
        <v>2</v>
      </c>
      <c r="W731" s="2">
        <f>RendicontiTrasmessiBL__2[[#This Row],[Weight real costs  + USC ]]</f>
        <v>2</v>
      </c>
    </row>
    <row r="732" spans="1:23" x14ac:dyDescent="0.25">
      <c r="A732" s="1" t="s">
        <v>361</v>
      </c>
      <c r="B732" s="1" t="s">
        <v>69</v>
      </c>
      <c r="C732" s="2">
        <v>244</v>
      </c>
      <c r="D732" s="2">
        <v>193</v>
      </c>
      <c r="E732" s="1" t="s">
        <v>229</v>
      </c>
      <c r="G732">
        <v>0</v>
      </c>
      <c r="H732">
        <v>0</v>
      </c>
      <c r="I732">
        <v>0</v>
      </c>
      <c r="J732">
        <v>0</v>
      </c>
      <c r="K732">
        <v>0</v>
      </c>
      <c r="L732">
        <v>0</v>
      </c>
      <c r="M732">
        <v>0</v>
      </c>
      <c r="N732">
        <v>0</v>
      </c>
      <c r="O732">
        <v>0</v>
      </c>
      <c r="P732">
        <v>0</v>
      </c>
      <c r="Q732" t="str">
        <f>INDEX('Partner data'!A:DH,MATCH(C732,'Partner data'!DG:DG,0),83)</f>
        <v>Soggetto pubblico</v>
      </c>
      <c r="R732" t="b">
        <f>IF(E732="staff",IF(INDEX('Partner data'!A:DH,MATCH(C732,'Partner data'!DG:DG,0),112)="BL1 non presente","FALSO",INDEX('Partner data'!A:DH,MATCH(C732,'Partner data'!DG:DG,0),112)))</f>
        <v>0</v>
      </c>
      <c r="S732" t="b">
        <f t="shared" si="22"/>
        <v>0</v>
      </c>
      <c r="T732" t="b">
        <f t="shared" si="23"/>
        <v>1</v>
      </c>
      <c r="U732" s="154">
        <f>IFERROR(IF(R732&lt;&gt;FALSE,IF(S732=TRUE,INDEX('SummaryNOT_VALIDATED-BL'!$A$1:$F$16,MATCH(R732,'SummaryNOT_VALIDATED-BL'!$A$1:$A$16,0),6),0),IF(S732=TRUE,INDEX('SummaryNOT_VALIDATED-BL'!$A$1:$F$16,MATCH(E732,'SummaryNOT_VALIDATED-BL'!$A$1:$A$16,0),6),0)),0)</f>
        <v>0</v>
      </c>
      <c r="V732" s="81" cm="1">
        <f t="array" ref="V732">INDEX('Weight tables'!$A$24:$C$27,MATCH(1,(RendicontiTrasmessiBL__2[[#This Row],[Cut percentage on real costs + USC]]&gt;='Weight tables'!$B$24:$B$27)*(RendicontiTrasmessiBL__2[[#This Row],[Cut percentage on real costs + USC]]&lt;='Weight tables'!$C$24:$C$27),0),1)</f>
        <v>0</v>
      </c>
      <c r="W732" s="2">
        <f>RendicontiTrasmessiBL__2[[#This Row],[Weight real costs  + USC ]]</f>
        <v>0</v>
      </c>
    </row>
    <row r="733" spans="1:23" x14ac:dyDescent="0.25">
      <c r="A733" s="1" t="s">
        <v>361</v>
      </c>
      <c r="B733" s="1" t="s">
        <v>69</v>
      </c>
      <c r="C733" s="2">
        <v>244</v>
      </c>
      <c r="D733" s="2">
        <v>193</v>
      </c>
      <c r="E733" s="1" t="s">
        <v>230</v>
      </c>
      <c r="G733">
        <v>0</v>
      </c>
      <c r="H733">
        <v>0</v>
      </c>
      <c r="I733">
        <v>0</v>
      </c>
      <c r="J733">
        <v>0</v>
      </c>
      <c r="K733">
        <v>0</v>
      </c>
      <c r="L733">
        <v>0</v>
      </c>
      <c r="M733">
        <v>0</v>
      </c>
      <c r="N733">
        <v>0</v>
      </c>
      <c r="O733">
        <v>0</v>
      </c>
      <c r="P733">
        <v>0</v>
      </c>
      <c r="Q733" t="str">
        <f>INDEX('Partner data'!A:DH,MATCH(C733,'Partner data'!DG:DG,0),83)</f>
        <v>Soggetto pubblico</v>
      </c>
      <c r="R733" t="b">
        <f>IF(E733="staff",IF(INDEX('Partner data'!A:DH,MATCH(C733,'Partner data'!DG:DG,0),112)="BL1 non presente","FALSO",INDEX('Partner data'!A:DH,MATCH(C733,'Partner data'!DG:DG,0),112)))</f>
        <v>0</v>
      </c>
      <c r="S733" t="b">
        <f t="shared" si="22"/>
        <v>0</v>
      </c>
      <c r="T733" t="b">
        <f t="shared" si="23"/>
        <v>1</v>
      </c>
      <c r="U733" s="154">
        <f>IFERROR(IF(R733&lt;&gt;FALSE,IF(S733=TRUE,INDEX('SummaryNOT_VALIDATED-BL'!$A$1:$F$16,MATCH(R733,'SummaryNOT_VALIDATED-BL'!$A$1:$A$16,0),6),0),IF(S733=TRUE,INDEX('SummaryNOT_VALIDATED-BL'!$A$1:$F$16,MATCH(E733,'SummaryNOT_VALIDATED-BL'!$A$1:$A$16,0),6),0)),0)</f>
        <v>0</v>
      </c>
      <c r="V733" s="81" cm="1">
        <f t="array" ref="V733">INDEX('Weight tables'!$A$24:$C$27,MATCH(1,(RendicontiTrasmessiBL__2[[#This Row],[Cut percentage on real costs + USC]]&gt;='Weight tables'!$B$24:$B$27)*(RendicontiTrasmessiBL__2[[#This Row],[Cut percentage on real costs + USC]]&lt;='Weight tables'!$C$24:$C$27),0),1)</f>
        <v>0</v>
      </c>
      <c r="W733" s="2">
        <f>RendicontiTrasmessiBL__2[[#This Row],[Weight real costs  + USC ]]</f>
        <v>0</v>
      </c>
    </row>
    <row r="734" spans="1:23" x14ac:dyDescent="0.25">
      <c r="A734" s="1" t="s">
        <v>361</v>
      </c>
      <c r="B734" s="1" t="s">
        <v>69</v>
      </c>
      <c r="C734" s="2">
        <v>244</v>
      </c>
      <c r="D734" s="2">
        <v>193</v>
      </c>
      <c r="E734" s="1" t="s">
        <v>231</v>
      </c>
      <c r="G734">
        <v>0</v>
      </c>
      <c r="H734">
        <v>0</v>
      </c>
      <c r="I734">
        <v>0</v>
      </c>
      <c r="J734">
        <v>0</v>
      </c>
      <c r="K734">
        <v>0</v>
      </c>
      <c r="L734">
        <v>0</v>
      </c>
      <c r="M734">
        <v>0</v>
      </c>
      <c r="N734">
        <v>0</v>
      </c>
      <c r="O734">
        <v>0</v>
      </c>
      <c r="P734">
        <v>0</v>
      </c>
      <c r="Q734" t="str">
        <f>INDEX('Partner data'!A:DH,MATCH(C734,'Partner data'!DG:DG,0),83)</f>
        <v>Soggetto pubblico</v>
      </c>
      <c r="R734" t="b">
        <f>IF(E734="staff",IF(INDEX('Partner data'!A:DH,MATCH(C734,'Partner data'!DG:DG,0),112)="BL1 non presente","FALSO",INDEX('Partner data'!A:DH,MATCH(C734,'Partner data'!DG:DG,0),112)))</f>
        <v>0</v>
      </c>
      <c r="S734" t="b">
        <f t="shared" si="22"/>
        <v>0</v>
      </c>
      <c r="T734" t="b">
        <f t="shared" si="23"/>
        <v>1</v>
      </c>
      <c r="U734" s="154">
        <f>IFERROR(IF(R734&lt;&gt;FALSE,IF(S734=TRUE,INDEX('SummaryNOT_VALIDATED-BL'!$A$1:$F$16,MATCH(R734,'SummaryNOT_VALIDATED-BL'!$A$1:$A$16,0),6),0),IF(S734=TRUE,INDEX('SummaryNOT_VALIDATED-BL'!$A$1:$F$16,MATCH(E734,'SummaryNOT_VALIDATED-BL'!$A$1:$A$16,0),6),0)),0)</f>
        <v>0</v>
      </c>
      <c r="V734" s="81" cm="1">
        <f t="array" ref="V734">INDEX('Weight tables'!$A$24:$C$27,MATCH(1,(RendicontiTrasmessiBL__2[[#This Row],[Cut percentage on real costs + USC]]&gt;='Weight tables'!$B$24:$B$27)*(RendicontiTrasmessiBL__2[[#This Row],[Cut percentage on real costs + USC]]&lt;='Weight tables'!$C$24:$C$27),0),1)</f>
        <v>0</v>
      </c>
      <c r="W734" s="2">
        <f>RendicontiTrasmessiBL__2[[#This Row],[Weight real costs  + USC ]]</f>
        <v>0</v>
      </c>
    </row>
    <row r="735" spans="1:23" x14ac:dyDescent="0.25">
      <c r="A735" s="1" t="s">
        <v>361</v>
      </c>
      <c r="B735" s="1" t="s">
        <v>69</v>
      </c>
      <c r="C735" s="2">
        <v>244</v>
      </c>
      <c r="D735" s="2">
        <v>193</v>
      </c>
      <c r="E735" s="1" t="s">
        <v>232</v>
      </c>
      <c r="G735">
        <v>0</v>
      </c>
      <c r="H735">
        <v>0</v>
      </c>
      <c r="I735">
        <v>0</v>
      </c>
      <c r="J735">
        <v>0</v>
      </c>
      <c r="K735">
        <v>0</v>
      </c>
      <c r="L735">
        <v>0</v>
      </c>
      <c r="M735">
        <v>0</v>
      </c>
      <c r="N735">
        <v>0</v>
      </c>
      <c r="O735">
        <v>0</v>
      </c>
      <c r="P735">
        <v>0</v>
      </c>
      <c r="Q735" t="str">
        <f>INDEX('Partner data'!A:DH,MATCH(C735,'Partner data'!DG:DG,0),83)</f>
        <v>Soggetto pubblico</v>
      </c>
      <c r="R735" t="b">
        <f>IF(E735="staff",IF(INDEX('Partner data'!A:DH,MATCH(C735,'Partner data'!DG:DG,0),112)="BL1 non presente","FALSO",INDEX('Partner data'!A:DH,MATCH(C735,'Partner data'!DG:DG,0),112)))</f>
        <v>0</v>
      </c>
      <c r="S735" t="b">
        <f t="shared" si="22"/>
        <v>0</v>
      </c>
      <c r="T735" t="b">
        <f t="shared" si="23"/>
        <v>1</v>
      </c>
      <c r="U735" s="154">
        <f>IFERROR(IF(R735&lt;&gt;FALSE,IF(S735=TRUE,INDEX('SummaryNOT_VALIDATED-BL'!$A$1:$F$16,MATCH(R735,'SummaryNOT_VALIDATED-BL'!$A$1:$A$16,0),6),0),IF(S735=TRUE,INDEX('SummaryNOT_VALIDATED-BL'!$A$1:$F$16,MATCH(E735,'SummaryNOT_VALIDATED-BL'!$A$1:$A$16,0),6),0)),0)</f>
        <v>0</v>
      </c>
      <c r="V735" s="81" cm="1">
        <f t="array" ref="V735">INDEX('Weight tables'!$A$24:$C$27,MATCH(1,(RendicontiTrasmessiBL__2[[#This Row],[Cut percentage on real costs + USC]]&gt;='Weight tables'!$B$24:$B$27)*(RendicontiTrasmessiBL__2[[#This Row],[Cut percentage on real costs + USC]]&lt;='Weight tables'!$C$24:$C$27),0),1)</f>
        <v>0</v>
      </c>
      <c r="W735" s="2">
        <f>RendicontiTrasmessiBL__2[[#This Row],[Weight real costs  + USC ]]</f>
        <v>0</v>
      </c>
    </row>
    <row r="736" spans="1:23" x14ac:dyDescent="0.25">
      <c r="A736" s="1" t="s">
        <v>361</v>
      </c>
      <c r="B736" s="1" t="s">
        <v>69</v>
      </c>
      <c r="C736" s="2">
        <v>244</v>
      </c>
      <c r="D736" s="2">
        <v>193</v>
      </c>
      <c r="E736" s="1" t="s">
        <v>233</v>
      </c>
      <c r="G736">
        <v>0</v>
      </c>
      <c r="H736">
        <v>0</v>
      </c>
      <c r="I736">
        <v>0</v>
      </c>
      <c r="J736">
        <v>0</v>
      </c>
      <c r="K736">
        <v>0</v>
      </c>
      <c r="L736">
        <v>0</v>
      </c>
      <c r="M736">
        <v>0</v>
      </c>
      <c r="N736">
        <v>0</v>
      </c>
      <c r="O736">
        <v>0</v>
      </c>
      <c r="P736">
        <v>0</v>
      </c>
      <c r="Q736" t="str">
        <f>INDEX('Partner data'!A:DH,MATCH(C736,'Partner data'!DG:DG,0),83)</f>
        <v>Soggetto pubblico</v>
      </c>
      <c r="R736" t="b">
        <f>IF(E736="staff",IF(INDEX('Partner data'!A:DH,MATCH(C736,'Partner data'!DG:DG,0),112)="BL1 non presente","FALSO",INDEX('Partner data'!A:DH,MATCH(C736,'Partner data'!DG:DG,0),112)))</f>
        <v>0</v>
      </c>
      <c r="S736" t="b">
        <f t="shared" si="22"/>
        <v>0</v>
      </c>
      <c r="T736" t="b">
        <f t="shared" si="23"/>
        <v>1</v>
      </c>
      <c r="U736" s="154">
        <f>IFERROR(IF(R736&lt;&gt;FALSE,IF(S736=TRUE,INDEX('SummaryNOT_VALIDATED-BL'!$A$1:$F$16,MATCH(R736,'SummaryNOT_VALIDATED-BL'!$A$1:$A$16,0),6),0),IF(S736=TRUE,INDEX('SummaryNOT_VALIDATED-BL'!$A$1:$F$16,MATCH(E736,'SummaryNOT_VALIDATED-BL'!$A$1:$A$16,0),6),0)),0)</f>
        <v>0</v>
      </c>
      <c r="V736" s="81" cm="1">
        <f t="array" ref="V736">INDEX('Weight tables'!$A$24:$C$27,MATCH(1,(RendicontiTrasmessiBL__2[[#This Row],[Cut percentage on real costs + USC]]&gt;='Weight tables'!$B$24:$B$27)*(RendicontiTrasmessiBL__2[[#This Row],[Cut percentage on real costs + USC]]&lt;='Weight tables'!$C$24:$C$27),0),1)</f>
        <v>0</v>
      </c>
      <c r="W736" s="2">
        <f>RendicontiTrasmessiBL__2[[#This Row],[Weight real costs  + USC ]]</f>
        <v>0</v>
      </c>
    </row>
    <row r="737" spans="1:23" x14ac:dyDescent="0.25">
      <c r="A737" s="1" t="s">
        <v>361</v>
      </c>
      <c r="B737" s="1" t="s">
        <v>69</v>
      </c>
      <c r="C737" s="2">
        <v>244</v>
      </c>
      <c r="D737" s="2">
        <v>193</v>
      </c>
      <c r="E737" s="1" t="s">
        <v>234</v>
      </c>
      <c r="F737">
        <v>40</v>
      </c>
      <c r="G737">
        <v>32592</v>
      </c>
      <c r="H737">
        <v>0</v>
      </c>
      <c r="I737">
        <v>0</v>
      </c>
      <c r="J737">
        <v>5213.6000000000004</v>
      </c>
      <c r="K737">
        <v>0</v>
      </c>
      <c r="L737">
        <v>5198.3999999999996</v>
      </c>
      <c r="M737">
        <v>5213.6000000000004</v>
      </c>
      <c r="N737">
        <v>16</v>
      </c>
      <c r="O737">
        <v>27378.400000000001</v>
      </c>
      <c r="P737">
        <v>0</v>
      </c>
      <c r="Q737" t="str">
        <f>INDEX('Partner data'!A:DH,MATCH(C737,'Partner data'!DG:DG,0),83)</f>
        <v>Soggetto pubblico</v>
      </c>
      <c r="R737" t="b">
        <f>IF(E737="staff",IF(INDEX('Partner data'!A:DH,MATCH(C737,'Partner data'!DG:DG,0),112)="BL1 non presente","FALSO",INDEX('Partner data'!A:DH,MATCH(C737,'Partner data'!DG:DG,0),112)))</f>
        <v>0</v>
      </c>
      <c r="S737" t="b">
        <f t="shared" si="22"/>
        <v>1</v>
      </c>
      <c r="T737" t="b">
        <f t="shared" si="23"/>
        <v>1</v>
      </c>
      <c r="U737" s="154">
        <f>IFERROR(IF(R737&lt;&gt;FALSE,IF(S737=TRUE,INDEX('SummaryNOT_VALIDATED-BL'!$A$1:$F$16,MATCH(R737,'SummaryNOT_VALIDATED-BL'!$A$1:$A$16,0),6),0),IF(S737=TRUE,INDEX('SummaryNOT_VALIDATED-BL'!$A$1:$F$16,MATCH(E737,'SummaryNOT_VALIDATED-BL'!$A$1:$A$16,0),6),0)),0)</f>
        <v>8.7645339819521315E-2</v>
      </c>
      <c r="V737" s="81" cm="1">
        <f t="array" ref="V737">INDEX('Weight tables'!$A$24:$C$27,MATCH(1,(RendicontiTrasmessiBL__2[[#This Row],[Cut percentage on real costs + USC]]&gt;='Weight tables'!$B$24:$B$27)*(RendicontiTrasmessiBL__2[[#This Row],[Cut percentage on real costs + USC]]&lt;='Weight tables'!$C$24:$C$27),0),1)</f>
        <v>4</v>
      </c>
      <c r="W737" s="2">
        <f>RendicontiTrasmessiBL__2[[#This Row],[Weight real costs  + USC ]]</f>
        <v>4</v>
      </c>
    </row>
    <row r="738" spans="1:23" x14ac:dyDescent="0.25">
      <c r="A738" s="1" t="s">
        <v>361</v>
      </c>
      <c r="B738" s="1" t="s">
        <v>69</v>
      </c>
      <c r="C738" s="2">
        <v>244</v>
      </c>
      <c r="D738" s="2">
        <v>193</v>
      </c>
      <c r="E738" s="1" t="s">
        <v>236</v>
      </c>
      <c r="G738">
        <v>0</v>
      </c>
      <c r="H738">
        <v>0</v>
      </c>
      <c r="I738">
        <v>0</v>
      </c>
      <c r="J738">
        <v>0</v>
      </c>
      <c r="K738">
        <v>0</v>
      </c>
      <c r="L738">
        <v>0</v>
      </c>
      <c r="M738">
        <v>0</v>
      </c>
      <c r="N738">
        <v>0</v>
      </c>
      <c r="O738">
        <v>0</v>
      </c>
      <c r="P738">
        <v>0</v>
      </c>
      <c r="Q738" t="str">
        <f>INDEX('Partner data'!A:DH,MATCH(C738,'Partner data'!DG:DG,0),83)</f>
        <v>Soggetto pubblico</v>
      </c>
      <c r="R738" t="b">
        <f>IF(E738="staff",IF(INDEX('Partner data'!A:DH,MATCH(C738,'Partner data'!DG:DG,0),112)="BL1 non presente","FALSO",INDEX('Partner data'!A:DH,MATCH(C738,'Partner data'!DG:DG,0),112)))</f>
        <v>0</v>
      </c>
      <c r="S738" t="b">
        <f t="shared" si="22"/>
        <v>0</v>
      </c>
      <c r="T738" t="b">
        <f t="shared" si="23"/>
        <v>1</v>
      </c>
      <c r="U738" s="154">
        <f>IFERROR(IF(R738&lt;&gt;FALSE,IF(S738=TRUE,INDEX('SummaryNOT_VALIDATED-BL'!$A$1:$F$16,MATCH(R738,'SummaryNOT_VALIDATED-BL'!$A$1:$A$16,0),6),0),IF(S738=TRUE,INDEX('SummaryNOT_VALIDATED-BL'!$A$1:$F$16,MATCH(E738,'SummaryNOT_VALIDATED-BL'!$A$1:$A$16,0),6),0)),0)</f>
        <v>0</v>
      </c>
      <c r="V738" s="81" cm="1">
        <f t="array" ref="V738">INDEX('Weight tables'!$A$24:$C$27,MATCH(1,(RendicontiTrasmessiBL__2[[#This Row],[Cut percentage on real costs + USC]]&gt;='Weight tables'!$B$24:$B$27)*(RendicontiTrasmessiBL__2[[#This Row],[Cut percentage on real costs + USC]]&lt;='Weight tables'!$C$24:$C$27),0),1)</f>
        <v>0</v>
      </c>
      <c r="W738" s="2">
        <f>RendicontiTrasmessiBL__2[[#This Row],[Weight real costs  + USC ]]</f>
        <v>0</v>
      </c>
    </row>
    <row r="739" spans="1:23" x14ac:dyDescent="0.25">
      <c r="A739" s="1" t="s">
        <v>361</v>
      </c>
      <c r="B739" s="1" t="s">
        <v>69</v>
      </c>
      <c r="C739" s="2">
        <v>244</v>
      </c>
      <c r="D739" s="2">
        <v>193</v>
      </c>
      <c r="E739" s="1" t="s">
        <v>237</v>
      </c>
      <c r="G739">
        <v>0</v>
      </c>
      <c r="H739">
        <v>0</v>
      </c>
      <c r="I739">
        <v>0</v>
      </c>
      <c r="J739">
        <v>0</v>
      </c>
      <c r="K739">
        <v>0</v>
      </c>
      <c r="L739">
        <v>0</v>
      </c>
      <c r="M739">
        <v>0</v>
      </c>
      <c r="N739">
        <v>0</v>
      </c>
      <c r="O739">
        <v>0</v>
      </c>
      <c r="P739">
        <v>0</v>
      </c>
      <c r="Q739" t="str">
        <f>INDEX('Partner data'!A:DH,MATCH(C739,'Partner data'!DG:DG,0),83)</f>
        <v>Soggetto pubblico</v>
      </c>
      <c r="R739" t="b">
        <f>IF(E739="staff",IF(INDEX('Partner data'!A:DH,MATCH(C739,'Partner data'!DG:DG,0),112)="BL1 non presente","FALSO",INDEX('Partner data'!A:DH,MATCH(C739,'Partner data'!DG:DG,0),112)))</f>
        <v>0</v>
      </c>
      <c r="S739" t="b">
        <f t="shared" si="22"/>
        <v>0</v>
      </c>
      <c r="T739" t="b">
        <f t="shared" si="23"/>
        <v>1</v>
      </c>
      <c r="U739" s="154">
        <f>IFERROR(IF(R739&lt;&gt;FALSE,IF(S739=TRUE,INDEX('SummaryNOT_VALIDATED-BL'!$A$1:$F$16,MATCH(R739,'SummaryNOT_VALIDATED-BL'!$A$1:$A$16,0),6),0),IF(S739=TRUE,INDEX('SummaryNOT_VALIDATED-BL'!$A$1:$F$16,MATCH(E739,'SummaryNOT_VALIDATED-BL'!$A$1:$A$16,0),6),0)),0)</f>
        <v>0</v>
      </c>
      <c r="V739" s="81" cm="1">
        <f t="array" ref="V739">INDEX('Weight tables'!$A$24:$C$27,MATCH(1,(RendicontiTrasmessiBL__2[[#This Row],[Cut percentage on real costs + USC]]&gt;='Weight tables'!$B$24:$B$27)*(RendicontiTrasmessiBL__2[[#This Row],[Cut percentage on real costs + USC]]&lt;='Weight tables'!$C$24:$C$27),0),1)</f>
        <v>0</v>
      </c>
      <c r="W739" s="2">
        <f>RendicontiTrasmessiBL__2[[#This Row],[Weight real costs  + USC ]]</f>
        <v>0</v>
      </c>
    </row>
    <row r="740" spans="1:23" x14ac:dyDescent="0.25">
      <c r="A740" s="1" t="s">
        <v>317</v>
      </c>
      <c r="B740" s="1" t="s">
        <v>318</v>
      </c>
      <c r="C740" s="2">
        <v>267</v>
      </c>
      <c r="D740" s="2">
        <v>254</v>
      </c>
      <c r="E740" s="1" t="s">
        <v>228</v>
      </c>
      <c r="F740">
        <v>20</v>
      </c>
      <c r="G740">
        <v>19500</v>
      </c>
      <c r="H740">
        <v>0</v>
      </c>
      <c r="I740">
        <v>0</v>
      </c>
      <c r="J740">
        <v>0</v>
      </c>
      <c r="K740">
        <v>0</v>
      </c>
      <c r="L740">
        <v>0</v>
      </c>
      <c r="M740">
        <v>0</v>
      </c>
      <c r="N740">
        <v>0</v>
      </c>
      <c r="O740">
        <v>19500</v>
      </c>
      <c r="P740">
        <v>0</v>
      </c>
      <c r="Q740" t="str">
        <f>INDEX('Partner data'!A:DH,MATCH(C740,'Partner data'!DG:DG,0),83)</f>
        <v>Soggetto privato</v>
      </c>
      <c r="R740" t="str">
        <f>IF(E740="staff",IF(INDEX('Partner data'!A:DH,MATCH(C740,'Partner data'!DG:DG,0),112)="BL1 non presente","FALSO",INDEX('Partner data'!A:DH,MATCH(C740,'Partner data'!DG:DG,0),112)))</f>
        <v>Tasso Forfettario 20%</v>
      </c>
      <c r="S740" t="b">
        <f t="shared" si="22"/>
        <v>0</v>
      </c>
      <c r="T740" t="b">
        <f t="shared" si="23"/>
        <v>0</v>
      </c>
      <c r="U740" s="154">
        <f>IFERROR(IF(R740&lt;&gt;FALSE,IF(S740=TRUE,INDEX('SummaryNOT_VALIDATED-BL'!$A$1:$F$16,MATCH(R740,'SummaryNOT_VALIDATED-BL'!$A$1:$A$16,0),6),0),IF(S740=TRUE,INDEX('SummaryNOT_VALIDATED-BL'!$A$1:$F$16,MATCH(E740,'SummaryNOT_VALIDATED-BL'!$A$1:$A$16,0),6),0)),0)</f>
        <v>0</v>
      </c>
      <c r="V740" s="81" cm="1">
        <f t="array" ref="V740">INDEX('Weight tables'!$A$24:$C$27,MATCH(1,(RendicontiTrasmessiBL__2[[#This Row],[Cut percentage on real costs + USC]]&gt;='Weight tables'!$B$24:$B$27)*(RendicontiTrasmessiBL__2[[#This Row],[Cut percentage on real costs + USC]]&lt;='Weight tables'!$C$24:$C$27),0),1)</f>
        <v>0</v>
      </c>
      <c r="W740" s="2">
        <f>RendicontiTrasmessiBL__2[[#This Row],[Weight real costs  + USC ]]</f>
        <v>0</v>
      </c>
    </row>
    <row r="741" spans="1:23" x14ac:dyDescent="0.25">
      <c r="A741" s="1" t="s">
        <v>317</v>
      </c>
      <c r="B741" s="1" t="s">
        <v>318</v>
      </c>
      <c r="C741" s="2">
        <v>267</v>
      </c>
      <c r="D741" s="2">
        <v>254</v>
      </c>
      <c r="E741" s="1" t="s">
        <v>229</v>
      </c>
      <c r="F741">
        <v>15</v>
      </c>
      <c r="G741">
        <v>2925</v>
      </c>
      <c r="H741">
        <v>0</v>
      </c>
      <c r="I741">
        <v>0</v>
      </c>
      <c r="J741">
        <v>0</v>
      </c>
      <c r="K741">
        <v>0</v>
      </c>
      <c r="L741">
        <v>0</v>
      </c>
      <c r="M741">
        <v>0</v>
      </c>
      <c r="N741">
        <v>0</v>
      </c>
      <c r="O741">
        <v>2925</v>
      </c>
      <c r="P741">
        <v>0</v>
      </c>
      <c r="Q741" t="str">
        <f>INDEX('Partner data'!A:DH,MATCH(C741,'Partner data'!DG:DG,0),83)</f>
        <v>Soggetto privato</v>
      </c>
      <c r="R741" t="b">
        <f>IF(E741="staff",IF(INDEX('Partner data'!A:DH,MATCH(C741,'Partner data'!DG:DG,0),112)="BL1 non presente","FALSO",INDEX('Partner data'!A:DH,MATCH(C741,'Partner data'!DG:DG,0),112)))</f>
        <v>0</v>
      </c>
      <c r="S741" t="b">
        <f t="shared" si="22"/>
        <v>0</v>
      </c>
      <c r="T741" t="b">
        <f t="shared" si="23"/>
        <v>0</v>
      </c>
      <c r="U741" s="154">
        <f>IFERROR(IF(R741&lt;&gt;FALSE,IF(S741=TRUE,INDEX('SummaryNOT_VALIDATED-BL'!$A$1:$F$16,MATCH(R741,'SummaryNOT_VALIDATED-BL'!$A$1:$A$16,0),6),0),IF(S741=TRUE,INDEX('SummaryNOT_VALIDATED-BL'!$A$1:$F$16,MATCH(E741,'SummaryNOT_VALIDATED-BL'!$A$1:$A$16,0),6),0)),0)</f>
        <v>0</v>
      </c>
      <c r="V741" s="81" cm="1">
        <f t="array" ref="V741">INDEX('Weight tables'!$A$24:$C$27,MATCH(1,(RendicontiTrasmessiBL__2[[#This Row],[Cut percentage on real costs + USC]]&gt;='Weight tables'!$B$24:$B$27)*(RendicontiTrasmessiBL__2[[#This Row],[Cut percentage on real costs + USC]]&lt;='Weight tables'!$C$24:$C$27),0),1)</f>
        <v>0</v>
      </c>
      <c r="W741" s="2">
        <f>RendicontiTrasmessiBL__2[[#This Row],[Weight real costs  + USC ]]</f>
        <v>0</v>
      </c>
    </row>
    <row r="742" spans="1:23" x14ac:dyDescent="0.25">
      <c r="A742" s="1" t="s">
        <v>317</v>
      </c>
      <c r="B742" s="1" t="s">
        <v>318</v>
      </c>
      <c r="C742" s="2">
        <v>267</v>
      </c>
      <c r="D742" s="2">
        <v>254</v>
      </c>
      <c r="E742" s="1" t="s">
        <v>230</v>
      </c>
      <c r="F742">
        <v>4</v>
      </c>
      <c r="G742">
        <v>780</v>
      </c>
      <c r="H742">
        <v>0</v>
      </c>
      <c r="I742">
        <v>0</v>
      </c>
      <c r="J742">
        <v>0</v>
      </c>
      <c r="K742">
        <v>0</v>
      </c>
      <c r="L742">
        <v>0</v>
      </c>
      <c r="M742">
        <v>0</v>
      </c>
      <c r="N742">
        <v>0</v>
      </c>
      <c r="O742">
        <v>780</v>
      </c>
      <c r="P742">
        <v>0</v>
      </c>
      <c r="Q742" t="str">
        <f>INDEX('Partner data'!A:DH,MATCH(C742,'Partner data'!DG:DG,0),83)</f>
        <v>Soggetto privato</v>
      </c>
      <c r="R742" t="b">
        <f>IF(E742="staff",IF(INDEX('Partner data'!A:DH,MATCH(C742,'Partner data'!DG:DG,0),112)="BL1 non presente","FALSO",INDEX('Partner data'!A:DH,MATCH(C742,'Partner data'!DG:DG,0),112)))</f>
        <v>0</v>
      </c>
      <c r="S742" t="b">
        <f t="shared" si="22"/>
        <v>0</v>
      </c>
      <c r="T742" t="b">
        <f t="shared" si="23"/>
        <v>0</v>
      </c>
      <c r="U742" s="154">
        <f>IFERROR(IF(R742&lt;&gt;FALSE,IF(S742=TRUE,INDEX('SummaryNOT_VALIDATED-BL'!$A$1:$F$16,MATCH(R742,'SummaryNOT_VALIDATED-BL'!$A$1:$A$16,0),6),0),IF(S742=TRUE,INDEX('SummaryNOT_VALIDATED-BL'!$A$1:$F$16,MATCH(E742,'SummaryNOT_VALIDATED-BL'!$A$1:$A$16,0),6),0)),0)</f>
        <v>0</v>
      </c>
      <c r="V742" s="81" cm="1">
        <f t="array" ref="V742">INDEX('Weight tables'!$A$24:$C$27,MATCH(1,(RendicontiTrasmessiBL__2[[#This Row],[Cut percentage on real costs + USC]]&gt;='Weight tables'!$B$24:$B$27)*(RendicontiTrasmessiBL__2[[#This Row],[Cut percentage on real costs + USC]]&lt;='Weight tables'!$C$24:$C$27),0),1)</f>
        <v>0</v>
      </c>
      <c r="W742" s="2">
        <f>RendicontiTrasmessiBL__2[[#This Row],[Weight real costs  + USC ]]</f>
        <v>0</v>
      </c>
    </row>
    <row r="743" spans="1:23" x14ac:dyDescent="0.25">
      <c r="A743" s="1" t="s">
        <v>317</v>
      </c>
      <c r="B743" s="1" t="s">
        <v>318</v>
      </c>
      <c r="C743" s="2">
        <v>267</v>
      </c>
      <c r="D743" s="2">
        <v>254</v>
      </c>
      <c r="E743" s="1" t="s">
        <v>231</v>
      </c>
      <c r="G743">
        <v>12500</v>
      </c>
      <c r="H743">
        <v>0</v>
      </c>
      <c r="I743">
        <v>0</v>
      </c>
      <c r="J743">
        <v>0</v>
      </c>
      <c r="K743">
        <v>0</v>
      </c>
      <c r="L743">
        <v>0</v>
      </c>
      <c r="M743">
        <v>0</v>
      </c>
      <c r="N743">
        <v>0</v>
      </c>
      <c r="O743">
        <v>12500</v>
      </c>
      <c r="P743">
        <v>0</v>
      </c>
      <c r="Q743" t="str">
        <f>INDEX('Partner data'!A:DH,MATCH(C743,'Partner data'!DG:DG,0),83)</f>
        <v>Soggetto privato</v>
      </c>
      <c r="R743" t="b">
        <f>IF(E743="staff",IF(INDEX('Partner data'!A:DH,MATCH(C743,'Partner data'!DG:DG,0),112)="BL1 non presente","FALSO",INDEX('Partner data'!A:DH,MATCH(C743,'Partner data'!DG:DG,0),112)))</f>
        <v>0</v>
      </c>
      <c r="S743" t="b">
        <f t="shared" si="22"/>
        <v>0</v>
      </c>
      <c r="T743" t="b">
        <f t="shared" si="23"/>
        <v>0</v>
      </c>
      <c r="U743" s="154">
        <f>IFERROR(IF(R743&lt;&gt;FALSE,IF(S743=TRUE,INDEX('SummaryNOT_VALIDATED-BL'!$A$1:$F$16,MATCH(R743,'SummaryNOT_VALIDATED-BL'!$A$1:$A$16,0),6),0),IF(S743=TRUE,INDEX('SummaryNOT_VALIDATED-BL'!$A$1:$F$16,MATCH(E743,'SummaryNOT_VALIDATED-BL'!$A$1:$A$16,0),6),0)),0)</f>
        <v>0</v>
      </c>
      <c r="V743" s="81" cm="1">
        <f t="array" ref="V743">INDEX('Weight tables'!$A$24:$C$27,MATCH(1,(RendicontiTrasmessiBL__2[[#This Row],[Cut percentage on real costs + USC]]&gt;='Weight tables'!$B$24:$B$27)*(RendicontiTrasmessiBL__2[[#This Row],[Cut percentage on real costs + USC]]&lt;='Weight tables'!$C$24:$C$27),0),1)</f>
        <v>0</v>
      </c>
      <c r="W743" s="2">
        <f>RendicontiTrasmessiBL__2[[#This Row],[Weight real costs  + USC ]]</f>
        <v>0</v>
      </c>
    </row>
    <row r="744" spans="1:23" x14ac:dyDescent="0.25">
      <c r="A744" s="1" t="s">
        <v>317</v>
      </c>
      <c r="B744" s="1" t="s">
        <v>318</v>
      </c>
      <c r="C744" s="2">
        <v>267</v>
      </c>
      <c r="D744" s="2">
        <v>254</v>
      </c>
      <c r="E744" s="1" t="s">
        <v>232</v>
      </c>
      <c r="G744">
        <v>85000</v>
      </c>
      <c r="H744">
        <v>0</v>
      </c>
      <c r="I744">
        <v>0</v>
      </c>
      <c r="J744">
        <v>0</v>
      </c>
      <c r="K744">
        <v>0</v>
      </c>
      <c r="L744">
        <v>0</v>
      </c>
      <c r="M744">
        <v>0</v>
      </c>
      <c r="N744">
        <v>0</v>
      </c>
      <c r="O744">
        <v>85000</v>
      </c>
      <c r="P744">
        <v>0</v>
      </c>
      <c r="Q744" t="str">
        <f>INDEX('Partner data'!A:DH,MATCH(C744,'Partner data'!DG:DG,0),83)</f>
        <v>Soggetto privato</v>
      </c>
      <c r="R744" t="b">
        <f>IF(E744="staff",IF(INDEX('Partner data'!A:DH,MATCH(C744,'Partner data'!DG:DG,0),112)="BL1 non presente","FALSO",INDEX('Partner data'!A:DH,MATCH(C744,'Partner data'!DG:DG,0),112)))</f>
        <v>0</v>
      </c>
      <c r="S744" t="b">
        <f t="shared" si="22"/>
        <v>0</v>
      </c>
      <c r="T744" t="b">
        <f t="shared" si="23"/>
        <v>0</v>
      </c>
      <c r="U744" s="154">
        <f>IFERROR(IF(R744&lt;&gt;FALSE,IF(S744=TRUE,INDEX('SummaryNOT_VALIDATED-BL'!$A$1:$F$16,MATCH(R744,'SummaryNOT_VALIDATED-BL'!$A$1:$A$16,0),6),0),IF(S744=TRUE,INDEX('SummaryNOT_VALIDATED-BL'!$A$1:$F$16,MATCH(E744,'SummaryNOT_VALIDATED-BL'!$A$1:$A$16,0),6),0)),0)</f>
        <v>0</v>
      </c>
      <c r="V744" s="81" cm="1">
        <f t="array" ref="V744">INDEX('Weight tables'!$A$24:$C$27,MATCH(1,(RendicontiTrasmessiBL__2[[#This Row],[Cut percentage on real costs + USC]]&gt;='Weight tables'!$B$24:$B$27)*(RendicontiTrasmessiBL__2[[#This Row],[Cut percentage on real costs + USC]]&lt;='Weight tables'!$C$24:$C$27),0),1)</f>
        <v>0</v>
      </c>
      <c r="W744" s="2">
        <f>RendicontiTrasmessiBL__2[[#This Row],[Weight real costs  + USC ]]</f>
        <v>0</v>
      </c>
    </row>
    <row r="745" spans="1:23" x14ac:dyDescent="0.25">
      <c r="A745" s="1" t="s">
        <v>317</v>
      </c>
      <c r="B745" s="1" t="s">
        <v>318</v>
      </c>
      <c r="C745" s="2">
        <v>267</v>
      </c>
      <c r="D745" s="2">
        <v>254</v>
      </c>
      <c r="E745" s="1" t="s">
        <v>233</v>
      </c>
      <c r="G745">
        <v>0</v>
      </c>
      <c r="H745">
        <v>0</v>
      </c>
      <c r="I745">
        <v>0</v>
      </c>
      <c r="J745">
        <v>0</v>
      </c>
      <c r="K745">
        <v>0</v>
      </c>
      <c r="L745">
        <v>0</v>
      </c>
      <c r="M745">
        <v>0</v>
      </c>
      <c r="N745">
        <v>0</v>
      </c>
      <c r="O745">
        <v>0</v>
      </c>
      <c r="P745">
        <v>0</v>
      </c>
      <c r="Q745" t="str">
        <f>INDEX('Partner data'!A:DH,MATCH(C745,'Partner data'!DG:DG,0),83)</f>
        <v>Soggetto privato</v>
      </c>
      <c r="R745" t="b">
        <f>IF(E745="staff",IF(INDEX('Partner data'!A:DH,MATCH(C745,'Partner data'!DG:DG,0),112)="BL1 non presente","FALSO",INDEX('Partner data'!A:DH,MATCH(C745,'Partner data'!DG:DG,0),112)))</f>
        <v>0</v>
      </c>
      <c r="S745" t="b">
        <f t="shared" si="22"/>
        <v>0</v>
      </c>
      <c r="T745" t="b">
        <f t="shared" si="23"/>
        <v>0</v>
      </c>
      <c r="U745" s="154">
        <f>IFERROR(IF(R745&lt;&gt;FALSE,IF(S745=TRUE,INDEX('SummaryNOT_VALIDATED-BL'!$A$1:$F$16,MATCH(R745,'SummaryNOT_VALIDATED-BL'!$A$1:$A$16,0),6),0),IF(S745=TRUE,INDEX('SummaryNOT_VALIDATED-BL'!$A$1:$F$16,MATCH(E745,'SummaryNOT_VALIDATED-BL'!$A$1:$A$16,0),6),0)),0)</f>
        <v>0</v>
      </c>
      <c r="V745" s="81" cm="1">
        <f t="array" ref="V745">INDEX('Weight tables'!$A$24:$C$27,MATCH(1,(RendicontiTrasmessiBL__2[[#This Row],[Cut percentage on real costs + USC]]&gt;='Weight tables'!$B$24:$B$27)*(RendicontiTrasmessiBL__2[[#This Row],[Cut percentage on real costs + USC]]&lt;='Weight tables'!$C$24:$C$27),0),1)</f>
        <v>0</v>
      </c>
      <c r="W745" s="2">
        <f>RendicontiTrasmessiBL__2[[#This Row],[Weight real costs  + USC ]]</f>
        <v>0</v>
      </c>
    </row>
    <row r="746" spans="1:23" x14ac:dyDescent="0.25">
      <c r="A746" s="1" t="s">
        <v>317</v>
      </c>
      <c r="B746" s="1" t="s">
        <v>318</v>
      </c>
      <c r="C746" s="2">
        <v>267</v>
      </c>
      <c r="D746" s="2">
        <v>254</v>
      </c>
      <c r="E746" s="1" t="s">
        <v>234</v>
      </c>
      <c r="G746">
        <v>0</v>
      </c>
      <c r="H746">
        <v>0</v>
      </c>
      <c r="I746">
        <v>0</v>
      </c>
      <c r="J746">
        <v>0</v>
      </c>
      <c r="K746">
        <v>0</v>
      </c>
      <c r="L746">
        <v>0</v>
      </c>
      <c r="M746">
        <v>0</v>
      </c>
      <c r="N746">
        <v>0</v>
      </c>
      <c r="O746">
        <v>0</v>
      </c>
      <c r="P746">
        <v>0</v>
      </c>
      <c r="Q746" t="str">
        <f>INDEX('Partner data'!A:DH,MATCH(C746,'Partner data'!DG:DG,0),83)</f>
        <v>Soggetto privato</v>
      </c>
      <c r="R746" t="b">
        <f>IF(E746="staff",IF(INDEX('Partner data'!A:DH,MATCH(C746,'Partner data'!DG:DG,0),112)="BL1 non presente","FALSO",INDEX('Partner data'!A:DH,MATCH(C746,'Partner data'!DG:DG,0),112)))</f>
        <v>0</v>
      </c>
      <c r="S746" t="b">
        <f t="shared" si="22"/>
        <v>0</v>
      </c>
      <c r="T746" t="b">
        <f t="shared" si="23"/>
        <v>0</v>
      </c>
      <c r="U746" s="154">
        <f>IFERROR(IF(R746&lt;&gt;FALSE,IF(S746=TRUE,INDEX('SummaryNOT_VALIDATED-BL'!$A$1:$F$16,MATCH(R746,'SummaryNOT_VALIDATED-BL'!$A$1:$A$16,0),6),0),IF(S746=TRUE,INDEX('SummaryNOT_VALIDATED-BL'!$A$1:$F$16,MATCH(E746,'SummaryNOT_VALIDATED-BL'!$A$1:$A$16,0),6),0)),0)</f>
        <v>0</v>
      </c>
      <c r="V746" s="81" cm="1">
        <f t="array" ref="V746">INDEX('Weight tables'!$A$24:$C$27,MATCH(1,(RendicontiTrasmessiBL__2[[#This Row],[Cut percentage on real costs + USC]]&gt;='Weight tables'!$B$24:$B$27)*(RendicontiTrasmessiBL__2[[#This Row],[Cut percentage on real costs + USC]]&lt;='Weight tables'!$C$24:$C$27),0),1)</f>
        <v>0</v>
      </c>
      <c r="W746" s="2">
        <f>RendicontiTrasmessiBL__2[[#This Row],[Weight real costs  + USC ]]</f>
        <v>0</v>
      </c>
    </row>
    <row r="747" spans="1:23" x14ac:dyDescent="0.25">
      <c r="A747" s="1" t="s">
        <v>317</v>
      </c>
      <c r="B747" s="1" t="s">
        <v>318</v>
      </c>
      <c r="C747" s="2">
        <v>267</v>
      </c>
      <c r="D747" s="2">
        <v>254</v>
      </c>
      <c r="E747" s="1" t="s">
        <v>236</v>
      </c>
      <c r="G747">
        <v>0</v>
      </c>
      <c r="H747">
        <v>0</v>
      </c>
      <c r="I747">
        <v>0</v>
      </c>
      <c r="J747">
        <v>0</v>
      </c>
      <c r="K747">
        <v>0</v>
      </c>
      <c r="L747">
        <v>0</v>
      </c>
      <c r="M747">
        <v>0</v>
      </c>
      <c r="N747">
        <v>0</v>
      </c>
      <c r="O747">
        <v>0</v>
      </c>
      <c r="P747">
        <v>0</v>
      </c>
      <c r="Q747" t="str">
        <f>INDEX('Partner data'!A:DH,MATCH(C747,'Partner data'!DG:DG,0),83)</f>
        <v>Soggetto privato</v>
      </c>
      <c r="R747" t="b">
        <f>IF(E747="staff",IF(INDEX('Partner data'!A:DH,MATCH(C747,'Partner data'!DG:DG,0),112)="BL1 non presente","FALSO",INDEX('Partner data'!A:DH,MATCH(C747,'Partner data'!DG:DG,0),112)))</f>
        <v>0</v>
      </c>
      <c r="S747" t="b">
        <f t="shared" si="22"/>
        <v>0</v>
      </c>
      <c r="T747" t="b">
        <f t="shared" si="23"/>
        <v>0</v>
      </c>
      <c r="U747" s="154">
        <f>IFERROR(IF(R747&lt;&gt;FALSE,IF(S747=TRUE,INDEX('SummaryNOT_VALIDATED-BL'!$A$1:$F$16,MATCH(R747,'SummaryNOT_VALIDATED-BL'!$A$1:$A$16,0),6),0),IF(S747=TRUE,INDEX('SummaryNOT_VALIDATED-BL'!$A$1:$F$16,MATCH(E747,'SummaryNOT_VALIDATED-BL'!$A$1:$A$16,0),6),0)),0)</f>
        <v>0</v>
      </c>
      <c r="V747" s="81" cm="1">
        <f t="array" ref="V747">INDEX('Weight tables'!$A$24:$C$27,MATCH(1,(RendicontiTrasmessiBL__2[[#This Row],[Cut percentage on real costs + USC]]&gt;='Weight tables'!$B$24:$B$27)*(RendicontiTrasmessiBL__2[[#This Row],[Cut percentage on real costs + USC]]&lt;='Weight tables'!$C$24:$C$27),0),1)</f>
        <v>0</v>
      </c>
      <c r="W747" s="2">
        <f>RendicontiTrasmessiBL__2[[#This Row],[Weight real costs  + USC ]]</f>
        <v>0</v>
      </c>
    </row>
    <row r="748" spans="1:23" x14ac:dyDescent="0.25">
      <c r="A748" s="1" t="s">
        <v>317</v>
      </c>
      <c r="B748" s="1" t="s">
        <v>318</v>
      </c>
      <c r="C748" s="2">
        <v>267</v>
      </c>
      <c r="D748" s="2">
        <v>254</v>
      </c>
      <c r="E748" s="1" t="s">
        <v>237</v>
      </c>
      <c r="G748">
        <v>0</v>
      </c>
      <c r="H748">
        <v>0</v>
      </c>
      <c r="I748">
        <v>0</v>
      </c>
      <c r="J748">
        <v>0</v>
      </c>
      <c r="K748">
        <v>0</v>
      </c>
      <c r="L748">
        <v>0</v>
      </c>
      <c r="M748">
        <v>0</v>
      </c>
      <c r="N748">
        <v>0</v>
      </c>
      <c r="O748">
        <v>0</v>
      </c>
      <c r="P748">
        <v>0</v>
      </c>
      <c r="Q748" t="str">
        <f>INDEX('Partner data'!A:DH,MATCH(C748,'Partner data'!DG:DG,0),83)</f>
        <v>Soggetto privato</v>
      </c>
      <c r="R748" t="b">
        <f>IF(E748="staff",IF(INDEX('Partner data'!A:DH,MATCH(C748,'Partner data'!DG:DG,0),112)="BL1 non presente","FALSO",INDEX('Partner data'!A:DH,MATCH(C748,'Partner data'!DG:DG,0),112)))</f>
        <v>0</v>
      </c>
      <c r="S748" t="b">
        <f t="shared" si="22"/>
        <v>0</v>
      </c>
      <c r="T748" t="b">
        <f t="shared" si="23"/>
        <v>0</v>
      </c>
      <c r="U748" s="154">
        <f>IFERROR(IF(R748&lt;&gt;FALSE,IF(S748=TRUE,INDEX('SummaryNOT_VALIDATED-BL'!$A$1:$F$16,MATCH(R748,'SummaryNOT_VALIDATED-BL'!$A$1:$A$16,0),6),0),IF(S748=TRUE,INDEX('SummaryNOT_VALIDATED-BL'!$A$1:$F$16,MATCH(E748,'SummaryNOT_VALIDATED-BL'!$A$1:$A$16,0),6),0)),0)</f>
        <v>0</v>
      </c>
      <c r="V748" s="81" cm="1">
        <f t="array" ref="V748">INDEX('Weight tables'!$A$24:$C$27,MATCH(1,(RendicontiTrasmessiBL__2[[#This Row],[Cut percentage on real costs + USC]]&gt;='Weight tables'!$B$24:$B$27)*(RendicontiTrasmessiBL__2[[#This Row],[Cut percentage on real costs + USC]]&lt;='Weight tables'!$C$24:$C$27),0),1)</f>
        <v>0</v>
      </c>
      <c r="W748" s="2">
        <f>RendicontiTrasmessiBL__2[[#This Row],[Weight real costs  + USC ]]</f>
        <v>0</v>
      </c>
    </row>
    <row r="749" spans="1:23" x14ac:dyDescent="0.25">
      <c r="A749" s="1" t="s">
        <v>317</v>
      </c>
      <c r="B749" s="1" t="s">
        <v>319</v>
      </c>
      <c r="C749" s="2">
        <v>222</v>
      </c>
      <c r="D749" s="2">
        <v>317</v>
      </c>
      <c r="E749" s="1" t="s">
        <v>228</v>
      </c>
      <c r="G749">
        <v>26100</v>
      </c>
      <c r="H749">
        <v>0</v>
      </c>
      <c r="I749">
        <v>0</v>
      </c>
      <c r="J749">
        <v>4265.93</v>
      </c>
      <c r="K749">
        <v>0</v>
      </c>
      <c r="L749">
        <v>4054.62</v>
      </c>
      <c r="M749">
        <v>4265.93</v>
      </c>
      <c r="N749">
        <v>16.34</v>
      </c>
      <c r="O749">
        <v>21834.07</v>
      </c>
      <c r="P749">
        <v>0</v>
      </c>
      <c r="Q749" t="str">
        <f>INDEX('Partner data'!A:DH,MATCH(C749,'Partner data'!DG:DG,0),83)</f>
        <v>Soggetto pubblico</v>
      </c>
      <c r="R749" t="str">
        <f>IF(E749="staff",IF(INDEX('Partner data'!A:DH,MATCH(C749,'Partner data'!DG:DG,0),112)="BL1 non presente","FALSO",INDEX('Partner data'!A:DH,MATCH(C749,'Partner data'!DG:DG,0),112)))</f>
        <v>COSTO REALE</v>
      </c>
      <c r="S749" t="b">
        <f t="shared" si="22"/>
        <v>1</v>
      </c>
      <c r="T749" t="b">
        <f t="shared" si="23"/>
        <v>1</v>
      </c>
      <c r="U749" s="154">
        <f>IFERROR(IF(R749&lt;&gt;FALSE,IF(S749=TRUE,INDEX('SummaryNOT_VALIDATED-BL'!$A$1:$F$16,MATCH(R749,'SummaryNOT_VALIDATED-BL'!$A$1:$A$16,0),6),0),IF(S749=TRUE,INDEX('SummaryNOT_VALIDATED-BL'!$A$1:$F$16,MATCH(E749,'SummaryNOT_VALIDATED-BL'!$A$1:$A$16,0),6),0)),0)</f>
        <v>9.1604133276901048E-2</v>
      </c>
      <c r="V749" s="81" cm="1">
        <f t="array" ref="V749">INDEX('Weight tables'!$A$24:$C$27,MATCH(1,(RendicontiTrasmessiBL__2[[#This Row],[Cut percentage on real costs + USC]]&gt;='Weight tables'!$B$24:$B$27)*(RendicontiTrasmessiBL__2[[#This Row],[Cut percentage on real costs + USC]]&lt;='Weight tables'!$C$24:$C$27),0),1)</f>
        <v>4</v>
      </c>
      <c r="W749" s="2">
        <f>RendicontiTrasmessiBL__2[[#This Row],[Weight real costs  + USC ]]</f>
        <v>4</v>
      </c>
    </row>
    <row r="750" spans="1:23" x14ac:dyDescent="0.25">
      <c r="A750" s="1" t="s">
        <v>317</v>
      </c>
      <c r="B750" s="1" t="s">
        <v>319</v>
      </c>
      <c r="C750" s="2">
        <v>222</v>
      </c>
      <c r="D750" s="2">
        <v>317</v>
      </c>
      <c r="E750" s="1" t="s">
        <v>229</v>
      </c>
      <c r="F750">
        <v>15</v>
      </c>
      <c r="G750">
        <v>3915</v>
      </c>
      <c r="H750">
        <v>0</v>
      </c>
      <c r="I750">
        <v>0</v>
      </c>
      <c r="J750">
        <v>639.88</v>
      </c>
      <c r="K750">
        <v>0</v>
      </c>
      <c r="L750">
        <v>608.19000000000005</v>
      </c>
      <c r="M750">
        <v>639.88</v>
      </c>
      <c r="N750">
        <v>16.34</v>
      </c>
      <c r="O750">
        <v>3275.12</v>
      </c>
      <c r="P750">
        <v>0</v>
      </c>
      <c r="Q750" t="str">
        <f>INDEX('Partner data'!A:DH,MATCH(C750,'Partner data'!DG:DG,0),83)</f>
        <v>Soggetto pubblico</v>
      </c>
      <c r="R750" t="b">
        <f>IF(E750="staff",IF(INDEX('Partner data'!A:DH,MATCH(C750,'Partner data'!DG:DG,0),112)="BL1 non presente","FALSO",INDEX('Partner data'!A:DH,MATCH(C750,'Partner data'!DG:DG,0),112)))</f>
        <v>0</v>
      </c>
      <c r="S750" t="b">
        <f t="shared" si="22"/>
        <v>1</v>
      </c>
      <c r="T750" t="b">
        <f t="shared" si="23"/>
        <v>1</v>
      </c>
      <c r="U750" s="154">
        <f>IFERROR(IF(R750&lt;&gt;FALSE,IF(S750=TRUE,INDEX('SummaryNOT_VALIDATED-BL'!$A$1:$F$16,MATCH(R750,'SummaryNOT_VALIDATED-BL'!$A$1:$A$16,0),6),0),IF(S750=TRUE,INDEX('SummaryNOT_VALIDATED-BL'!$A$1:$F$16,MATCH(E750,'SummaryNOT_VALIDATED-BL'!$A$1:$A$16,0),6),0)),0)</f>
        <v>6.6460469504890221E-2</v>
      </c>
      <c r="V750" s="81" cm="1">
        <f t="array" ref="V750">INDEX('Weight tables'!$A$24:$C$27,MATCH(1,(RendicontiTrasmessiBL__2[[#This Row],[Cut percentage on real costs + USC]]&gt;='Weight tables'!$B$24:$B$27)*(RendicontiTrasmessiBL__2[[#This Row],[Cut percentage on real costs + USC]]&lt;='Weight tables'!$C$24:$C$27),0),1)</f>
        <v>4</v>
      </c>
      <c r="W750" s="2">
        <f>RendicontiTrasmessiBL__2[[#This Row],[Weight real costs  + USC ]]</f>
        <v>4</v>
      </c>
    </row>
    <row r="751" spans="1:23" x14ac:dyDescent="0.25">
      <c r="A751" s="1" t="s">
        <v>317</v>
      </c>
      <c r="B751" s="1" t="s">
        <v>319</v>
      </c>
      <c r="C751" s="2">
        <v>222</v>
      </c>
      <c r="D751" s="2">
        <v>317</v>
      </c>
      <c r="E751" s="1" t="s">
        <v>230</v>
      </c>
      <c r="F751">
        <v>4</v>
      </c>
      <c r="G751">
        <v>1044</v>
      </c>
      <c r="H751">
        <v>0</v>
      </c>
      <c r="I751">
        <v>0</v>
      </c>
      <c r="J751">
        <v>170.63</v>
      </c>
      <c r="K751">
        <v>0</v>
      </c>
      <c r="L751">
        <v>162.18</v>
      </c>
      <c r="M751">
        <v>170.63</v>
      </c>
      <c r="N751">
        <v>16.34</v>
      </c>
      <c r="O751">
        <v>873.37</v>
      </c>
      <c r="P751">
        <v>0</v>
      </c>
      <c r="Q751" t="str">
        <f>INDEX('Partner data'!A:DH,MATCH(C751,'Partner data'!DG:DG,0),83)</f>
        <v>Soggetto pubblico</v>
      </c>
      <c r="R751" t="b">
        <f>IF(E751="staff",IF(INDEX('Partner data'!A:DH,MATCH(C751,'Partner data'!DG:DG,0),112)="BL1 non presente","FALSO",INDEX('Partner data'!A:DH,MATCH(C751,'Partner data'!DG:DG,0),112)))</f>
        <v>0</v>
      </c>
      <c r="S751" t="b">
        <f t="shared" si="22"/>
        <v>1</v>
      </c>
      <c r="T751" t="b">
        <f t="shared" si="23"/>
        <v>1</v>
      </c>
      <c r="U751" s="154">
        <f>IFERROR(IF(R751&lt;&gt;FALSE,IF(S751=TRUE,INDEX('SummaryNOT_VALIDATED-BL'!$A$1:$F$16,MATCH(R751,'SummaryNOT_VALIDATED-BL'!$A$1:$A$16,0),6),0),IF(S751=TRUE,INDEX('SummaryNOT_VALIDATED-BL'!$A$1:$F$16,MATCH(E751,'SummaryNOT_VALIDATED-BL'!$A$1:$A$16,0),6),0)),0)</f>
        <v>6.3112622236488891E-2</v>
      </c>
      <c r="V751" s="81" cm="1">
        <f t="array" ref="V751">INDEX('Weight tables'!$A$24:$C$27,MATCH(1,(RendicontiTrasmessiBL__2[[#This Row],[Cut percentage on real costs + USC]]&gt;='Weight tables'!$B$24:$B$27)*(RendicontiTrasmessiBL__2[[#This Row],[Cut percentage on real costs + USC]]&lt;='Weight tables'!$C$24:$C$27),0),1)</f>
        <v>4</v>
      </c>
      <c r="W751" s="2">
        <f>RendicontiTrasmessiBL__2[[#This Row],[Weight real costs  + USC ]]</f>
        <v>4</v>
      </c>
    </row>
    <row r="752" spans="1:23" x14ac:dyDescent="0.25">
      <c r="A752" s="1" t="s">
        <v>317</v>
      </c>
      <c r="B752" s="1" t="s">
        <v>319</v>
      </c>
      <c r="C752" s="2">
        <v>222</v>
      </c>
      <c r="D752" s="2">
        <v>317</v>
      </c>
      <c r="E752" s="1" t="s">
        <v>231</v>
      </c>
      <c r="G752">
        <v>99098</v>
      </c>
      <c r="H752">
        <v>0</v>
      </c>
      <c r="I752">
        <v>0</v>
      </c>
      <c r="J752">
        <v>0</v>
      </c>
      <c r="K752">
        <v>0</v>
      </c>
      <c r="L752">
        <v>0</v>
      </c>
      <c r="M752">
        <v>0</v>
      </c>
      <c r="N752">
        <v>0</v>
      </c>
      <c r="O752">
        <v>99098</v>
      </c>
      <c r="P752">
        <v>0</v>
      </c>
      <c r="Q752" t="str">
        <f>INDEX('Partner data'!A:DH,MATCH(C752,'Partner data'!DG:DG,0),83)</f>
        <v>Soggetto pubblico</v>
      </c>
      <c r="R752" t="b">
        <f>IF(E752="staff",IF(INDEX('Partner data'!A:DH,MATCH(C752,'Partner data'!DG:DG,0),112)="BL1 non presente","FALSO",INDEX('Partner data'!A:DH,MATCH(C752,'Partner data'!DG:DG,0),112)))</f>
        <v>0</v>
      </c>
      <c r="S752" t="b">
        <f t="shared" si="22"/>
        <v>0</v>
      </c>
      <c r="T752" t="b">
        <f t="shared" si="23"/>
        <v>1</v>
      </c>
      <c r="U752" s="154">
        <f>IFERROR(IF(R752&lt;&gt;FALSE,IF(S752=TRUE,INDEX('SummaryNOT_VALIDATED-BL'!$A$1:$F$16,MATCH(R752,'SummaryNOT_VALIDATED-BL'!$A$1:$A$16,0),6),0),IF(S752=TRUE,INDEX('SummaryNOT_VALIDATED-BL'!$A$1:$F$16,MATCH(E752,'SummaryNOT_VALIDATED-BL'!$A$1:$A$16,0),6),0)),0)</f>
        <v>0</v>
      </c>
      <c r="V752" s="81" cm="1">
        <f t="array" ref="V752">INDEX('Weight tables'!$A$24:$C$27,MATCH(1,(RendicontiTrasmessiBL__2[[#This Row],[Cut percentage on real costs + USC]]&gt;='Weight tables'!$B$24:$B$27)*(RendicontiTrasmessiBL__2[[#This Row],[Cut percentage on real costs + USC]]&lt;='Weight tables'!$C$24:$C$27),0),1)</f>
        <v>0</v>
      </c>
      <c r="W752" s="2">
        <f>RendicontiTrasmessiBL__2[[#This Row],[Weight real costs  + USC ]]</f>
        <v>0</v>
      </c>
    </row>
    <row r="753" spans="1:23" x14ac:dyDescent="0.25">
      <c r="A753" s="1" t="s">
        <v>317</v>
      </c>
      <c r="B753" s="1" t="s">
        <v>319</v>
      </c>
      <c r="C753" s="2">
        <v>222</v>
      </c>
      <c r="D753" s="2">
        <v>317</v>
      </c>
      <c r="E753" s="1" t="s">
        <v>232</v>
      </c>
      <c r="G753">
        <v>12000</v>
      </c>
      <c r="H753">
        <v>0</v>
      </c>
      <c r="I753">
        <v>0</v>
      </c>
      <c r="J753">
        <v>0</v>
      </c>
      <c r="K753">
        <v>0</v>
      </c>
      <c r="L753">
        <v>0</v>
      </c>
      <c r="M753">
        <v>0</v>
      </c>
      <c r="N753">
        <v>0</v>
      </c>
      <c r="O753">
        <v>12000</v>
      </c>
      <c r="P753">
        <v>0</v>
      </c>
      <c r="Q753" t="str">
        <f>INDEX('Partner data'!A:DH,MATCH(C753,'Partner data'!DG:DG,0),83)</f>
        <v>Soggetto pubblico</v>
      </c>
      <c r="R753" t="b">
        <f>IF(E753="staff",IF(INDEX('Partner data'!A:DH,MATCH(C753,'Partner data'!DG:DG,0),112)="BL1 non presente","FALSO",INDEX('Partner data'!A:DH,MATCH(C753,'Partner data'!DG:DG,0),112)))</f>
        <v>0</v>
      </c>
      <c r="S753" t="b">
        <f t="shared" si="22"/>
        <v>0</v>
      </c>
      <c r="T753" t="b">
        <f t="shared" si="23"/>
        <v>1</v>
      </c>
      <c r="U753" s="154">
        <f>IFERROR(IF(R753&lt;&gt;FALSE,IF(S753=TRUE,INDEX('SummaryNOT_VALIDATED-BL'!$A$1:$F$16,MATCH(R753,'SummaryNOT_VALIDATED-BL'!$A$1:$A$16,0),6),0),IF(S753=TRUE,INDEX('SummaryNOT_VALIDATED-BL'!$A$1:$F$16,MATCH(E753,'SummaryNOT_VALIDATED-BL'!$A$1:$A$16,0),6),0)),0)</f>
        <v>0</v>
      </c>
      <c r="V753" s="81" cm="1">
        <f t="array" ref="V753">INDEX('Weight tables'!$A$24:$C$27,MATCH(1,(RendicontiTrasmessiBL__2[[#This Row],[Cut percentage on real costs + USC]]&gt;='Weight tables'!$B$24:$B$27)*(RendicontiTrasmessiBL__2[[#This Row],[Cut percentage on real costs + USC]]&lt;='Weight tables'!$C$24:$C$27),0),1)</f>
        <v>0</v>
      </c>
      <c r="W753" s="2">
        <f>RendicontiTrasmessiBL__2[[#This Row],[Weight real costs  + USC ]]</f>
        <v>0</v>
      </c>
    </row>
    <row r="754" spans="1:23" x14ac:dyDescent="0.25">
      <c r="A754" s="1" t="s">
        <v>317</v>
      </c>
      <c r="B754" s="1" t="s">
        <v>319</v>
      </c>
      <c r="C754" s="2">
        <v>222</v>
      </c>
      <c r="D754" s="2">
        <v>317</v>
      </c>
      <c r="E754" s="1" t="s">
        <v>233</v>
      </c>
      <c r="G754">
        <v>0</v>
      </c>
      <c r="H754">
        <v>0</v>
      </c>
      <c r="I754">
        <v>0</v>
      </c>
      <c r="J754">
        <v>0</v>
      </c>
      <c r="K754">
        <v>0</v>
      </c>
      <c r="L754">
        <v>0</v>
      </c>
      <c r="M754">
        <v>0</v>
      </c>
      <c r="N754">
        <v>0</v>
      </c>
      <c r="O754">
        <v>0</v>
      </c>
      <c r="P754">
        <v>0</v>
      </c>
      <c r="Q754" t="str">
        <f>INDEX('Partner data'!A:DH,MATCH(C754,'Partner data'!DG:DG,0),83)</f>
        <v>Soggetto pubblico</v>
      </c>
      <c r="R754" t="b">
        <f>IF(E754="staff",IF(INDEX('Partner data'!A:DH,MATCH(C754,'Partner data'!DG:DG,0),112)="BL1 non presente","FALSO",INDEX('Partner data'!A:DH,MATCH(C754,'Partner data'!DG:DG,0),112)))</f>
        <v>0</v>
      </c>
      <c r="S754" t="b">
        <f t="shared" si="22"/>
        <v>0</v>
      </c>
      <c r="T754" t="b">
        <f t="shared" si="23"/>
        <v>1</v>
      </c>
      <c r="U754" s="154">
        <f>IFERROR(IF(R754&lt;&gt;FALSE,IF(S754=TRUE,INDEX('SummaryNOT_VALIDATED-BL'!$A$1:$F$16,MATCH(R754,'SummaryNOT_VALIDATED-BL'!$A$1:$A$16,0),6),0),IF(S754=TRUE,INDEX('SummaryNOT_VALIDATED-BL'!$A$1:$F$16,MATCH(E754,'SummaryNOT_VALIDATED-BL'!$A$1:$A$16,0),6),0)),0)</f>
        <v>0</v>
      </c>
      <c r="V754" s="81" cm="1">
        <f t="array" ref="V754">INDEX('Weight tables'!$A$24:$C$27,MATCH(1,(RendicontiTrasmessiBL__2[[#This Row],[Cut percentage on real costs + USC]]&gt;='Weight tables'!$B$24:$B$27)*(RendicontiTrasmessiBL__2[[#This Row],[Cut percentage on real costs + USC]]&lt;='Weight tables'!$C$24:$C$27),0),1)</f>
        <v>0</v>
      </c>
      <c r="W754" s="2">
        <f>RendicontiTrasmessiBL__2[[#This Row],[Weight real costs  + USC ]]</f>
        <v>0</v>
      </c>
    </row>
    <row r="755" spans="1:23" x14ac:dyDescent="0.25">
      <c r="A755" s="1" t="s">
        <v>317</v>
      </c>
      <c r="B755" s="1" t="s">
        <v>319</v>
      </c>
      <c r="C755" s="2">
        <v>222</v>
      </c>
      <c r="D755" s="2">
        <v>317</v>
      </c>
      <c r="E755" s="1" t="s">
        <v>234</v>
      </c>
      <c r="G755">
        <v>0</v>
      </c>
      <c r="H755">
        <v>0</v>
      </c>
      <c r="I755">
        <v>0</v>
      </c>
      <c r="J755">
        <v>0</v>
      </c>
      <c r="K755">
        <v>0</v>
      </c>
      <c r="L755">
        <v>0</v>
      </c>
      <c r="M755">
        <v>0</v>
      </c>
      <c r="N755">
        <v>0</v>
      </c>
      <c r="O755">
        <v>0</v>
      </c>
      <c r="P755">
        <v>0</v>
      </c>
      <c r="Q755" t="str">
        <f>INDEX('Partner data'!A:DH,MATCH(C755,'Partner data'!DG:DG,0),83)</f>
        <v>Soggetto pubblico</v>
      </c>
      <c r="R755" t="b">
        <f>IF(E755="staff",IF(INDEX('Partner data'!A:DH,MATCH(C755,'Partner data'!DG:DG,0),112)="BL1 non presente","FALSO",INDEX('Partner data'!A:DH,MATCH(C755,'Partner data'!DG:DG,0),112)))</f>
        <v>0</v>
      </c>
      <c r="S755" t="b">
        <f t="shared" si="22"/>
        <v>0</v>
      </c>
      <c r="T755" t="b">
        <f t="shared" si="23"/>
        <v>1</v>
      </c>
      <c r="U755" s="154">
        <f>IFERROR(IF(R755&lt;&gt;FALSE,IF(S755=TRUE,INDEX('SummaryNOT_VALIDATED-BL'!$A$1:$F$16,MATCH(R755,'SummaryNOT_VALIDATED-BL'!$A$1:$A$16,0),6),0),IF(S755=TRUE,INDEX('SummaryNOT_VALIDATED-BL'!$A$1:$F$16,MATCH(E755,'SummaryNOT_VALIDATED-BL'!$A$1:$A$16,0),6),0)),0)</f>
        <v>0</v>
      </c>
      <c r="V755" s="81" cm="1">
        <f t="array" ref="V755">INDEX('Weight tables'!$A$24:$C$27,MATCH(1,(RendicontiTrasmessiBL__2[[#This Row],[Cut percentage on real costs + USC]]&gt;='Weight tables'!$B$24:$B$27)*(RendicontiTrasmessiBL__2[[#This Row],[Cut percentage on real costs + USC]]&lt;='Weight tables'!$C$24:$C$27),0),1)</f>
        <v>0</v>
      </c>
      <c r="W755" s="2">
        <f>RendicontiTrasmessiBL__2[[#This Row],[Weight real costs  + USC ]]</f>
        <v>0</v>
      </c>
    </row>
    <row r="756" spans="1:23" x14ac:dyDescent="0.25">
      <c r="A756" s="1" t="s">
        <v>317</v>
      </c>
      <c r="B756" s="1" t="s">
        <v>319</v>
      </c>
      <c r="C756" s="2">
        <v>222</v>
      </c>
      <c r="D756" s="2">
        <v>317</v>
      </c>
      <c r="E756" s="1" t="s">
        <v>236</v>
      </c>
      <c r="G756">
        <v>0</v>
      </c>
      <c r="H756">
        <v>0</v>
      </c>
      <c r="I756">
        <v>0</v>
      </c>
      <c r="J756">
        <v>0</v>
      </c>
      <c r="K756">
        <v>0</v>
      </c>
      <c r="L756">
        <v>0</v>
      </c>
      <c r="M756">
        <v>0</v>
      </c>
      <c r="N756">
        <v>0</v>
      </c>
      <c r="O756">
        <v>0</v>
      </c>
      <c r="P756">
        <v>0</v>
      </c>
      <c r="Q756" t="str">
        <f>INDEX('Partner data'!A:DH,MATCH(C756,'Partner data'!DG:DG,0),83)</f>
        <v>Soggetto pubblico</v>
      </c>
      <c r="R756" t="b">
        <f>IF(E756="staff",IF(INDEX('Partner data'!A:DH,MATCH(C756,'Partner data'!DG:DG,0),112)="BL1 non presente","FALSO",INDEX('Partner data'!A:DH,MATCH(C756,'Partner data'!DG:DG,0),112)))</f>
        <v>0</v>
      </c>
      <c r="S756" t="b">
        <f t="shared" si="22"/>
        <v>0</v>
      </c>
      <c r="T756" t="b">
        <f t="shared" si="23"/>
        <v>1</v>
      </c>
      <c r="U756" s="154">
        <f>IFERROR(IF(R756&lt;&gt;FALSE,IF(S756=TRUE,INDEX('SummaryNOT_VALIDATED-BL'!$A$1:$F$16,MATCH(R756,'SummaryNOT_VALIDATED-BL'!$A$1:$A$16,0),6),0),IF(S756=TRUE,INDEX('SummaryNOT_VALIDATED-BL'!$A$1:$F$16,MATCH(E756,'SummaryNOT_VALIDATED-BL'!$A$1:$A$16,0),6),0)),0)</f>
        <v>0</v>
      </c>
      <c r="V756" s="81" cm="1">
        <f t="array" ref="V756">INDEX('Weight tables'!$A$24:$C$27,MATCH(1,(RendicontiTrasmessiBL__2[[#This Row],[Cut percentage on real costs + USC]]&gt;='Weight tables'!$B$24:$B$27)*(RendicontiTrasmessiBL__2[[#This Row],[Cut percentage on real costs + USC]]&lt;='Weight tables'!$C$24:$C$27),0),1)</f>
        <v>0</v>
      </c>
      <c r="W756" s="2">
        <f>RendicontiTrasmessiBL__2[[#This Row],[Weight real costs  + USC ]]</f>
        <v>0</v>
      </c>
    </row>
    <row r="757" spans="1:23" x14ac:dyDescent="0.25">
      <c r="A757" s="1" t="s">
        <v>317</v>
      </c>
      <c r="B757" s="1" t="s">
        <v>319</v>
      </c>
      <c r="C757" s="2">
        <v>222</v>
      </c>
      <c r="D757" s="2">
        <v>317</v>
      </c>
      <c r="E757" s="1" t="s">
        <v>237</v>
      </c>
      <c r="G757">
        <v>0</v>
      </c>
      <c r="H757">
        <v>0</v>
      </c>
      <c r="I757">
        <v>0</v>
      </c>
      <c r="J757">
        <v>0</v>
      </c>
      <c r="K757">
        <v>0</v>
      </c>
      <c r="L757">
        <v>0</v>
      </c>
      <c r="M757">
        <v>0</v>
      </c>
      <c r="N757">
        <v>0</v>
      </c>
      <c r="O757">
        <v>0</v>
      </c>
      <c r="P757">
        <v>0</v>
      </c>
      <c r="Q757" t="str">
        <f>INDEX('Partner data'!A:DH,MATCH(C757,'Partner data'!DG:DG,0),83)</f>
        <v>Soggetto pubblico</v>
      </c>
      <c r="R757" t="b">
        <f>IF(E757="staff",IF(INDEX('Partner data'!A:DH,MATCH(C757,'Partner data'!DG:DG,0),112)="BL1 non presente","FALSO",INDEX('Partner data'!A:DH,MATCH(C757,'Partner data'!DG:DG,0),112)))</f>
        <v>0</v>
      </c>
      <c r="S757" t="b">
        <f t="shared" si="22"/>
        <v>0</v>
      </c>
      <c r="T757" t="b">
        <f t="shared" si="23"/>
        <v>1</v>
      </c>
      <c r="U757" s="154">
        <f>IFERROR(IF(R757&lt;&gt;FALSE,IF(S757=TRUE,INDEX('SummaryNOT_VALIDATED-BL'!$A$1:$F$16,MATCH(R757,'SummaryNOT_VALIDATED-BL'!$A$1:$A$16,0),6),0),IF(S757=TRUE,INDEX('SummaryNOT_VALIDATED-BL'!$A$1:$F$16,MATCH(E757,'SummaryNOT_VALIDATED-BL'!$A$1:$A$16,0),6),0)),0)</f>
        <v>0</v>
      </c>
      <c r="V757" s="81" cm="1">
        <f t="array" ref="V757">INDEX('Weight tables'!$A$24:$C$27,MATCH(1,(RendicontiTrasmessiBL__2[[#This Row],[Cut percentage on real costs + USC]]&gt;='Weight tables'!$B$24:$B$27)*(RendicontiTrasmessiBL__2[[#This Row],[Cut percentage on real costs + USC]]&lt;='Weight tables'!$C$24:$C$27),0),1)</f>
        <v>0</v>
      </c>
      <c r="W757" s="2">
        <f>RendicontiTrasmessiBL__2[[#This Row],[Weight real costs  + USC ]]</f>
        <v>0</v>
      </c>
    </row>
    <row r="758" spans="1:23" x14ac:dyDescent="0.25">
      <c r="A758" s="1" t="s">
        <v>317</v>
      </c>
      <c r="B758" s="1" t="s">
        <v>320</v>
      </c>
      <c r="C758" s="2">
        <v>87</v>
      </c>
      <c r="D758" s="2">
        <v>334</v>
      </c>
      <c r="E758" s="1" t="s">
        <v>228</v>
      </c>
      <c r="G758">
        <v>76000</v>
      </c>
      <c r="H758">
        <v>0</v>
      </c>
      <c r="I758">
        <v>0</v>
      </c>
      <c r="J758">
        <v>14783.49</v>
      </c>
      <c r="K758">
        <v>0</v>
      </c>
      <c r="L758">
        <v>0</v>
      </c>
      <c r="M758">
        <v>14783.49</v>
      </c>
      <c r="N758">
        <v>19.45</v>
      </c>
      <c r="O758">
        <v>61216.51</v>
      </c>
      <c r="P758">
        <v>0</v>
      </c>
      <c r="Q758" t="str">
        <f>INDEX('Partner data'!A:DH,MATCH(C758,'Partner data'!DG:DG,0),83)</f>
        <v>Soggetto pubblico</v>
      </c>
      <c r="R758" t="str">
        <f>IF(E758="staff",IF(INDEX('Partner data'!A:DH,MATCH(C758,'Partner data'!DG:DG,0),112)="BL1 non presente","FALSO",INDEX('Partner data'!A:DH,MATCH(C758,'Partner data'!DG:DG,0),112)))</f>
        <v>COSTO REALE</v>
      </c>
      <c r="S758" t="b">
        <f t="shared" si="22"/>
        <v>1</v>
      </c>
      <c r="T758" t="b">
        <f t="shared" si="23"/>
        <v>1</v>
      </c>
      <c r="U758" s="154">
        <f>IFERROR(IF(R758&lt;&gt;FALSE,IF(S758=TRUE,INDEX('SummaryNOT_VALIDATED-BL'!$A$1:$F$16,MATCH(R758,'SummaryNOT_VALIDATED-BL'!$A$1:$A$16,0),6),0),IF(S758=TRUE,INDEX('SummaryNOT_VALIDATED-BL'!$A$1:$F$16,MATCH(E758,'SummaryNOT_VALIDATED-BL'!$A$1:$A$16,0),6),0)),0)</f>
        <v>9.1604133276901048E-2</v>
      </c>
      <c r="V758" s="81" cm="1">
        <f t="array" ref="V758">INDEX('Weight tables'!$A$24:$C$27,MATCH(1,(RendicontiTrasmessiBL__2[[#This Row],[Cut percentage on real costs + USC]]&gt;='Weight tables'!$B$24:$B$27)*(RendicontiTrasmessiBL__2[[#This Row],[Cut percentage on real costs + USC]]&lt;='Weight tables'!$C$24:$C$27),0),1)</f>
        <v>4</v>
      </c>
      <c r="W758" s="2">
        <f>RendicontiTrasmessiBL__2[[#This Row],[Weight real costs  + USC ]]</f>
        <v>4</v>
      </c>
    </row>
    <row r="759" spans="1:23" x14ac:dyDescent="0.25">
      <c r="A759" s="1" t="s">
        <v>317</v>
      </c>
      <c r="B759" s="1" t="s">
        <v>320</v>
      </c>
      <c r="C759" s="2">
        <v>87</v>
      </c>
      <c r="D759" s="2">
        <v>334</v>
      </c>
      <c r="E759" s="1" t="s">
        <v>229</v>
      </c>
      <c r="F759">
        <v>15</v>
      </c>
      <c r="G759">
        <v>11400</v>
      </c>
      <c r="H759">
        <v>0</v>
      </c>
      <c r="I759">
        <v>0</v>
      </c>
      <c r="J759">
        <v>2217.52</v>
      </c>
      <c r="K759">
        <v>0</v>
      </c>
      <c r="L759">
        <v>0</v>
      </c>
      <c r="M759">
        <v>2217.52</v>
      </c>
      <c r="N759">
        <v>19.45</v>
      </c>
      <c r="O759">
        <v>9182.48</v>
      </c>
      <c r="P759">
        <v>0</v>
      </c>
      <c r="Q759" t="str">
        <f>INDEX('Partner data'!A:DH,MATCH(C759,'Partner data'!DG:DG,0),83)</f>
        <v>Soggetto pubblico</v>
      </c>
      <c r="R759" t="b">
        <f>IF(E759="staff",IF(INDEX('Partner data'!A:DH,MATCH(C759,'Partner data'!DG:DG,0),112)="BL1 non presente","FALSO",INDEX('Partner data'!A:DH,MATCH(C759,'Partner data'!DG:DG,0),112)))</f>
        <v>0</v>
      </c>
      <c r="S759" t="b">
        <f t="shared" si="22"/>
        <v>1</v>
      </c>
      <c r="T759" t="b">
        <f t="shared" si="23"/>
        <v>1</v>
      </c>
      <c r="U759" s="154">
        <f>IFERROR(IF(R759&lt;&gt;FALSE,IF(S759=TRUE,INDEX('SummaryNOT_VALIDATED-BL'!$A$1:$F$16,MATCH(R759,'SummaryNOT_VALIDATED-BL'!$A$1:$A$16,0),6),0),IF(S759=TRUE,INDEX('SummaryNOT_VALIDATED-BL'!$A$1:$F$16,MATCH(E759,'SummaryNOT_VALIDATED-BL'!$A$1:$A$16,0),6),0)),0)</f>
        <v>6.6460469504890221E-2</v>
      </c>
      <c r="V759" s="81" cm="1">
        <f t="array" ref="V759">INDEX('Weight tables'!$A$24:$C$27,MATCH(1,(RendicontiTrasmessiBL__2[[#This Row],[Cut percentage on real costs + USC]]&gt;='Weight tables'!$B$24:$B$27)*(RendicontiTrasmessiBL__2[[#This Row],[Cut percentage on real costs + USC]]&lt;='Weight tables'!$C$24:$C$27),0),1)</f>
        <v>4</v>
      </c>
      <c r="W759" s="2">
        <f>RendicontiTrasmessiBL__2[[#This Row],[Weight real costs  + USC ]]</f>
        <v>4</v>
      </c>
    </row>
    <row r="760" spans="1:23" x14ac:dyDescent="0.25">
      <c r="A760" s="1" t="s">
        <v>317</v>
      </c>
      <c r="B760" s="1" t="s">
        <v>320</v>
      </c>
      <c r="C760" s="2">
        <v>87</v>
      </c>
      <c r="D760" s="2">
        <v>334</v>
      </c>
      <c r="E760" s="1" t="s">
        <v>230</v>
      </c>
      <c r="F760">
        <v>4</v>
      </c>
      <c r="G760">
        <v>3040</v>
      </c>
      <c r="H760">
        <v>0</v>
      </c>
      <c r="I760">
        <v>0</v>
      </c>
      <c r="J760">
        <v>591.33000000000004</v>
      </c>
      <c r="K760">
        <v>0</v>
      </c>
      <c r="L760">
        <v>0</v>
      </c>
      <c r="M760">
        <v>591.33000000000004</v>
      </c>
      <c r="N760">
        <v>19.45</v>
      </c>
      <c r="O760">
        <v>2448.67</v>
      </c>
      <c r="P760">
        <v>0</v>
      </c>
      <c r="Q760" t="str">
        <f>INDEX('Partner data'!A:DH,MATCH(C760,'Partner data'!DG:DG,0),83)</f>
        <v>Soggetto pubblico</v>
      </c>
      <c r="R760" t="b">
        <f>IF(E760="staff",IF(INDEX('Partner data'!A:DH,MATCH(C760,'Partner data'!DG:DG,0),112)="BL1 non presente","FALSO",INDEX('Partner data'!A:DH,MATCH(C760,'Partner data'!DG:DG,0),112)))</f>
        <v>0</v>
      </c>
      <c r="S760" t="b">
        <f t="shared" si="22"/>
        <v>1</v>
      </c>
      <c r="T760" t="b">
        <f t="shared" si="23"/>
        <v>1</v>
      </c>
      <c r="U760" s="154">
        <f>IFERROR(IF(R760&lt;&gt;FALSE,IF(S760=TRUE,INDEX('SummaryNOT_VALIDATED-BL'!$A$1:$F$16,MATCH(R760,'SummaryNOT_VALIDATED-BL'!$A$1:$A$16,0),6),0),IF(S760=TRUE,INDEX('SummaryNOT_VALIDATED-BL'!$A$1:$F$16,MATCH(E760,'SummaryNOT_VALIDATED-BL'!$A$1:$A$16,0),6),0)),0)</f>
        <v>6.3112622236488891E-2</v>
      </c>
      <c r="V760" s="81" cm="1">
        <f t="array" ref="V760">INDEX('Weight tables'!$A$24:$C$27,MATCH(1,(RendicontiTrasmessiBL__2[[#This Row],[Cut percentage on real costs + USC]]&gt;='Weight tables'!$B$24:$B$27)*(RendicontiTrasmessiBL__2[[#This Row],[Cut percentage on real costs + USC]]&lt;='Weight tables'!$C$24:$C$27),0),1)</f>
        <v>4</v>
      </c>
      <c r="W760" s="2">
        <f>RendicontiTrasmessiBL__2[[#This Row],[Weight real costs  + USC ]]</f>
        <v>4</v>
      </c>
    </row>
    <row r="761" spans="1:23" x14ac:dyDescent="0.25">
      <c r="A761" s="1" t="s">
        <v>317</v>
      </c>
      <c r="B761" s="1" t="s">
        <v>320</v>
      </c>
      <c r="C761" s="2">
        <v>87</v>
      </c>
      <c r="D761" s="2">
        <v>334</v>
      </c>
      <c r="E761" s="1" t="s">
        <v>231</v>
      </c>
      <c r="G761">
        <v>63000</v>
      </c>
      <c r="H761">
        <v>0</v>
      </c>
      <c r="I761">
        <v>0</v>
      </c>
      <c r="J761">
        <v>2187.16</v>
      </c>
      <c r="K761">
        <v>0</v>
      </c>
      <c r="L761">
        <v>0</v>
      </c>
      <c r="M761">
        <v>2187.16</v>
      </c>
      <c r="N761">
        <v>3.47</v>
      </c>
      <c r="O761">
        <v>60812.84</v>
      </c>
      <c r="P761">
        <v>0</v>
      </c>
      <c r="Q761" t="str">
        <f>INDEX('Partner data'!A:DH,MATCH(C761,'Partner data'!DG:DG,0),83)</f>
        <v>Soggetto pubblico</v>
      </c>
      <c r="R761" t="b">
        <f>IF(E761="staff",IF(INDEX('Partner data'!A:DH,MATCH(C761,'Partner data'!DG:DG,0),112)="BL1 non presente","FALSO",INDEX('Partner data'!A:DH,MATCH(C761,'Partner data'!DG:DG,0),112)))</f>
        <v>0</v>
      </c>
      <c r="S761" t="b">
        <f t="shared" si="22"/>
        <v>1</v>
      </c>
      <c r="T761" t="b">
        <f t="shared" si="23"/>
        <v>1</v>
      </c>
      <c r="U761" s="154">
        <f>IFERROR(IF(R761&lt;&gt;FALSE,IF(S761=TRUE,INDEX('SummaryNOT_VALIDATED-BL'!$A$1:$F$16,MATCH(R761,'SummaryNOT_VALIDATED-BL'!$A$1:$A$16,0),6),0),IF(S761=TRUE,INDEX('SummaryNOT_VALIDATED-BL'!$A$1:$F$16,MATCH(E761,'SummaryNOT_VALIDATED-BL'!$A$1:$A$16,0),6),0)),0)</f>
        <v>5.577594442215475E-2</v>
      </c>
      <c r="V761" s="81" cm="1">
        <f t="array" ref="V761">INDEX('Weight tables'!$A$24:$C$27,MATCH(1,(RendicontiTrasmessiBL__2[[#This Row],[Cut percentage on real costs + USC]]&gt;='Weight tables'!$B$24:$B$27)*(RendicontiTrasmessiBL__2[[#This Row],[Cut percentage on real costs + USC]]&lt;='Weight tables'!$C$24:$C$27),0),1)</f>
        <v>4</v>
      </c>
      <c r="W761" s="2">
        <f>RendicontiTrasmessiBL__2[[#This Row],[Weight real costs  + USC ]]</f>
        <v>4</v>
      </c>
    </row>
    <row r="762" spans="1:23" x14ac:dyDescent="0.25">
      <c r="A762" s="1" t="s">
        <v>317</v>
      </c>
      <c r="B762" s="1" t="s">
        <v>320</v>
      </c>
      <c r="C762" s="2">
        <v>87</v>
      </c>
      <c r="D762" s="2">
        <v>334</v>
      </c>
      <c r="E762" s="1" t="s">
        <v>232</v>
      </c>
      <c r="G762">
        <v>0</v>
      </c>
      <c r="H762">
        <v>0</v>
      </c>
      <c r="I762">
        <v>0</v>
      </c>
      <c r="J762">
        <v>0</v>
      </c>
      <c r="K762">
        <v>0</v>
      </c>
      <c r="L762">
        <v>0</v>
      </c>
      <c r="M762">
        <v>0</v>
      </c>
      <c r="N762">
        <v>0</v>
      </c>
      <c r="O762">
        <v>0</v>
      </c>
      <c r="P762">
        <v>0</v>
      </c>
      <c r="Q762" t="str">
        <f>INDEX('Partner data'!A:DH,MATCH(C762,'Partner data'!DG:DG,0),83)</f>
        <v>Soggetto pubblico</v>
      </c>
      <c r="R762" t="b">
        <f>IF(E762="staff",IF(INDEX('Partner data'!A:DH,MATCH(C762,'Partner data'!DG:DG,0),112)="BL1 non presente","FALSO",INDEX('Partner data'!A:DH,MATCH(C762,'Partner data'!DG:DG,0),112)))</f>
        <v>0</v>
      </c>
      <c r="S762" t="b">
        <f t="shared" si="22"/>
        <v>0</v>
      </c>
      <c r="T762" t="b">
        <f t="shared" si="23"/>
        <v>1</v>
      </c>
      <c r="U762" s="154">
        <f>IFERROR(IF(R762&lt;&gt;FALSE,IF(S762=TRUE,INDEX('SummaryNOT_VALIDATED-BL'!$A$1:$F$16,MATCH(R762,'SummaryNOT_VALIDATED-BL'!$A$1:$A$16,0),6),0),IF(S762=TRUE,INDEX('SummaryNOT_VALIDATED-BL'!$A$1:$F$16,MATCH(E762,'SummaryNOT_VALIDATED-BL'!$A$1:$A$16,0),6),0)),0)</f>
        <v>0</v>
      </c>
      <c r="V762" s="81" cm="1">
        <f t="array" ref="V762">INDEX('Weight tables'!$A$24:$C$27,MATCH(1,(RendicontiTrasmessiBL__2[[#This Row],[Cut percentage on real costs + USC]]&gt;='Weight tables'!$B$24:$B$27)*(RendicontiTrasmessiBL__2[[#This Row],[Cut percentage on real costs + USC]]&lt;='Weight tables'!$C$24:$C$27),0),1)</f>
        <v>0</v>
      </c>
      <c r="W762" s="2">
        <f>RendicontiTrasmessiBL__2[[#This Row],[Weight real costs  + USC ]]</f>
        <v>0</v>
      </c>
    </row>
    <row r="763" spans="1:23" x14ac:dyDescent="0.25">
      <c r="A763" s="1" t="s">
        <v>317</v>
      </c>
      <c r="B763" s="1" t="s">
        <v>320</v>
      </c>
      <c r="C763" s="2">
        <v>87</v>
      </c>
      <c r="D763" s="2">
        <v>334</v>
      </c>
      <c r="E763" s="1" t="s">
        <v>233</v>
      </c>
      <c r="G763">
        <v>0</v>
      </c>
      <c r="H763">
        <v>0</v>
      </c>
      <c r="I763">
        <v>0</v>
      </c>
      <c r="J763">
        <v>0</v>
      </c>
      <c r="K763">
        <v>0</v>
      </c>
      <c r="L763">
        <v>0</v>
      </c>
      <c r="M763">
        <v>0</v>
      </c>
      <c r="N763">
        <v>0</v>
      </c>
      <c r="O763">
        <v>0</v>
      </c>
      <c r="P763">
        <v>0</v>
      </c>
      <c r="Q763" t="str">
        <f>INDEX('Partner data'!A:DH,MATCH(C763,'Partner data'!DG:DG,0),83)</f>
        <v>Soggetto pubblico</v>
      </c>
      <c r="R763" t="b">
        <f>IF(E763="staff",IF(INDEX('Partner data'!A:DH,MATCH(C763,'Partner data'!DG:DG,0),112)="BL1 non presente","FALSO",INDEX('Partner data'!A:DH,MATCH(C763,'Partner data'!DG:DG,0),112)))</f>
        <v>0</v>
      </c>
      <c r="S763" t="b">
        <f t="shared" si="22"/>
        <v>0</v>
      </c>
      <c r="T763" t="b">
        <f t="shared" si="23"/>
        <v>1</v>
      </c>
      <c r="U763" s="154">
        <f>IFERROR(IF(R763&lt;&gt;FALSE,IF(S763=TRUE,INDEX('SummaryNOT_VALIDATED-BL'!$A$1:$F$16,MATCH(R763,'SummaryNOT_VALIDATED-BL'!$A$1:$A$16,0),6),0),IF(S763=TRUE,INDEX('SummaryNOT_VALIDATED-BL'!$A$1:$F$16,MATCH(E763,'SummaryNOT_VALIDATED-BL'!$A$1:$A$16,0),6),0)),0)</f>
        <v>0</v>
      </c>
      <c r="V763" s="81" cm="1">
        <f t="array" ref="V763">INDEX('Weight tables'!$A$24:$C$27,MATCH(1,(RendicontiTrasmessiBL__2[[#This Row],[Cut percentage on real costs + USC]]&gt;='Weight tables'!$B$24:$B$27)*(RendicontiTrasmessiBL__2[[#This Row],[Cut percentage on real costs + USC]]&lt;='Weight tables'!$C$24:$C$27),0),1)</f>
        <v>0</v>
      </c>
      <c r="W763" s="2">
        <f>RendicontiTrasmessiBL__2[[#This Row],[Weight real costs  + USC ]]</f>
        <v>0</v>
      </c>
    </row>
    <row r="764" spans="1:23" x14ac:dyDescent="0.25">
      <c r="A764" s="1" t="s">
        <v>317</v>
      </c>
      <c r="B764" s="1" t="s">
        <v>320</v>
      </c>
      <c r="C764" s="2">
        <v>87</v>
      </c>
      <c r="D764" s="2">
        <v>334</v>
      </c>
      <c r="E764" s="1" t="s">
        <v>234</v>
      </c>
      <c r="G764">
        <v>0</v>
      </c>
      <c r="H764">
        <v>0</v>
      </c>
      <c r="I764">
        <v>0</v>
      </c>
      <c r="J764">
        <v>0</v>
      </c>
      <c r="K764">
        <v>0</v>
      </c>
      <c r="L764">
        <v>0</v>
      </c>
      <c r="M764">
        <v>0</v>
      </c>
      <c r="N764">
        <v>0</v>
      </c>
      <c r="O764">
        <v>0</v>
      </c>
      <c r="P764">
        <v>0</v>
      </c>
      <c r="Q764" t="str">
        <f>INDEX('Partner data'!A:DH,MATCH(C764,'Partner data'!DG:DG,0),83)</f>
        <v>Soggetto pubblico</v>
      </c>
      <c r="R764" t="b">
        <f>IF(E764="staff",IF(INDEX('Partner data'!A:DH,MATCH(C764,'Partner data'!DG:DG,0),112)="BL1 non presente","FALSO",INDEX('Partner data'!A:DH,MATCH(C764,'Partner data'!DG:DG,0),112)))</f>
        <v>0</v>
      </c>
      <c r="S764" t="b">
        <f t="shared" si="22"/>
        <v>0</v>
      </c>
      <c r="T764" t="b">
        <f t="shared" si="23"/>
        <v>1</v>
      </c>
      <c r="U764" s="154">
        <f>IFERROR(IF(R764&lt;&gt;FALSE,IF(S764=TRUE,INDEX('SummaryNOT_VALIDATED-BL'!$A$1:$F$16,MATCH(R764,'SummaryNOT_VALIDATED-BL'!$A$1:$A$16,0),6),0),IF(S764=TRUE,INDEX('SummaryNOT_VALIDATED-BL'!$A$1:$F$16,MATCH(E764,'SummaryNOT_VALIDATED-BL'!$A$1:$A$16,0),6),0)),0)</f>
        <v>0</v>
      </c>
      <c r="V764" s="81" cm="1">
        <f t="array" ref="V764">INDEX('Weight tables'!$A$24:$C$27,MATCH(1,(RendicontiTrasmessiBL__2[[#This Row],[Cut percentage on real costs + USC]]&gt;='Weight tables'!$B$24:$B$27)*(RendicontiTrasmessiBL__2[[#This Row],[Cut percentage on real costs + USC]]&lt;='Weight tables'!$C$24:$C$27),0),1)</f>
        <v>0</v>
      </c>
      <c r="W764" s="2">
        <f>RendicontiTrasmessiBL__2[[#This Row],[Weight real costs  + USC ]]</f>
        <v>0</v>
      </c>
    </row>
    <row r="765" spans="1:23" x14ac:dyDescent="0.25">
      <c r="A765" s="1" t="s">
        <v>317</v>
      </c>
      <c r="B765" s="1" t="s">
        <v>320</v>
      </c>
      <c r="C765" s="2">
        <v>87</v>
      </c>
      <c r="D765" s="2">
        <v>334</v>
      </c>
      <c r="E765" s="1" t="s">
        <v>236</v>
      </c>
      <c r="G765">
        <v>0</v>
      </c>
      <c r="H765">
        <v>0</v>
      </c>
      <c r="I765">
        <v>0</v>
      </c>
      <c r="J765">
        <v>0</v>
      </c>
      <c r="K765">
        <v>0</v>
      </c>
      <c r="L765">
        <v>0</v>
      </c>
      <c r="M765">
        <v>0</v>
      </c>
      <c r="N765">
        <v>0</v>
      </c>
      <c r="O765">
        <v>0</v>
      </c>
      <c r="P765">
        <v>0</v>
      </c>
      <c r="Q765" t="str">
        <f>INDEX('Partner data'!A:DH,MATCH(C765,'Partner data'!DG:DG,0),83)</f>
        <v>Soggetto pubblico</v>
      </c>
      <c r="R765" t="b">
        <f>IF(E765="staff",IF(INDEX('Partner data'!A:DH,MATCH(C765,'Partner data'!DG:DG,0),112)="BL1 non presente","FALSO",INDEX('Partner data'!A:DH,MATCH(C765,'Partner data'!DG:DG,0),112)))</f>
        <v>0</v>
      </c>
      <c r="S765" t="b">
        <f t="shared" si="22"/>
        <v>0</v>
      </c>
      <c r="T765" t="b">
        <f t="shared" si="23"/>
        <v>1</v>
      </c>
      <c r="U765" s="154">
        <f>IFERROR(IF(R765&lt;&gt;FALSE,IF(S765=TRUE,INDEX('SummaryNOT_VALIDATED-BL'!$A$1:$F$16,MATCH(R765,'SummaryNOT_VALIDATED-BL'!$A$1:$A$16,0),6),0),IF(S765=TRUE,INDEX('SummaryNOT_VALIDATED-BL'!$A$1:$F$16,MATCH(E765,'SummaryNOT_VALIDATED-BL'!$A$1:$A$16,0),6),0)),0)</f>
        <v>0</v>
      </c>
      <c r="V765" s="81" cm="1">
        <f t="array" ref="V765">INDEX('Weight tables'!$A$24:$C$27,MATCH(1,(RendicontiTrasmessiBL__2[[#This Row],[Cut percentage on real costs + USC]]&gt;='Weight tables'!$B$24:$B$27)*(RendicontiTrasmessiBL__2[[#This Row],[Cut percentage on real costs + USC]]&lt;='Weight tables'!$C$24:$C$27),0),1)</f>
        <v>0</v>
      </c>
      <c r="W765" s="2">
        <f>RendicontiTrasmessiBL__2[[#This Row],[Weight real costs  + USC ]]</f>
        <v>0</v>
      </c>
    </row>
    <row r="766" spans="1:23" x14ac:dyDescent="0.25">
      <c r="A766" s="1" t="s">
        <v>317</v>
      </c>
      <c r="B766" s="1" t="s">
        <v>320</v>
      </c>
      <c r="C766" s="2">
        <v>87</v>
      </c>
      <c r="D766" s="2">
        <v>334</v>
      </c>
      <c r="E766" s="1" t="s">
        <v>237</v>
      </c>
      <c r="G766">
        <v>0</v>
      </c>
      <c r="H766">
        <v>0</v>
      </c>
      <c r="I766">
        <v>0</v>
      </c>
      <c r="J766">
        <v>0</v>
      </c>
      <c r="K766">
        <v>0</v>
      </c>
      <c r="L766">
        <v>0</v>
      </c>
      <c r="M766">
        <v>0</v>
      </c>
      <c r="N766">
        <v>0</v>
      </c>
      <c r="O766">
        <v>0</v>
      </c>
      <c r="P766">
        <v>0</v>
      </c>
      <c r="Q766" t="str">
        <f>INDEX('Partner data'!A:DH,MATCH(C766,'Partner data'!DG:DG,0),83)</f>
        <v>Soggetto pubblico</v>
      </c>
      <c r="R766" t="b">
        <f>IF(E766="staff",IF(INDEX('Partner data'!A:DH,MATCH(C766,'Partner data'!DG:DG,0),112)="BL1 non presente","FALSO",INDEX('Partner data'!A:DH,MATCH(C766,'Partner data'!DG:DG,0),112)))</f>
        <v>0</v>
      </c>
      <c r="S766" t="b">
        <f t="shared" si="22"/>
        <v>0</v>
      </c>
      <c r="T766" t="b">
        <f t="shared" si="23"/>
        <v>1</v>
      </c>
      <c r="U766" s="154">
        <f>IFERROR(IF(R766&lt;&gt;FALSE,IF(S766=TRUE,INDEX('SummaryNOT_VALIDATED-BL'!$A$1:$F$16,MATCH(R766,'SummaryNOT_VALIDATED-BL'!$A$1:$A$16,0),6),0),IF(S766=TRUE,INDEX('SummaryNOT_VALIDATED-BL'!$A$1:$F$16,MATCH(E766,'SummaryNOT_VALIDATED-BL'!$A$1:$A$16,0),6),0)),0)</f>
        <v>0</v>
      </c>
      <c r="V766" s="81" cm="1">
        <f t="array" ref="V766">INDEX('Weight tables'!$A$24:$C$27,MATCH(1,(RendicontiTrasmessiBL__2[[#This Row],[Cut percentage on real costs + USC]]&gt;='Weight tables'!$B$24:$B$27)*(RendicontiTrasmessiBL__2[[#This Row],[Cut percentage on real costs + USC]]&lt;='Weight tables'!$C$24:$C$27),0),1)</f>
        <v>0</v>
      </c>
      <c r="W766" s="2">
        <f>RendicontiTrasmessiBL__2[[#This Row],[Weight real costs  + USC ]]</f>
        <v>0</v>
      </c>
    </row>
    <row r="767" spans="1:23" x14ac:dyDescent="0.25">
      <c r="A767" s="1" t="s">
        <v>317</v>
      </c>
      <c r="B767" s="1" t="s">
        <v>321</v>
      </c>
      <c r="C767" s="2">
        <v>117</v>
      </c>
      <c r="D767" s="2">
        <v>288</v>
      </c>
      <c r="E767" s="1" t="s">
        <v>228</v>
      </c>
      <c r="G767">
        <v>70360</v>
      </c>
      <c r="H767">
        <v>0</v>
      </c>
      <c r="I767">
        <v>0</v>
      </c>
      <c r="J767">
        <v>14883.91</v>
      </c>
      <c r="K767">
        <v>0</v>
      </c>
      <c r="L767">
        <v>11889.84</v>
      </c>
      <c r="M767">
        <v>14883.91</v>
      </c>
      <c r="N767">
        <v>21.15</v>
      </c>
      <c r="O767">
        <v>55476.09</v>
      </c>
      <c r="P767">
        <v>0</v>
      </c>
      <c r="Q767" t="str">
        <f>INDEX('Partner data'!A:DH,MATCH(C767,'Partner data'!DG:DG,0),83)</f>
        <v xml:space="preserve">Organismo di diritto pubblico </v>
      </c>
      <c r="R767" t="str">
        <f>IF(E767="staff",IF(INDEX('Partner data'!A:DH,MATCH(C767,'Partner data'!DG:DG,0),112)="BL1 non presente","FALSO",INDEX('Partner data'!A:DH,MATCH(C767,'Partner data'!DG:DG,0),112)))</f>
        <v>COSTO REALE</v>
      </c>
      <c r="S767" t="b">
        <f t="shared" si="22"/>
        <v>1</v>
      </c>
      <c r="T767" t="b">
        <f t="shared" si="23"/>
        <v>1</v>
      </c>
      <c r="U767" s="154">
        <f>IFERROR(IF(R767&lt;&gt;FALSE,IF(S767=TRUE,INDEX('SummaryNOT_VALIDATED-BL'!$A$1:$F$16,MATCH(R767,'SummaryNOT_VALIDATED-BL'!$A$1:$A$16,0),6),0),IF(S767=TRUE,INDEX('SummaryNOT_VALIDATED-BL'!$A$1:$F$16,MATCH(E767,'SummaryNOT_VALIDATED-BL'!$A$1:$A$16,0),6),0)),0)</f>
        <v>9.1604133276901048E-2</v>
      </c>
      <c r="V767" s="81" cm="1">
        <f t="array" ref="V767">INDEX('Weight tables'!$A$24:$C$27,MATCH(1,(RendicontiTrasmessiBL__2[[#This Row],[Cut percentage on real costs + USC]]&gt;='Weight tables'!$B$24:$B$27)*(RendicontiTrasmessiBL__2[[#This Row],[Cut percentage on real costs + USC]]&lt;='Weight tables'!$C$24:$C$27),0),1)</f>
        <v>4</v>
      </c>
      <c r="W767" s="2">
        <f>RendicontiTrasmessiBL__2[[#This Row],[Weight real costs  + USC ]]</f>
        <v>4</v>
      </c>
    </row>
    <row r="768" spans="1:23" x14ac:dyDescent="0.25">
      <c r="A768" s="1" t="s">
        <v>317</v>
      </c>
      <c r="B768" s="1" t="s">
        <v>321</v>
      </c>
      <c r="C768" s="2">
        <v>117</v>
      </c>
      <c r="D768" s="2">
        <v>288</v>
      </c>
      <c r="E768" s="1" t="s">
        <v>229</v>
      </c>
      <c r="F768">
        <v>15</v>
      </c>
      <c r="G768">
        <v>10554</v>
      </c>
      <c r="H768">
        <v>0</v>
      </c>
      <c r="I768">
        <v>0</v>
      </c>
      <c r="J768">
        <v>2232.58</v>
      </c>
      <c r="K768">
        <v>0</v>
      </c>
      <c r="L768">
        <v>1783.47</v>
      </c>
      <c r="M768">
        <v>2232.58</v>
      </c>
      <c r="N768">
        <v>21.15</v>
      </c>
      <c r="O768">
        <v>8321.42</v>
      </c>
      <c r="P768">
        <v>0</v>
      </c>
      <c r="Q768" t="str">
        <f>INDEX('Partner data'!A:DH,MATCH(C768,'Partner data'!DG:DG,0),83)</f>
        <v xml:space="preserve">Organismo di diritto pubblico </v>
      </c>
      <c r="R768" t="b">
        <f>IF(E768="staff",IF(INDEX('Partner data'!A:DH,MATCH(C768,'Partner data'!DG:DG,0),112)="BL1 non presente","FALSO",INDEX('Partner data'!A:DH,MATCH(C768,'Partner data'!DG:DG,0),112)))</f>
        <v>0</v>
      </c>
      <c r="S768" t="b">
        <f t="shared" si="22"/>
        <v>1</v>
      </c>
      <c r="T768" t="b">
        <f t="shared" si="23"/>
        <v>1</v>
      </c>
      <c r="U768" s="154">
        <f>IFERROR(IF(R768&lt;&gt;FALSE,IF(S768=TRUE,INDEX('SummaryNOT_VALIDATED-BL'!$A$1:$F$16,MATCH(R768,'SummaryNOT_VALIDATED-BL'!$A$1:$A$16,0),6),0),IF(S768=TRUE,INDEX('SummaryNOT_VALIDATED-BL'!$A$1:$F$16,MATCH(E768,'SummaryNOT_VALIDATED-BL'!$A$1:$A$16,0),6),0)),0)</f>
        <v>6.6460469504890221E-2</v>
      </c>
      <c r="V768" s="81" cm="1">
        <f t="array" ref="V768">INDEX('Weight tables'!$A$24:$C$27,MATCH(1,(RendicontiTrasmessiBL__2[[#This Row],[Cut percentage on real costs + USC]]&gt;='Weight tables'!$B$24:$B$27)*(RendicontiTrasmessiBL__2[[#This Row],[Cut percentage on real costs + USC]]&lt;='Weight tables'!$C$24:$C$27),0),1)</f>
        <v>4</v>
      </c>
      <c r="W768" s="2">
        <f>RendicontiTrasmessiBL__2[[#This Row],[Weight real costs  + USC ]]</f>
        <v>4</v>
      </c>
    </row>
    <row r="769" spans="1:23" x14ac:dyDescent="0.25">
      <c r="A769" s="1" t="s">
        <v>317</v>
      </c>
      <c r="B769" s="1" t="s">
        <v>321</v>
      </c>
      <c r="C769" s="2">
        <v>117</v>
      </c>
      <c r="D769" s="2">
        <v>288</v>
      </c>
      <c r="E769" s="1" t="s">
        <v>230</v>
      </c>
      <c r="F769">
        <v>4</v>
      </c>
      <c r="G769">
        <v>2814.4</v>
      </c>
      <c r="H769">
        <v>0</v>
      </c>
      <c r="I769">
        <v>0</v>
      </c>
      <c r="J769">
        <v>595.35</v>
      </c>
      <c r="K769">
        <v>0</v>
      </c>
      <c r="L769">
        <v>475.59</v>
      </c>
      <c r="M769">
        <v>595.35</v>
      </c>
      <c r="N769">
        <v>21.15</v>
      </c>
      <c r="O769">
        <v>2219.0500000000002</v>
      </c>
      <c r="P769">
        <v>0</v>
      </c>
      <c r="Q769" t="str">
        <f>INDEX('Partner data'!A:DH,MATCH(C769,'Partner data'!DG:DG,0),83)</f>
        <v xml:space="preserve">Organismo di diritto pubblico </v>
      </c>
      <c r="R769" t="b">
        <f>IF(E769="staff",IF(INDEX('Partner data'!A:DH,MATCH(C769,'Partner data'!DG:DG,0),112)="BL1 non presente","FALSO",INDEX('Partner data'!A:DH,MATCH(C769,'Partner data'!DG:DG,0),112)))</f>
        <v>0</v>
      </c>
      <c r="S769" t="b">
        <f t="shared" si="22"/>
        <v>1</v>
      </c>
      <c r="T769" t="b">
        <f t="shared" si="23"/>
        <v>1</v>
      </c>
      <c r="U769" s="154">
        <f>IFERROR(IF(R769&lt;&gt;FALSE,IF(S769=TRUE,INDEX('SummaryNOT_VALIDATED-BL'!$A$1:$F$16,MATCH(R769,'SummaryNOT_VALIDATED-BL'!$A$1:$A$16,0),6),0),IF(S769=TRUE,INDEX('SummaryNOT_VALIDATED-BL'!$A$1:$F$16,MATCH(E769,'SummaryNOT_VALIDATED-BL'!$A$1:$A$16,0),6),0)),0)</f>
        <v>6.3112622236488891E-2</v>
      </c>
      <c r="V769" s="81" cm="1">
        <f t="array" ref="V769">INDEX('Weight tables'!$A$24:$C$27,MATCH(1,(RendicontiTrasmessiBL__2[[#This Row],[Cut percentage on real costs + USC]]&gt;='Weight tables'!$B$24:$B$27)*(RendicontiTrasmessiBL__2[[#This Row],[Cut percentage on real costs + USC]]&lt;='Weight tables'!$C$24:$C$27),0),1)</f>
        <v>4</v>
      </c>
      <c r="W769" s="2">
        <f>RendicontiTrasmessiBL__2[[#This Row],[Weight real costs  + USC ]]</f>
        <v>4</v>
      </c>
    </row>
    <row r="770" spans="1:23" x14ac:dyDescent="0.25">
      <c r="A770" s="1" t="s">
        <v>317</v>
      </c>
      <c r="B770" s="1" t="s">
        <v>321</v>
      </c>
      <c r="C770" s="2">
        <v>117</v>
      </c>
      <c r="D770" s="2">
        <v>288</v>
      </c>
      <c r="E770" s="1" t="s">
        <v>231</v>
      </c>
      <c r="G770">
        <v>37500</v>
      </c>
      <c r="H770">
        <v>0</v>
      </c>
      <c r="I770">
        <v>0</v>
      </c>
      <c r="J770">
        <v>42.21</v>
      </c>
      <c r="K770">
        <v>0</v>
      </c>
      <c r="L770">
        <v>42.21</v>
      </c>
      <c r="M770">
        <v>42.21</v>
      </c>
      <c r="N770">
        <v>0.11</v>
      </c>
      <c r="O770">
        <v>37457.79</v>
      </c>
      <c r="P770">
        <v>0</v>
      </c>
      <c r="Q770" t="str">
        <f>INDEX('Partner data'!A:DH,MATCH(C770,'Partner data'!DG:DG,0),83)</f>
        <v xml:space="preserve">Organismo di diritto pubblico </v>
      </c>
      <c r="R770" t="b">
        <f>IF(E770="staff",IF(INDEX('Partner data'!A:DH,MATCH(C770,'Partner data'!DG:DG,0),112)="BL1 non presente","FALSO",INDEX('Partner data'!A:DH,MATCH(C770,'Partner data'!DG:DG,0),112)))</f>
        <v>0</v>
      </c>
      <c r="S770" t="b">
        <f t="shared" ref="S770:S833" si="24">IF(J770&lt;&gt;0,TRUE,FALSE)</f>
        <v>1</v>
      </c>
      <c r="T770" t="b">
        <f t="shared" ref="T770:T833" si="25">OR(Q770="Soggetto pubblico",Q770="Organismo di diritto pubblico ")</f>
        <v>1</v>
      </c>
      <c r="U770" s="154">
        <f>IFERROR(IF(R770&lt;&gt;FALSE,IF(S770=TRUE,INDEX('SummaryNOT_VALIDATED-BL'!$A$1:$F$16,MATCH(R770,'SummaryNOT_VALIDATED-BL'!$A$1:$A$16,0),6),0),IF(S770=TRUE,INDEX('SummaryNOT_VALIDATED-BL'!$A$1:$F$16,MATCH(E770,'SummaryNOT_VALIDATED-BL'!$A$1:$A$16,0),6),0)),0)</f>
        <v>5.577594442215475E-2</v>
      </c>
      <c r="V770" s="81" cm="1">
        <f t="array" ref="V770">INDEX('Weight tables'!$A$24:$C$27,MATCH(1,(RendicontiTrasmessiBL__2[[#This Row],[Cut percentage on real costs + USC]]&gt;='Weight tables'!$B$24:$B$27)*(RendicontiTrasmessiBL__2[[#This Row],[Cut percentage on real costs + USC]]&lt;='Weight tables'!$C$24:$C$27),0),1)</f>
        <v>4</v>
      </c>
      <c r="W770" s="2">
        <f>RendicontiTrasmessiBL__2[[#This Row],[Weight real costs  + USC ]]</f>
        <v>4</v>
      </c>
    </row>
    <row r="771" spans="1:23" x14ac:dyDescent="0.25">
      <c r="A771" s="1" t="s">
        <v>317</v>
      </c>
      <c r="B771" s="1" t="s">
        <v>321</v>
      </c>
      <c r="C771" s="2">
        <v>117</v>
      </c>
      <c r="D771" s="2">
        <v>288</v>
      </c>
      <c r="E771" s="1" t="s">
        <v>232</v>
      </c>
      <c r="G771">
        <v>0</v>
      </c>
      <c r="H771">
        <v>0</v>
      </c>
      <c r="I771">
        <v>0</v>
      </c>
      <c r="J771">
        <v>0</v>
      </c>
      <c r="K771">
        <v>0</v>
      </c>
      <c r="L771">
        <v>0</v>
      </c>
      <c r="M771">
        <v>0</v>
      </c>
      <c r="N771">
        <v>0</v>
      </c>
      <c r="O771">
        <v>0</v>
      </c>
      <c r="P771">
        <v>0</v>
      </c>
      <c r="Q771" t="str">
        <f>INDEX('Partner data'!A:DH,MATCH(C771,'Partner data'!DG:DG,0),83)</f>
        <v xml:space="preserve">Organismo di diritto pubblico </v>
      </c>
      <c r="R771" t="b">
        <f>IF(E771="staff",IF(INDEX('Partner data'!A:DH,MATCH(C771,'Partner data'!DG:DG,0),112)="BL1 non presente","FALSO",INDEX('Partner data'!A:DH,MATCH(C771,'Partner data'!DG:DG,0),112)))</f>
        <v>0</v>
      </c>
      <c r="S771" t="b">
        <f t="shared" si="24"/>
        <v>0</v>
      </c>
      <c r="T771" t="b">
        <f t="shared" si="25"/>
        <v>1</v>
      </c>
      <c r="U771" s="154">
        <f>IFERROR(IF(R771&lt;&gt;FALSE,IF(S771=TRUE,INDEX('SummaryNOT_VALIDATED-BL'!$A$1:$F$16,MATCH(R771,'SummaryNOT_VALIDATED-BL'!$A$1:$A$16,0),6),0),IF(S771=TRUE,INDEX('SummaryNOT_VALIDATED-BL'!$A$1:$F$16,MATCH(E771,'SummaryNOT_VALIDATED-BL'!$A$1:$A$16,0),6),0)),0)</f>
        <v>0</v>
      </c>
      <c r="V771" s="81" cm="1">
        <f t="array" ref="V771">INDEX('Weight tables'!$A$24:$C$27,MATCH(1,(RendicontiTrasmessiBL__2[[#This Row],[Cut percentage on real costs + USC]]&gt;='Weight tables'!$B$24:$B$27)*(RendicontiTrasmessiBL__2[[#This Row],[Cut percentage on real costs + USC]]&lt;='Weight tables'!$C$24:$C$27),0),1)</f>
        <v>0</v>
      </c>
      <c r="W771" s="2">
        <f>RendicontiTrasmessiBL__2[[#This Row],[Weight real costs  + USC ]]</f>
        <v>0</v>
      </c>
    </row>
    <row r="772" spans="1:23" x14ac:dyDescent="0.25">
      <c r="A772" s="1" t="s">
        <v>317</v>
      </c>
      <c r="B772" s="1" t="s">
        <v>321</v>
      </c>
      <c r="C772" s="2">
        <v>117</v>
      </c>
      <c r="D772" s="2">
        <v>288</v>
      </c>
      <c r="E772" s="1" t="s">
        <v>233</v>
      </c>
      <c r="G772">
        <v>0</v>
      </c>
      <c r="H772">
        <v>0</v>
      </c>
      <c r="I772">
        <v>0</v>
      </c>
      <c r="J772">
        <v>0</v>
      </c>
      <c r="K772">
        <v>0</v>
      </c>
      <c r="L772">
        <v>0</v>
      </c>
      <c r="M772">
        <v>0</v>
      </c>
      <c r="N772">
        <v>0</v>
      </c>
      <c r="O772">
        <v>0</v>
      </c>
      <c r="P772">
        <v>0</v>
      </c>
      <c r="Q772" t="str">
        <f>INDEX('Partner data'!A:DH,MATCH(C772,'Partner data'!DG:DG,0),83)</f>
        <v xml:space="preserve">Organismo di diritto pubblico </v>
      </c>
      <c r="R772" t="b">
        <f>IF(E772="staff",IF(INDEX('Partner data'!A:DH,MATCH(C772,'Partner data'!DG:DG,0),112)="BL1 non presente","FALSO",INDEX('Partner data'!A:DH,MATCH(C772,'Partner data'!DG:DG,0),112)))</f>
        <v>0</v>
      </c>
      <c r="S772" t="b">
        <f t="shared" si="24"/>
        <v>0</v>
      </c>
      <c r="T772" t="b">
        <f t="shared" si="25"/>
        <v>1</v>
      </c>
      <c r="U772" s="154">
        <f>IFERROR(IF(R772&lt;&gt;FALSE,IF(S772=TRUE,INDEX('SummaryNOT_VALIDATED-BL'!$A$1:$F$16,MATCH(R772,'SummaryNOT_VALIDATED-BL'!$A$1:$A$16,0),6),0),IF(S772=TRUE,INDEX('SummaryNOT_VALIDATED-BL'!$A$1:$F$16,MATCH(E772,'SummaryNOT_VALIDATED-BL'!$A$1:$A$16,0),6),0)),0)</f>
        <v>0</v>
      </c>
      <c r="V772" s="81" cm="1">
        <f t="array" ref="V772">INDEX('Weight tables'!$A$24:$C$27,MATCH(1,(RendicontiTrasmessiBL__2[[#This Row],[Cut percentage on real costs + USC]]&gt;='Weight tables'!$B$24:$B$27)*(RendicontiTrasmessiBL__2[[#This Row],[Cut percentage on real costs + USC]]&lt;='Weight tables'!$C$24:$C$27),0),1)</f>
        <v>0</v>
      </c>
      <c r="W772" s="2">
        <f>RendicontiTrasmessiBL__2[[#This Row],[Weight real costs  + USC ]]</f>
        <v>0</v>
      </c>
    </row>
    <row r="773" spans="1:23" x14ac:dyDescent="0.25">
      <c r="A773" s="1" t="s">
        <v>317</v>
      </c>
      <c r="B773" s="1" t="s">
        <v>321</v>
      </c>
      <c r="C773" s="2">
        <v>117</v>
      </c>
      <c r="D773" s="2">
        <v>288</v>
      </c>
      <c r="E773" s="1" t="s">
        <v>234</v>
      </c>
      <c r="G773">
        <v>0</v>
      </c>
      <c r="H773">
        <v>0</v>
      </c>
      <c r="I773">
        <v>0</v>
      </c>
      <c r="J773">
        <v>0</v>
      </c>
      <c r="K773">
        <v>0</v>
      </c>
      <c r="L773">
        <v>0</v>
      </c>
      <c r="M773">
        <v>0</v>
      </c>
      <c r="N773">
        <v>0</v>
      </c>
      <c r="O773">
        <v>0</v>
      </c>
      <c r="P773">
        <v>0</v>
      </c>
      <c r="Q773" t="str">
        <f>INDEX('Partner data'!A:DH,MATCH(C773,'Partner data'!DG:DG,0),83)</f>
        <v xml:space="preserve">Organismo di diritto pubblico </v>
      </c>
      <c r="R773" t="b">
        <f>IF(E773="staff",IF(INDEX('Partner data'!A:DH,MATCH(C773,'Partner data'!DG:DG,0),112)="BL1 non presente","FALSO",INDEX('Partner data'!A:DH,MATCH(C773,'Partner data'!DG:DG,0),112)))</f>
        <v>0</v>
      </c>
      <c r="S773" t="b">
        <f t="shared" si="24"/>
        <v>0</v>
      </c>
      <c r="T773" t="b">
        <f t="shared" si="25"/>
        <v>1</v>
      </c>
      <c r="U773" s="154">
        <f>IFERROR(IF(R773&lt;&gt;FALSE,IF(S773=TRUE,INDEX('SummaryNOT_VALIDATED-BL'!$A$1:$F$16,MATCH(R773,'SummaryNOT_VALIDATED-BL'!$A$1:$A$16,0),6),0),IF(S773=TRUE,INDEX('SummaryNOT_VALIDATED-BL'!$A$1:$F$16,MATCH(E773,'SummaryNOT_VALIDATED-BL'!$A$1:$A$16,0),6),0)),0)</f>
        <v>0</v>
      </c>
      <c r="V773" s="81" cm="1">
        <f t="array" ref="V773">INDEX('Weight tables'!$A$24:$C$27,MATCH(1,(RendicontiTrasmessiBL__2[[#This Row],[Cut percentage on real costs + USC]]&gt;='Weight tables'!$B$24:$B$27)*(RendicontiTrasmessiBL__2[[#This Row],[Cut percentage on real costs + USC]]&lt;='Weight tables'!$C$24:$C$27),0),1)</f>
        <v>0</v>
      </c>
      <c r="W773" s="2">
        <f>RendicontiTrasmessiBL__2[[#This Row],[Weight real costs  + USC ]]</f>
        <v>0</v>
      </c>
    </row>
    <row r="774" spans="1:23" x14ac:dyDescent="0.25">
      <c r="A774" s="1" t="s">
        <v>317</v>
      </c>
      <c r="B774" s="1" t="s">
        <v>321</v>
      </c>
      <c r="C774" s="2">
        <v>117</v>
      </c>
      <c r="D774" s="2">
        <v>288</v>
      </c>
      <c r="E774" s="1" t="s">
        <v>236</v>
      </c>
      <c r="G774">
        <v>0</v>
      </c>
      <c r="H774">
        <v>0</v>
      </c>
      <c r="I774">
        <v>0</v>
      </c>
      <c r="J774">
        <v>0</v>
      </c>
      <c r="K774">
        <v>0</v>
      </c>
      <c r="L774">
        <v>0</v>
      </c>
      <c r="M774">
        <v>0</v>
      </c>
      <c r="N774">
        <v>0</v>
      </c>
      <c r="O774">
        <v>0</v>
      </c>
      <c r="P774">
        <v>0</v>
      </c>
      <c r="Q774" t="str">
        <f>INDEX('Partner data'!A:DH,MATCH(C774,'Partner data'!DG:DG,0),83)</f>
        <v xml:space="preserve">Organismo di diritto pubblico </v>
      </c>
      <c r="R774" t="b">
        <f>IF(E774="staff",IF(INDEX('Partner data'!A:DH,MATCH(C774,'Partner data'!DG:DG,0),112)="BL1 non presente","FALSO",INDEX('Partner data'!A:DH,MATCH(C774,'Partner data'!DG:DG,0),112)))</f>
        <v>0</v>
      </c>
      <c r="S774" t="b">
        <f t="shared" si="24"/>
        <v>0</v>
      </c>
      <c r="T774" t="b">
        <f t="shared" si="25"/>
        <v>1</v>
      </c>
      <c r="U774" s="154">
        <f>IFERROR(IF(R774&lt;&gt;FALSE,IF(S774=TRUE,INDEX('SummaryNOT_VALIDATED-BL'!$A$1:$F$16,MATCH(R774,'SummaryNOT_VALIDATED-BL'!$A$1:$A$16,0),6),0),IF(S774=TRUE,INDEX('SummaryNOT_VALIDATED-BL'!$A$1:$F$16,MATCH(E774,'SummaryNOT_VALIDATED-BL'!$A$1:$A$16,0),6),0)),0)</f>
        <v>0</v>
      </c>
      <c r="V774" s="81" cm="1">
        <f t="array" ref="V774">INDEX('Weight tables'!$A$24:$C$27,MATCH(1,(RendicontiTrasmessiBL__2[[#This Row],[Cut percentage on real costs + USC]]&gt;='Weight tables'!$B$24:$B$27)*(RendicontiTrasmessiBL__2[[#This Row],[Cut percentage on real costs + USC]]&lt;='Weight tables'!$C$24:$C$27),0),1)</f>
        <v>0</v>
      </c>
      <c r="W774" s="2">
        <f>RendicontiTrasmessiBL__2[[#This Row],[Weight real costs  + USC ]]</f>
        <v>0</v>
      </c>
    </row>
    <row r="775" spans="1:23" x14ac:dyDescent="0.25">
      <c r="A775" s="1" t="s">
        <v>317</v>
      </c>
      <c r="B775" s="1" t="s">
        <v>321</v>
      </c>
      <c r="C775" s="2">
        <v>117</v>
      </c>
      <c r="D775" s="2">
        <v>288</v>
      </c>
      <c r="E775" s="1" t="s">
        <v>237</v>
      </c>
      <c r="G775">
        <v>0</v>
      </c>
      <c r="H775">
        <v>0</v>
      </c>
      <c r="I775">
        <v>0</v>
      </c>
      <c r="J775">
        <v>0</v>
      </c>
      <c r="K775">
        <v>0</v>
      </c>
      <c r="L775">
        <v>0</v>
      </c>
      <c r="M775">
        <v>0</v>
      </c>
      <c r="N775">
        <v>0</v>
      </c>
      <c r="O775">
        <v>0</v>
      </c>
      <c r="P775">
        <v>0</v>
      </c>
      <c r="Q775" t="str">
        <f>INDEX('Partner data'!A:DH,MATCH(C775,'Partner data'!DG:DG,0),83)</f>
        <v xml:space="preserve">Organismo di diritto pubblico </v>
      </c>
      <c r="R775" t="b">
        <f>IF(E775="staff",IF(INDEX('Partner data'!A:DH,MATCH(C775,'Partner data'!DG:DG,0),112)="BL1 non presente","FALSO",INDEX('Partner data'!A:DH,MATCH(C775,'Partner data'!DG:DG,0),112)))</f>
        <v>0</v>
      </c>
      <c r="S775" t="b">
        <f t="shared" si="24"/>
        <v>0</v>
      </c>
      <c r="T775" t="b">
        <f t="shared" si="25"/>
        <v>1</v>
      </c>
      <c r="U775" s="154">
        <f>IFERROR(IF(R775&lt;&gt;FALSE,IF(S775=TRUE,INDEX('SummaryNOT_VALIDATED-BL'!$A$1:$F$16,MATCH(R775,'SummaryNOT_VALIDATED-BL'!$A$1:$A$16,0),6),0),IF(S775=TRUE,INDEX('SummaryNOT_VALIDATED-BL'!$A$1:$F$16,MATCH(E775,'SummaryNOT_VALIDATED-BL'!$A$1:$A$16,0),6),0)),0)</f>
        <v>0</v>
      </c>
      <c r="V775" s="81" cm="1">
        <f t="array" ref="V775">INDEX('Weight tables'!$A$24:$C$27,MATCH(1,(RendicontiTrasmessiBL__2[[#This Row],[Cut percentage on real costs + USC]]&gt;='Weight tables'!$B$24:$B$27)*(RendicontiTrasmessiBL__2[[#This Row],[Cut percentage on real costs + USC]]&lt;='Weight tables'!$C$24:$C$27),0),1)</f>
        <v>0</v>
      </c>
      <c r="W775" s="2">
        <f>RendicontiTrasmessiBL__2[[#This Row],[Weight real costs  + USC ]]</f>
        <v>0</v>
      </c>
    </row>
    <row r="776" spans="1:23" x14ac:dyDescent="0.25">
      <c r="A776" s="1" t="s">
        <v>317</v>
      </c>
      <c r="B776" s="1" t="s">
        <v>322</v>
      </c>
      <c r="C776" s="2">
        <v>285</v>
      </c>
      <c r="D776" s="2">
        <v>316</v>
      </c>
      <c r="E776" s="1" t="s">
        <v>228</v>
      </c>
      <c r="G776">
        <v>40000</v>
      </c>
      <c r="H776">
        <v>0</v>
      </c>
      <c r="I776">
        <v>0</v>
      </c>
      <c r="J776">
        <v>4010</v>
      </c>
      <c r="K776">
        <v>0</v>
      </c>
      <c r="L776">
        <v>4010</v>
      </c>
      <c r="M776">
        <v>4010</v>
      </c>
      <c r="N776">
        <v>10.029999999999999</v>
      </c>
      <c r="O776">
        <v>35990</v>
      </c>
      <c r="P776">
        <v>0</v>
      </c>
      <c r="Q776" t="str">
        <f>INDEX('Partner data'!A:DH,MATCH(C776,'Partner data'!DG:DG,0),83)</f>
        <v xml:space="preserve">Organismo di diritto pubblico </v>
      </c>
      <c r="R776" t="str">
        <f>IF(E776="staff",IF(INDEX('Partner data'!A:DH,MATCH(C776,'Partner data'!DG:DG,0),112)="BL1 non presente","FALSO",INDEX('Partner data'!A:DH,MATCH(C776,'Partner data'!DG:DG,0),112)))</f>
        <v>Costo Unitario Standard</v>
      </c>
      <c r="S776" t="b">
        <f t="shared" si="24"/>
        <v>1</v>
      </c>
      <c r="T776" t="b">
        <f t="shared" si="25"/>
        <v>1</v>
      </c>
      <c r="U776" s="154">
        <f>IFERROR(IF(R776&lt;&gt;FALSE,IF(S776=TRUE,INDEX('SummaryNOT_VALIDATED-BL'!$A$1:$F$16,MATCH(R776,'SummaryNOT_VALIDATED-BL'!$A$1:$A$16,0),6),0),IF(S776=TRUE,INDEX('SummaryNOT_VALIDATED-BL'!$A$1:$F$16,MATCH(E776,'SummaryNOT_VALIDATED-BL'!$A$1:$A$16,0),6),0)),0)</f>
        <v>3.2052879635441428E-2</v>
      </c>
      <c r="V776" s="81" cm="1">
        <f t="array" ref="V776">INDEX('Weight tables'!$A$24:$C$27,MATCH(1,(RendicontiTrasmessiBL__2[[#This Row],[Cut percentage on real costs + USC]]&gt;='Weight tables'!$B$24:$B$27)*(RendicontiTrasmessiBL__2[[#This Row],[Cut percentage on real costs + USC]]&lt;='Weight tables'!$C$24:$C$27),0),1)</f>
        <v>2</v>
      </c>
      <c r="W776" s="2">
        <f>RendicontiTrasmessiBL__2[[#This Row],[Weight real costs  + USC ]]</f>
        <v>2</v>
      </c>
    </row>
    <row r="777" spans="1:23" x14ac:dyDescent="0.25">
      <c r="A777" s="1" t="s">
        <v>317</v>
      </c>
      <c r="B777" s="1" t="s">
        <v>322</v>
      </c>
      <c r="C777" s="2">
        <v>285</v>
      </c>
      <c r="D777" s="2">
        <v>316</v>
      </c>
      <c r="E777" s="1" t="s">
        <v>229</v>
      </c>
      <c r="F777">
        <v>15</v>
      </c>
      <c r="G777">
        <v>6000</v>
      </c>
      <c r="H777">
        <v>0</v>
      </c>
      <c r="I777">
        <v>0</v>
      </c>
      <c r="J777">
        <v>601.5</v>
      </c>
      <c r="K777">
        <v>0</v>
      </c>
      <c r="L777">
        <v>601.5</v>
      </c>
      <c r="M777">
        <v>601.5</v>
      </c>
      <c r="N777">
        <v>10.029999999999999</v>
      </c>
      <c r="O777">
        <v>5398.5</v>
      </c>
      <c r="P777">
        <v>0</v>
      </c>
      <c r="Q777" t="str">
        <f>INDEX('Partner data'!A:DH,MATCH(C777,'Partner data'!DG:DG,0),83)</f>
        <v xml:space="preserve">Organismo di diritto pubblico </v>
      </c>
      <c r="R777" t="b">
        <f>IF(E777="staff",IF(INDEX('Partner data'!A:DH,MATCH(C777,'Partner data'!DG:DG,0),112)="BL1 non presente","FALSO",INDEX('Partner data'!A:DH,MATCH(C777,'Partner data'!DG:DG,0),112)))</f>
        <v>0</v>
      </c>
      <c r="S777" t="b">
        <f t="shared" si="24"/>
        <v>1</v>
      </c>
      <c r="T777" t="b">
        <f t="shared" si="25"/>
        <v>1</v>
      </c>
      <c r="U777" s="154">
        <f>IFERROR(IF(R777&lt;&gt;FALSE,IF(S777=TRUE,INDEX('SummaryNOT_VALIDATED-BL'!$A$1:$F$16,MATCH(R777,'SummaryNOT_VALIDATED-BL'!$A$1:$A$16,0),6),0),IF(S777=TRUE,INDEX('SummaryNOT_VALIDATED-BL'!$A$1:$F$16,MATCH(E777,'SummaryNOT_VALIDATED-BL'!$A$1:$A$16,0),6),0)),0)</f>
        <v>6.6460469504890221E-2</v>
      </c>
      <c r="V777" s="81" cm="1">
        <f t="array" ref="V777">INDEX('Weight tables'!$A$24:$C$27,MATCH(1,(RendicontiTrasmessiBL__2[[#This Row],[Cut percentage on real costs + USC]]&gt;='Weight tables'!$B$24:$B$27)*(RendicontiTrasmessiBL__2[[#This Row],[Cut percentage on real costs + USC]]&lt;='Weight tables'!$C$24:$C$27),0),1)</f>
        <v>4</v>
      </c>
      <c r="W777" s="2">
        <f>RendicontiTrasmessiBL__2[[#This Row],[Weight real costs  + USC ]]</f>
        <v>4</v>
      </c>
    </row>
    <row r="778" spans="1:23" x14ac:dyDescent="0.25">
      <c r="A778" s="1" t="s">
        <v>317</v>
      </c>
      <c r="B778" s="1" t="s">
        <v>322</v>
      </c>
      <c r="C778" s="2">
        <v>285</v>
      </c>
      <c r="D778" s="2">
        <v>316</v>
      </c>
      <c r="E778" s="1" t="s">
        <v>230</v>
      </c>
      <c r="F778">
        <v>4</v>
      </c>
      <c r="G778">
        <v>1600</v>
      </c>
      <c r="H778">
        <v>0</v>
      </c>
      <c r="I778">
        <v>0</v>
      </c>
      <c r="J778">
        <v>160.4</v>
      </c>
      <c r="K778">
        <v>0</v>
      </c>
      <c r="L778">
        <v>160.4</v>
      </c>
      <c r="M778">
        <v>160.4</v>
      </c>
      <c r="N778">
        <v>10.029999999999999</v>
      </c>
      <c r="O778">
        <v>1439.6</v>
      </c>
      <c r="P778">
        <v>0</v>
      </c>
      <c r="Q778" t="str">
        <f>INDEX('Partner data'!A:DH,MATCH(C778,'Partner data'!DG:DG,0),83)</f>
        <v xml:space="preserve">Organismo di diritto pubblico </v>
      </c>
      <c r="R778" t="b">
        <f>IF(E778="staff",IF(INDEX('Partner data'!A:DH,MATCH(C778,'Partner data'!DG:DG,0),112)="BL1 non presente","FALSO",INDEX('Partner data'!A:DH,MATCH(C778,'Partner data'!DG:DG,0),112)))</f>
        <v>0</v>
      </c>
      <c r="S778" t="b">
        <f t="shared" si="24"/>
        <v>1</v>
      </c>
      <c r="T778" t="b">
        <f t="shared" si="25"/>
        <v>1</v>
      </c>
      <c r="U778" s="154">
        <f>IFERROR(IF(R778&lt;&gt;FALSE,IF(S778=TRUE,INDEX('SummaryNOT_VALIDATED-BL'!$A$1:$F$16,MATCH(R778,'SummaryNOT_VALIDATED-BL'!$A$1:$A$16,0),6),0),IF(S778=TRUE,INDEX('SummaryNOT_VALIDATED-BL'!$A$1:$F$16,MATCH(E778,'SummaryNOT_VALIDATED-BL'!$A$1:$A$16,0),6),0)),0)</f>
        <v>6.3112622236488891E-2</v>
      </c>
      <c r="V778" s="81" cm="1">
        <f t="array" ref="V778">INDEX('Weight tables'!$A$24:$C$27,MATCH(1,(RendicontiTrasmessiBL__2[[#This Row],[Cut percentage on real costs + USC]]&gt;='Weight tables'!$B$24:$B$27)*(RendicontiTrasmessiBL__2[[#This Row],[Cut percentage on real costs + USC]]&lt;='Weight tables'!$C$24:$C$27),0),1)</f>
        <v>4</v>
      </c>
      <c r="W778" s="2">
        <f>RendicontiTrasmessiBL__2[[#This Row],[Weight real costs  + USC ]]</f>
        <v>4</v>
      </c>
    </row>
    <row r="779" spans="1:23" x14ac:dyDescent="0.25">
      <c r="A779" s="1" t="s">
        <v>317</v>
      </c>
      <c r="B779" s="1" t="s">
        <v>322</v>
      </c>
      <c r="C779" s="2">
        <v>285</v>
      </c>
      <c r="D779" s="2">
        <v>316</v>
      </c>
      <c r="E779" s="1" t="s">
        <v>231</v>
      </c>
      <c r="G779">
        <v>52800</v>
      </c>
      <c r="H779">
        <v>0</v>
      </c>
      <c r="I779">
        <v>0</v>
      </c>
      <c r="J779">
        <v>0</v>
      </c>
      <c r="K779">
        <v>0</v>
      </c>
      <c r="L779">
        <v>0</v>
      </c>
      <c r="M779">
        <v>0</v>
      </c>
      <c r="N779">
        <v>0</v>
      </c>
      <c r="O779">
        <v>52800</v>
      </c>
      <c r="P779">
        <v>0</v>
      </c>
      <c r="Q779" t="str">
        <f>INDEX('Partner data'!A:DH,MATCH(C779,'Partner data'!DG:DG,0),83)</f>
        <v xml:space="preserve">Organismo di diritto pubblico </v>
      </c>
      <c r="R779" t="b">
        <f>IF(E779="staff",IF(INDEX('Partner data'!A:DH,MATCH(C779,'Partner data'!DG:DG,0),112)="BL1 non presente","FALSO",INDEX('Partner data'!A:DH,MATCH(C779,'Partner data'!DG:DG,0),112)))</f>
        <v>0</v>
      </c>
      <c r="S779" t="b">
        <f t="shared" si="24"/>
        <v>0</v>
      </c>
      <c r="T779" t="b">
        <f t="shared" si="25"/>
        <v>1</v>
      </c>
      <c r="U779" s="154">
        <f>IFERROR(IF(R779&lt;&gt;FALSE,IF(S779=TRUE,INDEX('SummaryNOT_VALIDATED-BL'!$A$1:$F$16,MATCH(R779,'SummaryNOT_VALIDATED-BL'!$A$1:$A$16,0),6),0),IF(S779=TRUE,INDEX('SummaryNOT_VALIDATED-BL'!$A$1:$F$16,MATCH(E779,'SummaryNOT_VALIDATED-BL'!$A$1:$A$16,0),6),0)),0)</f>
        <v>0</v>
      </c>
      <c r="V779" s="81" cm="1">
        <f t="array" ref="V779">INDEX('Weight tables'!$A$24:$C$27,MATCH(1,(RendicontiTrasmessiBL__2[[#This Row],[Cut percentage on real costs + USC]]&gt;='Weight tables'!$B$24:$B$27)*(RendicontiTrasmessiBL__2[[#This Row],[Cut percentage on real costs + USC]]&lt;='Weight tables'!$C$24:$C$27),0),1)</f>
        <v>0</v>
      </c>
      <c r="W779" s="2">
        <f>RendicontiTrasmessiBL__2[[#This Row],[Weight real costs  + USC ]]</f>
        <v>0</v>
      </c>
    </row>
    <row r="780" spans="1:23" x14ac:dyDescent="0.25">
      <c r="A780" s="1" t="s">
        <v>317</v>
      </c>
      <c r="B780" s="1" t="s">
        <v>322</v>
      </c>
      <c r="C780" s="2">
        <v>285</v>
      </c>
      <c r="D780" s="2">
        <v>316</v>
      </c>
      <c r="E780" s="1" t="s">
        <v>232</v>
      </c>
      <c r="G780">
        <v>0</v>
      </c>
      <c r="H780">
        <v>0</v>
      </c>
      <c r="I780">
        <v>0</v>
      </c>
      <c r="J780">
        <v>0</v>
      </c>
      <c r="K780">
        <v>0</v>
      </c>
      <c r="L780">
        <v>0</v>
      </c>
      <c r="M780">
        <v>0</v>
      </c>
      <c r="N780">
        <v>0</v>
      </c>
      <c r="O780">
        <v>0</v>
      </c>
      <c r="P780">
        <v>0</v>
      </c>
      <c r="Q780" t="str">
        <f>INDEX('Partner data'!A:DH,MATCH(C780,'Partner data'!DG:DG,0),83)</f>
        <v xml:space="preserve">Organismo di diritto pubblico </v>
      </c>
      <c r="R780" t="b">
        <f>IF(E780="staff",IF(INDEX('Partner data'!A:DH,MATCH(C780,'Partner data'!DG:DG,0),112)="BL1 non presente","FALSO",INDEX('Partner data'!A:DH,MATCH(C780,'Partner data'!DG:DG,0),112)))</f>
        <v>0</v>
      </c>
      <c r="S780" t="b">
        <f t="shared" si="24"/>
        <v>0</v>
      </c>
      <c r="T780" t="b">
        <f t="shared" si="25"/>
        <v>1</v>
      </c>
      <c r="U780" s="154">
        <f>IFERROR(IF(R780&lt;&gt;FALSE,IF(S780=TRUE,INDEX('SummaryNOT_VALIDATED-BL'!$A$1:$F$16,MATCH(R780,'SummaryNOT_VALIDATED-BL'!$A$1:$A$16,0),6),0),IF(S780=TRUE,INDEX('SummaryNOT_VALIDATED-BL'!$A$1:$F$16,MATCH(E780,'SummaryNOT_VALIDATED-BL'!$A$1:$A$16,0),6),0)),0)</f>
        <v>0</v>
      </c>
      <c r="V780" s="81" cm="1">
        <f t="array" ref="V780">INDEX('Weight tables'!$A$24:$C$27,MATCH(1,(RendicontiTrasmessiBL__2[[#This Row],[Cut percentage on real costs + USC]]&gt;='Weight tables'!$B$24:$B$27)*(RendicontiTrasmessiBL__2[[#This Row],[Cut percentage on real costs + USC]]&lt;='Weight tables'!$C$24:$C$27),0),1)</f>
        <v>0</v>
      </c>
      <c r="W780" s="2">
        <f>RendicontiTrasmessiBL__2[[#This Row],[Weight real costs  + USC ]]</f>
        <v>0</v>
      </c>
    </row>
    <row r="781" spans="1:23" x14ac:dyDescent="0.25">
      <c r="A781" s="1" t="s">
        <v>317</v>
      </c>
      <c r="B781" s="1" t="s">
        <v>322</v>
      </c>
      <c r="C781" s="2">
        <v>285</v>
      </c>
      <c r="D781" s="2">
        <v>316</v>
      </c>
      <c r="E781" s="1" t="s">
        <v>233</v>
      </c>
      <c r="G781">
        <v>0</v>
      </c>
      <c r="H781">
        <v>0</v>
      </c>
      <c r="I781">
        <v>0</v>
      </c>
      <c r="J781">
        <v>0</v>
      </c>
      <c r="K781">
        <v>0</v>
      </c>
      <c r="L781">
        <v>0</v>
      </c>
      <c r="M781">
        <v>0</v>
      </c>
      <c r="N781">
        <v>0</v>
      </c>
      <c r="O781">
        <v>0</v>
      </c>
      <c r="P781">
        <v>0</v>
      </c>
      <c r="Q781" t="str">
        <f>INDEX('Partner data'!A:DH,MATCH(C781,'Partner data'!DG:DG,0),83)</f>
        <v xml:space="preserve">Organismo di diritto pubblico </v>
      </c>
      <c r="R781" t="b">
        <f>IF(E781="staff",IF(INDEX('Partner data'!A:DH,MATCH(C781,'Partner data'!DG:DG,0),112)="BL1 non presente","FALSO",INDEX('Partner data'!A:DH,MATCH(C781,'Partner data'!DG:DG,0),112)))</f>
        <v>0</v>
      </c>
      <c r="S781" t="b">
        <f t="shared" si="24"/>
        <v>0</v>
      </c>
      <c r="T781" t="b">
        <f t="shared" si="25"/>
        <v>1</v>
      </c>
      <c r="U781" s="154">
        <f>IFERROR(IF(R781&lt;&gt;FALSE,IF(S781=TRUE,INDEX('SummaryNOT_VALIDATED-BL'!$A$1:$F$16,MATCH(R781,'SummaryNOT_VALIDATED-BL'!$A$1:$A$16,0),6),0),IF(S781=TRUE,INDEX('SummaryNOT_VALIDATED-BL'!$A$1:$F$16,MATCH(E781,'SummaryNOT_VALIDATED-BL'!$A$1:$A$16,0),6),0)),0)</f>
        <v>0</v>
      </c>
      <c r="V781" s="81" cm="1">
        <f t="array" ref="V781">INDEX('Weight tables'!$A$24:$C$27,MATCH(1,(RendicontiTrasmessiBL__2[[#This Row],[Cut percentage on real costs + USC]]&gt;='Weight tables'!$B$24:$B$27)*(RendicontiTrasmessiBL__2[[#This Row],[Cut percentage on real costs + USC]]&lt;='Weight tables'!$C$24:$C$27),0),1)</f>
        <v>0</v>
      </c>
      <c r="W781" s="2">
        <f>RendicontiTrasmessiBL__2[[#This Row],[Weight real costs  + USC ]]</f>
        <v>0</v>
      </c>
    </row>
    <row r="782" spans="1:23" x14ac:dyDescent="0.25">
      <c r="A782" s="1" t="s">
        <v>317</v>
      </c>
      <c r="B782" s="1" t="s">
        <v>322</v>
      </c>
      <c r="C782" s="2">
        <v>285</v>
      </c>
      <c r="D782" s="2">
        <v>316</v>
      </c>
      <c r="E782" s="1" t="s">
        <v>234</v>
      </c>
      <c r="G782">
        <v>0</v>
      </c>
      <c r="H782">
        <v>0</v>
      </c>
      <c r="I782">
        <v>0</v>
      </c>
      <c r="J782">
        <v>0</v>
      </c>
      <c r="K782">
        <v>0</v>
      </c>
      <c r="L782">
        <v>0</v>
      </c>
      <c r="M782">
        <v>0</v>
      </c>
      <c r="N782">
        <v>0</v>
      </c>
      <c r="O782">
        <v>0</v>
      </c>
      <c r="P782">
        <v>0</v>
      </c>
      <c r="Q782" t="str">
        <f>INDEX('Partner data'!A:DH,MATCH(C782,'Partner data'!DG:DG,0),83)</f>
        <v xml:space="preserve">Organismo di diritto pubblico </v>
      </c>
      <c r="R782" t="b">
        <f>IF(E782="staff",IF(INDEX('Partner data'!A:DH,MATCH(C782,'Partner data'!DG:DG,0),112)="BL1 non presente","FALSO",INDEX('Partner data'!A:DH,MATCH(C782,'Partner data'!DG:DG,0),112)))</f>
        <v>0</v>
      </c>
      <c r="S782" t="b">
        <f t="shared" si="24"/>
        <v>0</v>
      </c>
      <c r="T782" t="b">
        <f t="shared" si="25"/>
        <v>1</v>
      </c>
      <c r="U782" s="154">
        <f>IFERROR(IF(R782&lt;&gt;FALSE,IF(S782=TRUE,INDEX('SummaryNOT_VALIDATED-BL'!$A$1:$F$16,MATCH(R782,'SummaryNOT_VALIDATED-BL'!$A$1:$A$16,0),6),0),IF(S782=TRUE,INDEX('SummaryNOT_VALIDATED-BL'!$A$1:$F$16,MATCH(E782,'SummaryNOT_VALIDATED-BL'!$A$1:$A$16,0),6),0)),0)</f>
        <v>0</v>
      </c>
      <c r="V782" s="81" cm="1">
        <f t="array" ref="V782">INDEX('Weight tables'!$A$24:$C$27,MATCH(1,(RendicontiTrasmessiBL__2[[#This Row],[Cut percentage on real costs + USC]]&gt;='Weight tables'!$B$24:$B$27)*(RendicontiTrasmessiBL__2[[#This Row],[Cut percentage on real costs + USC]]&lt;='Weight tables'!$C$24:$C$27),0),1)</f>
        <v>0</v>
      </c>
      <c r="W782" s="2">
        <f>RendicontiTrasmessiBL__2[[#This Row],[Weight real costs  + USC ]]</f>
        <v>0</v>
      </c>
    </row>
    <row r="783" spans="1:23" x14ac:dyDescent="0.25">
      <c r="A783" s="1" t="s">
        <v>317</v>
      </c>
      <c r="B783" s="1" t="s">
        <v>322</v>
      </c>
      <c r="C783" s="2">
        <v>285</v>
      </c>
      <c r="D783" s="2">
        <v>316</v>
      </c>
      <c r="E783" s="1" t="s">
        <v>236</v>
      </c>
      <c r="G783">
        <v>0</v>
      </c>
      <c r="H783">
        <v>0</v>
      </c>
      <c r="I783">
        <v>0</v>
      </c>
      <c r="J783">
        <v>0</v>
      </c>
      <c r="K783">
        <v>0</v>
      </c>
      <c r="L783">
        <v>0</v>
      </c>
      <c r="M783">
        <v>0</v>
      </c>
      <c r="N783">
        <v>0</v>
      </c>
      <c r="O783">
        <v>0</v>
      </c>
      <c r="P783">
        <v>0</v>
      </c>
      <c r="Q783" t="str">
        <f>INDEX('Partner data'!A:DH,MATCH(C783,'Partner data'!DG:DG,0),83)</f>
        <v xml:space="preserve">Organismo di diritto pubblico </v>
      </c>
      <c r="R783" t="b">
        <f>IF(E783="staff",IF(INDEX('Partner data'!A:DH,MATCH(C783,'Partner data'!DG:DG,0),112)="BL1 non presente","FALSO",INDEX('Partner data'!A:DH,MATCH(C783,'Partner data'!DG:DG,0),112)))</f>
        <v>0</v>
      </c>
      <c r="S783" t="b">
        <f t="shared" si="24"/>
        <v>0</v>
      </c>
      <c r="T783" t="b">
        <f t="shared" si="25"/>
        <v>1</v>
      </c>
      <c r="U783" s="154">
        <f>IFERROR(IF(R783&lt;&gt;FALSE,IF(S783=TRUE,INDEX('SummaryNOT_VALIDATED-BL'!$A$1:$F$16,MATCH(R783,'SummaryNOT_VALIDATED-BL'!$A$1:$A$16,0),6),0),IF(S783=TRUE,INDEX('SummaryNOT_VALIDATED-BL'!$A$1:$F$16,MATCH(E783,'SummaryNOT_VALIDATED-BL'!$A$1:$A$16,0),6),0)),0)</f>
        <v>0</v>
      </c>
      <c r="V783" s="81" cm="1">
        <f t="array" ref="V783">INDEX('Weight tables'!$A$24:$C$27,MATCH(1,(RendicontiTrasmessiBL__2[[#This Row],[Cut percentage on real costs + USC]]&gt;='Weight tables'!$B$24:$B$27)*(RendicontiTrasmessiBL__2[[#This Row],[Cut percentage on real costs + USC]]&lt;='Weight tables'!$C$24:$C$27),0),1)</f>
        <v>0</v>
      </c>
      <c r="W783" s="2">
        <f>RendicontiTrasmessiBL__2[[#This Row],[Weight real costs  + USC ]]</f>
        <v>0</v>
      </c>
    </row>
    <row r="784" spans="1:23" x14ac:dyDescent="0.25">
      <c r="A784" s="1" t="s">
        <v>317</v>
      </c>
      <c r="B784" s="1" t="s">
        <v>322</v>
      </c>
      <c r="C784" s="2">
        <v>285</v>
      </c>
      <c r="D784" s="2">
        <v>316</v>
      </c>
      <c r="E784" s="1" t="s">
        <v>237</v>
      </c>
      <c r="G784">
        <v>0</v>
      </c>
      <c r="H784">
        <v>0</v>
      </c>
      <c r="I784">
        <v>0</v>
      </c>
      <c r="J784">
        <v>0</v>
      </c>
      <c r="K784">
        <v>0</v>
      </c>
      <c r="L784">
        <v>0</v>
      </c>
      <c r="M784">
        <v>0</v>
      </c>
      <c r="N784">
        <v>0</v>
      </c>
      <c r="O784">
        <v>0</v>
      </c>
      <c r="P784">
        <v>0</v>
      </c>
      <c r="Q784" t="str">
        <f>INDEX('Partner data'!A:DH,MATCH(C784,'Partner data'!DG:DG,0),83)</f>
        <v xml:space="preserve">Organismo di diritto pubblico </v>
      </c>
      <c r="R784" t="b">
        <f>IF(E784="staff",IF(INDEX('Partner data'!A:DH,MATCH(C784,'Partner data'!DG:DG,0),112)="BL1 non presente","FALSO",INDEX('Partner data'!A:DH,MATCH(C784,'Partner data'!DG:DG,0),112)))</f>
        <v>0</v>
      </c>
      <c r="S784" t="b">
        <f t="shared" si="24"/>
        <v>0</v>
      </c>
      <c r="T784" t="b">
        <f t="shared" si="25"/>
        <v>1</v>
      </c>
      <c r="U784" s="154">
        <f>IFERROR(IF(R784&lt;&gt;FALSE,IF(S784=TRUE,INDEX('SummaryNOT_VALIDATED-BL'!$A$1:$F$16,MATCH(R784,'SummaryNOT_VALIDATED-BL'!$A$1:$A$16,0),6),0),IF(S784=TRUE,INDEX('SummaryNOT_VALIDATED-BL'!$A$1:$F$16,MATCH(E784,'SummaryNOT_VALIDATED-BL'!$A$1:$A$16,0),6),0)),0)</f>
        <v>0</v>
      </c>
      <c r="V784" s="81" cm="1">
        <f t="array" ref="V784">INDEX('Weight tables'!$A$24:$C$27,MATCH(1,(RendicontiTrasmessiBL__2[[#This Row],[Cut percentage on real costs + USC]]&gt;='Weight tables'!$B$24:$B$27)*(RendicontiTrasmessiBL__2[[#This Row],[Cut percentage on real costs + USC]]&lt;='Weight tables'!$C$24:$C$27),0),1)</f>
        <v>0</v>
      </c>
      <c r="W784" s="2">
        <f>RendicontiTrasmessiBL__2[[#This Row],[Weight real costs  + USC ]]</f>
        <v>0</v>
      </c>
    </row>
    <row r="785" spans="1:23" x14ac:dyDescent="0.25">
      <c r="A785" s="1" t="s">
        <v>317</v>
      </c>
      <c r="B785" s="1" t="s">
        <v>39</v>
      </c>
      <c r="C785" s="2">
        <v>220</v>
      </c>
      <c r="D785" s="2">
        <v>311</v>
      </c>
      <c r="E785" s="1" t="s">
        <v>228</v>
      </c>
      <c r="G785">
        <v>40041</v>
      </c>
      <c r="H785">
        <v>0</v>
      </c>
      <c r="I785">
        <v>0</v>
      </c>
      <c r="J785">
        <v>2808</v>
      </c>
      <c r="K785">
        <v>0</v>
      </c>
      <c r="L785">
        <v>0</v>
      </c>
      <c r="M785">
        <v>2808</v>
      </c>
      <c r="N785">
        <v>7.01</v>
      </c>
      <c r="O785">
        <v>37233</v>
      </c>
      <c r="P785">
        <v>0</v>
      </c>
      <c r="Q785" t="str">
        <f>INDEX('Partner data'!A:DH,MATCH(C785,'Partner data'!DG:DG,0),83)</f>
        <v xml:space="preserve">Organismo di diritto pubblico </v>
      </c>
      <c r="R785" t="str">
        <f>IF(E785="staff",IF(INDEX('Partner data'!A:DH,MATCH(C785,'Partner data'!DG:DG,0),112)="BL1 non presente","FALSO",INDEX('Partner data'!A:DH,MATCH(C785,'Partner data'!DG:DG,0),112)))</f>
        <v>COSTO REALE</v>
      </c>
      <c r="S785" t="b">
        <f t="shared" si="24"/>
        <v>1</v>
      </c>
      <c r="T785" t="b">
        <f t="shared" si="25"/>
        <v>1</v>
      </c>
      <c r="U785" s="154">
        <f>IFERROR(IF(R785&lt;&gt;FALSE,IF(S785=TRUE,INDEX('SummaryNOT_VALIDATED-BL'!$A$1:$F$16,MATCH(R785,'SummaryNOT_VALIDATED-BL'!$A$1:$A$16,0),6),0),IF(S785=TRUE,INDEX('SummaryNOT_VALIDATED-BL'!$A$1:$F$16,MATCH(E785,'SummaryNOT_VALIDATED-BL'!$A$1:$A$16,0),6),0)),0)</f>
        <v>9.1604133276901048E-2</v>
      </c>
      <c r="V785" s="81" cm="1">
        <f t="array" ref="V785">INDEX('Weight tables'!$A$24:$C$27,MATCH(1,(RendicontiTrasmessiBL__2[[#This Row],[Cut percentage on real costs + USC]]&gt;='Weight tables'!$B$24:$B$27)*(RendicontiTrasmessiBL__2[[#This Row],[Cut percentage on real costs + USC]]&lt;='Weight tables'!$C$24:$C$27),0),1)</f>
        <v>4</v>
      </c>
      <c r="W785" s="2">
        <f>RendicontiTrasmessiBL__2[[#This Row],[Weight real costs  + USC ]]</f>
        <v>4</v>
      </c>
    </row>
    <row r="786" spans="1:23" x14ac:dyDescent="0.25">
      <c r="A786" s="1" t="s">
        <v>317</v>
      </c>
      <c r="B786" s="1" t="s">
        <v>39</v>
      </c>
      <c r="C786" s="2">
        <v>220</v>
      </c>
      <c r="D786" s="2">
        <v>311</v>
      </c>
      <c r="E786" s="1" t="s">
        <v>229</v>
      </c>
      <c r="F786">
        <v>15</v>
      </c>
      <c r="G786">
        <v>6006.15</v>
      </c>
      <c r="H786">
        <v>0</v>
      </c>
      <c r="I786">
        <v>0</v>
      </c>
      <c r="J786">
        <v>421.2</v>
      </c>
      <c r="K786">
        <v>0</v>
      </c>
      <c r="L786">
        <v>0</v>
      </c>
      <c r="M786">
        <v>421.2</v>
      </c>
      <c r="N786">
        <v>7.01</v>
      </c>
      <c r="O786">
        <v>5584.95</v>
      </c>
      <c r="P786">
        <v>0</v>
      </c>
      <c r="Q786" t="str">
        <f>INDEX('Partner data'!A:DH,MATCH(C786,'Partner data'!DG:DG,0),83)</f>
        <v xml:space="preserve">Organismo di diritto pubblico </v>
      </c>
      <c r="R786" t="b">
        <f>IF(E786="staff",IF(INDEX('Partner data'!A:DH,MATCH(C786,'Partner data'!DG:DG,0),112)="BL1 non presente","FALSO",INDEX('Partner data'!A:DH,MATCH(C786,'Partner data'!DG:DG,0),112)))</f>
        <v>0</v>
      </c>
      <c r="S786" t="b">
        <f t="shared" si="24"/>
        <v>1</v>
      </c>
      <c r="T786" t="b">
        <f t="shared" si="25"/>
        <v>1</v>
      </c>
      <c r="U786" s="154">
        <f>IFERROR(IF(R786&lt;&gt;FALSE,IF(S786=TRUE,INDEX('SummaryNOT_VALIDATED-BL'!$A$1:$F$16,MATCH(R786,'SummaryNOT_VALIDATED-BL'!$A$1:$A$16,0),6),0),IF(S786=TRUE,INDEX('SummaryNOT_VALIDATED-BL'!$A$1:$F$16,MATCH(E786,'SummaryNOT_VALIDATED-BL'!$A$1:$A$16,0),6),0)),0)</f>
        <v>6.6460469504890221E-2</v>
      </c>
      <c r="V786" s="81" cm="1">
        <f t="array" ref="V786">INDEX('Weight tables'!$A$24:$C$27,MATCH(1,(RendicontiTrasmessiBL__2[[#This Row],[Cut percentage on real costs + USC]]&gt;='Weight tables'!$B$24:$B$27)*(RendicontiTrasmessiBL__2[[#This Row],[Cut percentage on real costs + USC]]&lt;='Weight tables'!$C$24:$C$27),0),1)</f>
        <v>4</v>
      </c>
      <c r="W786" s="2">
        <f>RendicontiTrasmessiBL__2[[#This Row],[Weight real costs  + USC ]]</f>
        <v>4</v>
      </c>
    </row>
    <row r="787" spans="1:23" x14ac:dyDescent="0.25">
      <c r="A787" s="1" t="s">
        <v>317</v>
      </c>
      <c r="B787" s="1" t="s">
        <v>39</v>
      </c>
      <c r="C787" s="2">
        <v>220</v>
      </c>
      <c r="D787" s="2">
        <v>311</v>
      </c>
      <c r="E787" s="1" t="s">
        <v>230</v>
      </c>
      <c r="F787">
        <v>4</v>
      </c>
      <c r="G787">
        <v>1601.64</v>
      </c>
      <c r="H787">
        <v>0</v>
      </c>
      <c r="I787">
        <v>0</v>
      </c>
      <c r="J787">
        <v>112.32</v>
      </c>
      <c r="K787">
        <v>0</v>
      </c>
      <c r="L787">
        <v>0</v>
      </c>
      <c r="M787">
        <v>112.32</v>
      </c>
      <c r="N787">
        <v>7.01</v>
      </c>
      <c r="O787">
        <v>1489.32</v>
      </c>
      <c r="P787">
        <v>0</v>
      </c>
      <c r="Q787" t="str">
        <f>INDEX('Partner data'!A:DH,MATCH(C787,'Partner data'!DG:DG,0),83)</f>
        <v xml:space="preserve">Organismo di diritto pubblico </v>
      </c>
      <c r="R787" t="b">
        <f>IF(E787="staff",IF(INDEX('Partner data'!A:DH,MATCH(C787,'Partner data'!DG:DG,0),112)="BL1 non presente","FALSO",INDEX('Partner data'!A:DH,MATCH(C787,'Partner data'!DG:DG,0),112)))</f>
        <v>0</v>
      </c>
      <c r="S787" t="b">
        <f t="shared" si="24"/>
        <v>1</v>
      </c>
      <c r="T787" t="b">
        <f t="shared" si="25"/>
        <v>1</v>
      </c>
      <c r="U787" s="154">
        <f>IFERROR(IF(R787&lt;&gt;FALSE,IF(S787=TRUE,INDEX('SummaryNOT_VALIDATED-BL'!$A$1:$F$16,MATCH(R787,'SummaryNOT_VALIDATED-BL'!$A$1:$A$16,0),6),0),IF(S787=TRUE,INDEX('SummaryNOT_VALIDATED-BL'!$A$1:$F$16,MATCH(E787,'SummaryNOT_VALIDATED-BL'!$A$1:$A$16,0),6),0)),0)</f>
        <v>6.3112622236488891E-2</v>
      </c>
      <c r="V787" s="81" cm="1">
        <f t="array" ref="V787">INDEX('Weight tables'!$A$24:$C$27,MATCH(1,(RendicontiTrasmessiBL__2[[#This Row],[Cut percentage on real costs + USC]]&gt;='Weight tables'!$B$24:$B$27)*(RendicontiTrasmessiBL__2[[#This Row],[Cut percentage on real costs + USC]]&lt;='Weight tables'!$C$24:$C$27),0),1)</f>
        <v>4</v>
      </c>
      <c r="W787" s="2">
        <f>RendicontiTrasmessiBL__2[[#This Row],[Weight real costs  + USC ]]</f>
        <v>4</v>
      </c>
    </row>
    <row r="788" spans="1:23" x14ac:dyDescent="0.25">
      <c r="A788" s="1" t="s">
        <v>317</v>
      </c>
      <c r="B788" s="1" t="s">
        <v>39</v>
      </c>
      <c r="C788" s="2">
        <v>220</v>
      </c>
      <c r="D788" s="2">
        <v>311</v>
      </c>
      <c r="E788" s="1" t="s">
        <v>231</v>
      </c>
      <c r="G788">
        <v>55000</v>
      </c>
      <c r="H788">
        <v>0</v>
      </c>
      <c r="I788">
        <v>0</v>
      </c>
      <c r="J788">
        <v>0</v>
      </c>
      <c r="K788">
        <v>0</v>
      </c>
      <c r="L788">
        <v>0</v>
      </c>
      <c r="M788">
        <v>0</v>
      </c>
      <c r="N788">
        <v>0</v>
      </c>
      <c r="O788">
        <v>55000</v>
      </c>
      <c r="P788">
        <v>0</v>
      </c>
      <c r="Q788" t="str">
        <f>INDEX('Partner data'!A:DH,MATCH(C788,'Partner data'!DG:DG,0),83)</f>
        <v xml:space="preserve">Organismo di diritto pubblico </v>
      </c>
      <c r="R788" t="b">
        <f>IF(E788="staff",IF(INDEX('Partner data'!A:DH,MATCH(C788,'Partner data'!DG:DG,0),112)="BL1 non presente","FALSO",INDEX('Partner data'!A:DH,MATCH(C788,'Partner data'!DG:DG,0),112)))</f>
        <v>0</v>
      </c>
      <c r="S788" t="b">
        <f t="shared" si="24"/>
        <v>0</v>
      </c>
      <c r="T788" t="b">
        <f t="shared" si="25"/>
        <v>1</v>
      </c>
      <c r="U788" s="154">
        <f>IFERROR(IF(R788&lt;&gt;FALSE,IF(S788=TRUE,INDEX('SummaryNOT_VALIDATED-BL'!$A$1:$F$16,MATCH(R788,'SummaryNOT_VALIDATED-BL'!$A$1:$A$16,0),6),0),IF(S788=TRUE,INDEX('SummaryNOT_VALIDATED-BL'!$A$1:$F$16,MATCH(E788,'SummaryNOT_VALIDATED-BL'!$A$1:$A$16,0),6),0)),0)</f>
        <v>0</v>
      </c>
      <c r="V788" s="81" cm="1">
        <f t="array" ref="V788">INDEX('Weight tables'!$A$24:$C$27,MATCH(1,(RendicontiTrasmessiBL__2[[#This Row],[Cut percentage on real costs + USC]]&gt;='Weight tables'!$B$24:$B$27)*(RendicontiTrasmessiBL__2[[#This Row],[Cut percentage on real costs + USC]]&lt;='Weight tables'!$C$24:$C$27),0),1)</f>
        <v>0</v>
      </c>
      <c r="W788" s="2">
        <f>RendicontiTrasmessiBL__2[[#This Row],[Weight real costs  + USC ]]</f>
        <v>0</v>
      </c>
    </row>
    <row r="789" spans="1:23" x14ac:dyDescent="0.25">
      <c r="A789" s="1" t="s">
        <v>317</v>
      </c>
      <c r="B789" s="1" t="s">
        <v>39</v>
      </c>
      <c r="C789" s="2">
        <v>220</v>
      </c>
      <c r="D789" s="2">
        <v>311</v>
      </c>
      <c r="E789" s="1" t="s">
        <v>232</v>
      </c>
      <c r="G789">
        <v>0</v>
      </c>
      <c r="H789">
        <v>0</v>
      </c>
      <c r="I789">
        <v>0</v>
      </c>
      <c r="J789">
        <v>0</v>
      </c>
      <c r="K789">
        <v>0</v>
      </c>
      <c r="L789">
        <v>0</v>
      </c>
      <c r="M789">
        <v>0</v>
      </c>
      <c r="N789">
        <v>0</v>
      </c>
      <c r="O789">
        <v>0</v>
      </c>
      <c r="P789">
        <v>0</v>
      </c>
      <c r="Q789" t="str">
        <f>INDEX('Partner data'!A:DH,MATCH(C789,'Partner data'!DG:DG,0),83)</f>
        <v xml:space="preserve">Organismo di diritto pubblico </v>
      </c>
      <c r="R789" t="b">
        <f>IF(E789="staff",IF(INDEX('Partner data'!A:DH,MATCH(C789,'Partner data'!DG:DG,0),112)="BL1 non presente","FALSO",INDEX('Partner data'!A:DH,MATCH(C789,'Partner data'!DG:DG,0),112)))</f>
        <v>0</v>
      </c>
      <c r="S789" t="b">
        <f t="shared" si="24"/>
        <v>0</v>
      </c>
      <c r="T789" t="b">
        <f t="shared" si="25"/>
        <v>1</v>
      </c>
      <c r="U789" s="154">
        <f>IFERROR(IF(R789&lt;&gt;FALSE,IF(S789=TRUE,INDEX('SummaryNOT_VALIDATED-BL'!$A$1:$F$16,MATCH(R789,'SummaryNOT_VALIDATED-BL'!$A$1:$A$16,0),6),0),IF(S789=TRUE,INDEX('SummaryNOT_VALIDATED-BL'!$A$1:$F$16,MATCH(E789,'SummaryNOT_VALIDATED-BL'!$A$1:$A$16,0),6),0)),0)</f>
        <v>0</v>
      </c>
      <c r="V789" s="81" cm="1">
        <f t="array" ref="V789">INDEX('Weight tables'!$A$24:$C$27,MATCH(1,(RendicontiTrasmessiBL__2[[#This Row],[Cut percentage on real costs + USC]]&gt;='Weight tables'!$B$24:$B$27)*(RendicontiTrasmessiBL__2[[#This Row],[Cut percentage on real costs + USC]]&lt;='Weight tables'!$C$24:$C$27),0),1)</f>
        <v>0</v>
      </c>
      <c r="W789" s="2">
        <f>RendicontiTrasmessiBL__2[[#This Row],[Weight real costs  + USC ]]</f>
        <v>0</v>
      </c>
    </row>
    <row r="790" spans="1:23" x14ac:dyDescent="0.25">
      <c r="A790" s="1" t="s">
        <v>317</v>
      </c>
      <c r="B790" s="1" t="s">
        <v>39</v>
      </c>
      <c r="C790" s="2">
        <v>220</v>
      </c>
      <c r="D790" s="2">
        <v>311</v>
      </c>
      <c r="E790" s="1" t="s">
        <v>233</v>
      </c>
      <c r="G790">
        <v>0</v>
      </c>
      <c r="H790">
        <v>0</v>
      </c>
      <c r="I790">
        <v>0</v>
      </c>
      <c r="J790">
        <v>0</v>
      </c>
      <c r="K790">
        <v>0</v>
      </c>
      <c r="L790">
        <v>0</v>
      </c>
      <c r="M790">
        <v>0</v>
      </c>
      <c r="N790">
        <v>0</v>
      </c>
      <c r="O790">
        <v>0</v>
      </c>
      <c r="P790">
        <v>0</v>
      </c>
      <c r="Q790" t="str">
        <f>INDEX('Partner data'!A:DH,MATCH(C790,'Partner data'!DG:DG,0),83)</f>
        <v xml:space="preserve">Organismo di diritto pubblico </v>
      </c>
      <c r="R790" t="b">
        <f>IF(E790="staff",IF(INDEX('Partner data'!A:DH,MATCH(C790,'Partner data'!DG:DG,0),112)="BL1 non presente","FALSO",INDEX('Partner data'!A:DH,MATCH(C790,'Partner data'!DG:DG,0),112)))</f>
        <v>0</v>
      </c>
      <c r="S790" t="b">
        <f t="shared" si="24"/>
        <v>0</v>
      </c>
      <c r="T790" t="b">
        <f t="shared" si="25"/>
        <v>1</v>
      </c>
      <c r="U790" s="154">
        <f>IFERROR(IF(R790&lt;&gt;FALSE,IF(S790=TRUE,INDEX('SummaryNOT_VALIDATED-BL'!$A$1:$F$16,MATCH(R790,'SummaryNOT_VALIDATED-BL'!$A$1:$A$16,0),6),0),IF(S790=TRUE,INDEX('SummaryNOT_VALIDATED-BL'!$A$1:$F$16,MATCH(E790,'SummaryNOT_VALIDATED-BL'!$A$1:$A$16,0),6),0)),0)</f>
        <v>0</v>
      </c>
      <c r="V790" s="81" cm="1">
        <f t="array" ref="V790">INDEX('Weight tables'!$A$24:$C$27,MATCH(1,(RendicontiTrasmessiBL__2[[#This Row],[Cut percentage on real costs + USC]]&gt;='Weight tables'!$B$24:$B$27)*(RendicontiTrasmessiBL__2[[#This Row],[Cut percentage on real costs + USC]]&lt;='Weight tables'!$C$24:$C$27),0),1)</f>
        <v>0</v>
      </c>
      <c r="W790" s="2">
        <f>RendicontiTrasmessiBL__2[[#This Row],[Weight real costs  + USC ]]</f>
        <v>0</v>
      </c>
    </row>
    <row r="791" spans="1:23" x14ac:dyDescent="0.25">
      <c r="A791" s="1" t="s">
        <v>317</v>
      </c>
      <c r="B791" s="1" t="s">
        <v>39</v>
      </c>
      <c r="C791" s="2">
        <v>220</v>
      </c>
      <c r="D791" s="2">
        <v>311</v>
      </c>
      <c r="E791" s="1" t="s">
        <v>234</v>
      </c>
      <c r="G791">
        <v>0</v>
      </c>
      <c r="H791">
        <v>0</v>
      </c>
      <c r="I791">
        <v>0</v>
      </c>
      <c r="J791">
        <v>0</v>
      </c>
      <c r="K791">
        <v>0</v>
      </c>
      <c r="L791">
        <v>0</v>
      </c>
      <c r="M791">
        <v>0</v>
      </c>
      <c r="N791">
        <v>0</v>
      </c>
      <c r="O791">
        <v>0</v>
      </c>
      <c r="P791">
        <v>0</v>
      </c>
      <c r="Q791" t="str">
        <f>INDEX('Partner data'!A:DH,MATCH(C791,'Partner data'!DG:DG,0),83)</f>
        <v xml:space="preserve">Organismo di diritto pubblico </v>
      </c>
      <c r="R791" t="b">
        <f>IF(E791="staff",IF(INDEX('Partner data'!A:DH,MATCH(C791,'Partner data'!DG:DG,0),112)="BL1 non presente","FALSO",INDEX('Partner data'!A:DH,MATCH(C791,'Partner data'!DG:DG,0),112)))</f>
        <v>0</v>
      </c>
      <c r="S791" t="b">
        <f t="shared" si="24"/>
        <v>0</v>
      </c>
      <c r="T791" t="b">
        <f t="shared" si="25"/>
        <v>1</v>
      </c>
      <c r="U791" s="154">
        <f>IFERROR(IF(R791&lt;&gt;FALSE,IF(S791=TRUE,INDEX('SummaryNOT_VALIDATED-BL'!$A$1:$F$16,MATCH(R791,'SummaryNOT_VALIDATED-BL'!$A$1:$A$16,0),6),0),IF(S791=TRUE,INDEX('SummaryNOT_VALIDATED-BL'!$A$1:$F$16,MATCH(E791,'SummaryNOT_VALIDATED-BL'!$A$1:$A$16,0),6),0)),0)</f>
        <v>0</v>
      </c>
      <c r="V791" s="81" cm="1">
        <f t="array" ref="V791">INDEX('Weight tables'!$A$24:$C$27,MATCH(1,(RendicontiTrasmessiBL__2[[#This Row],[Cut percentage on real costs + USC]]&gt;='Weight tables'!$B$24:$B$27)*(RendicontiTrasmessiBL__2[[#This Row],[Cut percentage on real costs + USC]]&lt;='Weight tables'!$C$24:$C$27),0),1)</f>
        <v>0</v>
      </c>
      <c r="W791" s="2">
        <f>RendicontiTrasmessiBL__2[[#This Row],[Weight real costs  + USC ]]</f>
        <v>0</v>
      </c>
    </row>
    <row r="792" spans="1:23" x14ac:dyDescent="0.25">
      <c r="A792" s="1" t="s">
        <v>317</v>
      </c>
      <c r="B792" s="1" t="s">
        <v>39</v>
      </c>
      <c r="C792" s="2">
        <v>220</v>
      </c>
      <c r="D792" s="2">
        <v>311</v>
      </c>
      <c r="E792" s="1" t="s">
        <v>236</v>
      </c>
      <c r="G792">
        <v>0</v>
      </c>
      <c r="H792">
        <v>0</v>
      </c>
      <c r="I792">
        <v>0</v>
      </c>
      <c r="J792">
        <v>0</v>
      </c>
      <c r="K792">
        <v>0</v>
      </c>
      <c r="L792">
        <v>0</v>
      </c>
      <c r="M792">
        <v>0</v>
      </c>
      <c r="N792">
        <v>0</v>
      </c>
      <c r="O792">
        <v>0</v>
      </c>
      <c r="P792">
        <v>0</v>
      </c>
      <c r="Q792" t="str">
        <f>INDEX('Partner data'!A:DH,MATCH(C792,'Partner data'!DG:DG,0),83)</f>
        <v xml:space="preserve">Organismo di diritto pubblico </v>
      </c>
      <c r="R792" t="b">
        <f>IF(E792="staff",IF(INDEX('Partner data'!A:DH,MATCH(C792,'Partner data'!DG:DG,0),112)="BL1 non presente","FALSO",INDEX('Partner data'!A:DH,MATCH(C792,'Partner data'!DG:DG,0),112)))</f>
        <v>0</v>
      </c>
      <c r="S792" t="b">
        <f t="shared" si="24"/>
        <v>0</v>
      </c>
      <c r="T792" t="b">
        <f t="shared" si="25"/>
        <v>1</v>
      </c>
      <c r="U792" s="154">
        <f>IFERROR(IF(R792&lt;&gt;FALSE,IF(S792=TRUE,INDEX('SummaryNOT_VALIDATED-BL'!$A$1:$F$16,MATCH(R792,'SummaryNOT_VALIDATED-BL'!$A$1:$A$16,0),6),0),IF(S792=TRUE,INDEX('SummaryNOT_VALIDATED-BL'!$A$1:$F$16,MATCH(E792,'SummaryNOT_VALIDATED-BL'!$A$1:$A$16,0),6),0)),0)</f>
        <v>0</v>
      </c>
      <c r="V792" s="81" cm="1">
        <f t="array" ref="V792">INDEX('Weight tables'!$A$24:$C$27,MATCH(1,(RendicontiTrasmessiBL__2[[#This Row],[Cut percentage on real costs + USC]]&gt;='Weight tables'!$B$24:$B$27)*(RendicontiTrasmessiBL__2[[#This Row],[Cut percentage on real costs + USC]]&lt;='Weight tables'!$C$24:$C$27),0),1)</f>
        <v>0</v>
      </c>
      <c r="W792" s="2">
        <f>RendicontiTrasmessiBL__2[[#This Row],[Weight real costs  + USC ]]</f>
        <v>0</v>
      </c>
    </row>
    <row r="793" spans="1:23" x14ac:dyDescent="0.25">
      <c r="A793" s="1" t="s">
        <v>317</v>
      </c>
      <c r="B793" s="1" t="s">
        <v>39</v>
      </c>
      <c r="C793" s="2">
        <v>220</v>
      </c>
      <c r="D793" s="2">
        <v>311</v>
      </c>
      <c r="E793" s="1" t="s">
        <v>237</v>
      </c>
      <c r="G793">
        <v>0</v>
      </c>
      <c r="H793">
        <v>0</v>
      </c>
      <c r="I793">
        <v>0</v>
      </c>
      <c r="J793">
        <v>0</v>
      </c>
      <c r="K793">
        <v>0</v>
      </c>
      <c r="L793">
        <v>0</v>
      </c>
      <c r="M793">
        <v>0</v>
      </c>
      <c r="N793">
        <v>0</v>
      </c>
      <c r="O793">
        <v>0</v>
      </c>
      <c r="P793">
        <v>0</v>
      </c>
      <c r="Q793" t="str">
        <f>INDEX('Partner data'!A:DH,MATCH(C793,'Partner data'!DG:DG,0),83)</f>
        <v xml:space="preserve">Organismo di diritto pubblico </v>
      </c>
      <c r="R793" t="b">
        <f>IF(E793="staff",IF(INDEX('Partner data'!A:DH,MATCH(C793,'Partner data'!DG:DG,0),112)="BL1 non presente","FALSO",INDEX('Partner data'!A:DH,MATCH(C793,'Partner data'!DG:DG,0),112)))</f>
        <v>0</v>
      </c>
      <c r="S793" t="b">
        <f t="shared" si="24"/>
        <v>0</v>
      </c>
      <c r="T793" t="b">
        <f t="shared" si="25"/>
        <v>1</v>
      </c>
      <c r="U793" s="154">
        <f>IFERROR(IF(R793&lt;&gt;FALSE,IF(S793=TRUE,INDEX('SummaryNOT_VALIDATED-BL'!$A$1:$F$16,MATCH(R793,'SummaryNOT_VALIDATED-BL'!$A$1:$A$16,0),6),0),IF(S793=TRUE,INDEX('SummaryNOT_VALIDATED-BL'!$A$1:$F$16,MATCH(E793,'SummaryNOT_VALIDATED-BL'!$A$1:$A$16,0),6),0)),0)</f>
        <v>0</v>
      </c>
      <c r="V793" s="81" cm="1">
        <f t="array" ref="V793">INDEX('Weight tables'!$A$24:$C$27,MATCH(1,(RendicontiTrasmessiBL__2[[#This Row],[Cut percentage on real costs + USC]]&gt;='Weight tables'!$B$24:$B$27)*(RendicontiTrasmessiBL__2[[#This Row],[Cut percentage on real costs + USC]]&lt;='Weight tables'!$C$24:$C$27),0),1)</f>
        <v>0</v>
      </c>
      <c r="W793" s="2">
        <f>RendicontiTrasmessiBL__2[[#This Row],[Weight real costs  + USC ]]</f>
        <v>0</v>
      </c>
    </row>
    <row r="794" spans="1:23" x14ac:dyDescent="0.25">
      <c r="A794" s="1" t="s">
        <v>288</v>
      </c>
      <c r="B794" s="1" t="s">
        <v>289</v>
      </c>
      <c r="C794" s="2">
        <v>64</v>
      </c>
      <c r="D794" s="2">
        <v>180</v>
      </c>
      <c r="E794" s="1" t="s">
        <v>228</v>
      </c>
      <c r="G794">
        <v>28296</v>
      </c>
      <c r="H794">
        <v>0</v>
      </c>
      <c r="I794">
        <v>0</v>
      </c>
      <c r="J794">
        <v>10017</v>
      </c>
      <c r="K794">
        <v>0</v>
      </c>
      <c r="L794">
        <v>0</v>
      </c>
      <c r="M794">
        <v>10017</v>
      </c>
      <c r="N794">
        <v>35.4</v>
      </c>
      <c r="O794">
        <v>18279</v>
      </c>
      <c r="P794">
        <v>0</v>
      </c>
      <c r="Q794" t="str">
        <f>INDEX('Partner data'!A:DH,MATCH(C794,'Partner data'!DG:DG,0),83)</f>
        <v>Soggetto privato</v>
      </c>
      <c r="R794" t="str">
        <f>IF(E794="staff",IF(INDEX('Partner data'!A:DH,MATCH(C794,'Partner data'!DG:DG,0),112)="BL1 non presente","FALSO",INDEX('Partner data'!A:DH,MATCH(C794,'Partner data'!DG:DG,0),112)))</f>
        <v>Costo Unitario Standard</v>
      </c>
      <c r="S794" t="b">
        <f t="shared" si="24"/>
        <v>1</v>
      </c>
      <c r="T794" t="b">
        <f t="shared" si="25"/>
        <v>0</v>
      </c>
      <c r="U794" s="154">
        <f>IFERROR(IF(R794&lt;&gt;FALSE,IF(S794=TRUE,INDEX('SummaryNOT_VALIDATED-BL'!$A$1:$F$16,MATCH(R794,'SummaryNOT_VALIDATED-BL'!$A$1:$A$16,0),6),0),IF(S794=TRUE,INDEX('SummaryNOT_VALIDATED-BL'!$A$1:$F$16,MATCH(E794,'SummaryNOT_VALIDATED-BL'!$A$1:$A$16,0),6),0)),0)</f>
        <v>3.2052879635441428E-2</v>
      </c>
      <c r="V794" s="81" cm="1">
        <f t="array" ref="V794">INDEX('Weight tables'!$A$24:$C$27,MATCH(1,(RendicontiTrasmessiBL__2[[#This Row],[Cut percentage on real costs + USC]]&gt;='Weight tables'!$B$24:$B$27)*(RendicontiTrasmessiBL__2[[#This Row],[Cut percentage on real costs + USC]]&lt;='Weight tables'!$C$24:$C$27),0),1)</f>
        <v>2</v>
      </c>
      <c r="W794" s="2">
        <f>RendicontiTrasmessiBL__2[[#This Row],[Weight real costs  + USC ]]</f>
        <v>2</v>
      </c>
    </row>
    <row r="795" spans="1:23" x14ac:dyDescent="0.25">
      <c r="A795" s="1" t="s">
        <v>288</v>
      </c>
      <c r="B795" s="1" t="s">
        <v>289</v>
      </c>
      <c r="C795" s="2">
        <v>64</v>
      </c>
      <c r="D795" s="2">
        <v>180</v>
      </c>
      <c r="E795" s="1" t="s">
        <v>229</v>
      </c>
      <c r="F795">
        <v>15</v>
      </c>
      <c r="G795">
        <v>4244.3999999999996</v>
      </c>
      <c r="H795">
        <v>0</v>
      </c>
      <c r="I795">
        <v>0</v>
      </c>
      <c r="J795">
        <v>1502.55</v>
      </c>
      <c r="K795">
        <v>0</v>
      </c>
      <c r="L795">
        <v>0</v>
      </c>
      <c r="M795">
        <v>1502.55</v>
      </c>
      <c r="N795">
        <v>35.4</v>
      </c>
      <c r="O795">
        <v>2741.85</v>
      </c>
      <c r="P795">
        <v>0</v>
      </c>
      <c r="Q795" t="str">
        <f>INDEX('Partner data'!A:DH,MATCH(C795,'Partner data'!DG:DG,0),83)</f>
        <v>Soggetto privato</v>
      </c>
      <c r="R795" t="b">
        <f>IF(E795="staff",IF(INDEX('Partner data'!A:DH,MATCH(C795,'Partner data'!DG:DG,0),112)="BL1 non presente","FALSO",INDEX('Partner data'!A:DH,MATCH(C795,'Partner data'!DG:DG,0),112)))</f>
        <v>0</v>
      </c>
      <c r="S795" t="b">
        <f t="shared" si="24"/>
        <v>1</v>
      </c>
      <c r="T795" t="b">
        <f t="shared" si="25"/>
        <v>0</v>
      </c>
      <c r="U795" s="154">
        <f>IFERROR(IF(R795&lt;&gt;FALSE,IF(S795=TRUE,INDEX('SummaryNOT_VALIDATED-BL'!$A$1:$F$16,MATCH(R795,'SummaryNOT_VALIDATED-BL'!$A$1:$A$16,0),6),0),IF(S795=TRUE,INDEX('SummaryNOT_VALIDATED-BL'!$A$1:$F$16,MATCH(E795,'SummaryNOT_VALIDATED-BL'!$A$1:$A$16,0),6),0)),0)</f>
        <v>6.6460469504890221E-2</v>
      </c>
      <c r="V795" s="81" cm="1">
        <f t="array" ref="V795">INDEX('Weight tables'!$A$24:$C$27,MATCH(1,(RendicontiTrasmessiBL__2[[#This Row],[Cut percentage on real costs + USC]]&gt;='Weight tables'!$B$24:$B$27)*(RendicontiTrasmessiBL__2[[#This Row],[Cut percentage on real costs + USC]]&lt;='Weight tables'!$C$24:$C$27),0),1)</f>
        <v>4</v>
      </c>
      <c r="W795" s="2">
        <f>RendicontiTrasmessiBL__2[[#This Row],[Weight real costs  + USC ]]</f>
        <v>4</v>
      </c>
    </row>
    <row r="796" spans="1:23" x14ac:dyDescent="0.25">
      <c r="A796" s="1" t="s">
        <v>288</v>
      </c>
      <c r="B796" s="1" t="s">
        <v>289</v>
      </c>
      <c r="C796" s="2">
        <v>64</v>
      </c>
      <c r="D796" s="2">
        <v>180</v>
      </c>
      <c r="E796" s="1" t="s">
        <v>230</v>
      </c>
      <c r="F796">
        <v>4</v>
      </c>
      <c r="G796">
        <v>1131.8399999999999</v>
      </c>
      <c r="H796">
        <v>0</v>
      </c>
      <c r="I796">
        <v>0</v>
      </c>
      <c r="J796">
        <v>400.68</v>
      </c>
      <c r="K796">
        <v>0</v>
      </c>
      <c r="L796">
        <v>0</v>
      </c>
      <c r="M796">
        <v>400.68</v>
      </c>
      <c r="N796">
        <v>35.4</v>
      </c>
      <c r="O796">
        <v>731.16</v>
      </c>
      <c r="P796">
        <v>0</v>
      </c>
      <c r="Q796" t="str">
        <f>INDEX('Partner data'!A:DH,MATCH(C796,'Partner data'!DG:DG,0),83)</f>
        <v>Soggetto privato</v>
      </c>
      <c r="R796" t="b">
        <f>IF(E796="staff",IF(INDEX('Partner data'!A:DH,MATCH(C796,'Partner data'!DG:DG,0),112)="BL1 non presente","FALSO",INDEX('Partner data'!A:DH,MATCH(C796,'Partner data'!DG:DG,0),112)))</f>
        <v>0</v>
      </c>
      <c r="S796" t="b">
        <f t="shared" si="24"/>
        <v>1</v>
      </c>
      <c r="T796" t="b">
        <f t="shared" si="25"/>
        <v>0</v>
      </c>
      <c r="U796" s="154">
        <f>IFERROR(IF(R796&lt;&gt;FALSE,IF(S796=TRUE,INDEX('SummaryNOT_VALIDATED-BL'!$A$1:$F$16,MATCH(R796,'SummaryNOT_VALIDATED-BL'!$A$1:$A$16,0),6),0),IF(S796=TRUE,INDEX('SummaryNOT_VALIDATED-BL'!$A$1:$F$16,MATCH(E796,'SummaryNOT_VALIDATED-BL'!$A$1:$A$16,0),6),0)),0)</f>
        <v>6.3112622236488891E-2</v>
      </c>
      <c r="V796" s="81" cm="1">
        <f t="array" ref="V796">INDEX('Weight tables'!$A$24:$C$27,MATCH(1,(RendicontiTrasmessiBL__2[[#This Row],[Cut percentage on real costs + USC]]&gt;='Weight tables'!$B$24:$B$27)*(RendicontiTrasmessiBL__2[[#This Row],[Cut percentage on real costs + USC]]&lt;='Weight tables'!$C$24:$C$27),0),1)</f>
        <v>4</v>
      </c>
      <c r="W796" s="2">
        <f>RendicontiTrasmessiBL__2[[#This Row],[Weight real costs  + USC ]]</f>
        <v>4</v>
      </c>
    </row>
    <row r="797" spans="1:23" x14ac:dyDescent="0.25">
      <c r="A797" s="1" t="s">
        <v>288</v>
      </c>
      <c r="B797" s="1" t="s">
        <v>289</v>
      </c>
      <c r="C797" s="2">
        <v>64</v>
      </c>
      <c r="D797" s="2">
        <v>180</v>
      </c>
      <c r="E797" s="1" t="s">
        <v>231</v>
      </c>
      <c r="G797">
        <v>46327</v>
      </c>
      <c r="H797">
        <v>0</v>
      </c>
      <c r="I797">
        <v>0</v>
      </c>
      <c r="J797">
        <v>1669.59</v>
      </c>
      <c r="K797">
        <v>0</v>
      </c>
      <c r="L797">
        <v>0</v>
      </c>
      <c r="M797">
        <v>1669.59</v>
      </c>
      <c r="N797">
        <v>3.6</v>
      </c>
      <c r="O797">
        <v>44657.41</v>
      </c>
      <c r="P797">
        <v>0</v>
      </c>
      <c r="Q797" t="str">
        <f>INDEX('Partner data'!A:DH,MATCH(C797,'Partner data'!DG:DG,0),83)</f>
        <v>Soggetto privato</v>
      </c>
      <c r="R797" t="b">
        <f>IF(E797="staff",IF(INDEX('Partner data'!A:DH,MATCH(C797,'Partner data'!DG:DG,0),112)="BL1 non presente","FALSO",INDEX('Partner data'!A:DH,MATCH(C797,'Partner data'!DG:DG,0),112)))</f>
        <v>0</v>
      </c>
      <c r="S797" t="b">
        <f t="shared" si="24"/>
        <v>1</v>
      </c>
      <c r="T797" t="b">
        <f t="shared" si="25"/>
        <v>0</v>
      </c>
      <c r="U797" s="154">
        <f>IFERROR(IF(R797&lt;&gt;FALSE,IF(S797=TRUE,INDEX('SummaryNOT_VALIDATED-BL'!$A$1:$F$16,MATCH(R797,'SummaryNOT_VALIDATED-BL'!$A$1:$A$16,0),6),0),IF(S797=TRUE,INDEX('SummaryNOT_VALIDATED-BL'!$A$1:$F$16,MATCH(E797,'SummaryNOT_VALIDATED-BL'!$A$1:$A$16,0),6),0)),0)</f>
        <v>5.577594442215475E-2</v>
      </c>
      <c r="V797" s="81" cm="1">
        <f t="array" ref="V797">INDEX('Weight tables'!$A$24:$C$27,MATCH(1,(RendicontiTrasmessiBL__2[[#This Row],[Cut percentage on real costs + USC]]&gt;='Weight tables'!$B$24:$B$27)*(RendicontiTrasmessiBL__2[[#This Row],[Cut percentage on real costs + USC]]&lt;='Weight tables'!$C$24:$C$27),0),1)</f>
        <v>4</v>
      </c>
      <c r="W797" s="2">
        <f>RendicontiTrasmessiBL__2[[#This Row],[Weight real costs  + USC ]]</f>
        <v>4</v>
      </c>
    </row>
    <row r="798" spans="1:23" x14ac:dyDescent="0.25">
      <c r="A798" s="1" t="s">
        <v>288</v>
      </c>
      <c r="B798" s="1" t="s">
        <v>289</v>
      </c>
      <c r="C798" s="2">
        <v>64</v>
      </c>
      <c r="D798" s="2">
        <v>180</v>
      </c>
      <c r="E798" s="1" t="s">
        <v>232</v>
      </c>
      <c r="G798">
        <v>0</v>
      </c>
      <c r="H798">
        <v>0</v>
      </c>
      <c r="I798">
        <v>0</v>
      </c>
      <c r="J798">
        <v>0</v>
      </c>
      <c r="K798">
        <v>0</v>
      </c>
      <c r="L798">
        <v>0</v>
      </c>
      <c r="M798">
        <v>0</v>
      </c>
      <c r="N798">
        <v>0</v>
      </c>
      <c r="O798">
        <v>0</v>
      </c>
      <c r="P798">
        <v>0</v>
      </c>
      <c r="Q798" t="str">
        <f>INDEX('Partner data'!A:DH,MATCH(C798,'Partner data'!DG:DG,0),83)</f>
        <v>Soggetto privato</v>
      </c>
      <c r="R798" t="b">
        <f>IF(E798="staff",IF(INDEX('Partner data'!A:DH,MATCH(C798,'Partner data'!DG:DG,0),112)="BL1 non presente","FALSO",INDEX('Partner data'!A:DH,MATCH(C798,'Partner data'!DG:DG,0),112)))</f>
        <v>0</v>
      </c>
      <c r="S798" t="b">
        <f t="shared" si="24"/>
        <v>0</v>
      </c>
      <c r="T798" t="b">
        <f t="shared" si="25"/>
        <v>0</v>
      </c>
      <c r="U798" s="154">
        <f>IFERROR(IF(R798&lt;&gt;FALSE,IF(S798=TRUE,INDEX('SummaryNOT_VALIDATED-BL'!$A$1:$F$16,MATCH(R798,'SummaryNOT_VALIDATED-BL'!$A$1:$A$16,0),6),0),IF(S798=TRUE,INDEX('SummaryNOT_VALIDATED-BL'!$A$1:$F$16,MATCH(E798,'SummaryNOT_VALIDATED-BL'!$A$1:$A$16,0),6),0)),0)</f>
        <v>0</v>
      </c>
      <c r="V798" s="81" cm="1">
        <f t="array" ref="V798">INDEX('Weight tables'!$A$24:$C$27,MATCH(1,(RendicontiTrasmessiBL__2[[#This Row],[Cut percentage on real costs + USC]]&gt;='Weight tables'!$B$24:$B$27)*(RendicontiTrasmessiBL__2[[#This Row],[Cut percentage on real costs + USC]]&lt;='Weight tables'!$C$24:$C$27),0),1)</f>
        <v>0</v>
      </c>
      <c r="W798" s="2">
        <f>RendicontiTrasmessiBL__2[[#This Row],[Weight real costs  + USC ]]</f>
        <v>0</v>
      </c>
    </row>
    <row r="799" spans="1:23" x14ac:dyDescent="0.25">
      <c r="A799" s="1" t="s">
        <v>288</v>
      </c>
      <c r="B799" s="1" t="s">
        <v>289</v>
      </c>
      <c r="C799" s="2">
        <v>64</v>
      </c>
      <c r="D799" s="2">
        <v>180</v>
      </c>
      <c r="E799" s="1" t="s">
        <v>233</v>
      </c>
      <c r="G799">
        <v>0</v>
      </c>
      <c r="H799">
        <v>0</v>
      </c>
      <c r="I799">
        <v>0</v>
      </c>
      <c r="J799">
        <v>0</v>
      </c>
      <c r="K799">
        <v>0</v>
      </c>
      <c r="L799">
        <v>0</v>
      </c>
      <c r="M799">
        <v>0</v>
      </c>
      <c r="N799">
        <v>0</v>
      </c>
      <c r="O799">
        <v>0</v>
      </c>
      <c r="P799">
        <v>0</v>
      </c>
      <c r="Q799" t="str">
        <f>INDEX('Partner data'!A:DH,MATCH(C799,'Partner data'!DG:DG,0),83)</f>
        <v>Soggetto privato</v>
      </c>
      <c r="R799" t="b">
        <f>IF(E799="staff",IF(INDEX('Partner data'!A:DH,MATCH(C799,'Partner data'!DG:DG,0),112)="BL1 non presente","FALSO",INDEX('Partner data'!A:DH,MATCH(C799,'Partner data'!DG:DG,0),112)))</f>
        <v>0</v>
      </c>
      <c r="S799" t="b">
        <f t="shared" si="24"/>
        <v>0</v>
      </c>
      <c r="T799" t="b">
        <f t="shared" si="25"/>
        <v>0</v>
      </c>
      <c r="U799" s="154">
        <f>IFERROR(IF(R799&lt;&gt;FALSE,IF(S799=TRUE,INDEX('SummaryNOT_VALIDATED-BL'!$A$1:$F$16,MATCH(R799,'SummaryNOT_VALIDATED-BL'!$A$1:$A$16,0),6),0),IF(S799=TRUE,INDEX('SummaryNOT_VALIDATED-BL'!$A$1:$F$16,MATCH(E799,'SummaryNOT_VALIDATED-BL'!$A$1:$A$16,0),6),0)),0)</f>
        <v>0</v>
      </c>
      <c r="V799" s="81" cm="1">
        <f t="array" ref="V799">INDEX('Weight tables'!$A$24:$C$27,MATCH(1,(RendicontiTrasmessiBL__2[[#This Row],[Cut percentage on real costs + USC]]&gt;='Weight tables'!$B$24:$B$27)*(RendicontiTrasmessiBL__2[[#This Row],[Cut percentage on real costs + USC]]&lt;='Weight tables'!$C$24:$C$27),0),1)</f>
        <v>0</v>
      </c>
      <c r="W799" s="2">
        <f>RendicontiTrasmessiBL__2[[#This Row],[Weight real costs  + USC ]]</f>
        <v>0</v>
      </c>
    </row>
    <row r="800" spans="1:23" x14ac:dyDescent="0.25">
      <c r="A800" s="1" t="s">
        <v>288</v>
      </c>
      <c r="B800" s="1" t="s">
        <v>289</v>
      </c>
      <c r="C800" s="2">
        <v>64</v>
      </c>
      <c r="D800" s="2">
        <v>180</v>
      </c>
      <c r="E800" s="1" t="s">
        <v>234</v>
      </c>
      <c r="G800">
        <v>0</v>
      </c>
      <c r="H800">
        <v>0</v>
      </c>
      <c r="I800">
        <v>0</v>
      </c>
      <c r="J800">
        <v>0</v>
      </c>
      <c r="K800">
        <v>0</v>
      </c>
      <c r="L800">
        <v>0</v>
      </c>
      <c r="M800">
        <v>0</v>
      </c>
      <c r="N800">
        <v>0</v>
      </c>
      <c r="O800">
        <v>0</v>
      </c>
      <c r="P800">
        <v>0</v>
      </c>
      <c r="Q800" t="str">
        <f>INDEX('Partner data'!A:DH,MATCH(C800,'Partner data'!DG:DG,0),83)</f>
        <v>Soggetto privato</v>
      </c>
      <c r="R800" t="b">
        <f>IF(E800="staff",IF(INDEX('Partner data'!A:DH,MATCH(C800,'Partner data'!DG:DG,0),112)="BL1 non presente","FALSO",INDEX('Partner data'!A:DH,MATCH(C800,'Partner data'!DG:DG,0),112)))</f>
        <v>0</v>
      </c>
      <c r="S800" t="b">
        <f t="shared" si="24"/>
        <v>0</v>
      </c>
      <c r="T800" t="b">
        <f t="shared" si="25"/>
        <v>0</v>
      </c>
      <c r="U800" s="154">
        <f>IFERROR(IF(R800&lt;&gt;FALSE,IF(S800=TRUE,INDEX('SummaryNOT_VALIDATED-BL'!$A$1:$F$16,MATCH(R800,'SummaryNOT_VALIDATED-BL'!$A$1:$A$16,0),6),0),IF(S800=TRUE,INDEX('SummaryNOT_VALIDATED-BL'!$A$1:$F$16,MATCH(E800,'SummaryNOT_VALIDATED-BL'!$A$1:$A$16,0),6),0)),0)</f>
        <v>0</v>
      </c>
      <c r="V800" s="81" cm="1">
        <f t="array" ref="V800">INDEX('Weight tables'!$A$24:$C$27,MATCH(1,(RendicontiTrasmessiBL__2[[#This Row],[Cut percentage on real costs + USC]]&gt;='Weight tables'!$B$24:$B$27)*(RendicontiTrasmessiBL__2[[#This Row],[Cut percentage on real costs + USC]]&lt;='Weight tables'!$C$24:$C$27),0),1)</f>
        <v>0</v>
      </c>
      <c r="W800" s="2">
        <f>RendicontiTrasmessiBL__2[[#This Row],[Weight real costs  + USC ]]</f>
        <v>0</v>
      </c>
    </row>
    <row r="801" spans="1:23" x14ac:dyDescent="0.25">
      <c r="A801" s="1" t="s">
        <v>288</v>
      </c>
      <c r="B801" s="1" t="s">
        <v>289</v>
      </c>
      <c r="C801" s="2">
        <v>64</v>
      </c>
      <c r="D801" s="2">
        <v>180</v>
      </c>
      <c r="E801" s="1" t="s">
        <v>236</v>
      </c>
      <c r="G801">
        <v>0</v>
      </c>
      <c r="H801">
        <v>0</v>
      </c>
      <c r="I801">
        <v>0</v>
      </c>
      <c r="J801">
        <v>0</v>
      </c>
      <c r="K801">
        <v>0</v>
      </c>
      <c r="L801">
        <v>0</v>
      </c>
      <c r="M801">
        <v>0</v>
      </c>
      <c r="N801">
        <v>0</v>
      </c>
      <c r="O801">
        <v>0</v>
      </c>
      <c r="P801">
        <v>0</v>
      </c>
      <c r="Q801" t="str">
        <f>INDEX('Partner data'!A:DH,MATCH(C801,'Partner data'!DG:DG,0),83)</f>
        <v>Soggetto privato</v>
      </c>
      <c r="R801" t="b">
        <f>IF(E801="staff",IF(INDEX('Partner data'!A:DH,MATCH(C801,'Partner data'!DG:DG,0),112)="BL1 non presente","FALSO",INDEX('Partner data'!A:DH,MATCH(C801,'Partner data'!DG:DG,0),112)))</f>
        <v>0</v>
      </c>
      <c r="S801" t="b">
        <f t="shared" si="24"/>
        <v>0</v>
      </c>
      <c r="T801" t="b">
        <f t="shared" si="25"/>
        <v>0</v>
      </c>
      <c r="U801" s="154">
        <f>IFERROR(IF(R801&lt;&gt;FALSE,IF(S801=TRUE,INDEX('SummaryNOT_VALIDATED-BL'!$A$1:$F$16,MATCH(R801,'SummaryNOT_VALIDATED-BL'!$A$1:$A$16,0),6),0),IF(S801=TRUE,INDEX('SummaryNOT_VALIDATED-BL'!$A$1:$F$16,MATCH(E801,'SummaryNOT_VALIDATED-BL'!$A$1:$A$16,0),6),0)),0)</f>
        <v>0</v>
      </c>
      <c r="V801" s="81" cm="1">
        <f t="array" ref="V801">INDEX('Weight tables'!$A$24:$C$27,MATCH(1,(RendicontiTrasmessiBL__2[[#This Row],[Cut percentage on real costs + USC]]&gt;='Weight tables'!$B$24:$B$27)*(RendicontiTrasmessiBL__2[[#This Row],[Cut percentage on real costs + USC]]&lt;='Weight tables'!$C$24:$C$27),0),1)</f>
        <v>0</v>
      </c>
      <c r="W801" s="2">
        <f>RendicontiTrasmessiBL__2[[#This Row],[Weight real costs  + USC ]]</f>
        <v>0</v>
      </c>
    </row>
    <row r="802" spans="1:23" x14ac:dyDescent="0.25">
      <c r="A802" s="1" t="s">
        <v>288</v>
      </c>
      <c r="B802" s="1" t="s">
        <v>289</v>
      </c>
      <c r="C802" s="2">
        <v>64</v>
      </c>
      <c r="D802" s="2">
        <v>180</v>
      </c>
      <c r="E802" s="1" t="s">
        <v>237</v>
      </c>
      <c r="G802">
        <v>0</v>
      </c>
      <c r="H802">
        <v>0</v>
      </c>
      <c r="I802">
        <v>0</v>
      </c>
      <c r="J802">
        <v>0</v>
      </c>
      <c r="K802">
        <v>0</v>
      </c>
      <c r="L802">
        <v>0</v>
      </c>
      <c r="M802">
        <v>0</v>
      </c>
      <c r="N802">
        <v>0</v>
      </c>
      <c r="O802">
        <v>0</v>
      </c>
      <c r="P802">
        <v>0</v>
      </c>
      <c r="Q802" t="str">
        <f>INDEX('Partner data'!A:DH,MATCH(C802,'Partner data'!DG:DG,0),83)</f>
        <v>Soggetto privato</v>
      </c>
      <c r="R802" t="b">
        <f>IF(E802="staff",IF(INDEX('Partner data'!A:DH,MATCH(C802,'Partner data'!DG:DG,0),112)="BL1 non presente","FALSO",INDEX('Partner data'!A:DH,MATCH(C802,'Partner data'!DG:DG,0),112)))</f>
        <v>0</v>
      </c>
      <c r="S802" t="b">
        <f t="shared" si="24"/>
        <v>0</v>
      </c>
      <c r="T802" t="b">
        <f t="shared" si="25"/>
        <v>0</v>
      </c>
      <c r="U802" s="154">
        <f>IFERROR(IF(R802&lt;&gt;FALSE,IF(S802=TRUE,INDEX('SummaryNOT_VALIDATED-BL'!$A$1:$F$16,MATCH(R802,'SummaryNOT_VALIDATED-BL'!$A$1:$A$16,0),6),0),IF(S802=TRUE,INDEX('SummaryNOT_VALIDATED-BL'!$A$1:$F$16,MATCH(E802,'SummaryNOT_VALIDATED-BL'!$A$1:$A$16,0),6),0)),0)</f>
        <v>0</v>
      </c>
      <c r="V802" s="81" cm="1">
        <f t="array" ref="V802">INDEX('Weight tables'!$A$24:$C$27,MATCH(1,(RendicontiTrasmessiBL__2[[#This Row],[Cut percentage on real costs + USC]]&gt;='Weight tables'!$B$24:$B$27)*(RendicontiTrasmessiBL__2[[#This Row],[Cut percentage on real costs + USC]]&lt;='Weight tables'!$C$24:$C$27),0),1)</f>
        <v>0</v>
      </c>
      <c r="W802" s="2">
        <f>RendicontiTrasmessiBL__2[[#This Row],[Weight real costs  + USC ]]</f>
        <v>0</v>
      </c>
    </row>
    <row r="803" spans="1:23" x14ac:dyDescent="0.25">
      <c r="A803" s="1" t="s">
        <v>288</v>
      </c>
      <c r="B803" s="1" t="s">
        <v>54</v>
      </c>
      <c r="C803" s="2">
        <v>63</v>
      </c>
      <c r="D803" s="2">
        <v>185</v>
      </c>
      <c r="E803" s="1" t="s">
        <v>228</v>
      </c>
      <c r="G803">
        <v>76000</v>
      </c>
      <c r="H803">
        <v>0</v>
      </c>
      <c r="I803">
        <v>0</v>
      </c>
      <c r="J803">
        <v>15206.43</v>
      </c>
      <c r="K803">
        <v>0</v>
      </c>
      <c r="L803">
        <v>15206.43</v>
      </c>
      <c r="M803">
        <v>15206.43</v>
      </c>
      <c r="N803">
        <v>20.010000000000002</v>
      </c>
      <c r="O803">
        <v>60793.57</v>
      </c>
      <c r="P803">
        <v>0</v>
      </c>
      <c r="Q803" t="str">
        <f>INDEX('Partner data'!A:DH,MATCH(C803,'Partner data'!DG:DG,0),83)</f>
        <v>Soggetto pubblico</v>
      </c>
      <c r="R803" t="str">
        <f>IF(E803="staff",IF(INDEX('Partner data'!A:DH,MATCH(C803,'Partner data'!DG:DG,0),112)="BL1 non presente","FALSO",INDEX('Partner data'!A:DH,MATCH(C803,'Partner data'!DG:DG,0),112)))</f>
        <v>COSTO REALE</v>
      </c>
      <c r="S803" t="b">
        <f t="shared" si="24"/>
        <v>1</v>
      </c>
      <c r="T803" t="b">
        <f t="shared" si="25"/>
        <v>1</v>
      </c>
      <c r="U803" s="154">
        <f>IFERROR(IF(R803&lt;&gt;FALSE,IF(S803=TRUE,INDEX('SummaryNOT_VALIDATED-BL'!$A$1:$F$16,MATCH(R803,'SummaryNOT_VALIDATED-BL'!$A$1:$A$16,0),6),0),IF(S803=TRUE,INDEX('SummaryNOT_VALIDATED-BL'!$A$1:$F$16,MATCH(E803,'SummaryNOT_VALIDATED-BL'!$A$1:$A$16,0),6),0)),0)</f>
        <v>9.1604133276901048E-2</v>
      </c>
      <c r="V803" s="81" cm="1">
        <f t="array" ref="V803">INDEX('Weight tables'!$A$24:$C$27,MATCH(1,(RendicontiTrasmessiBL__2[[#This Row],[Cut percentage on real costs + USC]]&gt;='Weight tables'!$B$24:$B$27)*(RendicontiTrasmessiBL__2[[#This Row],[Cut percentage on real costs + USC]]&lt;='Weight tables'!$C$24:$C$27),0),1)</f>
        <v>4</v>
      </c>
      <c r="W803" s="2">
        <f>RendicontiTrasmessiBL__2[[#This Row],[Weight real costs  + USC ]]</f>
        <v>4</v>
      </c>
    </row>
    <row r="804" spans="1:23" x14ac:dyDescent="0.25">
      <c r="A804" s="1" t="s">
        <v>288</v>
      </c>
      <c r="B804" s="1" t="s">
        <v>54</v>
      </c>
      <c r="C804" s="2">
        <v>63</v>
      </c>
      <c r="D804" s="2">
        <v>185</v>
      </c>
      <c r="E804" s="1" t="s">
        <v>229</v>
      </c>
      <c r="F804">
        <v>15</v>
      </c>
      <c r="G804">
        <v>11400</v>
      </c>
      <c r="H804">
        <v>0</v>
      </c>
      <c r="I804">
        <v>0</v>
      </c>
      <c r="J804">
        <v>2280.96</v>
      </c>
      <c r="K804">
        <v>0</v>
      </c>
      <c r="L804">
        <v>2280.96</v>
      </c>
      <c r="M804">
        <v>2280.96</v>
      </c>
      <c r="N804">
        <v>20.010000000000002</v>
      </c>
      <c r="O804">
        <v>9119.0400000000009</v>
      </c>
      <c r="P804">
        <v>0</v>
      </c>
      <c r="Q804" t="str">
        <f>INDEX('Partner data'!A:DH,MATCH(C804,'Partner data'!DG:DG,0),83)</f>
        <v>Soggetto pubblico</v>
      </c>
      <c r="R804" t="b">
        <f>IF(E804="staff",IF(INDEX('Partner data'!A:DH,MATCH(C804,'Partner data'!DG:DG,0),112)="BL1 non presente","FALSO",INDEX('Partner data'!A:DH,MATCH(C804,'Partner data'!DG:DG,0),112)))</f>
        <v>0</v>
      </c>
      <c r="S804" t="b">
        <f t="shared" si="24"/>
        <v>1</v>
      </c>
      <c r="T804" t="b">
        <f t="shared" si="25"/>
        <v>1</v>
      </c>
      <c r="U804" s="154">
        <f>IFERROR(IF(R804&lt;&gt;FALSE,IF(S804=TRUE,INDEX('SummaryNOT_VALIDATED-BL'!$A$1:$F$16,MATCH(R804,'SummaryNOT_VALIDATED-BL'!$A$1:$A$16,0),6),0),IF(S804=TRUE,INDEX('SummaryNOT_VALIDATED-BL'!$A$1:$F$16,MATCH(E804,'SummaryNOT_VALIDATED-BL'!$A$1:$A$16,0),6),0)),0)</f>
        <v>6.6460469504890221E-2</v>
      </c>
      <c r="V804" s="81" cm="1">
        <f t="array" ref="V804">INDEX('Weight tables'!$A$24:$C$27,MATCH(1,(RendicontiTrasmessiBL__2[[#This Row],[Cut percentage on real costs + USC]]&gt;='Weight tables'!$B$24:$B$27)*(RendicontiTrasmessiBL__2[[#This Row],[Cut percentage on real costs + USC]]&lt;='Weight tables'!$C$24:$C$27),0),1)</f>
        <v>4</v>
      </c>
      <c r="W804" s="2">
        <f>RendicontiTrasmessiBL__2[[#This Row],[Weight real costs  + USC ]]</f>
        <v>4</v>
      </c>
    </row>
    <row r="805" spans="1:23" x14ac:dyDescent="0.25">
      <c r="A805" s="1" t="s">
        <v>288</v>
      </c>
      <c r="B805" s="1" t="s">
        <v>54</v>
      </c>
      <c r="C805" s="2">
        <v>63</v>
      </c>
      <c r="D805" s="2">
        <v>185</v>
      </c>
      <c r="E805" s="1" t="s">
        <v>230</v>
      </c>
      <c r="F805">
        <v>4</v>
      </c>
      <c r="G805">
        <v>3040</v>
      </c>
      <c r="H805">
        <v>0</v>
      </c>
      <c r="I805">
        <v>0</v>
      </c>
      <c r="J805">
        <v>608.25</v>
      </c>
      <c r="K805">
        <v>0</v>
      </c>
      <c r="L805">
        <v>608.25</v>
      </c>
      <c r="M805">
        <v>608.25</v>
      </c>
      <c r="N805">
        <v>20.010000000000002</v>
      </c>
      <c r="O805">
        <v>2431.75</v>
      </c>
      <c r="P805">
        <v>0</v>
      </c>
      <c r="Q805" t="str">
        <f>INDEX('Partner data'!A:DH,MATCH(C805,'Partner data'!DG:DG,0),83)</f>
        <v>Soggetto pubblico</v>
      </c>
      <c r="R805" t="b">
        <f>IF(E805="staff",IF(INDEX('Partner data'!A:DH,MATCH(C805,'Partner data'!DG:DG,0),112)="BL1 non presente","FALSO",INDEX('Partner data'!A:DH,MATCH(C805,'Partner data'!DG:DG,0),112)))</f>
        <v>0</v>
      </c>
      <c r="S805" t="b">
        <f t="shared" si="24"/>
        <v>1</v>
      </c>
      <c r="T805" t="b">
        <f t="shared" si="25"/>
        <v>1</v>
      </c>
      <c r="U805" s="154">
        <f>IFERROR(IF(R805&lt;&gt;FALSE,IF(S805=TRUE,INDEX('SummaryNOT_VALIDATED-BL'!$A$1:$F$16,MATCH(R805,'SummaryNOT_VALIDATED-BL'!$A$1:$A$16,0),6),0),IF(S805=TRUE,INDEX('SummaryNOT_VALIDATED-BL'!$A$1:$F$16,MATCH(E805,'SummaryNOT_VALIDATED-BL'!$A$1:$A$16,0),6),0)),0)</f>
        <v>6.3112622236488891E-2</v>
      </c>
      <c r="V805" s="81" cm="1">
        <f t="array" ref="V805">INDEX('Weight tables'!$A$24:$C$27,MATCH(1,(RendicontiTrasmessiBL__2[[#This Row],[Cut percentage on real costs + USC]]&gt;='Weight tables'!$B$24:$B$27)*(RendicontiTrasmessiBL__2[[#This Row],[Cut percentage on real costs + USC]]&lt;='Weight tables'!$C$24:$C$27),0),1)</f>
        <v>4</v>
      </c>
      <c r="W805" s="2">
        <f>RendicontiTrasmessiBL__2[[#This Row],[Weight real costs  + USC ]]</f>
        <v>4</v>
      </c>
    </row>
    <row r="806" spans="1:23" x14ac:dyDescent="0.25">
      <c r="A806" s="1" t="s">
        <v>288</v>
      </c>
      <c r="B806" s="1" t="s">
        <v>54</v>
      </c>
      <c r="C806" s="2">
        <v>63</v>
      </c>
      <c r="D806" s="2">
        <v>185</v>
      </c>
      <c r="E806" s="1" t="s">
        <v>231</v>
      </c>
      <c r="G806">
        <v>0</v>
      </c>
      <c r="H806">
        <v>0</v>
      </c>
      <c r="I806">
        <v>0</v>
      </c>
      <c r="J806">
        <v>0</v>
      </c>
      <c r="K806">
        <v>0</v>
      </c>
      <c r="L806">
        <v>0</v>
      </c>
      <c r="M806">
        <v>0</v>
      </c>
      <c r="N806">
        <v>0</v>
      </c>
      <c r="O806">
        <v>0</v>
      </c>
      <c r="P806">
        <v>0</v>
      </c>
      <c r="Q806" t="str">
        <f>INDEX('Partner data'!A:DH,MATCH(C806,'Partner data'!DG:DG,0),83)</f>
        <v>Soggetto pubblico</v>
      </c>
      <c r="R806" t="b">
        <f>IF(E806="staff",IF(INDEX('Partner data'!A:DH,MATCH(C806,'Partner data'!DG:DG,0),112)="BL1 non presente","FALSO",INDEX('Partner data'!A:DH,MATCH(C806,'Partner data'!DG:DG,0),112)))</f>
        <v>0</v>
      </c>
      <c r="S806" t="b">
        <f t="shared" si="24"/>
        <v>0</v>
      </c>
      <c r="T806" t="b">
        <f t="shared" si="25"/>
        <v>1</v>
      </c>
      <c r="U806" s="154">
        <f>IFERROR(IF(R806&lt;&gt;FALSE,IF(S806=TRUE,INDEX('SummaryNOT_VALIDATED-BL'!$A$1:$F$16,MATCH(R806,'SummaryNOT_VALIDATED-BL'!$A$1:$A$16,0),6),0),IF(S806=TRUE,INDEX('SummaryNOT_VALIDATED-BL'!$A$1:$F$16,MATCH(E806,'SummaryNOT_VALIDATED-BL'!$A$1:$A$16,0),6),0)),0)</f>
        <v>0</v>
      </c>
      <c r="V806" s="81" cm="1">
        <f t="array" ref="V806">INDEX('Weight tables'!$A$24:$C$27,MATCH(1,(RendicontiTrasmessiBL__2[[#This Row],[Cut percentage on real costs + USC]]&gt;='Weight tables'!$B$24:$B$27)*(RendicontiTrasmessiBL__2[[#This Row],[Cut percentage on real costs + USC]]&lt;='Weight tables'!$C$24:$C$27),0),1)</f>
        <v>0</v>
      </c>
      <c r="W806" s="2">
        <f>RendicontiTrasmessiBL__2[[#This Row],[Weight real costs  + USC ]]</f>
        <v>0</v>
      </c>
    </row>
    <row r="807" spans="1:23" x14ac:dyDescent="0.25">
      <c r="A807" s="1" t="s">
        <v>288</v>
      </c>
      <c r="B807" s="1" t="s">
        <v>54</v>
      </c>
      <c r="C807" s="2">
        <v>63</v>
      </c>
      <c r="D807" s="2">
        <v>185</v>
      </c>
      <c r="E807" s="1" t="s">
        <v>232</v>
      </c>
      <c r="G807">
        <v>0</v>
      </c>
      <c r="H807">
        <v>0</v>
      </c>
      <c r="I807">
        <v>0</v>
      </c>
      <c r="J807">
        <v>0</v>
      </c>
      <c r="K807">
        <v>0</v>
      </c>
      <c r="L807">
        <v>0</v>
      </c>
      <c r="M807">
        <v>0</v>
      </c>
      <c r="N807">
        <v>0</v>
      </c>
      <c r="O807">
        <v>0</v>
      </c>
      <c r="P807">
        <v>0</v>
      </c>
      <c r="Q807" t="str">
        <f>INDEX('Partner data'!A:DH,MATCH(C807,'Partner data'!DG:DG,0),83)</f>
        <v>Soggetto pubblico</v>
      </c>
      <c r="R807" t="b">
        <f>IF(E807="staff",IF(INDEX('Partner data'!A:DH,MATCH(C807,'Partner data'!DG:DG,0),112)="BL1 non presente","FALSO",INDEX('Partner data'!A:DH,MATCH(C807,'Partner data'!DG:DG,0),112)))</f>
        <v>0</v>
      </c>
      <c r="S807" t="b">
        <f t="shared" si="24"/>
        <v>0</v>
      </c>
      <c r="T807" t="b">
        <f t="shared" si="25"/>
        <v>1</v>
      </c>
      <c r="U807" s="154">
        <f>IFERROR(IF(R807&lt;&gt;FALSE,IF(S807=TRUE,INDEX('SummaryNOT_VALIDATED-BL'!$A$1:$F$16,MATCH(R807,'SummaryNOT_VALIDATED-BL'!$A$1:$A$16,0),6),0),IF(S807=TRUE,INDEX('SummaryNOT_VALIDATED-BL'!$A$1:$F$16,MATCH(E807,'SummaryNOT_VALIDATED-BL'!$A$1:$A$16,0),6),0)),0)</f>
        <v>0</v>
      </c>
      <c r="V807" s="81" cm="1">
        <f t="array" ref="V807">INDEX('Weight tables'!$A$24:$C$27,MATCH(1,(RendicontiTrasmessiBL__2[[#This Row],[Cut percentage on real costs + USC]]&gt;='Weight tables'!$B$24:$B$27)*(RendicontiTrasmessiBL__2[[#This Row],[Cut percentage on real costs + USC]]&lt;='Weight tables'!$C$24:$C$27),0),1)</f>
        <v>0</v>
      </c>
      <c r="W807" s="2">
        <f>RendicontiTrasmessiBL__2[[#This Row],[Weight real costs  + USC ]]</f>
        <v>0</v>
      </c>
    </row>
    <row r="808" spans="1:23" x14ac:dyDescent="0.25">
      <c r="A808" s="1" t="s">
        <v>288</v>
      </c>
      <c r="B808" s="1" t="s">
        <v>54</v>
      </c>
      <c r="C808" s="2">
        <v>63</v>
      </c>
      <c r="D808" s="2">
        <v>185</v>
      </c>
      <c r="E808" s="1" t="s">
        <v>233</v>
      </c>
      <c r="G808">
        <v>0</v>
      </c>
      <c r="H808">
        <v>0</v>
      </c>
      <c r="I808">
        <v>0</v>
      </c>
      <c r="J808">
        <v>0</v>
      </c>
      <c r="K808">
        <v>0</v>
      </c>
      <c r="L808">
        <v>0</v>
      </c>
      <c r="M808">
        <v>0</v>
      </c>
      <c r="N808">
        <v>0</v>
      </c>
      <c r="O808">
        <v>0</v>
      </c>
      <c r="P808">
        <v>0</v>
      </c>
      <c r="Q808" t="str">
        <f>INDEX('Partner data'!A:DH,MATCH(C808,'Partner data'!DG:DG,0),83)</f>
        <v>Soggetto pubblico</v>
      </c>
      <c r="R808" t="b">
        <f>IF(E808="staff",IF(INDEX('Partner data'!A:DH,MATCH(C808,'Partner data'!DG:DG,0),112)="BL1 non presente","FALSO",INDEX('Partner data'!A:DH,MATCH(C808,'Partner data'!DG:DG,0),112)))</f>
        <v>0</v>
      </c>
      <c r="S808" t="b">
        <f t="shared" si="24"/>
        <v>0</v>
      </c>
      <c r="T808" t="b">
        <f t="shared" si="25"/>
        <v>1</v>
      </c>
      <c r="U808" s="154">
        <f>IFERROR(IF(R808&lt;&gt;FALSE,IF(S808=TRUE,INDEX('SummaryNOT_VALIDATED-BL'!$A$1:$F$16,MATCH(R808,'SummaryNOT_VALIDATED-BL'!$A$1:$A$16,0),6),0),IF(S808=TRUE,INDEX('SummaryNOT_VALIDATED-BL'!$A$1:$F$16,MATCH(E808,'SummaryNOT_VALIDATED-BL'!$A$1:$A$16,0),6),0)),0)</f>
        <v>0</v>
      </c>
      <c r="V808" s="81" cm="1">
        <f t="array" ref="V808">INDEX('Weight tables'!$A$24:$C$27,MATCH(1,(RendicontiTrasmessiBL__2[[#This Row],[Cut percentage on real costs + USC]]&gt;='Weight tables'!$B$24:$B$27)*(RendicontiTrasmessiBL__2[[#This Row],[Cut percentage on real costs + USC]]&lt;='Weight tables'!$C$24:$C$27),0),1)</f>
        <v>0</v>
      </c>
      <c r="W808" s="2">
        <f>RendicontiTrasmessiBL__2[[#This Row],[Weight real costs  + USC ]]</f>
        <v>0</v>
      </c>
    </row>
    <row r="809" spans="1:23" x14ac:dyDescent="0.25">
      <c r="A809" s="1" t="s">
        <v>288</v>
      </c>
      <c r="B809" s="1" t="s">
        <v>54</v>
      </c>
      <c r="C809" s="2">
        <v>63</v>
      </c>
      <c r="D809" s="2">
        <v>185</v>
      </c>
      <c r="E809" s="1" t="s">
        <v>234</v>
      </c>
      <c r="G809">
        <v>0</v>
      </c>
      <c r="H809">
        <v>0</v>
      </c>
      <c r="I809">
        <v>0</v>
      </c>
      <c r="J809">
        <v>0</v>
      </c>
      <c r="K809">
        <v>0</v>
      </c>
      <c r="L809">
        <v>0</v>
      </c>
      <c r="M809">
        <v>0</v>
      </c>
      <c r="N809">
        <v>0</v>
      </c>
      <c r="O809">
        <v>0</v>
      </c>
      <c r="P809">
        <v>0</v>
      </c>
      <c r="Q809" t="str">
        <f>INDEX('Partner data'!A:DH,MATCH(C809,'Partner data'!DG:DG,0),83)</f>
        <v>Soggetto pubblico</v>
      </c>
      <c r="R809" t="b">
        <f>IF(E809="staff",IF(INDEX('Partner data'!A:DH,MATCH(C809,'Partner data'!DG:DG,0),112)="BL1 non presente","FALSO",INDEX('Partner data'!A:DH,MATCH(C809,'Partner data'!DG:DG,0),112)))</f>
        <v>0</v>
      </c>
      <c r="S809" t="b">
        <f t="shared" si="24"/>
        <v>0</v>
      </c>
      <c r="T809" t="b">
        <f t="shared" si="25"/>
        <v>1</v>
      </c>
      <c r="U809" s="154">
        <f>IFERROR(IF(R809&lt;&gt;FALSE,IF(S809=TRUE,INDEX('SummaryNOT_VALIDATED-BL'!$A$1:$F$16,MATCH(R809,'SummaryNOT_VALIDATED-BL'!$A$1:$A$16,0),6),0),IF(S809=TRUE,INDEX('SummaryNOT_VALIDATED-BL'!$A$1:$F$16,MATCH(E809,'SummaryNOT_VALIDATED-BL'!$A$1:$A$16,0),6),0)),0)</f>
        <v>0</v>
      </c>
      <c r="V809" s="81" cm="1">
        <f t="array" ref="V809">INDEX('Weight tables'!$A$24:$C$27,MATCH(1,(RendicontiTrasmessiBL__2[[#This Row],[Cut percentage on real costs + USC]]&gt;='Weight tables'!$B$24:$B$27)*(RendicontiTrasmessiBL__2[[#This Row],[Cut percentage on real costs + USC]]&lt;='Weight tables'!$C$24:$C$27),0),1)</f>
        <v>0</v>
      </c>
      <c r="W809" s="2">
        <f>RendicontiTrasmessiBL__2[[#This Row],[Weight real costs  + USC ]]</f>
        <v>0</v>
      </c>
    </row>
    <row r="810" spans="1:23" x14ac:dyDescent="0.25">
      <c r="A810" s="1" t="s">
        <v>288</v>
      </c>
      <c r="B810" s="1" t="s">
        <v>54</v>
      </c>
      <c r="C810" s="2">
        <v>63</v>
      </c>
      <c r="D810" s="2">
        <v>185</v>
      </c>
      <c r="E810" s="1" t="s">
        <v>236</v>
      </c>
      <c r="G810">
        <v>0</v>
      </c>
      <c r="H810">
        <v>0</v>
      </c>
      <c r="I810">
        <v>0</v>
      </c>
      <c r="J810">
        <v>0</v>
      </c>
      <c r="K810">
        <v>0</v>
      </c>
      <c r="L810">
        <v>0</v>
      </c>
      <c r="M810">
        <v>0</v>
      </c>
      <c r="N810">
        <v>0</v>
      </c>
      <c r="O810">
        <v>0</v>
      </c>
      <c r="P810">
        <v>0</v>
      </c>
      <c r="Q810" t="str">
        <f>INDEX('Partner data'!A:DH,MATCH(C810,'Partner data'!DG:DG,0),83)</f>
        <v>Soggetto pubblico</v>
      </c>
      <c r="R810" t="b">
        <f>IF(E810="staff",IF(INDEX('Partner data'!A:DH,MATCH(C810,'Partner data'!DG:DG,0),112)="BL1 non presente","FALSO",INDEX('Partner data'!A:DH,MATCH(C810,'Partner data'!DG:DG,0),112)))</f>
        <v>0</v>
      </c>
      <c r="S810" t="b">
        <f t="shared" si="24"/>
        <v>0</v>
      </c>
      <c r="T810" t="b">
        <f t="shared" si="25"/>
        <v>1</v>
      </c>
      <c r="U810" s="154">
        <f>IFERROR(IF(R810&lt;&gt;FALSE,IF(S810=TRUE,INDEX('SummaryNOT_VALIDATED-BL'!$A$1:$F$16,MATCH(R810,'SummaryNOT_VALIDATED-BL'!$A$1:$A$16,0),6),0),IF(S810=TRUE,INDEX('SummaryNOT_VALIDATED-BL'!$A$1:$F$16,MATCH(E810,'SummaryNOT_VALIDATED-BL'!$A$1:$A$16,0),6),0)),0)</f>
        <v>0</v>
      </c>
      <c r="V810" s="81" cm="1">
        <f t="array" ref="V810">INDEX('Weight tables'!$A$24:$C$27,MATCH(1,(RendicontiTrasmessiBL__2[[#This Row],[Cut percentage on real costs + USC]]&gt;='Weight tables'!$B$24:$B$27)*(RendicontiTrasmessiBL__2[[#This Row],[Cut percentage on real costs + USC]]&lt;='Weight tables'!$C$24:$C$27),0),1)</f>
        <v>0</v>
      </c>
      <c r="W810" s="2">
        <f>RendicontiTrasmessiBL__2[[#This Row],[Weight real costs  + USC ]]</f>
        <v>0</v>
      </c>
    </row>
    <row r="811" spans="1:23" x14ac:dyDescent="0.25">
      <c r="A811" s="1" t="s">
        <v>288</v>
      </c>
      <c r="B811" s="1" t="s">
        <v>54</v>
      </c>
      <c r="C811" s="2">
        <v>63</v>
      </c>
      <c r="D811" s="2">
        <v>185</v>
      </c>
      <c r="E811" s="1" t="s">
        <v>237</v>
      </c>
      <c r="G811">
        <v>0</v>
      </c>
      <c r="H811">
        <v>0</v>
      </c>
      <c r="I811">
        <v>0</v>
      </c>
      <c r="J811">
        <v>0</v>
      </c>
      <c r="K811">
        <v>0</v>
      </c>
      <c r="L811">
        <v>0</v>
      </c>
      <c r="M811">
        <v>0</v>
      </c>
      <c r="N811">
        <v>0</v>
      </c>
      <c r="O811">
        <v>0</v>
      </c>
      <c r="P811">
        <v>0</v>
      </c>
      <c r="Q811" t="str">
        <f>INDEX('Partner data'!A:DH,MATCH(C811,'Partner data'!DG:DG,0),83)</f>
        <v>Soggetto pubblico</v>
      </c>
      <c r="R811" t="b">
        <f>IF(E811="staff",IF(INDEX('Partner data'!A:DH,MATCH(C811,'Partner data'!DG:DG,0),112)="BL1 non presente","FALSO",INDEX('Partner data'!A:DH,MATCH(C811,'Partner data'!DG:DG,0),112)))</f>
        <v>0</v>
      </c>
      <c r="S811" t="b">
        <f t="shared" si="24"/>
        <v>0</v>
      </c>
      <c r="T811" t="b">
        <f t="shared" si="25"/>
        <v>1</v>
      </c>
      <c r="U811" s="154">
        <f>IFERROR(IF(R811&lt;&gt;FALSE,IF(S811=TRUE,INDEX('SummaryNOT_VALIDATED-BL'!$A$1:$F$16,MATCH(R811,'SummaryNOT_VALIDATED-BL'!$A$1:$A$16,0),6),0),IF(S811=TRUE,INDEX('SummaryNOT_VALIDATED-BL'!$A$1:$F$16,MATCH(E811,'SummaryNOT_VALIDATED-BL'!$A$1:$A$16,0),6),0)),0)</f>
        <v>0</v>
      </c>
      <c r="V811" s="81" cm="1">
        <f t="array" ref="V811">INDEX('Weight tables'!$A$24:$C$27,MATCH(1,(RendicontiTrasmessiBL__2[[#This Row],[Cut percentage on real costs + USC]]&gt;='Weight tables'!$B$24:$B$27)*(RendicontiTrasmessiBL__2[[#This Row],[Cut percentage on real costs + USC]]&lt;='Weight tables'!$C$24:$C$27),0),1)</f>
        <v>0</v>
      </c>
      <c r="W811" s="2">
        <f>RendicontiTrasmessiBL__2[[#This Row],[Weight real costs  + USC ]]</f>
        <v>0</v>
      </c>
    </row>
    <row r="812" spans="1:23" x14ac:dyDescent="0.25">
      <c r="A812" s="1" t="s">
        <v>288</v>
      </c>
      <c r="B812" s="1" t="s">
        <v>290</v>
      </c>
      <c r="C812" s="2">
        <v>62</v>
      </c>
      <c r="D812" s="2">
        <v>184</v>
      </c>
      <c r="E812" s="1" t="s">
        <v>228</v>
      </c>
      <c r="G812">
        <v>71008.41</v>
      </c>
      <c r="H812">
        <v>0</v>
      </c>
      <c r="I812">
        <v>0</v>
      </c>
      <c r="J812">
        <v>3711.06</v>
      </c>
      <c r="K812">
        <v>0</v>
      </c>
      <c r="L812">
        <v>3631.66</v>
      </c>
      <c r="M812">
        <v>3711.06</v>
      </c>
      <c r="N812">
        <v>5.23</v>
      </c>
      <c r="O812">
        <v>67297.350000000006</v>
      </c>
      <c r="P812">
        <v>0</v>
      </c>
      <c r="Q812" t="str">
        <f>INDEX('Partner data'!A:DH,MATCH(C812,'Partner data'!DG:DG,0),83)</f>
        <v>Soggetto pubblico</v>
      </c>
      <c r="R812" t="str">
        <f>IF(E812="staff",IF(INDEX('Partner data'!A:DH,MATCH(C812,'Partner data'!DG:DG,0),112)="BL1 non presente","FALSO",INDEX('Partner data'!A:DH,MATCH(C812,'Partner data'!DG:DG,0),112)))</f>
        <v>COSTO REALE</v>
      </c>
      <c r="S812" t="b">
        <f t="shared" si="24"/>
        <v>1</v>
      </c>
      <c r="T812" t="b">
        <f t="shared" si="25"/>
        <v>1</v>
      </c>
      <c r="U812" s="154">
        <f>IFERROR(IF(R812&lt;&gt;FALSE,IF(S812=TRUE,INDEX('SummaryNOT_VALIDATED-BL'!$A$1:$F$16,MATCH(R812,'SummaryNOT_VALIDATED-BL'!$A$1:$A$16,0),6),0),IF(S812=TRUE,INDEX('SummaryNOT_VALIDATED-BL'!$A$1:$F$16,MATCH(E812,'SummaryNOT_VALIDATED-BL'!$A$1:$A$16,0),6),0)),0)</f>
        <v>9.1604133276901048E-2</v>
      </c>
      <c r="V812" s="81" cm="1">
        <f t="array" ref="V812">INDEX('Weight tables'!$A$24:$C$27,MATCH(1,(RendicontiTrasmessiBL__2[[#This Row],[Cut percentage on real costs + USC]]&gt;='Weight tables'!$B$24:$B$27)*(RendicontiTrasmessiBL__2[[#This Row],[Cut percentage on real costs + USC]]&lt;='Weight tables'!$C$24:$C$27),0),1)</f>
        <v>4</v>
      </c>
      <c r="W812" s="2">
        <f>RendicontiTrasmessiBL__2[[#This Row],[Weight real costs  + USC ]]</f>
        <v>4</v>
      </c>
    </row>
    <row r="813" spans="1:23" x14ac:dyDescent="0.25">
      <c r="A813" s="1" t="s">
        <v>288</v>
      </c>
      <c r="B813" s="1" t="s">
        <v>290</v>
      </c>
      <c r="C813" s="2">
        <v>62</v>
      </c>
      <c r="D813" s="2">
        <v>184</v>
      </c>
      <c r="E813" s="1" t="s">
        <v>229</v>
      </c>
      <c r="F813">
        <v>15</v>
      </c>
      <c r="G813">
        <v>10651.26</v>
      </c>
      <c r="H813">
        <v>0</v>
      </c>
      <c r="I813">
        <v>0</v>
      </c>
      <c r="J813">
        <v>556.65</v>
      </c>
      <c r="K813">
        <v>0</v>
      </c>
      <c r="L813">
        <v>544.74</v>
      </c>
      <c r="M813">
        <v>556.65</v>
      </c>
      <c r="N813">
        <v>5.23</v>
      </c>
      <c r="O813">
        <v>10094.61</v>
      </c>
      <c r="P813">
        <v>0</v>
      </c>
      <c r="Q813" t="str">
        <f>INDEX('Partner data'!A:DH,MATCH(C813,'Partner data'!DG:DG,0),83)</f>
        <v>Soggetto pubblico</v>
      </c>
      <c r="R813" t="b">
        <f>IF(E813="staff",IF(INDEX('Partner data'!A:DH,MATCH(C813,'Partner data'!DG:DG,0),112)="BL1 non presente","FALSO",INDEX('Partner data'!A:DH,MATCH(C813,'Partner data'!DG:DG,0),112)))</f>
        <v>0</v>
      </c>
      <c r="S813" t="b">
        <f t="shared" si="24"/>
        <v>1</v>
      </c>
      <c r="T813" t="b">
        <f t="shared" si="25"/>
        <v>1</v>
      </c>
      <c r="U813" s="154">
        <f>IFERROR(IF(R813&lt;&gt;FALSE,IF(S813=TRUE,INDEX('SummaryNOT_VALIDATED-BL'!$A$1:$F$16,MATCH(R813,'SummaryNOT_VALIDATED-BL'!$A$1:$A$16,0),6),0),IF(S813=TRUE,INDEX('SummaryNOT_VALIDATED-BL'!$A$1:$F$16,MATCH(E813,'SummaryNOT_VALIDATED-BL'!$A$1:$A$16,0),6),0)),0)</f>
        <v>6.6460469504890221E-2</v>
      </c>
      <c r="V813" s="81" cm="1">
        <f t="array" ref="V813">INDEX('Weight tables'!$A$24:$C$27,MATCH(1,(RendicontiTrasmessiBL__2[[#This Row],[Cut percentage on real costs + USC]]&gt;='Weight tables'!$B$24:$B$27)*(RendicontiTrasmessiBL__2[[#This Row],[Cut percentage on real costs + USC]]&lt;='Weight tables'!$C$24:$C$27),0),1)</f>
        <v>4</v>
      </c>
      <c r="W813" s="2">
        <f>RendicontiTrasmessiBL__2[[#This Row],[Weight real costs  + USC ]]</f>
        <v>4</v>
      </c>
    </row>
    <row r="814" spans="1:23" x14ac:dyDescent="0.25">
      <c r="A814" s="1" t="s">
        <v>288</v>
      </c>
      <c r="B814" s="1" t="s">
        <v>290</v>
      </c>
      <c r="C814" s="2">
        <v>62</v>
      </c>
      <c r="D814" s="2">
        <v>184</v>
      </c>
      <c r="E814" s="1" t="s">
        <v>230</v>
      </c>
      <c r="F814">
        <v>4</v>
      </c>
      <c r="G814">
        <v>2840.33</v>
      </c>
      <c r="H814">
        <v>0</v>
      </c>
      <c r="I814">
        <v>0</v>
      </c>
      <c r="J814">
        <v>148.44</v>
      </c>
      <c r="K814">
        <v>0</v>
      </c>
      <c r="L814">
        <v>145.26</v>
      </c>
      <c r="M814">
        <v>148.44</v>
      </c>
      <c r="N814">
        <v>5.23</v>
      </c>
      <c r="O814">
        <v>2691.89</v>
      </c>
      <c r="P814">
        <v>0</v>
      </c>
      <c r="Q814" t="str">
        <f>INDEX('Partner data'!A:DH,MATCH(C814,'Partner data'!DG:DG,0),83)</f>
        <v>Soggetto pubblico</v>
      </c>
      <c r="R814" t="b">
        <f>IF(E814="staff",IF(INDEX('Partner data'!A:DH,MATCH(C814,'Partner data'!DG:DG,0),112)="BL1 non presente","FALSO",INDEX('Partner data'!A:DH,MATCH(C814,'Partner data'!DG:DG,0),112)))</f>
        <v>0</v>
      </c>
      <c r="S814" t="b">
        <f t="shared" si="24"/>
        <v>1</v>
      </c>
      <c r="T814" t="b">
        <f t="shared" si="25"/>
        <v>1</v>
      </c>
      <c r="U814" s="154">
        <f>IFERROR(IF(R814&lt;&gt;FALSE,IF(S814=TRUE,INDEX('SummaryNOT_VALIDATED-BL'!$A$1:$F$16,MATCH(R814,'SummaryNOT_VALIDATED-BL'!$A$1:$A$16,0),6),0),IF(S814=TRUE,INDEX('SummaryNOT_VALIDATED-BL'!$A$1:$F$16,MATCH(E814,'SummaryNOT_VALIDATED-BL'!$A$1:$A$16,0),6),0)),0)</f>
        <v>6.3112622236488891E-2</v>
      </c>
      <c r="V814" s="81" cm="1">
        <f t="array" ref="V814">INDEX('Weight tables'!$A$24:$C$27,MATCH(1,(RendicontiTrasmessiBL__2[[#This Row],[Cut percentage on real costs + USC]]&gt;='Weight tables'!$B$24:$B$27)*(RendicontiTrasmessiBL__2[[#This Row],[Cut percentage on real costs + USC]]&lt;='Weight tables'!$C$24:$C$27),0),1)</f>
        <v>4</v>
      </c>
      <c r="W814" s="2">
        <f>RendicontiTrasmessiBL__2[[#This Row],[Weight real costs  + USC ]]</f>
        <v>4</v>
      </c>
    </row>
    <row r="815" spans="1:23" x14ac:dyDescent="0.25">
      <c r="A815" s="1" t="s">
        <v>288</v>
      </c>
      <c r="B815" s="1" t="s">
        <v>290</v>
      </c>
      <c r="C815" s="2">
        <v>62</v>
      </c>
      <c r="D815" s="2">
        <v>184</v>
      </c>
      <c r="E815" s="1" t="s">
        <v>231</v>
      </c>
      <c r="G815">
        <v>26000</v>
      </c>
      <c r="H815">
        <v>0</v>
      </c>
      <c r="I815">
        <v>0</v>
      </c>
      <c r="J815">
        <v>0</v>
      </c>
      <c r="K815">
        <v>0</v>
      </c>
      <c r="L815">
        <v>0</v>
      </c>
      <c r="M815">
        <v>0</v>
      </c>
      <c r="N815">
        <v>0</v>
      </c>
      <c r="O815">
        <v>26000</v>
      </c>
      <c r="P815">
        <v>0</v>
      </c>
      <c r="Q815" t="str">
        <f>INDEX('Partner data'!A:DH,MATCH(C815,'Partner data'!DG:DG,0),83)</f>
        <v>Soggetto pubblico</v>
      </c>
      <c r="R815" t="b">
        <f>IF(E815="staff",IF(INDEX('Partner data'!A:DH,MATCH(C815,'Partner data'!DG:DG,0),112)="BL1 non presente","FALSO",INDEX('Partner data'!A:DH,MATCH(C815,'Partner data'!DG:DG,0),112)))</f>
        <v>0</v>
      </c>
      <c r="S815" t="b">
        <f t="shared" si="24"/>
        <v>0</v>
      </c>
      <c r="T815" t="b">
        <f t="shared" si="25"/>
        <v>1</v>
      </c>
      <c r="U815" s="154">
        <f>IFERROR(IF(R815&lt;&gt;FALSE,IF(S815=TRUE,INDEX('SummaryNOT_VALIDATED-BL'!$A$1:$F$16,MATCH(R815,'SummaryNOT_VALIDATED-BL'!$A$1:$A$16,0),6),0),IF(S815=TRUE,INDEX('SummaryNOT_VALIDATED-BL'!$A$1:$F$16,MATCH(E815,'SummaryNOT_VALIDATED-BL'!$A$1:$A$16,0),6),0)),0)</f>
        <v>0</v>
      </c>
      <c r="V815" s="81" cm="1">
        <f t="array" ref="V815">INDEX('Weight tables'!$A$24:$C$27,MATCH(1,(RendicontiTrasmessiBL__2[[#This Row],[Cut percentage on real costs + USC]]&gt;='Weight tables'!$B$24:$B$27)*(RendicontiTrasmessiBL__2[[#This Row],[Cut percentage on real costs + USC]]&lt;='Weight tables'!$C$24:$C$27),0),1)</f>
        <v>0</v>
      </c>
      <c r="W815" s="2">
        <f>RendicontiTrasmessiBL__2[[#This Row],[Weight real costs  + USC ]]</f>
        <v>0</v>
      </c>
    </row>
    <row r="816" spans="1:23" x14ac:dyDescent="0.25">
      <c r="A816" s="1" t="s">
        <v>288</v>
      </c>
      <c r="B816" s="1" t="s">
        <v>290</v>
      </c>
      <c r="C816" s="2">
        <v>62</v>
      </c>
      <c r="D816" s="2">
        <v>184</v>
      </c>
      <c r="E816" s="1" t="s">
        <v>232</v>
      </c>
      <c r="G816">
        <v>4500</v>
      </c>
      <c r="H816">
        <v>0</v>
      </c>
      <c r="I816">
        <v>0</v>
      </c>
      <c r="J816">
        <v>0</v>
      </c>
      <c r="K816">
        <v>0</v>
      </c>
      <c r="L816">
        <v>0</v>
      </c>
      <c r="M816">
        <v>0</v>
      </c>
      <c r="N816">
        <v>0</v>
      </c>
      <c r="O816">
        <v>4500</v>
      </c>
      <c r="P816">
        <v>0</v>
      </c>
      <c r="Q816" t="str">
        <f>INDEX('Partner data'!A:DH,MATCH(C816,'Partner data'!DG:DG,0),83)</f>
        <v>Soggetto pubblico</v>
      </c>
      <c r="R816" t="b">
        <f>IF(E816="staff",IF(INDEX('Partner data'!A:DH,MATCH(C816,'Partner data'!DG:DG,0),112)="BL1 non presente","FALSO",INDEX('Partner data'!A:DH,MATCH(C816,'Partner data'!DG:DG,0),112)))</f>
        <v>0</v>
      </c>
      <c r="S816" t="b">
        <f t="shared" si="24"/>
        <v>0</v>
      </c>
      <c r="T816" t="b">
        <f t="shared" si="25"/>
        <v>1</v>
      </c>
      <c r="U816" s="154">
        <f>IFERROR(IF(R816&lt;&gt;FALSE,IF(S816=TRUE,INDEX('SummaryNOT_VALIDATED-BL'!$A$1:$F$16,MATCH(R816,'SummaryNOT_VALIDATED-BL'!$A$1:$A$16,0),6),0),IF(S816=TRUE,INDEX('SummaryNOT_VALIDATED-BL'!$A$1:$F$16,MATCH(E816,'SummaryNOT_VALIDATED-BL'!$A$1:$A$16,0),6),0)),0)</f>
        <v>0</v>
      </c>
      <c r="V816" s="81" cm="1">
        <f t="array" ref="V816">INDEX('Weight tables'!$A$24:$C$27,MATCH(1,(RendicontiTrasmessiBL__2[[#This Row],[Cut percentage on real costs + USC]]&gt;='Weight tables'!$B$24:$B$27)*(RendicontiTrasmessiBL__2[[#This Row],[Cut percentage on real costs + USC]]&lt;='Weight tables'!$C$24:$C$27),0),1)</f>
        <v>0</v>
      </c>
      <c r="W816" s="2">
        <f>RendicontiTrasmessiBL__2[[#This Row],[Weight real costs  + USC ]]</f>
        <v>0</v>
      </c>
    </row>
    <row r="817" spans="1:23" x14ac:dyDescent="0.25">
      <c r="A817" s="1" t="s">
        <v>288</v>
      </c>
      <c r="B817" s="1" t="s">
        <v>290</v>
      </c>
      <c r="C817" s="2">
        <v>62</v>
      </c>
      <c r="D817" s="2">
        <v>184</v>
      </c>
      <c r="E817" s="1" t="s">
        <v>233</v>
      </c>
      <c r="G817">
        <v>0</v>
      </c>
      <c r="H817">
        <v>0</v>
      </c>
      <c r="I817">
        <v>0</v>
      </c>
      <c r="J817">
        <v>0</v>
      </c>
      <c r="K817">
        <v>0</v>
      </c>
      <c r="L817">
        <v>0</v>
      </c>
      <c r="M817">
        <v>0</v>
      </c>
      <c r="N817">
        <v>0</v>
      </c>
      <c r="O817">
        <v>0</v>
      </c>
      <c r="P817">
        <v>0</v>
      </c>
      <c r="Q817" t="str">
        <f>INDEX('Partner data'!A:DH,MATCH(C817,'Partner data'!DG:DG,0),83)</f>
        <v>Soggetto pubblico</v>
      </c>
      <c r="R817" t="b">
        <f>IF(E817="staff",IF(INDEX('Partner data'!A:DH,MATCH(C817,'Partner data'!DG:DG,0),112)="BL1 non presente","FALSO",INDEX('Partner data'!A:DH,MATCH(C817,'Partner data'!DG:DG,0),112)))</f>
        <v>0</v>
      </c>
      <c r="S817" t="b">
        <f t="shared" si="24"/>
        <v>0</v>
      </c>
      <c r="T817" t="b">
        <f t="shared" si="25"/>
        <v>1</v>
      </c>
      <c r="U817" s="154">
        <f>IFERROR(IF(R817&lt;&gt;FALSE,IF(S817=TRUE,INDEX('SummaryNOT_VALIDATED-BL'!$A$1:$F$16,MATCH(R817,'SummaryNOT_VALIDATED-BL'!$A$1:$A$16,0),6),0),IF(S817=TRUE,INDEX('SummaryNOT_VALIDATED-BL'!$A$1:$F$16,MATCH(E817,'SummaryNOT_VALIDATED-BL'!$A$1:$A$16,0),6),0)),0)</f>
        <v>0</v>
      </c>
      <c r="V817" s="81" cm="1">
        <f t="array" ref="V817">INDEX('Weight tables'!$A$24:$C$27,MATCH(1,(RendicontiTrasmessiBL__2[[#This Row],[Cut percentage on real costs + USC]]&gt;='Weight tables'!$B$24:$B$27)*(RendicontiTrasmessiBL__2[[#This Row],[Cut percentage on real costs + USC]]&lt;='Weight tables'!$C$24:$C$27),0),1)</f>
        <v>0</v>
      </c>
      <c r="W817" s="2">
        <f>RendicontiTrasmessiBL__2[[#This Row],[Weight real costs  + USC ]]</f>
        <v>0</v>
      </c>
    </row>
    <row r="818" spans="1:23" x14ac:dyDescent="0.25">
      <c r="A818" s="1" t="s">
        <v>288</v>
      </c>
      <c r="B818" s="1" t="s">
        <v>290</v>
      </c>
      <c r="C818" s="2">
        <v>62</v>
      </c>
      <c r="D818" s="2">
        <v>184</v>
      </c>
      <c r="E818" s="1" t="s">
        <v>234</v>
      </c>
      <c r="G818">
        <v>0</v>
      </c>
      <c r="H818">
        <v>0</v>
      </c>
      <c r="I818">
        <v>0</v>
      </c>
      <c r="J818">
        <v>0</v>
      </c>
      <c r="K818">
        <v>0</v>
      </c>
      <c r="L818">
        <v>0</v>
      </c>
      <c r="M818">
        <v>0</v>
      </c>
      <c r="N818">
        <v>0</v>
      </c>
      <c r="O818">
        <v>0</v>
      </c>
      <c r="P818">
        <v>0</v>
      </c>
      <c r="Q818" t="str">
        <f>INDEX('Partner data'!A:DH,MATCH(C818,'Partner data'!DG:DG,0),83)</f>
        <v>Soggetto pubblico</v>
      </c>
      <c r="R818" t="b">
        <f>IF(E818="staff",IF(INDEX('Partner data'!A:DH,MATCH(C818,'Partner data'!DG:DG,0),112)="BL1 non presente","FALSO",INDEX('Partner data'!A:DH,MATCH(C818,'Partner data'!DG:DG,0),112)))</f>
        <v>0</v>
      </c>
      <c r="S818" t="b">
        <f t="shared" si="24"/>
        <v>0</v>
      </c>
      <c r="T818" t="b">
        <f t="shared" si="25"/>
        <v>1</v>
      </c>
      <c r="U818" s="154">
        <f>IFERROR(IF(R818&lt;&gt;FALSE,IF(S818=TRUE,INDEX('SummaryNOT_VALIDATED-BL'!$A$1:$F$16,MATCH(R818,'SummaryNOT_VALIDATED-BL'!$A$1:$A$16,0),6),0),IF(S818=TRUE,INDEX('SummaryNOT_VALIDATED-BL'!$A$1:$F$16,MATCH(E818,'SummaryNOT_VALIDATED-BL'!$A$1:$A$16,0),6),0)),0)</f>
        <v>0</v>
      </c>
      <c r="V818" s="81" cm="1">
        <f t="array" ref="V818">INDEX('Weight tables'!$A$24:$C$27,MATCH(1,(RendicontiTrasmessiBL__2[[#This Row],[Cut percentage on real costs + USC]]&gt;='Weight tables'!$B$24:$B$27)*(RendicontiTrasmessiBL__2[[#This Row],[Cut percentage on real costs + USC]]&lt;='Weight tables'!$C$24:$C$27),0),1)</f>
        <v>0</v>
      </c>
      <c r="W818" s="2">
        <f>RendicontiTrasmessiBL__2[[#This Row],[Weight real costs  + USC ]]</f>
        <v>0</v>
      </c>
    </row>
    <row r="819" spans="1:23" x14ac:dyDescent="0.25">
      <c r="A819" s="1" t="s">
        <v>288</v>
      </c>
      <c r="B819" s="1" t="s">
        <v>290</v>
      </c>
      <c r="C819" s="2">
        <v>62</v>
      </c>
      <c r="D819" s="2">
        <v>184</v>
      </c>
      <c r="E819" s="1" t="s">
        <v>236</v>
      </c>
      <c r="G819">
        <v>0</v>
      </c>
      <c r="H819">
        <v>0</v>
      </c>
      <c r="I819">
        <v>0</v>
      </c>
      <c r="J819">
        <v>0</v>
      </c>
      <c r="K819">
        <v>0</v>
      </c>
      <c r="L819">
        <v>0</v>
      </c>
      <c r="M819">
        <v>0</v>
      </c>
      <c r="N819">
        <v>0</v>
      </c>
      <c r="O819">
        <v>0</v>
      </c>
      <c r="P819">
        <v>0</v>
      </c>
      <c r="Q819" t="str">
        <f>INDEX('Partner data'!A:DH,MATCH(C819,'Partner data'!DG:DG,0),83)</f>
        <v>Soggetto pubblico</v>
      </c>
      <c r="R819" t="b">
        <f>IF(E819="staff",IF(INDEX('Partner data'!A:DH,MATCH(C819,'Partner data'!DG:DG,0),112)="BL1 non presente","FALSO",INDEX('Partner data'!A:DH,MATCH(C819,'Partner data'!DG:DG,0),112)))</f>
        <v>0</v>
      </c>
      <c r="S819" t="b">
        <f t="shared" si="24"/>
        <v>0</v>
      </c>
      <c r="T819" t="b">
        <f t="shared" si="25"/>
        <v>1</v>
      </c>
      <c r="U819" s="154">
        <f>IFERROR(IF(R819&lt;&gt;FALSE,IF(S819=TRUE,INDEX('SummaryNOT_VALIDATED-BL'!$A$1:$F$16,MATCH(R819,'SummaryNOT_VALIDATED-BL'!$A$1:$A$16,0),6),0),IF(S819=TRUE,INDEX('SummaryNOT_VALIDATED-BL'!$A$1:$F$16,MATCH(E819,'SummaryNOT_VALIDATED-BL'!$A$1:$A$16,0),6),0)),0)</f>
        <v>0</v>
      </c>
      <c r="V819" s="81" cm="1">
        <f t="array" ref="V819">INDEX('Weight tables'!$A$24:$C$27,MATCH(1,(RendicontiTrasmessiBL__2[[#This Row],[Cut percentage on real costs + USC]]&gt;='Weight tables'!$B$24:$B$27)*(RendicontiTrasmessiBL__2[[#This Row],[Cut percentage on real costs + USC]]&lt;='Weight tables'!$C$24:$C$27),0),1)</f>
        <v>0</v>
      </c>
      <c r="W819" s="2">
        <f>RendicontiTrasmessiBL__2[[#This Row],[Weight real costs  + USC ]]</f>
        <v>0</v>
      </c>
    </row>
    <row r="820" spans="1:23" x14ac:dyDescent="0.25">
      <c r="A820" s="1" t="s">
        <v>288</v>
      </c>
      <c r="B820" s="1" t="s">
        <v>290</v>
      </c>
      <c r="C820" s="2">
        <v>62</v>
      </c>
      <c r="D820" s="2">
        <v>184</v>
      </c>
      <c r="E820" s="1" t="s">
        <v>237</v>
      </c>
      <c r="G820">
        <v>0</v>
      </c>
      <c r="H820">
        <v>0</v>
      </c>
      <c r="I820">
        <v>0</v>
      </c>
      <c r="J820">
        <v>0</v>
      </c>
      <c r="K820">
        <v>0</v>
      </c>
      <c r="L820">
        <v>0</v>
      </c>
      <c r="M820">
        <v>0</v>
      </c>
      <c r="N820">
        <v>0</v>
      </c>
      <c r="O820">
        <v>0</v>
      </c>
      <c r="P820">
        <v>0</v>
      </c>
      <c r="Q820" t="str">
        <f>INDEX('Partner data'!A:DH,MATCH(C820,'Partner data'!DG:DG,0),83)</f>
        <v>Soggetto pubblico</v>
      </c>
      <c r="R820" t="b">
        <f>IF(E820="staff",IF(INDEX('Partner data'!A:DH,MATCH(C820,'Partner data'!DG:DG,0),112)="BL1 non presente","FALSO",INDEX('Partner data'!A:DH,MATCH(C820,'Partner data'!DG:DG,0),112)))</f>
        <v>0</v>
      </c>
      <c r="S820" t="b">
        <f t="shared" si="24"/>
        <v>0</v>
      </c>
      <c r="T820" t="b">
        <f t="shared" si="25"/>
        <v>1</v>
      </c>
      <c r="U820" s="154">
        <f>IFERROR(IF(R820&lt;&gt;FALSE,IF(S820=TRUE,INDEX('SummaryNOT_VALIDATED-BL'!$A$1:$F$16,MATCH(R820,'SummaryNOT_VALIDATED-BL'!$A$1:$A$16,0),6),0),IF(S820=TRUE,INDEX('SummaryNOT_VALIDATED-BL'!$A$1:$F$16,MATCH(E820,'SummaryNOT_VALIDATED-BL'!$A$1:$A$16,0),6),0)),0)</f>
        <v>0</v>
      </c>
      <c r="V820" s="81" cm="1">
        <f t="array" ref="V820">INDEX('Weight tables'!$A$24:$C$27,MATCH(1,(RendicontiTrasmessiBL__2[[#This Row],[Cut percentage on real costs + USC]]&gt;='Weight tables'!$B$24:$B$27)*(RendicontiTrasmessiBL__2[[#This Row],[Cut percentage on real costs + USC]]&lt;='Weight tables'!$C$24:$C$27),0),1)</f>
        <v>0</v>
      </c>
      <c r="W820" s="2">
        <f>RendicontiTrasmessiBL__2[[#This Row],[Weight real costs  + USC ]]</f>
        <v>0</v>
      </c>
    </row>
    <row r="821" spans="1:23" x14ac:dyDescent="0.25">
      <c r="A821" s="1" t="s">
        <v>288</v>
      </c>
      <c r="B821" s="1" t="s">
        <v>291</v>
      </c>
      <c r="C821" s="2">
        <v>65</v>
      </c>
      <c r="D821" s="2">
        <v>186</v>
      </c>
      <c r="E821" s="1" t="s">
        <v>228</v>
      </c>
      <c r="G821">
        <v>28350</v>
      </c>
      <c r="H821">
        <v>0</v>
      </c>
      <c r="I821">
        <v>0</v>
      </c>
      <c r="J821">
        <v>3930.08</v>
      </c>
      <c r="K821">
        <v>0</v>
      </c>
      <c r="L821">
        <v>0</v>
      </c>
      <c r="M821">
        <v>3930.08</v>
      </c>
      <c r="N821">
        <v>13.86</v>
      </c>
      <c r="O821">
        <v>24419.919999999998</v>
      </c>
      <c r="P821">
        <v>0</v>
      </c>
      <c r="Q821" t="str">
        <f>INDEX('Partner data'!A:DH,MATCH(C821,'Partner data'!DG:DG,0),83)</f>
        <v xml:space="preserve">Organismo di diritto pubblico </v>
      </c>
      <c r="R821" t="str">
        <f>IF(E821="staff",IF(INDEX('Partner data'!A:DH,MATCH(C821,'Partner data'!DG:DG,0),112)="BL1 non presente","FALSO",INDEX('Partner data'!A:DH,MATCH(C821,'Partner data'!DG:DG,0),112)))</f>
        <v>COSTO REALE</v>
      </c>
      <c r="S821" t="b">
        <f t="shared" si="24"/>
        <v>1</v>
      </c>
      <c r="T821" t="b">
        <f t="shared" si="25"/>
        <v>1</v>
      </c>
      <c r="U821" s="154">
        <f>IFERROR(IF(R821&lt;&gt;FALSE,IF(S821=TRUE,INDEX('SummaryNOT_VALIDATED-BL'!$A$1:$F$16,MATCH(R821,'SummaryNOT_VALIDATED-BL'!$A$1:$A$16,0),6),0),IF(S821=TRUE,INDEX('SummaryNOT_VALIDATED-BL'!$A$1:$F$16,MATCH(E821,'SummaryNOT_VALIDATED-BL'!$A$1:$A$16,0),6),0)),0)</f>
        <v>9.1604133276901048E-2</v>
      </c>
      <c r="V821" s="81" cm="1">
        <f t="array" ref="V821">INDEX('Weight tables'!$A$24:$C$27,MATCH(1,(RendicontiTrasmessiBL__2[[#This Row],[Cut percentage on real costs + USC]]&gt;='Weight tables'!$B$24:$B$27)*(RendicontiTrasmessiBL__2[[#This Row],[Cut percentage on real costs + USC]]&lt;='Weight tables'!$C$24:$C$27),0),1)</f>
        <v>4</v>
      </c>
      <c r="W821" s="2">
        <f>RendicontiTrasmessiBL__2[[#This Row],[Weight real costs  + USC ]]</f>
        <v>4</v>
      </c>
    </row>
    <row r="822" spans="1:23" x14ac:dyDescent="0.25">
      <c r="A822" s="1" t="s">
        <v>288</v>
      </c>
      <c r="B822" s="1" t="s">
        <v>291</v>
      </c>
      <c r="C822" s="2">
        <v>65</v>
      </c>
      <c r="D822" s="2">
        <v>186</v>
      </c>
      <c r="E822" s="1" t="s">
        <v>229</v>
      </c>
      <c r="F822">
        <v>15</v>
      </c>
      <c r="G822">
        <v>4252.5</v>
      </c>
      <c r="H822">
        <v>0</v>
      </c>
      <c r="I822">
        <v>0</v>
      </c>
      <c r="J822">
        <v>589.51</v>
      </c>
      <c r="K822">
        <v>0</v>
      </c>
      <c r="L822">
        <v>0</v>
      </c>
      <c r="M822">
        <v>589.51</v>
      </c>
      <c r="N822">
        <v>13.86</v>
      </c>
      <c r="O822">
        <v>3662.99</v>
      </c>
      <c r="P822">
        <v>0</v>
      </c>
      <c r="Q822" t="str">
        <f>INDEX('Partner data'!A:DH,MATCH(C822,'Partner data'!DG:DG,0),83)</f>
        <v xml:space="preserve">Organismo di diritto pubblico </v>
      </c>
      <c r="R822" t="b">
        <f>IF(E822="staff",IF(INDEX('Partner data'!A:DH,MATCH(C822,'Partner data'!DG:DG,0),112)="BL1 non presente","FALSO",INDEX('Partner data'!A:DH,MATCH(C822,'Partner data'!DG:DG,0),112)))</f>
        <v>0</v>
      </c>
      <c r="S822" t="b">
        <f t="shared" si="24"/>
        <v>1</v>
      </c>
      <c r="T822" t="b">
        <f t="shared" si="25"/>
        <v>1</v>
      </c>
      <c r="U822" s="154">
        <f>IFERROR(IF(R822&lt;&gt;FALSE,IF(S822=TRUE,INDEX('SummaryNOT_VALIDATED-BL'!$A$1:$F$16,MATCH(R822,'SummaryNOT_VALIDATED-BL'!$A$1:$A$16,0),6),0),IF(S822=TRUE,INDEX('SummaryNOT_VALIDATED-BL'!$A$1:$F$16,MATCH(E822,'SummaryNOT_VALIDATED-BL'!$A$1:$A$16,0),6),0)),0)</f>
        <v>6.6460469504890221E-2</v>
      </c>
      <c r="V822" s="81" cm="1">
        <f t="array" ref="V822">INDEX('Weight tables'!$A$24:$C$27,MATCH(1,(RendicontiTrasmessiBL__2[[#This Row],[Cut percentage on real costs + USC]]&gt;='Weight tables'!$B$24:$B$27)*(RendicontiTrasmessiBL__2[[#This Row],[Cut percentage on real costs + USC]]&lt;='Weight tables'!$C$24:$C$27),0),1)</f>
        <v>4</v>
      </c>
      <c r="W822" s="2">
        <f>RendicontiTrasmessiBL__2[[#This Row],[Weight real costs  + USC ]]</f>
        <v>4</v>
      </c>
    </row>
    <row r="823" spans="1:23" x14ac:dyDescent="0.25">
      <c r="A823" s="1" t="s">
        <v>288</v>
      </c>
      <c r="B823" s="1" t="s">
        <v>291</v>
      </c>
      <c r="C823" s="2">
        <v>65</v>
      </c>
      <c r="D823" s="2">
        <v>186</v>
      </c>
      <c r="E823" s="1" t="s">
        <v>230</v>
      </c>
      <c r="F823">
        <v>4</v>
      </c>
      <c r="G823">
        <v>1134</v>
      </c>
      <c r="H823">
        <v>0</v>
      </c>
      <c r="I823">
        <v>0</v>
      </c>
      <c r="J823">
        <v>157.19999999999999</v>
      </c>
      <c r="K823">
        <v>0</v>
      </c>
      <c r="L823">
        <v>0</v>
      </c>
      <c r="M823">
        <v>157.19999999999999</v>
      </c>
      <c r="N823">
        <v>13.86</v>
      </c>
      <c r="O823">
        <v>976.8</v>
      </c>
      <c r="P823">
        <v>0</v>
      </c>
      <c r="Q823" t="str">
        <f>INDEX('Partner data'!A:DH,MATCH(C823,'Partner data'!DG:DG,0),83)</f>
        <v xml:space="preserve">Organismo di diritto pubblico </v>
      </c>
      <c r="R823" t="b">
        <f>IF(E823="staff",IF(INDEX('Partner data'!A:DH,MATCH(C823,'Partner data'!DG:DG,0),112)="BL1 non presente","FALSO",INDEX('Partner data'!A:DH,MATCH(C823,'Partner data'!DG:DG,0),112)))</f>
        <v>0</v>
      </c>
      <c r="S823" t="b">
        <f t="shared" si="24"/>
        <v>1</v>
      </c>
      <c r="T823" t="b">
        <f t="shared" si="25"/>
        <v>1</v>
      </c>
      <c r="U823" s="154">
        <f>IFERROR(IF(R823&lt;&gt;FALSE,IF(S823=TRUE,INDEX('SummaryNOT_VALIDATED-BL'!$A$1:$F$16,MATCH(R823,'SummaryNOT_VALIDATED-BL'!$A$1:$A$16,0),6),0),IF(S823=TRUE,INDEX('SummaryNOT_VALIDATED-BL'!$A$1:$F$16,MATCH(E823,'SummaryNOT_VALIDATED-BL'!$A$1:$A$16,0),6),0)),0)</f>
        <v>6.3112622236488891E-2</v>
      </c>
      <c r="V823" s="81" cm="1">
        <f t="array" ref="V823">INDEX('Weight tables'!$A$24:$C$27,MATCH(1,(RendicontiTrasmessiBL__2[[#This Row],[Cut percentage on real costs + USC]]&gt;='Weight tables'!$B$24:$B$27)*(RendicontiTrasmessiBL__2[[#This Row],[Cut percentage on real costs + USC]]&lt;='Weight tables'!$C$24:$C$27),0),1)</f>
        <v>4</v>
      </c>
      <c r="W823" s="2">
        <f>RendicontiTrasmessiBL__2[[#This Row],[Weight real costs  + USC ]]</f>
        <v>4</v>
      </c>
    </row>
    <row r="824" spans="1:23" x14ac:dyDescent="0.25">
      <c r="A824" s="1" t="s">
        <v>288</v>
      </c>
      <c r="B824" s="1" t="s">
        <v>291</v>
      </c>
      <c r="C824" s="2">
        <v>65</v>
      </c>
      <c r="D824" s="2">
        <v>186</v>
      </c>
      <c r="E824" s="1" t="s">
        <v>231</v>
      </c>
      <c r="G824">
        <v>40000</v>
      </c>
      <c r="H824">
        <v>0</v>
      </c>
      <c r="I824">
        <v>0</v>
      </c>
      <c r="J824">
        <v>0</v>
      </c>
      <c r="K824">
        <v>0</v>
      </c>
      <c r="L824">
        <v>0</v>
      </c>
      <c r="M824">
        <v>0</v>
      </c>
      <c r="N824">
        <v>0</v>
      </c>
      <c r="O824">
        <v>40000</v>
      </c>
      <c r="P824">
        <v>0</v>
      </c>
      <c r="Q824" t="str">
        <f>INDEX('Partner data'!A:DH,MATCH(C824,'Partner data'!DG:DG,0),83)</f>
        <v xml:space="preserve">Organismo di diritto pubblico </v>
      </c>
      <c r="R824" t="b">
        <f>IF(E824="staff",IF(INDEX('Partner data'!A:DH,MATCH(C824,'Partner data'!DG:DG,0),112)="BL1 non presente","FALSO",INDEX('Partner data'!A:DH,MATCH(C824,'Partner data'!DG:DG,0),112)))</f>
        <v>0</v>
      </c>
      <c r="S824" t="b">
        <f t="shared" si="24"/>
        <v>0</v>
      </c>
      <c r="T824" t="b">
        <f t="shared" si="25"/>
        <v>1</v>
      </c>
      <c r="U824" s="154">
        <f>IFERROR(IF(R824&lt;&gt;FALSE,IF(S824=TRUE,INDEX('SummaryNOT_VALIDATED-BL'!$A$1:$F$16,MATCH(R824,'SummaryNOT_VALIDATED-BL'!$A$1:$A$16,0),6),0),IF(S824=TRUE,INDEX('SummaryNOT_VALIDATED-BL'!$A$1:$F$16,MATCH(E824,'SummaryNOT_VALIDATED-BL'!$A$1:$A$16,0),6),0)),0)</f>
        <v>0</v>
      </c>
      <c r="V824" s="81" cm="1">
        <f t="array" ref="V824">INDEX('Weight tables'!$A$24:$C$27,MATCH(1,(RendicontiTrasmessiBL__2[[#This Row],[Cut percentage on real costs + USC]]&gt;='Weight tables'!$B$24:$B$27)*(RendicontiTrasmessiBL__2[[#This Row],[Cut percentage on real costs + USC]]&lt;='Weight tables'!$C$24:$C$27),0),1)</f>
        <v>0</v>
      </c>
      <c r="W824" s="2">
        <f>RendicontiTrasmessiBL__2[[#This Row],[Weight real costs  + USC ]]</f>
        <v>0</v>
      </c>
    </row>
    <row r="825" spans="1:23" x14ac:dyDescent="0.25">
      <c r="A825" s="1" t="s">
        <v>288</v>
      </c>
      <c r="B825" s="1" t="s">
        <v>291</v>
      </c>
      <c r="C825" s="2">
        <v>65</v>
      </c>
      <c r="D825" s="2">
        <v>186</v>
      </c>
      <c r="E825" s="1" t="s">
        <v>232</v>
      </c>
      <c r="G825">
        <v>0</v>
      </c>
      <c r="H825">
        <v>0</v>
      </c>
      <c r="I825">
        <v>0</v>
      </c>
      <c r="J825">
        <v>0</v>
      </c>
      <c r="K825">
        <v>0</v>
      </c>
      <c r="L825">
        <v>0</v>
      </c>
      <c r="M825">
        <v>0</v>
      </c>
      <c r="N825">
        <v>0</v>
      </c>
      <c r="O825">
        <v>0</v>
      </c>
      <c r="P825">
        <v>0</v>
      </c>
      <c r="Q825" t="str">
        <f>INDEX('Partner data'!A:DH,MATCH(C825,'Partner data'!DG:DG,0),83)</f>
        <v xml:space="preserve">Organismo di diritto pubblico </v>
      </c>
      <c r="R825" t="b">
        <f>IF(E825="staff",IF(INDEX('Partner data'!A:DH,MATCH(C825,'Partner data'!DG:DG,0),112)="BL1 non presente","FALSO",INDEX('Partner data'!A:DH,MATCH(C825,'Partner data'!DG:DG,0),112)))</f>
        <v>0</v>
      </c>
      <c r="S825" t="b">
        <f t="shared" si="24"/>
        <v>0</v>
      </c>
      <c r="T825" t="b">
        <f t="shared" si="25"/>
        <v>1</v>
      </c>
      <c r="U825" s="154">
        <f>IFERROR(IF(R825&lt;&gt;FALSE,IF(S825=TRUE,INDEX('SummaryNOT_VALIDATED-BL'!$A$1:$F$16,MATCH(R825,'SummaryNOT_VALIDATED-BL'!$A$1:$A$16,0),6),0),IF(S825=TRUE,INDEX('SummaryNOT_VALIDATED-BL'!$A$1:$F$16,MATCH(E825,'SummaryNOT_VALIDATED-BL'!$A$1:$A$16,0),6),0)),0)</f>
        <v>0</v>
      </c>
      <c r="V825" s="81" cm="1">
        <f t="array" ref="V825">INDEX('Weight tables'!$A$24:$C$27,MATCH(1,(RendicontiTrasmessiBL__2[[#This Row],[Cut percentage on real costs + USC]]&gt;='Weight tables'!$B$24:$B$27)*(RendicontiTrasmessiBL__2[[#This Row],[Cut percentage on real costs + USC]]&lt;='Weight tables'!$C$24:$C$27),0),1)</f>
        <v>0</v>
      </c>
      <c r="W825" s="2">
        <f>RendicontiTrasmessiBL__2[[#This Row],[Weight real costs  + USC ]]</f>
        <v>0</v>
      </c>
    </row>
    <row r="826" spans="1:23" x14ac:dyDescent="0.25">
      <c r="A826" s="1" t="s">
        <v>288</v>
      </c>
      <c r="B826" s="1" t="s">
        <v>291</v>
      </c>
      <c r="C826" s="2">
        <v>65</v>
      </c>
      <c r="D826" s="2">
        <v>186</v>
      </c>
      <c r="E826" s="1" t="s">
        <v>233</v>
      </c>
      <c r="G826">
        <v>0</v>
      </c>
      <c r="H826">
        <v>0</v>
      </c>
      <c r="I826">
        <v>0</v>
      </c>
      <c r="J826">
        <v>0</v>
      </c>
      <c r="K826">
        <v>0</v>
      </c>
      <c r="L826">
        <v>0</v>
      </c>
      <c r="M826">
        <v>0</v>
      </c>
      <c r="N826">
        <v>0</v>
      </c>
      <c r="O826">
        <v>0</v>
      </c>
      <c r="P826">
        <v>0</v>
      </c>
      <c r="Q826" t="str">
        <f>INDEX('Partner data'!A:DH,MATCH(C826,'Partner data'!DG:DG,0),83)</f>
        <v xml:space="preserve">Organismo di diritto pubblico </v>
      </c>
      <c r="R826" t="b">
        <f>IF(E826="staff",IF(INDEX('Partner data'!A:DH,MATCH(C826,'Partner data'!DG:DG,0),112)="BL1 non presente","FALSO",INDEX('Partner data'!A:DH,MATCH(C826,'Partner data'!DG:DG,0),112)))</f>
        <v>0</v>
      </c>
      <c r="S826" t="b">
        <f t="shared" si="24"/>
        <v>0</v>
      </c>
      <c r="T826" t="b">
        <f t="shared" si="25"/>
        <v>1</v>
      </c>
      <c r="U826" s="154">
        <f>IFERROR(IF(R826&lt;&gt;FALSE,IF(S826=TRUE,INDEX('SummaryNOT_VALIDATED-BL'!$A$1:$F$16,MATCH(R826,'SummaryNOT_VALIDATED-BL'!$A$1:$A$16,0),6),0),IF(S826=TRUE,INDEX('SummaryNOT_VALIDATED-BL'!$A$1:$F$16,MATCH(E826,'SummaryNOT_VALIDATED-BL'!$A$1:$A$16,0),6),0)),0)</f>
        <v>0</v>
      </c>
      <c r="V826" s="81" cm="1">
        <f t="array" ref="V826">INDEX('Weight tables'!$A$24:$C$27,MATCH(1,(RendicontiTrasmessiBL__2[[#This Row],[Cut percentage on real costs + USC]]&gt;='Weight tables'!$B$24:$B$27)*(RendicontiTrasmessiBL__2[[#This Row],[Cut percentage on real costs + USC]]&lt;='Weight tables'!$C$24:$C$27),0),1)</f>
        <v>0</v>
      </c>
      <c r="W826" s="2">
        <f>RendicontiTrasmessiBL__2[[#This Row],[Weight real costs  + USC ]]</f>
        <v>0</v>
      </c>
    </row>
    <row r="827" spans="1:23" x14ac:dyDescent="0.25">
      <c r="A827" s="1" t="s">
        <v>288</v>
      </c>
      <c r="B827" s="1" t="s">
        <v>291</v>
      </c>
      <c r="C827" s="2">
        <v>65</v>
      </c>
      <c r="D827" s="2">
        <v>186</v>
      </c>
      <c r="E827" s="1" t="s">
        <v>234</v>
      </c>
      <c r="G827">
        <v>0</v>
      </c>
      <c r="H827">
        <v>0</v>
      </c>
      <c r="I827">
        <v>0</v>
      </c>
      <c r="J827">
        <v>0</v>
      </c>
      <c r="K827">
        <v>0</v>
      </c>
      <c r="L827">
        <v>0</v>
      </c>
      <c r="M827">
        <v>0</v>
      </c>
      <c r="N827">
        <v>0</v>
      </c>
      <c r="O827">
        <v>0</v>
      </c>
      <c r="P827">
        <v>0</v>
      </c>
      <c r="Q827" t="str">
        <f>INDEX('Partner data'!A:DH,MATCH(C827,'Partner data'!DG:DG,0),83)</f>
        <v xml:space="preserve">Organismo di diritto pubblico </v>
      </c>
      <c r="R827" t="b">
        <f>IF(E827="staff",IF(INDEX('Partner data'!A:DH,MATCH(C827,'Partner data'!DG:DG,0),112)="BL1 non presente","FALSO",INDEX('Partner data'!A:DH,MATCH(C827,'Partner data'!DG:DG,0),112)))</f>
        <v>0</v>
      </c>
      <c r="S827" t="b">
        <f t="shared" si="24"/>
        <v>0</v>
      </c>
      <c r="T827" t="b">
        <f t="shared" si="25"/>
        <v>1</v>
      </c>
      <c r="U827" s="154">
        <f>IFERROR(IF(R827&lt;&gt;FALSE,IF(S827=TRUE,INDEX('SummaryNOT_VALIDATED-BL'!$A$1:$F$16,MATCH(R827,'SummaryNOT_VALIDATED-BL'!$A$1:$A$16,0),6),0),IF(S827=TRUE,INDEX('SummaryNOT_VALIDATED-BL'!$A$1:$F$16,MATCH(E827,'SummaryNOT_VALIDATED-BL'!$A$1:$A$16,0),6),0)),0)</f>
        <v>0</v>
      </c>
      <c r="V827" s="81" cm="1">
        <f t="array" ref="V827">INDEX('Weight tables'!$A$24:$C$27,MATCH(1,(RendicontiTrasmessiBL__2[[#This Row],[Cut percentage on real costs + USC]]&gt;='Weight tables'!$B$24:$B$27)*(RendicontiTrasmessiBL__2[[#This Row],[Cut percentage on real costs + USC]]&lt;='Weight tables'!$C$24:$C$27),0),1)</f>
        <v>0</v>
      </c>
      <c r="W827" s="2">
        <f>RendicontiTrasmessiBL__2[[#This Row],[Weight real costs  + USC ]]</f>
        <v>0</v>
      </c>
    </row>
    <row r="828" spans="1:23" x14ac:dyDescent="0.25">
      <c r="A828" s="1" t="s">
        <v>288</v>
      </c>
      <c r="B828" s="1" t="s">
        <v>291</v>
      </c>
      <c r="C828" s="2">
        <v>65</v>
      </c>
      <c r="D828" s="2">
        <v>186</v>
      </c>
      <c r="E828" s="1" t="s">
        <v>236</v>
      </c>
      <c r="G828">
        <v>0</v>
      </c>
      <c r="H828">
        <v>0</v>
      </c>
      <c r="I828">
        <v>0</v>
      </c>
      <c r="J828">
        <v>0</v>
      </c>
      <c r="K828">
        <v>0</v>
      </c>
      <c r="L828">
        <v>0</v>
      </c>
      <c r="M828">
        <v>0</v>
      </c>
      <c r="N828">
        <v>0</v>
      </c>
      <c r="O828">
        <v>0</v>
      </c>
      <c r="P828">
        <v>0</v>
      </c>
      <c r="Q828" t="str">
        <f>INDEX('Partner data'!A:DH,MATCH(C828,'Partner data'!DG:DG,0),83)</f>
        <v xml:space="preserve">Organismo di diritto pubblico </v>
      </c>
      <c r="R828" t="b">
        <f>IF(E828="staff",IF(INDEX('Partner data'!A:DH,MATCH(C828,'Partner data'!DG:DG,0),112)="BL1 non presente","FALSO",INDEX('Partner data'!A:DH,MATCH(C828,'Partner data'!DG:DG,0),112)))</f>
        <v>0</v>
      </c>
      <c r="S828" t="b">
        <f t="shared" si="24"/>
        <v>0</v>
      </c>
      <c r="T828" t="b">
        <f t="shared" si="25"/>
        <v>1</v>
      </c>
      <c r="U828" s="154">
        <f>IFERROR(IF(R828&lt;&gt;FALSE,IF(S828=TRUE,INDEX('SummaryNOT_VALIDATED-BL'!$A$1:$F$16,MATCH(R828,'SummaryNOT_VALIDATED-BL'!$A$1:$A$16,0),6),0),IF(S828=TRUE,INDEX('SummaryNOT_VALIDATED-BL'!$A$1:$F$16,MATCH(E828,'SummaryNOT_VALIDATED-BL'!$A$1:$A$16,0),6),0)),0)</f>
        <v>0</v>
      </c>
      <c r="V828" s="81" cm="1">
        <f t="array" ref="V828">INDEX('Weight tables'!$A$24:$C$27,MATCH(1,(RendicontiTrasmessiBL__2[[#This Row],[Cut percentage on real costs + USC]]&gt;='Weight tables'!$B$24:$B$27)*(RendicontiTrasmessiBL__2[[#This Row],[Cut percentage on real costs + USC]]&lt;='Weight tables'!$C$24:$C$27),0),1)</f>
        <v>0</v>
      </c>
      <c r="W828" s="2">
        <f>RendicontiTrasmessiBL__2[[#This Row],[Weight real costs  + USC ]]</f>
        <v>0</v>
      </c>
    </row>
    <row r="829" spans="1:23" x14ac:dyDescent="0.25">
      <c r="A829" s="1" t="s">
        <v>288</v>
      </c>
      <c r="B829" s="1" t="s">
        <v>291</v>
      </c>
      <c r="C829" s="2">
        <v>65</v>
      </c>
      <c r="D829" s="2">
        <v>186</v>
      </c>
      <c r="E829" s="1" t="s">
        <v>237</v>
      </c>
      <c r="G829">
        <v>0</v>
      </c>
      <c r="H829">
        <v>0</v>
      </c>
      <c r="I829">
        <v>0</v>
      </c>
      <c r="J829">
        <v>0</v>
      </c>
      <c r="K829">
        <v>0</v>
      </c>
      <c r="L829">
        <v>0</v>
      </c>
      <c r="M829">
        <v>0</v>
      </c>
      <c r="N829">
        <v>0</v>
      </c>
      <c r="O829">
        <v>0</v>
      </c>
      <c r="P829">
        <v>0</v>
      </c>
      <c r="Q829" t="str">
        <f>INDEX('Partner data'!A:DH,MATCH(C829,'Partner data'!DG:DG,0),83)</f>
        <v xml:space="preserve">Organismo di diritto pubblico </v>
      </c>
      <c r="R829" t="b">
        <f>IF(E829="staff",IF(INDEX('Partner data'!A:DH,MATCH(C829,'Partner data'!DG:DG,0),112)="BL1 non presente","FALSO",INDEX('Partner data'!A:DH,MATCH(C829,'Partner data'!DG:DG,0),112)))</f>
        <v>0</v>
      </c>
      <c r="S829" t="b">
        <f t="shared" si="24"/>
        <v>0</v>
      </c>
      <c r="T829" t="b">
        <f t="shared" si="25"/>
        <v>1</v>
      </c>
      <c r="U829" s="154">
        <f>IFERROR(IF(R829&lt;&gt;FALSE,IF(S829=TRUE,INDEX('SummaryNOT_VALIDATED-BL'!$A$1:$F$16,MATCH(R829,'SummaryNOT_VALIDATED-BL'!$A$1:$A$16,0),6),0),IF(S829=TRUE,INDEX('SummaryNOT_VALIDATED-BL'!$A$1:$F$16,MATCH(E829,'SummaryNOT_VALIDATED-BL'!$A$1:$A$16,0),6),0)),0)</f>
        <v>0</v>
      </c>
      <c r="V829" s="81" cm="1">
        <f t="array" ref="V829">INDEX('Weight tables'!$A$24:$C$27,MATCH(1,(RendicontiTrasmessiBL__2[[#This Row],[Cut percentage on real costs + USC]]&gt;='Weight tables'!$B$24:$B$27)*(RendicontiTrasmessiBL__2[[#This Row],[Cut percentage on real costs + USC]]&lt;='Weight tables'!$C$24:$C$27),0),1)</f>
        <v>0</v>
      </c>
      <c r="W829" s="2">
        <f>RendicontiTrasmessiBL__2[[#This Row],[Weight real costs  + USC ]]</f>
        <v>0</v>
      </c>
    </row>
    <row r="830" spans="1:23" x14ac:dyDescent="0.25">
      <c r="A830" s="1" t="s">
        <v>288</v>
      </c>
      <c r="B830" s="1" t="s">
        <v>286</v>
      </c>
      <c r="C830" s="2">
        <v>59</v>
      </c>
      <c r="D830" s="2">
        <v>181</v>
      </c>
      <c r="E830" s="1" t="s">
        <v>228</v>
      </c>
      <c r="G830">
        <v>96600</v>
      </c>
      <c r="H830">
        <v>0</v>
      </c>
      <c r="I830">
        <v>0</v>
      </c>
      <c r="J830">
        <v>10450</v>
      </c>
      <c r="K830">
        <v>0</v>
      </c>
      <c r="L830">
        <v>0</v>
      </c>
      <c r="M830">
        <v>10450</v>
      </c>
      <c r="N830">
        <v>10.82</v>
      </c>
      <c r="O830">
        <v>86150</v>
      </c>
      <c r="P830">
        <v>0</v>
      </c>
      <c r="Q830" t="str">
        <f>INDEX('Partner data'!A:DH,MATCH(C830,'Partner data'!DG:DG,0),83)</f>
        <v>Soggetto pubblico</v>
      </c>
      <c r="R830" t="str">
        <f>IF(E830="staff",IF(INDEX('Partner data'!A:DH,MATCH(C830,'Partner data'!DG:DG,0),112)="BL1 non presente","FALSO",INDEX('Partner data'!A:DH,MATCH(C830,'Partner data'!DG:DG,0),112)))</f>
        <v>Costo Unitario Standard</v>
      </c>
      <c r="S830" t="b">
        <f t="shared" si="24"/>
        <v>1</v>
      </c>
      <c r="T830" t="b">
        <f t="shared" si="25"/>
        <v>1</v>
      </c>
      <c r="U830" s="154">
        <f>IFERROR(IF(R830&lt;&gt;FALSE,IF(S830=TRUE,INDEX('SummaryNOT_VALIDATED-BL'!$A$1:$F$16,MATCH(R830,'SummaryNOT_VALIDATED-BL'!$A$1:$A$16,0),6),0),IF(S830=TRUE,INDEX('SummaryNOT_VALIDATED-BL'!$A$1:$F$16,MATCH(E830,'SummaryNOT_VALIDATED-BL'!$A$1:$A$16,0),6),0)),0)</f>
        <v>3.2052879635441428E-2</v>
      </c>
      <c r="V830" s="81" cm="1">
        <f t="array" ref="V830">INDEX('Weight tables'!$A$24:$C$27,MATCH(1,(RendicontiTrasmessiBL__2[[#This Row],[Cut percentage on real costs + USC]]&gt;='Weight tables'!$B$24:$B$27)*(RendicontiTrasmessiBL__2[[#This Row],[Cut percentage on real costs + USC]]&lt;='Weight tables'!$C$24:$C$27),0),1)</f>
        <v>2</v>
      </c>
      <c r="W830" s="2">
        <f>RendicontiTrasmessiBL__2[[#This Row],[Weight real costs  + USC ]]</f>
        <v>2</v>
      </c>
    </row>
    <row r="831" spans="1:23" x14ac:dyDescent="0.25">
      <c r="A831" s="1" t="s">
        <v>288</v>
      </c>
      <c r="B831" s="1" t="s">
        <v>286</v>
      </c>
      <c r="C831" s="2">
        <v>59</v>
      </c>
      <c r="D831" s="2">
        <v>181</v>
      </c>
      <c r="E831" s="1" t="s">
        <v>229</v>
      </c>
      <c r="F831">
        <v>15</v>
      </c>
      <c r="G831">
        <v>14490</v>
      </c>
      <c r="H831">
        <v>0</v>
      </c>
      <c r="I831">
        <v>0</v>
      </c>
      <c r="J831">
        <v>1567.5</v>
      </c>
      <c r="K831">
        <v>0</v>
      </c>
      <c r="L831">
        <v>0</v>
      </c>
      <c r="M831">
        <v>1567.5</v>
      </c>
      <c r="N831">
        <v>10.82</v>
      </c>
      <c r="O831">
        <v>12922.5</v>
      </c>
      <c r="P831">
        <v>0</v>
      </c>
      <c r="Q831" t="str">
        <f>INDEX('Partner data'!A:DH,MATCH(C831,'Partner data'!DG:DG,0),83)</f>
        <v>Soggetto pubblico</v>
      </c>
      <c r="R831" t="b">
        <f>IF(E831="staff",IF(INDEX('Partner data'!A:DH,MATCH(C831,'Partner data'!DG:DG,0),112)="BL1 non presente","FALSO",INDEX('Partner data'!A:DH,MATCH(C831,'Partner data'!DG:DG,0),112)))</f>
        <v>0</v>
      </c>
      <c r="S831" t="b">
        <f t="shared" si="24"/>
        <v>1</v>
      </c>
      <c r="T831" t="b">
        <f t="shared" si="25"/>
        <v>1</v>
      </c>
      <c r="U831" s="154">
        <f>IFERROR(IF(R831&lt;&gt;FALSE,IF(S831=TRUE,INDEX('SummaryNOT_VALIDATED-BL'!$A$1:$F$16,MATCH(R831,'SummaryNOT_VALIDATED-BL'!$A$1:$A$16,0),6),0),IF(S831=TRUE,INDEX('SummaryNOT_VALIDATED-BL'!$A$1:$F$16,MATCH(E831,'SummaryNOT_VALIDATED-BL'!$A$1:$A$16,0),6),0)),0)</f>
        <v>6.6460469504890221E-2</v>
      </c>
      <c r="V831" s="81" cm="1">
        <f t="array" ref="V831">INDEX('Weight tables'!$A$24:$C$27,MATCH(1,(RendicontiTrasmessiBL__2[[#This Row],[Cut percentage on real costs + USC]]&gt;='Weight tables'!$B$24:$B$27)*(RendicontiTrasmessiBL__2[[#This Row],[Cut percentage on real costs + USC]]&lt;='Weight tables'!$C$24:$C$27),0),1)</f>
        <v>4</v>
      </c>
      <c r="W831" s="2">
        <f>RendicontiTrasmessiBL__2[[#This Row],[Weight real costs  + USC ]]</f>
        <v>4</v>
      </c>
    </row>
    <row r="832" spans="1:23" x14ac:dyDescent="0.25">
      <c r="A832" s="1" t="s">
        <v>288</v>
      </c>
      <c r="B832" s="1" t="s">
        <v>286</v>
      </c>
      <c r="C832" s="2">
        <v>59</v>
      </c>
      <c r="D832" s="2">
        <v>181</v>
      </c>
      <c r="E832" s="1" t="s">
        <v>230</v>
      </c>
      <c r="F832">
        <v>4</v>
      </c>
      <c r="G832">
        <v>3864</v>
      </c>
      <c r="H832">
        <v>0</v>
      </c>
      <c r="I832">
        <v>0</v>
      </c>
      <c r="J832">
        <v>418</v>
      </c>
      <c r="K832">
        <v>0</v>
      </c>
      <c r="L832">
        <v>0</v>
      </c>
      <c r="M832">
        <v>418</v>
      </c>
      <c r="N832">
        <v>10.82</v>
      </c>
      <c r="O832">
        <v>3446</v>
      </c>
      <c r="P832">
        <v>0</v>
      </c>
      <c r="Q832" t="str">
        <f>INDEX('Partner data'!A:DH,MATCH(C832,'Partner data'!DG:DG,0),83)</f>
        <v>Soggetto pubblico</v>
      </c>
      <c r="R832" t="b">
        <f>IF(E832="staff",IF(INDEX('Partner data'!A:DH,MATCH(C832,'Partner data'!DG:DG,0),112)="BL1 non presente","FALSO",INDEX('Partner data'!A:DH,MATCH(C832,'Partner data'!DG:DG,0),112)))</f>
        <v>0</v>
      </c>
      <c r="S832" t="b">
        <f t="shared" si="24"/>
        <v>1</v>
      </c>
      <c r="T832" t="b">
        <f t="shared" si="25"/>
        <v>1</v>
      </c>
      <c r="U832" s="154">
        <f>IFERROR(IF(R832&lt;&gt;FALSE,IF(S832=TRUE,INDEX('SummaryNOT_VALIDATED-BL'!$A$1:$F$16,MATCH(R832,'SummaryNOT_VALIDATED-BL'!$A$1:$A$16,0),6),0),IF(S832=TRUE,INDEX('SummaryNOT_VALIDATED-BL'!$A$1:$F$16,MATCH(E832,'SummaryNOT_VALIDATED-BL'!$A$1:$A$16,0),6),0)),0)</f>
        <v>6.3112622236488891E-2</v>
      </c>
      <c r="V832" s="81" cm="1">
        <f t="array" ref="V832">INDEX('Weight tables'!$A$24:$C$27,MATCH(1,(RendicontiTrasmessiBL__2[[#This Row],[Cut percentage on real costs + USC]]&gt;='Weight tables'!$B$24:$B$27)*(RendicontiTrasmessiBL__2[[#This Row],[Cut percentage on real costs + USC]]&lt;='Weight tables'!$C$24:$C$27),0),1)</f>
        <v>4</v>
      </c>
      <c r="W832" s="2">
        <f>RendicontiTrasmessiBL__2[[#This Row],[Weight real costs  + USC ]]</f>
        <v>4</v>
      </c>
    </row>
    <row r="833" spans="1:23" x14ac:dyDescent="0.25">
      <c r="A833" s="1" t="s">
        <v>288</v>
      </c>
      <c r="B833" s="1" t="s">
        <v>286</v>
      </c>
      <c r="C833" s="2">
        <v>59</v>
      </c>
      <c r="D833" s="2">
        <v>181</v>
      </c>
      <c r="E833" s="1" t="s">
        <v>231</v>
      </c>
      <c r="G833">
        <v>35000</v>
      </c>
      <c r="H833">
        <v>0</v>
      </c>
      <c r="I833">
        <v>0</v>
      </c>
      <c r="J833">
        <v>10004</v>
      </c>
      <c r="K833">
        <v>0</v>
      </c>
      <c r="L833">
        <v>0</v>
      </c>
      <c r="M833">
        <v>10004</v>
      </c>
      <c r="N833">
        <v>28.58</v>
      </c>
      <c r="O833">
        <v>24996</v>
      </c>
      <c r="P833">
        <v>0</v>
      </c>
      <c r="Q833" t="str">
        <f>INDEX('Partner data'!A:DH,MATCH(C833,'Partner data'!DG:DG,0),83)</f>
        <v>Soggetto pubblico</v>
      </c>
      <c r="R833" t="b">
        <f>IF(E833="staff",IF(INDEX('Partner data'!A:DH,MATCH(C833,'Partner data'!DG:DG,0),112)="BL1 non presente","FALSO",INDEX('Partner data'!A:DH,MATCH(C833,'Partner data'!DG:DG,0),112)))</f>
        <v>0</v>
      </c>
      <c r="S833" t="b">
        <f t="shared" si="24"/>
        <v>1</v>
      </c>
      <c r="T833" t="b">
        <f t="shared" si="25"/>
        <v>1</v>
      </c>
      <c r="U833" s="154">
        <f>IFERROR(IF(R833&lt;&gt;FALSE,IF(S833=TRUE,INDEX('SummaryNOT_VALIDATED-BL'!$A$1:$F$16,MATCH(R833,'SummaryNOT_VALIDATED-BL'!$A$1:$A$16,0),6),0),IF(S833=TRUE,INDEX('SummaryNOT_VALIDATED-BL'!$A$1:$F$16,MATCH(E833,'SummaryNOT_VALIDATED-BL'!$A$1:$A$16,0),6),0)),0)</f>
        <v>5.577594442215475E-2</v>
      </c>
      <c r="V833" s="81" cm="1">
        <f t="array" ref="V833">INDEX('Weight tables'!$A$24:$C$27,MATCH(1,(RendicontiTrasmessiBL__2[[#This Row],[Cut percentage on real costs + USC]]&gt;='Weight tables'!$B$24:$B$27)*(RendicontiTrasmessiBL__2[[#This Row],[Cut percentage on real costs + USC]]&lt;='Weight tables'!$C$24:$C$27),0),1)</f>
        <v>4</v>
      </c>
      <c r="W833" s="2">
        <f>RendicontiTrasmessiBL__2[[#This Row],[Weight real costs  + USC ]]</f>
        <v>4</v>
      </c>
    </row>
    <row r="834" spans="1:23" x14ac:dyDescent="0.25">
      <c r="A834" s="1" t="s">
        <v>288</v>
      </c>
      <c r="B834" s="1" t="s">
        <v>286</v>
      </c>
      <c r="C834" s="2">
        <v>59</v>
      </c>
      <c r="D834" s="2">
        <v>181</v>
      </c>
      <c r="E834" s="1" t="s">
        <v>232</v>
      </c>
      <c r="G834">
        <v>0</v>
      </c>
      <c r="H834">
        <v>0</v>
      </c>
      <c r="I834">
        <v>0</v>
      </c>
      <c r="J834">
        <v>0</v>
      </c>
      <c r="K834">
        <v>0</v>
      </c>
      <c r="L834">
        <v>0</v>
      </c>
      <c r="M834">
        <v>0</v>
      </c>
      <c r="N834">
        <v>0</v>
      </c>
      <c r="O834">
        <v>0</v>
      </c>
      <c r="P834">
        <v>0</v>
      </c>
      <c r="Q834" t="str">
        <f>INDEX('Partner data'!A:DH,MATCH(C834,'Partner data'!DG:DG,0),83)</f>
        <v>Soggetto pubblico</v>
      </c>
      <c r="R834" t="b">
        <f>IF(E834="staff",IF(INDEX('Partner data'!A:DH,MATCH(C834,'Partner data'!DG:DG,0),112)="BL1 non presente","FALSO",INDEX('Partner data'!A:DH,MATCH(C834,'Partner data'!DG:DG,0),112)))</f>
        <v>0</v>
      </c>
      <c r="S834" t="b">
        <f t="shared" ref="S834:S897" si="26">IF(J834&lt;&gt;0,TRUE,FALSE)</f>
        <v>0</v>
      </c>
      <c r="T834" t="b">
        <f t="shared" ref="T834:T897" si="27">OR(Q834="Soggetto pubblico",Q834="Organismo di diritto pubblico ")</f>
        <v>1</v>
      </c>
      <c r="U834" s="154">
        <f>IFERROR(IF(R834&lt;&gt;FALSE,IF(S834=TRUE,INDEX('SummaryNOT_VALIDATED-BL'!$A$1:$F$16,MATCH(R834,'SummaryNOT_VALIDATED-BL'!$A$1:$A$16,0),6),0),IF(S834=TRUE,INDEX('SummaryNOT_VALIDATED-BL'!$A$1:$F$16,MATCH(E834,'SummaryNOT_VALIDATED-BL'!$A$1:$A$16,0),6),0)),0)</f>
        <v>0</v>
      </c>
      <c r="V834" s="81" cm="1">
        <f t="array" ref="V834">INDEX('Weight tables'!$A$24:$C$27,MATCH(1,(RendicontiTrasmessiBL__2[[#This Row],[Cut percentage on real costs + USC]]&gt;='Weight tables'!$B$24:$B$27)*(RendicontiTrasmessiBL__2[[#This Row],[Cut percentage on real costs + USC]]&lt;='Weight tables'!$C$24:$C$27),0),1)</f>
        <v>0</v>
      </c>
      <c r="W834" s="2">
        <f>RendicontiTrasmessiBL__2[[#This Row],[Weight real costs  + USC ]]</f>
        <v>0</v>
      </c>
    </row>
    <row r="835" spans="1:23" x14ac:dyDescent="0.25">
      <c r="A835" s="1" t="s">
        <v>288</v>
      </c>
      <c r="B835" s="1" t="s">
        <v>286</v>
      </c>
      <c r="C835" s="2">
        <v>59</v>
      </c>
      <c r="D835" s="2">
        <v>181</v>
      </c>
      <c r="E835" s="1" t="s">
        <v>233</v>
      </c>
      <c r="G835">
        <v>0</v>
      </c>
      <c r="H835">
        <v>0</v>
      </c>
      <c r="I835">
        <v>0</v>
      </c>
      <c r="J835">
        <v>0</v>
      </c>
      <c r="K835">
        <v>0</v>
      </c>
      <c r="L835">
        <v>0</v>
      </c>
      <c r="M835">
        <v>0</v>
      </c>
      <c r="N835">
        <v>0</v>
      </c>
      <c r="O835">
        <v>0</v>
      </c>
      <c r="P835">
        <v>0</v>
      </c>
      <c r="Q835" t="str">
        <f>INDEX('Partner data'!A:DH,MATCH(C835,'Partner data'!DG:DG,0),83)</f>
        <v>Soggetto pubblico</v>
      </c>
      <c r="R835" t="b">
        <f>IF(E835="staff",IF(INDEX('Partner data'!A:DH,MATCH(C835,'Partner data'!DG:DG,0),112)="BL1 non presente","FALSO",INDEX('Partner data'!A:DH,MATCH(C835,'Partner data'!DG:DG,0),112)))</f>
        <v>0</v>
      </c>
      <c r="S835" t="b">
        <f t="shared" si="26"/>
        <v>0</v>
      </c>
      <c r="T835" t="b">
        <f t="shared" si="27"/>
        <v>1</v>
      </c>
      <c r="U835" s="154">
        <f>IFERROR(IF(R835&lt;&gt;FALSE,IF(S835=TRUE,INDEX('SummaryNOT_VALIDATED-BL'!$A$1:$F$16,MATCH(R835,'SummaryNOT_VALIDATED-BL'!$A$1:$A$16,0),6),0),IF(S835=TRUE,INDEX('SummaryNOT_VALIDATED-BL'!$A$1:$F$16,MATCH(E835,'SummaryNOT_VALIDATED-BL'!$A$1:$A$16,0),6),0)),0)</f>
        <v>0</v>
      </c>
      <c r="V835" s="81" cm="1">
        <f t="array" ref="V835">INDEX('Weight tables'!$A$24:$C$27,MATCH(1,(RendicontiTrasmessiBL__2[[#This Row],[Cut percentage on real costs + USC]]&gt;='Weight tables'!$B$24:$B$27)*(RendicontiTrasmessiBL__2[[#This Row],[Cut percentage on real costs + USC]]&lt;='Weight tables'!$C$24:$C$27),0),1)</f>
        <v>0</v>
      </c>
      <c r="W835" s="2">
        <f>RendicontiTrasmessiBL__2[[#This Row],[Weight real costs  + USC ]]</f>
        <v>0</v>
      </c>
    </row>
    <row r="836" spans="1:23" x14ac:dyDescent="0.25">
      <c r="A836" s="1" t="s">
        <v>288</v>
      </c>
      <c r="B836" s="1" t="s">
        <v>286</v>
      </c>
      <c r="C836" s="2">
        <v>59</v>
      </c>
      <c r="D836" s="2">
        <v>181</v>
      </c>
      <c r="E836" s="1" t="s">
        <v>234</v>
      </c>
      <c r="G836">
        <v>0</v>
      </c>
      <c r="H836">
        <v>0</v>
      </c>
      <c r="I836">
        <v>0</v>
      </c>
      <c r="J836">
        <v>0</v>
      </c>
      <c r="K836">
        <v>0</v>
      </c>
      <c r="L836">
        <v>0</v>
      </c>
      <c r="M836">
        <v>0</v>
      </c>
      <c r="N836">
        <v>0</v>
      </c>
      <c r="O836">
        <v>0</v>
      </c>
      <c r="P836">
        <v>0</v>
      </c>
      <c r="Q836" t="str">
        <f>INDEX('Partner data'!A:DH,MATCH(C836,'Partner data'!DG:DG,0),83)</f>
        <v>Soggetto pubblico</v>
      </c>
      <c r="R836" t="b">
        <f>IF(E836="staff",IF(INDEX('Partner data'!A:DH,MATCH(C836,'Partner data'!DG:DG,0),112)="BL1 non presente","FALSO",INDEX('Partner data'!A:DH,MATCH(C836,'Partner data'!DG:DG,0),112)))</f>
        <v>0</v>
      </c>
      <c r="S836" t="b">
        <f t="shared" si="26"/>
        <v>0</v>
      </c>
      <c r="T836" t="b">
        <f t="shared" si="27"/>
        <v>1</v>
      </c>
      <c r="U836" s="154">
        <f>IFERROR(IF(R836&lt;&gt;FALSE,IF(S836=TRUE,INDEX('SummaryNOT_VALIDATED-BL'!$A$1:$F$16,MATCH(R836,'SummaryNOT_VALIDATED-BL'!$A$1:$A$16,0),6),0),IF(S836=TRUE,INDEX('SummaryNOT_VALIDATED-BL'!$A$1:$F$16,MATCH(E836,'SummaryNOT_VALIDATED-BL'!$A$1:$A$16,0),6),0)),0)</f>
        <v>0</v>
      </c>
      <c r="V836" s="81" cm="1">
        <f t="array" ref="V836">INDEX('Weight tables'!$A$24:$C$27,MATCH(1,(RendicontiTrasmessiBL__2[[#This Row],[Cut percentage on real costs + USC]]&gt;='Weight tables'!$B$24:$B$27)*(RendicontiTrasmessiBL__2[[#This Row],[Cut percentage on real costs + USC]]&lt;='Weight tables'!$C$24:$C$27),0),1)</f>
        <v>0</v>
      </c>
      <c r="W836" s="2">
        <f>RendicontiTrasmessiBL__2[[#This Row],[Weight real costs  + USC ]]</f>
        <v>0</v>
      </c>
    </row>
    <row r="837" spans="1:23" x14ac:dyDescent="0.25">
      <c r="A837" s="1" t="s">
        <v>288</v>
      </c>
      <c r="B837" s="1" t="s">
        <v>286</v>
      </c>
      <c r="C837" s="2">
        <v>59</v>
      </c>
      <c r="D837" s="2">
        <v>181</v>
      </c>
      <c r="E837" s="1" t="s">
        <v>236</v>
      </c>
      <c r="G837">
        <v>0</v>
      </c>
      <c r="H837">
        <v>0</v>
      </c>
      <c r="I837">
        <v>0</v>
      </c>
      <c r="J837">
        <v>0</v>
      </c>
      <c r="K837">
        <v>0</v>
      </c>
      <c r="L837">
        <v>0</v>
      </c>
      <c r="M837">
        <v>0</v>
      </c>
      <c r="N837">
        <v>0</v>
      </c>
      <c r="O837">
        <v>0</v>
      </c>
      <c r="P837">
        <v>0</v>
      </c>
      <c r="Q837" t="str">
        <f>INDEX('Partner data'!A:DH,MATCH(C837,'Partner data'!DG:DG,0),83)</f>
        <v>Soggetto pubblico</v>
      </c>
      <c r="R837" t="b">
        <f>IF(E837="staff",IF(INDEX('Partner data'!A:DH,MATCH(C837,'Partner data'!DG:DG,0),112)="BL1 non presente","FALSO",INDEX('Partner data'!A:DH,MATCH(C837,'Partner data'!DG:DG,0),112)))</f>
        <v>0</v>
      </c>
      <c r="S837" t="b">
        <f t="shared" si="26"/>
        <v>0</v>
      </c>
      <c r="T837" t="b">
        <f t="shared" si="27"/>
        <v>1</v>
      </c>
      <c r="U837" s="154">
        <f>IFERROR(IF(R837&lt;&gt;FALSE,IF(S837=TRUE,INDEX('SummaryNOT_VALIDATED-BL'!$A$1:$F$16,MATCH(R837,'SummaryNOT_VALIDATED-BL'!$A$1:$A$16,0),6),0),IF(S837=TRUE,INDEX('SummaryNOT_VALIDATED-BL'!$A$1:$F$16,MATCH(E837,'SummaryNOT_VALIDATED-BL'!$A$1:$A$16,0),6),0)),0)</f>
        <v>0</v>
      </c>
      <c r="V837" s="81" cm="1">
        <f t="array" ref="V837">INDEX('Weight tables'!$A$24:$C$27,MATCH(1,(RendicontiTrasmessiBL__2[[#This Row],[Cut percentage on real costs + USC]]&gt;='Weight tables'!$B$24:$B$27)*(RendicontiTrasmessiBL__2[[#This Row],[Cut percentage on real costs + USC]]&lt;='Weight tables'!$C$24:$C$27),0),1)</f>
        <v>0</v>
      </c>
      <c r="W837" s="2">
        <f>RendicontiTrasmessiBL__2[[#This Row],[Weight real costs  + USC ]]</f>
        <v>0</v>
      </c>
    </row>
    <row r="838" spans="1:23" x14ac:dyDescent="0.25">
      <c r="A838" s="1" t="s">
        <v>288</v>
      </c>
      <c r="B838" s="1" t="s">
        <v>286</v>
      </c>
      <c r="C838" s="2">
        <v>59</v>
      </c>
      <c r="D838" s="2">
        <v>181</v>
      </c>
      <c r="E838" s="1" t="s">
        <v>237</v>
      </c>
      <c r="G838">
        <v>0</v>
      </c>
      <c r="H838">
        <v>0</v>
      </c>
      <c r="I838">
        <v>0</v>
      </c>
      <c r="J838">
        <v>0</v>
      </c>
      <c r="K838">
        <v>0</v>
      </c>
      <c r="L838">
        <v>0</v>
      </c>
      <c r="M838">
        <v>0</v>
      </c>
      <c r="N838">
        <v>0</v>
      </c>
      <c r="O838">
        <v>0</v>
      </c>
      <c r="P838">
        <v>0</v>
      </c>
      <c r="Q838" t="str">
        <f>INDEX('Partner data'!A:DH,MATCH(C838,'Partner data'!DG:DG,0),83)</f>
        <v>Soggetto pubblico</v>
      </c>
      <c r="R838" t="b">
        <f>IF(E838="staff",IF(INDEX('Partner data'!A:DH,MATCH(C838,'Partner data'!DG:DG,0),112)="BL1 non presente","FALSO",INDEX('Partner data'!A:DH,MATCH(C838,'Partner data'!DG:DG,0),112)))</f>
        <v>0</v>
      </c>
      <c r="S838" t="b">
        <f t="shared" si="26"/>
        <v>0</v>
      </c>
      <c r="T838" t="b">
        <f t="shared" si="27"/>
        <v>1</v>
      </c>
      <c r="U838" s="154">
        <f>IFERROR(IF(R838&lt;&gt;FALSE,IF(S838=TRUE,INDEX('SummaryNOT_VALIDATED-BL'!$A$1:$F$16,MATCH(R838,'SummaryNOT_VALIDATED-BL'!$A$1:$A$16,0),6),0),IF(S838=TRUE,INDEX('SummaryNOT_VALIDATED-BL'!$A$1:$F$16,MATCH(E838,'SummaryNOT_VALIDATED-BL'!$A$1:$A$16,0),6),0)),0)</f>
        <v>0</v>
      </c>
      <c r="V838" s="81" cm="1">
        <f t="array" ref="V838">INDEX('Weight tables'!$A$24:$C$27,MATCH(1,(RendicontiTrasmessiBL__2[[#This Row],[Cut percentage on real costs + USC]]&gt;='Weight tables'!$B$24:$B$27)*(RendicontiTrasmessiBL__2[[#This Row],[Cut percentage on real costs + USC]]&lt;='Weight tables'!$C$24:$C$27),0),1)</f>
        <v>0</v>
      </c>
      <c r="W838" s="2">
        <f>RendicontiTrasmessiBL__2[[#This Row],[Weight real costs  + USC ]]</f>
        <v>0</v>
      </c>
    </row>
    <row r="839" spans="1:23" x14ac:dyDescent="0.25">
      <c r="A839" s="1" t="s">
        <v>288</v>
      </c>
      <c r="B839" s="1" t="s">
        <v>292</v>
      </c>
      <c r="C839" s="2">
        <v>60</v>
      </c>
      <c r="D839" s="2">
        <v>183</v>
      </c>
      <c r="E839" s="1" t="s">
        <v>228</v>
      </c>
      <c r="G839">
        <v>53946.43</v>
      </c>
      <c r="H839">
        <v>0</v>
      </c>
      <c r="I839">
        <v>0</v>
      </c>
      <c r="J839">
        <v>10741</v>
      </c>
      <c r="K839">
        <v>0</v>
      </c>
      <c r="L839">
        <v>0</v>
      </c>
      <c r="M839">
        <v>10741</v>
      </c>
      <c r="N839">
        <v>19.91</v>
      </c>
      <c r="O839">
        <v>43205.43</v>
      </c>
      <c r="P839">
        <v>0</v>
      </c>
      <c r="Q839" t="str">
        <f>INDEX('Partner data'!A:DH,MATCH(C839,'Partner data'!DG:DG,0),83)</f>
        <v>Soggetto pubblico</v>
      </c>
      <c r="R839" t="str">
        <f>IF(E839="staff",IF(INDEX('Partner data'!A:DH,MATCH(C839,'Partner data'!DG:DG,0),112)="BL1 non presente","FALSO",INDEX('Partner data'!A:DH,MATCH(C839,'Partner data'!DG:DG,0),112)))</f>
        <v>COSTO REALE</v>
      </c>
      <c r="S839" t="b">
        <f t="shared" si="26"/>
        <v>1</v>
      </c>
      <c r="T839" t="b">
        <f t="shared" si="27"/>
        <v>1</v>
      </c>
      <c r="U839" s="154">
        <f>IFERROR(IF(R839&lt;&gt;FALSE,IF(S839=TRUE,INDEX('SummaryNOT_VALIDATED-BL'!$A$1:$F$16,MATCH(R839,'SummaryNOT_VALIDATED-BL'!$A$1:$A$16,0),6),0),IF(S839=TRUE,INDEX('SummaryNOT_VALIDATED-BL'!$A$1:$F$16,MATCH(E839,'SummaryNOT_VALIDATED-BL'!$A$1:$A$16,0),6),0)),0)</f>
        <v>9.1604133276901048E-2</v>
      </c>
      <c r="V839" s="81" cm="1">
        <f t="array" ref="V839">INDEX('Weight tables'!$A$24:$C$27,MATCH(1,(RendicontiTrasmessiBL__2[[#This Row],[Cut percentage on real costs + USC]]&gt;='Weight tables'!$B$24:$B$27)*(RendicontiTrasmessiBL__2[[#This Row],[Cut percentage on real costs + USC]]&lt;='Weight tables'!$C$24:$C$27),0),1)</f>
        <v>4</v>
      </c>
      <c r="W839" s="2">
        <f>RendicontiTrasmessiBL__2[[#This Row],[Weight real costs  + USC ]]</f>
        <v>4</v>
      </c>
    </row>
    <row r="840" spans="1:23" x14ac:dyDescent="0.25">
      <c r="A840" s="1" t="s">
        <v>288</v>
      </c>
      <c r="B840" s="1" t="s">
        <v>292</v>
      </c>
      <c r="C840" s="2">
        <v>60</v>
      </c>
      <c r="D840" s="2">
        <v>183</v>
      </c>
      <c r="E840" s="1" t="s">
        <v>229</v>
      </c>
      <c r="F840">
        <v>15</v>
      </c>
      <c r="G840">
        <v>8091.96</v>
      </c>
      <c r="H840">
        <v>0</v>
      </c>
      <c r="I840">
        <v>0</v>
      </c>
      <c r="J840">
        <v>1611.15</v>
      </c>
      <c r="K840">
        <v>0</v>
      </c>
      <c r="L840">
        <v>0</v>
      </c>
      <c r="M840">
        <v>1611.15</v>
      </c>
      <c r="N840">
        <v>19.91</v>
      </c>
      <c r="O840">
        <v>6480.81</v>
      </c>
      <c r="P840">
        <v>0</v>
      </c>
      <c r="Q840" t="str">
        <f>INDEX('Partner data'!A:DH,MATCH(C840,'Partner data'!DG:DG,0),83)</f>
        <v>Soggetto pubblico</v>
      </c>
      <c r="R840" t="b">
        <f>IF(E840="staff",IF(INDEX('Partner data'!A:DH,MATCH(C840,'Partner data'!DG:DG,0),112)="BL1 non presente","FALSO",INDEX('Partner data'!A:DH,MATCH(C840,'Partner data'!DG:DG,0),112)))</f>
        <v>0</v>
      </c>
      <c r="S840" t="b">
        <f t="shared" si="26"/>
        <v>1</v>
      </c>
      <c r="T840" t="b">
        <f t="shared" si="27"/>
        <v>1</v>
      </c>
      <c r="U840" s="154">
        <f>IFERROR(IF(R840&lt;&gt;FALSE,IF(S840=TRUE,INDEX('SummaryNOT_VALIDATED-BL'!$A$1:$F$16,MATCH(R840,'SummaryNOT_VALIDATED-BL'!$A$1:$A$16,0),6),0),IF(S840=TRUE,INDEX('SummaryNOT_VALIDATED-BL'!$A$1:$F$16,MATCH(E840,'SummaryNOT_VALIDATED-BL'!$A$1:$A$16,0),6),0)),0)</f>
        <v>6.6460469504890221E-2</v>
      </c>
      <c r="V840" s="81" cm="1">
        <f t="array" ref="V840">INDEX('Weight tables'!$A$24:$C$27,MATCH(1,(RendicontiTrasmessiBL__2[[#This Row],[Cut percentage on real costs + USC]]&gt;='Weight tables'!$B$24:$B$27)*(RendicontiTrasmessiBL__2[[#This Row],[Cut percentage on real costs + USC]]&lt;='Weight tables'!$C$24:$C$27),0),1)</f>
        <v>4</v>
      </c>
      <c r="W840" s="2">
        <f>RendicontiTrasmessiBL__2[[#This Row],[Weight real costs  + USC ]]</f>
        <v>4</v>
      </c>
    </row>
    <row r="841" spans="1:23" x14ac:dyDescent="0.25">
      <c r="A841" s="1" t="s">
        <v>288</v>
      </c>
      <c r="B841" s="1" t="s">
        <v>292</v>
      </c>
      <c r="C841" s="2">
        <v>60</v>
      </c>
      <c r="D841" s="2">
        <v>183</v>
      </c>
      <c r="E841" s="1" t="s">
        <v>230</v>
      </c>
      <c r="F841">
        <v>4</v>
      </c>
      <c r="G841">
        <v>2157.85</v>
      </c>
      <c r="H841">
        <v>0</v>
      </c>
      <c r="I841">
        <v>0</v>
      </c>
      <c r="J841">
        <v>429.64</v>
      </c>
      <c r="K841">
        <v>0</v>
      </c>
      <c r="L841">
        <v>0</v>
      </c>
      <c r="M841">
        <v>429.64</v>
      </c>
      <c r="N841">
        <v>19.91</v>
      </c>
      <c r="O841">
        <v>1728.21</v>
      </c>
      <c r="P841">
        <v>0</v>
      </c>
      <c r="Q841" t="str">
        <f>INDEX('Partner data'!A:DH,MATCH(C841,'Partner data'!DG:DG,0),83)</f>
        <v>Soggetto pubblico</v>
      </c>
      <c r="R841" t="b">
        <f>IF(E841="staff",IF(INDEX('Partner data'!A:DH,MATCH(C841,'Partner data'!DG:DG,0),112)="BL1 non presente","FALSO",INDEX('Partner data'!A:DH,MATCH(C841,'Partner data'!DG:DG,0),112)))</f>
        <v>0</v>
      </c>
      <c r="S841" t="b">
        <f t="shared" si="26"/>
        <v>1</v>
      </c>
      <c r="T841" t="b">
        <f t="shared" si="27"/>
        <v>1</v>
      </c>
      <c r="U841" s="154">
        <f>IFERROR(IF(R841&lt;&gt;FALSE,IF(S841=TRUE,INDEX('SummaryNOT_VALIDATED-BL'!$A$1:$F$16,MATCH(R841,'SummaryNOT_VALIDATED-BL'!$A$1:$A$16,0),6),0),IF(S841=TRUE,INDEX('SummaryNOT_VALIDATED-BL'!$A$1:$F$16,MATCH(E841,'SummaryNOT_VALIDATED-BL'!$A$1:$A$16,0),6),0)),0)</f>
        <v>6.3112622236488891E-2</v>
      </c>
      <c r="V841" s="81" cm="1">
        <f t="array" ref="V841">INDEX('Weight tables'!$A$24:$C$27,MATCH(1,(RendicontiTrasmessiBL__2[[#This Row],[Cut percentage on real costs + USC]]&gt;='Weight tables'!$B$24:$B$27)*(RendicontiTrasmessiBL__2[[#This Row],[Cut percentage on real costs + USC]]&lt;='Weight tables'!$C$24:$C$27),0),1)</f>
        <v>4</v>
      </c>
      <c r="W841" s="2">
        <f>RendicontiTrasmessiBL__2[[#This Row],[Weight real costs  + USC ]]</f>
        <v>4</v>
      </c>
    </row>
    <row r="842" spans="1:23" x14ac:dyDescent="0.25">
      <c r="A842" s="1" t="s">
        <v>288</v>
      </c>
      <c r="B842" s="1" t="s">
        <v>292</v>
      </c>
      <c r="C842" s="2">
        <v>60</v>
      </c>
      <c r="D842" s="2">
        <v>183</v>
      </c>
      <c r="E842" s="1" t="s">
        <v>231</v>
      </c>
      <c r="G842">
        <v>35000</v>
      </c>
      <c r="H842">
        <v>0</v>
      </c>
      <c r="I842">
        <v>0</v>
      </c>
      <c r="J842">
        <v>0</v>
      </c>
      <c r="K842">
        <v>0</v>
      </c>
      <c r="L842">
        <v>0</v>
      </c>
      <c r="M842">
        <v>0</v>
      </c>
      <c r="N842">
        <v>0</v>
      </c>
      <c r="O842">
        <v>35000</v>
      </c>
      <c r="P842">
        <v>0</v>
      </c>
      <c r="Q842" t="str">
        <f>INDEX('Partner data'!A:DH,MATCH(C842,'Partner data'!DG:DG,0),83)</f>
        <v>Soggetto pubblico</v>
      </c>
      <c r="R842" t="b">
        <f>IF(E842="staff",IF(INDEX('Partner data'!A:DH,MATCH(C842,'Partner data'!DG:DG,0),112)="BL1 non presente","FALSO",INDEX('Partner data'!A:DH,MATCH(C842,'Partner data'!DG:DG,0),112)))</f>
        <v>0</v>
      </c>
      <c r="S842" t="b">
        <f t="shared" si="26"/>
        <v>0</v>
      </c>
      <c r="T842" t="b">
        <f t="shared" si="27"/>
        <v>1</v>
      </c>
      <c r="U842" s="154">
        <f>IFERROR(IF(R842&lt;&gt;FALSE,IF(S842=TRUE,INDEX('SummaryNOT_VALIDATED-BL'!$A$1:$F$16,MATCH(R842,'SummaryNOT_VALIDATED-BL'!$A$1:$A$16,0),6),0),IF(S842=TRUE,INDEX('SummaryNOT_VALIDATED-BL'!$A$1:$F$16,MATCH(E842,'SummaryNOT_VALIDATED-BL'!$A$1:$A$16,0),6),0)),0)</f>
        <v>0</v>
      </c>
      <c r="V842" s="81" cm="1">
        <f t="array" ref="V842">INDEX('Weight tables'!$A$24:$C$27,MATCH(1,(RendicontiTrasmessiBL__2[[#This Row],[Cut percentage on real costs + USC]]&gt;='Weight tables'!$B$24:$B$27)*(RendicontiTrasmessiBL__2[[#This Row],[Cut percentage on real costs + USC]]&lt;='Weight tables'!$C$24:$C$27),0),1)</f>
        <v>0</v>
      </c>
      <c r="W842" s="2">
        <f>RendicontiTrasmessiBL__2[[#This Row],[Weight real costs  + USC ]]</f>
        <v>0</v>
      </c>
    </row>
    <row r="843" spans="1:23" x14ac:dyDescent="0.25">
      <c r="A843" s="1" t="s">
        <v>288</v>
      </c>
      <c r="B843" s="1" t="s">
        <v>292</v>
      </c>
      <c r="C843" s="2">
        <v>60</v>
      </c>
      <c r="D843" s="2">
        <v>183</v>
      </c>
      <c r="E843" s="1" t="s">
        <v>232</v>
      </c>
      <c r="G843">
        <v>0</v>
      </c>
      <c r="H843">
        <v>0</v>
      </c>
      <c r="I843">
        <v>0</v>
      </c>
      <c r="J843">
        <v>0</v>
      </c>
      <c r="K843">
        <v>0</v>
      </c>
      <c r="L843">
        <v>0</v>
      </c>
      <c r="M843">
        <v>0</v>
      </c>
      <c r="N843">
        <v>0</v>
      </c>
      <c r="O843">
        <v>0</v>
      </c>
      <c r="P843">
        <v>0</v>
      </c>
      <c r="Q843" t="str">
        <f>INDEX('Partner data'!A:DH,MATCH(C843,'Partner data'!DG:DG,0),83)</f>
        <v>Soggetto pubblico</v>
      </c>
      <c r="R843" t="b">
        <f>IF(E843="staff",IF(INDEX('Partner data'!A:DH,MATCH(C843,'Partner data'!DG:DG,0),112)="BL1 non presente","FALSO",INDEX('Partner data'!A:DH,MATCH(C843,'Partner data'!DG:DG,0),112)))</f>
        <v>0</v>
      </c>
      <c r="S843" t="b">
        <f t="shared" si="26"/>
        <v>0</v>
      </c>
      <c r="T843" t="b">
        <f t="shared" si="27"/>
        <v>1</v>
      </c>
      <c r="U843" s="154">
        <f>IFERROR(IF(R843&lt;&gt;FALSE,IF(S843=TRUE,INDEX('SummaryNOT_VALIDATED-BL'!$A$1:$F$16,MATCH(R843,'SummaryNOT_VALIDATED-BL'!$A$1:$A$16,0),6),0),IF(S843=TRUE,INDEX('SummaryNOT_VALIDATED-BL'!$A$1:$F$16,MATCH(E843,'SummaryNOT_VALIDATED-BL'!$A$1:$A$16,0),6),0)),0)</f>
        <v>0</v>
      </c>
      <c r="V843" s="81" cm="1">
        <f t="array" ref="V843">INDEX('Weight tables'!$A$24:$C$27,MATCH(1,(RendicontiTrasmessiBL__2[[#This Row],[Cut percentage on real costs + USC]]&gt;='Weight tables'!$B$24:$B$27)*(RendicontiTrasmessiBL__2[[#This Row],[Cut percentage on real costs + USC]]&lt;='Weight tables'!$C$24:$C$27),0),1)</f>
        <v>0</v>
      </c>
      <c r="W843" s="2">
        <f>RendicontiTrasmessiBL__2[[#This Row],[Weight real costs  + USC ]]</f>
        <v>0</v>
      </c>
    </row>
    <row r="844" spans="1:23" x14ac:dyDescent="0.25">
      <c r="A844" s="1" t="s">
        <v>288</v>
      </c>
      <c r="B844" s="1" t="s">
        <v>292</v>
      </c>
      <c r="C844" s="2">
        <v>60</v>
      </c>
      <c r="D844" s="2">
        <v>183</v>
      </c>
      <c r="E844" s="1" t="s">
        <v>233</v>
      </c>
      <c r="G844">
        <v>0</v>
      </c>
      <c r="H844">
        <v>0</v>
      </c>
      <c r="I844">
        <v>0</v>
      </c>
      <c r="J844">
        <v>0</v>
      </c>
      <c r="K844">
        <v>0</v>
      </c>
      <c r="L844">
        <v>0</v>
      </c>
      <c r="M844">
        <v>0</v>
      </c>
      <c r="N844">
        <v>0</v>
      </c>
      <c r="O844">
        <v>0</v>
      </c>
      <c r="P844">
        <v>0</v>
      </c>
      <c r="Q844" t="str">
        <f>INDEX('Partner data'!A:DH,MATCH(C844,'Partner data'!DG:DG,0),83)</f>
        <v>Soggetto pubblico</v>
      </c>
      <c r="R844" t="b">
        <f>IF(E844="staff",IF(INDEX('Partner data'!A:DH,MATCH(C844,'Partner data'!DG:DG,0),112)="BL1 non presente","FALSO",INDEX('Partner data'!A:DH,MATCH(C844,'Partner data'!DG:DG,0),112)))</f>
        <v>0</v>
      </c>
      <c r="S844" t="b">
        <f t="shared" si="26"/>
        <v>0</v>
      </c>
      <c r="T844" t="b">
        <f t="shared" si="27"/>
        <v>1</v>
      </c>
      <c r="U844" s="154">
        <f>IFERROR(IF(R844&lt;&gt;FALSE,IF(S844=TRUE,INDEX('SummaryNOT_VALIDATED-BL'!$A$1:$F$16,MATCH(R844,'SummaryNOT_VALIDATED-BL'!$A$1:$A$16,0),6),0),IF(S844=TRUE,INDEX('SummaryNOT_VALIDATED-BL'!$A$1:$F$16,MATCH(E844,'SummaryNOT_VALIDATED-BL'!$A$1:$A$16,0),6),0)),0)</f>
        <v>0</v>
      </c>
      <c r="V844" s="81" cm="1">
        <f t="array" ref="V844">INDEX('Weight tables'!$A$24:$C$27,MATCH(1,(RendicontiTrasmessiBL__2[[#This Row],[Cut percentage on real costs + USC]]&gt;='Weight tables'!$B$24:$B$27)*(RendicontiTrasmessiBL__2[[#This Row],[Cut percentage on real costs + USC]]&lt;='Weight tables'!$C$24:$C$27),0),1)</f>
        <v>0</v>
      </c>
      <c r="W844" s="2">
        <f>RendicontiTrasmessiBL__2[[#This Row],[Weight real costs  + USC ]]</f>
        <v>0</v>
      </c>
    </row>
    <row r="845" spans="1:23" x14ac:dyDescent="0.25">
      <c r="A845" s="1" t="s">
        <v>288</v>
      </c>
      <c r="B845" s="1" t="s">
        <v>292</v>
      </c>
      <c r="C845" s="2">
        <v>60</v>
      </c>
      <c r="D845" s="2">
        <v>183</v>
      </c>
      <c r="E845" s="1" t="s">
        <v>234</v>
      </c>
      <c r="G845">
        <v>0</v>
      </c>
      <c r="H845">
        <v>0</v>
      </c>
      <c r="I845">
        <v>0</v>
      </c>
      <c r="J845">
        <v>0</v>
      </c>
      <c r="K845">
        <v>0</v>
      </c>
      <c r="L845">
        <v>0</v>
      </c>
      <c r="M845">
        <v>0</v>
      </c>
      <c r="N845">
        <v>0</v>
      </c>
      <c r="O845">
        <v>0</v>
      </c>
      <c r="P845">
        <v>0</v>
      </c>
      <c r="Q845" t="str">
        <f>INDEX('Partner data'!A:DH,MATCH(C845,'Partner data'!DG:DG,0),83)</f>
        <v>Soggetto pubblico</v>
      </c>
      <c r="R845" t="b">
        <f>IF(E845="staff",IF(INDEX('Partner data'!A:DH,MATCH(C845,'Partner data'!DG:DG,0),112)="BL1 non presente","FALSO",INDEX('Partner data'!A:DH,MATCH(C845,'Partner data'!DG:DG,0),112)))</f>
        <v>0</v>
      </c>
      <c r="S845" t="b">
        <f t="shared" si="26"/>
        <v>0</v>
      </c>
      <c r="T845" t="b">
        <f t="shared" si="27"/>
        <v>1</v>
      </c>
      <c r="U845" s="154">
        <f>IFERROR(IF(R845&lt;&gt;FALSE,IF(S845=TRUE,INDEX('SummaryNOT_VALIDATED-BL'!$A$1:$F$16,MATCH(R845,'SummaryNOT_VALIDATED-BL'!$A$1:$A$16,0),6),0),IF(S845=TRUE,INDEX('SummaryNOT_VALIDATED-BL'!$A$1:$F$16,MATCH(E845,'SummaryNOT_VALIDATED-BL'!$A$1:$A$16,0),6),0)),0)</f>
        <v>0</v>
      </c>
      <c r="V845" s="81" cm="1">
        <f t="array" ref="V845">INDEX('Weight tables'!$A$24:$C$27,MATCH(1,(RendicontiTrasmessiBL__2[[#This Row],[Cut percentage on real costs + USC]]&gt;='Weight tables'!$B$24:$B$27)*(RendicontiTrasmessiBL__2[[#This Row],[Cut percentage on real costs + USC]]&lt;='Weight tables'!$C$24:$C$27),0),1)</f>
        <v>0</v>
      </c>
      <c r="W845" s="2">
        <f>RendicontiTrasmessiBL__2[[#This Row],[Weight real costs  + USC ]]</f>
        <v>0</v>
      </c>
    </row>
    <row r="846" spans="1:23" x14ac:dyDescent="0.25">
      <c r="A846" s="1" t="s">
        <v>288</v>
      </c>
      <c r="B846" s="1" t="s">
        <v>292</v>
      </c>
      <c r="C846" s="2">
        <v>60</v>
      </c>
      <c r="D846" s="2">
        <v>183</v>
      </c>
      <c r="E846" s="1" t="s">
        <v>236</v>
      </c>
      <c r="G846">
        <v>0</v>
      </c>
      <c r="H846">
        <v>0</v>
      </c>
      <c r="I846">
        <v>0</v>
      </c>
      <c r="J846">
        <v>0</v>
      </c>
      <c r="K846">
        <v>0</v>
      </c>
      <c r="L846">
        <v>0</v>
      </c>
      <c r="M846">
        <v>0</v>
      </c>
      <c r="N846">
        <v>0</v>
      </c>
      <c r="O846">
        <v>0</v>
      </c>
      <c r="P846">
        <v>0</v>
      </c>
      <c r="Q846" t="str">
        <f>INDEX('Partner data'!A:DH,MATCH(C846,'Partner data'!DG:DG,0),83)</f>
        <v>Soggetto pubblico</v>
      </c>
      <c r="R846" t="b">
        <f>IF(E846="staff",IF(INDEX('Partner data'!A:DH,MATCH(C846,'Partner data'!DG:DG,0),112)="BL1 non presente","FALSO",INDEX('Partner data'!A:DH,MATCH(C846,'Partner data'!DG:DG,0),112)))</f>
        <v>0</v>
      </c>
      <c r="S846" t="b">
        <f t="shared" si="26"/>
        <v>0</v>
      </c>
      <c r="T846" t="b">
        <f t="shared" si="27"/>
        <v>1</v>
      </c>
      <c r="U846" s="154">
        <f>IFERROR(IF(R846&lt;&gt;FALSE,IF(S846=TRUE,INDEX('SummaryNOT_VALIDATED-BL'!$A$1:$F$16,MATCH(R846,'SummaryNOT_VALIDATED-BL'!$A$1:$A$16,0),6),0),IF(S846=TRUE,INDEX('SummaryNOT_VALIDATED-BL'!$A$1:$F$16,MATCH(E846,'SummaryNOT_VALIDATED-BL'!$A$1:$A$16,0),6),0)),0)</f>
        <v>0</v>
      </c>
      <c r="V846" s="81" cm="1">
        <f t="array" ref="V846">INDEX('Weight tables'!$A$24:$C$27,MATCH(1,(RendicontiTrasmessiBL__2[[#This Row],[Cut percentage on real costs + USC]]&gt;='Weight tables'!$B$24:$B$27)*(RendicontiTrasmessiBL__2[[#This Row],[Cut percentage on real costs + USC]]&lt;='Weight tables'!$C$24:$C$27),0),1)</f>
        <v>0</v>
      </c>
      <c r="W846" s="2">
        <f>RendicontiTrasmessiBL__2[[#This Row],[Weight real costs  + USC ]]</f>
        <v>0</v>
      </c>
    </row>
    <row r="847" spans="1:23" x14ac:dyDescent="0.25">
      <c r="A847" s="1" t="s">
        <v>288</v>
      </c>
      <c r="B847" s="1" t="s">
        <v>292</v>
      </c>
      <c r="C847" s="2">
        <v>60</v>
      </c>
      <c r="D847" s="2">
        <v>183</v>
      </c>
      <c r="E847" s="1" t="s">
        <v>237</v>
      </c>
      <c r="G847">
        <v>0</v>
      </c>
      <c r="H847">
        <v>0</v>
      </c>
      <c r="I847">
        <v>0</v>
      </c>
      <c r="J847">
        <v>0</v>
      </c>
      <c r="K847">
        <v>0</v>
      </c>
      <c r="L847">
        <v>0</v>
      </c>
      <c r="M847">
        <v>0</v>
      </c>
      <c r="N847">
        <v>0</v>
      </c>
      <c r="O847">
        <v>0</v>
      </c>
      <c r="P847">
        <v>0</v>
      </c>
      <c r="Q847" t="str">
        <f>INDEX('Partner data'!A:DH,MATCH(C847,'Partner data'!DG:DG,0),83)</f>
        <v>Soggetto pubblico</v>
      </c>
      <c r="R847" t="b">
        <f>IF(E847="staff",IF(INDEX('Partner data'!A:DH,MATCH(C847,'Partner data'!DG:DG,0),112)="BL1 non presente","FALSO",INDEX('Partner data'!A:DH,MATCH(C847,'Partner data'!DG:DG,0),112)))</f>
        <v>0</v>
      </c>
      <c r="S847" t="b">
        <f t="shared" si="26"/>
        <v>0</v>
      </c>
      <c r="T847" t="b">
        <f t="shared" si="27"/>
        <v>1</v>
      </c>
      <c r="U847" s="154">
        <f>IFERROR(IF(R847&lt;&gt;FALSE,IF(S847=TRUE,INDEX('SummaryNOT_VALIDATED-BL'!$A$1:$F$16,MATCH(R847,'SummaryNOT_VALIDATED-BL'!$A$1:$A$16,0),6),0),IF(S847=TRUE,INDEX('SummaryNOT_VALIDATED-BL'!$A$1:$F$16,MATCH(E847,'SummaryNOT_VALIDATED-BL'!$A$1:$A$16,0),6),0)),0)</f>
        <v>0</v>
      </c>
      <c r="V847" s="81" cm="1">
        <f t="array" ref="V847">INDEX('Weight tables'!$A$24:$C$27,MATCH(1,(RendicontiTrasmessiBL__2[[#This Row],[Cut percentage on real costs + USC]]&gt;='Weight tables'!$B$24:$B$27)*(RendicontiTrasmessiBL__2[[#This Row],[Cut percentage on real costs + USC]]&lt;='Weight tables'!$C$24:$C$27),0),1)</f>
        <v>0</v>
      </c>
      <c r="W847" s="2">
        <f>RendicontiTrasmessiBL__2[[#This Row],[Weight real costs  + USC ]]</f>
        <v>0</v>
      </c>
    </row>
    <row r="848" spans="1:23" x14ac:dyDescent="0.25">
      <c r="A848" s="1" t="s">
        <v>341</v>
      </c>
      <c r="B848" s="1" t="s">
        <v>278</v>
      </c>
      <c r="C848" s="2">
        <v>283</v>
      </c>
      <c r="D848" s="2">
        <v>278</v>
      </c>
      <c r="E848" s="1" t="s">
        <v>228</v>
      </c>
      <c r="F848">
        <v>20</v>
      </c>
      <c r="G848">
        <v>10100</v>
      </c>
      <c r="H848">
        <v>0</v>
      </c>
      <c r="I848">
        <v>0</v>
      </c>
      <c r="J848">
        <v>0</v>
      </c>
      <c r="K848">
        <v>0</v>
      </c>
      <c r="L848">
        <v>0</v>
      </c>
      <c r="M848">
        <v>0</v>
      </c>
      <c r="N848">
        <v>0</v>
      </c>
      <c r="O848">
        <v>10100</v>
      </c>
      <c r="P848">
        <v>0</v>
      </c>
      <c r="Q848" t="str">
        <f>INDEX('Partner data'!A:DH,MATCH(C848,'Partner data'!DG:DG,0),83)</f>
        <v>Soggetto pubblico</v>
      </c>
      <c r="R848" t="str">
        <f>IF(E848="staff",IF(INDEX('Partner data'!A:DH,MATCH(C848,'Partner data'!DG:DG,0),112)="BL1 non presente","FALSO",INDEX('Partner data'!A:DH,MATCH(C848,'Partner data'!DG:DG,0),112)))</f>
        <v>Tasso Forfettario 20%</v>
      </c>
      <c r="S848" t="b">
        <f t="shared" si="26"/>
        <v>0</v>
      </c>
      <c r="T848" t="b">
        <f t="shared" si="27"/>
        <v>1</v>
      </c>
      <c r="U848" s="154">
        <f>IFERROR(IF(R848&lt;&gt;FALSE,IF(S848=TRUE,INDEX('SummaryNOT_VALIDATED-BL'!$A$1:$F$16,MATCH(R848,'SummaryNOT_VALIDATED-BL'!$A$1:$A$16,0),6),0),IF(S848=TRUE,INDEX('SummaryNOT_VALIDATED-BL'!$A$1:$F$16,MATCH(E848,'SummaryNOT_VALIDATED-BL'!$A$1:$A$16,0),6),0)),0)</f>
        <v>0</v>
      </c>
      <c r="V848" s="81" cm="1">
        <f t="array" ref="V848">INDEX('Weight tables'!$A$24:$C$27,MATCH(1,(RendicontiTrasmessiBL__2[[#This Row],[Cut percentage on real costs + USC]]&gt;='Weight tables'!$B$24:$B$27)*(RendicontiTrasmessiBL__2[[#This Row],[Cut percentage on real costs + USC]]&lt;='Weight tables'!$C$24:$C$27),0),1)</f>
        <v>0</v>
      </c>
      <c r="W848" s="2">
        <f>RendicontiTrasmessiBL__2[[#This Row],[Weight real costs  + USC ]]</f>
        <v>0</v>
      </c>
    </row>
    <row r="849" spans="1:23" x14ac:dyDescent="0.25">
      <c r="A849" s="1" t="s">
        <v>341</v>
      </c>
      <c r="B849" s="1" t="s">
        <v>278</v>
      </c>
      <c r="C849" s="2">
        <v>283</v>
      </c>
      <c r="D849" s="2">
        <v>278</v>
      </c>
      <c r="E849" s="1" t="s">
        <v>229</v>
      </c>
      <c r="F849">
        <v>15</v>
      </c>
      <c r="G849">
        <v>1515</v>
      </c>
      <c r="H849">
        <v>0</v>
      </c>
      <c r="I849">
        <v>0</v>
      </c>
      <c r="J849">
        <v>0</v>
      </c>
      <c r="K849">
        <v>0</v>
      </c>
      <c r="L849">
        <v>0</v>
      </c>
      <c r="M849">
        <v>0</v>
      </c>
      <c r="N849">
        <v>0</v>
      </c>
      <c r="O849">
        <v>1515</v>
      </c>
      <c r="P849">
        <v>0</v>
      </c>
      <c r="Q849" t="str">
        <f>INDEX('Partner data'!A:DH,MATCH(C849,'Partner data'!DG:DG,0),83)</f>
        <v>Soggetto pubblico</v>
      </c>
      <c r="R849" t="b">
        <f>IF(E849="staff",IF(INDEX('Partner data'!A:DH,MATCH(C849,'Partner data'!DG:DG,0),112)="BL1 non presente","FALSO",INDEX('Partner data'!A:DH,MATCH(C849,'Partner data'!DG:DG,0),112)))</f>
        <v>0</v>
      </c>
      <c r="S849" t="b">
        <f t="shared" si="26"/>
        <v>0</v>
      </c>
      <c r="T849" t="b">
        <f t="shared" si="27"/>
        <v>1</v>
      </c>
      <c r="U849" s="154">
        <f>IFERROR(IF(R849&lt;&gt;FALSE,IF(S849=TRUE,INDEX('SummaryNOT_VALIDATED-BL'!$A$1:$F$16,MATCH(R849,'SummaryNOT_VALIDATED-BL'!$A$1:$A$16,0),6),0),IF(S849=TRUE,INDEX('SummaryNOT_VALIDATED-BL'!$A$1:$F$16,MATCH(E849,'SummaryNOT_VALIDATED-BL'!$A$1:$A$16,0),6),0)),0)</f>
        <v>0</v>
      </c>
      <c r="V849" s="81" cm="1">
        <f t="array" ref="V849">INDEX('Weight tables'!$A$24:$C$27,MATCH(1,(RendicontiTrasmessiBL__2[[#This Row],[Cut percentage on real costs + USC]]&gt;='Weight tables'!$B$24:$B$27)*(RendicontiTrasmessiBL__2[[#This Row],[Cut percentage on real costs + USC]]&lt;='Weight tables'!$C$24:$C$27),0),1)</f>
        <v>0</v>
      </c>
      <c r="W849" s="2">
        <f>RendicontiTrasmessiBL__2[[#This Row],[Weight real costs  + USC ]]</f>
        <v>0</v>
      </c>
    </row>
    <row r="850" spans="1:23" x14ac:dyDescent="0.25">
      <c r="A850" s="1" t="s">
        <v>341</v>
      </c>
      <c r="B850" s="1" t="s">
        <v>278</v>
      </c>
      <c r="C850" s="2">
        <v>283</v>
      </c>
      <c r="D850" s="2">
        <v>278</v>
      </c>
      <c r="E850" s="1" t="s">
        <v>230</v>
      </c>
      <c r="F850">
        <v>4</v>
      </c>
      <c r="G850">
        <v>404</v>
      </c>
      <c r="H850">
        <v>0</v>
      </c>
      <c r="I850">
        <v>0</v>
      </c>
      <c r="J850">
        <v>0</v>
      </c>
      <c r="K850">
        <v>0</v>
      </c>
      <c r="L850">
        <v>0</v>
      </c>
      <c r="M850">
        <v>0</v>
      </c>
      <c r="N850">
        <v>0</v>
      </c>
      <c r="O850">
        <v>404</v>
      </c>
      <c r="P850">
        <v>0</v>
      </c>
      <c r="Q850" t="str">
        <f>INDEX('Partner data'!A:DH,MATCH(C850,'Partner data'!DG:DG,0),83)</f>
        <v>Soggetto pubblico</v>
      </c>
      <c r="R850" t="b">
        <f>IF(E850="staff",IF(INDEX('Partner data'!A:DH,MATCH(C850,'Partner data'!DG:DG,0),112)="BL1 non presente","FALSO",INDEX('Partner data'!A:DH,MATCH(C850,'Partner data'!DG:DG,0),112)))</f>
        <v>0</v>
      </c>
      <c r="S850" t="b">
        <f t="shared" si="26"/>
        <v>0</v>
      </c>
      <c r="T850" t="b">
        <f t="shared" si="27"/>
        <v>1</v>
      </c>
      <c r="U850" s="154">
        <f>IFERROR(IF(R850&lt;&gt;FALSE,IF(S850=TRUE,INDEX('SummaryNOT_VALIDATED-BL'!$A$1:$F$16,MATCH(R850,'SummaryNOT_VALIDATED-BL'!$A$1:$A$16,0),6),0),IF(S850=TRUE,INDEX('SummaryNOT_VALIDATED-BL'!$A$1:$F$16,MATCH(E850,'SummaryNOT_VALIDATED-BL'!$A$1:$A$16,0),6),0)),0)</f>
        <v>0</v>
      </c>
      <c r="V850" s="81" cm="1">
        <f t="array" ref="V850">INDEX('Weight tables'!$A$24:$C$27,MATCH(1,(RendicontiTrasmessiBL__2[[#This Row],[Cut percentage on real costs + USC]]&gt;='Weight tables'!$B$24:$B$27)*(RendicontiTrasmessiBL__2[[#This Row],[Cut percentage on real costs + USC]]&lt;='Weight tables'!$C$24:$C$27),0),1)</f>
        <v>0</v>
      </c>
      <c r="W850" s="2">
        <f>RendicontiTrasmessiBL__2[[#This Row],[Weight real costs  + USC ]]</f>
        <v>0</v>
      </c>
    </row>
    <row r="851" spans="1:23" x14ac:dyDescent="0.25">
      <c r="A851" s="1" t="s">
        <v>341</v>
      </c>
      <c r="B851" s="1" t="s">
        <v>278</v>
      </c>
      <c r="C851" s="2">
        <v>283</v>
      </c>
      <c r="D851" s="2">
        <v>278</v>
      </c>
      <c r="E851" s="1" t="s">
        <v>231</v>
      </c>
      <c r="G851">
        <v>10000</v>
      </c>
      <c r="H851">
        <v>0</v>
      </c>
      <c r="I851">
        <v>0</v>
      </c>
      <c r="J851">
        <v>0</v>
      </c>
      <c r="K851">
        <v>0</v>
      </c>
      <c r="L851">
        <v>0</v>
      </c>
      <c r="M851">
        <v>0</v>
      </c>
      <c r="N851">
        <v>0</v>
      </c>
      <c r="O851">
        <v>10000</v>
      </c>
      <c r="P851">
        <v>0</v>
      </c>
      <c r="Q851" t="str">
        <f>INDEX('Partner data'!A:DH,MATCH(C851,'Partner data'!DG:DG,0),83)</f>
        <v>Soggetto pubblico</v>
      </c>
      <c r="R851" t="b">
        <f>IF(E851="staff",IF(INDEX('Partner data'!A:DH,MATCH(C851,'Partner data'!DG:DG,0),112)="BL1 non presente","FALSO",INDEX('Partner data'!A:DH,MATCH(C851,'Partner data'!DG:DG,0),112)))</f>
        <v>0</v>
      </c>
      <c r="S851" t="b">
        <f t="shared" si="26"/>
        <v>0</v>
      </c>
      <c r="T851" t="b">
        <f t="shared" si="27"/>
        <v>1</v>
      </c>
      <c r="U851" s="154">
        <f>IFERROR(IF(R851&lt;&gt;FALSE,IF(S851=TRUE,INDEX('SummaryNOT_VALIDATED-BL'!$A$1:$F$16,MATCH(R851,'SummaryNOT_VALIDATED-BL'!$A$1:$A$16,0),6),0),IF(S851=TRUE,INDEX('SummaryNOT_VALIDATED-BL'!$A$1:$F$16,MATCH(E851,'SummaryNOT_VALIDATED-BL'!$A$1:$A$16,0),6),0)),0)</f>
        <v>0</v>
      </c>
      <c r="V851" s="81" cm="1">
        <f t="array" ref="V851">INDEX('Weight tables'!$A$24:$C$27,MATCH(1,(RendicontiTrasmessiBL__2[[#This Row],[Cut percentage on real costs + USC]]&gt;='Weight tables'!$B$24:$B$27)*(RendicontiTrasmessiBL__2[[#This Row],[Cut percentage on real costs + USC]]&lt;='Weight tables'!$C$24:$C$27),0),1)</f>
        <v>0</v>
      </c>
      <c r="W851" s="2">
        <f>RendicontiTrasmessiBL__2[[#This Row],[Weight real costs  + USC ]]</f>
        <v>0</v>
      </c>
    </row>
    <row r="852" spans="1:23" x14ac:dyDescent="0.25">
      <c r="A852" s="1" t="s">
        <v>341</v>
      </c>
      <c r="B852" s="1" t="s">
        <v>278</v>
      </c>
      <c r="C852" s="2">
        <v>283</v>
      </c>
      <c r="D852" s="2">
        <v>278</v>
      </c>
      <c r="E852" s="1" t="s">
        <v>232</v>
      </c>
      <c r="G852">
        <v>40500</v>
      </c>
      <c r="H852">
        <v>0</v>
      </c>
      <c r="I852">
        <v>0</v>
      </c>
      <c r="J852">
        <v>0</v>
      </c>
      <c r="K852">
        <v>0</v>
      </c>
      <c r="L852">
        <v>0</v>
      </c>
      <c r="M852">
        <v>0</v>
      </c>
      <c r="N852">
        <v>0</v>
      </c>
      <c r="O852">
        <v>40500</v>
      </c>
      <c r="P852">
        <v>0</v>
      </c>
      <c r="Q852" t="str">
        <f>INDEX('Partner data'!A:DH,MATCH(C852,'Partner data'!DG:DG,0),83)</f>
        <v>Soggetto pubblico</v>
      </c>
      <c r="R852" t="b">
        <f>IF(E852="staff",IF(INDEX('Partner data'!A:DH,MATCH(C852,'Partner data'!DG:DG,0),112)="BL1 non presente","FALSO",INDEX('Partner data'!A:DH,MATCH(C852,'Partner data'!DG:DG,0),112)))</f>
        <v>0</v>
      </c>
      <c r="S852" t="b">
        <f t="shared" si="26"/>
        <v>0</v>
      </c>
      <c r="T852" t="b">
        <f t="shared" si="27"/>
        <v>1</v>
      </c>
      <c r="U852" s="154">
        <f>IFERROR(IF(R852&lt;&gt;FALSE,IF(S852=TRUE,INDEX('SummaryNOT_VALIDATED-BL'!$A$1:$F$16,MATCH(R852,'SummaryNOT_VALIDATED-BL'!$A$1:$A$16,0),6),0),IF(S852=TRUE,INDEX('SummaryNOT_VALIDATED-BL'!$A$1:$F$16,MATCH(E852,'SummaryNOT_VALIDATED-BL'!$A$1:$A$16,0),6),0)),0)</f>
        <v>0</v>
      </c>
      <c r="V852" s="81" cm="1">
        <f t="array" ref="V852">INDEX('Weight tables'!$A$24:$C$27,MATCH(1,(RendicontiTrasmessiBL__2[[#This Row],[Cut percentage on real costs + USC]]&gt;='Weight tables'!$B$24:$B$27)*(RendicontiTrasmessiBL__2[[#This Row],[Cut percentage on real costs + USC]]&lt;='Weight tables'!$C$24:$C$27),0),1)</f>
        <v>0</v>
      </c>
      <c r="W852" s="2">
        <f>RendicontiTrasmessiBL__2[[#This Row],[Weight real costs  + USC ]]</f>
        <v>0</v>
      </c>
    </row>
    <row r="853" spans="1:23" x14ac:dyDescent="0.25">
      <c r="A853" s="1" t="s">
        <v>341</v>
      </c>
      <c r="B853" s="1" t="s">
        <v>278</v>
      </c>
      <c r="C853" s="2">
        <v>283</v>
      </c>
      <c r="D853" s="2">
        <v>278</v>
      </c>
      <c r="E853" s="1" t="s">
        <v>233</v>
      </c>
      <c r="G853">
        <v>0</v>
      </c>
      <c r="H853">
        <v>0</v>
      </c>
      <c r="I853">
        <v>0</v>
      </c>
      <c r="J853">
        <v>0</v>
      </c>
      <c r="K853">
        <v>0</v>
      </c>
      <c r="L853">
        <v>0</v>
      </c>
      <c r="M853">
        <v>0</v>
      </c>
      <c r="N853">
        <v>0</v>
      </c>
      <c r="O853">
        <v>0</v>
      </c>
      <c r="P853">
        <v>0</v>
      </c>
      <c r="Q853" t="str">
        <f>INDEX('Partner data'!A:DH,MATCH(C853,'Partner data'!DG:DG,0),83)</f>
        <v>Soggetto pubblico</v>
      </c>
      <c r="R853" t="b">
        <f>IF(E853="staff",IF(INDEX('Partner data'!A:DH,MATCH(C853,'Partner data'!DG:DG,0),112)="BL1 non presente","FALSO",INDEX('Partner data'!A:DH,MATCH(C853,'Partner data'!DG:DG,0),112)))</f>
        <v>0</v>
      </c>
      <c r="S853" t="b">
        <f t="shared" si="26"/>
        <v>0</v>
      </c>
      <c r="T853" t="b">
        <f t="shared" si="27"/>
        <v>1</v>
      </c>
      <c r="U853" s="154">
        <f>IFERROR(IF(R853&lt;&gt;FALSE,IF(S853=TRUE,INDEX('SummaryNOT_VALIDATED-BL'!$A$1:$F$16,MATCH(R853,'SummaryNOT_VALIDATED-BL'!$A$1:$A$16,0),6),0),IF(S853=TRUE,INDEX('SummaryNOT_VALIDATED-BL'!$A$1:$F$16,MATCH(E853,'SummaryNOT_VALIDATED-BL'!$A$1:$A$16,0),6),0)),0)</f>
        <v>0</v>
      </c>
      <c r="V853" s="81" cm="1">
        <f t="array" ref="V853">INDEX('Weight tables'!$A$24:$C$27,MATCH(1,(RendicontiTrasmessiBL__2[[#This Row],[Cut percentage on real costs + USC]]&gt;='Weight tables'!$B$24:$B$27)*(RendicontiTrasmessiBL__2[[#This Row],[Cut percentage on real costs + USC]]&lt;='Weight tables'!$C$24:$C$27),0),1)</f>
        <v>0</v>
      </c>
      <c r="W853" s="2">
        <f>RendicontiTrasmessiBL__2[[#This Row],[Weight real costs  + USC ]]</f>
        <v>0</v>
      </c>
    </row>
    <row r="854" spans="1:23" x14ac:dyDescent="0.25">
      <c r="A854" s="1" t="s">
        <v>341</v>
      </c>
      <c r="B854" s="1" t="s">
        <v>278</v>
      </c>
      <c r="C854" s="2">
        <v>283</v>
      </c>
      <c r="D854" s="2">
        <v>278</v>
      </c>
      <c r="E854" s="1" t="s">
        <v>234</v>
      </c>
      <c r="G854">
        <v>0</v>
      </c>
      <c r="H854">
        <v>0</v>
      </c>
      <c r="I854">
        <v>0</v>
      </c>
      <c r="J854">
        <v>0</v>
      </c>
      <c r="K854">
        <v>0</v>
      </c>
      <c r="L854">
        <v>0</v>
      </c>
      <c r="M854">
        <v>0</v>
      </c>
      <c r="N854">
        <v>0</v>
      </c>
      <c r="O854">
        <v>0</v>
      </c>
      <c r="P854">
        <v>0</v>
      </c>
      <c r="Q854" t="str">
        <f>INDEX('Partner data'!A:DH,MATCH(C854,'Partner data'!DG:DG,0),83)</f>
        <v>Soggetto pubblico</v>
      </c>
      <c r="R854" t="b">
        <f>IF(E854="staff",IF(INDEX('Partner data'!A:DH,MATCH(C854,'Partner data'!DG:DG,0),112)="BL1 non presente","FALSO",INDEX('Partner data'!A:DH,MATCH(C854,'Partner data'!DG:DG,0),112)))</f>
        <v>0</v>
      </c>
      <c r="S854" t="b">
        <f t="shared" si="26"/>
        <v>0</v>
      </c>
      <c r="T854" t="b">
        <f t="shared" si="27"/>
        <v>1</v>
      </c>
      <c r="U854" s="154">
        <f>IFERROR(IF(R854&lt;&gt;FALSE,IF(S854=TRUE,INDEX('SummaryNOT_VALIDATED-BL'!$A$1:$F$16,MATCH(R854,'SummaryNOT_VALIDATED-BL'!$A$1:$A$16,0),6),0),IF(S854=TRUE,INDEX('SummaryNOT_VALIDATED-BL'!$A$1:$F$16,MATCH(E854,'SummaryNOT_VALIDATED-BL'!$A$1:$A$16,0),6),0)),0)</f>
        <v>0</v>
      </c>
      <c r="V854" s="81" cm="1">
        <f t="array" ref="V854">INDEX('Weight tables'!$A$24:$C$27,MATCH(1,(RendicontiTrasmessiBL__2[[#This Row],[Cut percentage on real costs + USC]]&gt;='Weight tables'!$B$24:$B$27)*(RendicontiTrasmessiBL__2[[#This Row],[Cut percentage on real costs + USC]]&lt;='Weight tables'!$C$24:$C$27),0),1)</f>
        <v>0</v>
      </c>
      <c r="W854" s="2">
        <f>RendicontiTrasmessiBL__2[[#This Row],[Weight real costs  + USC ]]</f>
        <v>0</v>
      </c>
    </row>
    <row r="855" spans="1:23" x14ac:dyDescent="0.25">
      <c r="A855" s="1" t="s">
        <v>341</v>
      </c>
      <c r="B855" s="1" t="s">
        <v>278</v>
      </c>
      <c r="C855" s="2">
        <v>283</v>
      </c>
      <c r="D855" s="2">
        <v>278</v>
      </c>
      <c r="E855" s="1" t="s">
        <v>236</v>
      </c>
      <c r="G855">
        <v>0</v>
      </c>
      <c r="H855">
        <v>0</v>
      </c>
      <c r="I855">
        <v>0</v>
      </c>
      <c r="J855">
        <v>0</v>
      </c>
      <c r="K855">
        <v>0</v>
      </c>
      <c r="L855">
        <v>0</v>
      </c>
      <c r="M855">
        <v>0</v>
      </c>
      <c r="N855">
        <v>0</v>
      </c>
      <c r="O855">
        <v>0</v>
      </c>
      <c r="P855">
        <v>0</v>
      </c>
      <c r="Q855" t="str">
        <f>INDEX('Partner data'!A:DH,MATCH(C855,'Partner data'!DG:DG,0),83)</f>
        <v>Soggetto pubblico</v>
      </c>
      <c r="R855" t="b">
        <f>IF(E855="staff",IF(INDEX('Partner data'!A:DH,MATCH(C855,'Partner data'!DG:DG,0),112)="BL1 non presente","FALSO",INDEX('Partner data'!A:DH,MATCH(C855,'Partner data'!DG:DG,0),112)))</f>
        <v>0</v>
      </c>
      <c r="S855" t="b">
        <f t="shared" si="26"/>
        <v>0</v>
      </c>
      <c r="T855" t="b">
        <f t="shared" si="27"/>
        <v>1</v>
      </c>
      <c r="U855" s="154">
        <f>IFERROR(IF(R855&lt;&gt;FALSE,IF(S855=TRUE,INDEX('SummaryNOT_VALIDATED-BL'!$A$1:$F$16,MATCH(R855,'SummaryNOT_VALIDATED-BL'!$A$1:$A$16,0),6),0),IF(S855=TRUE,INDEX('SummaryNOT_VALIDATED-BL'!$A$1:$F$16,MATCH(E855,'SummaryNOT_VALIDATED-BL'!$A$1:$A$16,0),6),0)),0)</f>
        <v>0</v>
      </c>
      <c r="V855" s="81" cm="1">
        <f t="array" ref="V855">INDEX('Weight tables'!$A$24:$C$27,MATCH(1,(RendicontiTrasmessiBL__2[[#This Row],[Cut percentage on real costs + USC]]&gt;='Weight tables'!$B$24:$B$27)*(RendicontiTrasmessiBL__2[[#This Row],[Cut percentage on real costs + USC]]&lt;='Weight tables'!$C$24:$C$27),0),1)</f>
        <v>0</v>
      </c>
      <c r="W855" s="2">
        <f>RendicontiTrasmessiBL__2[[#This Row],[Weight real costs  + USC ]]</f>
        <v>0</v>
      </c>
    </row>
    <row r="856" spans="1:23" x14ac:dyDescent="0.25">
      <c r="A856" s="1" t="s">
        <v>341</v>
      </c>
      <c r="B856" s="1" t="s">
        <v>278</v>
      </c>
      <c r="C856" s="2">
        <v>283</v>
      </c>
      <c r="D856" s="2">
        <v>278</v>
      </c>
      <c r="E856" s="1" t="s">
        <v>237</v>
      </c>
      <c r="G856">
        <v>0</v>
      </c>
      <c r="H856">
        <v>0</v>
      </c>
      <c r="I856">
        <v>0</v>
      </c>
      <c r="J856">
        <v>0</v>
      </c>
      <c r="K856">
        <v>0</v>
      </c>
      <c r="L856">
        <v>0</v>
      </c>
      <c r="M856">
        <v>0</v>
      </c>
      <c r="N856">
        <v>0</v>
      </c>
      <c r="O856">
        <v>0</v>
      </c>
      <c r="P856">
        <v>0</v>
      </c>
      <c r="Q856" t="str">
        <f>INDEX('Partner data'!A:DH,MATCH(C856,'Partner data'!DG:DG,0),83)</f>
        <v>Soggetto pubblico</v>
      </c>
      <c r="R856" t="b">
        <f>IF(E856="staff",IF(INDEX('Partner data'!A:DH,MATCH(C856,'Partner data'!DG:DG,0),112)="BL1 non presente","FALSO",INDEX('Partner data'!A:DH,MATCH(C856,'Partner data'!DG:DG,0),112)))</f>
        <v>0</v>
      </c>
      <c r="S856" t="b">
        <f t="shared" si="26"/>
        <v>0</v>
      </c>
      <c r="T856" t="b">
        <f t="shared" si="27"/>
        <v>1</v>
      </c>
      <c r="U856" s="154">
        <f>IFERROR(IF(R856&lt;&gt;FALSE,IF(S856=TRUE,INDEX('SummaryNOT_VALIDATED-BL'!$A$1:$F$16,MATCH(R856,'SummaryNOT_VALIDATED-BL'!$A$1:$A$16,0),6),0),IF(S856=TRUE,INDEX('SummaryNOT_VALIDATED-BL'!$A$1:$F$16,MATCH(E856,'SummaryNOT_VALIDATED-BL'!$A$1:$A$16,0),6),0)),0)</f>
        <v>0</v>
      </c>
      <c r="V856" s="81" cm="1">
        <f t="array" ref="V856">INDEX('Weight tables'!$A$24:$C$27,MATCH(1,(RendicontiTrasmessiBL__2[[#This Row],[Cut percentage on real costs + USC]]&gt;='Weight tables'!$B$24:$B$27)*(RendicontiTrasmessiBL__2[[#This Row],[Cut percentage on real costs + USC]]&lt;='Weight tables'!$C$24:$C$27),0),1)</f>
        <v>0</v>
      </c>
      <c r="W856" s="2">
        <f>RendicontiTrasmessiBL__2[[#This Row],[Weight real costs  + USC ]]</f>
        <v>0</v>
      </c>
    </row>
    <row r="857" spans="1:23" x14ac:dyDescent="0.25">
      <c r="A857" s="1" t="s">
        <v>341</v>
      </c>
      <c r="B857" s="1" t="s">
        <v>47</v>
      </c>
      <c r="C857" s="2">
        <v>135</v>
      </c>
      <c r="D857" s="2">
        <v>293</v>
      </c>
      <c r="E857" s="1" t="s">
        <v>228</v>
      </c>
      <c r="F857">
        <v>20</v>
      </c>
      <c r="G857">
        <v>25000</v>
      </c>
      <c r="H857">
        <v>0</v>
      </c>
      <c r="I857">
        <v>0</v>
      </c>
      <c r="J857">
        <v>0</v>
      </c>
      <c r="K857">
        <v>0</v>
      </c>
      <c r="L857">
        <v>0</v>
      </c>
      <c r="M857">
        <v>0</v>
      </c>
      <c r="N857">
        <v>0</v>
      </c>
      <c r="O857">
        <v>25000</v>
      </c>
      <c r="P857">
        <v>0</v>
      </c>
      <c r="Q857" t="str">
        <f>INDEX('Partner data'!A:DH,MATCH(C857,'Partner data'!DG:DG,0),83)</f>
        <v xml:space="preserve">Organismo di diritto pubblico </v>
      </c>
      <c r="R857" t="str">
        <f>IF(E857="staff",IF(INDEX('Partner data'!A:DH,MATCH(C857,'Partner data'!DG:DG,0),112)="BL1 non presente","FALSO",INDEX('Partner data'!A:DH,MATCH(C857,'Partner data'!DG:DG,0),112)))</f>
        <v>Tasso Forfettario 20%</v>
      </c>
      <c r="S857" t="b">
        <f t="shared" si="26"/>
        <v>0</v>
      </c>
      <c r="T857" t="b">
        <f t="shared" si="27"/>
        <v>1</v>
      </c>
      <c r="U857" s="154">
        <f>IFERROR(IF(R857&lt;&gt;FALSE,IF(S857=TRUE,INDEX('SummaryNOT_VALIDATED-BL'!$A$1:$F$16,MATCH(R857,'SummaryNOT_VALIDATED-BL'!$A$1:$A$16,0),6),0),IF(S857=TRUE,INDEX('SummaryNOT_VALIDATED-BL'!$A$1:$F$16,MATCH(E857,'SummaryNOT_VALIDATED-BL'!$A$1:$A$16,0),6),0)),0)</f>
        <v>0</v>
      </c>
      <c r="V857" s="81" cm="1">
        <f t="array" ref="V857">INDEX('Weight tables'!$A$24:$C$27,MATCH(1,(RendicontiTrasmessiBL__2[[#This Row],[Cut percentage on real costs + USC]]&gt;='Weight tables'!$B$24:$B$27)*(RendicontiTrasmessiBL__2[[#This Row],[Cut percentage on real costs + USC]]&lt;='Weight tables'!$C$24:$C$27),0),1)</f>
        <v>0</v>
      </c>
      <c r="W857" s="2">
        <f>RendicontiTrasmessiBL__2[[#This Row],[Weight real costs  + USC ]]</f>
        <v>0</v>
      </c>
    </row>
    <row r="858" spans="1:23" x14ac:dyDescent="0.25">
      <c r="A858" s="1" t="s">
        <v>341</v>
      </c>
      <c r="B858" s="1" t="s">
        <v>47</v>
      </c>
      <c r="C858" s="2">
        <v>135</v>
      </c>
      <c r="D858" s="2">
        <v>293</v>
      </c>
      <c r="E858" s="1" t="s">
        <v>229</v>
      </c>
      <c r="F858">
        <v>15</v>
      </c>
      <c r="G858">
        <v>3750</v>
      </c>
      <c r="H858">
        <v>0</v>
      </c>
      <c r="I858">
        <v>0</v>
      </c>
      <c r="J858">
        <v>0</v>
      </c>
      <c r="K858">
        <v>0</v>
      </c>
      <c r="L858">
        <v>0</v>
      </c>
      <c r="M858">
        <v>0</v>
      </c>
      <c r="N858">
        <v>0</v>
      </c>
      <c r="O858">
        <v>3750</v>
      </c>
      <c r="P858">
        <v>0</v>
      </c>
      <c r="Q858" t="str">
        <f>INDEX('Partner data'!A:DH,MATCH(C858,'Partner data'!DG:DG,0),83)</f>
        <v xml:space="preserve">Organismo di diritto pubblico </v>
      </c>
      <c r="R858" t="b">
        <f>IF(E858="staff",IF(INDEX('Partner data'!A:DH,MATCH(C858,'Partner data'!DG:DG,0),112)="BL1 non presente","FALSO",INDEX('Partner data'!A:DH,MATCH(C858,'Partner data'!DG:DG,0),112)))</f>
        <v>0</v>
      </c>
      <c r="S858" t="b">
        <f t="shared" si="26"/>
        <v>0</v>
      </c>
      <c r="T858" t="b">
        <f t="shared" si="27"/>
        <v>1</v>
      </c>
      <c r="U858" s="154">
        <f>IFERROR(IF(R858&lt;&gt;FALSE,IF(S858=TRUE,INDEX('SummaryNOT_VALIDATED-BL'!$A$1:$F$16,MATCH(R858,'SummaryNOT_VALIDATED-BL'!$A$1:$A$16,0),6),0),IF(S858=TRUE,INDEX('SummaryNOT_VALIDATED-BL'!$A$1:$F$16,MATCH(E858,'SummaryNOT_VALIDATED-BL'!$A$1:$A$16,0),6),0)),0)</f>
        <v>0</v>
      </c>
      <c r="V858" s="81" cm="1">
        <f t="array" ref="V858">INDEX('Weight tables'!$A$24:$C$27,MATCH(1,(RendicontiTrasmessiBL__2[[#This Row],[Cut percentage on real costs + USC]]&gt;='Weight tables'!$B$24:$B$27)*(RendicontiTrasmessiBL__2[[#This Row],[Cut percentage on real costs + USC]]&lt;='Weight tables'!$C$24:$C$27),0),1)</f>
        <v>0</v>
      </c>
      <c r="W858" s="2">
        <f>RendicontiTrasmessiBL__2[[#This Row],[Weight real costs  + USC ]]</f>
        <v>0</v>
      </c>
    </row>
    <row r="859" spans="1:23" x14ac:dyDescent="0.25">
      <c r="A859" s="1" t="s">
        <v>341</v>
      </c>
      <c r="B859" s="1" t="s">
        <v>47</v>
      </c>
      <c r="C859" s="2">
        <v>135</v>
      </c>
      <c r="D859" s="2">
        <v>293</v>
      </c>
      <c r="E859" s="1" t="s">
        <v>230</v>
      </c>
      <c r="F859">
        <v>4</v>
      </c>
      <c r="G859">
        <v>1000</v>
      </c>
      <c r="H859">
        <v>0</v>
      </c>
      <c r="I859">
        <v>0</v>
      </c>
      <c r="J859">
        <v>0</v>
      </c>
      <c r="K859">
        <v>0</v>
      </c>
      <c r="L859">
        <v>0</v>
      </c>
      <c r="M859">
        <v>0</v>
      </c>
      <c r="N859">
        <v>0</v>
      </c>
      <c r="O859">
        <v>1000</v>
      </c>
      <c r="P859">
        <v>0</v>
      </c>
      <c r="Q859" t="str">
        <f>INDEX('Partner data'!A:DH,MATCH(C859,'Partner data'!DG:DG,0),83)</f>
        <v xml:space="preserve">Organismo di diritto pubblico </v>
      </c>
      <c r="R859" t="b">
        <f>IF(E859="staff",IF(INDEX('Partner data'!A:DH,MATCH(C859,'Partner data'!DG:DG,0),112)="BL1 non presente","FALSO",INDEX('Partner data'!A:DH,MATCH(C859,'Partner data'!DG:DG,0),112)))</f>
        <v>0</v>
      </c>
      <c r="S859" t="b">
        <f t="shared" si="26"/>
        <v>0</v>
      </c>
      <c r="T859" t="b">
        <f t="shared" si="27"/>
        <v>1</v>
      </c>
      <c r="U859" s="154">
        <f>IFERROR(IF(R859&lt;&gt;FALSE,IF(S859=TRUE,INDEX('SummaryNOT_VALIDATED-BL'!$A$1:$F$16,MATCH(R859,'SummaryNOT_VALIDATED-BL'!$A$1:$A$16,0),6),0),IF(S859=TRUE,INDEX('SummaryNOT_VALIDATED-BL'!$A$1:$F$16,MATCH(E859,'SummaryNOT_VALIDATED-BL'!$A$1:$A$16,0),6),0)),0)</f>
        <v>0</v>
      </c>
      <c r="V859" s="81" cm="1">
        <f t="array" ref="V859">INDEX('Weight tables'!$A$24:$C$27,MATCH(1,(RendicontiTrasmessiBL__2[[#This Row],[Cut percentage on real costs + USC]]&gt;='Weight tables'!$B$24:$B$27)*(RendicontiTrasmessiBL__2[[#This Row],[Cut percentage on real costs + USC]]&lt;='Weight tables'!$C$24:$C$27),0),1)</f>
        <v>0</v>
      </c>
      <c r="W859" s="2">
        <f>RendicontiTrasmessiBL__2[[#This Row],[Weight real costs  + USC ]]</f>
        <v>0</v>
      </c>
    </row>
    <row r="860" spans="1:23" x14ac:dyDescent="0.25">
      <c r="A860" s="1" t="s">
        <v>341</v>
      </c>
      <c r="B860" s="1" t="s">
        <v>47</v>
      </c>
      <c r="C860" s="2">
        <v>135</v>
      </c>
      <c r="D860" s="2">
        <v>293</v>
      </c>
      <c r="E860" s="1" t="s">
        <v>231</v>
      </c>
      <c r="G860">
        <v>125000</v>
      </c>
      <c r="H860">
        <v>0</v>
      </c>
      <c r="I860">
        <v>0</v>
      </c>
      <c r="J860">
        <v>0</v>
      </c>
      <c r="K860">
        <v>0</v>
      </c>
      <c r="L860">
        <v>0</v>
      </c>
      <c r="M860">
        <v>0</v>
      </c>
      <c r="N860">
        <v>0</v>
      </c>
      <c r="O860">
        <v>125000</v>
      </c>
      <c r="P860">
        <v>0</v>
      </c>
      <c r="Q860" t="str">
        <f>INDEX('Partner data'!A:DH,MATCH(C860,'Partner data'!DG:DG,0),83)</f>
        <v xml:space="preserve">Organismo di diritto pubblico </v>
      </c>
      <c r="R860" t="b">
        <f>IF(E860="staff",IF(INDEX('Partner data'!A:DH,MATCH(C860,'Partner data'!DG:DG,0),112)="BL1 non presente","FALSO",INDEX('Partner data'!A:DH,MATCH(C860,'Partner data'!DG:DG,0),112)))</f>
        <v>0</v>
      </c>
      <c r="S860" t="b">
        <f t="shared" si="26"/>
        <v>0</v>
      </c>
      <c r="T860" t="b">
        <f t="shared" si="27"/>
        <v>1</v>
      </c>
      <c r="U860" s="154">
        <f>IFERROR(IF(R860&lt;&gt;FALSE,IF(S860=TRUE,INDEX('SummaryNOT_VALIDATED-BL'!$A$1:$F$16,MATCH(R860,'SummaryNOT_VALIDATED-BL'!$A$1:$A$16,0),6),0),IF(S860=TRUE,INDEX('SummaryNOT_VALIDATED-BL'!$A$1:$F$16,MATCH(E860,'SummaryNOT_VALIDATED-BL'!$A$1:$A$16,0),6),0)),0)</f>
        <v>0</v>
      </c>
      <c r="V860" s="81" cm="1">
        <f t="array" ref="V860">INDEX('Weight tables'!$A$24:$C$27,MATCH(1,(RendicontiTrasmessiBL__2[[#This Row],[Cut percentage on real costs + USC]]&gt;='Weight tables'!$B$24:$B$27)*(RendicontiTrasmessiBL__2[[#This Row],[Cut percentage on real costs + USC]]&lt;='Weight tables'!$C$24:$C$27),0),1)</f>
        <v>0</v>
      </c>
      <c r="W860" s="2">
        <f>RendicontiTrasmessiBL__2[[#This Row],[Weight real costs  + USC ]]</f>
        <v>0</v>
      </c>
    </row>
    <row r="861" spans="1:23" x14ac:dyDescent="0.25">
      <c r="A861" s="1" t="s">
        <v>341</v>
      </c>
      <c r="B861" s="1" t="s">
        <v>47</v>
      </c>
      <c r="C861" s="2">
        <v>135</v>
      </c>
      <c r="D861" s="2">
        <v>293</v>
      </c>
      <c r="E861" s="1" t="s">
        <v>232</v>
      </c>
      <c r="G861">
        <v>0</v>
      </c>
      <c r="H861">
        <v>0</v>
      </c>
      <c r="I861">
        <v>0</v>
      </c>
      <c r="J861">
        <v>0</v>
      </c>
      <c r="K861">
        <v>0</v>
      </c>
      <c r="L861">
        <v>0</v>
      </c>
      <c r="M861">
        <v>0</v>
      </c>
      <c r="N861">
        <v>0</v>
      </c>
      <c r="O861">
        <v>0</v>
      </c>
      <c r="P861">
        <v>0</v>
      </c>
      <c r="Q861" t="str">
        <f>INDEX('Partner data'!A:DH,MATCH(C861,'Partner data'!DG:DG,0),83)</f>
        <v xml:space="preserve">Organismo di diritto pubblico </v>
      </c>
      <c r="R861" t="b">
        <f>IF(E861="staff",IF(INDEX('Partner data'!A:DH,MATCH(C861,'Partner data'!DG:DG,0),112)="BL1 non presente","FALSO",INDEX('Partner data'!A:DH,MATCH(C861,'Partner data'!DG:DG,0),112)))</f>
        <v>0</v>
      </c>
      <c r="S861" t="b">
        <f t="shared" si="26"/>
        <v>0</v>
      </c>
      <c r="T861" t="b">
        <f t="shared" si="27"/>
        <v>1</v>
      </c>
      <c r="U861" s="154">
        <f>IFERROR(IF(R861&lt;&gt;FALSE,IF(S861=TRUE,INDEX('SummaryNOT_VALIDATED-BL'!$A$1:$F$16,MATCH(R861,'SummaryNOT_VALIDATED-BL'!$A$1:$A$16,0),6),0),IF(S861=TRUE,INDEX('SummaryNOT_VALIDATED-BL'!$A$1:$F$16,MATCH(E861,'SummaryNOT_VALIDATED-BL'!$A$1:$A$16,0),6),0)),0)</f>
        <v>0</v>
      </c>
      <c r="V861" s="81" cm="1">
        <f t="array" ref="V861">INDEX('Weight tables'!$A$24:$C$27,MATCH(1,(RendicontiTrasmessiBL__2[[#This Row],[Cut percentage on real costs + USC]]&gt;='Weight tables'!$B$24:$B$27)*(RendicontiTrasmessiBL__2[[#This Row],[Cut percentage on real costs + USC]]&lt;='Weight tables'!$C$24:$C$27),0),1)</f>
        <v>0</v>
      </c>
      <c r="W861" s="2">
        <f>RendicontiTrasmessiBL__2[[#This Row],[Weight real costs  + USC ]]</f>
        <v>0</v>
      </c>
    </row>
    <row r="862" spans="1:23" x14ac:dyDescent="0.25">
      <c r="A862" s="1" t="s">
        <v>341</v>
      </c>
      <c r="B862" s="1" t="s">
        <v>47</v>
      </c>
      <c r="C862" s="2">
        <v>135</v>
      </c>
      <c r="D862" s="2">
        <v>293</v>
      </c>
      <c r="E862" s="1" t="s">
        <v>233</v>
      </c>
      <c r="G862">
        <v>0</v>
      </c>
      <c r="H862">
        <v>0</v>
      </c>
      <c r="I862">
        <v>0</v>
      </c>
      <c r="J862">
        <v>0</v>
      </c>
      <c r="K862">
        <v>0</v>
      </c>
      <c r="L862">
        <v>0</v>
      </c>
      <c r="M862">
        <v>0</v>
      </c>
      <c r="N862">
        <v>0</v>
      </c>
      <c r="O862">
        <v>0</v>
      </c>
      <c r="P862">
        <v>0</v>
      </c>
      <c r="Q862" t="str">
        <f>INDEX('Partner data'!A:DH,MATCH(C862,'Partner data'!DG:DG,0),83)</f>
        <v xml:space="preserve">Organismo di diritto pubblico </v>
      </c>
      <c r="R862" t="b">
        <f>IF(E862="staff",IF(INDEX('Partner data'!A:DH,MATCH(C862,'Partner data'!DG:DG,0),112)="BL1 non presente","FALSO",INDEX('Partner data'!A:DH,MATCH(C862,'Partner data'!DG:DG,0),112)))</f>
        <v>0</v>
      </c>
      <c r="S862" t="b">
        <f t="shared" si="26"/>
        <v>0</v>
      </c>
      <c r="T862" t="b">
        <f t="shared" si="27"/>
        <v>1</v>
      </c>
      <c r="U862" s="154">
        <f>IFERROR(IF(R862&lt;&gt;FALSE,IF(S862=TRUE,INDEX('SummaryNOT_VALIDATED-BL'!$A$1:$F$16,MATCH(R862,'SummaryNOT_VALIDATED-BL'!$A$1:$A$16,0),6),0),IF(S862=TRUE,INDEX('SummaryNOT_VALIDATED-BL'!$A$1:$F$16,MATCH(E862,'SummaryNOT_VALIDATED-BL'!$A$1:$A$16,0),6),0)),0)</f>
        <v>0</v>
      </c>
      <c r="V862" s="81" cm="1">
        <f t="array" ref="V862">INDEX('Weight tables'!$A$24:$C$27,MATCH(1,(RendicontiTrasmessiBL__2[[#This Row],[Cut percentage on real costs + USC]]&gt;='Weight tables'!$B$24:$B$27)*(RendicontiTrasmessiBL__2[[#This Row],[Cut percentage on real costs + USC]]&lt;='Weight tables'!$C$24:$C$27),0),1)</f>
        <v>0</v>
      </c>
      <c r="W862" s="2">
        <f>RendicontiTrasmessiBL__2[[#This Row],[Weight real costs  + USC ]]</f>
        <v>0</v>
      </c>
    </row>
    <row r="863" spans="1:23" x14ac:dyDescent="0.25">
      <c r="A863" s="1" t="s">
        <v>341</v>
      </c>
      <c r="B863" s="1" t="s">
        <v>47</v>
      </c>
      <c r="C863" s="2">
        <v>135</v>
      </c>
      <c r="D863" s="2">
        <v>293</v>
      </c>
      <c r="E863" s="1" t="s">
        <v>234</v>
      </c>
      <c r="G863">
        <v>0</v>
      </c>
      <c r="H863">
        <v>0</v>
      </c>
      <c r="I863">
        <v>0</v>
      </c>
      <c r="J863">
        <v>0</v>
      </c>
      <c r="K863">
        <v>0</v>
      </c>
      <c r="L863">
        <v>0</v>
      </c>
      <c r="M863">
        <v>0</v>
      </c>
      <c r="N863">
        <v>0</v>
      </c>
      <c r="O863">
        <v>0</v>
      </c>
      <c r="P863">
        <v>0</v>
      </c>
      <c r="Q863" t="str">
        <f>INDEX('Partner data'!A:DH,MATCH(C863,'Partner data'!DG:DG,0),83)</f>
        <v xml:space="preserve">Organismo di diritto pubblico </v>
      </c>
      <c r="R863" t="b">
        <f>IF(E863="staff",IF(INDEX('Partner data'!A:DH,MATCH(C863,'Partner data'!DG:DG,0),112)="BL1 non presente","FALSO",INDEX('Partner data'!A:DH,MATCH(C863,'Partner data'!DG:DG,0),112)))</f>
        <v>0</v>
      </c>
      <c r="S863" t="b">
        <f t="shared" si="26"/>
        <v>0</v>
      </c>
      <c r="T863" t="b">
        <f t="shared" si="27"/>
        <v>1</v>
      </c>
      <c r="U863" s="154">
        <f>IFERROR(IF(R863&lt;&gt;FALSE,IF(S863=TRUE,INDEX('SummaryNOT_VALIDATED-BL'!$A$1:$F$16,MATCH(R863,'SummaryNOT_VALIDATED-BL'!$A$1:$A$16,0),6),0),IF(S863=TRUE,INDEX('SummaryNOT_VALIDATED-BL'!$A$1:$F$16,MATCH(E863,'SummaryNOT_VALIDATED-BL'!$A$1:$A$16,0),6),0)),0)</f>
        <v>0</v>
      </c>
      <c r="V863" s="81" cm="1">
        <f t="array" ref="V863">INDEX('Weight tables'!$A$24:$C$27,MATCH(1,(RendicontiTrasmessiBL__2[[#This Row],[Cut percentage on real costs + USC]]&gt;='Weight tables'!$B$24:$B$27)*(RendicontiTrasmessiBL__2[[#This Row],[Cut percentage on real costs + USC]]&lt;='Weight tables'!$C$24:$C$27),0),1)</f>
        <v>0</v>
      </c>
      <c r="W863" s="2">
        <f>RendicontiTrasmessiBL__2[[#This Row],[Weight real costs  + USC ]]</f>
        <v>0</v>
      </c>
    </row>
    <row r="864" spans="1:23" x14ac:dyDescent="0.25">
      <c r="A864" s="1" t="s">
        <v>341</v>
      </c>
      <c r="B864" s="1" t="s">
        <v>47</v>
      </c>
      <c r="C864" s="2">
        <v>135</v>
      </c>
      <c r="D864" s="2">
        <v>293</v>
      </c>
      <c r="E864" s="1" t="s">
        <v>236</v>
      </c>
      <c r="G864">
        <v>0</v>
      </c>
      <c r="H864">
        <v>0</v>
      </c>
      <c r="I864">
        <v>0</v>
      </c>
      <c r="J864">
        <v>0</v>
      </c>
      <c r="K864">
        <v>0</v>
      </c>
      <c r="L864">
        <v>0</v>
      </c>
      <c r="M864">
        <v>0</v>
      </c>
      <c r="N864">
        <v>0</v>
      </c>
      <c r="O864">
        <v>0</v>
      </c>
      <c r="P864">
        <v>0</v>
      </c>
      <c r="Q864" t="str">
        <f>INDEX('Partner data'!A:DH,MATCH(C864,'Partner data'!DG:DG,0),83)</f>
        <v xml:space="preserve">Organismo di diritto pubblico </v>
      </c>
      <c r="R864" t="b">
        <f>IF(E864="staff",IF(INDEX('Partner data'!A:DH,MATCH(C864,'Partner data'!DG:DG,0),112)="BL1 non presente","FALSO",INDEX('Partner data'!A:DH,MATCH(C864,'Partner data'!DG:DG,0),112)))</f>
        <v>0</v>
      </c>
      <c r="S864" t="b">
        <f t="shared" si="26"/>
        <v>0</v>
      </c>
      <c r="T864" t="b">
        <f t="shared" si="27"/>
        <v>1</v>
      </c>
      <c r="U864" s="154">
        <f>IFERROR(IF(R864&lt;&gt;FALSE,IF(S864=TRUE,INDEX('SummaryNOT_VALIDATED-BL'!$A$1:$F$16,MATCH(R864,'SummaryNOT_VALIDATED-BL'!$A$1:$A$16,0),6),0),IF(S864=TRUE,INDEX('SummaryNOT_VALIDATED-BL'!$A$1:$F$16,MATCH(E864,'SummaryNOT_VALIDATED-BL'!$A$1:$A$16,0),6),0)),0)</f>
        <v>0</v>
      </c>
      <c r="V864" s="81" cm="1">
        <f t="array" ref="V864">INDEX('Weight tables'!$A$24:$C$27,MATCH(1,(RendicontiTrasmessiBL__2[[#This Row],[Cut percentage on real costs + USC]]&gt;='Weight tables'!$B$24:$B$27)*(RendicontiTrasmessiBL__2[[#This Row],[Cut percentage on real costs + USC]]&lt;='Weight tables'!$C$24:$C$27),0),1)</f>
        <v>0</v>
      </c>
      <c r="W864" s="2">
        <f>RendicontiTrasmessiBL__2[[#This Row],[Weight real costs  + USC ]]</f>
        <v>0</v>
      </c>
    </row>
    <row r="865" spans="1:23" x14ac:dyDescent="0.25">
      <c r="A865" s="1" t="s">
        <v>341</v>
      </c>
      <c r="B865" s="1" t="s">
        <v>47</v>
      </c>
      <c r="C865" s="2">
        <v>135</v>
      </c>
      <c r="D865" s="2">
        <v>293</v>
      </c>
      <c r="E865" s="1" t="s">
        <v>237</v>
      </c>
      <c r="G865">
        <v>0</v>
      </c>
      <c r="H865">
        <v>0</v>
      </c>
      <c r="I865">
        <v>0</v>
      </c>
      <c r="J865">
        <v>0</v>
      </c>
      <c r="K865">
        <v>0</v>
      </c>
      <c r="L865">
        <v>0</v>
      </c>
      <c r="M865">
        <v>0</v>
      </c>
      <c r="N865">
        <v>0</v>
      </c>
      <c r="O865">
        <v>0</v>
      </c>
      <c r="P865">
        <v>0</v>
      </c>
      <c r="Q865" t="str">
        <f>INDEX('Partner data'!A:DH,MATCH(C865,'Partner data'!DG:DG,0),83)</f>
        <v xml:space="preserve">Organismo di diritto pubblico </v>
      </c>
      <c r="R865" t="b">
        <f>IF(E865="staff",IF(INDEX('Partner data'!A:DH,MATCH(C865,'Partner data'!DG:DG,0),112)="BL1 non presente","FALSO",INDEX('Partner data'!A:DH,MATCH(C865,'Partner data'!DG:DG,0),112)))</f>
        <v>0</v>
      </c>
      <c r="S865" t="b">
        <f t="shared" si="26"/>
        <v>0</v>
      </c>
      <c r="T865" t="b">
        <f t="shared" si="27"/>
        <v>1</v>
      </c>
      <c r="U865" s="154">
        <f>IFERROR(IF(R865&lt;&gt;FALSE,IF(S865=TRUE,INDEX('SummaryNOT_VALIDATED-BL'!$A$1:$F$16,MATCH(R865,'SummaryNOT_VALIDATED-BL'!$A$1:$A$16,0),6),0),IF(S865=TRUE,INDEX('SummaryNOT_VALIDATED-BL'!$A$1:$F$16,MATCH(E865,'SummaryNOT_VALIDATED-BL'!$A$1:$A$16,0),6),0)),0)</f>
        <v>0</v>
      </c>
      <c r="V865" s="81" cm="1">
        <f t="array" ref="V865">INDEX('Weight tables'!$A$24:$C$27,MATCH(1,(RendicontiTrasmessiBL__2[[#This Row],[Cut percentage on real costs + USC]]&gt;='Weight tables'!$B$24:$B$27)*(RendicontiTrasmessiBL__2[[#This Row],[Cut percentage on real costs + USC]]&lt;='Weight tables'!$C$24:$C$27),0),1)</f>
        <v>0</v>
      </c>
      <c r="W865" s="2">
        <f>RendicontiTrasmessiBL__2[[#This Row],[Weight real costs  + USC ]]</f>
        <v>0</v>
      </c>
    </row>
    <row r="866" spans="1:23" x14ac:dyDescent="0.25">
      <c r="A866" s="1" t="s">
        <v>341</v>
      </c>
      <c r="B866" s="1" t="s">
        <v>342</v>
      </c>
      <c r="C866" s="2">
        <v>284</v>
      </c>
      <c r="D866" s="2">
        <v>332</v>
      </c>
      <c r="E866" s="1" t="s">
        <v>228</v>
      </c>
      <c r="F866">
        <v>20</v>
      </c>
      <c r="G866">
        <v>15500</v>
      </c>
      <c r="H866">
        <v>0</v>
      </c>
      <c r="I866">
        <v>0</v>
      </c>
      <c r="J866">
        <v>0</v>
      </c>
      <c r="K866">
        <v>0</v>
      </c>
      <c r="L866">
        <v>0</v>
      </c>
      <c r="M866">
        <v>0</v>
      </c>
      <c r="N866">
        <v>0</v>
      </c>
      <c r="O866">
        <v>15500</v>
      </c>
      <c r="P866">
        <v>0</v>
      </c>
      <c r="Q866" t="str">
        <f>INDEX('Partner data'!A:DH,MATCH(C866,'Partner data'!DG:DG,0),83)</f>
        <v>Soggetto pubblico</v>
      </c>
      <c r="R866" t="str">
        <f>IF(E866="staff",IF(INDEX('Partner data'!A:DH,MATCH(C866,'Partner data'!DG:DG,0),112)="BL1 non presente","FALSO",INDEX('Partner data'!A:DH,MATCH(C866,'Partner data'!DG:DG,0),112)))</f>
        <v>Tasso Forfettario 20%</v>
      </c>
      <c r="S866" t="b">
        <f t="shared" si="26"/>
        <v>0</v>
      </c>
      <c r="T866" t="b">
        <f t="shared" si="27"/>
        <v>1</v>
      </c>
      <c r="U866" s="154">
        <f>IFERROR(IF(R866&lt;&gt;FALSE,IF(S866=TRUE,INDEX('SummaryNOT_VALIDATED-BL'!$A$1:$F$16,MATCH(R866,'SummaryNOT_VALIDATED-BL'!$A$1:$A$16,0),6),0),IF(S866=TRUE,INDEX('SummaryNOT_VALIDATED-BL'!$A$1:$F$16,MATCH(E866,'SummaryNOT_VALIDATED-BL'!$A$1:$A$16,0),6),0)),0)</f>
        <v>0</v>
      </c>
      <c r="V866" s="81" cm="1">
        <f t="array" ref="V866">INDEX('Weight tables'!$A$24:$C$27,MATCH(1,(RendicontiTrasmessiBL__2[[#This Row],[Cut percentage on real costs + USC]]&gt;='Weight tables'!$B$24:$B$27)*(RendicontiTrasmessiBL__2[[#This Row],[Cut percentage on real costs + USC]]&lt;='Weight tables'!$C$24:$C$27),0),1)</f>
        <v>0</v>
      </c>
      <c r="W866" s="2">
        <f>RendicontiTrasmessiBL__2[[#This Row],[Weight real costs  + USC ]]</f>
        <v>0</v>
      </c>
    </row>
    <row r="867" spans="1:23" x14ac:dyDescent="0.25">
      <c r="A867" s="1" t="s">
        <v>341</v>
      </c>
      <c r="B867" s="1" t="s">
        <v>342</v>
      </c>
      <c r="C867" s="2">
        <v>284</v>
      </c>
      <c r="D867" s="2">
        <v>332</v>
      </c>
      <c r="E867" s="1" t="s">
        <v>229</v>
      </c>
      <c r="F867">
        <v>15</v>
      </c>
      <c r="G867">
        <v>2325</v>
      </c>
      <c r="H867">
        <v>0</v>
      </c>
      <c r="I867">
        <v>0</v>
      </c>
      <c r="J867">
        <v>0</v>
      </c>
      <c r="K867">
        <v>0</v>
      </c>
      <c r="L867">
        <v>0</v>
      </c>
      <c r="M867">
        <v>0</v>
      </c>
      <c r="N867">
        <v>0</v>
      </c>
      <c r="O867">
        <v>2325</v>
      </c>
      <c r="P867">
        <v>0</v>
      </c>
      <c r="Q867" t="str">
        <f>INDEX('Partner data'!A:DH,MATCH(C867,'Partner data'!DG:DG,0),83)</f>
        <v>Soggetto pubblico</v>
      </c>
      <c r="R867" t="b">
        <f>IF(E867="staff",IF(INDEX('Partner data'!A:DH,MATCH(C867,'Partner data'!DG:DG,0),112)="BL1 non presente","FALSO",INDEX('Partner data'!A:DH,MATCH(C867,'Partner data'!DG:DG,0),112)))</f>
        <v>0</v>
      </c>
      <c r="S867" t="b">
        <f t="shared" si="26"/>
        <v>0</v>
      </c>
      <c r="T867" t="b">
        <f t="shared" si="27"/>
        <v>1</v>
      </c>
      <c r="U867" s="154">
        <f>IFERROR(IF(R867&lt;&gt;FALSE,IF(S867=TRUE,INDEX('SummaryNOT_VALIDATED-BL'!$A$1:$F$16,MATCH(R867,'SummaryNOT_VALIDATED-BL'!$A$1:$A$16,0),6),0),IF(S867=TRUE,INDEX('SummaryNOT_VALIDATED-BL'!$A$1:$F$16,MATCH(E867,'SummaryNOT_VALIDATED-BL'!$A$1:$A$16,0),6),0)),0)</f>
        <v>0</v>
      </c>
      <c r="V867" s="81" cm="1">
        <f t="array" ref="V867">INDEX('Weight tables'!$A$24:$C$27,MATCH(1,(RendicontiTrasmessiBL__2[[#This Row],[Cut percentage on real costs + USC]]&gt;='Weight tables'!$B$24:$B$27)*(RendicontiTrasmessiBL__2[[#This Row],[Cut percentage on real costs + USC]]&lt;='Weight tables'!$C$24:$C$27),0),1)</f>
        <v>0</v>
      </c>
      <c r="W867" s="2">
        <f>RendicontiTrasmessiBL__2[[#This Row],[Weight real costs  + USC ]]</f>
        <v>0</v>
      </c>
    </row>
    <row r="868" spans="1:23" x14ac:dyDescent="0.25">
      <c r="A868" s="1" t="s">
        <v>341</v>
      </c>
      <c r="B868" s="1" t="s">
        <v>342</v>
      </c>
      <c r="C868" s="2">
        <v>284</v>
      </c>
      <c r="D868" s="2">
        <v>332</v>
      </c>
      <c r="E868" s="1" t="s">
        <v>230</v>
      </c>
      <c r="F868">
        <v>4</v>
      </c>
      <c r="G868">
        <v>620</v>
      </c>
      <c r="H868">
        <v>0</v>
      </c>
      <c r="I868">
        <v>0</v>
      </c>
      <c r="J868">
        <v>0</v>
      </c>
      <c r="K868">
        <v>0</v>
      </c>
      <c r="L868">
        <v>0</v>
      </c>
      <c r="M868">
        <v>0</v>
      </c>
      <c r="N868">
        <v>0</v>
      </c>
      <c r="O868">
        <v>620</v>
      </c>
      <c r="P868">
        <v>0</v>
      </c>
      <c r="Q868" t="str">
        <f>INDEX('Partner data'!A:DH,MATCH(C868,'Partner data'!DG:DG,0),83)</f>
        <v>Soggetto pubblico</v>
      </c>
      <c r="R868" t="b">
        <f>IF(E868="staff",IF(INDEX('Partner data'!A:DH,MATCH(C868,'Partner data'!DG:DG,0),112)="BL1 non presente","FALSO",INDEX('Partner data'!A:DH,MATCH(C868,'Partner data'!DG:DG,0),112)))</f>
        <v>0</v>
      </c>
      <c r="S868" t="b">
        <f t="shared" si="26"/>
        <v>0</v>
      </c>
      <c r="T868" t="b">
        <f t="shared" si="27"/>
        <v>1</v>
      </c>
      <c r="U868" s="154">
        <f>IFERROR(IF(R868&lt;&gt;FALSE,IF(S868=TRUE,INDEX('SummaryNOT_VALIDATED-BL'!$A$1:$F$16,MATCH(R868,'SummaryNOT_VALIDATED-BL'!$A$1:$A$16,0),6),0),IF(S868=TRUE,INDEX('SummaryNOT_VALIDATED-BL'!$A$1:$F$16,MATCH(E868,'SummaryNOT_VALIDATED-BL'!$A$1:$A$16,0),6),0)),0)</f>
        <v>0</v>
      </c>
      <c r="V868" s="81" cm="1">
        <f t="array" ref="V868">INDEX('Weight tables'!$A$24:$C$27,MATCH(1,(RendicontiTrasmessiBL__2[[#This Row],[Cut percentage on real costs + USC]]&gt;='Weight tables'!$B$24:$B$27)*(RendicontiTrasmessiBL__2[[#This Row],[Cut percentage on real costs + USC]]&lt;='Weight tables'!$C$24:$C$27),0),1)</f>
        <v>0</v>
      </c>
      <c r="W868" s="2">
        <f>RendicontiTrasmessiBL__2[[#This Row],[Weight real costs  + USC ]]</f>
        <v>0</v>
      </c>
    </row>
    <row r="869" spans="1:23" x14ac:dyDescent="0.25">
      <c r="A869" s="1" t="s">
        <v>341</v>
      </c>
      <c r="B869" s="1" t="s">
        <v>342</v>
      </c>
      <c r="C869" s="2">
        <v>284</v>
      </c>
      <c r="D869" s="2">
        <v>332</v>
      </c>
      <c r="E869" s="1" t="s">
        <v>231</v>
      </c>
      <c r="G869">
        <v>8750</v>
      </c>
      <c r="H869">
        <v>0</v>
      </c>
      <c r="I869">
        <v>0</v>
      </c>
      <c r="J869">
        <v>0</v>
      </c>
      <c r="K869">
        <v>0</v>
      </c>
      <c r="L869">
        <v>0</v>
      </c>
      <c r="M869">
        <v>0</v>
      </c>
      <c r="N869">
        <v>0</v>
      </c>
      <c r="O869">
        <v>8750</v>
      </c>
      <c r="P869">
        <v>0</v>
      </c>
      <c r="Q869" t="str">
        <f>INDEX('Partner data'!A:DH,MATCH(C869,'Partner data'!DG:DG,0),83)</f>
        <v>Soggetto pubblico</v>
      </c>
      <c r="R869" t="b">
        <f>IF(E869="staff",IF(INDEX('Partner data'!A:DH,MATCH(C869,'Partner data'!DG:DG,0),112)="BL1 non presente","FALSO",INDEX('Partner data'!A:DH,MATCH(C869,'Partner data'!DG:DG,0),112)))</f>
        <v>0</v>
      </c>
      <c r="S869" t="b">
        <f t="shared" si="26"/>
        <v>0</v>
      </c>
      <c r="T869" t="b">
        <f t="shared" si="27"/>
        <v>1</v>
      </c>
      <c r="U869" s="154">
        <f>IFERROR(IF(R869&lt;&gt;FALSE,IF(S869=TRUE,INDEX('SummaryNOT_VALIDATED-BL'!$A$1:$F$16,MATCH(R869,'SummaryNOT_VALIDATED-BL'!$A$1:$A$16,0),6),0),IF(S869=TRUE,INDEX('SummaryNOT_VALIDATED-BL'!$A$1:$F$16,MATCH(E869,'SummaryNOT_VALIDATED-BL'!$A$1:$A$16,0),6),0)),0)</f>
        <v>0</v>
      </c>
      <c r="V869" s="81" cm="1">
        <f t="array" ref="V869">INDEX('Weight tables'!$A$24:$C$27,MATCH(1,(RendicontiTrasmessiBL__2[[#This Row],[Cut percentage on real costs + USC]]&gt;='Weight tables'!$B$24:$B$27)*(RendicontiTrasmessiBL__2[[#This Row],[Cut percentage on real costs + USC]]&lt;='Weight tables'!$C$24:$C$27),0),1)</f>
        <v>0</v>
      </c>
      <c r="W869" s="2">
        <f>RendicontiTrasmessiBL__2[[#This Row],[Weight real costs  + USC ]]</f>
        <v>0</v>
      </c>
    </row>
    <row r="870" spans="1:23" x14ac:dyDescent="0.25">
      <c r="A870" s="1" t="s">
        <v>341</v>
      </c>
      <c r="B870" s="1" t="s">
        <v>342</v>
      </c>
      <c r="C870" s="2">
        <v>284</v>
      </c>
      <c r="D870" s="2">
        <v>332</v>
      </c>
      <c r="E870" s="1" t="s">
        <v>232</v>
      </c>
      <c r="G870">
        <v>68750</v>
      </c>
      <c r="H870">
        <v>0</v>
      </c>
      <c r="I870">
        <v>0</v>
      </c>
      <c r="J870">
        <v>0</v>
      </c>
      <c r="K870">
        <v>0</v>
      </c>
      <c r="L870">
        <v>0</v>
      </c>
      <c r="M870">
        <v>0</v>
      </c>
      <c r="N870">
        <v>0</v>
      </c>
      <c r="O870">
        <v>68750</v>
      </c>
      <c r="P870">
        <v>0</v>
      </c>
      <c r="Q870" t="str">
        <f>INDEX('Partner data'!A:DH,MATCH(C870,'Partner data'!DG:DG,0),83)</f>
        <v>Soggetto pubblico</v>
      </c>
      <c r="R870" t="b">
        <f>IF(E870="staff",IF(INDEX('Partner data'!A:DH,MATCH(C870,'Partner data'!DG:DG,0),112)="BL1 non presente","FALSO",INDEX('Partner data'!A:DH,MATCH(C870,'Partner data'!DG:DG,0),112)))</f>
        <v>0</v>
      </c>
      <c r="S870" t="b">
        <f t="shared" si="26"/>
        <v>0</v>
      </c>
      <c r="T870" t="b">
        <f t="shared" si="27"/>
        <v>1</v>
      </c>
      <c r="U870" s="154">
        <f>IFERROR(IF(R870&lt;&gt;FALSE,IF(S870=TRUE,INDEX('SummaryNOT_VALIDATED-BL'!$A$1:$F$16,MATCH(R870,'SummaryNOT_VALIDATED-BL'!$A$1:$A$16,0),6),0),IF(S870=TRUE,INDEX('SummaryNOT_VALIDATED-BL'!$A$1:$F$16,MATCH(E870,'SummaryNOT_VALIDATED-BL'!$A$1:$A$16,0),6),0)),0)</f>
        <v>0</v>
      </c>
      <c r="V870" s="81" cm="1">
        <f t="array" ref="V870">INDEX('Weight tables'!$A$24:$C$27,MATCH(1,(RendicontiTrasmessiBL__2[[#This Row],[Cut percentage on real costs + USC]]&gt;='Weight tables'!$B$24:$B$27)*(RendicontiTrasmessiBL__2[[#This Row],[Cut percentage on real costs + USC]]&lt;='Weight tables'!$C$24:$C$27),0),1)</f>
        <v>0</v>
      </c>
      <c r="W870" s="2">
        <f>RendicontiTrasmessiBL__2[[#This Row],[Weight real costs  + USC ]]</f>
        <v>0</v>
      </c>
    </row>
    <row r="871" spans="1:23" x14ac:dyDescent="0.25">
      <c r="A871" s="1" t="s">
        <v>341</v>
      </c>
      <c r="B871" s="1" t="s">
        <v>342</v>
      </c>
      <c r="C871" s="2">
        <v>284</v>
      </c>
      <c r="D871" s="2">
        <v>332</v>
      </c>
      <c r="E871" s="1" t="s">
        <v>233</v>
      </c>
      <c r="G871">
        <v>0</v>
      </c>
      <c r="H871">
        <v>0</v>
      </c>
      <c r="I871">
        <v>0</v>
      </c>
      <c r="J871">
        <v>0</v>
      </c>
      <c r="K871">
        <v>0</v>
      </c>
      <c r="L871">
        <v>0</v>
      </c>
      <c r="M871">
        <v>0</v>
      </c>
      <c r="N871">
        <v>0</v>
      </c>
      <c r="O871">
        <v>0</v>
      </c>
      <c r="P871">
        <v>0</v>
      </c>
      <c r="Q871" t="str">
        <f>INDEX('Partner data'!A:DH,MATCH(C871,'Partner data'!DG:DG,0),83)</f>
        <v>Soggetto pubblico</v>
      </c>
      <c r="R871" t="b">
        <f>IF(E871="staff",IF(INDEX('Partner data'!A:DH,MATCH(C871,'Partner data'!DG:DG,0),112)="BL1 non presente","FALSO",INDEX('Partner data'!A:DH,MATCH(C871,'Partner data'!DG:DG,0),112)))</f>
        <v>0</v>
      </c>
      <c r="S871" t="b">
        <f t="shared" si="26"/>
        <v>0</v>
      </c>
      <c r="T871" t="b">
        <f t="shared" si="27"/>
        <v>1</v>
      </c>
      <c r="U871" s="154">
        <f>IFERROR(IF(R871&lt;&gt;FALSE,IF(S871=TRUE,INDEX('SummaryNOT_VALIDATED-BL'!$A$1:$F$16,MATCH(R871,'SummaryNOT_VALIDATED-BL'!$A$1:$A$16,0),6),0),IF(S871=TRUE,INDEX('SummaryNOT_VALIDATED-BL'!$A$1:$F$16,MATCH(E871,'SummaryNOT_VALIDATED-BL'!$A$1:$A$16,0),6),0)),0)</f>
        <v>0</v>
      </c>
      <c r="V871" s="81" cm="1">
        <f t="array" ref="V871">INDEX('Weight tables'!$A$24:$C$27,MATCH(1,(RendicontiTrasmessiBL__2[[#This Row],[Cut percentage on real costs + USC]]&gt;='Weight tables'!$B$24:$B$27)*(RendicontiTrasmessiBL__2[[#This Row],[Cut percentage on real costs + USC]]&lt;='Weight tables'!$C$24:$C$27),0),1)</f>
        <v>0</v>
      </c>
      <c r="W871" s="2">
        <f>RendicontiTrasmessiBL__2[[#This Row],[Weight real costs  + USC ]]</f>
        <v>0</v>
      </c>
    </row>
    <row r="872" spans="1:23" x14ac:dyDescent="0.25">
      <c r="A872" s="1" t="s">
        <v>341</v>
      </c>
      <c r="B872" s="1" t="s">
        <v>342</v>
      </c>
      <c r="C872" s="2">
        <v>284</v>
      </c>
      <c r="D872" s="2">
        <v>332</v>
      </c>
      <c r="E872" s="1" t="s">
        <v>234</v>
      </c>
      <c r="G872">
        <v>0</v>
      </c>
      <c r="H872">
        <v>0</v>
      </c>
      <c r="I872">
        <v>0</v>
      </c>
      <c r="J872">
        <v>0</v>
      </c>
      <c r="K872">
        <v>0</v>
      </c>
      <c r="L872">
        <v>0</v>
      </c>
      <c r="M872">
        <v>0</v>
      </c>
      <c r="N872">
        <v>0</v>
      </c>
      <c r="O872">
        <v>0</v>
      </c>
      <c r="P872">
        <v>0</v>
      </c>
      <c r="Q872" t="str">
        <f>INDEX('Partner data'!A:DH,MATCH(C872,'Partner data'!DG:DG,0),83)</f>
        <v>Soggetto pubblico</v>
      </c>
      <c r="R872" t="b">
        <f>IF(E872="staff",IF(INDEX('Partner data'!A:DH,MATCH(C872,'Partner data'!DG:DG,0),112)="BL1 non presente","FALSO",INDEX('Partner data'!A:DH,MATCH(C872,'Partner data'!DG:DG,0),112)))</f>
        <v>0</v>
      </c>
      <c r="S872" t="b">
        <f t="shared" si="26"/>
        <v>0</v>
      </c>
      <c r="T872" t="b">
        <f t="shared" si="27"/>
        <v>1</v>
      </c>
      <c r="U872" s="154">
        <f>IFERROR(IF(R872&lt;&gt;FALSE,IF(S872=TRUE,INDEX('SummaryNOT_VALIDATED-BL'!$A$1:$F$16,MATCH(R872,'SummaryNOT_VALIDATED-BL'!$A$1:$A$16,0),6),0),IF(S872=TRUE,INDEX('SummaryNOT_VALIDATED-BL'!$A$1:$F$16,MATCH(E872,'SummaryNOT_VALIDATED-BL'!$A$1:$A$16,0),6),0)),0)</f>
        <v>0</v>
      </c>
      <c r="V872" s="81" cm="1">
        <f t="array" ref="V872">INDEX('Weight tables'!$A$24:$C$27,MATCH(1,(RendicontiTrasmessiBL__2[[#This Row],[Cut percentage on real costs + USC]]&gt;='Weight tables'!$B$24:$B$27)*(RendicontiTrasmessiBL__2[[#This Row],[Cut percentage on real costs + USC]]&lt;='Weight tables'!$C$24:$C$27),0),1)</f>
        <v>0</v>
      </c>
      <c r="W872" s="2">
        <f>RendicontiTrasmessiBL__2[[#This Row],[Weight real costs  + USC ]]</f>
        <v>0</v>
      </c>
    </row>
    <row r="873" spans="1:23" x14ac:dyDescent="0.25">
      <c r="A873" s="1" t="s">
        <v>341</v>
      </c>
      <c r="B873" s="1" t="s">
        <v>342</v>
      </c>
      <c r="C873" s="2">
        <v>284</v>
      </c>
      <c r="D873" s="2">
        <v>332</v>
      </c>
      <c r="E873" s="1" t="s">
        <v>236</v>
      </c>
      <c r="G873">
        <v>0</v>
      </c>
      <c r="H873">
        <v>0</v>
      </c>
      <c r="I873">
        <v>0</v>
      </c>
      <c r="J873">
        <v>0</v>
      </c>
      <c r="K873">
        <v>0</v>
      </c>
      <c r="L873">
        <v>0</v>
      </c>
      <c r="M873">
        <v>0</v>
      </c>
      <c r="N873">
        <v>0</v>
      </c>
      <c r="O873">
        <v>0</v>
      </c>
      <c r="P873">
        <v>0</v>
      </c>
      <c r="Q873" t="str">
        <f>INDEX('Partner data'!A:DH,MATCH(C873,'Partner data'!DG:DG,0),83)</f>
        <v>Soggetto pubblico</v>
      </c>
      <c r="R873" t="b">
        <f>IF(E873="staff",IF(INDEX('Partner data'!A:DH,MATCH(C873,'Partner data'!DG:DG,0),112)="BL1 non presente","FALSO",INDEX('Partner data'!A:DH,MATCH(C873,'Partner data'!DG:DG,0),112)))</f>
        <v>0</v>
      </c>
      <c r="S873" t="b">
        <f t="shared" si="26"/>
        <v>0</v>
      </c>
      <c r="T873" t="b">
        <f t="shared" si="27"/>
        <v>1</v>
      </c>
      <c r="U873" s="154">
        <f>IFERROR(IF(R873&lt;&gt;FALSE,IF(S873=TRUE,INDEX('SummaryNOT_VALIDATED-BL'!$A$1:$F$16,MATCH(R873,'SummaryNOT_VALIDATED-BL'!$A$1:$A$16,0),6),0),IF(S873=TRUE,INDEX('SummaryNOT_VALIDATED-BL'!$A$1:$F$16,MATCH(E873,'SummaryNOT_VALIDATED-BL'!$A$1:$A$16,0),6),0)),0)</f>
        <v>0</v>
      </c>
      <c r="V873" s="81" cm="1">
        <f t="array" ref="V873">INDEX('Weight tables'!$A$24:$C$27,MATCH(1,(RendicontiTrasmessiBL__2[[#This Row],[Cut percentage on real costs + USC]]&gt;='Weight tables'!$B$24:$B$27)*(RendicontiTrasmessiBL__2[[#This Row],[Cut percentage on real costs + USC]]&lt;='Weight tables'!$C$24:$C$27),0),1)</f>
        <v>0</v>
      </c>
      <c r="W873" s="2">
        <f>RendicontiTrasmessiBL__2[[#This Row],[Weight real costs  + USC ]]</f>
        <v>0</v>
      </c>
    </row>
    <row r="874" spans="1:23" x14ac:dyDescent="0.25">
      <c r="A874" s="1" t="s">
        <v>341</v>
      </c>
      <c r="B874" s="1" t="s">
        <v>342</v>
      </c>
      <c r="C874" s="2">
        <v>284</v>
      </c>
      <c r="D874" s="2">
        <v>332</v>
      </c>
      <c r="E874" s="1" t="s">
        <v>237</v>
      </c>
      <c r="G874">
        <v>0</v>
      </c>
      <c r="H874">
        <v>0</v>
      </c>
      <c r="I874">
        <v>0</v>
      </c>
      <c r="J874">
        <v>0</v>
      </c>
      <c r="K874">
        <v>0</v>
      </c>
      <c r="L874">
        <v>0</v>
      </c>
      <c r="M874">
        <v>0</v>
      </c>
      <c r="N874">
        <v>0</v>
      </c>
      <c r="O874">
        <v>0</v>
      </c>
      <c r="P874">
        <v>0</v>
      </c>
      <c r="Q874" t="str">
        <f>INDEX('Partner data'!A:DH,MATCH(C874,'Partner data'!DG:DG,0),83)</f>
        <v>Soggetto pubblico</v>
      </c>
      <c r="R874" t="b">
        <f>IF(E874="staff",IF(INDEX('Partner data'!A:DH,MATCH(C874,'Partner data'!DG:DG,0),112)="BL1 non presente","FALSO",INDEX('Partner data'!A:DH,MATCH(C874,'Partner data'!DG:DG,0),112)))</f>
        <v>0</v>
      </c>
      <c r="S874" t="b">
        <f t="shared" si="26"/>
        <v>0</v>
      </c>
      <c r="T874" t="b">
        <f t="shared" si="27"/>
        <v>1</v>
      </c>
      <c r="U874" s="154">
        <f>IFERROR(IF(R874&lt;&gt;FALSE,IF(S874=TRUE,INDEX('SummaryNOT_VALIDATED-BL'!$A$1:$F$16,MATCH(R874,'SummaryNOT_VALIDATED-BL'!$A$1:$A$16,0),6),0),IF(S874=TRUE,INDEX('SummaryNOT_VALIDATED-BL'!$A$1:$F$16,MATCH(E874,'SummaryNOT_VALIDATED-BL'!$A$1:$A$16,0),6),0)),0)</f>
        <v>0</v>
      </c>
      <c r="V874" s="81" cm="1">
        <f t="array" ref="V874">INDEX('Weight tables'!$A$24:$C$27,MATCH(1,(RendicontiTrasmessiBL__2[[#This Row],[Cut percentage on real costs + USC]]&gt;='Weight tables'!$B$24:$B$27)*(RendicontiTrasmessiBL__2[[#This Row],[Cut percentage on real costs + USC]]&lt;='Weight tables'!$C$24:$C$27),0),1)</f>
        <v>0</v>
      </c>
      <c r="W874" s="2">
        <f>RendicontiTrasmessiBL__2[[#This Row],[Weight real costs  + USC ]]</f>
        <v>0</v>
      </c>
    </row>
    <row r="875" spans="1:23" x14ac:dyDescent="0.25">
      <c r="A875" s="1" t="s">
        <v>341</v>
      </c>
      <c r="B875" s="1" t="s">
        <v>4546</v>
      </c>
      <c r="C875" s="2">
        <v>270</v>
      </c>
      <c r="D875" s="2">
        <v>340</v>
      </c>
      <c r="E875" s="1" t="s">
        <v>228</v>
      </c>
      <c r="G875">
        <v>30000</v>
      </c>
      <c r="H875">
        <v>0</v>
      </c>
      <c r="I875">
        <v>0</v>
      </c>
      <c r="J875">
        <v>0</v>
      </c>
      <c r="K875">
        <v>0</v>
      </c>
      <c r="L875">
        <v>0</v>
      </c>
      <c r="M875">
        <v>0</v>
      </c>
      <c r="N875">
        <v>0</v>
      </c>
      <c r="O875">
        <v>30000</v>
      </c>
      <c r="P875">
        <v>0</v>
      </c>
      <c r="Q875" t="str">
        <f>INDEX('Partner data'!A:DH,MATCH(C875,'Partner data'!DG:DG,0),83)</f>
        <v>Soggetto pubblico</v>
      </c>
      <c r="R875" t="str">
        <f>IF(E875="staff",IF(INDEX('Partner data'!A:DH,MATCH(C875,'Partner data'!DG:DG,0),112)="BL1 non presente","FALSO",INDEX('Partner data'!A:DH,MATCH(C875,'Partner data'!DG:DG,0),112)))</f>
        <v>COSTO REALE</v>
      </c>
      <c r="S875" t="b">
        <f t="shared" si="26"/>
        <v>0</v>
      </c>
      <c r="T875" t="b">
        <f t="shared" si="27"/>
        <v>1</v>
      </c>
      <c r="U875" s="154">
        <f>IFERROR(IF(R875&lt;&gt;FALSE,IF(S875=TRUE,INDEX('SummaryNOT_VALIDATED-BL'!$A$1:$F$16,MATCH(R875,'SummaryNOT_VALIDATED-BL'!$A$1:$A$16,0),6),0),IF(S875=TRUE,INDEX('SummaryNOT_VALIDATED-BL'!$A$1:$F$16,MATCH(E875,'SummaryNOT_VALIDATED-BL'!$A$1:$A$16,0),6),0)),0)</f>
        <v>0</v>
      </c>
      <c r="V875" s="81" cm="1">
        <f t="array" ref="V875">INDEX('Weight tables'!$A$24:$C$27,MATCH(1,(RendicontiTrasmessiBL__2[[#This Row],[Cut percentage on real costs + USC]]&gt;='Weight tables'!$B$24:$B$27)*(RendicontiTrasmessiBL__2[[#This Row],[Cut percentage on real costs + USC]]&lt;='Weight tables'!$C$24:$C$27),0),1)</f>
        <v>0</v>
      </c>
      <c r="W875" s="2">
        <f>RendicontiTrasmessiBL__2[[#This Row],[Weight real costs  + USC ]]</f>
        <v>0</v>
      </c>
    </row>
    <row r="876" spans="1:23" x14ac:dyDescent="0.25">
      <c r="A876" s="1" t="s">
        <v>341</v>
      </c>
      <c r="B876" s="1" t="s">
        <v>4546</v>
      </c>
      <c r="C876" s="2">
        <v>270</v>
      </c>
      <c r="D876" s="2">
        <v>340</v>
      </c>
      <c r="E876" s="1" t="s">
        <v>229</v>
      </c>
      <c r="F876">
        <v>15</v>
      </c>
      <c r="G876">
        <v>4500</v>
      </c>
      <c r="H876">
        <v>0</v>
      </c>
      <c r="I876">
        <v>0</v>
      </c>
      <c r="J876">
        <v>0</v>
      </c>
      <c r="K876">
        <v>0</v>
      </c>
      <c r="L876">
        <v>0</v>
      </c>
      <c r="M876">
        <v>0</v>
      </c>
      <c r="N876">
        <v>0</v>
      </c>
      <c r="O876">
        <v>4500</v>
      </c>
      <c r="P876">
        <v>0</v>
      </c>
      <c r="Q876" t="str">
        <f>INDEX('Partner data'!A:DH,MATCH(C876,'Partner data'!DG:DG,0),83)</f>
        <v>Soggetto pubblico</v>
      </c>
      <c r="R876" t="b">
        <f>IF(E876="staff",IF(INDEX('Partner data'!A:DH,MATCH(C876,'Partner data'!DG:DG,0),112)="BL1 non presente","FALSO",INDEX('Partner data'!A:DH,MATCH(C876,'Partner data'!DG:DG,0),112)))</f>
        <v>0</v>
      </c>
      <c r="S876" t="b">
        <f t="shared" si="26"/>
        <v>0</v>
      </c>
      <c r="T876" t="b">
        <f t="shared" si="27"/>
        <v>1</v>
      </c>
      <c r="U876" s="154">
        <f>IFERROR(IF(R876&lt;&gt;FALSE,IF(S876=TRUE,INDEX('SummaryNOT_VALIDATED-BL'!$A$1:$F$16,MATCH(R876,'SummaryNOT_VALIDATED-BL'!$A$1:$A$16,0),6),0),IF(S876=TRUE,INDEX('SummaryNOT_VALIDATED-BL'!$A$1:$F$16,MATCH(E876,'SummaryNOT_VALIDATED-BL'!$A$1:$A$16,0),6),0)),0)</f>
        <v>0</v>
      </c>
      <c r="V876" s="81" cm="1">
        <f t="array" ref="V876">INDEX('Weight tables'!$A$24:$C$27,MATCH(1,(RendicontiTrasmessiBL__2[[#This Row],[Cut percentage on real costs + USC]]&gt;='Weight tables'!$B$24:$B$27)*(RendicontiTrasmessiBL__2[[#This Row],[Cut percentage on real costs + USC]]&lt;='Weight tables'!$C$24:$C$27),0),1)</f>
        <v>0</v>
      </c>
      <c r="W876" s="2">
        <f>RendicontiTrasmessiBL__2[[#This Row],[Weight real costs  + USC ]]</f>
        <v>0</v>
      </c>
    </row>
    <row r="877" spans="1:23" x14ac:dyDescent="0.25">
      <c r="A877" s="1" t="s">
        <v>341</v>
      </c>
      <c r="B877" s="1" t="s">
        <v>4546</v>
      </c>
      <c r="C877" s="2">
        <v>270</v>
      </c>
      <c r="D877" s="2">
        <v>340</v>
      </c>
      <c r="E877" s="1" t="s">
        <v>230</v>
      </c>
      <c r="F877">
        <v>4</v>
      </c>
      <c r="G877">
        <v>1200</v>
      </c>
      <c r="H877">
        <v>0</v>
      </c>
      <c r="I877">
        <v>0</v>
      </c>
      <c r="J877">
        <v>0</v>
      </c>
      <c r="K877">
        <v>0</v>
      </c>
      <c r="L877">
        <v>0</v>
      </c>
      <c r="M877">
        <v>0</v>
      </c>
      <c r="N877">
        <v>0</v>
      </c>
      <c r="O877">
        <v>1200</v>
      </c>
      <c r="P877">
        <v>0</v>
      </c>
      <c r="Q877" t="str">
        <f>INDEX('Partner data'!A:DH,MATCH(C877,'Partner data'!DG:DG,0),83)</f>
        <v>Soggetto pubblico</v>
      </c>
      <c r="R877" t="b">
        <f>IF(E877="staff",IF(INDEX('Partner data'!A:DH,MATCH(C877,'Partner data'!DG:DG,0),112)="BL1 non presente","FALSO",INDEX('Partner data'!A:DH,MATCH(C877,'Partner data'!DG:DG,0),112)))</f>
        <v>0</v>
      </c>
      <c r="S877" t="b">
        <f t="shared" si="26"/>
        <v>0</v>
      </c>
      <c r="T877" t="b">
        <f t="shared" si="27"/>
        <v>1</v>
      </c>
      <c r="U877" s="154">
        <f>IFERROR(IF(R877&lt;&gt;FALSE,IF(S877=TRUE,INDEX('SummaryNOT_VALIDATED-BL'!$A$1:$F$16,MATCH(R877,'SummaryNOT_VALIDATED-BL'!$A$1:$A$16,0),6),0),IF(S877=TRUE,INDEX('SummaryNOT_VALIDATED-BL'!$A$1:$F$16,MATCH(E877,'SummaryNOT_VALIDATED-BL'!$A$1:$A$16,0),6),0)),0)</f>
        <v>0</v>
      </c>
      <c r="V877" s="81" cm="1">
        <f t="array" ref="V877">INDEX('Weight tables'!$A$24:$C$27,MATCH(1,(RendicontiTrasmessiBL__2[[#This Row],[Cut percentage on real costs + USC]]&gt;='Weight tables'!$B$24:$B$27)*(RendicontiTrasmessiBL__2[[#This Row],[Cut percentage on real costs + USC]]&lt;='Weight tables'!$C$24:$C$27),0),1)</f>
        <v>0</v>
      </c>
      <c r="W877" s="2">
        <f>RendicontiTrasmessiBL__2[[#This Row],[Weight real costs  + USC ]]</f>
        <v>0</v>
      </c>
    </row>
    <row r="878" spans="1:23" x14ac:dyDescent="0.25">
      <c r="A878" s="1" t="s">
        <v>341</v>
      </c>
      <c r="B878" s="1" t="s">
        <v>4546</v>
      </c>
      <c r="C878" s="2">
        <v>270</v>
      </c>
      <c r="D878" s="2">
        <v>340</v>
      </c>
      <c r="E878" s="1" t="s">
        <v>231</v>
      </c>
      <c r="G878">
        <v>110175</v>
      </c>
      <c r="H878">
        <v>0</v>
      </c>
      <c r="I878">
        <v>0</v>
      </c>
      <c r="J878">
        <v>0</v>
      </c>
      <c r="K878">
        <v>0</v>
      </c>
      <c r="L878">
        <v>0</v>
      </c>
      <c r="M878">
        <v>0</v>
      </c>
      <c r="N878">
        <v>0</v>
      </c>
      <c r="O878">
        <v>110175</v>
      </c>
      <c r="P878">
        <v>0</v>
      </c>
      <c r="Q878" t="str">
        <f>INDEX('Partner data'!A:DH,MATCH(C878,'Partner data'!DG:DG,0),83)</f>
        <v>Soggetto pubblico</v>
      </c>
      <c r="R878" t="b">
        <f>IF(E878="staff",IF(INDEX('Partner data'!A:DH,MATCH(C878,'Partner data'!DG:DG,0),112)="BL1 non presente","FALSO",INDEX('Partner data'!A:DH,MATCH(C878,'Partner data'!DG:DG,0),112)))</f>
        <v>0</v>
      </c>
      <c r="S878" t="b">
        <f t="shared" si="26"/>
        <v>0</v>
      </c>
      <c r="T878" t="b">
        <f t="shared" si="27"/>
        <v>1</v>
      </c>
      <c r="U878" s="154">
        <f>IFERROR(IF(R878&lt;&gt;FALSE,IF(S878=TRUE,INDEX('SummaryNOT_VALIDATED-BL'!$A$1:$F$16,MATCH(R878,'SummaryNOT_VALIDATED-BL'!$A$1:$A$16,0),6),0),IF(S878=TRUE,INDEX('SummaryNOT_VALIDATED-BL'!$A$1:$F$16,MATCH(E878,'SummaryNOT_VALIDATED-BL'!$A$1:$A$16,0),6),0)),0)</f>
        <v>0</v>
      </c>
      <c r="V878" s="81" cm="1">
        <f t="array" ref="V878">INDEX('Weight tables'!$A$24:$C$27,MATCH(1,(RendicontiTrasmessiBL__2[[#This Row],[Cut percentage on real costs + USC]]&gt;='Weight tables'!$B$24:$B$27)*(RendicontiTrasmessiBL__2[[#This Row],[Cut percentage on real costs + USC]]&lt;='Weight tables'!$C$24:$C$27),0),1)</f>
        <v>0</v>
      </c>
      <c r="W878" s="2">
        <f>RendicontiTrasmessiBL__2[[#This Row],[Weight real costs  + USC ]]</f>
        <v>0</v>
      </c>
    </row>
    <row r="879" spans="1:23" x14ac:dyDescent="0.25">
      <c r="A879" s="1" t="s">
        <v>341</v>
      </c>
      <c r="B879" s="1" t="s">
        <v>4546</v>
      </c>
      <c r="C879" s="2">
        <v>270</v>
      </c>
      <c r="D879" s="2">
        <v>340</v>
      </c>
      <c r="E879" s="1" t="s">
        <v>232</v>
      </c>
      <c r="G879">
        <v>0</v>
      </c>
      <c r="H879">
        <v>0</v>
      </c>
      <c r="I879">
        <v>0</v>
      </c>
      <c r="J879">
        <v>0</v>
      </c>
      <c r="K879">
        <v>0</v>
      </c>
      <c r="L879">
        <v>0</v>
      </c>
      <c r="M879">
        <v>0</v>
      </c>
      <c r="N879">
        <v>0</v>
      </c>
      <c r="O879">
        <v>0</v>
      </c>
      <c r="P879">
        <v>0</v>
      </c>
      <c r="Q879" t="str">
        <f>INDEX('Partner data'!A:DH,MATCH(C879,'Partner data'!DG:DG,0),83)</f>
        <v>Soggetto pubblico</v>
      </c>
      <c r="R879" t="b">
        <f>IF(E879="staff",IF(INDEX('Partner data'!A:DH,MATCH(C879,'Partner data'!DG:DG,0),112)="BL1 non presente","FALSO",INDEX('Partner data'!A:DH,MATCH(C879,'Partner data'!DG:DG,0),112)))</f>
        <v>0</v>
      </c>
      <c r="S879" t="b">
        <f t="shared" si="26"/>
        <v>0</v>
      </c>
      <c r="T879" t="b">
        <f t="shared" si="27"/>
        <v>1</v>
      </c>
      <c r="U879" s="154">
        <f>IFERROR(IF(R879&lt;&gt;FALSE,IF(S879=TRUE,INDEX('SummaryNOT_VALIDATED-BL'!$A$1:$F$16,MATCH(R879,'SummaryNOT_VALIDATED-BL'!$A$1:$A$16,0),6),0),IF(S879=TRUE,INDEX('SummaryNOT_VALIDATED-BL'!$A$1:$F$16,MATCH(E879,'SummaryNOT_VALIDATED-BL'!$A$1:$A$16,0),6),0)),0)</f>
        <v>0</v>
      </c>
      <c r="V879" s="81" cm="1">
        <f t="array" ref="V879">INDEX('Weight tables'!$A$24:$C$27,MATCH(1,(RendicontiTrasmessiBL__2[[#This Row],[Cut percentage on real costs + USC]]&gt;='Weight tables'!$B$24:$B$27)*(RendicontiTrasmessiBL__2[[#This Row],[Cut percentage on real costs + USC]]&lt;='Weight tables'!$C$24:$C$27),0),1)</f>
        <v>0</v>
      </c>
      <c r="W879" s="2">
        <f>RendicontiTrasmessiBL__2[[#This Row],[Weight real costs  + USC ]]</f>
        <v>0</v>
      </c>
    </row>
    <row r="880" spans="1:23" x14ac:dyDescent="0.25">
      <c r="A880" s="1" t="s">
        <v>341</v>
      </c>
      <c r="B880" s="1" t="s">
        <v>4546</v>
      </c>
      <c r="C880" s="2">
        <v>270</v>
      </c>
      <c r="D880" s="2">
        <v>340</v>
      </c>
      <c r="E880" s="1" t="s">
        <v>233</v>
      </c>
      <c r="G880">
        <v>0</v>
      </c>
      <c r="H880">
        <v>0</v>
      </c>
      <c r="I880">
        <v>0</v>
      </c>
      <c r="J880">
        <v>0</v>
      </c>
      <c r="K880">
        <v>0</v>
      </c>
      <c r="L880">
        <v>0</v>
      </c>
      <c r="M880">
        <v>0</v>
      </c>
      <c r="N880">
        <v>0</v>
      </c>
      <c r="O880">
        <v>0</v>
      </c>
      <c r="P880">
        <v>0</v>
      </c>
      <c r="Q880" t="str">
        <f>INDEX('Partner data'!A:DH,MATCH(C880,'Partner data'!DG:DG,0),83)</f>
        <v>Soggetto pubblico</v>
      </c>
      <c r="R880" t="b">
        <f>IF(E880="staff",IF(INDEX('Partner data'!A:DH,MATCH(C880,'Partner data'!DG:DG,0),112)="BL1 non presente","FALSO",INDEX('Partner data'!A:DH,MATCH(C880,'Partner data'!DG:DG,0),112)))</f>
        <v>0</v>
      </c>
      <c r="S880" t="b">
        <f t="shared" si="26"/>
        <v>0</v>
      </c>
      <c r="T880" t="b">
        <f t="shared" si="27"/>
        <v>1</v>
      </c>
      <c r="U880" s="154">
        <f>IFERROR(IF(R880&lt;&gt;FALSE,IF(S880=TRUE,INDEX('SummaryNOT_VALIDATED-BL'!$A$1:$F$16,MATCH(R880,'SummaryNOT_VALIDATED-BL'!$A$1:$A$16,0),6),0),IF(S880=TRUE,INDEX('SummaryNOT_VALIDATED-BL'!$A$1:$F$16,MATCH(E880,'SummaryNOT_VALIDATED-BL'!$A$1:$A$16,0),6),0)),0)</f>
        <v>0</v>
      </c>
      <c r="V880" s="81" cm="1">
        <f t="array" ref="V880">INDEX('Weight tables'!$A$24:$C$27,MATCH(1,(RendicontiTrasmessiBL__2[[#This Row],[Cut percentage on real costs + USC]]&gt;='Weight tables'!$B$24:$B$27)*(RendicontiTrasmessiBL__2[[#This Row],[Cut percentage on real costs + USC]]&lt;='Weight tables'!$C$24:$C$27),0),1)</f>
        <v>0</v>
      </c>
      <c r="W880" s="2">
        <f>RendicontiTrasmessiBL__2[[#This Row],[Weight real costs  + USC ]]</f>
        <v>0</v>
      </c>
    </row>
    <row r="881" spans="1:23" x14ac:dyDescent="0.25">
      <c r="A881" s="1" t="s">
        <v>341</v>
      </c>
      <c r="B881" s="1" t="s">
        <v>4546</v>
      </c>
      <c r="C881" s="2">
        <v>270</v>
      </c>
      <c r="D881" s="2">
        <v>340</v>
      </c>
      <c r="E881" s="1" t="s">
        <v>234</v>
      </c>
      <c r="G881">
        <v>0</v>
      </c>
      <c r="H881">
        <v>0</v>
      </c>
      <c r="I881">
        <v>0</v>
      </c>
      <c r="J881">
        <v>0</v>
      </c>
      <c r="K881">
        <v>0</v>
      </c>
      <c r="L881">
        <v>0</v>
      </c>
      <c r="M881">
        <v>0</v>
      </c>
      <c r="N881">
        <v>0</v>
      </c>
      <c r="O881">
        <v>0</v>
      </c>
      <c r="P881">
        <v>0</v>
      </c>
      <c r="Q881" t="str">
        <f>INDEX('Partner data'!A:DH,MATCH(C881,'Partner data'!DG:DG,0),83)</f>
        <v>Soggetto pubblico</v>
      </c>
      <c r="R881" t="b">
        <f>IF(E881="staff",IF(INDEX('Partner data'!A:DH,MATCH(C881,'Partner data'!DG:DG,0),112)="BL1 non presente","FALSO",INDEX('Partner data'!A:DH,MATCH(C881,'Partner data'!DG:DG,0),112)))</f>
        <v>0</v>
      </c>
      <c r="S881" t="b">
        <f t="shared" si="26"/>
        <v>0</v>
      </c>
      <c r="T881" t="b">
        <f t="shared" si="27"/>
        <v>1</v>
      </c>
      <c r="U881" s="154">
        <f>IFERROR(IF(R881&lt;&gt;FALSE,IF(S881=TRUE,INDEX('SummaryNOT_VALIDATED-BL'!$A$1:$F$16,MATCH(R881,'SummaryNOT_VALIDATED-BL'!$A$1:$A$16,0),6),0),IF(S881=TRUE,INDEX('SummaryNOT_VALIDATED-BL'!$A$1:$F$16,MATCH(E881,'SummaryNOT_VALIDATED-BL'!$A$1:$A$16,0),6),0)),0)</f>
        <v>0</v>
      </c>
      <c r="V881" s="81" cm="1">
        <f t="array" ref="V881">INDEX('Weight tables'!$A$24:$C$27,MATCH(1,(RendicontiTrasmessiBL__2[[#This Row],[Cut percentage on real costs + USC]]&gt;='Weight tables'!$B$24:$B$27)*(RendicontiTrasmessiBL__2[[#This Row],[Cut percentage on real costs + USC]]&lt;='Weight tables'!$C$24:$C$27),0),1)</f>
        <v>0</v>
      </c>
      <c r="W881" s="2">
        <f>RendicontiTrasmessiBL__2[[#This Row],[Weight real costs  + USC ]]</f>
        <v>0</v>
      </c>
    </row>
    <row r="882" spans="1:23" x14ac:dyDescent="0.25">
      <c r="A882" s="1" t="s">
        <v>341</v>
      </c>
      <c r="B882" s="1" t="s">
        <v>4546</v>
      </c>
      <c r="C882" s="2">
        <v>270</v>
      </c>
      <c r="D882" s="2">
        <v>340</v>
      </c>
      <c r="E882" s="1" t="s">
        <v>236</v>
      </c>
      <c r="G882">
        <v>0</v>
      </c>
      <c r="H882">
        <v>0</v>
      </c>
      <c r="I882">
        <v>0</v>
      </c>
      <c r="J882">
        <v>0</v>
      </c>
      <c r="K882">
        <v>0</v>
      </c>
      <c r="L882">
        <v>0</v>
      </c>
      <c r="M882">
        <v>0</v>
      </c>
      <c r="N882">
        <v>0</v>
      </c>
      <c r="O882">
        <v>0</v>
      </c>
      <c r="P882">
        <v>0</v>
      </c>
      <c r="Q882" t="str">
        <f>INDEX('Partner data'!A:DH,MATCH(C882,'Partner data'!DG:DG,0),83)</f>
        <v>Soggetto pubblico</v>
      </c>
      <c r="R882" t="b">
        <f>IF(E882="staff",IF(INDEX('Partner data'!A:DH,MATCH(C882,'Partner data'!DG:DG,0),112)="BL1 non presente","FALSO",INDEX('Partner data'!A:DH,MATCH(C882,'Partner data'!DG:DG,0),112)))</f>
        <v>0</v>
      </c>
      <c r="S882" t="b">
        <f t="shared" si="26"/>
        <v>0</v>
      </c>
      <c r="T882" t="b">
        <f t="shared" si="27"/>
        <v>1</v>
      </c>
      <c r="U882" s="154">
        <f>IFERROR(IF(R882&lt;&gt;FALSE,IF(S882=TRUE,INDEX('SummaryNOT_VALIDATED-BL'!$A$1:$F$16,MATCH(R882,'SummaryNOT_VALIDATED-BL'!$A$1:$A$16,0),6),0),IF(S882=TRUE,INDEX('SummaryNOT_VALIDATED-BL'!$A$1:$F$16,MATCH(E882,'SummaryNOT_VALIDATED-BL'!$A$1:$A$16,0),6),0)),0)</f>
        <v>0</v>
      </c>
      <c r="V882" s="81" cm="1">
        <f t="array" ref="V882">INDEX('Weight tables'!$A$24:$C$27,MATCH(1,(RendicontiTrasmessiBL__2[[#This Row],[Cut percentage on real costs + USC]]&gt;='Weight tables'!$B$24:$B$27)*(RendicontiTrasmessiBL__2[[#This Row],[Cut percentage on real costs + USC]]&lt;='Weight tables'!$C$24:$C$27),0),1)</f>
        <v>0</v>
      </c>
      <c r="W882" s="2">
        <f>RendicontiTrasmessiBL__2[[#This Row],[Weight real costs  + USC ]]</f>
        <v>0</v>
      </c>
    </row>
    <row r="883" spans="1:23" x14ac:dyDescent="0.25">
      <c r="A883" s="1" t="s">
        <v>341</v>
      </c>
      <c r="B883" s="1" t="s">
        <v>4546</v>
      </c>
      <c r="C883" s="2">
        <v>270</v>
      </c>
      <c r="D883" s="2">
        <v>340</v>
      </c>
      <c r="E883" s="1" t="s">
        <v>237</v>
      </c>
      <c r="G883">
        <v>0</v>
      </c>
      <c r="H883">
        <v>0</v>
      </c>
      <c r="I883">
        <v>0</v>
      </c>
      <c r="J883">
        <v>0</v>
      </c>
      <c r="K883">
        <v>0</v>
      </c>
      <c r="L883">
        <v>0</v>
      </c>
      <c r="M883">
        <v>0</v>
      </c>
      <c r="N883">
        <v>0</v>
      </c>
      <c r="O883">
        <v>0</v>
      </c>
      <c r="P883">
        <v>0</v>
      </c>
      <c r="Q883" t="str">
        <f>INDEX('Partner data'!A:DH,MATCH(C883,'Partner data'!DG:DG,0),83)</f>
        <v>Soggetto pubblico</v>
      </c>
      <c r="R883" t="b">
        <f>IF(E883="staff",IF(INDEX('Partner data'!A:DH,MATCH(C883,'Partner data'!DG:DG,0),112)="BL1 non presente","FALSO",INDEX('Partner data'!A:DH,MATCH(C883,'Partner data'!DG:DG,0),112)))</f>
        <v>0</v>
      </c>
      <c r="S883" t="b">
        <f t="shared" si="26"/>
        <v>0</v>
      </c>
      <c r="T883" t="b">
        <f t="shared" si="27"/>
        <v>1</v>
      </c>
      <c r="U883" s="154">
        <f>IFERROR(IF(R883&lt;&gt;FALSE,IF(S883=TRUE,INDEX('SummaryNOT_VALIDATED-BL'!$A$1:$F$16,MATCH(R883,'SummaryNOT_VALIDATED-BL'!$A$1:$A$16,0),6),0),IF(S883=TRUE,INDEX('SummaryNOT_VALIDATED-BL'!$A$1:$F$16,MATCH(E883,'SummaryNOT_VALIDATED-BL'!$A$1:$A$16,0),6),0)),0)</f>
        <v>0</v>
      </c>
      <c r="V883" s="81" cm="1">
        <f t="array" ref="V883">INDEX('Weight tables'!$A$24:$C$27,MATCH(1,(RendicontiTrasmessiBL__2[[#This Row],[Cut percentage on real costs + USC]]&gt;='Weight tables'!$B$24:$B$27)*(RendicontiTrasmessiBL__2[[#This Row],[Cut percentage on real costs + USC]]&lt;='Weight tables'!$C$24:$C$27),0),1)</f>
        <v>0</v>
      </c>
      <c r="W883" s="2">
        <f>RendicontiTrasmessiBL__2[[#This Row],[Weight real costs  + USC ]]</f>
        <v>0</v>
      </c>
    </row>
    <row r="884" spans="1:23" x14ac:dyDescent="0.25">
      <c r="A884" s="1" t="s">
        <v>341</v>
      </c>
      <c r="B884" s="1" t="s">
        <v>4547</v>
      </c>
      <c r="C884" s="2">
        <v>133</v>
      </c>
      <c r="D884" s="2">
        <v>255</v>
      </c>
      <c r="E884" s="1" t="s">
        <v>228</v>
      </c>
      <c r="G884">
        <v>30000</v>
      </c>
      <c r="H884">
        <v>0</v>
      </c>
      <c r="I884">
        <v>0</v>
      </c>
      <c r="J884">
        <v>6244.01</v>
      </c>
      <c r="K884">
        <v>0</v>
      </c>
      <c r="L884">
        <v>0</v>
      </c>
      <c r="M884">
        <v>6244.01</v>
      </c>
      <c r="N884">
        <v>20.81</v>
      </c>
      <c r="O884">
        <v>23755.99</v>
      </c>
      <c r="P884">
        <v>0</v>
      </c>
      <c r="Q884" t="str">
        <f>INDEX('Partner data'!A:DH,MATCH(C884,'Partner data'!DG:DG,0),83)</f>
        <v>Soggetto pubblico</v>
      </c>
      <c r="R884" t="str">
        <f>IF(E884="staff",IF(INDEX('Partner data'!A:DH,MATCH(C884,'Partner data'!DG:DG,0),112)="BL1 non presente","FALSO",INDEX('Partner data'!A:DH,MATCH(C884,'Partner data'!DG:DG,0),112)))</f>
        <v>COSTO REALE</v>
      </c>
      <c r="S884" t="b">
        <f t="shared" si="26"/>
        <v>1</v>
      </c>
      <c r="T884" t="b">
        <f t="shared" si="27"/>
        <v>1</v>
      </c>
      <c r="U884" s="154">
        <f>IFERROR(IF(R884&lt;&gt;FALSE,IF(S884=TRUE,INDEX('SummaryNOT_VALIDATED-BL'!$A$1:$F$16,MATCH(R884,'SummaryNOT_VALIDATED-BL'!$A$1:$A$16,0),6),0),IF(S884=TRUE,INDEX('SummaryNOT_VALIDATED-BL'!$A$1:$F$16,MATCH(E884,'SummaryNOT_VALIDATED-BL'!$A$1:$A$16,0),6),0)),0)</f>
        <v>9.1604133276901048E-2</v>
      </c>
      <c r="V884" s="81" cm="1">
        <f t="array" ref="V884">INDEX('Weight tables'!$A$24:$C$27,MATCH(1,(RendicontiTrasmessiBL__2[[#This Row],[Cut percentage on real costs + USC]]&gt;='Weight tables'!$B$24:$B$27)*(RendicontiTrasmessiBL__2[[#This Row],[Cut percentage on real costs + USC]]&lt;='Weight tables'!$C$24:$C$27),0),1)</f>
        <v>4</v>
      </c>
      <c r="W884" s="2">
        <f>RendicontiTrasmessiBL__2[[#This Row],[Weight real costs  + USC ]]</f>
        <v>4</v>
      </c>
    </row>
    <row r="885" spans="1:23" x14ac:dyDescent="0.25">
      <c r="A885" s="1" t="s">
        <v>341</v>
      </c>
      <c r="B885" s="1" t="s">
        <v>4547</v>
      </c>
      <c r="C885" s="2">
        <v>133</v>
      </c>
      <c r="D885" s="2">
        <v>255</v>
      </c>
      <c r="E885" s="1" t="s">
        <v>229</v>
      </c>
      <c r="F885">
        <v>15</v>
      </c>
      <c r="G885">
        <v>4500</v>
      </c>
      <c r="H885">
        <v>0</v>
      </c>
      <c r="I885">
        <v>0</v>
      </c>
      <c r="J885">
        <v>936.6</v>
      </c>
      <c r="K885">
        <v>0</v>
      </c>
      <c r="L885">
        <v>0</v>
      </c>
      <c r="M885">
        <v>936.6</v>
      </c>
      <c r="N885">
        <v>20.81</v>
      </c>
      <c r="O885">
        <v>3563.4</v>
      </c>
      <c r="P885">
        <v>0</v>
      </c>
      <c r="Q885" t="str">
        <f>INDEX('Partner data'!A:DH,MATCH(C885,'Partner data'!DG:DG,0),83)</f>
        <v>Soggetto pubblico</v>
      </c>
      <c r="R885" t="b">
        <f>IF(E885="staff",IF(INDEX('Partner data'!A:DH,MATCH(C885,'Partner data'!DG:DG,0),112)="BL1 non presente","FALSO",INDEX('Partner data'!A:DH,MATCH(C885,'Partner data'!DG:DG,0),112)))</f>
        <v>0</v>
      </c>
      <c r="S885" t="b">
        <f t="shared" si="26"/>
        <v>1</v>
      </c>
      <c r="T885" t="b">
        <f t="shared" si="27"/>
        <v>1</v>
      </c>
      <c r="U885" s="154">
        <f>IFERROR(IF(R885&lt;&gt;FALSE,IF(S885=TRUE,INDEX('SummaryNOT_VALIDATED-BL'!$A$1:$F$16,MATCH(R885,'SummaryNOT_VALIDATED-BL'!$A$1:$A$16,0),6),0),IF(S885=TRUE,INDEX('SummaryNOT_VALIDATED-BL'!$A$1:$F$16,MATCH(E885,'SummaryNOT_VALIDATED-BL'!$A$1:$A$16,0),6),0)),0)</f>
        <v>6.6460469504890221E-2</v>
      </c>
      <c r="V885" s="81" cm="1">
        <f t="array" ref="V885">INDEX('Weight tables'!$A$24:$C$27,MATCH(1,(RendicontiTrasmessiBL__2[[#This Row],[Cut percentage on real costs + USC]]&gt;='Weight tables'!$B$24:$B$27)*(RendicontiTrasmessiBL__2[[#This Row],[Cut percentage on real costs + USC]]&lt;='Weight tables'!$C$24:$C$27),0),1)</f>
        <v>4</v>
      </c>
      <c r="W885" s="2">
        <f>RendicontiTrasmessiBL__2[[#This Row],[Weight real costs  + USC ]]</f>
        <v>4</v>
      </c>
    </row>
    <row r="886" spans="1:23" x14ac:dyDescent="0.25">
      <c r="A886" s="1" t="s">
        <v>341</v>
      </c>
      <c r="B886" s="1" t="s">
        <v>4547</v>
      </c>
      <c r="C886" s="2">
        <v>133</v>
      </c>
      <c r="D886" s="2">
        <v>255</v>
      </c>
      <c r="E886" s="1" t="s">
        <v>230</v>
      </c>
      <c r="F886">
        <v>4</v>
      </c>
      <c r="G886">
        <v>1200</v>
      </c>
      <c r="H886">
        <v>0</v>
      </c>
      <c r="I886">
        <v>0</v>
      </c>
      <c r="J886">
        <v>249.76</v>
      </c>
      <c r="K886">
        <v>0</v>
      </c>
      <c r="L886">
        <v>0</v>
      </c>
      <c r="M886">
        <v>249.76</v>
      </c>
      <c r="N886">
        <v>20.81</v>
      </c>
      <c r="O886">
        <v>950.24</v>
      </c>
      <c r="P886">
        <v>0</v>
      </c>
      <c r="Q886" t="str">
        <f>INDEX('Partner data'!A:DH,MATCH(C886,'Partner data'!DG:DG,0),83)</f>
        <v>Soggetto pubblico</v>
      </c>
      <c r="R886" t="b">
        <f>IF(E886="staff",IF(INDEX('Partner data'!A:DH,MATCH(C886,'Partner data'!DG:DG,0),112)="BL1 non presente","FALSO",INDEX('Partner data'!A:DH,MATCH(C886,'Partner data'!DG:DG,0),112)))</f>
        <v>0</v>
      </c>
      <c r="S886" t="b">
        <f t="shared" si="26"/>
        <v>1</v>
      </c>
      <c r="T886" t="b">
        <f t="shared" si="27"/>
        <v>1</v>
      </c>
      <c r="U886" s="154">
        <f>IFERROR(IF(R886&lt;&gt;FALSE,IF(S886=TRUE,INDEX('SummaryNOT_VALIDATED-BL'!$A$1:$F$16,MATCH(R886,'SummaryNOT_VALIDATED-BL'!$A$1:$A$16,0),6),0),IF(S886=TRUE,INDEX('SummaryNOT_VALIDATED-BL'!$A$1:$F$16,MATCH(E886,'SummaryNOT_VALIDATED-BL'!$A$1:$A$16,0),6),0)),0)</f>
        <v>6.3112622236488891E-2</v>
      </c>
      <c r="V886" s="81" cm="1">
        <f t="array" ref="V886">INDEX('Weight tables'!$A$24:$C$27,MATCH(1,(RendicontiTrasmessiBL__2[[#This Row],[Cut percentage on real costs + USC]]&gt;='Weight tables'!$B$24:$B$27)*(RendicontiTrasmessiBL__2[[#This Row],[Cut percentage on real costs + USC]]&lt;='Weight tables'!$C$24:$C$27),0),1)</f>
        <v>4</v>
      </c>
      <c r="W886" s="2">
        <f>RendicontiTrasmessiBL__2[[#This Row],[Weight real costs  + USC ]]</f>
        <v>4</v>
      </c>
    </row>
    <row r="887" spans="1:23" x14ac:dyDescent="0.25">
      <c r="A887" s="1" t="s">
        <v>341</v>
      </c>
      <c r="B887" s="1" t="s">
        <v>4547</v>
      </c>
      <c r="C887" s="2">
        <v>133</v>
      </c>
      <c r="D887" s="2">
        <v>255</v>
      </c>
      <c r="E887" s="1" t="s">
        <v>231</v>
      </c>
      <c r="G887">
        <v>124925</v>
      </c>
      <c r="H887">
        <v>0</v>
      </c>
      <c r="I887">
        <v>0</v>
      </c>
      <c r="J887">
        <v>8991.82</v>
      </c>
      <c r="K887">
        <v>0</v>
      </c>
      <c r="L887">
        <v>0</v>
      </c>
      <c r="M887">
        <v>8991.82</v>
      </c>
      <c r="N887">
        <v>7.2</v>
      </c>
      <c r="O887">
        <v>115933.18</v>
      </c>
      <c r="P887">
        <v>0</v>
      </c>
      <c r="Q887" t="str">
        <f>INDEX('Partner data'!A:DH,MATCH(C887,'Partner data'!DG:DG,0),83)</f>
        <v>Soggetto pubblico</v>
      </c>
      <c r="R887" t="b">
        <f>IF(E887="staff",IF(INDEX('Partner data'!A:DH,MATCH(C887,'Partner data'!DG:DG,0),112)="BL1 non presente","FALSO",INDEX('Partner data'!A:DH,MATCH(C887,'Partner data'!DG:DG,0),112)))</f>
        <v>0</v>
      </c>
      <c r="S887" t="b">
        <f t="shared" si="26"/>
        <v>1</v>
      </c>
      <c r="T887" t="b">
        <f t="shared" si="27"/>
        <v>1</v>
      </c>
      <c r="U887" s="154">
        <f>IFERROR(IF(R887&lt;&gt;FALSE,IF(S887=TRUE,INDEX('SummaryNOT_VALIDATED-BL'!$A$1:$F$16,MATCH(R887,'SummaryNOT_VALIDATED-BL'!$A$1:$A$16,0),6),0),IF(S887=TRUE,INDEX('SummaryNOT_VALIDATED-BL'!$A$1:$F$16,MATCH(E887,'SummaryNOT_VALIDATED-BL'!$A$1:$A$16,0),6),0)),0)</f>
        <v>5.577594442215475E-2</v>
      </c>
      <c r="V887" s="81" cm="1">
        <f t="array" ref="V887">INDEX('Weight tables'!$A$24:$C$27,MATCH(1,(RendicontiTrasmessiBL__2[[#This Row],[Cut percentage on real costs + USC]]&gt;='Weight tables'!$B$24:$B$27)*(RendicontiTrasmessiBL__2[[#This Row],[Cut percentage on real costs + USC]]&lt;='Weight tables'!$C$24:$C$27),0),1)</f>
        <v>4</v>
      </c>
      <c r="W887" s="2">
        <f>RendicontiTrasmessiBL__2[[#This Row],[Weight real costs  + USC ]]</f>
        <v>4</v>
      </c>
    </row>
    <row r="888" spans="1:23" x14ac:dyDescent="0.25">
      <c r="A888" s="1" t="s">
        <v>341</v>
      </c>
      <c r="B888" s="1" t="s">
        <v>4547</v>
      </c>
      <c r="C888" s="2">
        <v>133</v>
      </c>
      <c r="D888" s="2">
        <v>255</v>
      </c>
      <c r="E888" s="1" t="s">
        <v>232</v>
      </c>
      <c r="G888">
        <v>0</v>
      </c>
      <c r="H888">
        <v>0</v>
      </c>
      <c r="I888">
        <v>0</v>
      </c>
      <c r="J888">
        <v>0</v>
      </c>
      <c r="K888">
        <v>0</v>
      </c>
      <c r="L888">
        <v>0</v>
      </c>
      <c r="M888">
        <v>0</v>
      </c>
      <c r="N888">
        <v>0</v>
      </c>
      <c r="O888">
        <v>0</v>
      </c>
      <c r="P888">
        <v>0</v>
      </c>
      <c r="Q888" t="str">
        <f>INDEX('Partner data'!A:DH,MATCH(C888,'Partner data'!DG:DG,0),83)</f>
        <v>Soggetto pubblico</v>
      </c>
      <c r="R888" t="b">
        <f>IF(E888="staff",IF(INDEX('Partner data'!A:DH,MATCH(C888,'Partner data'!DG:DG,0),112)="BL1 non presente","FALSO",INDEX('Partner data'!A:DH,MATCH(C888,'Partner data'!DG:DG,0),112)))</f>
        <v>0</v>
      </c>
      <c r="S888" t="b">
        <f t="shared" si="26"/>
        <v>0</v>
      </c>
      <c r="T888" t="b">
        <f t="shared" si="27"/>
        <v>1</v>
      </c>
      <c r="U888" s="154">
        <f>IFERROR(IF(R888&lt;&gt;FALSE,IF(S888=TRUE,INDEX('SummaryNOT_VALIDATED-BL'!$A$1:$F$16,MATCH(R888,'SummaryNOT_VALIDATED-BL'!$A$1:$A$16,0),6),0),IF(S888=TRUE,INDEX('SummaryNOT_VALIDATED-BL'!$A$1:$F$16,MATCH(E888,'SummaryNOT_VALIDATED-BL'!$A$1:$A$16,0),6),0)),0)</f>
        <v>0</v>
      </c>
      <c r="V888" s="81" cm="1">
        <f t="array" ref="V888">INDEX('Weight tables'!$A$24:$C$27,MATCH(1,(RendicontiTrasmessiBL__2[[#This Row],[Cut percentage on real costs + USC]]&gt;='Weight tables'!$B$24:$B$27)*(RendicontiTrasmessiBL__2[[#This Row],[Cut percentage on real costs + USC]]&lt;='Weight tables'!$C$24:$C$27),0),1)</f>
        <v>0</v>
      </c>
      <c r="W888" s="2">
        <f>RendicontiTrasmessiBL__2[[#This Row],[Weight real costs  + USC ]]</f>
        <v>0</v>
      </c>
    </row>
    <row r="889" spans="1:23" x14ac:dyDescent="0.25">
      <c r="A889" s="1" t="s">
        <v>341</v>
      </c>
      <c r="B889" s="1" t="s">
        <v>4547</v>
      </c>
      <c r="C889" s="2">
        <v>133</v>
      </c>
      <c r="D889" s="2">
        <v>255</v>
      </c>
      <c r="E889" s="1" t="s">
        <v>233</v>
      </c>
      <c r="G889">
        <v>0</v>
      </c>
      <c r="H889">
        <v>0</v>
      </c>
      <c r="I889">
        <v>0</v>
      </c>
      <c r="J889">
        <v>0</v>
      </c>
      <c r="K889">
        <v>0</v>
      </c>
      <c r="L889">
        <v>0</v>
      </c>
      <c r="M889">
        <v>0</v>
      </c>
      <c r="N889">
        <v>0</v>
      </c>
      <c r="O889">
        <v>0</v>
      </c>
      <c r="P889">
        <v>0</v>
      </c>
      <c r="Q889" t="str">
        <f>INDEX('Partner data'!A:DH,MATCH(C889,'Partner data'!DG:DG,0),83)</f>
        <v>Soggetto pubblico</v>
      </c>
      <c r="R889" t="b">
        <f>IF(E889="staff",IF(INDEX('Partner data'!A:DH,MATCH(C889,'Partner data'!DG:DG,0),112)="BL1 non presente","FALSO",INDEX('Partner data'!A:DH,MATCH(C889,'Partner data'!DG:DG,0),112)))</f>
        <v>0</v>
      </c>
      <c r="S889" t="b">
        <f t="shared" si="26"/>
        <v>0</v>
      </c>
      <c r="T889" t="b">
        <f t="shared" si="27"/>
        <v>1</v>
      </c>
      <c r="U889" s="154">
        <f>IFERROR(IF(R889&lt;&gt;FALSE,IF(S889=TRUE,INDEX('SummaryNOT_VALIDATED-BL'!$A$1:$F$16,MATCH(R889,'SummaryNOT_VALIDATED-BL'!$A$1:$A$16,0),6),0),IF(S889=TRUE,INDEX('SummaryNOT_VALIDATED-BL'!$A$1:$F$16,MATCH(E889,'SummaryNOT_VALIDATED-BL'!$A$1:$A$16,0),6),0)),0)</f>
        <v>0</v>
      </c>
      <c r="V889" s="81" cm="1">
        <f t="array" ref="V889">INDEX('Weight tables'!$A$24:$C$27,MATCH(1,(RendicontiTrasmessiBL__2[[#This Row],[Cut percentage on real costs + USC]]&gt;='Weight tables'!$B$24:$B$27)*(RendicontiTrasmessiBL__2[[#This Row],[Cut percentage on real costs + USC]]&lt;='Weight tables'!$C$24:$C$27),0),1)</f>
        <v>0</v>
      </c>
      <c r="W889" s="2">
        <f>RendicontiTrasmessiBL__2[[#This Row],[Weight real costs  + USC ]]</f>
        <v>0</v>
      </c>
    </row>
    <row r="890" spans="1:23" x14ac:dyDescent="0.25">
      <c r="A890" s="1" t="s">
        <v>341</v>
      </c>
      <c r="B890" s="1" t="s">
        <v>4547</v>
      </c>
      <c r="C890" s="2">
        <v>133</v>
      </c>
      <c r="D890" s="2">
        <v>255</v>
      </c>
      <c r="E890" s="1" t="s">
        <v>234</v>
      </c>
      <c r="G890">
        <v>0</v>
      </c>
      <c r="H890">
        <v>0</v>
      </c>
      <c r="I890">
        <v>0</v>
      </c>
      <c r="J890">
        <v>0</v>
      </c>
      <c r="K890">
        <v>0</v>
      </c>
      <c r="L890">
        <v>0</v>
      </c>
      <c r="M890">
        <v>0</v>
      </c>
      <c r="N890">
        <v>0</v>
      </c>
      <c r="O890">
        <v>0</v>
      </c>
      <c r="P890">
        <v>0</v>
      </c>
      <c r="Q890" t="str">
        <f>INDEX('Partner data'!A:DH,MATCH(C890,'Partner data'!DG:DG,0),83)</f>
        <v>Soggetto pubblico</v>
      </c>
      <c r="R890" t="b">
        <f>IF(E890="staff",IF(INDEX('Partner data'!A:DH,MATCH(C890,'Partner data'!DG:DG,0),112)="BL1 non presente","FALSO",INDEX('Partner data'!A:DH,MATCH(C890,'Partner data'!DG:DG,0),112)))</f>
        <v>0</v>
      </c>
      <c r="S890" t="b">
        <f t="shared" si="26"/>
        <v>0</v>
      </c>
      <c r="T890" t="b">
        <f t="shared" si="27"/>
        <v>1</v>
      </c>
      <c r="U890" s="154">
        <f>IFERROR(IF(R890&lt;&gt;FALSE,IF(S890=TRUE,INDEX('SummaryNOT_VALIDATED-BL'!$A$1:$F$16,MATCH(R890,'SummaryNOT_VALIDATED-BL'!$A$1:$A$16,0),6),0),IF(S890=TRUE,INDEX('SummaryNOT_VALIDATED-BL'!$A$1:$F$16,MATCH(E890,'SummaryNOT_VALIDATED-BL'!$A$1:$A$16,0),6),0)),0)</f>
        <v>0</v>
      </c>
      <c r="V890" s="81" cm="1">
        <f t="array" ref="V890">INDEX('Weight tables'!$A$24:$C$27,MATCH(1,(RendicontiTrasmessiBL__2[[#This Row],[Cut percentage on real costs + USC]]&gt;='Weight tables'!$B$24:$B$27)*(RendicontiTrasmessiBL__2[[#This Row],[Cut percentage on real costs + USC]]&lt;='Weight tables'!$C$24:$C$27),0),1)</f>
        <v>0</v>
      </c>
      <c r="W890" s="2">
        <f>RendicontiTrasmessiBL__2[[#This Row],[Weight real costs  + USC ]]</f>
        <v>0</v>
      </c>
    </row>
    <row r="891" spans="1:23" x14ac:dyDescent="0.25">
      <c r="A891" s="1" t="s">
        <v>341</v>
      </c>
      <c r="B891" s="1" t="s">
        <v>4547</v>
      </c>
      <c r="C891" s="2">
        <v>133</v>
      </c>
      <c r="D891" s="2">
        <v>255</v>
      </c>
      <c r="E891" s="1" t="s">
        <v>236</v>
      </c>
      <c r="G891">
        <v>0</v>
      </c>
      <c r="H891">
        <v>0</v>
      </c>
      <c r="I891">
        <v>0</v>
      </c>
      <c r="J891">
        <v>0</v>
      </c>
      <c r="K891">
        <v>0</v>
      </c>
      <c r="L891">
        <v>0</v>
      </c>
      <c r="M891">
        <v>0</v>
      </c>
      <c r="N891">
        <v>0</v>
      </c>
      <c r="O891">
        <v>0</v>
      </c>
      <c r="P891">
        <v>0</v>
      </c>
      <c r="Q891" t="str">
        <f>INDEX('Partner data'!A:DH,MATCH(C891,'Partner data'!DG:DG,0),83)</f>
        <v>Soggetto pubblico</v>
      </c>
      <c r="R891" t="b">
        <f>IF(E891="staff",IF(INDEX('Partner data'!A:DH,MATCH(C891,'Partner data'!DG:DG,0),112)="BL1 non presente","FALSO",INDEX('Partner data'!A:DH,MATCH(C891,'Partner data'!DG:DG,0),112)))</f>
        <v>0</v>
      </c>
      <c r="S891" t="b">
        <f t="shared" si="26"/>
        <v>0</v>
      </c>
      <c r="T891" t="b">
        <f t="shared" si="27"/>
        <v>1</v>
      </c>
      <c r="U891" s="154">
        <f>IFERROR(IF(R891&lt;&gt;FALSE,IF(S891=TRUE,INDEX('SummaryNOT_VALIDATED-BL'!$A$1:$F$16,MATCH(R891,'SummaryNOT_VALIDATED-BL'!$A$1:$A$16,0),6),0),IF(S891=TRUE,INDEX('SummaryNOT_VALIDATED-BL'!$A$1:$F$16,MATCH(E891,'SummaryNOT_VALIDATED-BL'!$A$1:$A$16,0),6),0)),0)</f>
        <v>0</v>
      </c>
      <c r="V891" s="81" cm="1">
        <f t="array" ref="V891">INDEX('Weight tables'!$A$24:$C$27,MATCH(1,(RendicontiTrasmessiBL__2[[#This Row],[Cut percentage on real costs + USC]]&gt;='Weight tables'!$B$24:$B$27)*(RendicontiTrasmessiBL__2[[#This Row],[Cut percentage on real costs + USC]]&lt;='Weight tables'!$C$24:$C$27),0),1)</f>
        <v>0</v>
      </c>
      <c r="W891" s="2">
        <f>RendicontiTrasmessiBL__2[[#This Row],[Weight real costs  + USC ]]</f>
        <v>0</v>
      </c>
    </row>
    <row r="892" spans="1:23" x14ac:dyDescent="0.25">
      <c r="A892" s="1" t="s">
        <v>341</v>
      </c>
      <c r="B892" s="1" t="s">
        <v>4547</v>
      </c>
      <c r="C892" s="2">
        <v>133</v>
      </c>
      <c r="D892" s="2">
        <v>255</v>
      </c>
      <c r="E892" s="1" t="s">
        <v>237</v>
      </c>
      <c r="G892">
        <v>0</v>
      </c>
      <c r="H892">
        <v>0</v>
      </c>
      <c r="I892">
        <v>0</v>
      </c>
      <c r="J892">
        <v>0</v>
      </c>
      <c r="K892">
        <v>0</v>
      </c>
      <c r="L892">
        <v>0</v>
      </c>
      <c r="M892">
        <v>0</v>
      </c>
      <c r="N892">
        <v>0</v>
      </c>
      <c r="O892">
        <v>0</v>
      </c>
      <c r="P892">
        <v>0</v>
      </c>
      <c r="Q892" t="str">
        <f>INDEX('Partner data'!A:DH,MATCH(C892,'Partner data'!DG:DG,0),83)</f>
        <v>Soggetto pubblico</v>
      </c>
      <c r="R892" t="b">
        <f>IF(E892="staff",IF(INDEX('Partner data'!A:DH,MATCH(C892,'Partner data'!DG:DG,0),112)="BL1 non presente","FALSO",INDEX('Partner data'!A:DH,MATCH(C892,'Partner data'!DG:DG,0),112)))</f>
        <v>0</v>
      </c>
      <c r="S892" t="b">
        <f t="shared" si="26"/>
        <v>0</v>
      </c>
      <c r="T892" t="b">
        <f t="shared" si="27"/>
        <v>1</v>
      </c>
      <c r="U892" s="154">
        <f>IFERROR(IF(R892&lt;&gt;FALSE,IF(S892=TRUE,INDEX('SummaryNOT_VALIDATED-BL'!$A$1:$F$16,MATCH(R892,'SummaryNOT_VALIDATED-BL'!$A$1:$A$16,0),6),0),IF(S892=TRUE,INDEX('SummaryNOT_VALIDATED-BL'!$A$1:$F$16,MATCH(E892,'SummaryNOT_VALIDATED-BL'!$A$1:$A$16,0),6),0)),0)</f>
        <v>0</v>
      </c>
      <c r="V892" s="81" cm="1">
        <f t="array" ref="V892">INDEX('Weight tables'!$A$24:$C$27,MATCH(1,(RendicontiTrasmessiBL__2[[#This Row],[Cut percentage on real costs + USC]]&gt;='Weight tables'!$B$24:$B$27)*(RendicontiTrasmessiBL__2[[#This Row],[Cut percentage on real costs + USC]]&lt;='Weight tables'!$C$24:$C$27),0),1)</f>
        <v>0</v>
      </c>
      <c r="W892" s="2">
        <f>RendicontiTrasmessiBL__2[[#This Row],[Weight real costs  + USC ]]</f>
        <v>0</v>
      </c>
    </row>
    <row r="893" spans="1:23" x14ac:dyDescent="0.25">
      <c r="A893" s="1" t="s">
        <v>59</v>
      </c>
      <c r="B893" s="1" t="s">
        <v>47</v>
      </c>
      <c r="C893" s="2">
        <v>323</v>
      </c>
      <c r="D893" s="2">
        <v>339</v>
      </c>
      <c r="E893" s="1" t="s">
        <v>228</v>
      </c>
      <c r="G893">
        <v>198143.97</v>
      </c>
      <c r="H893">
        <v>32182.54</v>
      </c>
      <c r="I893">
        <v>0</v>
      </c>
      <c r="J893">
        <v>27402.67</v>
      </c>
      <c r="K893">
        <v>0</v>
      </c>
      <c r="L893">
        <v>26731.78</v>
      </c>
      <c r="M893">
        <v>59585.21</v>
      </c>
      <c r="N893">
        <v>30.07</v>
      </c>
      <c r="O893">
        <v>138558.76</v>
      </c>
      <c r="P893">
        <v>32113.13</v>
      </c>
      <c r="Q893" t="str">
        <f>INDEX('Partner data'!A:DH,MATCH(C893,'Partner data'!DG:DG,0),83)</f>
        <v xml:space="preserve">Organismo di diritto pubblico </v>
      </c>
      <c r="R893" t="str">
        <f>IF(E893="staff",IF(INDEX('Partner data'!A:DH,MATCH(C893,'Partner data'!DG:DG,0),112)="BL1 non presente","FALSO",INDEX('Partner data'!A:DH,MATCH(C893,'Partner data'!DG:DG,0),112)))</f>
        <v>COSTO REALE</v>
      </c>
      <c r="S893" t="b">
        <f t="shared" si="26"/>
        <v>1</v>
      </c>
      <c r="T893" t="b">
        <f t="shared" si="27"/>
        <v>1</v>
      </c>
      <c r="U893" s="154">
        <f>IFERROR(IF(R893&lt;&gt;FALSE,IF(S893=TRUE,INDEX('SummaryNOT_VALIDATED-BL'!$A$1:$F$16,MATCH(R893,'SummaryNOT_VALIDATED-BL'!$A$1:$A$16,0),6),0),IF(S893=TRUE,INDEX('SummaryNOT_VALIDATED-BL'!$A$1:$F$16,MATCH(E893,'SummaryNOT_VALIDATED-BL'!$A$1:$A$16,0),6),0)),0)</f>
        <v>9.1604133276901048E-2</v>
      </c>
      <c r="V893" s="81" cm="1">
        <f t="array" ref="V893">INDEX('Weight tables'!$A$24:$C$27,MATCH(1,(RendicontiTrasmessiBL__2[[#This Row],[Cut percentage on real costs + USC]]&gt;='Weight tables'!$B$24:$B$27)*(RendicontiTrasmessiBL__2[[#This Row],[Cut percentage on real costs + USC]]&lt;='Weight tables'!$C$24:$C$27),0),1)</f>
        <v>4</v>
      </c>
      <c r="W893" s="2">
        <f>RendicontiTrasmessiBL__2[[#This Row],[Weight real costs  + USC ]]</f>
        <v>4</v>
      </c>
    </row>
    <row r="894" spans="1:23" x14ac:dyDescent="0.25">
      <c r="A894" s="1" t="s">
        <v>59</v>
      </c>
      <c r="B894" s="1" t="s">
        <v>47</v>
      </c>
      <c r="C894" s="2">
        <v>323</v>
      </c>
      <c r="D894" s="2">
        <v>339</v>
      </c>
      <c r="E894" s="1" t="s">
        <v>229</v>
      </c>
      <c r="F894">
        <v>15</v>
      </c>
      <c r="G894">
        <v>29721.59</v>
      </c>
      <c r="H894">
        <v>4827.38</v>
      </c>
      <c r="I894">
        <v>0</v>
      </c>
      <c r="J894">
        <v>4110.3999999999996</v>
      </c>
      <c r="K894">
        <v>0</v>
      </c>
      <c r="L894">
        <v>4009.76</v>
      </c>
      <c r="M894">
        <v>8937.7800000000007</v>
      </c>
      <c r="N894">
        <v>30.07</v>
      </c>
      <c r="O894">
        <v>20783.810000000001</v>
      </c>
      <c r="P894">
        <v>4816.96</v>
      </c>
      <c r="Q894" t="str">
        <f>INDEX('Partner data'!A:DH,MATCH(C894,'Partner data'!DG:DG,0),83)</f>
        <v xml:space="preserve">Organismo di diritto pubblico </v>
      </c>
      <c r="R894" t="b">
        <f>IF(E894="staff",IF(INDEX('Partner data'!A:DH,MATCH(C894,'Partner data'!DG:DG,0),112)="BL1 non presente","FALSO",INDEX('Partner data'!A:DH,MATCH(C894,'Partner data'!DG:DG,0),112)))</f>
        <v>0</v>
      </c>
      <c r="S894" t="b">
        <f t="shared" si="26"/>
        <v>1</v>
      </c>
      <c r="T894" t="b">
        <f t="shared" si="27"/>
        <v>1</v>
      </c>
      <c r="U894" s="154">
        <f>IFERROR(IF(R894&lt;&gt;FALSE,IF(S894=TRUE,INDEX('SummaryNOT_VALIDATED-BL'!$A$1:$F$16,MATCH(R894,'SummaryNOT_VALIDATED-BL'!$A$1:$A$16,0),6),0),IF(S894=TRUE,INDEX('SummaryNOT_VALIDATED-BL'!$A$1:$F$16,MATCH(E894,'SummaryNOT_VALIDATED-BL'!$A$1:$A$16,0),6),0)),0)</f>
        <v>6.6460469504890221E-2</v>
      </c>
      <c r="V894" s="81" cm="1">
        <f t="array" ref="V894">INDEX('Weight tables'!$A$24:$C$27,MATCH(1,(RendicontiTrasmessiBL__2[[#This Row],[Cut percentage on real costs + USC]]&gt;='Weight tables'!$B$24:$B$27)*(RendicontiTrasmessiBL__2[[#This Row],[Cut percentage on real costs + USC]]&lt;='Weight tables'!$C$24:$C$27),0),1)</f>
        <v>4</v>
      </c>
      <c r="W894" s="2">
        <f>RendicontiTrasmessiBL__2[[#This Row],[Weight real costs  + USC ]]</f>
        <v>4</v>
      </c>
    </row>
    <row r="895" spans="1:23" x14ac:dyDescent="0.25">
      <c r="A895" s="1" t="s">
        <v>59</v>
      </c>
      <c r="B895" s="1" t="s">
        <v>47</v>
      </c>
      <c r="C895" s="2">
        <v>323</v>
      </c>
      <c r="D895" s="2">
        <v>339</v>
      </c>
      <c r="E895" s="1" t="s">
        <v>230</v>
      </c>
      <c r="F895">
        <v>4</v>
      </c>
      <c r="G895">
        <v>7925.75</v>
      </c>
      <c r="H895">
        <v>1287.3</v>
      </c>
      <c r="I895">
        <v>0</v>
      </c>
      <c r="J895">
        <v>1096.0999999999999</v>
      </c>
      <c r="K895">
        <v>0</v>
      </c>
      <c r="L895">
        <v>1069.27</v>
      </c>
      <c r="M895">
        <v>2383.4</v>
      </c>
      <c r="N895">
        <v>30.07</v>
      </c>
      <c r="O895">
        <v>5542.35</v>
      </c>
      <c r="P895">
        <v>1284.52</v>
      </c>
      <c r="Q895" t="str">
        <f>INDEX('Partner data'!A:DH,MATCH(C895,'Partner data'!DG:DG,0),83)</f>
        <v xml:space="preserve">Organismo di diritto pubblico </v>
      </c>
      <c r="R895" t="b">
        <f>IF(E895="staff",IF(INDEX('Partner data'!A:DH,MATCH(C895,'Partner data'!DG:DG,0),112)="BL1 non presente","FALSO",INDEX('Partner data'!A:DH,MATCH(C895,'Partner data'!DG:DG,0),112)))</f>
        <v>0</v>
      </c>
      <c r="S895" t="b">
        <f t="shared" si="26"/>
        <v>1</v>
      </c>
      <c r="T895" t="b">
        <f t="shared" si="27"/>
        <v>1</v>
      </c>
      <c r="U895" s="154">
        <f>IFERROR(IF(R895&lt;&gt;FALSE,IF(S895=TRUE,INDEX('SummaryNOT_VALIDATED-BL'!$A$1:$F$16,MATCH(R895,'SummaryNOT_VALIDATED-BL'!$A$1:$A$16,0),6),0),IF(S895=TRUE,INDEX('SummaryNOT_VALIDATED-BL'!$A$1:$F$16,MATCH(E895,'SummaryNOT_VALIDATED-BL'!$A$1:$A$16,0),6),0)),0)</f>
        <v>6.3112622236488891E-2</v>
      </c>
      <c r="V895" s="81" cm="1">
        <f t="array" ref="V895">INDEX('Weight tables'!$A$24:$C$27,MATCH(1,(RendicontiTrasmessiBL__2[[#This Row],[Cut percentage on real costs + USC]]&gt;='Weight tables'!$B$24:$B$27)*(RendicontiTrasmessiBL__2[[#This Row],[Cut percentage on real costs + USC]]&lt;='Weight tables'!$C$24:$C$27),0),1)</f>
        <v>4</v>
      </c>
      <c r="W895" s="2">
        <f>RendicontiTrasmessiBL__2[[#This Row],[Weight real costs  + USC ]]</f>
        <v>4</v>
      </c>
    </row>
    <row r="896" spans="1:23" x14ac:dyDescent="0.25">
      <c r="A896" s="1" t="s">
        <v>59</v>
      </c>
      <c r="B896" s="1" t="s">
        <v>47</v>
      </c>
      <c r="C896" s="2">
        <v>323</v>
      </c>
      <c r="D896" s="2">
        <v>339</v>
      </c>
      <c r="E896" s="1" t="s">
        <v>231</v>
      </c>
      <c r="G896">
        <v>167208.64000000001</v>
      </c>
      <c r="H896">
        <v>2083.33</v>
      </c>
      <c r="I896">
        <v>0</v>
      </c>
      <c r="J896">
        <v>10416.65</v>
      </c>
      <c r="K896">
        <v>0</v>
      </c>
      <c r="L896">
        <v>2083.33</v>
      </c>
      <c r="M896">
        <v>12499.98</v>
      </c>
      <c r="N896">
        <v>7.48</v>
      </c>
      <c r="O896">
        <v>154708.66</v>
      </c>
      <c r="P896">
        <v>2083.33</v>
      </c>
      <c r="Q896" t="str">
        <f>INDEX('Partner data'!A:DH,MATCH(C896,'Partner data'!DG:DG,0),83)</f>
        <v xml:space="preserve">Organismo di diritto pubblico </v>
      </c>
      <c r="R896" t="b">
        <f>IF(E896="staff",IF(INDEX('Partner data'!A:DH,MATCH(C896,'Partner data'!DG:DG,0),112)="BL1 non presente","FALSO",INDEX('Partner data'!A:DH,MATCH(C896,'Partner data'!DG:DG,0),112)))</f>
        <v>0</v>
      </c>
      <c r="S896" t="b">
        <f t="shared" si="26"/>
        <v>1</v>
      </c>
      <c r="T896" t="b">
        <f t="shared" si="27"/>
        <v>1</v>
      </c>
      <c r="U896" s="154">
        <f>IFERROR(IF(R896&lt;&gt;FALSE,IF(S896=TRUE,INDEX('SummaryNOT_VALIDATED-BL'!$A$1:$F$16,MATCH(R896,'SummaryNOT_VALIDATED-BL'!$A$1:$A$16,0),6),0),IF(S896=TRUE,INDEX('SummaryNOT_VALIDATED-BL'!$A$1:$F$16,MATCH(E896,'SummaryNOT_VALIDATED-BL'!$A$1:$A$16,0),6),0)),0)</f>
        <v>5.577594442215475E-2</v>
      </c>
      <c r="V896" s="81" cm="1">
        <f t="array" ref="V896">INDEX('Weight tables'!$A$24:$C$27,MATCH(1,(RendicontiTrasmessiBL__2[[#This Row],[Cut percentage on real costs + USC]]&gt;='Weight tables'!$B$24:$B$27)*(RendicontiTrasmessiBL__2[[#This Row],[Cut percentage on real costs + USC]]&lt;='Weight tables'!$C$24:$C$27),0),1)</f>
        <v>4</v>
      </c>
      <c r="W896" s="2">
        <f>RendicontiTrasmessiBL__2[[#This Row],[Weight real costs  + USC ]]</f>
        <v>4</v>
      </c>
    </row>
    <row r="897" spans="1:23" x14ac:dyDescent="0.25">
      <c r="A897" s="1" t="s">
        <v>59</v>
      </c>
      <c r="B897" s="1" t="s">
        <v>47</v>
      </c>
      <c r="C897" s="2">
        <v>323</v>
      </c>
      <c r="D897" s="2">
        <v>339</v>
      </c>
      <c r="E897" s="1" t="s">
        <v>232</v>
      </c>
      <c r="G897">
        <v>127000</v>
      </c>
      <c r="H897">
        <v>0</v>
      </c>
      <c r="I897">
        <v>0</v>
      </c>
      <c r="J897">
        <v>0</v>
      </c>
      <c r="K897">
        <v>0</v>
      </c>
      <c r="L897">
        <v>0</v>
      </c>
      <c r="M897">
        <v>0</v>
      </c>
      <c r="N897">
        <v>0</v>
      </c>
      <c r="O897">
        <v>127000</v>
      </c>
      <c r="P897">
        <v>0</v>
      </c>
      <c r="Q897" t="str">
        <f>INDEX('Partner data'!A:DH,MATCH(C897,'Partner data'!DG:DG,0),83)</f>
        <v xml:space="preserve">Organismo di diritto pubblico </v>
      </c>
      <c r="R897" t="b">
        <f>IF(E897="staff",IF(INDEX('Partner data'!A:DH,MATCH(C897,'Partner data'!DG:DG,0),112)="BL1 non presente","FALSO",INDEX('Partner data'!A:DH,MATCH(C897,'Partner data'!DG:DG,0),112)))</f>
        <v>0</v>
      </c>
      <c r="S897" t="b">
        <f t="shared" si="26"/>
        <v>0</v>
      </c>
      <c r="T897" t="b">
        <f t="shared" si="27"/>
        <v>1</v>
      </c>
      <c r="U897" s="154">
        <f>IFERROR(IF(R897&lt;&gt;FALSE,IF(S897=TRUE,INDEX('SummaryNOT_VALIDATED-BL'!$A$1:$F$16,MATCH(R897,'SummaryNOT_VALIDATED-BL'!$A$1:$A$16,0),6),0),IF(S897=TRUE,INDEX('SummaryNOT_VALIDATED-BL'!$A$1:$F$16,MATCH(E897,'SummaryNOT_VALIDATED-BL'!$A$1:$A$16,0),6),0)),0)</f>
        <v>0</v>
      </c>
      <c r="V897" s="81" cm="1">
        <f t="array" ref="V897">INDEX('Weight tables'!$A$24:$C$27,MATCH(1,(RendicontiTrasmessiBL__2[[#This Row],[Cut percentage on real costs + USC]]&gt;='Weight tables'!$B$24:$B$27)*(RendicontiTrasmessiBL__2[[#This Row],[Cut percentage on real costs + USC]]&lt;='Weight tables'!$C$24:$C$27),0),1)</f>
        <v>0</v>
      </c>
      <c r="W897" s="2">
        <f>RendicontiTrasmessiBL__2[[#This Row],[Weight real costs  + USC ]]</f>
        <v>0</v>
      </c>
    </row>
    <row r="898" spans="1:23" x14ac:dyDescent="0.25">
      <c r="A898" s="1" t="s">
        <v>59</v>
      </c>
      <c r="B898" s="1" t="s">
        <v>47</v>
      </c>
      <c r="C898" s="2">
        <v>323</v>
      </c>
      <c r="D898" s="2">
        <v>339</v>
      </c>
      <c r="E898" s="1" t="s">
        <v>233</v>
      </c>
      <c r="G898">
        <v>0</v>
      </c>
      <c r="H898">
        <v>0</v>
      </c>
      <c r="I898">
        <v>0</v>
      </c>
      <c r="J898">
        <v>0</v>
      </c>
      <c r="K898">
        <v>0</v>
      </c>
      <c r="L898">
        <v>0</v>
      </c>
      <c r="M898">
        <v>0</v>
      </c>
      <c r="N898">
        <v>0</v>
      </c>
      <c r="O898">
        <v>0</v>
      </c>
      <c r="P898">
        <v>0</v>
      </c>
      <c r="Q898" t="str">
        <f>INDEX('Partner data'!A:DH,MATCH(C898,'Partner data'!DG:DG,0),83)</f>
        <v xml:space="preserve">Organismo di diritto pubblico </v>
      </c>
      <c r="R898" t="b">
        <f>IF(E898="staff",IF(INDEX('Partner data'!A:DH,MATCH(C898,'Partner data'!DG:DG,0),112)="BL1 non presente","FALSO",INDEX('Partner data'!A:DH,MATCH(C898,'Partner data'!DG:DG,0),112)))</f>
        <v>0</v>
      </c>
      <c r="S898" t="b">
        <f t="shared" ref="S898:S961" si="28">IF(J898&lt;&gt;0,TRUE,FALSE)</f>
        <v>0</v>
      </c>
      <c r="T898" t="b">
        <f t="shared" ref="T898:T961" si="29">OR(Q898="Soggetto pubblico",Q898="Organismo di diritto pubblico ")</f>
        <v>1</v>
      </c>
      <c r="U898" s="154">
        <f>IFERROR(IF(R898&lt;&gt;FALSE,IF(S898=TRUE,INDEX('SummaryNOT_VALIDATED-BL'!$A$1:$F$16,MATCH(R898,'SummaryNOT_VALIDATED-BL'!$A$1:$A$16,0),6),0),IF(S898=TRUE,INDEX('SummaryNOT_VALIDATED-BL'!$A$1:$F$16,MATCH(E898,'SummaryNOT_VALIDATED-BL'!$A$1:$A$16,0),6),0)),0)</f>
        <v>0</v>
      </c>
      <c r="V898" s="81" cm="1">
        <f t="array" ref="V898">INDEX('Weight tables'!$A$24:$C$27,MATCH(1,(RendicontiTrasmessiBL__2[[#This Row],[Cut percentage on real costs + USC]]&gt;='Weight tables'!$B$24:$B$27)*(RendicontiTrasmessiBL__2[[#This Row],[Cut percentage on real costs + USC]]&lt;='Weight tables'!$C$24:$C$27),0),1)</f>
        <v>0</v>
      </c>
      <c r="W898" s="2">
        <f>RendicontiTrasmessiBL__2[[#This Row],[Weight real costs  + USC ]]</f>
        <v>0</v>
      </c>
    </row>
    <row r="899" spans="1:23" x14ac:dyDescent="0.25">
      <c r="A899" s="1" t="s">
        <v>59</v>
      </c>
      <c r="B899" s="1" t="s">
        <v>47</v>
      </c>
      <c r="C899" s="2">
        <v>323</v>
      </c>
      <c r="D899" s="2">
        <v>339</v>
      </c>
      <c r="E899" s="1" t="s">
        <v>234</v>
      </c>
      <c r="G899">
        <v>0</v>
      </c>
      <c r="H899">
        <v>0</v>
      </c>
      <c r="I899">
        <v>0</v>
      </c>
      <c r="J899">
        <v>0</v>
      </c>
      <c r="K899">
        <v>0</v>
      </c>
      <c r="L899">
        <v>0</v>
      </c>
      <c r="M899">
        <v>0</v>
      </c>
      <c r="N899">
        <v>0</v>
      </c>
      <c r="O899">
        <v>0</v>
      </c>
      <c r="P899">
        <v>0</v>
      </c>
      <c r="Q899" t="str">
        <f>INDEX('Partner data'!A:DH,MATCH(C899,'Partner data'!DG:DG,0),83)</f>
        <v xml:space="preserve">Organismo di diritto pubblico </v>
      </c>
      <c r="R899" t="b">
        <f>IF(E899="staff",IF(INDEX('Partner data'!A:DH,MATCH(C899,'Partner data'!DG:DG,0),112)="BL1 non presente","FALSO",INDEX('Partner data'!A:DH,MATCH(C899,'Partner data'!DG:DG,0),112)))</f>
        <v>0</v>
      </c>
      <c r="S899" t="b">
        <f t="shared" si="28"/>
        <v>0</v>
      </c>
      <c r="T899" t="b">
        <f t="shared" si="29"/>
        <v>1</v>
      </c>
      <c r="U899" s="154">
        <f>IFERROR(IF(R899&lt;&gt;FALSE,IF(S899=TRUE,INDEX('SummaryNOT_VALIDATED-BL'!$A$1:$F$16,MATCH(R899,'SummaryNOT_VALIDATED-BL'!$A$1:$A$16,0),6),0),IF(S899=TRUE,INDEX('SummaryNOT_VALIDATED-BL'!$A$1:$F$16,MATCH(E899,'SummaryNOT_VALIDATED-BL'!$A$1:$A$16,0),6),0)),0)</f>
        <v>0</v>
      </c>
      <c r="V899" s="81" cm="1">
        <f t="array" ref="V899">INDEX('Weight tables'!$A$24:$C$27,MATCH(1,(RendicontiTrasmessiBL__2[[#This Row],[Cut percentage on real costs + USC]]&gt;='Weight tables'!$B$24:$B$27)*(RendicontiTrasmessiBL__2[[#This Row],[Cut percentage on real costs + USC]]&lt;='Weight tables'!$C$24:$C$27),0),1)</f>
        <v>0</v>
      </c>
      <c r="W899" s="2">
        <f>RendicontiTrasmessiBL__2[[#This Row],[Weight real costs  + USC ]]</f>
        <v>0</v>
      </c>
    </row>
    <row r="900" spans="1:23" x14ac:dyDescent="0.25">
      <c r="A900" s="1" t="s">
        <v>59</v>
      </c>
      <c r="B900" s="1" t="s">
        <v>47</v>
      </c>
      <c r="C900" s="2">
        <v>323</v>
      </c>
      <c r="D900" s="2">
        <v>339</v>
      </c>
      <c r="E900" s="1" t="s">
        <v>236</v>
      </c>
      <c r="G900">
        <v>0</v>
      </c>
      <c r="H900">
        <v>0</v>
      </c>
      <c r="I900">
        <v>0</v>
      </c>
      <c r="J900">
        <v>0</v>
      </c>
      <c r="K900">
        <v>0</v>
      </c>
      <c r="L900">
        <v>0</v>
      </c>
      <c r="M900">
        <v>0</v>
      </c>
      <c r="N900">
        <v>0</v>
      </c>
      <c r="O900">
        <v>0</v>
      </c>
      <c r="P900">
        <v>0</v>
      </c>
      <c r="Q900" t="str">
        <f>INDEX('Partner data'!A:DH,MATCH(C900,'Partner data'!DG:DG,0),83)</f>
        <v xml:space="preserve">Organismo di diritto pubblico </v>
      </c>
      <c r="R900" t="b">
        <f>IF(E900="staff",IF(INDEX('Partner data'!A:DH,MATCH(C900,'Partner data'!DG:DG,0),112)="BL1 non presente","FALSO",INDEX('Partner data'!A:DH,MATCH(C900,'Partner data'!DG:DG,0),112)))</f>
        <v>0</v>
      </c>
      <c r="S900" t="b">
        <f t="shared" si="28"/>
        <v>0</v>
      </c>
      <c r="T900" t="b">
        <f t="shared" si="29"/>
        <v>1</v>
      </c>
      <c r="U900" s="154">
        <f>IFERROR(IF(R900&lt;&gt;FALSE,IF(S900=TRUE,INDEX('SummaryNOT_VALIDATED-BL'!$A$1:$F$16,MATCH(R900,'SummaryNOT_VALIDATED-BL'!$A$1:$A$16,0),6),0),IF(S900=TRUE,INDEX('SummaryNOT_VALIDATED-BL'!$A$1:$F$16,MATCH(E900,'SummaryNOT_VALIDATED-BL'!$A$1:$A$16,0),6),0)),0)</f>
        <v>0</v>
      </c>
      <c r="V900" s="81" cm="1">
        <f t="array" ref="V900">INDEX('Weight tables'!$A$24:$C$27,MATCH(1,(RendicontiTrasmessiBL__2[[#This Row],[Cut percentage on real costs + USC]]&gt;='Weight tables'!$B$24:$B$27)*(RendicontiTrasmessiBL__2[[#This Row],[Cut percentage on real costs + USC]]&lt;='Weight tables'!$C$24:$C$27),0),1)</f>
        <v>0</v>
      </c>
      <c r="W900" s="2">
        <f>RendicontiTrasmessiBL__2[[#This Row],[Weight real costs  + USC ]]</f>
        <v>0</v>
      </c>
    </row>
    <row r="901" spans="1:23" x14ac:dyDescent="0.25">
      <c r="A901" s="1" t="s">
        <v>59</v>
      </c>
      <c r="B901" s="1" t="s">
        <v>47</v>
      </c>
      <c r="C901" s="2">
        <v>323</v>
      </c>
      <c r="D901" s="2">
        <v>339</v>
      </c>
      <c r="E901" s="1" t="s">
        <v>237</v>
      </c>
      <c r="G901">
        <v>0</v>
      </c>
      <c r="H901">
        <v>0</v>
      </c>
      <c r="I901">
        <v>0</v>
      </c>
      <c r="J901">
        <v>0</v>
      </c>
      <c r="K901">
        <v>0</v>
      </c>
      <c r="L901">
        <v>0</v>
      </c>
      <c r="M901">
        <v>0</v>
      </c>
      <c r="N901">
        <v>0</v>
      </c>
      <c r="O901">
        <v>0</v>
      </c>
      <c r="P901">
        <v>0</v>
      </c>
      <c r="Q901" t="str">
        <f>INDEX('Partner data'!A:DH,MATCH(C901,'Partner data'!DG:DG,0),83)</f>
        <v xml:space="preserve">Organismo di diritto pubblico </v>
      </c>
      <c r="R901" t="b">
        <f>IF(E901="staff",IF(INDEX('Partner data'!A:DH,MATCH(C901,'Partner data'!DG:DG,0),112)="BL1 non presente","FALSO",INDEX('Partner data'!A:DH,MATCH(C901,'Partner data'!DG:DG,0),112)))</f>
        <v>0</v>
      </c>
      <c r="S901" t="b">
        <f t="shared" si="28"/>
        <v>0</v>
      </c>
      <c r="T901" t="b">
        <f t="shared" si="29"/>
        <v>1</v>
      </c>
      <c r="U901" s="154">
        <f>IFERROR(IF(R901&lt;&gt;FALSE,IF(S901=TRUE,INDEX('SummaryNOT_VALIDATED-BL'!$A$1:$F$16,MATCH(R901,'SummaryNOT_VALIDATED-BL'!$A$1:$A$16,0),6),0),IF(S901=TRUE,INDEX('SummaryNOT_VALIDATED-BL'!$A$1:$F$16,MATCH(E901,'SummaryNOT_VALIDATED-BL'!$A$1:$A$16,0),6),0)),0)</f>
        <v>0</v>
      </c>
      <c r="V901" s="81" cm="1">
        <f t="array" ref="V901">INDEX('Weight tables'!$A$24:$C$27,MATCH(1,(RendicontiTrasmessiBL__2[[#This Row],[Cut percentage on real costs + USC]]&gt;='Weight tables'!$B$24:$B$27)*(RendicontiTrasmessiBL__2[[#This Row],[Cut percentage on real costs + USC]]&lt;='Weight tables'!$C$24:$C$27),0),1)</f>
        <v>0</v>
      </c>
      <c r="W901" s="2">
        <f>RendicontiTrasmessiBL__2[[#This Row],[Weight real costs  + USC ]]</f>
        <v>0</v>
      </c>
    </row>
    <row r="902" spans="1:23" x14ac:dyDescent="0.25">
      <c r="A902" s="1" t="s">
        <v>59</v>
      </c>
      <c r="B902" s="1" t="s">
        <v>47</v>
      </c>
      <c r="C902" s="2">
        <v>323</v>
      </c>
      <c r="D902" s="2">
        <v>76</v>
      </c>
      <c r="E902" s="1" t="s">
        <v>228</v>
      </c>
      <c r="G902">
        <v>198143.97</v>
      </c>
      <c r="H902">
        <v>0</v>
      </c>
      <c r="I902">
        <v>0</v>
      </c>
      <c r="J902">
        <v>32182.54</v>
      </c>
      <c r="K902">
        <v>0</v>
      </c>
      <c r="L902">
        <v>32113.13</v>
      </c>
      <c r="M902">
        <v>32182.54</v>
      </c>
      <c r="N902">
        <v>16.239999999999998</v>
      </c>
      <c r="O902">
        <v>165961.43</v>
      </c>
      <c r="P902">
        <v>0</v>
      </c>
      <c r="Q902" t="str">
        <f>INDEX('Partner data'!A:DH,MATCH(C902,'Partner data'!DG:DG,0),83)</f>
        <v xml:space="preserve">Organismo di diritto pubblico </v>
      </c>
      <c r="R902" t="str">
        <f>IF(E902="staff",IF(INDEX('Partner data'!A:DH,MATCH(C902,'Partner data'!DG:DG,0),112)="BL1 non presente","FALSO",INDEX('Partner data'!A:DH,MATCH(C902,'Partner data'!DG:DG,0),112)))</f>
        <v>COSTO REALE</v>
      </c>
      <c r="S902" t="b">
        <f t="shared" si="28"/>
        <v>1</v>
      </c>
      <c r="T902" t="b">
        <f t="shared" si="29"/>
        <v>1</v>
      </c>
      <c r="U902" s="154">
        <f>IFERROR(IF(R902&lt;&gt;FALSE,IF(S902=TRUE,INDEX('SummaryNOT_VALIDATED-BL'!$A$1:$F$16,MATCH(R902,'SummaryNOT_VALIDATED-BL'!$A$1:$A$16,0),6),0),IF(S902=TRUE,INDEX('SummaryNOT_VALIDATED-BL'!$A$1:$F$16,MATCH(E902,'SummaryNOT_VALIDATED-BL'!$A$1:$A$16,0),6),0)),0)</f>
        <v>9.1604133276901048E-2</v>
      </c>
      <c r="V902" s="81" cm="1">
        <f t="array" ref="V902">INDEX('Weight tables'!$A$24:$C$27,MATCH(1,(RendicontiTrasmessiBL__2[[#This Row],[Cut percentage on real costs + USC]]&gt;='Weight tables'!$B$24:$B$27)*(RendicontiTrasmessiBL__2[[#This Row],[Cut percentage on real costs + USC]]&lt;='Weight tables'!$C$24:$C$27),0),1)</f>
        <v>4</v>
      </c>
      <c r="W902" s="2">
        <f>RendicontiTrasmessiBL__2[[#This Row],[Weight real costs  + USC ]]</f>
        <v>4</v>
      </c>
    </row>
    <row r="903" spans="1:23" x14ac:dyDescent="0.25">
      <c r="A903" s="1" t="s">
        <v>59</v>
      </c>
      <c r="B903" s="1" t="s">
        <v>47</v>
      </c>
      <c r="C903" s="2">
        <v>323</v>
      </c>
      <c r="D903" s="2">
        <v>76</v>
      </c>
      <c r="E903" s="1" t="s">
        <v>229</v>
      </c>
      <c r="F903">
        <v>15</v>
      </c>
      <c r="G903">
        <v>29721.59</v>
      </c>
      <c r="H903">
        <v>0</v>
      </c>
      <c r="I903">
        <v>0</v>
      </c>
      <c r="J903">
        <v>4827.38</v>
      </c>
      <c r="K903">
        <v>0</v>
      </c>
      <c r="L903">
        <v>4816.96</v>
      </c>
      <c r="M903">
        <v>4827.38</v>
      </c>
      <c r="N903">
        <v>16.239999999999998</v>
      </c>
      <c r="O903">
        <v>24894.21</v>
      </c>
      <c r="P903">
        <v>0</v>
      </c>
      <c r="Q903" t="str">
        <f>INDEX('Partner data'!A:DH,MATCH(C903,'Partner data'!DG:DG,0),83)</f>
        <v xml:space="preserve">Organismo di diritto pubblico </v>
      </c>
      <c r="R903" t="b">
        <f>IF(E903="staff",IF(INDEX('Partner data'!A:DH,MATCH(C903,'Partner data'!DG:DG,0),112)="BL1 non presente","FALSO",INDEX('Partner data'!A:DH,MATCH(C903,'Partner data'!DG:DG,0),112)))</f>
        <v>0</v>
      </c>
      <c r="S903" t="b">
        <f t="shared" si="28"/>
        <v>1</v>
      </c>
      <c r="T903" t="b">
        <f t="shared" si="29"/>
        <v>1</v>
      </c>
      <c r="U903" s="154">
        <f>IFERROR(IF(R903&lt;&gt;FALSE,IF(S903=TRUE,INDEX('SummaryNOT_VALIDATED-BL'!$A$1:$F$16,MATCH(R903,'SummaryNOT_VALIDATED-BL'!$A$1:$A$16,0),6),0),IF(S903=TRUE,INDEX('SummaryNOT_VALIDATED-BL'!$A$1:$F$16,MATCH(E903,'SummaryNOT_VALIDATED-BL'!$A$1:$A$16,0),6),0)),0)</f>
        <v>6.6460469504890221E-2</v>
      </c>
      <c r="V903" s="81" cm="1">
        <f t="array" ref="V903">INDEX('Weight tables'!$A$24:$C$27,MATCH(1,(RendicontiTrasmessiBL__2[[#This Row],[Cut percentage on real costs + USC]]&gt;='Weight tables'!$B$24:$B$27)*(RendicontiTrasmessiBL__2[[#This Row],[Cut percentage on real costs + USC]]&lt;='Weight tables'!$C$24:$C$27),0),1)</f>
        <v>4</v>
      </c>
      <c r="W903" s="2">
        <f>RendicontiTrasmessiBL__2[[#This Row],[Weight real costs  + USC ]]</f>
        <v>4</v>
      </c>
    </row>
    <row r="904" spans="1:23" x14ac:dyDescent="0.25">
      <c r="A904" s="1" t="s">
        <v>59</v>
      </c>
      <c r="B904" s="1" t="s">
        <v>47</v>
      </c>
      <c r="C904" s="2">
        <v>323</v>
      </c>
      <c r="D904" s="2">
        <v>76</v>
      </c>
      <c r="E904" s="1" t="s">
        <v>230</v>
      </c>
      <c r="F904">
        <v>4</v>
      </c>
      <c r="G904">
        <v>7925.75</v>
      </c>
      <c r="H904">
        <v>0</v>
      </c>
      <c r="I904">
        <v>0</v>
      </c>
      <c r="J904">
        <v>1287.3</v>
      </c>
      <c r="K904">
        <v>0</v>
      </c>
      <c r="L904">
        <v>1284.52</v>
      </c>
      <c r="M904">
        <v>1287.3</v>
      </c>
      <c r="N904">
        <v>16.239999999999998</v>
      </c>
      <c r="O904">
        <v>6638.45</v>
      </c>
      <c r="P904">
        <v>0</v>
      </c>
      <c r="Q904" t="str">
        <f>INDEX('Partner data'!A:DH,MATCH(C904,'Partner data'!DG:DG,0),83)</f>
        <v xml:space="preserve">Organismo di diritto pubblico </v>
      </c>
      <c r="R904" t="b">
        <f>IF(E904="staff",IF(INDEX('Partner data'!A:DH,MATCH(C904,'Partner data'!DG:DG,0),112)="BL1 non presente","FALSO",INDEX('Partner data'!A:DH,MATCH(C904,'Partner data'!DG:DG,0),112)))</f>
        <v>0</v>
      </c>
      <c r="S904" t="b">
        <f t="shared" si="28"/>
        <v>1</v>
      </c>
      <c r="T904" t="b">
        <f t="shared" si="29"/>
        <v>1</v>
      </c>
      <c r="U904" s="154">
        <f>IFERROR(IF(R904&lt;&gt;FALSE,IF(S904=TRUE,INDEX('SummaryNOT_VALIDATED-BL'!$A$1:$F$16,MATCH(R904,'SummaryNOT_VALIDATED-BL'!$A$1:$A$16,0),6),0),IF(S904=TRUE,INDEX('SummaryNOT_VALIDATED-BL'!$A$1:$F$16,MATCH(E904,'SummaryNOT_VALIDATED-BL'!$A$1:$A$16,0),6),0)),0)</f>
        <v>6.3112622236488891E-2</v>
      </c>
      <c r="V904" s="81" cm="1">
        <f t="array" ref="V904">INDEX('Weight tables'!$A$24:$C$27,MATCH(1,(RendicontiTrasmessiBL__2[[#This Row],[Cut percentage on real costs + USC]]&gt;='Weight tables'!$B$24:$B$27)*(RendicontiTrasmessiBL__2[[#This Row],[Cut percentage on real costs + USC]]&lt;='Weight tables'!$C$24:$C$27),0),1)</f>
        <v>4</v>
      </c>
      <c r="W904" s="2">
        <f>RendicontiTrasmessiBL__2[[#This Row],[Weight real costs  + USC ]]</f>
        <v>4</v>
      </c>
    </row>
    <row r="905" spans="1:23" x14ac:dyDescent="0.25">
      <c r="A905" s="1" t="s">
        <v>59</v>
      </c>
      <c r="B905" s="1" t="s">
        <v>47</v>
      </c>
      <c r="C905" s="2">
        <v>323</v>
      </c>
      <c r="D905" s="2">
        <v>76</v>
      </c>
      <c r="E905" s="1" t="s">
        <v>231</v>
      </c>
      <c r="G905">
        <v>167208.64000000001</v>
      </c>
      <c r="H905">
        <v>0</v>
      </c>
      <c r="I905">
        <v>0</v>
      </c>
      <c r="J905">
        <v>2083.33</v>
      </c>
      <c r="K905">
        <v>0</v>
      </c>
      <c r="L905">
        <v>2083.33</v>
      </c>
      <c r="M905">
        <v>2083.33</v>
      </c>
      <c r="N905">
        <v>1.25</v>
      </c>
      <c r="O905">
        <v>165125.31</v>
      </c>
      <c r="P905">
        <v>0</v>
      </c>
      <c r="Q905" t="str">
        <f>INDEX('Partner data'!A:DH,MATCH(C905,'Partner data'!DG:DG,0),83)</f>
        <v xml:space="preserve">Organismo di diritto pubblico </v>
      </c>
      <c r="R905" t="b">
        <f>IF(E905="staff",IF(INDEX('Partner data'!A:DH,MATCH(C905,'Partner data'!DG:DG,0),112)="BL1 non presente","FALSO",INDEX('Partner data'!A:DH,MATCH(C905,'Partner data'!DG:DG,0),112)))</f>
        <v>0</v>
      </c>
      <c r="S905" t="b">
        <f t="shared" si="28"/>
        <v>1</v>
      </c>
      <c r="T905" t="b">
        <f t="shared" si="29"/>
        <v>1</v>
      </c>
      <c r="U905" s="154">
        <f>IFERROR(IF(R905&lt;&gt;FALSE,IF(S905=TRUE,INDEX('SummaryNOT_VALIDATED-BL'!$A$1:$F$16,MATCH(R905,'SummaryNOT_VALIDATED-BL'!$A$1:$A$16,0),6),0),IF(S905=TRUE,INDEX('SummaryNOT_VALIDATED-BL'!$A$1:$F$16,MATCH(E905,'SummaryNOT_VALIDATED-BL'!$A$1:$A$16,0),6),0)),0)</f>
        <v>5.577594442215475E-2</v>
      </c>
      <c r="V905" s="81" cm="1">
        <f t="array" ref="V905">INDEX('Weight tables'!$A$24:$C$27,MATCH(1,(RendicontiTrasmessiBL__2[[#This Row],[Cut percentage on real costs + USC]]&gt;='Weight tables'!$B$24:$B$27)*(RendicontiTrasmessiBL__2[[#This Row],[Cut percentage on real costs + USC]]&lt;='Weight tables'!$C$24:$C$27),0),1)</f>
        <v>4</v>
      </c>
      <c r="W905" s="2">
        <f>RendicontiTrasmessiBL__2[[#This Row],[Weight real costs  + USC ]]</f>
        <v>4</v>
      </c>
    </row>
    <row r="906" spans="1:23" x14ac:dyDescent="0.25">
      <c r="A906" s="1" t="s">
        <v>59</v>
      </c>
      <c r="B906" s="1" t="s">
        <v>47</v>
      </c>
      <c r="C906" s="2">
        <v>323</v>
      </c>
      <c r="D906" s="2">
        <v>76</v>
      </c>
      <c r="E906" s="1" t="s">
        <v>232</v>
      </c>
      <c r="G906">
        <v>127000</v>
      </c>
      <c r="H906">
        <v>0</v>
      </c>
      <c r="I906">
        <v>0</v>
      </c>
      <c r="J906">
        <v>0</v>
      </c>
      <c r="K906">
        <v>0</v>
      </c>
      <c r="L906">
        <v>0</v>
      </c>
      <c r="M906">
        <v>0</v>
      </c>
      <c r="N906">
        <v>0</v>
      </c>
      <c r="O906">
        <v>127000</v>
      </c>
      <c r="P906">
        <v>0</v>
      </c>
      <c r="Q906" t="str">
        <f>INDEX('Partner data'!A:DH,MATCH(C906,'Partner data'!DG:DG,0),83)</f>
        <v xml:space="preserve">Organismo di diritto pubblico </v>
      </c>
      <c r="R906" t="b">
        <f>IF(E906="staff",IF(INDEX('Partner data'!A:DH,MATCH(C906,'Partner data'!DG:DG,0),112)="BL1 non presente","FALSO",INDEX('Partner data'!A:DH,MATCH(C906,'Partner data'!DG:DG,0),112)))</f>
        <v>0</v>
      </c>
      <c r="S906" t="b">
        <f t="shared" si="28"/>
        <v>0</v>
      </c>
      <c r="T906" t="b">
        <f t="shared" si="29"/>
        <v>1</v>
      </c>
      <c r="U906" s="154">
        <f>IFERROR(IF(R906&lt;&gt;FALSE,IF(S906=TRUE,INDEX('SummaryNOT_VALIDATED-BL'!$A$1:$F$16,MATCH(R906,'SummaryNOT_VALIDATED-BL'!$A$1:$A$16,0),6),0),IF(S906=TRUE,INDEX('SummaryNOT_VALIDATED-BL'!$A$1:$F$16,MATCH(E906,'SummaryNOT_VALIDATED-BL'!$A$1:$A$16,0),6),0)),0)</f>
        <v>0</v>
      </c>
      <c r="V906" s="81" cm="1">
        <f t="array" ref="V906">INDEX('Weight tables'!$A$24:$C$27,MATCH(1,(RendicontiTrasmessiBL__2[[#This Row],[Cut percentage on real costs + USC]]&gt;='Weight tables'!$B$24:$B$27)*(RendicontiTrasmessiBL__2[[#This Row],[Cut percentage on real costs + USC]]&lt;='Weight tables'!$C$24:$C$27),0),1)</f>
        <v>0</v>
      </c>
      <c r="W906" s="2">
        <f>RendicontiTrasmessiBL__2[[#This Row],[Weight real costs  + USC ]]</f>
        <v>0</v>
      </c>
    </row>
    <row r="907" spans="1:23" x14ac:dyDescent="0.25">
      <c r="A907" s="1" t="s">
        <v>59</v>
      </c>
      <c r="B907" s="1" t="s">
        <v>47</v>
      </c>
      <c r="C907" s="2">
        <v>323</v>
      </c>
      <c r="D907" s="2">
        <v>76</v>
      </c>
      <c r="E907" s="1" t="s">
        <v>233</v>
      </c>
      <c r="G907">
        <v>0</v>
      </c>
      <c r="H907">
        <v>0</v>
      </c>
      <c r="I907">
        <v>0</v>
      </c>
      <c r="J907">
        <v>0</v>
      </c>
      <c r="K907">
        <v>0</v>
      </c>
      <c r="L907">
        <v>0</v>
      </c>
      <c r="M907">
        <v>0</v>
      </c>
      <c r="N907">
        <v>0</v>
      </c>
      <c r="O907">
        <v>0</v>
      </c>
      <c r="P907">
        <v>0</v>
      </c>
      <c r="Q907" t="str">
        <f>INDEX('Partner data'!A:DH,MATCH(C907,'Partner data'!DG:DG,0),83)</f>
        <v xml:space="preserve">Organismo di diritto pubblico </v>
      </c>
      <c r="R907" t="b">
        <f>IF(E907="staff",IF(INDEX('Partner data'!A:DH,MATCH(C907,'Partner data'!DG:DG,0),112)="BL1 non presente","FALSO",INDEX('Partner data'!A:DH,MATCH(C907,'Partner data'!DG:DG,0),112)))</f>
        <v>0</v>
      </c>
      <c r="S907" t="b">
        <f t="shared" si="28"/>
        <v>0</v>
      </c>
      <c r="T907" t="b">
        <f t="shared" si="29"/>
        <v>1</v>
      </c>
      <c r="U907" s="154">
        <f>IFERROR(IF(R907&lt;&gt;FALSE,IF(S907=TRUE,INDEX('SummaryNOT_VALIDATED-BL'!$A$1:$F$16,MATCH(R907,'SummaryNOT_VALIDATED-BL'!$A$1:$A$16,0),6),0),IF(S907=TRUE,INDEX('SummaryNOT_VALIDATED-BL'!$A$1:$F$16,MATCH(E907,'SummaryNOT_VALIDATED-BL'!$A$1:$A$16,0),6),0)),0)</f>
        <v>0</v>
      </c>
      <c r="V907" s="81" cm="1">
        <f t="array" ref="V907">INDEX('Weight tables'!$A$24:$C$27,MATCH(1,(RendicontiTrasmessiBL__2[[#This Row],[Cut percentage on real costs + USC]]&gt;='Weight tables'!$B$24:$B$27)*(RendicontiTrasmessiBL__2[[#This Row],[Cut percentage on real costs + USC]]&lt;='Weight tables'!$C$24:$C$27),0),1)</f>
        <v>0</v>
      </c>
      <c r="W907" s="2">
        <f>RendicontiTrasmessiBL__2[[#This Row],[Weight real costs  + USC ]]</f>
        <v>0</v>
      </c>
    </row>
    <row r="908" spans="1:23" x14ac:dyDescent="0.25">
      <c r="A908" s="1" t="s">
        <v>59</v>
      </c>
      <c r="B908" s="1" t="s">
        <v>47</v>
      </c>
      <c r="C908" s="2">
        <v>323</v>
      </c>
      <c r="D908" s="2">
        <v>76</v>
      </c>
      <c r="E908" s="1" t="s">
        <v>234</v>
      </c>
      <c r="G908">
        <v>0</v>
      </c>
      <c r="H908">
        <v>0</v>
      </c>
      <c r="I908">
        <v>0</v>
      </c>
      <c r="J908">
        <v>0</v>
      </c>
      <c r="K908">
        <v>0</v>
      </c>
      <c r="L908">
        <v>0</v>
      </c>
      <c r="M908">
        <v>0</v>
      </c>
      <c r="N908">
        <v>0</v>
      </c>
      <c r="O908">
        <v>0</v>
      </c>
      <c r="P908">
        <v>0</v>
      </c>
      <c r="Q908" t="str">
        <f>INDEX('Partner data'!A:DH,MATCH(C908,'Partner data'!DG:DG,0),83)</f>
        <v xml:space="preserve">Organismo di diritto pubblico </v>
      </c>
      <c r="R908" t="b">
        <f>IF(E908="staff",IF(INDEX('Partner data'!A:DH,MATCH(C908,'Partner data'!DG:DG,0),112)="BL1 non presente","FALSO",INDEX('Partner data'!A:DH,MATCH(C908,'Partner data'!DG:DG,0),112)))</f>
        <v>0</v>
      </c>
      <c r="S908" t="b">
        <f t="shared" si="28"/>
        <v>0</v>
      </c>
      <c r="T908" t="b">
        <f t="shared" si="29"/>
        <v>1</v>
      </c>
      <c r="U908" s="154">
        <f>IFERROR(IF(R908&lt;&gt;FALSE,IF(S908=TRUE,INDEX('SummaryNOT_VALIDATED-BL'!$A$1:$F$16,MATCH(R908,'SummaryNOT_VALIDATED-BL'!$A$1:$A$16,0),6),0),IF(S908=TRUE,INDEX('SummaryNOT_VALIDATED-BL'!$A$1:$F$16,MATCH(E908,'SummaryNOT_VALIDATED-BL'!$A$1:$A$16,0),6),0)),0)</f>
        <v>0</v>
      </c>
      <c r="V908" s="81" cm="1">
        <f t="array" ref="V908">INDEX('Weight tables'!$A$24:$C$27,MATCH(1,(RendicontiTrasmessiBL__2[[#This Row],[Cut percentage on real costs + USC]]&gt;='Weight tables'!$B$24:$B$27)*(RendicontiTrasmessiBL__2[[#This Row],[Cut percentage on real costs + USC]]&lt;='Weight tables'!$C$24:$C$27),0),1)</f>
        <v>0</v>
      </c>
      <c r="W908" s="2">
        <f>RendicontiTrasmessiBL__2[[#This Row],[Weight real costs  + USC ]]</f>
        <v>0</v>
      </c>
    </row>
    <row r="909" spans="1:23" x14ac:dyDescent="0.25">
      <c r="A909" s="1" t="s">
        <v>59</v>
      </c>
      <c r="B909" s="1" t="s">
        <v>47</v>
      </c>
      <c r="C909" s="2">
        <v>323</v>
      </c>
      <c r="D909" s="2">
        <v>76</v>
      </c>
      <c r="E909" s="1" t="s">
        <v>236</v>
      </c>
      <c r="G909">
        <v>0</v>
      </c>
      <c r="H909">
        <v>0</v>
      </c>
      <c r="I909">
        <v>0</v>
      </c>
      <c r="J909">
        <v>0</v>
      </c>
      <c r="K909">
        <v>0</v>
      </c>
      <c r="L909">
        <v>0</v>
      </c>
      <c r="M909">
        <v>0</v>
      </c>
      <c r="N909">
        <v>0</v>
      </c>
      <c r="O909">
        <v>0</v>
      </c>
      <c r="P909">
        <v>0</v>
      </c>
      <c r="Q909" t="str">
        <f>INDEX('Partner data'!A:DH,MATCH(C909,'Partner data'!DG:DG,0),83)</f>
        <v xml:space="preserve">Organismo di diritto pubblico </v>
      </c>
      <c r="R909" t="b">
        <f>IF(E909="staff",IF(INDEX('Partner data'!A:DH,MATCH(C909,'Partner data'!DG:DG,0),112)="BL1 non presente","FALSO",INDEX('Partner data'!A:DH,MATCH(C909,'Partner data'!DG:DG,0),112)))</f>
        <v>0</v>
      </c>
      <c r="S909" t="b">
        <f t="shared" si="28"/>
        <v>0</v>
      </c>
      <c r="T909" t="b">
        <f t="shared" si="29"/>
        <v>1</v>
      </c>
      <c r="U909" s="154">
        <f>IFERROR(IF(R909&lt;&gt;FALSE,IF(S909=TRUE,INDEX('SummaryNOT_VALIDATED-BL'!$A$1:$F$16,MATCH(R909,'SummaryNOT_VALIDATED-BL'!$A$1:$A$16,0),6),0),IF(S909=TRUE,INDEX('SummaryNOT_VALIDATED-BL'!$A$1:$F$16,MATCH(E909,'SummaryNOT_VALIDATED-BL'!$A$1:$A$16,0),6),0)),0)</f>
        <v>0</v>
      </c>
      <c r="V909" s="81" cm="1">
        <f t="array" ref="V909">INDEX('Weight tables'!$A$24:$C$27,MATCH(1,(RendicontiTrasmessiBL__2[[#This Row],[Cut percentage on real costs + USC]]&gt;='Weight tables'!$B$24:$B$27)*(RendicontiTrasmessiBL__2[[#This Row],[Cut percentage on real costs + USC]]&lt;='Weight tables'!$C$24:$C$27),0),1)</f>
        <v>0</v>
      </c>
      <c r="W909" s="2">
        <f>RendicontiTrasmessiBL__2[[#This Row],[Weight real costs  + USC ]]</f>
        <v>0</v>
      </c>
    </row>
    <row r="910" spans="1:23" x14ac:dyDescent="0.25">
      <c r="A910" s="1" t="s">
        <v>59</v>
      </c>
      <c r="B910" s="1" t="s">
        <v>47</v>
      </c>
      <c r="C910" s="2">
        <v>323</v>
      </c>
      <c r="D910" s="2">
        <v>76</v>
      </c>
      <c r="E910" s="1" t="s">
        <v>237</v>
      </c>
      <c r="G910">
        <v>0</v>
      </c>
      <c r="H910">
        <v>0</v>
      </c>
      <c r="I910">
        <v>0</v>
      </c>
      <c r="J910">
        <v>0</v>
      </c>
      <c r="K910">
        <v>0</v>
      </c>
      <c r="L910">
        <v>0</v>
      </c>
      <c r="M910">
        <v>0</v>
      </c>
      <c r="N910">
        <v>0</v>
      </c>
      <c r="O910">
        <v>0</v>
      </c>
      <c r="P910">
        <v>0</v>
      </c>
      <c r="Q910" t="str">
        <f>INDEX('Partner data'!A:DH,MATCH(C910,'Partner data'!DG:DG,0),83)</f>
        <v xml:space="preserve">Organismo di diritto pubblico </v>
      </c>
      <c r="R910" t="b">
        <f>IF(E910="staff",IF(INDEX('Partner data'!A:DH,MATCH(C910,'Partner data'!DG:DG,0),112)="BL1 non presente","FALSO",INDEX('Partner data'!A:DH,MATCH(C910,'Partner data'!DG:DG,0),112)))</f>
        <v>0</v>
      </c>
      <c r="S910" t="b">
        <f t="shared" si="28"/>
        <v>0</v>
      </c>
      <c r="T910" t="b">
        <f t="shared" si="29"/>
        <v>1</v>
      </c>
      <c r="U910" s="154">
        <f>IFERROR(IF(R910&lt;&gt;FALSE,IF(S910=TRUE,INDEX('SummaryNOT_VALIDATED-BL'!$A$1:$F$16,MATCH(R910,'SummaryNOT_VALIDATED-BL'!$A$1:$A$16,0),6),0),IF(S910=TRUE,INDEX('SummaryNOT_VALIDATED-BL'!$A$1:$F$16,MATCH(E910,'SummaryNOT_VALIDATED-BL'!$A$1:$A$16,0),6),0)),0)</f>
        <v>0</v>
      </c>
      <c r="V910" s="81" cm="1">
        <f t="array" ref="V910">INDEX('Weight tables'!$A$24:$C$27,MATCH(1,(RendicontiTrasmessiBL__2[[#This Row],[Cut percentage on real costs + USC]]&gt;='Weight tables'!$B$24:$B$27)*(RendicontiTrasmessiBL__2[[#This Row],[Cut percentage on real costs + USC]]&lt;='Weight tables'!$C$24:$C$27),0),1)</f>
        <v>0</v>
      </c>
      <c r="W910" s="2">
        <f>RendicontiTrasmessiBL__2[[#This Row],[Weight real costs  + USC ]]</f>
        <v>0</v>
      </c>
    </row>
    <row r="911" spans="1:23" x14ac:dyDescent="0.25">
      <c r="A911" s="1" t="s">
        <v>59</v>
      </c>
      <c r="B911" s="1" t="s">
        <v>44</v>
      </c>
      <c r="C911" s="2">
        <v>326</v>
      </c>
      <c r="D911" s="2">
        <v>324</v>
      </c>
      <c r="E911" s="1" t="s">
        <v>228</v>
      </c>
      <c r="G911">
        <v>128574.11</v>
      </c>
      <c r="H911">
        <v>12886.9</v>
      </c>
      <c r="I911">
        <v>0</v>
      </c>
      <c r="J911">
        <v>15159.39</v>
      </c>
      <c r="K911">
        <v>0</v>
      </c>
      <c r="L911">
        <v>0</v>
      </c>
      <c r="M911">
        <v>28046.29</v>
      </c>
      <c r="N911">
        <v>21.81</v>
      </c>
      <c r="O911">
        <v>100527.82</v>
      </c>
      <c r="P911">
        <v>12886.9</v>
      </c>
      <c r="Q911" t="str">
        <f>INDEX('Partner data'!A:DH,MATCH(C911,'Partner data'!DG:DG,0),83)</f>
        <v>Soggetto pubblico</v>
      </c>
      <c r="R911" t="str">
        <f>IF(E911="staff",IF(INDEX('Partner data'!A:DH,MATCH(C911,'Partner data'!DG:DG,0),112)="BL1 non presente","FALSO",INDEX('Partner data'!A:DH,MATCH(C911,'Partner data'!DG:DG,0),112)))</f>
        <v>COSTO REALE</v>
      </c>
      <c r="S911" t="b">
        <f t="shared" si="28"/>
        <v>1</v>
      </c>
      <c r="T911" t="b">
        <f t="shared" si="29"/>
        <v>1</v>
      </c>
      <c r="U911" s="154">
        <f>IFERROR(IF(R911&lt;&gt;FALSE,IF(S911=TRUE,INDEX('SummaryNOT_VALIDATED-BL'!$A$1:$F$16,MATCH(R911,'SummaryNOT_VALIDATED-BL'!$A$1:$A$16,0),6),0),IF(S911=TRUE,INDEX('SummaryNOT_VALIDATED-BL'!$A$1:$F$16,MATCH(E911,'SummaryNOT_VALIDATED-BL'!$A$1:$A$16,0),6),0)),0)</f>
        <v>9.1604133276901048E-2</v>
      </c>
      <c r="V911" s="81" cm="1">
        <f t="array" ref="V911">INDEX('Weight tables'!$A$24:$C$27,MATCH(1,(RendicontiTrasmessiBL__2[[#This Row],[Cut percentage on real costs + USC]]&gt;='Weight tables'!$B$24:$B$27)*(RendicontiTrasmessiBL__2[[#This Row],[Cut percentage on real costs + USC]]&lt;='Weight tables'!$C$24:$C$27),0),1)</f>
        <v>4</v>
      </c>
      <c r="W911" s="2">
        <f>RendicontiTrasmessiBL__2[[#This Row],[Weight real costs  + USC ]]</f>
        <v>4</v>
      </c>
    </row>
    <row r="912" spans="1:23" x14ac:dyDescent="0.25">
      <c r="A912" s="1" t="s">
        <v>59</v>
      </c>
      <c r="B912" s="1" t="s">
        <v>44</v>
      </c>
      <c r="C912" s="2">
        <v>326</v>
      </c>
      <c r="D912" s="2">
        <v>324</v>
      </c>
      <c r="E912" s="1" t="s">
        <v>229</v>
      </c>
      <c r="G912">
        <v>0</v>
      </c>
      <c r="H912">
        <v>0</v>
      </c>
      <c r="I912">
        <v>0</v>
      </c>
      <c r="J912">
        <v>0</v>
      </c>
      <c r="K912">
        <v>0</v>
      </c>
      <c r="L912">
        <v>0</v>
      </c>
      <c r="M912">
        <v>0</v>
      </c>
      <c r="N912">
        <v>0</v>
      </c>
      <c r="O912">
        <v>0</v>
      </c>
      <c r="P912">
        <v>0</v>
      </c>
      <c r="Q912" t="str">
        <f>INDEX('Partner data'!A:DH,MATCH(C912,'Partner data'!DG:DG,0),83)</f>
        <v>Soggetto pubblico</v>
      </c>
      <c r="R912" t="b">
        <f>IF(E912="staff",IF(INDEX('Partner data'!A:DH,MATCH(C912,'Partner data'!DG:DG,0),112)="BL1 non presente","FALSO",INDEX('Partner data'!A:DH,MATCH(C912,'Partner data'!DG:DG,0),112)))</f>
        <v>0</v>
      </c>
      <c r="S912" t="b">
        <f t="shared" si="28"/>
        <v>0</v>
      </c>
      <c r="T912" t="b">
        <f t="shared" si="29"/>
        <v>1</v>
      </c>
      <c r="U912" s="154">
        <f>IFERROR(IF(R912&lt;&gt;FALSE,IF(S912=TRUE,INDEX('SummaryNOT_VALIDATED-BL'!$A$1:$F$16,MATCH(R912,'SummaryNOT_VALIDATED-BL'!$A$1:$A$16,0),6),0),IF(S912=TRUE,INDEX('SummaryNOT_VALIDATED-BL'!$A$1:$F$16,MATCH(E912,'SummaryNOT_VALIDATED-BL'!$A$1:$A$16,0),6),0)),0)</f>
        <v>0</v>
      </c>
      <c r="V912" s="81" cm="1">
        <f t="array" ref="V912">INDEX('Weight tables'!$A$24:$C$27,MATCH(1,(RendicontiTrasmessiBL__2[[#This Row],[Cut percentage on real costs + USC]]&gt;='Weight tables'!$B$24:$B$27)*(RendicontiTrasmessiBL__2[[#This Row],[Cut percentage on real costs + USC]]&lt;='Weight tables'!$C$24:$C$27),0),1)</f>
        <v>0</v>
      </c>
      <c r="W912" s="2">
        <f>RendicontiTrasmessiBL__2[[#This Row],[Weight real costs  + USC ]]</f>
        <v>0</v>
      </c>
    </row>
    <row r="913" spans="1:23" x14ac:dyDescent="0.25">
      <c r="A913" s="1" t="s">
        <v>59</v>
      </c>
      <c r="B913" s="1" t="s">
        <v>44</v>
      </c>
      <c r="C913" s="2">
        <v>326</v>
      </c>
      <c r="D913" s="2">
        <v>324</v>
      </c>
      <c r="E913" s="1" t="s">
        <v>230</v>
      </c>
      <c r="G913">
        <v>0</v>
      </c>
      <c r="H913">
        <v>0</v>
      </c>
      <c r="I913">
        <v>0</v>
      </c>
      <c r="J913">
        <v>0</v>
      </c>
      <c r="K913">
        <v>0</v>
      </c>
      <c r="L913">
        <v>0</v>
      </c>
      <c r="M913">
        <v>0</v>
      </c>
      <c r="N913">
        <v>0</v>
      </c>
      <c r="O913">
        <v>0</v>
      </c>
      <c r="P913">
        <v>0</v>
      </c>
      <c r="Q913" t="str">
        <f>INDEX('Partner data'!A:DH,MATCH(C913,'Partner data'!DG:DG,0),83)</f>
        <v>Soggetto pubblico</v>
      </c>
      <c r="R913" t="b">
        <f>IF(E913="staff",IF(INDEX('Partner data'!A:DH,MATCH(C913,'Partner data'!DG:DG,0),112)="BL1 non presente","FALSO",INDEX('Partner data'!A:DH,MATCH(C913,'Partner data'!DG:DG,0),112)))</f>
        <v>0</v>
      </c>
      <c r="S913" t="b">
        <f t="shared" si="28"/>
        <v>0</v>
      </c>
      <c r="T913" t="b">
        <f t="shared" si="29"/>
        <v>1</v>
      </c>
      <c r="U913" s="154">
        <f>IFERROR(IF(R913&lt;&gt;FALSE,IF(S913=TRUE,INDEX('SummaryNOT_VALIDATED-BL'!$A$1:$F$16,MATCH(R913,'SummaryNOT_VALIDATED-BL'!$A$1:$A$16,0),6),0),IF(S913=TRUE,INDEX('SummaryNOT_VALIDATED-BL'!$A$1:$F$16,MATCH(E913,'SummaryNOT_VALIDATED-BL'!$A$1:$A$16,0),6),0)),0)</f>
        <v>0</v>
      </c>
      <c r="V913" s="81" cm="1">
        <f t="array" ref="V913">INDEX('Weight tables'!$A$24:$C$27,MATCH(1,(RendicontiTrasmessiBL__2[[#This Row],[Cut percentage on real costs + USC]]&gt;='Weight tables'!$B$24:$B$27)*(RendicontiTrasmessiBL__2[[#This Row],[Cut percentage on real costs + USC]]&lt;='Weight tables'!$C$24:$C$27),0),1)</f>
        <v>0</v>
      </c>
      <c r="W913" s="2">
        <f>RendicontiTrasmessiBL__2[[#This Row],[Weight real costs  + USC ]]</f>
        <v>0</v>
      </c>
    </row>
    <row r="914" spans="1:23" x14ac:dyDescent="0.25">
      <c r="A914" s="1" t="s">
        <v>59</v>
      </c>
      <c r="B914" s="1" t="s">
        <v>44</v>
      </c>
      <c r="C914" s="2">
        <v>326</v>
      </c>
      <c r="D914" s="2">
        <v>324</v>
      </c>
      <c r="E914" s="1" t="s">
        <v>231</v>
      </c>
      <c r="G914">
        <v>0</v>
      </c>
      <c r="H914">
        <v>0</v>
      </c>
      <c r="I914">
        <v>0</v>
      </c>
      <c r="J914">
        <v>0</v>
      </c>
      <c r="K914">
        <v>0</v>
      </c>
      <c r="L914">
        <v>0</v>
      </c>
      <c r="M914">
        <v>0</v>
      </c>
      <c r="N914">
        <v>0</v>
      </c>
      <c r="O914">
        <v>0</v>
      </c>
      <c r="P914">
        <v>0</v>
      </c>
      <c r="Q914" t="str">
        <f>INDEX('Partner data'!A:DH,MATCH(C914,'Partner data'!DG:DG,0),83)</f>
        <v>Soggetto pubblico</v>
      </c>
      <c r="R914" t="b">
        <f>IF(E914="staff",IF(INDEX('Partner data'!A:DH,MATCH(C914,'Partner data'!DG:DG,0),112)="BL1 non presente","FALSO",INDEX('Partner data'!A:DH,MATCH(C914,'Partner data'!DG:DG,0),112)))</f>
        <v>0</v>
      </c>
      <c r="S914" t="b">
        <f t="shared" si="28"/>
        <v>0</v>
      </c>
      <c r="T914" t="b">
        <f t="shared" si="29"/>
        <v>1</v>
      </c>
      <c r="U914" s="154">
        <f>IFERROR(IF(R914&lt;&gt;FALSE,IF(S914=TRUE,INDEX('SummaryNOT_VALIDATED-BL'!$A$1:$F$16,MATCH(R914,'SummaryNOT_VALIDATED-BL'!$A$1:$A$16,0),6),0),IF(S914=TRUE,INDEX('SummaryNOT_VALIDATED-BL'!$A$1:$F$16,MATCH(E914,'SummaryNOT_VALIDATED-BL'!$A$1:$A$16,0),6),0)),0)</f>
        <v>0</v>
      </c>
      <c r="V914" s="81" cm="1">
        <f t="array" ref="V914">INDEX('Weight tables'!$A$24:$C$27,MATCH(1,(RendicontiTrasmessiBL__2[[#This Row],[Cut percentage on real costs + USC]]&gt;='Weight tables'!$B$24:$B$27)*(RendicontiTrasmessiBL__2[[#This Row],[Cut percentage on real costs + USC]]&lt;='Weight tables'!$C$24:$C$27),0),1)</f>
        <v>0</v>
      </c>
      <c r="W914" s="2">
        <f>RendicontiTrasmessiBL__2[[#This Row],[Weight real costs  + USC ]]</f>
        <v>0</v>
      </c>
    </row>
    <row r="915" spans="1:23" x14ac:dyDescent="0.25">
      <c r="A915" s="1" t="s">
        <v>59</v>
      </c>
      <c r="B915" s="1" t="s">
        <v>44</v>
      </c>
      <c r="C915" s="2">
        <v>326</v>
      </c>
      <c r="D915" s="2">
        <v>324</v>
      </c>
      <c r="E915" s="1" t="s">
        <v>232</v>
      </c>
      <c r="G915">
        <v>0</v>
      </c>
      <c r="H915">
        <v>0</v>
      </c>
      <c r="I915">
        <v>0</v>
      </c>
      <c r="J915">
        <v>0</v>
      </c>
      <c r="K915">
        <v>0</v>
      </c>
      <c r="L915">
        <v>0</v>
      </c>
      <c r="M915">
        <v>0</v>
      </c>
      <c r="N915">
        <v>0</v>
      </c>
      <c r="O915">
        <v>0</v>
      </c>
      <c r="P915">
        <v>0</v>
      </c>
      <c r="Q915" t="str">
        <f>INDEX('Partner data'!A:DH,MATCH(C915,'Partner data'!DG:DG,0),83)</f>
        <v>Soggetto pubblico</v>
      </c>
      <c r="R915" t="b">
        <f>IF(E915="staff",IF(INDEX('Partner data'!A:DH,MATCH(C915,'Partner data'!DG:DG,0),112)="BL1 non presente","FALSO",INDEX('Partner data'!A:DH,MATCH(C915,'Partner data'!DG:DG,0),112)))</f>
        <v>0</v>
      </c>
      <c r="S915" t="b">
        <f t="shared" si="28"/>
        <v>0</v>
      </c>
      <c r="T915" t="b">
        <f t="shared" si="29"/>
        <v>1</v>
      </c>
      <c r="U915" s="154">
        <f>IFERROR(IF(R915&lt;&gt;FALSE,IF(S915=TRUE,INDEX('SummaryNOT_VALIDATED-BL'!$A$1:$F$16,MATCH(R915,'SummaryNOT_VALIDATED-BL'!$A$1:$A$16,0),6),0),IF(S915=TRUE,INDEX('SummaryNOT_VALIDATED-BL'!$A$1:$F$16,MATCH(E915,'SummaryNOT_VALIDATED-BL'!$A$1:$A$16,0),6),0)),0)</f>
        <v>0</v>
      </c>
      <c r="V915" s="81" cm="1">
        <f t="array" ref="V915">INDEX('Weight tables'!$A$24:$C$27,MATCH(1,(RendicontiTrasmessiBL__2[[#This Row],[Cut percentage on real costs + USC]]&gt;='Weight tables'!$B$24:$B$27)*(RendicontiTrasmessiBL__2[[#This Row],[Cut percentage on real costs + USC]]&lt;='Weight tables'!$C$24:$C$27),0),1)</f>
        <v>0</v>
      </c>
      <c r="W915" s="2">
        <f>RendicontiTrasmessiBL__2[[#This Row],[Weight real costs  + USC ]]</f>
        <v>0</v>
      </c>
    </row>
    <row r="916" spans="1:23" x14ac:dyDescent="0.25">
      <c r="A916" s="1" t="s">
        <v>59</v>
      </c>
      <c r="B916" s="1" t="s">
        <v>44</v>
      </c>
      <c r="C916" s="2">
        <v>326</v>
      </c>
      <c r="D916" s="2">
        <v>324</v>
      </c>
      <c r="E916" s="1" t="s">
        <v>233</v>
      </c>
      <c r="G916">
        <v>0</v>
      </c>
      <c r="H916">
        <v>0</v>
      </c>
      <c r="I916">
        <v>0</v>
      </c>
      <c r="J916">
        <v>0</v>
      </c>
      <c r="K916">
        <v>0</v>
      </c>
      <c r="L916">
        <v>0</v>
      </c>
      <c r="M916">
        <v>0</v>
      </c>
      <c r="N916">
        <v>0</v>
      </c>
      <c r="O916">
        <v>0</v>
      </c>
      <c r="P916">
        <v>0</v>
      </c>
      <c r="Q916" t="str">
        <f>INDEX('Partner data'!A:DH,MATCH(C916,'Partner data'!DG:DG,0),83)</f>
        <v>Soggetto pubblico</v>
      </c>
      <c r="R916" t="b">
        <f>IF(E916="staff",IF(INDEX('Partner data'!A:DH,MATCH(C916,'Partner data'!DG:DG,0),112)="BL1 non presente","FALSO",INDEX('Partner data'!A:DH,MATCH(C916,'Partner data'!DG:DG,0),112)))</f>
        <v>0</v>
      </c>
      <c r="S916" t="b">
        <f t="shared" si="28"/>
        <v>0</v>
      </c>
      <c r="T916" t="b">
        <f t="shared" si="29"/>
        <v>1</v>
      </c>
      <c r="U916" s="154">
        <f>IFERROR(IF(R916&lt;&gt;FALSE,IF(S916=TRUE,INDEX('SummaryNOT_VALIDATED-BL'!$A$1:$F$16,MATCH(R916,'SummaryNOT_VALIDATED-BL'!$A$1:$A$16,0),6),0),IF(S916=TRUE,INDEX('SummaryNOT_VALIDATED-BL'!$A$1:$F$16,MATCH(E916,'SummaryNOT_VALIDATED-BL'!$A$1:$A$16,0),6),0)),0)</f>
        <v>0</v>
      </c>
      <c r="V916" s="81" cm="1">
        <f t="array" ref="V916">INDEX('Weight tables'!$A$24:$C$27,MATCH(1,(RendicontiTrasmessiBL__2[[#This Row],[Cut percentage on real costs + USC]]&gt;='Weight tables'!$B$24:$B$27)*(RendicontiTrasmessiBL__2[[#This Row],[Cut percentage on real costs + USC]]&lt;='Weight tables'!$C$24:$C$27),0),1)</f>
        <v>0</v>
      </c>
      <c r="W916" s="2">
        <f>RendicontiTrasmessiBL__2[[#This Row],[Weight real costs  + USC ]]</f>
        <v>0</v>
      </c>
    </row>
    <row r="917" spans="1:23" x14ac:dyDescent="0.25">
      <c r="A917" s="1" t="s">
        <v>59</v>
      </c>
      <c r="B917" s="1" t="s">
        <v>44</v>
      </c>
      <c r="C917" s="2">
        <v>326</v>
      </c>
      <c r="D917" s="2">
        <v>324</v>
      </c>
      <c r="E917" s="1" t="s">
        <v>234</v>
      </c>
      <c r="F917">
        <v>40</v>
      </c>
      <c r="G917">
        <v>51429.64</v>
      </c>
      <c r="H917">
        <v>5154.76</v>
      </c>
      <c r="I917">
        <v>0</v>
      </c>
      <c r="J917">
        <v>6063.75</v>
      </c>
      <c r="K917">
        <v>0</v>
      </c>
      <c r="L917">
        <v>0</v>
      </c>
      <c r="M917">
        <v>11218.51</v>
      </c>
      <c r="N917">
        <v>21.81</v>
      </c>
      <c r="O917">
        <v>40211.129999999997</v>
      </c>
      <c r="P917">
        <v>5154.76</v>
      </c>
      <c r="Q917" t="str">
        <f>INDEX('Partner data'!A:DH,MATCH(C917,'Partner data'!DG:DG,0),83)</f>
        <v>Soggetto pubblico</v>
      </c>
      <c r="R917" t="b">
        <f>IF(E917="staff",IF(INDEX('Partner data'!A:DH,MATCH(C917,'Partner data'!DG:DG,0),112)="BL1 non presente","FALSO",INDEX('Partner data'!A:DH,MATCH(C917,'Partner data'!DG:DG,0),112)))</f>
        <v>0</v>
      </c>
      <c r="S917" t="b">
        <f t="shared" si="28"/>
        <v>1</v>
      </c>
      <c r="T917" t="b">
        <f t="shared" si="29"/>
        <v>1</v>
      </c>
      <c r="U917" s="154">
        <f>IFERROR(IF(R917&lt;&gt;FALSE,IF(S917=TRUE,INDEX('SummaryNOT_VALIDATED-BL'!$A$1:$F$16,MATCH(R917,'SummaryNOT_VALIDATED-BL'!$A$1:$A$16,0),6),0),IF(S917=TRUE,INDEX('SummaryNOT_VALIDATED-BL'!$A$1:$F$16,MATCH(E917,'SummaryNOT_VALIDATED-BL'!$A$1:$A$16,0),6),0)),0)</f>
        <v>8.7645339819521315E-2</v>
      </c>
      <c r="V917" s="81" cm="1">
        <f t="array" ref="V917">INDEX('Weight tables'!$A$24:$C$27,MATCH(1,(RendicontiTrasmessiBL__2[[#This Row],[Cut percentage on real costs + USC]]&gt;='Weight tables'!$B$24:$B$27)*(RendicontiTrasmessiBL__2[[#This Row],[Cut percentage on real costs + USC]]&lt;='Weight tables'!$C$24:$C$27),0),1)</f>
        <v>4</v>
      </c>
      <c r="W917" s="2">
        <f>RendicontiTrasmessiBL__2[[#This Row],[Weight real costs  + USC ]]</f>
        <v>4</v>
      </c>
    </row>
    <row r="918" spans="1:23" x14ac:dyDescent="0.25">
      <c r="A918" s="1" t="s">
        <v>59</v>
      </c>
      <c r="B918" s="1" t="s">
        <v>44</v>
      </c>
      <c r="C918" s="2">
        <v>326</v>
      </c>
      <c r="D918" s="2">
        <v>324</v>
      </c>
      <c r="E918" s="1" t="s">
        <v>236</v>
      </c>
      <c r="G918">
        <v>0</v>
      </c>
      <c r="H918">
        <v>0</v>
      </c>
      <c r="I918">
        <v>0</v>
      </c>
      <c r="J918">
        <v>0</v>
      </c>
      <c r="K918">
        <v>0</v>
      </c>
      <c r="L918">
        <v>0</v>
      </c>
      <c r="M918">
        <v>0</v>
      </c>
      <c r="N918">
        <v>0</v>
      </c>
      <c r="O918">
        <v>0</v>
      </c>
      <c r="P918">
        <v>0</v>
      </c>
      <c r="Q918" t="str">
        <f>INDEX('Partner data'!A:DH,MATCH(C918,'Partner data'!DG:DG,0),83)</f>
        <v>Soggetto pubblico</v>
      </c>
      <c r="R918" t="b">
        <f>IF(E918="staff",IF(INDEX('Partner data'!A:DH,MATCH(C918,'Partner data'!DG:DG,0),112)="BL1 non presente","FALSO",INDEX('Partner data'!A:DH,MATCH(C918,'Partner data'!DG:DG,0),112)))</f>
        <v>0</v>
      </c>
      <c r="S918" t="b">
        <f t="shared" si="28"/>
        <v>0</v>
      </c>
      <c r="T918" t="b">
        <f t="shared" si="29"/>
        <v>1</v>
      </c>
      <c r="U918" s="154">
        <f>IFERROR(IF(R918&lt;&gt;FALSE,IF(S918=TRUE,INDEX('SummaryNOT_VALIDATED-BL'!$A$1:$F$16,MATCH(R918,'SummaryNOT_VALIDATED-BL'!$A$1:$A$16,0),6),0),IF(S918=TRUE,INDEX('SummaryNOT_VALIDATED-BL'!$A$1:$F$16,MATCH(E918,'SummaryNOT_VALIDATED-BL'!$A$1:$A$16,0),6),0)),0)</f>
        <v>0</v>
      </c>
      <c r="V918" s="81" cm="1">
        <f t="array" ref="V918">INDEX('Weight tables'!$A$24:$C$27,MATCH(1,(RendicontiTrasmessiBL__2[[#This Row],[Cut percentage on real costs + USC]]&gt;='Weight tables'!$B$24:$B$27)*(RendicontiTrasmessiBL__2[[#This Row],[Cut percentage on real costs + USC]]&lt;='Weight tables'!$C$24:$C$27),0),1)</f>
        <v>0</v>
      </c>
      <c r="W918" s="2">
        <f>RendicontiTrasmessiBL__2[[#This Row],[Weight real costs  + USC ]]</f>
        <v>0</v>
      </c>
    </row>
    <row r="919" spans="1:23" x14ac:dyDescent="0.25">
      <c r="A919" s="1" t="s">
        <v>59</v>
      </c>
      <c r="B919" s="1" t="s">
        <v>44</v>
      </c>
      <c r="C919" s="2">
        <v>326</v>
      </c>
      <c r="D919" s="2">
        <v>324</v>
      </c>
      <c r="E919" s="1" t="s">
        <v>237</v>
      </c>
      <c r="G919">
        <v>0</v>
      </c>
      <c r="H919">
        <v>0</v>
      </c>
      <c r="I919">
        <v>0</v>
      </c>
      <c r="J919">
        <v>0</v>
      </c>
      <c r="K919">
        <v>0</v>
      </c>
      <c r="L919">
        <v>0</v>
      </c>
      <c r="M919">
        <v>0</v>
      </c>
      <c r="N919">
        <v>0</v>
      </c>
      <c r="O919">
        <v>0</v>
      </c>
      <c r="P919">
        <v>0</v>
      </c>
      <c r="Q919" t="str">
        <f>INDEX('Partner data'!A:DH,MATCH(C919,'Partner data'!DG:DG,0),83)</f>
        <v>Soggetto pubblico</v>
      </c>
      <c r="R919" t="b">
        <f>IF(E919="staff",IF(INDEX('Partner data'!A:DH,MATCH(C919,'Partner data'!DG:DG,0),112)="BL1 non presente","FALSO",INDEX('Partner data'!A:DH,MATCH(C919,'Partner data'!DG:DG,0),112)))</f>
        <v>0</v>
      </c>
      <c r="S919" t="b">
        <f t="shared" si="28"/>
        <v>0</v>
      </c>
      <c r="T919" t="b">
        <f t="shared" si="29"/>
        <v>1</v>
      </c>
      <c r="U919" s="154">
        <f>IFERROR(IF(R919&lt;&gt;FALSE,IF(S919=TRUE,INDEX('SummaryNOT_VALIDATED-BL'!$A$1:$F$16,MATCH(R919,'SummaryNOT_VALIDATED-BL'!$A$1:$A$16,0),6),0),IF(S919=TRUE,INDEX('SummaryNOT_VALIDATED-BL'!$A$1:$F$16,MATCH(E919,'SummaryNOT_VALIDATED-BL'!$A$1:$A$16,0),6),0)),0)</f>
        <v>0</v>
      </c>
      <c r="V919" s="81" cm="1">
        <f t="array" ref="V919">INDEX('Weight tables'!$A$24:$C$27,MATCH(1,(RendicontiTrasmessiBL__2[[#This Row],[Cut percentage on real costs + USC]]&gt;='Weight tables'!$B$24:$B$27)*(RendicontiTrasmessiBL__2[[#This Row],[Cut percentage on real costs + USC]]&lt;='Weight tables'!$C$24:$C$27),0),1)</f>
        <v>0</v>
      </c>
      <c r="W919" s="2">
        <f>RendicontiTrasmessiBL__2[[#This Row],[Weight real costs  + USC ]]</f>
        <v>0</v>
      </c>
    </row>
    <row r="920" spans="1:23" x14ac:dyDescent="0.25">
      <c r="A920" s="1" t="s">
        <v>59</v>
      </c>
      <c r="B920" s="1" t="s">
        <v>44</v>
      </c>
      <c r="C920" s="2">
        <v>326</v>
      </c>
      <c r="D920" s="2">
        <v>95</v>
      </c>
      <c r="E920" s="1" t="s">
        <v>228</v>
      </c>
      <c r="G920">
        <v>128574.11</v>
      </c>
      <c r="H920">
        <v>0</v>
      </c>
      <c r="I920">
        <v>0</v>
      </c>
      <c r="J920">
        <v>12886.9</v>
      </c>
      <c r="K920">
        <v>0</v>
      </c>
      <c r="L920">
        <v>12886.9</v>
      </c>
      <c r="M920">
        <v>12886.9</v>
      </c>
      <c r="N920">
        <v>10.02</v>
      </c>
      <c r="O920">
        <v>115687.21</v>
      </c>
      <c r="P920">
        <v>0</v>
      </c>
      <c r="Q920" t="str">
        <f>INDEX('Partner data'!A:DH,MATCH(C920,'Partner data'!DG:DG,0),83)</f>
        <v>Soggetto pubblico</v>
      </c>
      <c r="R920" t="str">
        <f>IF(E920="staff",IF(INDEX('Partner data'!A:DH,MATCH(C920,'Partner data'!DG:DG,0),112)="BL1 non presente","FALSO",INDEX('Partner data'!A:DH,MATCH(C920,'Partner data'!DG:DG,0),112)))</f>
        <v>COSTO REALE</v>
      </c>
      <c r="S920" t="b">
        <f t="shared" si="28"/>
        <v>1</v>
      </c>
      <c r="T920" t="b">
        <f t="shared" si="29"/>
        <v>1</v>
      </c>
      <c r="U920" s="154">
        <f>IFERROR(IF(R920&lt;&gt;FALSE,IF(S920=TRUE,INDEX('SummaryNOT_VALIDATED-BL'!$A$1:$F$16,MATCH(R920,'SummaryNOT_VALIDATED-BL'!$A$1:$A$16,0),6),0),IF(S920=TRUE,INDEX('SummaryNOT_VALIDATED-BL'!$A$1:$F$16,MATCH(E920,'SummaryNOT_VALIDATED-BL'!$A$1:$A$16,0),6),0)),0)</f>
        <v>9.1604133276901048E-2</v>
      </c>
      <c r="V920" s="81" cm="1">
        <f t="array" ref="V920">INDEX('Weight tables'!$A$24:$C$27,MATCH(1,(RendicontiTrasmessiBL__2[[#This Row],[Cut percentage on real costs + USC]]&gt;='Weight tables'!$B$24:$B$27)*(RendicontiTrasmessiBL__2[[#This Row],[Cut percentage on real costs + USC]]&lt;='Weight tables'!$C$24:$C$27),0),1)</f>
        <v>4</v>
      </c>
      <c r="W920" s="2">
        <f>RendicontiTrasmessiBL__2[[#This Row],[Weight real costs  + USC ]]</f>
        <v>4</v>
      </c>
    </row>
    <row r="921" spans="1:23" x14ac:dyDescent="0.25">
      <c r="A921" s="1" t="s">
        <v>59</v>
      </c>
      <c r="B921" s="1" t="s">
        <v>44</v>
      </c>
      <c r="C921" s="2">
        <v>326</v>
      </c>
      <c r="D921" s="2">
        <v>95</v>
      </c>
      <c r="E921" s="1" t="s">
        <v>229</v>
      </c>
      <c r="G921">
        <v>0</v>
      </c>
      <c r="H921">
        <v>0</v>
      </c>
      <c r="I921">
        <v>0</v>
      </c>
      <c r="J921">
        <v>0</v>
      </c>
      <c r="K921">
        <v>0</v>
      </c>
      <c r="L921">
        <v>0</v>
      </c>
      <c r="M921">
        <v>0</v>
      </c>
      <c r="N921">
        <v>0</v>
      </c>
      <c r="O921">
        <v>0</v>
      </c>
      <c r="P921">
        <v>0</v>
      </c>
      <c r="Q921" t="str">
        <f>INDEX('Partner data'!A:DH,MATCH(C921,'Partner data'!DG:DG,0),83)</f>
        <v>Soggetto pubblico</v>
      </c>
      <c r="R921" t="b">
        <f>IF(E921="staff",IF(INDEX('Partner data'!A:DH,MATCH(C921,'Partner data'!DG:DG,0),112)="BL1 non presente","FALSO",INDEX('Partner data'!A:DH,MATCH(C921,'Partner data'!DG:DG,0),112)))</f>
        <v>0</v>
      </c>
      <c r="S921" t="b">
        <f t="shared" si="28"/>
        <v>0</v>
      </c>
      <c r="T921" t="b">
        <f t="shared" si="29"/>
        <v>1</v>
      </c>
      <c r="U921" s="154">
        <f>IFERROR(IF(R921&lt;&gt;FALSE,IF(S921=TRUE,INDEX('SummaryNOT_VALIDATED-BL'!$A$1:$F$16,MATCH(R921,'SummaryNOT_VALIDATED-BL'!$A$1:$A$16,0),6),0),IF(S921=TRUE,INDEX('SummaryNOT_VALIDATED-BL'!$A$1:$F$16,MATCH(E921,'SummaryNOT_VALIDATED-BL'!$A$1:$A$16,0),6),0)),0)</f>
        <v>0</v>
      </c>
      <c r="V921" s="81" cm="1">
        <f t="array" ref="V921">INDEX('Weight tables'!$A$24:$C$27,MATCH(1,(RendicontiTrasmessiBL__2[[#This Row],[Cut percentage on real costs + USC]]&gt;='Weight tables'!$B$24:$B$27)*(RendicontiTrasmessiBL__2[[#This Row],[Cut percentage on real costs + USC]]&lt;='Weight tables'!$C$24:$C$27),0),1)</f>
        <v>0</v>
      </c>
      <c r="W921" s="2">
        <f>RendicontiTrasmessiBL__2[[#This Row],[Weight real costs  + USC ]]</f>
        <v>0</v>
      </c>
    </row>
    <row r="922" spans="1:23" x14ac:dyDescent="0.25">
      <c r="A922" s="1" t="s">
        <v>59</v>
      </c>
      <c r="B922" s="1" t="s">
        <v>44</v>
      </c>
      <c r="C922" s="2">
        <v>326</v>
      </c>
      <c r="D922" s="2">
        <v>95</v>
      </c>
      <c r="E922" s="1" t="s">
        <v>230</v>
      </c>
      <c r="G922">
        <v>0</v>
      </c>
      <c r="H922">
        <v>0</v>
      </c>
      <c r="I922">
        <v>0</v>
      </c>
      <c r="J922">
        <v>0</v>
      </c>
      <c r="K922">
        <v>0</v>
      </c>
      <c r="L922">
        <v>0</v>
      </c>
      <c r="M922">
        <v>0</v>
      </c>
      <c r="N922">
        <v>0</v>
      </c>
      <c r="O922">
        <v>0</v>
      </c>
      <c r="P922">
        <v>0</v>
      </c>
      <c r="Q922" t="str">
        <f>INDEX('Partner data'!A:DH,MATCH(C922,'Partner data'!DG:DG,0),83)</f>
        <v>Soggetto pubblico</v>
      </c>
      <c r="R922" t="b">
        <f>IF(E922="staff",IF(INDEX('Partner data'!A:DH,MATCH(C922,'Partner data'!DG:DG,0),112)="BL1 non presente","FALSO",INDEX('Partner data'!A:DH,MATCH(C922,'Partner data'!DG:DG,0),112)))</f>
        <v>0</v>
      </c>
      <c r="S922" t="b">
        <f t="shared" si="28"/>
        <v>0</v>
      </c>
      <c r="T922" t="b">
        <f t="shared" si="29"/>
        <v>1</v>
      </c>
      <c r="U922" s="154">
        <f>IFERROR(IF(R922&lt;&gt;FALSE,IF(S922=TRUE,INDEX('SummaryNOT_VALIDATED-BL'!$A$1:$F$16,MATCH(R922,'SummaryNOT_VALIDATED-BL'!$A$1:$A$16,0),6),0),IF(S922=TRUE,INDEX('SummaryNOT_VALIDATED-BL'!$A$1:$F$16,MATCH(E922,'SummaryNOT_VALIDATED-BL'!$A$1:$A$16,0),6),0)),0)</f>
        <v>0</v>
      </c>
      <c r="V922" s="81" cm="1">
        <f t="array" ref="V922">INDEX('Weight tables'!$A$24:$C$27,MATCH(1,(RendicontiTrasmessiBL__2[[#This Row],[Cut percentage on real costs + USC]]&gt;='Weight tables'!$B$24:$B$27)*(RendicontiTrasmessiBL__2[[#This Row],[Cut percentage on real costs + USC]]&lt;='Weight tables'!$C$24:$C$27),0),1)</f>
        <v>0</v>
      </c>
      <c r="W922" s="2">
        <f>RendicontiTrasmessiBL__2[[#This Row],[Weight real costs  + USC ]]</f>
        <v>0</v>
      </c>
    </row>
    <row r="923" spans="1:23" x14ac:dyDescent="0.25">
      <c r="A923" s="1" t="s">
        <v>59</v>
      </c>
      <c r="B923" s="1" t="s">
        <v>44</v>
      </c>
      <c r="C923" s="2">
        <v>326</v>
      </c>
      <c r="D923" s="2">
        <v>95</v>
      </c>
      <c r="E923" s="1" t="s">
        <v>231</v>
      </c>
      <c r="G923">
        <v>0</v>
      </c>
      <c r="H923">
        <v>0</v>
      </c>
      <c r="I923">
        <v>0</v>
      </c>
      <c r="J923">
        <v>0</v>
      </c>
      <c r="K923">
        <v>0</v>
      </c>
      <c r="L923">
        <v>0</v>
      </c>
      <c r="M923">
        <v>0</v>
      </c>
      <c r="N923">
        <v>0</v>
      </c>
      <c r="O923">
        <v>0</v>
      </c>
      <c r="P923">
        <v>0</v>
      </c>
      <c r="Q923" t="str">
        <f>INDEX('Partner data'!A:DH,MATCH(C923,'Partner data'!DG:DG,0),83)</f>
        <v>Soggetto pubblico</v>
      </c>
      <c r="R923" t="b">
        <f>IF(E923="staff",IF(INDEX('Partner data'!A:DH,MATCH(C923,'Partner data'!DG:DG,0),112)="BL1 non presente","FALSO",INDEX('Partner data'!A:DH,MATCH(C923,'Partner data'!DG:DG,0),112)))</f>
        <v>0</v>
      </c>
      <c r="S923" t="b">
        <f t="shared" si="28"/>
        <v>0</v>
      </c>
      <c r="T923" t="b">
        <f t="shared" si="29"/>
        <v>1</v>
      </c>
      <c r="U923" s="154">
        <f>IFERROR(IF(R923&lt;&gt;FALSE,IF(S923=TRUE,INDEX('SummaryNOT_VALIDATED-BL'!$A$1:$F$16,MATCH(R923,'SummaryNOT_VALIDATED-BL'!$A$1:$A$16,0),6),0),IF(S923=TRUE,INDEX('SummaryNOT_VALIDATED-BL'!$A$1:$F$16,MATCH(E923,'SummaryNOT_VALIDATED-BL'!$A$1:$A$16,0),6),0)),0)</f>
        <v>0</v>
      </c>
      <c r="V923" s="81" cm="1">
        <f t="array" ref="V923">INDEX('Weight tables'!$A$24:$C$27,MATCH(1,(RendicontiTrasmessiBL__2[[#This Row],[Cut percentage on real costs + USC]]&gt;='Weight tables'!$B$24:$B$27)*(RendicontiTrasmessiBL__2[[#This Row],[Cut percentage on real costs + USC]]&lt;='Weight tables'!$C$24:$C$27),0),1)</f>
        <v>0</v>
      </c>
      <c r="W923" s="2">
        <f>RendicontiTrasmessiBL__2[[#This Row],[Weight real costs  + USC ]]</f>
        <v>0</v>
      </c>
    </row>
    <row r="924" spans="1:23" x14ac:dyDescent="0.25">
      <c r="A924" s="1" t="s">
        <v>59</v>
      </c>
      <c r="B924" s="1" t="s">
        <v>44</v>
      </c>
      <c r="C924" s="2">
        <v>326</v>
      </c>
      <c r="D924" s="2">
        <v>95</v>
      </c>
      <c r="E924" s="1" t="s">
        <v>232</v>
      </c>
      <c r="G924">
        <v>0</v>
      </c>
      <c r="H924">
        <v>0</v>
      </c>
      <c r="I924">
        <v>0</v>
      </c>
      <c r="J924">
        <v>0</v>
      </c>
      <c r="K924">
        <v>0</v>
      </c>
      <c r="L924">
        <v>0</v>
      </c>
      <c r="M924">
        <v>0</v>
      </c>
      <c r="N924">
        <v>0</v>
      </c>
      <c r="O924">
        <v>0</v>
      </c>
      <c r="P924">
        <v>0</v>
      </c>
      <c r="Q924" t="str">
        <f>INDEX('Partner data'!A:DH,MATCH(C924,'Partner data'!DG:DG,0),83)</f>
        <v>Soggetto pubblico</v>
      </c>
      <c r="R924" t="b">
        <f>IF(E924="staff",IF(INDEX('Partner data'!A:DH,MATCH(C924,'Partner data'!DG:DG,0),112)="BL1 non presente","FALSO",INDEX('Partner data'!A:DH,MATCH(C924,'Partner data'!DG:DG,0),112)))</f>
        <v>0</v>
      </c>
      <c r="S924" t="b">
        <f t="shared" si="28"/>
        <v>0</v>
      </c>
      <c r="T924" t="b">
        <f t="shared" si="29"/>
        <v>1</v>
      </c>
      <c r="U924" s="154">
        <f>IFERROR(IF(R924&lt;&gt;FALSE,IF(S924=TRUE,INDEX('SummaryNOT_VALIDATED-BL'!$A$1:$F$16,MATCH(R924,'SummaryNOT_VALIDATED-BL'!$A$1:$A$16,0),6),0),IF(S924=TRUE,INDEX('SummaryNOT_VALIDATED-BL'!$A$1:$F$16,MATCH(E924,'SummaryNOT_VALIDATED-BL'!$A$1:$A$16,0),6),0)),0)</f>
        <v>0</v>
      </c>
      <c r="V924" s="81" cm="1">
        <f t="array" ref="V924">INDEX('Weight tables'!$A$24:$C$27,MATCH(1,(RendicontiTrasmessiBL__2[[#This Row],[Cut percentage on real costs + USC]]&gt;='Weight tables'!$B$24:$B$27)*(RendicontiTrasmessiBL__2[[#This Row],[Cut percentage on real costs + USC]]&lt;='Weight tables'!$C$24:$C$27),0),1)</f>
        <v>0</v>
      </c>
      <c r="W924" s="2">
        <f>RendicontiTrasmessiBL__2[[#This Row],[Weight real costs  + USC ]]</f>
        <v>0</v>
      </c>
    </row>
    <row r="925" spans="1:23" x14ac:dyDescent="0.25">
      <c r="A925" s="1" t="s">
        <v>59</v>
      </c>
      <c r="B925" s="1" t="s">
        <v>44</v>
      </c>
      <c r="C925" s="2">
        <v>326</v>
      </c>
      <c r="D925" s="2">
        <v>95</v>
      </c>
      <c r="E925" s="1" t="s">
        <v>233</v>
      </c>
      <c r="G925">
        <v>0</v>
      </c>
      <c r="H925">
        <v>0</v>
      </c>
      <c r="I925">
        <v>0</v>
      </c>
      <c r="J925">
        <v>0</v>
      </c>
      <c r="K925">
        <v>0</v>
      </c>
      <c r="L925">
        <v>0</v>
      </c>
      <c r="M925">
        <v>0</v>
      </c>
      <c r="N925">
        <v>0</v>
      </c>
      <c r="O925">
        <v>0</v>
      </c>
      <c r="P925">
        <v>0</v>
      </c>
      <c r="Q925" t="str">
        <f>INDEX('Partner data'!A:DH,MATCH(C925,'Partner data'!DG:DG,0),83)</f>
        <v>Soggetto pubblico</v>
      </c>
      <c r="R925" t="b">
        <f>IF(E925="staff",IF(INDEX('Partner data'!A:DH,MATCH(C925,'Partner data'!DG:DG,0),112)="BL1 non presente","FALSO",INDEX('Partner data'!A:DH,MATCH(C925,'Partner data'!DG:DG,0),112)))</f>
        <v>0</v>
      </c>
      <c r="S925" t="b">
        <f t="shared" si="28"/>
        <v>0</v>
      </c>
      <c r="T925" t="b">
        <f t="shared" si="29"/>
        <v>1</v>
      </c>
      <c r="U925" s="154">
        <f>IFERROR(IF(R925&lt;&gt;FALSE,IF(S925=TRUE,INDEX('SummaryNOT_VALIDATED-BL'!$A$1:$F$16,MATCH(R925,'SummaryNOT_VALIDATED-BL'!$A$1:$A$16,0),6),0),IF(S925=TRUE,INDEX('SummaryNOT_VALIDATED-BL'!$A$1:$F$16,MATCH(E925,'SummaryNOT_VALIDATED-BL'!$A$1:$A$16,0),6),0)),0)</f>
        <v>0</v>
      </c>
      <c r="V925" s="81" cm="1">
        <f t="array" ref="V925">INDEX('Weight tables'!$A$24:$C$27,MATCH(1,(RendicontiTrasmessiBL__2[[#This Row],[Cut percentage on real costs + USC]]&gt;='Weight tables'!$B$24:$B$27)*(RendicontiTrasmessiBL__2[[#This Row],[Cut percentage on real costs + USC]]&lt;='Weight tables'!$C$24:$C$27),0),1)</f>
        <v>0</v>
      </c>
      <c r="W925" s="2">
        <f>RendicontiTrasmessiBL__2[[#This Row],[Weight real costs  + USC ]]</f>
        <v>0</v>
      </c>
    </row>
    <row r="926" spans="1:23" x14ac:dyDescent="0.25">
      <c r="A926" s="1" t="s">
        <v>59</v>
      </c>
      <c r="B926" s="1" t="s">
        <v>44</v>
      </c>
      <c r="C926" s="2">
        <v>326</v>
      </c>
      <c r="D926" s="2">
        <v>95</v>
      </c>
      <c r="E926" s="1" t="s">
        <v>234</v>
      </c>
      <c r="F926">
        <v>40</v>
      </c>
      <c r="G926">
        <v>51429.64</v>
      </c>
      <c r="H926">
        <v>0</v>
      </c>
      <c r="I926">
        <v>0</v>
      </c>
      <c r="J926">
        <v>5154.76</v>
      </c>
      <c r="K926">
        <v>0</v>
      </c>
      <c r="L926">
        <v>5154.76</v>
      </c>
      <c r="M926">
        <v>5154.76</v>
      </c>
      <c r="N926">
        <v>10.02</v>
      </c>
      <c r="O926">
        <v>46274.879999999997</v>
      </c>
      <c r="P926">
        <v>0</v>
      </c>
      <c r="Q926" t="str">
        <f>INDEX('Partner data'!A:DH,MATCH(C926,'Partner data'!DG:DG,0),83)</f>
        <v>Soggetto pubblico</v>
      </c>
      <c r="R926" t="b">
        <f>IF(E926="staff",IF(INDEX('Partner data'!A:DH,MATCH(C926,'Partner data'!DG:DG,0),112)="BL1 non presente","FALSO",INDEX('Partner data'!A:DH,MATCH(C926,'Partner data'!DG:DG,0),112)))</f>
        <v>0</v>
      </c>
      <c r="S926" t="b">
        <f t="shared" si="28"/>
        <v>1</v>
      </c>
      <c r="T926" t="b">
        <f t="shared" si="29"/>
        <v>1</v>
      </c>
      <c r="U926" s="154">
        <f>IFERROR(IF(R926&lt;&gt;FALSE,IF(S926=TRUE,INDEX('SummaryNOT_VALIDATED-BL'!$A$1:$F$16,MATCH(R926,'SummaryNOT_VALIDATED-BL'!$A$1:$A$16,0),6),0),IF(S926=TRUE,INDEX('SummaryNOT_VALIDATED-BL'!$A$1:$F$16,MATCH(E926,'SummaryNOT_VALIDATED-BL'!$A$1:$A$16,0),6),0)),0)</f>
        <v>8.7645339819521315E-2</v>
      </c>
      <c r="V926" s="81" cm="1">
        <f t="array" ref="V926">INDEX('Weight tables'!$A$24:$C$27,MATCH(1,(RendicontiTrasmessiBL__2[[#This Row],[Cut percentage on real costs + USC]]&gt;='Weight tables'!$B$24:$B$27)*(RendicontiTrasmessiBL__2[[#This Row],[Cut percentage on real costs + USC]]&lt;='Weight tables'!$C$24:$C$27),0),1)</f>
        <v>4</v>
      </c>
      <c r="W926" s="2">
        <f>RendicontiTrasmessiBL__2[[#This Row],[Weight real costs  + USC ]]</f>
        <v>4</v>
      </c>
    </row>
    <row r="927" spans="1:23" x14ac:dyDescent="0.25">
      <c r="A927" s="1" t="s">
        <v>59</v>
      </c>
      <c r="B927" s="1" t="s">
        <v>44</v>
      </c>
      <c r="C927" s="2">
        <v>326</v>
      </c>
      <c r="D927" s="2">
        <v>95</v>
      </c>
      <c r="E927" s="1" t="s">
        <v>236</v>
      </c>
      <c r="G927">
        <v>0</v>
      </c>
      <c r="H927">
        <v>0</v>
      </c>
      <c r="I927">
        <v>0</v>
      </c>
      <c r="J927">
        <v>0</v>
      </c>
      <c r="K927">
        <v>0</v>
      </c>
      <c r="L927">
        <v>0</v>
      </c>
      <c r="M927">
        <v>0</v>
      </c>
      <c r="N927">
        <v>0</v>
      </c>
      <c r="O927">
        <v>0</v>
      </c>
      <c r="P927">
        <v>0</v>
      </c>
      <c r="Q927" t="str">
        <f>INDEX('Partner data'!A:DH,MATCH(C927,'Partner data'!DG:DG,0),83)</f>
        <v>Soggetto pubblico</v>
      </c>
      <c r="R927" t="b">
        <f>IF(E927="staff",IF(INDEX('Partner data'!A:DH,MATCH(C927,'Partner data'!DG:DG,0),112)="BL1 non presente","FALSO",INDEX('Partner data'!A:DH,MATCH(C927,'Partner data'!DG:DG,0),112)))</f>
        <v>0</v>
      </c>
      <c r="S927" t="b">
        <f t="shared" si="28"/>
        <v>0</v>
      </c>
      <c r="T927" t="b">
        <f t="shared" si="29"/>
        <v>1</v>
      </c>
      <c r="U927" s="154">
        <f>IFERROR(IF(R927&lt;&gt;FALSE,IF(S927=TRUE,INDEX('SummaryNOT_VALIDATED-BL'!$A$1:$F$16,MATCH(R927,'SummaryNOT_VALIDATED-BL'!$A$1:$A$16,0),6),0),IF(S927=TRUE,INDEX('SummaryNOT_VALIDATED-BL'!$A$1:$F$16,MATCH(E927,'SummaryNOT_VALIDATED-BL'!$A$1:$A$16,0),6),0)),0)</f>
        <v>0</v>
      </c>
      <c r="V927" s="81" cm="1">
        <f t="array" ref="V927">INDEX('Weight tables'!$A$24:$C$27,MATCH(1,(RendicontiTrasmessiBL__2[[#This Row],[Cut percentage on real costs + USC]]&gt;='Weight tables'!$B$24:$B$27)*(RendicontiTrasmessiBL__2[[#This Row],[Cut percentage on real costs + USC]]&lt;='Weight tables'!$C$24:$C$27),0),1)</f>
        <v>0</v>
      </c>
      <c r="W927" s="2">
        <f>RendicontiTrasmessiBL__2[[#This Row],[Weight real costs  + USC ]]</f>
        <v>0</v>
      </c>
    </row>
    <row r="928" spans="1:23" x14ac:dyDescent="0.25">
      <c r="A928" s="1" t="s">
        <v>59</v>
      </c>
      <c r="B928" s="1" t="s">
        <v>44</v>
      </c>
      <c r="C928" s="2">
        <v>326</v>
      </c>
      <c r="D928" s="2">
        <v>95</v>
      </c>
      <c r="E928" s="1" t="s">
        <v>237</v>
      </c>
      <c r="G928">
        <v>0</v>
      </c>
      <c r="H928">
        <v>0</v>
      </c>
      <c r="I928">
        <v>0</v>
      </c>
      <c r="J928">
        <v>0</v>
      </c>
      <c r="K928">
        <v>0</v>
      </c>
      <c r="L928">
        <v>0</v>
      </c>
      <c r="M928">
        <v>0</v>
      </c>
      <c r="N928">
        <v>0</v>
      </c>
      <c r="O928">
        <v>0</v>
      </c>
      <c r="P928">
        <v>0</v>
      </c>
      <c r="Q928" t="str">
        <f>INDEX('Partner data'!A:DH,MATCH(C928,'Partner data'!DG:DG,0),83)</f>
        <v>Soggetto pubblico</v>
      </c>
      <c r="R928" t="b">
        <f>IF(E928="staff",IF(INDEX('Partner data'!A:DH,MATCH(C928,'Partner data'!DG:DG,0),112)="BL1 non presente","FALSO",INDEX('Partner data'!A:DH,MATCH(C928,'Partner data'!DG:DG,0),112)))</f>
        <v>0</v>
      </c>
      <c r="S928" t="b">
        <f t="shared" si="28"/>
        <v>0</v>
      </c>
      <c r="T928" t="b">
        <f t="shared" si="29"/>
        <v>1</v>
      </c>
      <c r="U928" s="154">
        <f>IFERROR(IF(R928&lt;&gt;FALSE,IF(S928=TRUE,INDEX('SummaryNOT_VALIDATED-BL'!$A$1:$F$16,MATCH(R928,'SummaryNOT_VALIDATED-BL'!$A$1:$A$16,0),6),0),IF(S928=TRUE,INDEX('SummaryNOT_VALIDATED-BL'!$A$1:$F$16,MATCH(E928,'SummaryNOT_VALIDATED-BL'!$A$1:$A$16,0),6),0)),0)</f>
        <v>0</v>
      </c>
      <c r="V928" s="81" cm="1">
        <f t="array" ref="V928">INDEX('Weight tables'!$A$24:$C$27,MATCH(1,(RendicontiTrasmessiBL__2[[#This Row],[Cut percentage on real costs + USC]]&gt;='Weight tables'!$B$24:$B$27)*(RendicontiTrasmessiBL__2[[#This Row],[Cut percentage on real costs + USC]]&lt;='Weight tables'!$C$24:$C$27),0),1)</f>
        <v>0</v>
      </c>
      <c r="W928" s="2">
        <f>RendicontiTrasmessiBL__2[[#This Row],[Weight real costs  + USC ]]</f>
        <v>0</v>
      </c>
    </row>
    <row r="929" spans="1:23" x14ac:dyDescent="0.25">
      <c r="A929" s="1" t="s">
        <v>59</v>
      </c>
      <c r="B929" s="1" t="s">
        <v>49</v>
      </c>
      <c r="C929" s="2">
        <v>321</v>
      </c>
      <c r="D929" s="2">
        <v>164</v>
      </c>
      <c r="E929" s="1" t="s">
        <v>228</v>
      </c>
      <c r="G929">
        <v>85749.04</v>
      </c>
      <c r="H929">
        <v>10495.88</v>
      </c>
      <c r="I929">
        <v>0</v>
      </c>
      <c r="J929">
        <v>11721.72</v>
      </c>
      <c r="K929">
        <v>0</v>
      </c>
      <c r="L929">
        <v>0</v>
      </c>
      <c r="M929">
        <v>22217.599999999999</v>
      </c>
      <c r="N929">
        <v>25.91</v>
      </c>
      <c r="O929">
        <v>63531.44</v>
      </c>
      <c r="P929">
        <v>0</v>
      </c>
      <c r="Q929" t="str">
        <f>INDEX('Partner data'!A:DH,MATCH(C929,'Partner data'!DG:DG,0),83)</f>
        <v>Soggetto pubblico</v>
      </c>
      <c r="R929" t="str">
        <f>IF(E929="staff",IF(INDEX('Partner data'!A:DH,MATCH(C929,'Partner data'!DG:DG,0),112)="BL1 non presente","FALSO",INDEX('Partner data'!A:DH,MATCH(C929,'Partner data'!DG:DG,0),112)))</f>
        <v>COSTO REALE</v>
      </c>
      <c r="S929" t="b">
        <f t="shared" si="28"/>
        <v>1</v>
      </c>
      <c r="T929" t="b">
        <f t="shared" si="29"/>
        <v>1</v>
      </c>
      <c r="U929" s="154">
        <f>IFERROR(IF(R929&lt;&gt;FALSE,IF(S929=TRUE,INDEX('SummaryNOT_VALIDATED-BL'!$A$1:$F$16,MATCH(R929,'SummaryNOT_VALIDATED-BL'!$A$1:$A$16,0),6),0),IF(S929=TRUE,INDEX('SummaryNOT_VALIDATED-BL'!$A$1:$F$16,MATCH(E929,'SummaryNOT_VALIDATED-BL'!$A$1:$A$16,0),6),0)),0)</f>
        <v>9.1604133276901048E-2</v>
      </c>
      <c r="V929" s="81" cm="1">
        <f t="array" ref="V929">INDEX('Weight tables'!$A$24:$C$27,MATCH(1,(RendicontiTrasmessiBL__2[[#This Row],[Cut percentage on real costs + USC]]&gt;='Weight tables'!$B$24:$B$27)*(RendicontiTrasmessiBL__2[[#This Row],[Cut percentage on real costs + USC]]&lt;='Weight tables'!$C$24:$C$27),0),1)</f>
        <v>4</v>
      </c>
      <c r="W929" s="2">
        <f>RendicontiTrasmessiBL__2[[#This Row],[Weight real costs  + USC ]]</f>
        <v>4</v>
      </c>
    </row>
    <row r="930" spans="1:23" x14ac:dyDescent="0.25">
      <c r="A930" s="1" t="s">
        <v>59</v>
      </c>
      <c r="B930" s="1" t="s">
        <v>49</v>
      </c>
      <c r="C930" s="2">
        <v>321</v>
      </c>
      <c r="D930" s="2">
        <v>164</v>
      </c>
      <c r="E930" s="1" t="s">
        <v>229</v>
      </c>
      <c r="G930">
        <v>0</v>
      </c>
      <c r="H930">
        <v>0</v>
      </c>
      <c r="I930">
        <v>0</v>
      </c>
      <c r="J930">
        <v>0</v>
      </c>
      <c r="K930">
        <v>0</v>
      </c>
      <c r="L930">
        <v>0</v>
      </c>
      <c r="M930">
        <v>0</v>
      </c>
      <c r="N930">
        <v>0</v>
      </c>
      <c r="O930">
        <v>0</v>
      </c>
      <c r="P930">
        <v>0</v>
      </c>
      <c r="Q930" t="str">
        <f>INDEX('Partner data'!A:DH,MATCH(C930,'Partner data'!DG:DG,0),83)</f>
        <v>Soggetto pubblico</v>
      </c>
      <c r="R930" t="b">
        <f>IF(E930="staff",IF(INDEX('Partner data'!A:DH,MATCH(C930,'Partner data'!DG:DG,0),112)="BL1 non presente","FALSO",INDEX('Partner data'!A:DH,MATCH(C930,'Partner data'!DG:DG,0),112)))</f>
        <v>0</v>
      </c>
      <c r="S930" t="b">
        <f t="shared" si="28"/>
        <v>0</v>
      </c>
      <c r="T930" t="b">
        <f t="shared" si="29"/>
        <v>1</v>
      </c>
      <c r="U930" s="154">
        <f>IFERROR(IF(R930&lt;&gt;FALSE,IF(S930=TRUE,INDEX('SummaryNOT_VALIDATED-BL'!$A$1:$F$16,MATCH(R930,'SummaryNOT_VALIDATED-BL'!$A$1:$A$16,0),6),0),IF(S930=TRUE,INDEX('SummaryNOT_VALIDATED-BL'!$A$1:$F$16,MATCH(E930,'SummaryNOT_VALIDATED-BL'!$A$1:$A$16,0),6),0)),0)</f>
        <v>0</v>
      </c>
      <c r="V930" s="81" cm="1">
        <f t="array" ref="V930">INDEX('Weight tables'!$A$24:$C$27,MATCH(1,(RendicontiTrasmessiBL__2[[#This Row],[Cut percentage on real costs + USC]]&gt;='Weight tables'!$B$24:$B$27)*(RendicontiTrasmessiBL__2[[#This Row],[Cut percentage on real costs + USC]]&lt;='Weight tables'!$C$24:$C$27),0),1)</f>
        <v>0</v>
      </c>
      <c r="W930" s="2">
        <f>RendicontiTrasmessiBL__2[[#This Row],[Weight real costs  + USC ]]</f>
        <v>0</v>
      </c>
    </row>
    <row r="931" spans="1:23" x14ac:dyDescent="0.25">
      <c r="A931" s="1" t="s">
        <v>59</v>
      </c>
      <c r="B931" s="1" t="s">
        <v>49</v>
      </c>
      <c r="C931" s="2">
        <v>321</v>
      </c>
      <c r="D931" s="2">
        <v>164</v>
      </c>
      <c r="E931" s="1" t="s">
        <v>230</v>
      </c>
      <c r="G931">
        <v>0</v>
      </c>
      <c r="H931">
        <v>0</v>
      </c>
      <c r="I931">
        <v>0</v>
      </c>
      <c r="J931">
        <v>0</v>
      </c>
      <c r="K931">
        <v>0</v>
      </c>
      <c r="L931">
        <v>0</v>
      </c>
      <c r="M931">
        <v>0</v>
      </c>
      <c r="N931">
        <v>0</v>
      </c>
      <c r="O931">
        <v>0</v>
      </c>
      <c r="P931">
        <v>0</v>
      </c>
      <c r="Q931" t="str">
        <f>INDEX('Partner data'!A:DH,MATCH(C931,'Partner data'!DG:DG,0),83)</f>
        <v>Soggetto pubblico</v>
      </c>
      <c r="R931" t="b">
        <f>IF(E931="staff",IF(INDEX('Partner data'!A:DH,MATCH(C931,'Partner data'!DG:DG,0),112)="BL1 non presente","FALSO",INDEX('Partner data'!A:DH,MATCH(C931,'Partner data'!DG:DG,0),112)))</f>
        <v>0</v>
      </c>
      <c r="S931" t="b">
        <f t="shared" si="28"/>
        <v>0</v>
      </c>
      <c r="T931" t="b">
        <f t="shared" si="29"/>
        <v>1</v>
      </c>
      <c r="U931" s="154">
        <f>IFERROR(IF(R931&lt;&gt;FALSE,IF(S931=TRUE,INDEX('SummaryNOT_VALIDATED-BL'!$A$1:$F$16,MATCH(R931,'SummaryNOT_VALIDATED-BL'!$A$1:$A$16,0),6),0),IF(S931=TRUE,INDEX('SummaryNOT_VALIDATED-BL'!$A$1:$F$16,MATCH(E931,'SummaryNOT_VALIDATED-BL'!$A$1:$A$16,0),6),0)),0)</f>
        <v>0</v>
      </c>
      <c r="V931" s="81" cm="1">
        <f t="array" ref="V931">INDEX('Weight tables'!$A$24:$C$27,MATCH(1,(RendicontiTrasmessiBL__2[[#This Row],[Cut percentage on real costs + USC]]&gt;='Weight tables'!$B$24:$B$27)*(RendicontiTrasmessiBL__2[[#This Row],[Cut percentage on real costs + USC]]&lt;='Weight tables'!$C$24:$C$27),0),1)</f>
        <v>0</v>
      </c>
      <c r="W931" s="2">
        <f>RendicontiTrasmessiBL__2[[#This Row],[Weight real costs  + USC ]]</f>
        <v>0</v>
      </c>
    </row>
    <row r="932" spans="1:23" x14ac:dyDescent="0.25">
      <c r="A932" s="1" t="s">
        <v>59</v>
      </c>
      <c r="B932" s="1" t="s">
        <v>49</v>
      </c>
      <c r="C932" s="2">
        <v>321</v>
      </c>
      <c r="D932" s="2">
        <v>164</v>
      </c>
      <c r="E932" s="1" t="s">
        <v>231</v>
      </c>
      <c r="G932">
        <v>0</v>
      </c>
      <c r="H932">
        <v>0</v>
      </c>
      <c r="I932">
        <v>0</v>
      </c>
      <c r="J932">
        <v>0</v>
      </c>
      <c r="K932">
        <v>0</v>
      </c>
      <c r="L932">
        <v>0</v>
      </c>
      <c r="M932">
        <v>0</v>
      </c>
      <c r="N932">
        <v>0</v>
      </c>
      <c r="O932">
        <v>0</v>
      </c>
      <c r="P932">
        <v>0</v>
      </c>
      <c r="Q932" t="str">
        <f>INDEX('Partner data'!A:DH,MATCH(C932,'Partner data'!DG:DG,0),83)</f>
        <v>Soggetto pubblico</v>
      </c>
      <c r="R932" t="b">
        <f>IF(E932="staff",IF(INDEX('Partner data'!A:DH,MATCH(C932,'Partner data'!DG:DG,0),112)="BL1 non presente","FALSO",INDEX('Partner data'!A:DH,MATCH(C932,'Partner data'!DG:DG,0),112)))</f>
        <v>0</v>
      </c>
      <c r="S932" t="b">
        <f t="shared" si="28"/>
        <v>0</v>
      </c>
      <c r="T932" t="b">
        <f t="shared" si="29"/>
        <v>1</v>
      </c>
      <c r="U932" s="154">
        <f>IFERROR(IF(R932&lt;&gt;FALSE,IF(S932=TRUE,INDEX('SummaryNOT_VALIDATED-BL'!$A$1:$F$16,MATCH(R932,'SummaryNOT_VALIDATED-BL'!$A$1:$A$16,0),6),0),IF(S932=TRUE,INDEX('SummaryNOT_VALIDATED-BL'!$A$1:$F$16,MATCH(E932,'SummaryNOT_VALIDATED-BL'!$A$1:$A$16,0),6),0)),0)</f>
        <v>0</v>
      </c>
      <c r="V932" s="81" cm="1">
        <f t="array" ref="V932">INDEX('Weight tables'!$A$24:$C$27,MATCH(1,(RendicontiTrasmessiBL__2[[#This Row],[Cut percentage on real costs + USC]]&gt;='Weight tables'!$B$24:$B$27)*(RendicontiTrasmessiBL__2[[#This Row],[Cut percentage on real costs + USC]]&lt;='Weight tables'!$C$24:$C$27),0),1)</f>
        <v>0</v>
      </c>
      <c r="W932" s="2">
        <f>RendicontiTrasmessiBL__2[[#This Row],[Weight real costs  + USC ]]</f>
        <v>0</v>
      </c>
    </row>
    <row r="933" spans="1:23" x14ac:dyDescent="0.25">
      <c r="A933" s="1" t="s">
        <v>59</v>
      </c>
      <c r="B933" s="1" t="s">
        <v>49</v>
      </c>
      <c r="C933" s="2">
        <v>321</v>
      </c>
      <c r="D933" s="2">
        <v>164</v>
      </c>
      <c r="E933" s="1" t="s">
        <v>232</v>
      </c>
      <c r="G933">
        <v>0</v>
      </c>
      <c r="H933">
        <v>0</v>
      </c>
      <c r="I933">
        <v>0</v>
      </c>
      <c r="J933">
        <v>0</v>
      </c>
      <c r="K933">
        <v>0</v>
      </c>
      <c r="L933">
        <v>0</v>
      </c>
      <c r="M933">
        <v>0</v>
      </c>
      <c r="N933">
        <v>0</v>
      </c>
      <c r="O933">
        <v>0</v>
      </c>
      <c r="P933">
        <v>0</v>
      </c>
      <c r="Q933" t="str">
        <f>INDEX('Partner data'!A:DH,MATCH(C933,'Partner data'!DG:DG,0),83)</f>
        <v>Soggetto pubblico</v>
      </c>
      <c r="R933" t="b">
        <f>IF(E933="staff",IF(INDEX('Partner data'!A:DH,MATCH(C933,'Partner data'!DG:DG,0),112)="BL1 non presente","FALSO",INDEX('Partner data'!A:DH,MATCH(C933,'Partner data'!DG:DG,0),112)))</f>
        <v>0</v>
      </c>
      <c r="S933" t="b">
        <f t="shared" si="28"/>
        <v>0</v>
      </c>
      <c r="T933" t="b">
        <f t="shared" si="29"/>
        <v>1</v>
      </c>
      <c r="U933" s="154">
        <f>IFERROR(IF(R933&lt;&gt;FALSE,IF(S933=TRUE,INDEX('SummaryNOT_VALIDATED-BL'!$A$1:$F$16,MATCH(R933,'SummaryNOT_VALIDATED-BL'!$A$1:$A$16,0),6),0),IF(S933=TRUE,INDEX('SummaryNOT_VALIDATED-BL'!$A$1:$F$16,MATCH(E933,'SummaryNOT_VALIDATED-BL'!$A$1:$A$16,0),6),0)),0)</f>
        <v>0</v>
      </c>
      <c r="V933" s="81" cm="1">
        <f t="array" ref="V933">INDEX('Weight tables'!$A$24:$C$27,MATCH(1,(RendicontiTrasmessiBL__2[[#This Row],[Cut percentage on real costs + USC]]&gt;='Weight tables'!$B$24:$B$27)*(RendicontiTrasmessiBL__2[[#This Row],[Cut percentage on real costs + USC]]&lt;='Weight tables'!$C$24:$C$27),0),1)</f>
        <v>0</v>
      </c>
      <c r="W933" s="2">
        <f>RendicontiTrasmessiBL__2[[#This Row],[Weight real costs  + USC ]]</f>
        <v>0</v>
      </c>
    </row>
    <row r="934" spans="1:23" x14ac:dyDescent="0.25">
      <c r="A934" s="1" t="s">
        <v>59</v>
      </c>
      <c r="B934" s="1" t="s">
        <v>49</v>
      </c>
      <c r="C934" s="2">
        <v>321</v>
      </c>
      <c r="D934" s="2">
        <v>164</v>
      </c>
      <c r="E934" s="1" t="s">
        <v>233</v>
      </c>
      <c r="G934">
        <v>0</v>
      </c>
      <c r="H934">
        <v>0</v>
      </c>
      <c r="I934">
        <v>0</v>
      </c>
      <c r="J934">
        <v>0</v>
      </c>
      <c r="K934">
        <v>0</v>
      </c>
      <c r="L934">
        <v>0</v>
      </c>
      <c r="M934">
        <v>0</v>
      </c>
      <c r="N934">
        <v>0</v>
      </c>
      <c r="O934">
        <v>0</v>
      </c>
      <c r="P934">
        <v>0</v>
      </c>
      <c r="Q934" t="str">
        <f>INDEX('Partner data'!A:DH,MATCH(C934,'Partner data'!DG:DG,0),83)</f>
        <v>Soggetto pubblico</v>
      </c>
      <c r="R934" t="b">
        <f>IF(E934="staff",IF(INDEX('Partner data'!A:DH,MATCH(C934,'Partner data'!DG:DG,0),112)="BL1 non presente","FALSO",INDEX('Partner data'!A:DH,MATCH(C934,'Partner data'!DG:DG,0),112)))</f>
        <v>0</v>
      </c>
      <c r="S934" t="b">
        <f t="shared" si="28"/>
        <v>0</v>
      </c>
      <c r="T934" t="b">
        <f t="shared" si="29"/>
        <v>1</v>
      </c>
      <c r="U934" s="154">
        <f>IFERROR(IF(R934&lt;&gt;FALSE,IF(S934=TRUE,INDEX('SummaryNOT_VALIDATED-BL'!$A$1:$F$16,MATCH(R934,'SummaryNOT_VALIDATED-BL'!$A$1:$A$16,0),6),0),IF(S934=TRUE,INDEX('SummaryNOT_VALIDATED-BL'!$A$1:$F$16,MATCH(E934,'SummaryNOT_VALIDATED-BL'!$A$1:$A$16,0),6),0)),0)</f>
        <v>0</v>
      </c>
      <c r="V934" s="81" cm="1">
        <f t="array" ref="V934">INDEX('Weight tables'!$A$24:$C$27,MATCH(1,(RendicontiTrasmessiBL__2[[#This Row],[Cut percentage on real costs + USC]]&gt;='Weight tables'!$B$24:$B$27)*(RendicontiTrasmessiBL__2[[#This Row],[Cut percentage on real costs + USC]]&lt;='Weight tables'!$C$24:$C$27),0),1)</f>
        <v>0</v>
      </c>
      <c r="W934" s="2">
        <f>RendicontiTrasmessiBL__2[[#This Row],[Weight real costs  + USC ]]</f>
        <v>0</v>
      </c>
    </row>
    <row r="935" spans="1:23" x14ac:dyDescent="0.25">
      <c r="A935" s="1" t="s">
        <v>59</v>
      </c>
      <c r="B935" s="1" t="s">
        <v>49</v>
      </c>
      <c r="C935" s="2">
        <v>321</v>
      </c>
      <c r="D935" s="2">
        <v>164</v>
      </c>
      <c r="E935" s="1" t="s">
        <v>234</v>
      </c>
      <c r="F935">
        <v>40</v>
      </c>
      <c r="G935">
        <v>34299.61</v>
      </c>
      <c r="H935">
        <v>4198.3500000000004</v>
      </c>
      <c r="I935">
        <v>0</v>
      </c>
      <c r="J935">
        <v>4688.68</v>
      </c>
      <c r="K935">
        <v>0</v>
      </c>
      <c r="L935">
        <v>0</v>
      </c>
      <c r="M935">
        <v>8887.0300000000007</v>
      </c>
      <c r="N935">
        <v>25.91</v>
      </c>
      <c r="O935">
        <v>25412.58</v>
      </c>
      <c r="P935">
        <v>0</v>
      </c>
      <c r="Q935" t="str">
        <f>INDEX('Partner data'!A:DH,MATCH(C935,'Partner data'!DG:DG,0),83)</f>
        <v>Soggetto pubblico</v>
      </c>
      <c r="R935" t="b">
        <f>IF(E935="staff",IF(INDEX('Partner data'!A:DH,MATCH(C935,'Partner data'!DG:DG,0),112)="BL1 non presente","FALSO",INDEX('Partner data'!A:DH,MATCH(C935,'Partner data'!DG:DG,0),112)))</f>
        <v>0</v>
      </c>
      <c r="S935" t="b">
        <f t="shared" si="28"/>
        <v>1</v>
      </c>
      <c r="T935" t="b">
        <f t="shared" si="29"/>
        <v>1</v>
      </c>
      <c r="U935" s="154">
        <f>IFERROR(IF(R935&lt;&gt;FALSE,IF(S935=TRUE,INDEX('SummaryNOT_VALIDATED-BL'!$A$1:$F$16,MATCH(R935,'SummaryNOT_VALIDATED-BL'!$A$1:$A$16,0),6),0),IF(S935=TRUE,INDEX('SummaryNOT_VALIDATED-BL'!$A$1:$F$16,MATCH(E935,'SummaryNOT_VALIDATED-BL'!$A$1:$A$16,0),6),0)),0)</f>
        <v>8.7645339819521315E-2</v>
      </c>
      <c r="V935" s="81" cm="1">
        <f t="array" ref="V935">INDEX('Weight tables'!$A$24:$C$27,MATCH(1,(RendicontiTrasmessiBL__2[[#This Row],[Cut percentage on real costs + USC]]&gt;='Weight tables'!$B$24:$B$27)*(RendicontiTrasmessiBL__2[[#This Row],[Cut percentage on real costs + USC]]&lt;='Weight tables'!$C$24:$C$27),0),1)</f>
        <v>4</v>
      </c>
      <c r="W935" s="2">
        <f>RendicontiTrasmessiBL__2[[#This Row],[Weight real costs  + USC ]]</f>
        <v>4</v>
      </c>
    </row>
    <row r="936" spans="1:23" x14ac:dyDescent="0.25">
      <c r="A936" s="1" t="s">
        <v>59</v>
      </c>
      <c r="B936" s="1" t="s">
        <v>49</v>
      </c>
      <c r="C936" s="2">
        <v>321</v>
      </c>
      <c r="D936" s="2">
        <v>164</v>
      </c>
      <c r="E936" s="1" t="s">
        <v>236</v>
      </c>
      <c r="G936">
        <v>0</v>
      </c>
      <c r="H936">
        <v>0</v>
      </c>
      <c r="I936">
        <v>0</v>
      </c>
      <c r="J936">
        <v>0</v>
      </c>
      <c r="K936">
        <v>0</v>
      </c>
      <c r="L936">
        <v>0</v>
      </c>
      <c r="M936">
        <v>0</v>
      </c>
      <c r="N936">
        <v>0</v>
      </c>
      <c r="O936">
        <v>0</v>
      </c>
      <c r="P936">
        <v>0</v>
      </c>
      <c r="Q936" t="str">
        <f>INDEX('Partner data'!A:DH,MATCH(C936,'Partner data'!DG:DG,0),83)</f>
        <v>Soggetto pubblico</v>
      </c>
      <c r="R936" t="b">
        <f>IF(E936="staff",IF(INDEX('Partner data'!A:DH,MATCH(C936,'Partner data'!DG:DG,0),112)="BL1 non presente","FALSO",INDEX('Partner data'!A:DH,MATCH(C936,'Partner data'!DG:DG,0),112)))</f>
        <v>0</v>
      </c>
      <c r="S936" t="b">
        <f t="shared" si="28"/>
        <v>0</v>
      </c>
      <c r="T936" t="b">
        <f t="shared" si="29"/>
        <v>1</v>
      </c>
      <c r="U936" s="154">
        <f>IFERROR(IF(R936&lt;&gt;FALSE,IF(S936=TRUE,INDEX('SummaryNOT_VALIDATED-BL'!$A$1:$F$16,MATCH(R936,'SummaryNOT_VALIDATED-BL'!$A$1:$A$16,0),6),0),IF(S936=TRUE,INDEX('SummaryNOT_VALIDATED-BL'!$A$1:$F$16,MATCH(E936,'SummaryNOT_VALIDATED-BL'!$A$1:$A$16,0),6),0)),0)</f>
        <v>0</v>
      </c>
      <c r="V936" s="81" cm="1">
        <f t="array" ref="V936">INDEX('Weight tables'!$A$24:$C$27,MATCH(1,(RendicontiTrasmessiBL__2[[#This Row],[Cut percentage on real costs + USC]]&gt;='Weight tables'!$B$24:$B$27)*(RendicontiTrasmessiBL__2[[#This Row],[Cut percentage on real costs + USC]]&lt;='Weight tables'!$C$24:$C$27),0),1)</f>
        <v>0</v>
      </c>
      <c r="W936" s="2">
        <f>RendicontiTrasmessiBL__2[[#This Row],[Weight real costs  + USC ]]</f>
        <v>0</v>
      </c>
    </row>
    <row r="937" spans="1:23" x14ac:dyDescent="0.25">
      <c r="A937" s="1" t="s">
        <v>59</v>
      </c>
      <c r="B937" s="1" t="s">
        <v>49</v>
      </c>
      <c r="C937" s="2">
        <v>321</v>
      </c>
      <c r="D937" s="2">
        <v>164</v>
      </c>
      <c r="E937" s="1" t="s">
        <v>237</v>
      </c>
      <c r="G937">
        <v>0</v>
      </c>
      <c r="H937">
        <v>0</v>
      </c>
      <c r="I937">
        <v>0</v>
      </c>
      <c r="J937">
        <v>0</v>
      </c>
      <c r="K937">
        <v>0</v>
      </c>
      <c r="L937">
        <v>0</v>
      </c>
      <c r="M937">
        <v>0</v>
      </c>
      <c r="N937">
        <v>0</v>
      </c>
      <c r="O937">
        <v>0</v>
      </c>
      <c r="P937">
        <v>0</v>
      </c>
      <c r="Q937" t="str">
        <f>INDEX('Partner data'!A:DH,MATCH(C937,'Partner data'!DG:DG,0),83)</f>
        <v>Soggetto pubblico</v>
      </c>
      <c r="R937" t="b">
        <f>IF(E937="staff",IF(INDEX('Partner data'!A:DH,MATCH(C937,'Partner data'!DG:DG,0),112)="BL1 non presente","FALSO",INDEX('Partner data'!A:DH,MATCH(C937,'Partner data'!DG:DG,0),112)))</f>
        <v>0</v>
      </c>
      <c r="S937" t="b">
        <f t="shared" si="28"/>
        <v>0</v>
      </c>
      <c r="T937" t="b">
        <f t="shared" si="29"/>
        <v>1</v>
      </c>
      <c r="U937" s="154">
        <f>IFERROR(IF(R937&lt;&gt;FALSE,IF(S937=TRUE,INDEX('SummaryNOT_VALIDATED-BL'!$A$1:$F$16,MATCH(R937,'SummaryNOT_VALIDATED-BL'!$A$1:$A$16,0),6),0),IF(S937=TRUE,INDEX('SummaryNOT_VALIDATED-BL'!$A$1:$F$16,MATCH(E937,'SummaryNOT_VALIDATED-BL'!$A$1:$A$16,0),6),0)),0)</f>
        <v>0</v>
      </c>
      <c r="V937" s="81" cm="1">
        <f t="array" ref="V937">INDEX('Weight tables'!$A$24:$C$27,MATCH(1,(RendicontiTrasmessiBL__2[[#This Row],[Cut percentage on real costs + USC]]&gt;='Weight tables'!$B$24:$B$27)*(RendicontiTrasmessiBL__2[[#This Row],[Cut percentage on real costs + USC]]&lt;='Weight tables'!$C$24:$C$27),0),1)</f>
        <v>0</v>
      </c>
      <c r="W937" s="2">
        <f>RendicontiTrasmessiBL__2[[#This Row],[Weight real costs  + USC ]]</f>
        <v>0</v>
      </c>
    </row>
    <row r="938" spans="1:23" x14ac:dyDescent="0.25">
      <c r="A938" s="1" t="s">
        <v>59</v>
      </c>
      <c r="B938" s="1" t="s">
        <v>49</v>
      </c>
      <c r="C938" s="2">
        <v>321</v>
      </c>
      <c r="D938" s="2">
        <v>69</v>
      </c>
      <c r="E938" s="1" t="s">
        <v>228</v>
      </c>
      <c r="G938">
        <v>85749.04</v>
      </c>
      <c r="H938">
        <v>0</v>
      </c>
      <c r="I938">
        <v>0</v>
      </c>
      <c r="J938">
        <v>10495.88</v>
      </c>
      <c r="K938">
        <v>0</v>
      </c>
      <c r="L938">
        <v>1826.8</v>
      </c>
      <c r="M938">
        <v>10495.88</v>
      </c>
      <c r="N938">
        <v>12.24</v>
      </c>
      <c r="O938">
        <v>75253.16</v>
      </c>
      <c r="P938">
        <v>0</v>
      </c>
      <c r="Q938" t="str">
        <f>INDEX('Partner data'!A:DH,MATCH(C938,'Partner data'!DG:DG,0),83)</f>
        <v>Soggetto pubblico</v>
      </c>
      <c r="R938" t="str">
        <f>IF(E938="staff",IF(INDEX('Partner data'!A:DH,MATCH(C938,'Partner data'!DG:DG,0),112)="BL1 non presente","FALSO",INDEX('Partner data'!A:DH,MATCH(C938,'Partner data'!DG:DG,0),112)))</f>
        <v>COSTO REALE</v>
      </c>
      <c r="S938" t="b">
        <f t="shared" si="28"/>
        <v>1</v>
      </c>
      <c r="T938" t="b">
        <f t="shared" si="29"/>
        <v>1</v>
      </c>
      <c r="U938" s="154">
        <f>IFERROR(IF(R938&lt;&gt;FALSE,IF(S938=TRUE,INDEX('SummaryNOT_VALIDATED-BL'!$A$1:$F$16,MATCH(R938,'SummaryNOT_VALIDATED-BL'!$A$1:$A$16,0),6),0),IF(S938=TRUE,INDEX('SummaryNOT_VALIDATED-BL'!$A$1:$F$16,MATCH(E938,'SummaryNOT_VALIDATED-BL'!$A$1:$A$16,0),6),0)),0)</f>
        <v>9.1604133276901048E-2</v>
      </c>
      <c r="V938" s="81" cm="1">
        <f t="array" ref="V938">INDEX('Weight tables'!$A$24:$C$27,MATCH(1,(RendicontiTrasmessiBL__2[[#This Row],[Cut percentage on real costs + USC]]&gt;='Weight tables'!$B$24:$B$27)*(RendicontiTrasmessiBL__2[[#This Row],[Cut percentage on real costs + USC]]&lt;='Weight tables'!$C$24:$C$27),0),1)</f>
        <v>4</v>
      </c>
      <c r="W938" s="2">
        <f>RendicontiTrasmessiBL__2[[#This Row],[Weight real costs  + USC ]]</f>
        <v>4</v>
      </c>
    </row>
    <row r="939" spans="1:23" x14ac:dyDescent="0.25">
      <c r="A939" s="1" t="s">
        <v>59</v>
      </c>
      <c r="B939" s="1" t="s">
        <v>49</v>
      </c>
      <c r="C939" s="2">
        <v>321</v>
      </c>
      <c r="D939" s="2">
        <v>69</v>
      </c>
      <c r="E939" s="1" t="s">
        <v>229</v>
      </c>
      <c r="G939">
        <v>0</v>
      </c>
      <c r="H939">
        <v>0</v>
      </c>
      <c r="I939">
        <v>0</v>
      </c>
      <c r="J939">
        <v>0</v>
      </c>
      <c r="K939">
        <v>0</v>
      </c>
      <c r="L939">
        <v>0</v>
      </c>
      <c r="M939">
        <v>0</v>
      </c>
      <c r="N939">
        <v>0</v>
      </c>
      <c r="O939">
        <v>0</v>
      </c>
      <c r="P939">
        <v>0</v>
      </c>
      <c r="Q939" t="str">
        <f>INDEX('Partner data'!A:DH,MATCH(C939,'Partner data'!DG:DG,0),83)</f>
        <v>Soggetto pubblico</v>
      </c>
      <c r="R939" t="b">
        <f>IF(E939="staff",IF(INDEX('Partner data'!A:DH,MATCH(C939,'Partner data'!DG:DG,0),112)="BL1 non presente","FALSO",INDEX('Partner data'!A:DH,MATCH(C939,'Partner data'!DG:DG,0),112)))</f>
        <v>0</v>
      </c>
      <c r="S939" t="b">
        <f t="shared" si="28"/>
        <v>0</v>
      </c>
      <c r="T939" t="b">
        <f t="shared" si="29"/>
        <v>1</v>
      </c>
      <c r="U939" s="154">
        <f>IFERROR(IF(R939&lt;&gt;FALSE,IF(S939=TRUE,INDEX('SummaryNOT_VALIDATED-BL'!$A$1:$F$16,MATCH(R939,'SummaryNOT_VALIDATED-BL'!$A$1:$A$16,0),6),0),IF(S939=TRUE,INDEX('SummaryNOT_VALIDATED-BL'!$A$1:$F$16,MATCH(E939,'SummaryNOT_VALIDATED-BL'!$A$1:$A$16,0),6),0)),0)</f>
        <v>0</v>
      </c>
      <c r="V939" s="81" cm="1">
        <f t="array" ref="V939">INDEX('Weight tables'!$A$24:$C$27,MATCH(1,(RendicontiTrasmessiBL__2[[#This Row],[Cut percentage on real costs + USC]]&gt;='Weight tables'!$B$24:$B$27)*(RendicontiTrasmessiBL__2[[#This Row],[Cut percentage on real costs + USC]]&lt;='Weight tables'!$C$24:$C$27),0),1)</f>
        <v>0</v>
      </c>
      <c r="W939" s="2">
        <f>RendicontiTrasmessiBL__2[[#This Row],[Weight real costs  + USC ]]</f>
        <v>0</v>
      </c>
    </row>
    <row r="940" spans="1:23" x14ac:dyDescent="0.25">
      <c r="A940" s="1" t="s">
        <v>59</v>
      </c>
      <c r="B940" s="1" t="s">
        <v>49</v>
      </c>
      <c r="C940" s="2">
        <v>321</v>
      </c>
      <c r="D940" s="2">
        <v>69</v>
      </c>
      <c r="E940" s="1" t="s">
        <v>230</v>
      </c>
      <c r="G940">
        <v>0</v>
      </c>
      <c r="H940">
        <v>0</v>
      </c>
      <c r="I940">
        <v>0</v>
      </c>
      <c r="J940">
        <v>0</v>
      </c>
      <c r="K940">
        <v>0</v>
      </c>
      <c r="L940">
        <v>0</v>
      </c>
      <c r="M940">
        <v>0</v>
      </c>
      <c r="N940">
        <v>0</v>
      </c>
      <c r="O940">
        <v>0</v>
      </c>
      <c r="P940">
        <v>0</v>
      </c>
      <c r="Q940" t="str">
        <f>INDEX('Partner data'!A:DH,MATCH(C940,'Partner data'!DG:DG,0),83)</f>
        <v>Soggetto pubblico</v>
      </c>
      <c r="R940" t="b">
        <f>IF(E940="staff",IF(INDEX('Partner data'!A:DH,MATCH(C940,'Partner data'!DG:DG,0),112)="BL1 non presente","FALSO",INDEX('Partner data'!A:DH,MATCH(C940,'Partner data'!DG:DG,0),112)))</f>
        <v>0</v>
      </c>
      <c r="S940" t="b">
        <f t="shared" si="28"/>
        <v>0</v>
      </c>
      <c r="T940" t="b">
        <f t="shared" si="29"/>
        <v>1</v>
      </c>
      <c r="U940" s="154">
        <f>IFERROR(IF(R940&lt;&gt;FALSE,IF(S940=TRUE,INDEX('SummaryNOT_VALIDATED-BL'!$A$1:$F$16,MATCH(R940,'SummaryNOT_VALIDATED-BL'!$A$1:$A$16,0),6),0),IF(S940=TRUE,INDEX('SummaryNOT_VALIDATED-BL'!$A$1:$F$16,MATCH(E940,'SummaryNOT_VALIDATED-BL'!$A$1:$A$16,0),6),0)),0)</f>
        <v>0</v>
      </c>
      <c r="V940" s="81" cm="1">
        <f t="array" ref="V940">INDEX('Weight tables'!$A$24:$C$27,MATCH(1,(RendicontiTrasmessiBL__2[[#This Row],[Cut percentage on real costs + USC]]&gt;='Weight tables'!$B$24:$B$27)*(RendicontiTrasmessiBL__2[[#This Row],[Cut percentage on real costs + USC]]&lt;='Weight tables'!$C$24:$C$27),0),1)</f>
        <v>0</v>
      </c>
      <c r="W940" s="2">
        <f>RendicontiTrasmessiBL__2[[#This Row],[Weight real costs  + USC ]]</f>
        <v>0</v>
      </c>
    </row>
    <row r="941" spans="1:23" x14ac:dyDescent="0.25">
      <c r="A941" s="1" t="s">
        <v>59</v>
      </c>
      <c r="B941" s="1" t="s">
        <v>49</v>
      </c>
      <c r="C941" s="2">
        <v>321</v>
      </c>
      <c r="D941" s="2">
        <v>69</v>
      </c>
      <c r="E941" s="1" t="s">
        <v>231</v>
      </c>
      <c r="G941">
        <v>0</v>
      </c>
      <c r="H941">
        <v>0</v>
      </c>
      <c r="I941">
        <v>0</v>
      </c>
      <c r="J941">
        <v>0</v>
      </c>
      <c r="K941">
        <v>0</v>
      </c>
      <c r="L941">
        <v>0</v>
      </c>
      <c r="M941">
        <v>0</v>
      </c>
      <c r="N941">
        <v>0</v>
      </c>
      <c r="O941">
        <v>0</v>
      </c>
      <c r="P941">
        <v>0</v>
      </c>
      <c r="Q941" t="str">
        <f>INDEX('Partner data'!A:DH,MATCH(C941,'Partner data'!DG:DG,0),83)</f>
        <v>Soggetto pubblico</v>
      </c>
      <c r="R941" t="b">
        <f>IF(E941="staff",IF(INDEX('Partner data'!A:DH,MATCH(C941,'Partner data'!DG:DG,0),112)="BL1 non presente","FALSO",INDEX('Partner data'!A:DH,MATCH(C941,'Partner data'!DG:DG,0),112)))</f>
        <v>0</v>
      </c>
      <c r="S941" t="b">
        <f t="shared" si="28"/>
        <v>0</v>
      </c>
      <c r="T941" t="b">
        <f t="shared" si="29"/>
        <v>1</v>
      </c>
      <c r="U941" s="154">
        <f>IFERROR(IF(R941&lt;&gt;FALSE,IF(S941=TRUE,INDEX('SummaryNOT_VALIDATED-BL'!$A$1:$F$16,MATCH(R941,'SummaryNOT_VALIDATED-BL'!$A$1:$A$16,0),6),0),IF(S941=TRUE,INDEX('SummaryNOT_VALIDATED-BL'!$A$1:$F$16,MATCH(E941,'SummaryNOT_VALIDATED-BL'!$A$1:$A$16,0),6),0)),0)</f>
        <v>0</v>
      </c>
      <c r="V941" s="81" cm="1">
        <f t="array" ref="V941">INDEX('Weight tables'!$A$24:$C$27,MATCH(1,(RendicontiTrasmessiBL__2[[#This Row],[Cut percentage on real costs + USC]]&gt;='Weight tables'!$B$24:$B$27)*(RendicontiTrasmessiBL__2[[#This Row],[Cut percentage on real costs + USC]]&lt;='Weight tables'!$C$24:$C$27),0),1)</f>
        <v>0</v>
      </c>
      <c r="W941" s="2">
        <f>RendicontiTrasmessiBL__2[[#This Row],[Weight real costs  + USC ]]</f>
        <v>0</v>
      </c>
    </row>
    <row r="942" spans="1:23" x14ac:dyDescent="0.25">
      <c r="A942" s="1" t="s">
        <v>59</v>
      </c>
      <c r="B942" s="1" t="s">
        <v>49</v>
      </c>
      <c r="C942" s="2">
        <v>321</v>
      </c>
      <c r="D942" s="2">
        <v>69</v>
      </c>
      <c r="E942" s="1" t="s">
        <v>232</v>
      </c>
      <c r="G942">
        <v>0</v>
      </c>
      <c r="H942">
        <v>0</v>
      </c>
      <c r="I942">
        <v>0</v>
      </c>
      <c r="J942">
        <v>0</v>
      </c>
      <c r="K942">
        <v>0</v>
      </c>
      <c r="L942">
        <v>0</v>
      </c>
      <c r="M942">
        <v>0</v>
      </c>
      <c r="N942">
        <v>0</v>
      </c>
      <c r="O942">
        <v>0</v>
      </c>
      <c r="P942">
        <v>0</v>
      </c>
      <c r="Q942" t="str">
        <f>INDEX('Partner data'!A:DH,MATCH(C942,'Partner data'!DG:DG,0),83)</f>
        <v>Soggetto pubblico</v>
      </c>
      <c r="R942" t="b">
        <f>IF(E942="staff",IF(INDEX('Partner data'!A:DH,MATCH(C942,'Partner data'!DG:DG,0),112)="BL1 non presente","FALSO",INDEX('Partner data'!A:DH,MATCH(C942,'Partner data'!DG:DG,0),112)))</f>
        <v>0</v>
      </c>
      <c r="S942" t="b">
        <f t="shared" si="28"/>
        <v>0</v>
      </c>
      <c r="T942" t="b">
        <f t="shared" si="29"/>
        <v>1</v>
      </c>
      <c r="U942" s="154">
        <f>IFERROR(IF(R942&lt;&gt;FALSE,IF(S942=TRUE,INDEX('SummaryNOT_VALIDATED-BL'!$A$1:$F$16,MATCH(R942,'SummaryNOT_VALIDATED-BL'!$A$1:$A$16,0),6),0),IF(S942=TRUE,INDEX('SummaryNOT_VALIDATED-BL'!$A$1:$F$16,MATCH(E942,'SummaryNOT_VALIDATED-BL'!$A$1:$A$16,0),6),0)),0)</f>
        <v>0</v>
      </c>
      <c r="V942" s="81" cm="1">
        <f t="array" ref="V942">INDEX('Weight tables'!$A$24:$C$27,MATCH(1,(RendicontiTrasmessiBL__2[[#This Row],[Cut percentage on real costs + USC]]&gt;='Weight tables'!$B$24:$B$27)*(RendicontiTrasmessiBL__2[[#This Row],[Cut percentage on real costs + USC]]&lt;='Weight tables'!$C$24:$C$27),0),1)</f>
        <v>0</v>
      </c>
      <c r="W942" s="2">
        <f>RendicontiTrasmessiBL__2[[#This Row],[Weight real costs  + USC ]]</f>
        <v>0</v>
      </c>
    </row>
    <row r="943" spans="1:23" x14ac:dyDescent="0.25">
      <c r="A943" s="1" t="s">
        <v>59</v>
      </c>
      <c r="B943" s="1" t="s">
        <v>49</v>
      </c>
      <c r="C943" s="2">
        <v>321</v>
      </c>
      <c r="D943" s="2">
        <v>69</v>
      </c>
      <c r="E943" s="1" t="s">
        <v>233</v>
      </c>
      <c r="G943">
        <v>0</v>
      </c>
      <c r="H943">
        <v>0</v>
      </c>
      <c r="I943">
        <v>0</v>
      </c>
      <c r="J943">
        <v>0</v>
      </c>
      <c r="K943">
        <v>0</v>
      </c>
      <c r="L943">
        <v>0</v>
      </c>
      <c r="M943">
        <v>0</v>
      </c>
      <c r="N943">
        <v>0</v>
      </c>
      <c r="O943">
        <v>0</v>
      </c>
      <c r="P943">
        <v>0</v>
      </c>
      <c r="Q943" t="str">
        <f>INDEX('Partner data'!A:DH,MATCH(C943,'Partner data'!DG:DG,0),83)</f>
        <v>Soggetto pubblico</v>
      </c>
      <c r="R943" t="b">
        <f>IF(E943="staff",IF(INDEX('Partner data'!A:DH,MATCH(C943,'Partner data'!DG:DG,0),112)="BL1 non presente","FALSO",INDEX('Partner data'!A:DH,MATCH(C943,'Partner data'!DG:DG,0),112)))</f>
        <v>0</v>
      </c>
      <c r="S943" t="b">
        <f t="shared" si="28"/>
        <v>0</v>
      </c>
      <c r="T943" t="b">
        <f t="shared" si="29"/>
        <v>1</v>
      </c>
      <c r="U943" s="154">
        <f>IFERROR(IF(R943&lt;&gt;FALSE,IF(S943=TRUE,INDEX('SummaryNOT_VALIDATED-BL'!$A$1:$F$16,MATCH(R943,'SummaryNOT_VALIDATED-BL'!$A$1:$A$16,0),6),0),IF(S943=TRUE,INDEX('SummaryNOT_VALIDATED-BL'!$A$1:$F$16,MATCH(E943,'SummaryNOT_VALIDATED-BL'!$A$1:$A$16,0),6),0)),0)</f>
        <v>0</v>
      </c>
      <c r="V943" s="81" cm="1">
        <f t="array" ref="V943">INDEX('Weight tables'!$A$24:$C$27,MATCH(1,(RendicontiTrasmessiBL__2[[#This Row],[Cut percentage on real costs + USC]]&gt;='Weight tables'!$B$24:$B$27)*(RendicontiTrasmessiBL__2[[#This Row],[Cut percentage on real costs + USC]]&lt;='Weight tables'!$C$24:$C$27),0),1)</f>
        <v>0</v>
      </c>
      <c r="W943" s="2">
        <f>RendicontiTrasmessiBL__2[[#This Row],[Weight real costs  + USC ]]</f>
        <v>0</v>
      </c>
    </row>
    <row r="944" spans="1:23" x14ac:dyDescent="0.25">
      <c r="A944" s="1" t="s">
        <v>59</v>
      </c>
      <c r="B944" s="1" t="s">
        <v>49</v>
      </c>
      <c r="C944" s="2">
        <v>321</v>
      </c>
      <c r="D944" s="2">
        <v>69</v>
      </c>
      <c r="E944" s="1" t="s">
        <v>234</v>
      </c>
      <c r="F944">
        <v>40</v>
      </c>
      <c r="G944">
        <v>34299.61</v>
      </c>
      <c r="H944">
        <v>0</v>
      </c>
      <c r="I944">
        <v>0</v>
      </c>
      <c r="J944">
        <v>4198.3500000000004</v>
      </c>
      <c r="K944">
        <v>0</v>
      </c>
      <c r="L944">
        <v>730.72</v>
      </c>
      <c r="M944">
        <v>4198.3500000000004</v>
      </c>
      <c r="N944">
        <v>12.24</v>
      </c>
      <c r="O944">
        <v>30101.26</v>
      </c>
      <c r="P944">
        <v>0</v>
      </c>
      <c r="Q944" t="str">
        <f>INDEX('Partner data'!A:DH,MATCH(C944,'Partner data'!DG:DG,0),83)</f>
        <v>Soggetto pubblico</v>
      </c>
      <c r="R944" t="b">
        <f>IF(E944="staff",IF(INDEX('Partner data'!A:DH,MATCH(C944,'Partner data'!DG:DG,0),112)="BL1 non presente","FALSO",INDEX('Partner data'!A:DH,MATCH(C944,'Partner data'!DG:DG,0),112)))</f>
        <v>0</v>
      </c>
      <c r="S944" t="b">
        <f t="shared" si="28"/>
        <v>1</v>
      </c>
      <c r="T944" t="b">
        <f t="shared" si="29"/>
        <v>1</v>
      </c>
      <c r="U944" s="154">
        <f>IFERROR(IF(R944&lt;&gt;FALSE,IF(S944=TRUE,INDEX('SummaryNOT_VALIDATED-BL'!$A$1:$F$16,MATCH(R944,'SummaryNOT_VALIDATED-BL'!$A$1:$A$16,0),6),0),IF(S944=TRUE,INDEX('SummaryNOT_VALIDATED-BL'!$A$1:$F$16,MATCH(E944,'SummaryNOT_VALIDATED-BL'!$A$1:$A$16,0),6),0)),0)</f>
        <v>8.7645339819521315E-2</v>
      </c>
      <c r="V944" s="81" cm="1">
        <f t="array" ref="V944">INDEX('Weight tables'!$A$24:$C$27,MATCH(1,(RendicontiTrasmessiBL__2[[#This Row],[Cut percentage on real costs + USC]]&gt;='Weight tables'!$B$24:$B$27)*(RendicontiTrasmessiBL__2[[#This Row],[Cut percentage on real costs + USC]]&lt;='Weight tables'!$C$24:$C$27),0),1)</f>
        <v>4</v>
      </c>
      <c r="W944" s="2">
        <f>RendicontiTrasmessiBL__2[[#This Row],[Weight real costs  + USC ]]</f>
        <v>4</v>
      </c>
    </row>
    <row r="945" spans="1:23" x14ac:dyDescent="0.25">
      <c r="A945" s="1" t="s">
        <v>59</v>
      </c>
      <c r="B945" s="1" t="s">
        <v>49</v>
      </c>
      <c r="C945" s="2">
        <v>321</v>
      </c>
      <c r="D945" s="2">
        <v>69</v>
      </c>
      <c r="E945" s="1" t="s">
        <v>236</v>
      </c>
      <c r="G945">
        <v>0</v>
      </c>
      <c r="H945">
        <v>0</v>
      </c>
      <c r="I945">
        <v>0</v>
      </c>
      <c r="J945">
        <v>0</v>
      </c>
      <c r="K945">
        <v>0</v>
      </c>
      <c r="L945">
        <v>0</v>
      </c>
      <c r="M945">
        <v>0</v>
      </c>
      <c r="N945">
        <v>0</v>
      </c>
      <c r="O945">
        <v>0</v>
      </c>
      <c r="P945">
        <v>0</v>
      </c>
      <c r="Q945" t="str">
        <f>INDEX('Partner data'!A:DH,MATCH(C945,'Partner data'!DG:DG,0),83)</f>
        <v>Soggetto pubblico</v>
      </c>
      <c r="R945" t="b">
        <f>IF(E945="staff",IF(INDEX('Partner data'!A:DH,MATCH(C945,'Partner data'!DG:DG,0),112)="BL1 non presente","FALSO",INDEX('Partner data'!A:DH,MATCH(C945,'Partner data'!DG:DG,0),112)))</f>
        <v>0</v>
      </c>
      <c r="S945" t="b">
        <f t="shared" si="28"/>
        <v>0</v>
      </c>
      <c r="T945" t="b">
        <f t="shared" si="29"/>
        <v>1</v>
      </c>
      <c r="U945" s="154">
        <f>IFERROR(IF(R945&lt;&gt;FALSE,IF(S945=TRUE,INDEX('SummaryNOT_VALIDATED-BL'!$A$1:$F$16,MATCH(R945,'SummaryNOT_VALIDATED-BL'!$A$1:$A$16,0),6),0),IF(S945=TRUE,INDEX('SummaryNOT_VALIDATED-BL'!$A$1:$F$16,MATCH(E945,'SummaryNOT_VALIDATED-BL'!$A$1:$A$16,0),6),0)),0)</f>
        <v>0</v>
      </c>
      <c r="V945" s="81" cm="1">
        <f t="array" ref="V945">INDEX('Weight tables'!$A$24:$C$27,MATCH(1,(RendicontiTrasmessiBL__2[[#This Row],[Cut percentage on real costs + USC]]&gt;='Weight tables'!$B$24:$B$27)*(RendicontiTrasmessiBL__2[[#This Row],[Cut percentage on real costs + USC]]&lt;='Weight tables'!$C$24:$C$27),0),1)</f>
        <v>0</v>
      </c>
      <c r="W945" s="2">
        <f>RendicontiTrasmessiBL__2[[#This Row],[Weight real costs  + USC ]]</f>
        <v>0</v>
      </c>
    </row>
    <row r="946" spans="1:23" x14ac:dyDescent="0.25">
      <c r="A946" s="1" t="s">
        <v>59</v>
      </c>
      <c r="B946" s="1" t="s">
        <v>49</v>
      </c>
      <c r="C946" s="2">
        <v>321</v>
      </c>
      <c r="D946" s="2">
        <v>69</v>
      </c>
      <c r="E946" s="1" t="s">
        <v>237</v>
      </c>
      <c r="G946">
        <v>0</v>
      </c>
      <c r="H946">
        <v>0</v>
      </c>
      <c r="I946">
        <v>0</v>
      </c>
      <c r="J946">
        <v>0</v>
      </c>
      <c r="K946">
        <v>0</v>
      </c>
      <c r="L946">
        <v>0</v>
      </c>
      <c r="M946">
        <v>0</v>
      </c>
      <c r="N946">
        <v>0</v>
      </c>
      <c r="O946">
        <v>0</v>
      </c>
      <c r="P946">
        <v>0</v>
      </c>
      <c r="Q946" t="str">
        <f>INDEX('Partner data'!A:DH,MATCH(C946,'Partner data'!DG:DG,0),83)</f>
        <v>Soggetto pubblico</v>
      </c>
      <c r="R946" t="b">
        <f>IF(E946="staff",IF(INDEX('Partner data'!A:DH,MATCH(C946,'Partner data'!DG:DG,0),112)="BL1 non presente","FALSO",INDEX('Partner data'!A:DH,MATCH(C946,'Partner data'!DG:DG,0),112)))</f>
        <v>0</v>
      </c>
      <c r="S946" t="b">
        <f t="shared" si="28"/>
        <v>0</v>
      </c>
      <c r="T946" t="b">
        <f t="shared" si="29"/>
        <v>1</v>
      </c>
      <c r="U946" s="154">
        <f>IFERROR(IF(R946&lt;&gt;FALSE,IF(S946=TRUE,INDEX('SummaryNOT_VALIDATED-BL'!$A$1:$F$16,MATCH(R946,'SummaryNOT_VALIDATED-BL'!$A$1:$A$16,0),6),0),IF(S946=TRUE,INDEX('SummaryNOT_VALIDATED-BL'!$A$1:$F$16,MATCH(E946,'SummaryNOT_VALIDATED-BL'!$A$1:$A$16,0),6),0)),0)</f>
        <v>0</v>
      </c>
      <c r="V946" s="81" cm="1">
        <f t="array" ref="V946">INDEX('Weight tables'!$A$24:$C$27,MATCH(1,(RendicontiTrasmessiBL__2[[#This Row],[Cut percentage on real costs + USC]]&gt;='Weight tables'!$B$24:$B$27)*(RendicontiTrasmessiBL__2[[#This Row],[Cut percentage on real costs + USC]]&lt;='Weight tables'!$C$24:$C$27),0),1)</f>
        <v>0</v>
      </c>
      <c r="W946" s="2">
        <f>RendicontiTrasmessiBL__2[[#This Row],[Weight real costs  + USC ]]</f>
        <v>0</v>
      </c>
    </row>
    <row r="947" spans="1:23" x14ac:dyDescent="0.25">
      <c r="A947" s="1" t="s">
        <v>59</v>
      </c>
      <c r="B947" s="1" t="s">
        <v>4547</v>
      </c>
      <c r="C947" s="2">
        <v>315</v>
      </c>
      <c r="D947" s="2">
        <v>109</v>
      </c>
      <c r="E947" s="1" t="s">
        <v>228</v>
      </c>
      <c r="G947">
        <v>0</v>
      </c>
      <c r="H947">
        <v>0</v>
      </c>
      <c r="I947">
        <v>0</v>
      </c>
      <c r="J947">
        <v>0</v>
      </c>
      <c r="K947">
        <v>0</v>
      </c>
      <c r="L947">
        <v>0</v>
      </c>
      <c r="M947">
        <v>0</v>
      </c>
      <c r="N947">
        <v>0</v>
      </c>
      <c r="O947">
        <v>0</v>
      </c>
      <c r="P947">
        <v>0</v>
      </c>
      <c r="Q947" t="str">
        <f>INDEX('Partner data'!A:DH,MATCH(C947,'Partner data'!DG:DG,0),83)</f>
        <v>Soggetto pubblico</v>
      </c>
      <c r="R947" t="str">
        <f>IF(E947="staff",IF(INDEX('Partner data'!A:DH,MATCH(C947,'Partner data'!DG:DG,0),112)="BL1 non presente","FALSO",INDEX('Partner data'!A:DH,MATCH(C947,'Partner data'!DG:DG,0),112)))</f>
        <v>FALSO</v>
      </c>
      <c r="S947" t="b">
        <f t="shared" si="28"/>
        <v>0</v>
      </c>
      <c r="T947" t="b">
        <f t="shared" si="29"/>
        <v>1</v>
      </c>
      <c r="U947" s="154">
        <f>IFERROR(IF(R947&lt;&gt;FALSE,IF(S947=TRUE,INDEX('SummaryNOT_VALIDATED-BL'!$A$1:$F$16,MATCH(R947,'SummaryNOT_VALIDATED-BL'!$A$1:$A$16,0),6),0),IF(S947=TRUE,INDEX('SummaryNOT_VALIDATED-BL'!$A$1:$F$16,MATCH(E947,'SummaryNOT_VALIDATED-BL'!$A$1:$A$16,0),6),0)),0)</f>
        <v>0</v>
      </c>
      <c r="V947" s="81" cm="1">
        <f t="array" ref="V947">INDEX('Weight tables'!$A$24:$C$27,MATCH(1,(RendicontiTrasmessiBL__2[[#This Row],[Cut percentage on real costs + USC]]&gt;='Weight tables'!$B$24:$B$27)*(RendicontiTrasmessiBL__2[[#This Row],[Cut percentage on real costs + USC]]&lt;='Weight tables'!$C$24:$C$27),0),1)</f>
        <v>0</v>
      </c>
      <c r="W947" s="2">
        <f>RendicontiTrasmessiBL__2[[#This Row],[Weight real costs  + USC ]]</f>
        <v>0</v>
      </c>
    </row>
    <row r="948" spans="1:23" x14ac:dyDescent="0.25">
      <c r="A948" s="1" t="s">
        <v>59</v>
      </c>
      <c r="B948" s="1" t="s">
        <v>4547</v>
      </c>
      <c r="C948" s="2">
        <v>315</v>
      </c>
      <c r="D948" s="2">
        <v>109</v>
      </c>
      <c r="E948" s="1" t="s">
        <v>229</v>
      </c>
      <c r="G948">
        <v>0</v>
      </c>
      <c r="H948">
        <v>0</v>
      </c>
      <c r="I948">
        <v>0</v>
      </c>
      <c r="J948">
        <v>0</v>
      </c>
      <c r="K948">
        <v>0</v>
      </c>
      <c r="L948">
        <v>0</v>
      </c>
      <c r="M948">
        <v>0</v>
      </c>
      <c r="N948">
        <v>0</v>
      </c>
      <c r="O948">
        <v>0</v>
      </c>
      <c r="P948">
        <v>0</v>
      </c>
      <c r="Q948" t="str">
        <f>INDEX('Partner data'!A:DH,MATCH(C948,'Partner data'!DG:DG,0),83)</f>
        <v>Soggetto pubblico</v>
      </c>
      <c r="R948" t="b">
        <f>IF(E948="staff",IF(INDEX('Partner data'!A:DH,MATCH(C948,'Partner data'!DG:DG,0),112)="BL1 non presente","FALSO",INDEX('Partner data'!A:DH,MATCH(C948,'Partner data'!DG:DG,0),112)))</f>
        <v>0</v>
      </c>
      <c r="S948" t="b">
        <f t="shared" si="28"/>
        <v>0</v>
      </c>
      <c r="T948" t="b">
        <f t="shared" si="29"/>
        <v>1</v>
      </c>
      <c r="U948" s="154">
        <f>IFERROR(IF(R948&lt;&gt;FALSE,IF(S948=TRUE,INDEX('SummaryNOT_VALIDATED-BL'!$A$1:$F$16,MATCH(R948,'SummaryNOT_VALIDATED-BL'!$A$1:$A$16,0),6),0),IF(S948=TRUE,INDEX('SummaryNOT_VALIDATED-BL'!$A$1:$F$16,MATCH(E948,'SummaryNOT_VALIDATED-BL'!$A$1:$A$16,0),6),0)),0)</f>
        <v>0</v>
      </c>
      <c r="V948" s="81" cm="1">
        <f t="array" ref="V948">INDEX('Weight tables'!$A$24:$C$27,MATCH(1,(RendicontiTrasmessiBL__2[[#This Row],[Cut percentage on real costs + USC]]&gt;='Weight tables'!$B$24:$B$27)*(RendicontiTrasmessiBL__2[[#This Row],[Cut percentage on real costs + USC]]&lt;='Weight tables'!$C$24:$C$27),0),1)</f>
        <v>0</v>
      </c>
      <c r="W948" s="2">
        <f>RendicontiTrasmessiBL__2[[#This Row],[Weight real costs  + USC ]]</f>
        <v>0</v>
      </c>
    </row>
    <row r="949" spans="1:23" x14ac:dyDescent="0.25">
      <c r="A949" s="1" t="s">
        <v>59</v>
      </c>
      <c r="B949" s="1" t="s">
        <v>4547</v>
      </c>
      <c r="C949" s="2">
        <v>315</v>
      </c>
      <c r="D949" s="2">
        <v>109</v>
      </c>
      <c r="E949" s="1" t="s">
        <v>230</v>
      </c>
      <c r="G949">
        <v>0</v>
      </c>
      <c r="H949">
        <v>0</v>
      </c>
      <c r="I949">
        <v>0</v>
      </c>
      <c r="J949">
        <v>0</v>
      </c>
      <c r="K949">
        <v>0</v>
      </c>
      <c r="L949">
        <v>0</v>
      </c>
      <c r="M949">
        <v>0</v>
      </c>
      <c r="N949">
        <v>0</v>
      </c>
      <c r="O949">
        <v>0</v>
      </c>
      <c r="P949">
        <v>0</v>
      </c>
      <c r="Q949" t="str">
        <f>INDEX('Partner data'!A:DH,MATCH(C949,'Partner data'!DG:DG,0),83)</f>
        <v>Soggetto pubblico</v>
      </c>
      <c r="R949" t="b">
        <f>IF(E949="staff",IF(INDEX('Partner data'!A:DH,MATCH(C949,'Partner data'!DG:DG,0),112)="BL1 non presente","FALSO",INDEX('Partner data'!A:DH,MATCH(C949,'Partner data'!DG:DG,0),112)))</f>
        <v>0</v>
      </c>
      <c r="S949" t="b">
        <f t="shared" si="28"/>
        <v>0</v>
      </c>
      <c r="T949" t="b">
        <f t="shared" si="29"/>
        <v>1</v>
      </c>
      <c r="U949" s="154">
        <f>IFERROR(IF(R949&lt;&gt;FALSE,IF(S949=TRUE,INDEX('SummaryNOT_VALIDATED-BL'!$A$1:$F$16,MATCH(R949,'SummaryNOT_VALIDATED-BL'!$A$1:$A$16,0),6),0),IF(S949=TRUE,INDEX('SummaryNOT_VALIDATED-BL'!$A$1:$F$16,MATCH(E949,'SummaryNOT_VALIDATED-BL'!$A$1:$A$16,0),6),0)),0)</f>
        <v>0</v>
      </c>
      <c r="V949" s="81" cm="1">
        <f t="array" ref="V949">INDEX('Weight tables'!$A$24:$C$27,MATCH(1,(RendicontiTrasmessiBL__2[[#This Row],[Cut percentage on real costs + USC]]&gt;='Weight tables'!$B$24:$B$27)*(RendicontiTrasmessiBL__2[[#This Row],[Cut percentage on real costs + USC]]&lt;='Weight tables'!$C$24:$C$27),0),1)</f>
        <v>0</v>
      </c>
      <c r="W949" s="2">
        <f>RendicontiTrasmessiBL__2[[#This Row],[Weight real costs  + USC ]]</f>
        <v>0</v>
      </c>
    </row>
    <row r="950" spans="1:23" x14ac:dyDescent="0.25">
      <c r="A950" s="1" t="s">
        <v>59</v>
      </c>
      <c r="B950" s="1" t="s">
        <v>4547</v>
      </c>
      <c r="C950" s="2">
        <v>315</v>
      </c>
      <c r="D950" s="2">
        <v>109</v>
      </c>
      <c r="E950" s="1" t="s">
        <v>231</v>
      </c>
      <c r="G950">
        <v>24000</v>
      </c>
      <c r="H950">
        <v>0</v>
      </c>
      <c r="I950">
        <v>0</v>
      </c>
      <c r="J950">
        <v>0</v>
      </c>
      <c r="K950">
        <v>0</v>
      </c>
      <c r="L950">
        <v>0</v>
      </c>
      <c r="M950">
        <v>0</v>
      </c>
      <c r="N950">
        <v>0</v>
      </c>
      <c r="O950">
        <v>24000</v>
      </c>
      <c r="P950">
        <v>0</v>
      </c>
      <c r="Q950" t="str">
        <f>INDEX('Partner data'!A:DH,MATCH(C950,'Partner data'!DG:DG,0),83)</f>
        <v>Soggetto pubblico</v>
      </c>
      <c r="R950" t="b">
        <f>IF(E950="staff",IF(INDEX('Partner data'!A:DH,MATCH(C950,'Partner data'!DG:DG,0),112)="BL1 non presente","FALSO",INDEX('Partner data'!A:DH,MATCH(C950,'Partner data'!DG:DG,0),112)))</f>
        <v>0</v>
      </c>
      <c r="S950" t="b">
        <f t="shared" si="28"/>
        <v>0</v>
      </c>
      <c r="T950" t="b">
        <f t="shared" si="29"/>
        <v>1</v>
      </c>
      <c r="U950" s="154">
        <f>IFERROR(IF(R950&lt;&gt;FALSE,IF(S950=TRUE,INDEX('SummaryNOT_VALIDATED-BL'!$A$1:$F$16,MATCH(R950,'SummaryNOT_VALIDATED-BL'!$A$1:$A$16,0),6),0),IF(S950=TRUE,INDEX('SummaryNOT_VALIDATED-BL'!$A$1:$F$16,MATCH(E950,'SummaryNOT_VALIDATED-BL'!$A$1:$A$16,0),6),0)),0)</f>
        <v>0</v>
      </c>
      <c r="V950" s="81" cm="1">
        <f t="array" ref="V950">INDEX('Weight tables'!$A$24:$C$27,MATCH(1,(RendicontiTrasmessiBL__2[[#This Row],[Cut percentage on real costs + USC]]&gt;='Weight tables'!$B$24:$B$27)*(RendicontiTrasmessiBL__2[[#This Row],[Cut percentage on real costs + USC]]&lt;='Weight tables'!$C$24:$C$27),0),1)</f>
        <v>0</v>
      </c>
      <c r="W950" s="2">
        <f>RendicontiTrasmessiBL__2[[#This Row],[Weight real costs  + USC ]]</f>
        <v>0</v>
      </c>
    </row>
    <row r="951" spans="1:23" x14ac:dyDescent="0.25">
      <c r="A951" s="1" t="s">
        <v>59</v>
      </c>
      <c r="B951" s="1" t="s">
        <v>4547</v>
      </c>
      <c r="C951" s="2">
        <v>315</v>
      </c>
      <c r="D951" s="2">
        <v>109</v>
      </c>
      <c r="E951" s="1" t="s">
        <v>232</v>
      </c>
      <c r="G951">
        <v>100001</v>
      </c>
      <c r="H951">
        <v>0</v>
      </c>
      <c r="I951">
        <v>0</v>
      </c>
      <c r="J951">
        <v>0</v>
      </c>
      <c r="K951">
        <v>0</v>
      </c>
      <c r="L951">
        <v>0</v>
      </c>
      <c r="M951">
        <v>0</v>
      </c>
      <c r="N951">
        <v>0</v>
      </c>
      <c r="O951">
        <v>100001</v>
      </c>
      <c r="P951">
        <v>0</v>
      </c>
      <c r="Q951" t="str">
        <f>INDEX('Partner data'!A:DH,MATCH(C951,'Partner data'!DG:DG,0),83)</f>
        <v>Soggetto pubblico</v>
      </c>
      <c r="R951" t="b">
        <f>IF(E951="staff",IF(INDEX('Partner data'!A:DH,MATCH(C951,'Partner data'!DG:DG,0),112)="BL1 non presente","FALSO",INDEX('Partner data'!A:DH,MATCH(C951,'Partner data'!DG:DG,0),112)))</f>
        <v>0</v>
      </c>
      <c r="S951" t="b">
        <f t="shared" si="28"/>
        <v>0</v>
      </c>
      <c r="T951" t="b">
        <f t="shared" si="29"/>
        <v>1</v>
      </c>
      <c r="U951" s="154">
        <f>IFERROR(IF(R951&lt;&gt;FALSE,IF(S951=TRUE,INDEX('SummaryNOT_VALIDATED-BL'!$A$1:$F$16,MATCH(R951,'SummaryNOT_VALIDATED-BL'!$A$1:$A$16,0),6),0),IF(S951=TRUE,INDEX('SummaryNOT_VALIDATED-BL'!$A$1:$F$16,MATCH(E951,'SummaryNOT_VALIDATED-BL'!$A$1:$A$16,0),6),0)),0)</f>
        <v>0</v>
      </c>
      <c r="V951" s="81" cm="1">
        <f t="array" ref="V951">INDEX('Weight tables'!$A$24:$C$27,MATCH(1,(RendicontiTrasmessiBL__2[[#This Row],[Cut percentage on real costs + USC]]&gt;='Weight tables'!$B$24:$B$27)*(RendicontiTrasmessiBL__2[[#This Row],[Cut percentage on real costs + USC]]&lt;='Weight tables'!$C$24:$C$27),0),1)</f>
        <v>0</v>
      </c>
      <c r="W951" s="2">
        <f>RendicontiTrasmessiBL__2[[#This Row],[Weight real costs  + USC ]]</f>
        <v>0</v>
      </c>
    </row>
    <row r="952" spans="1:23" x14ac:dyDescent="0.25">
      <c r="A952" s="1" t="s">
        <v>59</v>
      </c>
      <c r="B952" s="1" t="s">
        <v>4547</v>
      </c>
      <c r="C952" s="2">
        <v>315</v>
      </c>
      <c r="D952" s="2">
        <v>109</v>
      </c>
      <c r="E952" s="1" t="s">
        <v>233</v>
      </c>
      <c r="G952">
        <v>576000</v>
      </c>
      <c r="H952">
        <v>0</v>
      </c>
      <c r="I952">
        <v>0</v>
      </c>
      <c r="J952">
        <v>0</v>
      </c>
      <c r="K952">
        <v>0</v>
      </c>
      <c r="L952">
        <v>0</v>
      </c>
      <c r="M952">
        <v>0</v>
      </c>
      <c r="N952">
        <v>0</v>
      </c>
      <c r="O952">
        <v>576000</v>
      </c>
      <c r="P952">
        <v>0</v>
      </c>
      <c r="Q952" t="str">
        <f>INDEX('Partner data'!A:DH,MATCH(C952,'Partner data'!DG:DG,0),83)</f>
        <v>Soggetto pubblico</v>
      </c>
      <c r="R952" t="b">
        <f>IF(E952="staff",IF(INDEX('Partner data'!A:DH,MATCH(C952,'Partner data'!DG:DG,0),112)="BL1 non presente","FALSO",INDEX('Partner data'!A:DH,MATCH(C952,'Partner data'!DG:DG,0),112)))</f>
        <v>0</v>
      </c>
      <c r="S952" t="b">
        <f t="shared" si="28"/>
        <v>0</v>
      </c>
      <c r="T952" t="b">
        <f t="shared" si="29"/>
        <v>1</v>
      </c>
      <c r="U952" s="154">
        <f>IFERROR(IF(R952&lt;&gt;FALSE,IF(S952=TRUE,INDEX('SummaryNOT_VALIDATED-BL'!$A$1:$F$16,MATCH(R952,'SummaryNOT_VALIDATED-BL'!$A$1:$A$16,0),6),0),IF(S952=TRUE,INDEX('SummaryNOT_VALIDATED-BL'!$A$1:$F$16,MATCH(E952,'SummaryNOT_VALIDATED-BL'!$A$1:$A$16,0),6),0)),0)</f>
        <v>0</v>
      </c>
      <c r="V952" s="81" cm="1">
        <f t="array" ref="V952">INDEX('Weight tables'!$A$24:$C$27,MATCH(1,(RendicontiTrasmessiBL__2[[#This Row],[Cut percentage on real costs + USC]]&gt;='Weight tables'!$B$24:$B$27)*(RendicontiTrasmessiBL__2[[#This Row],[Cut percentage on real costs + USC]]&lt;='Weight tables'!$C$24:$C$27),0),1)</f>
        <v>0</v>
      </c>
      <c r="W952" s="2">
        <f>RendicontiTrasmessiBL__2[[#This Row],[Weight real costs  + USC ]]</f>
        <v>0</v>
      </c>
    </row>
    <row r="953" spans="1:23" x14ac:dyDescent="0.25">
      <c r="A953" s="1" t="s">
        <v>59</v>
      </c>
      <c r="B953" s="1" t="s">
        <v>4547</v>
      </c>
      <c r="C953" s="2">
        <v>315</v>
      </c>
      <c r="D953" s="2">
        <v>109</v>
      </c>
      <c r="E953" s="1" t="s">
        <v>234</v>
      </c>
      <c r="G953">
        <v>0</v>
      </c>
      <c r="H953">
        <v>0</v>
      </c>
      <c r="I953">
        <v>0</v>
      </c>
      <c r="J953">
        <v>0</v>
      </c>
      <c r="K953">
        <v>0</v>
      </c>
      <c r="L953">
        <v>0</v>
      </c>
      <c r="M953">
        <v>0</v>
      </c>
      <c r="N953">
        <v>0</v>
      </c>
      <c r="O953">
        <v>0</v>
      </c>
      <c r="P953">
        <v>0</v>
      </c>
      <c r="Q953" t="str">
        <f>INDEX('Partner data'!A:DH,MATCH(C953,'Partner data'!DG:DG,0),83)</f>
        <v>Soggetto pubblico</v>
      </c>
      <c r="R953" t="b">
        <f>IF(E953="staff",IF(INDEX('Partner data'!A:DH,MATCH(C953,'Partner data'!DG:DG,0),112)="BL1 non presente","FALSO",INDEX('Partner data'!A:DH,MATCH(C953,'Partner data'!DG:DG,0),112)))</f>
        <v>0</v>
      </c>
      <c r="S953" t="b">
        <f t="shared" si="28"/>
        <v>0</v>
      </c>
      <c r="T953" t="b">
        <f t="shared" si="29"/>
        <v>1</v>
      </c>
      <c r="U953" s="154">
        <f>IFERROR(IF(R953&lt;&gt;FALSE,IF(S953=TRUE,INDEX('SummaryNOT_VALIDATED-BL'!$A$1:$F$16,MATCH(R953,'SummaryNOT_VALIDATED-BL'!$A$1:$A$16,0),6),0),IF(S953=TRUE,INDEX('SummaryNOT_VALIDATED-BL'!$A$1:$F$16,MATCH(E953,'SummaryNOT_VALIDATED-BL'!$A$1:$A$16,0),6),0)),0)</f>
        <v>0</v>
      </c>
      <c r="V953" s="81" cm="1">
        <f t="array" ref="V953">INDEX('Weight tables'!$A$24:$C$27,MATCH(1,(RendicontiTrasmessiBL__2[[#This Row],[Cut percentage on real costs + USC]]&gt;='Weight tables'!$B$24:$B$27)*(RendicontiTrasmessiBL__2[[#This Row],[Cut percentage on real costs + USC]]&lt;='Weight tables'!$C$24:$C$27),0),1)</f>
        <v>0</v>
      </c>
      <c r="W953" s="2">
        <f>RendicontiTrasmessiBL__2[[#This Row],[Weight real costs  + USC ]]</f>
        <v>0</v>
      </c>
    </row>
    <row r="954" spans="1:23" x14ac:dyDescent="0.25">
      <c r="A954" s="1" t="s">
        <v>59</v>
      </c>
      <c r="B954" s="1" t="s">
        <v>4547</v>
      </c>
      <c r="C954" s="2">
        <v>315</v>
      </c>
      <c r="D954" s="2">
        <v>109</v>
      </c>
      <c r="E954" s="1" t="s">
        <v>236</v>
      </c>
      <c r="G954">
        <v>0</v>
      </c>
      <c r="H954">
        <v>0</v>
      </c>
      <c r="I954">
        <v>0</v>
      </c>
      <c r="J954">
        <v>0</v>
      </c>
      <c r="K954">
        <v>0</v>
      </c>
      <c r="L954">
        <v>0</v>
      </c>
      <c r="M954">
        <v>0</v>
      </c>
      <c r="N954">
        <v>0</v>
      </c>
      <c r="O954">
        <v>0</v>
      </c>
      <c r="P954">
        <v>0</v>
      </c>
      <c r="Q954" t="str">
        <f>INDEX('Partner data'!A:DH,MATCH(C954,'Partner data'!DG:DG,0),83)</f>
        <v>Soggetto pubblico</v>
      </c>
      <c r="R954" t="b">
        <f>IF(E954="staff",IF(INDEX('Partner data'!A:DH,MATCH(C954,'Partner data'!DG:DG,0),112)="BL1 non presente","FALSO",INDEX('Partner data'!A:DH,MATCH(C954,'Partner data'!DG:DG,0),112)))</f>
        <v>0</v>
      </c>
      <c r="S954" t="b">
        <f t="shared" si="28"/>
        <v>0</v>
      </c>
      <c r="T954" t="b">
        <f t="shared" si="29"/>
        <v>1</v>
      </c>
      <c r="U954" s="154">
        <f>IFERROR(IF(R954&lt;&gt;FALSE,IF(S954=TRUE,INDEX('SummaryNOT_VALIDATED-BL'!$A$1:$F$16,MATCH(R954,'SummaryNOT_VALIDATED-BL'!$A$1:$A$16,0),6),0),IF(S954=TRUE,INDEX('SummaryNOT_VALIDATED-BL'!$A$1:$F$16,MATCH(E954,'SummaryNOT_VALIDATED-BL'!$A$1:$A$16,0),6),0)),0)</f>
        <v>0</v>
      </c>
      <c r="V954" s="81" cm="1">
        <f t="array" ref="V954">INDEX('Weight tables'!$A$24:$C$27,MATCH(1,(RendicontiTrasmessiBL__2[[#This Row],[Cut percentage on real costs + USC]]&gt;='Weight tables'!$B$24:$B$27)*(RendicontiTrasmessiBL__2[[#This Row],[Cut percentage on real costs + USC]]&lt;='Weight tables'!$C$24:$C$27),0),1)</f>
        <v>0</v>
      </c>
      <c r="W954" s="2">
        <f>RendicontiTrasmessiBL__2[[#This Row],[Weight real costs  + USC ]]</f>
        <v>0</v>
      </c>
    </row>
    <row r="955" spans="1:23" x14ac:dyDescent="0.25">
      <c r="A955" s="1" t="s">
        <v>59</v>
      </c>
      <c r="B955" s="1" t="s">
        <v>4547</v>
      </c>
      <c r="C955" s="2">
        <v>315</v>
      </c>
      <c r="D955" s="2">
        <v>109</v>
      </c>
      <c r="E955" s="1" t="s">
        <v>237</v>
      </c>
      <c r="G955">
        <v>0</v>
      </c>
      <c r="H955">
        <v>0</v>
      </c>
      <c r="I955">
        <v>0</v>
      </c>
      <c r="J955">
        <v>0</v>
      </c>
      <c r="K955">
        <v>0</v>
      </c>
      <c r="L955">
        <v>0</v>
      </c>
      <c r="M955">
        <v>0</v>
      </c>
      <c r="N955">
        <v>0</v>
      </c>
      <c r="O955">
        <v>0</v>
      </c>
      <c r="P955">
        <v>0</v>
      </c>
      <c r="Q955" t="str">
        <f>INDEX('Partner data'!A:DH,MATCH(C955,'Partner data'!DG:DG,0),83)</f>
        <v>Soggetto pubblico</v>
      </c>
      <c r="R955" t="b">
        <f>IF(E955="staff",IF(INDEX('Partner data'!A:DH,MATCH(C955,'Partner data'!DG:DG,0),112)="BL1 non presente","FALSO",INDEX('Partner data'!A:DH,MATCH(C955,'Partner data'!DG:DG,0),112)))</f>
        <v>0</v>
      </c>
      <c r="S955" t="b">
        <f t="shared" si="28"/>
        <v>0</v>
      </c>
      <c r="T955" t="b">
        <f t="shared" si="29"/>
        <v>1</v>
      </c>
      <c r="U955" s="154">
        <f>IFERROR(IF(R955&lt;&gt;FALSE,IF(S955=TRUE,INDEX('SummaryNOT_VALIDATED-BL'!$A$1:$F$16,MATCH(R955,'SummaryNOT_VALIDATED-BL'!$A$1:$A$16,0),6),0),IF(S955=TRUE,INDEX('SummaryNOT_VALIDATED-BL'!$A$1:$F$16,MATCH(E955,'SummaryNOT_VALIDATED-BL'!$A$1:$A$16,0),6),0)),0)</f>
        <v>0</v>
      </c>
      <c r="V955" s="81" cm="1">
        <f t="array" ref="V955">INDEX('Weight tables'!$A$24:$C$27,MATCH(1,(RendicontiTrasmessiBL__2[[#This Row],[Cut percentage on real costs + USC]]&gt;='Weight tables'!$B$24:$B$27)*(RendicontiTrasmessiBL__2[[#This Row],[Cut percentage on real costs + USC]]&lt;='Weight tables'!$C$24:$C$27),0),1)</f>
        <v>0</v>
      </c>
      <c r="W955" s="2">
        <f>RendicontiTrasmessiBL__2[[#This Row],[Weight real costs  + USC ]]</f>
        <v>0</v>
      </c>
    </row>
    <row r="956" spans="1:23" x14ac:dyDescent="0.25">
      <c r="A956" s="1" t="s">
        <v>59</v>
      </c>
      <c r="B956" s="1" t="s">
        <v>4547</v>
      </c>
      <c r="C956" s="2">
        <v>315</v>
      </c>
      <c r="D956" s="2">
        <v>328</v>
      </c>
      <c r="E956" s="1" t="s">
        <v>228</v>
      </c>
      <c r="G956">
        <v>0</v>
      </c>
      <c r="H956">
        <v>0</v>
      </c>
      <c r="I956">
        <v>0</v>
      </c>
      <c r="J956">
        <v>0</v>
      </c>
      <c r="K956">
        <v>0</v>
      </c>
      <c r="L956">
        <v>0</v>
      </c>
      <c r="M956">
        <v>0</v>
      </c>
      <c r="N956">
        <v>0</v>
      </c>
      <c r="O956">
        <v>0</v>
      </c>
      <c r="P956">
        <v>0</v>
      </c>
      <c r="Q956" t="str">
        <f>INDEX('Partner data'!A:DH,MATCH(C956,'Partner data'!DG:DG,0),83)</f>
        <v>Soggetto pubblico</v>
      </c>
      <c r="R956" t="str">
        <f>IF(E956="staff",IF(INDEX('Partner data'!A:DH,MATCH(C956,'Partner data'!DG:DG,0),112)="BL1 non presente","FALSO",INDEX('Partner data'!A:DH,MATCH(C956,'Partner data'!DG:DG,0),112)))</f>
        <v>FALSO</v>
      </c>
      <c r="S956" t="b">
        <f t="shared" si="28"/>
        <v>0</v>
      </c>
      <c r="T956" t="b">
        <f t="shared" si="29"/>
        <v>1</v>
      </c>
      <c r="U956" s="154">
        <f>IFERROR(IF(R956&lt;&gt;FALSE,IF(S956=TRUE,INDEX('SummaryNOT_VALIDATED-BL'!$A$1:$F$16,MATCH(R956,'SummaryNOT_VALIDATED-BL'!$A$1:$A$16,0),6),0),IF(S956=TRUE,INDEX('SummaryNOT_VALIDATED-BL'!$A$1:$F$16,MATCH(E956,'SummaryNOT_VALIDATED-BL'!$A$1:$A$16,0),6),0)),0)</f>
        <v>0</v>
      </c>
      <c r="V956" s="81" cm="1">
        <f t="array" ref="V956">INDEX('Weight tables'!$A$24:$C$27,MATCH(1,(RendicontiTrasmessiBL__2[[#This Row],[Cut percentage on real costs + USC]]&gt;='Weight tables'!$B$24:$B$27)*(RendicontiTrasmessiBL__2[[#This Row],[Cut percentage on real costs + USC]]&lt;='Weight tables'!$C$24:$C$27),0),1)</f>
        <v>0</v>
      </c>
      <c r="W956" s="2">
        <f>RendicontiTrasmessiBL__2[[#This Row],[Weight real costs  + USC ]]</f>
        <v>0</v>
      </c>
    </row>
    <row r="957" spans="1:23" x14ac:dyDescent="0.25">
      <c r="A957" s="1" t="s">
        <v>59</v>
      </c>
      <c r="B957" s="1" t="s">
        <v>4547</v>
      </c>
      <c r="C957" s="2">
        <v>315</v>
      </c>
      <c r="D957" s="2">
        <v>328</v>
      </c>
      <c r="E957" s="1" t="s">
        <v>229</v>
      </c>
      <c r="G957">
        <v>0</v>
      </c>
      <c r="H957">
        <v>0</v>
      </c>
      <c r="I957">
        <v>0</v>
      </c>
      <c r="J957">
        <v>0</v>
      </c>
      <c r="K957">
        <v>0</v>
      </c>
      <c r="L957">
        <v>0</v>
      </c>
      <c r="M957">
        <v>0</v>
      </c>
      <c r="N957">
        <v>0</v>
      </c>
      <c r="O957">
        <v>0</v>
      </c>
      <c r="P957">
        <v>0</v>
      </c>
      <c r="Q957" t="str">
        <f>INDEX('Partner data'!A:DH,MATCH(C957,'Partner data'!DG:DG,0),83)</f>
        <v>Soggetto pubblico</v>
      </c>
      <c r="R957" t="b">
        <f>IF(E957="staff",IF(INDEX('Partner data'!A:DH,MATCH(C957,'Partner data'!DG:DG,0),112)="BL1 non presente","FALSO",INDEX('Partner data'!A:DH,MATCH(C957,'Partner data'!DG:DG,0),112)))</f>
        <v>0</v>
      </c>
      <c r="S957" t="b">
        <f t="shared" si="28"/>
        <v>0</v>
      </c>
      <c r="T957" t="b">
        <f t="shared" si="29"/>
        <v>1</v>
      </c>
      <c r="U957" s="154">
        <f>IFERROR(IF(R957&lt;&gt;FALSE,IF(S957=TRUE,INDEX('SummaryNOT_VALIDATED-BL'!$A$1:$F$16,MATCH(R957,'SummaryNOT_VALIDATED-BL'!$A$1:$A$16,0),6),0),IF(S957=TRUE,INDEX('SummaryNOT_VALIDATED-BL'!$A$1:$F$16,MATCH(E957,'SummaryNOT_VALIDATED-BL'!$A$1:$A$16,0),6),0)),0)</f>
        <v>0</v>
      </c>
      <c r="V957" s="81" cm="1">
        <f t="array" ref="V957">INDEX('Weight tables'!$A$24:$C$27,MATCH(1,(RendicontiTrasmessiBL__2[[#This Row],[Cut percentage on real costs + USC]]&gt;='Weight tables'!$B$24:$B$27)*(RendicontiTrasmessiBL__2[[#This Row],[Cut percentage on real costs + USC]]&lt;='Weight tables'!$C$24:$C$27),0),1)</f>
        <v>0</v>
      </c>
      <c r="W957" s="2">
        <f>RendicontiTrasmessiBL__2[[#This Row],[Weight real costs  + USC ]]</f>
        <v>0</v>
      </c>
    </row>
    <row r="958" spans="1:23" x14ac:dyDescent="0.25">
      <c r="A958" s="1" t="s">
        <v>59</v>
      </c>
      <c r="B958" s="1" t="s">
        <v>4547</v>
      </c>
      <c r="C958" s="2">
        <v>315</v>
      </c>
      <c r="D958" s="2">
        <v>328</v>
      </c>
      <c r="E958" s="1" t="s">
        <v>230</v>
      </c>
      <c r="G958">
        <v>0</v>
      </c>
      <c r="H958">
        <v>0</v>
      </c>
      <c r="I958">
        <v>0</v>
      </c>
      <c r="J958">
        <v>0</v>
      </c>
      <c r="K958">
        <v>0</v>
      </c>
      <c r="L958">
        <v>0</v>
      </c>
      <c r="M958">
        <v>0</v>
      </c>
      <c r="N958">
        <v>0</v>
      </c>
      <c r="O958">
        <v>0</v>
      </c>
      <c r="P958">
        <v>0</v>
      </c>
      <c r="Q958" t="str">
        <f>INDEX('Partner data'!A:DH,MATCH(C958,'Partner data'!DG:DG,0),83)</f>
        <v>Soggetto pubblico</v>
      </c>
      <c r="R958" t="b">
        <f>IF(E958="staff",IF(INDEX('Partner data'!A:DH,MATCH(C958,'Partner data'!DG:DG,0),112)="BL1 non presente","FALSO",INDEX('Partner data'!A:DH,MATCH(C958,'Partner data'!DG:DG,0),112)))</f>
        <v>0</v>
      </c>
      <c r="S958" t="b">
        <f t="shared" si="28"/>
        <v>0</v>
      </c>
      <c r="T958" t="b">
        <f t="shared" si="29"/>
        <v>1</v>
      </c>
      <c r="U958" s="154">
        <f>IFERROR(IF(R958&lt;&gt;FALSE,IF(S958=TRUE,INDEX('SummaryNOT_VALIDATED-BL'!$A$1:$F$16,MATCH(R958,'SummaryNOT_VALIDATED-BL'!$A$1:$A$16,0),6),0),IF(S958=TRUE,INDEX('SummaryNOT_VALIDATED-BL'!$A$1:$F$16,MATCH(E958,'SummaryNOT_VALIDATED-BL'!$A$1:$A$16,0),6),0)),0)</f>
        <v>0</v>
      </c>
      <c r="V958" s="81" cm="1">
        <f t="array" ref="V958">INDEX('Weight tables'!$A$24:$C$27,MATCH(1,(RendicontiTrasmessiBL__2[[#This Row],[Cut percentage on real costs + USC]]&gt;='Weight tables'!$B$24:$B$27)*(RendicontiTrasmessiBL__2[[#This Row],[Cut percentage on real costs + USC]]&lt;='Weight tables'!$C$24:$C$27),0),1)</f>
        <v>0</v>
      </c>
      <c r="W958" s="2">
        <f>RendicontiTrasmessiBL__2[[#This Row],[Weight real costs  + USC ]]</f>
        <v>0</v>
      </c>
    </row>
    <row r="959" spans="1:23" x14ac:dyDescent="0.25">
      <c r="A959" s="1" t="s">
        <v>59</v>
      </c>
      <c r="B959" s="1" t="s">
        <v>4547</v>
      </c>
      <c r="C959" s="2">
        <v>315</v>
      </c>
      <c r="D959" s="2">
        <v>328</v>
      </c>
      <c r="E959" s="1" t="s">
        <v>231</v>
      </c>
      <c r="G959">
        <v>24000</v>
      </c>
      <c r="H959">
        <v>0</v>
      </c>
      <c r="I959">
        <v>0</v>
      </c>
      <c r="J959">
        <v>0</v>
      </c>
      <c r="K959">
        <v>0</v>
      </c>
      <c r="L959">
        <v>0</v>
      </c>
      <c r="M959">
        <v>0</v>
      </c>
      <c r="N959">
        <v>0</v>
      </c>
      <c r="O959">
        <v>24000</v>
      </c>
      <c r="P959">
        <v>0</v>
      </c>
      <c r="Q959" t="str">
        <f>INDEX('Partner data'!A:DH,MATCH(C959,'Partner data'!DG:DG,0),83)</f>
        <v>Soggetto pubblico</v>
      </c>
      <c r="R959" t="b">
        <f>IF(E959="staff",IF(INDEX('Partner data'!A:DH,MATCH(C959,'Partner data'!DG:DG,0),112)="BL1 non presente","FALSO",INDEX('Partner data'!A:DH,MATCH(C959,'Partner data'!DG:DG,0),112)))</f>
        <v>0</v>
      </c>
      <c r="S959" t="b">
        <f t="shared" si="28"/>
        <v>0</v>
      </c>
      <c r="T959" t="b">
        <f t="shared" si="29"/>
        <v>1</v>
      </c>
      <c r="U959" s="154">
        <f>IFERROR(IF(R959&lt;&gt;FALSE,IF(S959=TRUE,INDEX('SummaryNOT_VALIDATED-BL'!$A$1:$F$16,MATCH(R959,'SummaryNOT_VALIDATED-BL'!$A$1:$A$16,0),6),0),IF(S959=TRUE,INDEX('SummaryNOT_VALIDATED-BL'!$A$1:$F$16,MATCH(E959,'SummaryNOT_VALIDATED-BL'!$A$1:$A$16,0),6),0)),0)</f>
        <v>0</v>
      </c>
      <c r="V959" s="81" cm="1">
        <f t="array" ref="V959">INDEX('Weight tables'!$A$24:$C$27,MATCH(1,(RendicontiTrasmessiBL__2[[#This Row],[Cut percentage on real costs + USC]]&gt;='Weight tables'!$B$24:$B$27)*(RendicontiTrasmessiBL__2[[#This Row],[Cut percentage on real costs + USC]]&lt;='Weight tables'!$C$24:$C$27),0),1)</f>
        <v>0</v>
      </c>
      <c r="W959" s="2">
        <f>RendicontiTrasmessiBL__2[[#This Row],[Weight real costs  + USC ]]</f>
        <v>0</v>
      </c>
    </row>
    <row r="960" spans="1:23" x14ac:dyDescent="0.25">
      <c r="A960" s="1" t="s">
        <v>59</v>
      </c>
      <c r="B960" s="1" t="s">
        <v>4547</v>
      </c>
      <c r="C960" s="2">
        <v>315</v>
      </c>
      <c r="D960" s="2">
        <v>328</v>
      </c>
      <c r="E960" s="1" t="s">
        <v>232</v>
      </c>
      <c r="G960">
        <v>100001</v>
      </c>
      <c r="H960">
        <v>0</v>
      </c>
      <c r="I960">
        <v>0</v>
      </c>
      <c r="J960">
        <v>0</v>
      </c>
      <c r="K960">
        <v>0</v>
      </c>
      <c r="L960">
        <v>0</v>
      </c>
      <c r="M960">
        <v>0</v>
      </c>
      <c r="N960">
        <v>0</v>
      </c>
      <c r="O960">
        <v>100001</v>
      </c>
      <c r="P960">
        <v>0</v>
      </c>
      <c r="Q960" t="str">
        <f>INDEX('Partner data'!A:DH,MATCH(C960,'Partner data'!DG:DG,0),83)</f>
        <v>Soggetto pubblico</v>
      </c>
      <c r="R960" t="b">
        <f>IF(E960="staff",IF(INDEX('Partner data'!A:DH,MATCH(C960,'Partner data'!DG:DG,0),112)="BL1 non presente","FALSO",INDEX('Partner data'!A:DH,MATCH(C960,'Partner data'!DG:DG,0),112)))</f>
        <v>0</v>
      </c>
      <c r="S960" t="b">
        <f t="shared" si="28"/>
        <v>0</v>
      </c>
      <c r="T960" t="b">
        <f t="shared" si="29"/>
        <v>1</v>
      </c>
      <c r="U960" s="154">
        <f>IFERROR(IF(R960&lt;&gt;FALSE,IF(S960=TRUE,INDEX('SummaryNOT_VALIDATED-BL'!$A$1:$F$16,MATCH(R960,'SummaryNOT_VALIDATED-BL'!$A$1:$A$16,0),6),0),IF(S960=TRUE,INDEX('SummaryNOT_VALIDATED-BL'!$A$1:$F$16,MATCH(E960,'SummaryNOT_VALIDATED-BL'!$A$1:$A$16,0),6),0)),0)</f>
        <v>0</v>
      </c>
      <c r="V960" s="81" cm="1">
        <f t="array" ref="V960">INDEX('Weight tables'!$A$24:$C$27,MATCH(1,(RendicontiTrasmessiBL__2[[#This Row],[Cut percentage on real costs + USC]]&gt;='Weight tables'!$B$24:$B$27)*(RendicontiTrasmessiBL__2[[#This Row],[Cut percentage on real costs + USC]]&lt;='Weight tables'!$C$24:$C$27),0),1)</f>
        <v>0</v>
      </c>
      <c r="W960" s="2">
        <f>RendicontiTrasmessiBL__2[[#This Row],[Weight real costs  + USC ]]</f>
        <v>0</v>
      </c>
    </row>
    <row r="961" spans="1:23" x14ac:dyDescent="0.25">
      <c r="A961" s="1" t="s">
        <v>59</v>
      </c>
      <c r="B961" s="1" t="s">
        <v>4547</v>
      </c>
      <c r="C961" s="2">
        <v>315</v>
      </c>
      <c r="D961" s="2">
        <v>328</v>
      </c>
      <c r="E961" s="1" t="s">
        <v>233</v>
      </c>
      <c r="G961">
        <v>576000</v>
      </c>
      <c r="H961">
        <v>0</v>
      </c>
      <c r="I961">
        <v>0</v>
      </c>
      <c r="J961">
        <v>0</v>
      </c>
      <c r="K961">
        <v>0</v>
      </c>
      <c r="L961">
        <v>0</v>
      </c>
      <c r="M961">
        <v>0</v>
      </c>
      <c r="N961">
        <v>0</v>
      </c>
      <c r="O961">
        <v>576000</v>
      </c>
      <c r="P961">
        <v>0</v>
      </c>
      <c r="Q961" t="str">
        <f>INDEX('Partner data'!A:DH,MATCH(C961,'Partner data'!DG:DG,0),83)</f>
        <v>Soggetto pubblico</v>
      </c>
      <c r="R961" t="b">
        <f>IF(E961="staff",IF(INDEX('Partner data'!A:DH,MATCH(C961,'Partner data'!DG:DG,0),112)="BL1 non presente","FALSO",INDEX('Partner data'!A:DH,MATCH(C961,'Partner data'!DG:DG,0),112)))</f>
        <v>0</v>
      </c>
      <c r="S961" t="b">
        <f t="shared" si="28"/>
        <v>0</v>
      </c>
      <c r="T961" t="b">
        <f t="shared" si="29"/>
        <v>1</v>
      </c>
      <c r="U961" s="154">
        <f>IFERROR(IF(R961&lt;&gt;FALSE,IF(S961=TRUE,INDEX('SummaryNOT_VALIDATED-BL'!$A$1:$F$16,MATCH(R961,'SummaryNOT_VALIDATED-BL'!$A$1:$A$16,0),6),0),IF(S961=TRUE,INDEX('SummaryNOT_VALIDATED-BL'!$A$1:$F$16,MATCH(E961,'SummaryNOT_VALIDATED-BL'!$A$1:$A$16,0),6),0)),0)</f>
        <v>0</v>
      </c>
      <c r="V961" s="81" cm="1">
        <f t="array" ref="V961">INDEX('Weight tables'!$A$24:$C$27,MATCH(1,(RendicontiTrasmessiBL__2[[#This Row],[Cut percentage on real costs + USC]]&gt;='Weight tables'!$B$24:$B$27)*(RendicontiTrasmessiBL__2[[#This Row],[Cut percentage on real costs + USC]]&lt;='Weight tables'!$C$24:$C$27),0),1)</f>
        <v>0</v>
      </c>
      <c r="W961" s="2">
        <f>RendicontiTrasmessiBL__2[[#This Row],[Weight real costs  + USC ]]</f>
        <v>0</v>
      </c>
    </row>
    <row r="962" spans="1:23" x14ac:dyDescent="0.25">
      <c r="A962" s="1" t="s">
        <v>59</v>
      </c>
      <c r="B962" s="1" t="s">
        <v>4547</v>
      </c>
      <c r="C962" s="2">
        <v>315</v>
      </c>
      <c r="D962" s="2">
        <v>328</v>
      </c>
      <c r="E962" s="1" t="s">
        <v>234</v>
      </c>
      <c r="G962">
        <v>0</v>
      </c>
      <c r="H962">
        <v>0</v>
      </c>
      <c r="I962">
        <v>0</v>
      </c>
      <c r="J962">
        <v>0</v>
      </c>
      <c r="K962">
        <v>0</v>
      </c>
      <c r="L962">
        <v>0</v>
      </c>
      <c r="M962">
        <v>0</v>
      </c>
      <c r="N962">
        <v>0</v>
      </c>
      <c r="O962">
        <v>0</v>
      </c>
      <c r="P962">
        <v>0</v>
      </c>
      <c r="Q962" t="str">
        <f>INDEX('Partner data'!A:DH,MATCH(C962,'Partner data'!DG:DG,0),83)</f>
        <v>Soggetto pubblico</v>
      </c>
      <c r="R962" t="b">
        <f>IF(E962="staff",IF(INDEX('Partner data'!A:DH,MATCH(C962,'Partner data'!DG:DG,0),112)="BL1 non presente","FALSO",INDEX('Partner data'!A:DH,MATCH(C962,'Partner data'!DG:DG,0),112)))</f>
        <v>0</v>
      </c>
      <c r="S962" t="b">
        <f t="shared" ref="S962:S1025" si="30">IF(J962&lt;&gt;0,TRUE,FALSE)</f>
        <v>0</v>
      </c>
      <c r="T962" t="b">
        <f t="shared" ref="T962:T1025" si="31">OR(Q962="Soggetto pubblico",Q962="Organismo di diritto pubblico ")</f>
        <v>1</v>
      </c>
      <c r="U962" s="154">
        <f>IFERROR(IF(R962&lt;&gt;FALSE,IF(S962=TRUE,INDEX('SummaryNOT_VALIDATED-BL'!$A$1:$F$16,MATCH(R962,'SummaryNOT_VALIDATED-BL'!$A$1:$A$16,0),6),0),IF(S962=TRUE,INDEX('SummaryNOT_VALIDATED-BL'!$A$1:$F$16,MATCH(E962,'SummaryNOT_VALIDATED-BL'!$A$1:$A$16,0),6),0)),0)</f>
        <v>0</v>
      </c>
      <c r="V962" s="81" cm="1">
        <f t="array" ref="V962">INDEX('Weight tables'!$A$24:$C$27,MATCH(1,(RendicontiTrasmessiBL__2[[#This Row],[Cut percentage on real costs + USC]]&gt;='Weight tables'!$B$24:$B$27)*(RendicontiTrasmessiBL__2[[#This Row],[Cut percentage on real costs + USC]]&lt;='Weight tables'!$C$24:$C$27),0),1)</f>
        <v>0</v>
      </c>
      <c r="W962" s="2">
        <f>RendicontiTrasmessiBL__2[[#This Row],[Weight real costs  + USC ]]</f>
        <v>0</v>
      </c>
    </row>
    <row r="963" spans="1:23" x14ac:dyDescent="0.25">
      <c r="A963" s="1" t="s">
        <v>59</v>
      </c>
      <c r="B963" s="1" t="s">
        <v>4547</v>
      </c>
      <c r="C963" s="2">
        <v>315</v>
      </c>
      <c r="D963" s="2">
        <v>328</v>
      </c>
      <c r="E963" s="1" t="s">
        <v>236</v>
      </c>
      <c r="G963">
        <v>0</v>
      </c>
      <c r="H963">
        <v>0</v>
      </c>
      <c r="I963">
        <v>0</v>
      </c>
      <c r="J963">
        <v>0</v>
      </c>
      <c r="K963">
        <v>0</v>
      </c>
      <c r="L963">
        <v>0</v>
      </c>
      <c r="M963">
        <v>0</v>
      </c>
      <c r="N963">
        <v>0</v>
      </c>
      <c r="O963">
        <v>0</v>
      </c>
      <c r="P963">
        <v>0</v>
      </c>
      <c r="Q963" t="str">
        <f>INDEX('Partner data'!A:DH,MATCH(C963,'Partner data'!DG:DG,0),83)</f>
        <v>Soggetto pubblico</v>
      </c>
      <c r="R963" t="b">
        <f>IF(E963="staff",IF(INDEX('Partner data'!A:DH,MATCH(C963,'Partner data'!DG:DG,0),112)="BL1 non presente","FALSO",INDEX('Partner data'!A:DH,MATCH(C963,'Partner data'!DG:DG,0),112)))</f>
        <v>0</v>
      </c>
      <c r="S963" t="b">
        <f t="shared" si="30"/>
        <v>0</v>
      </c>
      <c r="T963" t="b">
        <f t="shared" si="31"/>
        <v>1</v>
      </c>
      <c r="U963" s="154">
        <f>IFERROR(IF(R963&lt;&gt;FALSE,IF(S963=TRUE,INDEX('SummaryNOT_VALIDATED-BL'!$A$1:$F$16,MATCH(R963,'SummaryNOT_VALIDATED-BL'!$A$1:$A$16,0),6),0),IF(S963=TRUE,INDEX('SummaryNOT_VALIDATED-BL'!$A$1:$F$16,MATCH(E963,'SummaryNOT_VALIDATED-BL'!$A$1:$A$16,0),6),0)),0)</f>
        <v>0</v>
      </c>
      <c r="V963" s="81" cm="1">
        <f t="array" ref="V963">INDEX('Weight tables'!$A$24:$C$27,MATCH(1,(RendicontiTrasmessiBL__2[[#This Row],[Cut percentage on real costs + USC]]&gt;='Weight tables'!$B$24:$B$27)*(RendicontiTrasmessiBL__2[[#This Row],[Cut percentage on real costs + USC]]&lt;='Weight tables'!$C$24:$C$27),0),1)</f>
        <v>0</v>
      </c>
      <c r="W963" s="2">
        <f>RendicontiTrasmessiBL__2[[#This Row],[Weight real costs  + USC ]]</f>
        <v>0</v>
      </c>
    </row>
    <row r="964" spans="1:23" x14ac:dyDescent="0.25">
      <c r="A964" s="1" t="s">
        <v>59</v>
      </c>
      <c r="B964" s="1" t="s">
        <v>4547</v>
      </c>
      <c r="C964" s="2">
        <v>315</v>
      </c>
      <c r="D964" s="2">
        <v>328</v>
      </c>
      <c r="E964" s="1" t="s">
        <v>237</v>
      </c>
      <c r="G964">
        <v>0</v>
      </c>
      <c r="H964">
        <v>0</v>
      </c>
      <c r="I964">
        <v>0</v>
      </c>
      <c r="J964">
        <v>0</v>
      </c>
      <c r="K964">
        <v>0</v>
      </c>
      <c r="L964">
        <v>0</v>
      </c>
      <c r="M964">
        <v>0</v>
      </c>
      <c r="N964">
        <v>0</v>
      </c>
      <c r="O964">
        <v>0</v>
      </c>
      <c r="P964">
        <v>0</v>
      </c>
      <c r="Q964" t="str">
        <f>INDEX('Partner data'!A:DH,MATCH(C964,'Partner data'!DG:DG,0),83)</f>
        <v>Soggetto pubblico</v>
      </c>
      <c r="R964" t="b">
        <f>IF(E964="staff",IF(INDEX('Partner data'!A:DH,MATCH(C964,'Partner data'!DG:DG,0),112)="BL1 non presente","FALSO",INDEX('Partner data'!A:DH,MATCH(C964,'Partner data'!DG:DG,0),112)))</f>
        <v>0</v>
      </c>
      <c r="S964" t="b">
        <f t="shared" si="30"/>
        <v>0</v>
      </c>
      <c r="T964" t="b">
        <f t="shared" si="31"/>
        <v>1</v>
      </c>
      <c r="U964" s="154">
        <f>IFERROR(IF(R964&lt;&gt;FALSE,IF(S964=TRUE,INDEX('SummaryNOT_VALIDATED-BL'!$A$1:$F$16,MATCH(R964,'SummaryNOT_VALIDATED-BL'!$A$1:$A$16,0),6),0),IF(S964=TRUE,INDEX('SummaryNOT_VALIDATED-BL'!$A$1:$F$16,MATCH(E964,'SummaryNOT_VALIDATED-BL'!$A$1:$A$16,0),6),0)),0)</f>
        <v>0</v>
      </c>
      <c r="V964" s="81" cm="1">
        <f t="array" ref="V964">INDEX('Weight tables'!$A$24:$C$27,MATCH(1,(RendicontiTrasmessiBL__2[[#This Row],[Cut percentage on real costs + USC]]&gt;='Weight tables'!$B$24:$B$27)*(RendicontiTrasmessiBL__2[[#This Row],[Cut percentage on real costs + USC]]&lt;='Weight tables'!$C$24:$C$27),0),1)</f>
        <v>0</v>
      </c>
      <c r="W964" s="2">
        <f>RendicontiTrasmessiBL__2[[#This Row],[Weight real costs  + USC ]]</f>
        <v>0</v>
      </c>
    </row>
    <row r="965" spans="1:23" x14ac:dyDescent="0.25">
      <c r="A965" s="1" t="s">
        <v>59</v>
      </c>
      <c r="B965" s="1" t="s">
        <v>52</v>
      </c>
      <c r="C965" s="2">
        <v>314</v>
      </c>
      <c r="D965" s="2">
        <v>166</v>
      </c>
      <c r="E965" s="1" t="s">
        <v>228</v>
      </c>
      <c r="F965">
        <v>20</v>
      </c>
      <c r="G965">
        <v>169215.8</v>
      </c>
      <c r="H965">
        <v>3566.37</v>
      </c>
      <c r="I965">
        <v>0</v>
      </c>
      <c r="J965">
        <v>19894.599999999999</v>
      </c>
      <c r="K965">
        <v>0</v>
      </c>
      <c r="L965">
        <v>0</v>
      </c>
      <c r="M965">
        <v>23460.97</v>
      </c>
      <c r="N965">
        <v>13.86</v>
      </c>
      <c r="O965">
        <v>145754.82999999999</v>
      </c>
      <c r="P965">
        <v>0</v>
      </c>
      <c r="Q965" t="str">
        <f>INDEX('Partner data'!A:DH,MATCH(C965,'Partner data'!DG:DG,0),83)</f>
        <v xml:space="preserve">Organismo di diritto pubblico </v>
      </c>
      <c r="R965" t="str">
        <f>IF(E965="staff",IF(INDEX('Partner data'!A:DH,MATCH(C965,'Partner data'!DG:DG,0),112)="BL1 non presente","FALSO",INDEX('Partner data'!A:DH,MATCH(C965,'Partner data'!DG:DG,0),112)))</f>
        <v>Tasso Forfettario 20%</v>
      </c>
      <c r="S965" t="b">
        <f t="shared" si="30"/>
        <v>1</v>
      </c>
      <c r="T965" t="b">
        <f t="shared" si="31"/>
        <v>1</v>
      </c>
      <c r="U965" s="154">
        <f>IFERROR(IF(R965&lt;&gt;FALSE,IF(S965=TRUE,INDEX('SummaryNOT_VALIDATED-BL'!$A$1:$F$16,MATCH(R965,'SummaryNOT_VALIDATED-BL'!$A$1:$A$16,0),6),0),IF(S965=TRUE,INDEX('SummaryNOT_VALIDATED-BL'!$A$1:$F$16,MATCH(E965,'SummaryNOT_VALIDATED-BL'!$A$1:$A$16,0),6),0)),0)</f>
        <v>1.2653355650533233E-2</v>
      </c>
      <c r="V965" s="81" cm="1">
        <f t="array" ref="V965">INDEX('Weight tables'!$A$24:$C$27,MATCH(1,(RendicontiTrasmessiBL__2[[#This Row],[Cut percentage on real costs + USC]]&gt;='Weight tables'!$B$24:$B$27)*(RendicontiTrasmessiBL__2[[#This Row],[Cut percentage on real costs + USC]]&lt;='Weight tables'!$C$24:$C$27),0),1)</f>
        <v>0</v>
      </c>
      <c r="W965" s="2">
        <f>RendicontiTrasmessiBL__2[[#This Row],[Weight real costs  + USC ]]</f>
        <v>0</v>
      </c>
    </row>
    <row r="966" spans="1:23" x14ac:dyDescent="0.25">
      <c r="A966" s="1" t="s">
        <v>59</v>
      </c>
      <c r="B966" s="1" t="s">
        <v>52</v>
      </c>
      <c r="C966" s="2">
        <v>314</v>
      </c>
      <c r="D966" s="2">
        <v>166</v>
      </c>
      <c r="E966" s="1" t="s">
        <v>229</v>
      </c>
      <c r="F966">
        <v>15</v>
      </c>
      <c r="G966">
        <v>25382.37</v>
      </c>
      <c r="H966">
        <v>534.95000000000005</v>
      </c>
      <c r="I966">
        <v>0</v>
      </c>
      <c r="J966">
        <v>2984.19</v>
      </c>
      <c r="K966">
        <v>0</v>
      </c>
      <c r="L966">
        <v>0</v>
      </c>
      <c r="M966">
        <v>3519.14</v>
      </c>
      <c r="N966">
        <v>13.86</v>
      </c>
      <c r="O966">
        <v>21863.23</v>
      </c>
      <c r="P966">
        <v>0</v>
      </c>
      <c r="Q966" t="str">
        <f>INDEX('Partner data'!A:DH,MATCH(C966,'Partner data'!DG:DG,0),83)</f>
        <v xml:space="preserve">Organismo di diritto pubblico </v>
      </c>
      <c r="R966" t="b">
        <f>IF(E966="staff",IF(INDEX('Partner data'!A:DH,MATCH(C966,'Partner data'!DG:DG,0),112)="BL1 non presente","FALSO",INDEX('Partner data'!A:DH,MATCH(C966,'Partner data'!DG:DG,0),112)))</f>
        <v>0</v>
      </c>
      <c r="S966" t="b">
        <f t="shared" si="30"/>
        <v>1</v>
      </c>
      <c r="T966" t="b">
        <f t="shared" si="31"/>
        <v>1</v>
      </c>
      <c r="U966" s="154">
        <f>IFERROR(IF(R966&lt;&gt;FALSE,IF(S966=TRUE,INDEX('SummaryNOT_VALIDATED-BL'!$A$1:$F$16,MATCH(R966,'SummaryNOT_VALIDATED-BL'!$A$1:$A$16,0),6),0),IF(S966=TRUE,INDEX('SummaryNOT_VALIDATED-BL'!$A$1:$F$16,MATCH(E966,'SummaryNOT_VALIDATED-BL'!$A$1:$A$16,0),6),0)),0)</f>
        <v>6.6460469504890221E-2</v>
      </c>
      <c r="V966" s="81" cm="1">
        <f t="array" ref="V966">INDEX('Weight tables'!$A$24:$C$27,MATCH(1,(RendicontiTrasmessiBL__2[[#This Row],[Cut percentage on real costs + USC]]&gt;='Weight tables'!$B$24:$B$27)*(RendicontiTrasmessiBL__2[[#This Row],[Cut percentage on real costs + USC]]&lt;='Weight tables'!$C$24:$C$27),0),1)</f>
        <v>4</v>
      </c>
      <c r="W966" s="2">
        <f>RendicontiTrasmessiBL__2[[#This Row],[Weight real costs  + USC ]]</f>
        <v>4</v>
      </c>
    </row>
    <row r="967" spans="1:23" x14ac:dyDescent="0.25">
      <c r="A967" s="1" t="s">
        <v>59</v>
      </c>
      <c r="B967" s="1" t="s">
        <v>52</v>
      </c>
      <c r="C967" s="2">
        <v>314</v>
      </c>
      <c r="D967" s="2">
        <v>166</v>
      </c>
      <c r="E967" s="1" t="s">
        <v>230</v>
      </c>
      <c r="F967">
        <v>4</v>
      </c>
      <c r="G967">
        <v>6768.63</v>
      </c>
      <c r="H967">
        <v>142.65</v>
      </c>
      <c r="I967">
        <v>0</v>
      </c>
      <c r="J967">
        <v>795.78</v>
      </c>
      <c r="K967">
        <v>0</v>
      </c>
      <c r="L967">
        <v>0</v>
      </c>
      <c r="M967">
        <v>938.43</v>
      </c>
      <c r="N967">
        <v>13.86</v>
      </c>
      <c r="O967">
        <v>5830.2</v>
      </c>
      <c r="P967">
        <v>0</v>
      </c>
      <c r="Q967" t="str">
        <f>INDEX('Partner data'!A:DH,MATCH(C967,'Partner data'!DG:DG,0),83)</f>
        <v xml:space="preserve">Organismo di diritto pubblico </v>
      </c>
      <c r="R967" t="b">
        <f>IF(E967="staff",IF(INDEX('Partner data'!A:DH,MATCH(C967,'Partner data'!DG:DG,0),112)="BL1 non presente","FALSO",INDEX('Partner data'!A:DH,MATCH(C967,'Partner data'!DG:DG,0),112)))</f>
        <v>0</v>
      </c>
      <c r="S967" t="b">
        <f t="shared" si="30"/>
        <v>1</v>
      </c>
      <c r="T967" t="b">
        <f t="shared" si="31"/>
        <v>1</v>
      </c>
      <c r="U967" s="154">
        <f>IFERROR(IF(R967&lt;&gt;FALSE,IF(S967=TRUE,INDEX('SummaryNOT_VALIDATED-BL'!$A$1:$F$16,MATCH(R967,'SummaryNOT_VALIDATED-BL'!$A$1:$A$16,0),6),0),IF(S967=TRUE,INDEX('SummaryNOT_VALIDATED-BL'!$A$1:$F$16,MATCH(E967,'SummaryNOT_VALIDATED-BL'!$A$1:$A$16,0),6),0)),0)</f>
        <v>6.3112622236488891E-2</v>
      </c>
      <c r="V967" s="81" cm="1">
        <f t="array" ref="V967">INDEX('Weight tables'!$A$24:$C$27,MATCH(1,(RendicontiTrasmessiBL__2[[#This Row],[Cut percentage on real costs + USC]]&gt;='Weight tables'!$B$24:$B$27)*(RendicontiTrasmessiBL__2[[#This Row],[Cut percentage on real costs + USC]]&lt;='Weight tables'!$C$24:$C$27),0),1)</f>
        <v>4</v>
      </c>
      <c r="W967" s="2">
        <f>RendicontiTrasmessiBL__2[[#This Row],[Weight real costs  + USC ]]</f>
        <v>4</v>
      </c>
    </row>
    <row r="968" spans="1:23" x14ac:dyDescent="0.25">
      <c r="A968" s="1" t="s">
        <v>59</v>
      </c>
      <c r="B968" s="1" t="s">
        <v>52</v>
      </c>
      <c r="C968" s="2">
        <v>314</v>
      </c>
      <c r="D968" s="2">
        <v>166</v>
      </c>
      <c r="E968" s="1" t="s">
        <v>231</v>
      </c>
      <c r="G968">
        <v>788079</v>
      </c>
      <c r="H968">
        <v>14839.12</v>
      </c>
      <c r="I968">
        <v>0</v>
      </c>
      <c r="J968">
        <v>49722.22</v>
      </c>
      <c r="K968">
        <v>0</v>
      </c>
      <c r="L968">
        <v>0</v>
      </c>
      <c r="M968">
        <v>64561.34</v>
      </c>
      <c r="N968">
        <v>8.19</v>
      </c>
      <c r="O968">
        <v>723517.66</v>
      </c>
      <c r="P968">
        <v>0</v>
      </c>
      <c r="Q968" t="str">
        <f>INDEX('Partner data'!A:DH,MATCH(C968,'Partner data'!DG:DG,0),83)</f>
        <v xml:space="preserve">Organismo di diritto pubblico </v>
      </c>
      <c r="R968" t="b">
        <f>IF(E968="staff",IF(INDEX('Partner data'!A:DH,MATCH(C968,'Partner data'!DG:DG,0),112)="BL1 non presente","FALSO",INDEX('Partner data'!A:DH,MATCH(C968,'Partner data'!DG:DG,0),112)))</f>
        <v>0</v>
      </c>
      <c r="S968" t="b">
        <f t="shared" si="30"/>
        <v>1</v>
      </c>
      <c r="T968" t="b">
        <f t="shared" si="31"/>
        <v>1</v>
      </c>
      <c r="U968" s="154">
        <f>IFERROR(IF(R968&lt;&gt;FALSE,IF(S968=TRUE,INDEX('SummaryNOT_VALIDATED-BL'!$A$1:$F$16,MATCH(R968,'SummaryNOT_VALIDATED-BL'!$A$1:$A$16,0),6),0),IF(S968=TRUE,INDEX('SummaryNOT_VALIDATED-BL'!$A$1:$F$16,MATCH(E968,'SummaryNOT_VALIDATED-BL'!$A$1:$A$16,0),6),0)),0)</f>
        <v>5.577594442215475E-2</v>
      </c>
      <c r="V968" s="81" cm="1">
        <f t="array" ref="V968">INDEX('Weight tables'!$A$24:$C$27,MATCH(1,(RendicontiTrasmessiBL__2[[#This Row],[Cut percentage on real costs + USC]]&gt;='Weight tables'!$B$24:$B$27)*(RendicontiTrasmessiBL__2[[#This Row],[Cut percentage on real costs + USC]]&lt;='Weight tables'!$C$24:$C$27),0),1)</f>
        <v>4</v>
      </c>
      <c r="W968" s="2">
        <f>RendicontiTrasmessiBL__2[[#This Row],[Weight real costs  + USC ]]</f>
        <v>4</v>
      </c>
    </row>
    <row r="969" spans="1:23" x14ac:dyDescent="0.25">
      <c r="A969" s="1" t="s">
        <v>59</v>
      </c>
      <c r="B969" s="1" t="s">
        <v>52</v>
      </c>
      <c r="C969" s="2">
        <v>314</v>
      </c>
      <c r="D969" s="2">
        <v>166</v>
      </c>
      <c r="E969" s="1" t="s">
        <v>232</v>
      </c>
      <c r="G969">
        <v>58000</v>
      </c>
      <c r="H969">
        <v>2992.76</v>
      </c>
      <c r="I969">
        <v>0</v>
      </c>
      <c r="J969">
        <v>49750.79</v>
      </c>
      <c r="K969">
        <v>0</v>
      </c>
      <c r="L969">
        <v>0</v>
      </c>
      <c r="M969">
        <v>52743.55</v>
      </c>
      <c r="N969">
        <v>90.94</v>
      </c>
      <c r="O969">
        <v>5256.45</v>
      </c>
      <c r="P969">
        <v>0</v>
      </c>
      <c r="Q969" t="str">
        <f>INDEX('Partner data'!A:DH,MATCH(C969,'Partner data'!DG:DG,0),83)</f>
        <v xml:space="preserve">Organismo di diritto pubblico </v>
      </c>
      <c r="R969" t="b">
        <f>IF(E969="staff",IF(INDEX('Partner data'!A:DH,MATCH(C969,'Partner data'!DG:DG,0),112)="BL1 non presente","FALSO",INDEX('Partner data'!A:DH,MATCH(C969,'Partner data'!DG:DG,0),112)))</f>
        <v>0</v>
      </c>
      <c r="S969" t="b">
        <f t="shared" si="30"/>
        <v>1</v>
      </c>
      <c r="T969" t="b">
        <f t="shared" si="31"/>
        <v>1</v>
      </c>
      <c r="U969" s="154">
        <f>IFERROR(IF(R969&lt;&gt;FALSE,IF(S969=TRUE,INDEX('SummaryNOT_VALIDATED-BL'!$A$1:$F$16,MATCH(R969,'SummaryNOT_VALIDATED-BL'!$A$1:$A$16,0),6),0),IF(S969=TRUE,INDEX('SummaryNOT_VALIDATED-BL'!$A$1:$F$16,MATCH(E969,'SummaryNOT_VALIDATED-BL'!$A$1:$A$16,0),6),0)),0)</f>
        <v>1.102169095281242E-2</v>
      </c>
      <c r="V969" s="81" cm="1">
        <f t="array" ref="V969">INDEX('Weight tables'!$A$24:$C$27,MATCH(1,(RendicontiTrasmessiBL__2[[#This Row],[Cut percentage on real costs + USC]]&gt;='Weight tables'!$B$24:$B$27)*(RendicontiTrasmessiBL__2[[#This Row],[Cut percentage on real costs + USC]]&lt;='Weight tables'!$C$24:$C$27),0),1)</f>
        <v>0</v>
      </c>
      <c r="W969" s="2">
        <f>RendicontiTrasmessiBL__2[[#This Row],[Weight real costs  + USC ]]</f>
        <v>0</v>
      </c>
    </row>
    <row r="970" spans="1:23" x14ac:dyDescent="0.25">
      <c r="A970" s="1" t="s">
        <v>59</v>
      </c>
      <c r="B970" s="1" t="s">
        <v>52</v>
      </c>
      <c r="C970" s="2">
        <v>314</v>
      </c>
      <c r="D970" s="2">
        <v>166</v>
      </c>
      <c r="E970" s="1" t="s">
        <v>233</v>
      </c>
      <c r="G970">
        <v>0</v>
      </c>
      <c r="H970">
        <v>0</v>
      </c>
      <c r="I970">
        <v>0</v>
      </c>
      <c r="J970">
        <v>0</v>
      </c>
      <c r="K970">
        <v>0</v>
      </c>
      <c r="L970">
        <v>0</v>
      </c>
      <c r="M970">
        <v>0</v>
      </c>
      <c r="N970">
        <v>0</v>
      </c>
      <c r="O970">
        <v>0</v>
      </c>
      <c r="P970">
        <v>0</v>
      </c>
      <c r="Q970" t="str">
        <f>INDEX('Partner data'!A:DH,MATCH(C970,'Partner data'!DG:DG,0),83)</f>
        <v xml:space="preserve">Organismo di diritto pubblico </v>
      </c>
      <c r="R970" t="b">
        <f>IF(E970="staff",IF(INDEX('Partner data'!A:DH,MATCH(C970,'Partner data'!DG:DG,0),112)="BL1 non presente","FALSO",INDEX('Partner data'!A:DH,MATCH(C970,'Partner data'!DG:DG,0),112)))</f>
        <v>0</v>
      </c>
      <c r="S970" t="b">
        <f t="shared" si="30"/>
        <v>0</v>
      </c>
      <c r="T970" t="b">
        <f t="shared" si="31"/>
        <v>1</v>
      </c>
      <c r="U970" s="154">
        <f>IFERROR(IF(R970&lt;&gt;FALSE,IF(S970=TRUE,INDEX('SummaryNOT_VALIDATED-BL'!$A$1:$F$16,MATCH(R970,'SummaryNOT_VALIDATED-BL'!$A$1:$A$16,0),6),0),IF(S970=TRUE,INDEX('SummaryNOT_VALIDATED-BL'!$A$1:$F$16,MATCH(E970,'SummaryNOT_VALIDATED-BL'!$A$1:$A$16,0),6),0)),0)</f>
        <v>0</v>
      </c>
      <c r="V970" s="81" cm="1">
        <f t="array" ref="V970">INDEX('Weight tables'!$A$24:$C$27,MATCH(1,(RendicontiTrasmessiBL__2[[#This Row],[Cut percentage on real costs + USC]]&gt;='Weight tables'!$B$24:$B$27)*(RendicontiTrasmessiBL__2[[#This Row],[Cut percentage on real costs + USC]]&lt;='Weight tables'!$C$24:$C$27),0),1)</f>
        <v>0</v>
      </c>
      <c r="W970" s="2">
        <f>RendicontiTrasmessiBL__2[[#This Row],[Weight real costs  + USC ]]</f>
        <v>0</v>
      </c>
    </row>
    <row r="971" spans="1:23" x14ac:dyDescent="0.25">
      <c r="A971" s="1" t="s">
        <v>59</v>
      </c>
      <c r="B971" s="1" t="s">
        <v>52</v>
      </c>
      <c r="C971" s="2">
        <v>314</v>
      </c>
      <c r="D971" s="2">
        <v>166</v>
      </c>
      <c r="E971" s="1" t="s">
        <v>234</v>
      </c>
      <c r="G971">
        <v>0</v>
      </c>
      <c r="H971">
        <v>0</v>
      </c>
      <c r="I971">
        <v>0</v>
      </c>
      <c r="J971">
        <v>0</v>
      </c>
      <c r="K971">
        <v>0</v>
      </c>
      <c r="L971">
        <v>0</v>
      </c>
      <c r="M971">
        <v>0</v>
      </c>
      <c r="N971">
        <v>0</v>
      </c>
      <c r="O971">
        <v>0</v>
      </c>
      <c r="P971">
        <v>0</v>
      </c>
      <c r="Q971" t="str">
        <f>INDEX('Partner data'!A:DH,MATCH(C971,'Partner data'!DG:DG,0),83)</f>
        <v xml:space="preserve">Organismo di diritto pubblico </v>
      </c>
      <c r="R971" t="b">
        <f>IF(E971="staff",IF(INDEX('Partner data'!A:DH,MATCH(C971,'Partner data'!DG:DG,0),112)="BL1 non presente","FALSO",INDEX('Partner data'!A:DH,MATCH(C971,'Partner data'!DG:DG,0),112)))</f>
        <v>0</v>
      </c>
      <c r="S971" t="b">
        <f t="shared" si="30"/>
        <v>0</v>
      </c>
      <c r="T971" t="b">
        <f t="shared" si="31"/>
        <v>1</v>
      </c>
      <c r="U971" s="154">
        <f>IFERROR(IF(R971&lt;&gt;FALSE,IF(S971=TRUE,INDEX('SummaryNOT_VALIDATED-BL'!$A$1:$F$16,MATCH(R971,'SummaryNOT_VALIDATED-BL'!$A$1:$A$16,0),6),0),IF(S971=TRUE,INDEX('SummaryNOT_VALIDATED-BL'!$A$1:$F$16,MATCH(E971,'SummaryNOT_VALIDATED-BL'!$A$1:$A$16,0),6),0)),0)</f>
        <v>0</v>
      </c>
      <c r="V971" s="81" cm="1">
        <f t="array" ref="V971">INDEX('Weight tables'!$A$24:$C$27,MATCH(1,(RendicontiTrasmessiBL__2[[#This Row],[Cut percentage on real costs + USC]]&gt;='Weight tables'!$B$24:$B$27)*(RendicontiTrasmessiBL__2[[#This Row],[Cut percentage on real costs + USC]]&lt;='Weight tables'!$C$24:$C$27),0),1)</f>
        <v>0</v>
      </c>
      <c r="W971" s="2">
        <f>RendicontiTrasmessiBL__2[[#This Row],[Weight real costs  + USC ]]</f>
        <v>0</v>
      </c>
    </row>
    <row r="972" spans="1:23" x14ac:dyDescent="0.25">
      <c r="A972" s="1" t="s">
        <v>59</v>
      </c>
      <c r="B972" s="1" t="s">
        <v>52</v>
      </c>
      <c r="C972" s="2">
        <v>314</v>
      </c>
      <c r="D972" s="2">
        <v>166</v>
      </c>
      <c r="E972" s="1" t="s">
        <v>236</v>
      </c>
      <c r="G972">
        <v>0</v>
      </c>
      <c r="H972">
        <v>0</v>
      </c>
      <c r="I972">
        <v>0</v>
      </c>
      <c r="J972">
        <v>0</v>
      </c>
      <c r="K972">
        <v>0</v>
      </c>
      <c r="L972">
        <v>0</v>
      </c>
      <c r="M972">
        <v>0</v>
      </c>
      <c r="N972">
        <v>0</v>
      </c>
      <c r="O972">
        <v>0</v>
      </c>
      <c r="P972">
        <v>0</v>
      </c>
      <c r="Q972" t="str">
        <f>INDEX('Partner data'!A:DH,MATCH(C972,'Partner data'!DG:DG,0),83)</f>
        <v xml:space="preserve">Organismo di diritto pubblico </v>
      </c>
      <c r="R972" t="b">
        <f>IF(E972="staff",IF(INDEX('Partner data'!A:DH,MATCH(C972,'Partner data'!DG:DG,0),112)="BL1 non presente","FALSO",INDEX('Partner data'!A:DH,MATCH(C972,'Partner data'!DG:DG,0),112)))</f>
        <v>0</v>
      </c>
      <c r="S972" t="b">
        <f t="shared" si="30"/>
        <v>0</v>
      </c>
      <c r="T972" t="b">
        <f t="shared" si="31"/>
        <v>1</v>
      </c>
      <c r="U972" s="154">
        <f>IFERROR(IF(R972&lt;&gt;FALSE,IF(S972=TRUE,INDEX('SummaryNOT_VALIDATED-BL'!$A$1:$F$16,MATCH(R972,'SummaryNOT_VALIDATED-BL'!$A$1:$A$16,0),6),0),IF(S972=TRUE,INDEX('SummaryNOT_VALIDATED-BL'!$A$1:$F$16,MATCH(E972,'SummaryNOT_VALIDATED-BL'!$A$1:$A$16,0),6),0)),0)</f>
        <v>0</v>
      </c>
      <c r="V972" s="81" cm="1">
        <f t="array" ref="V972">INDEX('Weight tables'!$A$24:$C$27,MATCH(1,(RendicontiTrasmessiBL__2[[#This Row],[Cut percentage on real costs + USC]]&gt;='Weight tables'!$B$24:$B$27)*(RendicontiTrasmessiBL__2[[#This Row],[Cut percentage on real costs + USC]]&lt;='Weight tables'!$C$24:$C$27),0),1)</f>
        <v>0</v>
      </c>
      <c r="W972" s="2">
        <f>RendicontiTrasmessiBL__2[[#This Row],[Weight real costs  + USC ]]</f>
        <v>0</v>
      </c>
    </row>
    <row r="973" spans="1:23" x14ac:dyDescent="0.25">
      <c r="A973" s="1" t="s">
        <v>59</v>
      </c>
      <c r="B973" s="1" t="s">
        <v>52</v>
      </c>
      <c r="C973" s="2">
        <v>314</v>
      </c>
      <c r="D973" s="2">
        <v>166</v>
      </c>
      <c r="E973" s="1" t="s">
        <v>237</v>
      </c>
      <c r="G973">
        <v>0</v>
      </c>
      <c r="H973">
        <v>0</v>
      </c>
      <c r="I973">
        <v>0</v>
      </c>
      <c r="J973">
        <v>0</v>
      </c>
      <c r="K973">
        <v>0</v>
      </c>
      <c r="L973">
        <v>0</v>
      </c>
      <c r="M973">
        <v>0</v>
      </c>
      <c r="N973">
        <v>0</v>
      </c>
      <c r="O973">
        <v>0</v>
      </c>
      <c r="P973">
        <v>0</v>
      </c>
      <c r="Q973" t="str">
        <f>INDEX('Partner data'!A:DH,MATCH(C973,'Partner data'!DG:DG,0),83)</f>
        <v xml:space="preserve">Organismo di diritto pubblico </v>
      </c>
      <c r="R973" t="b">
        <f>IF(E973="staff",IF(INDEX('Partner data'!A:DH,MATCH(C973,'Partner data'!DG:DG,0),112)="BL1 non presente","FALSO",INDEX('Partner data'!A:DH,MATCH(C973,'Partner data'!DG:DG,0),112)))</f>
        <v>0</v>
      </c>
      <c r="S973" t="b">
        <f t="shared" si="30"/>
        <v>0</v>
      </c>
      <c r="T973" t="b">
        <f t="shared" si="31"/>
        <v>1</v>
      </c>
      <c r="U973" s="154">
        <f>IFERROR(IF(R973&lt;&gt;FALSE,IF(S973=TRUE,INDEX('SummaryNOT_VALIDATED-BL'!$A$1:$F$16,MATCH(R973,'SummaryNOT_VALIDATED-BL'!$A$1:$A$16,0),6),0),IF(S973=TRUE,INDEX('SummaryNOT_VALIDATED-BL'!$A$1:$F$16,MATCH(E973,'SummaryNOT_VALIDATED-BL'!$A$1:$A$16,0),6),0)),0)</f>
        <v>0</v>
      </c>
      <c r="V973" s="81" cm="1">
        <f t="array" ref="V973">INDEX('Weight tables'!$A$24:$C$27,MATCH(1,(RendicontiTrasmessiBL__2[[#This Row],[Cut percentage on real costs + USC]]&gt;='Weight tables'!$B$24:$B$27)*(RendicontiTrasmessiBL__2[[#This Row],[Cut percentage on real costs + USC]]&lt;='Weight tables'!$C$24:$C$27),0),1)</f>
        <v>0</v>
      </c>
      <c r="W973" s="2">
        <f>RendicontiTrasmessiBL__2[[#This Row],[Weight real costs  + USC ]]</f>
        <v>0</v>
      </c>
    </row>
    <row r="974" spans="1:23" x14ac:dyDescent="0.25">
      <c r="A974" s="1" t="s">
        <v>59</v>
      </c>
      <c r="B974" s="1" t="s">
        <v>52</v>
      </c>
      <c r="C974" s="2">
        <v>314</v>
      </c>
      <c r="D974" s="2">
        <v>63</v>
      </c>
      <c r="E974" s="1" t="s">
        <v>228</v>
      </c>
      <c r="F974">
        <v>20</v>
      </c>
      <c r="G974">
        <v>169215.8</v>
      </c>
      <c r="H974">
        <v>0</v>
      </c>
      <c r="I974">
        <v>0</v>
      </c>
      <c r="J974">
        <v>3566.37</v>
      </c>
      <c r="K974">
        <v>0</v>
      </c>
      <c r="L974">
        <v>3566.37</v>
      </c>
      <c r="M974">
        <v>3566.37</v>
      </c>
      <c r="N974">
        <v>2.11</v>
      </c>
      <c r="O974">
        <v>165649.43</v>
      </c>
      <c r="P974">
        <v>0</v>
      </c>
      <c r="Q974" t="str">
        <f>INDEX('Partner data'!A:DH,MATCH(C974,'Partner data'!DG:DG,0),83)</f>
        <v xml:space="preserve">Organismo di diritto pubblico </v>
      </c>
      <c r="R974" t="str">
        <f>IF(E974="staff",IF(INDEX('Partner data'!A:DH,MATCH(C974,'Partner data'!DG:DG,0),112)="BL1 non presente","FALSO",INDEX('Partner data'!A:DH,MATCH(C974,'Partner data'!DG:DG,0),112)))</f>
        <v>Tasso Forfettario 20%</v>
      </c>
      <c r="S974" t="b">
        <f t="shared" si="30"/>
        <v>1</v>
      </c>
      <c r="T974" t="b">
        <f t="shared" si="31"/>
        <v>1</v>
      </c>
      <c r="U974" s="154">
        <f>IFERROR(IF(R974&lt;&gt;FALSE,IF(S974=TRUE,INDEX('SummaryNOT_VALIDATED-BL'!$A$1:$F$16,MATCH(R974,'SummaryNOT_VALIDATED-BL'!$A$1:$A$16,0),6),0),IF(S974=TRUE,INDEX('SummaryNOT_VALIDATED-BL'!$A$1:$F$16,MATCH(E974,'SummaryNOT_VALIDATED-BL'!$A$1:$A$16,0),6),0)),0)</f>
        <v>1.2653355650533233E-2</v>
      </c>
      <c r="V974" s="81" cm="1">
        <f t="array" ref="V974">INDEX('Weight tables'!$A$24:$C$27,MATCH(1,(RendicontiTrasmessiBL__2[[#This Row],[Cut percentage on real costs + USC]]&gt;='Weight tables'!$B$24:$B$27)*(RendicontiTrasmessiBL__2[[#This Row],[Cut percentage on real costs + USC]]&lt;='Weight tables'!$C$24:$C$27),0),1)</f>
        <v>0</v>
      </c>
      <c r="W974" s="2">
        <f>RendicontiTrasmessiBL__2[[#This Row],[Weight real costs  + USC ]]</f>
        <v>0</v>
      </c>
    </row>
    <row r="975" spans="1:23" x14ac:dyDescent="0.25">
      <c r="A975" s="1" t="s">
        <v>59</v>
      </c>
      <c r="B975" s="1" t="s">
        <v>52</v>
      </c>
      <c r="C975" s="2">
        <v>314</v>
      </c>
      <c r="D975" s="2">
        <v>63</v>
      </c>
      <c r="E975" s="1" t="s">
        <v>229</v>
      </c>
      <c r="F975">
        <v>15</v>
      </c>
      <c r="G975">
        <v>25382.37</v>
      </c>
      <c r="H975">
        <v>0</v>
      </c>
      <c r="I975">
        <v>0</v>
      </c>
      <c r="J975">
        <v>534.95000000000005</v>
      </c>
      <c r="K975">
        <v>0</v>
      </c>
      <c r="L975">
        <v>534.95000000000005</v>
      </c>
      <c r="M975">
        <v>534.95000000000005</v>
      </c>
      <c r="N975">
        <v>2.11</v>
      </c>
      <c r="O975">
        <v>24847.42</v>
      </c>
      <c r="P975">
        <v>0</v>
      </c>
      <c r="Q975" t="str">
        <f>INDEX('Partner data'!A:DH,MATCH(C975,'Partner data'!DG:DG,0),83)</f>
        <v xml:space="preserve">Organismo di diritto pubblico </v>
      </c>
      <c r="R975" t="b">
        <f>IF(E975="staff",IF(INDEX('Partner data'!A:DH,MATCH(C975,'Partner data'!DG:DG,0),112)="BL1 non presente","FALSO",INDEX('Partner data'!A:DH,MATCH(C975,'Partner data'!DG:DG,0),112)))</f>
        <v>0</v>
      </c>
      <c r="S975" t="b">
        <f t="shared" si="30"/>
        <v>1</v>
      </c>
      <c r="T975" t="b">
        <f t="shared" si="31"/>
        <v>1</v>
      </c>
      <c r="U975" s="154">
        <f>IFERROR(IF(R975&lt;&gt;FALSE,IF(S975=TRUE,INDEX('SummaryNOT_VALIDATED-BL'!$A$1:$F$16,MATCH(R975,'SummaryNOT_VALIDATED-BL'!$A$1:$A$16,0),6),0),IF(S975=TRUE,INDEX('SummaryNOT_VALIDATED-BL'!$A$1:$F$16,MATCH(E975,'SummaryNOT_VALIDATED-BL'!$A$1:$A$16,0),6),0)),0)</f>
        <v>6.6460469504890221E-2</v>
      </c>
      <c r="V975" s="81" cm="1">
        <f t="array" ref="V975">INDEX('Weight tables'!$A$24:$C$27,MATCH(1,(RendicontiTrasmessiBL__2[[#This Row],[Cut percentage on real costs + USC]]&gt;='Weight tables'!$B$24:$B$27)*(RendicontiTrasmessiBL__2[[#This Row],[Cut percentage on real costs + USC]]&lt;='Weight tables'!$C$24:$C$27),0),1)</f>
        <v>4</v>
      </c>
      <c r="W975" s="2">
        <f>RendicontiTrasmessiBL__2[[#This Row],[Weight real costs  + USC ]]</f>
        <v>4</v>
      </c>
    </row>
    <row r="976" spans="1:23" x14ac:dyDescent="0.25">
      <c r="A976" s="1" t="s">
        <v>59</v>
      </c>
      <c r="B976" s="1" t="s">
        <v>52</v>
      </c>
      <c r="C976" s="2">
        <v>314</v>
      </c>
      <c r="D976" s="2">
        <v>63</v>
      </c>
      <c r="E976" s="1" t="s">
        <v>230</v>
      </c>
      <c r="F976">
        <v>4</v>
      </c>
      <c r="G976">
        <v>6768.63</v>
      </c>
      <c r="H976">
        <v>0</v>
      </c>
      <c r="I976">
        <v>0</v>
      </c>
      <c r="J976">
        <v>142.65</v>
      </c>
      <c r="K976">
        <v>0</v>
      </c>
      <c r="L976">
        <v>142.65</v>
      </c>
      <c r="M976">
        <v>142.65</v>
      </c>
      <c r="N976">
        <v>2.11</v>
      </c>
      <c r="O976">
        <v>6625.98</v>
      </c>
      <c r="P976">
        <v>0</v>
      </c>
      <c r="Q976" t="str">
        <f>INDEX('Partner data'!A:DH,MATCH(C976,'Partner data'!DG:DG,0),83)</f>
        <v xml:space="preserve">Organismo di diritto pubblico </v>
      </c>
      <c r="R976" t="b">
        <f>IF(E976="staff",IF(INDEX('Partner data'!A:DH,MATCH(C976,'Partner data'!DG:DG,0),112)="BL1 non presente","FALSO",INDEX('Partner data'!A:DH,MATCH(C976,'Partner data'!DG:DG,0),112)))</f>
        <v>0</v>
      </c>
      <c r="S976" t="b">
        <f t="shared" si="30"/>
        <v>1</v>
      </c>
      <c r="T976" t="b">
        <f t="shared" si="31"/>
        <v>1</v>
      </c>
      <c r="U976" s="154">
        <f>IFERROR(IF(R976&lt;&gt;FALSE,IF(S976=TRUE,INDEX('SummaryNOT_VALIDATED-BL'!$A$1:$F$16,MATCH(R976,'SummaryNOT_VALIDATED-BL'!$A$1:$A$16,0),6),0),IF(S976=TRUE,INDEX('SummaryNOT_VALIDATED-BL'!$A$1:$F$16,MATCH(E976,'SummaryNOT_VALIDATED-BL'!$A$1:$A$16,0),6),0)),0)</f>
        <v>6.3112622236488891E-2</v>
      </c>
      <c r="V976" s="81" cm="1">
        <f t="array" ref="V976">INDEX('Weight tables'!$A$24:$C$27,MATCH(1,(RendicontiTrasmessiBL__2[[#This Row],[Cut percentage on real costs + USC]]&gt;='Weight tables'!$B$24:$B$27)*(RendicontiTrasmessiBL__2[[#This Row],[Cut percentage on real costs + USC]]&lt;='Weight tables'!$C$24:$C$27),0),1)</f>
        <v>4</v>
      </c>
      <c r="W976" s="2">
        <f>RendicontiTrasmessiBL__2[[#This Row],[Weight real costs  + USC ]]</f>
        <v>4</v>
      </c>
    </row>
    <row r="977" spans="1:23" x14ac:dyDescent="0.25">
      <c r="A977" s="1" t="s">
        <v>59</v>
      </c>
      <c r="B977" s="1" t="s">
        <v>52</v>
      </c>
      <c r="C977" s="2">
        <v>314</v>
      </c>
      <c r="D977" s="2">
        <v>63</v>
      </c>
      <c r="E977" s="1" t="s">
        <v>231</v>
      </c>
      <c r="G977">
        <v>788079</v>
      </c>
      <c r="H977">
        <v>0</v>
      </c>
      <c r="I977">
        <v>0</v>
      </c>
      <c r="J977">
        <v>14839.12</v>
      </c>
      <c r="K977">
        <v>0</v>
      </c>
      <c r="L977">
        <v>14839.12</v>
      </c>
      <c r="M977">
        <v>14839.12</v>
      </c>
      <c r="N977">
        <v>1.88</v>
      </c>
      <c r="O977">
        <v>773239.88</v>
      </c>
      <c r="P977">
        <v>0</v>
      </c>
      <c r="Q977" t="str">
        <f>INDEX('Partner data'!A:DH,MATCH(C977,'Partner data'!DG:DG,0),83)</f>
        <v xml:space="preserve">Organismo di diritto pubblico </v>
      </c>
      <c r="R977" t="b">
        <f>IF(E977="staff",IF(INDEX('Partner data'!A:DH,MATCH(C977,'Partner data'!DG:DG,0),112)="BL1 non presente","FALSO",INDEX('Partner data'!A:DH,MATCH(C977,'Partner data'!DG:DG,0),112)))</f>
        <v>0</v>
      </c>
      <c r="S977" t="b">
        <f t="shared" si="30"/>
        <v>1</v>
      </c>
      <c r="T977" t="b">
        <f t="shared" si="31"/>
        <v>1</v>
      </c>
      <c r="U977" s="154">
        <f>IFERROR(IF(R977&lt;&gt;FALSE,IF(S977=TRUE,INDEX('SummaryNOT_VALIDATED-BL'!$A$1:$F$16,MATCH(R977,'SummaryNOT_VALIDATED-BL'!$A$1:$A$16,0),6),0),IF(S977=TRUE,INDEX('SummaryNOT_VALIDATED-BL'!$A$1:$F$16,MATCH(E977,'SummaryNOT_VALIDATED-BL'!$A$1:$A$16,0),6),0)),0)</f>
        <v>5.577594442215475E-2</v>
      </c>
      <c r="V977" s="81" cm="1">
        <f t="array" ref="V977">INDEX('Weight tables'!$A$24:$C$27,MATCH(1,(RendicontiTrasmessiBL__2[[#This Row],[Cut percentage on real costs + USC]]&gt;='Weight tables'!$B$24:$B$27)*(RendicontiTrasmessiBL__2[[#This Row],[Cut percentage on real costs + USC]]&lt;='Weight tables'!$C$24:$C$27),0),1)</f>
        <v>4</v>
      </c>
      <c r="W977" s="2">
        <f>RendicontiTrasmessiBL__2[[#This Row],[Weight real costs  + USC ]]</f>
        <v>4</v>
      </c>
    </row>
    <row r="978" spans="1:23" x14ac:dyDescent="0.25">
      <c r="A978" s="1" t="s">
        <v>59</v>
      </c>
      <c r="B978" s="1" t="s">
        <v>52</v>
      </c>
      <c r="C978" s="2">
        <v>314</v>
      </c>
      <c r="D978" s="2">
        <v>63</v>
      </c>
      <c r="E978" s="1" t="s">
        <v>232</v>
      </c>
      <c r="G978">
        <v>58000</v>
      </c>
      <c r="H978">
        <v>0</v>
      </c>
      <c r="I978">
        <v>0</v>
      </c>
      <c r="J978">
        <v>2992.76</v>
      </c>
      <c r="K978">
        <v>0</v>
      </c>
      <c r="L978">
        <v>2992.76</v>
      </c>
      <c r="M978">
        <v>2992.76</v>
      </c>
      <c r="N978">
        <v>5.16</v>
      </c>
      <c r="O978">
        <v>55007.24</v>
      </c>
      <c r="P978">
        <v>0</v>
      </c>
      <c r="Q978" t="str">
        <f>INDEX('Partner data'!A:DH,MATCH(C978,'Partner data'!DG:DG,0),83)</f>
        <v xml:space="preserve">Organismo di diritto pubblico </v>
      </c>
      <c r="R978" t="b">
        <f>IF(E978="staff",IF(INDEX('Partner data'!A:DH,MATCH(C978,'Partner data'!DG:DG,0),112)="BL1 non presente","FALSO",INDEX('Partner data'!A:DH,MATCH(C978,'Partner data'!DG:DG,0),112)))</f>
        <v>0</v>
      </c>
      <c r="S978" t="b">
        <f t="shared" si="30"/>
        <v>1</v>
      </c>
      <c r="T978" t="b">
        <f t="shared" si="31"/>
        <v>1</v>
      </c>
      <c r="U978" s="154">
        <f>IFERROR(IF(R978&lt;&gt;FALSE,IF(S978=TRUE,INDEX('SummaryNOT_VALIDATED-BL'!$A$1:$F$16,MATCH(R978,'SummaryNOT_VALIDATED-BL'!$A$1:$A$16,0),6),0),IF(S978=TRUE,INDEX('SummaryNOT_VALIDATED-BL'!$A$1:$F$16,MATCH(E978,'SummaryNOT_VALIDATED-BL'!$A$1:$A$16,0),6),0)),0)</f>
        <v>1.102169095281242E-2</v>
      </c>
      <c r="V978" s="81" cm="1">
        <f t="array" ref="V978">INDEX('Weight tables'!$A$24:$C$27,MATCH(1,(RendicontiTrasmessiBL__2[[#This Row],[Cut percentage on real costs + USC]]&gt;='Weight tables'!$B$24:$B$27)*(RendicontiTrasmessiBL__2[[#This Row],[Cut percentage on real costs + USC]]&lt;='Weight tables'!$C$24:$C$27),0),1)</f>
        <v>0</v>
      </c>
      <c r="W978" s="2">
        <f>RendicontiTrasmessiBL__2[[#This Row],[Weight real costs  + USC ]]</f>
        <v>0</v>
      </c>
    </row>
    <row r="979" spans="1:23" x14ac:dyDescent="0.25">
      <c r="A979" s="1" t="s">
        <v>59</v>
      </c>
      <c r="B979" s="1" t="s">
        <v>52</v>
      </c>
      <c r="C979" s="2">
        <v>314</v>
      </c>
      <c r="D979" s="2">
        <v>63</v>
      </c>
      <c r="E979" s="1" t="s">
        <v>233</v>
      </c>
      <c r="G979">
        <v>0</v>
      </c>
      <c r="H979">
        <v>0</v>
      </c>
      <c r="I979">
        <v>0</v>
      </c>
      <c r="J979">
        <v>0</v>
      </c>
      <c r="K979">
        <v>0</v>
      </c>
      <c r="L979">
        <v>0</v>
      </c>
      <c r="M979">
        <v>0</v>
      </c>
      <c r="N979">
        <v>0</v>
      </c>
      <c r="O979">
        <v>0</v>
      </c>
      <c r="P979">
        <v>0</v>
      </c>
      <c r="Q979" t="str">
        <f>INDEX('Partner data'!A:DH,MATCH(C979,'Partner data'!DG:DG,0),83)</f>
        <v xml:space="preserve">Organismo di diritto pubblico </v>
      </c>
      <c r="R979" t="b">
        <f>IF(E979="staff",IF(INDEX('Partner data'!A:DH,MATCH(C979,'Partner data'!DG:DG,0),112)="BL1 non presente","FALSO",INDEX('Partner data'!A:DH,MATCH(C979,'Partner data'!DG:DG,0),112)))</f>
        <v>0</v>
      </c>
      <c r="S979" t="b">
        <f t="shared" si="30"/>
        <v>0</v>
      </c>
      <c r="T979" t="b">
        <f t="shared" si="31"/>
        <v>1</v>
      </c>
      <c r="U979" s="154">
        <f>IFERROR(IF(R979&lt;&gt;FALSE,IF(S979=TRUE,INDEX('SummaryNOT_VALIDATED-BL'!$A$1:$F$16,MATCH(R979,'SummaryNOT_VALIDATED-BL'!$A$1:$A$16,0),6),0),IF(S979=TRUE,INDEX('SummaryNOT_VALIDATED-BL'!$A$1:$F$16,MATCH(E979,'SummaryNOT_VALIDATED-BL'!$A$1:$A$16,0),6),0)),0)</f>
        <v>0</v>
      </c>
      <c r="V979" s="81" cm="1">
        <f t="array" ref="V979">INDEX('Weight tables'!$A$24:$C$27,MATCH(1,(RendicontiTrasmessiBL__2[[#This Row],[Cut percentage on real costs + USC]]&gt;='Weight tables'!$B$24:$B$27)*(RendicontiTrasmessiBL__2[[#This Row],[Cut percentage on real costs + USC]]&lt;='Weight tables'!$C$24:$C$27),0),1)</f>
        <v>0</v>
      </c>
      <c r="W979" s="2">
        <f>RendicontiTrasmessiBL__2[[#This Row],[Weight real costs  + USC ]]</f>
        <v>0</v>
      </c>
    </row>
    <row r="980" spans="1:23" x14ac:dyDescent="0.25">
      <c r="A980" s="1" t="s">
        <v>59</v>
      </c>
      <c r="B980" s="1" t="s">
        <v>52</v>
      </c>
      <c r="C980" s="2">
        <v>314</v>
      </c>
      <c r="D980" s="2">
        <v>63</v>
      </c>
      <c r="E980" s="1" t="s">
        <v>234</v>
      </c>
      <c r="G980">
        <v>0</v>
      </c>
      <c r="H980">
        <v>0</v>
      </c>
      <c r="I980">
        <v>0</v>
      </c>
      <c r="J980">
        <v>0</v>
      </c>
      <c r="K980">
        <v>0</v>
      </c>
      <c r="L980">
        <v>0</v>
      </c>
      <c r="M980">
        <v>0</v>
      </c>
      <c r="N980">
        <v>0</v>
      </c>
      <c r="O980">
        <v>0</v>
      </c>
      <c r="P980">
        <v>0</v>
      </c>
      <c r="Q980" t="str">
        <f>INDEX('Partner data'!A:DH,MATCH(C980,'Partner data'!DG:DG,0),83)</f>
        <v xml:space="preserve">Organismo di diritto pubblico </v>
      </c>
      <c r="R980" t="b">
        <f>IF(E980="staff",IF(INDEX('Partner data'!A:DH,MATCH(C980,'Partner data'!DG:DG,0),112)="BL1 non presente","FALSO",INDEX('Partner data'!A:DH,MATCH(C980,'Partner data'!DG:DG,0),112)))</f>
        <v>0</v>
      </c>
      <c r="S980" t="b">
        <f t="shared" si="30"/>
        <v>0</v>
      </c>
      <c r="T980" t="b">
        <f t="shared" si="31"/>
        <v>1</v>
      </c>
      <c r="U980" s="154">
        <f>IFERROR(IF(R980&lt;&gt;FALSE,IF(S980=TRUE,INDEX('SummaryNOT_VALIDATED-BL'!$A$1:$F$16,MATCH(R980,'SummaryNOT_VALIDATED-BL'!$A$1:$A$16,0),6),0),IF(S980=TRUE,INDEX('SummaryNOT_VALIDATED-BL'!$A$1:$F$16,MATCH(E980,'SummaryNOT_VALIDATED-BL'!$A$1:$A$16,0),6),0)),0)</f>
        <v>0</v>
      </c>
      <c r="V980" s="81" cm="1">
        <f t="array" ref="V980">INDEX('Weight tables'!$A$24:$C$27,MATCH(1,(RendicontiTrasmessiBL__2[[#This Row],[Cut percentage on real costs + USC]]&gt;='Weight tables'!$B$24:$B$27)*(RendicontiTrasmessiBL__2[[#This Row],[Cut percentage on real costs + USC]]&lt;='Weight tables'!$C$24:$C$27),0),1)</f>
        <v>0</v>
      </c>
      <c r="W980" s="2">
        <f>RendicontiTrasmessiBL__2[[#This Row],[Weight real costs  + USC ]]</f>
        <v>0</v>
      </c>
    </row>
    <row r="981" spans="1:23" x14ac:dyDescent="0.25">
      <c r="A981" s="1" t="s">
        <v>59</v>
      </c>
      <c r="B981" s="1" t="s">
        <v>52</v>
      </c>
      <c r="C981" s="2">
        <v>314</v>
      </c>
      <c r="D981" s="2">
        <v>63</v>
      </c>
      <c r="E981" s="1" t="s">
        <v>236</v>
      </c>
      <c r="G981">
        <v>0</v>
      </c>
      <c r="H981">
        <v>0</v>
      </c>
      <c r="I981">
        <v>0</v>
      </c>
      <c r="J981">
        <v>0</v>
      </c>
      <c r="K981">
        <v>0</v>
      </c>
      <c r="L981">
        <v>0</v>
      </c>
      <c r="M981">
        <v>0</v>
      </c>
      <c r="N981">
        <v>0</v>
      </c>
      <c r="O981">
        <v>0</v>
      </c>
      <c r="P981">
        <v>0</v>
      </c>
      <c r="Q981" t="str">
        <f>INDEX('Partner data'!A:DH,MATCH(C981,'Partner data'!DG:DG,0),83)</f>
        <v xml:space="preserve">Organismo di diritto pubblico </v>
      </c>
      <c r="R981" t="b">
        <f>IF(E981="staff",IF(INDEX('Partner data'!A:DH,MATCH(C981,'Partner data'!DG:DG,0),112)="BL1 non presente","FALSO",INDEX('Partner data'!A:DH,MATCH(C981,'Partner data'!DG:DG,0),112)))</f>
        <v>0</v>
      </c>
      <c r="S981" t="b">
        <f t="shared" si="30"/>
        <v>0</v>
      </c>
      <c r="T981" t="b">
        <f t="shared" si="31"/>
        <v>1</v>
      </c>
      <c r="U981" s="154">
        <f>IFERROR(IF(R981&lt;&gt;FALSE,IF(S981=TRUE,INDEX('SummaryNOT_VALIDATED-BL'!$A$1:$F$16,MATCH(R981,'SummaryNOT_VALIDATED-BL'!$A$1:$A$16,0),6),0),IF(S981=TRUE,INDEX('SummaryNOT_VALIDATED-BL'!$A$1:$F$16,MATCH(E981,'SummaryNOT_VALIDATED-BL'!$A$1:$A$16,0),6),0)),0)</f>
        <v>0</v>
      </c>
      <c r="V981" s="81" cm="1">
        <f t="array" ref="V981">INDEX('Weight tables'!$A$24:$C$27,MATCH(1,(RendicontiTrasmessiBL__2[[#This Row],[Cut percentage on real costs + USC]]&gt;='Weight tables'!$B$24:$B$27)*(RendicontiTrasmessiBL__2[[#This Row],[Cut percentage on real costs + USC]]&lt;='Weight tables'!$C$24:$C$27),0),1)</f>
        <v>0</v>
      </c>
      <c r="W981" s="2">
        <f>RendicontiTrasmessiBL__2[[#This Row],[Weight real costs  + USC ]]</f>
        <v>0</v>
      </c>
    </row>
    <row r="982" spans="1:23" x14ac:dyDescent="0.25">
      <c r="A982" s="1" t="s">
        <v>59</v>
      </c>
      <c r="B982" s="1" t="s">
        <v>52</v>
      </c>
      <c r="C982" s="2">
        <v>314</v>
      </c>
      <c r="D982" s="2">
        <v>63</v>
      </c>
      <c r="E982" s="1" t="s">
        <v>237</v>
      </c>
      <c r="G982">
        <v>0</v>
      </c>
      <c r="H982">
        <v>0</v>
      </c>
      <c r="I982">
        <v>0</v>
      </c>
      <c r="J982">
        <v>0</v>
      </c>
      <c r="K982">
        <v>0</v>
      </c>
      <c r="L982">
        <v>0</v>
      </c>
      <c r="M982">
        <v>0</v>
      </c>
      <c r="N982">
        <v>0</v>
      </c>
      <c r="O982">
        <v>0</v>
      </c>
      <c r="P982">
        <v>0</v>
      </c>
      <c r="Q982" t="str">
        <f>INDEX('Partner data'!A:DH,MATCH(C982,'Partner data'!DG:DG,0),83)</f>
        <v xml:space="preserve">Organismo di diritto pubblico </v>
      </c>
      <c r="R982" t="b">
        <f>IF(E982="staff",IF(INDEX('Partner data'!A:DH,MATCH(C982,'Partner data'!DG:DG,0),112)="BL1 non presente","FALSO",INDEX('Partner data'!A:DH,MATCH(C982,'Partner data'!DG:DG,0),112)))</f>
        <v>0</v>
      </c>
      <c r="S982" t="b">
        <f t="shared" si="30"/>
        <v>0</v>
      </c>
      <c r="T982" t="b">
        <f t="shared" si="31"/>
        <v>1</v>
      </c>
      <c r="U982" s="154">
        <f>IFERROR(IF(R982&lt;&gt;FALSE,IF(S982=TRUE,INDEX('SummaryNOT_VALIDATED-BL'!$A$1:$F$16,MATCH(R982,'SummaryNOT_VALIDATED-BL'!$A$1:$A$16,0),6),0),IF(S982=TRUE,INDEX('SummaryNOT_VALIDATED-BL'!$A$1:$F$16,MATCH(E982,'SummaryNOT_VALIDATED-BL'!$A$1:$A$16,0),6),0)),0)</f>
        <v>0</v>
      </c>
      <c r="V982" s="81" cm="1">
        <f t="array" ref="V982">INDEX('Weight tables'!$A$24:$C$27,MATCH(1,(RendicontiTrasmessiBL__2[[#This Row],[Cut percentage on real costs + USC]]&gt;='Weight tables'!$B$24:$B$27)*(RendicontiTrasmessiBL__2[[#This Row],[Cut percentage on real costs + USC]]&lt;='Weight tables'!$C$24:$C$27),0),1)</f>
        <v>0</v>
      </c>
      <c r="W982" s="2">
        <f>RendicontiTrasmessiBL__2[[#This Row],[Weight real costs  + USC ]]</f>
        <v>0</v>
      </c>
    </row>
    <row r="983" spans="1:23" x14ac:dyDescent="0.25">
      <c r="A983" s="1" t="s">
        <v>59</v>
      </c>
      <c r="B983" s="1" t="s">
        <v>21</v>
      </c>
      <c r="C983" s="2">
        <v>324</v>
      </c>
      <c r="D983" s="2">
        <v>102</v>
      </c>
      <c r="E983" s="1" t="s">
        <v>228</v>
      </c>
      <c r="F983">
        <v>20</v>
      </c>
      <c r="G983">
        <v>73021</v>
      </c>
      <c r="H983">
        <v>0</v>
      </c>
      <c r="I983">
        <v>0</v>
      </c>
      <c r="J983">
        <v>0</v>
      </c>
      <c r="K983">
        <v>0</v>
      </c>
      <c r="L983">
        <v>0</v>
      </c>
      <c r="M983">
        <v>0</v>
      </c>
      <c r="N983">
        <v>0</v>
      </c>
      <c r="O983">
        <v>73021</v>
      </c>
      <c r="P983">
        <v>0</v>
      </c>
      <c r="Q983" t="str">
        <f>INDEX('Partner data'!A:DH,MATCH(C983,'Partner data'!DG:DG,0),83)</f>
        <v xml:space="preserve">Organismo di diritto pubblico </v>
      </c>
      <c r="R983" t="str">
        <f>IF(E983="staff",IF(INDEX('Partner data'!A:DH,MATCH(C983,'Partner data'!DG:DG,0),112)="BL1 non presente","FALSO",INDEX('Partner data'!A:DH,MATCH(C983,'Partner data'!DG:DG,0),112)))</f>
        <v>Tasso Forfettario 20%</v>
      </c>
      <c r="S983" t="b">
        <f t="shared" si="30"/>
        <v>0</v>
      </c>
      <c r="T983" t="b">
        <f t="shared" si="31"/>
        <v>1</v>
      </c>
      <c r="U983" s="154">
        <f>IFERROR(IF(R983&lt;&gt;FALSE,IF(S983=TRUE,INDEX('SummaryNOT_VALIDATED-BL'!$A$1:$F$16,MATCH(R983,'SummaryNOT_VALIDATED-BL'!$A$1:$A$16,0),6),0),IF(S983=TRUE,INDEX('SummaryNOT_VALIDATED-BL'!$A$1:$F$16,MATCH(E983,'SummaryNOT_VALIDATED-BL'!$A$1:$A$16,0),6),0)),0)</f>
        <v>0</v>
      </c>
      <c r="V983" s="81" cm="1">
        <f t="array" ref="V983">INDEX('Weight tables'!$A$24:$C$27,MATCH(1,(RendicontiTrasmessiBL__2[[#This Row],[Cut percentage on real costs + USC]]&gt;='Weight tables'!$B$24:$B$27)*(RendicontiTrasmessiBL__2[[#This Row],[Cut percentage on real costs + USC]]&lt;='Weight tables'!$C$24:$C$27),0),1)</f>
        <v>0</v>
      </c>
      <c r="W983" s="2">
        <f>RendicontiTrasmessiBL__2[[#This Row],[Weight real costs  + USC ]]</f>
        <v>0</v>
      </c>
    </row>
    <row r="984" spans="1:23" x14ac:dyDescent="0.25">
      <c r="A984" s="1" t="s">
        <v>59</v>
      </c>
      <c r="B984" s="1" t="s">
        <v>21</v>
      </c>
      <c r="C984" s="2">
        <v>324</v>
      </c>
      <c r="D984" s="2">
        <v>102</v>
      </c>
      <c r="E984" s="1" t="s">
        <v>229</v>
      </c>
      <c r="F984">
        <v>15</v>
      </c>
      <c r="G984">
        <v>10953.15</v>
      </c>
      <c r="H984">
        <v>0</v>
      </c>
      <c r="I984">
        <v>0</v>
      </c>
      <c r="J984">
        <v>0</v>
      </c>
      <c r="K984">
        <v>0</v>
      </c>
      <c r="L984">
        <v>0</v>
      </c>
      <c r="M984">
        <v>0</v>
      </c>
      <c r="N984">
        <v>0</v>
      </c>
      <c r="O984">
        <v>10953.15</v>
      </c>
      <c r="P984">
        <v>0</v>
      </c>
      <c r="Q984" t="str">
        <f>INDEX('Partner data'!A:DH,MATCH(C984,'Partner data'!DG:DG,0),83)</f>
        <v xml:space="preserve">Organismo di diritto pubblico </v>
      </c>
      <c r="R984" t="b">
        <f>IF(E984="staff",IF(INDEX('Partner data'!A:DH,MATCH(C984,'Partner data'!DG:DG,0),112)="BL1 non presente","FALSO",INDEX('Partner data'!A:DH,MATCH(C984,'Partner data'!DG:DG,0),112)))</f>
        <v>0</v>
      </c>
      <c r="S984" t="b">
        <f t="shared" si="30"/>
        <v>0</v>
      </c>
      <c r="T984" t="b">
        <f t="shared" si="31"/>
        <v>1</v>
      </c>
      <c r="U984" s="154">
        <f>IFERROR(IF(R984&lt;&gt;FALSE,IF(S984=TRUE,INDEX('SummaryNOT_VALIDATED-BL'!$A$1:$F$16,MATCH(R984,'SummaryNOT_VALIDATED-BL'!$A$1:$A$16,0),6),0),IF(S984=TRUE,INDEX('SummaryNOT_VALIDATED-BL'!$A$1:$F$16,MATCH(E984,'SummaryNOT_VALIDATED-BL'!$A$1:$A$16,0),6),0)),0)</f>
        <v>0</v>
      </c>
      <c r="V984" s="81" cm="1">
        <f t="array" ref="V984">INDEX('Weight tables'!$A$24:$C$27,MATCH(1,(RendicontiTrasmessiBL__2[[#This Row],[Cut percentage on real costs + USC]]&gt;='Weight tables'!$B$24:$B$27)*(RendicontiTrasmessiBL__2[[#This Row],[Cut percentage on real costs + USC]]&lt;='Weight tables'!$C$24:$C$27),0),1)</f>
        <v>0</v>
      </c>
      <c r="W984" s="2">
        <f>RendicontiTrasmessiBL__2[[#This Row],[Weight real costs  + USC ]]</f>
        <v>0</v>
      </c>
    </row>
    <row r="985" spans="1:23" x14ac:dyDescent="0.25">
      <c r="A985" s="1" t="s">
        <v>59</v>
      </c>
      <c r="B985" s="1" t="s">
        <v>21</v>
      </c>
      <c r="C985" s="2">
        <v>324</v>
      </c>
      <c r="D985" s="2">
        <v>102</v>
      </c>
      <c r="E985" s="1" t="s">
        <v>230</v>
      </c>
      <c r="F985">
        <v>4</v>
      </c>
      <c r="G985">
        <v>2920.84</v>
      </c>
      <c r="H985">
        <v>0</v>
      </c>
      <c r="I985">
        <v>0</v>
      </c>
      <c r="J985">
        <v>0</v>
      </c>
      <c r="K985">
        <v>0</v>
      </c>
      <c r="L985">
        <v>0</v>
      </c>
      <c r="M985">
        <v>0</v>
      </c>
      <c r="N985">
        <v>0</v>
      </c>
      <c r="O985">
        <v>2920.84</v>
      </c>
      <c r="P985">
        <v>0</v>
      </c>
      <c r="Q985" t="str">
        <f>INDEX('Partner data'!A:DH,MATCH(C985,'Partner data'!DG:DG,0),83)</f>
        <v xml:space="preserve">Organismo di diritto pubblico </v>
      </c>
      <c r="R985" t="b">
        <f>IF(E985="staff",IF(INDEX('Partner data'!A:DH,MATCH(C985,'Partner data'!DG:DG,0),112)="BL1 non presente","FALSO",INDEX('Partner data'!A:DH,MATCH(C985,'Partner data'!DG:DG,0),112)))</f>
        <v>0</v>
      </c>
      <c r="S985" t="b">
        <f t="shared" si="30"/>
        <v>0</v>
      </c>
      <c r="T985" t="b">
        <f t="shared" si="31"/>
        <v>1</v>
      </c>
      <c r="U985" s="154">
        <f>IFERROR(IF(R985&lt;&gt;FALSE,IF(S985=TRUE,INDEX('SummaryNOT_VALIDATED-BL'!$A$1:$F$16,MATCH(R985,'SummaryNOT_VALIDATED-BL'!$A$1:$A$16,0),6),0),IF(S985=TRUE,INDEX('SummaryNOT_VALIDATED-BL'!$A$1:$F$16,MATCH(E985,'SummaryNOT_VALIDATED-BL'!$A$1:$A$16,0),6),0)),0)</f>
        <v>0</v>
      </c>
      <c r="V985" s="81" cm="1">
        <f t="array" ref="V985">INDEX('Weight tables'!$A$24:$C$27,MATCH(1,(RendicontiTrasmessiBL__2[[#This Row],[Cut percentage on real costs + USC]]&gt;='Weight tables'!$B$24:$B$27)*(RendicontiTrasmessiBL__2[[#This Row],[Cut percentage on real costs + USC]]&lt;='Weight tables'!$C$24:$C$27),0),1)</f>
        <v>0</v>
      </c>
      <c r="W985" s="2">
        <f>RendicontiTrasmessiBL__2[[#This Row],[Weight real costs  + USC ]]</f>
        <v>0</v>
      </c>
    </row>
    <row r="986" spans="1:23" x14ac:dyDescent="0.25">
      <c r="A986" s="1" t="s">
        <v>59</v>
      </c>
      <c r="B986" s="1" t="s">
        <v>21</v>
      </c>
      <c r="C986" s="2">
        <v>324</v>
      </c>
      <c r="D986" s="2">
        <v>102</v>
      </c>
      <c r="E986" s="1" t="s">
        <v>231</v>
      </c>
      <c r="G986">
        <v>328756.05</v>
      </c>
      <c r="H986">
        <v>0</v>
      </c>
      <c r="I986">
        <v>0</v>
      </c>
      <c r="J986">
        <v>0</v>
      </c>
      <c r="K986">
        <v>0</v>
      </c>
      <c r="L986">
        <v>0</v>
      </c>
      <c r="M986">
        <v>0</v>
      </c>
      <c r="N986">
        <v>0</v>
      </c>
      <c r="O986">
        <v>328756.05</v>
      </c>
      <c r="P986">
        <v>0</v>
      </c>
      <c r="Q986" t="str">
        <f>INDEX('Partner data'!A:DH,MATCH(C986,'Partner data'!DG:DG,0),83)</f>
        <v xml:space="preserve">Organismo di diritto pubblico </v>
      </c>
      <c r="R986" t="b">
        <f>IF(E986="staff",IF(INDEX('Partner data'!A:DH,MATCH(C986,'Partner data'!DG:DG,0),112)="BL1 non presente","FALSO",INDEX('Partner data'!A:DH,MATCH(C986,'Partner data'!DG:DG,0),112)))</f>
        <v>0</v>
      </c>
      <c r="S986" t="b">
        <f t="shared" si="30"/>
        <v>0</v>
      </c>
      <c r="T986" t="b">
        <f t="shared" si="31"/>
        <v>1</v>
      </c>
      <c r="U986" s="154">
        <f>IFERROR(IF(R986&lt;&gt;FALSE,IF(S986=TRUE,INDEX('SummaryNOT_VALIDATED-BL'!$A$1:$F$16,MATCH(R986,'SummaryNOT_VALIDATED-BL'!$A$1:$A$16,0),6),0),IF(S986=TRUE,INDEX('SummaryNOT_VALIDATED-BL'!$A$1:$F$16,MATCH(E986,'SummaryNOT_VALIDATED-BL'!$A$1:$A$16,0),6),0)),0)</f>
        <v>0</v>
      </c>
      <c r="V986" s="81" cm="1">
        <f t="array" ref="V986">INDEX('Weight tables'!$A$24:$C$27,MATCH(1,(RendicontiTrasmessiBL__2[[#This Row],[Cut percentage on real costs + USC]]&gt;='Weight tables'!$B$24:$B$27)*(RendicontiTrasmessiBL__2[[#This Row],[Cut percentage on real costs + USC]]&lt;='Weight tables'!$C$24:$C$27),0),1)</f>
        <v>0</v>
      </c>
      <c r="W986" s="2">
        <f>RendicontiTrasmessiBL__2[[#This Row],[Weight real costs  + USC ]]</f>
        <v>0</v>
      </c>
    </row>
    <row r="987" spans="1:23" x14ac:dyDescent="0.25">
      <c r="A987" s="1" t="s">
        <v>59</v>
      </c>
      <c r="B987" s="1" t="s">
        <v>21</v>
      </c>
      <c r="C987" s="2">
        <v>324</v>
      </c>
      <c r="D987" s="2">
        <v>102</v>
      </c>
      <c r="E987" s="1" t="s">
        <v>232</v>
      </c>
      <c r="G987">
        <v>36348.959999999999</v>
      </c>
      <c r="H987">
        <v>0</v>
      </c>
      <c r="I987">
        <v>0</v>
      </c>
      <c r="J987">
        <v>0</v>
      </c>
      <c r="K987">
        <v>0</v>
      </c>
      <c r="L987">
        <v>0</v>
      </c>
      <c r="M987">
        <v>0</v>
      </c>
      <c r="N987">
        <v>0</v>
      </c>
      <c r="O987">
        <v>36348.959999999999</v>
      </c>
      <c r="P987">
        <v>0</v>
      </c>
      <c r="Q987" t="str">
        <f>INDEX('Partner data'!A:DH,MATCH(C987,'Partner data'!DG:DG,0),83)</f>
        <v xml:space="preserve">Organismo di diritto pubblico </v>
      </c>
      <c r="R987" t="b">
        <f>IF(E987="staff",IF(INDEX('Partner data'!A:DH,MATCH(C987,'Partner data'!DG:DG,0),112)="BL1 non presente","FALSO",INDEX('Partner data'!A:DH,MATCH(C987,'Partner data'!DG:DG,0),112)))</f>
        <v>0</v>
      </c>
      <c r="S987" t="b">
        <f t="shared" si="30"/>
        <v>0</v>
      </c>
      <c r="T987" t="b">
        <f t="shared" si="31"/>
        <v>1</v>
      </c>
      <c r="U987" s="154">
        <f>IFERROR(IF(R987&lt;&gt;FALSE,IF(S987=TRUE,INDEX('SummaryNOT_VALIDATED-BL'!$A$1:$F$16,MATCH(R987,'SummaryNOT_VALIDATED-BL'!$A$1:$A$16,0),6),0),IF(S987=TRUE,INDEX('SummaryNOT_VALIDATED-BL'!$A$1:$F$16,MATCH(E987,'SummaryNOT_VALIDATED-BL'!$A$1:$A$16,0),6),0)),0)</f>
        <v>0</v>
      </c>
      <c r="V987" s="81" cm="1">
        <f t="array" ref="V987">INDEX('Weight tables'!$A$24:$C$27,MATCH(1,(RendicontiTrasmessiBL__2[[#This Row],[Cut percentage on real costs + USC]]&gt;='Weight tables'!$B$24:$B$27)*(RendicontiTrasmessiBL__2[[#This Row],[Cut percentage on real costs + USC]]&lt;='Weight tables'!$C$24:$C$27),0),1)</f>
        <v>0</v>
      </c>
      <c r="W987" s="2">
        <f>RendicontiTrasmessiBL__2[[#This Row],[Weight real costs  + USC ]]</f>
        <v>0</v>
      </c>
    </row>
    <row r="988" spans="1:23" x14ac:dyDescent="0.25">
      <c r="A988" s="1" t="s">
        <v>59</v>
      </c>
      <c r="B988" s="1" t="s">
        <v>21</v>
      </c>
      <c r="C988" s="2">
        <v>324</v>
      </c>
      <c r="D988" s="2">
        <v>102</v>
      </c>
      <c r="E988" s="1" t="s">
        <v>233</v>
      </c>
      <c r="G988">
        <v>0</v>
      </c>
      <c r="H988">
        <v>0</v>
      </c>
      <c r="I988">
        <v>0</v>
      </c>
      <c r="J988">
        <v>0</v>
      </c>
      <c r="K988">
        <v>0</v>
      </c>
      <c r="L988">
        <v>0</v>
      </c>
      <c r="M988">
        <v>0</v>
      </c>
      <c r="N988">
        <v>0</v>
      </c>
      <c r="O988">
        <v>0</v>
      </c>
      <c r="P988">
        <v>0</v>
      </c>
      <c r="Q988" t="str">
        <f>INDEX('Partner data'!A:DH,MATCH(C988,'Partner data'!DG:DG,0),83)</f>
        <v xml:space="preserve">Organismo di diritto pubblico </v>
      </c>
      <c r="R988" t="b">
        <f>IF(E988="staff",IF(INDEX('Partner data'!A:DH,MATCH(C988,'Partner data'!DG:DG,0),112)="BL1 non presente","FALSO",INDEX('Partner data'!A:DH,MATCH(C988,'Partner data'!DG:DG,0),112)))</f>
        <v>0</v>
      </c>
      <c r="S988" t="b">
        <f t="shared" si="30"/>
        <v>0</v>
      </c>
      <c r="T988" t="b">
        <f t="shared" si="31"/>
        <v>1</v>
      </c>
      <c r="U988" s="154">
        <f>IFERROR(IF(R988&lt;&gt;FALSE,IF(S988=TRUE,INDEX('SummaryNOT_VALIDATED-BL'!$A$1:$F$16,MATCH(R988,'SummaryNOT_VALIDATED-BL'!$A$1:$A$16,0),6),0),IF(S988=TRUE,INDEX('SummaryNOT_VALIDATED-BL'!$A$1:$F$16,MATCH(E988,'SummaryNOT_VALIDATED-BL'!$A$1:$A$16,0),6),0)),0)</f>
        <v>0</v>
      </c>
      <c r="V988" s="81" cm="1">
        <f t="array" ref="V988">INDEX('Weight tables'!$A$24:$C$27,MATCH(1,(RendicontiTrasmessiBL__2[[#This Row],[Cut percentage on real costs + USC]]&gt;='Weight tables'!$B$24:$B$27)*(RendicontiTrasmessiBL__2[[#This Row],[Cut percentage on real costs + USC]]&lt;='Weight tables'!$C$24:$C$27),0),1)</f>
        <v>0</v>
      </c>
      <c r="W988" s="2">
        <f>RendicontiTrasmessiBL__2[[#This Row],[Weight real costs  + USC ]]</f>
        <v>0</v>
      </c>
    </row>
    <row r="989" spans="1:23" x14ac:dyDescent="0.25">
      <c r="A989" s="1" t="s">
        <v>59</v>
      </c>
      <c r="B989" s="1" t="s">
        <v>21</v>
      </c>
      <c r="C989" s="2">
        <v>324</v>
      </c>
      <c r="D989" s="2">
        <v>102</v>
      </c>
      <c r="E989" s="1" t="s">
        <v>234</v>
      </c>
      <c r="G989">
        <v>0</v>
      </c>
      <c r="H989">
        <v>0</v>
      </c>
      <c r="I989">
        <v>0</v>
      </c>
      <c r="J989">
        <v>0</v>
      </c>
      <c r="K989">
        <v>0</v>
      </c>
      <c r="L989">
        <v>0</v>
      </c>
      <c r="M989">
        <v>0</v>
      </c>
      <c r="N989">
        <v>0</v>
      </c>
      <c r="O989">
        <v>0</v>
      </c>
      <c r="P989">
        <v>0</v>
      </c>
      <c r="Q989" t="str">
        <f>INDEX('Partner data'!A:DH,MATCH(C989,'Partner data'!DG:DG,0),83)</f>
        <v xml:space="preserve">Organismo di diritto pubblico </v>
      </c>
      <c r="R989" t="b">
        <f>IF(E989="staff",IF(INDEX('Partner data'!A:DH,MATCH(C989,'Partner data'!DG:DG,0),112)="BL1 non presente","FALSO",INDEX('Partner data'!A:DH,MATCH(C989,'Partner data'!DG:DG,0),112)))</f>
        <v>0</v>
      </c>
      <c r="S989" t="b">
        <f t="shared" si="30"/>
        <v>0</v>
      </c>
      <c r="T989" t="b">
        <f t="shared" si="31"/>
        <v>1</v>
      </c>
      <c r="U989" s="154">
        <f>IFERROR(IF(R989&lt;&gt;FALSE,IF(S989=TRUE,INDEX('SummaryNOT_VALIDATED-BL'!$A$1:$F$16,MATCH(R989,'SummaryNOT_VALIDATED-BL'!$A$1:$A$16,0),6),0),IF(S989=TRUE,INDEX('SummaryNOT_VALIDATED-BL'!$A$1:$F$16,MATCH(E989,'SummaryNOT_VALIDATED-BL'!$A$1:$A$16,0),6),0)),0)</f>
        <v>0</v>
      </c>
      <c r="V989" s="81" cm="1">
        <f t="array" ref="V989">INDEX('Weight tables'!$A$24:$C$27,MATCH(1,(RendicontiTrasmessiBL__2[[#This Row],[Cut percentage on real costs + USC]]&gt;='Weight tables'!$B$24:$B$27)*(RendicontiTrasmessiBL__2[[#This Row],[Cut percentage on real costs + USC]]&lt;='Weight tables'!$C$24:$C$27),0),1)</f>
        <v>0</v>
      </c>
      <c r="W989" s="2">
        <f>RendicontiTrasmessiBL__2[[#This Row],[Weight real costs  + USC ]]</f>
        <v>0</v>
      </c>
    </row>
    <row r="990" spans="1:23" x14ac:dyDescent="0.25">
      <c r="A990" s="1" t="s">
        <v>59</v>
      </c>
      <c r="B990" s="1" t="s">
        <v>21</v>
      </c>
      <c r="C990" s="2">
        <v>324</v>
      </c>
      <c r="D990" s="2">
        <v>102</v>
      </c>
      <c r="E990" s="1" t="s">
        <v>236</v>
      </c>
      <c r="G990">
        <v>0</v>
      </c>
      <c r="H990">
        <v>0</v>
      </c>
      <c r="I990">
        <v>0</v>
      </c>
      <c r="J990">
        <v>0</v>
      </c>
      <c r="K990">
        <v>0</v>
      </c>
      <c r="L990">
        <v>0</v>
      </c>
      <c r="M990">
        <v>0</v>
      </c>
      <c r="N990">
        <v>0</v>
      </c>
      <c r="O990">
        <v>0</v>
      </c>
      <c r="P990">
        <v>0</v>
      </c>
      <c r="Q990" t="str">
        <f>INDEX('Partner data'!A:DH,MATCH(C990,'Partner data'!DG:DG,0),83)</f>
        <v xml:space="preserve">Organismo di diritto pubblico </v>
      </c>
      <c r="R990" t="b">
        <f>IF(E990="staff",IF(INDEX('Partner data'!A:DH,MATCH(C990,'Partner data'!DG:DG,0),112)="BL1 non presente","FALSO",INDEX('Partner data'!A:DH,MATCH(C990,'Partner data'!DG:DG,0),112)))</f>
        <v>0</v>
      </c>
      <c r="S990" t="b">
        <f t="shared" si="30"/>
        <v>0</v>
      </c>
      <c r="T990" t="b">
        <f t="shared" si="31"/>
        <v>1</v>
      </c>
      <c r="U990" s="154">
        <f>IFERROR(IF(R990&lt;&gt;FALSE,IF(S990=TRUE,INDEX('SummaryNOT_VALIDATED-BL'!$A$1:$F$16,MATCH(R990,'SummaryNOT_VALIDATED-BL'!$A$1:$A$16,0),6),0),IF(S990=TRUE,INDEX('SummaryNOT_VALIDATED-BL'!$A$1:$F$16,MATCH(E990,'SummaryNOT_VALIDATED-BL'!$A$1:$A$16,0),6),0)),0)</f>
        <v>0</v>
      </c>
      <c r="V990" s="81" cm="1">
        <f t="array" ref="V990">INDEX('Weight tables'!$A$24:$C$27,MATCH(1,(RendicontiTrasmessiBL__2[[#This Row],[Cut percentage on real costs + USC]]&gt;='Weight tables'!$B$24:$B$27)*(RendicontiTrasmessiBL__2[[#This Row],[Cut percentage on real costs + USC]]&lt;='Weight tables'!$C$24:$C$27),0),1)</f>
        <v>0</v>
      </c>
      <c r="W990" s="2">
        <f>RendicontiTrasmessiBL__2[[#This Row],[Weight real costs  + USC ]]</f>
        <v>0</v>
      </c>
    </row>
    <row r="991" spans="1:23" x14ac:dyDescent="0.25">
      <c r="A991" s="1" t="s">
        <v>59</v>
      </c>
      <c r="B991" s="1" t="s">
        <v>21</v>
      </c>
      <c r="C991" s="2">
        <v>324</v>
      </c>
      <c r="D991" s="2">
        <v>102</v>
      </c>
      <c r="E991" s="1" t="s">
        <v>237</v>
      </c>
      <c r="G991">
        <v>0</v>
      </c>
      <c r="H991">
        <v>0</v>
      </c>
      <c r="I991">
        <v>0</v>
      </c>
      <c r="J991">
        <v>0</v>
      </c>
      <c r="K991">
        <v>0</v>
      </c>
      <c r="L991">
        <v>0</v>
      </c>
      <c r="M991">
        <v>0</v>
      </c>
      <c r="N991">
        <v>0</v>
      </c>
      <c r="O991">
        <v>0</v>
      </c>
      <c r="P991">
        <v>0</v>
      </c>
      <c r="Q991" t="str">
        <f>INDEX('Partner data'!A:DH,MATCH(C991,'Partner data'!DG:DG,0),83)</f>
        <v xml:space="preserve">Organismo di diritto pubblico </v>
      </c>
      <c r="R991" t="b">
        <f>IF(E991="staff",IF(INDEX('Partner data'!A:DH,MATCH(C991,'Partner data'!DG:DG,0),112)="BL1 non presente","FALSO",INDEX('Partner data'!A:DH,MATCH(C991,'Partner data'!DG:DG,0),112)))</f>
        <v>0</v>
      </c>
      <c r="S991" t="b">
        <f t="shared" si="30"/>
        <v>0</v>
      </c>
      <c r="T991" t="b">
        <f t="shared" si="31"/>
        <v>1</v>
      </c>
      <c r="U991" s="154">
        <f>IFERROR(IF(R991&lt;&gt;FALSE,IF(S991=TRUE,INDEX('SummaryNOT_VALIDATED-BL'!$A$1:$F$16,MATCH(R991,'SummaryNOT_VALIDATED-BL'!$A$1:$A$16,0),6),0),IF(S991=TRUE,INDEX('SummaryNOT_VALIDATED-BL'!$A$1:$F$16,MATCH(E991,'SummaryNOT_VALIDATED-BL'!$A$1:$A$16,0),6),0)),0)</f>
        <v>0</v>
      </c>
      <c r="V991" s="81" cm="1">
        <f t="array" ref="V991">INDEX('Weight tables'!$A$24:$C$27,MATCH(1,(RendicontiTrasmessiBL__2[[#This Row],[Cut percentage on real costs + USC]]&gt;='Weight tables'!$B$24:$B$27)*(RendicontiTrasmessiBL__2[[#This Row],[Cut percentage on real costs + USC]]&lt;='Weight tables'!$C$24:$C$27),0),1)</f>
        <v>0</v>
      </c>
      <c r="W991" s="2">
        <f>RendicontiTrasmessiBL__2[[#This Row],[Weight real costs  + USC ]]</f>
        <v>0</v>
      </c>
    </row>
    <row r="992" spans="1:23" x14ac:dyDescent="0.25">
      <c r="A992" s="1" t="s">
        <v>59</v>
      </c>
      <c r="B992" s="1" t="s">
        <v>21</v>
      </c>
      <c r="C992" s="2">
        <v>324</v>
      </c>
      <c r="D992" s="2">
        <v>163</v>
      </c>
      <c r="E992" s="1" t="s">
        <v>228</v>
      </c>
      <c r="F992">
        <v>20</v>
      </c>
      <c r="G992">
        <v>73021</v>
      </c>
      <c r="H992">
        <v>0</v>
      </c>
      <c r="I992">
        <v>0</v>
      </c>
      <c r="J992">
        <v>742.4</v>
      </c>
      <c r="K992">
        <v>0</v>
      </c>
      <c r="L992">
        <v>742.4</v>
      </c>
      <c r="M992">
        <v>742.4</v>
      </c>
      <c r="N992">
        <v>1.02</v>
      </c>
      <c r="O992">
        <v>72278.600000000006</v>
      </c>
      <c r="P992">
        <v>0</v>
      </c>
      <c r="Q992" t="str">
        <f>INDEX('Partner data'!A:DH,MATCH(C992,'Partner data'!DG:DG,0),83)</f>
        <v xml:space="preserve">Organismo di diritto pubblico </v>
      </c>
      <c r="R992" t="str">
        <f>IF(E992="staff",IF(INDEX('Partner data'!A:DH,MATCH(C992,'Partner data'!DG:DG,0),112)="BL1 non presente","FALSO",INDEX('Partner data'!A:DH,MATCH(C992,'Partner data'!DG:DG,0),112)))</f>
        <v>Tasso Forfettario 20%</v>
      </c>
      <c r="S992" t="b">
        <f t="shared" si="30"/>
        <v>1</v>
      </c>
      <c r="T992" t="b">
        <f t="shared" si="31"/>
        <v>1</v>
      </c>
      <c r="U992" s="154">
        <f>IFERROR(IF(R992&lt;&gt;FALSE,IF(S992=TRUE,INDEX('SummaryNOT_VALIDATED-BL'!$A$1:$F$16,MATCH(R992,'SummaryNOT_VALIDATED-BL'!$A$1:$A$16,0),6),0),IF(S992=TRUE,INDEX('SummaryNOT_VALIDATED-BL'!$A$1:$F$16,MATCH(E992,'SummaryNOT_VALIDATED-BL'!$A$1:$A$16,0),6),0)),0)</f>
        <v>1.2653355650533233E-2</v>
      </c>
      <c r="V992" s="81" cm="1">
        <f t="array" ref="V992">INDEX('Weight tables'!$A$24:$C$27,MATCH(1,(RendicontiTrasmessiBL__2[[#This Row],[Cut percentage on real costs + USC]]&gt;='Weight tables'!$B$24:$B$27)*(RendicontiTrasmessiBL__2[[#This Row],[Cut percentage on real costs + USC]]&lt;='Weight tables'!$C$24:$C$27),0),1)</f>
        <v>0</v>
      </c>
      <c r="W992" s="2">
        <f>RendicontiTrasmessiBL__2[[#This Row],[Weight real costs  + USC ]]</f>
        <v>0</v>
      </c>
    </row>
    <row r="993" spans="1:23" x14ac:dyDescent="0.25">
      <c r="A993" s="1" t="s">
        <v>59</v>
      </c>
      <c r="B993" s="1" t="s">
        <v>21</v>
      </c>
      <c r="C993" s="2">
        <v>324</v>
      </c>
      <c r="D993" s="2">
        <v>163</v>
      </c>
      <c r="E993" s="1" t="s">
        <v>229</v>
      </c>
      <c r="F993">
        <v>15</v>
      </c>
      <c r="G993">
        <v>10953.15</v>
      </c>
      <c r="H993">
        <v>0</v>
      </c>
      <c r="I993">
        <v>0</v>
      </c>
      <c r="J993">
        <v>111.36</v>
      </c>
      <c r="K993">
        <v>0</v>
      </c>
      <c r="L993">
        <v>111.36</v>
      </c>
      <c r="M993">
        <v>111.36</v>
      </c>
      <c r="N993">
        <v>1.02</v>
      </c>
      <c r="O993">
        <v>10841.79</v>
      </c>
      <c r="P993">
        <v>0</v>
      </c>
      <c r="Q993" t="str">
        <f>INDEX('Partner data'!A:DH,MATCH(C993,'Partner data'!DG:DG,0),83)</f>
        <v xml:space="preserve">Organismo di diritto pubblico </v>
      </c>
      <c r="R993" t="b">
        <f>IF(E993="staff",IF(INDEX('Partner data'!A:DH,MATCH(C993,'Partner data'!DG:DG,0),112)="BL1 non presente","FALSO",INDEX('Partner data'!A:DH,MATCH(C993,'Partner data'!DG:DG,0),112)))</f>
        <v>0</v>
      </c>
      <c r="S993" t="b">
        <f t="shared" si="30"/>
        <v>1</v>
      </c>
      <c r="T993" t="b">
        <f t="shared" si="31"/>
        <v>1</v>
      </c>
      <c r="U993" s="154">
        <f>IFERROR(IF(R993&lt;&gt;FALSE,IF(S993=TRUE,INDEX('SummaryNOT_VALIDATED-BL'!$A$1:$F$16,MATCH(R993,'SummaryNOT_VALIDATED-BL'!$A$1:$A$16,0),6),0),IF(S993=TRUE,INDEX('SummaryNOT_VALIDATED-BL'!$A$1:$F$16,MATCH(E993,'SummaryNOT_VALIDATED-BL'!$A$1:$A$16,0),6),0)),0)</f>
        <v>6.6460469504890221E-2</v>
      </c>
      <c r="V993" s="81" cm="1">
        <f t="array" ref="V993">INDEX('Weight tables'!$A$24:$C$27,MATCH(1,(RendicontiTrasmessiBL__2[[#This Row],[Cut percentage on real costs + USC]]&gt;='Weight tables'!$B$24:$B$27)*(RendicontiTrasmessiBL__2[[#This Row],[Cut percentage on real costs + USC]]&lt;='Weight tables'!$C$24:$C$27),0),1)</f>
        <v>4</v>
      </c>
      <c r="W993" s="2">
        <f>RendicontiTrasmessiBL__2[[#This Row],[Weight real costs  + USC ]]</f>
        <v>4</v>
      </c>
    </row>
    <row r="994" spans="1:23" x14ac:dyDescent="0.25">
      <c r="A994" s="1" t="s">
        <v>59</v>
      </c>
      <c r="B994" s="1" t="s">
        <v>21</v>
      </c>
      <c r="C994" s="2">
        <v>324</v>
      </c>
      <c r="D994" s="2">
        <v>163</v>
      </c>
      <c r="E994" s="1" t="s">
        <v>230</v>
      </c>
      <c r="F994">
        <v>4</v>
      </c>
      <c r="G994">
        <v>2920.84</v>
      </c>
      <c r="H994">
        <v>0</v>
      </c>
      <c r="I994">
        <v>0</v>
      </c>
      <c r="J994">
        <v>29.69</v>
      </c>
      <c r="K994">
        <v>0</v>
      </c>
      <c r="L994">
        <v>29.69</v>
      </c>
      <c r="M994">
        <v>29.69</v>
      </c>
      <c r="N994">
        <v>1.02</v>
      </c>
      <c r="O994">
        <v>2891.15</v>
      </c>
      <c r="P994">
        <v>0</v>
      </c>
      <c r="Q994" t="str">
        <f>INDEX('Partner data'!A:DH,MATCH(C994,'Partner data'!DG:DG,0),83)</f>
        <v xml:space="preserve">Organismo di diritto pubblico </v>
      </c>
      <c r="R994" t="b">
        <f>IF(E994="staff",IF(INDEX('Partner data'!A:DH,MATCH(C994,'Partner data'!DG:DG,0),112)="BL1 non presente","FALSO",INDEX('Partner data'!A:DH,MATCH(C994,'Partner data'!DG:DG,0),112)))</f>
        <v>0</v>
      </c>
      <c r="S994" t="b">
        <f t="shared" si="30"/>
        <v>1</v>
      </c>
      <c r="T994" t="b">
        <f t="shared" si="31"/>
        <v>1</v>
      </c>
      <c r="U994" s="154">
        <f>IFERROR(IF(R994&lt;&gt;FALSE,IF(S994=TRUE,INDEX('SummaryNOT_VALIDATED-BL'!$A$1:$F$16,MATCH(R994,'SummaryNOT_VALIDATED-BL'!$A$1:$A$16,0),6),0),IF(S994=TRUE,INDEX('SummaryNOT_VALIDATED-BL'!$A$1:$F$16,MATCH(E994,'SummaryNOT_VALIDATED-BL'!$A$1:$A$16,0),6),0)),0)</f>
        <v>6.3112622236488891E-2</v>
      </c>
      <c r="V994" s="81" cm="1">
        <f t="array" ref="V994">INDEX('Weight tables'!$A$24:$C$27,MATCH(1,(RendicontiTrasmessiBL__2[[#This Row],[Cut percentage on real costs + USC]]&gt;='Weight tables'!$B$24:$B$27)*(RendicontiTrasmessiBL__2[[#This Row],[Cut percentage on real costs + USC]]&lt;='Weight tables'!$C$24:$C$27),0),1)</f>
        <v>4</v>
      </c>
      <c r="W994" s="2">
        <f>RendicontiTrasmessiBL__2[[#This Row],[Weight real costs  + USC ]]</f>
        <v>4</v>
      </c>
    </row>
    <row r="995" spans="1:23" x14ac:dyDescent="0.25">
      <c r="A995" s="1" t="s">
        <v>59</v>
      </c>
      <c r="B995" s="1" t="s">
        <v>21</v>
      </c>
      <c r="C995" s="2">
        <v>324</v>
      </c>
      <c r="D995" s="2">
        <v>163</v>
      </c>
      <c r="E995" s="1" t="s">
        <v>231</v>
      </c>
      <c r="G995">
        <v>328756.05</v>
      </c>
      <c r="H995">
        <v>0</v>
      </c>
      <c r="I995">
        <v>0</v>
      </c>
      <c r="J995">
        <v>3712.03</v>
      </c>
      <c r="K995">
        <v>0</v>
      </c>
      <c r="L995">
        <v>3712.03</v>
      </c>
      <c r="M995">
        <v>3712.03</v>
      </c>
      <c r="N995">
        <v>1.1299999999999999</v>
      </c>
      <c r="O995">
        <v>325044.02</v>
      </c>
      <c r="P995">
        <v>0</v>
      </c>
      <c r="Q995" t="str">
        <f>INDEX('Partner data'!A:DH,MATCH(C995,'Partner data'!DG:DG,0),83)</f>
        <v xml:space="preserve">Organismo di diritto pubblico </v>
      </c>
      <c r="R995" t="b">
        <f>IF(E995="staff",IF(INDEX('Partner data'!A:DH,MATCH(C995,'Partner data'!DG:DG,0),112)="BL1 non presente","FALSO",INDEX('Partner data'!A:DH,MATCH(C995,'Partner data'!DG:DG,0),112)))</f>
        <v>0</v>
      </c>
      <c r="S995" t="b">
        <f t="shared" si="30"/>
        <v>1</v>
      </c>
      <c r="T995" t="b">
        <f t="shared" si="31"/>
        <v>1</v>
      </c>
      <c r="U995" s="154">
        <f>IFERROR(IF(R995&lt;&gt;FALSE,IF(S995=TRUE,INDEX('SummaryNOT_VALIDATED-BL'!$A$1:$F$16,MATCH(R995,'SummaryNOT_VALIDATED-BL'!$A$1:$A$16,0),6),0),IF(S995=TRUE,INDEX('SummaryNOT_VALIDATED-BL'!$A$1:$F$16,MATCH(E995,'SummaryNOT_VALIDATED-BL'!$A$1:$A$16,0),6),0)),0)</f>
        <v>5.577594442215475E-2</v>
      </c>
      <c r="V995" s="81" cm="1">
        <f t="array" ref="V995">INDEX('Weight tables'!$A$24:$C$27,MATCH(1,(RendicontiTrasmessiBL__2[[#This Row],[Cut percentage on real costs + USC]]&gt;='Weight tables'!$B$24:$B$27)*(RendicontiTrasmessiBL__2[[#This Row],[Cut percentage on real costs + USC]]&lt;='Weight tables'!$C$24:$C$27),0),1)</f>
        <v>4</v>
      </c>
      <c r="W995" s="2">
        <f>RendicontiTrasmessiBL__2[[#This Row],[Weight real costs  + USC ]]</f>
        <v>4</v>
      </c>
    </row>
    <row r="996" spans="1:23" x14ac:dyDescent="0.25">
      <c r="A996" s="1" t="s">
        <v>59</v>
      </c>
      <c r="B996" s="1" t="s">
        <v>21</v>
      </c>
      <c r="C996" s="2">
        <v>324</v>
      </c>
      <c r="D996" s="2">
        <v>163</v>
      </c>
      <c r="E996" s="1" t="s">
        <v>232</v>
      </c>
      <c r="G996">
        <v>36348.959999999999</v>
      </c>
      <c r="H996">
        <v>0</v>
      </c>
      <c r="I996">
        <v>0</v>
      </c>
      <c r="J996">
        <v>0</v>
      </c>
      <c r="K996">
        <v>0</v>
      </c>
      <c r="L996">
        <v>0</v>
      </c>
      <c r="M996">
        <v>0</v>
      </c>
      <c r="N996">
        <v>0</v>
      </c>
      <c r="O996">
        <v>36348.959999999999</v>
      </c>
      <c r="P996">
        <v>0</v>
      </c>
      <c r="Q996" t="str">
        <f>INDEX('Partner data'!A:DH,MATCH(C996,'Partner data'!DG:DG,0),83)</f>
        <v xml:space="preserve">Organismo di diritto pubblico </v>
      </c>
      <c r="R996" t="b">
        <f>IF(E996="staff",IF(INDEX('Partner data'!A:DH,MATCH(C996,'Partner data'!DG:DG,0),112)="BL1 non presente","FALSO",INDEX('Partner data'!A:DH,MATCH(C996,'Partner data'!DG:DG,0),112)))</f>
        <v>0</v>
      </c>
      <c r="S996" t="b">
        <f t="shared" si="30"/>
        <v>0</v>
      </c>
      <c r="T996" t="b">
        <f t="shared" si="31"/>
        <v>1</v>
      </c>
      <c r="U996" s="154">
        <f>IFERROR(IF(R996&lt;&gt;FALSE,IF(S996=TRUE,INDEX('SummaryNOT_VALIDATED-BL'!$A$1:$F$16,MATCH(R996,'SummaryNOT_VALIDATED-BL'!$A$1:$A$16,0),6),0),IF(S996=TRUE,INDEX('SummaryNOT_VALIDATED-BL'!$A$1:$F$16,MATCH(E996,'SummaryNOT_VALIDATED-BL'!$A$1:$A$16,0),6),0)),0)</f>
        <v>0</v>
      </c>
      <c r="V996" s="81" cm="1">
        <f t="array" ref="V996">INDEX('Weight tables'!$A$24:$C$27,MATCH(1,(RendicontiTrasmessiBL__2[[#This Row],[Cut percentage on real costs + USC]]&gt;='Weight tables'!$B$24:$B$27)*(RendicontiTrasmessiBL__2[[#This Row],[Cut percentage on real costs + USC]]&lt;='Weight tables'!$C$24:$C$27),0),1)</f>
        <v>0</v>
      </c>
      <c r="W996" s="2">
        <f>RendicontiTrasmessiBL__2[[#This Row],[Weight real costs  + USC ]]</f>
        <v>0</v>
      </c>
    </row>
    <row r="997" spans="1:23" x14ac:dyDescent="0.25">
      <c r="A997" s="1" t="s">
        <v>59</v>
      </c>
      <c r="B997" s="1" t="s">
        <v>21</v>
      </c>
      <c r="C997" s="2">
        <v>324</v>
      </c>
      <c r="D997" s="2">
        <v>163</v>
      </c>
      <c r="E997" s="1" t="s">
        <v>233</v>
      </c>
      <c r="G997">
        <v>0</v>
      </c>
      <c r="H997">
        <v>0</v>
      </c>
      <c r="I997">
        <v>0</v>
      </c>
      <c r="J997">
        <v>0</v>
      </c>
      <c r="K997">
        <v>0</v>
      </c>
      <c r="L997">
        <v>0</v>
      </c>
      <c r="M997">
        <v>0</v>
      </c>
      <c r="N997">
        <v>0</v>
      </c>
      <c r="O997">
        <v>0</v>
      </c>
      <c r="P997">
        <v>0</v>
      </c>
      <c r="Q997" t="str">
        <f>INDEX('Partner data'!A:DH,MATCH(C997,'Partner data'!DG:DG,0),83)</f>
        <v xml:space="preserve">Organismo di diritto pubblico </v>
      </c>
      <c r="R997" t="b">
        <f>IF(E997="staff",IF(INDEX('Partner data'!A:DH,MATCH(C997,'Partner data'!DG:DG,0),112)="BL1 non presente","FALSO",INDEX('Partner data'!A:DH,MATCH(C997,'Partner data'!DG:DG,0),112)))</f>
        <v>0</v>
      </c>
      <c r="S997" t="b">
        <f t="shared" si="30"/>
        <v>0</v>
      </c>
      <c r="T997" t="b">
        <f t="shared" si="31"/>
        <v>1</v>
      </c>
      <c r="U997" s="154">
        <f>IFERROR(IF(R997&lt;&gt;FALSE,IF(S997=TRUE,INDEX('SummaryNOT_VALIDATED-BL'!$A$1:$F$16,MATCH(R997,'SummaryNOT_VALIDATED-BL'!$A$1:$A$16,0),6),0),IF(S997=TRUE,INDEX('SummaryNOT_VALIDATED-BL'!$A$1:$F$16,MATCH(E997,'SummaryNOT_VALIDATED-BL'!$A$1:$A$16,0),6),0)),0)</f>
        <v>0</v>
      </c>
      <c r="V997" s="81" cm="1">
        <f t="array" ref="V997">INDEX('Weight tables'!$A$24:$C$27,MATCH(1,(RendicontiTrasmessiBL__2[[#This Row],[Cut percentage on real costs + USC]]&gt;='Weight tables'!$B$24:$B$27)*(RendicontiTrasmessiBL__2[[#This Row],[Cut percentage on real costs + USC]]&lt;='Weight tables'!$C$24:$C$27),0),1)</f>
        <v>0</v>
      </c>
      <c r="W997" s="2">
        <f>RendicontiTrasmessiBL__2[[#This Row],[Weight real costs  + USC ]]</f>
        <v>0</v>
      </c>
    </row>
    <row r="998" spans="1:23" x14ac:dyDescent="0.25">
      <c r="A998" s="1" t="s">
        <v>59</v>
      </c>
      <c r="B998" s="1" t="s">
        <v>21</v>
      </c>
      <c r="C998" s="2">
        <v>324</v>
      </c>
      <c r="D998" s="2">
        <v>163</v>
      </c>
      <c r="E998" s="1" t="s">
        <v>234</v>
      </c>
      <c r="G998">
        <v>0</v>
      </c>
      <c r="H998">
        <v>0</v>
      </c>
      <c r="I998">
        <v>0</v>
      </c>
      <c r="J998">
        <v>0</v>
      </c>
      <c r="K998">
        <v>0</v>
      </c>
      <c r="L998">
        <v>0</v>
      </c>
      <c r="M998">
        <v>0</v>
      </c>
      <c r="N998">
        <v>0</v>
      </c>
      <c r="O998">
        <v>0</v>
      </c>
      <c r="P998">
        <v>0</v>
      </c>
      <c r="Q998" t="str">
        <f>INDEX('Partner data'!A:DH,MATCH(C998,'Partner data'!DG:DG,0),83)</f>
        <v xml:space="preserve">Organismo di diritto pubblico </v>
      </c>
      <c r="R998" t="b">
        <f>IF(E998="staff",IF(INDEX('Partner data'!A:DH,MATCH(C998,'Partner data'!DG:DG,0),112)="BL1 non presente","FALSO",INDEX('Partner data'!A:DH,MATCH(C998,'Partner data'!DG:DG,0),112)))</f>
        <v>0</v>
      </c>
      <c r="S998" t="b">
        <f t="shared" si="30"/>
        <v>0</v>
      </c>
      <c r="T998" t="b">
        <f t="shared" si="31"/>
        <v>1</v>
      </c>
      <c r="U998" s="154">
        <f>IFERROR(IF(R998&lt;&gt;FALSE,IF(S998=TRUE,INDEX('SummaryNOT_VALIDATED-BL'!$A$1:$F$16,MATCH(R998,'SummaryNOT_VALIDATED-BL'!$A$1:$A$16,0),6),0),IF(S998=TRUE,INDEX('SummaryNOT_VALIDATED-BL'!$A$1:$F$16,MATCH(E998,'SummaryNOT_VALIDATED-BL'!$A$1:$A$16,0),6),0)),0)</f>
        <v>0</v>
      </c>
      <c r="V998" s="81" cm="1">
        <f t="array" ref="V998">INDEX('Weight tables'!$A$24:$C$27,MATCH(1,(RendicontiTrasmessiBL__2[[#This Row],[Cut percentage on real costs + USC]]&gt;='Weight tables'!$B$24:$B$27)*(RendicontiTrasmessiBL__2[[#This Row],[Cut percentage on real costs + USC]]&lt;='Weight tables'!$C$24:$C$27),0),1)</f>
        <v>0</v>
      </c>
      <c r="W998" s="2">
        <f>RendicontiTrasmessiBL__2[[#This Row],[Weight real costs  + USC ]]</f>
        <v>0</v>
      </c>
    </row>
    <row r="999" spans="1:23" x14ac:dyDescent="0.25">
      <c r="A999" s="1" t="s">
        <v>59</v>
      </c>
      <c r="B999" s="1" t="s">
        <v>21</v>
      </c>
      <c r="C999" s="2">
        <v>324</v>
      </c>
      <c r="D999" s="2">
        <v>163</v>
      </c>
      <c r="E999" s="1" t="s">
        <v>236</v>
      </c>
      <c r="G999">
        <v>0</v>
      </c>
      <c r="H999">
        <v>0</v>
      </c>
      <c r="I999">
        <v>0</v>
      </c>
      <c r="J999">
        <v>0</v>
      </c>
      <c r="K999">
        <v>0</v>
      </c>
      <c r="L999">
        <v>0</v>
      </c>
      <c r="M999">
        <v>0</v>
      </c>
      <c r="N999">
        <v>0</v>
      </c>
      <c r="O999">
        <v>0</v>
      </c>
      <c r="P999">
        <v>0</v>
      </c>
      <c r="Q999" t="str">
        <f>INDEX('Partner data'!A:DH,MATCH(C999,'Partner data'!DG:DG,0),83)</f>
        <v xml:space="preserve">Organismo di diritto pubblico </v>
      </c>
      <c r="R999" t="b">
        <f>IF(E999="staff",IF(INDEX('Partner data'!A:DH,MATCH(C999,'Partner data'!DG:DG,0),112)="BL1 non presente","FALSO",INDEX('Partner data'!A:DH,MATCH(C999,'Partner data'!DG:DG,0),112)))</f>
        <v>0</v>
      </c>
      <c r="S999" t="b">
        <f t="shared" si="30"/>
        <v>0</v>
      </c>
      <c r="T999" t="b">
        <f t="shared" si="31"/>
        <v>1</v>
      </c>
      <c r="U999" s="154">
        <f>IFERROR(IF(R999&lt;&gt;FALSE,IF(S999=TRUE,INDEX('SummaryNOT_VALIDATED-BL'!$A$1:$F$16,MATCH(R999,'SummaryNOT_VALIDATED-BL'!$A$1:$A$16,0),6),0),IF(S999=TRUE,INDEX('SummaryNOT_VALIDATED-BL'!$A$1:$F$16,MATCH(E999,'SummaryNOT_VALIDATED-BL'!$A$1:$A$16,0),6),0)),0)</f>
        <v>0</v>
      </c>
      <c r="V999" s="81" cm="1">
        <f t="array" ref="V999">INDEX('Weight tables'!$A$24:$C$27,MATCH(1,(RendicontiTrasmessiBL__2[[#This Row],[Cut percentage on real costs + USC]]&gt;='Weight tables'!$B$24:$B$27)*(RendicontiTrasmessiBL__2[[#This Row],[Cut percentage on real costs + USC]]&lt;='Weight tables'!$C$24:$C$27),0),1)</f>
        <v>0</v>
      </c>
      <c r="W999" s="2">
        <f>RendicontiTrasmessiBL__2[[#This Row],[Weight real costs  + USC ]]</f>
        <v>0</v>
      </c>
    </row>
    <row r="1000" spans="1:23" x14ac:dyDescent="0.25">
      <c r="A1000" s="1" t="s">
        <v>59</v>
      </c>
      <c r="B1000" s="1" t="s">
        <v>21</v>
      </c>
      <c r="C1000" s="2">
        <v>324</v>
      </c>
      <c r="D1000" s="2">
        <v>163</v>
      </c>
      <c r="E1000" s="1" t="s">
        <v>237</v>
      </c>
      <c r="G1000">
        <v>0</v>
      </c>
      <c r="H1000">
        <v>0</v>
      </c>
      <c r="I1000">
        <v>0</v>
      </c>
      <c r="J1000">
        <v>0</v>
      </c>
      <c r="K1000">
        <v>0</v>
      </c>
      <c r="L1000">
        <v>0</v>
      </c>
      <c r="M1000">
        <v>0</v>
      </c>
      <c r="N1000">
        <v>0</v>
      </c>
      <c r="O1000">
        <v>0</v>
      </c>
      <c r="P1000">
        <v>0</v>
      </c>
      <c r="Q1000" t="str">
        <f>INDEX('Partner data'!A:DH,MATCH(C1000,'Partner data'!DG:DG,0),83)</f>
        <v xml:space="preserve">Organismo di diritto pubblico </v>
      </c>
      <c r="R1000" t="b">
        <f>IF(E1000="staff",IF(INDEX('Partner data'!A:DH,MATCH(C1000,'Partner data'!DG:DG,0),112)="BL1 non presente","FALSO",INDEX('Partner data'!A:DH,MATCH(C1000,'Partner data'!DG:DG,0),112)))</f>
        <v>0</v>
      </c>
      <c r="S1000" t="b">
        <f t="shared" si="30"/>
        <v>0</v>
      </c>
      <c r="T1000" t="b">
        <f t="shared" si="31"/>
        <v>1</v>
      </c>
      <c r="U1000" s="154">
        <f>IFERROR(IF(R1000&lt;&gt;FALSE,IF(S1000=TRUE,INDEX('SummaryNOT_VALIDATED-BL'!$A$1:$F$16,MATCH(R1000,'SummaryNOT_VALIDATED-BL'!$A$1:$A$16,0),6),0),IF(S1000=TRUE,INDEX('SummaryNOT_VALIDATED-BL'!$A$1:$F$16,MATCH(E1000,'SummaryNOT_VALIDATED-BL'!$A$1:$A$16,0),6),0)),0)</f>
        <v>0</v>
      </c>
      <c r="V1000" s="81" cm="1">
        <f t="array" ref="V1000">INDEX('Weight tables'!$A$24:$C$27,MATCH(1,(RendicontiTrasmessiBL__2[[#This Row],[Cut percentage on real costs + USC]]&gt;='Weight tables'!$B$24:$B$27)*(RendicontiTrasmessiBL__2[[#This Row],[Cut percentage on real costs + USC]]&lt;='Weight tables'!$C$24:$C$27),0),1)</f>
        <v>0</v>
      </c>
      <c r="W1000" s="2">
        <f>RendicontiTrasmessiBL__2[[#This Row],[Weight real costs  + USC ]]</f>
        <v>0</v>
      </c>
    </row>
    <row r="1001" spans="1:23" x14ac:dyDescent="0.25">
      <c r="A1001" s="1" t="s">
        <v>59</v>
      </c>
      <c r="B1001" s="1" t="s">
        <v>382</v>
      </c>
      <c r="C1001" s="2">
        <v>322</v>
      </c>
      <c r="D1001" s="2">
        <v>108</v>
      </c>
      <c r="E1001" s="1" t="s">
        <v>228</v>
      </c>
      <c r="G1001">
        <v>0</v>
      </c>
      <c r="H1001">
        <v>0</v>
      </c>
      <c r="I1001">
        <v>0</v>
      </c>
      <c r="J1001">
        <v>0</v>
      </c>
      <c r="K1001">
        <v>0</v>
      </c>
      <c r="L1001">
        <v>0</v>
      </c>
      <c r="M1001">
        <v>0</v>
      </c>
      <c r="N1001">
        <v>0</v>
      </c>
      <c r="O1001">
        <v>0</v>
      </c>
      <c r="P1001">
        <v>0</v>
      </c>
      <c r="Q1001" t="str">
        <f>INDEX('Partner data'!A:DH,MATCH(C1001,'Partner data'!DG:DG,0),83)</f>
        <v>Soggetto pubblico</v>
      </c>
      <c r="R1001" t="str">
        <f>IF(E1001="staff",IF(INDEX('Partner data'!A:DH,MATCH(C1001,'Partner data'!DG:DG,0),112)="BL1 non presente","FALSO",INDEX('Partner data'!A:DH,MATCH(C1001,'Partner data'!DG:DG,0),112)))</f>
        <v>FALSO</v>
      </c>
      <c r="S1001" t="b">
        <f t="shared" si="30"/>
        <v>0</v>
      </c>
      <c r="T1001" t="b">
        <f t="shared" si="31"/>
        <v>1</v>
      </c>
      <c r="U1001" s="154">
        <f>IFERROR(IF(R1001&lt;&gt;FALSE,IF(S1001=TRUE,INDEX('SummaryNOT_VALIDATED-BL'!$A$1:$F$16,MATCH(R1001,'SummaryNOT_VALIDATED-BL'!$A$1:$A$16,0),6),0),IF(S1001=TRUE,INDEX('SummaryNOT_VALIDATED-BL'!$A$1:$F$16,MATCH(E1001,'SummaryNOT_VALIDATED-BL'!$A$1:$A$16,0),6),0)),0)</f>
        <v>0</v>
      </c>
      <c r="V1001" s="81" cm="1">
        <f t="array" ref="V1001">INDEX('Weight tables'!$A$24:$C$27,MATCH(1,(RendicontiTrasmessiBL__2[[#This Row],[Cut percentage on real costs + USC]]&gt;='Weight tables'!$B$24:$B$27)*(RendicontiTrasmessiBL__2[[#This Row],[Cut percentage on real costs + USC]]&lt;='Weight tables'!$C$24:$C$27),0),1)</f>
        <v>0</v>
      </c>
      <c r="W1001" s="2">
        <f>RendicontiTrasmessiBL__2[[#This Row],[Weight real costs  + USC ]]</f>
        <v>0</v>
      </c>
    </row>
    <row r="1002" spans="1:23" x14ac:dyDescent="0.25">
      <c r="A1002" s="1" t="s">
        <v>59</v>
      </c>
      <c r="B1002" s="1" t="s">
        <v>382</v>
      </c>
      <c r="C1002" s="2">
        <v>322</v>
      </c>
      <c r="D1002" s="2">
        <v>108</v>
      </c>
      <c r="E1002" s="1" t="s">
        <v>229</v>
      </c>
      <c r="G1002">
        <v>0</v>
      </c>
      <c r="H1002">
        <v>0</v>
      </c>
      <c r="I1002">
        <v>0</v>
      </c>
      <c r="J1002">
        <v>0</v>
      </c>
      <c r="K1002">
        <v>0</v>
      </c>
      <c r="L1002">
        <v>0</v>
      </c>
      <c r="M1002">
        <v>0</v>
      </c>
      <c r="N1002">
        <v>0</v>
      </c>
      <c r="O1002">
        <v>0</v>
      </c>
      <c r="P1002">
        <v>0</v>
      </c>
      <c r="Q1002" t="str">
        <f>INDEX('Partner data'!A:DH,MATCH(C1002,'Partner data'!DG:DG,0),83)</f>
        <v>Soggetto pubblico</v>
      </c>
      <c r="R1002" t="b">
        <f>IF(E1002="staff",IF(INDEX('Partner data'!A:DH,MATCH(C1002,'Partner data'!DG:DG,0),112)="BL1 non presente","FALSO",INDEX('Partner data'!A:DH,MATCH(C1002,'Partner data'!DG:DG,0),112)))</f>
        <v>0</v>
      </c>
      <c r="S1002" t="b">
        <f t="shared" si="30"/>
        <v>0</v>
      </c>
      <c r="T1002" t="b">
        <f t="shared" si="31"/>
        <v>1</v>
      </c>
      <c r="U1002" s="154">
        <f>IFERROR(IF(R1002&lt;&gt;FALSE,IF(S1002=TRUE,INDEX('SummaryNOT_VALIDATED-BL'!$A$1:$F$16,MATCH(R1002,'SummaryNOT_VALIDATED-BL'!$A$1:$A$16,0),6),0),IF(S1002=TRUE,INDEX('SummaryNOT_VALIDATED-BL'!$A$1:$F$16,MATCH(E1002,'SummaryNOT_VALIDATED-BL'!$A$1:$A$16,0),6),0)),0)</f>
        <v>0</v>
      </c>
      <c r="V1002" s="81" cm="1">
        <f t="array" ref="V1002">INDEX('Weight tables'!$A$24:$C$27,MATCH(1,(RendicontiTrasmessiBL__2[[#This Row],[Cut percentage on real costs + USC]]&gt;='Weight tables'!$B$24:$B$27)*(RendicontiTrasmessiBL__2[[#This Row],[Cut percentage on real costs + USC]]&lt;='Weight tables'!$C$24:$C$27),0),1)</f>
        <v>0</v>
      </c>
      <c r="W1002" s="2">
        <f>RendicontiTrasmessiBL__2[[#This Row],[Weight real costs  + USC ]]</f>
        <v>0</v>
      </c>
    </row>
    <row r="1003" spans="1:23" x14ac:dyDescent="0.25">
      <c r="A1003" s="1" t="s">
        <v>59</v>
      </c>
      <c r="B1003" s="1" t="s">
        <v>382</v>
      </c>
      <c r="C1003" s="2">
        <v>322</v>
      </c>
      <c r="D1003" s="2">
        <v>108</v>
      </c>
      <c r="E1003" s="1" t="s">
        <v>230</v>
      </c>
      <c r="G1003">
        <v>0</v>
      </c>
      <c r="H1003">
        <v>0</v>
      </c>
      <c r="I1003">
        <v>0</v>
      </c>
      <c r="J1003">
        <v>0</v>
      </c>
      <c r="K1003">
        <v>0</v>
      </c>
      <c r="L1003">
        <v>0</v>
      </c>
      <c r="M1003">
        <v>0</v>
      </c>
      <c r="N1003">
        <v>0</v>
      </c>
      <c r="O1003">
        <v>0</v>
      </c>
      <c r="P1003">
        <v>0</v>
      </c>
      <c r="Q1003" t="str">
        <f>INDEX('Partner data'!A:DH,MATCH(C1003,'Partner data'!DG:DG,0),83)</f>
        <v>Soggetto pubblico</v>
      </c>
      <c r="R1003" t="b">
        <f>IF(E1003="staff",IF(INDEX('Partner data'!A:DH,MATCH(C1003,'Partner data'!DG:DG,0),112)="BL1 non presente","FALSO",INDEX('Partner data'!A:DH,MATCH(C1003,'Partner data'!DG:DG,0),112)))</f>
        <v>0</v>
      </c>
      <c r="S1003" t="b">
        <f t="shared" si="30"/>
        <v>0</v>
      </c>
      <c r="T1003" t="b">
        <f t="shared" si="31"/>
        <v>1</v>
      </c>
      <c r="U1003" s="154">
        <f>IFERROR(IF(R1003&lt;&gt;FALSE,IF(S1003=TRUE,INDEX('SummaryNOT_VALIDATED-BL'!$A$1:$F$16,MATCH(R1003,'SummaryNOT_VALIDATED-BL'!$A$1:$A$16,0),6),0),IF(S1003=TRUE,INDEX('SummaryNOT_VALIDATED-BL'!$A$1:$F$16,MATCH(E1003,'SummaryNOT_VALIDATED-BL'!$A$1:$A$16,0),6),0)),0)</f>
        <v>0</v>
      </c>
      <c r="V1003" s="81" cm="1">
        <f t="array" ref="V1003">INDEX('Weight tables'!$A$24:$C$27,MATCH(1,(RendicontiTrasmessiBL__2[[#This Row],[Cut percentage on real costs + USC]]&gt;='Weight tables'!$B$24:$B$27)*(RendicontiTrasmessiBL__2[[#This Row],[Cut percentage on real costs + USC]]&lt;='Weight tables'!$C$24:$C$27),0),1)</f>
        <v>0</v>
      </c>
      <c r="W1003" s="2">
        <f>RendicontiTrasmessiBL__2[[#This Row],[Weight real costs  + USC ]]</f>
        <v>0</v>
      </c>
    </row>
    <row r="1004" spans="1:23" x14ac:dyDescent="0.25">
      <c r="A1004" s="1" t="s">
        <v>59</v>
      </c>
      <c r="B1004" s="1" t="s">
        <v>382</v>
      </c>
      <c r="C1004" s="2">
        <v>322</v>
      </c>
      <c r="D1004" s="2">
        <v>108</v>
      </c>
      <c r="E1004" s="1" t="s">
        <v>231</v>
      </c>
      <c r="G1004">
        <v>325400</v>
      </c>
      <c r="H1004">
        <v>0</v>
      </c>
      <c r="I1004">
        <v>0</v>
      </c>
      <c r="J1004">
        <v>0</v>
      </c>
      <c r="K1004">
        <v>0</v>
      </c>
      <c r="L1004">
        <v>0</v>
      </c>
      <c r="M1004">
        <v>0</v>
      </c>
      <c r="N1004">
        <v>0</v>
      </c>
      <c r="O1004">
        <v>325400</v>
      </c>
      <c r="P1004">
        <v>0</v>
      </c>
      <c r="Q1004" t="str">
        <f>INDEX('Partner data'!A:DH,MATCH(C1004,'Partner data'!DG:DG,0),83)</f>
        <v>Soggetto pubblico</v>
      </c>
      <c r="R1004" t="b">
        <f>IF(E1004="staff",IF(INDEX('Partner data'!A:DH,MATCH(C1004,'Partner data'!DG:DG,0),112)="BL1 non presente","FALSO",INDEX('Partner data'!A:DH,MATCH(C1004,'Partner data'!DG:DG,0),112)))</f>
        <v>0</v>
      </c>
      <c r="S1004" t="b">
        <f t="shared" si="30"/>
        <v>0</v>
      </c>
      <c r="T1004" t="b">
        <f t="shared" si="31"/>
        <v>1</v>
      </c>
      <c r="U1004" s="154">
        <f>IFERROR(IF(R1004&lt;&gt;FALSE,IF(S1004=TRUE,INDEX('SummaryNOT_VALIDATED-BL'!$A$1:$F$16,MATCH(R1004,'SummaryNOT_VALIDATED-BL'!$A$1:$A$16,0),6),0),IF(S1004=TRUE,INDEX('SummaryNOT_VALIDATED-BL'!$A$1:$F$16,MATCH(E1004,'SummaryNOT_VALIDATED-BL'!$A$1:$A$16,0),6),0)),0)</f>
        <v>0</v>
      </c>
      <c r="V1004" s="81" cm="1">
        <f t="array" ref="V1004">INDEX('Weight tables'!$A$24:$C$27,MATCH(1,(RendicontiTrasmessiBL__2[[#This Row],[Cut percentage on real costs + USC]]&gt;='Weight tables'!$B$24:$B$27)*(RendicontiTrasmessiBL__2[[#This Row],[Cut percentage on real costs + USC]]&lt;='Weight tables'!$C$24:$C$27),0),1)</f>
        <v>0</v>
      </c>
      <c r="W1004" s="2">
        <f>RendicontiTrasmessiBL__2[[#This Row],[Weight real costs  + USC ]]</f>
        <v>0</v>
      </c>
    </row>
    <row r="1005" spans="1:23" x14ac:dyDescent="0.25">
      <c r="A1005" s="1" t="s">
        <v>59</v>
      </c>
      <c r="B1005" s="1" t="s">
        <v>382</v>
      </c>
      <c r="C1005" s="2">
        <v>322</v>
      </c>
      <c r="D1005" s="2">
        <v>108</v>
      </c>
      <c r="E1005" s="1" t="s">
        <v>232</v>
      </c>
      <c r="G1005">
        <v>8600</v>
      </c>
      <c r="H1005">
        <v>0</v>
      </c>
      <c r="I1005">
        <v>0</v>
      </c>
      <c r="J1005">
        <v>0</v>
      </c>
      <c r="K1005">
        <v>0</v>
      </c>
      <c r="L1005">
        <v>0</v>
      </c>
      <c r="M1005">
        <v>0</v>
      </c>
      <c r="N1005">
        <v>0</v>
      </c>
      <c r="O1005">
        <v>8600</v>
      </c>
      <c r="P1005">
        <v>0</v>
      </c>
      <c r="Q1005" t="str">
        <f>INDEX('Partner data'!A:DH,MATCH(C1005,'Partner data'!DG:DG,0),83)</f>
        <v>Soggetto pubblico</v>
      </c>
      <c r="R1005" t="b">
        <f>IF(E1005="staff",IF(INDEX('Partner data'!A:DH,MATCH(C1005,'Partner data'!DG:DG,0),112)="BL1 non presente","FALSO",INDEX('Partner data'!A:DH,MATCH(C1005,'Partner data'!DG:DG,0),112)))</f>
        <v>0</v>
      </c>
      <c r="S1005" t="b">
        <f t="shared" si="30"/>
        <v>0</v>
      </c>
      <c r="T1005" t="b">
        <f t="shared" si="31"/>
        <v>1</v>
      </c>
      <c r="U1005" s="154">
        <f>IFERROR(IF(R1005&lt;&gt;FALSE,IF(S1005=TRUE,INDEX('SummaryNOT_VALIDATED-BL'!$A$1:$F$16,MATCH(R1005,'SummaryNOT_VALIDATED-BL'!$A$1:$A$16,0),6),0),IF(S1005=TRUE,INDEX('SummaryNOT_VALIDATED-BL'!$A$1:$F$16,MATCH(E1005,'SummaryNOT_VALIDATED-BL'!$A$1:$A$16,0),6),0)),0)</f>
        <v>0</v>
      </c>
      <c r="V1005" s="81" cm="1">
        <f t="array" ref="V1005">INDEX('Weight tables'!$A$24:$C$27,MATCH(1,(RendicontiTrasmessiBL__2[[#This Row],[Cut percentage on real costs + USC]]&gt;='Weight tables'!$B$24:$B$27)*(RendicontiTrasmessiBL__2[[#This Row],[Cut percentage on real costs + USC]]&lt;='Weight tables'!$C$24:$C$27),0),1)</f>
        <v>0</v>
      </c>
      <c r="W1005" s="2">
        <f>RendicontiTrasmessiBL__2[[#This Row],[Weight real costs  + USC ]]</f>
        <v>0</v>
      </c>
    </row>
    <row r="1006" spans="1:23" x14ac:dyDescent="0.25">
      <c r="A1006" s="1" t="s">
        <v>59</v>
      </c>
      <c r="B1006" s="1" t="s">
        <v>382</v>
      </c>
      <c r="C1006" s="2">
        <v>322</v>
      </c>
      <c r="D1006" s="2">
        <v>108</v>
      </c>
      <c r="E1006" s="1" t="s">
        <v>233</v>
      </c>
      <c r="G1006">
        <v>0</v>
      </c>
      <c r="H1006">
        <v>0</v>
      </c>
      <c r="I1006">
        <v>0</v>
      </c>
      <c r="J1006">
        <v>0</v>
      </c>
      <c r="K1006">
        <v>0</v>
      </c>
      <c r="L1006">
        <v>0</v>
      </c>
      <c r="M1006">
        <v>0</v>
      </c>
      <c r="N1006">
        <v>0</v>
      </c>
      <c r="O1006">
        <v>0</v>
      </c>
      <c r="P1006">
        <v>0</v>
      </c>
      <c r="Q1006" t="str">
        <f>INDEX('Partner data'!A:DH,MATCH(C1006,'Partner data'!DG:DG,0),83)</f>
        <v>Soggetto pubblico</v>
      </c>
      <c r="R1006" t="b">
        <f>IF(E1006="staff",IF(INDEX('Partner data'!A:DH,MATCH(C1006,'Partner data'!DG:DG,0),112)="BL1 non presente","FALSO",INDEX('Partner data'!A:DH,MATCH(C1006,'Partner data'!DG:DG,0),112)))</f>
        <v>0</v>
      </c>
      <c r="S1006" t="b">
        <f t="shared" si="30"/>
        <v>0</v>
      </c>
      <c r="T1006" t="b">
        <f t="shared" si="31"/>
        <v>1</v>
      </c>
      <c r="U1006" s="154">
        <f>IFERROR(IF(R1006&lt;&gt;FALSE,IF(S1006=TRUE,INDEX('SummaryNOT_VALIDATED-BL'!$A$1:$F$16,MATCH(R1006,'SummaryNOT_VALIDATED-BL'!$A$1:$A$16,0),6),0),IF(S1006=TRUE,INDEX('SummaryNOT_VALIDATED-BL'!$A$1:$F$16,MATCH(E1006,'SummaryNOT_VALIDATED-BL'!$A$1:$A$16,0),6),0)),0)</f>
        <v>0</v>
      </c>
      <c r="V1006" s="81" cm="1">
        <f t="array" ref="V1006">INDEX('Weight tables'!$A$24:$C$27,MATCH(1,(RendicontiTrasmessiBL__2[[#This Row],[Cut percentage on real costs + USC]]&gt;='Weight tables'!$B$24:$B$27)*(RendicontiTrasmessiBL__2[[#This Row],[Cut percentage on real costs + USC]]&lt;='Weight tables'!$C$24:$C$27),0),1)</f>
        <v>0</v>
      </c>
      <c r="W1006" s="2">
        <f>RendicontiTrasmessiBL__2[[#This Row],[Weight real costs  + USC ]]</f>
        <v>0</v>
      </c>
    </row>
    <row r="1007" spans="1:23" x14ac:dyDescent="0.25">
      <c r="A1007" s="1" t="s">
        <v>59</v>
      </c>
      <c r="B1007" s="1" t="s">
        <v>382</v>
      </c>
      <c r="C1007" s="2">
        <v>322</v>
      </c>
      <c r="D1007" s="2">
        <v>108</v>
      </c>
      <c r="E1007" s="1" t="s">
        <v>234</v>
      </c>
      <c r="G1007">
        <v>0</v>
      </c>
      <c r="H1007">
        <v>0</v>
      </c>
      <c r="I1007">
        <v>0</v>
      </c>
      <c r="J1007">
        <v>0</v>
      </c>
      <c r="K1007">
        <v>0</v>
      </c>
      <c r="L1007">
        <v>0</v>
      </c>
      <c r="M1007">
        <v>0</v>
      </c>
      <c r="N1007">
        <v>0</v>
      </c>
      <c r="O1007">
        <v>0</v>
      </c>
      <c r="P1007">
        <v>0</v>
      </c>
      <c r="Q1007" t="str">
        <f>INDEX('Partner data'!A:DH,MATCH(C1007,'Partner data'!DG:DG,0),83)</f>
        <v>Soggetto pubblico</v>
      </c>
      <c r="R1007" t="b">
        <f>IF(E1007="staff",IF(INDEX('Partner data'!A:DH,MATCH(C1007,'Partner data'!DG:DG,0),112)="BL1 non presente","FALSO",INDEX('Partner data'!A:DH,MATCH(C1007,'Partner data'!DG:DG,0),112)))</f>
        <v>0</v>
      </c>
      <c r="S1007" t="b">
        <f t="shared" si="30"/>
        <v>0</v>
      </c>
      <c r="T1007" t="b">
        <f t="shared" si="31"/>
        <v>1</v>
      </c>
      <c r="U1007" s="154">
        <f>IFERROR(IF(R1007&lt;&gt;FALSE,IF(S1007=TRUE,INDEX('SummaryNOT_VALIDATED-BL'!$A$1:$F$16,MATCH(R1007,'SummaryNOT_VALIDATED-BL'!$A$1:$A$16,0),6),0),IF(S1007=TRUE,INDEX('SummaryNOT_VALIDATED-BL'!$A$1:$F$16,MATCH(E1007,'SummaryNOT_VALIDATED-BL'!$A$1:$A$16,0),6),0)),0)</f>
        <v>0</v>
      </c>
      <c r="V1007" s="81" cm="1">
        <f t="array" ref="V1007">INDEX('Weight tables'!$A$24:$C$27,MATCH(1,(RendicontiTrasmessiBL__2[[#This Row],[Cut percentage on real costs + USC]]&gt;='Weight tables'!$B$24:$B$27)*(RendicontiTrasmessiBL__2[[#This Row],[Cut percentage on real costs + USC]]&lt;='Weight tables'!$C$24:$C$27),0),1)</f>
        <v>0</v>
      </c>
      <c r="W1007" s="2">
        <f>RendicontiTrasmessiBL__2[[#This Row],[Weight real costs  + USC ]]</f>
        <v>0</v>
      </c>
    </row>
    <row r="1008" spans="1:23" x14ac:dyDescent="0.25">
      <c r="A1008" s="1" t="s">
        <v>59</v>
      </c>
      <c r="B1008" s="1" t="s">
        <v>382</v>
      </c>
      <c r="C1008" s="2">
        <v>322</v>
      </c>
      <c r="D1008" s="2">
        <v>108</v>
      </c>
      <c r="E1008" s="1" t="s">
        <v>236</v>
      </c>
      <c r="G1008">
        <v>0</v>
      </c>
      <c r="H1008">
        <v>0</v>
      </c>
      <c r="I1008">
        <v>0</v>
      </c>
      <c r="J1008">
        <v>0</v>
      </c>
      <c r="K1008">
        <v>0</v>
      </c>
      <c r="L1008">
        <v>0</v>
      </c>
      <c r="M1008">
        <v>0</v>
      </c>
      <c r="N1008">
        <v>0</v>
      </c>
      <c r="O1008">
        <v>0</v>
      </c>
      <c r="P1008">
        <v>0</v>
      </c>
      <c r="Q1008" t="str">
        <f>INDEX('Partner data'!A:DH,MATCH(C1008,'Partner data'!DG:DG,0),83)</f>
        <v>Soggetto pubblico</v>
      </c>
      <c r="R1008" t="b">
        <f>IF(E1008="staff",IF(INDEX('Partner data'!A:DH,MATCH(C1008,'Partner data'!DG:DG,0),112)="BL1 non presente","FALSO",INDEX('Partner data'!A:DH,MATCH(C1008,'Partner data'!DG:DG,0),112)))</f>
        <v>0</v>
      </c>
      <c r="S1008" t="b">
        <f t="shared" si="30"/>
        <v>0</v>
      </c>
      <c r="T1008" t="b">
        <f t="shared" si="31"/>
        <v>1</v>
      </c>
      <c r="U1008" s="154">
        <f>IFERROR(IF(R1008&lt;&gt;FALSE,IF(S1008=TRUE,INDEX('SummaryNOT_VALIDATED-BL'!$A$1:$F$16,MATCH(R1008,'SummaryNOT_VALIDATED-BL'!$A$1:$A$16,0),6),0),IF(S1008=TRUE,INDEX('SummaryNOT_VALIDATED-BL'!$A$1:$F$16,MATCH(E1008,'SummaryNOT_VALIDATED-BL'!$A$1:$A$16,0),6),0)),0)</f>
        <v>0</v>
      </c>
      <c r="V1008" s="81" cm="1">
        <f t="array" ref="V1008">INDEX('Weight tables'!$A$24:$C$27,MATCH(1,(RendicontiTrasmessiBL__2[[#This Row],[Cut percentage on real costs + USC]]&gt;='Weight tables'!$B$24:$B$27)*(RendicontiTrasmessiBL__2[[#This Row],[Cut percentage on real costs + USC]]&lt;='Weight tables'!$C$24:$C$27),0),1)</f>
        <v>0</v>
      </c>
      <c r="W1008" s="2">
        <f>RendicontiTrasmessiBL__2[[#This Row],[Weight real costs  + USC ]]</f>
        <v>0</v>
      </c>
    </row>
    <row r="1009" spans="1:23" x14ac:dyDescent="0.25">
      <c r="A1009" s="1" t="s">
        <v>59</v>
      </c>
      <c r="B1009" s="1" t="s">
        <v>382</v>
      </c>
      <c r="C1009" s="2">
        <v>322</v>
      </c>
      <c r="D1009" s="2">
        <v>108</v>
      </c>
      <c r="E1009" s="1" t="s">
        <v>237</v>
      </c>
      <c r="G1009">
        <v>0</v>
      </c>
      <c r="H1009">
        <v>0</v>
      </c>
      <c r="I1009">
        <v>0</v>
      </c>
      <c r="J1009">
        <v>0</v>
      </c>
      <c r="K1009">
        <v>0</v>
      </c>
      <c r="L1009">
        <v>0</v>
      </c>
      <c r="M1009">
        <v>0</v>
      </c>
      <c r="N1009">
        <v>0</v>
      </c>
      <c r="O1009">
        <v>0</v>
      </c>
      <c r="P1009">
        <v>0</v>
      </c>
      <c r="Q1009" t="str">
        <f>INDEX('Partner data'!A:DH,MATCH(C1009,'Partner data'!DG:DG,0),83)</f>
        <v>Soggetto pubblico</v>
      </c>
      <c r="R1009" t="b">
        <f>IF(E1009="staff",IF(INDEX('Partner data'!A:DH,MATCH(C1009,'Partner data'!DG:DG,0),112)="BL1 non presente","FALSO",INDEX('Partner data'!A:DH,MATCH(C1009,'Partner data'!DG:DG,0),112)))</f>
        <v>0</v>
      </c>
      <c r="S1009" t="b">
        <f t="shared" si="30"/>
        <v>0</v>
      </c>
      <c r="T1009" t="b">
        <f t="shared" si="31"/>
        <v>1</v>
      </c>
      <c r="U1009" s="154">
        <f>IFERROR(IF(R1009&lt;&gt;FALSE,IF(S1009=TRUE,INDEX('SummaryNOT_VALIDATED-BL'!$A$1:$F$16,MATCH(R1009,'SummaryNOT_VALIDATED-BL'!$A$1:$A$16,0),6),0),IF(S1009=TRUE,INDEX('SummaryNOT_VALIDATED-BL'!$A$1:$F$16,MATCH(E1009,'SummaryNOT_VALIDATED-BL'!$A$1:$A$16,0),6),0)),0)</f>
        <v>0</v>
      </c>
      <c r="V1009" s="81" cm="1">
        <f t="array" ref="V1009">INDEX('Weight tables'!$A$24:$C$27,MATCH(1,(RendicontiTrasmessiBL__2[[#This Row],[Cut percentage on real costs + USC]]&gt;='Weight tables'!$B$24:$B$27)*(RendicontiTrasmessiBL__2[[#This Row],[Cut percentage on real costs + USC]]&lt;='Weight tables'!$C$24:$C$27),0),1)</f>
        <v>0</v>
      </c>
      <c r="W1009" s="2">
        <f>RendicontiTrasmessiBL__2[[#This Row],[Weight real costs  + USC ]]</f>
        <v>0</v>
      </c>
    </row>
    <row r="1010" spans="1:23" x14ac:dyDescent="0.25">
      <c r="A1010" s="1" t="s">
        <v>59</v>
      </c>
      <c r="B1010" s="1" t="s">
        <v>382</v>
      </c>
      <c r="C1010" s="2">
        <v>322</v>
      </c>
      <c r="D1010" s="2">
        <v>167</v>
      </c>
      <c r="E1010" s="1" t="s">
        <v>228</v>
      </c>
      <c r="G1010">
        <v>0</v>
      </c>
      <c r="H1010">
        <v>0</v>
      </c>
      <c r="I1010">
        <v>0</v>
      </c>
      <c r="J1010">
        <v>0</v>
      </c>
      <c r="K1010">
        <v>0</v>
      </c>
      <c r="L1010">
        <v>0</v>
      </c>
      <c r="M1010">
        <v>0</v>
      </c>
      <c r="N1010">
        <v>0</v>
      </c>
      <c r="O1010">
        <v>0</v>
      </c>
      <c r="P1010">
        <v>0</v>
      </c>
      <c r="Q1010" t="str">
        <f>INDEX('Partner data'!A:DH,MATCH(C1010,'Partner data'!DG:DG,0),83)</f>
        <v>Soggetto pubblico</v>
      </c>
      <c r="R1010" t="str">
        <f>IF(E1010="staff",IF(INDEX('Partner data'!A:DH,MATCH(C1010,'Partner data'!DG:DG,0),112)="BL1 non presente","FALSO",INDEX('Partner data'!A:DH,MATCH(C1010,'Partner data'!DG:DG,0),112)))</f>
        <v>FALSO</v>
      </c>
      <c r="S1010" t="b">
        <f t="shared" si="30"/>
        <v>0</v>
      </c>
      <c r="T1010" t="b">
        <f t="shared" si="31"/>
        <v>1</v>
      </c>
      <c r="U1010" s="154">
        <f>IFERROR(IF(R1010&lt;&gt;FALSE,IF(S1010=TRUE,INDEX('SummaryNOT_VALIDATED-BL'!$A$1:$F$16,MATCH(R1010,'SummaryNOT_VALIDATED-BL'!$A$1:$A$16,0),6),0),IF(S1010=TRUE,INDEX('SummaryNOT_VALIDATED-BL'!$A$1:$F$16,MATCH(E1010,'SummaryNOT_VALIDATED-BL'!$A$1:$A$16,0),6),0)),0)</f>
        <v>0</v>
      </c>
      <c r="V1010" s="81" cm="1">
        <f t="array" ref="V1010">INDEX('Weight tables'!$A$24:$C$27,MATCH(1,(RendicontiTrasmessiBL__2[[#This Row],[Cut percentage on real costs + USC]]&gt;='Weight tables'!$B$24:$B$27)*(RendicontiTrasmessiBL__2[[#This Row],[Cut percentage on real costs + USC]]&lt;='Weight tables'!$C$24:$C$27),0),1)</f>
        <v>0</v>
      </c>
      <c r="W1010" s="2">
        <f>RendicontiTrasmessiBL__2[[#This Row],[Weight real costs  + USC ]]</f>
        <v>0</v>
      </c>
    </row>
    <row r="1011" spans="1:23" x14ac:dyDescent="0.25">
      <c r="A1011" s="1" t="s">
        <v>59</v>
      </c>
      <c r="B1011" s="1" t="s">
        <v>382</v>
      </c>
      <c r="C1011" s="2">
        <v>322</v>
      </c>
      <c r="D1011" s="2">
        <v>167</v>
      </c>
      <c r="E1011" s="1" t="s">
        <v>229</v>
      </c>
      <c r="G1011">
        <v>0</v>
      </c>
      <c r="H1011">
        <v>0</v>
      </c>
      <c r="I1011">
        <v>0</v>
      </c>
      <c r="J1011">
        <v>0</v>
      </c>
      <c r="K1011">
        <v>0</v>
      </c>
      <c r="L1011">
        <v>0</v>
      </c>
      <c r="M1011">
        <v>0</v>
      </c>
      <c r="N1011">
        <v>0</v>
      </c>
      <c r="O1011">
        <v>0</v>
      </c>
      <c r="P1011">
        <v>0</v>
      </c>
      <c r="Q1011" t="str">
        <f>INDEX('Partner data'!A:DH,MATCH(C1011,'Partner data'!DG:DG,0),83)</f>
        <v>Soggetto pubblico</v>
      </c>
      <c r="R1011" t="b">
        <f>IF(E1011="staff",IF(INDEX('Partner data'!A:DH,MATCH(C1011,'Partner data'!DG:DG,0),112)="BL1 non presente","FALSO",INDEX('Partner data'!A:DH,MATCH(C1011,'Partner data'!DG:DG,0),112)))</f>
        <v>0</v>
      </c>
      <c r="S1011" t="b">
        <f t="shared" si="30"/>
        <v>0</v>
      </c>
      <c r="T1011" t="b">
        <f t="shared" si="31"/>
        <v>1</v>
      </c>
      <c r="U1011" s="154">
        <f>IFERROR(IF(R1011&lt;&gt;FALSE,IF(S1011=TRUE,INDEX('SummaryNOT_VALIDATED-BL'!$A$1:$F$16,MATCH(R1011,'SummaryNOT_VALIDATED-BL'!$A$1:$A$16,0),6),0),IF(S1011=TRUE,INDEX('SummaryNOT_VALIDATED-BL'!$A$1:$F$16,MATCH(E1011,'SummaryNOT_VALIDATED-BL'!$A$1:$A$16,0),6),0)),0)</f>
        <v>0</v>
      </c>
      <c r="V1011" s="81" cm="1">
        <f t="array" ref="V1011">INDEX('Weight tables'!$A$24:$C$27,MATCH(1,(RendicontiTrasmessiBL__2[[#This Row],[Cut percentage on real costs + USC]]&gt;='Weight tables'!$B$24:$B$27)*(RendicontiTrasmessiBL__2[[#This Row],[Cut percentage on real costs + USC]]&lt;='Weight tables'!$C$24:$C$27),0),1)</f>
        <v>0</v>
      </c>
      <c r="W1011" s="2">
        <f>RendicontiTrasmessiBL__2[[#This Row],[Weight real costs  + USC ]]</f>
        <v>0</v>
      </c>
    </row>
    <row r="1012" spans="1:23" x14ac:dyDescent="0.25">
      <c r="A1012" s="1" t="s">
        <v>59</v>
      </c>
      <c r="B1012" s="1" t="s">
        <v>382</v>
      </c>
      <c r="C1012" s="2">
        <v>322</v>
      </c>
      <c r="D1012" s="2">
        <v>167</v>
      </c>
      <c r="E1012" s="1" t="s">
        <v>230</v>
      </c>
      <c r="G1012">
        <v>0</v>
      </c>
      <c r="H1012">
        <v>0</v>
      </c>
      <c r="I1012">
        <v>0</v>
      </c>
      <c r="J1012">
        <v>0</v>
      </c>
      <c r="K1012">
        <v>0</v>
      </c>
      <c r="L1012">
        <v>0</v>
      </c>
      <c r="M1012">
        <v>0</v>
      </c>
      <c r="N1012">
        <v>0</v>
      </c>
      <c r="O1012">
        <v>0</v>
      </c>
      <c r="P1012">
        <v>0</v>
      </c>
      <c r="Q1012" t="str">
        <f>INDEX('Partner data'!A:DH,MATCH(C1012,'Partner data'!DG:DG,0),83)</f>
        <v>Soggetto pubblico</v>
      </c>
      <c r="R1012" t="b">
        <f>IF(E1012="staff",IF(INDEX('Partner data'!A:DH,MATCH(C1012,'Partner data'!DG:DG,0),112)="BL1 non presente","FALSO",INDEX('Partner data'!A:DH,MATCH(C1012,'Partner data'!DG:DG,0),112)))</f>
        <v>0</v>
      </c>
      <c r="S1012" t="b">
        <f t="shared" si="30"/>
        <v>0</v>
      </c>
      <c r="T1012" t="b">
        <f t="shared" si="31"/>
        <v>1</v>
      </c>
      <c r="U1012" s="154">
        <f>IFERROR(IF(R1012&lt;&gt;FALSE,IF(S1012=TRUE,INDEX('SummaryNOT_VALIDATED-BL'!$A$1:$F$16,MATCH(R1012,'SummaryNOT_VALIDATED-BL'!$A$1:$A$16,0),6),0),IF(S1012=TRUE,INDEX('SummaryNOT_VALIDATED-BL'!$A$1:$F$16,MATCH(E1012,'SummaryNOT_VALIDATED-BL'!$A$1:$A$16,0),6),0)),0)</f>
        <v>0</v>
      </c>
      <c r="V1012" s="81" cm="1">
        <f t="array" ref="V1012">INDEX('Weight tables'!$A$24:$C$27,MATCH(1,(RendicontiTrasmessiBL__2[[#This Row],[Cut percentage on real costs + USC]]&gt;='Weight tables'!$B$24:$B$27)*(RendicontiTrasmessiBL__2[[#This Row],[Cut percentage on real costs + USC]]&lt;='Weight tables'!$C$24:$C$27),0),1)</f>
        <v>0</v>
      </c>
      <c r="W1012" s="2">
        <f>RendicontiTrasmessiBL__2[[#This Row],[Weight real costs  + USC ]]</f>
        <v>0</v>
      </c>
    </row>
    <row r="1013" spans="1:23" x14ac:dyDescent="0.25">
      <c r="A1013" s="1" t="s">
        <v>59</v>
      </c>
      <c r="B1013" s="1" t="s">
        <v>382</v>
      </c>
      <c r="C1013" s="2">
        <v>322</v>
      </c>
      <c r="D1013" s="2">
        <v>167</v>
      </c>
      <c r="E1013" s="1" t="s">
        <v>231</v>
      </c>
      <c r="G1013">
        <v>325400</v>
      </c>
      <c r="H1013">
        <v>0</v>
      </c>
      <c r="I1013">
        <v>0</v>
      </c>
      <c r="J1013">
        <v>12584.58</v>
      </c>
      <c r="K1013">
        <v>0</v>
      </c>
      <c r="L1013">
        <v>0</v>
      </c>
      <c r="M1013">
        <v>12584.58</v>
      </c>
      <c r="N1013">
        <v>3.87</v>
      </c>
      <c r="O1013">
        <v>312815.42</v>
      </c>
      <c r="P1013">
        <v>0</v>
      </c>
      <c r="Q1013" t="str">
        <f>INDEX('Partner data'!A:DH,MATCH(C1013,'Partner data'!DG:DG,0),83)</f>
        <v>Soggetto pubblico</v>
      </c>
      <c r="R1013" t="b">
        <f>IF(E1013="staff",IF(INDEX('Partner data'!A:DH,MATCH(C1013,'Partner data'!DG:DG,0),112)="BL1 non presente","FALSO",INDEX('Partner data'!A:DH,MATCH(C1013,'Partner data'!DG:DG,0),112)))</f>
        <v>0</v>
      </c>
      <c r="S1013" t="b">
        <f t="shared" si="30"/>
        <v>1</v>
      </c>
      <c r="T1013" t="b">
        <f t="shared" si="31"/>
        <v>1</v>
      </c>
      <c r="U1013" s="154">
        <f>IFERROR(IF(R1013&lt;&gt;FALSE,IF(S1013=TRUE,INDEX('SummaryNOT_VALIDATED-BL'!$A$1:$F$16,MATCH(R1013,'SummaryNOT_VALIDATED-BL'!$A$1:$A$16,0),6),0),IF(S1013=TRUE,INDEX('SummaryNOT_VALIDATED-BL'!$A$1:$F$16,MATCH(E1013,'SummaryNOT_VALIDATED-BL'!$A$1:$A$16,0),6),0)),0)</f>
        <v>5.577594442215475E-2</v>
      </c>
      <c r="V1013" s="81" cm="1">
        <f t="array" ref="V1013">INDEX('Weight tables'!$A$24:$C$27,MATCH(1,(RendicontiTrasmessiBL__2[[#This Row],[Cut percentage on real costs + USC]]&gt;='Weight tables'!$B$24:$B$27)*(RendicontiTrasmessiBL__2[[#This Row],[Cut percentage on real costs + USC]]&lt;='Weight tables'!$C$24:$C$27),0),1)</f>
        <v>4</v>
      </c>
      <c r="W1013" s="2">
        <f>RendicontiTrasmessiBL__2[[#This Row],[Weight real costs  + USC ]]</f>
        <v>4</v>
      </c>
    </row>
    <row r="1014" spans="1:23" x14ac:dyDescent="0.25">
      <c r="A1014" s="1" t="s">
        <v>59</v>
      </c>
      <c r="B1014" s="1" t="s">
        <v>382</v>
      </c>
      <c r="C1014" s="2">
        <v>322</v>
      </c>
      <c r="D1014" s="2">
        <v>167</v>
      </c>
      <c r="E1014" s="1" t="s">
        <v>232</v>
      </c>
      <c r="G1014">
        <v>8600</v>
      </c>
      <c r="H1014">
        <v>0</v>
      </c>
      <c r="I1014">
        <v>0</v>
      </c>
      <c r="J1014">
        <v>0</v>
      </c>
      <c r="K1014">
        <v>0</v>
      </c>
      <c r="L1014">
        <v>0</v>
      </c>
      <c r="M1014">
        <v>0</v>
      </c>
      <c r="N1014">
        <v>0</v>
      </c>
      <c r="O1014">
        <v>8600</v>
      </c>
      <c r="P1014">
        <v>0</v>
      </c>
      <c r="Q1014" t="str">
        <f>INDEX('Partner data'!A:DH,MATCH(C1014,'Partner data'!DG:DG,0),83)</f>
        <v>Soggetto pubblico</v>
      </c>
      <c r="R1014" t="b">
        <f>IF(E1014="staff",IF(INDEX('Partner data'!A:DH,MATCH(C1014,'Partner data'!DG:DG,0),112)="BL1 non presente","FALSO",INDEX('Partner data'!A:DH,MATCH(C1014,'Partner data'!DG:DG,0),112)))</f>
        <v>0</v>
      </c>
      <c r="S1014" t="b">
        <f t="shared" si="30"/>
        <v>0</v>
      </c>
      <c r="T1014" t="b">
        <f t="shared" si="31"/>
        <v>1</v>
      </c>
      <c r="U1014" s="154">
        <f>IFERROR(IF(R1014&lt;&gt;FALSE,IF(S1014=TRUE,INDEX('SummaryNOT_VALIDATED-BL'!$A$1:$F$16,MATCH(R1014,'SummaryNOT_VALIDATED-BL'!$A$1:$A$16,0),6),0),IF(S1014=TRUE,INDEX('SummaryNOT_VALIDATED-BL'!$A$1:$F$16,MATCH(E1014,'SummaryNOT_VALIDATED-BL'!$A$1:$A$16,0),6),0)),0)</f>
        <v>0</v>
      </c>
      <c r="V1014" s="81" cm="1">
        <f t="array" ref="V1014">INDEX('Weight tables'!$A$24:$C$27,MATCH(1,(RendicontiTrasmessiBL__2[[#This Row],[Cut percentage on real costs + USC]]&gt;='Weight tables'!$B$24:$B$27)*(RendicontiTrasmessiBL__2[[#This Row],[Cut percentage on real costs + USC]]&lt;='Weight tables'!$C$24:$C$27),0),1)</f>
        <v>0</v>
      </c>
      <c r="W1014" s="2">
        <f>RendicontiTrasmessiBL__2[[#This Row],[Weight real costs  + USC ]]</f>
        <v>0</v>
      </c>
    </row>
    <row r="1015" spans="1:23" x14ac:dyDescent="0.25">
      <c r="A1015" s="1" t="s">
        <v>59</v>
      </c>
      <c r="B1015" s="1" t="s">
        <v>382</v>
      </c>
      <c r="C1015" s="2">
        <v>322</v>
      </c>
      <c r="D1015" s="2">
        <v>167</v>
      </c>
      <c r="E1015" s="1" t="s">
        <v>233</v>
      </c>
      <c r="G1015">
        <v>0</v>
      </c>
      <c r="H1015">
        <v>0</v>
      </c>
      <c r="I1015">
        <v>0</v>
      </c>
      <c r="J1015">
        <v>0</v>
      </c>
      <c r="K1015">
        <v>0</v>
      </c>
      <c r="L1015">
        <v>0</v>
      </c>
      <c r="M1015">
        <v>0</v>
      </c>
      <c r="N1015">
        <v>0</v>
      </c>
      <c r="O1015">
        <v>0</v>
      </c>
      <c r="P1015">
        <v>0</v>
      </c>
      <c r="Q1015" t="str">
        <f>INDEX('Partner data'!A:DH,MATCH(C1015,'Partner data'!DG:DG,0),83)</f>
        <v>Soggetto pubblico</v>
      </c>
      <c r="R1015" t="b">
        <f>IF(E1015="staff",IF(INDEX('Partner data'!A:DH,MATCH(C1015,'Partner data'!DG:DG,0),112)="BL1 non presente","FALSO",INDEX('Partner data'!A:DH,MATCH(C1015,'Partner data'!DG:DG,0),112)))</f>
        <v>0</v>
      </c>
      <c r="S1015" t="b">
        <f t="shared" si="30"/>
        <v>0</v>
      </c>
      <c r="T1015" t="b">
        <f t="shared" si="31"/>
        <v>1</v>
      </c>
      <c r="U1015" s="154">
        <f>IFERROR(IF(R1015&lt;&gt;FALSE,IF(S1015=TRUE,INDEX('SummaryNOT_VALIDATED-BL'!$A$1:$F$16,MATCH(R1015,'SummaryNOT_VALIDATED-BL'!$A$1:$A$16,0),6),0),IF(S1015=TRUE,INDEX('SummaryNOT_VALIDATED-BL'!$A$1:$F$16,MATCH(E1015,'SummaryNOT_VALIDATED-BL'!$A$1:$A$16,0),6),0)),0)</f>
        <v>0</v>
      </c>
      <c r="V1015" s="81" cm="1">
        <f t="array" ref="V1015">INDEX('Weight tables'!$A$24:$C$27,MATCH(1,(RendicontiTrasmessiBL__2[[#This Row],[Cut percentage on real costs + USC]]&gt;='Weight tables'!$B$24:$B$27)*(RendicontiTrasmessiBL__2[[#This Row],[Cut percentage on real costs + USC]]&lt;='Weight tables'!$C$24:$C$27),0),1)</f>
        <v>0</v>
      </c>
      <c r="W1015" s="2">
        <f>RendicontiTrasmessiBL__2[[#This Row],[Weight real costs  + USC ]]</f>
        <v>0</v>
      </c>
    </row>
    <row r="1016" spans="1:23" x14ac:dyDescent="0.25">
      <c r="A1016" s="1" t="s">
        <v>59</v>
      </c>
      <c r="B1016" s="1" t="s">
        <v>382</v>
      </c>
      <c r="C1016" s="2">
        <v>322</v>
      </c>
      <c r="D1016" s="2">
        <v>167</v>
      </c>
      <c r="E1016" s="1" t="s">
        <v>234</v>
      </c>
      <c r="G1016">
        <v>0</v>
      </c>
      <c r="H1016">
        <v>0</v>
      </c>
      <c r="I1016">
        <v>0</v>
      </c>
      <c r="J1016">
        <v>0</v>
      </c>
      <c r="K1016">
        <v>0</v>
      </c>
      <c r="L1016">
        <v>0</v>
      </c>
      <c r="M1016">
        <v>0</v>
      </c>
      <c r="N1016">
        <v>0</v>
      </c>
      <c r="O1016">
        <v>0</v>
      </c>
      <c r="P1016">
        <v>0</v>
      </c>
      <c r="Q1016" t="str">
        <f>INDEX('Partner data'!A:DH,MATCH(C1016,'Partner data'!DG:DG,0),83)</f>
        <v>Soggetto pubblico</v>
      </c>
      <c r="R1016" t="b">
        <f>IF(E1016="staff",IF(INDEX('Partner data'!A:DH,MATCH(C1016,'Partner data'!DG:DG,0),112)="BL1 non presente","FALSO",INDEX('Partner data'!A:DH,MATCH(C1016,'Partner data'!DG:DG,0),112)))</f>
        <v>0</v>
      </c>
      <c r="S1016" t="b">
        <f t="shared" si="30"/>
        <v>0</v>
      </c>
      <c r="T1016" t="b">
        <f t="shared" si="31"/>
        <v>1</v>
      </c>
      <c r="U1016" s="154">
        <f>IFERROR(IF(R1016&lt;&gt;FALSE,IF(S1016=TRUE,INDEX('SummaryNOT_VALIDATED-BL'!$A$1:$F$16,MATCH(R1016,'SummaryNOT_VALIDATED-BL'!$A$1:$A$16,0),6),0),IF(S1016=TRUE,INDEX('SummaryNOT_VALIDATED-BL'!$A$1:$F$16,MATCH(E1016,'SummaryNOT_VALIDATED-BL'!$A$1:$A$16,0),6),0)),0)</f>
        <v>0</v>
      </c>
      <c r="V1016" s="81" cm="1">
        <f t="array" ref="V1016">INDEX('Weight tables'!$A$24:$C$27,MATCH(1,(RendicontiTrasmessiBL__2[[#This Row],[Cut percentage on real costs + USC]]&gt;='Weight tables'!$B$24:$B$27)*(RendicontiTrasmessiBL__2[[#This Row],[Cut percentage on real costs + USC]]&lt;='Weight tables'!$C$24:$C$27),0),1)</f>
        <v>0</v>
      </c>
      <c r="W1016" s="2">
        <f>RendicontiTrasmessiBL__2[[#This Row],[Weight real costs  + USC ]]</f>
        <v>0</v>
      </c>
    </row>
    <row r="1017" spans="1:23" x14ac:dyDescent="0.25">
      <c r="A1017" s="1" t="s">
        <v>59</v>
      </c>
      <c r="B1017" s="1" t="s">
        <v>382</v>
      </c>
      <c r="C1017" s="2">
        <v>322</v>
      </c>
      <c r="D1017" s="2">
        <v>167</v>
      </c>
      <c r="E1017" s="1" t="s">
        <v>236</v>
      </c>
      <c r="G1017">
        <v>0</v>
      </c>
      <c r="H1017">
        <v>0</v>
      </c>
      <c r="I1017">
        <v>0</v>
      </c>
      <c r="J1017">
        <v>0</v>
      </c>
      <c r="K1017">
        <v>0</v>
      </c>
      <c r="L1017">
        <v>0</v>
      </c>
      <c r="M1017">
        <v>0</v>
      </c>
      <c r="N1017">
        <v>0</v>
      </c>
      <c r="O1017">
        <v>0</v>
      </c>
      <c r="P1017">
        <v>0</v>
      </c>
      <c r="Q1017" t="str">
        <f>INDEX('Partner data'!A:DH,MATCH(C1017,'Partner data'!DG:DG,0),83)</f>
        <v>Soggetto pubblico</v>
      </c>
      <c r="R1017" t="b">
        <f>IF(E1017="staff",IF(INDEX('Partner data'!A:DH,MATCH(C1017,'Partner data'!DG:DG,0),112)="BL1 non presente","FALSO",INDEX('Partner data'!A:DH,MATCH(C1017,'Partner data'!DG:DG,0),112)))</f>
        <v>0</v>
      </c>
      <c r="S1017" t="b">
        <f t="shared" si="30"/>
        <v>0</v>
      </c>
      <c r="T1017" t="b">
        <f t="shared" si="31"/>
        <v>1</v>
      </c>
      <c r="U1017" s="154">
        <f>IFERROR(IF(R1017&lt;&gt;FALSE,IF(S1017=TRUE,INDEX('SummaryNOT_VALIDATED-BL'!$A$1:$F$16,MATCH(R1017,'SummaryNOT_VALIDATED-BL'!$A$1:$A$16,0),6),0),IF(S1017=TRUE,INDEX('SummaryNOT_VALIDATED-BL'!$A$1:$F$16,MATCH(E1017,'SummaryNOT_VALIDATED-BL'!$A$1:$A$16,0),6),0)),0)</f>
        <v>0</v>
      </c>
      <c r="V1017" s="81" cm="1">
        <f t="array" ref="V1017">INDEX('Weight tables'!$A$24:$C$27,MATCH(1,(RendicontiTrasmessiBL__2[[#This Row],[Cut percentage on real costs + USC]]&gt;='Weight tables'!$B$24:$B$27)*(RendicontiTrasmessiBL__2[[#This Row],[Cut percentage on real costs + USC]]&lt;='Weight tables'!$C$24:$C$27),0),1)</f>
        <v>0</v>
      </c>
      <c r="W1017" s="2">
        <f>RendicontiTrasmessiBL__2[[#This Row],[Weight real costs  + USC ]]</f>
        <v>0</v>
      </c>
    </row>
    <row r="1018" spans="1:23" x14ac:dyDescent="0.25">
      <c r="A1018" s="1" t="s">
        <v>59</v>
      </c>
      <c r="B1018" s="1" t="s">
        <v>382</v>
      </c>
      <c r="C1018" s="2">
        <v>322</v>
      </c>
      <c r="D1018" s="2">
        <v>167</v>
      </c>
      <c r="E1018" s="1" t="s">
        <v>237</v>
      </c>
      <c r="G1018">
        <v>0</v>
      </c>
      <c r="H1018">
        <v>0</v>
      </c>
      <c r="I1018">
        <v>0</v>
      </c>
      <c r="J1018">
        <v>0</v>
      </c>
      <c r="K1018">
        <v>0</v>
      </c>
      <c r="L1018">
        <v>0</v>
      </c>
      <c r="M1018">
        <v>0</v>
      </c>
      <c r="N1018">
        <v>0</v>
      </c>
      <c r="O1018">
        <v>0</v>
      </c>
      <c r="P1018">
        <v>0</v>
      </c>
      <c r="Q1018" t="str">
        <f>INDEX('Partner data'!A:DH,MATCH(C1018,'Partner data'!DG:DG,0),83)</f>
        <v>Soggetto pubblico</v>
      </c>
      <c r="R1018" t="b">
        <f>IF(E1018="staff",IF(INDEX('Partner data'!A:DH,MATCH(C1018,'Partner data'!DG:DG,0),112)="BL1 non presente","FALSO",INDEX('Partner data'!A:DH,MATCH(C1018,'Partner data'!DG:DG,0),112)))</f>
        <v>0</v>
      </c>
      <c r="S1018" t="b">
        <f t="shared" si="30"/>
        <v>0</v>
      </c>
      <c r="T1018" t="b">
        <f t="shared" si="31"/>
        <v>1</v>
      </c>
      <c r="U1018" s="154">
        <f>IFERROR(IF(R1018&lt;&gt;FALSE,IF(S1018=TRUE,INDEX('SummaryNOT_VALIDATED-BL'!$A$1:$F$16,MATCH(R1018,'SummaryNOT_VALIDATED-BL'!$A$1:$A$16,0),6),0),IF(S1018=TRUE,INDEX('SummaryNOT_VALIDATED-BL'!$A$1:$F$16,MATCH(E1018,'SummaryNOT_VALIDATED-BL'!$A$1:$A$16,0),6),0)),0)</f>
        <v>0</v>
      </c>
      <c r="V1018" s="81" cm="1">
        <f t="array" ref="V1018">INDEX('Weight tables'!$A$24:$C$27,MATCH(1,(RendicontiTrasmessiBL__2[[#This Row],[Cut percentage on real costs + USC]]&gt;='Weight tables'!$B$24:$B$27)*(RendicontiTrasmessiBL__2[[#This Row],[Cut percentage on real costs + USC]]&lt;='Weight tables'!$C$24:$C$27),0),1)</f>
        <v>0</v>
      </c>
      <c r="W1018" s="2">
        <f>RendicontiTrasmessiBL__2[[#This Row],[Weight real costs  + USC ]]</f>
        <v>0</v>
      </c>
    </row>
    <row r="1019" spans="1:23" x14ac:dyDescent="0.25">
      <c r="A1019" s="1" t="s">
        <v>59</v>
      </c>
      <c r="B1019" s="1" t="s">
        <v>41</v>
      </c>
      <c r="C1019" s="2">
        <v>320</v>
      </c>
      <c r="D1019" s="2">
        <v>310</v>
      </c>
      <c r="E1019" s="1" t="s">
        <v>228</v>
      </c>
      <c r="G1019">
        <v>171428.5</v>
      </c>
      <c r="H1019">
        <v>25639.84</v>
      </c>
      <c r="I1019">
        <v>0</v>
      </c>
      <c r="J1019">
        <v>16151.85</v>
      </c>
      <c r="K1019">
        <v>0</v>
      </c>
      <c r="L1019">
        <v>0</v>
      </c>
      <c r="M1019">
        <v>41791.69</v>
      </c>
      <c r="N1019">
        <v>24.38</v>
      </c>
      <c r="O1019">
        <v>129636.81</v>
      </c>
      <c r="P1019">
        <v>25569.18</v>
      </c>
      <c r="Q1019" t="str">
        <f>INDEX('Partner data'!A:DH,MATCH(C1019,'Partner data'!DG:DG,0),83)</f>
        <v>Soggetto pubblico</v>
      </c>
      <c r="R1019" t="str">
        <f>IF(E1019="staff",IF(INDEX('Partner data'!A:DH,MATCH(C1019,'Partner data'!DG:DG,0),112)="BL1 non presente","FALSO",INDEX('Partner data'!A:DH,MATCH(C1019,'Partner data'!DG:DG,0),112)))</f>
        <v>COSTO REALE</v>
      </c>
      <c r="S1019" t="b">
        <f t="shared" si="30"/>
        <v>1</v>
      </c>
      <c r="T1019" t="b">
        <f t="shared" si="31"/>
        <v>1</v>
      </c>
      <c r="U1019" s="154">
        <f>IFERROR(IF(R1019&lt;&gt;FALSE,IF(S1019=TRUE,INDEX('SummaryNOT_VALIDATED-BL'!$A$1:$F$16,MATCH(R1019,'SummaryNOT_VALIDATED-BL'!$A$1:$A$16,0),6),0),IF(S1019=TRUE,INDEX('SummaryNOT_VALIDATED-BL'!$A$1:$F$16,MATCH(E1019,'SummaryNOT_VALIDATED-BL'!$A$1:$A$16,0),6),0)),0)</f>
        <v>9.1604133276901048E-2</v>
      </c>
      <c r="V1019" s="81" cm="1">
        <f t="array" ref="V1019">INDEX('Weight tables'!$A$24:$C$27,MATCH(1,(RendicontiTrasmessiBL__2[[#This Row],[Cut percentage on real costs + USC]]&gt;='Weight tables'!$B$24:$B$27)*(RendicontiTrasmessiBL__2[[#This Row],[Cut percentage on real costs + USC]]&lt;='Weight tables'!$C$24:$C$27),0),1)</f>
        <v>4</v>
      </c>
      <c r="W1019" s="2">
        <f>RendicontiTrasmessiBL__2[[#This Row],[Weight real costs  + USC ]]</f>
        <v>4</v>
      </c>
    </row>
    <row r="1020" spans="1:23" x14ac:dyDescent="0.25">
      <c r="A1020" s="1" t="s">
        <v>59</v>
      </c>
      <c r="B1020" s="1" t="s">
        <v>41</v>
      </c>
      <c r="C1020" s="2">
        <v>320</v>
      </c>
      <c r="D1020" s="2">
        <v>310</v>
      </c>
      <c r="E1020" s="1" t="s">
        <v>229</v>
      </c>
      <c r="G1020">
        <v>0</v>
      </c>
      <c r="H1020">
        <v>0</v>
      </c>
      <c r="I1020">
        <v>0</v>
      </c>
      <c r="J1020">
        <v>0</v>
      </c>
      <c r="K1020">
        <v>0</v>
      </c>
      <c r="L1020">
        <v>0</v>
      </c>
      <c r="M1020">
        <v>0</v>
      </c>
      <c r="N1020">
        <v>0</v>
      </c>
      <c r="O1020">
        <v>0</v>
      </c>
      <c r="P1020">
        <v>0</v>
      </c>
      <c r="Q1020" t="str">
        <f>INDEX('Partner data'!A:DH,MATCH(C1020,'Partner data'!DG:DG,0),83)</f>
        <v>Soggetto pubblico</v>
      </c>
      <c r="R1020" t="b">
        <f>IF(E1020="staff",IF(INDEX('Partner data'!A:DH,MATCH(C1020,'Partner data'!DG:DG,0),112)="BL1 non presente","FALSO",INDEX('Partner data'!A:DH,MATCH(C1020,'Partner data'!DG:DG,0),112)))</f>
        <v>0</v>
      </c>
      <c r="S1020" t="b">
        <f t="shared" si="30"/>
        <v>0</v>
      </c>
      <c r="T1020" t="b">
        <f t="shared" si="31"/>
        <v>1</v>
      </c>
      <c r="U1020" s="154">
        <f>IFERROR(IF(R1020&lt;&gt;FALSE,IF(S1020=TRUE,INDEX('SummaryNOT_VALIDATED-BL'!$A$1:$F$16,MATCH(R1020,'SummaryNOT_VALIDATED-BL'!$A$1:$A$16,0),6),0),IF(S1020=TRUE,INDEX('SummaryNOT_VALIDATED-BL'!$A$1:$F$16,MATCH(E1020,'SummaryNOT_VALIDATED-BL'!$A$1:$A$16,0),6),0)),0)</f>
        <v>0</v>
      </c>
      <c r="V1020" s="81" cm="1">
        <f t="array" ref="V1020">INDEX('Weight tables'!$A$24:$C$27,MATCH(1,(RendicontiTrasmessiBL__2[[#This Row],[Cut percentage on real costs + USC]]&gt;='Weight tables'!$B$24:$B$27)*(RendicontiTrasmessiBL__2[[#This Row],[Cut percentage on real costs + USC]]&lt;='Weight tables'!$C$24:$C$27),0),1)</f>
        <v>0</v>
      </c>
      <c r="W1020" s="2">
        <f>RendicontiTrasmessiBL__2[[#This Row],[Weight real costs  + USC ]]</f>
        <v>0</v>
      </c>
    </row>
    <row r="1021" spans="1:23" x14ac:dyDescent="0.25">
      <c r="A1021" s="1" t="s">
        <v>59</v>
      </c>
      <c r="B1021" s="1" t="s">
        <v>41</v>
      </c>
      <c r="C1021" s="2">
        <v>320</v>
      </c>
      <c r="D1021" s="2">
        <v>310</v>
      </c>
      <c r="E1021" s="1" t="s">
        <v>230</v>
      </c>
      <c r="G1021">
        <v>0</v>
      </c>
      <c r="H1021">
        <v>0</v>
      </c>
      <c r="I1021">
        <v>0</v>
      </c>
      <c r="J1021">
        <v>0</v>
      </c>
      <c r="K1021">
        <v>0</v>
      </c>
      <c r="L1021">
        <v>0</v>
      </c>
      <c r="M1021">
        <v>0</v>
      </c>
      <c r="N1021">
        <v>0</v>
      </c>
      <c r="O1021">
        <v>0</v>
      </c>
      <c r="P1021">
        <v>0</v>
      </c>
      <c r="Q1021" t="str">
        <f>INDEX('Partner data'!A:DH,MATCH(C1021,'Partner data'!DG:DG,0),83)</f>
        <v>Soggetto pubblico</v>
      </c>
      <c r="R1021" t="b">
        <f>IF(E1021="staff",IF(INDEX('Partner data'!A:DH,MATCH(C1021,'Partner data'!DG:DG,0),112)="BL1 non presente","FALSO",INDEX('Partner data'!A:DH,MATCH(C1021,'Partner data'!DG:DG,0),112)))</f>
        <v>0</v>
      </c>
      <c r="S1021" t="b">
        <f t="shared" si="30"/>
        <v>0</v>
      </c>
      <c r="T1021" t="b">
        <f t="shared" si="31"/>
        <v>1</v>
      </c>
      <c r="U1021" s="154">
        <f>IFERROR(IF(R1021&lt;&gt;FALSE,IF(S1021=TRUE,INDEX('SummaryNOT_VALIDATED-BL'!$A$1:$F$16,MATCH(R1021,'SummaryNOT_VALIDATED-BL'!$A$1:$A$16,0),6),0),IF(S1021=TRUE,INDEX('SummaryNOT_VALIDATED-BL'!$A$1:$F$16,MATCH(E1021,'SummaryNOT_VALIDATED-BL'!$A$1:$A$16,0),6),0)),0)</f>
        <v>0</v>
      </c>
      <c r="V1021" s="81" cm="1">
        <f t="array" ref="V1021">INDEX('Weight tables'!$A$24:$C$27,MATCH(1,(RendicontiTrasmessiBL__2[[#This Row],[Cut percentage on real costs + USC]]&gt;='Weight tables'!$B$24:$B$27)*(RendicontiTrasmessiBL__2[[#This Row],[Cut percentage on real costs + USC]]&lt;='Weight tables'!$C$24:$C$27),0),1)</f>
        <v>0</v>
      </c>
      <c r="W1021" s="2">
        <f>RendicontiTrasmessiBL__2[[#This Row],[Weight real costs  + USC ]]</f>
        <v>0</v>
      </c>
    </row>
    <row r="1022" spans="1:23" x14ac:dyDescent="0.25">
      <c r="A1022" s="1" t="s">
        <v>59</v>
      </c>
      <c r="B1022" s="1" t="s">
        <v>41</v>
      </c>
      <c r="C1022" s="2">
        <v>320</v>
      </c>
      <c r="D1022" s="2">
        <v>310</v>
      </c>
      <c r="E1022" s="1" t="s">
        <v>231</v>
      </c>
      <c r="G1022">
        <v>0</v>
      </c>
      <c r="H1022">
        <v>0</v>
      </c>
      <c r="I1022">
        <v>0</v>
      </c>
      <c r="J1022">
        <v>0</v>
      </c>
      <c r="K1022">
        <v>0</v>
      </c>
      <c r="L1022">
        <v>0</v>
      </c>
      <c r="M1022">
        <v>0</v>
      </c>
      <c r="N1022">
        <v>0</v>
      </c>
      <c r="O1022">
        <v>0</v>
      </c>
      <c r="P1022">
        <v>0</v>
      </c>
      <c r="Q1022" t="str">
        <f>INDEX('Partner data'!A:DH,MATCH(C1022,'Partner data'!DG:DG,0),83)</f>
        <v>Soggetto pubblico</v>
      </c>
      <c r="R1022" t="b">
        <f>IF(E1022="staff",IF(INDEX('Partner data'!A:DH,MATCH(C1022,'Partner data'!DG:DG,0),112)="BL1 non presente","FALSO",INDEX('Partner data'!A:DH,MATCH(C1022,'Partner data'!DG:DG,0),112)))</f>
        <v>0</v>
      </c>
      <c r="S1022" t="b">
        <f t="shared" si="30"/>
        <v>0</v>
      </c>
      <c r="T1022" t="b">
        <f t="shared" si="31"/>
        <v>1</v>
      </c>
      <c r="U1022" s="154">
        <f>IFERROR(IF(R1022&lt;&gt;FALSE,IF(S1022=TRUE,INDEX('SummaryNOT_VALIDATED-BL'!$A$1:$F$16,MATCH(R1022,'SummaryNOT_VALIDATED-BL'!$A$1:$A$16,0),6),0),IF(S1022=TRUE,INDEX('SummaryNOT_VALIDATED-BL'!$A$1:$F$16,MATCH(E1022,'SummaryNOT_VALIDATED-BL'!$A$1:$A$16,0),6),0)),0)</f>
        <v>0</v>
      </c>
      <c r="V1022" s="81" cm="1">
        <f t="array" ref="V1022">INDEX('Weight tables'!$A$24:$C$27,MATCH(1,(RendicontiTrasmessiBL__2[[#This Row],[Cut percentage on real costs + USC]]&gt;='Weight tables'!$B$24:$B$27)*(RendicontiTrasmessiBL__2[[#This Row],[Cut percentage on real costs + USC]]&lt;='Weight tables'!$C$24:$C$27),0),1)</f>
        <v>0</v>
      </c>
      <c r="W1022" s="2">
        <f>RendicontiTrasmessiBL__2[[#This Row],[Weight real costs  + USC ]]</f>
        <v>0</v>
      </c>
    </row>
    <row r="1023" spans="1:23" x14ac:dyDescent="0.25">
      <c r="A1023" s="1" t="s">
        <v>59</v>
      </c>
      <c r="B1023" s="1" t="s">
        <v>41</v>
      </c>
      <c r="C1023" s="2">
        <v>320</v>
      </c>
      <c r="D1023" s="2">
        <v>310</v>
      </c>
      <c r="E1023" s="1" t="s">
        <v>232</v>
      </c>
      <c r="G1023">
        <v>0</v>
      </c>
      <c r="H1023">
        <v>0</v>
      </c>
      <c r="I1023">
        <v>0</v>
      </c>
      <c r="J1023">
        <v>0</v>
      </c>
      <c r="K1023">
        <v>0</v>
      </c>
      <c r="L1023">
        <v>0</v>
      </c>
      <c r="M1023">
        <v>0</v>
      </c>
      <c r="N1023">
        <v>0</v>
      </c>
      <c r="O1023">
        <v>0</v>
      </c>
      <c r="P1023">
        <v>0</v>
      </c>
      <c r="Q1023" t="str">
        <f>INDEX('Partner data'!A:DH,MATCH(C1023,'Partner data'!DG:DG,0),83)</f>
        <v>Soggetto pubblico</v>
      </c>
      <c r="R1023" t="b">
        <f>IF(E1023="staff",IF(INDEX('Partner data'!A:DH,MATCH(C1023,'Partner data'!DG:DG,0),112)="BL1 non presente","FALSO",INDEX('Partner data'!A:DH,MATCH(C1023,'Partner data'!DG:DG,0),112)))</f>
        <v>0</v>
      </c>
      <c r="S1023" t="b">
        <f t="shared" si="30"/>
        <v>0</v>
      </c>
      <c r="T1023" t="b">
        <f t="shared" si="31"/>
        <v>1</v>
      </c>
      <c r="U1023" s="154">
        <f>IFERROR(IF(R1023&lt;&gt;FALSE,IF(S1023=TRUE,INDEX('SummaryNOT_VALIDATED-BL'!$A$1:$F$16,MATCH(R1023,'SummaryNOT_VALIDATED-BL'!$A$1:$A$16,0),6),0),IF(S1023=TRUE,INDEX('SummaryNOT_VALIDATED-BL'!$A$1:$F$16,MATCH(E1023,'SummaryNOT_VALIDATED-BL'!$A$1:$A$16,0),6),0)),0)</f>
        <v>0</v>
      </c>
      <c r="V1023" s="81" cm="1">
        <f t="array" ref="V1023">INDEX('Weight tables'!$A$24:$C$27,MATCH(1,(RendicontiTrasmessiBL__2[[#This Row],[Cut percentage on real costs + USC]]&gt;='Weight tables'!$B$24:$B$27)*(RendicontiTrasmessiBL__2[[#This Row],[Cut percentage on real costs + USC]]&lt;='Weight tables'!$C$24:$C$27),0),1)</f>
        <v>0</v>
      </c>
      <c r="W1023" s="2">
        <f>RendicontiTrasmessiBL__2[[#This Row],[Weight real costs  + USC ]]</f>
        <v>0</v>
      </c>
    </row>
    <row r="1024" spans="1:23" x14ac:dyDescent="0.25">
      <c r="A1024" s="1" t="s">
        <v>59</v>
      </c>
      <c r="B1024" s="1" t="s">
        <v>41</v>
      </c>
      <c r="C1024" s="2">
        <v>320</v>
      </c>
      <c r="D1024" s="2">
        <v>310</v>
      </c>
      <c r="E1024" s="1" t="s">
        <v>233</v>
      </c>
      <c r="G1024">
        <v>0</v>
      </c>
      <c r="H1024">
        <v>0</v>
      </c>
      <c r="I1024">
        <v>0</v>
      </c>
      <c r="J1024">
        <v>0</v>
      </c>
      <c r="K1024">
        <v>0</v>
      </c>
      <c r="L1024">
        <v>0</v>
      </c>
      <c r="M1024">
        <v>0</v>
      </c>
      <c r="N1024">
        <v>0</v>
      </c>
      <c r="O1024">
        <v>0</v>
      </c>
      <c r="P1024">
        <v>0</v>
      </c>
      <c r="Q1024" t="str">
        <f>INDEX('Partner data'!A:DH,MATCH(C1024,'Partner data'!DG:DG,0),83)</f>
        <v>Soggetto pubblico</v>
      </c>
      <c r="R1024" t="b">
        <f>IF(E1024="staff",IF(INDEX('Partner data'!A:DH,MATCH(C1024,'Partner data'!DG:DG,0),112)="BL1 non presente","FALSO",INDEX('Partner data'!A:DH,MATCH(C1024,'Partner data'!DG:DG,0),112)))</f>
        <v>0</v>
      </c>
      <c r="S1024" t="b">
        <f t="shared" si="30"/>
        <v>0</v>
      </c>
      <c r="T1024" t="b">
        <f t="shared" si="31"/>
        <v>1</v>
      </c>
      <c r="U1024" s="154">
        <f>IFERROR(IF(R1024&lt;&gt;FALSE,IF(S1024=TRUE,INDEX('SummaryNOT_VALIDATED-BL'!$A$1:$F$16,MATCH(R1024,'SummaryNOT_VALIDATED-BL'!$A$1:$A$16,0),6),0),IF(S1024=TRUE,INDEX('SummaryNOT_VALIDATED-BL'!$A$1:$F$16,MATCH(E1024,'SummaryNOT_VALIDATED-BL'!$A$1:$A$16,0),6),0)),0)</f>
        <v>0</v>
      </c>
      <c r="V1024" s="81" cm="1">
        <f t="array" ref="V1024">INDEX('Weight tables'!$A$24:$C$27,MATCH(1,(RendicontiTrasmessiBL__2[[#This Row],[Cut percentage on real costs + USC]]&gt;='Weight tables'!$B$24:$B$27)*(RendicontiTrasmessiBL__2[[#This Row],[Cut percentage on real costs + USC]]&lt;='Weight tables'!$C$24:$C$27),0),1)</f>
        <v>0</v>
      </c>
      <c r="W1024" s="2">
        <f>RendicontiTrasmessiBL__2[[#This Row],[Weight real costs  + USC ]]</f>
        <v>0</v>
      </c>
    </row>
    <row r="1025" spans="1:23" x14ac:dyDescent="0.25">
      <c r="A1025" s="1" t="s">
        <v>59</v>
      </c>
      <c r="B1025" s="1" t="s">
        <v>41</v>
      </c>
      <c r="C1025" s="2">
        <v>320</v>
      </c>
      <c r="D1025" s="2">
        <v>310</v>
      </c>
      <c r="E1025" s="1" t="s">
        <v>234</v>
      </c>
      <c r="F1025">
        <v>40</v>
      </c>
      <c r="G1025">
        <v>68571.399999999994</v>
      </c>
      <c r="H1025">
        <v>10255.93</v>
      </c>
      <c r="I1025">
        <v>0</v>
      </c>
      <c r="J1025">
        <v>6460.74</v>
      </c>
      <c r="K1025">
        <v>0</v>
      </c>
      <c r="L1025">
        <v>0</v>
      </c>
      <c r="M1025">
        <v>16716.669999999998</v>
      </c>
      <c r="N1025">
        <v>24.38</v>
      </c>
      <c r="O1025">
        <v>51854.73</v>
      </c>
      <c r="P1025">
        <v>10227.67</v>
      </c>
      <c r="Q1025" t="str">
        <f>INDEX('Partner data'!A:DH,MATCH(C1025,'Partner data'!DG:DG,0),83)</f>
        <v>Soggetto pubblico</v>
      </c>
      <c r="R1025" t="b">
        <f>IF(E1025="staff",IF(INDEX('Partner data'!A:DH,MATCH(C1025,'Partner data'!DG:DG,0),112)="BL1 non presente","FALSO",INDEX('Partner data'!A:DH,MATCH(C1025,'Partner data'!DG:DG,0),112)))</f>
        <v>0</v>
      </c>
      <c r="S1025" t="b">
        <f t="shared" si="30"/>
        <v>1</v>
      </c>
      <c r="T1025" t="b">
        <f t="shared" si="31"/>
        <v>1</v>
      </c>
      <c r="U1025" s="154">
        <f>IFERROR(IF(R1025&lt;&gt;FALSE,IF(S1025=TRUE,INDEX('SummaryNOT_VALIDATED-BL'!$A$1:$F$16,MATCH(R1025,'SummaryNOT_VALIDATED-BL'!$A$1:$A$16,0),6),0),IF(S1025=TRUE,INDEX('SummaryNOT_VALIDATED-BL'!$A$1:$F$16,MATCH(E1025,'SummaryNOT_VALIDATED-BL'!$A$1:$A$16,0),6),0)),0)</f>
        <v>8.7645339819521315E-2</v>
      </c>
      <c r="V1025" s="81" cm="1">
        <f t="array" ref="V1025">INDEX('Weight tables'!$A$24:$C$27,MATCH(1,(RendicontiTrasmessiBL__2[[#This Row],[Cut percentage on real costs + USC]]&gt;='Weight tables'!$B$24:$B$27)*(RendicontiTrasmessiBL__2[[#This Row],[Cut percentage on real costs + USC]]&lt;='Weight tables'!$C$24:$C$27),0),1)</f>
        <v>4</v>
      </c>
      <c r="W1025" s="2">
        <f>RendicontiTrasmessiBL__2[[#This Row],[Weight real costs  + USC ]]</f>
        <v>4</v>
      </c>
    </row>
    <row r="1026" spans="1:23" x14ac:dyDescent="0.25">
      <c r="A1026" s="1" t="s">
        <v>59</v>
      </c>
      <c r="B1026" s="1" t="s">
        <v>41</v>
      </c>
      <c r="C1026" s="2">
        <v>320</v>
      </c>
      <c r="D1026" s="2">
        <v>310</v>
      </c>
      <c r="E1026" s="1" t="s">
        <v>236</v>
      </c>
      <c r="G1026">
        <v>0</v>
      </c>
      <c r="H1026">
        <v>0</v>
      </c>
      <c r="I1026">
        <v>0</v>
      </c>
      <c r="J1026">
        <v>0</v>
      </c>
      <c r="K1026">
        <v>0</v>
      </c>
      <c r="L1026">
        <v>0</v>
      </c>
      <c r="M1026">
        <v>0</v>
      </c>
      <c r="N1026">
        <v>0</v>
      </c>
      <c r="O1026">
        <v>0</v>
      </c>
      <c r="P1026">
        <v>0</v>
      </c>
      <c r="Q1026" t="str">
        <f>INDEX('Partner data'!A:DH,MATCH(C1026,'Partner data'!DG:DG,0),83)</f>
        <v>Soggetto pubblico</v>
      </c>
      <c r="R1026" t="b">
        <f>IF(E1026="staff",IF(INDEX('Partner data'!A:DH,MATCH(C1026,'Partner data'!DG:DG,0),112)="BL1 non presente","FALSO",INDEX('Partner data'!A:DH,MATCH(C1026,'Partner data'!DG:DG,0),112)))</f>
        <v>0</v>
      </c>
      <c r="S1026" t="b">
        <f t="shared" ref="S1026:S1089" si="32">IF(J1026&lt;&gt;0,TRUE,FALSE)</f>
        <v>0</v>
      </c>
      <c r="T1026" t="b">
        <f t="shared" ref="T1026:T1089" si="33">OR(Q1026="Soggetto pubblico",Q1026="Organismo di diritto pubblico ")</f>
        <v>1</v>
      </c>
      <c r="U1026" s="154">
        <f>IFERROR(IF(R1026&lt;&gt;FALSE,IF(S1026=TRUE,INDEX('SummaryNOT_VALIDATED-BL'!$A$1:$F$16,MATCH(R1026,'SummaryNOT_VALIDATED-BL'!$A$1:$A$16,0),6),0),IF(S1026=TRUE,INDEX('SummaryNOT_VALIDATED-BL'!$A$1:$F$16,MATCH(E1026,'SummaryNOT_VALIDATED-BL'!$A$1:$A$16,0),6),0)),0)</f>
        <v>0</v>
      </c>
      <c r="V1026" s="81" cm="1">
        <f t="array" ref="V1026">INDEX('Weight tables'!$A$24:$C$27,MATCH(1,(RendicontiTrasmessiBL__2[[#This Row],[Cut percentage on real costs + USC]]&gt;='Weight tables'!$B$24:$B$27)*(RendicontiTrasmessiBL__2[[#This Row],[Cut percentage on real costs + USC]]&lt;='Weight tables'!$C$24:$C$27),0),1)</f>
        <v>0</v>
      </c>
      <c r="W1026" s="2">
        <f>RendicontiTrasmessiBL__2[[#This Row],[Weight real costs  + USC ]]</f>
        <v>0</v>
      </c>
    </row>
    <row r="1027" spans="1:23" x14ac:dyDescent="0.25">
      <c r="A1027" s="1" t="s">
        <v>59</v>
      </c>
      <c r="B1027" s="1" t="s">
        <v>41</v>
      </c>
      <c r="C1027" s="2">
        <v>320</v>
      </c>
      <c r="D1027" s="2">
        <v>310</v>
      </c>
      <c r="E1027" s="1" t="s">
        <v>237</v>
      </c>
      <c r="G1027">
        <v>0</v>
      </c>
      <c r="H1027">
        <v>0</v>
      </c>
      <c r="I1027">
        <v>0</v>
      </c>
      <c r="J1027">
        <v>0</v>
      </c>
      <c r="K1027">
        <v>0</v>
      </c>
      <c r="L1027">
        <v>0</v>
      </c>
      <c r="M1027">
        <v>0</v>
      </c>
      <c r="N1027">
        <v>0</v>
      </c>
      <c r="O1027">
        <v>0</v>
      </c>
      <c r="P1027">
        <v>0</v>
      </c>
      <c r="Q1027" t="str">
        <f>INDEX('Partner data'!A:DH,MATCH(C1027,'Partner data'!DG:DG,0),83)</f>
        <v>Soggetto pubblico</v>
      </c>
      <c r="R1027" t="b">
        <f>IF(E1027="staff",IF(INDEX('Partner data'!A:DH,MATCH(C1027,'Partner data'!DG:DG,0),112)="BL1 non presente","FALSO",INDEX('Partner data'!A:DH,MATCH(C1027,'Partner data'!DG:DG,0),112)))</f>
        <v>0</v>
      </c>
      <c r="S1027" t="b">
        <f t="shared" si="32"/>
        <v>0</v>
      </c>
      <c r="T1027" t="b">
        <f t="shared" si="33"/>
        <v>1</v>
      </c>
      <c r="U1027" s="154">
        <f>IFERROR(IF(R1027&lt;&gt;FALSE,IF(S1027=TRUE,INDEX('SummaryNOT_VALIDATED-BL'!$A$1:$F$16,MATCH(R1027,'SummaryNOT_VALIDATED-BL'!$A$1:$A$16,0),6),0),IF(S1027=TRUE,INDEX('SummaryNOT_VALIDATED-BL'!$A$1:$F$16,MATCH(E1027,'SummaryNOT_VALIDATED-BL'!$A$1:$A$16,0),6),0)),0)</f>
        <v>0</v>
      </c>
      <c r="V1027" s="81" cm="1">
        <f t="array" ref="V1027">INDEX('Weight tables'!$A$24:$C$27,MATCH(1,(RendicontiTrasmessiBL__2[[#This Row],[Cut percentage on real costs + USC]]&gt;='Weight tables'!$B$24:$B$27)*(RendicontiTrasmessiBL__2[[#This Row],[Cut percentage on real costs + USC]]&lt;='Weight tables'!$C$24:$C$27),0),1)</f>
        <v>0</v>
      </c>
      <c r="W1027" s="2">
        <f>RendicontiTrasmessiBL__2[[#This Row],[Weight real costs  + USC ]]</f>
        <v>0</v>
      </c>
    </row>
    <row r="1028" spans="1:23" x14ac:dyDescent="0.25">
      <c r="A1028" s="1" t="s">
        <v>59</v>
      </c>
      <c r="B1028" s="1" t="s">
        <v>41</v>
      </c>
      <c r="C1028" s="2">
        <v>320</v>
      </c>
      <c r="D1028" s="2">
        <v>67</v>
      </c>
      <c r="E1028" s="1" t="s">
        <v>228</v>
      </c>
      <c r="G1028">
        <v>171428.5</v>
      </c>
      <c r="H1028">
        <v>0</v>
      </c>
      <c r="I1028">
        <v>0</v>
      </c>
      <c r="J1028">
        <v>25639.84</v>
      </c>
      <c r="K1028">
        <v>0</v>
      </c>
      <c r="L1028">
        <v>25569.18</v>
      </c>
      <c r="M1028">
        <v>25639.84</v>
      </c>
      <c r="N1028">
        <v>14.96</v>
      </c>
      <c r="O1028">
        <v>145788.66</v>
      </c>
      <c r="P1028">
        <v>0</v>
      </c>
      <c r="Q1028" t="str">
        <f>INDEX('Partner data'!A:DH,MATCH(C1028,'Partner data'!DG:DG,0),83)</f>
        <v>Soggetto pubblico</v>
      </c>
      <c r="R1028" t="str">
        <f>IF(E1028="staff",IF(INDEX('Partner data'!A:DH,MATCH(C1028,'Partner data'!DG:DG,0),112)="BL1 non presente","FALSO",INDEX('Partner data'!A:DH,MATCH(C1028,'Partner data'!DG:DG,0),112)))</f>
        <v>COSTO REALE</v>
      </c>
      <c r="S1028" t="b">
        <f t="shared" si="32"/>
        <v>1</v>
      </c>
      <c r="T1028" t="b">
        <f t="shared" si="33"/>
        <v>1</v>
      </c>
      <c r="U1028" s="154">
        <f>IFERROR(IF(R1028&lt;&gt;FALSE,IF(S1028=TRUE,INDEX('SummaryNOT_VALIDATED-BL'!$A$1:$F$16,MATCH(R1028,'SummaryNOT_VALIDATED-BL'!$A$1:$A$16,0),6),0),IF(S1028=TRUE,INDEX('SummaryNOT_VALIDATED-BL'!$A$1:$F$16,MATCH(E1028,'SummaryNOT_VALIDATED-BL'!$A$1:$A$16,0),6),0)),0)</f>
        <v>9.1604133276901048E-2</v>
      </c>
      <c r="V1028" s="81" cm="1">
        <f t="array" ref="V1028">INDEX('Weight tables'!$A$24:$C$27,MATCH(1,(RendicontiTrasmessiBL__2[[#This Row],[Cut percentage on real costs + USC]]&gt;='Weight tables'!$B$24:$B$27)*(RendicontiTrasmessiBL__2[[#This Row],[Cut percentage on real costs + USC]]&lt;='Weight tables'!$C$24:$C$27),0),1)</f>
        <v>4</v>
      </c>
      <c r="W1028" s="2">
        <f>RendicontiTrasmessiBL__2[[#This Row],[Weight real costs  + USC ]]</f>
        <v>4</v>
      </c>
    </row>
    <row r="1029" spans="1:23" x14ac:dyDescent="0.25">
      <c r="A1029" s="1" t="s">
        <v>59</v>
      </c>
      <c r="B1029" s="1" t="s">
        <v>41</v>
      </c>
      <c r="C1029" s="2">
        <v>320</v>
      </c>
      <c r="D1029" s="2">
        <v>67</v>
      </c>
      <c r="E1029" s="1" t="s">
        <v>229</v>
      </c>
      <c r="G1029">
        <v>0</v>
      </c>
      <c r="H1029">
        <v>0</v>
      </c>
      <c r="I1029">
        <v>0</v>
      </c>
      <c r="J1029">
        <v>0</v>
      </c>
      <c r="K1029">
        <v>0</v>
      </c>
      <c r="L1029">
        <v>0</v>
      </c>
      <c r="M1029">
        <v>0</v>
      </c>
      <c r="N1029">
        <v>0</v>
      </c>
      <c r="O1029">
        <v>0</v>
      </c>
      <c r="P1029">
        <v>0</v>
      </c>
      <c r="Q1029" t="str">
        <f>INDEX('Partner data'!A:DH,MATCH(C1029,'Partner data'!DG:DG,0),83)</f>
        <v>Soggetto pubblico</v>
      </c>
      <c r="R1029" t="b">
        <f>IF(E1029="staff",IF(INDEX('Partner data'!A:DH,MATCH(C1029,'Partner data'!DG:DG,0),112)="BL1 non presente","FALSO",INDEX('Partner data'!A:DH,MATCH(C1029,'Partner data'!DG:DG,0),112)))</f>
        <v>0</v>
      </c>
      <c r="S1029" t="b">
        <f t="shared" si="32"/>
        <v>0</v>
      </c>
      <c r="T1029" t="b">
        <f t="shared" si="33"/>
        <v>1</v>
      </c>
      <c r="U1029" s="154">
        <f>IFERROR(IF(R1029&lt;&gt;FALSE,IF(S1029=TRUE,INDEX('SummaryNOT_VALIDATED-BL'!$A$1:$F$16,MATCH(R1029,'SummaryNOT_VALIDATED-BL'!$A$1:$A$16,0),6),0),IF(S1029=TRUE,INDEX('SummaryNOT_VALIDATED-BL'!$A$1:$F$16,MATCH(E1029,'SummaryNOT_VALIDATED-BL'!$A$1:$A$16,0),6),0)),0)</f>
        <v>0</v>
      </c>
      <c r="V1029" s="81" cm="1">
        <f t="array" ref="V1029">INDEX('Weight tables'!$A$24:$C$27,MATCH(1,(RendicontiTrasmessiBL__2[[#This Row],[Cut percentage on real costs + USC]]&gt;='Weight tables'!$B$24:$B$27)*(RendicontiTrasmessiBL__2[[#This Row],[Cut percentage on real costs + USC]]&lt;='Weight tables'!$C$24:$C$27),0),1)</f>
        <v>0</v>
      </c>
      <c r="W1029" s="2">
        <f>RendicontiTrasmessiBL__2[[#This Row],[Weight real costs  + USC ]]</f>
        <v>0</v>
      </c>
    </row>
    <row r="1030" spans="1:23" x14ac:dyDescent="0.25">
      <c r="A1030" s="1" t="s">
        <v>59</v>
      </c>
      <c r="B1030" s="1" t="s">
        <v>41</v>
      </c>
      <c r="C1030" s="2">
        <v>320</v>
      </c>
      <c r="D1030" s="2">
        <v>67</v>
      </c>
      <c r="E1030" s="1" t="s">
        <v>230</v>
      </c>
      <c r="G1030">
        <v>0</v>
      </c>
      <c r="H1030">
        <v>0</v>
      </c>
      <c r="I1030">
        <v>0</v>
      </c>
      <c r="J1030">
        <v>0</v>
      </c>
      <c r="K1030">
        <v>0</v>
      </c>
      <c r="L1030">
        <v>0</v>
      </c>
      <c r="M1030">
        <v>0</v>
      </c>
      <c r="N1030">
        <v>0</v>
      </c>
      <c r="O1030">
        <v>0</v>
      </c>
      <c r="P1030">
        <v>0</v>
      </c>
      <c r="Q1030" t="str">
        <f>INDEX('Partner data'!A:DH,MATCH(C1030,'Partner data'!DG:DG,0),83)</f>
        <v>Soggetto pubblico</v>
      </c>
      <c r="R1030" t="b">
        <f>IF(E1030="staff",IF(INDEX('Partner data'!A:DH,MATCH(C1030,'Partner data'!DG:DG,0),112)="BL1 non presente","FALSO",INDEX('Partner data'!A:DH,MATCH(C1030,'Partner data'!DG:DG,0),112)))</f>
        <v>0</v>
      </c>
      <c r="S1030" t="b">
        <f t="shared" si="32"/>
        <v>0</v>
      </c>
      <c r="T1030" t="b">
        <f t="shared" si="33"/>
        <v>1</v>
      </c>
      <c r="U1030" s="154">
        <f>IFERROR(IF(R1030&lt;&gt;FALSE,IF(S1030=TRUE,INDEX('SummaryNOT_VALIDATED-BL'!$A$1:$F$16,MATCH(R1030,'SummaryNOT_VALIDATED-BL'!$A$1:$A$16,0),6),0),IF(S1030=TRUE,INDEX('SummaryNOT_VALIDATED-BL'!$A$1:$F$16,MATCH(E1030,'SummaryNOT_VALIDATED-BL'!$A$1:$A$16,0),6),0)),0)</f>
        <v>0</v>
      </c>
      <c r="V1030" s="81" cm="1">
        <f t="array" ref="V1030">INDEX('Weight tables'!$A$24:$C$27,MATCH(1,(RendicontiTrasmessiBL__2[[#This Row],[Cut percentage on real costs + USC]]&gt;='Weight tables'!$B$24:$B$27)*(RendicontiTrasmessiBL__2[[#This Row],[Cut percentage on real costs + USC]]&lt;='Weight tables'!$C$24:$C$27),0),1)</f>
        <v>0</v>
      </c>
      <c r="W1030" s="2">
        <f>RendicontiTrasmessiBL__2[[#This Row],[Weight real costs  + USC ]]</f>
        <v>0</v>
      </c>
    </row>
    <row r="1031" spans="1:23" x14ac:dyDescent="0.25">
      <c r="A1031" s="1" t="s">
        <v>59</v>
      </c>
      <c r="B1031" s="1" t="s">
        <v>41</v>
      </c>
      <c r="C1031" s="2">
        <v>320</v>
      </c>
      <c r="D1031" s="2">
        <v>67</v>
      </c>
      <c r="E1031" s="1" t="s">
        <v>231</v>
      </c>
      <c r="G1031">
        <v>0</v>
      </c>
      <c r="H1031">
        <v>0</v>
      </c>
      <c r="I1031">
        <v>0</v>
      </c>
      <c r="J1031">
        <v>0</v>
      </c>
      <c r="K1031">
        <v>0</v>
      </c>
      <c r="L1031">
        <v>0</v>
      </c>
      <c r="M1031">
        <v>0</v>
      </c>
      <c r="N1031">
        <v>0</v>
      </c>
      <c r="O1031">
        <v>0</v>
      </c>
      <c r="P1031">
        <v>0</v>
      </c>
      <c r="Q1031" t="str">
        <f>INDEX('Partner data'!A:DH,MATCH(C1031,'Partner data'!DG:DG,0),83)</f>
        <v>Soggetto pubblico</v>
      </c>
      <c r="R1031" t="b">
        <f>IF(E1031="staff",IF(INDEX('Partner data'!A:DH,MATCH(C1031,'Partner data'!DG:DG,0),112)="BL1 non presente","FALSO",INDEX('Partner data'!A:DH,MATCH(C1031,'Partner data'!DG:DG,0),112)))</f>
        <v>0</v>
      </c>
      <c r="S1031" t="b">
        <f t="shared" si="32"/>
        <v>0</v>
      </c>
      <c r="T1031" t="b">
        <f t="shared" si="33"/>
        <v>1</v>
      </c>
      <c r="U1031" s="154">
        <f>IFERROR(IF(R1031&lt;&gt;FALSE,IF(S1031=TRUE,INDEX('SummaryNOT_VALIDATED-BL'!$A$1:$F$16,MATCH(R1031,'SummaryNOT_VALIDATED-BL'!$A$1:$A$16,0),6),0),IF(S1031=TRUE,INDEX('SummaryNOT_VALIDATED-BL'!$A$1:$F$16,MATCH(E1031,'SummaryNOT_VALIDATED-BL'!$A$1:$A$16,0),6),0)),0)</f>
        <v>0</v>
      </c>
      <c r="V1031" s="81" cm="1">
        <f t="array" ref="V1031">INDEX('Weight tables'!$A$24:$C$27,MATCH(1,(RendicontiTrasmessiBL__2[[#This Row],[Cut percentage on real costs + USC]]&gt;='Weight tables'!$B$24:$B$27)*(RendicontiTrasmessiBL__2[[#This Row],[Cut percentage on real costs + USC]]&lt;='Weight tables'!$C$24:$C$27),0),1)</f>
        <v>0</v>
      </c>
      <c r="W1031" s="2">
        <f>RendicontiTrasmessiBL__2[[#This Row],[Weight real costs  + USC ]]</f>
        <v>0</v>
      </c>
    </row>
    <row r="1032" spans="1:23" x14ac:dyDescent="0.25">
      <c r="A1032" s="1" t="s">
        <v>59</v>
      </c>
      <c r="B1032" s="1" t="s">
        <v>41</v>
      </c>
      <c r="C1032" s="2">
        <v>320</v>
      </c>
      <c r="D1032" s="2">
        <v>67</v>
      </c>
      <c r="E1032" s="1" t="s">
        <v>232</v>
      </c>
      <c r="G1032">
        <v>0</v>
      </c>
      <c r="H1032">
        <v>0</v>
      </c>
      <c r="I1032">
        <v>0</v>
      </c>
      <c r="J1032">
        <v>0</v>
      </c>
      <c r="K1032">
        <v>0</v>
      </c>
      <c r="L1032">
        <v>0</v>
      </c>
      <c r="M1032">
        <v>0</v>
      </c>
      <c r="N1032">
        <v>0</v>
      </c>
      <c r="O1032">
        <v>0</v>
      </c>
      <c r="P1032">
        <v>0</v>
      </c>
      <c r="Q1032" t="str">
        <f>INDEX('Partner data'!A:DH,MATCH(C1032,'Partner data'!DG:DG,0),83)</f>
        <v>Soggetto pubblico</v>
      </c>
      <c r="R1032" t="b">
        <f>IF(E1032="staff",IF(INDEX('Partner data'!A:DH,MATCH(C1032,'Partner data'!DG:DG,0),112)="BL1 non presente","FALSO",INDEX('Partner data'!A:DH,MATCH(C1032,'Partner data'!DG:DG,0),112)))</f>
        <v>0</v>
      </c>
      <c r="S1032" t="b">
        <f t="shared" si="32"/>
        <v>0</v>
      </c>
      <c r="T1032" t="b">
        <f t="shared" si="33"/>
        <v>1</v>
      </c>
      <c r="U1032" s="154">
        <f>IFERROR(IF(R1032&lt;&gt;FALSE,IF(S1032=TRUE,INDEX('SummaryNOT_VALIDATED-BL'!$A$1:$F$16,MATCH(R1032,'SummaryNOT_VALIDATED-BL'!$A$1:$A$16,0),6),0),IF(S1032=TRUE,INDEX('SummaryNOT_VALIDATED-BL'!$A$1:$F$16,MATCH(E1032,'SummaryNOT_VALIDATED-BL'!$A$1:$A$16,0),6),0)),0)</f>
        <v>0</v>
      </c>
      <c r="V1032" s="81" cm="1">
        <f t="array" ref="V1032">INDEX('Weight tables'!$A$24:$C$27,MATCH(1,(RendicontiTrasmessiBL__2[[#This Row],[Cut percentage on real costs + USC]]&gt;='Weight tables'!$B$24:$B$27)*(RendicontiTrasmessiBL__2[[#This Row],[Cut percentage on real costs + USC]]&lt;='Weight tables'!$C$24:$C$27),0),1)</f>
        <v>0</v>
      </c>
      <c r="W1032" s="2">
        <f>RendicontiTrasmessiBL__2[[#This Row],[Weight real costs  + USC ]]</f>
        <v>0</v>
      </c>
    </row>
    <row r="1033" spans="1:23" x14ac:dyDescent="0.25">
      <c r="A1033" s="1" t="s">
        <v>59</v>
      </c>
      <c r="B1033" s="1" t="s">
        <v>41</v>
      </c>
      <c r="C1033" s="2">
        <v>320</v>
      </c>
      <c r="D1033" s="2">
        <v>67</v>
      </c>
      <c r="E1033" s="1" t="s">
        <v>233</v>
      </c>
      <c r="G1033">
        <v>0</v>
      </c>
      <c r="H1033">
        <v>0</v>
      </c>
      <c r="I1033">
        <v>0</v>
      </c>
      <c r="J1033">
        <v>0</v>
      </c>
      <c r="K1033">
        <v>0</v>
      </c>
      <c r="L1033">
        <v>0</v>
      </c>
      <c r="M1033">
        <v>0</v>
      </c>
      <c r="N1033">
        <v>0</v>
      </c>
      <c r="O1033">
        <v>0</v>
      </c>
      <c r="P1033">
        <v>0</v>
      </c>
      <c r="Q1033" t="str">
        <f>INDEX('Partner data'!A:DH,MATCH(C1033,'Partner data'!DG:DG,0),83)</f>
        <v>Soggetto pubblico</v>
      </c>
      <c r="R1033" t="b">
        <f>IF(E1033="staff",IF(INDEX('Partner data'!A:DH,MATCH(C1033,'Partner data'!DG:DG,0),112)="BL1 non presente","FALSO",INDEX('Partner data'!A:DH,MATCH(C1033,'Partner data'!DG:DG,0),112)))</f>
        <v>0</v>
      </c>
      <c r="S1033" t="b">
        <f t="shared" si="32"/>
        <v>0</v>
      </c>
      <c r="T1033" t="b">
        <f t="shared" si="33"/>
        <v>1</v>
      </c>
      <c r="U1033" s="154">
        <f>IFERROR(IF(R1033&lt;&gt;FALSE,IF(S1033=TRUE,INDEX('SummaryNOT_VALIDATED-BL'!$A$1:$F$16,MATCH(R1033,'SummaryNOT_VALIDATED-BL'!$A$1:$A$16,0),6),0),IF(S1033=TRUE,INDEX('SummaryNOT_VALIDATED-BL'!$A$1:$F$16,MATCH(E1033,'SummaryNOT_VALIDATED-BL'!$A$1:$A$16,0),6),0)),0)</f>
        <v>0</v>
      </c>
      <c r="V1033" s="81" cm="1">
        <f t="array" ref="V1033">INDEX('Weight tables'!$A$24:$C$27,MATCH(1,(RendicontiTrasmessiBL__2[[#This Row],[Cut percentage on real costs + USC]]&gt;='Weight tables'!$B$24:$B$27)*(RendicontiTrasmessiBL__2[[#This Row],[Cut percentage on real costs + USC]]&lt;='Weight tables'!$C$24:$C$27),0),1)</f>
        <v>0</v>
      </c>
      <c r="W1033" s="2">
        <f>RendicontiTrasmessiBL__2[[#This Row],[Weight real costs  + USC ]]</f>
        <v>0</v>
      </c>
    </row>
    <row r="1034" spans="1:23" x14ac:dyDescent="0.25">
      <c r="A1034" s="1" t="s">
        <v>59</v>
      </c>
      <c r="B1034" s="1" t="s">
        <v>41</v>
      </c>
      <c r="C1034" s="2">
        <v>320</v>
      </c>
      <c r="D1034" s="2">
        <v>67</v>
      </c>
      <c r="E1034" s="1" t="s">
        <v>234</v>
      </c>
      <c r="F1034">
        <v>40</v>
      </c>
      <c r="G1034">
        <v>68571.399999999994</v>
      </c>
      <c r="H1034">
        <v>0</v>
      </c>
      <c r="I1034">
        <v>0</v>
      </c>
      <c r="J1034">
        <v>10255.93</v>
      </c>
      <c r="K1034">
        <v>0</v>
      </c>
      <c r="L1034">
        <v>10227.67</v>
      </c>
      <c r="M1034">
        <v>10255.93</v>
      </c>
      <c r="N1034">
        <v>14.96</v>
      </c>
      <c r="O1034">
        <v>58315.47</v>
      </c>
      <c r="P1034">
        <v>0</v>
      </c>
      <c r="Q1034" t="str">
        <f>INDEX('Partner data'!A:DH,MATCH(C1034,'Partner data'!DG:DG,0),83)</f>
        <v>Soggetto pubblico</v>
      </c>
      <c r="R1034" t="b">
        <f>IF(E1034="staff",IF(INDEX('Partner data'!A:DH,MATCH(C1034,'Partner data'!DG:DG,0),112)="BL1 non presente","FALSO",INDEX('Partner data'!A:DH,MATCH(C1034,'Partner data'!DG:DG,0),112)))</f>
        <v>0</v>
      </c>
      <c r="S1034" t="b">
        <f t="shared" si="32"/>
        <v>1</v>
      </c>
      <c r="T1034" t="b">
        <f t="shared" si="33"/>
        <v>1</v>
      </c>
      <c r="U1034" s="154">
        <f>IFERROR(IF(R1034&lt;&gt;FALSE,IF(S1034=TRUE,INDEX('SummaryNOT_VALIDATED-BL'!$A$1:$F$16,MATCH(R1034,'SummaryNOT_VALIDATED-BL'!$A$1:$A$16,0),6),0),IF(S1034=TRUE,INDEX('SummaryNOT_VALIDATED-BL'!$A$1:$F$16,MATCH(E1034,'SummaryNOT_VALIDATED-BL'!$A$1:$A$16,0),6),0)),0)</f>
        <v>8.7645339819521315E-2</v>
      </c>
      <c r="V1034" s="81" cm="1">
        <f t="array" ref="V1034">INDEX('Weight tables'!$A$24:$C$27,MATCH(1,(RendicontiTrasmessiBL__2[[#This Row],[Cut percentage on real costs + USC]]&gt;='Weight tables'!$B$24:$B$27)*(RendicontiTrasmessiBL__2[[#This Row],[Cut percentage on real costs + USC]]&lt;='Weight tables'!$C$24:$C$27),0),1)</f>
        <v>4</v>
      </c>
      <c r="W1034" s="2">
        <f>RendicontiTrasmessiBL__2[[#This Row],[Weight real costs  + USC ]]</f>
        <v>4</v>
      </c>
    </row>
    <row r="1035" spans="1:23" x14ac:dyDescent="0.25">
      <c r="A1035" s="1" t="s">
        <v>59</v>
      </c>
      <c r="B1035" s="1" t="s">
        <v>41</v>
      </c>
      <c r="C1035" s="2">
        <v>320</v>
      </c>
      <c r="D1035" s="2">
        <v>67</v>
      </c>
      <c r="E1035" s="1" t="s">
        <v>236</v>
      </c>
      <c r="G1035">
        <v>0</v>
      </c>
      <c r="H1035">
        <v>0</v>
      </c>
      <c r="I1035">
        <v>0</v>
      </c>
      <c r="J1035">
        <v>0</v>
      </c>
      <c r="K1035">
        <v>0</v>
      </c>
      <c r="L1035">
        <v>0</v>
      </c>
      <c r="M1035">
        <v>0</v>
      </c>
      <c r="N1035">
        <v>0</v>
      </c>
      <c r="O1035">
        <v>0</v>
      </c>
      <c r="P1035">
        <v>0</v>
      </c>
      <c r="Q1035" t="str">
        <f>INDEX('Partner data'!A:DH,MATCH(C1035,'Partner data'!DG:DG,0),83)</f>
        <v>Soggetto pubblico</v>
      </c>
      <c r="R1035" t="b">
        <f>IF(E1035="staff",IF(INDEX('Partner data'!A:DH,MATCH(C1035,'Partner data'!DG:DG,0),112)="BL1 non presente","FALSO",INDEX('Partner data'!A:DH,MATCH(C1035,'Partner data'!DG:DG,0),112)))</f>
        <v>0</v>
      </c>
      <c r="S1035" t="b">
        <f t="shared" si="32"/>
        <v>0</v>
      </c>
      <c r="T1035" t="b">
        <f t="shared" si="33"/>
        <v>1</v>
      </c>
      <c r="U1035" s="154">
        <f>IFERROR(IF(R1035&lt;&gt;FALSE,IF(S1035=TRUE,INDEX('SummaryNOT_VALIDATED-BL'!$A$1:$F$16,MATCH(R1035,'SummaryNOT_VALIDATED-BL'!$A$1:$A$16,0),6),0),IF(S1035=TRUE,INDEX('SummaryNOT_VALIDATED-BL'!$A$1:$F$16,MATCH(E1035,'SummaryNOT_VALIDATED-BL'!$A$1:$A$16,0),6),0)),0)</f>
        <v>0</v>
      </c>
      <c r="V1035" s="81" cm="1">
        <f t="array" ref="V1035">INDEX('Weight tables'!$A$24:$C$27,MATCH(1,(RendicontiTrasmessiBL__2[[#This Row],[Cut percentage on real costs + USC]]&gt;='Weight tables'!$B$24:$B$27)*(RendicontiTrasmessiBL__2[[#This Row],[Cut percentage on real costs + USC]]&lt;='Weight tables'!$C$24:$C$27),0),1)</f>
        <v>0</v>
      </c>
      <c r="W1035" s="2">
        <f>RendicontiTrasmessiBL__2[[#This Row],[Weight real costs  + USC ]]</f>
        <v>0</v>
      </c>
    </row>
    <row r="1036" spans="1:23" x14ac:dyDescent="0.25">
      <c r="A1036" s="1" t="s">
        <v>59</v>
      </c>
      <c r="B1036" s="1" t="s">
        <v>41</v>
      </c>
      <c r="C1036" s="2">
        <v>320</v>
      </c>
      <c r="D1036" s="2">
        <v>67</v>
      </c>
      <c r="E1036" s="1" t="s">
        <v>237</v>
      </c>
      <c r="G1036">
        <v>0</v>
      </c>
      <c r="H1036">
        <v>0</v>
      </c>
      <c r="I1036">
        <v>0</v>
      </c>
      <c r="J1036">
        <v>0</v>
      </c>
      <c r="K1036">
        <v>0</v>
      </c>
      <c r="L1036">
        <v>0</v>
      </c>
      <c r="M1036">
        <v>0</v>
      </c>
      <c r="N1036">
        <v>0</v>
      </c>
      <c r="O1036">
        <v>0</v>
      </c>
      <c r="P1036">
        <v>0</v>
      </c>
      <c r="Q1036" t="str">
        <f>INDEX('Partner data'!A:DH,MATCH(C1036,'Partner data'!DG:DG,0),83)</f>
        <v>Soggetto pubblico</v>
      </c>
      <c r="R1036" t="b">
        <f>IF(E1036="staff",IF(INDEX('Partner data'!A:DH,MATCH(C1036,'Partner data'!DG:DG,0),112)="BL1 non presente","FALSO",INDEX('Partner data'!A:DH,MATCH(C1036,'Partner data'!DG:DG,0),112)))</f>
        <v>0</v>
      </c>
      <c r="S1036" t="b">
        <f t="shared" si="32"/>
        <v>0</v>
      </c>
      <c r="T1036" t="b">
        <f t="shared" si="33"/>
        <v>1</v>
      </c>
      <c r="U1036" s="154">
        <f>IFERROR(IF(R1036&lt;&gt;FALSE,IF(S1036=TRUE,INDEX('SummaryNOT_VALIDATED-BL'!$A$1:$F$16,MATCH(R1036,'SummaryNOT_VALIDATED-BL'!$A$1:$A$16,0),6),0),IF(S1036=TRUE,INDEX('SummaryNOT_VALIDATED-BL'!$A$1:$F$16,MATCH(E1036,'SummaryNOT_VALIDATED-BL'!$A$1:$A$16,0),6),0)),0)</f>
        <v>0</v>
      </c>
      <c r="V1036" s="81" cm="1">
        <f t="array" ref="V1036">INDEX('Weight tables'!$A$24:$C$27,MATCH(1,(RendicontiTrasmessiBL__2[[#This Row],[Cut percentage on real costs + USC]]&gt;='Weight tables'!$B$24:$B$27)*(RendicontiTrasmessiBL__2[[#This Row],[Cut percentage on real costs + USC]]&lt;='Weight tables'!$C$24:$C$27),0),1)</f>
        <v>0</v>
      </c>
      <c r="W1036" s="2">
        <f>RendicontiTrasmessiBL__2[[#This Row],[Weight real costs  + USC ]]</f>
        <v>0</v>
      </c>
    </row>
    <row r="1037" spans="1:23" x14ac:dyDescent="0.25">
      <c r="A1037" s="1" t="s">
        <v>59</v>
      </c>
      <c r="B1037" s="1" t="s">
        <v>69</v>
      </c>
      <c r="C1037" s="2">
        <v>325</v>
      </c>
      <c r="D1037" s="2">
        <v>244</v>
      </c>
      <c r="E1037" s="1" t="s">
        <v>228</v>
      </c>
      <c r="G1037">
        <v>259069.85</v>
      </c>
      <c r="H1037">
        <v>28064.92</v>
      </c>
      <c r="I1037">
        <v>0</v>
      </c>
      <c r="J1037">
        <v>47287.03</v>
      </c>
      <c r="K1037">
        <v>0</v>
      </c>
      <c r="L1037">
        <v>47287.03</v>
      </c>
      <c r="M1037">
        <v>75351.95</v>
      </c>
      <c r="N1037">
        <v>29.09</v>
      </c>
      <c r="O1037">
        <v>183717.9</v>
      </c>
      <c r="P1037">
        <v>0</v>
      </c>
      <c r="Q1037" t="str">
        <f>INDEX('Partner data'!A:DH,MATCH(C1037,'Partner data'!DG:DG,0),83)</f>
        <v>Soggetto pubblico</v>
      </c>
      <c r="R1037" t="str">
        <f>IF(E1037="staff",IF(INDEX('Partner data'!A:DH,MATCH(C1037,'Partner data'!DG:DG,0),112)="BL1 non presente","FALSO",INDEX('Partner data'!A:DH,MATCH(C1037,'Partner data'!DG:DG,0),112)))</f>
        <v>COSTO REALE</v>
      </c>
      <c r="S1037" t="b">
        <f t="shared" si="32"/>
        <v>1</v>
      </c>
      <c r="T1037" t="b">
        <f t="shared" si="33"/>
        <v>1</v>
      </c>
      <c r="U1037" s="154">
        <f>IFERROR(IF(R1037&lt;&gt;FALSE,IF(S1037=TRUE,INDEX('SummaryNOT_VALIDATED-BL'!$A$1:$F$16,MATCH(R1037,'SummaryNOT_VALIDATED-BL'!$A$1:$A$16,0),6),0),IF(S1037=TRUE,INDEX('SummaryNOT_VALIDATED-BL'!$A$1:$F$16,MATCH(E1037,'SummaryNOT_VALIDATED-BL'!$A$1:$A$16,0),6),0)),0)</f>
        <v>9.1604133276901048E-2</v>
      </c>
      <c r="V1037" s="81" cm="1">
        <f t="array" ref="V1037">INDEX('Weight tables'!$A$24:$C$27,MATCH(1,(RendicontiTrasmessiBL__2[[#This Row],[Cut percentage on real costs + USC]]&gt;='Weight tables'!$B$24:$B$27)*(RendicontiTrasmessiBL__2[[#This Row],[Cut percentage on real costs + USC]]&lt;='Weight tables'!$C$24:$C$27),0),1)</f>
        <v>4</v>
      </c>
      <c r="W1037" s="2">
        <f>RendicontiTrasmessiBL__2[[#This Row],[Weight real costs  + USC ]]</f>
        <v>4</v>
      </c>
    </row>
    <row r="1038" spans="1:23" x14ac:dyDescent="0.25">
      <c r="A1038" s="1" t="s">
        <v>59</v>
      </c>
      <c r="B1038" s="1" t="s">
        <v>69</v>
      </c>
      <c r="C1038" s="2">
        <v>325</v>
      </c>
      <c r="D1038" s="2">
        <v>244</v>
      </c>
      <c r="E1038" s="1" t="s">
        <v>229</v>
      </c>
      <c r="G1038">
        <v>0</v>
      </c>
      <c r="H1038">
        <v>0</v>
      </c>
      <c r="I1038">
        <v>0</v>
      </c>
      <c r="J1038">
        <v>0</v>
      </c>
      <c r="K1038">
        <v>0</v>
      </c>
      <c r="L1038">
        <v>0</v>
      </c>
      <c r="M1038">
        <v>0</v>
      </c>
      <c r="N1038">
        <v>0</v>
      </c>
      <c r="O1038">
        <v>0</v>
      </c>
      <c r="P1038">
        <v>0</v>
      </c>
      <c r="Q1038" t="str">
        <f>INDEX('Partner data'!A:DH,MATCH(C1038,'Partner data'!DG:DG,0),83)</f>
        <v>Soggetto pubblico</v>
      </c>
      <c r="R1038" t="b">
        <f>IF(E1038="staff",IF(INDEX('Partner data'!A:DH,MATCH(C1038,'Partner data'!DG:DG,0),112)="BL1 non presente","FALSO",INDEX('Partner data'!A:DH,MATCH(C1038,'Partner data'!DG:DG,0),112)))</f>
        <v>0</v>
      </c>
      <c r="S1038" t="b">
        <f t="shared" si="32"/>
        <v>0</v>
      </c>
      <c r="T1038" t="b">
        <f t="shared" si="33"/>
        <v>1</v>
      </c>
      <c r="U1038" s="154">
        <f>IFERROR(IF(R1038&lt;&gt;FALSE,IF(S1038=TRUE,INDEX('SummaryNOT_VALIDATED-BL'!$A$1:$F$16,MATCH(R1038,'SummaryNOT_VALIDATED-BL'!$A$1:$A$16,0),6),0),IF(S1038=TRUE,INDEX('SummaryNOT_VALIDATED-BL'!$A$1:$F$16,MATCH(E1038,'SummaryNOT_VALIDATED-BL'!$A$1:$A$16,0),6),0)),0)</f>
        <v>0</v>
      </c>
      <c r="V1038" s="81" cm="1">
        <f t="array" ref="V1038">INDEX('Weight tables'!$A$24:$C$27,MATCH(1,(RendicontiTrasmessiBL__2[[#This Row],[Cut percentage on real costs + USC]]&gt;='Weight tables'!$B$24:$B$27)*(RendicontiTrasmessiBL__2[[#This Row],[Cut percentage on real costs + USC]]&lt;='Weight tables'!$C$24:$C$27),0),1)</f>
        <v>0</v>
      </c>
      <c r="W1038" s="2">
        <f>RendicontiTrasmessiBL__2[[#This Row],[Weight real costs  + USC ]]</f>
        <v>0</v>
      </c>
    </row>
    <row r="1039" spans="1:23" x14ac:dyDescent="0.25">
      <c r="A1039" s="1" t="s">
        <v>59</v>
      </c>
      <c r="B1039" s="1" t="s">
        <v>69</v>
      </c>
      <c r="C1039" s="2">
        <v>325</v>
      </c>
      <c r="D1039" s="2">
        <v>244</v>
      </c>
      <c r="E1039" s="1" t="s">
        <v>230</v>
      </c>
      <c r="G1039">
        <v>0</v>
      </c>
      <c r="H1039">
        <v>0</v>
      </c>
      <c r="I1039">
        <v>0</v>
      </c>
      <c r="J1039">
        <v>0</v>
      </c>
      <c r="K1039">
        <v>0</v>
      </c>
      <c r="L1039">
        <v>0</v>
      </c>
      <c r="M1039">
        <v>0</v>
      </c>
      <c r="N1039">
        <v>0</v>
      </c>
      <c r="O1039">
        <v>0</v>
      </c>
      <c r="P1039">
        <v>0</v>
      </c>
      <c r="Q1039" t="str">
        <f>INDEX('Partner data'!A:DH,MATCH(C1039,'Partner data'!DG:DG,0),83)</f>
        <v>Soggetto pubblico</v>
      </c>
      <c r="R1039" t="b">
        <f>IF(E1039="staff",IF(INDEX('Partner data'!A:DH,MATCH(C1039,'Partner data'!DG:DG,0),112)="BL1 non presente","FALSO",INDEX('Partner data'!A:DH,MATCH(C1039,'Partner data'!DG:DG,0),112)))</f>
        <v>0</v>
      </c>
      <c r="S1039" t="b">
        <f t="shared" si="32"/>
        <v>0</v>
      </c>
      <c r="T1039" t="b">
        <f t="shared" si="33"/>
        <v>1</v>
      </c>
      <c r="U1039" s="154">
        <f>IFERROR(IF(R1039&lt;&gt;FALSE,IF(S1039=TRUE,INDEX('SummaryNOT_VALIDATED-BL'!$A$1:$F$16,MATCH(R1039,'SummaryNOT_VALIDATED-BL'!$A$1:$A$16,0),6),0),IF(S1039=TRUE,INDEX('SummaryNOT_VALIDATED-BL'!$A$1:$F$16,MATCH(E1039,'SummaryNOT_VALIDATED-BL'!$A$1:$A$16,0),6),0)),0)</f>
        <v>0</v>
      </c>
      <c r="V1039" s="81" cm="1">
        <f t="array" ref="V1039">INDEX('Weight tables'!$A$24:$C$27,MATCH(1,(RendicontiTrasmessiBL__2[[#This Row],[Cut percentage on real costs + USC]]&gt;='Weight tables'!$B$24:$B$27)*(RendicontiTrasmessiBL__2[[#This Row],[Cut percentage on real costs + USC]]&lt;='Weight tables'!$C$24:$C$27),0),1)</f>
        <v>0</v>
      </c>
      <c r="W1039" s="2">
        <f>RendicontiTrasmessiBL__2[[#This Row],[Weight real costs  + USC ]]</f>
        <v>0</v>
      </c>
    </row>
    <row r="1040" spans="1:23" x14ac:dyDescent="0.25">
      <c r="A1040" s="1" t="s">
        <v>59</v>
      </c>
      <c r="B1040" s="1" t="s">
        <v>69</v>
      </c>
      <c r="C1040" s="2">
        <v>325</v>
      </c>
      <c r="D1040" s="2">
        <v>244</v>
      </c>
      <c r="E1040" s="1" t="s">
        <v>231</v>
      </c>
      <c r="G1040">
        <v>0</v>
      </c>
      <c r="H1040">
        <v>0</v>
      </c>
      <c r="I1040">
        <v>0</v>
      </c>
      <c r="J1040">
        <v>0</v>
      </c>
      <c r="K1040">
        <v>0</v>
      </c>
      <c r="L1040">
        <v>0</v>
      </c>
      <c r="M1040">
        <v>0</v>
      </c>
      <c r="N1040">
        <v>0</v>
      </c>
      <c r="O1040">
        <v>0</v>
      </c>
      <c r="P1040">
        <v>0</v>
      </c>
      <c r="Q1040" t="str">
        <f>INDEX('Partner data'!A:DH,MATCH(C1040,'Partner data'!DG:DG,0),83)</f>
        <v>Soggetto pubblico</v>
      </c>
      <c r="R1040" t="b">
        <f>IF(E1040="staff",IF(INDEX('Partner data'!A:DH,MATCH(C1040,'Partner data'!DG:DG,0),112)="BL1 non presente","FALSO",INDEX('Partner data'!A:DH,MATCH(C1040,'Partner data'!DG:DG,0),112)))</f>
        <v>0</v>
      </c>
      <c r="S1040" t="b">
        <f t="shared" si="32"/>
        <v>0</v>
      </c>
      <c r="T1040" t="b">
        <f t="shared" si="33"/>
        <v>1</v>
      </c>
      <c r="U1040" s="154">
        <f>IFERROR(IF(R1040&lt;&gt;FALSE,IF(S1040=TRUE,INDEX('SummaryNOT_VALIDATED-BL'!$A$1:$F$16,MATCH(R1040,'SummaryNOT_VALIDATED-BL'!$A$1:$A$16,0),6),0),IF(S1040=TRUE,INDEX('SummaryNOT_VALIDATED-BL'!$A$1:$F$16,MATCH(E1040,'SummaryNOT_VALIDATED-BL'!$A$1:$A$16,0),6),0)),0)</f>
        <v>0</v>
      </c>
      <c r="V1040" s="81" cm="1">
        <f t="array" ref="V1040">INDEX('Weight tables'!$A$24:$C$27,MATCH(1,(RendicontiTrasmessiBL__2[[#This Row],[Cut percentage on real costs + USC]]&gt;='Weight tables'!$B$24:$B$27)*(RendicontiTrasmessiBL__2[[#This Row],[Cut percentage on real costs + USC]]&lt;='Weight tables'!$C$24:$C$27),0),1)</f>
        <v>0</v>
      </c>
      <c r="W1040" s="2">
        <f>RendicontiTrasmessiBL__2[[#This Row],[Weight real costs  + USC ]]</f>
        <v>0</v>
      </c>
    </row>
    <row r="1041" spans="1:23" x14ac:dyDescent="0.25">
      <c r="A1041" s="1" t="s">
        <v>59</v>
      </c>
      <c r="B1041" s="1" t="s">
        <v>69</v>
      </c>
      <c r="C1041" s="2">
        <v>325</v>
      </c>
      <c r="D1041" s="2">
        <v>244</v>
      </c>
      <c r="E1041" s="1" t="s">
        <v>232</v>
      </c>
      <c r="G1041">
        <v>0</v>
      </c>
      <c r="H1041">
        <v>0</v>
      </c>
      <c r="I1041">
        <v>0</v>
      </c>
      <c r="J1041">
        <v>0</v>
      </c>
      <c r="K1041">
        <v>0</v>
      </c>
      <c r="L1041">
        <v>0</v>
      </c>
      <c r="M1041">
        <v>0</v>
      </c>
      <c r="N1041">
        <v>0</v>
      </c>
      <c r="O1041">
        <v>0</v>
      </c>
      <c r="P1041">
        <v>0</v>
      </c>
      <c r="Q1041" t="str">
        <f>INDEX('Partner data'!A:DH,MATCH(C1041,'Partner data'!DG:DG,0),83)</f>
        <v>Soggetto pubblico</v>
      </c>
      <c r="R1041" t="b">
        <f>IF(E1041="staff",IF(INDEX('Partner data'!A:DH,MATCH(C1041,'Partner data'!DG:DG,0),112)="BL1 non presente","FALSO",INDEX('Partner data'!A:DH,MATCH(C1041,'Partner data'!DG:DG,0),112)))</f>
        <v>0</v>
      </c>
      <c r="S1041" t="b">
        <f t="shared" si="32"/>
        <v>0</v>
      </c>
      <c r="T1041" t="b">
        <f t="shared" si="33"/>
        <v>1</v>
      </c>
      <c r="U1041" s="154">
        <f>IFERROR(IF(R1041&lt;&gt;FALSE,IF(S1041=TRUE,INDEX('SummaryNOT_VALIDATED-BL'!$A$1:$F$16,MATCH(R1041,'SummaryNOT_VALIDATED-BL'!$A$1:$A$16,0),6),0),IF(S1041=TRUE,INDEX('SummaryNOT_VALIDATED-BL'!$A$1:$F$16,MATCH(E1041,'SummaryNOT_VALIDATED-BL'!$A$1:$A$16,0),6),0)),0)</f>
        <v>0</v>
      </c>
      <c r="V1041" s="81" cm="1">
        <f t="array" ref="V1041">INDEX('Weight tables'!$A$24:$C$27,MATCH(1,(RendicontiTrasmessiBL__2[[#This Row],[Cut percentage on real costs + USC]]&gt;='Weight tables'!$B$24:$B$27)*(RendicontiTrasmessiBL__2[[#This Row],[Cut percentage on real costs + USC]]&lt;='Weight tables'!$C$24:$C$27),0),1)</f>
        <v>0</v>
      </c>
      <c r="W1041" s="2">
        <f>RendicontiTrasmessiBL__2[[#This Row],[Weight real costs  + USC ]]</f>
        <v>0</v>
      </c>
    </row>
    <row r="1042" spans="1:23" x14ac:dyDescent="0.25">
      <c r="A1042" s="1" t="s">
        <v>59</v>
      </c>
      <c r="B1042" s="1" t="s">
        <v>69</v>
      </c>
      <c r="C1042" s="2">
        <v>325</v>
      </c>
      <c r="D1042" s="2">
        <v>244</v>
      </c>
      <c r="E1042" s="1" t="s">
        <v>233</v>
      </c>
      <c r="G1042">
        <v>0</v>
      </c>
      <c r="H1042">
        <v>0</v>
      </c>
      <c r="I1042">
        <v>0</v>
      </c>
      <c r="J1042">
        <v>0</v>
      </c>
      <c r="K1042">
        <v>0</v>
      </c>
      <c r="L1042">
        <v>0</v>
      </c>
      <c r="M1042">
        <v>0</v>
      </c>
      <c r="N1042">
        <v>0</v>
      </c>
      <c r="O1042">
        <v>0</v>
      </c>
      <c r="P1042">
        <v>0</v>
      </c>
      <c r="Q1042" t="str">
        <f>INDEX('Partner data'!A:DH,MATCH(C1042,'Partner data'!DG:DG,0),83)</f>
        <v>Soggetto pubblico</v>
      </c>
      <c r="R1042" t="b">
        <f>IF(E1042="staff",IF(INDEX('Partner data'!A:DH,MATCH(C1042,'Partner data'!DG:DG,0),112)="BL1 non presente","FALSO",INDEX('Partner data'!A:DH,MATCH(C1042,'Partner data'!DG:DG,0),112)))</f>
        <v>0</v>
      </c>
      <c r="S1042" t="b">
        <f t="shared" si="32"/>
        <v>0</v>
      </c>
      <c r="T1042" t="b">
        <f t="shared" si="33"/>
        <v>1</v>
      </c>
      <c r="U1042" s="154">
        <f>IFERROR(IF(R1042&lt;&gt;FALSE,IF(S1042=TRUE,INDEX('SummaryNOT_VALIDATED-BL'!$A$1:$F$16,MATCH(R1042,'SummaryNOT_VALIDATED-BL'!$A$1:$A$16,0),6),0),IF(S1042=TRUE,INDEX('SummaryNOT_VALIDATED-BL'!$A$1:$F$16,MATCH(E1042,'SummaryNOT_VALIDATED-BL'!$A$1:$A$16,0),6),0)),0)</f>
        <v>0</v>
      </c>
      <c r="V1042" s="81" cm="1">
        <f t="array" ref="V1042">INDEX('Weight tables'!$A$24:$C$27,MATCH(1,(RendicontiTrasmessiBL__2[[#This Row],[Cut percentage on real costs + USC]]&gt;='Weight tables'!$B$24:$B$27)*(RendicontiTrasmessiBL__2[[#This Row],[Cut percentage on real costs + USC]]&lt;='Weight tables'!$C$24:$C$27),0),1)</f>
        <v>0</v>
      </c>
      <c r="W1042" s="2">
        <f>RendicontiTrasmessiBL__2[[#This Row],[Weight real costs  + USC ]]</f>
        <v>0</v>
      </c>
    </row>
    <row r="1043" spans="1:23" x14ac:dyDescent="0.25">
      <c r="A1043" s="1" t="s">
        <v>59</v>
      </c>
      <c r="B1043" s="1" t="s">
        <v>69</v>
      </c>
      <c r="C1043" s="2">
        <v>325</v>
      </c>
      <c r="D1043" s="2">
        <v>244</v>
      </c>
      <c r="E1043" s="1" t="s">
        <v>234</v>
      </c>
      <c r="F1043">
        <v>29</v>
      </c>
      <c r="G1043">
        <v>75130.25</v>
      </c>
      <c r="H1043">
        <v>8138.82</v>
      </c>
      <c r="I1043">
        <v>0</v>
      </c>
      <c r="J1043">
        <v>13713.23</v>
      </c>
      <c r="K1043">
        <v>0</v>
      </c>
      <c r="L1043">
        <v>13713.23</v>
      </c>
      <c r="M1043">
        <v>21852.05</v>
      </c>
      <c r="N1043">
        <v>29.09</v>
      </c>
      <c r="O1043">
        <v>53278.2</v>
      </c>
      <c r="P1043">
        <v>0</v>
      </c>
      <c r="Q1043" t="str">
        <f>INDEX('Partner data'!A:DH,MATCH(C1043,'Partner data'!DG:DG,0),83)</f>
        <v>Soggetto pubblico</v>
      </c>
      <c r="R1043" t="b">
        <f>IF(E1043="staff",IF(INDEX('Partner data'!A:DH,MATCH(C1043,'Partner data'!DG:DG,0),112)="BL1 non presente","FALSO",INDEX('Partner data'!A:DH,MATCH(C1043,'Partner data'!DG:DG,0),112)))</f>
        <v>0</v>
      </c>
      <c r="S1043" t="b">
        <f t="shared" si="32"/>
        <v>1</v>
      </c>
      <c r="T1043" t="b">
        <f t="shared" si="33"/>
        <v>1</v>
      </c>
      <c r="U1043" s="154">
        <f>IFERROR(IF(R1043&lt;&gt;FALSE,IF(S1043=TRUE,INDEX('SummaryNOT_VALIDATED-BL'!$A$1:$F$16,MATCH(R1043,'SummaryNOT_VALIDATED-BL'!$A$1:$A$16,0),6),0),IF(S1043=TRUE,INDEX('SummaryNOT_VALIDATED-BL'!$A$1:$F$16,MATCH(E1043,'SummaryNOT_VALIDATED-BL'!$A$1:$A$16,0),6),0)),0)</f>
        <v>8.7645339819521315E-2</v>
      </c>
      <c r="V1043" s="81" cm="1">
        <f t="array" ref="V1043">INDEX('Weight tables'!$A$24:$C$27,MATCH(1,(RendicontiTrasmessiBL__2[[#This Row],[Cut percentage on real costs + USC]]&gt;='Weight tables'!$B$24:$B$27)*(RendicontiTrasmessiBL__2[[#This Row],[Cut percentage on real costs + USC]]&lt;='Weight tables'!$C$24:$C$27),0),1)</f>
        <v>4</v>
      </c>
      <c r="W1043" s="2">
        <f>RendicontiTrasmessiBL__2[[#This Row],[Weight real costs  + USC ]]</f>
        <v>4</v>
      </c>
    </row>
    <row r="1044" spans="1:23" x14ac:dyDescent="0.25">
      <c r="A1044" s="1" t="s">
        <v>59</v>
      </c>
      <c r="B1044" s="1" t="s">
        <v>69</v>
      </c>
      <c r="C1044" s="2">
        <v>325</v>
      </c>
      <c r="D1044" s="2">
        <v>244</v>
      </c>
      <c r="E1044" s="1" t="s">
        <v>236</v>
      </c>
      <c r="G1044">
        <v>0</v>
      </c>
      <c r="H1044">
        <v>0</v>
      </c>
      <c r="I1044">
        <v>0</v>
      </c>
      <c r="J1044">
        <v>0</v>
      </c>
      <c r="K1044">
        <v>0</v>
      </c>
      <c r="L1044">
        <v>0</v>
      </c>
      <c r="M1044">
        <v>0</v>
      </c>
      <c r="N1044">
        <v>0</v>
      </c>
      <c r="O1044">
        <v>0</v>
      </c>
      <c r="P1044">
        <v>0</v>
      </c>
      <c r="Q1044" t="str">
        <f>INDEX('Partner data'!A:DH,MATCH(C1044,'Partner data'!DG:DG,0),83)</f>
        <v>Soggetto pubblico</v>
      </c>
      <c r="R1044" t="b">
        <f>IF(E1044="staff",IF(INDEX('Partner data'!A:DH,MATCH(C1044,'Partner data'!DG:DG,0),112)="BL1 non presente","FALSO",INDEX('Partner data'!A:DH,MATCH(C1044,'Partner data'!DG:DG,0),112)))</f>
        <v>0</v>
      </c>
      <c r="S1044" t="b">
        <f t="shared" si="32"/>
        <v>0</v>
      </c>
      <c r="T1044" t="b">
        <f t="shared" si="33"/>
        <v>1</v>
      </c>
      <c r="U1044" s="154">
        <f>IFERROR(IF(R1044&lt;&gt;FALSE,IF(S1044=TRUE,INDEX('SummaryNOT_VALIDATED-BL'!$A$1:$F$16,MATCH(R1044,'SummaryNOT_VALIDATED-BL'!$A$1:$A$16,0),6),0),IF(S1044=TRUE,INDEX('SummaryNOT_VALIDATED-BL'!$A$1:$F$16,MATCH(E1044,'SummaryNOT_VALIDATED-BL'!$A$1:$A$16,0),6),0)),0)</f>
        <v>0</v>
      </c>
      <c r="V1044" s="81" cm="1">
        <f t="array" ref="V1044">INDEX('Weight tables'!$A$24:$C$27,MATCH(1,(RendicontiTrasmessiBL__2[[#This Row],[Cut percentage on real costs + USC]]&gt;='Weight tables'!$B$24:$B$27)*(RendicontiTrasmessiBL__2[[#This Row],[Cut percentage on real costs + USC]]&lt;='Weight tables'!$C$24:$C$27),0),1)</f>
        <v>0</v>
      </c>
      <c r="W1044" s="2">
        <f>RendicontiTrasmessiBL__2[[#This Row],[Weight real costs  + USC ]]</f>
        <v>0</v>
      </c>
    </row>
    <row r="1045" spans="1:23" x14ac:dyDescent="0.25">
      <c r="A1045" s="1" t="s">
        <v>59</v>
      </c>
      <c r="B1045" s="1" t="s">
        <v>69</v>
      </c>
      <c r="C1045" s="2">
        <v>325</v>
      </c>
      <c r="D1045" s="2">
        <v>244</v>
      </c>
      <c r="E1045" s="1" t="s">
        <v>237</v>
      </c>
      <c r="G1045">
        <v>0</v>
      </c>
      <c r="H1045">
        <v>0</v>
      </c>
      <c r="I1045">
        <v>0</v>
      </c>
      <c r="J1045">
        <v>0</v>
      </c>
      <c r="K1045">
        <v>0</v>
      </c>
      <c r="L1045">
        <v>0</v>
      </c>
      <c r="M1045">
        <v>0</v>
      </c>
      <c r="N1045">
        <v>0</v>
      </c>
      <c r="O1045">
        <v>0</v>
      </c>
      <c r="P1045">
        <v>0</v>
      </c>
      <c r="Q1045" t="str">
        <f>INDEX('Partner data'!A:DH,MATCH(C1045,'Partner data'!DG:DG,0),83)</f>
        <v>Soggetto pubblico</v>
      </c>
      <c r="R1045" t="b">
        <f>IF(E1045="staff",IF(INDEX('Partner data'!A:DH,MATCH(C1045,'Partner data'!DG:DG,0),112)="BL1 non presente","FALSO",INDEX('Partner data'!A:DH,MATCH(C1045,'Partner data'!DG:DG,0),112)))</f>
        <v>0</v>
      </c>
      <c r="S1045" t="b">
        <f t="shared" si="32"/>
        <v>0</v>
      </c>
      <c r="T1045" t="b">
        <f t="shared" si="33"/>
        <v>1</v>
      </c>
      <c r="U1045" s="154">
        <f>IFERROR(IF(R1045&lt;&gt;FALSE,IF(S1045=TRUE,INDEX('SummaryNOT_VALIDATED-BL'!$A$1:$F$16,MATCH(R1045,'SummaryNOT_VALIDATED-BL'!$A$1:$A$16,0),6),0),IF(S1045=TRUE,INDEX('SummaryNOT_VALIDATED-BL'!$A$1:$F$16,MATCH(E1045,'SummaryNOT_VALIDATED-BL'!$A$1:$A$16,0),6),0)),0)</f>
        <v>0</v>
      </c>
      <c r="V1045" s="81" cm="1">
        <f t="array" ref="V1045">INDEX('Weight tables'!$A$24:$C$27,MATCH(1,(RendicontiTrasmessiBL__2[[#This Row],[Cut percentage on real costs + USC]]&gt;='Weight tables'!$B$24:$B$27)*(RendicontiTrasmessiBL__2[[#This Row],[Cut percentage on real costs + USC]]&lt;='Weight tables'!$C$24:$C$27),0),1)</f>
        <v>0</v>
      </c>
      <c r="W1045" s="2">
        <f>RendicontiTrasmessiBL__2[[#This Row],[Weight real costs  + USC ]]</f>
        <v>0</v>
      </c>
    </row>
    <row r="1046" spans="1:23" x14ac:dyDescent="0.25">
      <c r="A1046" s="1" t="s">
        <v>59</v>
      </c>
      <c r="B1046" s="1" t="s">
        <v>69</v>
      </c>
      <c r="C1046" s="2">
        <v>325</v>
      </c>
      <c r="D1046" s="2">
        <v>75</v>
      </c>
      <c r="E1046" s="1" t="s">
        <v>228</v>
      </c>
      <c r="G1046">
        <v>259069.85</v>
      </c>
      <c r="H1046">
        <v>0</v>
      </c>
      <c r="I1046">
        <v>0</v>
      </c>
      <c r="J1046">
        <v>28064.92</v>
      </c>
      <c r="K1046">
        <v>0</v>
      </c>
      <c r="L1046">
        <v>0</v>
      </c>
      <c r="M1046">
        <v>28064.92</v>
      </c>
      <c r="N1046">
        <v>10.83</v>
      </c>
      <c r="O1046">
        <v>231004.93</v>
      </c>
      <c r="P1046">
        <v>0</v>
      </c>
      <c r="Q1046" t="str">
        <f>INDEX('Partner data'!A:DH,MATCH(C1046,'Partner data'!DG:DG,0),83)</f>
        <v>Soggetto pubblico</v>
      </c>
      <c r="R1046" t="str">
        <f>IF(E1046="staff",IF(INDEX('Partner data'!A:DH,MATCH(C1046,'Partner data'!DG:DG,0),112)="BL1 non presente","FALSO",INDEX('Partner data'!A:DH,MATCH(C1046,'Partner data'!DG:DG,0),112)))</f>
        <v>COSTO REALE</v>
      </c>
      <c r="S1046" t="b">
        <f t="shared" si="32"/>
        <v>1</v>
      </c>
      <c r="T1046" t="b">
        <f t="shared" si="33"/>
        <v>1</v>
      </c>
      <c r="U1046" s="154">
        <f>IFERROR(IF(R1046&lt;&gt;FALSE,IF(S1046=TRUE,INDEX('SummaryNOT_VALIDATED-BL'!$A$1:$F$16,MATCH(R1046,'SummaryNOT_VALIDATED-BL'!$A$1:$A$16,0),6),0),IF(S1046=TRUE,INDEX('SummaryNOT_VALIDATED-BL'!$A$1:$F$16,MATCH(E1046,'SummaryNOT_VALIDATED-BL'!$A$1:$A$16,0),6),0)),0)</f>
        <v>9.1604133276901048E-2</v>
      </c>
      <c r="V1046" s="81" cm="1">
        <f t="array" ref="V1046">INDEX('Weight tables'!$A$24:$C$27,MATCH(1,(RendicontiTrasmessiBL__2[[#This Row],[Cut percentage on real costs + USC]]&gt;='Weight tables'!$B$24:$B$27)*(RendicontiTrasmessiBL__2[[#This Row],[Cut percentage on real costs + USC]]&lt;='Weight tables'!$C$24:$C$27),0),1)</f>
        <v>4</v>
      </c>
      <c r="W1046" s="2">
        <f>RendicontiTrasmessiBL__2[[#This Row],[Weight real costs  + USC ]]</f>
        <v>4</v>
      </c>
    </row>
    <row r="1047" spans="1:23" x14ac:dyDescent="0.25">
      <c r="A1047" s="1" t="s">
        <v>59</v>
      </c>
      <c r="B1047" s="1" t="s">
        <v>69</v>
      </c>
      <c r="C1047" s="2">
        <v>325</v>
      </c>
      <c r="D1047" s="2">
        <v>75</v>
      </c>
      <c r="E1047" s="1" t="s">
        <v>229</v>
      </c>
      <c r="G1047">
        <v>0</v>
      </c>
      <c r="H1047">
        <v>0</v>
      </c>
      <c r="I1047">
        <v>0</v>
      </c>
      <c r="J1047">
        <v>0</v>
      </c>
      <c r="K1047">
        <v>0</v>
      </c>
      <c r="L1047">
        <v>0</v>
      </c>
      <c r="M1047">
        <v>0</v>
      </c>
      <c r="N1047">
        <v>0</v>
      </c>
      <c r="O1047">
        <v>0</v>
      </c>
      <c r="P1047">
        <v>0</v>
      </c>
      <c r="Q1047" t="str">
        <f>INDEX('Partner data'!A:DH,MATCH(C1047,'Partner data'!DG:DG,0),83)</f>
        <v>Soggetto pubblico</v>
      </c>
      <c r="R1047" t="b">
        <f>IF(E1047="staff",IF(INDEX('Partner data'!A:DH,MATCH(C1047,'Partner data'!DG:DG,0),112)="BL1 non presente","FALSO",INDEX('Partner data'!A:DH,MATCH(C1047,'Partner data'!DG:DG,0),112)))</f>
        <v>0</v>
      </c>
      <c r="S1047" t="b">
        <f t="shared" si="32"/>
        <v>0</v>
      </c>
      <c r="T1047" t="b">
        <f t="shared" si="33"/>
        <v>1</v>
      </c>
      <c r="U1047" s="154">
        <f>IFERROR(IF(R1047&lt;&gt;FALSE,IF(S1047=TRUE,INDEX('SummaryNOT_VALIDATED-BL'!$A$1:$F$16,MATCH(R1047,'SummaryNOT_VALIDATED-BL'!$A$1:$A$16,0),6),0),IF(S1047=TRUE,INDEX('SummaryNOT_VALIDATED-BL'!$A$1:$F$16,MATCH(E1047,'SummaryNOT_VALIDATED-BL'!$A$1:$A$16,0),6),0)),0)</f>
        <v>0</v>
      </c>
      <c r="V1047" s="81" cm="1">
        <f t="array" ref="V1047">INDEX('Weight tables'!$A$24:$C$27,MATCH(1,(RendicontiTrasmessiBL__2[[#This Row],[Cut percentage on real costs + USC]]&gt;='Weight tables'!$B$24:$B$27)*(RendicontiTrasmessiBL__2[[#This Row],[Cut percentage on real costs + USC]]&lt;='Weight tables'!$C$24:$C$27),0),1)</f>
        <v>0</v>
      </c>
      <c r="W1047" s="2">
        <f>RendicontiTrasmessiBL__2[[#This Row],[Weight real costs  + USC ]]</f>
        <v>0</v>
      </c>
    </row>
    <row r="1048" spans="1:23" x14ac:dyDescent="0.25">
      <c r="A1048" s="1" t="s">
        <v>59</v>
      </c>
      <c r="B1048" s="1" t="s">
        <v>69</v>
      </c>
      <c r="C1048" s="2">
        <v>325</v>
      </c>
      <c r="D1048" s="2">
        <v>75</v>
      </c>
      <c r="E1048" s="1" t="s">
        <v>230</v>
      </c>
      <c r="G1048">
        <v>0</v>
      </c>
      <c r="H1048">
        <v>0</v>
      </c>
      <c r="I1048">
        <v>0</v>
      </c>
      <c r="J1048">
        <v>0</v>
      </c>
      <c r="K1048">
        <v>0</v>
      </c>
      <c r="L1048">
        <v>0</v>
      </c>
      <c r="M1048">
        <v>0</v>
      </c>
      <c r="N1048">
        <v>0</v>
      </c>
      <c r="O1048">
        <v>0</v>
      </c>
      <c r="P1048">
        <v>0</v>
      </c>
      <c r="Q1048" t="str">
        <f>INDEX('Partner data'!A:DH,MATCH(C1048,'Partner data'!DG:DG,0),83)</f>
        <v>Soggetto pubblico</v>
      </c>
      <c r="R1048" t="b">
        <f>IF(E1048="staff",IF(INDEX('Partner data'!A:DH,MATCH(C1048,'Partner data'!DG:DG,0),112)="BL1 non presente","FALSO",INDEX('Partner data'!A:DH,MATCH(C1048,'Partner data'!DG:DG,0),112)))</f>
        <v>0</v>
      </c>
      <c r="S1048" t="b">
        <f t="shared" si="32"/>
        <v>0</v>
      </c>
      <c r="T1048" t="b">
        <f t="shared" si="33"/>
        <v>1</v>
      </c>
      <c r="U1048" s="154">
        <f>IFERROR(IF(R1048&lt;&gt;FALSE,IF(S1048=TRUE,INDEX('SummaryNOT_VALIDATED-BL'!$A$1:$F$16,MATCH(R1048,'SummaryNOT_VALIDATED-BL'!$A$1:$A$16,0),6),0),IF(S1048=TRUE,INDEX('SummaryNOT_VALIDATED-BL'!$A$1:$F$16,MATCH(E1048,'SummaryNOT_VALIDATED-BL'!$A$1:$A$16,0),6),0)),0)</f>
        <v>0</v>
      </c>
      <c r="V1048" s="81" cm="1">
        <f t="array" ref="V1048">INDEX('Weight tables'!$A$24:$C$27,MATCH(1,(RendicontiTrasmessiBL__2[[#This Row],[Cut percentage on real costs + USC]]&gt;='Weight tables'!$B$24:$B$27)*(RendicontiTrasmessiBL__2[[#This Row],[Cut percentage on real costs + USC]]&lt;='Weight tables'!$C$24:$C$27),0),1)</f>
        <v>0</v>
      </c>
      <c r="W1048" s="2">
        <f>RendicontiTrasmessiBL__2[[#This Row],[Weight real costs  + USC ]]</f>
        <v>0</v>
      </c>
    </row>
    <row r="1049" spans="1:23" x14ac:dyDescent="0.25">
      <c r="A1049" s="1" t="s">
        <v>59</v>
      </c>
      <c r="B1049" s="1" t="s">
        <v>69</v>
      </c>
      <c r="C1049" s="2">
        <v>325</v>
      </c>
      <c r="D1049" s="2">
        <v>75</v>
      </c>
      <c r="E1049" s="1" t="s">
        <v>231</v>
      </c>
      <c r="G1049">
        <v>0</v>
      </c>
      <c r="H1049">
        <v>0</v>
      </c>
      <c r="I1049">
        <v>0</v>
      </c>
      <c r="J1049">
        <v>0</v>
      </c>
      <c r="K1049">
        <v>0</v>
      </c>
      <c r="L1049">
        <v>0</v>
      </c>
      <c r="M1049">
        <v>0</v>
      </c>
      <c r="N1049">
        <v>0</v>
      </c>
      <c r="O1049">
        <v>0</v>
      </c>
      <c r="P1049">
        <v>0</v>
      </c>
      <c r="Q1049" t="str">
        <f>INDEX('Partner data'!A:DH,MATCH(C1049,'Partner data'!DG:DG,0),83)</f>
        <v>Soggetto pubblico</v>
      </c>
      <c r="R1049" t="b">
        <f>IF(E1049="staff",IF(INDEX('Partner data'!A:DH,MATCH(C1049,'Partner data'!DG:DG,0),112)="BL1 non presente","FALSO",INDEX('Partner data'!A:DH,MATCH(C1049,'Partner data'!DG:DG,0),112)))</f>
        <v>0</v>
      </c>
      <c r="S1049" t="b">
        <f t="shared" si="32"/>
        <v>0</v>
      </c>
      <c r="T1049" t="b">
        <f t="shared" si="33"/>
        <v>1</v>
      </c>
      <c r="U1049" s="154">
        <f>IFERROR(IF(R1049&lt;&gt;FALSE,IF(S1049=TRUE,INDEX('SummaryNOT_VALIDATED-BL'!$A$1:$F$16,MATCH(R1049,'SummaryNOT_VALIDATED-BL'!$A$1:$A$16,0),6),0),IF(S1049=TRUE,INDEX('SummaryNOT_VALIDATED-BL'!$A$1:$F$16,MATCH(E1049,'SummaryNOT_VALIDATED-BL'!$A$1:$A$16,0),6),0)),0)</f>
        <v>0</v>
      </c>
      <c r="V1049" s="81" cm="1">
        <f t="array" ref="V1049">INDEX('Weight tables'!$A$24:$C$27,MATCH(1,(RendicontiTrasmessiBL__2[[#This Row],[Cut percentage on real costs + USC]]&gt;='Weight tables'!$B$24:$B$27)*(RendicontiTrasmessiBL__2[[#This Row],[Cut percentage on real costs + USC]]&lt;='Weight tables'!$C$24:$C$27),0),1)</f>
        <v>0</v>
      </c>
      <c r="W1049" s="2">
        <f>RendicontiTrasmessiBL__2[[#This Row],[Weight real costs  + USC ]]</f>
        <v>0</v>
      </c>
    </row>
    <row r="1050" spans="1:23" x14ac:dyDescent="0.25">
      <c r="A1050" s="1" t="s">
        <v>59</v>
      </c>
      <c r="B1050" s="1" t="s">
        <v>69</v>
      </c>
      <c r="C1050" s="2">
        <v>325</v>
      </c>
      <c r="D1050" s="2">
        <v>75</v>
      </c>
      <c r="E1050" s="1" t="s">
        <v>232</v>
      </c>
      <c r="G1050">
        <v>0</v>
      </c>
      <c r="H1050">
        <v>0</v>
      </c>
      <c r="I1050">
        <v>0</v>
      </c>
      <c r="J1050">
        <v>0</v>
      </c>
      <c r="K1050">
        <v>0</v>
      </c>
      <c r="L1050">
        <v>0</v>
      </c>
      <c r="M1050">
        <v>0</v>
      </c>
      <c r="N1050">
        <v>0</v>
      </c>
      <c r="O1050">
        <v>0</v>
      </c>
      <c r="P1050">
        <v>0</v>
      </c>
      <c r="Q1050" t="str">
        <f>INDEX('Partner data'!A:DH,MATCH(C1050,'Partner data'!DG:DG,0),83)</f>
        <v>Soggetto pubblico</v>
      </c>
      <c r="R1050" t="b">
        <f>IF(E1050="staff",IF(INDEX('Partner data'!A:DH,MATCH(C1050,'Partner data'!DG:DG,0),112)="BL1 non presente","FALSO",INDEX('Partner data'!A:DH,MATCH(C1050,'Partner data'!DG:DG,0),112)))</f>
        <v>0</v>
      </c>
      <c r="S1050" t="b">
        <f t="shared" si="32"/>
        <v>0</v>
      </c>
      <c r="T1050" t="b">
        <f t="shared" si="33"/>
        <v>1</v>
      </c>
      <c r="U1050" s="154">
        <f>IFERROR(IF(R1050&lt;&gt;FALSE,IF(S1050=TRUE,INDEX('SummaryNOT_VALIDATED-BL'!$A$1:$F$16,MATCH(R1050,'SummaryNOT_VALIDATED-BL'!$A$1:$A$16,0),6),0),IF(S1050=TRUE,INDEX('SummaryNOT_VALIDATED-BL'!$A$1:$F$16,MATCH(E1050,'SummaryNOT_VALIDATED-BL'!$A$1:$A$16,0),6),0)),0)</f>
        <v>0</v>
      </c>
      <c r="V1050" s="81" cm="1">
        <f t="array" ref="V1050">INDEX('Weight tables'!$A$24:$C$27,MATCH(1,(RendicontiTrasmessiBL__2[[#This Row],[Cut percentage on real costs + USC]]&gt;='Weight tables'!$B$24:$B$27)*(RendicontiTrasmessiBL__2[[#This Row],[Cut percentage on real costs + USC]]&lt;='Weight tables'!$C$24:$C$27),0),1)</f>
        <v>0</v>
      </c>
      <c r="W1050" s="2">
        <f>RendicontiTrasmessiBL__2[[#This Row],[Weight real costs  + USC ]]</f>
        <v>0</v>
      </c>
    </row>
    <row r="1051" spans="1:23" x14ac:dyDescent="0.25">
      <c r="A1051" s="1" t="s">
        <v>59</v>
      </c>
      <c r="B1051" s="1" t="s">
        <v>69</v>
      </c>
      <c r="C1051" s="2">
        <v>325</v>
      </c>
      <c r="D1051" s="2">
        <v>75</v>
      </c>
      <c r="E1051" s="1" t="s">
        <v>233</v>
      </c>
      <c r="G1051">
        <v>0</v>
      </c>
      <c r="H1051">
        <v>0</v>
      </c>
      <c r="I1051">
        <v>0</v>
      </c>
      <c r="J1051">
        <v>0</v>
      </c>
      <c r="K1051">
        <v>0</v>
      </c>
      <c r="L1051">
        <v>0</v>
      </c>
      <c r="M1051">
        <v>0</v>
      </c>
      <c r="N1051">
        <v>0</v>
      </c>
      <c r="O1051">
        <v>0</v>
      </c>
      <c r="P1051">
        <v>0</v>
      </c>
      <c r="Q1051" t="str">
        <f>INDEX('Partner data'!A:DH,MATCH(C1051,'Partner data'!DG:DG,0),83)</f>
        <v>Soggetto pubblico</v>
      </c>
      <c r="R1051" t="b">
        <f>IF(E1051="staff",IF(INDEX('Partner data'!A:DH,MATCH(C1051,'Partner data'!DG:DG,0),112)="BL1 non presente","FALSO",INDEX('Partner data'!A:DH,MATCH(C1051,'Partner data'!DG:DG,0),112)))</f>
        <v>0</v>
      </c>
      <c r="S1051" t="b">
        <f t="shared" si="32"/>
        <v>0</v>
      </c>
      <c r="T1051" t="b">
        <f t="shared" si="33"/>
        <v>1</v>
      </c>
      <c r="U1051" s="154">
        <f>IFERROR(IF(R1051&lt;&gt;FALSE,IF(S1051=TRUE,INDEX('SummaryNOT_VALIDATED-BL'!$A$1:$F$16,MATCH(R1051,'SummaryNOT_VALIDATED-BL'!$A$1:$A$16,0),6),0),IF(S1051=TRUE,INDEX('SummaryNOT_VALIDATED-BL'!$A$1:$F$16,MATCH(E1051,'SummaryNOT_VALIDATED-BL'!$A$1:$A$16,0),6),0)),0)</f>
        <v>0</v>
      </c>
      <c r="V1051" s="81" cm="1">
        <f t="array" ref="V1051">INDEX('Weight tables'!$A$24:$C$27,MATCH(1,(RendicontiTrasmessiBL__2[[#This Row],[Cut percentage on real costs + USC]]&gt;='Weight tables'!$B$24:$B$27)*(RendicontiTrasmessiBL__2[[#This Row],[Cut percentage on real costs + USC]]&lt;='Weight tables'!$C$24:$C$27),0),1)</f>
        <v>0</v>
      </c>
      <c r="W1051" s="2">
        <f>RendicontiTrasmessiBL__2[[#This Row],[Weight real costs  + USC ]]</f>
        <v>0</v>
      </c>
    </row>
    <row r="1052" spans="1:23" x14ac:dyDescent="0.25">
      <c r="A1052" s="1" t="s">
        <v>59</v>
      </c>
      <c r="B1052" s="1" t="s">
        <v>69</v>
      </c>
      <c r="C1052" s="2">
        <v>325</v>
      </c>
      <c r="D1052" s="2">
        <v>75</v>
      </c>
      <c r="E1052" s="1" t="s">
        <v>234</v>
      </c>
      <c r="F1052">
        <v>29</v>
      </c>
      <c r="G1052">
        <v>75130.25</v>
      </c>
      <c r="H1052">
        <v>0</v>
      </c>
      <c r="I1052">
        <v>0</v>
      </c>
      <c r="J1052">
        <v>8138.82</v>
      </c>
      <c r="K1052">
        <v>0</v>
      </c>
      <c r="L1052">
        <v>0</v>
      </c>
      <c r="M1052">
        <v>8138.82</v>
      </c>
      <c r="N1052">
        <v>10.83</v>
      </c>
      <c r="O1052">
        <v>66991.429999999993</v>
      </c>
      <c r="P1052">
        <v>0</v>
      </c>
      <c r="Q1052" t="str">
        <f>INDEX('Partner data'!A:DH,MATCH(C1052,'Partner data'!DG:DG,0),83)</f>
        <v>Soggetto pubblico</v>
      </c>
      <c r="R1052" t="b">
        <f>IF(E1052="staff",IF(INDEX('Partner data'!A:DH,MATCH(C1052,'Partner data'!DG:DG,0),112)="BL1 non presente","FALSO",INDEX('Partner data'!A:DH,MATCH(C1052,'Partner data'!DG:DG,0),112)))</f>
        <v>0</v>
      </c>
      <c r="S1052" t="b">
        <f t="shared" si="32"/>
        <v>1</v>
      </c>
      <c r="T1052" t="b">
        <f t="shared" si="33"/>
        <v>1</v>
      </c>
      <c r="U1052" s="154">
        <f>IFERROR(IF(R1052&lt;&gt;FALSE,IF(S1052=TRUE,INDEX('SummaryNOT_VALIDATED-BL'!$A$1:$F$16,MATCH(R1052,'SummaryNOT_VALIDATED-BL'!$A$1:$A$16,0),6),0),IF(S1052=TRUE,INDEX('SummaryNOT_VALIDATED-BL'!$A$1:$F$16,MATCH(E1052,'SummaryNOT_VALIDATED-BL'!$A$1:$A$16,0),6),0)),0)</f>
        <v>8.7645339819521315E-2</v>
      </c>
      <c r="V1052" s="81" cm="1">
        <f t="array" ref="V1052">INDEX('Weight tables'!$A$24:$C$27,MATCH(1,(RendicontiTrasmessiBL__2[[#This Row],[Cut percentage on real costs + USC]]&gt;='Weight tables'!$B$24:$B$27)*(RendicontiTrasmessiBL__2[[#This Row],[Cut percentage on real costs + USC]]&lt;='Weight tables'!$C$24:$C$27),0),1)</f>
        <v>4</v>
      </c>
      <c r="W1052" s="2">
        <f>RendicontiTrasmessiBL__2[[#This Row],[Weight real costs  + USC ]]</f>
        <v>4</v>
      </c>
    </row>
    <row r="1053" spans="1:23" x14ac:dyDescent="0.25">
      <c r="A1053" s="1" t="s">
        <v>59</v>
      </c>
      <c r="B1053" s="1" t="s">
        <v>69</v>
      </c>
      <c r="C1053" s="2">
        <v>325</v>
      </c>
      <c r="D1053" s="2">
        <v>75</v>
      </c>
      <c r="E1053" s="1" t="s">
        <v>236</v>
      </c>
      <c r="G1053">
        <v>0</v>
      </c>
      <c r="H1053">
        <v>0</v>
      </c>
      <c r="I1053">
        <v>0</v>
      </c>
      <c r="J1053">
        <v>0</v>
      </c>
      <c r="K1053">
        <v>0</v>
      </c>
      <c r="L1053">
        <v>0</v>
      </c>
      <c r="M1053">
        <v>0</v>
      </c>
      <c r="N1053">
        <v>0</v>
      </c>
      <c r="O1053">
        <v>0</v>
      </c>
      <c r="P1053">
        <v>0</v>
      </c>
      <c r="Q1053" t="str">
        <f>INDEX('Partner data'!A:DH,MATCH(C1053,'Partner data'!DG:DG,0),83)</f>
        <v>Soggetto pubblico</v>
      </c>
      <c r="R1053" t="b">
        <f>IF(E1053="staff",IF(INDEX('Partner data'!A:DH,MATCH(C1053,'Partner data'!DG:DG,0),112)="BL1 non presente","FALSO",INDEX('Partner data'!A:DH,MATCH(C1053,'Partner data'!DG:DG,0),112)))</f>
        <v>0</v>
      </c>
      <c r="S1053" t="b">
        <f t="shared" si="32"/>
        <v>0</v>
      </c>
      <c r="T1053" t="b">
        <f t="shared" si="33"/>
        <v>1</v>
      </c>
      <c r="U1053" s="154">
        <f>IFERROR(IF(R1053&lt;&gt;FALSE,IF(S1053=TRUE,INDEX('SummaryNOT_VALIDATED-BL'!$A$1:$F$16,MATCH(R1053,'SummaryNOT_VALIDATED-BL'!$A$1:$A$16,0),6),0),IF(S1053=TRUE,INDEX('SummaryNOT_VALIDATED-BL'!$A$1:$F$16,MATCH(E1053,'SummaryNOT_VALIDATED-BL'!$A$1:$A$16,0),6),0)),0)</f>
        <v>0</v>
      </c>
      <c r="V1053" s="81" cm="1">
        <f t="array" ref="V1053">INDEX('Weight tables'!$A$24:$C$27,MATCH(1,(RendicontiTrasmessiBL__2[[#This Row],[Cut percentage on real costs + USC]]&gt;='Weight tables'!$B$24:$B$27)*(RendicontiTrasmessiBL__2[[#This Row],[Cut percentage on real costs + USC]]&lt;='Weight tables'!$C$24:$C$27),0),1)</f>
        <v>0</v>
      </c>
      <c r="W1053" s="2">
        <f>RendicontiTrasmessiBL__2[[#This Row],[Weight real costs  + USC ]]</f>
        <v>0</v>
      </c>
    </row>
    <row r="1054" spans="1:23" x14ac:dyDescent="0.25">
      <c r="A1054" s="1" t="s">
        <v>59</v>
      </c>
      <c r="B1054" s="1" t="s">
        <v>69</v>
      </c>
      <c r="C1054" s="2">
        <v>325</v>
      </c>
      <c r="D1054" s="2">
        <v>75</v>
      </c>
      <c r="E1054" s="1" t="s">
        <v>237</v>
      </c>
      <c r="G1054">
        <v>0</v>
      </c>
      <c r="H1054">
        <v>0</v>
      </c>
      <c r="I1054">
        <v>0</v>
      </c>
      <c r="J1054">
        <v>0</v>
      </c>
      <c r="K1054">
        <v>0</v>
      </c>
      <c r="L1054">
        <v>0</v>
      </c>
      <c r="M1054">
        <v>0</v>
      </c>
      <c r="N1054">
        <v>0</v>
      </c>
      <c r="O1054">
        <v>0</v>
      </c>
      <c r="P1054">
        <v>0</v>
      </c>
      <c r="Q1054" t="str">
        <f>INDEX('Partner data'!A:DH,MATCH(C1054,'Partner data'!DG:DG,0),83)</f>
        <v>Soggetto pubblico</v>
      </c>
      <c r="R1054" t="b">
        <f>IF(E1054="staff",IF(INDEX('Partner data'!A:DH,MATCH(C1054,'Partner data'!DG:DG,0),112)="BL1 non presente","FALSO",INDEX('Partner data'!A:DH,MATCH(C1054,'Partner data'!DG:DG,0),112)))</f>
        <v>0</v>
      </c>
      <c r="S1054" t="b">
        <f t="shared" si="32"/>
        <v>0</v>
      </c>
      <c r="T1054" t="b">
        <f t="shared" si="33"/>
        <v>1</v>
      </c>
      <c r="U1054" s="154">
        <f>IFERROR(IF(R1054&lt;&gt;FALSE,IF(S1054=TRUE,INDEX('SummaryNOT_VALIDATED-BL'!$A$1:$F$16,MATCH(R1054,'SummaryNOT_VALIDATED-BL'!$A$1:$A$16,0),6),0),IF(S1054=TRUE,INDEX('SummaryNOT_VALIDATED-BL'!$A$1:$F$16,MATCH(E1054,'SummaryNOT_VALIDATED-BL'!$A$1:$A$16,0),6),0)),0)</f>
        <v>0</v>
      </c>
      <c r="V1054" s="81" cm="1">
        <f t="array" ref="V1054">INDEX('Weight tables'!$A$24:$C$27,MATCH(1,(RendicontiTrasmessiBL__2[[#This Row],[Cut percentage on real costs + USC]]&gt;='Weight tables'!$B$24:$B$27)*(RendicontiTrasmessiBL__2[[#This Row],[Cut percentage on real costs + USC]]&lt;='Weight tables'!$C$24:$C$27),0),1)</f>
        <v>0</v>
      </c>
      <c r="W1054" s="2">
        <f>RendicontiTrasmessiBL__2[[#This Row],[Weight real costs  + USC ]]</f>
        <v>0</v>
      </c>
    </row>
    <row r="1055" spans="1:23" x14ac:dyDescent="0.25">
      <c r="A1055" s="1" t="s">
        <v>59</v>
      </c>
      <c r="B1055" s="1" t="s">
        <v>22</v>
      </c>
      <c r="C1055" s="2">
        <v>318</v>
      </c>
      <c r="D1055" s="2">
        <v>292</v>
      </c>
      <c r="E1055" s="1" t="s">
        <v>228</v>
      </c>
      <c r="G1055">
        <v>100841.01</v>
      </c>
      <c r="H1055">
        <v>9400.1200000000008</v>
      </c>
      <c r="I1055">
        <v>0</v>
      </c>
      <c r="J1055">
        <v>9091.91</v>
      </c>
      <c r="K1055">
        <v>0</v>
      </c>
      <c r="L1055">
        <v>9091.91</v>
      </c>
      <c r="M1055">
        <v>18492.03</v>
      </c>
      <c r="N1055">
        <v>18.34</v>
      </c>
      <c r="O1055">
        <v>82348.98</v>
      </c>
      <c r="P1055">
        <v>8256.7199999999993</v>
      </c>
      <c r="Q1055" t="str">
        <f>INDEX('Partner data'!A:DH,MATCH(C1055,'Partner data'!DG:DG,0),83)</f>
        <v>Soggetto pubblico</v>
      </c>
      <c r="R1055" t="str">
        <f>IF(E1055="staff",IF(INDEX('Partner data'!A:DH,MATCH(C1055,'Partner data'!DG:DG,0),112)="BL1 non presente","FALSO",INDEX('Partner data'!A:DH,MATCH(C1055,'Partner data'!DG:DG,0),112)))</f>
        <v>COSTO REALE</v>
      </c>
      <c r="S1055" t="b">
        <f t="shared" si="32"/>
        <v>1</v>
      </c>
      <c r="T1055" t="b">
        <f t="shared" si="33"/>
        <v>1</v>
      </c>
      <c r="U1055" s="154">
        <f>IFERROR(IF(R1055&lt;&gt;FALSE,IF(S1055=TRUE,INDEX('SummaryNOT_VALIDATED-BL'!$A$1:$F$16,MATCH(R1055,'SummaryNOT_VALIDATED-BL'!$A$1:$A$16,0),6),0),IF(S1055=TRUE,INDEX('SummaryNOT_VALIDATED-BL'!$A$1:$F$16,MATCH(E1055,'SummaryNOT_VALIDATED-BL'!$A$1:$A$16,0),6),0)),0)</f>
        <v>9.1604133276901048E-2</v>
      </c>
      <c r="V1055" s="81" cm="1">
        <f t="array" ref="V1055">INDEX('Weight tables'!$A$24:$C$27,MATCH(1,(RendicontiTrasmessiBL__2[[#This Row],[Cut percentage on real costs + USC]]&gt;='Weight tables'!$B$24:$B$27)*(RendicontiTrasmessiBL__2[[#This Row],[Cut percentage on real costs + USC]]&lt;='Weight tables'!$C$24:$C$27),0),1)</f>
        <v>4</v>
      </c>
      <c r="W1055" s="2">
        <f>RendicontiTrasmessiBL__2[[#This Row],[Weight real costs  + USC ]]</f>
        <v>4</v>
      </c>
    </row>
    <row r="1056" spans="1:23" x14ac:dyDescent="0.25">
      <c r="A1056" s="1" t="s">
        <v>59</v>
      </c>
      <c r="B1056" s="1" t="s">
        <v>22</v>
      </c>
      <c r="C1056" s="2">
        <v>318</v>
      </c>
      <c r="D1056" s="2">
        <v>292</v>
      </c>
      <c r="E1056" s="1" t="s">
        <v>229</v>
      </c>
      <c r="F1056">
        <v>15</v>
      </c>
      <c r="G1056">
        <v>15126.15</v>
      </c>
      <c r="H1056">
        <v>1410.01</v>
      </c>
      <c r="I1056">
        <v>0</v>
      </c>
      <c r="J1056">
        <v>1363.78</v>
      </c>
      <c r="K1056">
        <v>0</v>
      </c>
      <c r="L1056">
        <v>1363.78</v>
      </c>
      <c r="M1056">
        <v>2773.79</v>
      </c>
      <c r="N1056">
        <v>18.34</v>
      </c>
      <c r="O1056">
        <v>12352.36</v>
      </c>
      <c r="P1056">
        <v>1238.5</v>
      </c>
      <c r="Q1056" t="str">
        <f>INDEX('Partner data'!A:DH,MATCH(C1056,'Partner data'!DG:DG,0),83)</f>
        <v>Soggetto pubblico</v>
      </c>
      <c r="R1056" t="b">
        <f>IF(E1056="staff",IF(INDEX('Partner data'!A:DH,MATCH(C1056,'Partner data'!DG:DG,0),112)="BL1 non presente","FALSO",INDEX('Partner data'!A:DH,MATCH(C1056,'Partner data'!DG:DG,0),112)))</f>
        <v>0</v>
      </c>
      <c r="S1056" t="b">
        <f t="shared" si="32"/>
        <v>1</v>
      </c>
      <c r="T1056" t="b">
        <f t="shared" si="33"/>
        <v>1</v>
      </c>
      <c r="U1056" s="154">
        <f>IFERROR(IF(R1056&lt;&gt;FALSE,IF(S1056=TRUE,INDEX('SummaryNOT_VALIDATED-BL'!$A$1:$F$16,MATCH(R1056,'SummaryNOT_VALIDATED-BL'!$A$1:$A$16,0),6),0),IF(S1056=TRUE,INDEX('SummaryNOT_VALIDATED-BL'!$A$1:$F$16,MATCH(E1056,'SummaryNOT_VALIDATED-BL'!$A$1:$A$16,0),6),0)),0)</f>
        <v>6.6460469504890221E-2</v>
      </c>
      <c r="V1056" s="81" cm="1">
        <f t="array" ref="V1056">INDEX('Weight tables'!$A$24:$C$27,MATCH(1,(RendicontiTrasmessiBL__2[[#This Row],[Cut percentage on real costs + USC]]&gt;='Weight tables'!$B$24:$B$27)*(RendicontiTrasmessiBL__2[[#This Row],[Cut percentage on real costs + USC]]&lt;='Weight tables'!$C$24:$C$27),0),1)</f>
        <v>4</v>
      </c>
      <c r="W1056" s="2">
        <f>RendicontiTrasmessiBL__2[[#This Row],[Weight real costs  + USC ]]</f>
        <v>4</v>
      </c>
    </row>
    <row r="1057" spans="1:23" x14ac:dyDescent="0.25">
      <c r="A1057" s="1" t="s">
        <v>59</v>
      </c>
      <c r="B1057" s="1" t="s">
        <v>22</v>
      </c>
      <c r="C1057" s="2">
        <v>318</v>
      </c>
      <c r="D1057" s="2">
        <v>292</v>
      </c>
      <c r="E1057" s="1" t="s">
        <v>230</v>
      </c>
      <c r="F1057">
        <v>4</v>
      </c>
      <c r="G1057">
        <v>4033.64</v>
      </c>
      <c r="H1057">
        <v>376</v>
      </c>
      <c r="I1057">
        <v>0</v>
      </c>
      <c r="J1057">
        <v>363.67</v>
      </c>
      <c r="K1057">
        <v>0</v>
      </c>
      <c r="L1057">
        <v>363.67</v>
      </c>
      <c r="M1057">
        <v>739.67</v>
      </c>
      <c r="N1057">
        <v>18.34</v>
      </c>
      <c r="O1057">
        <v>3293.97</v>
      </c>
      <c r="P1057">
        <v>330.26</v>
      </c>
      <c r="Q1057" t="str">
        <f>INDEX('Partner data'!A:DH,MATCH(C1057,'Partner data'!DG:DG,0),83)</f>
        <v>Soggetto pubblico</v>
      </c>
      <c r="R1057" t="b">
        <f>IF(E1057="staff",IF(INDEX('Partner data'!A:DH,MATCH(C1057,'Partner data'!DG:DG,0),112)="BL1 non presente","FALSO",INDEX('Partner data'!A:DH,MATCH(C1057,'Partner data'!DG:DG,0),112)))</f>
        <v>0</v>
      </c>
      <c r="S1057" t="b">
        <f t="shared" si="32"/>
        <v>1</v>
      </c>
      <c r="T1057" t="b">
        <f t="shared" si="33"/>
        <v>1</v>
      </c>
      <c r="U1057" s="154">
        <f>IFERROR(IF(R1057&lt;&gt;FALSE,IF(S1057=TRUE,INDEX('SummaryNOT_VALIDATED-BL'!$A$1:$F$16,MATCH(R1057,'SummaryNOT_VALIDATED-BL'!$A$1:$A$16,0),6),0),IF(S1057=TRUE,INDEX('SummaryNOT_VALIDATED-BL'!$A$1:$F$16,MATCH(E1057,'SummaryNOT_VALIDATED-BL'!$A$1:$A$16,0),6),0)),0)</f>
        <v>6.3112622236488891E-2</v>
      </c>
      <c r="V1057" s="81" cm="1">
        <f t="array" ref="V1057">INDEX('Weight tables'!$A$24:$C$27,MATCH(1,(RendicontiTrasmessiBL__2[[#This Row],[Cut percentage on real costs + USC]]&gt;='Weight tables'!$B$24:$B$27)*(RendicontiTrasmessiBL__2[[#This Row],[Cut percentage on real costs + USC]]&lt;='Weight tables'!$C$24:$C$27),0),1)</f>
        <v>4</v>
      </c>
      <c r="W1057" s="2">
        <f>RendicontiTrasmessiBL__2[[#This Row],[Weight real costs  + USC ]]</f>
        <v>4</v>
      </c>
    </row>
    <row r="1058" spans="1:23" x14ac:dyDescent="0.25">
      <c r="A1058" s="1" t="s">
        <v>59</v>
      </c>
      <c r="B1058" s="1" t="s">
        <v>22</v>
      </c>
      <c r="C1058" s="2">
        <v>318</v>
      </c>
      <c r="D1058" s="2">
        <v>292</v>
      </c>
      <c r="E1058" s="1" t="s">
        <v>231</v>
      </c>
      <c r="G1058">
        <v>0</v>
      </c>
      <c r="H1058">
        <v>0</v>
      </c>
      <c r="I1058">
        <v>0</v>
      </c>
      <c r="J1058">
        <v>0</v>
      </c>
      <c r="K1058">
        <v>0</v>
      </c>
      <c r="L1058">
        <v>0</v>
      </c>
      <c r="M1058">
        <v>0</v>
      </c>
      <c r="N1058">
        <v>0</v>
      </c>
      <c r="O1058">
        <v>0</v>
      </c>
      <c r="P1058">
        <v>0</v>
      </c>
      <c r="Q1058" t="str">
        <f>INDEX('Partner data'!A:DH,MATCH(C1058,'Partner data'!DG:DG,0),83)</f>
        <v>Soggetto pubblico</v>
      </c>
      <c r="R1058" t="b">
        <f>IF(E1058="staff",IF(INDEX('Partner data'!A:DH,MATCH(C1058,'Partner data'!DG:DG,0),112)="BL1 non presente","FALSO",INDEX('Partner data'!A:DH,MATCH(C1058,'Partner data'!DG:DG,0),112)))</f>
        <v>0</v>
      </c>
      <c r="S1058" t="b">
        <f t="shared" si="32"/>
        <v>0</v>
      </c>
      <c r="T1058" t="b">
        <f t="shared" si="33"/>
        <v>1</v>
      </c>
      <c r="U1058" s="154">
        <f>IFERROR(IF(R1058&lt;&gt;FALSE,IF(S1058=TRUE,INDEX('SummaryNOT_VALIDATED-BL'!$A$1:$F$16,MATCH(R1058,'SummaryNOT_VALIDATED-BL'!$A$1:$A$16,0),6),0),IF(S1058=TRUE,INDEX('SummaryNOT_VALIDATED-BL'!$A$1:$F$16,MATCH(E1058,'SummaryNOT_VALIDATED-BL'!$A$1:$A$16,0),6),0)),0)</f>
        <v>0</v>
      </c>
      <c r="V1058" s="81" cm="1">
        <f t="array" ref="V1058">INDEX('Weight tables'!$A$24:$C$27,MATCH(1,(RendicontiTrasmessiBL__2[[#This Row],[Cut percentage on real costs + USC]]&gt;='Weight tables'!$B$24:$B$27)*(RendicontiTrasmessiBL__2[[#This Row],[Cut percentage on real costs + USC]]&lt;='Weight tables'!$C$24:$C$27),0),1)</f>
        <v>0</v>
      </c>
      <c r="W1058" s="2">
        <f>RendicontiTrasmessiBL__2[[#This Row],[Weight real costs  + USC ]]</f>
        <v>0</v>
      </c>
    </row>
    <row r="1059" spans="1:23" x14ac:dyDescent="0.25">
      <c r="A1059" s="1" t="s">
        <v>59</v>
      </c>
      <c r="B1059" s="1" t="s">
        <v>22</v>
      </c>
      <c r="C1059" s="2">
        <v>318</v>
      </c>
      <c r="D1059" s="2">
        <v>292</v>
      </c>
      <c r="E1059" s="1" t="s">
        <v>232</v>
      </c>
      <c r="G1059">
        <v>0</v>
      </c>
      <c r="H1059">
        <v>0</v>
      </c>
      <c r="I1059">
        <v>0</v>
      </c>
      <c r="J1059">
        <v>0</v>
      </c>
      <c r="K1059">
        <v>0</v>
      </c>
      <c r="L1059">
        <v>0</v>
      </c>
      <c r="M1059">
        <v>0</v>
      </c>
      <c r="N1059">
        <v>0</v>
      </c>
      <c r="O1059">
        <v>0</v>
      </c>
      <c r="P1059">
        <v>0</v>
      </c>
      <c r="Q1059" t="str">
        <f>INDEX('Partner data'!A:DH,MATCH(C1059,'Partner data'!DG:DG,0),83)</f>
        <v>Soggetto pubblico</v>
      </c>
      <c r="R1059" t="b">
        <f>IF(E1059="staff",IF(INDEX('Partner data'!A:DH,MATCH(C1059,'Partner data'!DG:DG,0),112)="BL1 non presente","FALSO",INDEX('Partner data'!A:DH,MATCH(C1059,'Partner data'!DG:DG,0),112)))</f>
        <v>0</v>
      </c>
      <c r="S1059" t="b">
        <f t="shared" si="32"/>
        <v>0</v>
      </c>
      <c r="T1059" t="b">
        <f t="shared" si="33"/>
        <v>1</v>
      </c>
      <c r="U1059" s="154">
        <f>IFERROR(IF(R1059&lt;&gt;FALSE,IF(S1059=TRUE,INDEX('SummaryNOT_VALIDATED-BL'!$A$1:$F$16,MATCH(R1059,'SummaryNOT_VALIDATED-BL'!$A$1:$A$16,0),6),0),IF(S1059=TRUE,INDEX('SummaryNOT_VALIDATED-BL'!$A$1:$F$16,MATCH(E1059,'SummaryNOT_VALIDATED-BL'!$A$1:$A$16,0),6),0)),0)</f>
        <v>0</v>
      </c>
      <c r="V1059" s="81" cm="1">
        <f t="array" ref="V1059">INDEX('Weight tables'!$A$24:$C$27,MATCH(1,(RendicontiTrasmessiBL__2[[#This Row],[Cut percentage on real costs + USC]]&gt;='Weight tables'!$B$24:$B$27)*(RendicontiTrasmessiBL__2[[#This Row],[Cut percentage on real costs + USC]]&lt;='Weight tables'!$C$24:$C$27),0),1)</f>
        <v>0</v>
      </c>
      <c r="W1059" s="2">
        <f>RendicontiTrasmessiBL__2[[#This Row],[Weight real costs  + USC ]]</f>
        <v>0</v>
      </c>
    </row>
    <row r="1060" spans="1:23" x14ac:dyDescent="0.25">
      <c r="A1060" s="1" t="s">
        <v>59</v>
      </c>
      <c r="B1060" s="1" t="s">
        <v>22</v>
      </c>
      <c r="C1060" s="2">
        <v>318</v>
      </c>
      <c r="D1060" s="2">
        <v>292</v>
      </c>
      <c r="E1060" s="1" t="s">
        <v>233</v>
      </c>
      <c r="G1060">
        <v>0</v>
      </c>
      <c r="H1060">
        <v>0</v>
      </c>
      <c r="I1060">
        <v>0</v>
      </c>
      <c r="J1060">
        <v>0</v>
      </c>
      <c r="K1060">
        <v>0</v>
      </c>
      <c r="L1060">
        <v>0</v>
      </c>
      <c r="M1060">
        <v>0</v>
      </c>
      <c r="N1060">
        <v>0</v>
      </c>
      <c r="O1060">
        <v>0</v>
      </c>
      <c r="P1060">
        <v>0</v>
      </c>
      <c r="Q1060" t="str">
        <f>INDEX('Partner data'!A:DH,MATCH(C1060,'Partner data'!DG:DG,0),83)</f>
        <v>Soggetto pubblico</v>
      </c>
      <c r="R1060" t="b">
        <f>IF(E1060="staff",IF(INDEX('Partner data'!A:DH,MATCH(C1060,'Partner data'!DG:DG,0),112)="BL1 non presente","FALSO",INDEX('Partner data'!A:DH,MATCH(C1060,'Partner data'!DG:DG,0),112)))</f>
        <v>0</v>
      </c>
      <c r="S1060" t="b">
        <f t="shared" si="32"/>
        <v>0</v>
      </c>
      <c r="T1060" t="b">
        <f t="shared" si="33"/>
        <v>1</v>
      </c>
      <c r="U1060" s="154">
        <f>IFERROR(IF(R1060&lt;&gt;FALSE,IF(S1060=TRUE,INDEX('SummaryNOT_VALIDATED-BL'!$A$1:$F$16,MATCH(R1060,'SummaryNOT_VALIDATED-BL'!$A$1:$A$16,0),6),0),IF(S1060=TRUE,INDEX('SummaryNOT_VALIDATED-BL'!$A$1:$F$16,MATCH(E1060,'SummaryNOT_VALIDATED-BL'!$A$1:$A$16,0),6),0)),0)</f>
        <v>0</v>
      </c>
      <c r="V1060" s="81" cm="1">
        <f t="array" ref="V1060">INDEX('Weight tables'!$A$24:$C$27,MATCH(1,(RendicontiTrasmessiBL__2[[#This Row],[Cut percentage on real costs + USC]]&gt;='Weight tables'!$B$24:$B$27)*(RendicontiTrasmessiBL__2[[#This Row],[Cut percentage on real costs + USC]]&lt;='Weight tables'!$C$24:$C$27),0),1)</f>
        <v>0</v>
      </c>
      <c r="W1060" s="2">
        <f>RendicontiTrasmessiBL__2[[#This Row],[Weight real costs  + USC ]]</f>
        <v>0</v>
      </c>
    </row>
    <row r="1061" spans="1:23" x14ac:dyDescent="0.25">
      <c r="A1061" s="1" t="s">
        <v>59</v>
      </c>
      <c r="B1061" s="1" t="s">
        <v>22</v>
      </c>
      <c r="C1061" s="2">
        <v>318</v>
      </c>
      <c r="D1061" s="2">
        <v>292</v>
      </c>
      <c r="E1061" s="1" t="s">
        <v>234</v>
      </c>
      <c r="G1061">
        <v>0</v>
      </c>
      <c r="H1061">
        <v>0</v>
      </c>
      <c r="I1061">
        <v>0</v>
      </c>
      <c r="J1061">
        <v>0</v>
      </c>
      <c r="K1061">
        <v>0</v>
      </c>
      <c r="L1061">
        <v>0</v>
      </c>
      <c r="M1061">
        <v>0</v>
      </c>
      <c r="N1061">
        <v>0</v>
      </c>
      <c r="O1061">
        <v>0</v>
      </c>
      <c r="P1061">
        <v>0</v>
      </c>
      <c r="Q1061" t="str">
        <f>INDEX('Partner data'!A:DH,MATCH(C1061,'Partner data'!DG:DG,0),83)</f>
        <v>Soggetto pubblico</v>
      </c>
      <c r="R1061" t="b">
        <f>IF(E1061="staff",IF(INDEX('Partner data'!A:DH,MATCH(C1061,'Partner data'!DG:DG,0),112)="BL1 non presente","FALSO",INDEX('Partner data'!A:DH,MATCH(C1061,'Partner data'!DG:DG,0),112)))</f>
        <v>0</v>
      </c>
      <c r="S1061" t="b">
        <f t="shared" si="32"/>
        <v>0</v>
      </c>
      <c r="T1061" t="b">
        <f t="shared" si="33"/>
        <v>1</v>
      </c>
      <c r="U1061" s="154">
        <f>IFERROR(IF(R1061&lt;&gt;FALSE,IF(S1061=TRUE,INDEX('SummaryNOT_VALIDATED-BL'!$A$1:$F$16,MATCH(R1061,'SummaryNOT_VALIDATED-BL'!$A$1:$A$16,0),6),0),IF(S1061=TRUE,INDEX('SummaryNOT_VALIDATED-BL'!$A$1:$F$16,MATCH(E1061,'SummaryNOT_VALIDATED-BL'!$A$1:$A$16,0),6),0)),0)</f>
        <v>0</v>
      </c>
      <c r="V1061" s="81" cm="1">
        <f t="array" ref="V1061">INDEX('Weight tables'!$A$24:$C$27,MATCH(1,(RendicontiTrasmessiBL__2[[#This Row],[Cut percentage on real costs + USC]]&gt;='Weight tables'!$B$24:$B$27)*(RendicontiTrasmessiBL__2[[#This Row],[Cut percentage on real costs + USC]]&lt;='Weight tables'!$C$24:$C$27),0),1)</f>
        <v>0</v>
      </c>
      <c r="W1061" s="2">
        <f>RendicontiTrasmessiBL__2[[#This Row],[Weight real costs  + USC ]]</f>
        <v>0</v>
      </c>
    </row>
    <row r="1062" spans="1:23" x14ac:dyDescent="0.25">
      <c r="A1062" s="1" t="s">
        <v>59</v>
      </c>
      <c r="B1062" s="1" t="s">
        <v>22</v>
      </c>
      <c r="C1062" s="2">
        <v>318</v>
      </c>
      <c r="D1062" s="2">
        <v>292</v>
      </c>
      <c r="E1062" s="1" t="s">
        <v>236</v>
      </c>
      <c r="G1062">
        <v>0</v>
      </c>
      <c r="H1062">
        <v>0</v>
      </c>
      <c r="I1062">
        <v>0</v>
      </c>
      <c r="J1062">
        <v>0</v>
      </c>
      <c r="K1062">
        <v>0</v>
      </c>
      <c r="L1062">
        <v>0</v>
      </c>
      <c r="M1062">
        <v>0</v>
      </c>
      <c r="N1062">
        <v>0</v>
      </c>
      <c r="O1062">
        <v>0</v>
      </c>
      <c r="P1062">
        <v>0</v>
      </c>
      <c r="Q1062" t="str">
        <f>INDEX('Partner data'!A:DH,MATCH(C1062,'Partner data'!DG:DG,0),83)</f>
        <v>Soggetto pubblico</v>
      </c>
      <c r="R1062" t="b">
        <f>IF(E1062="staff",IF(INDEX('Partner data'!A:DH,MATCH(C1062,'Partner data'!DG:DG,0),112)="BL1 non presente","FALSO",INDEX('Partner data'!A:DH,MATCH(C1062,'Partner data'!DG:DG,0),112)))</f>
        <v>0</v>
      </c>
      <c r="S1062" t="b">
        <f t="shared" si="32"/>
        <v>0</v>
      </c>
      <c r="T1062" t="b">
        <f t="shared" si="33"/>
        <v>1</v>
      </c>
      <c r="U1062" s="154">
        <f>IFERROR(IF(R1062&lt;&gt;FALSE,IF(S1062=TRUE,INDEX('SummaryNOT_VALIDATED-BL'!$A$1:$F$16,MATCH(R1062,'SummaryNOT_VALIDATED-BL'!$A$1:$A$16,0),6),0),IF(S1062=TRUE,INDEX('SummaryNOT_VALIDATED-BL'!$A$1:$F$16,MATCH(E1062,'SummaryNOT_VALIDATED-BL'!$A$1:$A$16,0),6),0)),0)</f>
        <v>0</v>
      </c>
      <c r="V1062" s="81" cm="1">
        <f t="array" ref="V1062">INDEX('Weight tables'!$A$24:$C$27,MATCH(1,(RendicontiTrasmessiBL__2[[#This Row],[Cut percentage on real costs + USC]]&gt;='Weight tables'!$B$24:$B$27)*(RendicontiTrasmessiBL__2[[#This Row],[Cut percentage on real costs + USC]]&lt;='Weight tables'!$C$24:$C$27),0),1)</f>
        <v>0</v>
      </c>
      <c r="W1062" s="2">
        <f>RendicontiTrasmessiBL__2[[#This Row],[Weight real costs  + USC ]]</f>
        <v>0</v>
      </c>
    </row>
    <row r="1063" spans="1:23" x14ac:dyDescent="0.25">
      <c r="A1063" s="1" t="s">
        <v>59</v>
      </c>
      <c r="B1063" s="1" t="s">
        <v>22</v>
      </c>
      <c r="C1063" s="2">
        <v>318</v>
      </c>
      <c r="D1063" s="2">
        <v>292</v>
      </c>
      <c r="E1063" s="1" t="s">
        <v>237</v>
      </c>
      <c r="G1063">
        <v>0</v>
      </c>
      <c r="H1063">
        <v>0</v>
      </c>
      <c r="I1063">
        <v>0</v>
      </c>
      <c r="J1063">
        <v>0</v>
      </c>
      <c r="K1063">
        <v>0</v>
      </c>
      <c r="L1063">
        <v>0</v>
      </c>
      <c r="M1063">
        <v>0</v>
      </c>
      <c r="N1063">
        <v>0</v>
      </c>
      <c r="O1063">
        <v>0</v>
      </c>
      <c r="P1063">
        <v>0</v>
      </c>
      <c r="Q1063" t="str">
        <f>INDEX('Partner data'!A:DH,MATCH(C1063,'Partner data'!DG:DG,0),83)</f>
        <v>Soggetto pubblico</v>
      </c>
      <c r="R1063" t="b">
        <f>IF(E1063="staff",IF(INDEX('Partner data'!A:DH,MATCH(C1063,'Partner data'!DG:DG,0),112)="BL1 non presente","FALSO",INDEX('Partner data'!A:DH,MATCH(C1063,'Partner data'!DG:DG,0),112)))</f>
        <v>0</v>
      </c>
      <c r="S1063" t="b">
        <f t="shared" si="32"/>
        <v>0</v>
      </c>
      <c r="T1063" t="b">
        <f t="shared" si="33"/>
        <v>1</v>
      </c>
      <c r="U1063" s="154">
        <f>IFERROR(IF(R1063&lt;&gt;FALSE,IF(S1063=TRUE,INDEX('SummaryNOT_VALIDATED-BL'!$A$1:$F$16,MATCH(R1063,'SummaryNOT_VALIDATED-BL'!$A$1:$A$16,0),6),0),IF(S1063=TRUE,INDEX('SummaryNOT_VALIDATED-BL'!$A$1:$F$16,MATCH(E1063,'SummaryNOT_VALIDATED-BL'!$A$1:$A$16,0),6),0)),0)</f>
        <v>0</v>
      </c>
      <c r="V1063" s="81" cm="1">
        <f t="array" ref="V1063">INDEX('Weight tables'!$A$24:$C$27,MATCH(1,(RendicontiTrasmessiBL__2[[#This Row],[Cut percentage on real costs + USC]]&gt;='Weight tables'!$B$24:$B$27)*(RendicontiTrasmessiBL__2[[#This Row],[Cut percentage on real costs + USC]]&lt;='Weight tables'!$C$24:$C$27),0),1)</f>
        <v>0</v>
      </c>
      <c r="W1063" s="2">
        <f>RendicontiTrasmessiBL__2[[#This Row],[Weight real costs  + USC ]]</f>
        <v>0</v>
      </c>
    </row>
    <row r="1064" spans="1:23" x14ac:dyDescent="0.25">
      <c r="A1064" s="1" t="s">
        <v>59</v>
      </c>
      <c r="B1064" s="1" t="s">
        <v>22</v>
      </c>
      <c r="C1064" s="2">
        <v>318</v>
      </c>
      <c r="D1064" s="2">
        <v>51</v>
      </c>
      <c r="E1064" s="1" t="s">
        <v>228</v>
      </c>
      <c r="G1064">
        <v>100841.01</v>
      </c>
      <c r="H1064">
        <v>0</v>
      </c>
      <c r="I1064">
        <v>0</v>
      </c>
      <c r="J1064">
        <v>9400.1200000000008</v>
      </c>
      <c r="K1064">
        <v>0</v>
      </c>
      <c r="L1064">
        <v>8256.7199999999993</v>
      </c>
      <c r="M1064">
        <v>9400.1200000000008</v>
      </c>
      <c r="N1064">
        <v>9.32</v>
      </c>
      <c r="O1064">
        <v>91440.89</v>
      </c>
      <c r="P1064">
        <v>0</v>
      </c>
      <c r="Q1064" t="str">
        <f>INDEX('Partner data'!A:DH,MATCH(C1064,'Partner data'!DG:DG,0),83)</f>
        <v>Soggetto pubblico</v>
      </c>
      <c r="R1064" t="str">
        <f>IF(E1064="staff",IF(INDEX('Partner data'!A:DH,MATCH(C1064,'Partner data'!DG:DG,0),112)="BL1 non presente","FALSO",INDEX('Partner data'!A:DH,MATCH(C1064,'Partner data'!DG:DG,0),112)))</f>
        <v>COSTO REALE</v>
      </c>
      <c r="S1064" t="b">
        <f t="shared" si="32"/>
        <v>1</v>
      </c>
      <c r="T1064" t="b">
        <f t="shared" si="33"/>
        <v>1</v>
      </c>
      <c r="U1064" s="154">
        <f>IFERROR(IF(R1064&lt;&gt;FALSE,IF(S1064=TRUE,INDEX('SummaryNOT_VALIDATED-BL'!$A$1:$F$16,MATCH(R1064,'SummaryNOT_VALIDATED-BL'!$A$1:$A$16,0),6),0),IF(S1064=TRUE,INDEX('SummaryNOT_VALIDATED-BL'!$A$1:$F$16,MATCH(E1064,'SummaryNOT_VALIDATED-BL'!$A$1:$A$16,0),6),0)),0)</f>
        <v>9.1604133276901048E-2</v>
      </c>
      <c r="V1064" s="81" cm="1">
        <f t="array" ref="V1064">INDEX('Weight tables'!$A$24:$C$27,MATCH(1,(RendicontiTrasmessiBL__2[[#This Row],[Cut percentage on real costs + USC]]&gt;='Weight tables'!$B$24:$B$27)*(RendicontiTrasmessiBL__2[[#This Row],[Cut percentage on real costs + USC]]&lt;='Weight tables'!$C$24:$C$27),0),1)</f>
        <v>4</v>
      </c>
      <c r="W1064" s="2">
        <f>RendicontiTrasmessiBL__2[[#This Row],[Weight real costs  + USC ]]</f>
        <v>4</v>
      </c>
    </row>
    <row r="1065" spans="1:23" x14ac:dyDescent="0.25">
      <c r="A1065" s="1" t="s">
        <v>59</v>
      </c>
      <c r="B1065" s="1" t="s">
        <v>22</v>
      </c>
      <c r="C1065" s="2">
        <v>318</v>
      </c>
      <c r="D1065" s="2">
        <v>51</v>
      </c>
      <c r="E1065" s="1" t="s">
        <v>229</v>
      </c>
      <c r="F1065">
        <v>15</v>
      </c>
      <c r="G1065">
        <v>15126.15</v>
      </c>
      <c r="H1065">
        <v>0</v>
      </c>
      <c r="I1065">
        <v>0</v>
      </c>
      <c r="J1065">
        <v>1410.01</v>
      </c>
      <c r="K1065">
        <v>0</v>
      </c>
      <c r="L1065">
        <v>1238.5</v>
      </c>
      <c r="M1065">
        <v>1410.01</v>
      </c>
      <c r="N1065">
        <v>9.32</v>
      </c>
      <c r="O1065">
        <v>13716.14</v>
      </c>
      <c r="P1065">
        <v>0</v>
      </c>
      <c r="Q1065" t="str">
        <f>INDEX('Partner data'!A:DH,MATCH(C1065,'Partner data'!DG:DG,0),83)</f>
        <v>Soggetto pubblico</v>
      </c>
      <c r="R1065" t="b">
        <f>IF(E1065="staff",IF(INDEX('Partner data'!A:DH,MATCH(C1065,'Partner data'!DG:DG,0),112)="BL1 non presente","FALSO",INDEX('Partner data'!A:DH,MATCH(C1065,'Partner data'!DG:DG,0),112)))</f>
        <v>0</v>
      </c>
      <c r="S1065" t="b">
        <f t="shared" si="32"/>
        <v>1</v>
      </c>
      <c r="T1065" t="b">
        <f t="shared" si="33"/>
        <v>1</v>
      </c>
      <c r="U1065" s="154">
        <f>IFERROR(IF(R1065&lt;&gt;FALSE,IF(S1065=TRUE,INDEX('SummaryNOT_VALIDATED-BL'!$A$1:$F$16,MATCH(R1065,'SummaryNOT_VALIDATED-BL'!$A$1:$A$16,0),6),0),IF(S1065=TRUE,INDEX('SummaryNOT_VALIDATED-BL'!$A$1:$F$16,MATCH(E1065,'SummaryNOT_VALIDATED-BL'!$A$1:$A$16,0),6),0)),0)</f>
        <v>6.6460469504890221E-2</v>
      </c>
      <c r="V1065" s="81" cm="1">
        <f t="array" ref="V1065">INDEX('Weight tables'!$A$24:$C$27,MATCH(1,(RendicontiTrasmessiBL__2[[#This Row],[Cut percentage on real costs + USC]]&gt;='Weight tables'!$B$24:$B$27)*(RendicontiTrasmessiBL__2[[#This Row],[Cut percentage on real costs + USC]]&lt;='Weight tables'!$C$24:$C$27),0),1)</f>
        <v>4</v>
      </c>
      <c r="W1065" s="2">
        <f>RendicontiTrasmessiBL__2[[#This Row],[Weight real costs  + USC ]]</f>
        <v>4</v>
      </c>
    </row>
    <row r="1066" spans="1:23" x14ac:dyDescent="0.25">
      <c r="A1066" s="1" t="s">
        <v>59</v>
      </c>
      <c r="B1066" s="1" t="s">
        <v>22</v>
      </c>
      <c r="C1066" s="2">
        <v>318</v>
      </c>
      <c r="D1066" s="2">
        <v>51</v>
      </c>
      <c r="E1066" s="1" t="s">
        <v>230</v>
      </c>
      <c r="F1066">
        <v>4</v>
      </c>
      <c r="G1066">
        <v>4033.64</v>
      </c>
      <c r="H1066">
        <v>0</v>
      </c>
      <c r="I1066">
        <v>0</v>
      </c>
      <c r="J1066">
        <v>376</v>
      </c>
      <c r="K1066">
        <v>0</v>
      </c>
      <c r="L1066">
        <v>330.26</v>
      </c>
      <c r="M1066">
        <v>376</v>
      </c>
      <c r="N1066">
        <v>9.32</v>
      </c>
      <c r="O1066">
        <v>3657.64</v>
      </c>
      <c r="P1066">
        <v>0</v>
      </c>
      <c r="Q1066" t="str">
        <f>INDEX('Partner data'!A:DH,MATCH(C1066,'Partner data'!DG:DG,0),83)</f>
        <v>Soggetto pubblico</v>
      </c>
      <c r="R1066" t="b">
        <f>IF(E1066="staff",IF(INDEX('Partner data'!A:DH,MATCH(C1066,'Partner data'!DG:DG,0),112)="BL1 non presente","FALSO",INDEX('Partner data'!A:DH,MATCH(C1066,'Partner data'!DG:DG,0),112)))</f>
        <v>0</v>
      </c>
      <c r="S1066" t="b">
        <f t="shared" si="32"/>
        <v>1</v>
      </c>
      <c r="T1066" t="b">
        <f t="shared" si="33"/>
        <v>1</v>
      </c>
      <c r="U1066" s="154">
        <f>IFERROR(IF(R1066&lt;&gt;FALSE,IF(S1066=TRUE,INDEX('SummaryNOT_VALIDATED-BL'!$A$1:$F$16,MATCH(R1066,'SummaryNOT_VALIDATED-BL'!$A$1:$A$16,0),6),0),IF(S1066=TRUE,INDEX('SummaryNOT_VALIDATED-BL'!$A$1:$F$16,MATCH(E1066,'SummaryNOT_VALIDATED-BL'!$A$1:$A$16,0),6),0)),0)</f>
        <v>6.3112622236488891E-2</v>
      </c>
      <c r="V1066" s="81" cm="1">
        <f t="array" ref="V1066">INDEX('Weight tables'!$A$24:$C$27,MATCH(1,(RendicontiTrasmessiBL__2[[#This Row],[Cut percentage on real costs + USC]]&gt;='Weight tables'!$B$24:$B$27)*(RendicontiTrasmessiBL__2[[#This Row],[Cut percentage on real costs + USC]]&lt;='Weight tables'!$C$24:$C$27),0),1)</f>
        <v>4</v>
      </c>
      <c r="W1066" s="2">
        <f>RendicontiTrasmessiBL__2[[#This Row],[Weight real costs  + USC ]]</f>
        <v>4</v>
      </c>
    </row>
    <row r="1067" spans="1:23" x14ac:dyDescent="0.25">
      <c r="A1067" s="1" t="s">
        <v>59</v>
      </c>
      <c r="B1067" s="1" t="s">
        <v>22</v>
      </c>
      <c r="C1067" s="2">
        <v>318</v>
      </c>
      <c r="D1067" s="2">
        <v>51</v>
      </c>
      <c r="E1067" s="1" t="s">
        <v>231</v>
      </c>
      <c r="G1067">
        <v>0</v>
      </c>
      <c r="H1067">
        <v>0</v>
      </c>
      <c r="I1067">
        <v>0</v>
      </c>
      <c r="J1067">
        <v>0</v>
      </c>
      <c r="K1067">
        <v>0</v>
      </c>
      <c r="L1067">
        <v>0</v>
      </c>
      <c r="M1067">
        <v>0</v>
      </c>
      <c r="N1067">
        <v>0</v>
      </c>
      <c r="O1067">
        <v>0</v>
      </c>
      <c r="P1067">
        <v>0</v>
      </c>
      <c r="Q1067" t="str">
        <f>INDEX('Partner data'!A:DH,MATCH(C1067,'Partner data'!DG:DG,0),83)</f>
        <v>Soggetto pubblico</v>
      </c>
      <c r="R1067" t="b">
        <f>IF(E1067="staff",IF(INDEX('Partner data'!A:DH,MATCH(C1067,'Partner data'!DG:DG,0),112)="BL1 non presente","FALSO",INDEX('Partner data'!A:DH,MATCH(C1067,'Partner data'!DG:DG,0),112)))</f>
        <v>0</v>
      </c>
      <c r="S1067" t="b">
        <f t="shared" si="32"/>
        <v>0</v>
      </c>
      <c r="T1067" t="b">
        <f t="shared" si="33"/>
        <v>1</v>
      </c>
      <c r="U1067" s="154">
        <f>IFERROR(IF(R1067&lt;&gt;FALSE,IF(S1067=TRUE,INDEX('SummaryNOT_VALIDATED-BL'!$A$1:$F$16,MATCH(R1067,'SummaryNOT_VALIDATED-BL'!$A$1:$A$16,0),6),0),IF(S1067=TRUE,INDEX('SummaryNOT_VALIDATED-BL'!$A$1:$F$16,MATCH(E1067,'SummaryNOT_VALIDATED-BL'!$A$1:$A$16,0),6),0)),0)</f>
        <v>0</v>
      </c>
      <c r="V1067" s="81" cm="1">
        <f t="array" ref="V1067">INDEX('Weight tables'!$A$24:$C$27,MATCH(1,(RendicontiTrasmessiBL__2[[#This Row],[Cut percentage on real costs + USC]]&gt;='Weight tables'!$B$24:$B$27)*(RendicontiTrasmessiBL__2[[#This Row],[Cut percentage on real costs + USC]]&lt;='Weight tables'!$C$24:$C$27),0),1)</f>
        <v>0</v>
      </c>
      <c r="W1067" s="2">
        <f>RendicontiTrasmessiBL__2[[#This Row],[Weight real costs  + USC ]]</f>
        <v>0</v>
      </c>
    </row>
    <row r="1068" spans="1:23" x14ac:dyDescent="0.25">
      <c r="A1068" s="1" t="s">
        <v>59</v>
      </c>
      <c r="B1068" s="1" t="s">
        <v>22</v>
      </c>
      <c r="C1068" s="2">
        <v>318</v>
      </c>
      <c r="D1068" s="2">
        <v>51</v>
      </c>
      <c r="E1068" s="1" t="s">
        <v>232</v>
      </c>
      <c r="G1068">
        <v>0</v>
      </c>
      <c r="H1068">
        <v>0</v>
      </c>
      <c r="I1068">
        <v>0</v>
      </c>
      <c r="J1068">
        <v>0</v>
      </c>
      <c r="K1068">
        <v>0</v>
      </c>
      <c r="L1068">
        <v>0</v>
      </c>
      <c r="M1068">
        <v>0</v>
      </c>
      <c r="N1068">
        <v>0</v>
      </c>
      <c r="O1068">
        <v>0</v>
      </c>
      <c r="P1068">
        <v>0</v>
      </c>
      <c r="Q1068" t="str">
        <f>INDEX('Partner data'!A:DH,MATCH(C1068,'Partner data'!DG:DG,0),83)</f>
        <v>Soggetto pubblico</v>
      </c>
      <c r="R1068" t="b">
        <f>IF(E1068="staff",IF(INDEX('Partner data'!A:DH,MATCH(C1068,'Partner data'!DG:DG,0),112)="BL1 non presente","FALSO",INDEX('Partner data'!A:DH,MATCH(C1068,'Partner data'!DG:DG,0),112)))</f>
        <v>0</v>
      </c>
      <c r="S1068" t="b">
        <f t="shared" si="32"/>
        <v>0</v>
      </c>
      <c r="T1068" t="b">
        <f t="shared" si="33"/>
        <v>1</v>
      </c>
      <c r="U1068" s="154">
        <f>IFERROR(IF(R1068&lt;&gt;FALSE,IF(S1068=TRUE,INDEX('SummaryNOT_VALIDATED-BL'!$A$1:$F$16,MATCH(R1068,'SummaryNOT_VALIDATED-BL'!$A$1:$A$16,0),6),0),IF(S1068=TRUE,INDEX('SummaryNOT_VALIDATED-BL'!$A$1:$F$16,MATCH(E1068,'SummaryNOT_VALIDATED-BL'!$A$1:$A$16,0),6),0)),0)</f>
        <v>0</v>
      </c>
      <c r="V1068" s="81" cm="1">
        <f t="array" ref="V1068">INDEX('Weight tables'!$A$24:$C$27,MATCH(1,(RendicontiTrasmessiBL__2[[#This Row],[Cut percentage on real costs + USC]]&gt;='Weight tables'!$B$24:$B$27)*(RendicontiTrasmessiBL__2[[#This Row],[Cut percentage on real costs + USC]]&lt;='Weight tables'!$C$24:$C$27),0),1)</f>
        <v>0</v>
      </c>
      <c r="W1068" s="2">
        <f>RendicontiTrasmessiBL__2[[#This Row],[Weight real costs  + USC ]]</f>
        <v>0</v>
      </c>
    </row>
    <row r="1069" spans="1:23" x14ac:dyDescent="0.25">
      <c r="A1069" s="1" t="s">
        <v>59</v>
      </c>
      <c r="B1069" s="1" t="s">
        <v>22</v>
      </c>
      <c r="C1069" s="2">
        <v>318</v>
      </c>
      <c r="D1069" s="2">
        <v>51</v>
      </c>
      <c r="E1069" s="1" t="s">
        <v>233</v>
      </c>
      <c r="G1069">
        <v>0</v>
      </c>
      <c r="H1069">
        <v>0</v>
      </c>
      <c r="I1069">
        <v>0</v>
      </c>
      <c r="J1069">
        <v>0</v>
      </c>
      <c r="K1069">
        <v>0</v>
      </c>
      <c r="L1069">
        <v>0</v>
      </c>
      <c r="M1069">
        <v>0</v>
      </c>
      <c r="N1069">
        <v>0</v>
      </c>
      <c r="O1069">
        <v>0</v>
      </c>
      <c r="P1069">
        <v>0</v>
      </c>
      <c r="Q1069" t="str">
        <f>INDEX('Partner data'!A:DH,MATCH(C1069,'Partner data'!DG:DG,0),83)</f>
        <v>Soggetto pubblico</v>
      </c>
      <c r="R1069" t="b">
        <f>IF(E1069="staff",IF(INDEX('Partner data'!A:DH,MATCH(C1069,'Partner data'!DG:DG,0),112)="BL1 non presente","FALSO",INDEX('Partner data'!A:DH,MATCH(C1069,'Partner data'!DG:DG,0),112)))</f>
        <v>0</v>
      </c>
      <c r="S1069" t="b">
        <f t="shared" si="32"/>
        <v>0</v>
      </c>
      <c r="T1069" t="b">
        <f t="shared" si="33"/>
        <v>1</v>
      </c>
      <c r="U1069" s="154">
        <f>IFERROR(IF(R1069&lt;&gt;FALSE,IF(S1069=TRUE,INDEX('SummaryNOT_VALIDATED-BL'!$A$1:$F$16,MATCH(R1069,'SummaryNOT_VALIDATED-BL'!$A$1:$A$16,0),6),0),IF(S1069=TRUE,INDEX('SummaryNOT_VALIDATED-BL'!$A$1:$F$16,MATCH(E1069,'SummaryNOT_VALIDATED-BL'!$A$1:$A$16,0),6),0)),0)</f>
        <v>0</v>
      </c>
      <c r="V1069" s="81" cm="1">
        <f t="array" ref="V1069">INDEX('Weight tables'!$A$24:$C$27,MATCH(1,(RendicontiTrasmessiBL__2[[#This Row],[Cut percentage on real costs + USC]]&gt;='Weight tables'!$B$24:$B$27)*(RendicontiTrasmessiBL__2[[#This Row],[Cut percentage on real costs + USC]]&lt;='Weight tables'!$C$24:$C$27),0),1)</f>
        <v>0</v>
      </c>
      <c r="W1069" s="2">
        <f>RendicontiTrasmessiBL__2[[#This Row],[Weight real costs  + USC ]]</f>
        <v>0</v>
      </c>
    </row>
    <row r="1070" spans="1:23" x14ac:dyDescent="0.25">
      <c r="A1070" s="1" t="s">
        <v>59</v>
      </c>
      <c r="B1070" s="1" t="s">
        <v>22</v>
      </c>
      <c r="C1070" s="2">
        <v>318</v>
      </c>
      <c r="D1070" s="2">
        <v>51</v>
      </c>
      <c r="E1070" s="1" t="s">
        <v>234</v>
      </c>
      <c r="G1070">
        <v>0</v>
      </c>
      <c r="H1070">
        <v>0</v>
      </c>
      <c r="I1070">
        <v>0</v>
      </c>
      <c r="J1070">
        <v>0</v>
      </c>
      <c r="K1070">
        <v>0</v>
      </c>
      <c r="L1070">
        <v>0</v>
      </c>
      <c r="M1070">
        <v>0</v>
      </c>
      <c r="N1070">
        <v>0</v>
      </c>
      <c r="O1070">
        <v>0</v>
      </c>
      <c r="P1070">
        <v>0</v>
      </c>
      <c r="Q1070" t="str">
        <f>INDEX('Partner data'!A:DH,MATCH(C1070,'Partner data'!DG:DG,0),83)</f>
        <v>Soggetto pubblico</v>
      </c>
      <c r="R1070" t="b">
        <f>IF(E1070="staff",IF(INDEX('Partner data'!A:DH,MATCH(C1070,'Partner data'!DG:DG,0),112)="BL1 non presente","FALSO",INDEX('Partner data'!A:DH,MATCH(C1070,'Partner data'!DG:DG,0),112)))</f>
        <v>0</v>
      </c>
      <c r="S1070" t="b">
        <f t="shared" si="32"/>
        <v>0</v>
      </c>
      <c r="T1070" t="b">
        <f t="shared" si="33"/>
        <v>1</v>
      </c>
      <c r="U1070" s="154">
        <f>IFERROR(IF(R1070&lt;&gt;FALSE,IF(S1070=TRUE,INDEX('SummaryNOT_VALIDATED-BL'!$A$1:$F$16,MATCH(R1070,'SummaryNOT_VALIDATED-BL'!$A$1:$A$16,0),6),0),IF(S1070=TRUE,INDEX('SummaryNOT_VALIDATED-BL'!$A$1:$F$16,MATCH(E1070,'SummaryNOT_VALIDATED-BL'!$A$1:$A$16,0),6),0)),0)</f>
        <v>0</v>
      </c>
      <c r="V1070" s="81" cm="1">
        <f t="array" ref="V1070">INDEX('Weight tables'!$A$24:$C$27,MATCH(1,(RendicontiTrasmessiBL__2[[#This Row],[Cut percentage on real costs + USC]]&gt;='Weight tables'!$B$24:$B$27)*(RendicontiTrasmessiBL__2[[#This Row],[Cut percentage on real costs + USC]]&lt;='Weight tables'!$C$24:$C$27),0),1)</f>
        <v>0</v>
      </c>
      <c r="W1070" s="2">
        <f>RendicontiTrasmessiBL__2[[#This Row],[Weight real costs  + USC ]]</f>
        <v>0</v>
      </c>
    </row>
    <row r="1071" spans="1:23" x14ac:dyDescent="0.25">
      <c r="A1071" s="1" t="s">
        <v>59</v>
      </c>
      <c r="B1071" s="1" t="s">
        <v>22</v>
      </c>
      <c r="C1071" s="2">
        <v>318</v>
      </c>
      <c r="D1071" s="2">
        <v>51</v>
      </c>
      <c r="E1071" s="1" t="s">
        <v>236</v>
      </c>
      <c r="G1071">
        <v>0</v>
      </c>
      <c r="H1071">
        <v>0</v>
      </c>
      <c r="I1071">
        <v>0</v>
      </c>
      <c r="J1071">
        <v>0</v>
      </c>
      <c r="K1071">
        <v>0</v>
      </c>
      <c r="L1071">
        <v>0</v>
      </c>
      <c r="M1071">
        <v>0</v>
      </c>
      <c r="N1071">
        <v>0</v>
      </c>
      <c r="O1071">
        <v>0</v>
      </c>
      <c r="P1071">
        <v>0</v>
      </c>
      <c r="Q1071" t="str">
        <f>INDEX('Partner data'!A:DH,MATCH(C1071,'Partner data'!DG:DG,0),83)</f>
        <v>Soggetto pubblico</v>
      </c>
      <c r="R1071" t="b">
        <f>IF(E1071="staff",IF(INDEX('Partner data'!A:DH,MATCH(C1071,'Partner data'!DG:DG,0),112)="BL1 non presente","FALSO",INDEX('Partner data'!A:DH,MATCH(C1071,'Partner data'!DG:DG,0),112)))</f>
        <v>0</v>
      </c>
      <c r="S1071" t="b">
        <f t="shared" si="32"/>
        <v>0</v>
      </c>
      <c r="T1071" t="b">
        <f t="shared" si="33"/>
        <v>1</v>
      </c>
      <c r="U1071" s="154">
        <f>IFERROR(IF(R1071&lt;&gt;FALSE,IF(S1071=TRUE,INDEX('SummaryNOT_VALIDATED-BL'!$A$1:$F$16,MATCH(R1071,'SummaryNOT_VALIDATED-BL'!$A$1:$A$16,0),6),0),IF(S1071=TRUE,INDEX('SummaryNOT_VALIDATED-BL'!$A$1:$F$16,MATCH(E1071,'SummaryNOT_VALIDATED-BL'!$A$1:$A$16,0),6),0)),0)</f>
        <v>0</v>
      </c>
      <c r="V1071" s="81" cm="1">
        <f t="array" ref="V1071">INDEX('Weight tables'!$A$24:$C$27,MATCH(1,(RendicontiTrasmessiBL__2[[#This Row],[Cut percentage on real costs + USC]]&gt;='Weight tables'!$B$24:$B$27)*(RendicontiTrasmessiBL__2[[#This Row],[Cut percentage on real costs + USC]]&lt;='Weight tables'!$C$24:$C$27),0),1)</f>
        <v>0</v>
      </c>
      <c r="W1071" s="2">
        <f>RendicontiTrasmessiBL__2[[#This Row],[Weight real costs  + USC ]]</f>
        <v>0</v>
      </c>
    </row>
    <row r="1072" spans="1:23" x14ac:dyDescent="0.25">
      <c r="A1072" s="1" t="s">
        <v>59</v>
      </c>
      <c r="B1072" s="1" t="s">
        <v>22</v>
      </c>
      <c r="C1072" s="2">
        <v>318</v>
      </c>
      <c r="D1072" s="2">
        <v>51</v>
      </c>
      <c r="E1072" s="1" t="s">
        <v>237</v>
      </c>
      <c r="G1072">
        <v>0</v>
      </c>
      <c r="H1072">
        <v>0</v>
      </c>
      <c r="I1072">
        <v>0</v>
      </c>
      <c r="J1072">
        <v>0</v>
      </c>
      <c r="K1072">
        <v>0</v>
      </c>
      <c r="L1072">
        <v>0</v>
      </c>
      <c r="M1072">
        <v>0</v>
      </c>
      <c r="N1072">
        <v>0</v>
      </c>
      <c r="O1072">
        <v>0</v>
      </c>
      <c r="P1072">
        <v>0</v>
      </c>
      <c r="Q1072" t="str">
        <f>INDEX('Partner data'!A:DH,MATCH(C1072,'Partner data'!DG:DG,0),83)</f>
        <v>Soggetto pubblico</v>
      </c>
      <c r="R1072" t="b">
        <f>IF(E1072="staff",IF(INDEX('Partner data'!A:DH,MATCH(C1072,'Partner data'!DG:DG,0),112)="BL1 non presente","FALSO",INDEX('Partner data'!A:DH,MATCH(C1072,'Partner data'!DG:DG,0),112)))</f>
        <v>0</v>
      </c>
      <c r="S1072" t="b">
        <f t="shared" si="32"/>
        <v>0</v>
      </c>
      <c r="T1072" t="b">
        <f t="shared" si="33"/>
        <v>1</v>
      </c>
      <c r="U1072" s="154">
        <f>IFERROR(IF(R1072&lt;&gt;FALSE,IF(S1072=TRUE,INDEX('SummaryNOT_VALIDATED-BL'!$A$1:$F$16,MATCH(R1072,'SummaryNOT_VALIDATED-BL'!$A$1:$A$16,0),6),0),IF(S1072=TRUE,INDEX('SummaryNOT_VALIDATED-BL'!$A$1:$F$16,MATCH(E1072,'SummaryNOT_VALIDATED-BL'!$A$1:$A$16,0),6),0)),0)</f>
        <v>0</v>
      </c>
      <c r="V1072" s="81" cm="1">
        <f t="array" ref="V1072">INDEX('Weight tables'!$A$24:$C$27,MATCH(1,(RendicontiTrasmessiBL__2[[#This Row],[Cut percentage on real costs + USC]]&gt;='Weight tables'!$B$24:$B$27)*(RendicontiTrasmessiBL__2[[#This Row],[Cut percentage on real costs + USC]]&lt;='Weight tables'!$C$24:$C$27),0),1)</f>
        <v>0</v>
      </c>
      <c r="W1072" s="2">
        <f>RendicontiTrasmessiBL__2[[#This Row],[Weight real costs  + USC ]]</f>
        <v>0</v>
      </c>
    </row>
    <row r="1073" spans="1:23" x14ac:dyDescent="0.25">
      <c r="A1073" s="1" t="s">
        <v>59</v>
      </c>
      <c r="B1073" s="1" t="s">
        <v>48</v>
      </c>
      <c r="C1073" s="2">
        <v>319</v>
      </c>
      <c r="D1073" s="2">
        <v>56</v>
      </c>
      <c r="E1073" s="1" t="s">
        <v>228</v>
      </c>
      <c r="G1073">
        <v>94488.23</v>
      </c>
      <c r="H1073">
        <v>0</v>
      </c>
      <c r="I1073">
        <v>0</v>
      </c>
      <c r="J1073">
        <v>7202.41</v>
      </c>
      <c r="K1073">
        <v>0</v>
      </c>
      <c r="L1073">
        <v>7170.58</v>
      </c>
      <c r="M1073">
        <v>7202.41</v>
      </c>
      <c r="N1073">
        <v>7.62</v>
      </c>
      <c r="O1073">
        <v>87285.82</v>
      </c>
      <c r="P1073">
        <v>0</v>
      </c>
      <c r="Q1073" t="str">
        <f>INDEX('Partner data'!A:DH,MATCH(C1073,'Partner data'!DG:DG,0),83)</f>
        <v>Soggetto pubblico</v>
      </c>
      <c r="R1073" t="str">
        <f>IF(E1073="staff",IF(INDEX('Partner data'!A:DH,MATCH(C1073,'Partner data'!DG:DG,0),112)="BL1 non presente","FALSO",INDEX('Partner data'!A:DH,MATCH(C1073,'Partner data'!DG:DG,0),112)))</f>
        <v>COSTO REALE</v>
      </c>
      <c r="S1073" t="b">
        <f t="shared" si="32"/>
        <v>1</v>
      </c>
      <c r="T1073" t="b">
        <f t="shared" si="33"/>
        <v>1</v>
      </c>
      <c r="U1073" s="154">
        <f>IFERROR(IF(R1073&lt;&gt;FALSE,IF(S1073=TRUE,INDEX('SummaryNOT_VALIDATED-BL'!$A$1:$F$16,MATCH(R1073,'SummaryNOT_VALIDATED-BL'!$A$1:$A$16,0),6),0),IF(S1073=TRUE,INDEX('SummaryNOT_VALIDATED-BL'!$A$1:$F$16,MATCH(E1073,'SummaryNOT_VALIDATED-BL'!$A$1:$A$16,0),6),0)),0)</f>
        <v>9.1604133276901048E-2</v>
      </c>
      <c r="V1073" s="81" cm="1">
        <f t="array" ref="V1073">INDEX('Weight tables'!$A$24:$C$27,MATCH(1,(RendicontiTrasmessiBL__2[[#This Row],[Cut percentage on real costs + USC]]&gt;='Weight tables'!$B$24:$B$27)*(RendicontiTrasmessiBL__2[[#This Row],[Cut percentage on real costs + USC]]&lt;='Weight tables'!$C$24:$C$27),0),1)</f>
        <v>4</v>
      </c>
      <c r="W1073" s="2">
        <f>RendicontiTrasmessiBL__2[[#This Row],[Weight real costs  + USC ]]</f>
        <v>4</v>
      </c>
    </row>
    <row r="1074" spans="1:23" x14ac:dyDescent="0.25">
      <c r="A1074" s="1" t="s">
        <v>59</v>
      </c>
      <c r="B1074" s="1" t="s">
        <v>48</v>
      </c>
      <c r="C1074" s="2">
        <v>319</v>
      </c>
      <c r="D1074" s="2">
        <v>56</v>
      </c>
      <c r="E1074" s="1" t="s">
        <v>229</v>
      </c>
      <c r="G1074">
        <v>0</v>
      </c>
      <c r="H1074">
        <v>0</v>
      </c>
      <c r="I1074">
        <v>0</v>
      </c>
      <c r="J1074">
        <v>0</v>
      </c>
      <c r="K1074">
        <v>0</v>
      </c>
      <c r="L1074">
        <v>0</v>
      </c>
      <c r="M1074">
        <v>0</v>
      </c>
      <c r="N1074">
        <v>0</v>
      </c>
      <c r="O1074">
        <v>0</v>
      </c>
      <c r="P1074">
        <v>0</v>
      </c>
      <c r="Q1074" t="str">
        <f>INDEX('Partner data'!A:DH,MATCH(C1074,'Partner data'!DG:DG,0),83)</f>
        <v>Soggetto pubblico</v>
      </c>
      <c r="R1074" t="b">
        <f>IF(E1074="staff",IF(INDEX('Partner data'!A:DH,MATCH(C1074,'Partner data'!DG:DG,0),112)="BL1 non presente","FALSO",INDEX('Partner data'!A:DH,MATCH(C1074,'Partner data'!DG:DG,0),112)))</f>
        <v>0</v>
      </c>
      <c r="S1074" t="b">
        <f t="shared" si="32"/>
        <v>0</v>
      </c>
      <c r="T1074" t="b">
        <f t="shared" si="33"/>
        <v>1</v>
      </c>
      <c r="U1074" s="154">
        <f>IFERROR(IF(R1074&lt;&gt;FALSE,IF(S1074=TRUE,INDEX('SummaryNOT_VALIDATED-BL'!$A$1:$F$16,MATCH(R1074,'SummaryNOT_VALIDATED-BL'!$A$1:$A$16,0),6),0),IF(S1074=TRUE,INDEX('SummaryNOT_VALIDATED-BL'!$A$1:$F$16,MATCH(E1074,'SummaryNOT_VALIDATED-BL'!$A$1:$A$16,0),6),0)),0)</f>
        <v>0</v>
      </c>
      <c r="V1074" s="81" cm="1">
        <f t="array" ref="V1074">INDEX('Weight tables'!$A$24:$C$27,MATCH(1,(RendicontiTrasmessiBL__2[[#This Row],[Cut percentage on real costs + USC]]&gt;='Weight tables'!$B$24:$B$27)*(RendicontiTrasmessiBL__2[[#This Row],[Cut percentage on real costs + USC]]&lt;='Weight tables'!$C$24:$C$27),0),1)</f>
        <v>0</v>
      </c>
      <c r="W1074" s="2">
        <f>RendicontiTrasmessiBL__2[[#This Row],[Weight real costs  + USC ]]</f>
        <v>0</v>
      </c>
    </row>
    <row r="1075" spans="1:23" x14ac:dyDescent="0.25">
      <c r="A1075" s="1" t="s">
        <v>59</v>
      </c>
      <c r="B1075" s="1" t="s">
        <v>48</v>
      </c>
      <c r="C1075" s="2">
        <v>319</v>
      </c>
      <c r="D1075" s="2">
        <v>56</v>
      </c>
      <c r="E1075" s="1" t="s">
        <v>230</v>
      </c>
      <c r="G1075">
        <v>0</v>
      </c>
      <c r="H1075">
        <v>0</v>
      </c>
      <c r="I1075">
        <v>0</v>
      </c>
      <c r="J1075">
        <v>0</v>
      </c>
      <c r="K1075">
        <v>0</v>
      </c>
      <c r="L1075">
        <v>0</v>
      </c>
      <c r="M1075">
        <v>0</v>
      </c>
      <c r="N1075">
        <v>0</v>
      </c>
      <c r="O1075">
        <v>0</v>
      </c>
      <c r="P1075">
        <v>0</v>
      </c>
      <c r="Q1075" t="str">
        <f>INDEX('Partner data'!A:DH,MATCH(C1075,'Partner data'!DG:DG,0),83)</f>
        <v>Soggetto pubblico</v>
      </c>
      <c r="R1075" t="b">
        <f>IF(E1075="staff",IF(INDEX('Partner data'!A:DH,MATCH(C1075,'Partner data'!DG:DG,0),112)="BL1 non presente","FALSO",INDEX('Partner data'!A:DH,MATCH(C1075,'Partner data'!DG:DG,0),112)))</f>
        <v>0</v>
      </c>
      <c r="S1075" t="b">
        <f t="shared" si="32"/>
        <v>0</v>
      </c>
      <c r="T1075" t="b">
        <f t="shared" si="33"/>
        <v>1</v>
      </c>
      <c r="U1075" s="154">
        <f>IFERROR(IF(R1075&lt;&gt;FALSE,IF(S1075=TRUE,INDEX('SummaryNOT_VALIDATED-BL'!$A$1:$F$16,MATCH(R1075,'SummaryNOT_VALIDATED-BL'!$A$1:$A$16,0),6),0),IF(S1075=TRUE,INDEX('SummaryNOT_VALIDATED-BL'!$A$1:$F$16,MATCH(E1075,'SummaryNOT_VALIDATED-BL'!$A$1:$A$16,0),6),0)),0)</f>
        <v>0</v>
      </c>
      <c r="V1075" s="81" cm="1">
        <f t="array" ref="V1075">INDEX('Weight tables'!$A$24:$C$27,MATCH(1,(RendicontiTrasmessiBL__2[[#This Row],[Cut percentage on real costs + USC]]&gt;='Weight tables'!$B$24:$B$27)*(RendicontiTrasmessiBL__2[[#This Row],[Cut percentage on real costs + USC]]&lt;='Weight tables'!$C$24:$C$27),0),1)</f>
        <v>0</v>
      </c>
      <c r="W1075" s="2">
        <f>RendicontiTrasmessiBL__2[[#This Row],[Weight real costs  + USC ]]</f>
        <v>0</v>
      </c>
    </row>
    <row r="1076" spans="1:23" x14ac:dyDescent="0.25">
      <c r="A1076" s="1" t="s">
        <v>59</v>
      </c>
      <c r="B1076" s="1" t="s">
        <v>48</v>
      </c>
      <c r="C1076" s="2">
        <v>319</v>
      </c>
      <c r="D1076" s="2">
        <v>56</v>
      </c>
      <c r="E1076" s="1" t="s">
        <v>231</v>
      </c>
      <c r="G1076">
        <v>0</v>
      </c>
      <c r="H1076">
        <v>0</v>
      </c>
      <c r="I1076">
        <v>0</v>
      </c>
      <c r="J1076">
        <v>0</v>
      </c>
      <c r="K1076">
        <v>0</v>
      </c>
      <c r="L1076">
        <v>0</v>
      </c>
      <c r="M1076">
        <v>0</v>
      </c>
      <c r="N1076">
        <v>0</v>
      </c>
      <c r="O1076">
        <v>0</v>
      </c>
      <c r="P1076">
        <v>0</v>
      </c>
      <c r="Q1076" t="str">
        <f>INDEX('Partner data'!A:DH,MATCH(C1076,'Partner data'!DG:DG,0),83)</f>
        <v>Soggetto pubblico</v>
      </c>
      <c r="R1076" t="b">
        <f>IF(E1076="staff",IF(INDEX('Partner data'!A:DH,MATCH(C1076,'Partner data'!DG:DG,0),112)="BL1 non presente","FALSO",INDEX('Partner data'!A:DH,MATCH(C1076,'Partner data'!DG:DG,0),112)))</f>
        <v>0</v>
      </c>
      <c r="S1076" t="b">
        <f t="shared" si="32"/>
        <v>0</v>
      </c>
      <c r="T1076" t="b">
        <f t="shared" si="33"/>
        <v>1</v>
      </c>
      <c r="U1076" s="154">
        <f>IFERROR(IF(R1076&lt;&gt;FALSE,IF(S1076=TRUE,INDEX('SummaryNOT_VALIDATED-BL'!$A$1:$F$16,MATCH(R1076,'SummaryNOT_VALIDATED-BL'!$A$1:$A$16,0),6),0),IF(S1076=TRUE,INDEX('SummaryNOT_VALIDATED-BL'!$A$1:$F$16,MATCH(E1076,'SummaryNOT_VALIDATED-BL'!$A$1:$A$16,0),6),0)),0)</f>
        <v>0</v>
      </c>
      <c r="V1076" s="81" cm="1">
        <f t="array" ref="V1076">INDEX('Weight tables'!$A$24:$C$27,MATCH(1,(RendicontiTrasmessiBL__2[[#This Row],[Cut percentage on real costs + USC]]&gt;='Weight tables'!$B$24:$B$27)*(RendicontiTrasmessiBL__2[[#This Row],[Cut percentage on real costs + USC]]&lt;='Weight tables'!$C$24:$C$27),0),1)</f>
        <v>0</v>
      </c>
      <c r="W1076" s="2">
        <f>RendicontiTrasmessiBL__2[[#This Row],[Weight real costs  + USC ]]</f>
        <v>0</v>
      </c>
    </row>
    <row r="1077" spans="1:23" x14ac:dyDescent="0.25">
      <c r="A1077" s="1" t="s">
        <v>59</v>
      </c>
      <c r="B1077" s="1" t="s">
        <v>48</v>
      </c>
      <c r="C1077" s="2">
        <v>319</v>
      </c>
      <c r="D1077" s="2">
        <v>56</v>
      </c>
      <c r="E1077" s="1" t="s">
        <v>232</v>
      </c>
      <c r="G1077">
        <v>0</v>
      </c>
      <c r="H1077">
        <v>0</v>
      </c>
      <c r="I1077">
        <v>0</v>
      </c>
      <c r="J1077">
        <v>0</v>
      </c>
      <c r="K1077">
        <v>0</v>
      </c>
      <c r="L1077">
        <v>0</v>
      </c>
      <c r="M1077">
        <v>0</v>
      </c>
      <c r="N1077">
        <v>0</v>
      </c>
      <c r="O1077">
        <v>0</v>
      </c>
      <c r="P1077">
        <v>0</v>
      </c>
      <c r="Q1077" t="str">
        <f>INDEX('Partner data'!A:DH,MATCH(C1077,'Partner data'!DG:DG,0),83)</f>
        <v>Soggetto pubblico</v>
      </c>
      <c r="R1077" t="b">
        <f>IF(E1077="staff",IF(INDEX('Partner data'!A:DH,MATCH(C1077,'Partner data'!DG:DG,0),112)="BL1 non presente","FALSO",INDEX('Partner data'!A:DH,MATCH(C1077,'Partner data'!DG:DG,0),112)))</f>
        <v>0</v>
      </c>
      <c r="S1077" t="b">
        <f t="shared" si="32"/>
        <v>0</v>
      </c>
      <c r="T1077" t="b">
        <f t="shared" si="33"/>
        <v>1</v>
      </c>
      <c r="U1077" s="154">
        <f>IFERROR(IF(R1077&lt;&gt;FALSE,IF(S1077=TRUE,INDEX('SummaryNOT_VALIDATED-BL'!$A$1:$F$16,MATCH(R1077,'SummaryNOT_VALIDATED-BL'!$A$1:$A$16,0),6),0),IF(S1077=TRUE,INDEX('SummaryNOT_VALIDATED-BL'!$A$1:$F$16,MATCH(E1077,'SummaryNOT_VALIDATED-BL'!$A$1:$A$16,0),6),0)),0)</f>
        <v>0</v>
      </c>
      <c r="V1077" s="81" cm="1">
        <f t="array" ref="V1077">INDEX('Weight tables'!$A$24:$C$27,MATCH(1,(RendicontiTrasmessiBL__2[[#This Row],[Cut percentage on real costs + USC]]&gt;='Weight tables'!$B$24:$B$27)*(RendicontiTrasmessiBL__2[[#This Row],[Cut percentage on real costs + USC]]&lt;='Weight tables'!$C$24:$C$27),0),1)</f>
        <v>0</v>
      </c>
      <c r="W1077" s="2">
        <f>RendicontiTrasmessiBL__2[[#This Row],[Weight real costs  + USC ]]</f>
        <v>0</v>
      </c>
    </row>
    <row r="1078" spans="1:23" x14ac:dyDescent="0.25">
      <c r="A1078" s="1" t="s">
        <v>59</v>
      </c>
      <c r="B1078" s="1" t="s">
        <v>48</v>
      </c>
      <c r="C1078" s="2">
        <v>319</v>
      </c>
      <c r="D1078" s="2">
        <v>56</v>
      </c>
      <c r="E1078" s="1" t="s">
        <v>233</v>
      </c>
      <c r="G1078">
        <v>0</v>
      </c>
      <c r="H1078">
        <v>0</v>
      </c>
      <c r="I1078">
        <v>0</v>
      </c>
      <c r="J1078">
        <v>0</v>
      </c>
      <c r="K1078">
        <v>0</v>
      </c>
      <c r="L1078">
        <v>0</v>
      </c>
      <c r="M1078">
        <v>0</v>
      </c>
      <c r="N1078">
        <v>0</v>
      </c>
      <c r="O1078">
        <v>0</v>
      </c>
      <c r="P1078">
        <v>0</v>
      </c>
      <c r="Q1078" t="str">
        <f>INDEX('Partner data'!A:DH,MATCH(C1078,'Partner data'!DG:DG,0),83)</f>
        <v>Soggetto pubblico</v>
      </c>
      <c r="R1078" t="b">
        <f>IF(E1078="staff",IF(INDEX('Partner data'!A:DH,MATCH(C1078,'Partner data'!DG:DG,0),112)="BL1 non presente","FALSO",INDEX('Partner data'!A:DH,MATCH(C1078,'Partner data'!DG:DG,0),112)))</f>
        <v>0</v>
      </c>
      <c r="S1078" t="b">
        <f t="shared" si="32"/>
        <v>0</v>
      </c>
      <c r="T1078" t="b">
        <f t="shared" si="33"/>
        <v>1</v>
      </c>
      <c r="U1078" s="154">
        <f>IFERROR(IF(R1078&lt;&gt;FALSE,IF(S1078=TRUE,INDEX('SummaryNOT_VALIDATED-BL'!$A$1:$F$16,MATCH(R1078,'SummaryNOT_VALIDATED-BL'!$A$1:$A$16,0),6),0),IF(S1078=TRUE,INDEX('SummaryNOT_VALIDATED-BL'!$A$1:$F$16,MATCH(E1078,'SummaryNOT_VALIDATED-BL'!$A$1:$A$16,0),6),0)),0)</f>
        <v>0</v>
      </c>
      <c r="V1078" s="81" cm="1">
        <f t="array" ref="V1078">INDEX('Weight tables'!$A$24:$C$27,MATCH(1,(RendicontiTrasmessiBL__2[[#This Row],[Cut percentage on real costs + USC]]&gt;='Weight tables'!$B$24:$B$27)*(RendicontiTrasmessiBL__2[[#This Row],[Cut percentage on real costs + USC]]&lt;='Weight tables'!$C$24:$C$27),0),1)</f>
        <v>0</v>
      </c>
      <c r="W1078" s="2">
        <f>RendicontiTrasmessiBL__2[[#This Row],[Weight real costs  + USC ]]</f>
        <v>0</v>
      </c>
    </row>
    <row r="1079" spans="1:23" x14ac:dyDescent="0.25">
      <c r="A1079" s="1" t="s">
        <v>59</v>
      </c>
      <c r="B1079" s="1" t="s">
        <v>48</v>
      </c>
      <c r="C1079" s="2">
        <v>319</v>
      </c>
      <c r="D1079" s="2">
        <v>56</v>
      </c>
      <c r="E1079" s="1" t="s">
        <v>234</v>
      </c>
      <c r="F1079">
        <v>27</v>
      </c>
      <c r="G1079">
        <v>25511.82</v>
      </c>
      <c r="H1079">
        <v>0</v>
      </c>
      <c r="I1079">
        <v>0</v>
      </c>
      <c r="J1079">
        <v>1944.65</v>
      </c>
      <c r="K1079">
        <v>0</v>
      </c>
      <c r="L1079">
        <v>1936.05</v>
      </c>
      <c r="M1079">
        <v>1944.65</v>
      </c>
      <c r="N1079">
        <v>7.62</v>
      </c>
      <c r="O1079">
        <v>23567.17</v>
      </c>
      <c r="P1079">
        <v>0</v>
      </c>
      <c r="Q1079" t="str">
        <f>INDEX('Partner data'!A:DH,MATCH(C1079,'Partner data'!DG:DG,0),83)</f>
        <v>Soggetto pubblico</v>
      </c>
      <c r="R1079" t="b">
        <f>IF(E1079="staff",IF(INDEX('Partner data'!A:DH,MATCH(C1079,'Partner data'!DG:DG,0),112)="BL1 non presente","FALSO",INDEX('Partner data'!A:DH,MATCH(C1079,'Partner data'!DG:DG,0),112)))</f>
        <v>0</v>
      </c>
      <c r="S1079" t="b">
        <f t="shared" si="32"/>
        <v>1</v>
      </c>
      <c r="T1079" t="b">
        <f t="shared" si="33"/>
        <v>1</v>
      </c>
      <c r="U1079" s="154">
        <f>IFERROR(IF(R1079&lt;&gt;FALSE,IF(S1079=TRUE,INDEX('SummaryNOT_VALIDATED-BL'!$A$1:$F$16,MATCH(R1079,'SummaryNOT_VALIDATED-BL'!$A$1:$A$16,0),6),0),IF(S1079=TRUE,INDEX('SummaryNOT_VALIDATED-BL'!$A$1:$F$16,MATCH(E1079,'SummaryNOT_VALIDATED-BL'!$A$1:$A$16,0),6),0)),0)</f>
        <v>8.7645339819521315E-2</v>
      </c>
      <c r="V1079" s="81" cm="1">
        <f t="array" ref="V1079">INDEX('Weight tables'!$A$24:$C$27,MATCH(1,(RendicontiTrasmessiBL__2[[#This Row],[Cut percentage on real costs + USC]]&gt;='Weight tables'!$B$24:$B$27)*(RendicontiTrasmessiBL__2[[#This Row],[Cut percentage on real costs + USC]]&lt;='Weight tables'!$C$24:$C$27),0),1)</f>
        <v>4</v>
      </c>
      <c r="W1079" s="2">
        <f>RendicontiTrasmessiBL__2[[#This Row],[Weight real costs  + USC ]]</f>
        <v>4</v>
      </c>
    </row>
    <row r="1080" spans="1:23" x14ac:dyDescent="0.25">
      <c r="A1080" s="1" t="s">
        <v>59</v>
      </c>
      <c r="B1080" s="1" t="s">
        <v>48</v>
      </c>
      <c r="C1080" s="2">
        <v>319</v>
      </c>
      <c r="D1080" s="2">
        <v>56</v>
      </c>
      <c r="E1080" s="1" t="s">
        <v>236</v>
      </c>
      <c r="G1080">
        <v>0</v>
      </c>
      <c r="H1080">
        <v>0</v>
      </c>
      <c r="I1080">
        <v>0</v>
      </c>
      <c r="J1080">
        <v>0</v>
      </c>
      <c r="K1080">
        <v>0</v>
      </c>
      <c r="L1080">
        <v>0</v>
      </c>
      <c r="M1080">
        <v>0</v>
      </c>
      <c r="N1080">
        <v>0</v>
      </c>
      <c r="O1080">
        <v>0</v>
      </c>
      <c r="P1080">
        <v>0</v>
      </c>
      <c r="Q1080" t="str">
        <f>INDEX('Partner data'!A:DH,MATCH(C1080,'Partner data'!DG:DG,0),83)</f>
        <v>Soggetto pubblico</v>
      </c>
      <c r="R1080" t="b">
        <f>IF(E1080="staff",IF(INDEX('Partner data'!A:DH,MATCH(C1080,'Partner data'!DG:DG,0),112)="BL1 non presente","FALSO",INDEX('Partner data'!A:DH,MATCH(C1080,'Partner data'!DG:DG,0),112)))</f>
        <v>0</v>
      </c>
      <c r="S1080" t="b">
        <f t="shared" si="32"/>
        <v>0</v>
      </c>
      <c r="T1080" t="b">
        <f t="shared" si="33"/>
        <v>1</v>
      </c>
      <c r="U1080" s="154">
        <f>IFERROR(IF(R1080&lt;&gt;FALSE,IF(S1080=TRUE,INDEX('SummaryNOT_VALIDATED-BL'!$A$1:$F$16,MATCH(R1080,'SummaryNOT_VALIDATED-BL'!$A$1:$A$16,0),6),0),IF(S1080=TRUE,INDEX('SummaryNOT_VALIDATED-BL'!$A$1:$F$16,MATCH(E1080,'SummaryNOT_VALIDATED-BL'!$A$1:$A$16,0),6),0)),0)</f>
        <v>0</v>
      </c>
      <c r="V1080" s="81" cm="1">
        <f t="array" ref="V1080">INDEX('Weight tables'!$A$24:$C$27,MATCH(1,(RendicontiTrasmessiBL__2[[#This Row],[Cut percentage on real costs + USC]]&gt;='Weight tables'!$B$24:$B$27)*(RendicontiTrasmessiBL__2[[#This Row],[Cut percentage on real costs + USC]]&lt;='Weight tables'!$C$24:$C$27),0),1)</f>
        <v>0</v>
      </c>
      <c r="W1080" s="2">
        <f>RendicontiTrasmessiBL__2[[#This Row],[Weight real costs  + USC ]]</f>
        <v>0</v>
      </c>
    </row>
    <row r="1081" spans="1:23" x14ac:dyDescent="0.25">
      <c r="A1081" s="1" t="s">
        <v>59</v>
      </c>
      <c r="B1081" s="1" t="s">
        <v>48</v>
      </c>
      <c r="C1081" s="2">
        <v>319</v>
      </c>
      <c r="D1081" s="2">
        <v>56</v>
      </c>
      <c r="E1081" s="1" t="s">
        <v>237</v>
      </c>
      <c r="G1081">
        <v>0</v>
      </c>
      <c r="H1081">
        <v>0</v>
      </c>
      <c r="I1081">
        <v>0</v>
      </c>
      <c r="J1081">
        <v>0</v>
      </c>
      <c r="K1081">
        <v>0</v>
      </c>
      <c r="L1081">
        <v>0</v>
      </c>
      <c r="M1081">
        <v>0</v>
      </c>
      <c r="N1081">
        <v>0</v>
      </c>
      <c r="O1081">
        <v>0</v>
      </c>
      <c r="P1081">
        <v>0</v>
      </c>
      <c r="Q1081" t="str">
        <f>INDEX('Partner data'!A:DH,MATCH(C1081,'Partner data'!DG:DG,0),83)</f>
        <v>Soggetto pubblico</v>
      </c>
      <c r="R1081" t="b">
        <f>IF(E1081="staff",IF(INDEX('Partner data'!A:DH,MATCH(C1081,'Partner data'!DG:DG,0),112)="BL1 non presente","FALSO",INDEX('Partner data'!A:DH,MATCH(C1081,'Partner data'!DG:DG,0),112)))</f>
        <v>0</v>
      </c>
      <c r="S1081" t="b">
        <f t="shared" si="32"/>
        <v>0</v>
      </c>
      <c r="T1081" t="b">
        <f t="shared" si="33"/>
        <v>1</v>
      </c>
      <c r="U1081" s="154">
        <f>IFERROR(IF(R1081&lt;&gt;FALSE,IF(S1081=TRUE,INDEX('SummaryNOT_VALIDATED-BL'!$A$1:$F$16,MATCH(R1081,'SummaryNOT_VALIDATED-BL'!$A$1:$A$16,0),6),0),IF(S1081=TRUE,INDEX('SummaryNOT_VALIDATED-BL'!$A$1:$F$16,MATCH(E1081,'SummaryNOT_VALIDATED-BL'!$A$1:$A$16,0),6),0)),0)</f>
        <v>0</v>
      </c>
      <c r="V1081" s="81" cm="1">
        <f t="array" ref="V1081">INDEX('Weight tables'!$A$24:$C$27,MATCH(1,(RendicontiTrasmessiBL__2[[#This Row],[Cut percentage on real costs + USC]]&gt;='Weight tables'!$B$24:$B$27)*(RendicontiTrasmessiBL__2[[#This Row],[Cut percentage on real costs + USC]]&lt;='Weight tables'!$C$24:$C$27),0),1)</f>
        <v>0</v>
      </c>
      <c r="W1081" s="2">
        <f>RendicontiTrasmessiBL__2[[#This Row],[Weight real costs  + USC ]]</f>
        <v>0</v>
      </c>
    </row>
    <row r="1082" spans="1:23" x14ac:dyDescent="0.25">
      <c r="A1082" s="1" t="s">
        <v>59</v>
      </c>
      <c r="B1082" s="1" t="s">
        <v>48</v>
      </c>
      <c r="C1082" s="2">
        <v>319</v>
      </c>
      <c r="D1082" s="2">
        <v>57</v>
      </c>
      <c r="E1082" s="1" t="s">
        <v>228</v>
      </c>
      <c r="G1082">
        <v>94488.23</v>
      </c>
      <c r="H1082">
        <v>0</v>
      </c>
      <c r="I1082">
        <v>0</v>
      </c>
      <c r="J1082">
        <v>8654.11</v>
      </c>
      <c r="K1082">
        <v>0</v>
      </c>
      <c r="L1082">
        <v>8312.58</v>
      </c>
      <c r="M1082">
        <v>8654.11</v>
      </c>
      <c r="N1082">
        <v>9.16</v>
      </c>
      <c r="O1082">
        <v>85834.12</v>
      </c>
      <c r="P1082">
        <v>0</v>
      </c>
      <c r="Q1082" t="str">
        <f>INDEX('Partner data'!A:DH,MATCH(C1082,'Partner data'!DG:DG,0),83)</f>
        <v>Soggetto pubblico</v>
      </c>
      <c r="R1082" t="str">
        <f>IF(E1082="staff",IF(INDEX('Partner data'!A:DH,MATCH(C1082,'Partner data'!DG:DG,0),112)="BL1 non presente","FALSO",INDEX('Partner data'!A:DH,MATCH(C1082,'Partner data'!DG:DG,0),112)))</f>
        <v>COSTO REALE</v>
      </c>
      <c r="S1082" t="b">
        <f t="shared" si="32"/>
        <v>1</v>
      </c>
      <c r="T1082" t="b">
        <f t="shared" si="33"/>
        <v>1</v>
      </c>
      <c r="U1082" s="154">
        <f>IFERROR(IF(R1082&lt;&gt;FALSE,IF(S1082=TRUE,INDEX('SummaryNOT_VALIDATED-BL'!$A$1:$F$16,MATCH(R1082,'SummaryNOT_VALIDATED-BL'!$A$1:$A$16,0),6),0),IF(S1082=TRUE,INDEX('SummaryNOT_VALIDATED-BL'!$A$1:$F$16,MATCH(E1082,'SummaryNOT_VALIDATED-BL'!$A$1:$A$16,0),6),0)),0)</f>
        <v>9.1604133276901048E-2</v>
      </c>
      <c r="V1082" s="81" cm="1">
        <f t="array" ref="V1082">INDEX('Weight tables'!$A$24:$C$27,MATCH(1,(RendicontiTrasmessiBL__2[[#This Row],[Cut percentage on real costs + USC]]&gt;='Weight tables'!$B$24:$B$27)*(RendicontiTrasmessiBL__2[[#This Row],[Cut percentage on real costs + USC]]&lt;='Weight tables'!$C$24:$C$27),0),1)</f>
        <v>4</v>
      </c>
      <c r="W1082" s="2">
        <f>RendicontiTrasmessiBL__2[[#This Row],[Weight real costs  + USC ]]</f>
        <v>4</v>
      </c>
    </row>
    <row r="1083" spans="1:23" x14ac:dyDescent="0.25">
      <c r="A1083" s="1" t="s">
        <v>59</v>
      </c>
      <c r="B1083" s="1" t="s">
        <v>48</v>
      </c>
      <c r="C1083" s="2">
        <v>319</v>
      </c>
      <c r="D1083" s="2">
        <v>57</v>
      </c>
      <c r="E1083" s="1" t="s">
        <v>229</v>
      </c>
      <c r="G1083">
        <v>0</v>
      </c>
      <c r="H1083">
        <v>0</v>
      </c>
      <c r="I1083">
        <v>0</v>
      </c>
      <c r="J1083">
        <v>0</v>
      </c>
      <c r="K1083">
        <v>0</v>
      </c>
      <c r="L1083">
        <v>0</v>
      </c>
      <c r="M1083">
        <v>0</v>
      </c>
      <c r="N1083">
        <v>0</v>
      </c>
      <c r="O1083">
        <v>0</v>
      </c>
      <c r="P1083">
        <v>0</v>
      </c>
      <c r="Q1083" t="str">
        <f>INDEX('Partner data'!A:DH,MATCH(C1083,'Partner data'!DG:DG,0),83)</f>
        <v>Soggetto pubblico</v>
      </c>
      <c r="R1083" t="b">
        <f>IF(E1083="staff",IF(INDEX('Partner data'!A:DH,MATCH(C1083,'Partner data'!DG:DG,0),112)="BL1 non presente","FALSO",INDEX('Partner data'!A:DH,MATCH(C1083,'Partner data'!DG:DG,0),112)))</f>
        <v>0</v>
      </c>
      <c r="S1083" t="b">
        <f t="shared" si="32"/>
        <v>0</v>
      </c>
      <c r="T1083" t="b">
        <f t="shared" si="33"/>
        <v>1</v>
      </c>
      <c r="U1083" s="154">
        <f>IFERROR(IF(R1083&lt;&gt;FALSE,IF(S1083=TRUE,INDEX('SummaryNOT_VALIDATED-BL'!$A$1:$F$16,MATCH(R1083,'SummaryNOT_VALIDATED-BL'!$A$1:$A$16,0),6),0),IF(S1083=TRUE,INDEX('SummaryNOT_VALIDATED-BL'!$A$1:$F$16,MATCH(E1083,'SummaryNOT_VALIDATED-BL'!$A$1:$A$16,0),6),0)),0)</f>
        <v>0</v>
      </c>
      <c r="V1083" s="81" cm="1">
        <f t="array" ref="V1083">INDEX('Weight tables'!$A$24:$C$27,MATCH(1,(RendicontiTrasmessiBL__2[[#This Row],[Cut percentage on real costs + USC]]&gt;='Weight tables'!$B$24:$B$27)*(RendicontiTrasmessiBL__2[[#This Row],[Cut percentage on real costs + USC]]&lt;='Weight tables'!$C$24:$C$27),0),1)</f>
        <v>0</v>
      </c>
      <c r="W1083" s="2">
        <f>RendicontiTrasmessiBL__2[[#This Row],[Weight real costs  + USC ]]</f>
        <v>0</v>
      </c>
    </row>
    <row r="1084" spans="1:23" x14ac:dyDescent="0.25">
      <c r="A1084" s="1" t="s">
        <v>59</v>
      </c>
      <c r="B1084" s="1" t="s">
        <v>48</v>
      </c>
      <c r="C1084" s="2">
        <v>319</v>
      </c>
      <c r="D1084" s="2">
        <v>57</v>
      </c>
      <c r="E1084" s="1" t="s">
        <v>230</v>
      </c>
      <c r="G1084">
        <v>0</v>
      </c>
      <c r="H1084">
        <v>0</v>
      </c>
      <c r="I1084">
        <v>0</v>
      </c>
      <c r="J1084">
        <v>0</v>
      </c>
      <c r="K1084">
        <v>0</v>
      </c>
      <c r="L1084">
        <v>0</v>
      </c>
      <c r="M1084">
        <v>0</v>
      </c>
      <c r="N1084">
        <v>0</v>
      </c>
      <c r="O1084">
        <v>0</v>
      </c>
      <c r="P1084">
        <v>0</v>
      </c>
      <c r="Q1084" t="str">
        <f>INDEX('Partner data'!A:DH,MATCH(C1084,'Partner data'!DG:DG,0),83)</f>
        <v>Soggetto pubblico</v>
      </c>
      <c r="R1084" t="b">
        <f>IF(E1084="staff",IF(INDEX('Partner data'!A:DH,MATCH(C1084,'Partner data'!DG:DG,0),112)="BL1 non presente","FALSO",INDEX('Partner data'!A:DH,MATCH(C1084,'Partner data'!DG:DG,0),112)))</f>
        <v>0</v>
      </c>
      <c r="S1084" t="b">
        <f t="shared" si="32"/>
        <v>0</v>
      </c>
      <c r="T1084" t="b">
        <f t="shared" si="33"/>
        <v>1</v>
      </c>
      <c r="U1084" s="154">
        <f>IFERROR(IF(R1084&lt;&gt;FALSE,IF(S1084=TRUE,INDEX('SummaryNOT_VALIDATED-BL'!$A$1:$F$16,MATCH(R1084,'SummaryNOT_VALIDATED-BL'!$A$1:$A$16,0),6),0),IF(S1084=TRUE,INDEX('SummaryNOT_VALIDATED-BL'!$A$1:$F$16,MATCH(E1084,'SummaryNOT_VALIDATED-BL'!$A$1:$A$16,0),6),0)),0)</f>
        <v>0</v>
      </c>
      <c r="V1084" s="81" cm="1">
        <f t="array" ref="V1084">INDEX('Weight tables'!$A$24:$C$27,MATCH(1,(RendicontiTrasmessiBL__2[[#This Row],[Cut percentage on real costs + USC]]&gt;='Weight tables'!$B$24:$B$27)*(RendicontiTrasmessiBL__2[[#This Row],[Cut percentage on real costs + USC]]&lt;='Weight tables'!$C$24:$C$27),0),1)</f>
        <v>0</v>
      </c>
      <c r="W1084" s="2">
        <f>RendicontiTrasmessiBL__2[[#This Row],[Weight real costs  + USC ]]</f>
        <v>0</v>
      </c>
    </row>
    <row r="1085" spans="1:23" x14ac:dyDescent="0.25">
      <c r="A1085" s="1" t="s">
        <v>59</v>
      </c>
      <c r="B1085" s="1" t="s">
        <v>48</v>
      </c>
      <c r="C1085" s="2">
        <v>319</v>
      </c>
      <c r="D1085" s="2">
        <v>57</v>
      </c>
      <c r="E1085" s="1" t="s">
        <v>231</v>
      </c>
      <c r="G1085">
        <v>0</v>
      </c>
      <c r="H1085">
        <v>0</v>
      </c>
      <c r="I1085">
        <v>0</v>
      </c>
      <c r="J1085">
        <v>0</v>
      </c>
      <c r="K1085">
        <v>0</v>
      </c>
      <c r="L1085">
        <v>0</v>
      </c>
      <c r="M1085">
        <v>0</v>
      </c>
      <c r="N1085">
        <v>0</v>
      </c>
      <c r="O1085">
        <v>0</v>
      </c>
      <c r="P1085">
        <v>0</v>
      </c>
      <c r="Q1085" t="str">
        <f>INDEX('Partner data'!A:DH,MATCH(C1085,'Partner data'!DG:DG,0),83)</f>
        <v>Soggetto pubblico</v>
      </c>
      <c r="R1085" t="b">
        <f>IF(E1085="staff",IF(INDEX('Partner data'!A:DH,MATCH(C1085,'Partner data'!DG:DG,0),112)="BL1 non presente","FALSO",INDEX('Partner data'!A:DH,MATCH(C1085,'Partner data'!DG:DG,0),112)))</f>
        <v>0</v>
      </c>
      <c r="S1085" t="b">
        <f t="shared" si="32"/>
        <v>0</v>
      </c>
      <c r="T1085" t="b">
        <f t="shared" si="33"/>
        <v>1</v>
      </c>
      <c r="U1085" s="154">
        <f>IFERROR(IF(R1085&lt;&gt;FALSE,IF(S1085=TRUE,INDEX('SummaryNOT_VALIDATED-BL'!$A$1:$F$16,MATCH(R1085,'SummaryNOT_VALIDATED-BL'!$A$1:$A$16,0),6),0),IF(S1085=TRUE,INDEX('SummaryNOT_VALIDATED-BL'!$A$1:$F$16,MATCH(E1085,'SummaryNOT_VALIDATED-BL'!$A$1:$A$16,0),6),0)),0)</f>
        <v>0</v>
      </c>
      <c r="V1085" s="81" cm="1">
        <f t="array" ref="V1085">INDEX('Weight tables'!$A$24:$C$27,MATCH(1,(RendicontiTrasmessiBL__2[[#This Row],[Cut percentage on real costs + USC]]&gt;='Weight tables'!$B$24:$B$27)*(RendicontiTrasmessiBL__2[[#This Row],[Cut percentage on real costs + USC]]&lt;='Weight tables'!$C$24:$C$27),0),1)</f>
        <v>0</v>
      </c>
      <c r="W1085" s="2">
        <f>RendicontiTrasmessiBL__2[[#This Row],[Weight real costs  + USC ]]</f>
        <v>0</v>
      </c>
    </row>
    <row r="1086" spans="1:23" x14ac:dyDescent="0.25">
      <c r="A1086" s="1" t="s">
        <v>59</v>
      </c>
      <c r="B1086" s="1" t="s">
        <v>48</v>
      </c>
      <c r="C1086" s="2">
        <v>319</v>
      </c>
      <c r="D1086" s="2">
        <v>57</v>
      </c>
      <c r="E1086" s="1" t="s">
        <v>232</v>
      </c>
      <c r="G1086">
        <v>0</v>
      </c>
      <c r="H1086">
        <v>0</v>
      </c>
      <c r="I1086">
        <v>0</v>
      </c>
      <c r="J1086">
        <v>0</v>
      </c>
      <c r="K1086">
        <v>0</v>
      </c>
      <c r="L1086">
        <v>0</v>
      </c>
      <c r="M1086">
        <v>0</v>
      </c>
      <c r="N1086">
        <v>0</v>
      </c>
      <c r="O1086">
        <v>0</v>
      </c>
      <c r="P1086">
        <v>0</v>
      </c>
      <c r="Q1086" t="str">
        <f>INDEX('Partner data'!A:DH,MATCH(C1086,'Partner data'!DG:DG,0),83)</f>
        <v>Soggetto pubblico</v>
      </c>
      <c r="R1086" t="b">
        <f>IF(E1086="staff",IF(INDEX('Partner data'!A:DH,MATCH(C1086,'Partner data'!DG:DG,0),112)="BL1 non presente","FALSO",INDEX('Partner data'!A:DH,MATCH(C1086,'Partner data'!DG:DG,0),112)))</f>
        <v>0</v>
      </c>
      <c r="S1086" t="b">
        <f t="shared" si="32"/>
        <v>0</v>
      </c>
      <c r="T1086" t="b">
        <f t="shared" si="33"/>
        <v>1</v>
      </c>
      <c r="U1086" s="154">
        <f>IFERROR(IF(R1086&lt;&gt;FALSE,IF(S1086=TRUE,INDEX('SummaryNOT_VALIDATED-BL'!$A$1:$F$16,MATCH(R1086,'SummaryNOT_VALIDATED-BL'!$A$1:$A$16,0),6),0),IF(S1086=TRUE,INDEX('SummaryNOT_VALIDATED-BL'!$A$1:$F$16,MATCH(E1086,'SummaryNOT_VALIDATED-BL'!$A$1:$A$16,0),6),0)),0)</f>
        <v>0</v>
      </c>
      <c r="V1086" s="81" cm="1">
        <f t="array" ref="V1086">INDEX('Weight tables'!$A$24:$C$27,MATCH(1,(RendicontiTrasmessiBL__2[[#This Row],[Cut percentage on real costs + USC]]&gt;='Weight tables'!$B$24:$B$27)*(RendicontiTrasmessiBL__2[[#This Row],[Cut percentage on real costs + USC]]&lt;='Weight tables'!$C$24:$C$27),0),1)</f>
        <v>0</v>
      </c>
      <c r="W1086" s="2">
        <f>RendicontiTrasmessiBL__2[[#This Row],[Weight real costs  + USC ]]</f>
        <v>0</v>
      </c>
    </row>
    <row r="1087" spans="1:23" x14ac:dyDescent="0.25">
      <c r="A1087" s="1" t="s">
        <v>59</v>
      </c>
      <c r="B1087" s="1" t="s">
        <v>48</v>
      </c>
      <c r="C1087" s="2">
        <v>319</v>
      </c>
      <c r="D1087" s="2">
        <v>57</v>
      </c>
      <c r="E1087" s="1" t="s">
        <v>233</v>
      </c>
      <c r="G1087">
        <v>0</v>
      </c>
      <c r="H1087">
        <v>0</v>
      </c>
      <c r="I1087">
        <v>0</v>
      </c>
      <c r="J1087">
        <v>0</v>
      </c>
      <c r="K1087">
        <v>0</v>
      </c>
      <c r="L1087">
        <v>0</v>
      </c>
      <c r="M1087">
        <v>0</v>
      </c>
      <c r="N1087">
        <v>0</v>
      </c>
      <c r="O1087">
        <v>0</v>
      </c>
      <c r="P1087">
        <v>0</v>
      </c>
      <c r="Q1087" t="str">
        <f>INDEX('Partner data'!A:DH,MATCH(C1087,'Partner data'!DG:DG,0),83)</f>
        <v>Soggetto pubblico</v>
      </c>
      <c r="R1087" t="b">
        <f>IF(E1087="staff",IF(INDEX('Partner data'!A:DH,MATCH(C1087,'Partner data'!DG:DG,0),112)="BL1 non presente","FALSO",INDEX('Partner data'!A:DH,MATCH(C1087,'Partner data'!DG:DG,0),112)))</f>
        <v>0</v>
      </c>
      <c r="S1087" t="b">
        <f t="shared" si="32"/>
        <v>0</v>
      </c>
      <c r="T1087" t="b">
        <f t="shared" si="33"/>
        <v>1</v>
      </c>
      <c r="U1087" s="154">
        <f>IFERROR(IF(R1087&lt;&gt;FALSE,IF(S1087=TRUE,INDEX('SummaryNOT_VALIDATED-BL'!$A$1:$F$16,MATCH(R1087,'SummaryNOT_VALIDATED-BL'!$A$1:$A$16,0),6),0),IF(S1087=TRUE,INDEX('SummaryNOT_VALIDATED-BL'!$A$1:$F$16,MATCH(E1087,'SummaryNOT_VALIDATED-BL'!$A$1:$A$16,0),6),0)),0)</f>
        <v>0</v>
      </c>
      <c r="V1087" s="81" cm="1">
        <f t="array" ref="V1087">INDEX('Weight tables'!$A$24:$C$27,MATCH(1,(RendicontiTrasmessiBL__2[[#This Row],[Cut percentage on real costs + USC]]&gt;='Weight tables'!$B$24:$B$27)*(RendicontiTrasmessiBL__2[[#This Row],[Cut percentage on real costs + USC]]&lt;='Weight tables'!$C$24:$C$27),0),1)</f>
        <v>0</v>
      </c>
      <c r="W1087" s="2">
        <f>RendicontiTrasmessiBL__2[[#This Row],[Weight real costs  + USC ]]</f>
        <v>0</v>
      </c>
    </row>
    <row r="1088" spans="1:23" x14ac:dyDescent="0.25">
      <c r="A1088" s="1" t="s">
        <v>59</v>
      </c>
      <c r="B1088" s="1" t="s">
        <v>48</v>
      </c>
      <c r="C1088" s="2">
        <v>319</v>
      </c>
      <c r="D1088" s="2">
        <v>57</v>
      </c>
      <c r="E1088" s="1" t="s">
        <v>234</v>
      </c>
      <c r="F1088">
        <v>27</v>
      </c>
      <c r="G1088">
        <v>25511.82</v>
      </c>
      <c r="H1088">
        <v>0</v>
      </c>
      <c r="I1088">
        <v>0</v>
      </c>
      <c r="J1088">
        <v>2336.6</v>
      </c>
      <c r="K1088">
        <v>0</v>
      </c>
      <c r="L1088">
        <v>2244.39</v>
      </c>
      <c r="M1088">
        <v>2336.6</v>
      </c>
      <c r="N1088">
        <v>9.16</v>
      </c>
      <c r="O1088">
        <v>23175.22</v>
      </c>
      <c r="P1088">
        <v>0</v>
      </c>
      <c r="Q1088" t="str">
        <f>INDEX('Partner data'!A:DH,MATCH(C1088,'Partner data'!DG:DG,0),83)</f>
        <v>Soggetto pubblico</v>
      </c>
      <c r="R1088" t="b">
        <f>IF(E1088="staff",IF(INDEX('Partner data'!A:DH,MATCH(C1088,'Partner data'!DG:DG,0),112)="BL1 non presente","FALSO",INDEX('Partner data'!A:DH,MATCH(C1088,'Partner data'!DG:DG,0),112)))</f>
        <v>0</v>
      </c>
      <c r="S1088" t="b">
        <f t="shared" si="32"/>
        <v>1</v>
      </c>
      <c r="T1088" t="b">
        <f t="shared" si="33"/>
        <v>1</v>
      </c>
      <c r="U1088" s="154">
        <f>IFERROR(IF(R1088&lt;&gt;FALSE,IF(S1088=TRUE,INDEX('SummaryNOT_VALIDATED-BL'!$A$1:$F$16,MATCH(R1088,'SummaryNOT_VALIDATED-BL'!$A$1:$A$16,0),6),0),IF(S1088=TRUE,INDEX('SummaryNOT_VALIDATED-BL'!$A$1:$F$16,MATCH(E1088,'SummaryNOT_VALIDATED-BL'!$A$1:$A$16,0),6),0)),0)</f>
        <v>8.7645339819521315E-2</v>
      </c>
      <c r="V1088" s="81" cm="1">
        <f t="array" ref="V1088">INDEX('Weight tables'!$A$24:$C$27,MATCH(1,(RendicontiTrasmessiBL__2[[#This Row],[Cut percentage on real costs + USC]]&gt;='Weight tables'!$B$24:$B$27)*(RendicontiTrasmessiBL__2[[#This Row],[Cut percentage on real costs + USC]]&lt;='Weight tables'!$C$24:$C$27),0),1)</f>
        <v>4</v>
      </c>
      <c r="W1088" s="2">
        <f>RendicontiTrasmessiBL__2[[#This Row],[Weight real costs  + USC ]]</f>
        <v>4</v>
      </c>
    </row>
    <row r="1089" spans="1:23" x14ac:dyDescent="0.25">
      <c r="A1089" s="1" t="s">
        <v>59</v>
      </c>
      <c r="B1089" s="1" t="s">
        <v>48</v>
      </c>
      <c r="C1089" s="2">
        <v>319</v>
      </c>
      <c r="D1089" s="2">
        <v>57</v>
      </c>
      <c r="E1089" s="1" t="s">
        <v>236</v>
      </c>
      <c r="G1089">
        <v>0</v>
      </c>
      <c r="H1089">
        <v>0</v>
      </c>
      <c r="I1089">
        <v>0</v>
      </c>
      <c r="J1089">
        <v>0</v>
      </c>
      <c r="K1089">
        <v>0</v>
      </c>
      <c r="L1089">
        <v>0</v>
      </c>
      <c r="M1089">
        <v>0</v>
      </c>
      <c r="N1089">
        <v>0</v>
      </c>
      <c r="O1089">
        <v>0</v>
      </c>
      <c r="P1089">
        <v>0</v>
      </c>
      <c r="Q1089" t="str">
        <f>INDEX('Partner data'!A:DH,MATCH(C1089,'Partner data'!DG:DG,0),83)</f>
        <v>Soggetto pubblico</v>
      </c>
      <c r="R1089" t="b">
        <f>IF(E1089="staff",IF(INDEX('Partner data'!A:DH,MATCH(C1089,'Partner data'!DG:DG,0),112)="BL1 non presente","FALSO",INDEX('Partner data'!A:DH,MATCH(C1089,'Partner data'!DG:DG,0),112)))</f>
        <v>0</v>
      </c>
      <c r="S1089" t="b">
        <f t="shared" si="32"/>
        <v>0</v>
      </c>
      <c r="T1089" t="b">
        <f t="shared" si="33"/>
        <v>1</v>
      </c>
      <c r="U1089" s="154">
        <f>IFERROR(IF(R1089&lt;&gt;FALSE,IF(S1089=TRUE,INDEX('SummaryNOT_VALIDATED-BL'!$A$1:$F$16,MATCH(R1089,'SummaryNOT_VALIDATED-BL'!$A$1:$A$16,0),6),0),IF(S1089=TRUE,INDEX('SummaryNOT_VALIDATED-BL'!$A$1:$F$16,MATCH(E1089,'SummaryNOT_VALIDATED-BL'!$A$1:$A$16,0),6),0)),0)</f>
        <v>0</v>
      </c>
      <c r="V1089" s="81" cm="1">
        <f t="array" ref="V1089">INDEX('Weight tables'!$A$24:$C$27,MATCH(1,(RendicontiTrasmessiBL__2[[#This Row],[Cut percentage on real costs + USC]]&gt;='Weight tables'!$B$24:$B$27)*(RendicontiTrasmessiBL__2[[#This Row],[Cut percentage on real costs + USC]]&lt;='Weight tables'!$C$24:$C$27),0),1)</f>
        <v>0</v>
      </c>
      <c r="W1089" s="2">
        <f>RendicontiTrasmessiBL__2[[#This Row],[Weight real costs  + USC ]]</f>
        <v>0</v>
      </c>
    </row>
    <row r="1090" spans="1:23" x14ac:dyDescent="0.25">
      <c r="A1090" s="1" t="s">
        <v>59</v>
      </c>
      <c r="B1090" s="1" t="s">
        <v>48</v>
      </c>
      <c r="C1090" s="2">
        <v>319</v>
      </c>
      <c r="D1090" s="2">
        <v>57</v>
      </c>
      <c r="E1090" s="1" t="s">
        <v>237</v>
      </c>
      <c r="G1090">
        <v>0</v>
      </c>
      <c r="H1090">
        <v>0</v>
      </c>
      <c r="I1090">
        <v>0</v>
      </c>
      <c r="J1090">
        <v>0</v>
      </c>
      <c r="K1090">
        <v>0</v>
      </c>
      <c r="L1090">
        <v>0</v>
      </c>
      <c r="M1090">
        <v>0</v>
      </c>
      <c r="N1090">
        <v>0</v>
      </c>
      <c r="O1090">
        <v>0</v>
      </c>
      <c r="P1090">
        <v>0</v>
      </c>
      <c r="Q1090" t="str">
        <f>INDEX('Partner data'!A:DH,MATCH(C1090,'Partner data'!DG:DG,0),83)</f>
        <v>Soggetto pubblico</v>
      </c>
      <c r="R1090" t="b">
        <f>IF(E1090="staff",IF(INDEX('Partner data'!A:DH,MATCH(C1090,'Partner data'!DG:DG,0),112)="BL1 non presente","FALSO",INDEX('Partner data'!A:DH,MATCH(C1090,'Partner data'!DG:DG,0),112)))</f>
        <v>0</v>
      </c>
      <c r="S1090" t="b">
        <f t="shared" ref="S1090:S1153" si="34">IF(J1090&lt;&gt;0,TRUE,FALSE)</f>
        <v>0</v>
      </c>
      <c r="T1090" t="b">
        <f t="shared" ref="T1090:T1153" si="35">OR(Q1090="Soggetto pubblico",Q1090="Organismo di diritto pubblico ")</f>
        <v>1</v>
      </c>
      <c r="U1090" s="154">
        <f>IFERROR(IF(R1090&lt;&gt;FALSE,IF(S1090=TRUE,INDEX('SummaryNOT_VALIDATED-BL'!$A$1:$F$16,MATCH(R1090,'SummaryNOT_VALIDATED-BL'!$A$1:$A$16,0),6),0),IF(S1090=TRUE,INDEX('SummaryNOT_VALIDATED-BL'!$A$1:$F$16,MATCH(E1090,'SummaryNOT_VALIDATED-BL'!$A$1:$A$16,0),6),0)),0)</f>
        <v>0</v>
      </c>
      <c r="V1090" s="81" cm="1">
        <f t="array" ref="V1090">INDEX('Weight tables'!$A$24:$C$27,MATCH(1,(RendicontiTrasmessiBL__2[[#This Row],[Cut percentage on real costs + USC]]&gt;='Weight tables'!$B$24:$B$27)*(RendicontiTrasmessiBL__2[[#This Row],[Cut percentage on real costs + USC]]&lt;='Weight tables'!$C$24:$C$27),0),1)</f>
        <v>0</v>
      </c>
      <c r="W1090" s="2">
        <f>RendicontiTrasmessiBL__2[[#This Row],[Weight real costs  + USC ]]</f>
        <v>0</v>
      </c>
    </row>
    <row r="1091" spans="1:23" x14ac:dyDescent="0.25">
      <c r="A1091" s="1" t="s">
        <v>59</v>
      </c>
      <c r="B1091" s="1" t="s">
        <v>28</v>
      </c>
      <c r="C1091" s="2">
        <v>317</v>
      </c>
      <c r="D1091" s="2">
        <v>253</v>
      </c>
      <c r="E1091" s="1" t="s">
        <v>228</v>
      </c>
      <c r="G1091">
        <v>134500</v>
      </c>
      <c r="H1091">
        <v>16502.22</v>
      </c>
      <c r="I1091">
        <v>0</v>
      </c>
      <c r="J1091">
        <v>20186</v>
      </c>
      <c r="K1091">
        <v>0</v>
      </c>
      <c r="L1091">
        <v>0</v>
      </c>
      <c r="M1091">
        <v>36688.22</v>
      </c>
      <c r="N1091">
        <v>27.28</v>
      </c>
      <c r="O1091">
        <v>97811.78</v>
      </c>
      <c r="P1091">
        <v>16502.22</v>
      </c>
      <c r="Q1091" t="str">
        <f>INDEX('Partner data'!A:DH,MATCH(C1091,'Partner data'!DG:DG,0),83)</f>
        <v>Soggetto pubblico</v>
      </c>
      <c r="R1091" t="str">
        <f>IF(E1091="staff",IF(INDEX('Partner data'!A:DH,MATCH(C1091,'Partner data'!DG:DG,0),112)="BL1 non presente","FALSO",INDEX('Partner data'!A:DH,MATCH(C1091,'Partner data'!DG:DG,0),112)))</f>
        <v>COSTO REALE</v>
      </c>
      <c r="S1091" t="b">
        <f t="shared" si="34"/>
        <v>1</v>
      </c>
      <c r="T1091" t="b">
        <f t="shared" si="35"/>
        <v>1</v>
      </c>
      <c r="U1091" s="154">
        <f>IFERROR(IF(R1091&lt;&gt;FALSE,IF(S1091=TRUE,INDEX('SummaryNOT_VALIDATED-BL'!$A$1:$F$16,MATCH(R1091,'SummaryNOT_VALIDATED-BL'!$A$1:$A$16,0),6),0),IF(S1091=TRUE,INDEX('SummaryNOT_VALIDATED-BL'!$A$1:$F$16,MATCH(E1091,'SummaryNOT_VALIDATED-BL'!$A$1:$A$16,0),6),0)),0)</f>
        <v>9.1604133276901048E-2</v>
      </c>
      <c r="V1091" s="81" cm="1">
        <f t="array" ref="V1091">INDEX('Weight tables'!$A$24:$C$27,MATCH(1,(RendicontiTrasmessiBL__2[[#This Row],[Cut percentage on real costs + USC]]&gt;='Weight tables'!$B$24:$B$27)*(RendicontiTrasmessiBL__2[[#This Row],[Cut percentage on real costs + USC]]&lt;='Weight tables'!$C$24:$C$27),0),1)</f>
        <v>4</v>
      </c>
      <c r="W1091" s="2">
        <f>RendicontiTrasmessiBL__2[[#This Row],[Weight real costs  + USC ]]</f>
        <v>4</v>
      </c>
    </row>
    <row r="1092" spans="1:23" x14ac:dyDescent="0.25">
      <c r="A1092" s="1" t="s">
        <v>59</v>
      </c>
      <c r="B1092" s="1" t="s">
        <v>28</v>
      </c>
      <c r="C1092" s="2">
        <v>317</v>
      </c>
      <c r="D1092" s="2">
        <v>253</v>
      </c>
      <c r="E1092" s="1" t="s">
        <v>229</v>
      </c>
      <c r="G1092">
        <v>0</v>
      </c>
      <c r="H1092">
        <v>0</v>
      </c>
      <c r="I1092">
        <v>0</v>
      </c>
      <c r="J1092">
        <v>0</v>
      </c>
      <c r="K1092">
        <v>0</v>
      </c>
      <c r="L1092">
        <v>0</v>
      </c>
      <c r="M1092">
        <v>0</v>
      </c>
      <c r="N1092">
        <v>0</v>
      </c>
      <c r="O1092">
        <v>0</v>
      </c>
      <c r="P1092">
        <v>0</v>
      </c>
      <c r="Q1092" t="str">
        <f>INDEX('Partner data'!A:DH,MATCH(C1092,'Partner data'!DG:DG,0),83)</f>
        <v>Soggetto pubblico</v>
      </c>
      <c r="R1092" t="b">
        <f>IF(E1092="staff",IF(INDEX('Partner data'!A:DH,MATCH(C1092,'Partner data'!DG:DG,0),112)="BL1 non presente","FALSO",INDEX('Partner data'!A:DH,MATCH(C1092,'Partner data'!DG:DG,0),112)))</f>
        <v>0</v>
      </c>
      <c r="S1092" t="b">
        <f t="shared" si="34"/>
        <v>0</v>
      </c>
      <c r="T1092" t="b">
        <f t="shared" si="35"/>
        <v>1</v>
      </c>
      <c r="U1092" s="154">
        <f>IFERROR(IF(R1092&lt;&gt;FALSE,IF(S1092=TRUE,INDEX('SummaryNOT_VALIDATED-BL'!$A$1:$F$16,MATCH(R1092,'SummaryNOT_VALIDATED-BL'!$A$1:$A$16,0),6),0),IF(S1092=TRUE,INDEX('SummaryNOT_VALIDATED-BL'!$A$1:$F$16,MATCH(E1092,'SummaryNOT_VALIDATED-BL'!$A$1:$A$16,0),6),0)),0)</f>
        <v>0</v>
      </c>
      <c r="V1092" s="81" cm="1">
        <f t="array" ref="V1092">INDEX('Weight tables'!$A$24:$C$27,MATCH(1,(RendicontiTrasmessiBL__2[[#This Row],[Cut percentage on real costs + USC]]&gt;='Weight tables'!$B$24:$B$27)*(RendicontiTrasmessiBL__2[[#This Row],[Cut percentage on real costs + USC]]&lt;='Weight tables'!$C$24:$C$27),0),1)</f>
        <v>0</v>
      </c>
      <c r="W1092" s="2">
        <f>RendicontiTrasmessiBL__2[[#This Row],[Weight real costs  + USC ]]</f>
        <v>0</v>
      </c>
    </row>
    <row r="1093" spans="1:23" x14ac:dyDescent="0.25">
      <c r="A1093" s="1" t="s">
        <v>59</v>
      </c>
      <c r="B1093" s="1" t="s">
        <v>28</v>
      </c>
      <c r="C1093" s="2">
        <v>317</v>
      </c>
      <c r="D1093" s="2">
        <v>253</v>
      </c>
      <c r="E1093" s="1" t="s">
        <v>230</v>
      </c>
      <c r="G1093">
        <v>0</v>
      </c>
      <c r="H1093">
        <v>0</v>
      </c>
      <c r="I1093">
        <v>0</v>
      </c>
      <c r="J1093">
        <v>0</v>
      </c>
      <c r="K1093">
        <v>0</v>
      </c>
      <c r="L1093">
        <v>0</v>
      </c>
      <c r="M1093">
        <v>0</v>
      </c>
      <c r="N1093">
        <v>0</v>
      </c>
      <c r="O1093">
        <v>0</v>
      </c>
      <c r="P1093">
        <v>0</v>
      </c>
      <c r="Q1093" t="str">
        <f>INDEX('Partner data'!A:DH,MATCH(C1093,'Partner data'!DG:DG,0),83)</f>
        <v>Soggetto pubblico</v>
      </c>
      <c r="R1093" t="b">
        <f>IF(E1093="staff",IF(INDEX('Partner data'!A:DH,MATCH(C1093,'Partner data'!DG:DG,0),112)="BL1 non presente","FALSO",INDEX('Partner data'!A:DH,MATCH(C1093,'Partner data'!DG:DG,0),112)))</f>
        <v>0</v>
      </c>
      <c r="S1093" t="b">
        <f t="shared" si="34"/>
        <v>0</v>
      </c>
      <c r="T1093" t="b">
        <f t="shared" si="35"/>
        <v>1</v>
      </c>
      <c r="U1093" s="154">
        <f>IFERROR(IF(R1093&lt;&gt;FALSE,IF(S1093=TRUE,INDEX('SummaryNOT_VALIDATED-BL'!$A$1:$F$16,MATCH(R1093,'SummaryNOT_VALIDATED-BL'!$A$1:$A$16,0),6),0),IF(S1093=TRUE,INDEX('SummaryNOT_VALIDATED-BL'!$A$1:$F$16,MATCH(E1093,'SummaryNOT_VALIDATED-BL'!$A$1:$A$16,0),6),0)),0)</f>
        <v>0</v>
      </c>
      <c r="V1093" s="81" cm="1">
        <f t="array" ref="V1093">INDEX('Weight tables'!$A$24:$C$27,MATCH(1,(RendicontiTrasmessiBL__2[[#This Row],[Cut percentage on real costs + USC]]&gt;='Weight tables'!$B$24:$B$27)*(RendicontiTrasmessiBL__2[[#This Row],[Cut percentage on real costs + USC]]&lt;='Weight tables'!$C$24:$C$27),0),1)</f>
        <v>0</v>
      </c>
      <c r="W1093" s="2">
        <f>RendicontiTrasmessiBL__2[[#This Row],[Weight real costs  + USC ]]</f>
        <v>0</v>
      </c>
    </row>
    <row r="1094" spans="1:23" x14ac:dyDescent="0.25">
      <c r="A1094" s="1" t="s">
        <v>59</v>
      </c>
      <c r="B1094" s="1" t="s">
        <v>28</v>
      </c>
      <c r="C1094" s="2">
        <v>317</v>
      </c>
      <c r="D1094" s="2">
        <v>253</v>
      </c>
      <c r="E1094" s="1" t="s">
        <v>231</v>
      </c>
      <c r="G1094">
        <v>0</v>
      </c>
      <c r="H1094">
        <v>0</v>
      </c>
      <c r="I1094">
        <v>0</v>
      </c>
      <c r="J1094">
        <v>0</v>
      </c>
      <c r="K1094">
        <v>0</v>
      </c>
      <c r="L1094">
        <v>0</v>
      </c>
      <c r="M1094">
        <v>0</v>
      </c>
      <c r="N1094">
        <v>0</v>
      </c>
      <c r="O1094">
        <v>0</v>
      </c>
      <c r="P1094">
        <v>0</v>
      </c>
      <c r="Q1094" t="str">
        <f>INDEX('Partner data'!A:DH,MATCH(C1094,'Partner data'!DG:DG,0),83)</f>
        <v>Soggetto pubblico</v>
      </c>
      <c r="R1094" t="b">
        <f>IF(E1094="staff",IF(INDEX('Partner data'!A:DH,MATCH(C1094,'Partner data'!DG:DG,0),112)="BL1 non presente","FALSO",INDEX('Partner data'!A:DH,MATCH(C1094,'Partner data'!DG:DG,0),112)))</f>
        <v>0</v>
      </c>
      <c r="S1094" t="b">
        <f t="shared" si="34"/>
        <v>0</v>
      </c>
      <c r="T1094" t="b">
        <f t="shared" si="35"/>
        <v>1</v>
      </c>
      <c r="U1094" s="154">
        <f>IFERROR(IF(R1094&lt;&gt;FALSE,IF(S1094=TRUE,INDEX('SummaryNOT_VALIDATED-BL'!$A$1:$F$16,MATCH(R1094,'SummaryNOT_VALIDATED-BL'!$A$1:$A$16,0),6),0),IF(S1094=TRUE,INDEX('SummaryNOT_VALIDATED-BL'!$A$1:$F$16,MATCH(E1094,'SummaryNOT_VALIDATED-BL'!$A$1:$A$16,0),6),0)),0)</f>
        <v>0</v>
      </c>
      <c r="V1094" s="81" cm="1">
        <f t="array" ref="V1094">INDEX('Weight tables'!$A$24:$C$27,MATCH(1,(RendicontiTrasmessiBL__2[[#This Row],[Cut percentage on real costs + USC]]&gt;='Weight tables'!$B$24:$B$27)*(RendicontiTrasmessiBL__2[[#This Row],[Cut percentage on real costs + USC]]&lt;='Weight tables'!$C$24:$C$27),0),1)</f>
        <v>0</v>
      </c>
      <c r="W1094" s="2">
        <f>RendicontiTrasmessiBL__2[[#This Row],[Weight real costs  + USC ]]</f>
        <v>0</v>
      </c>
    </row>
    <row r="1095" spans="1:23" x14ac:dyDescent="0.25">
      <c r="A1095" s="1" t="s">
        <v>59</v>
      </c>
      <c r="B1095" s="1" t="s">
        <v>28</v>
      </c>
      <c r="C1095" s="2">
        <v>317</v>
      </c>
      <c r="D1095" s="2">
        <v>253</v>
      </c>
      <c r="E1095" s="1" t="s">
        <v>232</v>
      </c>
      <c r="G1095">
        <v>0</v>
      </c>
      <c r="H1095">
        <v>0</v>
      </c>
      <c r="I1095">
        <v>0</v>
      </c>
      <c r="J1095">
        <v>0</v>
      </c>
      <c r="K1095">
        <v>0</v>
      </c>
      <c r="L1095">
        <v>0</v>
      </c>
      <c r="M1095">
        <v>0</v>
      </c>
      <c r="N1095">
        <v>0</v>
      </c>
      <c r="O1095">
        <v>0</v>
      </c>
      <c r="P1095">
        <v>0</v>
      </c>
      <c r="Q1095" t="str">
        <f>INDEX('Partner data'!A:DH,MATCH(C1095,'Partner data'!DG:DG,0),83)</f>
        <v>Soggetto pubblico</v>
      </c>
      <c r="R1095" t="b">
        <f>IF(E1095="staff",IF(INDEX('Partner data'!A:DH,MATCH(C1095,'Partner data'!DG:DG,0),112)="BL1 non presente","FALSO",INDEX('Partner data'!A:DH,MATCH(C1095,'Partner data'!DG:DG,0),112)))</f>
        <v>0</v>
      </c>
      <c r="S1095" t="b">
        <f t="shared" si="34"/>
        <v>0</v>
      </c>
      <c r="T1095" t="b">
        <f t="shared" si="35"/>
        <v>1</v>
      </c>
      <c r="U1095" s="154">
        <f>IFERROR(IF(R1095&lt;&gt;FALSE,IF(S1095=TRUE,INDEX('SummaryNOT_VALIDATED-BL'!$A$1:$F$16,MATCH(R1095,'SummaryNOT_VALIDATED-BL'!$A$1:$A$16,0),6),0),IF(S1095=TRUE,INDEX('SummaryNOT_VALIDATED-BL'!$A$1:$F$16,MATCH(E1095,'SummaryNOT_VALIDATED-BL'!$A$1:$A$16,0),6),0)),0)</f>
        <v>0</v>
      </c>
      <c r="V1095" s="81" cm="1">
        <f t="array" ref="V1095">INDEX('Weight tables'!$A$24:$C$27,MATCH(1,(RendicontiTrasmessiBL__2[[#This Row],[Cut percentage on real costs + USC]]&gt;='Weight tables'!$B$24:$B$27)*(RendicontiTrasmessiBL__2[[#This Row],[Cut percentage on real costs + USC]]&lt;='Weight tables'!$C$24:$C$27),0),1)</f>
        <v>0</v>
      </c>
      <c r="W1095" s="2">
        <f>RendicontiTrasmessiBL__2[[#This Row],[Weight real costs  + USC ]]</f>
        <v>0</v>
      </c>
    </row>
    <row r="1096" spans="1:23" x14ac:dyDescent="0.25">
      <c r="A1096" s="1" t="s">
        <v>59</v>
      </c>
      <c r="B1096" s="1" t="s">
        <v>28</v>
      </c>
      <c r="C1096" s="2">
        <v>317</v>
      </c>
      <c r="D1096" s="2">
        <v>253</v>
      </c>
      <c r="E1096" s="1" t="s">
        <v>233</v>
      </c>
      <c r="G1096">
        <v>0</v>
      </c>
      <c r="H1096">
        <v>0</v>
      </c>
      <c r="I1096">
        <v>0</v>
      </c>
      <c r="J1096">
        <v>0</v>
      </c>
      <c r="K1096">
        <v>0</v>
      </c>
      <c r="L1096">
        <v>0</v>
      </c>
      <c r="M1096">
        <v>0</v>
      </c>
      <c r="N1096">
        <v>0</v>
      </c>
      <c r="O1096">
        <v>0</v>
      </c>
      <c r="P1096">
        <v>0</v>
      </c>
      <c r="Q1096" t="str">
        <f>INDEX('Partner data'!A:DH,MATCH(C1096,'Partner data'!DG:DG,0),83)</f>
        <v>Soggetto pubblico</v>
      </c>
      <c r="R1096" t="b">
        <f>IF(E1096="staff",IF(INDEX('Partner data'!A:DH,MATCH(C1096,'Partner data'!DG:DG,0),112)="BL1 non presente","FALSO",INDEX('Partner data'!A:DH,MATCH(C1096,'Partner data'!DG:DG,0),112)))</f>
        <v>0</v>
      </c>
      <c r="S1096" t="b">
        <f t="shared" si="34"/>
        <v>0</v>
      </c>
      <c r="T1096" t="b">
        <f t="shared" si="35"/>
        <v>1</v>
      </c>
      <c r="U1096" s="154">
        <f>IFERROR(IF(R1096&lt;&gt;FALSE,IF(S1096=TRUE,INDEX('SummaryNOT_VALIDATED-BL'!$A$1:$F$16,MATCH(R1096,'SummaryNOT_VALIDATED-BL'!$A$1:$A$16,0),6),0),IF(S1096=TRUE,INDEX('SummaryNOT_VALIDATED-BL'!$A$1:$F$16,MATCH(E1096,'SummaryNOT_VALIDATED-BL'!$A$1:$A$16,0),6),0)),0)</f>
        <v>0</v>
      </c>
      <c r="V1096" s="81" cm="1">
        <f t="array" ref="V1096">INDEX('Weight tables'!$A$24:$C$27,MATCH(1,(RendicontiTrasmessiBL__2[[#This Row],[Cut percentage on real costs + USC]]&gt;='Weight tables'!$B$24:$B$27)*(RendicontiTrasmessiBL__2[[#This Row],[Cut percentage on real costs + USC]]&lt;='Weight tables'!$C$24:$C$27),0),1)</f>
        <v>0</v>
      </c>
      <c r="W1096" s="2">
        <f>RendicontiTrasmessiBL__2[[#This Row],[Weight real costs  + USC ]]</f>
        <v>0</v>
      </c>
    </row>
    <row r="1097" spans="1:23" x14ac:dyDescent="0.25">
      <c r="A1097" s="1" t="s">
        <v>59</v>
      </c>
      <c r="B1097" s="1" t="s">
        <v>28</v>
      </c>
      <c r="C1097" s="2">
        <v>317</v>
      </c>
      <c r="D1097" s="2">
        <v>253</v>
      </c>
      <c r="E1097" s="1" t="s">
        <v>234</v>
      </c>
      <c r="F1097">
        <v>40</v>
      </c>
      <c r="G1097">
        <v>53800</v>
      </c>
      <c r="H1097">
        <v>6600.88</v>
      </c>
      <c r="I1097">
        <v>0</v>
      </c>
      <c r="J1097">
        <v>8074.4</v>
      </c>
      <c r="K1097">
        <v>0</v>
      </c>
      <c r="L1097">
        <v>0</v>
      </c>
      <c r="M1097">
        <v>14675.28</v>
      </c>
      <c r="N1097">
        <v>27.28</v>
      </c>
      <c r="O1097">
        <v>39124.720000000001</v>
      </c>
      <c r="P1097">
        <v>6600.88</v>
      </c>
      <c r="Q1097" t="str">
        <f>INDEX('Partner data'!A:DH,MATCH(C1097,'Partner data'!DG:DG,0),83)</f>
        <v>Soggetto pubblico</v>
      </c>
      <c r="R1097" t="b">
        <f>IF(E1097="staff",IF(INDEX('Partner data'!A:DH,MATCH(C1097,'Partner data'!DG:DG,0),112)="BL1 non presente","FALSO",INDEX('Partner data'!A:DH,MATCH(C1097,'Partner data'!DG:DG,0),112)))</f>
        <v>0</v>
      </c>
      <c r="S1097" t="b">
        <f t="shared" si="34"/>
        <v>1</v>
      </c>
      <c r="T1097" t="b">
        <f t="shared" si="35"/>
        <v>1</v>
      </c>
      <c r="U1097" s="154">
        <f>IFERROR(IF(R1097&lt;&gt;FALSE,IF(S1097=TRUE,INDEX('SummaryNOT_VALIDATED-BL'!$A$1:$F$16,MATCH(R1097,'SummaryNOT_VALIDATED-BL'!$A$1:$A$16,0),6),0),IF(S1097=TRUE,INDEX('SummaryNOT_VALIDATED-BL'!$A$1:$F$16,MATCH(E1097,'SummaryNOT_VALIDATED-BL'!$A$1:$A$16,0),6),0)),0)</f>
        <v>8.7645339819521315E-2</v>
      </c>
      <c r="V1097" s="81" cm="1">
        <f t="array" ref="V1097">INDEX('Weight tables'!$A$24:$C$27,MATCH(1,(RendicontiTrasmessiBL__2[[#This Row],[Cut percentage on real costs + USC]]&gt;='Weight tables'!$B$24:$B$27)*(RendicontiTrasmessiBL__2[[#This Row],[Cut percentage on real costs + USC]]&lt;='Weight tables'!$C$24:$C$27),0),1)</f>
        <v>4</v>
      </c>
      <c r="W1097" s="2">
        <f>RendicontiTrasmessiBL__2[[#This Row],[Weight real costs  + USC ]]</f>
        <v>4</v>
      </c>
    </row>
    <row r="1098" spans="1:23" x14ac:dyDescent="0.25">
      <c r="A1098" s="1" t="s">
        <v>59</v>
      </c>
      <c r="B1098" s="1" t="s">
        <v>28</v>
      </c>
      <c r="C1098" s="2">
        <v>317</v>
      </c>
      <c r="D1098" s="2">
        <v>253</v>
      </c>
      <c r="E1098" s="1" t="s">
        <v>236</v>
      </c>
      <c r="G1098">
        <v>0</v>
      </c>
      <c r="H1098">
        <v>0</v>
      </c>
      <c r="I1098">
        <v>0</v>
      </c>
      <c r="J1098">
        <v>0</v>
      </c>
      <c r="K1098">
        <v>0</v>
      </c>
      <c r="L1098">
        <v>0</v>
      </c>
      <c r="M1098">
        <v>0</v>
      </c>
      <c r="N1098">
        <v>0</v>
      </c>
      <c r="O1098">
        <v>0</v>
      </c>
      <c r="P1098">
        <v>0</v>
      </c>
      <c r="Q1098" t="str">
        <f>INDEX('Partner data'!A:DH,MATCH(C1098,'Partner data'!DG:DG,0),83)</f>
        <v>Soggetto pubblico</v>
      </c>
      <c r="R1098" t="b">
        <f>IF(E1098="staff",IF(INDEX('Partner data'!A:DH,MATCH(C1098,'Partner data'!DG:DG,0),112)="BL1 non presente","FALSO",INDEX('Partner data'!A:DH,MATCH(C1098,'Partner data'!DG:DG,0),112)))</f>
        <v>0</v>
      </c>
      <c r="S1098" t="b">
        <f t="shared" si="34"/>
        <v>0</v>
      </c>
      <c r="T1098" t="b">
        <f t="shared" si="35"/>
        <v>1</v>
      </c>
      <c r="U1098" s="154">
        <f>IFERROR(IF(R1098&lt;&gt;FALSE,IF(S1098=TRUE,INDEX('SummaryNOT_VALIDATED-BL'!$A$1:$F$16,MATCH(R1098,'SummaryNOT_VALIDATED-BL'!$A$1:$A$16,0),6),0),IF(S1098=TRUE,INDEX('SummaryNOT_VALIDATED-BL'!$A$1:$F$16,MATCH(E1098,'SummaryNOT_VALIDATED-BL'!$A$1:$A$16,0),6),0)),0)</f>
        <v>0</v>
      </c>
      <c r="V1098" s="81" cm="1">
        <f t="array" ref="V1098">INDEX('Weight tables'!$A$24:$C$27,MATCH(1,(RendicontiTrasmessiBL__2[[#This Row],[Cut percentage on real costs + USC]]&gt;='Weight tables'!$B$24:$B$27)*(RendicontiTrasmessiBL__2[[#This Row],[Cut percentage on real costs + USC]]&lt;='Weight tables'!$C$24:$C$27),0),1)</f>
        <v>0</v>
      </c>
      <c r="W1098" s="2">
        <f>RendicontiTrasmessiBL__2[[#This Row],[Weight real costs  + USC ]]</f>
        <v>0</v>
      </c>
    </row>
    <row r="1099" spans="1:23" x14ac:dyDescent="0.25">
      <c r="A1099" s="1" t="s">
        <v>59</v>
      </c>
      <c r="B1099" s="1" t="s">
        <v>28</v>
      </c>
      <c r="C1099" s="2">
        <v>317</v>
      </c>
      <c r="D1099" s="2">
        <v>253</v>
      </c>
      <c r="E1099" s="1" t="s">
        <v>237</v>
      </c>
      <c r="G1099">
        <v>0</v>
      </c>
      <c r="H1099">
        <v>0</v>
      </c>
      <c r="I1099">
        <v>0</v>
      </c>
      <c r="J1099">
        <v>0</v>
      </c>
      <c r="K1099">
        <v>0</v>
      </c>
      <c r="L1099">
        <v>0</v>
      </c>
      <c r="M1099">
        <v>0</v>
      </c>
      <c r="N1099">
        <v>0</v>
      </c>
      <c r="O1099">
        <v>0</v>
      </c>
      <c r="P1099">
        <v>0</v>
      </c>
      <c r="Q1099" t="str">
        <f>INDEX('Partner data'!A:DH,MATCH(C1099,'Partner data'!DG:DG,0),83)</f>
        <v>Soggetto pubblico</v>
      </c>
      <c r="R1099" t="b">
        <f>IF(E1099="staff",IF(INDEX('Partner data'!A:DH,MATCH(C1099,'Partner data'!DG:DG,0),112)="BL1 non presente","FALSO",INDEX('Partner data'!A:DH,MATCH(C1099,'Partner data'!DG:DG,0),112)))</f>
        <v>0</v>
      </c>
      <c r="S1099" t="b">
        <f t="shared" si="34"/>
        <v>0</v>
      </c>
      <c r="T1099" t="b">
        <f t="shared" si="35"/>
        <v>1</v>
      </c>
      <c r="U1099" s="154">
        <f>IFERROR(IF(R1099&lt;&gt;FALSE,IF(S1099=TRUE,INDEX('SummaryNOT_VALIDATED-BL'!$A$1:$F$16,MATCH(R1099,'SummaryNOT_VALIDATED-BL'!$A$1:$A$16,0),6),0),IF(S1099=TRUE,INDEX('SummaryNOT_VALIDATED-BL'!$A$1:$F$16,MATCH(E1099,'SummaryNOT_VALIDATED-BL'!$A$1:$A$16,0),6),0)),0)</f>
        <v>0</v>
      </c>
      <c r="V1099" s="81" cm="1">
        <f t="array" ref="V1099">INDEX('Weight tables'!$A$24:$C$27,MATCH(1,(RendicontiTrasmessiBL__2[[#This Row],[Cut percentage on real costs + USC]]&gt;='Weight tables'!$B$24:$B$27)*(RendicontiTrasmessiBL__2[[#This Row],[Cut percentage on real costs + USC]]&lt;='Weight tables'!$C$24:$C$27),0),1)</f>
        <v>0</v>
      </c>
      <c r="W1099" s="2">
        <f>RendicontiTrasmessiBL__2[[#This Row],[Weight real costs  + USC ]]</f>
        <v>0</v>
      </c>
    </row>
    <row r="1100" spans="1:23" x14ac:dyDescent="0.25">
      <c r="A1100" s="1" t="s">
        <v>59</v>
      </c>
      <c r="B1100" s="1" t="s">
        <v>28</v>
      </c>
      <c r="C1100" s="2">
        <v>317</v>
      </c>
      <c r="D1100" s="2">
        <v>53</v>
      </c>
      <c r="E1100" s="1" t="s">
        <v>228</v>
      </c>
      <c r="G1100">
        <v>134500</v>
      </c>
      <c r="H1100">
        <v>0</v>
      </c>
      <c r="I1100">
        <v>0</v>
      </c>
      <c r="J1100">
        <v>16502.22</v>
      </c>
      <c r="K1100">
        <v>0</v>
      </c>
      <c r="L1100">
        <v>16502.22</v>
      </c>
      <c r="M1100">
        <v>16502.22</v>
      </c>
      <c r="N1100">
        <v>12.27</v>
      </c>
      <c r="O1100">
        <v>117997.78</v>
      </c>
      <c r="P1100">
        <v>0</v>
      </c>
      <c r="Q1100" t="str">
        <f>INDEX('Partner data'!A:DH,MATCH(C1100,'Partner data'!DG:DG,0),83)</f>
        <v>Soggetto pubblico</v>
      </c>
      <c r="R1100" t="str">
        <f>IF(E1100="staff",IF(INDEX('Partner data'!A:DH,MATCH(C1100,'Partner data'!DG:DG,0),112)="BL1 non presente","FALSO",INDEX('Partner data'!A:DH,MATCH(C1100,'Partner data'!DG:DG,0),112)))</f>
        <v>COSTO REALE</v>
      </c>
      <c r="S1100" t="b">
        <f t="shared" si="34"/>
        <v>1</v>
      </c>
      <c r="T1100" t="b">
        <f t="shared" si="35"/>
        <v>1</v>
      </c>
      <c r="U1100" s="154">
        <f>IFERROR(IF(R1100&lt;&gt;FALSE,IF(S1100=TRUE,INDEX('SummaryNOT_VALIDATED-BL'!$A$1:$F$16,MATCH(R1100,'SummaryNOT_VALIDATED-BL'!$A$1:$A$16,0),6),0),IF(S1100=TRUE,INDEX('SummaryNOT_VALIDATED-BL'!$A$1:$F$16,MATCH(E1100,'SummaryNOT_VALIDATED-BL'!$A$1:$A$16,0),6),0)),0)</f>
        <v>9.1604133276901048E-2</v>
      </c>
      <c r="V1100" s="81" cm="1">
        <f t="array" ref="V1100">INDEX('Weight tables'!$A$24:$C$27,MATCH(1,(RendicontiTrasmessiBL__2[[#This Row],[Cut percentage on real costs + USC]]&gt;='Weight tables'!$B$24:$B$27)*(RendicontiTrasmessiBL__2[[#This Row],[Cut percentage on real costs + USC]]&lt;='Weight tables'!$C$24:$C$27),0),1)</f>
        <v>4</v>
      </c>
      <c r="W1100" s="2">
        <f>RendicontiTrasmessiBL__2[[#This Row],[Weight real costs  + USC ]]</f>
        <v>4</v>
      </c>
    </row>
    <row r="1101" spans="1:23" x14ac:dyDescent="0.25">
      <c r="A1101" s="1" t="s">
        <v>59</v>
      </c>
      <c r="B1101" s="1" t="s">
        <v>28</v>
      </c>
      <c r="C1101" s="2">
        <v>317</v>
      </c>
      <c r="D1101" s="2">
        <v>53</v>
      </c>
      <c r="E1101" s="1" t="s">
        <v>229</v>
      </c>
      <c r="G1101">
        <v>0</v>
      </c>
      <c r="H1101">
        <v>0</v>
      </c>
      <c r="I1101">
        <v>0</v>
      </c>
      <c r="J1101">
        <v>0</v>
      </c>
      <c r="K1101">
        <v>0</v>
      </c>
      <c r="L1101">
        <v>0</v>
      </c>
      <c r="M1101">
        <v>0</v>
      </c>
      <c r="N1101">
        <v>0</v>
      </c>
      <c r="O1101">
        <v>0</v>
      </c>
      <c r="P1101">
        <v>0</v>
      </c>
      <c r="Q1101" t="str">
        <f>INDEX('Partner data'!A:DH,MATCH(C1101,'Partner data'!DG:DG,0),83)</f>
        <v>Soggetto pubblico</v>
      </c>
      <c r="R1101" t="b">
        <f>IF(E1101="staff",IF(INDEX('Partner data'!A:DH,MATCH(C1101,'Partner data'!DG:DG,0),112)="BL1 non presente","FALSO",INDEX('Partner data'!A:DH,MATCH(C1101,'Partner data'!DG:DG,0),112)))</f>
        <v>0</v>
      </c>
      <c r="S1101" t="b">
        <f t="shared" si="34"/>
        <v>0</v>
      </c>
      <c r="T1101" t="b">
        <f t="shared" si="35"/>
        <v>1</v>
      </c>
      <c r="U1101" s="154">
        <f>IFERROR(IF(R1101&lt;&gt;FALSE,IF(S1101=TRUE,INDEX('SummaryNOT_VALIDATED-BL'!$A$1:$F$16,MATCH(R1101,'SummaryNOT_VALIDATED-BL'!$A$1:$A$16,0),6),0),IF(S1101=TRUE,INDEX('SummaryNOT_VALIDATED-BL'!$A$1:$F$16,MATCH(E1101,'SummaryNOT_VALIDATED-BL'!$A$1:$A$16,0),6),0)),0)</f>
        <v>0</v>
      </c>
      <c r="V1101" s="81" cm="1">
        <f t="array" ref="V1101">INDEX('Weight tables'!$A$24:$C$27,MATCH(1,(RendicontiTrasmessiBL__2[[#This Row],[Cut percentage on real costs + USC]]&gt;='Weight tables'!$B$24:$B$27)*(RendicontiTrasmessiBL__2[[#This Row],[Cut percentage on real costs + USC]]&lt;='Weight tables'!$C$24:$C$27),0),1)</f>
        <v>0</v>
      </c>
      <c r="W1101" s="2">
        <f>RendicontiTrasmessiBL__2[[#This Row],[Weight real costs  + USC ]]</f>
        <v>0</v>
      </c>
    </row>
    <row r="1102" spans="1:23" x14ac:dyDescent="0.25">
      <c r="A1102" s="1" t="s">
        <v>59</v>
      </c>
      <c r="B1102" s="1" t="s">
        <v>28</v>
      </c>
      <c r="C1102" s="2">
        <v>317</v>
      </c>
      <c r="D1102" s="2">
        <v>53</v>
      </c>
      <c r="E1102" s="1" t="s">
        <v>230</v>
      </c>
      <c r="G1102">
        <v>0</v>
      </c>
      <c r="H1102">
        <v>0</v>
      </c>
      <c r="I1102">
        <v>0</v>
      </c>
      <c r="J1102">
        <v>0</v>
      </c>
      <c r="K1102">
        <v>0</v>
      </c>
      <c r="L1102">
        <v>0</v>
      </c>
      <c r="M1102">
        <v>0</v>
      </c>
      <c r="N1102">
        <v>0</v>
      </c>
      <c r="O1102">
        <v>0</v>
      </c>
      <c r="P1102">
        <v>0</v>
      </c>
      <c r="Q1102" t="str">
        <f>INDEX('Partner data'!A:DH,MATCH(C1102,'Partner data'!DG:DG,0),83)</f>
        <v>Soggetto pubblico</v>
      </c>
      <c r="R1102" t="b">
        <f>IF(E1102="staff",IF(INDEX('Partner data'!A:DH,MATCH(C1102,'Partner data'!DG:DG,0),112)="BL1 non presente","FALSO",INDEX('Partner data'!A:DH,MATCH(C1102,'Partner data'!DG:DG,0),112)))</f>
        <v>0</v>
      </c>
      <c r="S1102" t="b">
        <f t="shared" si="34"/>
        <v>0</v>
      </c>
      <c r="T1102" t="b">
        <f t="shared" si="35"/>
        <v>1</v>
      </c>
      <c r="U1102" s="154">
        <f>IFERROR(IF(R1102&lt;&gt;FALSE,IF(S1102=TRUE,INDEX('SummaryNOT_VALIDATED-BL'!$A$1:$F$16,MATCH(R1102,'SummaryNOT_VALIDATED-BL'!$A$1:$A$16,0),6),0),IF(S1102=TRUE,INDEX('SummaryNOT_VALIDATED-BL'!$A$1:$F$16,MATCH(E1102,'SummaryNOT_VALIDATED-BL'!$A$1:$A$16,0),6),0)),0)</f>
        <v>0</v>
      </c>
      <c r="V1102" s="81" cm="1">
        <f t="array" ref="V1102">INDEX('Weight tables'!$A$24:$C$27,MATCH(1,(RendicontiTrasmessiBL__2[[#This Row],[Cut percentage on real costs + USC]]&gt;='Weight tables'!$B$24:$B$27)*(RendicontiTrasmessiBL__2[[#This Row],[Cut percentage on real costs + USC]]&lt;='Weight tables'!$C$24:$C$27),0),1)</f>
        <v>0</v>
      </c>
      <c r="W1102" s="2">
        <f>RendicontiTrasmessiBL__2[[#This Row],[Weight real costs  + USC ]]</f>
        <v>0</v>
      </c>
    </row>
    <row r="1103" spans="1:23" x14ac:dyDescent="0.25">
      <c r="A1103" s="1" t="s">
        <v>59</v>
      </c>
      <c r="B1103" s="1" t="s">
        <v>28</v>
      </c>
      <c r="C1103" s="2">
        <v>317</v>
      </c>
      <c r="D1103" s="2">
        <v>53</v>
      </c>
      <c r="E1103" s="1" t="s">
        <v>231</v>
      </c>
      <c r="G1103">
        <v>0</v>
      </c>
      <c r="H1103">
        <v>0</v>
      </c>
      <c r="I1103">
        <v>0</v>
      </c>
      <c r="J1103">
        <v>0</v>
      </c>
      <c r="K1103">
        <v>0</v>
      </c>
      <c r="L1103">
        <v>0</v>
      </c>
      <c r="M1103">
        <v>0</v>
      </c>
      <c r="N1103">
        <v>0</v>
      </c>
      <c r="O1103">
        <v>0</v>
      </c>
      <c r="P1103">
        <v>0</v>
      </c>
      <c r="Q1103" t="str">
        <f>INDEX('Partner data'!A:DH,MATCH(C1103,'Partner data'!DG:DG,0),83)</f>
        <v>Soggetto pubblico</v>
      </c>
      <c r="R1103" t="b">
        <f>IF(E1103="staff",IF(INDEX('Partner data'!A:DH,MATCH(C1103,'Partner data'!DG:DG,0),112)="BL1 non presente","FALSO",INDEX('Partner data'!A:DH,MATCH(C1103,'Partner data'!DG:DG,0),112)))</f>
        <v>0</v>
      </c>
      <c r="S1103" t="b">
        <f t="shared" si="34"/>
        <v>0</v>
      </c>
      <c r="T1103" t="b">
        <f t="shared" si="35"/>
        <v>1</v>
      </c>
      <c r="U1103" s="154">
        <f>IFERROR(IF(R1103&lt;&gt;FALSE,IF(S1103=TRUE,INDEX('SummaryNOT_VALIDATED-BL'!$A$1:$F$16,MATCH(R1103,'SummaryNOT_VALIDATED-BL'!$A$1:$A$16,0),6),0),IF(S1103=TRUE,INDEX('SummaryNOT_VALIDATED-BL'!$A$1:$F$16,MATCH(E1103,'SummaryNOT_VALIDATED-BL'!$A$1:$A$16,0),6),0)),0)</f>
        <v>0</v>
      </c>
      <c r="V1103" s="81" cm="1">
        <f t="array" ref="V1103">INDEX('Weight tables'!$A$24:$C$27,MATCH(1,(RendicontiTrasmessiBL__2[[#This Row],[Cut percentage on real costs + USC]]&gt;='Weight tables'!$B$24:$B$27)*(RendicontiTrasmessiBL__2[[#This Row],[Cut percentage on real costs + USC]]&lt;='Weight tables'!$C$24:$C$27),0),1)</f>
        <v>0</v>
      </c>
      <c r="W1103" s="2">
        <f>RendicontiTrasmessiBL__2[[#This Row],[Weight real costs  + USC ]]</f>
        <v>0</v>
      </c>
    </row>
    <row r="1104" spans="1:23" x14ac:dyDescent="0.25">
      <c r="A1104" s="1" t="s">
        <v>59</v>
      </c>
      <c r="B1104" s="1" t="s">
        <v>28</v>
      </c>
      <c r="C1104" s="2">
        <v>317</v>
      </c>
      <c r="D1104" s="2">
        <v>53</v>
      </c>
      <c r="E1104" s="1" t="s">
        <v>232</v>
      </c>
      <c r="G1104">
        <v>0</v>
      </c>
      <c r="H1104">
        <v>0</v>
      </c>
      <c r="I1104">
        <v>0</v>
      </c>
      <c r="J1104">
        <v>0</v>
      </c>
      <c r="K1104">
        <v>0</v>
      </c>
      <c r="L1104">
        <v>0</v>
      </c>
      <c r="M1104">
        <v>0</v>
      </c>
      <c r="N1104">
        <v>0</v>
      </c>
      <c r="O1104">
        <v>0</v>
      </c>
      <c r="P1104">
        <v>0</v>
      </c>
      <c r="Q1104" t="str">
        <f>INDEX('Partner data'!A:DH,MATCH(C1104,'Partner data'!DG:DG,0),83)</f>
        <v>Soggetto pubblico</v>
      </c>
      <c r="R1104" t="b">
        <f>IF(E1104="staff",IF(INDEX('Partner data'!A:DH,MATCH(C1104,'Partner data'!DG:DG,0),112)="BL1 non presente","FALSO",INDEX('Partner data'!A:DH,MATCH(C1104,'Partner data'!DG:DG,0),112)))</f>
        <v>0</v>
      </c>
      <c r="S1104" t="b">
        <f t="shared" si="34"/>
        <v>0</v>
      </c>
      <c r="T1104" t="b">
        <f t="shared" si="35"/>
        <v>1</v>
      </c>
      <c r="U1104" s="154">
        <f>IFERROR(IF(R1104&lt;&gt;FALSE,IF(S1104=TRUE,INDEX('SummaryNOT_VALIDATED-BL'!$A$1:$F$16,MATCH(R1104,'SummaryNOT_VALIDATED-BL'!$A$1:$A$16,0),6),0),IF(S1104=TRUE,INDEX('SummaryNOT_VALIDATED-BL'!$A$1:$F$16,MATCH(E1104,'SummaryNOT_VALIDATED-BL'!$A$1:$A$16,0),6),0)),0)</f>
        <v>0</v>
      </c>
      <c r="V1104" s="81" cm="1">
        <f t="array" ref="V1104">INDEX('Weight tables'!$A$24:$C$27,MATCH(1,(RendicontiTrasmessiBL__2[[#This Row],[Cut percentage on real costs + USC]]&gt;='Weight tables'!$B$24:$B$27)*(RendicontiTrasmessiBL__2[[#This Row],[Cut percentage on real costs + USC]]&lt;='Weight tables'!$C$24:$C$27),0),1)</f>
        <v>0</v>
      </c>
      <c r="W1104" s="2">
        <f>RendicontiTrasmessiBL__2[[#This Row],[Weight real costs  + USC ]]</f>
        <v>0</v>
      </c>
    </row>
    <row r="1105" spans="1:23" x14ac:dyDescent="0.25">
      <c r="A1105" s="1" t="s">
        <v>59</v>
      </c>
      <c r="B1105" s="1" t="s">
        <v>28</v>
      </c>
      <c r="C1105" s="2">
        <v>317</v>
      </c>
      <c r="D1105" s="2">
        <v>53</v>
      </c>
      <c r="E1105" s="1" t="s">
        <v>233</v>
      </c>
      <c r="G1105">
        <v>0</v>
      </c>
      <c r="H1105">
        <v>0</v>
      </c>
      <c r="I1105">
        <v>0</v>
      </c>
      <c r="J1105">
        <v>0</v>
      </c>
      <c r="K1105">
        <v>0</v>
      </c>
      <c r="L1105">
        <v>0</v>
      </c>
      <c r="M1105">
        <v>0</v>
      </c>
      <c r="N1105">
        <v>0</v>
      </c>
      <c r="O1105">
        <v>0</v>
      </c>
      <c r="P1105">
        <v>0</v>
      </c>
      <c r="Q1105" t="str">
        <f>INDEX('Partner data'!A:DH,MATCH(C1105,'Partner data'!DG:DG,0),83)</f>
        <v>Soggetto pubblico</v>
      </c>
      <c r="R1105" t="b">
        <f>IF(E1105="staff",IF(INDEX('Partner data'!A:DH,MATCH(C1105,'Partner data'!DG:DG,0),112)="BL1 non presente","FALSO",INDEX('Partner data'!A:DH,MATCH(C1105,'Partner data'!DG:DG,0),112)))</f>
        <v>0</v>
      </c>
      <c r="S1105" t="b">
        <f t="shared" si="34"/>
        <v>0</v>
      </c>
      <c r="T1105" t="b">
        <f t="shared" si="35"/>
        <v>1</v>
      </c>
      <c r="U1105" s="154">
        <f>IFERROR(IF(R1105&lt;&gt;FALSE,IF(S1105=TRUE,INDEX('SummaryNOT_VALIDATED-BL'!$A$1:$F$16,MATCH(R1105,'SummaryNOT_VALIDATED-BL'!$A$1:$A$16,0),6),0),IF(S1105=TRUE,INDEX('SummaryNOT_VALIDATED-BL'!$A$1:$F$16,MATCH(E1105,'SummaryNOT_VALIDATED-BL'!$A$1:$A$16,0),6),0)),0)</f>
        <v>0</v>
      </c>
      <c r="V1105" s="81" cm="1">
        <f t="array" ref="V1105">INDEX('Weight tables'!$A$24:$C$27,MATCH(1,(RendicontiTrasmessiBL__2[[#This Row],[Cut percentage on real costs + USC]]&gt;='Weight tables'!$B$24:$B$27)*(RendicontiTrasmessiBL__2[[#This Row],[Cut percentage on real costs + USC]]&lt;='Weight tables'!$C$24:$C$27),0),1)</f>
        <v>0</v>
      </c>
      <c r="W1105" s="2">
        <f>RendicontiTrasmessiBL__2[[#This Row],[Weight real costs  + USC ]]</f>
        <v>0</v>
      </c>
    </row>
    <row r="1106" spans="1:23" x14ac:dyDescent="0.25">
      <c r="A1106" s="1" t="s">
        <v>59</v>
      </c>
      <c r="B1106" s="1" t="s">
        <v>28</v>
      </c>
      <c r="C1106" s="2">
        <v>317</v>
      </c>
      <c r="D1106" s="2">
        <v>53</v>
      </c>
      <c r="E1106" s="1" t="s">
        <v>234</v>
      </c>
      <c r="F1106">
        <v>40</v>
      </c>
      <c r="G1106">
        <v>53800</v>
      </c>
      <c r="H1106">
        <v>0</v>
      </c>
      <c r="I1106">
        <v>0</v>
      </c>
      <c r="J1106">
        <v>6600.88</v>
      </c>
      <c r="K1106">
        <v>0</v>
      </c>
      <c r="L1106">
        <v>6600.88</v>
      </c>
      <c r="M1106">
        <v>6600.88</v>
      </c>
      <c r="N1106">
        <v>12.27</v>
      </c>
      <c r="O1106">
        <v>47199.12</v>
      </c>
      <c r="P1106">
        <v>0</v>
      </c>
      <c r="Q1106" t="str">
        <f>INDEX('Partner data'!A:DH,MATCH(C1106,'Partner data'!DG:DG,0),83)</f>
        <v>Soggetto pubblico</v>
      </c>
      <c r="R1106" t="b">
        <f>IF(E1106="staff",IF(INDEX('Partner data'!A:DH,MATCH(C1106,'Partner data'!DG:DG,0),112)="BL1 non presente","FALSO",INDEX('Partner data'!A:DH,MATCH(C1106,'Partner data'!DG:DG,0),112)))</f>
        <v>0</v>
      </c>
      <c r="S1106" t="b">
        <f t="shared" si="34"/>
        <v>1</v>
      </c>
      <c r="T1106" t="b">
        <f t="shared" si="35"/>
        <v>1</v>
      </c>
      <c r="U1106" s="154">
        <f>IFERROR(IF(R1106&lt;&gt;FALSE,IF(S1106=TRUE,INDEX('SummaryNOT_VALIDATED-BL'!$A$1:$F$16,MATCH(R1106,'SummaryNOT_VALIDATED-BL'!$A$1:$A$16,0),6),0),IF(S1106=TRUE,INDEX('SummaryNOT_VALIDATED-BL'!$A$1:$F$16,MATCH(E1106,'SummaryNOT_VALIDATED-BL'!$A$1:$A$16,0),6),0)),0)</f>
        <v>8.7645339819521315E-2</v>
      </c>
      <c r="V1106" s="81" cm="1">
        <f t="array" ref="V1106">INDEX('Weight tables'!$A$24:$C$27,MATCH(1,(RendicontiTrasmessiBL__2[[#This Row],[Cut percentage on real costs + USC]]&gt;='Weight tables'!$B$24:$B$27)*(RendicontiTrasmessiBL__2[[#This Row],[Cut percentage on real costs + USC]]&lt;='Weight tables'!$C$24:$C$27),0),1)</f>
        <v>4</v>
      </c>
      <c r="W1106" s="2">
        <f>RendicontiTrasmessiBL__2[[#This Row],[Weight real costs  + USC ]]</f>
        <v>4</v>
      </c>
    </row>
    <row r="1107" spans="1:23" x14ac:dyDescent="0.25">
      <c r="A1107" s="1" t="s">
        <v>59</v>
      </c>
      <c r="B1107" s="1" t="s">
        <v>28</v>
      </c>
      <c r="C1107" s="2">
        <v>317</v>
      </c>
      <c r="D1107" s="2">
        <v>53</v>
      </c>
      <c r="E1107" s="1" t="s">
        <v>236</v>
      </c>
      <c r="G1107">
        <v>0</v>
      </c>
      <c r="H1107">
        <v>0</v>
      </c>
      <c r="I1107">
        <v>0</v>
      </c>
      <c r="J1107">
        <v>0</v>
      </c>
      <c r="K1107">
        <v>0</v>
      </c>
      <c r="L1107">
        <v>0</v>
      </c>
      <c r="M1107">
        <v>0</v>
      </c>
      <c r="N1107">
        <v>0</v>
      </c>
      <c r="O1107">
        <v>0</v>
      </c>
      <c r="P1107">
        <v>0</v>
      </c>
      <c r="Q1107" t="str">
        <f>INDEX('Partner data'!A:DH,MATCH(C1107,'Partner data'!DG:DG,0),83)</f>
        <v>Soggetto pubblico</v>
      </c>
      <c r="R1107" t="b">
        <f>IF(E1107="staff",IF(INDEX('Partner data'!A:DH,MATCH(C1107,'Partner data'!DG:DG,0),112)="BL1 non presente","FALSO",INDEX('Partner data'!A:DH,MATCH(C1107,'Partner data'!DG:DG,0),112)))</f>
        <v>0</v>
      </c>
      <c r="S1107" t="b">
        <f t="shared" si="34"/>
        <v>0</v>
      </c>
      <c r="T1107" t="b">
        <f t="shared" si="35"/>
        <v>1</v>
      </c>
      <c r="U1107" s="154">
        <f>IFERROR(IF(R1107&lt;&gt;FALSE,IF(S1107=TRUE,INDEX('SummaryNOT_VALIDATED-BL'!$A$1:$F$16,MATCH(R1107,'SummaryNOT_VALIDATED-BL'!$A$1:$A$16,0),6),0),IF(S1107=TRUE,INDEX('SummaryNOT_VALIDATED-BL'!$A$1:$F$16,MATCH(E1107,'SummaryNOT_VALIDATED-BL'!$A$1:$A$16,0),6),0)),0)</f>
        <v>0</v>
      </c>
      <c r="V1107" s="81" cm="1">
        <f t="array" ref="V1107">INDEX('Weight tables'!$A$24:$C$27,MATCH(1,(RendicontiTrasmessiBL__2[[#This Row],[Cut percentage on real costs + USC]]&gt;='Weight tables'!$B$24:$B$27)*(RendicontiTrasmessiBL__2[[#This Row],[Cut percentage on real costs + USC]]&lt;='Weight tables'!$C$24:$C$27),0),1)</f>
        <v>0</v>
      </c>
      <c r="W1107" s="2">
        <f>RendicontiTrasmessiBL__2[[#This Row],[Weight real costs  + USC ]]</f>
        <v>0</v>
      </c>
    </row>
    <row r="1108" spans="1:23" x14ac:dyDescent="0.25">
      <c r="A1108" s="1" t="s">
        <v>59</v>
      </c>
      <c r="B1108" s="1" t="s">
        <v>28</v>
      </c>
      <c r="C1108" s="2">
        <v>317</v>
      </c>
      <c r="D1108" s="2">
        <v>53</v>
      </c>
      <c r="E1108" s="1" t="s">
        <v>237</v>
      </c>
      <c r="G1108">
        <v>0</v>
      </c>
      <c r="H1108">
        <v>0</v>
      </c>
      <c r="I1108">
        <v>0</v>
      </c>
      <c r="J1108">
        <v>0</v>
      </c>
      <c r="K1108">
        <v>0</v>
      </c>
      <c r="L1108">
        <v>0</v>
      </c>
      <c r="M1108">
        <v>0</v>
      </c>
      <c r="N1108">
        <v>0</v>
      </c>
      <c r="O1108">
        <v>0</v>
      </c>
      <c r="P1108">
        <v>0</v>
      </c>
      <c r="Q1108" t="str">
        <f>INDEX('Partner data'!A:DH,MATCH(C1108,'Partner data'!DG:DG,0),83)</f>
        <v>Soggetto pubblico</v>
      </c>
      <c r="R1108" t="b">
        <f>IF(E1108="staff",IF(INDEX('Partner data'!A:DH,MATCH(C1108,'Partner data'!DG:DG,0),112)="BL1 non presente","FALSO",INDEX('Partner data'!A:DH,MATCH(C1108,'Partner data'!DG:DG,0),112)))</f>
        <v>0</v>
      </c>
      <c r="S1108" t="b">
        <f t="shared" si="34"/>
        <v>0</v>
      </c>
      <c r="T1108" t="b">
        <f t="shared" si="35"/>
        <v>1</v>
      </c>
      <c r="U1108" s="154">
        <f>IFERROR(IF(R1108&lt;&gt;FALSE,IF(S1108=TRUE,INDEX('SummaryNOT_VALIDATED-BL'!$A$1:$F$16,MATCH(R1108,'SummaryNOT_VALIDATED-BL'!$A$1:$A$16,0),6),0),IF(S1108=TRUE,INDEX('SummaryNOT_VALIDATED-BL'!$A$1:$F$16,MATCH(E1108,'SummaryNOT_VALIDATED-BL'!$A$1:$A$16,0),6),0)),0)</f>
        <v>0</v>
      </c>
      <c r="V1108" s="81" cm="1">
        <f t="array" ref="V1108">INDEX('Weight tables'!$A$24:$C$27,MATCH(1,(RendicontiTrasmessiBL__2[[#This Row],[Cut percentage on real costs + USC]]&gt;='Weight tables'!$B$24:$B$27)*(RendicontiTrasmessiBL__2[[#This Row],[Cut percentage on real costs + USC]]&lt;='Weight tables'!$C$24:$C$27),0),1)</f>
        <v>0</v>
      </c>
      <c r="W1108" s="2">
        <f>RendicontiTrasmessiBL__2[[#This Row],[Weight real costs  + USC ]]</f>
        <v>0</v>
      </c>
    </row>
    <row r="1109" spans="1:23" x14ac:dyDescent="0.25">
      <c r="A1109" s="1" t="s">
        <v>271</v>
      </c>
      <c r="B1109" s="1" t="s">
        <v>272</v>
      </c>
      <c r="C1109" s="2">
        <v>229</v>
      </c>
      <c r="D1109" s="2">
        <v>246</v>
      </c>
      <c r="E1109" s="1" t="s">
        <v>228</v>
      </c>
      <c r="F1109">
        <v>20</v>
      </c>
      <c r="G1109">
        <v>21452</v>
      </c>
      <c r="H1109">
        <v>0</v>
      </c>
      <c r="I1109">
        <v>0</v>
      </c>
      <c r="J1109">
        <v>6696.04</v>
      </c>
      <c r="K1109">
        <v>0</v>
      </c>
      <c r="L1109">
        <v>0</v>
      </c>
      <c r="M1109">
        <v>6696.04</v>
      </c>
      <c r="N1109">
        <v>31.21</v>
      </c>
      <c r="O1109">
        <v>14755.96</v>
      </c>
      <c r="P1109">
        <v>0</v>
      </c>
      <c r="Q1109" t="str">
        <f>INDEX('Partner data'!A:DH,MATCH(C1109,'Partner data'!DG:DG,0),83)</f>
        <v>Soggetto privato</v>
      </c>
      <c r="R1109" t="str">
        <f>IF(E1109="staff",IF(INDEX('Partner data'!A:DH,MATCH(C1109,'Partner data'!DG:DG,0),112)="BL1 non presente","FALSO",INDEX('Partner data'!A:DH,MATCH(C1109,'Partner data'!DG:DG,0),112)))</f>
        <v>Tasso Forfettario 20%</v>
      </c>
      <c r="S1109" t="b">
        <f t="shared" si="34"/>
        <v>1</v>
      </c>
      <c r="T1109" t="b">
        <f t="shared" si="35"/>
        <v>0</v>
      </c>
      <c r="U1109" s="154">
        <f>IFERROR(IF(R1109&lt;&gt;FALSE,IF(S1109=TRUE,INDEX('SummaryNOT_VALIDATED-BL'!$A$1:$F$16,MATCH(R1109,'SummaryNOT_VALIDATED-BL'!$A$1:$A$16,0),6),0),IF(S1109=TRUE,INDEX('SummaryNOT_VALIDATED-BL'!$A$1:$F$16,MATCH(E1109,'SummaryNOT_VALIDATED-BL'!$A$1:$A$16,0),6),0)),0)</f>
        <v>1.2653355650533233E-2</v>
      </c>
      <c r="V1109" s="81" cm="1">
        <f t="array" ref="V1109">INDEX('Weight tables'!$A$24:$C$27,MATCH(1,(RendicontiTrasmessiBL__2[[#This Row],[Cut percentage on real costs + USC]]&gt;='Weight tables'!$B$24:$B$27)*(RendicontiTrasmessiBL__2[[#This Row],[Cut percentage on real costs + USC]]&lt;='Weight tables'!$C$24:$C$27),0),1)</f>
        <v>0</v>
      </c>
      <c r="W1109" s="2">
        <f>RendicontiTrasmessiBL__2[[#This Row],[Weight real costs  + USC ]]</f>
        <v>0</v>
      </c>
    </row>
    <row r="1110" spans="1:23" x14ac:dyDescent="0.25">
      <c r="A1110" s="1" t="s">
        <v>271</v>
      </c>
      <c r="B1110" s="1" t="s">
        <v>272</v>
      </c>
      <c r="C1110" s="2">
        <v>229</v>
      </c>
      <c r="D1110" s="2">
        <v>246</v>
      </c>
      <c r="E1110" s="1" t="s">
        <v>229</v>
      </c>
      <c r="F1110">
        <v>15</v>
      </c>
      <c r="G1110">
        <v>3217.8</v>
      </c>
      <c r="H1110">
        <v>0</v>
      </c>
      <c r="I1110">
        <v>0</v>
      </c>
      <c r="J1110">
        <v>1004.4</v>
      </c>
      <c r="K1110">
        <v>0</v>
      </c>
      <c r="L1110">
        <v>0</v>
      </c>
      <c r="M1110">
        <v>1004.4</v>
      </c>
      <c r="N1110">
        <v>31.21</v>
      </c>
      <c r="O1110">
        <v>2213.4</v>
      </c>
      <c r="P1110">
        <v>0</v>
      </c>
      <c r="Q1110" t="str">
        <f>INDEX('Partner data'!A:DH,MATCH(C1110,'Partner data'!DG:DG,0),83)</f>
        <v>Soggetto privato</v>
      </c>
      <c r="R1110" t="b">
        <f>IF(E1110="staff",IF(INDEX('Partner data'!A:DH,MATCH(C1110,'Partner data'!DG:DG,0),112)="BL1 non presente","FALSO",INDEX('Partner data'!A:DH,MATCH(C1110,'Partner data'!DG:DG,0),112)))</f>
        <v>0</v>
      </c>
      <c r="S1110" t="b">
        <f t="shared" si="34"/>
        <v>1</v>
      </c>
      <c r="T1110" t="b">
        <f t="shared" si="35"/>
        <v>0</v>
      </c>
      <c r="U1110" s="154">
        <f>IFERROR(IF(R1110&lt;&gt;FALSE,IF(S1110=TRUE,INDEX('SummaryNOT_VALIDATED-BL'!$A$1:$F$16,MATCH(R1110,'SummaryNOT_VALIDATED-BL'!$A$1:$A$16,0),6),0),IF(S1110=TRUE,INDEX('SummaryNOT_VALIDATED-BL'!$A$1:$F$16,MATCH(E1110,'SummaryNOT_VALIDATED-BL'!$A$1:$A$16,0),6),0)),0)</f>
        <v>6.6460469504890221E-2</v>
      </c>
      <c r="V1110" s="81" cm="1">
        <f t="array" ref="V1110">INDEX('Weight tables'!$A$24:$C$27,MATCH(1,(RendicontiTrasmessiBL__2[[#This Row],[Cut percentage on real costs + USC]]&gt;='Weight tables'!$B$24:$B$27)*(RendicontiTrasmessiBL__2[[#This Row],[Cut percentage on real costs + USC]]&lt;='Weight tables'!$C$24:$C$27),0),1)</f>
        <v>4</v>
      </c>
      <c r="W1110" s="2">
        <f>RendicontiTrasmessiBL__2[[#This Row],[Weight real costs  + USC ]]</f>
        <v>4</v>
      </c>
    </row>
    <row r="1111" spans="1:23" x14ac:dyDescent="0.25">
      <c r="A1111" s="1" t="s">
        <v>271</v>
      </c>
      <c r="B1111" s="1" t="s">
        <v>272</v>
      </c>
      <c r="C1111" s="2">
        <v>229</v>
      </c>
      <c r="D1111" s="2">
        <v>246</v>
      </c>
      <c r="E1111" s="1" t="s">
        <v>230</v>
      </c>
      <c r="F1111">
        <v>4</v>
      </c>
      <c r="G1111">
        <v>858.08</v>
      </c>
      <c r="H1111">
        <v>0</v>
      </c>
      <c r="I1111">
        <v>0</v>
      </c>
      <c r="J1111">
        <v>267.83999999999997</v>
      </c>
      <c r="K1111">
        <v>0</v>
      </c>
      <c r="L1111">
        <v>0</v>
      </c>
      <c r="M1111">
        <v>267.83999999999997</v>
      </c>
      <c r="N1111">
        <v>31.21</v>
      </c>
      <c r="O1111">
        <v>590.24</v>
      </c>
      <c r="P1111">
        <v>0</v>
      </c>
      <c r="Q1111" t="str">
        <f>INDEX('Partner data'!A:DH,MATCH(C1111,'Partner data'!DG:DG,0),83)</f>
        <v>Soggetto privato</v>
      </c>
      <c r="R1111" t="b">
        <f>IF(E1111="staff",IF(INDEX('Partner data'!A:DH,MATCH(C1111,'Partner data'!DG:DG,0),112)="BL1 non presente","FALSO",INDEX('Partner data'!A:DH,MATCH(C1111,'Partner data'!DG:DG,0),112)))</f>
        <v>0</v>
      </c>
      <c r="S1111" t="b">
        <f t="shared" si="34"/>
        <v>1</v>
      </c>
      <c r="T1111" t="b">
        <f t="shared" si="35"/>
        <v>0</v>
      </c>
      <c r="U1111" s="154">
        <f>IFERROR(IF(R1111&lt;&gt;FALSE,IF(S1111=TRUE,INDEX('SummaryNOT_VALIDATED-BL'!$A$1:$F$16,MATCH(R1111,'SummaryNOT_VALIDATED-BL'!$A$1:$A$16,0),6),0),IF(S1111=TRUE,INDEX('SummaryNOT_VALIDATED-BL'!$A$1:$F$16,MATCH(E1111,'SummaryNOT_VALIDATED-BL'!$A$1:$A$16,0),6),0)),0)</f>
        <v>6.3112622236488891E-2</v>
      </c>
      <c r="V1111" s="81" cm="1">
        <f t="array" ref="V1111">INDEX('Weight tables'!$A$24:$C$27,MATCH(1,(RendicontiTrasmessiBL__2[[#This Row],[Cut percentage on real costs + USC]]&gt;='Weight tables'!$B$24:$B$27)*(RendicontiTrasmessiBL__2[[#This Row],[Cut percentage on real costs + USC]]&lt;='Weight tables'!$C$24:$C$27),0),1)</f>
        <v>4</v>
      </c>
      <c r="W1111" s="2">
        <f>RendicontiTrasmessiBL__2[[#This Row],[Weight real costs  + USC ]]</f>
        <v>4</v>
      </c>
    </row>
    <row r="1112" spans="1:23" x14ac:dyDescent="0.25">
      <c r="A1112" s="1" t="s">
        <v>271</v>
      </c>
      <c r="B1112" s="1" t="s">
        <v>272</v>
      </c>
      <c r="C1112" s="2">
        <v>229</v>
      </c>
      <c r="D1112" s="2">
        <v>246</v>
      </c>
      <c r="E1112" s="1" t="s">
        <v>231</v>
      </c>
      <c r="G1112">
        <v>43600</v>
      </c>
      <c r="H1112">
        <v>0</v>
      </c>
      <c r="I1112">
        <v>0</v>
      </c>
      <c r="J1112">
        <v>4934</v>
      </c>
      <c r="K1112">
        <v>0</v>
      </c>
      <c r="L1112">
        <v>0</v>
      </c>
      <c r="M1112">
        <v>4934</v>
      </c>
      <c r="N1112">
        <v>11.32</v>
      </c>
      <c r="O1112">
        <v>38666</v>
      </c>
      <c r="P1112">
        <v>0</v>
      </c>
      <c r="Q1112" t="str">
        <f>INDEX('Partner data'!A:DH,MATCH(C1112,'Partner data'!DG:DG,0),83)</f>
        <v>Soggetto privato</v>
      </c>
      <c r="R1112" t="b">
        <f>IF(E1112="staff",IF(INDEX('Partner data'!A:DH,MATCH(C1112,'Partner data'!DG:DG,0),112)="BL1 non presente","FALSO",INDEX('Partner data'!A:DH,MATCH(C1112,'Partner data'!DG:DG,0),112)))</f>
        <v>0</v>
      </c>
      <c r="S1112" t="b">
        <f t="shared" si="34"/>
        <v>1</v>
      </c>
      <c r="T1112" t="b">
        <f t="shared" si="35"/>
        <v>0</v>
      </c>
      <c r="U1112" s="154">
        <f>IFERROR(IF(R1112&lt;&gt;FALSE,IF(S1112=TRUE,INDEX('SummaryNOT_VALIDATED-BL'!$A$1:$F$16,MATCH(R1112,'SummaryNOT_VALIDATED-BL'!$A$1:$A$16,0),6),0),IF(S1112=TRUE,INDEX('SummaryNOT_VALIDATED-BL'!$A$1:$F$16,MATCH(E1112,'SummaryNOT_VALIDATED-BL'!$A$1:$A$16,0),6),0)),0)</f>
        <v>5.577594442215475E-2</v>
      </c>
      <c r="V1112" s="81" cm="1">
        <f t="array" ref="V1112">INDEX('Weight tables'!$A$24:$C$27,MATCH(1,(RendicontiTrasmessiBL__2[[#This Row],[Cut percentage on real costs + USC]]&gt;='Weight tables'!$B$24:$B$27)*(RendicontiTrasmessiBL__2[[#This Row],[Cut percentage on real costs + USC]]&lt;='Weight tables'!$C$24:$C$27),0),1)</f>
        <v>4</v>
      </c>
      <c r="W1112" s="2">
        <f>RendicontiTrasmessiBL__2[[#This Row],[Weight real costs  + USC ]]</f>
        <v>4</v>
      </c>
    </row>
    <row r="1113" spans="1:23" x14ac:dyDescent="0.25">
      <c r="A1113" s="1" t="s">
        <v>271</v>
      </c>
      <c r="B1113" s="1" t="s">
        <v>272</v>
      </c>
      <c r="C1113" s="2">
        <v>229</v>
      </c>
      <c r="D1113" s="2">
        <v>246</v>
      </c>
      <c r="E1113" s="1" t="s">
        <v>232</v>
      </c>
      <c r="G1113">
        <v>12750</v>
      </c>
      <c r="H1113">
        <v>0</v>
      </c>
      <c r="I1113">
        <v>0</v>
      </c>
      <c r="J1113">
        <v>11821.8</v>
      </c>
      <c r="K1113">
        <v>0</v>
      </c>
      <c r="L1113">
        <v>0</v>
      </c>
      <c r="M1113">
        <v>11821.8</v>
      </c>
      <c r="N1113">
        <v>92.72</v>
      </c>
      <c r="O1113">
        <v>928.2</v>
      </c>
      <c r="P1113">
        <v>0</v>
      </c>
      <c r="Q1113" t="str">
        <f>INDEX('Partner data'!A:DH,MATCH(C1113,'Partner data'!DG:DG,0),83)</f>
        <v>Soggetto privato</v>
      </c>
      <c r="R1113" t="b">
        <f>IF(E1113="staff",IF(INDEX('Partner data'!A:DH,MATCH(C1113,'Partner data'!DG:DG,0),112)="BL1 non presente","FALSO",INDEX('Partner data'!A:DH,MATCH(C1113,'Partner data'!DG:DG,0),112)))</f>
        <v>0</v>
      </c>
      <c r="S1113" t="b">
        <f t="shared" si="34"/>
        <v>1</v>
      </c>
      <c r="T1113" t="b">
        <f t="shared" si="35"/>
        <v>0</v>
      </c>
      <c r="U1113" s="154">
        <f>IFERROR(IF(R1113&lt;&gt;FALSE,IF(S1113=TRUE,INDEX('SummaryNOT_VALIDATED-BL'!$A$1:$F$16,MATCH(R1113,'SummaryNOT_VALIDATED-BL'!$A$1:$A$16,0),6),0),IF(S1113=TRUE,INDEX('SummaryNOT_VALIDATED-BL'!$A$1:$F$16,MATCH(E1113,'SummaryNOT_VALIDATED-BL'!$A$1:$A$16,0),6),0)),0)</f>
        <v>1.102169095281242E-2</v>
      </c>
      <c r="V1113" s="81" cm="1">
        <f t="array" ref="V1113">INDEX('Weight tables'!$A$24:$C$27,MATCH(1,(RendicontiTrasmessiBL__2[[#This Row],[Cut percentage on real costs + USC]]&gt;='Weight tables'!$B$24:$B$27)*(RendicontiTrasmessiBL__2[[#This Row],[Cut percentage on real costs + USC]]&lt;='Weight tables'!$C$24:$C$27),0),1)</f>
        <v>0</v>
      </c>
      <c r="W1113" s="2">
        <f>RendicontiTrasmessiBL__2[[#This Row],[Weight real costs  + USC ]]</f>
        <v>0</v>
      </c>
    </row>
    <row r="1114" spans="1:23" x14ac:dyDescent="0.25">
      <c r="A1114" s="1" t="s">
        <v>271</v>
      </c>
      <c r="B1114" s="1" t="s">
        <v>272</v>
      </c>
      <c r="C1114" s="2">
        <v>229</v>
      </c>
      <c r="D1114" s="2">
        <v>246</v>
      </c>
      <c r="E1114" s="1" t="s">
        <v>233</v>
      </c>
      <c r="G1114">
        <v>50910</v>
      </c>
      <c r="H1114">
        <v>0</v>
      </c>
      <c r="I1114">
        <v>0</v>
      </c>
      <c r="J1114">
        <v>16724.419999999998</v>
      </c>
      <c r="K1114">
        <v>0</v>
      </c>
      <c r="L1114">
        <v>0</v>
      </c>
      <c r="M1114">
        <v>16724.419999999998</v>
      </c>
      <c r="N1114">
        <v>32.85</v>
      </c>
      <c r="O1114">
        <v>34185.58</v>
      </c>
      <c r="P1114">
        <v>0</v>
      </c>
      <c r="Q1114" t="str">
        <f>INDEX('Partner data'!A:DH,MATCH(C1114,'Partner data'!DG:DG,0),83)</f>
        <v>Soggetto privato</v>
      </c>
      <c r="R1114" t="b">
        <f>IF(E1114="staff",IF(INDEX('Partner data'!A:DH,MATCH(C1114,'Partner data'!DG:DG,0),112)="BL1 non presente","FALSO",INDEX('Partner data'!A:DH,MATCH(C1114,'Partner data'!DG:DG,0),112)))</f>
        <v>0</v>
      </c>
      <c r="S1114" t="b">
        <f t="shared" si="34"/>
        <v>1</v>
      </c>
      <c r="T1114" t="b">
        <f t="shared" si="35"/>
        <v>0</v>
      </c>
      <c r="U1114" s="154">
        <f>IFERROR(IF(R1114&lt;&gt;FALSE,IF(S1114=TRUE,INDEX('SummaryNOT_VALIDATED-BL'!$A$1:$F$16,MATCH(R1114,'SummaryNOT_VALIDATED-BL'!$A$1:$A$16,0),6),0),IF(S1114=TRUE,INDEX('SummaryNOT_VALIDATED-BL'!$A$1:$F$16,MATCH(E1114,'SummaryNOT_VALIDATED-BL'!$A$1:$A$16,0),6),0)),0)</f>
        <v>0</v>
      </c>
      <c r="V1114" s="81" cm="1">
        <f t="array" ref="V1114">INDEX('Weight tables'!$A$24:$C$27,MATCH(1,(RendicontiTrasmessiBL__2[[#This Row],[Cut percentage on real costs + USC]]&gt;='Weight tables'!$B$24:$B$27)*(RendicontiTrasmessiBL__2[[#This Row],[Cut percentage on real costs + USC]]&lt;='Weight tables'!$C$24:$C$27),0),1)</f>
        <v>0</v>
      </c>
      <c r="W1114" s="2">
        <f>RendicontiTrasmessiBL__2[[#This Row],[Weight real costs  + USC ]]</f>
        <v>0</v>
      </c>
    </row>
    <row r="1115" spans="1:23" x14ac:dyDescent="0.25">
      <c r="A1115" s="1" t="s">
        <v>271</v>
      </c>
      <c r="B1115" s="1" t="s">
        <v>272</v>
      </c>
      <c r="C1115" s="2">
        <v>229</v>
      </c>
      <c r="D1115" s="2">
        <v>246</v>
      </c>
      <c r="E1115" s="1" t="s">
        <v>234</v>
      </c>
      <c r="G1115">
        <v>0</v>
      </c>
      <c r="H1115">
        <v>0</v>
      </c>
      <c r="I1115">
        <v>0</v>
      </c>
      <c r="J1115">
        <v>0</v>
      </c>
      <c r="K1115">
        <v>0</v>
      </c>
      <c r="L1115">
        <v>0</v>
      </c>
      <c r="M1115">
        <v>0</v>
      </c>
      <c r="N1115">
        <v>0</v>
      </c>
      <c r="O1115">
        <v>0</v>
      </c>
      <c r="P1115">
        <v>0</v>
      </c>
      <c r="Q1115" t="str">
        <f>INDEX('Partner data'!A:DH,MATCH(C1115,'Partner data'!DG:DG,0),83)</f>
        <v>Soggetto privato</v>
      </c>
      <c r="R1115" t="b">
        <f>IF(E1115="staff",IF(INDEX('Partner data'!A:DH,MATCH(C1115,'Partner data'!DG:DG,0),112)="BL1 non presente","FALSO",INDEX('Partner data'!A:DH,MATCH(C1115,'Partner data'!DG:DG,0),112)))</f>
        <v>0</v>
      </c>
      <c r="S1115" t="b">
        <f t="shared" si="34"/>
        <v>0</v>
      </c>
      <c r="T1115" t="b">
        <f t="shared" si="35"/>
        <v>0</v>
      </c>
      <c r="U1115" s="154">
        <f>IFERROR(IF(R1115&lt;&gt;FALSE,IF(S1115=TRUE,INDEX('SummaryNOT_VALIDATED-BL'!$A$1:$F$16,MATCH(R1115,'SummaryNOT_VALIDATED-BL'!$A$1:$A$16,0),6),0),IF(S1115=TRUE,INDEX('SummaryNOT_VALIDATED-BL'!$A$1:$F$16,MATCH(E1115,'SummaryNOT_VALIDATED-BL'!$A$1:$A$16,0),6),0)),0)</f>
        <v>0</v>
      </c>
      <c r="V1115" s="81" cm="1">
        <f t="array" ref="V1115">INDEX('Weight tables'!$A$24:$C$27,MATCH(1,(RendicontiTrasmessiBL__2[[#This Row],[Cut percentage on real costs + USC]]&gt;='Weight tables'!$B$24:$B$27)*(RendicontiTrasmessiBL__2[[#This Row],[Cut percentage on real costs + USC]]&lt;='Weight tables'!$C$24:$C$27),0),1)</f>
        <v>0</v>
      </c>
      <c r="W1115" s="2">
        <f>RendicontiTrasmessiBL__2[[#This Row],[Weight real costs  + USC ]]</f>
        <v>0</v>
      </c>
    </row>
    <row r="1116" spans="1:23" x14ac:dyDescent="0.25">
      <c r="A1116" s="1" t="s">
        <v>271</v>
      </c>
      <c r="B1116" s="1" t="s">
        <v>272</v>
      </c>
      <c r="C1116" s="2">
        <v>229</v>
      </c>
      <c r="D1116" s="2">
        <v>246</v>
      </c>
      <c r="E1116" s="1" t="s">
        <v>236</v>
      </c>
      <c r="G1116">
        <v>0</v>
      </c>
      <c r="H1116">
        <v>0</v>
      </c>
      <c r="I1116">
        <v>0</v>
      </c>
      <c r="J1116">
        <v>0</v>
      </c>
      <c r="K1116">
        <v>0</v>
      </c>
      <c r="L1116">
        <v>0</v>
      </c>
      <c r="M1116">
        <v>0</v>
      </c>
      <c r="N1116">
        <v>0</v>
      </c>
      <c r="O1116">
        <v>0</v>
      </c>
      <c r="P1116">
        <v>0</v>
      </c>
      <c r="Q1116" t="str">
        <f>INDEX('Partner data'!A:DH,MATCH(C1116,'Partner data'!DG:DG,0),83)</f>
        <v>Soggetto privato</v>
      </c>
      <c r="R1116" t="b">
        <f>IF(E1116="staff",IF(INDEX('Partner data'!A:DH,MATCH(C1116,'Partner data'!DG:DG,0),112)="BL1 non presente","FALSO",INDEX('Partner data'!A:DH,MATCH(C1116,'Partner data'!DG:DG,0),112)))</f>
        <v>0</v>
      </c>
      <c r="S1116" t="b">
        <f t="shared" si="34"/>
        <v>0</v>
      </c>
      <c r="T1116" t="b">
        <f t="shared" si="35"/>
        <v>0</v>
      </c>
      <c r="U1116" s="154">
        <f>IFERROR(IF(R1116&lt;&gt;FALSE,IF(S1116=TRUE,INDEX('SummaryNOT_VALIDATED-BL'!$A$1:$F$16,MATCH(R1116,'SummaryNOT_VALIDATED-BL'!$A$1:$A$16,0),6),0),IF(S1116=TRUE,INDEX('SummaryNOT_VALIDATED-BL'!$A$1:$F$16,MATCH(E1116,'SummaryNOT_VALIDATED-BL'!$A$1:$A$16,0),6),0)),0)</f>
        <v>0</v>
      </c>
      <c r="V1116" s="81" cm="1">
        <f t="array" ref="V1116">INDEX('Weight tables'!$A$24:$C$27,MATCH(1,(RendicontiTrasmessiBL__2[[#This Row],[Cut percentage on real costs + USC]]&gt;='Weight tables'!$B$24:$B$27)*(RendicontiTrasmessiBL__2[[#This Row],[Cut percentage on real costs + USC]]&lt;='Weight tables'!$C$24:$C$27),0),1)</f>
        <v>0</v>
      </c>
      <c r="W1116" s="2">
        <f>RendicontiTrasmessiBL__2[[#This Row],[Weight real costs  + USC ]]</f>
        <v>0</v>
      </c>
    </row>
    <row r="1117" spans="1:23" x14ac:dyDescent="0.25">
      <c r="A1117" s="1" t="s">
        <v>271</v>
      </c>
      <c r="B1117" s="1" t="s">
        <v>272</v>
      </c>
      <c r="C1117" s="2">
        <v>229</v>
      </c>
      <c r="D1117" s="2">
        <v>246</v>
      </c>
      <c r="E1117" s="1" t="s">
        <v>237</v>
      </c>
      <c r="G1117">
        <v>0</v>
      </c>
      <c r="H1117">
        <v>0</v>
      </c>
      <c r="I1117">
        <v>0</v>
      </c>
      <c r="J1117">
        <v>0</v>
      </c>
      <c r="K1117">
        <v>0</v>
      </c>
      <c r="L1117">
        <v>0</v>
      </c>
      <c r="M1117">
        <v>0</v>
      </c>
      <c r="N1117">
        <v>0</v>
      </c>
      <c r="O1117">
        <v>0</v>
      </c>
      <c r="P1117">
        <v>0</v>
      </c>
      <c r="Q1117" t="str">
        <f>INDEX('Partner data'!A:DH,MATCH(C1117,'Partner data'!DG:DG,0),83)</f>
        <v>Soggetto privato</v>
      </c>
      <c r="R1117" t="b">
        <f>IF(E1117="staff",IF(INDEX('Partner data'!A:DH,MATCH(C1117,'Partner data'!DG:DG,0),112)="BL1 non presente","FALSO",INDEX('Partner data'!A:DH,MATCH(C1117,'Partner data'!DG:DG,0),112)))</f>
        <v>0</v>
      </c>
      <c r="S1117" t="b">
        <f t="shared" si="34"/>
        <v>0</v>
      </c>
      <c r="T1117" t="b">
        <f t="shared" si="35"/>
        <v>0</v>
      </c>
      <c r="U1117" s="154">
        <f>IFERROR(IF(R1117&lt;&gt;FALSE,IF(S1117=TRUE,INDEX('SummaryNOT_VALIDATED-BL'!$A$1:$F$16,MATCH(R1117,'SummaryNOT_VALIDATED-BL'!$A$1:$A$16,0),6),0),IF(S1117=TRUE,INDEX('SummaryNOT_VALIDATED-BL'!$A$1:$F$16,MATCH(E1117,'SummaryNOT_VALIDATED-BL'!$A$1:$A$16,0),6),0)),0)</f>
        <v>0</v>
      </c>
      <c r="V1117" s="81" cm="1">
        <f t="array" ref="V1117">INDEX('Weight tables'!$A$24:$C$27,MATCH(1,(RendicontiTrasmessiBL__2[[#This Row],[Cut percentage on real costs + USC]]&gt;='Weight tables'!$B$24:$B$27)*(RendicontiTrasmessiBL__2[[#This Row],[Cut percentage on real costs + USC]]&lt;='Weight tables'!$C$24:$C$27),0),1)</f>
        <v>0</v>
      </c>
      <c r="W1117" s="2">
        <f>RendicontiTrasmessiBL__2[[#This Row],[Weight real costs  + USC ]]</f>
        <v>0</v>
      </c>
    </row>
    <row r="1118" spans="1:23" x14ac:dyDescent="0.25">
      <c r="A1118" s="1" t="s">
        <v>271</v>
      </c>
      <c r="B1118" s="1" t="s">
        <v>274</v>
      </c>
      <c r="C1118" s="2">
        <v>218</v>
      </c>
      <c r="D1118" s="2">
        <v>233</v>
      </c>
      <c r="E1118" s="1" t="s">
        <v>228</v>
      </c>
      <c r="G1118">
        <v>52320</v>
      </c>
      <c r="H1118">
        <v>0</v>
      </c>
      <c r="I1118">
        <v>0</v>
      </c>
      <c r="J1118">
        <v>13089.58</v>
      </c>
      <c r="K1118">
        <v>0</v>
      </c>
      <c r="L1118">
        <v>11101.64</v>
      </c>
      <c r="M1118">
        <v>13089.58</v>
      </c>
      <c r="N1118">
        <v>25.02</v>
      </c>
      <c r="O1118">
        <v>39230.42</v>
      </c>
      <c r="P1118">
        <v>0</v>
      </c>
      <c r="Q1118" t="str">
        <f>INDEX('Partner data'!A:DH,MATCH(C1118,'Partner data'!DG:DG,0),83)</f>
        <v>Soggetto privato</v>
      </c>
      <c r="R1118" t="str">
        <f>IF(E1118="staff",IF(INDEX('Partner data'!A:DH,MATCH(C1118,'Partner data'!DG:DG,0),112)="BL1 non presente","FALSO",INDEX('Partner data'!A:DH,MATCH(C1118,'Partner data'!DG:DG,0),112)))</f>
        <v>COSTO REALE</v>
      </c>
      <c r="S1118" t="b">
        <f t="shared" si="34"/>
        <v>1</v>
      </c>
      <c r="T1118" t="b">
        <f t="shared" si="35"/>
        <v>0</v>
      </c>
      <c r="U1118" s="154">
        <f>IFERROR(IF(R1118&lt;&gt;FALSE,IF(S1118=TRUE,INDEX('SummaryNOT_VALIDATED-BL'!$A$1:$F$16,MATCH(R1118,'SummaryNOT_VALIDATED-BL'!$A$1:$A$16,0),6),0),IF(S1118=TRUE,INDEX('SummaryNOT_VALIDATED-BL'!$A$1:$F$16,MATCH(E1118,'SummaryNOT_VALIDATED-BL'!$A$1:$A$16,0),6),0)),0)</f>
        <v>9.1604133276901048E-2</v>
      </c>
      <c r="V1118" s="81" cm="1">
        <f t="array" ref="V1118">INDEX('Weight tables'!$A$24:$C$27,MATCH(1,(RendicontiTrasmessiBL__2[[#This Row],[Cut percentage on real costs + USC]]&gt;='Weight tables'!$B$24:$B$27)*(RendicontiTrasmessiBL__2[[#This Row],[Cut percentage on real costs + USC]]&lt;='Weight tables'!$C$24:$C$27),0),1)</f>
        <v>4</v>
      </c>
      <c r="W1118" s="2">
        <f>RendicontiTrasmessiBL__2[[#This Row],[Weight real costs  + USC ]]</f>
        <v>4</v>
      </c>
    </row>
    <row r="1119" spans="1:23" x14ac:dyDescent="0.25">
      <c r="A1119" s="1" t="s">
        <v>271</v>
      </c>
      <c r="B1119" s="1" t="s">
        <v>274</v>
      </c>
      <c r="C1119" s="2">
        <v>218</v>
      </c>
      <c r="D1119" s="2">
        <v>233</v>
      </c>
      <c r="E1119" s="1" t="s">
        <v>229</v>
      </c>
      <c r="F1119">
        <v>15</v>
      </c>
      <c r="G1119">
        <v>7848</v>
      </c>
      <c r="H1119">
        <v>0</v>
      </c>
      <c r="I1119">
        <v>0</v>
      </c>
      <c r="J1119">
        <v>1963.43</v>
      </c>
      <c r="K1119">
        <v>0</v>
      </c>
      <c r="L1119">
        <v>1665.24</v>
      </c>
      <c r="M1119">
        <v>1963.43</v>
      </c>
      <c r="N1119">
        <v>25.02</v>
      </c>
      <c r="O1119">
        <v>5884.57</v>
      </c>
      <c r="P1119">
        <v>0</v>
      </c>
      <c r="Q1119" t="str">
        <f>INDEX('Partner data'!A:DH,MATCH(C1119,'Partner data'!DG:DG,0),83)</f>
        <v>Soggetto privato</v>
      </c>
      <c r="R1119" t="b">
        <f>IF(E1119="staff",IF(INDEX('Partner data'!A:DH,MATCH(C1119,'Partner data'!DG:DG,0),112)="BL1 non presente","FALSO",INDEX('Partner data'!A:DH,MATCH(C1119,'Partner data'!DG:DG,0),112)))</f>
        <v>0</v>
      </c>
      <c r="S1119" t="b">
        <f t="shared" si="34"/>
        <v>1</v>
      </c>
      <c r="T1119" t="b">
        <f t="shared" si="35"/>
        <v>0</v>
      </c>
      <c r="U1119" s="154">
        <f>IFERROR(IF(R1119&lt;&gt;FALSE,IF(S1119=TRUE,INDEX('SummaryNOT_VALIDATED-BL'!$A$1:$F$16,MATCH(R1119,'SummaryNOT_VALIDATED-BL'!$A$1:$A$16,0),6),0),IF(S1119=TRUE,INDEX('SummaryNOT_VALIDATED-BL'!$A$1:$F$16,MATCH(E1119,'SummaryNOT_VALIDATED-BL'!$A$1:$A$16,0),6),0)),0)</f>
        <v>6.6460469504890221E-2</v>
      </c>
      <c r="V1119" s="81" cm="1">
        <f t="array" ref="V1119">INDEX('Weight tables'!$A$24:$C$27,MATCH(1,(RendicontiTrasmessiBL__2[[#This Row],[Cut percentage on real costs + USC]]&gt;='Weight tables'!$B$24:$B$27)*(RendicontiTrasmessiBL__2[[#This Row],[Cut percentage on real costs + USC]]&lt;='Weight tables'!$C$24:$C$27),0),1)</f>
        <v>4</v>
      </c>
      <c r="W1119" s="2">
        <f>RendicontiTrasmessiBL__2[[#This Row],[Weight real costs  + USC ]]</f>
        <v>4</v>
      </c>
    </row>
    <row r="1120" spans="1:23" x14ac:dyDescent="0.25">
      <c r="A1120" s="1" t="s">
        <v>271</v>
      </c>
      <c r="B1120" s="1" t="s">
        <v>274</v>
      </c>
      <c r="C1120" s="2">
        <v>218</v>
      </c>
      <c r="D1120" s="2">
        <v>233</v>
      </c>
      <c r="E1120" s="1" t="s">
        <v>230</v>
      </c>
      <c r="F1120">
        <v>4</v>
      </c>
      <c r="G1120">
        <v>2092.8000000000002</v>
      </c>
      <c r="H1120">
        <v>0</v>
      </c>
      <c r="I1120">
        <v>0</v>
      </c>
      <c r="J1120">
        <v>523.58000000000004</v>
      </c>
      <c r="K1120">
        <v>0</v>
      </c>
      <c r="L1120">
        <v>444.06</v>
      </c>
      <c r="M1120">
        <v>523.58000000000004</v>
      </c>
      <c r="N1120">
        <v>25.02</v>
      </c>
      <c r="O1120">
        <v>1569.22</v>
      </c>
      <c r="P1120">
        <v>0</v>
      </c>
      <c r="Q1120" t="str">
        <f>INDEX('Partner data'!A:DH,MATCH(C1120,'Partner data'!DG:DG,0),83)</f>
        <v>Soggetto privato</v>
      </c>
      <c r="R1120" t="b">
        <f>IF(E1120="staff",IF(INDEX('Partner data'!A:DH,MATCH(C1120,'Partner data'!DG:DG,0),112)="BL1 non presente","FALSO",INDEX('Partner data'!A:DH,MATCH(C1120,'Partner data'!DG:DG,0),112)))</f>
        <v>0</v>
      </c>
      <c r="S1120" t="b">
        <f t="shared" si="34"/>
        <v>1</v>
      </c>
      <c r="T1120" t="b">
        <f t="shared" si="35"/>
        <v>0</v>
      </c>
      <c r="U1120" s="154">
        <f>IFERROR(IF(R1120&lt;&gt;FALSE,IF(S1120=TRUE,INDEX('SummaryNOT_VALIDATED-BL'!$A$1:$F$16,MATCH(R1120,'SummaryNOT_VALIDATED-BL'!$A$1:$A$16,0),6),0),IF(S1120=TRUE,INDEX('SummaryNOT_VALIDATED-BL'!$A$1:$F$16,MATCH(E1120,'SummaryNOT_VALIDATED-BL'!$A$1:$A$16,0),6),0)),0)</f>
        <v>6.3112622236488891E-2</v>
      </c>
      <c r="V1120" s="81" cm="1">
        <f t="array" ref="V1120">INDEX('Weight tables'!$A$24:$C$27,MATCH(1,(RendicontiTrasmessiBL__2[[#This Row],[Cut percentage on real costs + USC]]&gt;='Weight tables'!$B$24:$B$27)*(RendicontiTrasmessiBL__2[[#This Row],[Cut percentage on real costs + USC]]&lt;='Weight tables'!$C$24:$C$27),0),1)</f>
        <v>4</v>
      </c>
      <c r="W1120" s="2">
        <f>RendicontiTrasmessiBL__2[[#This Row],[Weight real costs  + USC ]]</f>
        <v>4</v>
      </c>
    </row>
    <row r="1121" spans="1:23" x14ac:dyDescent="0.25">
      <c r="A1121" s="1" t="s">
        <v>271</v>
      </c>
      <c r="B1121" s="1" t="s">
        <v>274</v>
      </c>
      <c r="C1121" s="2">
        <v>218</v>
      </c>
      <c r="D1121" s="2">
        <v>233</v>
      </c>
      <c r="E1121" s="1" t="s">
        <v>231</v>
      </c>
      <c r="G1121">
        <v>54539.199999999997</v>
      </c>
      <c r="H1121">
        <v>0</v>
      </c>
      <c r="I1121">
        <v>0</v>
      </c>
      <c r="J1121">
        <v>5000</v>
      </c>
      <c r="K1121">
        <v>0</v>
      </c>
      <c r="L1121">
        <v>5000</v>
      </c>
      <c r="M1121">
        <v>5000</v>
      </c>
      <c r="N1121">
        <v>9.17</v>
      </c>
      <c r="O1121">
        <v>49539.199999999997</v>
      </c>
      <c r="P1121">
        <v>0</v>
      </c>
      <c r="Q1121" t="str">
        <f>INDEX('Partner data'!A:DH,MATCH(C1121,'Partner data'!DG:DG,0),83)</f>
        <v>Soggetto privato</v>
      </c>
      <c r="R1121" t="b">
        <f>IF(E1121="staff",IF(INDEX('Partner data'!A:DH,MATCH(C1121,'Partner data'!DG:DG,0),112)="BL1 non presente","FALSO",INDEX('Partner data'!A:DH,MATCH(C1121,'Partner data'!DG:DG,0),112)))</f>
        <v>0</v>
      </c>
      <c r="S1121" t="b">
        <f t="shared" si="34"/>
        <v>1</v>
      </c>
      <c r="T1121" t="b">
        <f t="shared" si="35"/>
        <v>0</v>
      </c>
      <c r="U1121" s="154">
        <f>IFERROR(IF(R1121&lt;&gt;FALSE,IF(S1121=TRUE,INDEX('SummaryNOT_VALIDATED-BL'!$A$1:$F$16,MATCH(R1121,'SummaryNOT_VALIDATED-BL'!$A$1:$A$16,0),6),0),IF(S1121=TRUE,INDEX('SummaryNOT_VALIDATED-BL'!$A$1:$F$16,MATCH(E1121,'SummaryNOT_VALIDATED-BL'!$A$1:$A$16,0),6),0)),0)</f>
        <v>5.577594442215475E-2</v>
      </c>
      <c r="V1121" s="81" cm="1">
        <f t="array" ref="V1121">INDEX('Weight tables'!$A$24:$C$27,MATCH(1,(RendicontiTrasmessiBL__2[[#This Row],[Cut percentage on real costs + USC]]&gt;='Weight tables'!$B$24:$B$27)*(RendicontiTrasmessiBL__2[[#This Row],[Cut percentage on real costs + USC]]&lt;='Weight tables'!$C$24:$C$27),0),1)</f>
        <v>4</v>
      </c>
      <c r="W1121" s="2">
        <f>RendicontiTrasmessiBL__2[[#This Row],[Weight real costs  + USC ]]</f>
        <v>4</v>
      </c>
    </row>
    <row r="1122" spans="1:23" x14ac:dyDescent="0.25">
      <c r="A1122" s="1" t="s">
        <v>271</v>
      </c>
      <c r="B1122" s="1" t="s">
        <v>274</v>
      </c>
      <c r="C1122" s="2">
        <v>218</v>
      </c>
      <c r="D1122" s="2">
        <v>233</v>
      </c>
      <c r="E1122" s="1" t="s">
        <v>232</v>
      </c>
      <c r="G1122">
        <v>11000</v>
      </c>
      <c r="H1122">
        <v>0</v>
      </c>
      <c r="I1122">
        <v>0</v>
      </c>
      <c r="J1122">
        <v>0</v>
      </c>
      <c r="K1122">
        <v>0</v>
      </c>
      <c r="L1122">
        <v>0</v>
      </c>
      <c r="M1122">
        <v>0</v>
      </c>
      <c r="N1122">
        <v>0</v>
      </c>
      <c r="O1122">
        <v>11000</v>
      </c>
      <c r="P1122">
        <v>0</v>
      </c>
      <c r="Q1122" t="str">
        <f>INDEX('Partner data'!A:DH,MATCH(C1122,'Partner data'!DG:DG,0),83)</f>
        <v>Soggetto privato</v>
      </c>
      <c r="R1122" t="b">
        <f>IF(E1122="staff",IF(INDEX('Partner data'!A:DH,MATCH(C1122,'Partner data'!DG:DG,0),112)="BL1 non presente","FALSO",INDEX('Partner data'!A:DH,MATCH(C1122,'Partner data'!DG:DG,0),112)))</f>
        <v>0</v>
      </c>
      <c r="S1122" t="b">
        <f t="shared" si="34"/>
        <v>0</v>
      </c>
      <c r="T1122" t="b">
        <f t="shared" si="35"/>
        <v>0</v>
      </c>
      <c r="U1122" s="154">
        <f>IFERROR(IF(R1122&lt;&gt;FALSE,IF(S1122=TRUE,INDEX('SummaryNOT_VALIDATED-BL'!$A$1:$F$16,MATCH(R1122,'SummaryNOT_VALIDATED-BL'!$A$1:$A$16,0),6),0),IF(S1122=TRUE,INDEX('SummaryNOT_VALIDATED-BL'!$A$1:$F$16,MATCH(E1122,'SummaryNOT_VALIDATED-BL'!$A$1:$A$16,0),6),0)),0)</f>
        <v>0</v>
      </c>
      <c r="V1122" s="81" cm="1">
        <f t="array" ref="V1122">INDEX('Weight tables'!$A$24:$C$27,MATCH(1,(RendicontiTrasmessiBL__2[[#This Row],[Cut percentage on real costs + USC]]&gt;='Weight tables'!$B$24:$B$27)*(RendicontiTrasmessiBL__2[[#This Row],[Cut percentage on real costs + USC]]&lt;='Weight tables'!$C$24:$C$27),0),1)</f>
        <v>0</v>
      </c>
      <c r="W1122" s="2">
        <f>RendicontiTrasmessiBL__2[[#This Row],[Weight real costs  + USC ]]</f>
        <v>0</v>
      </c>
    </row>
    <row r="1123" spans="1:23" x14ac:dyDescent="0.25">
      <c r="A1123" s="1" t="s">
        <v>271</v>
      </c>
      <c r="B1123" s="1" t="s">
        <v>274</v>
      </c>
      <c r="C1123" s="2">
        <v>218</v>
      </c>
      <c r="D1123" s="2">
        <v>233</v>
      </c>
      <c r="E1123" s="1" t="s">
        <v>233</v>
      </c>
      <c r="G1123">
        <v>19000</v>
      </c>
      <c r="H1123">
        <v>0</v>
      </c>
      <c r="I1123">
        <v>0</v>
      </c>
      <c r="J1123">
        <v>0</v>
      </c>
      <c r="K1123">
        <v>0</v>
      </c>
      <c r="L1123">
        <v>0</v>
      </c>
      <c r="M1123">
        <v>0</v>
      </c>
      <c r="N1123">
        <v>0</v>
      </c>
      <c r="O1123">
        <v>19000</v>
      </c>
      <c r="P1123">
        <v>0</v>
      </c>
      <c r="Q1123" t="str">
        <f>INDEX('Partner data'!A:DH,MATCH(C1123,'Partner data'!DG:DG,0),83)</f>
        <v>Soggetto privato</v>
      </c>
      <c r="R1123" t="b">
        <f>IF(E1123="staff",IF(INDEX('Partner data'!A:DH,MATCH(C1123,'Partner data'!DG:DG,0),112)="BL1 non presente","FALSO",INDEX('Partner data'!A:DH,MATCH(C1123,'Partner data'!DG:DG,0),112)))</f>
        <v>0</v>
      </c>
      <c r="S1123" t="b">
        <f t="shared" si="34"/>
        <v>0</v>
      </c>
      <c r="T1123" t="b">
        <f t="shared" si="35"/>
        <v>0</v>
      </c>
      <c r="U1123" s="154">
        <f>IFERROR(IF(R1123&lt;&gt;FALSE,IF(S1123=TRUE,INDEX('SummaryNOT_VALIDATED-BL'!$A$1:$F$16,MATCH(R1123,'SummaryNOT_VALIDATED-BL'!$A$1:$A$16,0),6),0),IF(S1123=TRUE,INDEX('SummaryNOT_VALIDATED-BL'!$A$1:$F$16,MATCH(E1123,'SummaryNOT_VALIDATED-BL'!$A$1:$A$16,0),6),0)),0)</f>
        <v>0</v>
      </c>
      <c r="V1123" s="81" cm="1">
        <f t="array" ref="V1123">INDEX('Weight tables'!$A$24:$C$27,MATCH(1,(RendicontiTrasmessiBL__2[[#This Row],[Cut percentage on real costs + USC]]&gt;='Weight tables'!$B$24:$B$27)*(RendicontiTrasmessiBL__2[[#This Row],[Cut percentage on real costs + USC]]&lt;='Weight tables'!$C$24:$C$27),0),1)</f>
        <v>0</v>
      </c>
      <c r="W1123" s="2">
        <f>RendicontiTrasmessiBL__2[[#This Row],[Weight real costs  + USC ]]</f>
        <v>0</v>
      </c>
    </row>
    <row r="1124" spans="1:23" x14ac:dyDescent="0.25">
      <c r="A1124" s="1" t="s">
        <v>271</v>
      </c>
      <c r="B1124" s="1" t="s">
        <v>274</v>
      </c>
      <c r="C1124" s="2">
        <v>218</v>
      </c>
      <c r="D1124" s="2">
        <v>233</v>
      </c>
      <c r="E1124" s="1" t="s">
        <v>234</v>
      </c>
      <c r="G1124">
        <v>0</v>
      </c>
      <c r="H1124">
        <v>0</v>
      </c>
      <c r="I1124">
        <v>0</v>
      </c>
      <c r="J1124">
        <v>0</v>
      </c>
      <c r="K1124">
        <v>0</v>
      </c>
      <c r="L1124">
        <v>0</v>
      </c>
      <c r="M1124">
        <v>0</v>
      </c>
      <c r="N1124">
        <v>0</v>
      </c>
      <c r="O1124">
        <v>0</v>
      </c>
      <c r="P1124">
        <v>0</v>
      </c>
      <c r="Q1124" t="str">
        <f>INDEX('Partner data'!A:DH,MATCH(C1124,'Partner data'!DG:DG,0),83)</f>
        <v>Soggetto privato</v>
      </c>
      <c r="R1124" t="b">
        <f>IF(E1124="staff",IF(INDEX('Partner data'!A:DH,MATCH(C1124,'Partner data'!DG:DG,0),112)="BL1 non presente","FALSO",INDEX('Partner data'!A:DH,MATCH(C1124,'Partner data'!DG:DG,0),112)))</f>
        <v>0</v>
      </c>
      <c r="S1124" t="b">
        <f t="shared" si="34"/>
        <v>0</v>
      </c>
      <c r="T1124" t="b">
        <f t="shared" si="35"/>
        <v>0</v>
      </c>
      <c r="U1124" s="154">
        <f>IFERROR(IF(R1124&lt;&gt;FALSE,IF(S1124=TRUE,INDEX('SummaryNOT_VALIDATED-BL'!$A$1:$F$16,MATCH(R1124,'SummaryNOT_VALIDATED-BL'!$A$1:$A$16,0),6),0),IF(S1124=TRUE,INDEX('SummaryNOT_VALIDATED-BL'!$A$1:$F$16,MATCH(E1124,'SummaryNOT_VALIDATED-BL'!$A$1:$A$16,0),6),0)),0)</f>
        <v>0</v>
      </c>
      <c r="V1124" s="81" cm="1">
        <f t="array" ref="V1124">INDEX('Weight tables'!$A$24:$C$27,MATCH(1,(RendicontiTrasmessiBL__2[[#This Row],[Cut percentage on real costs + USC]]&gt;='Weight tables'!$B$24:$B$27)*(RendicontiTrasmessiBL__2[[#This Row],[Cut percentage on real costs + USC]]&lt;='Weight tables'!$C$24:$C$27),0),1)</f>
        <v>0</v>
      </c>
      <c r="W1124" s="2">
        <f>RendicontiTrasmessiBL__2[[#This Row],[Weight real costs  + USC ]]</f>
        <v>0</v>
      </c>
    </row>
    <row r="1125" spans="1:23" x14ac:dyDescent="0.25">
      <c r="A1125" s="1" t="s">
        <v>271</v>
      </c>
      <c r="B1125" s="1" t="s">
        <v>274</v>
      </c>
      <c r="C1125" s="2">
        <v>218</v>
      </c>
      <c r="D1125" s="2">
        <v>233</v>
      </c>
      <c r="E1125" s="1" t="s">
        <v>236</v>
      </c>
      <c r="G1125">
        <v>0</v>
      </c>
      <c r="H1125">
        <v>0</v>
      </c>
      <c r="I1125">
        <v>0</v>
      </c>
      <c r="J1125">
        <v>0</v>
      </c>
      <c r="K1125">
        <v>0</v>
      </c>
      <c r="L1125">
        <v>0</v>
      </c>
      <c r="M1125">
        <v>0</v>
      </c>
      <c r="N1125">
        <v>0</v>
      </c>
      <c r="O1125">
        <v>0</v>
      </c>
      <c r="P1125">
        <v>0</v>
      </c>
      <c r="Q1125" t="str">
        <f>INDEX('Partner data'!A:DH,MATCH(C1125,'Partner data'!DG:DG,0),83)</f>
        <v>Soggetto privato</v>
      </c>
      <c r="R1125" t="b">
        <f>IF(E1125="staff",IF(INDEX('Partner data'!A:DH,MATCH(C1125,'Partner data'!DG:DG,0),112)="BL1 non presente","FALSO",INDEX('Partner data'!A:DH,MATCH(C1125,'Partner data'!DG:DG,0),112)))</f>
        <v>0</v>
      </c>
      <c r="S1125" t="b">
        <f t="shared" si="34"/>
        <v>0</v>
      </c>
      <c r="T1125" t="b">
        <f t="shared" si="35"/>
        <v>0</v>
      </c>
      <c r="U1125" s="154">
        <f>IFERROR(IF(R1125&lt;&gt;FALSE,IF(S1125=TRUE,INDEX('SummaryNOT_VALIDATED-BL'!$A$1:$F$16,MATCH(R1125,'SummaryNOT_VALIDATED-BL'!$A$1:$A$16,0),6),0),IF(S1125=TRUE,INDEX('SummaryNOT_VALIDATED-BL'!$A$1:$F$16,MATCH(E1125,'SummaryNOT_VALIDATED-BL'!$A$1:$A$16,0),6),0)),0)</f>
        <v>0</v>
      </c>
      <c r="V1125" s="81" cm="1">
        <f t="array" ref="V1125">INDEX('Weight tables'!$A$24:$C$27,MATCH(1,(RendicontiTrasmessiBL__2[[#This Row],[Cut percentage on real costs + USC]]&gt;='Weight tables'!$B$24:$B$27)*(RendicontiTrasmessiBL__2[[#This Row],[Cut percentage on real costs + USC]]&lt;='Weight tables'!$C$24:$C$27),0),1)</f>
        <v>0</v>
      </c>
      <c r="W1125" s="2">
        <f>RendicontiTrasmessiBL__2[[#This Row],[Weight real costs  + USC ]]</f>
        <v>0</v>
      </c>
    </row>
    <row r="1126" spans="1:23" x14ac:dyDescent="0.25">
      <c r="A1126" s="1" t="s">
        <v>271</v>
      </c>
      <c r="B1126" s="1" t="s">
        <v>274</v>
      </c>
      <c r="C1126" s="2">
        <v>218</v>
      </c>
      <c r="D1126" s="2">
        <v>233</v>
      </c>
      <c r="E1126" s="1" t="s">
        <v>237</v>
      </c>
      <c r="G1126">
        <v>0</v>
      </c>
      <c r="H1126">
        <v>0</v>
      </c>
      <c r="I1126">
        <v>0</v>
      </c>
      <c r="J1126">
        <v>0</v>
      </c>
      <c r="K1126">
        <v>0</v>
      </c>
      <c r="L1126">
        <v>0</v>
      </c>
      <c r="M1126">
        <v>0</v>
      </c>
      <c r="N1126">
        <v>0</v>
      </c>
      <c r="O1126">
        <v>0</v>
      </c>
      <c r="P1126">
        <v>0</v>
      </c>
      <c r="Q1126" t="str">
        <f>INDEX('Partner data'!A:DH,MATCH(C1126,'Partner data'!DG:DG,0),83)</f>
        <v>Soggetto privato</v>
      </c>
      <c r="R1126" t="b">
        <f>IF(E1126="staff",IF(INDEX('Partner data'!A:DH,MATCH(C1126,'Partner data'!DG:DG,0),112)="BL1 non presente","FALSO",INDEX('Partner data'!A:DH,MATCH(C1126,'Partner data'!DG:DG,0),112)))</f>
        <v>0</v>
      </c>
      <c r="S1126" t="b">
        <f t="shared" si="34"/>
        <v>0</v>
      </c>
      <c r="T1126" t="b">
        <f t="shared" si="35"/>
        <v>0</v>
      </c>
      <c r="U1126" s="154">
        <f>IFERROR(IF(R1126&lt;&gt;FALSE,IF(S1126=TRUE,INDEX('SummaryNOT_VALIDATED-BL'!$A$1:$F$16,MATCH(R1126,'SummaryNOT_VALIDATED-BL'!$A$1:$A$16,0),6),0),IF(S1126=TRUE,INDEX('SummaryNOT_VALIDATED-BL'!$A$1:$F$16,MATCH(E1126,'SummaryNOT_VALIDATED-BL'!$A$1:$A$16,0),6),0)),0)</f>
        <v>0</v>
      </c>
      <c r="V1126" s="81" cm="1">
        <f t="array" ref="V1126">INDEX('Weight tables'!$A$24:$C$27,MATCH(1,(RendicontiTrasmessiBL__2[[#This Row],[Cut percentage on real costs + USC]]&gt;='Weight tables'!$B$24:$B$27)*(RendicontiTrasmessiBL__2[[#This Row],[Cut percentage on real costs + USC]]&lt;='Weight tables'!$C$24:$C$27),0),1)</f>
        <v>0</v>
      </c>
      <c r="W1126" s="2">
        <f>RendicontiTrasmessiBL__2[[#This Row],[Weight real costs  + USC ]]</f>
        <v>0</v>
      </c>
    </row>
    <row r="1127" spans="1:23" x14ac:dyDescent="0.25">
      <c r="A1127" s="1" t="s">
        <v>271</v>
      </c>
      <c r="B1127" s="1" t="s">
        <v>275</v>
      </c>
      <c r="C1127" s="2">
        <v>221</v>
      </c>
      <c r="D1127" s="2">
        <v>325</v>
      </c>
      <c r="E1127" s="1" t="s">
        <v>228</v>
      </c>
      <c r="G1127">
        <v>15500</v>
      </c>
      <c r="H1127">
        <v>0</v>
      </c>
      <c r="I1127">
        <v>0</v>
      </c>
      <c r="J1127">
        <v>0</v>
      </c>
      <c r="K1127">
        <v>0</v>
      </c>
      <c r="L1127">
        <v>0</v>
      </c>
      <c r="M1127">
        <v>0</v>
      </c>
      <c r="N1127">
        <v>0</v>
      </c>
      <c r="O1127">
        <v>15500</v>
      </c>
      <c r="P1127">
        <v>0</v>
      </c>
      <c r="Q1127" t="str">
        <f>INDEX('Partner data'!A:DH,MATCH(C1127,'Partner data'!DG:DG,0),83)</f>
        <v>Soggetto pubblico</v>
      </c>
      <c r="R1127" t="str">
        <f>IF(E1127="staff",IF(INDEX('Partner data'!A:DH,MATCH(C1127,'Partner data'!DG:DG,0),112)="BL1 non presente","FALSO",INDEX('Partner data'!A:DH,MATCH(C1127,'Partner data'!DG:DG,0),112)))</f>
        <v>COSTO REALE</v>
      </c>
      <c r="S1127" t="b">
        <f t="shared" si="34"/>
        <v>0</v>
      </c>
      <c r="T1127" t="b">
        <f t="shared" si="35"/>
        <v>1</v>
      </c>
      <c r="U1127" s="154">
        <f>IFERROR(IF(R1127&lt;&gt;FALSE,IF(S1127=TRUE,INDEX('SummaryNOT_VALIDATED-BL'!$A$1:$F$16,MATCH(R1127,'SummaryNOT_VALIDATED-BL'!$A$1:$A$16,0),6),0),IF(S1127=TRUE,INDEX('SummaryNOT_VALIDATED-BL'!$A$1:$F$16,MATCH(E1127,'SummaryNOT_VALIDATED-BL'!$A$1:$A$16,0),6),0)),0)</f>
        <v>0</v>
      </c>
      <c r="V1127" s="81" cm="1">
        <f t="array" ref="V1127">INDEX('Weight tables'!$A$24:$C$27,MATCH(1,(RendicontiTrasmessiBL__2[[#This Row],[Cut percentage on real costs + USC]]&gt;='Weight tables'!$B$24:$B$27)*(RendicontiTrasmessiBL__2[[#This Row],[Cut percentage on real costs + USC]]&lt;='Weight tables'!$C$24:$C$27),0),1)</f>
        <v>0</v>
      </c>
      <c r="W1127" s="2">
        <f>RendicontiTrasmessiBL__2[[#This Row],[Weight real costs  + USC ]]</f>
        <v>0</v>
      </c>
    </row>
    <row r="1128" spans="1:23" x14ac:dyDescent="0.25">
      <c r="A1128" s="1" t="s">
        <v>271</v>
      </c>
      <c r="B1128" s="1" t="s">
        <v>275</v>
      </c>
      <c r="C1128" s="2">
        <v>221</v>
      </c>
      <c r="D1128" s="2">
        <v>325</v>
      </c>
      <c r="E1128" s="1" t="s">
        <v>229</v>
      </c>
      <c r="F1128">
        <v>15</v>
      </c>
      <c r="G1128">
        <v>2325</v>
      </c>
      <c r="H1128">
        <v>0</v>
      </c>
      <c r="I1128">
        <v>0</v>
      </c>
      <c r="J1128">
        <v>0</v>
      </c>
      <c r="K1128">
        <v>0</v>
      </c>
      <c r="L1128">
        <v>0</v>
      </c>
      <c r="M1128">
        <v>0</v>
      </c>
      <c r="N1128">
        <v>0</v>
      </c>
      <c r="O1128">
        <v>2325</v>
      </c>
      <c r="P1128">
        <v>0</v>
      </c>
      <c r="Q1128" t="str">
        <f>INDEX('Partner data'!A:DH,MATCH(C1128,'Partner data'!DG:DG,0),83)</f>
        <v>Soggetto pubblico</v>
      </c>
      <c r="R1128" t="b">
        <f>IF(E1128="staff",IF(INDEX('Partner data'!A:DH,MATCH(C1128,'Partner data'!DG:DG,0),112)="BL1 non presente","FALSO",INDEX('Partner data'!A:DH,MATCH(C1128,'Partner data'!DG:DG,0),112)))</f>
        <v>0</v>
      </c>
      <c r="S1128" t="b">
        <f t="shared" si="34"/>
        <v>0</v>
      </c>
      <c r="T1128" t="b">
        <f t="shared" si="35"/>
        <v>1</v>
      </c>
      <c r="U1128" s="154">
        <f>IFERROR(IF(R1128&lt;&gt;FALSE,IF(S1128=TRUE,INDEX('SummaryNOT_VALIDATED-BL'!$A$1:$F$16,MATCH(R1128,'SummaryNOT_VALIDATED-BL'!$A$1:$A$16,0),6),0),IF(S1128=TRUE,INDEX('SummaryNOT_VALIDATED-BL'!$A$1:$F$16,MATCH(E1128,'SummaryNOT_VALIDATED-BL'!$A$1:$A$16,0),6),0)),0)</f>
        <v>0</v>
      </c>
      <c r="V1128" s="81" cm="1">
        <f t="array" ref="V1128">INDEX('Weight tables'!$A$24:$C$27,MATCH(1,(RendicontiTrasmessiBL__2[[#This Row],[Cut percentage on real costs + USC]]&gt;='Weight tables'!$B$24:$B$27)*(RendicontiTrasmessiBL__2[[#This Row],[Cut percentage on real costs + USC]]&lt;='Weight tables'!$C$24:$C$27),0),1)</f>
        <v>0</v>
      </c>
      <c r="W1128" s="2">
        <f>RendicontiTrasmessiBL__2[[#This Row],[Weight real costs  + USC ]]</f>
        <v>0</v>
      </c>
    </row>
    <row r="1129" spans="1:23" x14ac:dyDescent="0.25">
      <c r="A1129" s="1" t="s">
        <v>271</v>
      </c>
      <c r="B1129" s="1" t="s">
        <v>275</v>
      </c>
      <c r="C1129" s="2">
        <v>221</v>
      </c>
      <c r="D1129" s="2">
        <v>325</v>
      </c>
      <c r="E1129" s="1" t="s">
        <v>230</v>
      </c>
      <c r="F1129">
        <v>4</v>
      </c>
      <c r="G1129">
        <v>620</v>
      </c>
      <c r="H1129">
        <v>0</v>
      </c>
      <c r="I1129">
        <v>0</v>
      </c>
      <c r="J1129">
        <v>0</v>
      </c>
      <c r="K1129">
        <v>0</v>
      </c>
      <c r="L1129">
        <v>0</v>
      </c>
      <c r="M1129">
        <v>0</v>
      </c>
      <c r="N1129">
        <v>0</v>
      </c>
      <c r="O1129">
        <v>620</v>
      </c>
      <c r="P1129">
        <v>0</v>
      </c>
      <c r="Q1129" t="str">
        <f>INDEX('Partner data'!A:DH,MATCH(C1129,'Partner data'!DG:DG,0),83)</f>
        <v>Soggetto pubblico</v>
      </c>
      <c r="R1129" t="b">
        <f>IF(E1129="staff",IF(INDEX('Partner data'!A:DH,MATCH(C1129,'Partner data'!DG:DG,0),112)="BL1 non presente","FALSO",INDEX('Partner data'!A:DH,MATCH(C1129,'Partner data'!DG:DG,0),112)))</f>
        <v>0</v>
      </c>
      <c r="S1129" t="b">
        <f t="shared" si="34"/>
        <v>0</v>
      </c>
      <c r="T1129" t="b">
        <f t="shared" si="35"/>
        <v>1</v>
      </c>
      <c r="U1129" s="154">
        <f>IFERROR(IF(R1129&lt;&gt;FALSE,IF(S1129=TRUE,INDEX('SummaryNOT_VALIDATED-BL'!$A$1:$F$16,MATCH(R1129,'SummaryNOT_VALIDATED-BL'!$A$1:$A$16,0),6),0),IF(S1129=TRUE,INDEX('SummaryNOT_VALIDATED-BL'!$A$1:$F$16,MATCH(E1129,'SummaryNOT_VALIDATED-BL'!$A$1:$A$16,0),6),0)),0)</f>
        <v>0</v>
      </c>
      <c r="V1129" s="81" cm="1">
        <f t="array" ref="V1129">INDEX('Weight tables'!$A$24:$C$27,MATCH(1,(RendicontiTrasmessiBL__2[[#This Row],[Cut percentage on real costs + USC]]&gt;='Weight tables'!$B$24:$B$27)*(RendicontiTrasmessiBL__2[[#This Row],[Cut percentage on real costs + USC]]&lt;='Weight tables'!$C$24:$C$27),0),1)</f>
        <v>0</v>
      </c>
      <c r="W1129" s="2">
        <f>RendicontiTrasmessiBL__2[[#This Row],[Weight real costs  + USC ]]</f>
        <v>0</v>
      </c>
    </row>
    <row r="1130" spans="1:23" x14ac:dyDescent="0.25">
      <c r="A1130" s="1" t="s">
        <v>271</v>
      </c>
      <c r="B1130" s="1" t="s">
        <v>275</v>
      </c>
      <c r="C1130" s="2">
        <v>221</v>
      </c>
      <c r="D1130" s="2">
        <v>325</v>
      </c>
      <c r="E1130" s="1" t="s">
        <v>231</v>
      </c>
      <c r="G1130">
        <v>98000</v>
      </c>
      <c r="H1130">
        <v>0</v>
      </c>
      <c r="I1130">
        <v>0</v>
      </c>
      <c r="J1130">
        <v>0</v>
      </c>
      <c r="K1130">
        <v>0</v>
      </c>
      <c r="L1130">
        <v>0</v>
      </c>
      <c r="M1130">
        <v>0</v>
      </c>
      <c r="N1130">
        <v>0</v>
      </c>
      <c r="O1130">
        <v>98000</v>
      </c>
      <c r="P1130">
        <v>0</v>
      </c>
      <c r="Q1130" t="str">
        <f>INDEX('Partner data'!A:DH,MATCH(C1130,'Partner data'!DG:DG,0),83)</f>
        <v>Soggetto pubblico</v>
      </c>
      <c r="R1130" t="b">
        <f>IF(E1130="staff",IF(INDEX('Partner data'!A:DH,MATCH(C1130,'Partner data'!DG:DG,0),112)="BL1 non presente","FALSO",INDEX('Partner data'!A:DH,MATCH(C1130,'Partner data'!DG:DG,0),112)))</f>
        <v>0</v>
      </c>
      <c r="S1130" t="b">
        <f t="shared" si="34"/>
        <v>0</v>
      </c>
      <c r="T1130" t="b">
        <f t="shared" si="35"/>
        <v>1</v>
      </c>
      <c r="U1130" s="154">
        <f>IFERROR(IF(R1130&lt;&gt;FALSE,IF(S1130=TRUE,INDEX('SummaryNOT_VALIDATED-BL'!$A$1:$F$16,MATCH(R1130,'SummaryNOT_VALIDATED-BL'!$A$1:$A$16,0),6),0),IF(S1130=TRUE,INDEX('SummaryNOT_VALIDATED-BL'!$A$1:$F$16,MATCH(E1130,'SummaryNOT_VALIDATED-BL'!$A$1:$A$16,0),6),0)),0)</f>
        <v>0</v>
      </c>
      <c r="V1130" s="81" cm="1">
        <f t="array" ref="V1130">INDEX('Weight tables'!$A$24:$C$27,MATCH(1,(RendicontiTrasmessiBL__2[[#This Row],[Cut percentage on real costs + USC]]&gt;='Weight tables'!$B$24:$B$27)*(RendicontiTrasmessiBL__2[[#This Row],[Cut percentage on real costs + USC]]&lt;='Weight tables'!$C$24:$C$27),0),1)</f>
        <v>0</v>
      </c>
      <c r="W1130" s="2">
        <f>RendicontiTrasmessiBL__2[[#This Row],[Weight real costs  + USC ]]</f>
        <v>0</v>
      </c>
    </row>
    <row r="1131" spans="1:23" x14ac:dyDescent="0.25">
      <c r="A1131" s="1" t="s">
        <v>271</v>
      </c>
      <c r="B1131" s="1" t="s">
        <v>275</v>
      </c>
      <c r="C1131" s="2">
        <v>221</v>
      </c>
      <c r="D1131" s="2">
        <v>325</v>
      </c>
      <c r="E1131" s="1" t="s">
        <v>232</v>
      </c>
      <c r="G1131">
        <v>18300</v>
      </c>
      <c r="H1131">
        <v>0</v>
      </c>
      <c r="I1131">
        <v>0</v>
      </c>
      <c r="J1131">
        <v>0</v>
      </c>
      <c r="K1131">
        <v>0</v>
      </c>
      <c r="L1131">
        <v>0</v>
      </c>
      <c r="M1131">
        <v>0</v>
      </c>
      <c r="N1131">
        <v>0</v>
      </c>
      <c r="O1131">
        <v>18300</v>
      </c>
      <c r="P1131">
        <v>0</v>
      </c>
      <c r="Q1131" t="str">
        <f>INDEX('Partner data'!A:DH,MATCH(C1131,'Partner data'!DG:DG,0),83)</f>
        <v>Soggetto pubblico</v>
      </c>
      <c r="R1131" t="b">
        <f>IF(E1131="staff",IF(INDEX('Partner data'!A:DH,MATCH(C1131,'Partner data'!DG:DG,0),112)="BL1 non presente","FALSO",INDEX('Partner data'!A:DH,MATCH(C1131,'Partner data'!DG:DG,0),112)))</f>
        <v>0</v>
      </c>
      <c r="S1131" t="b">
        <f t="shared" si="34"/>
        <v>0</v>
      </c>
      <c r="T1131" t="b">
        <f t="shared" si="35"/>
        <v>1</v>
      </c>
      <c r="U1131" s="154">
        <f>IFERROR(IF(R1131&lt;&gt;FALSE,IF(S1131=TRUE,INDEX('SummaryNOT_VALIDATED-BL'!$A$1:$F$16,MATCH(R1131,'SummaryNOT_VALIDATED-BL'!$A$1:$A$16,0),6),0),IF(S1131=TRUE,INDEX('SummaryNOT_VALIDATED-BL'!$A$1:$F$16,MATCH(E1131,'SummaryNOT_VALIDATED-BL'!$A$1:$A$16,0),6),0)),0)</f>
        <v>0</v>
      </c>
      <c r="V1131" s="81" cm="1">
        <f t="array" ref="V1131">INDEX('Weight tables'!$A$24:$C$27,MATCH(1,(RendicontiTrasmessiBL__2[[#This Row],[Cut percentage on real costs + USC]]&gt;='Weight tables'!$B$24:$B$27)*(RendicontiTrasmessiBL__2[[#This Row],[Cut percentage on real costs + USC]]&lt;='Weight tables'!$C$24:$C$27),0),1)</f>
        <v>0</v>
      </c>
      <c r="W1131" s="2">
        <f>RendicontiTrasmessiBL__2[[#This Row],[Weight real costs  + USC ]]</f>
        <v>0</v>
      </c>
    </row>
    <row r="1132" spans="1:23" x14ac:dyDescent="0.25">
      <c r="A1132" s="1" t="s">
        <v>271</v>
      </c>
      <c r="B1132" s="1" t="s">
        <v>275</v>
      </c>
      <c r="C1132" s="2">
        <v>221</v>
      </c>
      <c r="D1132" s="2">
        <v>325</v>
      </c>
      <c r="E1132" s="1" t="s">
        <v>233</v>
      </c>
      <c r="G1132">
        <v>15000</v>
      </c>
      <c r="H1132">
        <v>0</v>
      </c>
      <c r="I1132">
        <v>0</v>
      </c>
      <c r="J1132">
        <v>0</v>
      </c>
      <c r="K1132">
        <v>0</v>
      </c>
      <c r="L1132">
        <v>0</v>
      </c>
      <c r="M1132">
        <v>0</v>
      </c>
      <c r="N1132">
        <v>0</v>
      </c>
      <c r="O1132">
        <v>15000</v>
      </c>
      <c r="P1132">
        <v>0</v>
      </c>
      <c r="Q1132" t="str">
        <f>INDEX('Partner data'!A:DH,MATCH(C1132,'Partner data'!DG:DG,0),83)</f>
        <v>Soggetto pubblico</v>
      </c>
      <c r="R1132" t="b">
        <f>IF(E1132="staff",IF(INDEX('Partner data'!A:DH,MATCH(C1132,'Partner data'!DG:DG,0),112)="BL1 non presente","FALSO",INDEX('Partner data'!A:DH,MATCH(C1132,'Partner data'!DG:DG,0),112)))</f>
        <v>0</v>
      </c>
      <c r="S1132" t="b">
        <f t="shared" si="34"/>
        <v>0</v>
      </c>
      <c r="T1132" t="b">
        <f t="shared" si="35"/>
        <v>1</v>
      </c>
      <c r="U1132" s="154">
        <f>IFERROR(IF(R1132&lt;&gt;FALSE,IF(S1132=TRUE,INDEX('SummaryNOT_VALIDATED-BL'!$A$1:$F$16,MATCH(R1132,'SummaryNOT_VALIDATED-BL'!$A$1:$A$16,0),6),0),IF(S1132=TRUE,INDEX('SummaryNOT_VALIDATED-BL'!$A$1:$F$16,MATCH(E1132,'SummaryNOT_VALIDATED-BL'!$A$1:$A$16,0),6),0)),0)</f>
        <v>0</v>
      </c>
      <c r="V1132" s="81" cm="1">
        <f t="array" ref="V1132">INDEX('Weight tables'!$A$24:$C$27,MATCH(1,(RendicontiTrasmessiBL__2[[#This Row],[Cut percentage on real costs + USC]]&gt;='Weight tables'!$B$24:$B$27)*(RendicontiTrasmessiBL__2[[#This Row],[Cut percentage on real costs + USC]]&lt;='Weight tables'!$C$24:$C$27),0),1)</f>
        <v>0</v>
      </c>
      <c r="W1132" s="2">
        <f>RendicontiTrasmessiBL__2[[#This Row],[Weight real costs  + USC ]]</f>
        <v>0</v>
      </c>
    </row>
    <row r="1133" spans="1:23" x14ac:dyDescent="0.25">
      <c r="A1133" s="1" t="s">
        <v>271</v>
      </c>
      <c r="B1133" s="1" t="s">
        <v>275</v>
      </c>
      <c r="C1133" s="2">
        <v>221</v>
      </c>
      <c r="D1133" s="2">
        <v>325</v>
      </c>
      <c r="E1133" s="1" t="s">
        <v>234</v>
      </c>
      <c r="G1133">
        <v>0</v>
      </c>
      <c r="H1133">
        <v>0</v>
      </c>
      <c r="I1133">
        <v>0</v>
      </c>
      <c r="J1133">
        <v>0</v>
      </c>
      <c r="K1133">
        <v>0</v>
      </c>
      <c r="L1133">
        <v>0</v>
      </c>
      <c r="M1133">
        <v>0</v>
      </c>
      <c r="N1133">
        <v>0</v>
      </c>
      <c r="O1133">
        <v>0</v>
      </c>
      <c r="P1133">
        <v>0</v>
      </c>
      <c r="Q1133" t="str">
        <f>INDEX('Partner data'!A:DH,MATCH(C1133,'Partner data'!DG:DG,0),83)</f>
        <v>Soggetto pubblico</v>
      </c>
      <c r="R1133" t="b">
        <f>IF(E1133="staff",IF(INDEX('Partner data'!A:DH,MATCH(C1133,'Partner data'!DG:DG,0),112)="BL1 non presente","FALSO",INDEX('Partner data'!A:DH,MATCH(C1133,'Partner data'!DG:DG,0),112)))</f>
        <v>0</v>
      </c>
      <c r="S1133" t="b">
        <f t="shared" si="34"/>
        <v>0</v>
      </c>
      <c r="T1133" t="b">
        <f t="shared" si="35"/>
        <v>1</v>
      </c>
      <c r="U1133" s="154">
        <f>IFERROR(IF(R1133&lt;&gt;FALSE,IF(S1133=TRUE,INDEX('SummaryNOT_VALIDATED-BL'!$A$1:$F$16,MATCH(R1133,'SummaryNOT_VALIDATED-BL'!$A$1:$A$16,0),6),0),IF(S1133=TRUE,INDEX('SummaryNOT_VALIDATED-BL'!$A$1:$F$16,MATCH(E1133,'SummaryNOT_VALIDATED-BL'!$A$1:$A$16,0),6),0)),0)</f>
        <v>0</v>
      </c>
      <c r="V1133" s="81" cm="1">
        <f t="array" ref="V1133">INDEX('Weight tables'!$A$24:$C$27,MATCH(1,(RendicontiTrasmessiBL__2[[#This Row],[Cut percentage on real costs + USC]]&gt;='Weight tables'!$B$24:$B$27)*(RendicontiTrasmessiBL__2[[#This Row],[Cut percentage on real costs + USC]]&lt;='Weight tables'!$C$24:$C$27),0),1)</f>
        <v>0</v>
      </c>
      <c r="W1133" s="2">
        <f>RendicontiTrasmessiBL__2[[#This Row],[Weight real costs  + USC ]]</f>
        <v>0</v>
      </c>
    </row>
    <row r="1134" spans="1:23" x14ac:dyDescent="0.25">
      <c r="A1134" s="1" t="s">
        <v>271</v>
      </c>
      <c r="B1134" s="1" t="s">
        <v>275</v>
      </c>
      <c r="C1134" s="2">
        <v>221</v>
      </c>
      <c r="D1134" s="2">
        <v>325</v>
      </c>
      <c r="E1134" s="1" t="s">
        <v>236</v>
      </c>
      <c r="G1134">
        <v>0</v>
      </c>
      <c r="H1134">
        <v>0</v>
      </c>
      <c r="I1134">
        <v>0</v>
      </c>
      <c r="J1134">
        <v>0</v>
      </c>
      <c r="K1134">
        <v>0</v>
      </c>
      <c r="L1134">
        <v>0</v>
      </c>
      <c r="M1134">
        <v>0</v>
      </c>
      <c r="N1134">
        <v>0</v>
      </c>
      <c r="O1134">
        <v>0</v>
      </c>
      <c r="P1134">
        <v>0</v>
      </c>
      <c r="Q1134" t="str">
        <f>INDEX('Partner data'!A:DH,MATCH(C1134,'Partner data'!DG:DG,0),83)</f>
        <v>Soggetto pubblico</v>
      </c>
      <c r="R1134" t="b">
        <f>IF(E1134="staff",IF(INDEX('Partner data'!A:DH,MATCH(C1134,'Partner data'!DG:DG,0),112)="BL1 non presente","FALSO",INDEX('Partner data'!A:DH,MATCH(C1134,'Partner data'!DG:DG,0),112)))</f>
        <v>0</v>
      </c>
      <c r="S1134" t="b">
        <f t="shared" si="34"/>
        <v>0</v>
      </c>
      <c r="T1134" t="b">
        <f t="shared" si="35"/>
        <v>1</v>
      </c>
      <c r="U1134" s="154">
        <f>IFERROR(IF(R1134&lt;&gt;FALSE,IF(S1134=TRUE,INDEX('SummaryNOT_VALIDATED-BL'!$A$1:$F$16,MATCH(R1134,'SummaryNOT_VALIDATED-BL'!$A$1:$A$16,0),6),0),IF(S1134=TRUE,INDEX('SummaryNOT_VALIDATED-BL'!$A$1:$F$16,MATCH(E1134,'SummaryNOT_VALIDATED-BL'!$A$1:$A$16,0),6),0)),0)</f>
        <v>0</v>
      </c>
      <c r="V1134" s="81" cm="1">
        <f t="array" ref="V1134">INDEX('Weight tables'!$A$24:$C$27,MATCH(1,(RendicontiTrasmessiBL__2[[#This Row],[Cut percentage on real costs + USC]]&gt;='Weight tables'!$B$24:$B$27)*(RendicontiTrasmessiBL__2[[#This Row],[Cut percentage on real costs + USC]]&lt;='Weight tables'!$C$24:$C$27),0),1)</f>
        <v>0</v>
      </c>
      <c r="W1134" s="2">
        <f>RendicontiTrasmessiBL__2[[#This Row],[Weight real costs  + USC ]]</f>
        <v>0</v>
      </c>
    </row>
    <row r="1135" spans="1:23" x14ac:dyDescent="0.25">
      <c r="A1135" s="1" t="s">
        <v>271</v>
      </c>
      <c r="B1135" s="1" t="s">
        <v>275</v>
      </c>
      <c r="C1135" s="2">
        <v>221</v>
      </c>
      <c r="D1135" s="2">
        <v>325</v>
      </c>
      <c r="E1135" s="1" t="s">
        <v>237</v>
      </c>
      <c r="G1135">
        <v>0</v>
      </c>
      <c r="H1135">
        <v>0</v>
      </c>
      <c r="I1135">
        <v>0</v>
      </c>
      <c r="J1135">
        <v>0</v>
      </c>
      <c r="K1135">
        <v>0</v>
      </c>
      <c r="L1135">
        <v>0</v>
      </c>
      <c r="M1135">
        <v>0</v>
      </c>
      <c r="N1135">
        <v>0</v>
      </c>
      <c r="O1135">
        <v>0</v>
      </c>
      <c r="P1135">
        <v>0</v>
      </c>
      <c r="Q1135" t="str">
        <f>INDEX('Partner data'!A:DH,MATCH(C1135,'Partner data'!DG:DG,0),83)</f>
        <v>Soggetto pubblico</v>
      </c>
      <c r="R1135" t="b">
        <f>IF(E1135="staff",IF(INDEX('Partner data'!A:DH,MATCH(C1135,'Partner data'!DG:DG,0),112)="BL1 non presente","FALSO",INDEX('Partner data'!A:DH,MATCH(C1135,'Partner data'!DG:DG,0),112)))</f>
        <v>0</v>
      </c>
      <c r="S1135" t="b">
        <f t="shared" si="34"/>
        <v>0</v>
      </c>
      <c r="T1135" t="b">
        <f t="shared" si="35"/>
        <v>1</v>
      </c>
      <c r="U1135" s="154">
        <f>IFERROR(IF(R1135&lt;&gt;FALSE,IF(S1135=TRUE,INDEX('SummaryNOT_VALIDATED-BL'!$A$1:$F$16,MATCH(R1135,'SummaryNOT_VALIDATED-BL'!$A$1:$A$16,0),6),0),IF(S1135=TRUE,INDEX('SummaryNOT_VALIDATED-BL'!$A$1:$F$16,MATCH(E1135,'SummaryNOT_VALIDATED-BL'!$A$1:$A$16,0),6),0)),0)</f>
        <v>0</v>
      </c>
      <c r="V1135" s="81" cm="1">
        <f t="array" ref="V1135">INDEX('Weight tables'!$A$24:$C$27,MATCH(1,(RendicontiTrasmessiBL__2[[#This Row],[Cut percentage on real costs + USC]]&gt;='Weight tables'!$B$24:$B$27)*(RendicontiTrasmessiBL__2[[#This Row],[Cut percentage on real costs + USC]]&lt;='Weight tables'!$C$24:$C$27),0),1)</f>
        <v>0</v>
      </c>
      <c r="W1135" s="2">
        <f>RendicontiTrasmessiBL__2[[#This Row],[Weight real costs  + USC ]]</f>
        <v>0</v>
      </c>
    </row>
    <row r="1136" spans="1:23" x14ac:dyDescent="0.25">
      <c r="A1136" s="1" t="s">
        <v>271</v>
      </c>
      <c r="B1136" s="1" t="s">
        <v>276</v>
      </c>
      <c r="C1136" s="2">
        <v>76</v>
      </c>
      <c r="D1136" s="2">
        <v>198</v>
      </c>
      <c r="E1136" s="1" t="s">
        <v>228</v>
      </c>
      <c r="G1136">
        <v>222244.27</v>
      </c>
      <c r="H1136">
        <v>0</v>
      </c>
      <c r="I1136">
        <v>0</v>
      </c>
      <c r="J1136">
        <v>31555.09</v>
      </c>
      <c r="K1136">
        <v>0</v>
      </c>
      <c r="L1136">
        <v>30965.54</v>
      </c>
      <c r="M1136">
        <v>31555.09</v>
      </c>
      <c r="N1136">
        <v>14.2</v>
      </c>
      <c r="O1136">
        <v>190689.18</v>
      </c>
      <c r="P1136">
        <v>0</v>
      </c>
      <c r="Q1136" t="str">
        <f>INDEX('Partner data'!A:DH,MATCH(C1136,'Partner data'!DG:DG,0),83)</f>
        <v>Soggetto privato</v>
      </c>
      <c r="R1136" t="str">
        <f>IF(E1136="staff",IF(INDEX('Partner data'!A:DH,MATCH(C1136,'Partner data'!DG:DG,0),112)="BL1 non presente","FALSO",INDEX('Partner data'!A:DH,MATCH(C1136,'Partner data'!DG:DG,0),112)))</f>
        <v>COSTO REALE</v>
      </c>
      <c r="S1136" t="b">
        <f t="shared" si="34"/>
        <v>1</v>
      </c>
      <c r="T1136" t="b">
        <f t="shared" si="35"/>
        <v>0</v>
      </c>
      <c r="U1136" s="154">
        <f>IFERROR(IF(R1136&lt;&gt;FALSE,IF(S1136=TRUE,INDEX('SummaryNOT_VALIDATED-BL'!$A$1:$F$16,MATCH(R1136,'SummaryNOT_VALIDATED-BL'!$A$1:$A$16,0),6),0),IF(S1136=TRUE,INDEX('SummaryNOT_VALIDATED-BL'!$A$1:$F$16,MATCH(E1136,'SummaryNOT_VALIDATED-BL'!$A$1:$A$16,0),6),0)),0)</f>
        <v>9.1604133276901048E-2</v>
      </c>
      <c r="V1136" s="81" cm="1">
        <f t="array" ref="V1136">INDEX('Weight tables'!$A$24:$C$27,MATCH(1,(RendicontiTrasmessiBL__2[[#This Row],[Cut percentage on real costs + USC]]&gt;='Weight tables'!$B$24:$B$27)*(RendicontiTrasmessiBL__2[[#This Row],[Cut percentage on real costs + USC]]&lt;='Weight tables'!$C$24:$C$27),0),1)</f>
        <v>4</v>
      </c>
      <c r="W1136" s="2">
        <f>RendicontiTrasmessiBL__2[[#This Row],[Weight real costs  + USC ]]</f>
        <v>4</v>
      </c>
    </row>
    <row r="1137" spans="1:23" x14ac:dyDescent="0.25">
      <c r="A1137" s="1" t="s">
        <v>271</v>
      </c>
      <c r="B1137" s="1" t="s">
        <v>276</v>
      </c>
      <c r="C1137" s="2">
        <v>76</v>
      </c>
      <c r="D1137" s="2">
        <v>198</v>
      </c>
      <c r="E1137" s="1" t="s">
        <v>229</v>
      </c>
      <c r="G1137">
        <v>0</v>
      </c>
      <c r="H1137">
        <v>0</v>
      </c>
      <c r="I1137">
        <v>0</v>
      </c>
      <c r="J1137">
        <v>0</v>
      </c>
      <c r="K1137">
        <v>0</v>
      </c>
      <c r="L1137">
        <v>0</v>
      </c>
      <c r="M1137">
        <v>0</v>
      </c>
      <c r="N1137">
        <v>0</v>
      </c>
      <c r="O1137">
        <v>0</v>
      </c>
      <c r="P1137">
        <v>0</v>
      </c>
      <c r="Q1137" t="str">
        <f>INDEX('Partner data'!A:DH,MATCH(C1137,'Partner data'!DG:DG,0),83)</f>
        <v>Soggetto privato</v>
      </c>
      <c r="R1137" t="b">
        <f>IF(E1137="staff",IF(INDEX('Partner data'!A:DH,MATCH(C1137,'Partner data'!DG:DG,0),112)="BL1 non presente","FALSO",INDEX('Partner data'!A:DH,MATCH(C1137,'Partner data'!DG:DG,0),112)))</f>
        <v>0</v>
      </c>
      <c r="S1137" t="b">
        <f t="shared" si="34"/>
        <v>0</v>
      </c>
      <c r="T1137" t="b">
        <f t="shared" si="35"/>
        <v>0</v>
      </c>
      <c r="U1137" s="154">
        <f>IFERROR(IF(R1137&lt;&gt;FALSE,IF(S1137=TRUE,INDEX('SummaryNOT_VALIDATED-BL'!$A$1:$F$16,MATCH(R1137,'SummaryNOT_VALIDATED-BL'!$A$1:$A$16,0),6),0),IF(S1137=TRUE,INDEX('SummaryNOT_VALIDATED-BL'!$A$1:$F$16,MATCH(E1137,'SummaryNOT_VALIDATED-BL'!$A$1:$A$16,0),6),0)),0)</f>
        <v>0</v>
      </c>
      <c r="V1137" s="81" cm="1">
        <f t="array" ref="V1137">INDEX('Weight tables'!$A$24:$C$27,MATCH(1,(RendicontiTrasmessiBL__2[[#This Row],[Cut percentage on real costs + USC]]&gt;='Weight tables'!$B$24:$B$27)*(RendicontiTrasmessiBL__2[[#This Row],[Cut percentage on real costs + USC]]&lt;='Weight tables'!$C$24:$C$27),0),1)</f>
        <v>0</v>
      </c>
      <c r="W1137" s="2">
        <f>RendicontiTrasmessiBL__2[[#This Row],[Weight real costs  + USC ]]</f>
        <v>0</v>
      </c>
    </row>
    <row r="1138" spans="1:23" x14ac:dyDescent="0.25">
      <c r="A1138" s="1" t="s">
        <v>271</v>
      </c>
      <c r="B1138" s="1" t="s">
        <v>276</v>
      </c>
      <c r="C1138" s="2">
        <v>76</v>
      </c>
      <c r="D1138" s="2">
        <v>198</v>
      </c>
      <c r="E1138" s="1" t="s">
        <v>230</v>
      </c>
      <c r="G1138">
        <v>0</v>
      </c>
      <c r="H1138">
        <v>0</v>
      </c>
      <c r="I1138">
        <v>0</v>
      </c>
      <c r="J1138">
        <v>0</v>
      </c>
      <c r="K1138">
        <v>0</v>
      </c>
      <c r="L1138">
        <v>0</v>
      </c>
      <c r="M1138">
        <v>0</v>
      </c>
      <c r="N1138">
        <v>0</v>
      </c>
      <c r="O1138">
        <v>0</v>
      </c>
      <c r="P1138">
        <v>0</v>
      </c>
      <c r="Q1138" t="str">
        <f>INDEX('Partner data'!A:DH,MATCH(C1138,'Partner data'!DG:DG,0),83)</f>
        <v>Soggetto privato</v>
      </c>
      <c r="R1138" t="b">
        <f>IF(E1138="staff",IF(INDEX('Partner data'!A:DH,MATCH(C1138,'Partner data'!DG:DG,0),112)="BL1 non presente","FALSO",INDEX('Partner data'!A:DH,MATCH(C1138,'Partner data'!DG:DG,0),112)))</f>
        <v>0</v>
      </c>
      <c r="S1138" t="b">
        <f t="shared" si="34"/>
        <v>0</v>
      </c>
      <c r="T1138" t="b">
        <f t="shared" si="35"/>
        <v>0</v>
      </c>
      <c r="U1138" s="154">
        <f>IFERROR(IF(R1138&lt;&gt;FALSE,IF(S1138=TRUE,INDEX('SummaryNOT_VALIDATED-BL'!$A$1:$F$16,MATCH(R1138,'SummaryNOT_VALIDATED-BL'!$A$1:$A$16,0),6),0),IF(S1138=TRUE,INDEX('SummaryNOT_VALIDATED-BL'!$A$1:$F$16,MATCH(E1138,'SummaryNOT_VALIDATED-BL'!$A$1:$A$16,0),6),0)),0)</f>
        <v>0</v>
      </c>
      <c r="V1138" s="81" cm="1">
        <f t="array" ref="V1138">INDEX('Weight tables'!$A$24:$C$27,MATCH(1,(RendicontiTrasmessiBL__2[[#This Row],[Cut percentage on real costs + USC]]&gt;='Weight tables'!$B$24:$B$27)*(RendicontiTrasmessiBL__2[[#This Row],[Cut percentage on real costs + USC]]&lt;='Weight tables'!$C$24:$C$27),0),1)</f>
        <v>0</v>
      </c>
      <c r="W1138" s="2">
        <f>RendicontiTrasmessiBL__2[[#This Row],[Weight real costs  + USC ]]</f>
        <v>0</v>
      </c>
    </row>
    <row r="1139" spans="1:23" x14ac:dyDescent="0.25">
      <c r="A1139" s="1" t="s">
        <v>271</v>
      </c>
      <c r="B1139" s="1" t="s">
        <v>276</v>
      </c>
      <c r="C1139" s="2">
        <v>76</v>
      </c>
      <c r="D1139" s="2">
        <v>198</v>
      </c>
      <c r="E1139" s="1" t="s">
        <v>231</v>
      </c>
      <c r="G1139">
        <v>0</v>
      </c>
      <c r="H1139">
        <v>0</v>
      </c>
      <c r="I1139">
        <v>0</v>
      </c>
      <c r="J1139">
        <v>0</v>
      </c>
      <c r="K1139">
        <v>0</v>
      </c>
      <c r="L1139">
        <v>0</v>
      </c>
      <c r="M1139">
        <v>0</v>
      </c>
      <c r="N1139">
        <v>0</v>
      </c>
      <c r="O1139">
        <v>0</v>
      </c>
      <c r="P1139">
        <v>0</v>
      </c>
      <c r="Q1139" t="str">
        <f>INDEX('Partner data'!A:DH,MATCH(C1139,'Partner data'!DG:DG,0),83)</f>
        <v>Soggetto privato</v>
      </c>
      <c r="R1139" t="b">
        <f>IF(E1139="staff",IF(INDEX('Partner data'!A:DH,MATCH(C1139,'Partner data'!DG:DG,0),112)="BL1 non presente","FALSO",INDEX('Partner data'!A:DH,MATCH(C1139,'Partner data'!DG:DG,0),112)))</f>
        <v>0</v>
      </c>
      <c r="S1139" t="b">
        <f t="shared" si="34"/>
        <v>0</v>
      </c>
      <c r="T1139" t="b">
        <f t="shared" si="35"/>
        <v>0</v>
      </c>
      <c r="U1139" s="154">
        <f>IFERROR(IF(R1139&lt;&gt;FALSE,IF(S1139=TRUE,INDEX('SummaryNOT_VALIDATED-BL'!$A$1:$F$16,MATCH(R1139,'SummaryNOT_VALIDATED-BL'!$A$1:$A$16,0),6),0),IF(S1139=TRUE,INDEX('SummaryNOT_VALIDATED-BL'!$A$1:$F$16,MATCH(E1139,'SummaryNOT_VALIDATED-BL'!$A$1:$A$16,0),6),0)),0)</f>
        <v>0</v>
      </c>
      <c r="V1139" s="81" cm="1">
        <f t="array" ref="V1139">INDEX('Weight tables'!$A$24:$C$27,MATCH(1,(RendicontiTrasmessiBL__2[[#This Row],[Cut percentage on real costs + USC]]&gt;='Weight tables'!$B$24:$B$27)*(RendicontiTrasmessiBL__2[[#This Row],[Cut percentage on real costs + USC]]&lt;='Weight tables'!$C$24:$C$27),0),1)</f>
        <v>0</v>
      </c>
      <c r="W1139" s="2">
        <f>RendicontiTrasmessiBL__2[[#This Row],[Weight real costs  + USC ]]</f>
        <v>0</v>
      </c>
    </row>
    <row r="1140" spans="1:23" x14ac:dyDescent="0.25">
      <c r="A1140" s="1" t="s">
        <v>271</v>
      </c>
      <c r="B1140" s="1" t="s">
        <v>276</v>
      </c>
      <c r="C1140" s="2">
        <v>76</v>
      </c>
      <c r="D1140" s="2">
        <v>198</v>
      </c>
      <c r="E1140" s="1" t="s">
        <v>232</v>
      </c>
      <c r="G1140">
        <v>0</v>
      </c>
      <c r="H1140">
        <v>0</v>
      </c>
      <c r="I1140">
        <v>0</v>
      </c>
      <c r="J1140">
        <v>0</v>
      </c>
      <c r="K1140">
        <v>0</v>
      </c>
      <c r="L1140">
        <v>0</v>
      </c>
      <c r="M1140">
        <v>0</v>
      </c>
      <c r="N1140">
        <v>0</v>
      </c>
      <c r="O1140">
        <v>0</v>
      </c>
      <c r="P1140">
        <v>0</v>
      </c>
      <c r="Q1140" t="str">
        <f>INDEX('Partner data'!A:DH,MATCH(C1140,'Partner data'!DG:DG,0),83)</f>
        <v>Soggetto privato</v>
      </c>
      <c r="R1140" t="b">
        <f>IF(E1140="staff",IF(INDEX('Partner data'!A:DH,MATCH(C1140,'Partner data'!DG:DG,0),112)="BL1 non presente","FALSO",INDEX('Partner data'!A:DH,MATCH(C1140,'Partner data'!DG:DG,0),112)))</f>
        <v>0</v>
      </c>
      <c r="S1140" t="b">
        <f t="shared" si="34"/>
        <v>0</v>
      </c>
      <c r="T1140" t="b">
        <f t="shared" si="35"/>
        <v>0</v>
      </c>
      <c r="U1140" s="154">
        <f>IFERROR(IF(R1140&lt;&gt;FALSE,IF(S1140=TRUE,INDEX('SummaryNOT_VALIDATED-BL'!$A$1:$F$16,MATCH(R1140,'SummaryNOT_VALIDATED-BL'!$A$1:$A$16,0),6),0),IF(S1140=TRUE,INDEX('SummaryNOT_VALIDATED-BL'!$A$1:$F$16,MATCH(E1140,'SummaryNOT_VALIDATED-BL'!$A$1:$A$16,0),6),0)),0)</f>
        <v>0</v>
      </c>
      <c r="V1140" s="81" cm="1">
        <f t="array" ref="V1140">INDEX('Weight tables'!$A$24:$C$27,MATCH(1,(RendicontiTrasmessiBL__2[[#This Row],[Cut percentage on real costs + USC]]&gt;='Weight tables'!$B$24:$B$27)*(RendicontiTrasmessiBL__2[[#This Row],[Cut percentage on real costs + USC]]&lt;='Weight tables'!$C$24:$C$27),0),1)</f>
        <v>0</v>
      </c>
      <c r="W1140" s="2">
        <f>RendicontiTrasmessiBL__2[[#This Row],[Weight real costs  + USC ]]</f>
        <v>0</v>
      </c>
    </row>
    <row r="1141" spans="1:23" x14ac:dyDescent="0.25">
      <c r="A1141" s="1" t="s">
        <v>271</v>
      </c>
      <c r="B1141" s="1" t="s">
        <v>276</v>
      </c>
      <c r="C1141" s="2">
        <v>76</v>
      </c>
      <c r="D1141" s="2">
        <v>198</v>
      </c>
      <c r="E1141" s="1" t="s">
        <v>233</v>
      </c>
      <c r="G1141">
        <v>0</v>
      </c>
      <c r="H1141">
        <v>0</v>
      </c>
      <c r="I1141">
        <v>0</v>
      </c>
      <c r="J1141">
        <v>0</v>
      </c>
      <c r="K1141">
        <v>0</v>
      </c>
      <c r="L1141">
        <v>0</v>
      </c>
      <c r="M1141">
        <v>0</v>
      </c>
      <c r="N1141">
        <v>0</v>
      </c>
      <c r="O1141">
        <v>0</v>
      </c>
      <c r="P1141">
        <v>0</v>
      </c>
      <c r="Q1141" t="str">
        <f>INDEX('Partner data'!A:DH,MATCH(C1141,'Partner data'!DG:DG,0),83)</f>
        <v>Soggetto privato</v>
      </c>
      <c r="R1141" t="b">
        <f>IF(E1141="staff",IF(INDEX('Partner data'!A:DH,MATCH(C1141,'Partner data'!DG:DG,0),112)="BL1 non presente","FALSO",INDEX('Partner data'!A:DH,MATCH(C1141,'Partner data'!DG:DG,0),112)))</f>
        <v>0</v>
      </c>
      <c r="S1141" t="b">
        <f t="shared" si="34"/>
        <v>0</v>
      </c>
      <c r="T1141" t="b">
        <f t="shared" si="35"/>
        <v>0</v>
      </c>
      <c r="U1141" s="154">
        <f>IFERROR(IF(R1141&lt;&gt;FALSE,IF(S1141=TRUE,INDEX('SummaryNOT_VALIDATED-BL'!$A$1:$F$16,MATCH(R1141,'SummaryNOT_VALIDATED-BL'!$A$1:$A$16,0),6),0),IF(S1141=TRUE,INDEX('SummaryNOT_VALIDATED-BL'!$A$1:$F$16,MATCH(E1141,'SummaryNOT_VALIDATED-BL'!$A$1:$A$16,0),6),0)),0)</f>
        <v>0</v>
      </c>
      <c r="V1141" s="81" cm="1">
        <f t="array" ref="V1141">INDEX('Weight tables'!$A$24:$C$27,MATCH(1,(RendicontiTrasmessiBL__2[[#This Row],[Cut percentage on real costs + USC]]&gt;='Weight tables'!$B$24:$B$27)*(RendicontiTrasmessiBL__2[[#This Row],[Cut percentage on real costs + USC]]&lt;='Weight tables'!$C$24:$C$27),0),1)</f>
        <v>0</v>
      </c>
      <c r="W1141" s="2">
        <f>RendicontiTrasmessiBL__2[[#This Row],[Weight real costs  + USC ]]</f>
        <v>0</v>
      </c>
    </row>
    <row r="1142" spans="1:23" x14ac:dyDescent="0.25">
      <c r="A1142" s="1" t="s">
        <v>271</v>
      </c>
      <c r="B1142" s="1" t="s">
        <v>276</v>
      </c>
      <c r="C1142" s="2">
        <v>76</v>
      </c>
      <c r="D1142" s="2">
        <v>198</v>
      </c>
      <c r="E1142" s="1" t="s">
        <v>234</v>
      </c>
      <c r="F1142">
        <v>40</v>
      </c>
      <c r="G1142">
        <v>88897.7</v>
      </c>
      <c r="H1142">
        <v>0</v>
      </c>
      <c r="I1142">
        <v>0</v>
      </c>
      <c r="J1142">
        <v>12622.03</v>
      </c>
      <c r="K1142">
        <v>0</v>
      </c>
      <c r="L1142">
        <v>12386.21</v>
      </c>
      <c r="M1142">
        <v>12622.03</v>
      </c>
      <c r="N1142">
        <v>14.2</v>
      </c>
      <c r="O1142">
        <v>76275.67</v>
      </c>
      <c r="P1142">
        <v>0</v>
      </c>
      <c r="Q1142" t="str">
        <f>INDEX('Partner data'!A:DH,MATCH(C1142,'Partner data'!DG:DG,0),83)</f>
        <v>Soggetto privato</v>
      </c>
      <c r="R1142" t="b">
        <f>IF(E1142="staff",IF(INDEX('Partner data'!A:DH,MATCH(C1142,'Partner data'!DG:DG,0),112)="BL1 non presente","FALSO",INDEX('Partner data'!A:DH,MATCH(C1142,'Partner data'!DG:DG,0),112)))</f>
        <v>0</v>
      </c>
      <c r="S1142" t="b">
        <f t="shared" si="34"/>
        <v>1</v>
      </c>
      <c r="T1142" t="b">
        <f t="shared" si="35"/>
        <v>0</v>
      </c>
      <c r="U1142" s="154">
        <f>IFERROR(IF(R1142&lt;&gt;FALSE,IF(S1142=TRUE,INDEX('SummaryNOT_VALIDATED-BL'!$A$1:$F$16,MATCH(R1142,'SummaryNOT_VALIDATED-BL'!$A$1:$A$16,0),6),0),IF(S1142=TRUE,INDEX('SummaryNOT_VALIDATED-BL'!$A$1:$F$16,MATCH(E1142,'SummaryNOT_VALIDATED-BL'!$A$1:$A$16,0),6),0)),0)</f>
        <v>8.7645339819521315E-2</v>
      </c>
      <c r="V1142" s="81" cm="1">
        <f t="array" ref="V1142">INDEX('Weight tables'!$A$24:$C$27,MATCH(1,(RendicontiTrasmessiBL__2[[#This Row],[Cut percentage on real costs + USC]]&gt;='Weight tables'!$B$24:$B$27)*(RendicontiTrasmessiBL__2[[#This Row],[Cut percentage on real costs + USC]]&lt;='Weight tables'!$C$24:$C$27),0),1)</f>
        <v>4</v>
      </c>
      <c r="W1142" s="2">
        <f>RendicontiTrasmessiBL__2[[#This Row],[Weight real costs  + USC ]]</f>
        <v>4</v>
      </c>
    </row>
    <row r="1143" spans="1:23" x14ac:dyDescent="0.25">
      <c r="A1143" s="1" t="s">
        <v>271</v>
      </c>
      <c r="B1143" s="1" t="s">
        <v>276</v>
      </c>
      <c r="C1143" s="2">
        <v>76</v>
      </c>
      <c r="D1143" s="2">
        <v>198</v>
      </c>
      <c r="E1143" s="1" t="s">
        <v>236</v>
      </c>
      <c r="G1143">
        <v>0</v>
      </c>
      <c r="H1143">
        <v>0</v>
      </c>
      <c r="I1143">
        <v>0</v>
      </c>
      <c r="J1143">
        <v>0</v>
      </c>
      <c r="K1143">
        <v>0</v>
      </c>
      <c r="L1143">
        <v>0</v>
      </c>
      <c r="M1143">
        <v>0</v>
      </c>
      <c r="N1143">
        <v>0</v>
      </c>
      <c r="O1143">
        <v>0</v>
      </c>
      <c r="P1143">
        <v>0</v>
      </c>
      <c r="Q1143" t="str">
        <f>INDEX('Partner data'!A:DH,MATCH(C1143,'Partner data'!DG:DG,0),83)</f>
        <v>Soggetto privato</v>
      </c>
      <c r="R1143" t="b">
        <f>IF(E1143="staff",IF(INDEX('Partner data'!A:DH,MATCH(C1143,'Partner data'!DG:DG,0),112)="BL1 non presente","FALSO",INDEX('Partner data'!A:DH,MATCH(C1143,'Partner data'!DG:DG,0),112)))</f>
        <v>0</v>
      </c>
      <c r="S1143" t="b">
        <f t="shared" si="34"/>
        <v>0</v>
      </c>
      <c r="T1143" t="b">
        <f t="shared" si="35"/>
        <v>0</v>
      </c>
      <c r="U1143" s="154">
        <f>IFERROR(IF(R1143&lt;&gt;FALSE,IF(S1143=TRUE,INDEX('SummaryNOT_VALIDATED-BL'!$A$1:$F$16,MATCH(R1143,'SummaryNOT_VALIDATED-BL'!$A$1:$A$16,0),6),0),IF(S1143=TRUE,INDEX('SummaryNOT_VALIDATED-BL'!$A$1:$F$16,MATCH(E1143,'SummaryNOT_VALIDATED-BL'!$A$1:$A$16,0),6),0)),0)</f>
        <v>0</v>
      </c>
      <c r="V1143" s="81" cm="1">
        <f t="array" ref="V1143">INDEX('Weight tables'!$A$24:$C$27,MATCH(1,(RendicontiTrasmessiBL__2[[#This Row],[Cut percentage on real costs + USC]]&gt;='Weight tables'!$B$24:$B$27)*(RendicontiTrasmessiBL__2[[#This Row],[Cut percentage on real costs + USC]]&lt;='Weight tables'!$C$24:$C$27),0),1)</f>
        <v>0</v>
      </c>
      <c r="W1143" s="2">
        <f>RendicontiTrasmessiBL__2[[#This Row],[Weight real costs  + USC ]]</f>
        <v>0</v>
      </c>
    </row>
    <row r="1144" spans="1:23" x14ac:dyDescent="0.25">
      <c r="A1144" s="1" t="s">
        <v>271</v>
      </c>
      <c r="B1144" s="1" t="s">
        <v>276</v>
      </c>
      <c r="C1144" s="2">
        <v>76</v>
      </c>
      <c r="D1144" s="2">
        <v>198</v>
      </c>
      <c r="E1144" s="1" t="s">
        <v>237</v>
      </c>
      <c r="G1144">
        <v>0</v>
      </c>
      <c r="H1144">
        <v>0</v>
      </c>
      <c r="I1144">
        <v>0</v>
      </c>
      <c r="J1144">
        <v>0</v>
      </c>
      <c r="K1144">
        <v>0</v>
      </c>
      <c r="L1144">
        <v>0</v>
      </c>
      <c r="M1144">
        <v>0</v>
      </c>
      <c r="N1144">
        <v>0</v>
      </c>
      <c r="O1144">
        <v>0</v>
      </c>
      <c r="P1144">
        <v>0</v>
      </c>
      <c r="Q1144" t="str">
        <f>INDEX('Partner data'!A:DH,MATCH(C1144,'Partner data'!DG:DG,0),83)</f>
        <v>Soggetto privato</v>
      </c>
      <c r="R1144" t="b">
        <f>IF(E1144="staff",IF(INDEX('Partner data'!A:DH,MATCH(C1144,'Partner data'!DG:DG,0),112)="BL1 non presente","FALSO",INDEX('Partner data'!A:DH,MATCH(C1144,'Partner data'!DG:DG,0),112)))</f>
        <v>0</v>
      </c>
      <c r="S1144" t="b">
        <f t="shared" si="34"/>
        <v>0</v>
      </c>
      <c r="T1144" t="b">
        <f t="shared" si="35"/>
        <v>0</v>
      </c>
      <c r="U1144" s="154">
        <f>IFERROR(IF(R1144&lt;&gt;FALSE,IF(S1144=TRUE,INDEX('SummaryNOT_VALIDATED-BL'!$A$1:$F$16,MATCH(R1144,'SummaryNOT_VALIDATED-BL'!$A$1:$A$16,0),6),0),IF(S1144=TRUE,INDEX('SummaryNOT_VALIDATED-BL'!$A$1:$F$16,MATCH(E1144,'SummaryNOT_VALIDATED-BL'!$A$1:$A$16,0),6),0)),0)</f>
        <v>0</v>
      </c>
      <c r="V1144" s="81" cm="1">
        <f t="array" ref="V1144">INDEX('Weight tables'!$A$24:$C$27,MATCH(1,(RendicontiTrasmessiBL__2[[#This Row],[Cut percentage on real costs + USC]]&gt;='Weight tables'!$B$24:$B$27)*(RendicontiTrasmessiBL__2[[#This Row],[Cut percentage on real costs + USC]]&lt;='Weight tables'!$C$24:$C$27),0),1)</f>
        <v>0</v>
      </c>
      <c r="W1144" s="2">
        <f>RendicontiTrasmessiBL__2[[#This Row],[Weight real costs  + USC ]]</f>
        <v>0</v>
      </c>
    </row>
    <row r="1145" spans="1:23" x14ac:dyDescent="0.25">
      <c r="A1145" s="1" t="s">
        <v>57</v>
      </c>
      <c r="B1145" s="1" t="s">
        <v>29</v>
      </c>
      <c r="C1145" s="2">
        <v>312</v>
      </c>
      <c r="D1145" s="2">
        <v>218</v>
      </c>
      <c r="E1145" s="1" t="s">
        <v>228</v>
      </c>
      <c r="G1145">
        <v>104000</v>
      </c>
      <c r="H1145">
        <v>23834.73</v>
      </c>
      <c r="I1145">
        <v>0</v>
      </c>
      <c r="J1145">
        <v>7337.5</v>
      </c>
      <c r="K1145">
        <v>0</v>
      </c>
      <c r="L1145">
        <v>0</v>
      </c>
      <c r="M1145">
        <v>31172.23</v>
      </c>
      <c r="N1145">
        <v>29.97</v>
      </c>
      <c r="O1145">
        <v>72827.77</v>
      </c>
      <c r="P1145">
        <v>23154.48</v>
      </c>
      <c r="Q1145" t="str">
        <f>INDEX('Partner data'!A:DH,MATCH(C1145,'Partner data'!DG:DG,0),83)</f>
        <v>Soggetto pubblico</v>
      </c>
      <c r="R1145" t="str">
        <f>IF(E1145="staff",IF(INDEX('Partner data'!A:DH,MATCH(C1145,'Partner data'!DG:DG,0),112)="BL1 non presente","FALSO",INDEX('Partner data'!A:DH,MATCH(C1145,'Partner data'!DG:DG,0),112)))</f>
        <v>COSTO REALE</v>
      </c>
      <c r="S1145" t="b">
        <f t="shared" si="34"/>
        <v>1</v>
      </c>
      <c r="T1145" t="b">
        <f t="shared" si="35"/>
        <v>1</v>
      </c>
      <c r="U1145" s="154">
        <f>IFERROR(IF(R1145&lt;&gt;FALSE,IF(S1145=TRUE,INDEX('SummaryNOT_VALIDATED-BL'!$A$1:$F$16,MATCH(R1145,'SummaryNOT_VALIDATED-BL'!$A$1:$A$16,0),6),0),IF(S1145=TRUE,INDEX('SummaryNOT_VALIDATED-BL'!$A$1:$F$16,MATCH(E1145,'SummaryNOT_VALIDATED-BL'!$A$1:$A$16,0),6),0)),0)</f>
        <v>9.1604133276901048E-2</v>
      </c>
      <c r="V1145" s="81" cm="1">
        <f t="array" ref="V1145">INDEX('Weight tables'!$A$24:$C$27,MATCH(1,(RendicontiTrasmessiBL__2[[#This Row],[Cut percentage on real costs + USC]]&gt;='Weight tables'!$B$24:$B$27)*(RendicontiTrasmessiBL__2[[#This Row],[Cut percentage on real costs + USC]]&lt;='Weight tables'!$C$24:$C$27),0),1)</f>
        <v>4</v>
      </c>
      <c r="W1145" s="2">
        <f>RendicontiTrasmessiBL__2[[#This Row],[Weight real costs  + USC ]]</f>
        <v>4</v>
      </c>
    </row>
    <row r="1146" spans="1:23" x14ac:dyDescent="0.25">
      <c r="A1146" s="1" t="s">
        <v>57</v>
      </c>
      <c r="B1146" s="1" t="s">
        <v>29</v>
      </c>
      <c r="C1146" s="2">
        <v>312</v>
      </c>
      <c r="D1146" s="2">
        <v>218</v>
      </c>
      <c r="E1146" s="1" t="s">
        <v>229</v>
      </c>
      <c r="F1146">
        <v>15</v>
      </c>
      <c r="G1146">
        <v>15600</v>
      </c>
      <c r="H1146">
        <v>3575.2</v>
      </c>
      <c r="I1146">
        <v>0</v>
      </c>
      <c r="J1146">
        <v>1100.6199999999999</v>
      </c>
      <c r="K1146">
        <v>0</v>
      </c>
      <c r="L1146">
        <v>0</v>
      </c>
      <c r="M1146">
        <v>4675.82</v>
      </c>
      <c r="N1146">
        <v>29.97</v>
      </c>
      <c r="O1146">
        <v>10924.18</v>
      </c>
      <c r="P1146">
        <v>3473.17</v>
      </c>
      <c r="Q1146" t="str">
        <f>INDEX('Partner data'!A:DH,MATCH(C1146,'Partner data'!DG:DG,0),83)</f>
        <v>Soggetto pubblico</v>
      </c>
      <c r="R1146" t="b">
        <f>IF(E1146="staff",IF(INDEX('Partner data'!A:DH,MATCH(C1146,'Partner data'!DG:DG,0),112)="BL1 non presente","FALSO",INDEX('Partner data'!A:DH,MATCH(C1146,'Partner data'!DG:DG,0),112)))</f>
        <v>0</v>
      </c>
      <c r="S1146" t="b">
        <f t="shared" si="34"/>
        <v>1</v>
      </c>
      <c r="T1146" t="b">
        <f t="shared" si="35"/>
        <v>1</v>
      </c>
      <c r="U1146" s="154">
        <f>IFERROR(IF(R1146&lt;&gt;FALSE,IF(S1146=TRUE,INDEX('SummaryNOT_VALIDATED-BL'!$A$1:$F$16,MATCH(R1146,'SummaryNOT_VALIDATED-BL'!$A$1:$A$16,0),6),0),IF(S1146=TRUE,INDEX('SummaryNOT_VALIDATED-BL'!$A$1:$F$16,MATCH(E1146,'SummaryNOT_VALIDATED-BL'!$A$1:$A$16,0),6),0)),0)</f>
        <v>6.6460469504890221E-2</v>
      </c>
      <c r="V1146" s="81" cm="1">
        <f t="array" ref="V1146">INDEX('Weight tables'!$A$24:$C$27,MATCH(1,(RendicontiTrasmessiBL__2[[#This Row],[Cut percentage on real costs + USC]]&gt;='Weight tables'!$B$24:$B$27)*(RendicontiTrasmessiBL__2[[#This Row],[Cut percentage on real costs + USC]]&lt;='Weight tables'!$C$24:$C$27),0),1)</f>
        <v>4</v>
      </c>
      <c r="W1146" s="2">
        <f>RendicontiTrasmessiBL__2[[#This Row],[Weight real costs  + USC ]]</f>
        <v>4</v>
      </c>
    </row>
    <row r="1147" spans="1:23" x14ac:dyDescent="0.25">
      <c r="A1147" s="1" t="s">
        <v>57</v>
      </c>
      <c r="B1147" s="1" t="s">
        <v>29</v>
      </c>
      <c r="C1147" s="2">
        <v>312</v>
      </c>
      <c r="D1147" s="2">
        <v>218</v>
      </c>
      <c r="E1147" s="1" t="s">
        <v>230</v>
      </c>
      <c r="F1147">
        <v>4</v>
      </c>
      <c r="G1147">
        <v>4160</v>
      </c>
      <c r="H1147">
        <v>953.38</v>
      </c>
      <c r="I1147">
        <v>0</v>
      </c>
      <c r="J1147">
        <v>293.5</v>
      </c>
      <c r="K1147">
        <v>0</v>
      </c>
      <c r="L1147">
        <v>0</v>
      </c>
      <c r="M1147">
        <v>1246.8800000000001</v>
      </c>
      <c r="N1147">
        <v>29.97</v>
      </c>
      <c r="O1147">
        <v>2913.12</v>
      </c>
      <c r="P1147">
        <v>926.17</v>
      </c>
      <c r="Q1147" t="str">
        <f>INDEX('Partner data'!A:DH,MATCH(C1147,'Partner data'!DG:DG,0),83)</f>
        <v>Soggetto pubblico</v>
      </c>
      <c r="R1147" t="b">
        <f>IF(E1147="staff",IF(INDEX('Partner data'!A:DH,MATCH(C1147,'Partner data'!DG:DG,0),112)="BL1 non presente","FALSO",INDEX('Partner data'!A:DH,MATCH(C1147,'Partner data'!DG:DG,0),112)))</f>
        <v>0</v>
      </c>
      <c r="S1147" t="b">
        <f t="shared" si="34"/>
        <v>1</v>
      </c>
      <c r="T1147" t="b">
        <f t="shared" si="35"/>
        <v>1</v>
      </c>
      <c r="U1147" s="154">
        <f>IFERROR(IF(R1147&lt;&gt;FALSE,IF(S1147=TRUE,INDEX('SummaryNOT_VALIDATED-BL'!$A$1:$F$16,MATCH(R1147,'SummaryNOT_VALIDATED-BL'!$A$1:$A$16,0),6),0),IF(S1147=TRUE,INDEX('SummaryNOT_VALIDATED-BL'!$A$1:$F$16,MATCH(E1147,'SummaryNOT_VALIDATED-BL'!$A$1:$A$16,0),6),0)),0)</f>
        <v>6.3112622236488891E-2</v>
      </c>
      <c r="V1147" s="81" cm="1">
        <f t="array" ref="V1147">INDEX('Weight tables'!$A$24:$C$27,MATCH(1,(RendicontiTrasmessiBL__2[[#This Row],[Cut percentage on real costs + USC]]&gt;='Weight tables'!$B$24:$B$27)*(RendicontiTrasmessiBL__2[[#This Row],[Cut percentage on real costs + USC]]&lt;='Weight tables'!$C$24:$C$27),0),1)</f>
        <v>4</v>
      </c>
      <c r="W1147" s="2">
        <f>RendicontiTrasmessiBL__2[[#This Row],[Weight real costs  + USC ]]</f>
        <v>4</v>
      </c>
    </row>
    <row r="1148" spans="1:23" x14ac:dyDescent="0.25">
      <c r="A1148" s="1" t="s">
        <v>57</v>
      </c>
      <c r="B1148" s="1" t="s">
        <v>29</v>
      </c>
      <c r="C1148" s="2">
        <v>312</v>
      </c>
      <c r="D1148" s="2">
        <v>218</v>
      </c>
      <c r="E1148" s="1" t="s">
        <v>231</v>
      </c>
      <c r="G1148">
        <v>84000</v>
      </c>
      <c r="H1148">
        <v>0</v>
      </c>
      <c r="I1148">
        <v>0</v>
      </c>
      <c r="J1148">
        <v>0</v>
      </c>
      <c r="K1148">
        <v>0</v>
      </c>
      <c r="L1148">
        <v>0</v>
      </c>
      <c r="M1148">
        <v>0</v>
      </c>
      <c r="N1148">
        <v>0</v>
      </c>
      <c r="O1148">
        <v>84000</v>
      </c>
      <c r="P1148">
        <v>0</v>
      </c>
      <c r="Q1148" t="str">
        <f>INDEX('Partner data'!A:DH,MATCH(C1148,'Partner data'!DG:DG,0),83)</f>
        <v>Soggetto pubblico</v>
      </c>
      <c r="R1148" t="b">
        <f>IF(E1148="staff",IF(INDEX('Partner data'!A:DH,MATCH(C1148,'Partner data'!DG:DG,0),112)="BL1 non presente","FALSO",INDEX('Partner data'!A:DH,MATCH(C1148,'Partner data'!DG:DG,0),112)))</f>
        <v>0</v>
      </c>
      <c r="S1148" t="b">
        <f t="shared" si="34"/>
        <v>0</v>
      </c>
      <c r="T1148" t="b">
        <f t="shared" si="35"/>
        <v>1</v>
      </c>
      <c r="U1148" s="154">
        <f>IFERROR(IF(R1148&lt;&gt;FALSE,IF(S1148=TRUE,INDEX('SummaryNOT_VALIDATED-BL'!$A$1:$F$16,MATCH(R1148,'SummaryNOT_VALIDATED-BL'!$A$1:$A$16,0),6),0),IF(S1148=TRUE,INDEX('SummaryNOT_VALIDATED-BL'!$A$1:$F$16,MATCH(E1148,'SummaryNOT_VALIDATED-BL'!$A$1:$A$16,0),6),0)),0)</f>
        <v>0</v>
      </c>
      <c r="V1148" s="81" cm="1">
        <f t="array" ref="V1148">INDEX('Weight tables'!$A$24:$C$27,MATCH(1,(RendicontiTrasmessiBL__2[[#This Row],[Cut percentage on real costs + USC]]&gt;='Weight tables'!$B$24:$B$27)*(RendicontiTrasmessiBL__2[[#This Row],[Cut percentage on real costs + USC]]&lt;='Weight tables'!$C$24:$C$27),0),1)</f>
        <v>0</v>
      </c>
      <c r="W1148" s="2">
        <f>RendicontiTrasmessiBL__2[[#This Row],[Weight real costs  + USC ]]</f>
        <v>0</v>
      </c>
    </row>
    <row r="1149" spans="1:23" x14ac:dyDescent="0.25">
      <c r="A1149" s="1" t="s">
        <v>57</v>
      </c>
      <c r="B1149" s="1" t="s">
        <v>29</v>
      </c>
      <c r="C1149" s="2">
        <v>312</v>
      </c>
      <c r="D1149" s="2">
        <v>218</v>
      </c>
      <c r="E1149" s="1" t="s">
        <v>232</v>
      </c>
      <c r="G1149">
        <v>31249</v>
      </c>
      <c r="H1149">
        <v>0</v>
      </c>
      <c r="I1149">
        <v>0</v>
      </c>
      <c r="J1149">
        <v>31249</v>
      </c>
      <c r="K1149">
        <v>0</v>
      </c>
      <c r="L1149">
        <v>0</v>
      </c>
      <c r="M1149">
        <v>31249</v>
      </c>
      <c r="N1149">
        <v>100</v>
      </c>
      <c r="O1149">
        <v>0</v>
      </c>
      <c r="P1149">
        <v>0</v>
      </c>
      <c r="Q1149" t="str">
        <f>INDEX('Partner data'!A:DH,MATCH(C1149,'Partner data'!DG:DG,0),83)</f>
        <v>Soggetto pubblico</v>
      </c>
      <c r="R1149" t="b">
        <f>IF(E1149="staff",IF(INDEX('Partner data'!A:DH,MATCH(C1149,'Partner data'!DG:DG,0),112)="BL1 non presente","FALSO",INDEX('Partner data'!A:DH,MATCH(C1149,'Partner data'!DG:DG,0),112)))</f>
        <v>0</v>
      </c>
      <c r="S1149" t="b">
        <f t="shared" si="34"/>
        <v>1</v>
      </c>
      <c r="T1149" t="b">
        <f t="shared" si="35"/>
        <v>1</v>
      </c>
      <c r="U1149" s="154">
        <f>IFERROR(IF(R1149&lt;&gt;FALSE,IF(S1149=TRUE,INDEX('SummaryNOT_VALIDATED-BL'!$A$1:$F$16,MATCH(R1149,'SummaryNOT_VALIDATED-BL'!$A$1:$A$16,0),6),0),IF(S1149=TRUE,INDEX('SummaryNOT_VALIDATED-BL'!$A$1:$F$16,MATCH(E1149,'SummaryNOT_VALIDATED-BL'!$A$1:$A$16,0),6),0)),0)</f>
        <v>1.102169095281242E-2</v>
      </c>
      <c r="V1149" s="81" cm="1">
        <f t="array" ref="V1149">INDEX('Weight tables'!$A$24:$C$27,MATCH(1,(RendicontiTrasmessiBL__2[[#This Row],[Cut percentage on real costs + USC]]&gt;='Weight tables'!$B$24:$B$27)*(RendicontiTrasmessiBL__2[[#This Row],[Cut percentage on real costs + USC]]&lt;='Weight tables'!$C$24:$C$27),0),1)</f>
        <v>0</v>
      </c>
      <c r="W1149" s="2">
        <f>RendicontiTrasmessiBL__2[[#This Row],[Weight real costs  + USC ]]</f>
        <v>0</v>
      </c>
    </row>
    <row r="1150" spans="1:23" x14ac:dyDescent="0.25">
      <c r="A1150" s="1" t="s">
        <v>57</v>
      </c>
      <c r="B1150" s="1" t="s">
        <v>29</v>
      </c>
      <c r="C1150" s="2">
        <v>312</v>
      </c>
      <c r="D1150" s="2">
        <v>218</v>
      </c>
      <c r="E1150" s="1" t="s">
        <v>233</v>
      </c>
      <c r="G1150">
        <v>73079</v>
      </c>
      <c r="H1150">
        <v>0</v>
      </c>
      <c r="I1150">
        <v>0</v>
      </c>
      <c r="J1150">
        <v>0</v>
      </c>
      <c r="K1150">
        <v>0</v>
      </c>
      <c r="L1150">
        <v>0</v>
      </c>
      <c r="M1150">
        <v>0</v>
      </c>
      <c r="N1150">
        <v>0</v>
      </c>
      <c r="O1150">
        <v>73079</v>
      </c>
      <c r="P1150">
        <v>0</v>
      </c>
      <c r="Q1150" t="str">
        <f>INDEX('Partner data'!A:DH,MATCH(C1150,'Partner data'!DG:DG,0),83)</f>
        <v>Soggetto pubblico</v>
      </c>
      <c r="R1150" t="b">
        <f>IF(E1150="staff",IF(INDEX('Partner data'!A:DH,MATCH(C1150,'Partner data'!DG:DG,0),112)="BL1 non presente","FALSO",INDEX('Partner data'!A:DH,MATCH(C1150,'Partner data'!DG:DG,0),112)))</f>
        <v>0</v>
      </c>
      <c r="S1150" t="b">
        <f t="shared" si="34"/>
        <v>0</v>
      </c>
      <c r="T1150" t="b">
        <f t="shared" si="35"/>
        <v>1</v>
      </c>
      <c r="U1150" s="154">
        <f>IFERROR(IF(R1150&lt;&gt;FALSE,IF(S1150=TRUE,INDEX('SummaryNOT_VALIDATED-BL'!$A$1:$F$16,MATCH(R1150,'SummaryNOT_VALIDATED-BL'!$A$1:$A$16,0),6),0),IF(S1150=TRUE,INDEX('SummaryNOT_VALIDATED-BL'!$A$1:$F$16,MATCH(E1150,'SummaryNOT_VALIDATED-BL'!$A$1:$A$16,0),6),0)),0)</f>
        <v>0</v>
      </c>
      <c r="V1150" s="81" cm="1">
        <f t="array" ref="V1150">INDEX('Weight tables'!$A$24:$C$27,MATCH(1,(RendicontiTrasmessiBL__2[[#This Row],[Cut percentage on real costs + USC]]&gt;='Weight tables'!$B$24:$B$27)*(RendicontiTrasmessiBL__2[[#This Row],[Cut percentage on real costs + USC]]&lt;='Weight tables'!$C$24:$C$27),0),1)</f>
        <v>0</v>
      </c>
      <c r="W1150" s="2">
        <f>RendicontiTrasmessiBL__2[[#This Row],[Weight real costs  + USC ]]</f>
        <v>0</v>
      </c>
    </row>
    <row r="1151" spans="1:23" x14ac:dyDescent="0.25">
      <c r="A1151" s="1" t="s">
        <v>57</v>
      </c>
      <c r="B1151" s="1" t="s">
        <v>29</v>
      </c>
      <c r="C1151" s="2">
        <v>312</v>
      </c>
      <c r="D1151" s="2">
        <v>218</v>
      </c>
      <c r="E1151" s="1" t="s">
        <v>234</v>
      </c>
      <c r="G1151">
        <v>0</v>
      </c>
      <c r="H1151">
        <v>0</v>
      </c>
      <c r="I1151">
        <v>0</v>
      </c>
      <c r="J1151">
        <v>0</v>
      </c>
      <c r="K1151">
        <v>0</v>
      </c>
      <c r="L1151">
        <v>0</v>
      </c>
      <c r="M1151">
        <v>0</v>
      </c>
      <c r="N1151">
        <v>0</v>
      </c>
      <c r="O1151">
        <v>0</v>
      </c>
      <c r="P1151">
        <v>0</v>
      </c>
      <c r="Q1151" t="str">
        <f>INDEX('Partner data'!A:DH,MATCH(C1151,'Partner data'!DG:DG,0),83)</f>
        <v>Soggetto pubblico</v>
      </c>
      <c r="R1151" t="b">
        <f>IF(E1151="staff",IF(INDEX('Partner data'!A:DH,MATCH(C1151,'Partner data'!DG:DG,0),112)="BL1 non presente","FALSO",INDEX('Partner data'!A:DH,MATCH(C1151,'Partner data'!DG:DG,0),112)))</f>
        <v>0</v>
      </c>
      <c r="S1151" t="b">
        <f t="shared" si="34"/>
        <v>0</v>
      </c>
      <c r="T1151" t="b">
        <f t="shared" si="35"/>
        <v>1</v>
      </c>
      <c r="U1151" s="154">
        <f>IFERROR(IF(R1151&lt;&gt;FALSE,IF(S1151=TRUE,INDEX('SummaryNOT_VALIDATED-BL'!$A$1:$F$16,MATCH(R1151,'SummaryNOT_VALIDATED-BL'!$A$1:$A$16,0),6),0),IF(S1151=TRUE,INDEX('SummaryNOT_VALIDATED-BL'!$A$1:$F$16,MATCH(E1151,'SummaryNOT_VALIDATED-BL'!$A$1:$A$16,0),6),0)),0)</f>
        <v>0</v>
      </c>
      <c r="V1151" s="81" cm="1">
        <f t="array" ref="V1151">INDEX('Weight tables'!$A$24:$C$27,MATCH(1,(RendicontiTrasmessiBL__2[[#This Row],[Cut percentage on real costs + USC]]&gt;='Weight tables'!$B$24:$B$27)*(RendicontiTrasmessiBL__2[[#This Row],[Cut percentage on real costs + USC]]&lt;='Weight tables'!$C$24:$C$27),0),1)</f>
        <v>0</v>
      </c>
      <c r="W1151" s="2">
        <f>RendicontiTrasmessiBL__2[[#This Row],[Weight real costs  + USC ]]</f>
        <v>0</v>
      </c>
    </row>
    <row r="1152" spans="1:23" x14ac:dyDescent="0.25">
      <c r="A1152" s="1" t="s">
        <v>57</v>
      </c>
      <c r="B1152" s="1" t="s">
        <v>29</v>
      </c>
      <c r="C1152" s="2">
        <v>312</v>
      </c>
      <c r="D1152" s="2">
        <v>218</v>
      </c>
      <c r="E1152" s="1" t="s">
        <v>236</v>
      </c>
      <c r="G1152">
        <v>0</v>
      </c>
      <c r="H1152">
        <v>0</v>
      </c>
      <c r="I1152">
        <v>0</v>
      </c>
      <c r="J1152">
        <v>0</v>
      </c>
      <c r="K1152">
        <v>0</v>
      </c>
      <c r="L1152">
        <v>0</v>
      </c>
      <c r="M1152">
        <v>0</v>
      </c>
      <c r="N1152">
        <v>0</v>
      </c>
      <c r="O1152">
        <v>0</v>
      </c>
      <c r="P1152">
        <v>0</v>
      </c>
      <c r="Q1152" t="str">
        <f>INDEX('Partner data'!A:DH,MATCH(C1152,'Partner data'!DG:DG,0),83)</f>
        <v>Soggetto pubblico</v>
      </c>
      <c r="R1152" t="b">
        <f>IF(E1152="staff",IF(INDEX('Partner data'!A:DH,MATCH(C1152,'Partner data'!DG:DG,0),112)="BL1 non presente","FALSO",INDEX('Partner data'!A:DH,MATCH(C1152,'Partner data'!DG:DG,0),112)))</f>
        <v>0</v>
      </c>
      <c r="S1152" t="b">
        <f t="shared" si="34"/>
        <v>0</v>
      </c>
      <c r="T1152" t="b">
        <f t="shared" si="35"/>
        <v>1</v>
      </c>
      <c r="U1152" s="154">
        <f>IFERROR(IF(R1152&lt;&gt;FALSE,IF(S1152=TRUE,INDEX('SummaryNOT_VALIDATED-BL'!$A$1:$F$16,MATCH(R1152,'SummaryNOT_VALIDATED-BL'!$A$1:$A$16,0),6),0),IF(S1152=TRUE,INDEX('SummaryNOT_VALIDATED-BL'!$A$1:$F$16,MATCH(E1152,'SummaryNOT_VALIDATED-BL'!$A$1:$A$16,0),6),0)),0)</f>
        <v>0</v>
      </c>
      <c r="V1152" s="81" cm="1">
        <f t="array" ref="V1152">INDEX('Weight tables'!$A$24:$C$27,MATCH(1,(RendicontiTrasmessiBL__2[[#This Row],[Cut percentage on real costs + USC]]&gt;='Weight tables'!$B$24:$B$27)*(RendicontiTrasmessiBL__2[[#This Row],[Cut percentage on real costs + USC]]&lt;='Weight tables'!$C$24:$C$27),0),1)</f>
        <v>0</v>
      </c>
      <c r="W1152" s="2">
        <f>RendicontiTrasmessiBL__2[[#This Row],[Weight real costs  + USC ]]</f>
        <v>0</v>
      </c>
    </row>
    <row r="1153" spans="1:23" x14ac:dyDescent="0.25">
      <c r="A1153" s="1" t="s">
        <v>57</v>
      </c>
      <c r="B1153" s="1" t="s">
        <v>29</v>
      </c>
      <c r="C1153" s="2">
        <v>312</v>
      </c>
      <c r="D1153" s="2">
        <v>218</v>
      </c>
      <c r="E1153" s="1" t="s">
        <v>237</v>
      </c>
      <c r="G1153">
        <v>0</v>
      </c>
      <c r="H1153">
        <v>0</v>
      </c>
      <c r="I1153">
        <v>0</v>
      </c>
      <c r="J1153">
        <v>0</v>
      </c>
      <c r="K1153">
        <v>0</v>
      </c>
      <c r="L1153">
        <v>0</v>
      </c>
      <c r="M1153">
        <v>0</v>
      </c>
      <c r="N1153">
        <v>0</v>
      </c>
      <c r="O1153">
        <v>0</v>
      </c>
      <c r="P1153">
        <v>0</v>
      </c>
      <c r="Q1153" t="str">
        <f>INDEX('Partner data'!A:DH,MATCH(C1153,'Partner data'!DG:DG,0),83)</f>
        <v>Soggetto pubblico</v>
      </c>
      <c r="R1153" t="b">
        <f>IF(E1153="staff",IF(INDEX('Partner data'!A:DH,MATCH(C1153,'Partner data'!DG:DG,0),112)="BL1 non presente","FALSO",INDEX('Partner data'!A:DH,MATCH(C1153,'Partner data'!DG:DG,0),112)))</f>
        <v>0</v>
      </c>
      <c r="S1153" t="b">
        <f t="shared" si="34"/>
        <v>0</v>
      </c>
      <c r="T1153" t="b">
        <f t="shared" si="35"/>
        <v>1</v>
      </c>
      <c r="U1153" s="154">
        <f>IFERROR(IF(R1153&lt;&gt;FALSE,IF(S1153=TRUE,INDEX('SummaryNOT_VALIDATED-BL'!$A$1:$F$16,MATCH(R1153,'SummaryNOT_VALIDATED-BL'!$A$1:$A$16,0),6),0),IF(S1153=TRUE,INDEX('SummaryNOT_VALIDATED-BL'!$A$1:$F$16,MATCH(E1153,'SummaryNOT_VALIDATED-BL'!$A$1:$A$16,0),6),0)),0)</f>
        <v>0</v>
      </c>
      <c r="V1153" s="81" cm="1">
        <f t="array" ref="V1153">INDEX('Weight tables'!$A$24:$C$27,MATCH(1,(RendicontiTrasmessiBL__2[[#This Row],[Cut percentage on real costs + USC]]&gt;='Weight tables'!$B$24:$B$27)*(RendicontiTrasmessiBL__2[[#This Row],[Cut percentage on real costs + USC]]&lt;='Weight tables'!$C$24:$C$27),0),1)</f>
        <v>0</v>
      </c>
      <c r="W1153" s="2">
        <f>RendicontiTrasmessiBL__2[[#This Row],[Weight real costs  + USC ]]</f>
        <v>0</v>
      </c>
    </row>
    <row r="1154" spans="1:23" x14ac:dyDescent="0.25">
      <c r="A1154" s="1" t="s">
        <v>57</v>
      </c>
      <c r="B1154" s="1" t="s">
        <v>29</v>
      </c>
      <c r="C1154" s="2">
        <v>312</v>
      </c>
      <c r="D1154" s="2">
        <v>61</v>
      </c>
      <c r="E1154" s="1" t="s">
        <v>228</v>
      </c>
      <c r="G1154">
        <v>104000</v>
      </c>
      <c r="H1154">
        <v>0</v>
      </c>
      <c r="I1154">
        <v>0</v>
      </c>
      <c r="J1154">
        <v>23834.73</v>
      </c>
      <c r="K1154">
        <v>0</v>
      </c>
      <c r="L1154">
        <v>23154.48</v>
      </c>
      <c r="M1154">
        <v>23834.73</v>
      </c>
      <c r="N1154">
        <v>22.92</v>
      </c>
      <c r="O1154">
        <v>80165.27</v>
      </c>
      <c r="P1154">
        <v>0</v>
      </c>
      <c r="Q1154" t="str">
        <f>INDEX('Partner data'!A:DH,MATCH(C1154,'Partner data'!DG:DG,0),83)</f>
        <v>Soggetto pubblico</v>
      </c>
      <c r="R1154" t="str">
        <f>IF(E1154="staff",IF(INDEX('Partner data'!A:DH,MATCH(C1154,'Partner data'!DG:DG,0),112)="BL1 non presente","FALSO",INDEX('Partner data'!A:DH,MATCH(C1154,'Partner data'!DG:DG,0),112)))</f>
        <v>COSTO REALE</v>
      </c>
      <c r="S1154" t="b">
        <f t="shared" ref="S1154:S1217" si="36">IF(J1154&lt;&gt;0,TRUE,FALSE)</f>
        <v>1</v>
      </c>
      <c r="T1154" t="b">
        <f t="shared" ref="T1154:T1217" si="37">OR(Q1154="Soggetto pubblico",Q1154="Organismo di diritto pubblico ")</f>
        <v>1</v>
      </c>
      <c r="U1154" s="154">
        <f>IFERROR(IF(R1154&lt;&gt;FALSE,IF(S1154=TRUE,INDEX('SummaryNOT_VALIDATED-BL'!$A$1:$F$16,MATCH(R1154,'SummaryNOT_VALIDATED-BL'!$A$1:$A$16,0),6),0),IF(S1154=TRUE,INDEX('SummaryNOT_VALIDATED-BL'!$A$1:$F$16,MATCH(E1154,'SummaryNOT_VALIDATED-BL'!$A$1:$A$16,0),6),0)),0)</f>
        <v>9.1604133276901048E-2</v>
      </c>
      <c r="V1154" s="81" cm="1">
        <f t="array" ref="V1154">INDEX('Weight tables'!$A$24:$C$27,MATCH(1,(RendicontiTrasmessiBL__2[[#This Row],[Cut percentage on real costs + USC]]&gt;='Weight tables'!$B$24:$B$27)*(RendicontiTrasmessiBL__2[[#This Row],[Cut percentage on real costs + USC]]&lt;='Weight tables'!$C$24:$C$27),0),1)</f>
        <v>4</v>
      </c>
      <c r="W1154" s="2">
        <f>RendicontiTrasmessiBL__2[[#This Row],[Weight real costs  + USC ]]</f>
        <v>4</v>
      </c>
    </row>
    <row r="1155" spans="1:23" x14ac:dyDescent="0.25">
      <c r="A1155" s="1" t="s">
        <v>57</v>
      </c>
      <c r="B1155" s="1" t="s">
        <v>29</v>
      </c>
      <c r="C1155" s="2">
        <v>312</v>
      </c>
      <c r="D1155" s="2">
        <v>61</v>
      </c>
      <c r="E1155" s="1" t="s">
        <v>229</v>
      </c>
      <c r="F1155">
        <v>15</v>
      </c>
      <c r="G1155">
        <v>15600</v>
      </c>
      <c r="H1155">
        <v>0</v>
      </c>
      <c r="I1155">
        <v>0</v>
      </c>
      <c r="J1155">
        <v>3575.2</v>
      </c>
      <c r="K1155">
        <v>0</v>
      </c>
      <c r="L1155">
        <v>3473.17</v>
      </c>
      <c r="M1155">
        <v>3575.2</v>
      </c>
      <c r="N1155">
        <v>22.92</v>
      </c>
      <c r="O1155">
        <v>12024.8</v>
      </c>
      <c r="P1155">
        <v>0</v>
      </c>
      <c r="Q1155" t="str">
        <f>INDEX('Partner data'!A:DH,MATCH(C1155,'Partner data'!DG:DG,0),83)</f>
        <v>Soggetto pubblico</v>
      </c>
      <c r="R1155" t="b">
        <f>IF(E1155="staff",IF(INDEX('Partner data'!A:DH,MATCH(C1155,'Partner data'!DG:DG,0),112)="BL1 non presente","FALSO",INDEX('Partner data'!A:DH,MATCH(C1155,'Partner data'!DG:DG,0),112)))</f>
        <v>0</v>
      </c>
      <c r="S1155" t="b">
        <f t="shared" si="36"/>
        <v>1</v>
      </c>
      <c r="T1155" t="b">
        <f t="shared" si="37"/>
        <v>1</v>
      </c>
      <c r="U1155" s="154">
        <f>IFERROR(IF(R1155&lt;&gt;FALSE,IF(S1155=TRUE,INDEX('SummaryNOT_VALIDATED-BL'!$A$1:$F$16,MATCH(R1155,'SummaryNOT_VALIDATED-BL'!$A$1:$A$16,0),6),0),IF(S1155=TRUE,INDEX('SummaryNOT_VALIDATED-BL'!$A$1:$F$16,MATCH(E1155,'SummaryNOT_VALIDATED-BL'!$A$1:$A$16,0),6),0)),0)</f>
        <v>6.6460469504890221E-2</v>
      </c>
      <c r="V1155" s="81" cm="1">
        <f t="array" ref="V1155">INDEX('Weight tables'!$A$24:$C$27,MATCH(1,(RendicontiTrasmessiBL__2[[#This Row],[Cut percentage on real costs + USC]]&gt;='Weight tables'!$B$24:$B$27)*(RendicontiTrasmessiBL__2[[#This Row],[Cut percentage on real costs + USC]]&lt;='Weight tables'!$C$24:$C$27),0),1)</f>
        <v>4</v>
      </c>
      <c r="W1155" s="2">
        <f>RendicontiTrasmessiBL__2[[#This Row],[Weight real costs  + USC ]]</f>
        <v>4</v>
      </c>
    </row>
    <row r="1156" spans="1:23" x14ac:dyDescent="0.25">
      <c r="A1156" s="1" t="s">
        <v>57</v>
      </c>
      <c r="B1156" s="1" t="s">
        <v>29</v>
      </c>
      <c r="C1156" s="2">
        <v>312</v>
      </c>
      <c r="D1156" s="2">
        <v>61</v>
      </c>
      <c r="E1156" s="1" t="s">
        <v>230</v>
      </c>
      <c r="F1156">
        <v>4</v>
      </c>
      <c r="G1156">
        <v>4160</v>
      </c>
      <c r="H1156">
        <v>0</v>
      </c>
      <c r="I1156">
        <v>0</v>
      </c>
      <c r="J1156">
        <v>953.38</v>
      </c>
      <c r="K1156">
        <v>0</v>
      </c>
      <c r="L1156">
        <v>926.17</v>
      </c>
      <c r="M1156">
        <v>953.38</v>
      </c>
      <c r="N1156">
        <v>22.92</v>
      </c>
      <c r="O1156">
        <v>3206.62</v>
      </c>
      <c r="P1156">
        <v>0</v>
      </c>
      <c r="Q1156" t="str">
        <f>INDEX('Partner data'!A:DH,MATCH(C1156,'Partner data'!DG:DG,0),83)</f>
        <v>Soggetto pubblico</v>
      </c>
      <c r="R1156" t="b">
        <f>IF(E1156="staff",IF(INDEX('Partner data'!A:DH,MATCH(C1156,'Partner data'!DG:DG,0),112)="BL1 non presente","FALSO",INDEX('Partner data'!A:DH,MATCH(C1156,'Partner data'!DG:DG,0),112)))</f>
        <v>0</v>
      </c>
      <c r="S1156" t="b">
        <f t="shared" si="36"/>
        <v>1</v>
      </c>
      <c r="T1156" t="b">
        <f t="shared" si="37"/>
        <v>1</v>
      </c>
      <c r="U1156" s="154">
        <f>IFERROR(IF(R1156&lt;&gt;FALSE,IF(S1156=TRUE,INDEX('SummaryNOT_VALIDATED-BL'!$A$1:$F$16,MATCH(R1156,'SummaryNOT_VALIDATED-BL'!$A$1:$A$16,0),6),0),IF(S1156=TRUE,INDEX('SummaryNOT_VALIDATED-BL'!$A$1:$F$16,MATCH(E1156,'SummaryNOT_VALIDATED-BL'!$A$1:$A$16,0),6),0)),0)</f>
        <v>6.3112622236488891E-2</v>
      </c>
      <c r="V1156" s="81" cm="1">
        <f t="array" ref="V1156">INDEX('Weight tables'!$A$24:$C$27,MATCH(1,(RendicontiTrasmessiBL__2[[#This Row],[Cut percentage on real costs + USC]]&gt;='Weight tables'!$B$24:$B$27)*(RendicontiTrasmessiBL__2[[#This Row],[Cut percentage on real costs + USC]]&lt;='Weight tables'!$C$24:$C$27),0),1)</f>
        <v>4</v>
      </c>
      <c r="W1156" s="2">
        <f>RendicontiTrasmessiBL__2[[#This Row],[Weight real costs  + USC ]]</f>
        <v>4</v>
      </c>
    </row>
    <row r="1157" spans="1:23" x14ac:dyDescent="0.25">
      <c r="A1157" s="1" t="s">
        <v>57</v>
      </c>
      <c r="B1157" s="1" t="s">
        <v>29</v>
      </c>
      <c r="C1157" s="2">
        <v>312</v>
      </c>
      <c r="D1157" s="2">
        <v>61</v>
      </c>
      <c r="E1157" s="1" t="s">
        <v>231</v>
      </c>
      <c r="G1157">
        <v>84000</v>
      </c>
      <c r="H1157">
        <v>0</v>
      </c>
      <c r="I1157">
        <v>0</v>
      </c>
      <c r="J1157">
        <v>0</v>
      </c>
      <c r="K1157">
        <v>0</v>
      </c>
      <c r="L1157">
        <v>0</v>
      </c>
      <c r="M1157">
        <v>0</v>
      </c>
      <c r="N1157">
        <v>0</v>
      </c>
      <c r="O1157">
        <v>84000</v>
      </c>
      <c r="P1157">
        <v>0</v>
      </c>
      <c r="Q1157" t="str">
        <f>INDEX('Partner data'!A:DH,MATCH(C1157,'Partner data'!DG:DG,0),83)</f>
        <v>Soggetto pubblico</v>
      </c>
      <c r="R1157" t="b">
        <f>IF(E1157="staff",IF(INDEX('Partner data'!A:DH,MATCH(C1157,'Partner data'!DG:DG,0),112)="BL1 non presente","FALSO",INDEX('Partner data'!A:DH,MATCH(C1157,'Partner data'!DG:DG,0),112)))</f>
        <v>0</v>
      </c>
      <c r="S1157" t="b">
        <f t="shared" si="36"/>
        <v>0</v>
      </c>
      <c r="T1157" t="b">
        <f t="shared" si="37"/>
        <v>1</v>
      </c>
      <c r="U1157" s="154">
        <f>IFERROR(IF(R1157&lt;&gt;FALSE,IF(S1157=TRUE,INDEX('SummaryNOT_VALIDATED-BL'!$A$1:$F$16,MATCH(R1157,'SummaryNOT_VALIDATED-BL'!$A$1:$A$16,0),6),0),IF(S1157=TRUE,INDEX('SummaryNOT_VALIDATED-BL'!$A$1:$F$16,MATCH(E1157,'SummaryNOT_VALIDATED-BL'!$A$1:$A$16,0),6),0)),0)</f>
        <v>0</v>
      </c>
      <c r="V1157" s="81" cm="1">
        <f t="array" ref="V1157">INDEX('Weight tables'!$A$24:$C$27,MATCH(1,(RendicontiTrasmessiBL__2[[#This Row],[Cut percentage on real costs + USC]]&gt;='Weight tables'!$B$24:$B$27)*(RendicontiTrasmessiBL__2[[#This Row],[Cut percentage on real costs + USC]]&lt;='Weight tables'!$C$24:$C$27),0),1)</f>
        <v>0</v>
      </c>
      <c r="W1157" s="2">
        <f>RendicontiTrasmessiBL__2[[#This Row],[Weight real costs  + USC ]]</f>
        <v>0</v>
      </c>
    </row>
    <row r="1158" spans="1:23" x14ac:dyDescent="0.25">
      <c r="A1158" s="1" t="s">
        <v>57</v>
      </c>
      <c r="B1158" s="1" t="s">
        <v>29</v>
      </c>
      <c r="C1158" s="2">
        <v>312</v>
      </c>
      <c r="D1158" s="2">
        <v>61</v>
      </c>
      <c r="E1158" s="1" t="s">
        <v>232</v>
      </c>
      <c r="G1158">
        <v>31249</v>
      </c>
      <c r="H1158">
        <v>0</v>
      </c>
      <c r="I1158">
        <v>0</v>
      </c>
      <c r="J1158">
        <v>0</v>
      </c>
      <c r="K1158">
        <v>0</v>
      </c>
      <c r="L1158">
        <v>0</v>
      </c>
      <c r="M1158">
        <v>0</v>
      </c>
      <c r="N1158">
        <v>0</v>
      </c>
      <c r="O1158">
        <v>31249</v>
      </c>
      <c r="P1158">
        <v>0</v>
      </c>
      <c r="Q1158" t="str">
        <f>INDEX('Partner data'!A:DH,MATCH(C1158,'Partner data'!DG:DG,0),83)</f>
        <v>Soggetto pubblico</v>
      </c>
      <c r="R1158" t="b">
        <f>IF(E1158="staff",IF(INDEX('Partner data'!A:DH,MATCH(C1158,'Partner data'!DG:DG,0),112)="BL1 non presente","FALSO",INDEX('Partner data'!A:DH,MATCH(C1158,'Partner data'!DG:DG,0),112)))</f>
        <v>0</v>
      </c>
      <c r="S1158" t="b">
        <f t="shared" si="36"/>
        <v>0</v>
      </c>
      <c r="T1158" t="b">
        <f t="shared" si="37"/>
        <v>1</v>
      </c>
      <c r="U1158" s="154">
        <f>IFERROR(IF(R1158&lt;&gt;FALSE,IF(S1158=TRUE,INDEX('SummaryNOT_VALIDATED-BL'!$A$1:$F$16,MATCH(R1158,'SummaryNOT_VALIDATED-BL'!$A$1:$A$16,0),6),0),IF(S1158=TRUE,INDEX('SummaryNOT_VALIDATED-BL'!$A$1:$F$16,MATCH(E1158,'SummaryNOT_VALIDATED-BL'!$A$1:$A$16,0),6),0)),0)</f>
        <v>0</v>
      </c>
      <c r="V1158" s="81" cm="1">
        <f t="array" ref="V1158">INDEX('Weight tables'!$A$24:$C$27,MATCH(1,(RendicontiTrasmessiBL__2[[#This Row],[Cut percentage on real costs + USC]]&gt;='Weight tables'!$B$24:$B$27)*(RendicontiTrasmessiBL__2[[#This Row],[Cut percentage on real costs + USC]]&lt;='Weight tables'!$C$24:$C$27),0),1)</f>
        <v>0</v>
      </c>
      <c r="W1158" s="2">
        <f>RendicontiTrasmessiBL__2[[#This Row],[Weight real costs  + USC ]]</f>
        <v>0</v>
      </c>
    </row>
    <row r="1159" spans="1:23" x14ac:dyDescent="0.25">
      <c r="A1159" s="1" t="s">
        <v>57</v>
      </c>
      <c r="B1159" s="1" t="s">
        <v>29</v>
      </c>
      <c r="C1159" s="2">
        <v>312</v>
      </c>
      <c r="D1159" s="2">
        <v>61</v>
      </c>
      <c r="E1159" s="1" t="s">
        <v>233</v>
      </c>
      <c r="G1159">
        <v>73079</v>
      </c>
      <c r="H1159">
        <v>0</v>
      </c>
      <c r="I1159">
        <v>0</v>
      </c>
      <c r="J1159">
        <v>0</v>
      </c>
      <c r="K1159">
        <v>0</v>
      </c>
      <c r="L1159">
        <v>0</v>
      </c>
      <c r="M1159">
        <v>0</v>
      </c>
      <c r="N1159">
        <v>0</v>
      </c>
      <c r="O1159">
        <v>73079</v>
      </c>
      <c r="P1159">
        <v>0</v>
      </c>
      <c r="Q1159" t="str">
        <f>INDEX('Partner data'!A:DH,MATCH(C1159,'Partner data'!DG:DG,0),83)</f>
        <v>Soggetto pubblico</v>
      </c>
      <c r="R1159" t="b">
        <f>IF(E1159="staff",IF(INDEX('Partner data'!A:DH,MATCH(C1159,'Partner data'!DG:DG,0),112)="BL1 non presente","FALSO",INDEX('Partner data'!A:DH,MATCH(C1159,'Partner data'!DG:DG,0),112)))</f>
        <v>0</v>
      </c>
      <c r="S1159" t="b">
        <f t="shared" si="36"/>
        <v>0</v>
      </c>
      <c r="T1159" t="b">
        <f t="shared" si="37"/>
        <v>1</v>
      </c>
      <c r="U1159" s="154">
        <f>IFERROR(IF(R1159&lt;&gt;FALSE,IF(S1159=TRUE,INDEX('SummaryNOT_VALIDATED-BL'!$A$1:$F$16,MATCH(R1159,'SummaryNOT_VALIDATED-BL'!$A$1:$A$16,0),6),0),IF(S1159=TRUE,INDEX('SummaryNOT_VALIDATED-BL'!$A$1:$F$16,MATCH(E1159,'SummaryNOT_VALIDATED-BL'!$A$1:$A$16,0),6),0)),0)</f>
        <v>0</v>
      </c>
      <c r="V1159" s="81" cm="1">
        <f t="array" ref="V1159">INDEX('Weight tables'!$A$24:$C$27,MATCH(1,(RendicontiTrasmessiBL__2[[#This Row],[Cut percentage on real costs + USC]]&gt;='Weight tables'!$B$24:$B$27)*(RendicontiTrasmessiBL__2[[#This Row],[Cut percentage on real costs + USC]]&lt;='Weight tables'!$C$24:$C$27),0),1)</f>
        <v>0</v>
      </c>
      <c r="W1159" s="2">
        <f>RendicontiTrasmessiBL__2[[#This Row],[Weight real costs  + USC ]]</f>
        <v>0</v>
      </c>
    </row>
    <row r="1160" spans="1:23" x14ac:dyDescent="0.25">
      <c r="A1160" s="1" t="s">
        <v>57</v>
      </c>
      <c r="B1160" s="1" t="s">
        <v>29</v>
      </c>
      <c r="C1160" s="2">
        <v>312</v>
      </c>
      <c r="D1160" s="2">
        <v>61</v>
      </c>
      <c r="E1160" s="1" t="s">
        <v>234</v>
      </c>
      <c r="G1160">
        <v>0</v>
      </c>
      <c r="H1160">
        <v>0</v>
      </c>
      <c r="I1160">
        <v>0</v>
      </c>
      <c r="J1160">
        <v>0</v>
      </c>
      <c r="K1160">
        <v>0</v>
      </c>
      <c r="L1160">
        <v>0</v>
      </c>
      <c r="M1160">
        <v>0</v>
      </c>
      <c r="N1160">
        <v>0</v>
      </c>
      <c r="O1160">
        <v>0</v>
      </c>
      <c r="P1160">
        <v>0</v>
      </c>
      <c r="Q1160" t="str">
        <f>INDEX('Partner data'!A:DH,MATCH(C1160,'Partner data'!DG:DG,0),83)</f>
        <v>Soggetto pubblico</v>
      </c>
      <c r="R1160" t="b">
        <f>IF(E1160="staff",IF(INDEX('Partner data'!A:DH,MATCH(C1160,'Partner data'!DG:DG,0),112)="BL1 non presente","FALSO",INDEX('Partner data'!A:DH,MATCH(C1160,'Partner data'!DG:DG,0),112)))</f>
        <v>0</v>
      </c>
      <c r="S1160" t="b">
        <f t="shared" si="36"/>
        <v>0</v>
      </c>
      <c r="T1160" t="b">
        <f t="shared" si="37"/>
        <v>1</v>
      </c>
      <c r="U1160" s="154">
        <f>IFERROR(IF(R1160&lt;&gt;FALSE,IF(S1160=TRUE,INDEX('SummaryNOT_VALIDATED-BL'!$A$1:$F$16,MATCH(R1160,'SummaryNOT_VALIDATED-BL'!$A$1:$A$16,0),6),0),IF(S1160=TRUE,INDEX('SummaryNOT_VALIDATED-BL'!$A$1:$F$16,MATCH(E1160,'SummaryNOT_VALIDATED-BL'!$A$1:$A$16,0),6),0)),0)</f>
        <v>0</v>
      </c>
      <c r="V1160" s="81" cm="1">
        <f t="array" ref="V1160">INDEX('Weight tables'!$A$24:$C$27,MATCH(1,(RendicontiTrasmessiBL__2[[#This Row],[Cut percentage on real costs + USC]]&gt;='Weight tables'!$B$24:$B$27)*(RendicontiTrasmessiBL__2[[#This Row],[Cut percentage on real costs + USC]]&lt;='Weight tables'!$C$24:$C$27),0),1)</f>
        <v>0</v>
      </c>
      <c r="W1160" s="2">
        <f>RendicontiTrasmessiBL__2[[#This Row],[Weight real costs  + USC ]]</f>
        <v>0</v>
      </c>
    </row>
    <row r="1161" spans="1:23" x14ac:dyDescent="0.25">
      <c r="A1161" s="1" t="s">
        <v>57</v>
      </c>
      <c r="B1161" s="1" t="s">
        <v>29</v>
      </c>
      <c r="C1161" s="2">
        <v>312</v>
      </c>
      <c r="D1161" s="2">
        <v>61</v>
      </c>
      <c r="E1161" s="1" t="s">
        <v>236</v>
      </c>
      <c r="G1161">
        <v>0</v>
      </c>
      <c r="H1161">
        <v>0</v>
      </c>
      <c r="I1161">
        <v>0</v>
      </c>
      <c r="J1161">
        <v>0</v>
      </c>
      <c r="K1161">
        <v>0</v>
      </c>
      <c r="L1161">
        <v>0</v>
      </c>
      <c r="M1161">
        <v>0</v>
      </c>
      <c r="N1161">
        <v>0</v>
      </c>
      <c r="O1161">
        <v>0</v>
      </c>
      <c r="P1161">
        <v>0</v>
      </c>
      <c r="Q1161" t="str">
        <f>INDEX('Partner data'!A:DH,MATCH(C1161,'Partner data'!DG:DG,0),83)</f>
        <v>Soggetto pubblico</v>
      </c>
      <c r="R1161" t="b">
        <f>IF(E1161="staff",IF(INDEX('Partner data'!A:DH,MATCH(C1161,'Partner data'!DG:DG,0),112)="BL1 non presente","FALSO",INDEX('Partner data'!A:DH,MATCH(C1161,'Partner data'!DG:DG,0),112)))</f>
        <v>0</v>
      </c>
      <c r="S1161" t="b">
        <f t="shared" si="36"/>
        <v>0</v>
      </c>
      <c r="T1161" t="b">
        <f t="shared" si="37"/>
        <v>1</v>
      </c>
      <c r="U1161" s="154">
        <f>IFERROR(IF(R1161&lt;&gt;FALSE,IF(S1161=TRUE,INDEX('SummaryNOT_VALIDATED-BL'!$A$1:$F$16,MATCH(R1161,'SummaryNOT_VALIDATED-BL'!$A$1:$A$16,0),6),0),IF(S1161=TRUE,INDEX('SummaryNOT_VALIDATED-BL'!$A$1:$F$16,MATCH(E1161,'SummaryNOT_VALIDATED-BL'!$A$1:$A$16,0),6),0)),0)</f>
        <v>0</v>
      </c>
      <c r="V1161" s="81" cm="1">
        <f t="array" ref="V1161">INDEX('Weight tables'!$A$24:$C$27,MATCH(1,(RendicontiTrasmessiBL__2[[#This Row],[Cut percentage on real costs + USC]]&gt;='Weight tables'!$B$24:$B$27)*(RendicontiTrasmessiBL__2[[#This Row],[Cut percentage on real costs + USC]]&lt;='Weight tables'!$C$24:$C$27),0),1)</f>
        <v>0</v>
      </c>
      <c r="W1161" s="2">
        <f>RendicontiTrasmessiBL__2[[#This Row],[Weight real costs  + USC ]]</f>
        <v>0</v>
      </c>
    </row>
    <row r="1162" spans="1:23" x14ac:dyDescent="0.25">
      <c r="A1162" s="1" t="s">
        <v>57</v>
      </c>
      <c r="B1162" s="1" t="s">
        <v>29</v>
      </c>
      <c r="C1162" s="2">
        <v>312</v>
      </c>
      <c r="D1162" s="2">
        <v>61</v>
      </c>
      <c r="E1162" s="1" t="s">
        <v>237</v>
      </c>
      <c r="G1162">
        <v>0</v>
      </c>
      <c r="H1162">
        <v>0</v>
      </c>
      <c r="I1162">
        <v>0</v>
      </c>
      <c r="J1162">
        <v>0</v>
      </c>
      <c r="K1162">
        <v>0</v>
      </c>
      <c r="L1162">
        <v>0</v>
      </c>
      <c r="M1162">
        <v>0</v>
      </c>
      <c r="N1162">
        <v>0</v>
      </c>
      <c r="O1162">
        <v>0</v>
      </c>
      <c r="P1162">
        <v>0</v>
      </c>
      <c r="Q1162" t="str">
        <f>INDEX('Partner data'!A:DH,MATCH(C1162,'Partner data'!DG:DG,0),83)</f>
        <v>Soggetto pubblico</v>
      </c>
      <c r="R1162" t="b">
        <f>IF(E1162="staff",IF(INDEX('Partner data'!A:DH,MATCH(C1162,'Partner data'!DG:DG,0),112)="BL1 non presente","FALSO",INDEX('Partner data'!A:DH,MATCH(C1162,'Partner data'!DG:DG,0),112)))</f>
        <v>0</v>
      </c>
      <c r="S1162" t="b">
        <f t="shared" si="36"/>
        <v>0</v>
      </c>
      <c r="T1162" t="b">
        <f t="shared" si="37"/>
        <v>1</v>
      </c>
      <c r="U1162" s="154">
        <f>IFERROR(IF(R1162&lt;&gt;FALSE,IF(S1162=TRUE,INDEX('SummaryNOT_VALIDATED-BL'!$A$1:$F$16,MATCH(R1162,'SummaryNOT_VALIDATED-BL'!$A$1:$A$16,0),6),0),IF(S1162=TRUE,INDEX('SummaryNOT_VALIDATED-BL'!$A$1:$F$16,MATCH(E1162,'SummaryNOT_VALIDATED-BL'!$A$1:$A$16,0),6),0)),0)</f>
        <v>0</v>
      </c>
      <c r="V1162" s="81" cm="1">
        <f t="array" ref="V1162">INDEX('Weight tables'!$A$24:$C$27,MATCH(1,(RendicontiTrasmessiBL__2[[#This Row],[Cut percentage on real costs + USC]]&gt;='Weight tables'!$B$24:$B$27)*(RendicontiTrasmessiBL__2[[#This Row],[Cut percentage on real costs + USC]]&lt;='Weight tables'!$C$24:$C$27),0),1)</f>
        <v>0</v>
      </c>
      <c r="W1162" s="2">
        <f>RendicontiTrasmessiBL__2[[#This Row],[Weight real costs  + USC ]]</f>
        <v>0</v>
      </c>
    </row>
    <row r="1163" spans="1:23" x14ac:dyDescent="0.25">
      <c r="A1163" s="1" t="s">
        <v>57</v>
      </c>
      <c r="B1163" s="1" t="s">
        <v>0</v>
      </c>
      <c r="C1163" s="2">
        <v>305</v>
      </c>
      <c r="D1163" s="2">
        <v>274</v>
      </c>
      <c r="E1163" s="1" t="s">
        <v>228</v>
      </c>
      <c r="G1163">
        <v>86958</v>
      </c>
      <c r="H1163">
        <v>18525</v>
      </c>
      <c r="I1163">
        <v>0</v>
      </c>
      <c r="J1163">
        <v>9980</v>
      </c>
      <c r="K1163">
        <v>0</v>
      </c>
      <c r="L1163">
        <v>0</v>
      </c>
      <c r="M1163">
        <v>28505</v>
      </c>
      <c r="N1163">
        <v>32.78</v>
      </c>
      <c r="O1163">
        <v>58453</v>
      </c>
      <c r="P1163">
        <v>18511.5</v>
      </c>
      <c r="Q1163" t="str">
        <f>INDEX('Partner data'!A:DH,MATCH(C1163,'Partner data'!DG:DG,0),83)</f>
        <v>Soggetto pubblico</v>
      </c>
      <c r="R1163" t="str">
        <f>IF(E1163="staff",IF(INDEX('Partner data'!A:DH,MATCH(C1163,'Partner data'!DG:DG,0),112)="BL1 non presente","FALSO",INDEX('Partner data'!A:DH,MATCH(C1163,'Partner data'!DG:DG,0),112)))</f>
        <v>Costo Unitario Standard</v>
      </c>
      <c r="S1163" t="b">
        <f t="shared" si="36"/>
        <v>1</v>
      </c>
      <c r="T1163" t="b">
        <f t="shared" si="37"/>
        <v>1</v>
      </c>
      <c r="U1163" s="154">
        <f>IFERROR(IF(R1163&lt;&gt;FALSE,IF(S1163=TRUE,INDEX('SummaryNOT_VALIDATED-BL'!$A$1:$F$16,MATCH(R1163,'SummaryNOT_VALIDATED-BL'!$A$1:$A$16,0),6),0),IF(S1163=TRUE,INDEX('SummaryNOT_VALIDATED-BL'!$A$1:$F$16,MATCH(E1163,'SummaryNOT_VALIDATED-BL'!$A$1:$A$16,0),6),0)),0)</f>
        <v>3.2052879635441428E-2</v>
      </c>
      <c r="V1163" s="81" cm="1">
        <f t="array" ref="V1163">INDEX('Weight tables'!$A$24:$C$27,MATCH(1,(RendicontiTrasmessiBL__2[[#This Row],[Cut percentage on real costs + USC]]&gt;='Weight tables'!$B$24:$B$27)*(RendicontiTrasmessiBL__2[[#This Row],[Cut percentage on real costs + USC]]&lt;='Weight tables'!$C$24:$C$27),0),1)</f>
        <v>2</v>
      </c>
      <c r="W1163" s="2">
        <f>RendicontiTrasmessiBL__2[[#This Row],[Weight real costs  + USC ]]</f>
        <v>2</v>
      </c>
    </row>
    <row r="1164" spans="1:23" x14ac:dyDescent="0.25">
      <c r="A1164" s="1" t="s">
        <v>57</v>
      </c>
      <c r="B1164" s="1" t="s">
        <v>0</v>
      </c>
      <c r="C1164" s="2">
        <v>305</v>
      </c>
      <c r="D1164" s="2">
        <v>274</v>
      </c>
      <c r="E1164" s="1" t="s">
        <v>229</v>
      </c>
      <c r="F1164">
        <v>15</v>
      </c>
      <c r="G1164">
        <v>13043.7</v>
      </c>
      <c r="H1164">
        <v>2778.75</v>
      </c>
      <c r="I1164">
        <v>0</v>
      </c>
      <c r="J1164">
        <v>1497</v>
      </c>
      <c r="K1164">
        <v>0</v>
      </c>
      <c r="L1164">
        <v>0</v>
      </c>
      <c r="M1164">
        <v>4275.75</v>
      </c>
      <c r="N1164">
        <v>32.78</v>
      </c>
      <c r="O1164">
        <v>8767.9500000000007</v>
      </c>
      <c r="P1164">
        <v>2776.72</v>
      </c>
      <c r="Q1164" t="str">
        <f>INDEX('Partner data'!A:DH,MATCH(C1164,'Partner data'!DG:DG,0),83)</f>
        <v>Soggetto pubblico</v>
      </c>
      <c r="R1164" t="b">
        <f>IF(E1164="staff",IF(INDEX('Partner data'!A:DH,MATCH(C1164,'Partner data'!DG:DG,0),112)="BL1 non presente","FALSO",INDEX('Partner data'!A:DH,MATCH(C1164,'Partner data'!DG:DG,0),112)))</f>
        <v>0</v>
      </c>
      <c r="S1164" t="b">
        <f t="shared" si="36"/>
        <v>1</v>
      </c>
      <c r="T1164" t="b">
        <f t="shared" si="37"/>
        <v>1</v>
      </c>
      <c r="U1164" s="154">
        <f>IFERROR(IF(R1164&lt;&gt;FALSE,IF(S1164=TRUE,INDEX('SummaryNOT_VALIDATED-BL'!$A$1:$F$16,MATCH(R1164,'SummaryNOT_VALIDATED-BL'!$A$1:$A$16,0),6),0),IF(S1164=TRUE,INDEX('SummaryNOT_VALIDATED-BL'!$A$1:$F$16,MATCH(E1164,'SummaryNOT_VALIDATED-BL'!$A$1:$A$16,0),6),0)),0)</f>
        <v>6.6460469504890221E-2</v>
      </c>
      <c r="V1164" s="81" cm="1">
        <f t="array" ref="V1164">INDEX('Weight tables'!$A$24:$C$27,MATCH(1,(RendicontiTrasmessiBL__2[[#This Row],[Cut percentage on real costs + USC]]&gt;='Weight tables'!$B$24:$B$27)*(RendicontiTrasmessiBL__2[[#This Row],[Cut percentage on real costs + USC]]&lt;='Weight tables'!$C$24:$C$27),0),1)</f>
        <v>4</v>
      </c>
      <c r="W1164" s="2">
        <f>RendicontiTrasmessiBL__2[[#This Row],[Weight real costs  + USC ]]</f>
        <v>4</v>
      </c>
    </row>
    <row r="1165" spans="1:23" x14ac:dyDescent="0.25">
      <c r="A1165" s="1" t="s">
        <v>57</v>
      </c>
      <c r="B1165" s="1" t="s">
        <v>0</v>
      </c>
      <c r="C1165" s="2">
        <v>305</v>
      </c>
      <c r="D1165" s="2">
        <v>274</v>
      </c>
      <c r="E1165" s="1" t="s">
        <v>230</v>
      </c>
      <c r="F1165">
        <v>4</v>
      </c>
      <c r="G1165">
        <v>3478.32</v>
      </c>
      <c r="H1165">
        <v>741</v>
      </c>
      <c r="I1165">
        <v>0</v>
      </c>
      <c r="J1165">
        <v>399.2</v>
      </c>
      <c r="K1165">
        <v>0</v>
      </c>
      <c r="L1165">
        <v>0</v>
      </c>
      <c r="M1165">
        <v>1140.2</v>
      </c>
      <c r="N1165">
        <v>32.78</v>
      </c>
      <c r="O1165">
        <v>2338.12</v>
      </c>
      <c r="P1165">
        <v>740.46</v>
      </c>
      <c r="Q1165" t="str">
        <f>INDEX('Partner data'!A:DH,MATCH(C1165,'Partner data'!DG:DG,0),83)</f>
        <v>Soggetto pubblico</v>
      </c>
      <c r="R1165" t="b">
        <f>IF(E1165="staff",IF(INDEX('Partner data'!A:DH,MATCH(C1165,'Partner data'!DG:DG,0),112)="BL1 non presente","FALSO",INDEX('Partner data'!A:DH,MATCH(C1165,'Partner data'!DG:DG,0),112)))</f>
        <v>0</v>
      </c>
      <c r="S1165" t="b">
        <f t="shared" si="36"/>
        <v>1</v>
      </c>
      <c r="T1165" t="b">
        <f t="shared" si="37"/>
        <v>1</v>
      </c>
      <c r="U1165" s="154">
        <f>IFERROR(IF(R1165&lt;&gt;FALSE,IF(S1165=TRUE,INDEX('SummaryNOT_VALIDATED-BL'!$A$1:$F$16,MATCH(R1165,'SummaryNOT_VALIDATED-BL'!$A$1:$A$16,0),6),0),IF(S1165=TRUE,INDEX('SummaryNOT_VALIDATED-BL'!$A$1:$F$16,MATCH(E1165,'SummaryNOT_VALIDATED-BL'!$A$1:$A$16,0),6),0)),0)</f>
        <v>6.3112622236488891E-2</v>
      </c>
      <c r="V1165" s="81" cm="1">
        <f t="array" ref="V1165">INDEX('Weight tables'!$A$24:$C$27,MATCH(1,(RendicontiTrasmessiBL__2[[#This Row],[Cut percentage on real costs + USC]]&gt;='Weight tables'!$B$24:$B$27)*(RendicontiTrasmessiBL__2[[#This Row],[Cut percentage on real costs + USC]]&lt;='Weight tables'!$C$24:$C$27),0),1)</f>
        <v>4</v>
      </c>
      <c r="W1165" s="2">
        <f>RendicontiTrasmessiBL__2[[#This Row],[Weight real costs  + USC ]]</f>
        <v>4</v>
      </c>
    </row>
    <row r="1166" spans="1:23" x14ac:dyDescent="0.25">
      <c r="A1166" s="1" t="s">
        <v>57</v>
      </c>
      <c r="B1166" s="1" t="s">
        <v>0</v>
      </c>
      <c r="C1166" s="2">
        <v>305</v>
      </c>
      <c r="D1166" s="2">
        <v>274</v>
      </c>
      <c r="E1166" s="1" t="s">
        <v>231</v>
      </c>
      <c r="G1166">
        <v>187009.98</v>
      </c>
      <c r="H1166">
        <v>0</v>
      </c>
      <c r="I1166">
        <v>0</v>
      </c>
      <c r="J1166">
        <v>0</v>
      </c>
      <c r="K1166">
        <v>0</v>
      </c>
      <c r="L1166">
        <v>0</v>
      </c>
      <c r="M1166">
        <v>0</v>
      </c>
      <c r="N1166">
        <v>0</v>
      </c>
      <c r="O1166">
        <v>187009.98</v>
      </c>
      <c r="P1166">
        <v>0</v>
      </c>
      <c r="Q1166" t="str">
        <f>INDEX('Partner data'!A:DH,MATCH(C1166,'Partner data'!DG:DG,0),83)</f>
        <v>Soggetto pubblico</v>
      </c>
      <c r="R1166" t="b">
        <f>IF(E1166="staff",IF(INDEX('Partner data'!A:DH,MATCH(C1166,'Partner data'!DG:DG,0),112)="BL1 non presente","FALSO",INDEX('Partner data'!A:DH,MATCH(C1166,'Partner data'!DG:DG,0),112)))</f>
        <v>0</v>
      </c>
      <c r="S1166" t="b">
        <f t="shared" si="36"/>
        <v>0</v>
      </c>
      <c r="T1166" t="b">
        <f t="shared" si="37"/>
        <v>1</v>
      </c>
      <c r="U1166" s="154">
        <f>IFERROR(IF(R1166&lt;&gt;FALSE,IF(S1166=TRUE,INDEX('SummaryNOT_VALIDATED-BL'!$A$1:$F$16,MATCH(R1166,'SummaryNOT_VALIDATED-BL'!$A$1:$A$16,0),6),0),IF(S1166=TRUE,INDEX('SummaryNOT_VALIDATED-BL'!$A$1:$F$16,MATCH(E1166,'SummaryNOT_VALIDATED-BL'!$A$1:$A$16,0),6),0)),0)</f>
        <v>0</v>
      </c>
      <c r="V1166" s="81" cm="1">
        <f t="array" ref="V1166">INDEX('Weight tables'!$A$24:$C$27,MATCH(1,(RendicontiTrasmessiBL__2[[#This Row],[Cut percentage on real costs + USC]]&gt;='Weight tables'!$B$24:$B$27)*(RendicontiTrasmessiBL__2[[#This Row],[Cut percentage on real costs + USC]]&lt;='Weight tables'!$C$24:$C$27),0),1)</f>
        <v>0</v>
      </c>
      <c r="W1166" s="2">
        <f>RendicontiTrasmessiBL__2[[#This Row],[Weight real costs  + USC ]]</f>
        <v>0</v>
      </c>
    </row>
    <row r="1167" spans="1:23" x14ac:dyDescent="0.25">
      <c r="A1167" s="1" t="s">
        <v>57</v>
      </c>
      <c r="B1167" s="1" t="s">
        <v>0</v>
      </c>
      <c r="C1167" s="2">
        <v>305</v>
      </c>
      <c r="D1167" s="2">
        <v>274</v>
      </c>
      <c r="E1167" s="1" t="s">
        <v>232</v>
      </c>
      <c r="G1167">
        <v>147010</v>
      </c>
      <c r="H1167">
        <v>0</v>
      </c>
      <c r="I1167">
        <v>0</v>
      </c>
      <c r="J1167">
        <v>14701</v>
      </c>
      <c r="K1167">
        <v>0</v>
      </c>
      <c r="L1167">
        <v>0</v>
      </c>
      <c r="M1167">
        <v>14701</v>
      </c>
      <c r="N1167">
        <v>10</v>
      </c>
      <c r="O1167">
        <v>132309</v>
      </c>
      <c r="P1167">
        <v>0</v>
      </c>
      <c r="Q1167" t="str">
        <f>INDEX('Partner data'!A:DH,MATCH(C1167,'Partner data'!DG:DG,0),83)</f>
        <v>Soggetto pubblico</v>
      </c>
      <c r="R1167" t="b">
        <f>IF(E1167="staff",IF(INDEX('Partner data'!A:DH,MATCH(C1167,'Partner data'!DG:DG,0),112)="BL1 non presente","FALSO",INDEX('Partner data'!A:DH,MATCH(C1167,'Partner data'!DG:DG,0),112)))</f>
        <v>0</v>
      </c>
      <c r="S1167" t="b">
        <f t="shared" si="36"/>
        <v>1</v>
      </c>
      <c r="T1167" t="b">
        <f t="shared" si="37"/>
        <v>1</v>
      </c>
      <c r="U1167" s="154">
        <f>IFERROR(IF(R1167&lt;&gt;FALSE,IF(S1167=TRUE,INDEX('SummaryNOT_VALIDATED-BL'!$A$1:$F$16,MATCH(R1167,'SummaryNOT_VALIDATED-BL'!$A$1:$A$16,0),6),0),IF(S1167=TRUE,INDEX('SummaryNOT_VALIDATED-BL'!$A$1:$F$16,MATCH(E1167,'SummaryNOT_VALIDATED-BL'!$A$1:$A$16,0),6),0)),0)</f>
        <v>1.102169095281242E-2</v>
      </c>
      <c r="V1167" s="81" cm="1">
        <f t="array" ref="V1167">INDEX('Weight tables'!$A$24:$C$27,MATCH(1,(RendicontiTrasmessiBL__2[[#This Row],[Cut percentage on real costs + USC]]&gt;='Weight tables'!$B$24:$B$27)*(RendicontiTrasmessiBL__2[[#This Row],[Cut percentage on real costs + USC]]&lt;='Weight tables'!$C$24:$C$27),0),1)</f>
        <v>0</v>
      </c>
      <c r="W1167" s="2">
        <f>RendicontiTrasmessiBL__2[[#This Row],[Weight real costs  + USC ]]</f>
        <v>0</v>
      </c>
    </row>
    <row r="1168" spans="1:23" x14ac:dyDescent="0.25">
      <c r="A1168" s="1" t="s">
        <v>57</v>
      </c>
      <c r="B1168" s="1" t="s">
        <v>0</v>
      </c>
      <c r="C1168" s="2">
        <v>305</v>
      </c>
      <c r="D1168" s="2">
        <v>274</v>
      </c>
      <c r="E1168" s="1" t="s">
        <v>233</v>
      </c>
      <c r="G1168">
        <v>0</v>
      </c>
      <c r="H1168">
        <v>0</v>
      </c>
      <c r="I1168">
        <v>0</v>
      </c>
      <c r="J1168">
        <v>0</v>
      </c>
      <c r="K1168">
        <v>0</v>
      </c>
      <c r="L1168">
        <v>0</v>
      </c>
      <c r="M1168">
        <v>0</v>
      </c>
      <c r="N1168">
        <v>0</v>
      </c>
      <c r="O1168">
        <v>0</v>
      </c>
      <c r="P1168">
        <v>0</v>
      </c>
      <c r="Q1168" t="str">
        <f>INDEX('Partner data'!A:DH,MATCH(C1168,'Partner data'!DG:DG,0),83)</f>
        <v>Soggetto pubblico</v>
      </c>
      <c r="R1168" t="b">
        <f>IF(E1168="staff",IF(INDEX('Partner data'!A:DH,MATCH(C1168,'Partner data'!DG:DG,0),112)="BL1 non presente","FALSO",INDEX('Partner data'!A:DH,MATCH(C1168,'Partner data'!DG:DG,0),112)))</f>
        <v>0</v>
      </c>
      <c r="S1168" t="b">
        <f t="shared" si="36"/>
        <v>0</v>
      </c>
      <c r="T1168" t="b">
        <f t="shared" si="37"/>
        <v>1</v>
      </c>
      <c r="U1168" s="154">
        <f>IFERROR(IF(R1168&lt;&gt;FALSE,IF(S1168=TRUE,INDEX('SummaryNOT_VALIDATED-BL'!$A$1:$F$16,MATCH(R1168,'SummaryNOT_VALIDATED-BL'!$A$1:$A$16,0),6),0),IF(S1168=TRUE,INDEX('SummaryNOT_VALIDATED-BL'!$A$1:$F$16,MATCH(E1168,'SummaryNOT_VALIDATED-BL'!$A$1:$A$16,0),6),0)),0)</f>
        <v>0</v>
      </c>
      <c r="V1168" s="81" cm="1">
        <f t="array" ref="V1168">INDEX('Weight tables'!$A$24:$C$27,MATCH(1,(RendicontiTrasmessiBL__2[[#This Row],[Cut percentage on real costs + USC]]&gt;='Weight tables'!$B$24:$B$27)*(RendicontiTrasmessiBL__2[[#This Row],[Cut percentage on real costs + USC]]&lt;='Weight tables'!$C$24:$C$27),0),1)</f>
        <v>0</v>
      </c>
      <c r="W1168" s="2">
        <f>RendicontiTrasmessiBL__2[[#This Row],[Weight real costs  + USC ]]</f>
        <v>0</v>
      </c>
    </row>
    <row r="1169" spans="1:23" x14ac:dyDescent="0.25">
      <c r="A1169" s="1" t="s">
        <v>57</v>
      </c>
      <c r="B1169" s="1" t="s">
        <v>0</v>
      </c>
      <c r="C1169" s="2">
        <v>305</v>
      </c>
      <c r="D1169" s="2">
        <v>274</v>
      </c>
      <c r="E1169" s="1" t="s">
        <v>234</v>
      </c>
      <c r="G1169">
        <v>0</v>
      </c>
      <c r="H1169">
        <v>0</v>
      </c>
      <c r="I1169">
        <v>0</v>
      </c>
      <c r="J1169">
        <v>0</v>
      </c>
      <c r="K1169">
        <v>0</v>
      </c>
      <c r="L1169">
        <v>0</v>
      </c>
      <c r="M1169">
        <v>0</v>
      </c>
      <c r="N1169">
        <v>0</v>
      </c>
      <c r="O1169">
        <v>0</v>
      </c>
      <c r="P1169">
        <v>0</v>
      </c>
      <c r="Q1169" t="str">
        <f>INDEX('Partner data'!A:DH,MATCH(C1169,'Partner data'!DG:DG,0),83)</f>
        <v>Soggetto pubblico</v>
      </c>
      <c r="R1169" t="b">
        <f>IF(E1169="staff",IF(INDEX('Partner data'!A:DH,MATCH(C1169,'Partner data'!DG:DG,0),112)="BL1 non presente","FALSO",INDEX('Partner data'!A:DH,MATCH(C1169,'Partner data'!DG:DG,0),112)))</f>
        <v>0</v>
      </c>
      <c r="S1169" t="b">
        <f t="shared" si="36"/>
        <v>0</v>
      </c>
      <c r="T1169" t="b">
        <f t="shared" si="37"/>
        <v>1</v>
      </c>
      <c r="U1169" s="154">
        <f>IFERROR(IF(R1169&lt;&gt;FALSE,IF(S1169=TRUE,INDEX('SummaryNOT_VALIDATED-BL'!$A$1:$F$16,MATCH(R1169,'SummaryNOT_VALIDATED-BL'!$A$1:$A$16,0),6),0),IF(S1169=TRUE,INDEX('SummaryNOT_VALIDATED-BL'!$A$1:$F$16,MATCH(E1169,'SummaryNOT_VALIDATED-BL'!$A$1:$A$16,0),6),0)),0)</f>
        <v>0</v>
      </c>
      <c r="V1169" s="81" cm="1">
        <f t="array" ref="V1169">INDEX('Weight tables'!$A$24:$C$27,MATCH(1,(RendicontiTrasmessiBL__2[[#This Row],[Cut percentage on real costs + USC]]&gt;='Weight tables'!$B$24:$B$27)*(RendicontiTrasmessiBL__2[[#This Row],[Cut percentage on real costs + USC]]&lt;='Weight tables'!$C$24:$C$27),0),1)</f>
        <v>0</v>
      </c>
      <c r="W1169" s="2">
        <f>RendicontiTrasmessiBL__2[[#This Row],[Weight real costs  + USC ]]</f>
        <v>0</v>
      </c>
    </row>
    <row r="1170" spans="1:23" x14ac:dyDescent="0.25">
      <c r="A1170" s="1" t="s">
        <v>57</v>
      </c>
      <c r="B1170" s="1" t="s">
        <v>0</v>
      </c>
      <c r="C1170" s="2">
        <v>305</v>
      </c>
      <c r="D1170" s="2">
        <v>274</v>
      </c>
      <c r="E1170" s="1" t="s">
        <v>236</v>
      </c>
      <c r="G1170">
        <v>0</v>
      </c>
      <c r="H1170">
        <v>0</v>
      </c>
      <c r="I1170">
        <v>0</v>
      </c>
      <c r="J1170">
        <v>0</v>
      </c>
      <c r="K1170">
        <v>0</v>
      </c>
      <c r="L1170">
        <v>0</v>
      </c>
      <c r="M1170">
        <v>0</v>
      </c>
      <c r="N1170">
        <v>0</v>
      </c>
      <c r="O1170">
        <v>0</v>
      </c>
      <c r="P1170">
        <v>0</v>
      </c>
      <c r="Q1170" t="str">
        <f>INDEX('Partner data'!A:DH,MATCH(C1170,'Partner data'!DG:DG,0),83)</f>
        <v>Soggetto pubblico</v>
      </c>
      <c r="R1170" t="b">
        <f>IF(E1170="staff",IF(INDEX('Partner data'!A:DH,MATCH(C1170,'Partner data'!DG:DG,0),112)="BL1 non presente","FALSO",INDEX('Partner data'!A:DH,MATCH(C1170,'Partner data'!DG:DG,0),112)))</f>
        <v>0</v>
      </c>
      <c r="S1170" t="b">
        <f t="shared" si="36"/>
        <v>0</v>
      </c>
      <c r="T1170" t="b">
        <f t="shared" si="37"/>
        <v>1</v>
      </c>
      <c r="U1170" s="154">
        <f>IFERROR(IF(R1170&lt;&gt;FALSE,IF(S1170=TRUE,INDEX('SummaryNOT_VALIDATED-BL'!$A$1:$F$16,MATCH(R1170,'SummaryNOT_VALIDATED-BL'!$A$1:$A$16,0),6),0),IF(S1170=TRUE,INDEX('SummaryNOT_VALIDATED-BL'!$A$1:$F$16,MATCH(E1170,'SummaryNOT_VALIDATED-BL'!$A$1:$A$16,0),6),0)),0)</f>
        <v>0</v>
      </c>
      <c r="V1170" s="81" cm="1">
        <f t="array" ref="V1170">INDEX('Weight tables'!$A$24:$C$27,MATCH(1,(RendicontiTrasmessiBL__2[[#This Row],[Cut percentage on real costs + USC]]&gt;='Weight tables'!$B$24:$B$27)*(RendicontiTrasmessiBL__2[[#This Row],[Cut percentage on real costs + USC]]&lt;='Weight tables'!$C$24:$C$27),0),1)</f>
        <v>0</v>
      </c>
      <c r="W1170" s="2">
        <f>RendicontiTrasmessiBL__2[[#This Row],[Weight real costs  + USC ]]</f>
        <v>0</v>
      </c>
    </row>
    <row r="1171" spans="1:23" x14ac:dyDescent="0.25">
      <c r="A1171" s="1" t="s">
        <v>57</v>
      </c>
      <c r="B1171" s="1" t="s">
        <v>0</v>
      </c>
      <c r="C1171" s="2">
        <v>305</v>
      </c>
      <c r="D1171" s="2">
        <v>274</v>
      </c>
      <c r="E1171" s="1" t="s">
        <v>237</v>
      </c>
      <c r="G1171">
        <v>0</v>
      </c>
      <c r="H1171">
        <v>0</v>
      </c>
      <c r="I1171">
        <v>0</v>
      </c>
      <c r="J1171">
        <v>0</v>
      </c>
      <c r="K1171">
        <v>0</v>
      </c>
      <c r="L1171">
        <v>0</v>
      </c>
      <c r="M1171">
        <v>0</v>
      </c>
      <c r="N1171">
        <v>0</v>
      </c>
      <c r="O1171">
        <v>0</v>
      </c>
      <c r="P1171">
        <v>0</v>
      </c>
      <c r="Q1171" t="str">
        <f>INDEX('Partner data'!A:DH,MATCH(C1171,'Partner data'!DG:DG,0),83)</f>
        <v>Soggetto pubblico</v>
      </c>
      <c r="R1171" t="b">
        <f>IF(E1171="staff",IF(INDEX('Partner data'!A:DH,MATCH(C1171,'Partner data'!DG:DG,0),112)="BL1 non presente","FALSO",INDEX('Partner data'!A:DH,MATCH(C1171,'Partner data'!DG:DG,0),112)))</f>
        <v>0</v>
      </c>
      <c r="S1171" t="b">
        <f t="shared" si="36"/>
        <v>0</v>
      </c>
      <c r="T1171" t="b">
        <f t="shared" si="37"/>
        <v>1</v>
      </c>
      <c r="U1171" s="154">
        <f>IFERROR(IF(R1171&lt;&gt;FALSE,IF(S1171=TRUE,INDEX('SummaryNOT_VALIDATED-BL'!$A$1:$F$16,MATCH(R1171,'SummaryNOT_VALIDATED-BL'!$A$1:$A$16,0),6),0),IF(S1171=TRUE,INDEX('SummaryNOT_VALIDATED-BL'!$A$1:$F$16,MATCH(E1171,'SummaryNOT_VALIDATED-BL'!$A$1:$A$16,0),6),0)),0)</f>
        <v>0</v>
      </c>
      <c r="V1171" s="81" cm="1">
        <f t="array" ref="V1171">INDEX('Weight tables'!$A$24:$C$27,MATCH(1,(RendicontiTrasmessiBL__2[[#This Row],[Cut percentage on real costs + USC]]&gt;='Weight tables'!$B$24:$B$27)*(RendicontiTrasmessiBL__2[[#This Row],[Cut percentage on real costs + USC]]&lt;='Weight tables'!$C$24:$C$27),0),1)</f>
        <v>0</v>
      </c>
      <c r="W1171" s="2">
        <f>RendicontiTrasmessiBL__2[[#This Row],[Weight real costs  + USC ]]</f>
        <v>0</v>
      </c>
    </row>
    <row r="1172" spans="1:23" x14ac:dyDescent="0.25">
      <c r="A1172" s="1" t="s">
        <v>57</v>
      </c>
      <c r="B1172" s="1" t="s">
        <v>0</v>
      </c>
      <c r="C1172" s="2">
        <v>305</v>
      </c>
      <c r="D1172" s="2">
        <v>94</v>
      </c>
      <c r="E1172" s="1" t="s">
        <v>228</v>
      </c>
      <c r="G1172">
        <v>90322</v>
      </c>
      <c r="H1172">
        <v>0</v>
      </c>
      <c r="I1172">
        <v>0</v>
      </c>
      <c r="J1172">
        <v>18525</v>
      </c>
      <c r="K1172">
        <v>0</v>
      </c>
      <c r="L1172">
        <v>18511.5</v>
      </c>
      <c r="M1172">
        <v>18525</v>
      </c>
      <c r="N1172">
        <v>20.51</v>
      </c>
      <c r="O1172">
        <v>71797</v>
      </c>
      <c r="P1172">
        <v>0</v>
      </c>
      <c r="Q1172" t="str">
        <f>INDEX('Partner data'!A:DH,MATCH(C1172,'Partner data'!DG:DG,0),83)</f>
        <v>Soggetto pubblico</v>
      </c>
      <c r="R1172" t="str">
        <f>IF(E1172="staff",IF(INDEX('Partner data'!A:DH,MATCH(C1172,'Partner data'!DG:DG,0),112)="BL1 non presente","FALSO",INDEX('Partner data'!A:DH,MATCH(C1172,'Partner data'!DG:DG,0),112)))</f>
        <v>Costo Unitario Standard</v>
      </c>
      <c r="S1172" t="b">
        <f t="shared" si="36"/>
        <v>1</v>
      </c>
      <c r="T1172" t="b">
        <f t="shared" si="37"/>
        <v>1</v>
      </c>
      <c r="U1172" s="154">
        <f>IFERROR(IF(R1172&lt;&gt;FALSE,IF(S1172=TRUE,INDEX('SummaryNOT_VALIDATED-BL'!$A$1:$F$16,MATCH(R1172,'SummaryNOT_VALIDATED-BL'!$A$1:$A$16,0),6),0),IF(S1172=TRUE,INDEX('SummaryNOT_VALIDATED-BL'!$A$1:$F$16,MATCH(E1172,'SummaryNOT_VALIDATED-BL'!$A$1:$A$16,0),6),0)),0)</f>
        <v>3.2052879635441428E-2</v>
      </c>
      <c r="V1172" s="81" cm="1">
        <f t="array" ref="V1172">INDEX('Weight tables'!$A$24:$C$27,MATCH(1,(RendicontiTrasmessiBL__2[[#This Row],[Cut percentage on real costs + USC]]&gt;='Weight tables'!$B$24:$B$27)*(RendicontiTrasmessiBL__2[[#This Row],[Cut percentage on real costs + USC]]&lt;='Weight tables'!$C$24:$C$27),0),1)</f>
        <v>2</v>
      </c>
      <c r="W1172" s="2">
        <f>RendicontiTrasmessiBL__2[[#This Row],[Weight real costs  + USC ]]</f>
        <v>2</v>
      </c>
    </row>
    <row r="1173" spans="1:23" x14ac:dyDescent="0.25">
      <c r="A1173" s="1" t="s">
        <v>57</v>
      </c>
      <c r="B1173" s="1" t="s">
        <v>0</v>
      </c>
      <c r="C1173" s="2">
        <v>305</v>
      </c>
      <c r="D1173" s="2">
        <v>94</v>
      </c>
      <c r="E1173" s="1" t="s">
        <v>229</v>
      </c>
      <c r="F1173">
        <v>15</v>
      </c>
      <c r="G1173">
        <v>13548.3</v>
      </c>
      <c r="H1173">
        <v>0</v>
      </c>
      <c r="I1173">
        <v>0</v>
      </c>
      <c r="J1173">
        <v>2778.75</v>
      </c>
      <c r="K1173">
        <v>0</v>
      </c>
      <c r="L1173">
        <v>2776.72</v>
      </c>
      <c r="M1173">
        <v>2778.75</v>
      </c>
      <c r="N1173">
        <v>20.51</v>
      </c>
      <c r="O1173">
        <v>10769.55</v>
      </c>
      <c r="P1173">
        <v>0</v>
      </c>
      <c r="Q1173" t="str">
        <f>INDEX('Partner data'!A:DH,MATCH(C1173,'Partner data'!DG:DG,0),83)</f>
        <v>Soggetto pubblico</v>
      </c>
      <c r="R1173" t="b">
        <f>IF(E1173="staff",IF(INDEX('Partner data'!A:DH,MATCH(C1173,'Partner data'!DG:DG,0),112)="BL1 non presente","FALSO",INDEX('Partner data'!A:DH,MATCH(C1173,'Partner data'!DG:DG,0),112)))</f>
        <v>0</v>
      </c>
      <c r="S1173" t="b">
        <f t="shared" si="36"/>
        <v>1</v>
      </c>
      <c r="T1173" t="b">
        <f t="shared" si="37"/>
        <v>1</v>
      </c>
      <c r="U1173" s="154">
        <f>IFERROR(IF(R1173&lt;&gt;FALSE,IF(S1173=TRUE,INDEX('SummaryNOT_VALIDATED-BL'!$A$1:$F$16,MATCH(R1173,'SummaryNOT_VALIDATED-BL'!$A$1:$A$16,0),6),0),IF(S1173=TRUE,INDEX('SummaryNOT_VALIDATED-BL'!$A$1:$F$16,MATCH(E1173,'SummaryNOT_VALIDATED-BL'!$A$1:$A$16,0),6),0)),0)</f>
        <v>6.6460469504890221E-2</v>
      </c>
      <c r="V1173" s="81" cm="1">
        <f t="array" ref="V1173">INDEX('Weight tables'!$A$24:$C$27,MATCH(1,(RendicontiTrasmessiBL__2[[#This Row],[Cut percentage on real costs + USC]]&gt;='Weight tables'!$B$24:$B$27)*(RendicontiTrasmessiBL__2[[#This Row],[Cut percentage on real costs + USC]]&lt;='Weight tables'!$C$24:$C$27),0),1)</f>
        <v>4</v>
      </c>
      <c r="W1173" s="2">
        <f>RendicontiTrasmessiBL__2[[#This Row],[Weight real costs  + USC ]]</f>
        <v>4</v>
      </c>
    </row>
    <row r="1174" spans="1:23" x14ac:dyDescent="0.25">
      <c r="A1174" s="1" t="s">
        <v>57</v>
      </c>
      <c r="B1174" s="1" t="s">
        <v>0</v>
      </c>
      <c r="C1174" s="2">
        <v>305</v>
      </c>
      <c r="D1174" s="2">
        <v>94</v>
      </c>
      <c r="E1174" s="1" t="s">
        <v>230</v>
      </c>
      <c r="F1174">
        <v>4</v>
      </c>
      <c r="G1174">
        <v>3612.88</v>
      </c>
      <c r="H1174">
        <v>0</v>
      </c>
      <c r="I1174">
        <v>0</v>
      </c>
      <c r="J1174">
        <v>741</v>
      </c>
      <c r="K1174">
        <v>0</v>
      </c>
      <c r="L1174">
        <v>740.46</v>
      </c>
      <c r="M1174">
        <v>741</v>
      </c>
      <c r="N1174">
        <v>20.51</v>
      </c>
      <c r="O1174">
        <v>2871.88</v>
      </c>
      <c r="P1174">
        <v>0</v>
      </c>
      <c r="Q1174" t="str">
        <f>INDEX('Partner data'!A:DH,MATCH(C1174,'Partner data'!DG:DG,0),83)</f>
        <v>Soggetto pubblico</v>
      </c>
      <c r="R1174" t="b">
        <f>IF(E1174="staff",IF(INDEX('Partner data'!A:DH,MATCH(C1174,'Partner data'!DG:DG,0),112)="BL1 non presente","FALSO",INDEX('Partner data'!A:DH,MATCH(C1174,'Partner data'!DG:DG,0),112)))</f>
        <v>0</v>
      </c>
      <c r="S1174" t="b">
        <f t="shared" si="36"/>
        <v>1</v>
      </c>
      <c r="T1174" t="b">
        <f t="shared" si="37"/>
        <v>1</v>
      </c>
      <c r="U1174" s="154">
        <f>IFERROR(IF(R1174&lt;&gt;FALSE,IF(S1174=TRUE,INDEX('SummaryNOT_VALIDATED-BL'!$A$1:$F$16,MATCH(R1174,'SummaryNOT_VALIDATED-BL'!$A$1:$A$16,0),6),0),IF(S1174=TRUE,INDEX('SummaryNOT_VALIDATED-BL'!$A$1:$F$16,MATCH(E1174,'SummaryNOT_VALIDATED-BL'!$A$1:$A$16,0),6),0)),0)</f>
        <v>6.3112622236488891E-2</v>
      </c>
      <c r="V1174" s="81" cm="1">
        <f t="array" ref="V1174">INDEX('Weight tables'!$A$24:$C$27,MATCH(1,(RendicontiTrasmessiBL__2[[#This Row],[Cut percentage on real costs + USC]]&gt;='Weight tables'!$B$24:$B$27)*(RendicontiTrasmessiBL__2[[#This Row],[Cut percentage on real costs + USC]]&lt;='Weight tables'!$C$24:$C$27),0),1)</f>
        <v>4</v>
      </c>
      <c r="W1174" s="2">
        <f>RendicontiTrasmessiBL__2[[#This Row],[Weight real costs  + USC ]]</f>
        <v>4</v>
      </c>
    </row>
    <row r="1175" spans="1:23" x14ac:dyDescent="0.25">
      <c r="A1175" s="1" t="s">
        <v>57</v>
      </c>
      <c r="B1175" s="1" t="s">
        <v>0</v>
      </c>
      <c r="C1175" s="2">
        <v>305</v>
      </c>
      <c r="D1175" s="2">
        <v>94</v>
      </c>
      <c r="E1175" s="1" t="s">
        <v>231</v>
      </c>
      <c r="G1175">
        <v>150016.82</v>
      </c>
      <c r="H1175">
        <v>0</v>
      </c>
      <c r="I1175">
        <v>0</v>
      </c>
      <c r="J1175">
        <v>0</v>
      </c>
      <c r="K1175">
        <v>0</v>
      </c>
      <c r="L1175">
        <v>0</v>
      </c>
      <c r="M1175">
        <v>0</v>
      </c>
      <c r="N1175">
        <v>0</v>
      </c>
      <c r="O1175">
        <v>150016.82</v>
      </c>
      <c r="P1175">
        <v>0</v>
      </c>
      <c r="Q1175" t="str">
        <f>INDEX('Partner data'!A:DH,MATCH(C1175,'Partner data'!DG:DG,0),83)</f>
        <v>Soggetto pubblico</v>
      </c>
      <c r="R1175" t="b">
        <f>IF(E1175="staff",IF(INDEX('Partner data'!A:DH,MATCH(C1175,'Partner data'!DG:DG,0),112)="BL1 non presente","FALSO",INDEX('Partner data'!A:DH,MATCH(C1175,'Partner data'!DG:DG,0),112)))</f>
        <v>0</v>
      </c>
      <c r="S1175" t="b">
        <f t="shared" si="36"/>
        <v>0</v>
      </c>
      <c r="T1175" t="b">
        <f t="shared" si="37"/>
        <v>1</v>
      </c>
      <c r="U1175" s="154">
        <f>IFERROR(IF(R1175&lt;&gt;FALSE,IF(S1175=TRUE,INDEX('SummaryNOT_VALIDATED-BL'!$A$1:$F$16,MATCH(R1175,'SummaryNOT_VALIDATED-BL'!$A$1:$A$16,0),6),0),IF(S1175=TRUE,INDEX('SummaryNOT_VALIDATED-BL'!$A$1:$F$16,MATCH(E1175,'SummaryNOT_VALIDATED-BL'!$A$1:$A$16,0),6),0)),0)</f>
        <v>0</v>
      </c>
      <c r="V1175" s="81" cm="1">
        <f t="array" ref="V1175">INDEX('Weight tables'!$A$24:$C$27,MATCH(1,(RendicontiTrasmessiBL__2[[#This Row],[Cut percentage on real costs + USC]]&gt;='Weight tables'!$B$24:$B$27)*(RendicontiTrasmessiBL__2[[#This Row],[Cut percentage on real costs + USC]]&lt;='Weight tables'!$C$24:$C$27),0),1)</f>
        <v>0</v>
      </c>
      <c r="W1175" s="2">
        <f>RendicontiTrasmessiBL__2[[#This Row],[Weight real costs  + USC ]]</f>
        <v>0</v>
      </c>
    </row>
    <row r="1176" spans="1:23" x14ac:dyDescent="0.25">
      <c r="A1176" s="1" t="s">
        <v>57</v>
      </c>
      <c r="B1176" s="1" t="s">
        <v>0</v>
      </c>
      <c r="C1176" s="2">
        <v>305</v>
      </c>
      <c r="D1176" s="2">
        <v>94</v>
      </c>
      <c r="E1176" s="1" t="s">
        <v>232</v>
      </c>
      <c r="G1176">
        <v>180000</v>
      </c>
      <c r="H1176">
        <v>0</v>
      </c>
      <c r="I1176">
        <v>0</v>
      </c>
      <c r="J1176">
        <v>0</v>
      </c>
      <c r="K1176">
        <v>0</v>
      </c>
      <c r="L1176">
        <v>0</v>
      </c>
      <c r="M1176">
        <v>0</v>
      </c>
      <c r="N1176">
        <v>0</v>
      </c>
      <c r="O1176">
        <v>180000</v>
      </c>
      <c r="P1176">
        <v>0</v>
      </c>
      <c r="Q1176" t="str">
        <f>INDEX('Partner data'!A:DH,MATCH(C1176,'Partner data'!DG:DG,0),83)</f>
        <v>Soggetto pubblico</v>
      </c>
      <c r="R1176" t="b">
        <f>IF(E1176="staff",IF(INDEX('Partner data'!A:DH,MATCH(C1176,'Partner data'!DG:DG,0),112)="BL1 non presente","FALSO",INDEX('Partner data'!A:DH,MATCH(C1176,'Partner data'!DG:DG,0),112)))</f>
        <v>0</v>
      </c>
      <c r="S1176" t="b">
        <f t="shared" si="36"/>
        <v>0</v>
      </c>
      <c r="T1176" t="b">
        <f t="shared" si="37"/>
        <v>1</v>
      </c>
      <c r="U1176" s="154">
        <f>IFERROR(IF(R1176&lt;&gt;FALSE,IF(S1176=TRUE,INDEX('SummaryNOT_VALIDATED-BL'!$A$1:$F$16,MATCH(R1176,'SummaryNOT_VALIDATED-BL'!$A$1:$A$16,0),6),0),IF(S1176=TRUE,INDEX('SummaryNOT_VALIDATED-BL'!$A$1:$F$16,MATCH(E1176,'SummaryNOT_VALIDATED-BL'!$A$1:$A$16,0),6),0)),0)</f>
        <v>0</v>
      </c>
      <c r="V1176" s="81" cm="1">
        <f t="array" ref="V1176">INDEX('Weight tables'!$A$24:$C$27,MATCH(1,(RendicontiTrasmessiBL__2[[#This Row],[Cut percentage on real costs + USC]]&gt;='Weight tables'!$B$24:$B$27)*(RendicontiTrasmessiBL__2[[#This Row],[Cut percentage on real costs + USC]]&lt;='Weight tables'!$C$24:$C$27),0),1)</f>
        <v>0</v>
      </c>
      <c r="W1176" s="2">
        <f>RendicontiTrasmessiBL__2[[#This Row],[Weight real costs  + USC ]]</f>
        <v>0</v>
      </c>
    </row>
    <row r="1177" spans="1:23" x14ac:dyDescent="0.25">
      <c r="A1177" s="1" t="s">
        <v>57</v>
      </c>
      <c r="B1177" s="1" t="s">
        <v>0</v>
      </c>
      <c r="C1177" s="2">
        <v>305</v>
      </c>
      <c r="D1177" s="2">
        <v>94</v>
      </c>
      <c r="E1177" s="1" t="s">
        <v>233</v>
      </c>
      <c r="G1177">
        <v>0</v>
      </c>
      <c r="H1177">
        <v>0</v>
      </c>
      <c r="I1177">
        <v>0</v>
      </c>
      <c r="J1177">
        <v>0</v>
      </c>
      <c r="K1177">
        <v>0</v>
      </c>
      <c r="L1177">
        <v>0</v>
      </c>
      <c r="M1177">
        <v>0</v>
      </c>
      <c r="N1177">
        <v>0</v>
      </c>
      <c r="O1177">
        <v>0</v>
      </c>
      <c r="P1177">
        <v>0</v>
      </c>
      <c r="Q1177" t="str">
        <f>INDEX('Partner data'!A:DH,MATCH(C1177,'Partner data'!DG:DG,0),83)</f>
        <v>Soggetto pubblico</v>
      </c>
      <c r="R1177" t="b">
        <f>IF(E1177="staff",IF(INDEX('Partner data'!A:DH,MATCH(C1177,'Partner data'!DG:DG,0),112)="BL1 non presente","FALSO",INDEX('Partner data'!A:DH,MATCH(C1177,'Partner data'!DG:DG,0),112)))</f>
        <v>0</v>
      </c>
      <c r="S1177" t="b">
        <f t="shared" si="36"/>
        <v>0</v>
      </c>
      <c r="T1177" t="b">
        <f t="shared" si="37"/>
        <v>1</v>
      </c>
      <c r="U1177" s="154">
        <f>IFERROR(IF(R1177&lt;&gt;FALSE,IF(S1177=TRUE,INDEX('SummaryNOT_VALIDATED-BL'!$A$1:$F$16,MATCH(R1177,'SummaryNOT_VALIDATED-BL'!$A$1:$A$16,0),6),0),IF(S1177=TRUE,INDEX('SummaryNOT_VALIDATED-BL'!$A$1:$F$16,MATCH(E1177,'SummaryNOT_VALIDATED-BL'!$A$1:$A$16,0),6),0)),0)</f>
        <v>0</v>
      </c>
      <c r="V1177" s="81" cm="1">
        <f t="array" ref="V1177">INDEX('Weight tables'!$A$24:$C$27,MATCH(1,(RendicontiTrasmessiBL__2[[#This Row],[Cut percentage on real costs + USC]]&gt;='Weight tables'!$B$24:$B$27)*(RendicontiTrasmessiBL__2[[#This Row],[Cut percentage on real costs + USC]]&lt;='Weight tables'!$C$24:$C$27),0),1)</f>
        <v>0</v>
      </c>
      <c r="W1177" s="2">
        <f>RendicontiTrasmessiBL__2[[#This Row],[Weight real costs  + USC ]]</f>
        <v>0</v>
      </c>
    </row>
    <row r="1178" spans="1:23" x14ac:dyDescent="0.25">
      <c r="A1178" s="1" t="s">
        <v>57</v>
      </c>
      <c r="B1178" s="1" t="s">
        <v>0</v>
      </c>
      <c r="C1178" s="2">
        <v>305</v>
      </c>
      <c r="D1178" s="2">
        <v>94</v>
      </c>
      <c r="E1178" s="1" t="s">
        <v>234</v>
      </c>
      <c r="G1178">
        <v>0</v>
      </c>
      <c r="H1178">
        <v>0</v>
      </c>
      <c r="I1178">
        <v>0</v>
      </c>
      <c r="J1178">
        <v>0</v>
      </c>
      <c r="K1178">
        <v>0</v>
      </c>
      <c r="L1178">
        <v>0</v>
      </c>
      <c r="M1178">
        <v>0</v>
      </c>
      <c r="N1178">
        <v>0</v>
      </c>
      <c r="O1178">
        <v>0</v>
      </c>
      <c r="P1178">
        <v>0</v>
      </c>
      <c r="Q1178" t="str">
        <f>INDEX('Partner data'!A:DH,MATCH(C1178,'Partner data'!DG:DG,0),83)</f>
        <v>Soggetto pubblico</v>
      </c>
      <c r="R1178" t="b">
        <f>IF(E1178="staff",IF(INDEX('Partner data'!A:DH,MATCH(C1178,'Partner data'!DG:DG,0),112)="BL1 non presente","FALSO",INDEX('Partner data'!A:DH,MATCH(C1178,'Partner data'!DG:DG,0),112)))</f>
        <v>0</v>
      </c>
      <c r="S1178" t="b">
        <f t="shared" si="36"/>
        <v>0</v>
      </c>
      <c r="T1178" t="b">
        <f t="shared" si="37"/>
        <v>1</v>
      </c>
      <c r="U1178" s="154">
        <f>IFERROR(IF(R1178&lt;&gt;FALSE,IF(S1178=TRUE,INDEX('SummaryNOT_VALIDATED-BL'!$A$1:$F$16,MATCH(R1178,'SummaryNOT_VALIDATED-BL'!$A$1:$A$16,0),6),0),IF(S1178=TRUE,INDEX('SummaryNOT_VALIDATED-BL'!$A$1:$F$16,MATCH(E1178,'SummaryNOT_VALIDATED-BL'!$A$1:$A$16,0),6),0)),0)</f>
        <v>0</v>
      </c>
      <c r="V1178" s="81" cm="1">
        <f t="array" ref="V1178">INDEX('Weight tables'!$A$24:$C$27,MATCH(1,(RendicontiTrasmessiBL__2[[#This Row],[Cut percentage on real costs + USC]]&gt;='Weight tables'!$B$24:$B$27)*(RendicontiTrasmessiBL__2[[#This Row],[Cut percentage on real costs + USC]]&lt;='Weight tables'!$C$24:$C$27),0),1)</f>
        <v>0</v>
      </c>
      <c r="W1178" s="2">
        <f>RendicontiTrasmessiBL__2[[#This Row],[Weight real costs  + USC ]]</f>
        <v>0</v>
      </c>
    </row>
    <row r="1179" spans="1:23" x14ac:dyDescent="0.25">
      <c r="A1179" s="1" t="s">
        <v>57</v>
      </c>
      <c r="B1179" s="1" t="s">
        <v>0</v>
      </c>
      <c r="C1179" s="2">
        <v>305</v>
      </c>
      <c r="D1179" s="2">
        <v>94</v>
      </c>
      <c r="E1179" s="1" t="s">
        <v>236</v>
      </c>
      <c r="G1179">
        <v>0</v>
      </c>
      <c r="H1179">
        <v>0</v>
      </c>
      <c r="I1179">
        <v>0</v>
      </c>
      <c r="J1179">
        <v>0</v>
      </c>
      <c r="K1179">
        <v>0</v>
      </c>
      <c r="L1179">
        <v>0</v>
      </c>
      <c r="M1179">
        <v>0</v>
      </c>
      <c r="N1179">
        <v>0</v>
      </c>
      <c r="O1179">
        <v>0</v>
      </c>
      <c r="P1179">
        <v>0</v>
      </c>
      <c r="Q1179" t="str">
        <f>INDEX('Partner data'!A:DH,MATCH(C1179,'Partner data'!DG:DG,0),83)</f>
        <v>Soggetto pubblico</v>
      </c>
      <c r="R1179" t="b">
        <f>IF(E1179="staff",IF(INDEX('Partner data'!A:DH,MATCH(C1179,'Partner data'!DG:DG,0),112)="BL1 non presente","FALSO",INDEX('Partner data'!A:DH,MATCH(C1179,'Partner data'!DG:DG,0),112)))</f>
        <v>0</v>
      </c>
      <c r="S1179" t="b">
        <f t="shared" si="36"/>
        <v>0</v>
      </c>
      <c r="T1179" t="b">
        <f t="shared" si="37"/>
        <v>1</v>
      </c>
      <c r="U1179" s="154">
        <f>IFERROR(IF(R1179&lt;&gt;FALSE,IF(S1179=TRUE,INDEX('SummaryNOT_VALIDATED-BL'!$A$1:$F$16,MATCH(R1179,'SummaryNOT_VALIDATED-BL'!$A$1:$A$16,0),6),0),IF(S1179=TRUE,INDEX('SummaryNOT_VALIDATED-BL'!$A$1:$F$16,MATCH(E1179,'SummaryNOT_VALIDATED-BL'!$A$1:$A$16,0),6),0)),0)</f>
        <v>0</v>
      </c>
      <c r="V1179" s="81" cm="1">
        <f t="array" ref="V1179">INDEX('Weight tables'!$A$24:$C$27,MATCH(1,(RendicontiTrasmessiBL__2[[#This Row],[Cut percentage on real costs + USC]]&gt;='Weight tables'!$B$24:$B$27)*(RendicontiTrasmessiBL__2[[#This Row],[Cut percentage on real costs + USC]]&lt;='Weight tables'!$C$24:$C$27),0),1)</f>
        <v>0</v>
      </c>
      <c r="W1179" s="2">
        <f>RendicontiTrasmessiBL__2[[#This Row],[Weight real costs  + USC ]]</f>
        <v>0</v>
      </c>
    </row>
    <row r="1180" spans="1:23" x14ac:dyDescent="0.25">
      <c r="A1180" s="1" t="s">
        <v>57</v>
      </c>
      <c r="B1180" s="1" t="s">
        <v>0</v>
      </c>
      <c r="C1180" s="2">
        <v>305</v>
      </c>
      <c r="D1180" s="2">
        <v>94</v>
      </c>
      <c r="E1180" s="1" t="s">
        <v>237</v>
      </c>
      <c r="G1180">
        <v>0</v>
      </c>
      <c r="H1180">
        <v>0</v>
      </c>
      <c r="I1180">
        <v>0</v>
      </c>
      <c r="J1180">
        <v>0</v>
      </c>
      <c r="K1180">
        <v>0</v>
      </c>
      <c r="L1180">
        <v>0</v>
      </c>
      <c r="M1180">
        <v>0</v>
      </c>
      <c r="N1180">
        <v>0</v>
      </c>
      <c r="O1180">
        <v>0</v>
      </c>
      <c r="P1180">
        <v>0</v>
      </c>
      <c r="Q1180" t="str">
        <f>INDEX('Partner data'!A:DH,MATCH(C1180,'Partner data'!DG:DG,0),83)</f>
        <v>Soggetto pubblico</v>
      </c>
      <c r="R1180" t="b">
        <f>IF(E1180="staff",IF(INDEX('Partner data'!A:DH,MATCH(C1180,'Partner data'!DG:DG,0),112)="BL1 non presente","FALSO",INDEX('Partner data'!A:DH,MATCH(C1180,'Partner data'!DG:DG,0),112)))</f>
        <v>0</v>
      </c>
      <c r="S1180" t="b">
        <f t="shared" si="36"/>
        <v>0</v>
      </c>
      <c r="T1180" t="b">
        <f t="shared" si="37"/>
        <v>1</v>
      </c>
      <c r="U1180" s="154">
        <f>IFERROR(IF(R1180&lt;&gt;FALSE,IF(S1180=TRUE,INDEX('SummaryNOT_VALIDATED-BL'!$A$1:$F$16,MATCH(R1180,'SummaryNOT_VALIDATED-BL'!$A$1:$A$16,0),6),0),IF(S1180=TRUE,INDEX('SummaryNOT_VALIDATED-BL'!$A$1:$F$16,MATCH(E1180,'SummaryNOT_VALIDATED-BL'!$A$1:$A$16,0),6),0)),0)</f>
        <v>0</v>
      </c>
      <c r="V1180" s="81" cm="1">
        <f t="array" ref="V1180">INDEX('Weight tables'!$A$24:$C$27,MATCH(1,(RendicontiTrasmessiBL__2[[#This Row],[Cut percentage on real costs + USC]]&gt;='Weight tables'!$B$24:$B$27)*(RendicontiTrasmessiBL__2[[#This Row],[Cut percentage on real costs + USC]]&lt;='Weight tables'!$C$24:$C$27),0),1)</f>
        <v>0</v>
      </c>
      <c r="W1180" s="2">
        <f>RendicontiTrasmessiBL__2[[#This Row],[Weight real costs  + USC ]]</f>
        <v>0</v>
      </c>
    </row>
    <row r="1181" spans="1:23" x14ac:dyDescent="0.25">
      <c r="A1181" s="1" t="s">
        <v>57</v>
      </c>
      <c r="B1181" s="1" t="s">
        <v>34</v>
      </c>
      <c r="C1181" s="2">
        <v>306</v>
      </c>
      <c r="D1181" s="2">
        <v>261</v>
      </c>
      <c r="E1181" s="1" t="s">
        <v>228</v>
      </c>
      <c r="G1181">
        <v>110140</v>
      </c>
      <c r="H1181">
        <v>15255.49</v>
      </c>
      <c r="I1181">
        <v>0</v>
      </c>
      <c r="J1181">
        <v>18859.38</v>
      </c>
      <c r="K1181">
        <v>0</v>
      </c>
      <c r="L1181">
        <v>0</v>
      </c>
      <c r="M1181">
        <v>34114.870000000003</v>
      </c>
      <c r="N1181">
        <v>30.97</v>
      </c>
      <c r="O1181">
        <v>76025.13</v>
      </c>
      <c r="P1181">
        <v>13478.7</v>
      </c>
      <c r="Q1181" t="str">
        <f>INDEX('Partner data'!A:DH,MATCH(C1181,'Partner data'!DG:DG,0),83)</f>
        <v>Soggetto pubblico</v>
      </c>
      <c r="R1181" t="str">
        <f>IF(E1181="staff",IF(INDEX('Partner data'!A:DH,MATCH(C1181,'Partner data'!DG:DG,0),112)="BL1 non presente","FALSO",INDEX('Partner data'!A:DH,MATCH(C1181,'Partner data'!DG:DG,0),112)))</f>
        <v>COSTO REALE</v>
      </c>
      <c r="S1181" t="b">
        <f t="shared" si="36"/>
        <v>1</v>
      </c>
      <c r="T1181" t="b">
        <f t="shared" si="37"/>
        <v>1</v>
      </c>
      <c r="U1181" s="154">
        <f>IFERROR(IF(R1181&lt;&gt;FALSE,IF(S1181=TRUE,INDEX('SummaryNOT_VALIDATED-BL'!$A$1:$F$16,MATCH(R1181,'SummaryNOT_VALIDATED-BL'!$A$1:$A$16,0),6),0),IF(S1181=TRUE,INDEX('SummaryNOT_VALIDATED-BL'!$A$1:$F$16,MATCH(E1181,'SummaryNOT_VALIDATED-BL'!$A$1:$A$16,0),6),0)),0)</f>
        <v>9.1604133276901048E-2</v>
      </c>
      <c r="V1181" s="81" cm="1">
        <f t="array" ref="V1181">INDEX('Weight tables'!$A$24:$C$27,MATCH(1,(RendicontiTrasmessiBL__2[[#This Row],[Cut percentage on real costs + USC]]&gt;='Weight tables'!$B$24:$B$27)*(RendicontiTrasmessiBL__2[[#This Row],[Cut percentage on real costs + USC]]&lt;='Weight tables'!$C$24:$C$27),0),1)</f>
        <v>4</v>
      </c>
      <c r="W1181" s="2">
        <f>RendicontiTrasmessiBL__2[[#This Row],[Weight real costs  + USC ]]</f>
        <v>4</v>
      </c>
    </row>
    <row r="1182" spans="1:23" x14ac:dyDescent="0.25">
      <c r="A1182" s="1" t="s">
        <v>57</v>
      </c>
      <c r="B1182" s="1" t="s">
        <v>34</v>
      </c>
      <c r="C1182" s="2">
        <v>306</v>
      </c>
      <c r="D1182" s="2">
        <v>261</v>
      </c>
      <c r="E1182" s="1" t="s">
        <v>229</v>
      </c>
      <c r="F1182">
        <v>15</v>
      </c>
      <c r="G1182">
        <v>16521</v>
      </c>
      <c r="H1182">
        <v>2288.3200000000002</v>
      </c>
      <c r="I1182">
        <v>0</v>
      </c>
      <c r="J1182">
        <v>2828.9</v>
      </c>
      <c r="K1182">
        <v>0</v>
      </c>
      <c r="L1182">
        <v>0</v>
      </c>
      <c r="M1182">
        <v>5117.22</v>
      </c>
      <c r="N1182">
        <v>30.97</v>
      </c>
      <c r="O1182">
        <v>11403.78</v>
      </c>
      <c r="P1182">
        <v>2021.8</v>
      </c>
      <c r="Q1182" t="str">
        <f>INDEX('Partner data'!A:DH,MATCH(C1182,'Partner data'!DG:DG,0),83)</f>
        <v>Soggetto pubblico</v>
      </c>
      <c r="R1182" t="b">
        <f>IF(E1182="staff",IF(INDEX('Partner data'!A:DH,MATCH(C1182,'Partner data'!DG:DG,0),112)="BL1 non presente","FALSO",INDEX('Partner data'!A:DH,MATCH(C1182,'Partner data'!DG:DG,0),112)))</f>
        <v>0</v>
      </c>
      <c r="S1182" t="b">
        <f t="shared" si="36"/>
        <v>1</v>
      </c>
      <c r="T1182" t="b">
        <f t="shared" si="37"/>
        <v>1</v>
      </c>
      <c r="U1182" s="154">
        <f>IFERROR(IF(R1182&lt;&gt;FALSE,IF(S1182=TRUE,INDEX('SummaryNOT_VALIDATED-BL'!$A$1:$F$16,MATCH(R1182,'SummaryNOT_VALIDATED-BL'!$A$1:$A$16,0),6),0),IF(S1182=TRUE,INDEX('SummaryNOT_VALIDATED-BL'!$A$1:$F$16,MATCH(E1182,'SummaryNOT_VALIDATED-BL'!$A$1:$A$16,0),6),0)),0)</f>
        <v>6.6460469504890221E-2</v>
      </c>
      <c r="V1182" s="81" cm="1">
        <f t="array" ref="V1182">INDEX('Weight tables'!$A$24:$C$27,MATCH(1,(RendicontiTrasmessiBL__2[[#This Row],[Cut percentage on real costs + USC]]&gt;='Weight tables'!$B$24:$B$27)*(RendicontiTrasmessiBL__2[[#This Row],[Cut percentage on real costs + USC]]&lt;='Weight tables'!$C$24:$C$27),0),1)</f>
        <v>4</v>
      </c>
      <c r="W1182" s="2">
        <f>RendicontiTrasmessiBL__2[[#This Row],[Weight real costs  + USC ]]</f>
        <v>4</v>
      </c>
    </row>
    <row r="1183" spans="1:23" x14ac:dyDescent="0.25">
      <c r="A1183" s="1" t="s">
        <v>57</v>
      </c>
      <c r="B1183" s="1" t="s">
        <v>34</v>
      </c>
      <c r="C1183" s="2">
        <v>306</v>
      </c>
      <c r="D1183" s="2">
        <v>261</v>
      </c>
      <c r="E1183" s="1" t="s">
        <v>230</v>
      </c>
      <c r="F1183">
        <v>4</v>
      </c>
      <c r="G1183">
        <v>4405.6000000000004</v>
      </c>
      <c r="H1183">
        <v>610.21</v>
      </c>
      <c r="I1183">
        <v>0</v>
      </c>
      <c r="J1183">
        <v>754.37</v>
      </c>
      <c r="K1183">
        <v>0</v>
      </c>
      <c r="L1183">
        <v>0</v>
      </c>
      <c r="M1183">
        <v>1364.58</v>
      </c>
      <c r="N1183">
        <v>30.97</v>
      </c>
      <c r="O1183">
        <v>3041.02</v>
      </c>
      <c r="P1183">
        <v>539.14</v>
      </c>
      <c r="Q1183" t="str">
        <f>INDEX('Partner data'!A:DH,MATCH(C1183,'Partner data'!DG:DG,0),83)</f>
        <v>Soggetto pubblico</v>
      </c>
      <c r="R1183" t="b">
        <f>IF(E1183="staff",IF(INDEX('Partner data'!A:DH,MATCH(C1183,'Partner data'!DG:DG,0),112)="BL1 non presente","FALSO",INDEX('Partner data'!A:DH,MATCH(C1183,'Partner data'!DG:DG,0),112)))</f>
        <v>0</v>
      </c>
      <c r="S1183" t="b">
        <f t="shared" si="36"/>
        <v>1</v>
      </c>
      <c r="T1183" t="b">
        <f t="shared" si="37"/>
        <v>1</v>
      </c>
      <c r="U1183" s="154">
        <f>IFERROR(IF(R1183&lt;&gt;FALSE,IF(S1183=TRUE,INDEX('SummaryNOT_VALIDATED-BL'!$A$1:$F$16,MATCH(R1183,'SummaryNOT_VALIDATED-BL'!$A$1:$A$16,0),6),0),IF(S1183=TRUE,INDEX('SummaryNOT_VALIDATED-BL'!$A$1:$F$16,MATCH(E1183,'SummaryNOT_VALIDATED-BL'!$A$1:$A$16,0),6),0)),0)</f>
        <v>6.3112622236488891E-2</v>
      </c>
      <c r="V1183" s="81" cm="1">
        <f t="array" ref="V1183">INDEX('Weight tables'!$A$24:$C$27,MATCH(1,(RendicontiTrasmessiBL__2[[#This Row],[Cut percentage on real costs + USC]]&gt;='Weight tables'!$B$24:$B$27)*(RendicontiTrasmessiBL__2[[#This Row],[Cut percentage on real costs + USC]]&lt;='Weight tables'!$C$24:$C$27),0),1)</f>
        <v>4</v>
      </c>
      <c r="W1183" s="2">
        <f>RendicontiTrasmessiBL__2[[#This Row],[Weight real costs  + USC ]]</f>
        <v>4</v>
      </c>
    </row>
    <row r="1184" spans="1:23" x14ac:dyDescent="0.25">
      <c r="A1184" s="1" t="s">
        <v>57</v>
      </c>
      <c r="B1184" s="1" t="s">
        <v>34</v>
      </c>
      <c r="C1184" s="2">
        <v>306</v>
      </c>
      <c r="D1184" s="2">
        <v>261</v>
      </c>
      <c r="E1184" s="1" t="s">
        <v>231</v>
      </c>
      <c r="G1184">
        <v>217000</v>
      </c>
      <c r="H1184">
        <v>2466.91</v>
      </c>
      <c r="I1184">
        <v>0</v>
      </c>
      <c r="J1184">
        <v>24513.46</v>
      </c>
      <c r="K1184">
        <v>0</v>
      </c>
      <c r="L1184">
        <v>0</v>
      </c>
      <c r="M1184">
        <v>26980.37</v>
      </c>
      <c r="N1184">
        <v>12.43</v>
      </c>
      <c r="O1184">
        <v>190019.63</v>
      </c>
      <c r="P1184">
        <v>2466.91</v>
      </c>
      <c r="Q1184" t="str">
        <f>INDEX('Partner data'!A:DH,MATCH(C1184,'Partner data'!DG:DG,0),83)</f>
        <v>Soggetto pubblico</v>
      </c>
      <c r="R1184" t="b">
        <f>IF(E1184="staff",IF(INDEX('Partner data'!A:DH,MATCH(C1184,'Partner data'!DG:DG,0),112)="BL1 non presente","FALSO",INDEX('Partner data'!A:DH,MATCH(C1184,'Partner data'!DG:DG,0),112)))</f>
        <v>0</v>
      </c>
      <c r="S1184" t="b">
        <f t="shared" si="36"/>
        <v>1</v>
      </c>
      <c r="T1184" t="b">
        <f t="shared" si="37"/>
        <v>1</v>
      </c>
      <c r="U1184" s="154">
        <f>IFERROR(IF(R1184&lt;&gt;FALSE,IF(S1184=TRUE,INDEX('SummaryNOT_VALIDATED-BL'!$A$1:$F$16,MATCH(R1184,'SummaryNOT_VALIDATED-BL'!$A$1:$A$16,0),6),0),IF(S1184=TRUE,INDEX('SummaryNOT_VALIDATED-BL'!$A$1:$F$16,MATCH(E1184,'SummaryNOT_VALIDATED-BL'!$A$1:$A$16,0),6),0)),0)</f>
        <v>5.577594442215475E-2</v>
      </c>
      <c r="V1184" s="81" cm="1">
        <f t="array" ref="V1184">INDEX('Weight tables'!$A$24:$C$27,MATCH(1,(RendicontiTrasmessiBL__2[[#This Row],[Cut percentage on real costs + USC]]&gt;='Weight tables'!$B$24:$B$27)*(RendicontiTrasmessiBL__2[[#This Row],[Cut percentage on real costs + USC]]&lt;='Weight tables'!$C$24:$C$27),0),1)</f>
        <v>4</v>
      </c>
      <c r="W1184" s="2">
        <f>RendicontiTrasmessiBL__2[[#This Row],[Weight real costs  + USC ]]</f>
        <v>4</v>
      </c>
    </row>
    <row r="1185" spans="1:23" x14ac:dyDescent="0.25">
      <c r="A1185" s="1" t="s">
        <v>57</v>
      </c>
      <c r="B1185" s="1" t="s">
        <v>34</v>
      </c>
      <c r="C1185" s="2">
        <v>306</v>
      </c>
      <c r="D1185" s="2">
        <v>261</v>
      </c>
      <c r="E1185" s="1" t="s">
        <v>232</v>
      </c>
      <c r="G1185">
        <v>1933.4</v>
      </c>
      <c r="H1185">
        <v>0</v>
      </c>
      <c r="I1185">
        <v>0</v>
      </c>
      <c r="J1185">
        <v>0</v>
      </c>
      <c r="K1185">
        <v>0</v>
      </c>
      <c r="L1185">
        <v>0</v>
      </c>
      <c r="M1185">
        <v>0</v>
      </c>
      <c r="N1185">
        <v>0</v>
      </c>
      <c r="O1185">
        <v>1933.4</v>
      </c>
      <c r="P1185">
        <v>0</v>
      </c>
      <c r="Q1185" t="str">
        <f>INDEX('Partner data'!A:DH,MATCH(C1185,'Partner data'!DG:DG,0),83)</f>
        <v>Soggetto pubblico</v>
      </c>
      <c r="R1185" t="b">
        <f>IF(E1185="staff",IF(INDEX('Partner data'!A:DH,MATCH(C1185,'Partner data'!DG:DG,0),112)="BL1 non presente","FALSO",INDEX('Partner data'!A:DH,MATCH(C1185,'Partner data'!DG:DG,0),112)))</f>
        <v>0</v>
      </c>
      <c r="S1185" t="b">
        <f t="shared" si="36"/>
        <v>0</v>
      </c>
      <c r="T1185" t="b">
        <f t="shared" si="37"/>
        <v>1</v>
      </c>
      <c r="U1185" s="154">
        <f>IFERROR(IF(R1185&lt;&gt;FALSE,IF(S1185=TRUE,INDEX('SummaryNOT_VALIDATED-BL'!$A$1:$F$16,MATCH(R1185,'SummaryNOT_VALIDATED-BL'!$A$1:$A$16,0),6),0),IF(S1185=TRUE,INDEX('SummaryNOT_VALIDATED-BL'!$A$1:$F$16,MATCH(E1185,'SummaryNOT_VALIDATED-BL'!$A$1:$A$16,0),6),0)),0)</f>
        <v>0</v>
      </c>
      <c r="V1185" s="81" cm="1">
        <f t="array" ref="V1185">INDEX('Weight tables'!$A$24:$C$27,MATCH(1,(RendicontiTrasmessiBL__2[[#This Row],[Cut percentage on real costs + USC]]&gt;='Weight tables'!$B$24:$B$27)*(RendicontiTrasmessiBL__2[[#This Row],[Cut percentage on real costs + USC]]&lt;='Weight tables'!$C$24:$C$27),0),1)</f>
        <v>0</v>
      </c>
      <c r="W1185" s="2">
        <f>RendicontiTrasmessiBL__2[[#This Row],[Weight real costs  + USC ]]</f>
        <v>0</v>
      </c>
    </row>
    <row r="1186" spans="1:23" x14ac:dyDescent="0.25">
      <c r="A1186" s="1" t="s">
        <v>57</v>
      </c>
      <c r="B1186" s="1" t="s">
        <v>34</v>
      </c>
      <c r="C1186" s="2">
        <v>306</v>
      </c>
      <c r="D1186" s="2">
        <v>261</v>
      </c>
      <c r="E1186" s="1" t="s">
        <v>233</v>
      </c>
      <c r="G1186">
        <v>0</v>
      </c>
      <c r="H1186">
        <v>0</v>
      </c>
      <c r="I1186">
        <v>0</v>
      </c>
      <c r="J1186">
        <v>0</v>
      </c>
      <c r="K1186">
        <v>0</v>
      </c>
      <c r="L1186">
        <v>0</v>
      </c>
      <c r="M1186">
        <v>0</v>
      </c>
      <c r="N1186">
        <v>0</v>
      </c>
      <c r="O1186">
        <v>0</v>
      </c>
      <c r="P1186">
        <v>0</v>
      </c>
      <c r="Q1186" t="str">
        <f>INDEX('Partner data'!A:DH,MATCH(C1186,'Partner data'!DG:DG,0),83)</f>
        <v>Soggetto pubblico</v>
      </c>
      <c r="R1186" t="b">
        <f>IF(E1186="staff",IF(INDEX('Partner data'!A:DH,MATCH(C1186,'Partner data'!DG:DG,0),112)="BL1 non presente","FALSO",INDEX('Partner data'!A:DH,MATCH(C1186,'Partner data'!DG:DG,0),112)))</f>
        <v>0</v>
      </c>
      <c r="S1186" t="b">
        <f t="shared" si="36"/>
        <v>0</v>
      </c>
      <c r="T1186" t="b">
        <f t="shared" si="37"/>
        <v>1</v>
      </c>
      <c r="U1186" s="154">
        <f>IFERROR(IF(R1186&lt;&gt;FALSE,IF(S1186=TRUE,INDEX('SummaryNOT_VALIDATED-BL'!$A$1:$F$16,MATCH(R1186,'SummaryNOT_VALIDATED-BL'!$A$1:$A$16,0),6),0),IF(S1186=TRUE,INDEX('SummaryNOT_VALIDATED-BL'!$A$1:$F$16,MATCH(E1186,'SummaryNOT_VALIDATED-BL'!$A$1:$A$16,0),6),0)),0)</f>
        <v>0</v>
      </c>
      <c r="V1186" s="81" cm="1">
        <f t="array" ref="V1186">INDEX('Weight tables'!$A$24:$C$27,MATCH(1,(RendicontiTrasmessiBL__2[[#This Row],[Cut percentage on real costs + USC]]&gt;='Weight tables'!$B$24:$B$27)*(RendicontiTrasmessiBL__2[[#This Row],[Cut percentage on real costs + USC]]&lt;='Weight tables'!$C$24:$C$27),0),1)</f>
        <v>0</v>
      </c>
      <c r="W1186" s="2">
        <f>RendicontiTrasmessiBL__2[[#This Row],[Weight real costs  + USC ]]</f>
        <v>0</v>
      </c>
    </row>
    <row r="1187" spans="1:23" x14ac:dyDescent="0.25">
      <c r="A1187" s="1" t="s">
        <v>57</v>
      </c>
      <c r="B1187" s="1" t="s">
        <v>34</v>
      </c>
      <c r="C1187" s="2">
        <v>306</v>
      </c>
      <c r="D1187" s="2">
        <v>261</v>
      </c>
      <c r="E1187" s="1" t="s">
        <v>234</v>
      </c>
      <c r="G1187">
        <v>0</v>
      </c>
      <c r="H1187">
        <v>0</v>
      </c>
      <c r="I1187">
        <v>0</v>
      </c>
      <c r="J1187">
        <v>0</v>
      </c>
      <c r="K1187">
        <v>0</v>
      </c>
      <c r="L1187">
        <v>0</v>
      </c>
      <c r="M1187">
        <v>0</v>
      </c>
      <c r="N1187">
        <v>0</v>
      </c>
      <c r="O1187">
        <v>0</v>
      </c>
      <c r="P1187">
        <v>0</v>
      </c>
      <c r="Q1187" t="str">
        <f>INDEX('Partner data'!A:DH,MATCH(C1187,'Partner data'!DG:DG,0),83)</f>
        <v>Soggetto pubblico</v>
      </c>
      <c r="R1187" t="b">
        <f>IF(E1187="staff",IF(INDEX('Partner data'!A:DH,MATCH(C1187,'Partner data'!DG:DG,0),112)="BL1 non presente","FALSO",INDEX('Partner data'!A:DH,MATCH(C1187,'Partner data'!DG:DG,0),112)))</f>
        <v>0</v>
      </c>
      <c r="S1187" t="b">
        <f t="shared" si="36"/>
        <v>0</v>
      </c>
      <c r="T1187" t="b">
        <f t="shared" si="37"/>
        <v>1</v>
      </c>
      <c r="U1187" s="154">
        <f>IFERROR(IF(R1187&lt;&gt;FALSE,IF(S1187=TRUE,INDEX('SummaryNOT_VALIDATED-BL'!$A$1:$F$16,MATCH(R1187,'SummaryNOT_VALIDATED-BL'!$A$1:$A$16,0),6),0),IF(S1187=TRUE,INDEX('SummaryNOT_VALIDATED-BL'!$A$1:$F$16,MATCH(E1187,'SummaryNOT_VALIDATED-BL'!$A$1:$A$16,0),6),0)),0)</f>
        <v>0</v>
      </c>
      <c r="V1187" s="81" cm="1">
        <f t="array" ref="V1187">INDEX('Weight tables'!$A$24:$C$27,MATCH(1,(RendicontiTrasmessiBL__2[[#This Row],[Cut percentage on real costs + USC]]&gt;='Weight tables'!$B$24:$B$27)*(RendicontiTrasmessiBL__2[[#This Row],[Cut percentage on real costs + USC]]&lt;='Weight tables'!$C$24:$C$27),0),1)</f>
        <v>0</v>
      </c>
      <c r="W1187" s="2">
        <f>RendicontiTrasmessiBL__2[[#This Row],[Weight real costs  + USC ]]</f>
        <v>0</v>
      </c>
    </row>
    <row r="1188" spans="1:23" x14ac:dyDescent="0.25">
      <c r="A1188" s="1" t="s">
        <v>57</v>
      </c>
      <c r="B1188" s="1" t="s">
        <v>34</v>
      </c>
      <c r="C1188" s="2">
        <v>306</v>
      </c>
      <c r="D1188" s="2">
        <v>261</v>
      </c>
      <c r="E1188" s="1" t="s">
        <v>236</v>
      </c>
      <c r="G1188">
        <v>0</v>
      </c>
      <c r="H1188">
        <v>0</v>
      </c>
      <c r="I1188">
        <v>0</v>
      </c>
      <c r="J1188">
        <v>0</v>
      </c>
      <c r="K1188">
        <v>0</v>
      </c>
      <c r="L1188">
        <v>0</v>
      </c>
      <c r="M1188">
        <v>0</v>
      </c>
      <c r="N1188">
        <v>0</v>
      </c>
      <c r="O1188">
        <v>0</v>
      </c>
      <c r="P1188">
        <v>0</v>
      </c>
      <c r="Q1188" t="str">
        <f>INDEX('Partner data'!A:DH,MATCH(C1188,'Partner data'!DG:DG,0),83)</f>
        <v>Soggetto pubblico</v>
      </c>
      <c r="R1188" t="b">
        <f>IF(E1188="staff",IF(INDEX('Partner data'!A:DH,MATCH(C1188,'Partner data'!DG:DG,0),112)="BL1 non presente","FALSO",INDEX('Partner data'!A:DH,MATCH(C1188,'Partner data'!DG:DG,0),112)))</f>
        <v>0</v>
      </c>
      <c r="S1188" t="b">
        <f t="shared" si="36"/>
        <v>0</v>
      </c>
      <c r="T1188" t="b">
        <f t="shared" si="37"/>
        <v>1</v>
      </c>
      <c r="U1188" s="154">
        <f>IFERROR(IF(R1188&lt;&gt;FALSE,IF(S1188=TRUE,INDEX('SummaryNOT_VALIDATED-BL'!$A$1:$F$16,MATCH(R1188,'SummaryNOT_VALIDATED-BL'!$A$1:$A$16,0),6),0),IF(S1188=TRUE,INDEX('SummaryNOT_VALIDATED-BL'!$A$1:$F$16,MATCH(E1188,'SummaryNOT_VALIDATED-BL'!$A$1:$A$16,0),6),0)),0)</f>
        <v>0</v>
      </c>
      <c r="V1188" s="81" cm="1">
        <f t="array" ref="V1188">INDEX('Weight tables'!$A$24:$C$27,MATCH(1,(RendicontiTrasmessiBL__2[[#This Row],[Cut percentage on real costs + USC]]&gt;='Weight tables'!$B$24:$B$27)*(RendicontiTrasmessiBL__2[[#This Row],[Cut percentage on real costs + USC]]&lt;='Weight tables'!$C$24:$C$27),0),1)</f>
        <v>0</v>
      </c>
      <c r="W1188" s="2">
        <f>RendicontiTrasmessiBL__2[[#This Row],[Weight real costs  + USC ]]</f>
        <v>0</v>
      </c>
    </row>
    <row r="1189" spans="1:23" x14ac:dyDescent="0.25">
      <c r="A1189" s="1" t="s">
        <v>57</v>
      </c>
      <c r="B1189" s="1" t="s">
        <v>34</v>
      </c>
      <c r="C1189" s="2">
        <v>306</v>
      </c>
      <c r="D1189" s="2">
        <v>261</v>
      </c>
      <c r="E1189" s="1" t="s">
        <v>237</v>
      </c>
      <c r="G1189">
        <v>0</v>
      </c>
      <c r="H1189">
        <v>0</v>
      </c>
      <c r="I1189">
        <v>0</v>
      </c>
      <c r="J1189">
        <v>0</v>
      </c>
      <c r="K1189">
        <v>0</v>
      </c>
      <c r="L1189">
        <v>0</v>
      </c>
      <c r="M1189">
        <v>0</v>
      </c>
      <c r="N1189">
        <v>0</v>
      </c>
      <c r="O1189">
        <v>0</v>
      </c>
      <c r="P1189">
        <v>0</v>
      </c>
      <c r="Q1189" t="str">
        <f>INDEX('Partner data'!A:DH,MATCH(C1189,'Partner data'!DG:DG,0),83)</f>
        <v>Soggetto pubblico</v>
      </c>
      <c r="R1189" t="b">
        <f>IF(E1189="staff",IF(INDEX('Partner data'!A:DH,MATCH(C1189,'Partner data'!DG:DG,0),112)="BL1 non presente","FALSO",INDEX('Partner data'!A:DH,MATCH(C1189,'Partner data'!DG:DG,0),112)))</f>
        <v>0</v>
      </c>
      <c r="S1189" t="b">
        <f t="shared" si="36"/>
        <v>0</v>
      </c>
      <c r="T1189" t="b">
        <f t="shared" si="37"/>
        <v>1</v>
      </c>
      <c r="U1189" s="154">
        <f>IFERROR(IF(R1189&lt;&gt;FALSE,IF(S1189=TRUE,INDEX('SummaryNOT_VALIDATED-BL'!$A$1:$F$16,MATCH(R1189,'SummaryNOT_VALIDATED-BL'!$A$1:$A$16,0),6),0),IF(S1189=TRUE,INDEX('SummaryNOT_VALIDATED-BL'!$A$1:$F$16,MATCH(E1189,'SummaryNOT_VALIDATED-BL'!$A$1:$A$16,0),6),0)),0)</f>
        <v>0</v>
      </c>
      <c r="V1189" s="81" cm="1">
        <f t="array" ref="V1189">INDEX('Weight tables'!$A$24:$C$27,MATCH(1,(RendicontiTrasmessiBL__2[[#This Row],[Cut percentage on real costs + USC]]&gt;='Weight tables'!$B$24:$B$27)*(RendicontiTrasmessiBL__2[[#This Row],[Cut percentage on real costs + USC]]&lt;='Weight tables'!$C$24:$C$27),0),1)</f>
        <v>0</v>
      </c>
      <c r="W1189" s="2">
        <f>RendicontiTrasmessiBL__2[[#This Row],[Weight real costs  + USC ]]</f>
        <v>0</v>
      </c>
    </row>
    <row r="1190" spans="1:23" x14ac:dyDescent="0.25">
      <c r="A1190" s="1" t="s">
        <v>57</v>
      </c>
      <c r="B1190" s="1" t="s">
        <v>34</v>
      </c>
      <c r="C1190" s="2">
        <v>306</v>
      </c>
      <c r="D1190" s="2">
        <v>52</v>
      </c>
      <c r="E1190" s="1" t="s">
        <v>228</v>
      </c>
      <c r="G1190">
        <v>110140</v>
      </c>
      <c r="H1190">
        <v>0</v>
      </c>
      <c r="I1190">
        <v>0</v>
      </c>
      <c r="J1190">
        <v>15255.49</v>
      </c>
      <c r="K1190">
        <v>0</v>
      </c>
      <c r="L1190">
        <v>13478.7</v>
      </c>
      <c r="M1190">
        <v>15255.49</v>
      </c>
      <c r="N1190">
        <v>13.85</v>
      </c>
      <c r="O1190">
        <v>94884.51</v>
      </c>
      <c r="P1190">
        <v>0</v>
      </c>
      <c r="Q1190" t="str">
        <f>INDEX('Partner data'!A:DH,MATCH(C1190,'Partner data'!DG:DG,0),83)</f>
        <v>Soggetto pubblico</v>
      </c>
      <c r="R1190" t="str">
        <f>IF(E1190="staff",IF(INDEX('Partner data'!A:DH,MATCH(C1190,'Partner data'!DG:DG,0),112)="BL1 non presente","FALSO",INDEX('Partner data'!A:DH,MATCH(C1190,'Partner data'!DG:DG,0),112)))</f>
        <v>COSTO REALE</v>
      </c>
      <c r="S1190" t="b">
        <f t="shared" si="36"/>
        <v>1</v>
      </c>
      <c r="T1190" t="b">
        <f t="shared" si="37"/>
        <v>1</v>
      </c>
      <c r="U1190" s="154">
        <f>IFERROR(IF(R1190&lt;&gt;FALSE,IF(S1190=TRUE,INDEX('SummaryNOT_VALIDATED-BL'!$A$1:$F$16,MATCH(R1190,'SummaryNOT_VALIDATED-BL'!$A$1:$A$16,0),6),0),IF(S1190=TRUE,INDEX('SummaryNOT_VALIDATED-BL'!$A$1:$F$16,MATCH(E1190,'SummaryNOT_VALIDATED-BL'!$A$1:$A$16,0),6),0)),0)</f>
        <v>9.1604133276901048E-2</v>
      </c>
      <c r="V1190" s="81" cm="1">
        <f t="array" ref="V1190">INDEX('Weight tables'!$A$24:$C$27,MATCH(1,(RendicontiTrasmessiBL__2[[#This Row],[Cut percentage on real costs + USC]]&gt;='Weight tables'!$B$24:$B$27)*(RendicontiTrasmessiBL__2[[#This Row],[Cut percentage on real costs + USC]]&lt;='Weight tables'!$C$24:$C$27),0),1)</f>
        <v>4</v>
      </c>
      <c r="W1190" s="2">
        <f>RendicontiTrasmessiBL__2[[#This Row],[Weight real costs  + USC ]]</f>
        <v>4</v>
      </c>
    </row>
    <row r="1191" spans="1:23" x14ac:dyDescent="0.25">
      <c r="A1191" s="1" t="s">
        <v>57</v>
      </c>
      <c r="B1191" s="1" t="s">
        <v>34</v>
      </c>
      <c r="C1191" s="2">
        <v>306</v>
      </c>
      <c r="D1191" s="2">
        <v>52</v>
      </c>
      <c r="E1191" s="1" t="s">
        <v>229</v>
      </c>
      <c r="F1191">
        <v>15</v>
      </c>
      <c r="G1191">
        <v>16521</v>
      </c>
      <c r="H1191">
        <v>0</v>
      </c>
      <c r="I1191">
        <v>0</v>
      </c>
      <c r="J1191">
        <v>2288.3200000000002</v>
      </c>
      <c r="K1191">
        <v>0</v>
      </c>
      <c r="L1191">
        <v>2021.8</v>
      </c>
      <c r="M1191">
        <v>2288.3200000000002</v>
      </c>
      <c r="N1191">
        <v>13.85</v>
      </c>
      <c r="O1191">
        <v>14232.68</v>
      </c>
      <c r="P1191">
        <v>0</v>
      </c>
      <c r="Q1191" t="str">
        <f>INDEX('Partner data'!A:DH,MATCH(C1191,'Partner data'!DG:DG,0),83)</f>
        <v>Soggetto pubblico</v>
      </c>
      <c r="R1191" t="b">
        <f>IF(E1191="staff",IF(INDEX('Partner data'!A:DH,MATCH(C1191,'Partner data'!DG:DG,0),112)="BL1 non presente","FALSO",INDEX('Partner data'!A:DH,MATCH(C1191,'Partner data'!DG:DG,0),112)))</f>
        <v>0</v>
      </c>
      <c r="S1191" t="b">
        <f t="shared" si="36"/>
        <v>1</v>
      </c>
      <c r="T1191" t="b">
        <f t="shared" si="37"/>
        <v>1</v>
      </c>
      <c r="U1191" s="154">
        <f>IFERROR(IF(R1191&lt;&gt;FALSE,IF(S1191=TRUE,INDEX('SummaryNOT_VALIDATED-BL'!$A$1:$F$16,MATCH(R1191,'SummaryNOT_VALIDATED-BL'!$A$1:$A$16,0),6),0),IF(S1191=TRUE,INDEX('SummaryNOT_VALIDATED-BL'!$A$1:$F$16,MATCH(E1191,'SummaryNOT_VALIDATED-BL'!$A$1:$A$16,0),6),0)),0)</f>
        <v>6.6460469504890221E-2</v>
      </c>
      <c r="V1191" s="81" cm="1">
        <f t="array" ref="V1191">INDEX('Weight tables'!$A$24:$C$27,MATCH(1,(RendicontiTrasmessiBL__2[[#This Row],[Cut percentage on real costs + USC]]&gt;='Weight tables'!$B$24:$B$27)*(RendicontiTrasmessiBL__2[[#This Row],[Cut percentage on real costs + USC]]&lt;='Weight tables'!$C$24:$C$27),0),1)</f>
        <v>4</v>
      </c>
      <c r="W1191" s="2">
        <f>RendicontiTrasmessiBL__2[[#This Row],[Weight real costs  + USC ]]</f>
        <v>4</v>
      </c>
    </row>
    <row r="1192" spans="1:23" x14ac:dyDescent="0.25">
      <c r="A1192" s="1" t="s">
        <v>57</v>
      </c>
      <c r="B1192" s="1" t="s">
        <v>34</v>
      </c>
      <c r="C1192" s="2">
        <v>306</v>
      </c>
      <c r="D1192" s="2">
        <v>52</v>
      </c>
      <c r="E1192" s="1" t="s">
        <v>230</v>
      </c>
      <c r="F1192">
        <v>4</v>
      </c>
      <c r="G1192">
        <v>4405.6000000000004</v>
      </c>
      <c r="H1192">
        <v>0</v>
      </c>
      <c r="I1192">
        <v>0</v>
      </c>
      <c r="J1192">
        <v>610.21</v>
      </c>
      <c r="K1192">
        <v>0</v>
      </c>
      <c r="L1192">
        <v>539.14</v>
      </c>
      <c r="M1192">
        <v>610.21</v>
      </c>
      <c r="N1192">
        <v>13.85</v>
      </c>
      <c r="O1192">
        <v>3795.39</v>
      </c>
      <c r="P1192">
        <v>0</v>
      </c>
      <c r="Q1192" t="str">
        <f>INDEX('Partner data'!A:DH,MATCH(C1192,'Partner data'!DG:DG,0),83)</f>
        <v>Soggetto pubblico</v>
      </c>
      <c r="R1192" t="b">
        <f>IF(E1192="staff",IF(INDEX('Partner data'!A:DH,MATCH(C1192,'Partner data'!DG:DG,0),112)="BL1 non presente","FALSO",INDEX('Partner data'!A:DH,MATCH(C1192,'Partner data'!DG:DG,0),112)))</f>
        <v>0</v>
      </c>
      <c r="S1192" t="b">
        <f t="shared" si="36"/>
        <v>1</v>
      </c>
      <c r="T1192" t="b">
        <f t="shared" si="37"/>
        <v>1</v>
      </c>
      <c r="U1192" s="154">
        <f>IFERROR(IF(R1192&lt;&gt;FALSE,IF(S1192=TRUE,INDEX('SummaryNOT_VALIDATED-BL'!$A$1:$F$16,MATCH(R1192,'SummaryNOT_VALIDATED-BL'!$A$1:$A$16,0),6),0),IF(S1192=TRUE,INDEX('SummaryNOT_VALIDATED-BL'!$A$1:$F$16,MATCH(E1192,'SummaryNOT_VALIDATED-BL'!$A$1:$A$16,0),6),0)),0)</f>
        <v>6.3112622236488891E-2</v>
      </c>
      <c r="V1192" s="81" cm="1">
        <f t="array" ref="V1192">INDEX('Weight tables'!$A$24:$C$27,MATCH(1,(RendicontiTrasmessiBL__2[[#This Row],[Cut percentage on real costs + USC]]&gt;='Weight tables'!$B$24:$B$27)*(RendicontiTrasmessiBL__2[[#This Row],[Cut percentage on real costs + USC]]&lt;='Weight tables'!$C$24:$C$27),0),1)</f>
        <v>4</v>
      </c>
      <c r="W1192" s="2">
        <f>RendicontiTrasmessiBL__2[[#This Row],[Weight real costs  + USC ]]</f>
        <v>4</v>
      </c>
    </row>
    <row r="1193" spans="1:23" x14ac:dyDescent="0.25">
      <c r="A1193" s="1" t="s">
        <v>57</v>
      </c>
      <c r="B1193" s="1" t="s">
        <v>34</v>
      </c>
      <c r="C1193" s="2">
        <v>306</v>
      </c>
      <c r="D1193" s="2">
        <v>52</v>
      </c>
      <c r="E1193" s="1" t="s">
        <v>231</v>
      </c>
      <c r="G1193">
        <v>217000</v>
      </c>
      <c r="H1193">
        <v>0</v>
      </c>
      <c r="I1193">
        <v>0</v>
      </c>
      <c r="J1193">
        <v>2466.91</v>
      </c>
      <c r="K1193">
        <v>0</v>
      </c>
      <c r="L1193">
        <v>2466.91</v>
      </c>
      <c r="M1193">
        <v>2466.91</v>
      </c>
      <c r="N1193">
        <v>1.1399999999999999</v>
      </c>
      <c r="O1193">
        <v>214533.09</v>
      </c>
      <c r="P1193">
        <v>0</v>
      </c>
      <c r="Q1193" t="str">
        <f>INDEX('Partner data'!A:DH,MATCH(C1193,'Partner data'!DG:DG,0),83)</f>
        <v>Soggetto pubblico</v>
      </c>
      <c r="R1193" t="b">
        <f>IF(E1193="staff",IF(INDEX('Partner data'!A:DH,MATCH(C1193,'Partner data'!DG:DG,0),112)="BL1 non presente","FALSO",INDEX('Partner data'!A:DH,MATCH(C1193,'Partner data'!DG:DG,0),112)))</f>
        <v>0</v>
      </c>
      <c r="S1193" t="b">
        <f t="shared" si="36"/>
        <v>1</v>
      </c>
      <c r="T1193" t="b">
        <f t="shared" si="37"/>
        <v>1</v>
      </c>
      <c r="U1193" s="154">
        <f>IFERROR(IF(R1193&lt;&gt;FALSE,IF(S1193=TRUE,INDEX('SummaryNOT_VALIDATED-BL'!$A$1:$F$16,MATCH(R1193,'SummaryNOT_VALIDATED-BL'!$A$1:$A$16,0),6),0),IF(S1193=TRUE,INDEX('SummaryNOT_VALIDATED-BL'!$A$1:$F$16,MATCH(E1193,'SummaryNOT_VALIDATED-BL'!$A$1:$A$16,0),6),0)),0)</f>
        <v>5.577594442215475E-2</v>
      </c>
      <c r="V1193" s="81" cm="1">
        <f t="array" ref="V1193">INDEX('Weight tables'!$A$24:$C$27,MATCH(1,(RendicontiTrasmessiBL__2[[#This Row],[Cut percentage on real costs + USC]]&gt;='Weight tables'!$B$24:$B$27)*(RendicontiTrasmessiBL__2[[#This Row],[Cut percentage on real costs + USC]]&lt;='Weight tables'!$C$24:$C$27),0),1)</f>
        <v>4</v>
      </c>
      <c r="W1193" s="2">
        <f>RendicontiTrasmessiBL__2[[#This Row],[Weight real costs  + USC ]]</f>
        <v>4</v>
      </c>
    </row>
    <row r="1194" spans="1:23" x14ac:dyDescent="0.25">
      <c r="A1194" s="1" t="s">
        <v>57</v>
      </c>
      <c r="B1194" s="1" t="s">
        <v>34</v>
      </c>
      <c r="C1194" s="2">
        <v>306</v>
      </c>
      <c r="D1194" s="2">
        <v>52</v>
      </c>
      <c r="E1194" s="1" t="s">
        <v>232</v>
      </c>
      <c r="G1194">
        <v>1933.4</v>
      </c>
      <c r="H1194">
        <v>0</v>
      </c>
      <c r="I1194">
        <v>0</v>
      </c>
      <c r="J1194">
        <v>0</v>
      </c>
      <c r="K1194">
        <v>0</v>
      </c>
      <c r="L1194">
        <v>0</v>
      </c>
      <c r="M1194">
        <v>0</v>
      </c>
      <c r="N1194">
        <v>0</v>
      </c>
      <c r="O1194">
        <v>1933.4</v>
      </c>
      <c r="P1194">
        <v>0</v>
      </c>
      <c r="Q1194" t="str">
        <f>INDEX('Partner data'!A:DH,MATCH(C1194,'Partner data'!DG:DG,0),83)</f>
        <v>Soggetto pubblico</v>
      </c>
      <c r="R1194" t="b">
        <f>IF(E1194="staff",IF(INDEX('Partner data'!A:DH,MATCH(C1194,'Partner data'!DG:DG,0),112)="BL1 non presente","FALSO",INDEX('Partner data'!A:DH,MATCH(C1194,'Partner data'!DG:DG,0),112)))</f>
        <v>0</v>
      </c>
      <c r="S1194" t="b">
        <f t="shared" si="36"/>
        <v>0</v>
      </c>
      <c r="T1194" t="b">
        <f t="shared" si="37"/>
        <v>1</v>
      </c>
      <c r="U1194" s="154">
        <f>IFERROR(IF(R1194&lt;&gt;FALSE,IF(S1194=TRUE,INDEX('SummaryNOT_VALIDATED-BL'!$A$1:$F$16,MATCH(R1194,'SummaryNOT_VALIDATED-BL'!$A$1:$A$16,0),6),0),IF(S1194=TRUE,INDEX('SummaryNOT_VALIDATED-BL'!$A$1:$F$16,MATCH(E1194,'SummaryNOT_VALIDATED-BL'!$A$1:$A$16,0),6),0)),0)</f>
        <v>0</v>
      </c>
      <c r="V1194" s="81" cm="1">
        <f t="array" ref="V1194">INDEX('Weight tables'!$A$24:$C$27,MATCH(1,(RendicontiTrasmessiBL__2[[#This Row],[Cut percentage on real costs + USC]]&gt;='Weight tables'!$B$24:$B$27)*(RendicontiTrasmessiBL__2[[#This Row],[Cut percentage on real costs + USC]]&lt;='Weight tables'!$C$24:$C$27),0),1)</f>
        <v>0</v>
      </c>
      <c r="W1194" s="2">
        <f>RendicontiTrasmessiBL__2[[#This Row],[Weight real costs  + USC ]]</f>
        <v>0</v>
      </c>
    </row>
    <row r="1195" spans="1:23" x14ac:dyDescent="0.25">
      <c r="A1195" s="1" t="s">
        <v>57</v>
      </c>
      <c r="B1195" s="1" t="s">
        <v>34</v>
      </c>
      <c r="C1195" s="2">
        <v>306</v>
      </c>
      <c r="D1195" s="2">
        <v>52</v>
      </c>
      <c r="E1195" s="1" t="s">
        <v>233</v>
      </c>
      <c r="G1195">
        <v>0</v>
      </c>
      <c r="H1195">
        <v>0</v>
      </c>
      <c r="I1195">
        <v>0</v>
      </c>
      <c r="J1195">
        <v>0</v>
      </c>
      <c r="K1195">
        <v>0</v>
      </c>
      <c r="L1195">
        <v>0</v>
      </c>
      <c r="M1195">
        <v>0</v>
      </c>
      <c r="N1195">
        <v>0</v>
      </c>
      <c r="O1195">
        <v>0</v>
      </c>
      <c r="P1195">
        <v>0</v>
      </c>
      <c r="Q1195" t="str">
        <f>INDEX('Partner data'!A:DH,MATCH(C1195,'Partner data'!DG:DG,0),83)</f>
        <v>Soggetto pubblico</v>
      </c>
      <c r="R1195" t="b">
        <f>IF(E1195="staff",IF(INDEX('Partner data'!A:DH,MATCH(C1195,'Partner data'!DG:DG,0),112)="BL1 non presente","FALSO",INDEX('Partner data'!A:DH,MATCH(C1195,'Partner data'!DG:DG,0),112)))</f>
        <v>0</v>
      </c>
      <c r="S1195" t="b">
        <f t="shared" si="36"/>
        <v>0</v>
      </c>
      <c r="T1195" t="b">
        <f t="shared" si="37"/>
        <v>1</v>
      </c>
      <c r="U1195" s="154">
        <f>IFERROR(IF(R1195&lt;&gt;FALSE,IF(S1195=TRUE,INDEX('SummaryNOT_VALIDATED-BL'!$A$1:$F$16,MATCH(R1195,'SummaryNOT_VALIDATED-BL'!$A$1:$A$16,0),6),0),IF(S1195=TRUE,INDEX('SummaryNOT_VALIDATED-BL'!$A$1:$F$16,MATCH(E1195,'SummaryNOT_VALIDATED-BL'!$A$1:$A$16,0),6),0)),0)</f>
        <v>0</v>
      </c>
      <c r="V1195" s="81" cm="1">
        <f t="array" ref="V1195">INDEX('Weight tables'!$A$24:$C$27,MATCH(1,(RendicontiTrasmessiBL__2[[#This Row],[Cut percentage on real costs + USC]]&gt;='Weight tables'!$B$24:$B$27)*(RendicontiTrasmessiBL__2[[#This Row],[Cut percentage on real costs + USC]]&lt;='Weight tables'!$C$24:$C$27),0),1)</f>
        <v>0</v>
      </c>
      <c r="W1195" s="2">
        <f>RendicontiTrasmessiBL__2[[#This Row],[Weight real costs  + USC ]]</f>
        <v>0</v>
      </c>
    </row>
    <row r="1196" spans="1:23" x14ac:dyDescent="0.25">
      <c r="A1196" s="1" t="s">
        <v>57</v>
      </c>
      <c r="B1196" s="1" t="s">
        <v>34</v>
      </c>
      <c r="C1196" s="2">
        <v>306</v>
      </c>
      <c r="D1196" s="2">
        <v>52</v>
      </c>
      <c r="E1196" s="1" t="s">
        <v>234</v>
      </c>
      <c r="G1196">
        <v>0</v>
      </c>
      <c r="H1196">
        <v>0</v>
      </c>
      <c r="I1196">
        <v>0</v>
      </c>
      <c r="J1196">
        <v>0</v>
      </c>
      <c r="K1196">
        <v>0</v>
      </c>
      <c r="L1196">
        <v>0</v>
      </c>
      <c r="M1196">
        <v>0</v>
      </c>
      <c r="N1196">
        <v>0</v>
      </c>
      <c r="O1196">
        <v>0</v>
      </c>
      <c r="P1196">
        <v>0</v>
      </c>
      <c r="Q1196" t="str">
        <f>INDEX('Partner data'!A:DH,MATCH(C1196,'Partner data'!DG:DG,0),83)</f>
        <v>Soggetto pubblico</v>
      </c>
      <c r="R1196" t="b">
        <f>IF(E1196="staff",IF(INDEX('Partner data'!A:DH,MATCH(C1196,'Partner data'!DG:DG,0),112)="BL1 non presente","FALSO",INDEX('Partner data'!A:DH,MATCH(C1196,'Partner data'!DG:DG,0),112)))</f>
        <v>0</v>
      </c>
      <c r="S1196" t="b">
        <f t="shared" si="36"/>
        <v>0</v>
      </c>
      <c r="T1196" t="b">
        <f t="shared" si="37"/>
        <v>1</v>
      </c>
      <c r="U1196" s="154">
        <f>IFERROR(IF(R1196&lt;&gt;FALSE,IF(S1196=TRUE,INDEX('SummaryNOT_VALIDATED-BL'!$A$1:$F$16,MATCH(R1196,'SummaryNOT_VALIDATED-BL'!$A$1:$A$16,0),6),0),IF(S1196=TRUE,INDEX('SummaryNOT_VALIDATED-BL'!$A$1:$F$16,MATCH(E1196,'SummaryNOT_VALIDATED-BL'!$A$1:$A$16,0),6),0)),0)</f>
        <v>0</v>
      </c>
      <c r="V1196" s="81" cm="1">
        <f t="array" ref="V1196">INDEX('Weight tables'!$A$24:$C$27,MATCH(1,(RendicontiTrasmessiBL__2[[#This Row],[Cut percentage on real costs + USC]]&gt;='Weight tables'!$B$24:$B$27)*(RendicontiTrasmessiBL__2[[#This Row],[Cut percentage on real costs + USC]]&lt;='Weight tables'!$C$24:$C$27),0),1)</f>
        <v>0</v>
      </c>
      <c r="W1196" s="2">
        <f>RendicontiTrasmessiBL__2[[#This Row],[Weight real costs  + USC ]]</f>
        <v>0</v>
      </c>
    </row>
    <row r="1197" spans="1:23" x14ac:dyDescent="0.25">
      <c r="A1197" s="1" t="s">
        <v>57</v>
      </c>
      <c r="B1197" s="1" t="s">
        <v>34</v>
      </c>
      <c r="C1197" s="2">
        <v>306</v>
      </c>
      <c r="D1197" s="2">
        <v>52</v>
      </c>
      <c r="E1197" s="1" t="s">
        <v>236</v>
      </c>
      <c r="G1197">
        <v>0</v>
      </c>
      <c r="H1197">
        <v>0</v>
      </c>
      <c r="I1197">
        <v>0</v>
      </c>
      <c r="J1197">
        <v>0</v>
      </c>
      <c r="K1197">
        <v>0</v>
      </c>
      <c r="L1197">
        <v>0</v>
      </c>
      <c r="M1197">
        <v>0</v>
      </c>
      <c r="N1197">
        <v>0</v>
      </c>
      <c r="O1197">
        <v>0</v>
      </c>
      <c r="P1197">
        <v>0</v>
      </c>
      <c r="Q1197" t="str">
        <f>INDEX('Partner data'!A:DH,MATCH(C1197,'Partner data'!DG:DG,0),83)</f>
        <v>Soggetto pubblico</v>
      </c>
      <c r="R1197" t="b">
        <f>IF(E1197="staff",IF(INDEX('Partner data'!A:DH,MATCH(C1197,'Partner data'!DG:DG,0),112)="BL1 non presente","FALSO",INDEX('Partner data'!A:DH,MATCH(C1197,'Partner data'!DG:DG,0),112)))</f>
        <v>0</v>
      </c>
      <c r="S1197" t="b">
        <f t="shared" si="36"/>
        <v>0</v>
      </c>
      <c r="T1197" t="b">
        <f t="shared" si="37"/>
        <v>1</v>
      </c>
      <c r="U1197" s="154">
        <f>IFERROR(IF(R1197&lt;&gt;FALSE,IF(S1197=TRUE,INDEX('SummaryNOT_VALIDATED-BL'!$A$1:$F$16,MATCH(R1197,'SummaryNOT_VALIDATED-BL'!$A$1:$A$16,0),6),0),IF(S1197=TRUE,INDEX('SummaryNOT_VALIDATED-BL'!$A$1:$F$16,MATCH(E1197,'SummaryNOT_VALIDATED-BL'!$A$1:$A$16,0),6),0)),0)</f>
        <v>0</v>
      </c>
      <c r="V1197" s="81" cm="1">
        <f t="array" ref="V1197">INDEX('Weight tables'!$A$24:$C$27,MATCH(1,(RendicontiTrasmessiBL__2[[#This Row],[Cut percentage on real costs + USC]]&gt;='Weight tables'!$B$24:$B$27)*(RendicontiTrasmessiBL__2[[#This Row],[Cut percentage on real costs + USC]]&lt;='Weight tables'!$C$24:$C$27),0),1)</f>
        <v>0</v>
      </c>
      <c r="W1197" s="2">
        <f>RendicontiTrasmessiBL__2[[#This Row],[Weight real costs  + USC ]]</f>
        <v>0</v>
      </c>
    </row>
    <row r="1198" spans="1:23" x14ac:dyDescent="0.25">
      <c r="A1198" s="1" t="s">
        <v>57</v>
      </c>
      <c r="B1198" s="1" t="s">
        <v>34</v>
      </c>
      <c r="C1198" s="2">
        <v>306</v>
      </c>
      <c r="D1198" s="2">
        <v>52</v>
      </c>
      <c r="E1198" s="1" t="s">
        <v>237</v>
      </c>
      <c r="G1198">
        <v>0</v>
      </c>
      <c r="H1198">
        <v>0</v>
      </c>
      <c r="I1198">
        <v>0</v>
      </c>
      <c r="J1198">
        <v>0</v>
      </c>
      <c r="K1198">
        <v>0</v>
      </c>
      <c r="L1198">
        <v>0</v>
      </c>
      <c r="M1198">
        <v>0</v>
      </c>
      <c r="N1198">
        <v>0</v>
      </c>
      <c r="O1198">
        <v>0</v>
      </c>
      <c r="P1198">
        <v>0</v>
      </c>
      <c r="Q1198" t="str">
        <f>INDEX('Partner data'!A:DH,MATCH(C1198,'Partner data'!DG:DG,0),83)</f>
        <v>Soggetto pubblico</v>
      </c>
      <c r="R1198" t="b">
        <f>IF(E1198="staff",IF(INDEX('Partner data'!A:DH,MATCH(C1198,'Partner data'!DG:DG,0),112)="BL1 non presente","FALSO",INDEX('Partner data'!A:DH,MATCH(C1198,'Partner data'!DG:DG,0),112)))</f>
        <v>0</v>
      </c>
      <c r="S1198" t="b">
        <f t="shared" si="36"/>
        <v>0</v>
      </c>
      <c r="T1198" t="b">
        <f t="shared" si="37"/>
        <v>1</v>
      </c>
      <c r="U1198" s="154">
        <f>IFERROR(IF(R1198&lt;&gt;FALSE,IF(S1198=TRUE,INDEX('SummaryNOT_VALIDATED-BL'!$A$1:$F$16,MATCH(R1198,'SummaryNOT_VALIDATED-BL'!$A$1:$A$16,0),6),0),IF(S1198=TRUE,INDEX('SummaryNOT_VALIDATED-BL'!$A$1:$F$16,MATCH(E1198,'SummaryNOT_VALIDATED-BL'!$A$1:$A$16,0),6),0)),0)</f>
        <v>0</v>
      </c>
      <c r="V1198" s="81" cm="1">
        <f t="array" ref="V1198">INDEX('Weight tables'!$A$24:$C$27,MATCH(1,(RendicontiTrasmessiBL__2[[#This Row],[Cut percentage on real costs + USC]]&gt;='Weight tables'!$B$24:$B$27)*(RendicontiTrasmessiBL__2[[#This Row],[Cut percentage on real costs + USC]]&lt;='Weight tables'!$C$24:$C$27),0),1)</f>
        <v>0</v>
      </c>
      <c r="W1198" s="2">
        <f>RendicontiTrasmessiBL__2[[#This Row],[Weight real costs  + USC ]]</f>
        <v>0</v>
      </c>
    </row>
    <row r="1199" spans="1:23" x14ac:dyDescent="0.25">
      <c r="A1199" s="1" t="s">
        <v>57</v>
      </c>
      <c r="B1199" s="1" t="s">
        <v>45</v>
      </c>
      <c r="C1199" s="2">
        <v>311</v>
      </c>
      <c r="D1199" s="2">
        <v>199</v>
      </c>
      <c r="E1199" s="1" t="s">
        <v>228</v>
      </c>
      <c r="G1199">
        <v>141863.88</v>
      </c>
      <c r="H1199">
        <v>30787.77</v>
      </c>
      <c r="I1199">
        <v>0</v>
      </c>
      <c r="J1199">
        <v>18429.11</v>
      </c>
      <c r="K1199">
        <v>0</v>
      </c>
      <c r="L1199">
        <v>0</v>
      </c>
      <c r="M1199">
        <v>49216.88</v>
      </c>
      <c r="N1199">
        <v>34.69</v>
      </c>
      <c r="O1199">
        <v>92647</v>
      </c>
      <c r="P1199">
        <v>30787.77</v>
      </c>
      <c r="Q1199" t="str">
        <f>INDEX('Partner data'!A:DH,MATCH(C1199,'Partner data'!DG:DG,0),83)</f>
        <v>Soggetto privato</v>
      </c>
      <c r="R1199" t="str">
        <f>IF(E1199="staff",IF(INDEX('Partner data'!A:DH,MATCH(C1199,'Partner data'!DG:DG,0),112)="BL1 non presente","FALSO",INDEX('Partner data'!A:DH,MATCH(C1199,'Partner data'!DG:DG,0),112)))</f>
        <v>COSTO REALE</v>
      </c>
      <c r="S1199" t="b">
        <f t="shared" si="36"/>
        <v>1</v>
      </c>
      <c r="T1199" t="b">
        <f t="shared" si="37"/>
        <v>0</v>
      </c>
      <c r="U1199" s="154">
        <f>IFERROR(IF(R1199&lt;&gt;FALSE,IF(S1199=TRUE,INDEX('SummaryNOT_VALIDATED-BL'!$A$1:$F$16,MATCH(R1199,'SummaryNOT_VALIDATED-BL'!$A$1:$A$16,0),6),0),IF(S1199=TRUE,INDEX('SummaryNOT_VALIDATED-BL'!$A$1:$F$16,MATCH(E1199,'SummaryNOT_VALIDATED-BL'!$A$1:$A$16,0),6),0)),0)</f>
        <v>9.1604133276901048E-2</v>
      </c>
      <c r="V1199" s="81" cm="1">
        <f t="array" ref="V1199">INDEX('Weight tables'!$A$24:$C$27,MATCH(1,(RendicontiTrasmessiBL__2[[#This Row],[Cut percentage on real costs + USC]]&gt;='Weight tables'!$B$24:$B$27)*(RendicontiTrasmessiBL__2[[#This Row],[Cut percentage on real costs + USC]]&lt;='Weight tables'!$C$24:$C$27),0),1)</f>
        <v>4</v>
      </c>
      <c r="W1199" s="2">
        <f>RendicontiTrasmessiBL__2[[#This Row],[Weight real costs  + USC ]]</f>
        <v>4</v>
      </c>
    </row>
    <row r="1200" spans="1:23" x14ac:dyDescent="0.25">
      <c r="A1200" s="1" t="s">
        <v>57</v>
      </c>
      <c r="B1200" s="1" t="s">
        <v>45</v>
      </c>
      <c r="C1200" s="2">
        <v>311</v>
      </c>
      <c r="D1200" s="2">
        <v>199</v>
      </c>
      <c r="E1200" s="1" t="s">
        <v>229</v>
      </c>
      <c r="F1200">
        <v>15</v>
      </c>
      <c r="G1200">
        <v>21279.58</v>
      </c>
      <c r="H1200">
        <v>4618.16</v>
      </c>
      <c r="I1200">
        <v>0</v>
      </c>
      <c r="J1200">
        <v>2764.36</v>
      </c>
      <c r="K1200">
        <v>0</v>
      </c>
      <c r="L1200">
        <v>0</v>
      </c>
      <c r="M1200">
        <v>7382.52</v>
      </c>
      <c r="N1200">
        <v>34.69</v>
      </c>
      <c r="O1200">
        <v>13897.06</v>
      </c>
      <c r="P1200">
        <v>4618.16</v>
      </c>
      <c r="Q1200" t="str">
        <f>INDEX('Partner data'!A:DH,MATCH(C1200,'Partner data'!DG:DG,0),83)</f>
        <v>Soggetto privato</v>
      </c>
      <c r="R1200" t="b">
        <f>IF(E1200="staff",IF(INDEX('Partner data'!A:DH,MATCH(C1200,'Partner data'!DG:DG,0),112)="BL1 non presente","FALSO",INDEX('Partner data'!A:DH,MATCH(C1200,'Partner data'!DG:DG,0),112)))</f>
        <v>0</v>
      </c>
      <c r="S1200" t="b">
        <f t="shared" si="36"/>
        <v>1</v>
      </c>
      <c r="T1200" t="b">
        <f t="shared" si="37"/>
        <v>0</v>
      </c>
      <c r="U1200" s="154">
        <f>IFERROR(IF(R1200&lt;&gt;FALSE,IF(S1200=TRUE,INDEX('SummaryNOT_VALIDATED-BL'!$A$1:$F$16,MATCH(R1200,'SummaryNOT_VALIDATED-BL'!$A$1:$A$16,0),6),0),IF(S1200=TRUE,INDEX('SummaryNOT_VALIDATED-BL'!$A$1:$F$16,MATCH(E1200,'SummaryNOT_VALIDATED-BL'!$A$1:$A$16,0),6),0)),0)</f>
        <v>6.6460469504890221E-2</v>
      </c>
      <c r="V1200" s="81" cm="1">
        <f t="array" ref="V1200">INDEX('Weight tables'!$A$24:$C$27,MATCH(1,(RendicontiTrasmessiBL__2[[#This Row],[Cut percentage on real costs + USC]]&gt;='Weight tables'!$B$24:$B$27)*(RendicontiTrasmessiBL__2[[#This Row],[Cut percentage on real costs + USC]]&lt;='Weight tables'!$C$24:$C$27),0),1)</f>
        <v>4</v>
      </c>
      <c r="W1200" s="2">
        <f>RendicontiTrasmessiBL__2[[#This Row],[Weight real costs  + USC ]]</f>
        <v>4</v>
      </c>
    </row>
    <row r="1201" spans="1:23" x14ac:dyDescent="0.25">
      <c r="A1201" s="1" t="s">
        <v>57</v>
      </c>
      <c r="B1201" s="1" t="s">
        <v>45</v>
      </c>
      <c r="C1201" s="2">
        <v>311</v>
      </c>
      <c r="D1201" s="2">
        <v>199</v>
      </c>
      <c r="E1201" s="1" t="s">
        <v>230</v>
      </c>
      <c r="F1201">
        <v>4</v>
      </c>
      <c r="G1201">
        <v>5674.55</v>
      </c>
      <c r="H1201">
        <v>1231.51</v>
      </c>
      <c r="I1201">
        <v>0</v>
      </c>
      <c r="J1201">
        <v>737.16</v>
      </c>
      <c r="K1201">
        <v>0</v>
      </c>
      <c r="L1201">
        <v>0</v>
      </c>
      <c r="M1201">
        <v>1968.67</v>
      </c>
      <c r="N1201">
        <v>34.69</v>
      </c>
      <c r="O1201">
        <v>3705.88</v>
      </c>
      <c r="P1201">
        <v>1231.51</v>
      </c>
      <c r="Q1201" t="str">
        <f>INDEX('Partner data'!A:DH,MATCH(C1201,'Partner data'!DG:DG,0),83)</f>
        <v>Soggetto privato</v>
      </c>
      <c r="R1201" t="b">
        <f>IF(E1201="staff",IF(INDEX('Partner data'!A:DH,MATCH(C1201,'Partner data'!DG:DG,0),112)="BL1 non presente","FALSO",INDEX('Partner data'!A:DH,MATCH(C1201,'Partner data'!DG:DG,0),112)))</f>
        <v>0</v>
      </c>
      <c r="S1201" t="b">
        <f t="shared" si="36"/>
        <v>1</v>
      </c>
      <c r="T1201" t="b">
        <f t="shared" si="37"/>
        <v>0</v>
      </c>
      <c r="U1201" s="154">
        <f>IFERROR(IF(R1201&lt;&gt;FALSE,IF(S1201=TRUE,INDEX('SummaryNOT_VALIDATED-BL'!$A$1:$F$16,MATCH(R1201,'SummaryNOT_VALIDATED-BL'!$A$1:$A$16,0),6),0),IF(S1201=TRUE,INDEX('SummaryNOT_VALIDATED-BL'!$A$1:$F$16,MATCH(E1201,'SummaryNOT_VALIDATED-BL'!$A$1:$A$16,0),6),0)),0)</f>
        <v>6.3112622236488891E-2</v>
      </c>
      <c r="V1201" s="81" cm="1">
        <f t="array" ref="V1201">INDEX('Weight tables'!$A$24:$C$27,MATCH(1,(RendicontiTrasmessiBL__2[[#This Row],[Cut percentage on real costs + USC]]&gt;='Weight tables'!$B$24:$B$27)*(RendicontiTrasmessiBL__2[[#This Row],[Cut percentage on real costs + USC]]&lt;='Weight tables'!$C$24:$C$27),0),1)</f>
        <v>4</v>
      </c>
      <c r="W1201" s="2">
        <f>RendicontiTrasmessiBL__2[[#This Row],[Weight real costs  + USC ]]</f>
        <v>4</v>
      </c>
    </row>
    <row r="1202" spans="1:23" x14ac:dyDescent="0.25">
      <c r="A1202" s="1" t="s">
        <v>57</v>
      </c>
      <c r="B1202" s="1" t="s">
        <v>45</v>
      </c>
      <c r="C1202" s="2">
        <v>311</v>
      </c>
      <c r="D1202" s="2">
        <v>199</v>
      </c>
      <c r="E1202" s="1" t="s">
        <v>231</v>
      </c>
      <c r="G1202">
        <v>45181.98</v>
      </c>
      <c r="H1202">
        <v>907.68</v>
      </c>
      <c r="I1202">
        <v>0</v>
      </c>
      <c r="J1202">
        <v>0</v>
      </c>
      <c r="K1202">
        <v>0</v>
      </c>
      <c r="L1202">
        <v>0</v>
      </c>
      <c r="M1202">
        <v>907.68</v>
      </c>
      <c r="N1202">
        <v>2.0099999999999998</v>
      </c>
      <c r="O1202">
        <v>44274.3</v>
      </c>
      <c r="P1202">
        <v>907.68</v>
      </c>
      <c r="Q1202" t="str">
        <f>INDEX('Partner data'!A:DH,MATCH(C1202,'Partner data'!DG:DG,0),83)</f>
        <v>Soggetto privato</v>
      </c>
      <c r="R1202" t="b">
        <f>IF(E1202="staff",IF(INDEX('Partner data'!A:DH,MATCH(C1202,'Partner data'!DG:DG,0),112)="BL1 non presente","FALSO",INDEX('Partner data'!A:DH,MATCH(C1202,'Partner data'!DG:DG,0),112)))</f>
        <v>0</v>
      </c>
      <c r="S1202" t="b">
        <f t="shared" si="36"/>
        <v>0</v>
      </c>
      <c r="T1202" t="b">
        <f t="shared" si="37"/>
        <v>0</v>
      </c>
      <c r="U1202" s="154">
        <f>IFERROR(IF(R1202&lt;&gt;FALSE,IF(S1202=TRUE,INDEX('SummaryNOT_VALIDATED-BL'!$A$1:$F$16,MATCH(R1202,'SummaryNOT_VALIDATED-BL'!$A$1:$A$16,0),6),0),IF(S1202=TRUE,INDEX('SummaryNOT_VALIDATED-BL'!$A$1:$F$16,MATCH(E1202,'SummaryNOT_VALIDATED-BL'!$A$1:$A$16,0),6),0)),0)</f>
        <v>0</v>
      </c>
      <c r="V1202" s="81" cm="1">
        <f t="array" ref="V1202">INDEX('Weight tables'!$A$24:$C$27,MATCH(1,(RendicontiTrasmessiBL__2[[#This Row],[Cut percentage on real costs + USC]]&gt;='Weight tables'!$B$24:$B$27)*(RendicontiTrasmessiBL__2[[#This Row],[Cut percentage on real costs + USC]]&lt;='Weight tables'!$C$24:$C$27),0),1)</f>
        <v>0</v>
      </c>
      <c r="W1202" s="2">
        <f>RendicontiTrasmessiBL__2[[#This Row],[Weight real costs  + USC ]]</f>
        <v>0</v>
      </c>
    </row>
    <row r="1203" spans="1:23" x14ac:dyDescent="0.25">
      <c r="A1203" s="1" t="s">
        <v>57</v>
      </c>
      <c r="B1203" s="1" t="s">
        <v>45</v>
      </c>
      <c r="C1203" s="2">
        <v>311</v>
      </c>
      <c r="D1203" s="2">
        <v>199</v>
      </c>
      <c r="E1203" s="1" t="s">
        <v>232</v>
      </c>
      <c r="G1203">
        <v>22500.01</v>
      </c>
      <c r="H1203">
        <v>0</v>
      </c>
      <c r="I1203">
        <v>0</v>
      </c>
      <c r="J1203">
        <v>0</v>
      </c>
      <c r="K1203">
        <v>0</v>
      </c>
      <c r="L1203">
        <v>0</v>
      </c>
      <c r="M1203">
        <v>0</v>
      </c>
      <c r="N1203">
        <v>0</v>
      </c>
      <c r="O1203">
        <v>22500.01</v>
      </c>
      <c r="P1203">
        <v>0</v>
      </c>
      <c r="Q1203" t="str">
        <f>INDEX('Partner data'!A:DH,MATCH(C1203,'Partner data'!DG:DG,0),83)</f>
        <v>Soggetto privato</v>
      </c>
      <c r="R1203" t="b">
        <f>IF(E1203="staff",IF(INDEX('Partner data'!A:DH,MATCH(C1203,'Partner data'!DG:DG,0),112)="BL1 non presente","FALSO",INDEX('Partner data'!A:DH,MATCH(C1203,'Partner data'!DG:DG,0),112)))</f>
        <v>0</v>
      </c>
      <c r="S1203" t="b">
        <f t="shared" si="36"/>
        <v>0</v>
      </c>
      <c r="T1203" t="b">
        <f t="shared" si="37"/>
        <v>0</v>
      </c>
      <c r="U1203" s="154">
        <f>IFERROR(IF(R1203&lt;&gt;FALSE,IF(S1203=TRUE,INDEX('SummaryNOT_VALIDATED-BL'!$A$1:$F$16,MATCH(R1203,'SummaryNOT_VALIDATED-BL'!$A$1:$A$16,0),6),0),IF(S1203=TRUE,INDEX('SummaryNOT_VALIDATED-BL'!$A$1:$F$16,MATCH(E1203,'SummaryNOT_VALIDATED-BL'!$A$1:$A$16,0),6),0)),0)</f>
        <v>0</v>
      </c>
      <c r="V1203" s="81" cm="1">
        <f t="array" ref="V1203">INDEX('Weight tables'!$A$24:$C$27,MATCH(1,(RendicontiTrasmessiBL__2[[#This Row],[Cut percentage on real costs + USC]]&gt;='Weight tables'!$B$24:$B$27)*(RendicontiTrasmessiBL__2[[#This Row],[Cut percentage on real costs + USC]]&lt;='Weight tables'!$C$24:$C$27),0),1)</f>
        <v>0</v>
      </c>
      <c r="W1203" s="2">
        <f>RendicontiTrasmessiBL__2[[#This Row],[Weight real costs  + USC ]]</f>
        <v>0</v>
      </c>
    </row>
    <row r="1204" spans="1:23" x14ac:dyDescent="0.25">
      <c r="A1204" s="1" t="s">
        <v>57</v>
      </c>
      <c r="B1204" s="1" t="s">
        <v>45</v>
      </c>
      <c r="C1204" s="2">
        <v>311</v>
      </c>
      <c r="D1204" s="2">
        <v>199</v>
      </c>
      <c r="E1204" s="1" t="s">
        <v>233</v>
      </c>
      <c r="G1204">
        <v>76000</v>
      </c>
      <c r="H1204">
        <v>75466.27</v>
      </c>
      <c r="I1204">
        <v>0</v>
      </c>
      <c r="J1204">
        <v>0</v>
      </c>
      <c r="K1204">
        <v>0</v>
      </c>
      <c r="L1204">
        <v>0</v>
      </c>
      <c r="M1204">
        <v>75466.27</v>
      </c>
      <c r="N1204">
        <v>99.3</v>
      </c>
      <c r="O1204">
        <v>533.73</v>
      </c>
      <c r="P1204">
        <v>75466.27</v>
      </c>
      <c r="Q1204" t="str">
        <f>INDEX('Partner data'!A:DH,MATCH(C1204,'Partner data'!DG:DG,0),83)</f>
        <v>Soggetto privato</v>
      </c>
      <c r="R1204" t="b">
        <f>IF(E1204="staff",IF(INDEX('Partner data'!A:DH,MATCH(C1204,'Partner data'!DG:DG,0),112)="BL1 non presente","FALSO",INDEX('Partner data'!A:DH,MATCH(C1204,'Partner data'!DG:DG,0),112)))</f>
        <v>0</v>
      </c>
      <c r="S1204" t="b">
        <f t="shared" si="36"/>
        <v>0</v>
      </c>
      <c r="T1204" t="b">
        <f t="shared" si="37"/>
        <v>0</v>
      </c>
      <c r="U1204" s="154">
        <f>IFERROR(IF(R1204&lt;&gt;FALSE,IF(S1204=TRUE,INDEX('SummaryNOT_VALIDATED-BL'!$A$1:$F$16,MATCH(R1204,'SummaryNOT_VALIDATED-BL'!$A$1:$A$16,0),6),0),IF(S1204=TRUE,INDEX('SummaryNOT_VALIDATED-BL'!$A$1:$F$16,MATCH(E1204,'SummaryNOT_VALIDATED-BL'!$A$1:$A$16,0),6),0)),0)</f>
        <v>0</v>
      </c>
      <c r="V1204" s="81" cm="1">
        <f t="array" ref="V1204">INDEX('Weight tables'!$A$24:$C$27,MATCH(1,(RendicontiTrasmessiBL__2[[#This Row],[Cut percentage on real costs + USC]]&gt;='Weight tables'!$B$24:$B$27)*(RendicontiTrasmessiBL__2[[#This Row],[Cut percentage on real costs + USC]]&lt;='Weight tables'!$C$24:$C$27),0),1)</f>
        <v>0</v>
      </c>
      <c r="W1204" s="2">
        <f>RendicontiTrasmessiBL__2[[#This Row],[Weight real costs  + USC ]]</f>
        <v>0</v>
      </c>
    </row>
    <row r="1205" spans="1:23" x14ac:dyDescent="0.25">
      <c r="A1205" s="1" t="s">
        <v>57</v>
      </c>
      <c r="B1205" s="1" t="s">
        <v>45</v>
      </c>
      <c r="C1205" s="2">
        <v>311</v>
      </c>
      <c r="D1205" s="2">
        <v>199</v>
      </c>
      <c r="E1205" s="1" t="s">
        <v>234</v>
      </c>
      <c r="G1205">
        <v>0</v>
      </c>
      <c r="H1205">
        <v>0</v>
      </c>
      <c r="I1205">
        <v>0</v>
      </c>
      <c r="J1205">
        <v>0</v>
      </c>
      <c r="K1205">
        <v>0</v>
      </c>
      <c r="L1205">
        <v>0</v>
      </c>
      <c r="M1205">
        <v>0</v>
      </c>
      <c r="N1205">
        <v>0</v>
      </c>
      <c r="O1205">
        <v>0</v>
      </c>
      <c r="P1205">
        <v>0</v>
      </c>
      <c r="Q1205" t="str">
        <f>INDEX('Partner data'!A:DH,MATCH(C1205,'Partner data'!DG:DG,0),83)</f>
        <v>Soggetto privato</v>
      </c>
      <c r="R1205" t="b">
        <f>IF(E1205="staff",IF(INDEX('Partner data'!A:DH,MATCH(C1205,'Partner data'!DG:DG,0),112)="BL1 non presente","FALSO",INDEX('Partner data'!A:DH,MATCH(C1205,'Partner data'!DG:DG,0),112)))</f>
        <v>0</v>
      </c>
      <c r="S1205" t="b">
        <f t="shared" si="36"/>
        <v>0</v>
      </c>
      <c r="T1205" t="b">
        <f t="shared" si="37"/>
        <v>0</v>
      </c>
      <c r="U1205" s="154">
        <f>IFERROR(IF(R1205&lt;&gt;FALSE,IF(S1205=TRUE,INDEX('SummaryNOT_VALIDATED-BL'!$A$1:$F$16,MATCH(R1205,'SummaryNOT_VALIDATED-BL'!$A$1:$A$16,0),6),0),IF(S1205=TRUE,INDEX('SummaryNOT_VALIDATED-BL'!$A$1:$F$16,MATCH(E1205,'SummaryNOT_VALIDATED-BL'!$A$1:$A$16,0),6),0)),0)</f>
        <v>0</v>
      </c>
      <c r="V1205" s="81" cm="1">
        <f t="array" ref="V1205">INDEX('Weight tables'!$A$24:$C$27,MATCH(1,(RendicontiTrasmessiBL__2[[#This Row],[Cut percentage on real costs + USC]]&gt;='Weight tables'!$B$24:$B$27)*(RendicontiTrasmessiBL__2[[#This Row],[Cut percentage on real costs + USC]]&lt;='Weight tables'!$C$24:$C$27),0),1)</f>
        <v>0</v>
      </c>
      <c r="W1205" s="2">
        <f>RendicontiTrasmessiBL__2[[#This Row],[Weight real costs  + USC ]]</f>
        <v>0</v>
      </c>
    </row>
    <row r="1206" spans="1:23" x14ac:dyDescent="0.25">
      <c r="A1206" s="1" t="s">
        <v>57</v>
      </c>
      <c r="B1206" s="1" t="s">
        <v>45</v>
      </c>
      <c r="C1206" s="2">
        <v>311</v>
      </c>
      <c r="D1206" s="2">
        <v>199</v>
      </c>
      <c r="E1206" s="1" t="s">
        <v>236</v>
      </c>
      <c r="G1206">
        <v>0</v>
      </c>
      <c r="H1206">
        <v>0</v>
      </c>
      <c r="I1206">
        <v>0</v>
      </c>
      <c r="J1206">
        <v>0</v>
      </c>
      <c r="K1206">
        <v>0</v>
      </c>
      <c r="L1206">
        <v>0</v>
      </c>
      <c r="M1206">
        <v>0</v>
      </c>
      <c r="N1206">
        <v>0</v>
      </c>
      <c r="O1206">
        <v>0</v>
      </c>
      <c r="P1206">
        <v>0</v>
      </c>
      <c r="Q1206" t="str">
        <f>INDEX('Partner data'!A:DH,MATCH(C1206,'Partner data'!DG:DG,0),83)</f>
        <v>Soggetto privato</v>
      </c>
      <c r="R1206" t="b">
        <f>IF(E1206="staff",IF(INDEX('Partner data'!A:DH,MATCH(C1206,'Partner data'!DG:DG,0),112)="BL1 non presente","FALSO",INDEX('Partner data'!A:DH,MATCH(C1206,'Partner data'!DG:DG,0),112)))</f>
        <v>0</v>
      </c>
      <c r="S1206" t="b">
        <f t="shared" si="36"/>
        <v>0</v>
      </c>
      <c r="T1206" t="b">
        <f t="shared" si="37"/>
        <v>0</v>
      </c>
      <c r="U1206" s="154">
        <f>IFERROR(IF(R1206&lt;&gt;FALSE,IF(S1206=TRUE,INDEX('SummaryNOT_VALIDATED-BL'!$A$1:$F$16,MATCH(R1206,'SummaryNOT_VALIDATED-BL'!$A$1:$A$16,0),6),0),IF(S1206=TRUE,INDEX('SummaryNOT_VALIDATED-BL'!$A$1:$F$16,MATCH(E1206,'SummaryNOT_VALIDATED-BL'!$A$1:$A$16,0),6),0)),0)</f>
        <v>0</v>
      </c>
      <c r="V1206" s="81" cm="1">
        <f t="array" ref="V1206">INDEX('Weight tables'!$A$24:$C$27,MATCH(1,(RendicontiTrasmessiBL__2[[#This Row],[Cut percentage on real costs + USC]]&gt;='Weight tables'!$B$24:$B$27)*(RendicontiTrasmessiBL__2[[#This Row],[Cut percentage on real costs + USC]]&lt;='Weight tables'!$C$24:$C$27),0),1)</f>
        <v>0</v>
      </c>
      <c r="W1206" s="2">
        <f>RendicontiTrasmessiBL__2[[#This Row],[Weight real costs  + USC ]]</f>
        <v>0</v>
      </c>
    </row>
    <row r="1207" spans="1:23" x14ac:dyDescent="0.25">
      <c r="A1207" s="1" t="s">
        <v>57</v>
      </c>
      <c r="B1207" s="1" t="s">
        <v>45</v>
      </c>
      <c r="C1207" s="2">
        <v>311</v>
      </c>
      <c r="D1207" s="2">
        <v>199</v>
      </c>
      <c r="E1207" s="1" t="s">
        <v>237</v>
      </c>
      <c r="G1207">
        <v>0</v>
      </c>
      <c r="H1207">
        <v>0</v>
      </c>
      <c r="I1207">
        <v>0</v>
      </c>
      <c r="J1207">
        <v>0</v>
      </c>
      <c r="K1207">
        <v>0</v>
      </c>
      <c r="L1207">
        <v>0</v>
      </c>
      <c r="M1207">
        <v>0</v>
      </c>
      <c r="N1207">
        <v>0</v>
      </c>
      <c r="O1207">
        <v>0</v>
      </c>
      <c r="P1207">
        <v>0</v>
      </c>
      <c r="Q1207" t="str">
        <f>INDEX('Partner data'!A:DH,MATCH(C1207,'Partner data'!DG:DG,0),83)</f>
        <v>Soggetto privato</v>
      </c>
      <c r="R1207" t="b">
        <f>IF(E1207="staff",IF(INDEX('Partner data'!A:DH,MATCH(C1207,'Partner data'!DG:DG,0),112)="BL1 non presente","FALSO",INDEX('Partner data'!A:DH,MATCH(C1207,'Partner data'!DG:DG,0),112)))</f>
        <v>0</v>
      </c>
      <c r="S1207" t="b">
        <f t="shared" si="36"/>
        <v>0</v>
      </c>
      <c r="T1207" t="b">
        <f t="shared" si="37"/>
        <v>0</v>
      </c>
      <c r="U1207" s="154">
        <f>IFERROR(IF(R1207&lt;&gt;FALSE,IF(S1207=TRUE,INDEX('SummaryNOT_VALIDATED-BL'!$A$1:$F$16,MATCH(R1207,'SummaryNOT_VALIDATED-BL'!$A$1:$A$16,0),6),0),IF(S1207=TRUE,INDEX('SummaryNOT_VALIDATED-BL'!$A$1:$F$16,MATCH(E1207,'SummaryNOT_VALIDATED-BL'!$A$1:$A$16,0),6),0)),0)</f>
        <v>0</v>
      </c>
      <c r="V1207" s="81" cm="1">
        <f t="array" ref="V1207">INDEX('Weight tables'!$A$24:$C$27,MATCH(1,(RendicontiTrasmessiBL__2[[#This Row],[Cut percentage on real costs + USC]]&gt;='Weight tables'!$B$24:$B$27)*(RendicontiTrasmessiBL__2[[#This Row],[Cut percentage on real costs + USC]]&lt;='Weight tables'!$C$24:$C$27),0),1)</f>
        <v>0</v>
      </c>
      <c r="W1207" s="2">
        <f>RendicontiTrasmessiBL__2[[#This Row],[Weight real costs  + USC ]]</f>
        <v>0</v>
      </c>
    </row>
    <row r="1208" spans="1:23" x14ac:dyDescent="0.25">
      <c r="A1208" s="1" t="s">
        <v>57</v>
      </c>
      <c r="B1208" s="1" t="s">
        <v>45</v>
      </c>
      <c r="C1208" s="2">
        <v>311</v>
      </c>
      <c r="D1208" s="2">
        <v>68</v>
      </c>
      <c r="E1208" s="1" t="s">
        <v>228</v>
      </c>
      <c r="G1208">
        <v>141863.88</v>
      </c>
      <c r="H1208">
        <v>0</v>
      </c>
      <c r="I1208">
        <v>0</v>
      </c>
      <c r="J1208">
        <v>30787.77</v>
      </c>
      <c r="K1208">
        <v>0</v>
      </c>
      <c r="L1208">
        <v>30787.77</v>
      </c>
      <c r="M1208">
        <v>30787.77</v>
      </c>
      <c r="N1208">
        <v>21.7</v>
      </c>
      <c r="O1208">
        <v>111076.11</v>
      </c>
      <c r="P1208">
        <v>0</v>
      </c>
      <c r="Q1208" t="str">
        <f>INDEX('Partner data'!A:DH,MATCH(C1208,'Partner data'!DG:DG,0),83)</f>
        <v>Soggetto privato</v>
      </c>
      <c r="R1208" t="str">
        <f>IF(E1208="staff",IF(INDEX('Partner data'!A:DH,MATCH(C1208,'Partner data'!DG:DG,0),112)="BL1 non presente","FALSO",INDEX('Partner data'!A:DH,MATCH(C1208,'Partner data'!DG:DG,0),112)))</f>
        <v>COSTO REALE</v>
      </c>
      <c r="S1208" t="b">
        <f t="shared" si="36"/>
        <v>1</v>
      </c>
      <c r="T1208" t="b">
        <f t="shared" si="37"/>
        <v>0</v>
      </c>
      <c r="U1208" s="154">
        <f>IFERROR(IF(R1208&lt;&gt;FALSE,IF(S1208=TRUE,INDEX('SummaryNOT_VALIDATED-BL'!$A$1:$F$16,MATCH(R1208,'SummaryNOT_VALIDATED-BL'!$A$1:$A$16,0),6),0),IF(S1208=TRUE,INDEX('SummaryNOT_VALIDATED-BL'!$A$1:$F$16,MATCH(E1208,'SummaryNOT_VALIDATED-BL'!$A$1:$A$16,0),6),0)),0)</f>
        <v>9.1604133276901048E-2</v>
      </c>
      <c r="V1208" s="81" cm="1">
        <f t="array" ref="V1208">INDEX('Weight tables'!$A$24:$C$27,MATCH(1,(RendicontiTrasmessiBL__2[[#This Row],[Cut percentage on real costs + USC]]&gt;='Weight tables'!$B$24:$B$27)*(RendicontiTrasmessiBL__2[[#This Row],[Cut percentage on real costs + USC]]&lt;='Weight tables'!$C$24:$C$27),0),1)</f>
        <v>4</v>
      </c>
      <c r="W1208" s="2">
        <f>RendicontiTrasmessiBL__2[[#This Row],[Weight real costs  + USC ]]</f>
        <v>4</v>
      </c>
    </row>
    <row r="1209" spans="1:23" x14ac:dyDescent="0.25">
      <c r="A1209" s="1" t="s">
        <v>57</v>
      </c>
      <c r="B1209" s="1" t="s">
        <v>45</v>
      </c>
      <c r="C1209" s="2">
        <v>311</v>
      </c>
      <c r="D1209" s="2">
        <v>68</v>
      </c>
      <c r="E1209" s="1" t="s">
        <v>229</v>
      </c>
      <c r="F1209">
        <v>15</v>
      </c>
      <c r="G1209">
        <v>21279.58</v>
      </c>
      <c r="H1209">
        <v>0</v>
      </c>
      <c r="I1209">
        <v>0</v>
      </c>
      <c r="J1209">
        <v>4618.16</v>
      </c>
      <c r="K1209">
        <v>0</v>
      </c>
      <c r="L1209">
        <v>4618.16</v>
      </c>
      <c r="M1209">
        <v>4618.16</v>
      </c>
      <c r="N1209">
        <v>21.7</v>
      </c>
      <c r="O1209">
        <v>16661.419999999998</v>
      </c>
      <c r="P1209">
        <v>0</v>
      </c>
      <c r="Q1209" t="str">
        <f>INDEX('Partner data'!A:DH,MATCH(C1209,'Partner data'!DG:DG,0),83)</f>
        <v>Soggetto privato</v>
      </c>
      <c r="R1209" t="b">
        <f>IF(E1209="staff",IF(INDEX('Partner data'!A:DH,MATCH(C1209,'Partner data'!DG:DG,0),112)="BL1 non presente","FALSO",INDEX('Partner data'!A:DH,MATCH(C1209,'Partner data'!DG:DG,0),112)))</f>
        <v>0</v>
      </c>
      <c r="S1209" t="b">
        <f t="shared" si="36"/>
        <v>1</v>
      </c>
      <c r="T1209" t="b">
        <f t="shared" si="37"/>
        <v>0</v>
      </c>
      <c r="U1209" s="154">
        <f>IFERROR(IF(R1209&lt;&gt;FALSE,IF(S1209=TRUE,INDEX('SummaryNOT_VALIDATED-BL'!$A$1:$F$16,MATCH(R1209,'SummaryNOT_VALIDATED-BL'!$A$1:$A$16,0),6),0),IF(S1209=TRUE,INDEX('SummaryNOT_VALIDATED-BL'!$A$1:$F$16,MATCH(E1209,'SummaryNOT_VALIDATED-BL'!$A$1:$A$16,0),6),0)),0)</f>
        <v>6.6460469504890221E-2</v>
      </c>
      <c r="V1209" s="81" cm="1">
        <f t="array" ref="V1209">INDEX('Weight tables'!$A$24:$C$27,MATCH(1,(RendicontiTrasmessiBL__2[[#This Row],[Cut percentage on real costs + USC]]&gt;='Weight tables'!$B$24:$B$27)*(RendicontiTrasmessiBL__2[[#This Row],[Cut percentage on real costs + USC]]&lt;='Weight tables'!$C$24:$C$27),0),1)</f>
        <v>4</v>
      </c>
      <c r="W1209" s="2">
        <f>RendicontiTrasmessiBL__2[[#This Row],[Weight real costs  + USC ]]</f>
        <v>4</v>
      </c>
    </row>
    <row r="1210" spans="1:23" x14ac:dyDescent="0.25">
      <c r="A1210" s="1" t="s">
        <v>57</v>
      </c>
      <c r="B1210" s="1" t="s">
        <v>45</v>
      </c>
      <c r="C1210" s="2">
        <v>311</v>
      </c>
      <c r="D1210" s="2">
        <v>68</v>
      </c>
      <c r="E1210" s="1" t="s">
        <v>230</v>
      </c>
      <c r="F1210">
        <v>4</v>
      </c>
      <c r="G1210">
        <v>5674.55</v>
      </c>
      <c r="H1210">
        <v>0</v>
      </c>
      <c r="I1210">
        <v>0</v>
      </c>
      <c r="J1210">
        <v>1231.51</v>
      </c>
      <c r="K1210">
        <v>0</v>
      </c>
      <c r="L1210">
        <v>1231.51</v>
      </c>
      <c r="M1210">
        <v>1231.51</v>
      </c>
      <c r="N1210">
        <v>21.7</v>
      </c>
      <c r="O1210">
        <v>4443.04</v>
      </c>
      <c r="P1210">
        <v>0</v>
      </c>
      <c r="Q1210" t="str">
        <f>INDEX('Partner data'!A:DH,MATCH(C1210,'Partner data'!DG:DG,0),83)</f>
        <v>Soggetto privato</v>
      </c>
      <c r="R1210" t="b">
        <f>IF(E1210="staff",IF(INDEX('Partner data'!A:DH,MATCH(C1210,'Partner data'!DG:DG,0),112)="BL1 non presente","FALSO",INDEX('Partner data'!A:DH,MATCH(C1210,'Partner data'!DG:DG,0),112)))</f>
        <v>0</v>
      </c>
      <c r="S1210" t="b">
        <f t="shared" si="36"/>
        <v>1</v>
      </c>
      <c r="T1210" t="b">
        <f t="shared" si="37"/>
        <v>0</v>
      </c>
      <c r="U1210" s="154">
        <f>IFERROR(IF(R1210&lt;&gt;FALSE,IF(S1210=TRUE,INDEX('SummaryNOT_VALIDATED-BL'!$A$1:$F$16,MATCH(R1210,'SummaryNOT_VALIDATED-BL'!$A$1:$A$16,0),6),0),IF(S1210=TRUE,INDEX('SummaryNOT_VALIDATED-BL'!$A$1:$F$16,MATCH(E1210,'SummaryNOT_VALIDATED-BL'!$A$1:$A$16,0),6),0)),0)</f>
        <v>6.3112622236488891E-2</v>
      </c>
      <c r="V1210" s="81" cm="1">
        <f t="array" ref="V1210">INDEX('Weight tables'!$A$24:$C$27,MATCH(1,(RendicontiTrasmessiBL__2[[#This Row],[Cut percentage on real costs + USC]]&gt;='Weight tables'!$B$24:$B$27)*(RendicontiTrasmessiBL__2[[#This Row],[Cut percentage on real costs + USC]]&lt;='Weight tables'!$C$24:$C$27),0),1)</f>
        <v>4</v>
      </c>
      <c r="W1210" s="2">
        <f>RendicontiTrasmessiBL__2[[#This Row],[Weight real costs  + USC ]]</f>
        <v>4</v>
      </c>
    </row>
    <row r="1211" spans="1:23" x14ac:dyDescent="0.25">
      <c r="A1211" s="1" t="s">
        <v>57</v>
      </c>
      <c r="B1211" s="1" t="s">
        <v>45</v>
      </c>
      <c r="C1211" s="2">
        <v>311</v>
      </c>
      <c r="D1211" s="2">
        <v>68</v>
      </c>
      <c r="E1211" s="1" t="s">
        <v>231</v>
      </c>
      <c r="G1211">
        <v>45181.98</v>
      </c>
      <c r="H1211">
        <v>0</v>
      </c>
      <c r="I1211">
        <v>0</v>
      </c>
      <c r="J1211">
        <v>907.68</v>
      </c>
      <c r="K1211">
        <v>0</v>
      </c>
      <c r="L1211">
        <v>907.68</v>
      </c>
      <c r="M1211">
        <v>907.68</v>
      </c>
      <c r="N1211">
        <v>2.0099999999999998</v>
      </c>
      <c r="O1211">
        <v>44274.3</v>
      </c>
      <c r="P1211">
        <v>0</v>
      </c>
      <c r="Q1211" t="str">
        <f>INDEX('Partner data'!A:DH,MATCH(C1211,'Partner data'!DG:DG,0),83)</f>
        <v>Soggetto privato</v>
      </c>
      <c r="R1211" t="b">
        <f>IF(E1211="staff",IF(INDEX('Partner data'!A:DH,MATCH(C1211,'Partner data'!DG:DG,0),112)="BL1 non presente","FALSO",INDEX('Partner data'!A:DH,MATCH(C1211,'Partner data'!DG:DG,0),112)))</f>
        <v>0</v>
      </c>
      <c r="S1211" t="b">
        <f t="shared" si="36"/>
        <v>1</v>
      </c>
      <c r="T1211" t="b">
        <f t="shared" si="37"/>
        <v>0</v>
      </c>
      <c r="U1211" s="154">
        <f>IFERROR(IF(R1211&lt;&gt;FALSE,IF(S1211=TRUE,INDEX('SummaryNOT_VALIDATED-BL'!$A$1:$F$16,MATCH(R1211,'SummaryNOT_VALIDATED-BL'!$A$1:$A$16,0),6),0),IF(S1211=TRUE,INDEX('SummaryNOT_VALIDATED-BL'!$A$1:$F$16,MATCH(E1211,'SummaryNOT_VALIDATED-BL'!$A$1:$A$16,0),6),0)),0)</f>
        <v>5.577594442215475E-2</v>
      </c>
      <c r="V1211" s="81" cm="1">
        <f t="array" ref="V1211">INDEX('Weight tables'!$A$24:$C$27,MATCH(1,(RendicontiTrasmessiBL__2[[#This Row],[Cut percentage on real costs + USC]]&gt;='Weight tables'!$B$24:$B$27)*(RendicontiTrasmessiBL__2[[#This Row],[Cut percentage on real costs + USC]]&lt;='Weight tables'!$C$24:$C$27),0),1)</f>
        <v>4</v>
      </c>
      <c r="W1211" s="2">
        <f>RendicontiTrasmessiBL__2[[#This Row],[Weight real costs  + USC ]]</f>
        <v>4</v>
      </c>
    </row>
    <row r="1212" spans="1:23" x14ac:dyDescent="0.25">
      <c r="A1212" s="1" t="s">
        <v>57</v>
      </c>
      <c r="B1212" s="1" t="s">
        <v>45</v>
      </c>
      <c r="C1212" s="2">
        <v>311</v>
      </c>
      <c r="D1212" s="2">
        <v>68</v>
      </c>
      <c r="E1212" s="1" t="s">
        <v>232</v>
      </c>
      <c r="G1212">
        <v>22500.01</v>
      </c>
      <c r="H1212">
        <v>0</v>
      </c>
      <c r="I1212">
        <v>0</v>
      </c>
      <c r="J1212">
        <v>0</v>
      </c>
      <c r="K1212">
        <v>0</v>
      </c>
      <c r="L1212">
        <v>0</v>
      </c>
      <c r="M1212">
        <v>0</v>
      </c>
      <c r="N1212">
        <v>0</v>
      </c>
      <c r="O1212">
        <v>22500.01</v>
      </c>
      <c r="P1212">
        <v>0</v>
      </c>
      <c r="Q1212" t="str">
        <f>INDEX('Partner data'!A:DH,MATCH(C1212,'Partner data'!DG:DG,0),83)</f>
        <v>Soggetto privato</v>
      </c>
      <c r="R1212" t="b">
        <f>IF(E1212="staff",IF(INDEX('Partner data'!A:DH,MATCH(C1212,'Partner data'!DG:DG,0),112)="BL1 non presente","FALSO",INDEX('Partner data'!A:DH,MATCH(C1212,'Partner data'!DG:DG,0),112)))</f>
        <v>0</v>
      </c>
      <c r="S1212" t="b">
        <f t="shared" si="36"/>
        <v>0</v>
      </c>
      <c r="T1212" t="b">
        <f t="shared" si="37"/>
        <v>0</v>
      </c>
      <c r="U1212" s="154">
        <f>IFERROR(IF(R1212&lt;&gt;FALSE,IF(S1212=TRUE,INDEX('SummaryNOT_VALIDATED-BL'!$A$1:$F$16,MATCH(R1212,'SummaryNOT_VALIDATED-BL'!$A$1:$A$16,0),6),0),IF(S1212=TRUE,INDEX('SummaryNOT_VALIDATED-BL'!$A$1:$F$16,MATCH(E1212,'SummaryNOT_VALIDATED-BL'!$A$1:$A$16,0),6),0)),0)</f>
        <v>0</v>
      </c>
      <c r="V1212" s="81" cm="1">
        <f t="array" ref="V1212">INDEX('Weight tables'!$A$24:$C$27,MATCH(1,(RendicontiTrasmessiBL__2[[#This Row],[Cut percentage on real costs + USC]]&gt;='Weight tables'!$B$24:$B$27)*(RendicontiTrasmessiBL__2[[#This Row],[Cut percentage on real costs + USC]]&lt;='Weight tables'!$C$24:$C$27),0),1)</f>
        <v>0</v>
      </c>
      <c r="W1212" s="2">
        <f>RendicontiTrasmessiBL__2[[#This Row],[Weight real costs  + USC ]]</f>
        <v>0</v>
      </c>
    </row>
    <row r="1213" spans="1:23" x14ac:dyDescent="0.25">
      <c r="A1213" s="1" t="s">
        <v>57</v>
      </c>
      <c r="B1213" s="1" t="s">
        <v>45</v>
      </c>
      <c r="C1213" s="2">
        <v>311</v>
      </c>
      <c r="D1213" s="2">
        <v>68</v>
      </c>
      <c r="E1213" s="1" t="s">
        <v>233</v>
      </c>
      <c r="G1213">
        <v>76000</v>
      </c>
      <c r="H1213">
        <v>0</v>
      </c>
      <c r="I1213">
        <v>0</v>
      </c>
      <c r="J1213">
        <v>75466.27</v>
      </c>
      <c r="K1213">
        <v>0</v>
      </c>
      <c r="L1213">
        <v>75466.27</v>
      </c>
      <c r="M1213">
        <v>75466.27</v>
      </c>
      <c r="N1213">
        <v>99.3</v>
      </c>
      <c r="O1213">
        <v>533.73</v>
      </c>
      <c r="P1213">
        <v>0</v>
      </c>
      <c r="Q1213" t="str">
        <f>INDEX('Partner data'!A:DH,MATCH(C1213,'Partner data'!DG:DG,0),83)</f>
        <v>Soggetto privato</v>
      </c>
      <c r="R1213" t="b">
        <f>IF(E1213="staff",IF(INDEX('Partner data'!A:DH,MATCH(C1213,'Partner data'!DG:DG,0),112)="BL1 non presente","FALSO",INDEX('Partner data'!A:DH,MATCH(C1213,'Partner data'!DG:DG,0),112)))</f>
        <v>0</v>
      </c>
      <c r="S1213" t="b">
        <f t="shared" si="36"/>
        <v>1</v>
      </c>
      <c r="T1213" t="b">
        <f t="shared" si="37"/>
        <v>0</v>
      </c>
      <c r="U1213" s="154">
        <f>IFERROR(IF(R1213&lt;&gt;FALSE,IF(S1213=TRUE,INDEX('SummaryNOT_VALIDATED-BL'!$A$1:$F$16,MATCH(R1213,'SummaryNOT_VALIDATED-BL'!$A$1:$A$16,0),6),0),IF(S1213=TRUE,INDEX('SummaryNOT_VALIDATED-BL'!$A$1:$F$16,MATCH(E1213,'SummaryNOT_VALIDATED-BL'!$A$1:$A$16,0),6),0)),0)</f>
        <v>0</v>
      </c>
      <c r="V1213" s="81" cm="1">
        <f t="array" ref="V1213">INDEX('Weight tables'!$A$24:$C$27,MATCH(1,(RendicontiTrasmessiBL__2[[#This Row],[Cut percentage on real costs + USC]]&gt;='Weight tables'!$B$24:$B$27)*(RendicontiTrasmessiBL__2[[#This Row],[Cut percentage on real costs + USC]]&lt;='Weight tables'!$C$24:$C$27),0),1)</f>
        <v>0</v>
      </c>
      <c r="W1213" s="2">
        <f>RendicontiTrasmessiBL__2[[#This Row],[Weight real costs  + USC ]]</f>
        <v>0</v>
      </c>
    </row>
    <row r="1214" spans="1:23" x14ac:dyDescent="0.25">
      <c r="A1214" s="1" t="s">
        <v>57</v>
      </c>
      <c r="B1214" s="1" t="s">
        <v>45</v>
      </c>
      <c r="C1214" s="2">
        <v>311</v>
      </c>
      <c r="D1214" s="2">
        <v>68</v>
      </c>
      <c r="E1214" s="1" t="s">
        <v>234</v>
      </c>
      <c r="G1214">
        <v>0</v>
      </c>
      <c r="H1214">
        <v>0</v>
      </c>
      <c r="I1214">
        <v>0</v>
      </c>
      <c r="J1214">
        <v>0</v>
      </c>
      <c r="K1214">
        <v>0</v>
      </c>
      <c r="L1214">
        <v>0</v>
      </c>
      <c r="M1214">
        <v>0</v>
      </c>
      <c r="N1214">
        <v>0</v>
      </c>
      <c r="O1214">
        <v>0</v>
      </c>
      <c r="P1214">
        <v>0</v>
      </c>
      <c r="Q1214" t="str">
        <f>INDEX('Partner data'!A:DH,MATCH(C1214,'Partner data'!DG:DG,0),83)</f>
        <v>Soggetto privato</v>
      </c>
      <c r="R1214" t="b">
        <f>IF(E1214="staff",IF(INDEX('Partner data'!A:DH,MATCH(C1214,'Partner data'!DG:DG,0),112)="BL1 non presente","FALSO",INDEX('Partner data'!A:DH,MATCH(C1214,'Partner data'!DG:DG,0),112)))</f>
        <v>0</v>
      </c>
      <c r="S1214" t="b">
        <f t="shared" si="36"/>
        <v>0</v>
      </c>
      <c r="T1214" t="b">
        <f t="shared" si="37"/>
        <v>0</v>
      </c>
      <c r="U1214" s="154">
        <f>IFERROR(IF(R1214&lt;&gt;FALSE,IF(S1214=TRUE,INDEX('SummaryNOT_VALIDATED-BL'!$A$1:$F$16,MATCH(R1214,'SummaryNOT_VALIDATED-BL'!$A$1:$A$16,0),6),0),IF(S1214=TRUE,INDEX('SummaryNOT_VALIDATED-BL'!$A$1:$F$16,MATCH(E1214,'SummaryNOT_VALIDATED-BL'!$A$1:$A$16,0),6),0)),0)</f>
        <v>0</v>
      </c>
      <c r="V1214" s="81" cm="1">
        <f t="array" ref="V1214">INDEX('Weight tables'!$A$24:$C$27,MATCH(1,(RendicontiTrasmessiBL__2[[#This Row],[Cut percentage on real costs + USC]]&gt;='Weight tables'!$B$24:$B$27)*(RendicontiTrasmessiBL__2[[#This Row],[Cut percentage on real costs + USC]]&lt;='Weight tables'!$C$24:$C$27),0),1)</f>
        <v>0</v>
      </c>
      <c r="W1214" s="2">
        <f>RendicontiTrasmessiBL__2[[#This Row],[Weight real costs  + USC ]]</f>
        <v>0</v>
      </c>
    </row>
    <row r="1215" spans="1:23" x14ac:dyDescent="0.25">
      <c r="A1215" s="1" t="s">
        <v>57</v>
      </c>
      <c r="B1215" s="1" t="s">
        <v>45</v>
      </c>
      <c r="C1215" s="2">
        <v>311</v>
      </c>
      <c r="D1215" s="2">
        <v>68</v>
      </c>
      <c r="E1215" s="1" t="s">
        <v>236</v>
      </c>
      <c r="G1215">
        <v>0</v>
      </c>
      <c r="H1215">
        <v>0</v>
      </c>
      <c r="I1215">
        <v>0</v>
      </c>
      <c r="J1215">
        <v>0</v>
      </c>
      <c r="K1215">
        <v>0</v>
      </c>
      <c r="L1215">
        <v>0</v>
      </c>
      <c r="M1215">
        <v>0</v>
      </c>
      <c r="N1215">
        <v>0</v>
      </c>
      <c r="O1215">
        <v>0</v>
      </c>
      <c r="P1215">
        <v>0</v>
      </c>
      <c r="Q1215" t="str">
        <f>INDEX('Partner data'!A:DH,MATCH(C1215,'Partner data'!DG:DG,0),83)</f>
        <v>Soggetto privato</v>
      </c>
      <c r="R1215" t="b">
        <f>IF(E1215="staff",IF(INDEX('Partner data'!A:DH,MATCH(C1215,'Partner data'!DG:DG,0),112)="BL1 non presente","FALSO",INDEX('Partner data'!A:DH,MATCH(C1215,'Partner data'!DG:DG,0),112)))</f>
        <v>0</v>
      </c>
      <c r="S1215" t="b">
        <f t="shared" si="36"/>
        <v>0</v>
      </c>
      <c r="T1215" t="b">
        <f t="shared" si="37"/>
        <v>0</v>
      </c>
      <c r="U1215" s="154">
        <f>IFERROR(IF(R1215&lt;&gt;FALSE,IF(S1215=TRUE,INDEX('SummaryNOT_VALIDATED-BL'!$A$1:$F$16,MATCH(R1215,'SummaryNOT_VALIDATED-BL'!$A$1:$A$16,0),6),0),IF(S1215=TRUE,INDEX('SummaryNOT_VALIDATED-BL'!$A$1:$F$16,MATCH(E1215,'SummaryNOT_VALIDATED-BL'!$A$1:$A$16,0),6),0)),0)</f>
        <v>0</v>
      </c>
      <c r="V1215" s="81" cm="1">
        <f t="array" ref="V1215">INDEX('Weight tables'!$A$24:$C$27,MATCH(1,(RendicontiTrasmessiBL__2[[#This Row],[Cut percentage on real costs + USC]]&gt;='Weight tables'!$B$24:$B$27)*(RendicontiTrasmessiBL__2[[#This Row],[Cut percentage on real costs + USC]]&lt;='Weight tables'!$C$24:$C$27),0),1)</f>
        <v>0</v>
      </c>
      <c r="W1215" s="2">
        <f>RendicontiTrasmessiBL__2[[#This Row],[Weight real costs  + USC ]]</f>
        <v>0</v>
      </c>
    </row>
    <row r="1216" spans="1:23" x14ac:dyDescent="0.25">
      <c r="A1216" s="1" t="s">
        <v>57</v>
      </c>
      <c r="B1216" s="1" t="s">
        <v>45</v>
      </c>
      <c r="C1216" s="2">
        <v>311</v>
      </c>
      <c r="D1216" s="2">
        <v>68</v>
      </c>
      <c r="E1216" s="1" t="s">
        <v>237</v>
      </c>
      <c r="G1216">
        <v>0</v>
      </c>
      <c r="H1216">
        <v>0</v>
      </c>
      <c r="I1216">
        <v>0</v>
      </c>
      <c r="J1216">
        <v>0</v>
      </c>
      <c r="K1216">
        <v>0</v>
      </c>
      <c r="L1216">
        <v>0</v>
      </c>
      <c r="M1216">
        <v>0</v>
      </c>
      <c r="N1216">
        <v>0</v>
      </c>
      <c r="O1216">
        <v>0</v>
      </c>
      <c r="P1216">
        <v>0</v>
      </c>
      <c r="Q1216" t="str">
        <f>INDEX('Partner data'!A:DH,MATCH(C1216,'Partner data'!DG:DG,0),83)</f>
        <v>Soggetto privato</v>
      </c>
      <c r="R1216" t="b">
        <f>IF(E1216="staff",IF(INDEX('Partner data'!A:DH,MATCH(C1216,'Partner data'!DG:DG,0),112)="BL1 non presente","FALSO",INDEX('Partner data'!A:DH,MATCH(C1216,'Partner data'!DG:DG,0),112)))</f>
        <v>0</v>
      </c>
      <c r="S1216" t="b">
        <f t="shared" si="36"/>
        <v>0</v>
      </c>
      <c r="T1216" t="b">
        <f t="shared" si="37"/>
        <v>0</v>
      </c>
      <c r="U1216" s="154">
        <f>IFERROR(IF(R1216&lt;&gt;FALSE,IF(S1216=TRUE,INDEX('SummaryNOT_VALIDATED-BL'!$A$1:$F$16,MATCH(R1216,'SummaryNOT_VALIDATED-BL'!$A$1:$A$16,0),6),0),IF(S1216=TRUE,INDEX('SummaryNOT_VALIDATED-BL'!$A$1:$F$16,MATCH(E1216,'SummaryNOT_VALIDATED-BL'!$A$1:$A$16,0),6),0)),0)</f>
        <v>0</v>
      </c>
      <c r="V1216" s="81" cm="1">
        <f t="array" ref="V1216">INDEX('Weight tables'!$A$24:$C$27,MATCH(1,(RendicontiTrasmessiBL__2[[#This Row],[Cut percentage on real costs + USC]]&gt;='Weight tables'!$B$24:$B$27)*(RendicontiTrasmessiBL__2[[#This Row],[Cut percentage on real costs + USC]]&lt;='Weight tables'!$C$24:$C$27),0),1)</f>
        <v>0</v>
      </c>
      <c r="W1216" s="2">
        <f>RendicontiTrasmessiBL__2[[#This Row],[Weight real costs  + USC ]]</f>
        <v>0</v>
      </c>
    </row>
    <row r="1217" spans="1:23" x14ac:dyDescent="0.25">
      <c r="A1217" s="1" t="s">
        <v>57</v>
      </c>
      <c r="B1217" s="1" t="s">
        <v>42</v>
      </c>
      <c r="C1217" s="2">
        <v>316</v>
      </c>
      <c r="D1217" s="2">
        <v>28</v>
      </c>
      <c r="E1217" s="1" t="s">
        <v>228</v>
      </c>
      <c r="G1217">
        <v>141840</v>
      </c>
      <c r="H1217">
        <v>0</v>
      </c>
      <c r="I1217">
        <v>0</v>
      </c>
      <c r="J1217">
        <v>16747.97</v>
      </c>
      <c r="K1217">
        <v>0</v>
      </c>
      <c r="L1217">
        <v>16645.87</v>
      </c>
      <c r="M1217">
        <v>16747.97</v>
      </c>
      <c r="N1217">
        <v>11.81</v>
      </c>
      <c r="O1217">
        <v>125092.03</v>
      </c>
      <c r="P1217">
        <v>0</v>
      </c>
      <c r="Q1217" t="str">
        <f>INDEX('Partner data'!A:DH,MATCH(C1217,'Partner data'!DG:DG,0),83)</f>
        <v xml:space="preserve">Organismo di diritto pubblico </v>
      </c>
      <c r="R1217" t="str">
        <f>IF(E1217="staff",IF(INDEX('Partner data'!A:DH,MATCH(C1217,'Partner data'!DG:DG,0),112)="BL1 non presente","FALSO",INDEX('Partner data'!A:DH,MATCH(C1217,'Partner data'!DG:DG,0),112)))</f>
        <v>COSTO REALE</v>
      </c>
      <c r="S1217" t="b">
        <f t="shared" si="36"/>
        <v>1</v>
      </c>
      <c r="T1217" t="b">
        <f t="shared" si="37"/>
        <v>1</v>
      </c>
      <c r="U1217" s="154">
        <f>IFERROR(IF(R1217&lt;&gt;FALSE,IF(S1217=TRUE,INDEX('SummaryNOT_VALIDATED-BL'!$A$1:$F$16,MATCH(R1217,'SummaryNOT_VALIDATED-BL'!$A$1:$A$16,0),6),0),IF(S1217=TRUE,INDEX('SummaryNOT_VALIDATED-BL'!$A$1:$F$16,MATCH(E1217,'SummaryNOT_VALIDATED-BL'!$A$1:$A$16,0),6),0)),0)</f>
        <v>9.1604133276901048E-2</v>
      </c>
      <c r="V1217" s="81" cm="1">
        <f t="array" ref="V1217">INDEX('Weight tables'!$A$24:$C$27,MATCH(1,(RendicontiTrasmessiBL__2[[#This Row],[Cut percentage on real costs + USC]]&gt;='Weight tables'!$B$24:$B$27)*(RendicontiTrasmessiBL__2[[#This Row],[Cut percentage on real costs + USC]]&lt;='Weight tables'!$C$24:$C$27),0),1)</f>
        <v>4</v>
      </c>
      <c r="W1217" s="2">
        <f>RendicontiTrasmessiBL__2[[#This Row],[Weight real costs  + USC ]]</f>
        <v>4</v>
      </c>
    </row>
    <row r="1218" spans="1:23" x14ac:dyDescent="0.25">
      <c r="A1218" s="1" t="s">
        <v>57</v>
      </c>
      <c r="B1218" s="1" t="s">
        <v>42</v>
      </c>
      <c r="C1218" s="2">
        <v>316</v>
      </c>
      <c r="D1218" s="2">
        <v>28</v>
      </c>
      <c r="E1218" s="1" t="s">
        <v>229</v>
      </c>
      <c r="F1218">
        <v>15</v>
      </c>
      <c r="G1218">
        <v>21276</v>
      </c>
      <c r="H1218">
        <v>0</v>
      </c>
      <c r="I1218">
        <v>0</v>
      </c>
      <c r="J1218">
        <v>2512.19</v>
      </c>
      <c r="K1218">
        <v>0</v>
      </c>
      <c r="L1218">
        <v>2496.88</v>
      </c>
      <c r="M1218">
        <v>2512.19</v>
      </c>
      <c r="N1218">
        <v>11.81</v>
      </c>
      <c r="O1218">
        <v>18763.810000000001</v>
      </c>
      <c r="P1218">
        <v>0</v>
      </c>
      <c r="Q1218" t="str">
        <f>INDEX('Partner data'!A:DH,MATCH(C1218,'Partner data'!DG:DG,0),83)</f>
        <v xml:space="preserve">Organismo di diritto pubblico </v>
      </c>
      <c r="R1218" t="b">
        <f>IF(E1218="staff",IF(INDEX('Partner data'!A:DH,MATCH(C1218,'Partner data'!DG:DG,0),112)="BL1 non presente","FALSO",INDEX('Partner data'!A:DH,MATCH(C1218,'Partner data'!DG:DG,0),112)))</f>
        <v>0</v>
      </c>
      <c r="S1218" t="b">
        <f t="shared" ref="S1218:S1281" si="38">IF(J1218&lt;&gt;0,TRUE,FALSE)</f>
        <v>1</v>
      </c>
      <c r="T1218" t="b">
        <f t="shared" ref="T1218:T1281" si="39">OR(Q1218="Soggetto pubblico",Q1218="Organismo di diritto pubblico ")</f>
        <v>1</v>
      </c>
      <c r="U1218" s="154">
        <f>IFERROR(IF(R1218&lt;&gt;FALSE,IF(S1218=TRUE,INDEX('SummaryNOT_VALIDATED-BL'!$A$1:$F$16,MATCH(R1218,'SummaryNOT_VALIDATED-BL'!$A$1:$A$16,0),6),0),IF(S1218=TRUE,INDEX('SummaryNOT_VALIDATED-BL'!$A$1:$F$16,MATCH(E1218,'SummaryNOT_VALIDATED-BL'!$A$1:$A$16,0),6),0)),0)</f>
        <v>6.6460469504890221E-2</v>
      </c>
      <c r="V1218" s="81" cm="1">
        <f t="array" ref="V1218">INDEX('Weight tables'!$A$24:$C$27,MATCH(1,(RendicontiTrasmessiBL__2[[#This Row],[Cut percentage on real costs + USC]]&gt;='Weight tables'!$B$24:$B$27)*(RendicontiTrasmessiBL__2[[#This Row],[Cut percentage on real costs + USC]]&lt;='Weight tables'!$C$24:$C$27),0),1)</f>
        <v>4</v>
      </c>
      <c r="W1218" s="2">
        <f>RendicontiTrasmessiBL__2[[#This Row],[Weight real costs  + USC ]]</f>
        <v>4</v>
      </c>
    </row>
    <row r="1219" spans="1:23" x14ac:dyDescent="0.25">
      <c r="A1219" s="1" t="s">
        <v>57</v>
      </c>
      <c r="B1219" s="1" t="s">
        <v>42</v>
      </c>
      <c r="C1219" s="2">
        <v>316</v>
      </c>
      <c r="D1219" s="2">
        <v>28</v>
      </c>
      <c r="E1219" s="1" t="s">
        <v>230</v>
      </c>
      <c r="F1219">
        <v>4</v>
      </c>
      <c r="G1219">
        <v>5673.6</v>
      </c>
      <c r="H1219">
        <v>0</v>
      </c>
      <c r="I1219">
        <v>0</v>
      </c>
      <c r="J1219">
        <v>669.91</v>
      </c>
      <c r="K1219">
        <v>0</v>
      </c>
      <c r="L1219">
        <v>665.83</v>
      </c>
      <c r="M1219">
        <v>669.91</v>
      </c>
      <c r="N1219">
        <v>11.81</v>
      </c>
      <c r="O1219">
        <v>5003.6899999999996</v>
      </c>
      <c r="P1219">
        <v>0</v>
      </c>
      <c r="Q1219" t="str">
        <f>INDEX('Partner data'!A:DH,MATCH(C1219,'Partner data'!DG:DG,0),83)</f>
        <v xml:space="preserve">Organismo di diritto pubblico </v>
      </c>
      <c r="R1219" t="b">
        <f>IF(E1219="staff",IF(INDEX('Partner data'!A:DH,MATCH(C1219,'Partner data'!DG:DG,0),112)="BL1 non presente","FALSO",INDEX('Partner data'!A:DH,MATCH(C1219,'Partner data'!DG:DG,0),112)))</f>
        <v>0</v>
      </c>
      <c r="S1219" t="b">
        <f t="shared" si="38"/>
        <v>1</v>
      </c>
      <c r="T1219" t="b">
        <f t="shared" si="39"/>
        <v>1</v>
      </c>
      <c r="U1219" s="154">
        <f>IFERROR(IF(R1219&lt;&gt;FALSE,IF(S1219=TRUE,INDEX('SummaryNOT_VALIDATED-BL'!$A$1:$F$16,MATCH(R1219,'SummaryNOT_VALIDATED-BL'!$A$1:$A$16,0),6),0),IF(S1219=TRUE,INDEX('SummaryNOT_VALIDATED-BL'!$A$1:$F$16,MATCH(E1219,'SummaryNOT_VALIDATED-BL'!$A$1:$A$16,0),6),0)),0)</f>
        <v>6.3112622236488891E-2</v>
      </c>
      <c r="V1219" s="81" cm="1">
        <f t="array" ref="V1219">INDEX('Weight tables'!$A$24:$C$27,MATCH(1,(RendicontiTrasmessiBL__2[[#This Row],[Cut percentage on real costs + USC]]&gt;='Weight tables'!$B$24:$B$27)*(RendicontiTrasmessiBL__2[[#This Row],[Cut percentage on real costs + USC]]&lt;='Weight tables'!$C$24:$C$27),0),1)</f>
        <v>4</v>
      </c>
      <c r="W1219" s="2">
        <f>RendicontiTrasmessiBL__2[[#This Row],[Weight real costs  + USC ]]</f>
        <v>4</v>
      </c>
    </row>
    <row r="1220" spans="1:23" x14ac:dyDescent="0.25">
      <c r="A1220" s="1" t="s">
        <v>57</v>
      </c>
      <c r="B1220" s="1" t="s">
        <v>42</v>
      </c>
      <c r="C1220" s="2">
        <v>316</v>
      </c>
      <c r="D1220" s="2">
        <v>28</v>
      </c>
      <c r="E1220" s="1" t="s">
        <v>231</v>
      </c>
      <c r="G1220">
        <v>20710.400000000001</v>
      </c>
      <c r="H1220">
        <v>0</v>
      </c>
      <c r="I1220">
        <v>0</v>
      </c>
      <c r="J1220">
        <v>0</v>
      </c>
      <c r="K1220">
        <v>0</v>
      </c>
      <c r="L1220">
        <v>0</v>
      </c>
      <c r="M1220">
        <v>0</v>
      </c>
      <c r="N1220">
        <v>0</v>
      </c>
      <c r="O1220">
        <v>20710.400000000001</v>
      </c>
      <c r="P1220">
        <v>0</v>
      </c>
      <c r="Q1220" t="str">
        <f>INDEX('Partner data'!A:DH,MATCH(C1220,'Partner data'!DG:DG,0),83)</f>
        <v xml:space="preserve">Organismo di diritto pubblico </v>
      </c>
      <c r="R1220" t="b">
        <f>IF(E1220="staff",IF(INDEX('Partner data'!A:DH,MATCH(C1220,'Partner data'!DG:DG,0),112)="BL1 non presente","FALSO",INDEX('Partner data'!A:DH,MATCH(C1220,'Partner data'!DG:DG,0),112)))</f>
        <v>0</v>
      </c>
      <c r="S1220" t="b">
        <f t="shared" si="38"/>
        <v>0</v>
      </c>
      <c r="T1220" t="b">
        <f t="shared" si="39"/>
        <v>1</v>
      </c>
      <c r="U1220" s="154">
        <f>IFERROR(IF(R1220&lt;&gt;FALSE,IF(S1220=TRUE,INDEX('SummaryNOT_VALIDATED-BL'!$A$1:$F$16,MATCH(R1220,'SummaryNOT_VALIDATED-BL'!$A$1:$A$16,0),6),0),IF(S1220=TRUE,INDEX('SummaryNOT_VALIDATED-BL'!$A$1:$F$16,MATCH(E1220,'SummaryNOT_VALIDATED-BL'!$A$1:$A$16,0),6),0)),0)</f>
        <v>0</v>
      </c>
      <c r="V1220" s="81" cm="1">
        <f t="array" ref="V1220">INDEX('Weight tables'!$A$24:$C$27,MATCH(1,(RendicontiTrasmessiBL__2[[#This Row],[Cut percentage on real costs + USC]]&gt;='Weight tables'!$B$24:$B$27)*(RendicontiTrasmessiBL__2[[#This Row],[Cut percentage on real costs + USC]]&lt;='Weight tables'!$C$24:$C$27),0),1)</f>
        <v>0</v>
      </c>
      <c r="W1220" s="2">
        <f>RendicontiTrasmessiBL__2[[#This Row],[Weight real costs  + USC ]]</f>
        <v>0</v>
      </c>
    </row>
    <row r="1221" spans="1:23" x14ac:dyDescent="0.25">
      <c r="A1221" s="1" t="s">
        <v>57</v>
      </c>
      <c r="B1221" s="1" t="s">
        <v>42</v>
      </c>
      <c r="C1221" s="2">
        <v>316</v>
      </c>
      <c r="D1221" s="2">
        <v>28</v>
      </c>
      <c r="E1221" s="1" t="s">
        <v>232</v>
      </c>
      <c r="G1221">
        <v>123000</v>
      </c>
      <c r="H1221">
        <v>0</v>
      </c>
      <c r="I1221">
        <v>0</v>
      </c>
      <c r="J1221">
        <v>112850</v>
      </c>
      <c r="K1221">
        <v>0</v>
      </c>
      <c r="L1221">
        <v>112850</v>
      </c>
      <c r="M1221">
        <v>112850</v>
      </c>
      <c r="N1221">
        <v>91.75</v>
      </c>
      <c r="O1221">
        <v>10150</v>
      </c>
      <c r="P1221">
        <v>0</v>
      </c>
      <c r="Q1221" t="str">
        <f>INDEX('Partner data'!A:DH,MATCH(C1221,'Partner data'!DG:DG,0),83)</f>
        <v xml:space="preserve">Organismo di diritto pubblico </v>
      </c>
      <c r="R1221" t="b">
        <f>IF(E1221="staff",IF(INDEX('Partner data'!A:DH,MATCH(C1221,'Partner data'!DG:DG,0),112)="BL1 non presente","FALSO",INDEX('Partner data'!A:DH,MATCH(C1221,'Partner data'!DG:DG,0),112)))</f>
        <v>0</v>
      </c>
      <c r="S1221" t="b">
        <f t="shared" si="38"/>
        <v>1</v>
      </c>
      <c r="T1221" t="b">
        <f t="shared" si="39"/>
        <v>1</v>
      </c>
      <c r="U1221" s="154">
        <f>IFERROR(IF(R1221&lt;&gt;FALSE,IF(S1221=TRUE,INDEX('SummaryNOT_VALIDATED-BL'!$A$1:$F$16,MATCH(R1221,'SummaryNOT_VALIDATED-BL'!$A$1:$A$16,0),6),0),IF(S1221=TRUE,INDEX('SummaryNOT_VALIDATED-BL'!$A$1:$F$16,MATCH(E1221,'SummaryNOT_VALIDATED-BL'!$A$1:$A$16,0),6),0)),0)</f>
        <v>1.102169095281242E-2</v>
      </c>
      <c r="V1221" s="81" cm="1">
        <f t="array" ref="V1221">INDEX('Weight tables'!$A$24:$C$27,MATCH(1,(RendicontiTrasmessiBL__2[[#This Row],[Cut percentage on real costs + USC]]&gt;='Weight tables'!$B$24:$B$27)*(RendicontiTrasmessiBL__2[[#This Row],[Cut percentage on real costs + USC]]&lt;='Weight tables'!$C$24:$C$27),0),1)</f>
        <v>0</v>
      </c>
      <c r="W1221" s="2">
        <f>RendicontiTrasmessiBL__2[[#This Row],[Weight real costs  + USC ]]</f>
        <v>0</v>
      </c>
    </row>
    <row r="1222" spans="1:23" x14ac:dyDescent="0.25">
      <c r="A1222" s="1" t="s">
        <v>57</v>
      </c>
      <c r="B1222" s="1" t="s">
        <v>42</v>
      </c>
      <c r="C1222" s="2">
        <v>316</v>
      </c>
      <c r="D1222" s="2">
        <v>28</v>
      </c>
      <c r="E1222" s="1" t="s">
        <v>233</v>
      </c>
      <c r="G1222">
        <v>0</v>
      </c>
      <c r="H1222">
        <v>0</v>
      </c>
      <c r="I1222">
        <v>0</v>
      </c>
      <c r="J1222">
        <v>0</v>
      </c>
      <c r="K1222">
        <v>0</v>
      </c>
      <c r="L1222">
        <v>0</v>
      </c>
      <c r="M1222">
        <v>0</v>
      </c>
      <c r="N1222">
        <v>0</v>
      </c>
      <c r="O1222">
        <v>0</v>
      </c>
      <c r="P1222">
        <v>0</v>
      </c>
      <c r="Q1222" t="str">
        <f>INDEX('Partner data'!A:DH,MATCH(C1222,'Partner data'!DG:DG,0),83)</f>
        <v xml:space="preserve">Organismo di diritto pubblico </v>
      </c>
      <c r="R1222" t="b">
        <f>IF(E1222="staff",IF(INDEX('Partner data'!A:DH,MATCH(C1222,'Partner data'!DG:DG,0),112)="BL1 non presente","FALSO",INDEX('Partner data'!A:DH,MATCH(C1222,'Partner data'!DG:DG,0),112)))</f>
        <v>0</v>
      </c>
      <c r="S1222" t="b">
        <f t="shared" si="38"/>
        <v>0</v>
      </c>
      <c r="T1222" t="b">
        <f t="shared" si="39"/>
        <v>1</v>
      </c>
      <c r="U1222" s="154">
        <f>IFERROR(IF(R1222&lt;&gt;FALSE,IF(S1222=TRUE,INDEX('SummaryNOT_VALIDATED-BL'!$A$1:$F$16,MATCH(R1222,'SummaryNOT_VALIDATED-BL'!$A$1:$A$16,0),6),0),IF(S1222=TRUE,INDEX('SummaryNOT_VALIDATED-BL'!$A$1:$F$16,MATCH(E1222,'SummaryNOT_VALIDATED-BL'!$A$1:$A$16,0),6),0)),0)</f>
        <v>0</v>
      </c>
      <c r="V1222" s="81" cm="1">
        <f t="array" ref="V1222">INDEX('Weight tables'!$A$24:$C$27,MATCH(1,(RendicontiTrasmessiBL__2[[#This Row],[Cut percentage on real costs + USC]]&gt;='Weight tables'!$B$24:$B$27)*(RendicontiTrasmessiBL__2[[#This Row],[Cut percentage on real costs + USC]]&lt;='Weight tables'!$C$24:$C$27),0),1)</f>
        <v>0</v>
      </c>
      <c r="W1222" s="2">
        <f>RendicontiTrasmessiBL__2[[#This Row],[Weight real costs  + USC ]]</f>
        <v>0</v>
      </c>
    </row>
    <row r="1223" spans="1:23" x14ac:dyDescent="0.25">
      <c r="A1223" s="1" t="s">
        <v>57</v>
      </c>
      <c r="B1223" s="1" t="s">
        <v>42</v>
      </c>
      <c r="C1223" s="2">
        <v>316</v>
      </c>
      <c r="D1223" s="2">
        <v>28</v>
      </c>
      <c r="E1223" s="1" t="s">
        <v>234</v>
      </c>
      <c r="G1223">
        <v>0</v>
      </c>
      <c r="H1223">
        <v>0</v>
      </c>
      <c r="I1223">
        <v>0</v>
      </c>
      <c r="J1223">
        <v>0</v>
      </c>
      <c r="K1223">
        <v>0</v>
      </c>
      <c r="L1223">
        <v>0</v>
      </c>
      <c r="M1223">
        <v>0</v>
      </c>
      <c r="N1223">
        <v>0</v>
      </c>
      <c r="O1223">
        <v>0</v>
      </c>
      <c r="P1223">
        <v>0</v>
      </c>
      <c r="Q1223" t="str">
        <f>INDEX('Partner data'!A:DH,MATCH(C1223,'Partner data'!DG:DG,0),83)</f>
        <v xml:space="preserve">Organismo di diritto pubblico </v>
      </c>
      <c r="R1223" t="b">
        <f>IF(E1223="staff",IF(INDEX('Partner data'!A:DH,MATCH(C1223,'Partner data'!DG:DG,0),112)="BL1 non presente","FALSO",INDEX('Partner data'!A:DH,MATCH(C1223,'Partner data'!DG:DG,0),112)))</f>
        <v>0</v>
      </c>
      <c r="S1223" t="b">
        <f t="shared" si="38"/>
        <v>0</v>
      </c>
      <c r="T1223" t="b">
        <f t="shared" si="39"/>
        <v>1</v>
      </c>
      <c r="U1223" s="154">
        <f>IFERROR(IF(R1223&lt;&gt;FALSE,IF(S1223=TRUE,INDEX('SummaryNOT_VALIDATED-BL'!$A$1:$F$16,MATCH(R1223,'SummaryNOT_VALIDATED-BL'!$A$1:$A$16,0),6),0),IF(S1223=TRUE,INDEX('SummaryNOT_VALIDATED-BL'!$A$1:$F$16,MATCH(E1223,'SummaryNOT_VALIDATED-BL'!$A$1:$A$16,0),6),0)),0)</f>
        <v>0</v>
      </c>
      <c r="V1223" s="81" cm="1">
        <f t="array" ref="V1223">INDEX('Weight tables'!$A$24:$C$27,MATCH(1,(RendicontiTrasmessiBL__2[[#This Row],[Cut percentage on real costs + USC]]&gt;='Weight tables'!$B$24:$B$27)*(RendicontiTrasmessiBL__2[[#This Row],[Cut percentage on real costs + USC]]&lt;='Weight tables'!$C$24:$C$27),0),1)</f>
        <v>0</v>
      </c>
      <c r="W1223" s="2">
        <f>RendicontiTrasmessiBL__2[[#This Row],[Weight real costs  + USC ]]</f>
        <v>0</v>
      </c>
    </row>
    <row r="1224" spans="1:23" x14ac:dyDescent="0.25">
      <c r="A1224" s="1" t="s">
        <v>57</v>
      </c>
      <c r="B1224" s="1" t="s">
        <v>42</v>
      </c>
      <c r="C1224" s="2">
        <v>316</v>
      </c>
      <c r="D1224" s="2">
        <v>28</v>
      </c>
      <c r="E1224" s="1" t="s">
        <v>236</v>
      </c>
      <c r="G1224">
        <v>0</v>
      </c>
      <c r="H1224">
        <v>0</v>
      </c>
      <c r="I1224">
        <v>0</v>
      </c>
      <c r="J1224">
        <v>0</v>
      </c>
      <c r="K1224">
        <v>0</v>
      </c>
      <c r="L1224">
        <v>0</v>
      </c>
      <c r="M1224">
        <v>0</v>
      </c>
      <c r="N1224">
        <v>0</v>
      </c>
      <c r="O1224">
        <v>0</v>
      </c>
      <c r="P1224">
        <v>0</v>
      </c>
      <c r="Q1224" t="str">
        <f>INDEX('Partner data'!A:DH,MATCH(C1224,'Partner data'!DG:DG,0),83)</f>
        <v xml:space="preserve">Organismo di diritto pubblico </v>
      </c>
      <c r="R1224" t="b">
        <f>IF(E1224="staff",IF(INDEX('Partner data'!A:DH,MATCH(C1224,'Partner data'!DG:DG,0),112)="BL1 non presente","FALSO",INDEX('Partner data'!A:DH,MATCH(C1224,'Partner data'!DG:DG,0),112)))</f>
        <v>0</v>
      </c>
      <c r="S1224" t="b">
        <f t="shared" si="38"/>
        <v>0</v>
      </c>
      <c r="T1224" t="b">
        <f t="shared" si="39"/>
        <v>1</v>
      </c>
      <c r="U1224" s="154">
        <f>IFERROR(IF(R1224&lt;&gt;FALSE,IF(S1224=TRUE,INDEX('SummaryNOT_VALIDATED-BL'!$A$1:$F$16,MATCH(R1224,'SummaryNOT_VALIDATED-BL'!$A$1:$A$16,0),6),0),IF(S1224=TRUE,INDEX('SummaryNOT_VALIDATED-BL'!$A$1:$F$16,MATCH(E1224,'SummaryNOT_VALIDATED-BL'!$A$1:$A$16,0),6),0)),0)</f>
        <v>0</v>
      </c>
      <c r="V1224" s="81" cm="1">
        <f t="array" ref="V1224">INDEX('Weight tables'!$A$24:$C$27,MATCH(1,(RendicontiTrasmessiBL__2[[#This Row],[Cut percentage on real costs + USC]]&gt;='Weight tables'!$B$24:$B$27)*(RendicontiTrasmessiBL__2[[#This Row],[Cut percentage on real costs + USC]]&lt;='Weight tables'!$C$24:$C$27),0),1)</f>
        <v>0</v>
      </c>
      <c r="W1224" s="2">
        <f>RendicontiTrasmessiBL__2[[#This Row],[Weight real costs  + USC ]]</f>
        <v>0</v>
      </c>
    </row>
    <row r="1225" spans="1:23" x14ac:dyDescent="0.25">
      <c r="A1225" s="1" t="s">
        <v>57</v>
      </c>
      <c r="B1225" s="1" t="s">
        <v>42</v>
      </c>
      <c r="C1225" s="2">
        <v>316</v>
      </c>
      <c r="D1225" s="2">
        <v>28</v>
      </c>
      <c r="E1225" s="1" t="s">
        <v>237</v>
      </c>
      <c r="G1225">
        <v>0</v>
      </c>
      <c r="H1225">
        <v>0</v>
      </c>
      <c r="I1225">
        <v>0</v>
      </c>
      <c r="J1225">
        <v>0</v>
      </c>
      <c r="K1225">
        <v>0</v>
      </c>
      <c r="L1225">
        <v>0</v>
      </c>
      <c r="M1225">
        <v>0</v>
      </c>
      <c r="N1225">
        <v>0</v>
      </c>
      <c r="O1225">
        <v>0</v>
      </c>
      <c r="P1225">
        <v>0</v>
      </c>
      <c r="Q1225" t="str">
        <f>INDEX('Partner data'!A:DH,MATCH(C1225,'Partner data'!DG:DG,0),83)</f>
        <v xml:space="preserve">Organismo di diritto pubblico </v>
      </c>
      <c r="R1225" t="b">
        <f>IF(E1225="staff",IF(INDEX('Partner data'!A:DH,MATCH(C1225,'Partner data'!DG:DG,0),112)="BL1 non presente","FALSO",INDEX('Partner data'!A:DH,MATCH(C1225,'Partner data'!DG:DG,0),112)))</f>
        <v>0</v>
      </c>
      <c r="S1225" t="b">
        <f t="shared" si="38"/>
        <v>0</v>
      </c>
      <c r="T1225" t="b">
        <f t="shared" si="39"/>
        <v>1</v>
      </c>
      <c r="U1225" s="154">
        <f>IFERROR(IF(R1225&lt;&gt;FALSE,IF(S1225=TRUE,INDEX('SummaryNOT_VALIDATED-BL'!$A$1:$F$16,MATCH(R1225,'SummaryNOT_VALIDATED-BL'!$A$1:$A$16,0),6),0),IF(S1225=TRUE,INDEX('SummaryNOT_VALIDATED-BL'!$A$1:$F$16,MATCH(E1225,'SummaryNOT_VALIDATED-BL'!$A$1:$A$16,0),6),0)),0)</f>
        <v>0</v>
      </c>
      <c r="V1225" s="81" cm="1">
        <f t="array" ref="V1225">INDEX('Weight tables'!$A$24:$C$27,MATCH(1,(RendicontiTrasmessiBL__2[[#This Row],[Cut percentage on real costs + USC]]&gt;='Weight tables'!$B$24:$B$27)*(RendicontiTrasmessiBL__2[[#This Row],[Cut percentage on real costs + USC]]&lt;='Weight tables'!$C$24:$C$27),0),1)</f>
        <v>0</v>
      </c>
      <c r="W1225" s="2">
        <f>RendicontiTrasmessiBL__2[[#This Row],[Weight real costs  + USC ]]</f>
        <v>0</v>
      </c>
    </row>
    <row r="1226" spans="1:23" x14ac:dyDescent="0.25">
      <c r="A1226" s="1" t="s">
        <v>57</v>
      </c>
      <c r="B1226" s="1" t="s">
        <v>42</v>
      </c>
      <c r="C1226" s="2">
        <v>316</v>
      </c>
      <c r="D1226" s="2">
        <v>283</v>
      </c>
      <c r="E1226" s="1" t="s">
        <v>228</v>
      </c>
      <c r="G1226">
        <v>141840</v>
      </c>
      <c r="H1226">
        <v>16747.97</v>
      </c>
      <c r="I1226">
        <v>0</v>
      </c>
      <c r="J1226">
        <v>19087.8</v>
      </c>
      <c r="K1226">
        <v>0</v>
      </c>
      <c r="L1226">
        <v>18951.93</v>
      </c>
      <c r="M1226">
        <v>35835.769999999997</v>
      </c>
      <c r="N1226">
        <v>25.26</v>
      </c>
      <c r="O1226">
        <v>106004.23</v>
      </c>
      <c r="P1226">
        <v>16645.87</v>
      </c>
      <c r="Q1226" t="str">
        <f>INDEX('Partner data'!A:DH,MATCH(C1226,'Partner data'!DG:DG,0),83)</f>
        <v xml:space="preserve">Organismo di diritto pubblico </v>
      </c>
      <c r="R1226" t="str">
        <f>IF(E1226="staff",IF(INDEX('Partner data'!A:DH,MATCH(C1226,'Partner data'!DG:DG,0),112)="BL1 non presente","FALSO",INDEX('Partner data'!A:DH,MATCH(C1226,'Partner data'!DG:DG,0),112)))</f>
        <v>COSTO REALE</v>
      </c>
      <c r="S1226" t="b">
        <f t="shared" si="38"/>
        <v>1</v>
      </c>
      <c r="T1226" t="b">
        <f t="shared" si="39"/>
        <v>1</v>
      </c>
      <c r="U1226" s="154">
        <f>IFERROR(IF(R1226&lt;&gt;FALSE,IF(S1226=TRUE,INDEX('SummaryNOT_VALIDATED-BL'!$A$1:$F$16,MATCH(R1226,'SummaryNOT_VALIDATED-BL'!$A$1:$A$16,0),6),0),IF(S1226=TRUE,INDEX('SummaryNOT_VALIDATED-BL'!$A$1:$F$16,MATCH(E1226,'SummaryNOT_VALIDATED-BL'!$A$1:$A$16,0),6),0)),0)</f>
        <v>9.1604133276901048E-2</v>
      </c>
      <c r="V1226" s="81" cm="1">
        <f t="array" ref="V1226">INDEX('Weight tables'!$A$24:$C$27,MATCH(1,(RendicontiTrasmessiBL__2[[#This Row],[Cut percentage on real costs + USC]]&gt;='Weight tables'!$B$24:$B$27)*(RendicontiTrasmessiBL__2[[#This Row],[Cut percentage on real costs + USC]]&lt;='Weight tables'!$C$24:$C$27),0),1)</f>
        <v>4</v>
      </c>
      <c r="W1226" s="2">
        <f>RendicontiTrasmessiBL__2[[#This Row],[Weight real costs  + USC ]]</f>
        <v>4</v>
      </c>
    </row>
    <row r="1227" spans="1:23" x14ac:dyDescent="0.25">
      <c r="A1227" s="1" t="s">
        <v>57</v>
      </c>
      <c r="B1227" s="1" t="s">
        <v>42</v>
      </c>
      <c r="C1227" s="2">
        <v>316</v>
      </c>
      <c r="D1227" s="2">
        <v>283</v>
      </c>
      <c r="E1227" s="1" t="s">
        <v>229</v>
      </c>
      <c r="F1227">
        <v>15</v>
      </c>
      <c r="G1227">
        <v>21276</v>
      </c>
      <c r="H1227">
        <v>2512.19</v>
      </c>
      <c r="I1227">
        <v>0</v>
      </c>
      <c r="J1227">
        <v>2863.17</v>
      </c>
      <c r="K1227">
        <v>0</v>
      </c>
      <c r="L1227">
        <v>2842.78</v>
      </c>
      <c r="M1227">
        <v>5375.36</v>
      </c>
      <c r="N1227">
        <v>25.26</v>
      </c>
      <c r="O1227">
        <v>15900.64</v>
      </c>
      <c r="P1227">
        <v>2496.88</v>
      </c>
      <c r="Q1227" t="str">
        <f>INDEX('Partner data'!A:DH,MATCH(C1227,'Partner data'!DG:DG,0),83)</f>
        <v xml:space="preserve">Organismo di diritto pubblico </v>
      </c>
      <c r="R1227" t="b">
        <f>IF(E1227="staff",IF(INDEX('Partner data'!A:DH,MATCH(C1227,'Partner data'!DG:DG,0),112)="BL1 non presente","FALSO",INDEX('Partner data'!A:DH,MATCH(C1227,'Partner data'!DG:DG,0),112)))</f>
        <v>0</v>
      </c>
      <c r="S1227" t="b">
        <f t="shared" si="38"/>
        <v>1</v>
      </c>
      <c r="T1227" t="b">
        <f t="shared" si="39"/>
        <v>1</v>
      </c>
      <c r="U1227" s="154">
        <f>IFERROR(IF(R1227&lt;&gt;FALSE,IF(S1227=TRUE,INDEX('SummaryNOT_VALIDATED-BL'!$A$1:$F$16,MATCH(R1227,'SummaryNOT_VALIDATED-BL'!$A$1:$A$16,0),6),0),IF(S1227=TRUE,INDEX('SummaryNOT_VALIDATED-BL'!$A$1:$F$16,MATCH(E1227,'SummaryNOT_VALIDATED-BL'!$A$1:$A$16,0),6),0)),0)</f>
        <v>6.6460469504890221E-2</v>
      </c>
      <c r="V1227" s="81" cm="1">
        <f t="array" ref="V1227">INDEX('Weight tables'!$A$24:$C$27,MATCH(1,(RendicontiTrasmessiBL__2[[#This Row],[Cut percentage on real costs + USC]]&gt;='Weight tables'!$B$24:$B$27)*(RendicontiTrasmessiBL__2[[#This Row],[Cut percentage on real costs + USC]]&lt;='Weight tables'!$C$24:$C$27),0),1)</f>
        <v>4</v>
      </c>
      <c r="W1227" s="2">
        <f>RendicontiTrasmessiBL__2[[#This Row],[Weight real costs  + USC ]]</f>
        <v>4</v>
      </c>
    </row>
    <row r="1228" spans="1:23" x14ac:dyDescent="0.25">
      <c r="A1228" s="1" t="s">
        <v>57</v>
      </c>
      <c r="B1228" s="1" t="s">
        <v>42</v>
      </c>
      <c r="C1228" s="2">
        <v>316</v>
      </c>
      <c r="D1228" s="2">
        <v>283</v>
      </c>
      <c r="E1228" s="1" t="s">
        <v>230</v>
      </c>
      <c r="F1228">
        <v>4</v>
      </c>
      <c r="G1228">
        <v>5673.6</v>
      </c>
      <c r="H1228">
        <v>669.91</v>
      </c>
      <c r="I1228">
        <v>0</v>
      </c>
      <c r="J1228">
        <v>763.51</v>
      </c>
      <c r="K1228">
        <v>0</v>
      </c>
      <c r="L1228">
        <v>758.07</v>
      </c>
      <c r="M1228">
        <v>1433.42</v>
      </c>
      <c r="N1228">
        <v>25.26</v>
      </c>
      <c r="O1228">
        <v>4240.18</v>
      </c>
      <c r="P1228">
        <v>665.83</v>
      </c>
      <c r="Q1228" t="str">
        <f>INDEX('Partner data'!A:DH,MATCH(C1228,'Partner data'!DG:DG,0),83)</f>
        <v xml:space="preserve">Organismo di diritto pubblico </v>
      </c>
      <c r="R1228" t="b">
        <f>IF(E1228="staff",IF(INDEX('Partner data'!A:DH,MATCH(C1228,'Partner data'!DG:DG,0),112)="BL1 non presente","FALSO",INDEX('Partner data'!A:DH,MATCH(C1228,'Partner data'!DG:DG,0),112)))</f>
        <v>0</v>
      </c>
      <c r="S1228" t="b">
        <f t="shared" si="38"/>
        <v>1</v>
      </c>
      <c r="T1228" t="b">
        <f t="shared" si="39"/>
        <v>1</v>
      </c>
      <c r="U1228" s="154">
        <f>IFERROR(IF(R1228&lt;&gt;FALSE,IF(S1228=TRUE,INDEX('SummaryNOT_VALIDATED-BL'!$A$1:$F$16,MATCH(R1228,'SummaryNOT_VALIDATED-BL'!$A$1:$A$16,0),6),0),IF(S1228=TRUE,INDEX('SummaryNOT_VALIDATED-BL'!$A$1:$F$16,MATCH(E1228,'SummaryNOT_VALIDATED-BL'!$A$1:$A$16,0),6),0)),0)</f>
        <v>6.3112622236488891E-2</v>
      </c>
      <c r="V1228" s="81" cm="1">
        <f t="array" ref="V1228">INDEX('Weight tables'!$A$24:$C$27,MATCH(1,(RendicontiTrasmessiBL__2[[#This Row],[Cut percentage on real costs + USC]]&gt;='Weight tables'!$B$24:$B$27)*(RendicontiTrasmessiBL__2[[#This Row],[Cut percentage on real costs + USC]]&lt;='Weight tables'!$C$24:$C$27),0),1)</f>
        <v>4</v>
      </c>
      <c r="W1228" s="2">
        <f>RendicontiTrasmessiBL__2[[#This Row],[Weight real costs  + USC ]]</f>
        <v>4</v>
      </c>
    </row>
    <row r="1229" spans="1:23" x14ac:dyDescent="0.25">
      <c r="A1229" s="1" t="s">
        <v>57</v>
      </c>
      <c r="B1229" s="1" t="s">
        <v>42</v>
      </c>
      <c r="C1229" s="2">
        <v>316</v>
      </c>
      <c r="D1229" s="2">
        <v>283</v>
      </c>
      <c r="E1229" s="1" t="s">
        <v>231</v>
      </c>
      <c r="G1229">
        <v>20710.400000000001</v>
      </c>
      <c r="H1229">
        <v>0</v>
      </c>
      <c r="I1229">
        <v>0</v>
      </c>
      <c r="J1229">
        <v>0</v>
      </c>
      <c r="K1229">
        <v>0</v>
      </c>
      <c r="L1229">
        <v>0</v>
      </c>
      <c r="M1229">
        <v>0</v>
      </c>
      <c r="N1229">
        <v>0</v>
      </c>
      <c r="O1229">
        <v>20710.400000000001</v>
      </c>
      <c r="P1229">
        <v>0</v>
      </c>
      <c r="Q1229" t="str">
        <f>INDEX('Partner data'!A:DH,MATCH(C1229,'Partner data'!DG:DG,0),83)</f>
        <v xml:space="preserve">Organismo di diritto pubblico </v>
      </c>
      <c r="R1229" t="b">
        <f>IF(E1229="staff",IF(INDEX('Partner data'!A:DH,MATCH(C1229,'Partner data'!DG:DG,0),112)="BL1 non presente","FALSO",INDEX('Partner data'!A:DH,MATCH(C1229,'Partner data'!DG:DG,0),112)))</f>
        <v>0</v>
      </c>
      <c r="S1229" t="b">
        <f t="shared" si="38"/>
        <v>0</v>
      </c>
      <c r="T1229" t="b">
        <f t="shared" si="39"/>
        <v>1</v>
      </c>
      <c r="U1229" s="154">
        <f>IFERROR(IF(R1229&lt;&gt;FALSE,IF(S1229=TRUE,INDEX('SummaryNOT_VALIDATED-BL'!$A$1:$F$16,MATCH(R1229,'SummaryNOT_VALIDATED-BL'!$A$1:$A$16,0),6),0),IF(S1229=TRUE,INDEX('SummaryNOT_VALIDATED-BL'!$A$1:$F$16,MATCH(E1229,'SummaryNOT_VALIDATED-BL'!$A$1:$A$16,0),6),0)),0)</f>
        <v>0</v>
      </c>
      <c r="V1229" s="81" cm="1">
        <f t="array" ref="V1229">INDEX('Weight tables'!$A$24:$C$27,MATCH(1,(RendicontiTrasmessiBL__2[[#This Row],[Cut percentage on real costs + USC]]&gt;='Weight tables'!$B$24:$B$27)*(RendicontiTrasmessiBL__2[[#This Row],[Cut percentage on real costs + USC]]&lt;='Weight tables'!$C$24:$C$27),0),1)</f>
        <v>0</v>
      </c>
      <c r="W1229" s="2">
        <f>RendicontiTrasmessiBL__2[[#This Row],[Weight real costs  + USC ]]</f>
        <v>0</v>
      </c>
    </row>
    <row r="1230" spans="1:23" x14ac:dyDescent="0.25">
      <c r="A1230" s="1" t="s">
        <v>57</v>
      </c>
      <c r="B1230" s="1" t="s">
        <v>42</v>
      </c>
      <c r="C1230" s="2">
        <v>316</v>
      </c>
      <c r="D1230" s="2">
        <v>283</v>
      </c>
      <c r="E1230" s="1" t="s">
        <v>232</v>
      </c>
      <c r="G1230">
        <v>123000</v>
      </c>
      <c r="H1230">
        <v>112850</v>
      </c>
      <c r="I1230">
        <v>0</v>
      </c>
      <c r="J1230">
        <v>0</v>
      </c>
      <c r="K1230">
        <v>0</v>
      </c>
      <c r="L1230">
        <v>0</v>
      </c>
      <c r="M1230">
        <v>112850</v>
      </c>
      <c r="N1230">
        <v>91.75</v>
      </c>
      <c r="O1230">
        <v>10150</v>
      </c>
      <c r="P1230">
        <v>112850</v>
      </c>
      <c r="Q1230" t="str">
        <f>INDEX('Partner data'!A:DH,MATCH(C1230,'Partner data'!DG:DG,0),83)</f>
        <v xml:space="preserve">Organismo di diritto pubblico </v>
      </c>
      <c r="R1230" t="b">
        <f>IF(E1230="staff",IF(INDEX('Partner data'!A:DH,MATCH(C1230,'Partner data'!DG:DG,0),112)="BL1 non presente","FALSO",INDEX('Partner data'!A:DH,MATCH(C1230,'Partner data'!DG:DG,0),112)))</f>
        <v>0</v>
      </c>
      <c r="S1230" t="b">
        <f t="shared" si="38"/>
        <v>0</v>
      </c>
      <c r="T1230" t="b">
        <f t="shared" si="39"/>
        <v>1</v>
      </c>
      <c r="U1230" s="154">
        <f>IFERROR(IF(R1230&lt;&gt;FALSE,IF(S1230=TRUE,INDEX('SummaryNOT_VALIDATED-BL'!$A$1:$F$16,MATCH(R1230,'SummaryNOT_VALIDATED-BL'!$A$1:$A$16,0),6),0),IF(S1230=TRUE,INDEX('SummaryNOT_VALIDATED-BL'!$A$1:$F$16,MATCH(E1230,'SummaryNOT_VALIDATED-BL'!$A$1:$A$16,0),6),0)),0)</f>
        <v>0</v>
      </c>
      <c r="V1230" s="81" cm="1">
        <f t="array" ref="V1230">INDEX('Weight tables'!$A$24:$C$27,MATCH(1,(RendicontiTrasmessiBL__2[[#This Row],[Cut percentage on real costs + USC]]&gt;='Weight tables'!$B$24:$B$27)*(RendicontiTrasmessiBL__2[[#This Row],[Cut percentage on real costs + USC]]&lt;='Weight tables'!$C$24:$C$27),0),1)</f>
        <v>0</v>
      </c>
      <c r="W1230" s="2">
        <f>RendicontiTrasmessiBL__2[[#This Row],[Weight real costs  + USC ]]</f>
        <v>0</v>
      </c>
    </row>
    <row r="1231" spans="1:23" x14ac:dyDescent="0.25">
      <c r="A1231" s="1" t="s">
        <v>57</v>
      </c>
      <c r="B1231" s="1" t="s">
        <v>42</v>
      </c>
      <c r="C1231" s="2">
        <v>316</v>
      </c>
      <c r="D1231" s="2">
        <v>283</v>
      </c>
      <c r="E1231" s="1" t="s">
        <v>233</v>
      </c>
      <c r="G1231">
        <v>0</v>
      </c>
      <c r="H1231">
        <v>0</v>
      </c>
      <c r="I1231">
        <v>0</v>
      </c>
      <c r="J1231">
        <v>0</v>
      </c>
      <c r="K1231">
        <v>0</v>
      </c>
      <c r="L1231">
        <v>0</v>
      </c>
      <c r="M1231">
        <v>0</v>
      </c>
      <c r="N1231">
        <v>0</v>
      </c>
      <c r="O1231">
        <v>0</v>
      </c>
      <c r="P1231">
        <v>0</v>
      </c>
      <c r="Q1231" t="str">
        <f>INDEX('Partner data'!A:DH,MATCH(C1231,'Partner data'!DG:DG,0),83)</f>
        <v xml:space="preserve">Organismo di diritto pubblico </v>
      </c>
      <c r="R1231" t="b">
        <f>IF(E1231="staff",IF(INDEX('Partner data'!A:DH,MATCH(C1231,'Partner data'!DG:DG,0),112)="BL1 non presente","FALSO",INDEX('Partner data'!A:DH,MATCH(C1231,'Partner data'!DG:DG,0),112)))</f>
        <v>0</v>
      </c>
      <c r="S1231" t="b">
        <f t="shared" si="38"/>
        <v>0</v>
      </c>
      <c r="T1231" t="b">
        <f t="shared" si="39"/>
        <v>1</v>
      </c>
      <c r="U1231" s="154">
        <f>IFERROR(IF(R1231&lt;&gt;FALSE,IF(S1231=TRUE,INDEX('SummaryNOT_VALIDATED-BL'!$A$1:$F$16,MATCH(R1231,'SummaryNOT_VALIDATED-BL'!$A$1:$A$16,0),6),0),IF(S1231=TRUE,INDEX('SummaryNOT_VALIDATED-BL'!$A$1:$F$16,MATCH(E1231,'SummaryNOT_VALIDATED-BL'!$A$1:$A$16,0),6),0)),0)</f>
        <v>0</v>
      </c>
      <c r="V1231" s="81" cm="1">
        <f t="array" ref="V1231">INDEX('Weight tables'!$A$24:$C$27,MATCH(1,(RendicontiTrasmessiBL__2[[#This Row],[Cut percentage on real costs + USC]]&gt;='Weight tables'!$B$24:$B$27)*(RendicontiTrasmessiBL__2[[#This Row],[Cut percentage on real costs + USC]]&lt;='Weight tables'!$C$24:$C$27),0),1)</f>
        <v>0</v>
      </c>
      <c r="W1231" s="2">
        <f>RendicontiTrasmessiBL__2[[#This Row],[Weight real costs  + USC ]]</f>
        <v>0</v>
      </c>
    </row>
    <row r="1232" spans="1:23" x14ac:dyDescent="0.25">
      <c r="A1232" s="1" t="s">
        <v>57</v>
      </c>
      <c r="B1232" s="1" t="s">
        <v>42</v>
      </c>
      <c r="C1232" s="2">
        <v>316</v>
      </c>
      <c r="D1232" s="2">
        <v>283</v>
      </c>
      <c r="E1232" s="1" t="s">
        <v>234</v>
      </c>
      <c r="G1232">
        <v>0</v>
      </c>
      <c r="H1232">
        <v>0</v>
      </c>
      <c r="I1232">
        <v>0</v>
      </c>
      <c r="J1232">
        <v>0</v>
      </c>
      <c r="K1232">
        <v>0</v>
      </c>
      <c r="L1232">
        <v>0</v>
      </c>
      <c r="M1232">
        <v>0</v>
      </c>
      <c r="N1232">
        <v>0</v>
      </c>
      <c r="O1232">
        <v>0</v>
      </c>
      <c r="P1232">
        <v>0</v>
      </c>
      <c r="Q1232" t="str">
        <f>INDEX('Partner data'!A:DH,MATCH(C1232,'Partner data'!DG:DG,0),83)</f>
        <v xml:space="preserve">Organismo di diritto pubblico </v>
      </c>
      <c r="R1232" t="b">
        <f>IF(E1232="staff",IF(INDEX('Partner data'!A:DH,MATCH(C1232,'Partner data'!DG:DG,0),112)="BL1 non presente","FALSO",INDEX('Partner data'!A:DH,MATCH(C1232,'Partner data'!DG:DG,0),112)))</f>
        <v>0</v>
      </c>
      <c r="S1232" t="b">
        <f t="shared" si="38"/>
        <v>0</v>
      </c>
      <c r="T1232" t="b">
        <f t="shared" si="39"/>
        <v>1</v>
      </c>
      <c r="U1232" s="154">
        <f>IFERROR(IF(R1232&lt;&gt;FALSE,IF(S1232=TRUE,INDEX('SummaryNOT_VALIDATED-BL'!$A$1:$F$16,MATCH(R1232,'SummaryNOT_VALIDATED-BL'!$A$1:$A$16,0),6),0),IF(S1232=TRUE,INDEX('SummaryNOT_VALIDATED-BL'!$A$1:$F$16,MATCH(E1232,'SummaryNOT_VALIDATED-BL'!$A$1:$A$16,0),6),0)),0)</f>
        <v>0</v>
      </c>
      <c r="V1232" s="81" cm="1">
        <f t="array" ref="V1232">INDEX('Weight tables'!$A$24:$C$27,MATCH(1,(RendicontiTrasmessiBL__2[[#This Row],[Cut percentage on real costs + USC]]&gt;='Weight tables'!$B$24:$B$27)*(RendicontiTrasmessiBL__2[[#This Row],[Cut percentage on real costs + USC]]&lt;='Weight tables'!$C$24:$C$27),0),1)</f>
        <v>0</v>
      </c>
      <c r="W1232" s="2">
        <f>RendicontiTrasmessiBL__2[[#This Row],[Weight real costs  + USC ]]</f>
        <v>0</v>
      </c>
    </row>
    <row r="1233" spans="1:23" x14ac:dyDescent="0.25">
      <c r="A1233" s="1" t="s">
        <v>57</v>
      </c>
      <c r="B1233" s="1" t="s">
        <v>42</v>
      </c>
      <c r="C1233" s="2">
        <v>316</v>
      </c>
      <c r="D1233" s="2">
        <v>283</v>
      </c>
      <c r="E1233" s="1" t="s">
        <v>236</v>
      </c>
      <c r="G1233">
        <v>0</v>
      </c>
      <c r="H1233">
        <v>0</v>
      </c>
      <c r="I1233">
        <v>0</v>
      </c>
      <c r="J1233">
        <v>0</v>
      </c>
      <c r="K1233">
        <v>0</v>
      </c>
      <c r="L1233">
        <v>0</v>
      </c>
      <c r="M1233">
        <v>0</v>
      </c>
      <c r="N1233">
        <v>0</v>
      </c>
      <c r="O1233">
        <v>0</v>
      </c>
      <c r="P1233">
        <v>0</v>
      </c>
      <c r="Q1233" t="str">
        <f>INDEX('Partner data'!A:DH,MATCH(C1233,'Partner data'!DG:DG,0),83)</f>
        <v xml:space="preserve">Organismo di diritto pubblico </v>
      </c>
      <c r="R1233" t="b">
        <f>IF(E1233="staff",IF(INDEX('Partner data'!A:DH,MATCH(C1233,'Partner data'!DG:DG,0),112)="BL1 non presente","FALSO",INDEX('Partner data'!A:DH,MATCH(C1233,'Partner data'!DG:DG,0),112)))</f>
        <v>0</v>
      </c>
      <c r="S1233" t="b">
        <f t="shared" si="38"/>
        <v>0</v>
      </c>
      <c r="T1233" t="b">
        <f t="shared" si="39"/>
        <v>1</v>
      </c>
      <c r="U1233" s="154">
        <f>IFERROR(IF(R1233&lt;&gt;FALSE,IF(S1233=TRUE,INDEX('SummaryNOT_VALIDATED-BL'!$A$1:$F$16,MATCH(R1233,'SummaryNOT_VALIDATED-BL'!$A$1:$A$16,0),6),0),IF(S1233=TRUE,INDEX('SummaryNOT_VALIDATED-BL'!$A$1:$F$16,MATCH(E1233,'SummaryNOT_VALIDATED-BL'!$A$1:$A$16,0),6),0)),0)</f>
        <v>0</v>
      </c>
      <c r="V1233" s="81" cm="1">
        <f t="array" ref="V1233">INDEX('Weight tables'!$A$24:$C$27,MATCH(1,(RendicontiTrasmessiBL__2[[#This Row],[Cut percentage on real costs + USC]]&gt;='Weight tables'!$B$24:$B$27)*(RendicontiTrasmessiBL__2[[#This Row],[Cut percentage on real costs + USC]]&lt;='Weight tables'!$C$24:$C$27),0),1)</f>
        <v>0</v>
      </c>
      <c r="W1233" s="2">
        <f>RendicontiTrasmessiBL__2[[#This Row],[Weight real costs  + USC ]]</f>
        <v>0</v>
      </c>
    </row>
    <row r="1234" spans="1:23" x14ac:dyDescent="0.25">
      <c r="A1234" s="1" t="s">
        <v>57</v>
      </c>
      <c r="B1234" s="1" t="s">
        <v>42</v>
      </c>
      <c r="C1234" s="2">
        <v>316</v>
      </c>
      <c r="D1234" s="2">
        <v>283</v>
      </c>
      <c r="E1234" s="1" t="s">
        <v>237</v>
      </c>
      <c r="G1234">
        <v>0</v>
      </c>
      <c r="H1234">
        <v>0</v>
      </c>
      <c r="I1234">
        <v>0</v>
      </c>
      <c r="J1234">
        <v>0</v>
      </c>
      <c r="K1234">
        <v>0</v>
      </c>
      <c r="L1234">
        <v>0</v>
      </c>
      <c r="M1234">
        <v>0</v>
      </c>
      <c r="N1234">
        <v>0</v>
      </c>
      <c r="O1234">
        <v>0</v>
      </c>
      <c r="P1234">
        <v>0</v>
      </c>
      <c r="Q1234" t="str">
        <f>INDEX('Partner data'!A:DH,MATCH(C1234,'Partner data'!DG:DG,0),83)</f>
        <v xml:space="preserve">Organismo di diritto pubblico </v>
      </c>
      <c r="R1234" t="b">
        <f>IF(E1234="staff",IF(INDEX('Partner data'!A:DH,MATCH(C1234,'Partner data'!DG:DG,0),112)="BL1 non presente","FALSO",INDEX('Partner data'!A:DH,MATCH(C1234,'Partner data'!DG:DG,0),112)))</f>
        <v>0</v>
      </c>
      <c r="S1234" t="b">
        <f t="shared" si="38"/>
        <v>0</v>
      </c>
      <c r="T1234" t="b">
        <f t="shared" si="39"/>
        <v>1</v>
      </c>
      <c r="U1234" s="154">
        <f>IFERROR(IF(R1234&lt;&gt;FALSE,IF(S1234=TRUE,INDEX('SummaryNOT_VALIDATED-BL'!$A$1:$F$16,MATCH(R1234,'SummaryNOT_VALIDATED-BL'!$A$1:$A$16,0),6),0),IF(S1234=TRUE,INDEX('SummaryNOT_VALIDATED-BL'!$A$1:$F$16,MATCH(E1234,'SummaryNOT_VALIDATED-BL'!$A$1:$A$16,0),6),0)),0)</f>
        <v>0</v>
      </c>
      <c r="V1234" s="81" cm="1">
        <f t="array" ref="V1234">INDEX('Weight tables'!$A$24:$C$27,MATCH(1,(RendicontiTrasmessiBL__2[[#This Row],[Cut percentage on real costs + USC]]&gt;='Weight tables'!$B$24:$B$27)*(RendicontiTrasmessiBL__2[[#This Row],[Cut percentage on real costs + USC]]&lt;='Weight tables'!$C$24:$C$27),0),1)</f>
        <v>0</v>
      </c>
      <c r="W1234" s="2">
        <f>RendicontiTrasmessiBL__2[[#This Row],[Weight real costs  + USC ]]</f>
        <v>0</v>
      </c>
    </row>
    <row r="1235" spans="1:23" x14ac:dyDescent="0.25">
      <c r="A1235" s="1" t="s">
        <v>57</v>
      </c>
      <c r="B1235" s="1" t="s">
        <v>27</v>
      </c>
      <c r="C1235" s="2">
        <v>309</v>
      </c>
      <c r="D1235" s="2">
        <v>216</v>
      </c>
      <c r="E1235" s="1" t="s">
        <v>228</v>
      </c>
      <c r="G1235">
        <v>210000</v>
      </c>
      <c r="H1235">
        <v>43310.42</v>
      </c>
      <c r="I1235">
        <v>0</v>
      </c>
      <c r="J1235">
        <v>29163.43</v>
      </c>
      <c r="K1235">
        <v>0</v>
      </c>
      <c r="L1235">
        <v>29163.43</v>
      </c>
      <c r="M1235">
        <v>72473.850000000006</v>
      </c>
      <c r="N1235">
        <v>34.51</v>
      </c>
      <c r="O1235">
        <v>137526.15</v>
      </c>
      <c r="P1235">
        <v>43164.29</v>
      </c>
      <c r="Q1235" t="str">
        <f>INDEX('Partner data'!A:DH,MATCH(C1235,'Partner data'!DG:DG,0),83)</f>
        <v xml:space="preserve">Organismo di diritto pubblico </v>
      </c>
      <c r="R1235" t="str">
        <f>IF(E1235="staff",IF(INDEX('Partner data'!A:DH,MATCH(C1235,'Partner data'!DG:DG,0),112)="BL1 non presente","FALSO",INDEX('Partner data'!A:DH,MATCH(C1235,'Partner data'!DG:DG,0),112)))</f>
        <v>COSTO REALE</v>
      </c>
      <c r="S1235" t="b">
        <f t="shared" si="38"/>
        <v>1</v>
      </c>
      <c r="T1235" t="b">
        <f t="shared" si="39"/>
        <v>1</v>
      </c>
      <c r="U1235" s="154">
        <f>IFERROR(IF(R1235&lt;&gt;FALSE,IF(S1235=TRUE,INDEX('SummaryNOT_VALIDATED-BL'!$A$1:$F$16,MATCH(R1235,'SummaryNOT_VALIDATED-BL'!$A$1:$A$16,0),6),0),IF(S1235=TRUE,INDEX('SummaryNOT_VALIDATED-BL'!$A$1:$F$16,MATCH(E1235,'SummaryNOT_VALIDATED-BL'!$A$1:$A$16,0),6),0)),0)</f>
        <v>9.1604133276901048E-2</v>
      </c>
      <c r="V1235" s="81" cm="1">
        <f t="array" ref="V1235">INDEX('Weight tables'!$A$24:$C$27,MATCH(1,(RendicontiTrasmessiBL__2[[#This Row],[Cut percentage on real costs + USC]]&gt;='Weight tables'!$B$24:$B$27)*(RendicontiTrasmessiBL__2[[#This Row],[Cut percentage on real costs + USC]]&lt;='Weight tables'!$C$24:$C$27),0),1)</f>
        <v>4</v>
      </c>
      <c r="W1235" s="2">
        <f>RendicontiTrasmessiBL__2[[#This Row],[Weight real costs  + USC ]]</f>
        <v>4</v>
      </c>
    </row>
    <row r="1236" spans="1:23" x14ac:dyDescent="0.25">
      <c r="A1236" s="1" t="s">
        <v>57</v>
      </c>
      <c r="B1236" s="1" t="s">
        <v>27</v>
      </c>
      <c r="C1236" s="2">
        <v>309</v>
      </c>
      <c r="D1236" s="2">
        <v>216</v>
      </c>
      <c r="E1236" s="1" t="s">
        <v>229</v>
      </c>
      <c r="F1236">
        <v>15</v>
      </c>
      <c r="G1236">
        <v>31500</v>
      </c>
      <c r="H1236">
        <v>6496.56</v>
      </c>
      <c r="I1236">
        <v>0</v>
      </c>
      <c r="J1236">
        <v>4374.51</v>
      </c>
      <c r="K1236">
        <v>0</v>
      </c>
      <c r="L1236">
        <v>4374.51</v>
      </c>
      <c r="M1236">
        <v>10871.07</v>
      </c>
      <c r="N1236">
        <v>34.51</v>
      </c>
      <c r="O1236">
        <v>20628.93</v>
      </c>
      <c r="P1236">
        <v>6474.64</v>
      </c>
      <c r="Q1236" t="str">
        <f>INDEX('Partner data'!A:DH,MATCH(C1236,'Partner data'!DG:DG,0),83)</f>
        <v xml:space="preserve">Organismo di diritto pubblico </v>
      </c>
      <c r="R1236" t="b">
        <f>IF(E1236="staff",IF(INDEX('Partner data'!A:DH,MATCH(C1236,'Partner data'!DG:DG,0),112)="BL1 non presente","FALSO",INDEX('Partner data'!A:DH,MATCH(C1236,'Partner data'!DG:DG,0),112)))</f>
        <v>0</v>
      </c>
      <c r="S1236" t="b">
        <f t="shared" si="38"/>
        <v>1</v>
      </c>
      <c r="T1236" t="b">
        <f t="shared" si="39"/>
        <v>1</v>
      </c>
      <c r="U1236" s="154">
        <f>IFERROR(IF(R1236&lt;&gt;FALSE,IF(S1236=TRUE,INDEX('SummaryNOT_VALIDATED-BL'!$A$1:$F$16,MATCH(R1236,'SummaryNOT_VALIDATED-BL'!$A$1:$A$16,0),6),0),IF(S1236=TRUE,INDEX('SummaryNOT_VALIDATED-BL'!$A$1:$F$16,MATCH(E1236,'SummaryNOT_VALIDATED-BL'!$A$1:$A$16,0),6),0)),0)</f>
        <v>6.6460469504890221E-2</v>
      </c>
      <c r="V1236" s="81" cm="1">
        <f t="array" ref="V1236">INDEX('Weight tables'!$A$24:$C$27,MATCH(1,(RendicontiTrasmessiBL__2[[#This Row],[Cut percentage on real costs + USC]]&gt;='Weight tables'!$B$24:$B$27)*(RendicontiTrasmessiBL__2[[#This Row],[Cut percentage on real costs + USC]]&lt;='Weight tables'!$C$24:$C$27),0),1)</f>
        <v>4</v>
      </c>
      <c r="W1236" s="2">
        <f>RendicontiTrasmessiBL__2[[#This Row],[Weight real costs  + USC ]]</f>
        <v>4</v>
      </c>
    </row>
    <row r="1237" spans="1:23" x14ac:dyDescent="0.25">
      <c r="A1237" s="1" t="s">
        <v>57</v>
      </c>
      <c r="B1237" s="1" t="s">
        <v>27</v>
      </c>
      <c r="C1237" s="2">
        <v>309</v>
      </c>
      <c r="D1237" s="2">
        <v>216</v>
      </c>
      <c r="E1237" s="1" t="s">
        <v>230</v>
      </c>
      <c r="F1237">
        <v>4</v>
      </c>
      <c r="G1237">
        <v>8400</v>
      </c>
      <c r="H1237">
        <v>1732.41</v>
      </c>
      <c r="I1237">
        <v>0</v>
      </c>
      <c r="J1237">
        <v>1166.53</v>
      </c>
      <c r="K1237">
        <v>0</v>
      </c>
      <c r="L1237">
        <v>1166.53</v>
      </c>
      <c r="M1237">
        <v>2898.94</v>
      </c>
      <c r="N1237">
        <v>34.51</v>
      </c>
      <c r="O1237">
        <v>5501.06</v>
      </c>
      <c r="P1237">
        <v>1726.57</v>
      </c>
      <c r="Q1237" t="str">
        <f>INDEX('Partner data'!A:DH,MATCH(C1237,'Partner data'!DG:DG,0),83)</f>
        <v xml:space="preserve">Organismo di diritto pubblico </v>
      </c>
      <c r="R1237" t="b">
        <f>IF(E1237="staff",IF(INDEX('Partner data'!A:DH,MATCH(C1237,'Partner data'!DG:DG,0),112)="BL1 non presente","FALSO",INDEX('Partner data'!A:DH,MATCH(C1237,'Partner data'!DG:DG,0),112)))</f>
        <v>0</v>
      </c>
      <c r="S1237" t="b">
        <f t="shared" si="38"/>
        <v>1</v>
      </c>
      <c r="T1237" t="b">
        <f t="shared" si="39"/>
        <v>1</v>
      </c>
      <c r="U1237" s="154">
        <f>IFERROR(IF(R1237&lt;&gt;FALSE,IF(S1237=TRUE,INDEX('SummaryNOT_VALIDATED-BL'!$A$1:$F$16,MATCH(R1237,'SummaryNOT_VALIDATED-BL'!$A$1:$A$16,0),6),0),IF(S1237=TRUE,INDEX('SummaryNOT_VALIDATED-BL'!$A$1:$F$16,MATCH(E1237,'SummaryNOT_VALIDATED-BL'!$A$1:$A$16,0),6),0)),0)</f>
        <v>6.3112622236488891E-2</v>
      </c>
      <c r="V1237" s="81" cm="1">
        <f t="array" ref="V1237">INDEX('Weight tables'!$A$24:$C$27,MATCH(1,(RendicontiTrasmessiBL__2[[#This Row],[Cut percentage on real costs + USC]]&gt;='Weight tables'!$B$24:$B$27)*(RendicontiTrasmessiBL__2[[#This Row],[Cut percentage on real costs + USC]]&lt;='Weight tables'!$C$24:$C$27),0),1)</f>
        <v>4</v>
      </c>
      <c r="W1237" s="2">
        <f>RendicontiTrasmessiBL__2[[#This Row],[Weight real costs  + USC ]]</f>
        <v>4</v>
      </c>
    </row>
    <row r="1238" spans="1:23" x14ac:dyDescent="0.25">
      <c r="A1238" s="1" t="s">
        <v>57</v>
      </c>
      <c r="B1238" s="1" t="s">
        <v>27</v>
      </c>
      <c r="C1238" s="2">
        <v>309</v>
      </c>
      <c r="D1238" s="2">
        <v>216</v>
      </c>
      <c r="E1238" s="1" t="s">
        <v>231</v>
      </c>
      <c r="G1238">
        <v>88800</v>
      </c>
      <c r="H1238">
        <v>0</v>
      </c>
      <c r="I1238">
        <v>0</v>
      </c>
      <c r="J1238">
        <v>11035.1</v>
      </c>
      <c r="K1238">
        <v>0</v>
      </c>
      <c r="L1238">
        <v>11035.1</v>
      </c>
      <c r="M1238">
        <v>11035.1</v>
      </c>
      <c r="N1238">
        <v>12.43</v>
      </c>
      <c r="O1238">
        <v>77764.899999999994</v>
      </c>
      <c r="P1238">
        <v>0</v>
      </c>
      <c r="Q1238" t="str">
        <f>INDEX('Partner data'!A:DH,MATCH(C1238,'Partner data'!DG:DG,0),83)</f>
        <v xml:space="preserve">Organismo di diritto pubblico </v>
      </c>
      <c r="R1238" t="b">
        <f>IF(E1238="staff",IF(INDEX('Partner data'!A:DH,MATCH(C1238,'Partner data'!DG:DG,0),112)="BL1 non presente","FALSO",INDEX('Partner data'!A:DH,MATCH(C1238,'Partner data'!DG:DG,0),112)))</f>
        <v>0</v>
      </c>
      <c r="S1238" t="b">
        <f t="shared" si="38"/>
        <v>1</v>
      </c>
      <c r="T1238" t="b">
        <f t="shared" si="39"/>
        <v>1</v>
      </c>
      <c r="U1238" s="154">
        <f>IFERROR(IF(R1238&lt;&gt;FALSE,IF(S1238=TRUE,INDEX('SummaryNOT_VALIDATED-BL'!$A$1:$F$16,MATCH(R1238,'SummaryNOT_VALIDATED-BL'!$A$1:$A$16,0),6),0),IF(S1238=TRUE,INDEX('SummaryNOT_VALIDATED-BL'!$A$1:$F$16,MATCH(E1238,'SummaryNOT_VALIDATED-BL'!$A$1:$A$16,0),6),0)),0)</f>
        <v>5.577594442215475E-2</v>
      </c>
      <c r="V1238" s="81" cm="1">
        <f t="array" ref="V1238">INDEX('Weight tables'!$A$24:$C$27,MATCH(1,(RendicontiTrasmessiBL__2[[#This Row],[Cut percentage on real costs + USC]]&gt;='Weight tables'!$B$24:$B$27)*(RendicontiTrasmessiBL__2[[#This Row],[Cut percentage on real costs + USC]]&lt;='Weight tables'!$C$24:$C$27),0),1)</f>
        <v>4</v>
      </c>
      <c r="W1238" s="2">
        <f>RendicontiTrasmessiBL__2[[#This Row],[Weight real costs  + USC ]]</f>
        <v>4</v>
      </c>
    </row>
    <row r="1239" spans="1:23" x14ac:dyDescent="0.25">
      <c r="A1239" s="1" t="s">
        <v>57</v>
      </c>
      <c r="B1239" s="1" t="s">
        <v>27</v>
      </c>
      <c r="C1239" s="2">
        <v>309</v>
      </c>
      <c r="D1239" s="2">
        <v>216</v>
      </c>
      <c r="E1239" s="1" t="s">
        <v>232</v>
      </c>
      <c r="G1239">
        <v>16100</v>
      </c>
      <c r="H1239">
        <v>2993.25</v>
      </c>
      <c r="I1239">
        <v>0</v>
      </c>
      <c r="J1239">
        <v>0</v>
      </c>
      <c r="K1239">
        <v>0</v>
      </c>
      <c r="L1239">
        <v>0</v>
      </c>
      <c r="M1239">
        <v>2993.25</v>
      </c>
      <c r="N1239">
        <v>18.59</v>
      </c>
      <c r="O1239">
        <v>13106.75</v>
      </c>
      <c r="P1239">
        <v>2993.25</v>
      </c>
      <c r="Q1239" t="str">
        <f>INDEX('Partner data'!A:DH,MATCH(C1239,'Partner data'!DG:DG,0),83)</f>
        <v xml:space="preserve">Organismo di diritto pubblico </v>
      </c>
      <c r="R1239" t="b">
        <f>IF(E1239="staff",IF(INDEX('Partner data'!A:DH,MATCH(C1239,'Partner data'!DG:DG,0),112)="BL1 non presente","FALSO",INDEX('Partner data'!A:DH,MATCH(C1239,'Partner data'!DG:DG,0),112)))</f>
        <v>0</v>
      </c>
      <c r="S1239" t="b">
        <f t="shared" si="38"/>
        <v>0</v>
      </c>
      <c r="T1239" t="b">
        <f t="shared" si="39"/>
        <v>1</v>
      </c>
      <c r="U1239" s="154">
        <f>IFERROR(IF(R1239&lt;&gt;FALSE,IF(S1239=TRUE,INDEX('SummaryNOT_VALIDATED-BL'!$A$1:$F$16,MATCH(R1239,'SummaryNOT_VALIDATED-BL'!$A$1:$A$16,0),6),0),IF(S1239=TRUE,INDEX('SummaryNOT_VALIDATED-BL'!$A$1:$F$16,MATCH(E1239,'SummaryNOT_VALIDATED-BL'!$A$1:$A$16,0),6),0)),0)</f>
        <v>0</v>
      </c>
      <c r="V1239" s="81" cm="1">
        <f t="array" ref="V1239">INDEX('Weight tables'!$A$24:$C$27,MATCH(1,(RendicontiTrasmessiBL__2[[#This Row],[Cut percentage on real costs + USC]]&gt;='Weight tables'!$B$24:$B$27)*(RendicontiTrasmessiBL__2[[#This Row],[Cut percentage on real costs + USC]]&lt;='Weight tables'!$C$24:$C$27),0),1)</f>
        <v>0</v>
      </c>
      <c r="W1239" s="2">
        <f>RendicontiTrasmessiBL__2[[#This Row],[Weight real costs  + USC ]]</f>
        <v>0</v>
      </c>
    </row>
    <row r="1240" spans="1:23" x14ac:dyDescent="0.25">
      <c r="A1240" s="1" t="s">
        <v>57</v>
      </c>
      <c r="B1240" s="1" t="s">
        <v>27</v>
      </c>
      <c r="C1240" s="2">
        <v>309</v>
      </c>
      <c r="D1240" s="2">
        <v>216</v>
      </c>
      <c r="E1240" s="1" t="s">
        <v>233</v>
      </c>
      <c r="G1240">
        <v>20200</v>
      </c>
      <c r="H1240">
        <v>0</v>
      </c>
      <c r="I1240">
        <v>0</v>
      </c>
      <c r="J1240">
        <v>0</v>
      </c>
      <c r="K1240">
        <v>0</v>
      </c>
      <c r="L1240">
        <v>0</v>
      </c>
      <c r="M1240">
        <v>0</v>
      </c>
      <c r="N1240">
        <v>0</v>
      </c>
      <c r="O1240">
        <v>20200</v>
      </c>
      <c r="P1240">
        <v>0</v>
      </c>
      <c r="Q1240" t="str">
        <f>INDEX('Partner data'!A:DH,MATCH(C1240,'Partner data'!DG:DG,0),83)</f>
        <v xml:space="preserve">Organismo di diritto pubblico </v>
      </c>
      <c r="R1240" t="b">
        <f>IF(E1240="staff",IF(INDEX('Partner data'!A:DH,MATCH(C1240,'Partner data'!DG:DG,0),112)="BL1 non presente","FALSO",INDEX('Partner data'!A:DH,MATCH(C1240,'Partner data'!DG:DG,0),112)))</f>
        <v>0</v>
      </c>
      <c r="S1240" t="b">
        <f t="shared" si="38"/>
        <v>0</v>
      </c>
      <c r="T1240" t="b">
        <f t="shared" si="39"/>
        <v>1</v>
      </c>
      <c r="U1240" s="154">
        <f>IFERROR(IF(R1240&lt;&gt;FALSE,IF(S1240=TRUE,INDEX('SummaryNOT_VALIDATED-BL'!$A$1:$F$16,MATCH(R1240,'SummaryNOT_VALIDATED-BL'!$A$1:$A$16,0),6),0),IF(S1240=TRUE,INDEX('SummaryNOT_VALIDATED-BL'!$A$1:$F$16,MATCH(E1240,'SummaryNOT_VALIDATED-BL'!$A$1:$A$16,0),6),0)),0)</f>
        <v>0</v>
      </c>
      <c r="V1240" s="81" cm="1">
        <f t="array" ref="V1240">INDEX('Weight tables'!$A$24:$C$27,MATCH(1,(RendicontiTrasmessiBL__2[[#This Row],[Cut percentage on real costs + USC]]&gt;='Weight tables'!$B$24:$B$27)*(RendicontiTrasmessiBL__2[[#This Row],[Cut percentage on real costs + USC]]&lt;='Weight tables'!$C$24:$C$27),0),1)</f>
        <v>0</v>
      </c>
      <c r="W1240" s="2">
        <f>RendicontiTrasmessiBL__2[[#This Row],[Weight real costs  + USC ]]</f>
        <v>0</v>
      </c>
    </row>
    <row r="1241" spans="1:23" x14ac:dyDescent="0.25">
      <c r="A1241" s="1" t="s">
        <v>57</v>
      </c>
      <c r="B1241" s="1" t="s">
        <v>27</v>
      </c>
      <c r="C1241" s="2">
        <v>309</v>
      </c>
      <c r="D1241" s="2">
        <v>216</v>
      </c>
      <c r="E1241" s="1" t="s">
        <v>234</v>
      </c>
      <c r="G1241">
        <v>0</v>
      </c>
      <c r="H1241">
        <v>0</v>
      </c>
      <c r="I1241">
        <v>0</v>
      </c>
      <c r="J1241">
        <v>0</v>
      </c>
      <c r="K1241">
        <v>0</v>
      </c>
      <c r="L1241">
        <v>0</v>
      </c>
      <c r="M1241">
        <v>0</v>
      </c>
      <c r="N1241">
        <v>0</v>
      </c>
      <c r="O1241">
        <v>0</v>
      </c>
      <c r="P1241">
        <v>0</v>
      </c>
      <c r="Q1241" t="str">
        <f>INDEX('Partner data'!A:DH,MATCH(C1241,'Partner data'!DG:DG,0),83)</f>
        <v xml:space="preserve">Organismo di diritto pubblico </v>
      </c>
      <c r="R1241" t="b">
        <f>IF(E1241="staff",IF(INDEX('Partner data'!A:DH,MATCH(C1241,'Partner data'!DG:DG,0),112)="BL1 non presente","FALSO",INDEX('Partner data'!A:DH,MATCH(C1241,'Partner data'!DG:DG,0),112)))</f>
        <v>0</v>
      </c>
      <c r="S1241" t="b">
        <f t="shared" si="38"/>
        <v>0</v>
      </c>
      <c r="T1241" t="b">
        <f t="shared" si="39"/>
        <v>1</v>
      </c>
      <c r="U1241" s="154">
        <f>IFERROR(IF(R1241&lt;&gt;FALSE,IF(S1241=TRUE,INDEX('SummaryNOT_VALIDATED-BL'!$A$1:$F$16,MATCH(R1241,'SummaryNOT_VALIDATED-BL'!$A$1:$A$16,0),6),0),IF(S1241=TRUE,INDEX('SummaryNOT_VALIDATED-BL'!$A$1:$F$16,MATCH(E1241,'SummaryNOT_VALIDATED-BL'!$A$1:$A$16,0),6),0)),0)</f>
        <v>0</v>
      </c>
      <c r="V1241" s="81" cm="1">
        <f t="array" ref="V1241">INDEX('Weight tables'!$A$24:$C$27,MATCH(1,(RendicontiTrasmessiBL__2[[#This Row],[Cut percentage on real costs + USC]]&gt;='Weight tables'!$B$24:$B$27)*(RendicontiTrasmessiBL__2[[#This Row],[Cut percentage on real costs + USC]]&lt;='Weight tables'!$C$24:$C$27),0),1)</f>
        <v>0</v>
      </c>
      <c r="W1241" s="2">
        <f>RendicontiTrasmessiBL__2[[#This Row],[Weight real costs  + USC ]]</f>
        <v>0</v>
      </c>
    </row>
    <row r="1242" spans="1:23" x14ac:dyDescent="0.25">
      <c r="A1242" s="1" t="s">
        <v>57</v>
      </c>
      <c r="B1242" s="1" t="s">
        <v>27</v>
      </c>
      <c r="C1242" s="2">
        <v>309</v>
      </c>
      <c r="D1242" s="2">
        <v>216</v>
      </c>
      <c r="E1242" s="1" t="s">
        <v>236</v>
      </c>
      <c r="G1242">
        <v>0</v>
      </c>
      <c r="H1242">
        <v>0</v>
      </c>
      <c r="I1242">
        <v>0</v>
      </c>
      <c r="J1242">
        <v>0</v>
      </c>
      <c r="K1242">
        <v>0</v>
      </c>
      <c r="L1242">
        <v>0</v>
      </c>
      <c r="M1242">
        <v>0</v>
      </c>
      <c r="N1242">
        <v>0</v>
      </c>
      <c r="O1242">
        <v>0</v>
      </c>
      <c r="P1242">
        <v>0</v>
      </c>
      <c r="Q1242" t="str">
        <f>INDEX('Partner data'!A:DH,MATCH(C1242,'Partner data'!DG:DG,0),83)</f>
        <v xml:space="preserve">Organismo di diritto pubblico </v>
      </c>
      <c r="R1242" t="b">
        <f>IF(E1242="staff",IF(INDEX('Partner data'!A:DH,MATCH(C1242,'Partner data'!DG:DG,0),112)="BL1 non presente","FALSO",INDEX('Partner data'!A:DH,MATCH(C1242,'Partner data'!DG:DG,0),112)))</f>
        <v>0</v>
      </c>
      <c r="S1242" t="b">
        <f t="shared" si="38"/>
        <v>0</v>
      </c>
      <c r="T1242" t="b">
        <f t="shared" si="39"/>
        <v>1</v>
      </c>
      <c r="U1242" s="154">
        <f>IFERROR(IF(R1242&lt;&gt;FALSE,IF(S1242=TRUE,INDEX('SummaryNOT_VALIDATED-BL'!$A$1:$F$16,MATCH(R1242,'SummaryNOT_VALIDATED-BL'!$A$1:$A$16,0),6),0),IF(S1242=TRUE,INDEX('SummaryNOT_VALIDATED-BL'!$A$1:$F$16,MATCH(E1242,'SummaryNOT_VALIDATED-BL'!$A$1:$A$16,0),6),0)),0)</f>
        <v>0</v>
      </c>
      <c r="V1242" s="81" cm="1">
        <f t="array" ref="V1242">INDEX('Weight tables'!$A$24:$C$27,MATCH(1,(RendicontiTrasmessiBL__2[[#This Row],[Cut percentage on real costs + USC]]&gt;='Weight tables'!$B$24:$B$27)*(RendicontiTrasmessiBL__2[[#This Row],[Cut percentage on real costs + USC]]&lt;='Weight tables'!$C$24:$C$27),0),1)</f>
        <v>0</v>
      </c>
      <c r="W1242" s="2">
        <f>RendicontiTrasmessiBL__2[[#This Row],[Weight real costs  + USC ]]</f>
        <v>0</v>
      </c>
    </row>
    <row r="1243" spans="1:23" x14ac:dyDescent="0.25">
      <c r="A1243" s="1" t="s">
        <v>57</v>
      </c>
      <c r="B1243" s="1" t="s">
        <v>27</v>
      </c>
      <c r="C1243" s="2">
        <v>309</v>
      </c>
      <c r="D1243" s="2">
        <v>216</v>
      </c>
      <c r="E1243" s="1" t="s">
        <v>237</v>
      </c>
      <c r="G1243">
        <v>0</v>
      </c>
      <c r="H1243">
        <v>0</v>
      </c>
      <c r="I1243">
        <v>0</v>
      </c>
      <c r="J1243">
        <v>0</v>
      </c>
      <c r="K1243">
        <v>0</v>
      </c>
      <c r="L1243">
        <v>0</v>
      </c>
      <c r="M1243">
        <v>0</v>
      </c>
      <c r="N1243">
        <v>0</v>
      </c>
      <c r="O1243">
        <v>0</v>
      </c>
      <c r="P1243">
        <v>0</v>
      </c>
      <c r="Q1243" t="str">
        <f>INDEX('Partner data'!A:DH,MATCH(C1243,'Partner data'!DG:DG,0),83)</f>
        <v xml:space="preserve">Organismo di diritto pubblico </v>
      </c>
      <c r="R1243" t="b">
        <f>IF(E1243="staff",IF(INDEX('Partner data'!A:DH,MATCH(C1243,'Partner data'!DG:DG,0),112)="BL1 non presente","FALSO",INDEX('Partner data'!A:DH,MATCH(C1243,'Partner data'!DG:DG,0),112)))</f>
        <v>0</v>
      </c>
      <c r="S1243" t="b">
        <f t="shared" si="38"/>
        <v>0</v>
      </c>
      <c r="T1243" t="b">
        <f t="shared" si="39"/>
        <v>1</v>
      </c>
      <c r="U1243" s="154">
        <f>IFERROR(IF(R1243&lt;&gt;FALSE,IF(S1243=TRUE,INDEX('SummaryNOT_VALIDATED-BL'!$A$1:$F$16,MATCH(R1243,'SummaryNOT_VALIDATED-BL'!$A$1:$A$16,0),6),0),IF(S1243=TRUE,INDEX('SummaryNOT_VALIDATED-BL'!$A$1:$F$16,MATCH(E1243,'SummaryNOT_VALIDATED-BL'!$A$1:$A$16,0),6),0)),0)</f>
        <v>0</v>
      </c>
      <c r="V1243" s="81" cm="1">
        <f t="array" ref="V1243">INDEX('Weight tables'!$A$24:$C$27,MATCH(1,(RendicontiTrasmessiBL__2[[#This Row],[Cut percentage on real costs + USC]]&gt;='Weight tables'!$B$24:$B$27)*(RendicontiTrasmessiBL__2[[#This Row],[Cut percentage on real costs + USC]]&lt;='Weight tables'!$C$24:$C$27),0),1)</f>
        <v>0</v>
      </c>
      <c r="W1243" s="2">
        <f>RendicontiTrasmessiBL__2[[#This Row],[Weight real costs  + USC ]]</f>
        <v>0</v>
      </c>
    </row>
    <row r="1244" spans="1:23" x14ac:dyDescent="0.25">
      <c r="A1244" s="1" t="s">
        <v>57</v>
      </c>
      <c r="B1244" s="1" t="s">
        <v>27</v>
      </c>
      <c r="C1244" s="2">
        <v>309</v>
      </c>
      <c r="D1244" s="2">
        <v>64</v>
      </c>
      <c r="E1244" s="1" t="s">
        <v>228</v>
      </c>
      <c r="G1244">
        <v>210000</v>
      </c>
      <c r="H1244">
        <v>0</v>
      </c>
      <c r="I1244">
        <v>0</v>
      </c>
      <c r="J1244">
        <v>43310.42</v>
      </c>
      <c r="K1244">
        <v>0</v>
      </c>
      <c r="L1244">
        <v>43164.29</v>
      </c>
      <c r="M1244">
        <v>43310.42</v>
      </c>
      <c r="N1244">
        <v>20.62</v>
      </c>
      <c r="O1244">
        <v>166689.57999999999</v>
      </c>
      <c r="P1244">
        <v>0</v>
      </c>
      <c r="Q1244" t="str">
        <f>INDEX('Partner data'!A:DH,MATCH(C1244,'Partner data'!DG:DG,0),83)</f>
        <v xml:space="preserve">Organismo di diritto pubblico </v>
      </c>
      <c r="R1244" t="str">
        <f>IF(E1244="staff",IF(INDEX('Partner data'!A:DH,MATCH(C1244,'Partner data'!DG:DG,0),112)="BL1 non presente","FALSO",INDEX('Partner data'!A:DH,MATCH(C1244,'Partner data'!DG:DG,0),112)))</f>
        <v>COSTO REALE</v>
      </c>
      <c r="S1244" t="b">
        <f t="shared" si="38"/>
        <v>1</v>
      </c>
      <c r="T1244" t="b">
        <f t="shared" si="39"/>
        <v>1</v>
      </c>
      <c r="U1244" s="154">
        <f>IFERROR(IF(R1244&lt;&gt;FALSE,IF(S1244=TRUE,INDEX('SummaryNOT_VALIDATED-BL'!$A$1:$F$16,MATCH(R1244,'SummaryNOT_VALIDATED-BL'!$A$1:$A$16,0),6),0),IF(S1244=TRUE,INDEX('SummaryNOT_VALIDATED-BL'!$A$1:$F$16,MATCH(E1244,'SummaryNOT_VALIDATED-BL'!$A$1:$A$16,0),6),0)),0)</f>
        <v>9.1604133276901048E-2</v>
      </c>
      <c r="V1244" s="81" cm="1">
        <f t="array" ref="V1244">INDEX('Weight tables'!$A$24:$C$27,MATCH(1,(RendicontiTrasmessiBL__2[[#This Row],[Cut percentage on real costs + USC]]&gt;='Weight tables'!$B$24:$B$27)*(RendicontiTrasmessiBL__2[[#This Row],[Cut percentage on real costs + USC]]&lt;='Weight tables'!$C$24:$C$27),0),1)</f>
        <v>4</v>
      </c>
      <c r="W1244" s="2">
        <f>RendicontiTrasmessiBL__2[[#This Row],[Weight real costs  + USC ]]</f>
        <v>4</v>
      </c>
    </row>
    <row r="1245" spans="1:23" x14ac:dyDescent="0.25">
      <c r="A1245" s="1" t="s">
        <v>57</v>
      </c>
      <c r="B1245" s="1" t="s">
        <v>27</v>
      </c>
      <c r="C1245" s="2">
        <v>309</v>
      </c>
      <c r="D1245" s="2">
        <v>64</v>
      </c>
      <c r="E1245" s="1" t="s">
        <v>229</v>
      </c>
      <c r="F1245">
        <v>15</v>
      </c>
      <c r="G1245">
        <v>31500</v>
      </c>
      <c r="H1245">
        <v>0</v>
      </c>
      <c r="I1245">
        <v>0</v>
      </c>
      <c r="J1245">
        <v>6496.56</v>
      </c>
      <c r="K1245">
        <v>0</v>
      </c>
      <c r="L1245">
        <v>6474.64</v>
      </c>
      <c r="M1245">
        <v>6496.56</v>
      </c>
      <c r="N1245">
        <v>20.62</v>
      </c>
      <c r="O1245">
        <v>25003.439999999999</v>
      </c>
      <c r="P1245">
        <v>0</v>
      </c>
      <c r="Q1245" t="str">
        <f>INDEX('Partner data'!A:DH,MATCH(C1245,'Partner data'!DG:DG,0),83)</f>
        <v xml:space="preserve">Organismo di diritto pubblico </v>
      </c>
      <c r="R1245" t="b">
        <f>IF(E1245="staff",IF(INDEX('Partner data'!A:DH,MATCH(C1245,'Partner data'!DG:DG,0),112)="BL1 non presente","FALSO",INDEX('Partner data'!A:DH,MATCH(C1245,'Partner data'!DG:DG,0),112)))</f>
        <v>0</v>
      </c>
      <c r="S1245" t="b">
        <f t="shared" si="38"/>
        <v>1</v>
      </c>
      <c r="T1245" t="b">
        <f t="shared" si="39"/>
        <v>1</v>
      </c>
      <c r="U1245" s="154">
        <f>IFERROR(IF(R1245&lt;&gt;FALSE,IF(S1245=TRUE,INDEX('SummaryNOT_VALIDATED-BL'!$A$1:$F$16,MATCH(R1245,'SummaryNOT_VALIDATED-BL'!$A$1:$A$16,0),6),0),IF(S1245=TRUE,INDEX('SummaryNOT_VALIDATED-BL'!$A$1:$F$16,MATCH(E1245,'SummaryNOT_VALIDATED-BL'!$A$1:$A$16,0),6),0)),0)</f>
        <v>6.6460469504890221E-2</v>
      </c>
      <c r="V1245" s="81" cm="1">
        <f t="array" ref="V1245">INDEX('Weight tables'!$A$24:$C$27,MATCH(1,(RendicontiTrasmessiBL__2[[#This Row],[Cut percentage on real costs + USC]]&gt;='Weight tables'!$B$24:$B$27)*(RendicontiTrasmessiBL__2[[#This Row],[Cut percentage on real costs + USC]]&lt;='Weight tables'!$C$24:$C$27),0),1)</f>
        <v>4</v>
      </c>
      <c r="W1245" s="2">
        <f>RendicontiTrasmessiBL__2[[#This Row],[Weight real costs  + USC ]]</f>
        <v>4</v>
      </c>
    </row>
    <row r="1246" spans="1:23" x14ac:dyDescent="0.25">
      <c r="A1246" s="1" t="s">
        <v>57</v>
      </c>
      <c r="B1246" s="1" t="s">
        <v>27</v>
      </c>
      <c r="C1246" s="2">
        <v>309</v>
      </c>
      <c r="D1246" s="2">
        <v>64</v>
      </c>
      <c r="E1246" s="1" t="s">
        <v>230</v>
      </c>
      <c r="F1246">
        <v>4</v>
      </c>
      <c r="G1246">
        <v>8400</v>
      </c>
      <c r="H1246">
        <v>0</v>
      </c>
      <c r="I1246">
        <v>0</v>
      </c>
      <c r="J1246">
        <v>1732.41</v>
      </c>
      <c r="K1246">
        <v>0</v>
      </c>
      <c r="L1246">
        <v>1726.57</v>
      </c>
      <c r="M1246">
        <v>1732.41</v>
      </c>
      <c r="N1246">
        <v>20.62</v>
      </c>
      <c r="O1246">
        <v>6667.59</v>
      </c>
      <c r="P1246">
        <v>0</v>
      </c>
      <c r="Q1246" t="str">
        <f>INDEX('Partner data'!A:DH,MATCH(C1246,'Partner data'!DG:DG,0),83)</f>
        <v xml:space="preserve">Organismo di diritto pubblico </v>
      </c>
      <c r="R1246" t="b">
        <f>IF(E1246="staff",IF(INDEX('Partner data'!A:DH,MATCH(C1246,'Partner data'!DG:DG,0),112)="BL1 non presente","FALSO",INDEX('Partner data'!A:DH,MATCH(C1246,'Partner data'!DG:DG,0),112)))</f>
        <v>0</v>
      </c>
      <c r="S1246" t="b">
        <f t="shared" si="38"/>
        <v>1</v>
      </c>
      <c r="T1246" t="b">
        <f t="shared" si="39"/>
        <v>1</v>
      </c>
      <c r="U1246" s="154">
        <f>IFERROR(IF(R1246&lt;&gt;FALSE,IF(S1246=TRUE,INDEX('SummaryNOT_VALIDATED-BL'!$A$1:$F$16,MATCH(R1246,'SummaryNOT_VALIDATED-BL'!$A$1:$A$16,0),6),0),IF(S1246=TRUE,INDEX('SummaryNOT_VALIDATED-BL'!$A$1:$F$16,MATCH(E1246,'SummaryNOT_VALIDATED-BL'!$A$1:$A$16,0),6),0)),0)</f>
        <v>6.3112622236488891E-2</v>
      </c>
      <c r="V1246" s="81" cm="1">
        <f t="array" ref="V1246">INDEX('Weight tables'!$A$24:$C$27,MATCH(1,(RendicontiTrasmessiBL__2[[#This Row],[Cut percentage on real costs + USC]]&gt;='Weight tables'!$B$24:$B$27)*(RendicontiTrasmessiBL__2[[#This Row],[Cut percentage on real costs + USC]]&lt;='Weight tables'!$C$24:$C$27),0),1)</f>
        <v>4</v>
      </c>
      <c r="W1246" s="2">
        <f>RendicontiTrasmessiBL__2[[#This Row],[Weight real costs  + USC ]]</f>
        <v>4</v>
      </c>
    </row>
    <row r="1247" spans="1:23" x14ac:dyDescent="0.25">
      <c r="A1247" s="1" t="s">
        <v>57</v>
      </c>
      <c r="B1247" s="1" t="s">
        <v>27</v>
      </c>
      <c r="C1247" s="2">
        <v>309</v>
      </c>
      <c r="D1247" s="2">
        <v>64</v>
      </c>
      <c r="E1247" s="1" t="s">
        <v>231</v>
      </c>
      <c r="G1247">
        <v>88800</v>
      </c>
      <c r="H1247">
        <v>0</v>
      </c>
      <c r="I1247">
        <v>0</v>
      </c>
      <c r="J1247">
        <v>0</v>
      </c>
      <c r="K1247">
        <v>0</v>
      </c>
      <c r="L1247">
        <v>0</v>
      </c>
      <c r="M1247">
        <v>0</v>
      </c>
      <c r="N1247">
        <v>0</v>
      </c>
      <c r="O1247">
        <v>88800</v>
      </c>
      <c r="P1247">
        <v>0</v>
      </c>
      <c r="Q1247" t="str">
        <f>INDEX('Partner data'!A:DH,MATCH(C1247,'Partner data'!DG:DG,0),83)</f>
        <v xml:space="preserve">Organismo di diritto pubblico </v>
      </c>
      <c r="R1247" t="b">
        <f>IF(E1247="staff",IF(INDEX('Partner data'!A:DH,MATCH(C1247,'Partner data'!DG:DG,0),112)="BL1 non presente","FALSO",INDEX('Partner data'!A:DH,MATCH(C1247,'Partner data'!DG:DG,0),112)))</f>
        <v>0</v>
      </c>
      <c r="S1247" t="b">
        <f t="shared" si="38"/>
        <v>0</v>
      </c>
      <c r="T1247" t="b">
        <f t="shared" si="39"/>
        <v>1</v>
      </c>
      <c r="U1247" s="154">
        <f>IFERROR(IF(R1247&lt;&gt;FALSE,IF(S1247=TRUE,INDEX('SummaryNOT_VALIDATED-BL'!$A$1:$F$16,MATCH(R1247,'SummaryNOT_VALIDATED-BL'!$A$1:$A$16,0),6),0),IF(S1247=TRUE,INDEX('SummaryNOT_VALIDATED-BL'!$A$1:$F$16,MATCH(E1247,'SummaryNOT_VALIDATED-BL'!$A$1:$A$16,0),6),0)),0)</f>
        <v>0</v>
      </c>
      <c r="V1247" s="81" cm="1">
        <f t="array" ref="V1247">INDEX('Weight tables'!$A$24:$C$27,MATCH(1,(RendicontiTrasmessiBL__2[[#This Row],[Cut percentage on real costs + USC]]&gt;='Weight tables'!$B$24:$B$27)*(RendicontiTrasmessiBL__2[[#This Row],[Cut percentage on real costs + USC]]&lt;='Weight tables'!$C$24:$C$27),0),1)</f>
        <v>0</v>
      </c>
      <c r="W1247" s="2">
        <f>RendicontiTrasmessiBL__2[[#This Row],[Weight real costs  + USC ]]</f>
        <v>0</v>
      </c>
    </row>
    <row r="1248" spans="1:23" x14ac:dyDescent="0.25">
      <c r="A1248" s="1" t="s">
        <v>57</v>
      </c>
      <c r="B1248" s="1" t="s">
        <v>27</v>
      </c>
      <c r="C1248" s="2">
        <v>309</v>
      </c>
      <c r="D1248" s="2">
        <v>64</v>
      </c>
      <c r="E1248" s="1" t="s">
        <v>232</v>
      </c>
      <c r="G1248">
        <v>16100</v>
      </c>
      <c r="H1248">
        <v>0</v>
      </c>
      <c r="I1248">
        <v>0</v>
      </c>
      <c r="J1248">
        <v>2993.25</v>
      </c>
      <c r="K1248">
        <v>0</v>
      </c>
      <c r="L1248">
        <v>2993.25</v>
      </c>
      <c r="M1248">
        <v>2993.25</v>
      </c>
      <c r="N1248">
        <v>18.59</v>
      </c>
      <c r="O1248">
        <v>13106.75</v>
      </c>
      <c r="P1248">
        <v>0</v>
      </c>
      <c r="Q1248" t="str">
        <f>INDEX('Partner data'!A:DH,MATCH(C1248,'Partner data'!DG:DG,0),83)</f>
        <v xml:space="preserve">Organismo di diritto pubblico </v>
      </c>
      <c r="R1248" t="b">
        <f>IF(E1248="staff",IF(INDEX('Partner data'!A:DH,MATCH(C1248,'Partner data'!DG:DG,0),112)="BL1 non presente","FALSO",INDEX('Partner data'!A:DH,MATCH(C1248,'Partner data'!DG:DG,0),112)))</f>
        <v>0</v>
      </c>
      <c r="S1248" t="b">
        <f t="shared" si="38"/>
        <v>1</v>
      </c>
      <c r="T1248" t="b">
        <f t="shared" si="39"/>
        <v>1</v>
      </c>
      <c r="U1248" s="154">
        <f>IFERROR(IF(R1248&lt;&gt;FALSE,IF(S1248=TRUE,INDEX('SummaryNOT_VALIDATED-BL'!$A$1:$F$16,MATCH(R1248,'SummaryNOT_VALIDATED-BL'!$A$1:$A$16,0),6),0),IF(S1248=TRUE,INDEX('SummaryNOT_VALIDATED-BL'!$A$1:$F$16,MATCH(E1248,'SummaryNOT_VALIDATED-BL'!$A$1:$A$16,0),6),0)),0)</f>
        <v>1.102169095281242E-2</v>
      </c>
      <c r="V1248" s="81" cm="1">
        <f t="array" ref="V1248">INDEX('Weight tables'!$A$24:$C$27,MATCH(1,(RendicontiTrasmessiBL__2[[#This Row],[Cut percentage on real costs + USC]]&gt;='Weight tables'!$B$24:$B$27)*(RendicontiTrasmessiBL__2[[#This Row],[Cut percentage on real costs + USC]]&lt;='Weight tables'!$C$24:$C$27),0),1)</f>
        <v>0</v>
      </c>
      <c r="W1248" s="2">
        <f>RendicontiTrasmessiBL__2[[#This Row],[Weight real costs  + USC ]]</f>
        <v>0</v>
      </c>
    </row>
    <row r="1249" spans="1:23" x14ac:dyDescent="0.25">
      <c r="A1249" s="1" t="s">
        <v>57</v>
      </c>
      <c r="B1249" s="1" t="s">
        <v>27</v>
      </c>
      <c r="C1249" s="2">
        <v>309</v>
      </c>
      <c r="D1249" s="2">
        <v>64</v>
      </c>
      <c r="E1249" s="1" t="s">
        <v>233</v>
      </c>
      <c r="G1249">
        <v>20200</v>
      </c>
      <c r="H1249">
        <v>0</v>
      </c>
      <c r="I1249">
        <v>0</v>
      </c>
      <c r="J1249">
        <v>0</v>
      </c>
      <c r="K1249">
        <v>0</v>
      </c>
      <c r="L1249">
        <v>0</v>
      </c>
      <c r="M1249">
        <v>0</v>
      </c>
      <c r="N1249">
        <v>0</v>
      </c>
      <c r="O1249">
        <v>20200</v>
      </c>
      <c r="P1249">
        <v>0</v>
      </c>
      <c r="Q1249" t="str">
        <f>INDEX('Partner data'!A:DH,MATCH(C1249,'Partner data'!DG:DG,0),83)</f>
        <v xml:space="preserve">Organismo di diritto pubblico </v>
      </c>
      <c r="R1249" t="b">
        <f>IF(E1249="staff",IF(INDEX('Partner data'!A:DH,MATCH(C1249,'Partner data'!DG:DG,0),112)="BL1 non presente","FALSO",INDEX('Partner data'!A:DH,MATCH(C1249,'Partner data'!DG:DG,0),112)))</f>
        <v>0</v>
      </c>
      <c r="S1249" t="b">
        <f t="shared" si="38"/>
        <v>0</v>
      </c>
      <c r="T1249" t="b">
        <f t="shared" si="39"/>
        <v>1</v>
      </c>
      <c r="U1249" s="154">
        <f>IFERROR(IF(R1249&lt;&gt;FALSE,IF(S1249=TRUE,INDEX('SummaryNOT_VALIDATED-BL'!$A$1:$F$16,MATCH(R1249,'SummaryNOT_VALIDATED-BL'!$A$1:$A$16,0),6),0),IF(S1249=TRUE,INDEX('SummaryNOT_VALIDATED-BL'!$A$1:$F$16,MATCH(E1249,'SummaryNOT_VALIDATED-BL'!$A$1:$A$16,0),6),0)),0)</f>
        <v>0</v>
      </c>
      <c r="V1249" s="81" cm="1">
        <f t="array" ref="V1249">INDEX('Weight tables'!$A$24:$C$27,MATCH(1,(RendicontiTrasmessiBL__2[[#This Row],[Cut percentage on real costs + USC]]&gt;='Weight tables'!$B$24:$B$27)*(RendicontiTrasmessiBL__2[[#This Row],[Cut percentage on real costs + USC]]&lt;='Weight tables'!$C$24:$C$27),0),1)</f>
        <v>0</v>
      </c>
      <c r="W1249" s="2">
        <f>RendicontiTrasmessiBL__2[[#This Row],[Weight real costs  + USC ]]</f>
        <v>0</v>
      </c>
    </row>
    <row r="1250" spans="1:23" x14ac:dyDescent="0.25">
      <c r="A1250" s="1" t="s">
        <v>57</v>
      </c>
      <c r="B1250" s="1" t="s">
        <v>27</v>
      </c>
      <c r="C1250" s="2">
        <v>309</v>
      </c>
      <c r="D1250" s="2">
        <v>64</v>
      </c>
      <c r="E1250" s="1" t="s">
        <v>234</v>
      </c>
      <c r="G1250">
        <v>0</v>
      </c>
      <c r="H1250">
        <v>0</v>
      </c>
      <c r="I1250">
        <v>0</v>
      </c>
      <c r="J1250">
        <v>0</v>
      </c>
      <c r="K1250">
        <v>0</v>
      </c>
      <c r="L1250">
        <v>0</v>
      </c>
      <c r="M1250">
        <v>0</v>
      </c>
      <c r="N1250">
        <v>0</v>
      </c>
      <c r="O1250">
        <v>0</v>
      </c>
      <c r="P1250">
        <v>0</v>
      </c>
      <c r="Q1250" t="str">
        <f>INDEX('Partner data'!A:DH,MATCH(C1250,'Partner data'!DG:DG,0),83)</f>
        <v xml:space="preserve">Organismo di diritto pubblico </v>
      </c>
      <c r="R1250" t="b">
        <f>IF(E1250="staff",IF(INDEX('Partner data'!A:DH,MATCH(C1250,'Partner data'!DG:DG,0),112)="BL1 non presente","FALSO",INDEX('Partner data'!A:DH,MATCH(C1250,'Partner data'!DG:DG,0),112)))</f>
        <v>0</v>
      </c>
      <c r="S1250" t="b">
        <f t="shared" si="38"/>
        <v>0</v>
      </c>
      <c r="T1250" t="b">
        <f t="shared" si="39"/>
        <v>1</v>
      </c>
      <c r="U1250" s="154">
        <f>IFERROR(IF(R1250&lt;&gt;FALSE,IF(S1250=TRUE,INDEX('SummaryNOT_VALIDATED-BL'!$A$1:$F$16,MATCH(R1250,'SummaryNOT_VALIDATED-BL'!$A$1:$A$16,0),6),0),IF(S1250=TRUE,INDEX('SummaryNOT_VALIDATED-BL'!$A$1:$F$16,MATCH(E1250,'SummaryNOT_VALIDATED-BL'!$A$1:$A$16,0),6),0)),0)</f>
        <v>0</v>
      </c>
      <c r="V1250" s="81" cm="1">
        <f t="array" ref="V1250">INDEX('Weight tables'!$A$24:$C$27,MATCH(1,(RendicontiTrasmessiBL__2[[#This Row],[Cut percentage on real costs + USC]]&gt;='Weight tables'!$B$24:$B$27)*(RendicontiTrasmessiBL__2[[#This Row],[Cut percentage on real costs + USC]]&lt;='Weight tables'!$C$24:$C$27),0),1)</f>
        <v>0</v>
      </c>
      <c r="W1250" s="2">
        <f>RendicontiTrasmessiBL__2[[#This Row],[Weight real costs  + USC ]]</f>
        <v>0</v>
      </c>
    </row>
    <row r="1251" spans="1:23" x14ac:dyDescent="0.25">
      <c r="A1251" s="1" t="s">
        <v>57</v>
      </c>
      <c r="B1251" s="1" t="s">
        <v>27</v>
      </c>
      <c r="C1251" s="2">
        <v>309</v>
      </c>
      <c r="D1251" s="2">
        <v>64</v>
      </c>
      <c r="E1251" s="1" t="s">
        <v>236</v>
      </c>
      <c r="G1251">
        <v>0</v>
      </c>
      <c r="H1251">
        <v>0</v>
      </c>
      <c r="I1251">
        <v>0</v>
      </c>
      <c r="J1251">
        <v>0</v>
      </c>
      <c r="K1251">
        <v>0</v>
      </c>
      <c r="L1251">
        <v>0</v>
      </c>
      <c r="M1251">
        <v>0</v>
      </c>
      <c r="N1251">
        <v>0</v>
      </c>
      <c r="O1251">
        <v>0</v>
      </c>
      <c r="P1251">
        <v>0</v>
      </c>
      <c r="Q1251" t="str">
        <f>INDEX('Partner data'!A:DH,MATCH(C1251,'Partner data'!DG:DG,0),83)</f>
        <v xml:space="preserve">Organismo di diritto pubblico </v>
      </c>
      <c r="R1251" t="b">
        <f>IF(E1251="staff",IF(INDEX('Partner data'!A:DH,MATCH(C1251,'Partner data'!DG:DG,0),112)="BL1 non presente","FALSO",INDEX('Partner data'!A:DH,MATCH(C1251,'Partner data'!DG:DG,0),112)))</f>
        <v>0</v>
      </c>
      <c r="S1251" t="b">
        <f t="shared" si="38"/>
        <v>0</v>
      </c>
      <c r="T1251" t="b">
        <f t="shared" si="39"/>
        <v>1</v>
      </c>
      <c r="U1251" s="154">
        <f>IFERROR(IF(R1251&lt;&gt;FALSE,IF(S1251=TRUE,INDEX('SummaryNOT_VALIDATED-BL'!$A$1:$F$16,MATCH(R1251,'SummaryNOT_VALIDATED-BL'!$A$1:$A$16,0),6),0),IF(S1251=TRUE,INDEX('SummaryNOT_VALIDATED-BL'!$A$1:$F$16,MATCH(E1251,'SummaryNOT_VALIDATED-BL'!$A$1:$A$16,0),6),0)),0)</f>
        <v>0</v>
      </c>
      <c r="V1251" s="81" cm="1">
        <f t="array" ref="V1251">INDEX('Weight tables'!$A$24:$C$27,MATCH(1,(RendicontiTrasmessiBL__2[[#This Row],[Cut percentage on real costs + USC]]&gt;='Weight tables'!$B$24:$B$27)*(RendicontiTrasmessiBL__2[[#This Row],[Cut percentage on real costs + USC]]&lt;='Weight tables'!$C$24:$C$27),0),1)</f>
        <v>0</v>
      </c>
      <c r="W1251" s="2">
        <f>RendicontiTrasmessiBL__2[[#This Row],[Weight real costs  + USC ]]</f>
        <v>0</v>
      </c>
    </row>
    <row r="1252" spans="1:23" x14ac:dyDescent="0.25">
      <c r="A1252" s="1" t="s">
        <v>57</v>
      </c>
      <c r="B1252" s="1" t="s">
        <v>27</v>
      </c>
      <c r="C1252" s="2">
        <v>309</v>
      </c>
      <c r="D1252" s="2">
        <v>64</v>
      </c>
      <c r="E1252" s="1" t="s">
        <v>237</v>
      </c>
      <c r="G1252">
        <v>0</v>
      </c>
      <c r="H1252">
        <v>0</v>
      </c>
      <c r="I1252">
        <v>0</v>
      </c>
      <c r="J1252">
        <v>0</v>
      </c>
      <c r="K1252">
        <v>0</v>
      </c>
      <c r="L1252">
        <v>0</v>
      </c>
      <c r="M1252">
        <v>0</v>
      </c>
      <c r="N1252">
        <v>0</v>
      </c>
      <c r="O1252">
        <v>0</v>
      </c>
      <c r="P1252">
        <v>0</v>
      </c>
      <c r="Q1252" t="str">
        <f>INDEX('Partner data'!A:DH,MATCH(C1252,'Partner data'!DG:DG,0),83)</f>
        <v xml:space="preserve">Organismo di diritto pubblico </v>
      </c>
      <c r="R1252" t="b">
        <f>IF(E1252="staff",IF(INDEX('Partner data'!A:DH,MATCH(C1252,'Partner data'!DG:DG,0),112)="BL1 non presente","FALSO",INDEX('Partner data'!A:DH,MATCH(C1252,'Partner data'!DG:DG,0),112)))</f>
        <v>0</v>
      </c>
      <c r="S1252" t="b">
        <f t="shared" si="38"/>
        <v>0</v>
      </c>
      <c r="T1252" t="b">
        <f t="shared" si="39"/>
        <v>1</v>
      </c>
      <c r="U1252" s="154">
        <f>IFERROR(IF(R1252&lt;&gt;FALSE,IF(S1252=TRUE,INDEX('SummaryNOT_VALIDATED-BL'!$A$1:$F$16,MATCH(R1252,'SummaryNOT_VALIDATED-BL'!$A$1:$A$16,0),6),0),IF(S1252=TRUE,INDEX('SummaryNOT_VALIDATED-BL'!$A$1:$F$16,MATCH(E1252,'SummaryNOT_VALIDATED-BL'!$A$1:$A$16,0),6),0)),0)</f>
        <v>0</v>
      </c>
      <c r="V1252" s="81" cm="1">
        <f t="array" ref="V1252">INDEX('Weight tables'!$A$24:$C$27,MATCH(1,(RendicontiTrasmessiBL__2[[#This Row],[Cut percentage on real costs + USC]]&gt;='Weight tables'!$B$24:$B$27)*(RendicontiTrasmessiBL__2[[#This Row],[Cut percentage on real costs + USC]]&lt;='Weight tables'!$C$24:$C$27),0),1)</f>
        <v>0</v>
      </c>
      <c r="W1252" s="2">
        <f>RendicontiTrasmessiBL__2[[#This Row],[Weight real costs  + USC ]]</f>
        <v>0</v>
      </c>
    </row>
    <row r="1253" spans="1:23" x14ac:dyDescent="0.25">
      <c r="A1253" s="1" t="s">
        <v>57</v>
      </c>
      <c r="B1253" s="1" t="s">
        <v>20</v>
      </c>
      <c r="C1253" s="2">
        <v>304</v>
      </c>
      <c r="D1253" s="2">
        <v>243</v>
      </c>
      <c r="E1253" s="1" t="s">
        <v>228</v>
      </c>
      <c r="F1253">
        <v>20</v>
      </c>
      <c r="G1253">
        <v>70678.509999999995</v>
      </c>
      <c r="H1253">
        <v>61</v>
      </c>
      <c r="I1253">
        <v>0</v>
      </c>
      <c r="J1253">
        <v>2879.8</v>
      </c>
      <c r="K1253">
        <v>0</v>
      </c>
      <c r="L1253">
        <v>2841.24</v>
      </c>
      <c r="M1253">
        <v>2940.8</v>
      </c>
      <c r="N1253">
        <v>4.16</v>
      </c>
      <c r="O1253">
        <v>67737.710000000006</v>
      </c>
      <c r="P1253">
        <v>61</v>
      </c>
      <c r="Q1253" t="str">
        <f>INDEX('Partner data'!A:DH,MATCH(C1253,'Partner data'!DG:DG,0),83)</f>
        <v>Soggetto pubblico</v>
      </c>
      <c r="R1253" t="str">
        <f>IF(E1253="staff",IF(INDEX('Partner data'!A:DH,MATCH(C1253,'Partner data'!DG:DG,0),112)="BL1 non presente","FALSO",INDEX('Partner data'!A:DH,MATCH(C1253,'Partner data'!DG:DG,0),112)))</f>
        <v>Tasso Forfettario 20%</v>
      </c>
      <c r="S1253" t="b">
        <f t="shared" si="38"/>
        <v>1</v>
      </c>
      <c r="T1253" t="b">
        <f t="shared" si="39"/>
        <v>1</v>
      </c>
      <c r="U1253" s="154">
        <f>IFERROR(IF(R1253&lt;&gt;FALSE,IF(S1253=TRUE,INDEX('SummaryNOT_VALIDATED-BL'!$A$1:$F$16,MATCH(R1253,'SummaryNOT_VALIDATED-BL'!$A$1:$A$16,0),6),0),IF(S1253=TRUE,INDEX('SummaryNOT_VALIDATED-BL'!$A$1:$F$16,MATCH(E1253,'SummaryNOT_VALIDATED-BL'!$A$1:$A$16,0),6),0)),0)</f>
        <v>1.2653355650533233E-2</v>
      </c>
      <c r="V1253" s="81" cm="1">
        <f t="array" ref="V1253">INDEX('Weight tables'!$A$24:$C$27,MATCH(1,(RendicontiTrasmessiBL__2[[#This Row],[Cut percentage on real costs + USC]]&gt;='Weight tables'!$B$24:$B$27)*(RendicontiTrasmessiBL__2[[#This Row],[Cut percentage on real costs + USC]]&lt;='Weight tables'!$C$24:$C$27),0),1)</f>
        <v>0</v>
      </c>
      <c r="W1253" s="2">
        <f>RendicontiTrasmessiBL__2[[#This Row],[Weight real costs  + USC ]]</f>
        <v>0</v>
      </c>
    </row>
    <row r="1254" spans="1:23" x14ac:dyDescent="0.25">
      <c r="A1254" s="1" t="s">
        <v>57</v>
      </c>
      <c r="B1254" s="1" t="s">
        <v>20</v>
      </c>
      <c r="C1254" s="2">
        <v>304</v>
      </c>
      <c r="D1254" s="2">
        <v>243</v>
      </c>
      <c r="E1254" s="1" t="s">
        <v>229</v>
      </c>
      <c r="F1254">
        <v>15</v>
      </c>
      <c r="G1254">
        <v>10601.77</v>
      </c>
      <c r="H1254">
        <v>9.15</v>
      </c>
      <c r="I1254">
        <v>0</v>
      </c>
      <c r="J1254">
        <v>431.97</v>
      </c>
      <c r="K1254">
        <v>0</v>
      </c>
      <c r="L1254">
        <v>426.18</v>
      </c>
      <c r="M1254">
        <v>441.12</v>
      </c>
      <c r="N1254">
        <v>4.16</v>
      </c>
      <c r="O1254">
        <v>10160.65</v>
      </c>
      <c r="P1254">
        <v>9.15</v>
      </c>
      <c r="Q1254" t="str">
        <f>INDEX('Partner data'!A:DH,MATCH(C1254,'Partner data'!DG:DG,0),83)</f>
        <v>Soggetto pubblico</v>
      </c>
      <c r="R1254" t="b">
        <f>IF(E1254="staff",IF(INDEX('Partner data'!A:DH,MATCH(C1254,'Partner data'!DG:DG,0),112)="BL1 non presente","FALSO",INDEX('Partner data'!A:DH,MATCH(C1254,'Partner data'!DG:DG,0),112)))</f>
        <v>0</v>
      </c>
      <c r="S1254" t="b">
        <f t="shared" si="38"/>
        <v>1</v>
      </c>
      <c r="T1254" t="b">
        <f t="shared" si="39"/>
        <v>1</v>
      </c>
      <c r="U1254" s="154">
        <f>IFERROR(IF(R1254&lt;&gt;FALSE,IF(S1254=TRUE,INDEX('SummaryNOT_VALIDATED-BL'!$A$1:$F$16,MATCH(R1254,'SummaryNOT_VALIDATED-BL'!$A$1:$A$16,0),6),0),IF(S1254=TRUE,INDEX('SummaryNOT_VALIDATED-BL'!$A$1:$F$16,MATCH(E1254,'SummaryNOT_VALIDATED-BL'!$A$1:$A$16,0),6),0)),0)</f>
        <v>6.6460469504890221E-2</v>
      </c>
      <c r="V1254" s="81" cm="1">
        <f t="array" ref="V1254">INDEX('Weight tables'!$A$24:$C$27,MATCH(1,(RendicontiTrasmessiBL__2[[#This Row],[Cut percentage on real costs + USC]]&gt;='Weight tables'!$B$24:$B$27)*(RendicontiTrasmessiBL__2[[#This Row],[Cut percentage on real costs + USC]]&lt;='Weight tables'!$C$24:$C$27),0),1)</f>
        <v>4</v>
      </c>
      <c r="W1254" s="2">
        <f>RendicontiTrasmessiBL__2[[#This Row],[Weight real costs  + USC ]]</f>
        <v>4</v>
      </c>
    </row>
    <row r="1255" spans="1:23" x14ac:dyDescent="0.25">
      <c r="A1255" s="1" t="s">
        <v>57</v>
      </c>
      <c r="B1255" s="1" t="s">
        <v>20</v>
      </c>
      <c r="C1255" s="2">
        <v>304</v>
      </c>
      <c r="D1255" s="2">
        <v>243</v>
      </c>
      <c r="E1255" s="1" t="s">
        <v>230</v>
      </c>
      <c r="F1255">
        <v>4</v>
      </c>
      <c r="G1255">
        <v>2827.14</v>
      </c>
      <c r="H1255">
        <v>2.44</v>
      </c>
      <c r="I1255">
        <v>0</v>
      </c>
      <c r="J1255">
        <v>115.19</v>
      </c>
      <c r="K1255">
        <v>0</v>
      </c>
      <c r="L1255">
        <v>113.64</v>
      </c>
      <c r="M1255">
        <v>117.63</v>
      </c>
      <c r="N1255">
        <v>4.16</v>
      </c>
      <c r="O1255">
        <v>2709.51</v>
      </c>
      <c r="P1255">
        <v>2.44</v>
      </c>
      <c r="Q1255" t="str">
        <f>INDEX('Partner data'!A:DH,MATCH(C1255,'Partner data'!DG:DG,0),83)</f>
        <v>Soggetto pubblico</v>
      </c>
      <c r="R1255" t="b">
        <f>IF(E1255="staff",IF(INDEX('Partner data'!A:DH,MATCH(C1255,'Partner data'!DG:DG,0),112)="BL1 non presente","FALSO",INDEX('Partner data'!A:DH,MATCH(C1255,'Partner data'!DG:DG,0),112)))</f>
        <v>0</v>
      </c>
      <c r="S1255" t="b">
        <f t="shared" si="38"/>
        <v>1</v>
      </c>
      <c r="T1255" t="b">
        <f t="shared" si="39"/>
        <v>1</v>
      </c>
      <c r="U1255" s="154">
        <f>IFERROR(IF(R1255&lt;&gt;FALSE,IF(S1255=TRUE,INDEX('SummaryNOT_VALIDATED-BL'!$A$1:$F$16,MATCH(R1255,'SummaryNOT_VALIDATED-BL'!$A$1:$A$16,0),6),0),IF(S1255=TRUE,INDEX('SummaryNOT_VALIDATED-BL'!$A$1:$F$16,MATCH(E1255,'SummaryNOT_VALIDATED-BL'!$A$1:$A$16,0),6),0)),0)</f>
        <v>6.3112622236488891E-2</v>
      </c>
      <c r="V1255" s="81" cm="1">
        <f t="array" ref="V1255">INDEX('Weight tables'!$A$24:$C$27,MATCH(1,(RendicontiTrasmessiBL__2[[#This Row],[Cut percentage on real costs + USC]]&gt;='Weight tables'!$B$24:$B$27)*(RendicontiTrasmessiBL__2[[#This Row],[Cut percentage on real costs + USC]]&lt;='Weight tables'!$C$24:$C$27),0),1)</f>
        <v>4</v>
      </c>
      <c r="W1255" s="2">
        <f>RendicontiTrasmessiBL__2[[#This Row],[Weight real costs  + USC ]]</f>
        <v>4</v>
      </c>
    </row>
    <row r="1256" spans="1:23" x14ac:dyDescent="0.25">
      <c r="A1256" s="1" t="s">
        <v>57</v>
      </c>
      <c r="B1256" s="1" t="s">
        <v>20</v>
      </c>
      <c r="C1256" s="2">
        <v>304</v>
      </c>
      <c r="D1256" s="2">
        <v>243</v>
      </c>
      <c r="E1256" s="1" t="s">
        <v>231</v>
      </c>
      <c r="G1256">
        <v>353392.58</v>
      </c>
      <c r="H1256">
        <v>305</v>
      </c>
      <c r="I1256">
        <v>0</v>
      </c>
      <c r="J1256">
        <v>14399</v>
      </c>
      <c r="K1256">
        <v>0</v>
      </c>
      <c r="L1256">
        <v>14206.22</v>
      </c>
      <c r="M1256">
        <v>14704</v>
      </c>
      <c r="N1256">
        <v>4.16</v>
      </c>
      <c r="O1256">
        <v>338688.58</v>
      </c>
      <c r="P1256">
        <v>305</v>
      </c>
      <c r="Q1256" t="str">
        <f>INDEX('Partner data'!A:DH,MATCH(C1256,'Partner data'!DG:DG,0),83)</f>
        <v>Soggetto pubblico</v>
      </c>
      <c r="R1256" t="b">
        <f>IF(E1256="staff",IF(INDEX('Partner data'!A:DH,MATCH(C1256,'Partner data'!DG:DG,0),112)="BL1 non presente","FALSO",INDEX('Partner data'!A:DH,MATCH(C1256,'Partner data'!DG:DG,0),112)))</f>
        <v>0</v>
      </c>
      <c r="S1256" t="b">
        <f t="shared" si="38"/>
        <v>1</v>
      </c>
      <c r="T1256" t="b">
        <f t="shared" si="39"/>
        <v>1</v>
      </c>
      <c r="U1256" s="154">
        <f>IFERROR(IF(R1256&lt;&gt;FALSE,IF(S1256=TRUE,INDEX('SummaryNOT_VALIDATED-BL'!$A$1:$F$16,MATCH(R1256,'SummaryNOT_VALIDATED-BL'!$A$1:$A$16,0),6),0),IF(S1256=TRUE,INDEX('SummaryNOT_VALIDATED-BL'!$A$1:$F$16,MATCH(E1256,'SummaryNOT_VALIDATED-BL'!$A$1:$A$16,0),6),0)),0)</f>
        <v>5.577594442215475E-2</v>
      </c>
      <c r="V1256" s="81" cm="1">
        <f t="array" ref="V1256">INDEX('Weight tables'!$A$24:$C$27,MATCH(1,(RendicontiTrasmessiBL__2[[#This Row],[Cut percentage on real costs + USC]]&gt;='Weight tables'!$B$24:$B$27)*(RendicontiTrasmessiBL__2[[#This Row],[Cut percentage on real costs + USC]]&lt;='Weight tables'!$C$24:$C$27),0),1)</f>
        <v>4</v>
      </c>
      <c r="W1256" s="2">
        <f>RendicontiTrasmessiBL__2[[#This Row],[Weight real costs  + USC ]]</f>
        <v>4</v>
      </c>
    </row>
    <row r="1257" spans="1:23" x14ac:dyDescent="0.25">
      <c r="A1257" s="1" t="s">
        <v>57</v>
      </c>
      <c r="B1257" s="1" t="s">
        <v>20</v>
      </c>
      <c r="C1257" s="2">
        <v>304</v>
      </c>
      <c r="D1257" s="2">
        <v>243</v>
      </c>
      <c r="E1257" s="1" t="s">
        <v>232</v>
      </c>
      <c r="G1257">
        <v>0</v>
      </c>
      <c r="H1257">
        <v>0</v>
      </c>
      <c r="I1257">
        <v>0</v>
      </c>
      <c r="J1257">
        <v>0</v>
      </c>
      <c r="K1257">
        <v>0</v>
      </c>
      <c r="L1257">
        <v>0</v>
      </c>
      <c r="M1257">
        <v>0</v>
      </c>
      <c r="N1257">
        <v>0</v>
      </c>
      <c r="O1257">
        <v>0</v>
      </c>
      <c r="P1257">
        <v>0</v>
      </c>
      <c r="Q1257" t="str">
        <f>INDEX('Partner data'!A:DH,MATCH(C1257,'Partner data'!DG:DG,0),83)</f>
        <v>Soggetto pubblico</v>
      </c>
      <c r="R1257" t="b">
        <f>IF(E1257="staff",IF(INDEX('Partner data'!A:DH,MATCH(C1257,'Partner data'!DG:DG,0),112)="BL1 non presente","FALSO",INDEX('Partner data'!A:DH,MATCH(C1257,'Partner data'!DG:DG,0),112)))</f>
        <v>0</v>
      </c>
      <c r="S1257" t="b">
        <f t="shared" si="38"/>
        <v>0</v>
      </c>
      <c r="T1257" t="b">
        <f t="shared" si="39"/>
        <v>1</v>
      </c>
      <c r="U1257" s="154">
        <f>IFERROR(IF(R1257&lt;&gt;FALSE,IF(S1257=TRUE,INDEX('SummaryNOT_VALIDATED-BL'!$A$1:$F$16,MATCH(R1257,'SummaryNOT_VALIDATED-BL'!$A$1:$A$16,0),6),0),IF(S1257=TRUE,INDEX('SummaryNOT_VALIDATED-BL'!$A$1:$F$16,MATCH(E1257,'SummaryNOT_VALIDATED-BL'!$A$1:$A$16,0),6),0)),0)</f>
        <v>0</v>
      </c>
      <c r="V1257" s="81" cm="1">
        <f t="array" ref="V1257">INDEX('Weight tables'!$A$24:$C$27,MATCH(1,(RendicontiTrasmessiBL__2[[#This Row],[Cut percentage on real costs + USC]]&gt;='Weight tables'!$B$24:$B$27)*(RendicontiTrasmessiBL__2[[#This Row],[Cut percentage on real costs + USC]]&lt;='Weight tables'!$C$24:$C$27),0),1)</f>
        <v>0</v>
      </c>
      <c r="W1257" s="2">
        <f>RendicontiTrasmessiBL__2[[#This Row],[Weight real costs  + USC ]]</f>
        <v>0</v>
      </c>
    </row>
    <row r="1258" spans="1:23" x14ac:dyDescent="0.25">
      <c r="A1258" s="1" t="s">
        <v>57</v>
      </c>
      <c r="B1258" s="1" t="s">
        <v>20</v>
      </c>
      <c r="C1258" s="2">
        <v>304</v>
      </c>
      <c r="D1258" s="2">
        <v>243</v>
      </c>
      <c r="E1258" s="1" t="s">
        <v>233</v>
      </c>
      <c r="G1258">
        <v>0</v>
      </c>
      <c r="H1258">
        <v>0</v>
      </c>
      <c r="I1258">
        <v>0</v>
      </c>
      <c r="J1258">
        <v>0</v>
      </c>
      <c r="K1258">
        <v>0</v>
      </c>
      <c r="L1258">
        <v>0</v>
      </c>
      <c r="M1258">
        <v>0</v>
      </c>
      <c r="N1258">
        <v>0</v>
      </c>
      <c r="O1258">
        <v>0</v>
      </c>
      <c r="P1258">
        <v>0</v>
      </c>
      <c r="Q1258" t="str">
        <f>INDEX('Partner data'!A:DH,MATCH(C1258,'Partner data'!DG:DG,0),83)</f>
        <v>Soggetto pubblico</v>
      </c>
      <c r="R1258" t="b">
        <f>IF(E1258="staff",IF(INDEX('Partner data'!A:DH,MATCH(C1258,'Partner data'!DG:DG,0),112)="BL1 non presente","FALSO",INDEX('Partner data'!A:DH,MATCH(C1258,'Partner data'!DG:DG,0),112)))</f>
        <v>0</v>
      </c>
      <c r="S1258" t="b">
        <f t="shared" si="38"/>
        <v>0</v>
      </c>
      <c r="T1258" t="b">
        <f t="shared" si="39"/>
        <v>1</v>
      </c>
      <c r="U1258" s="154">
        <f>IFERROR(IF(R1258&lt;&gt;FALSE,IF(S1258=TRUE,INDEX('SummaryNOT_VALIDATED-BL'!$A$1:$F$16,MATCH(R1258,'SummaryNOT_VALIDATED-BL'!$A$1:$A$16,0),6),0),IF(S1258=TRUE,INDEX('SummaryNOT_VALIDATED-BL'!$A$1:$F$16,MATCH(E1258,'SummaryNOT_VALIDATED-BL'!$A$1:$A$16,0),6),0)),0)</f>
        <v>0</v>
      </c>
      <c r="V1258" s="81" cm="1">
        <f t="array" ref="V1258">INDEX('Weight tables'!$A$24:$C$27,MATCH(1,(RendicontiTrasmessiBL__2[[#This Row],[Cut percentage on real costs + USC]]&gt;='Weight tables'!$B$24:$B$27)*(RendicontiTrasmessiBL__2[[#This Row],[Cut percentage on real costs + USC]]&lt;='Weight tables'!$C$24:$C$27),0),1)</f>
        <v>0</v>
      </c>
      <c r="W1258" s="2">
        <f>RendicontiTrasmessiBL__2[[#This Row],[Weight real costs  + USC ]]</f>
        <v>0</v>
      </c>
    </row>
    <row r="1259" spans="1:23" x14ac:dyDescent="0.25">
      <c r="A1259" s="1" t="s">
        <v>57</v>
      </c>
      <c r="B1259" s="1" t="s">
        <v>20</v>
      </c>
      <c r="C1259" s="2">
        <v>304</v>
      </c>
      <c r="D1259" s="2">
        <v>243</v>
      </c>
      <c r="E1259" s="1" t="s">
        <v>234</v>
      </c>
      <c r="G1259">
        <v>0</v>
      </c>
      <c r="H1259">
        <v>0</v>
      </c>
      <c r="I1259">
        <v>0</v>
      </c>
      <c r="J1259">
        <v>0</v>
      </c>
      <c r="K1259">
        <v>0</v>
      </c>
      <c r="L1259">
        <v>0</v>
      </c>
      <c r="M1259">
        <v>0</v>
      </c>
      <c r="N1259">
        <v>0</v>
      </c>
      <c r="O1259">
        <v>0</v>
      </c>
      <c r="P1259">
        <v>0</v>
      </c>
      <c r="Q1259" t="str">
        <f>INDEX('Partner data'!A:DH,MATCH(C1259,'Partner data'!DG:DG,0),83)</f>
        <v>Soggetto pubblico</v>
      </c>
      <c r="R1259" t="b">
        <f>IF(E1259="staff",IF(INDEX('Partner data'!A:DH,MATCH(C1259,'Partner data'!DG:DG,0),112)="BL1 non presente","FALSO",INDEX('Partner data'!A:DH,MATCH(C1259,'Partner data'!DG:DG,0),112)))</f>
        <v>0</v>
      </c>
      <c r="S1259" t="b">
        <f t="shared" si="38"/>
        <v>0</v>
      </c>
      <c r="T1259" t="b">
        <f t="shared" si="39"/>
        <v>1</v>
      </c>
      <c r="U1259" s="154">
        <f>IFERROR(IF(R1259&lt;&gt;FALSE,IF(S1259=TRUE,INDEX('SummaryNOT_VALIDATED-BL'!$A$1:$F$16,MATCH(R1259,'SummaryNOT_VALIDATED-BL'!$A$1:$A$16,0),6),0),IF(S1259=TRUE,INDEX('SummaryNOT_VALIDATED-BL'!$A$1:$F$16,MATCH(E1259,'SummaryNOT_VALIDATED-BL'!$A$1:$A$16,0),6),0)),0)</f>
        <v>0</v>
      </c>
      <c r="V1259" s="81" cm="1">
        <f t="array" ref="V1259">INDEX('Weight tables'!$A$24:$C$27,MATCH(1,(RendicontiTrasmessiBL__2[[#This Row],[Cut percentage on real costs + USC]]&gt;='Weight tables'!$B$24:$B$27)*(RendicontiTrasmessiBL__2[[#This Row],[Cut percentage on real costs + USC]]&lt;='Weight tables'!$C$24:$C$27),0),1)</f>
        <v>0</v>
      </c>
      <c r="W1259" s="2">
        <f>RendicontiTrasmessiBL__2[[#This Row],[Weight real costs  + USC ]]</f>
        <v>0</v>
      </c>
    </row>
    <row r="1260" spans="1:23" x14ac:dyDescent="0.25">
      <c r="A1260" s="1" t="s">
        <v>57</v>
      </c>
      <c r="B1260" s="1" t="s">
        <v>20</v>
      </c>
      <c r="C1260" s="2">
        <v>304</v>
      </c>
      <c r="D1260" s="2">
        <v>243</v>
      </c>
      <c r="E1260" s="1" t="s">
        <v>236</v>
      </c>
      <c r="G1260">
        <v>0</v>
      </c>
      <c r="H1260">
        <v>0</v>
      </c>
      <c r="I1260">
        <v>0</v>
      </c>
      <c r="J1260">
        <v>0</v>
      </c>
      <c r="K1260">
        <v>0</v>
      </c>
      <c r="L1260">
        <v>0</v>
      </c>
      <c r="M1260">
        <v>0</v>
      </c>
      <c r="N1260">
        <v>0</v>
      </c>
      <c r="O1260">
        <v>0</v>
      </c>
      <c r="P1260">
        <v>0</v>
      </c>
      <c r="Q1260" t="str">
        <f>INDEX('Partner data'!A:DH,MATCH(C1260,'Partner data'!DG:DG,0),83)</f>
        <v>Soggetto pubblico</v>
      </c>
      <c r="R1260" t="b">
        <f>IF(E1260="staff",IF(INDEX('Partner data'!A:DH,MATCH(C1260,'Partner data'!DG:DG,0),112)="BL1 non presente","FALSO",INDEX('Partner data'!A:DH,MATCH(C1260,'Partner data'!DG:DG,0),112)))</f>
        <v>0</v>
      </c>
      <c r="S1260" t="b">
        <f t="shared" si="38"/>
        <v>0</v>
      </c>
      <c r="T1260" t="b">
        <f t="shared" si="39"/>
        <v>1</v>
      </c>
      <c r="U1260" s="154">
        <f>IFERROR(IF(R1260&lt;&gt;FALSE,IF(S1260=TRUE,INDEX('SummaryNOT_VALIDATED-BL'!$A$1:$F$16,MATCH(R1260,'SummaryNOT_VALIDATED-BL'!$A$1:$A$16,0),6),0),IF(S1260=TRUE,INDEX('SummaryNOT_VALIDATED-BL'!$A$1:$F$16,MATCH(E1260,'SummaryNOT_VALIDATED-BL'!$A$1:$A$16,0),6),0)),0)</f>
        <v>0</v>
      </c>
      <c r="V1260" s="81" cm="1">
        <f t="array" ref="V1260">INDEX('Weight tables'!$A$24:$C$27,MATCH(1,(RendicontiTrasmessiBL__2[[#This Row],[Cut percentage on real costs + USC]]&gt;='Weight tables'!$B$24:$B$27)*(RendicontiTrasmessiBL__2[[#This Row],[Cut percentage on real costs + USC]]&lt;='Weight tables'!$C$24:$C$27),0),1)</f>
        <v>0</v>
      </c>
      <c r="W1260" s="2">
        <f>RendicontiTrasmessiBL__2[[#This Row],[Weight real costs  + USC ]]</f>
        <v>0</v>
      </c>
    </row>
    <row r="1261" spans="1:23" x14ac:dyDescent="0.25">
      <c r="A1261" s="1" t="s">
        <v>57</v>
      </c>
      <c r="B1261" s="1" t="s">
        <v>20</v>
      </c>
      <c r="C1261" s="2">
        <v>304</v>
      </c>
      <c r="D1261" s="2">
        <v>243</v>
      </c>
      <c r="E1261" s="1" t="s">
        <v>237</v>
      </c>
      <c r="G1261">
        <v>0</v>
      </c>
      <c r="H1261">
        <v>0</v>
      </c>
      <c r="I1261">
        <v>0</v>
      </c>
      <c r="J1261">
        <v>0</v>
      </c>
      <c r="K1261">
        <v>0</v>
      </c>
      <c r="L1261">
        <v>0</v>
      </c>
      <c r="M1261">
        <v>0</v>
      </c>
      <c r="N1261">
        <v>0</v>
      </c>
      <c r="O1261">
        <v>0</v>
      </c>
      <c r="P1261">
        <v>0</v>
      </c>
      <c r="Q1261" t="str">
        <f>INDEX('Partner data'!A:DH,MATCH(C1261,'Partner data'!DG:DG,0),83)</f>
        <v>Soggetto pubblico</v>
      </c>
      <c r="R1261" t="b">
        <f>IF(E1261="staff",IF(INDEX('Partner data'!A:DH,MATCH(C1261,'Partner data'!DG:DG,0),112)="BL1 non presente","FALSO",INDEX('Partner data'!A:DH,MATCH(C1261,'Partner data'!DG:DG,0),112)))</f>
        <v>0</v>
      </c>
      <c r="S1261" t="b">
        <f t="shared" si="38"/>
        <v>0</v>
      </c>
      <c r="T1261" t="b">
        <f t="shared" si="39"/>
        <v>1</v>
      </c>
      <c r="U1261" s="154">
        <f>IFERROR(IF(R1261&lt;&gt;FALSE,IF(S1261=TRUE,INDEX('SummaryNOT_VALIDATED-BL'!$A$1:$F$16,MATCH(R1261,'SummaryNOT_VALIDATED-BL'!$A$1:$A$16,0),6),0),IF(S1261=TRUE,INDEX('SummaryNOT_VALIDATED-BL'!$A$1:$F$16,MATCH(E1261,'SummaryNOT_VALIDATED-BL'!$A$1:$A$16,0),6),0)),0)</f>
        <v>0</v>
      </c>
      <c r="V1261" s="81" cm="1">
        <f t="array" ref="V1261">INDEX('Weight tables'!$A$24:$C$27,MATCH(1,(RendicontiTrasmessiBL__2[[#This Row],[Cut percentage on real costs + USC]]&gt;='Weight tables'!$B$24:$B$27)*(RendicontiTrasmessiBL__2[[#This Row],[Cut percentage on real costs + USC]]&lt;='Weight tables'!$C$24:$C$27),0),1)</f>
        <v>0</v>
      </c>
      <c r="W1261" s="2">
        <f>RendicontiTrasmessiBL__2[[#This Row],[Weight real costs  + USC ]]</f>
        <v>0</v>
      </c>
    </row>
    <row r="1262" spans="1:23" x14ac:dyDescent="0.25">
      <c r="A1262" s="1" t="s">
        <v>57</v>
      </c>
      <c r="B1262" s="1" t="s">
        <v>20</v>
      </c>
      <c r="C1262" s="2">
        <v>304</v>
      </c>
      <c r="D1262" s="2">
        <v>39</v>
      </c>
      <c r="E1262" s="1" t="s">
        <v>228</v>
      </c>
      <c r="F1262">
        <v>20</v>
      </c>
      <c r="G1262">
        <v>70678.509999999995</v>
      </c>
      <c r="H1262">
        <v>0</v>
      </c>
      <c r="I1262">
        <v>0</v>
      </c>
      <c r="J1262">
        <v>61</v>
      </c>
      <c r="K1262">
        <v>0</v>
      </c>
      <c r="L1262">
        <v>61</v>
      </c>
      <c r="M1262">
        <v>61</v>
      </c>
      <c r="N1262">
        <v>0.09</v>
      </c>
      <c r="O1262">
        <v>70617.509999999995</v>
      </c>
      <c r="P1262">
        <v>0</v>
      </c>
      <c r="Q1262" t="str">
        <f>INDEX('Partner data'!A:DH,MATCH(C1262,'Partner data'!DG:DG,0),83)</f>
        <v>Soggetto pubblico</v>
      </c>
      <c r="R1262" t="str">
        <f>IF(E1262="staff",IF(INDEX('Partner data'!A:DH,MATCH(C1262,'Partner data'!DG:DG,0),112)="BL1 non presente","FALSO",INDEX('Partner data'!A:DH,MATCH(C1262,'Partner data'!DG:DG,0),112)))</f>
        <v>Tasso Forfettario 20%</v>
      </c>
      <c r="S1262" t="b">
        <f t="shared" si="38"/>
        <v>1</v>
      </c>
      <c r="T1262" t="b">
        <f t="shared" si="39"/>
        <v>1</v>
      </c>
      <c r="U1262" s="154">
        <f>IFERROR(IF(R1262&lt;&gt;FALSE,IF(S1262=TRUE,INDEX('SummaryNOT_VALIDATED-BL'!$A$1:$F$16,MATCH(R1262,'SummaryNOT_VALIDATED-BL'!$A$1:$A$16,0),6),0),IF(S1262=TRUE,INDEX('SummaryNOT_VALIDATED-BL'!$A$1:$F$16,MATCH(E1262,'SummaryNOT_VALIDATED-BL'!$A$1:$A$16,0),6),0)),0)</f>
        <v>1.2653355650533233E-2</v>
      </c>
      <c r="V1262" s="81" cm="1">
        <f t="array" ref="V1262">INDEX('Weight tables'!$A$24:$C$27,MATCH(1,(RendicontiTrasmessiBL__2[[#This Row],[Cut percentage on real costs + USC]]&gt;='Weight tables'!$B$24:$B$27)*(RendicontiTrasmessiBL__2[[#This Row],[Cut percentage on real costs + USC]]&lt;='Weight tables'!$C$24:$C$27),0),1)</f>
        <v>0</v>
      </c>
      <c r="W1262" s="2">
        <f>RendicontiTrasmessiBL__2[[#This Row],[Weight real costs  + USC ]]</f>
        <v>0</v>
      </c>
    </row>
    <row r="1263" spans="1:23" x14ac:dyDescent="0.25">
      <c r="A1263" s="1" t="s">
        <v>57</v>
      </c>
      <c r="B1263" s="1" t="s">
        <v>20</v>
      </c>
      <c r="C1263" s="2">
        <v>304</v>
      </c>
      <c r="D1263" s="2">
        <v>39</v>
      </c>
      <c r="E1263" s="1" t="s">
        <v>229</v>
      </c>
      <c r="F1263">
        <v>15</v>
      </c>
      <c r="G1263">
        <v>10601.77</v>
      </c>
      <c r="H1263">
        <v>0</v>
      </c>
      <c r="I1263">
        <v>0</v>
      </c>
      <c r="J1263">
        <v>9.15</v>
      </c>
      <c r="K1263">
        <v>0</v>
      </c>
      <c r="L1263">
        <v>9.15</v>
      </c>
      <c r="M1263">
        <v>9.15</v>
      </c>
      <c r="N1263">
        <v>0.09</v>
      </c>
      <c r="O1263">
        <v>10592.62</v>
      </c>
      <c r="P1263">
        <v>0</v>
      </c>
      <c r="Q1263" t="str">
        <f>INDEX('Partner data'!A:DH,MATCH(C1263,'Partner data'!DG:DG,0),83)</f>
        <v>Soggetto pubblico</v>
      </c>
      <c r="R1263" t="b">
        <f>IF(E1263="staff",IF(INDEX('Partner data'!A:DH,MATCH(C1263,'Partner data'!DG:DG,0),112)="BL1 non presente","FALSO",INDEX('Partner data'!A:DH,MATCH(C1263,'Partner data'!DG:DG,0),112)))</f>
        <v>0</v>
      </c>
      <c r="S1263" t="b">
        <f t="shared" si="38"/>
        <v>1</v>
      </c>
      <c r="T1263" t="b">
        <f t="shared" si="39"/>
        <v>1</v>
      </c>
      <c r="U1263" s="154">
        <f>IFERROR(IF(R1263&lt;&gt;FALSE,IF(S1263=TRUE,INDEX('SummaryNOT_VALIDATED-BL'!$A$1:$F$16,MATCH(R1263,'SummaryNOT_VALIDATED-BL'!$A$1:$A$16,0),6),0),IF(S1263=TRUE,INDEX('SummaryNOT_VALIDATED-BL'!$A$1:$F$16,MATCH(E1263,'SummaryNOT_VALIDATED-BL'!$A$1:$A$16,0),6),0)),0)</f>
        <v>6.6460469504890221E-2</v>
      </c>
      <c r="V1263" s="81" cm="1">
        <f t="array" ref="V1263">INDEX('Weight tables'!$A$24:$C$27,MATCH(1,(RendicontiTrasmessiBL__2[[#This Row],[Cut percentage on real costs + USC]]&gt;='Weight tables'!$B$24:$B$27)*(RendicontiTrasmessiBL__2[[#This Row],[Cut percentage on real costs + USC]]&lt;='Weight tables'!$C$24:$C$27),0),1)</f>
        <v>4</v>
      </c>
      <c r="W1263" s="2">
        <f>RendicontiTrasmessiBL__2[[#This Row],[Weight real costs  + USC ]]</f>
        <v>4</v>
      </c>
    </row>
    <row r="1264" spans="1:23" x14ac:dyDescent="0.25">
      <c r="A1264" s="1" t="s">
        <v>57</v>
      </c>
      <c r="B1264" s="1" t="s">
        <v>20</v>
      </c>
      <c r="C1264" s="2">
        <v>304</v>
      </c>
      <c r="D1264" s="2">
        <v>39</v>
      </c>
      <c r="E1264" s="1" t="s">
        <v>230</v>
      </c>
      <c r="F1264">
        <v>4</v>
      </c>
      <c r="G1264">
        <v>2827.14</v>
      </c>
      <c r="H1264">
        <v>0</v>
      </c>
      <c r="I1264">
        <v>0</v>
      </c>
      <c r="J1264">
        <v>2.44</v>
      </c>
      <c r="K1264">
        <v>0</v>
      </c>
      <c r="L1264">
        <v>2.44</v>
      </c>
      <c r="M1264">
        <v>2.44</v>
      </c>
      <c r="N1264">
        <v>0.09</v>
      </c>
      <c r="O1264">
        <v>2824.7</v>
      </c>
      <c r="P1264">
        <v>0</v>
      </c>
      <c r="Q1264" t="str">
        <f>INDEX('Partner data'!A:DH,MATCH(C1264,'Partner data'!DG:DG,0),83)</f>
        <v>Soggetto pubblico</v>
      </c>
      <c r="R1264" t="b">
        <f>IF(E1264="staff",IF(INDEX('Partner data'!A:DH,MATCH(C1264,'Partner data'!DG:DG,0),112)="BL1 non presente","FALSO",INDEX('Partner data'!A:DH,MATCH(C1264,'Partner data'!DG:DG,0),112)))</f>
        <v>0</v>
      </c>
      <c r="S1264" t="b">
        <f t="shared" si="38"/>
        <v>1</v>
      </c>
      <c r="T1264" t="b">
        <f t="shared" si="39"/>
        <v>1</v>
      </c>
      <c r="U1264" s="154">
        <f>IFERROR(IF(R1264&lt;&gt;FALSE,IF(S1264=TRUE,INDEX('SummaryNOT_VALIDATED-BL'!$A$1:$F$16,MATCH(R1264,'SummaryNOT_VALIDATED-BL'!$A$1:$A$16,0),6),0),IF(S1264=TRUE,INDEX('SummaryNOT_VALIDATED-BL'!$A$1:$F$16,MATCH(E1264,'SummaryNOT_VALIDATED-BL'!$A$1:$A$16,0),6),0)),0)</f>
        <v>6.3112622236488891E-2</v>
      </c>
      <c r="V1264" s="81" cm="1">
        <f t="array" ref="V1264">INDEX('Weight tables'!$A$24:$C$27,MATCH(1,(RendicontiTrasmessiBL__2[[#This Row],[Cut percentage on real costs + USC]]&gt;='Weight tables'!$B$24:$B$27)*(RendicontiTrasmessiBL__2[[#This Row],[Cut percentage on real costs + USC]]&lt;='Weight tables'!$C$24:$C$27),0),1)</f>
        <v>4</v>
      </c>
      <c r="W1264" s="2">
        <f>RendicontiTrasmessiBL__2[[#This Row],[Weight real costs  + USC ]]</f>
        <v>4</v>
      </c>
    </row>
    <row r="1265" spans="1:23" x14ac:dyDescent="0.25">
      <c r="A1265" s="1" t="s">
        <v>57</v>
      </c>
      <c r="B1265" s="1" t="s">
        <v>20</v>
      </c>
      <c r="C1265" s="2">
        <v>304</v>
      </c>
      <c r="D1265" s="2">
        <v>39</v>
      </c>
      <c r="E1265" s="1" t="s">
        <v>231</v>
      </c>
      <c r="G1265">
        <v>353392.58</v>
      </c>
      <c r="H1265">
        <v>0</v>
      </c>
      <c r="I1265">
        <v>0</v>
      </c>
      <c r="J1265">
        <v>305</v>
      </c>
      <c r="K1265">
        <v>0</v>
      </c>
      <c r="L1265">
        <v>305</v>
      </c>
      <c r="M1265">
        <v>305</v>
      </c>
      <c r="N1265">
        <v>0.09</v>
      </c>
      <c r="O1265">
        <v>353087.58</v>
      </c>
      <c r="P1265">
        <v>0</v>
      </c>
      <c r="Q1265" t="str">
        <f>INDEX('Partner data'!A:DH,MATCH(C1265,'Partner data'!DG:DG,0),83)</f>
        <v>Soggetto pubblico</v>
      </c>
      <c r="R1265" t="b">
        <f>IF(E1265="staff",IF(INDEX('Partner data'!A:DH,MATCH(C1265,'Partner data'!DG:DG,0),112)="BL1 non presente","FALSO",INDEX('Partner data'!A:DH,MATCH(C1265,'Partner data'!DG:DG,0),112)))</f>
        <v>0</v>
      </c>
      <c r="S1265" t="b">
        <f t="shared" si="38"/>
        <v>1</v>
      </c>
      <c r="T1265" t="b">
        <f t="shared" si="39"/>
        <v>1</v>
      </c>
      <c r="U1265" s="154">
        <f>IFERROR(IF(R1265&lt;&gt;FALSE,IF(S1265=TRUE,INDEX('SummaryNOT_VALIDATED-BL'!$A$1:$F$16,MATCH(R1265,'SummaryNOT_VALIDATED-BL'!$A$1:$A$16,0),6),0),IF(S1265=TRUE,INDEX('SummaryNOT_VALIDATED-BL'!$A$1:$F$16,MATCH(E1265,'SummaryNOT_VALIDATED-BL'!$A$1:$A$16,0),6),0)),0)</f>
        <v>5.577594442215475E-2</v>
      </c>
      <c r="V1265" s="81" cm="1">
        <f t="array" ref="V1265">INDEX('Weight tables'!$A$24:$C$27,MATCH(1,(RendicontiTrasmessiBL__2[[#This Row],[Cut percentage on real costs + USC]]&gt;='Weight tables'!$B$24:$B$27)*(RendicontiTrasmessiBL__2[[#This Row],[Cut percentage on real costs + USC]]&lt;='Weight tables'!$C$24:$C$27),0),1)</f>
        <v>4</v>
      </c>
      <c r="W1265" s="2">
        <f>RendicontiTrasmessiBL__2[[#This Row],[Weight real costs  + USC ]]</f>
        <v>4</v>
      </c>
    </row>
    <row r="1266" spans="1:23" x14ac:dyDescent="0.25">
      <c r="A1266" s="1" t="s">
        <v>57</v>
      </c>
      <c r="B1266" s="1" t="s">
        <v>20</v>
      </c>
      <c r="C1266" s="2">
        <v>304</v>
      </c>
      <c r="D1266" s="2">
        <v>39</v>
      </c>
      <c r="E1266" s="1" t="s">
        <v>232</v>
      </c>
      <c r="G1266">
        <v>0</v>
      </c>
      <c r="H1266">
        <v>0</v>
      </c>
      <c r="I1266">
        <v>0</v>
      </c>
      <c r="J1266">
        <v>0</v>
      </c>
      <c r="K1266">
        <v>0</v>
      </c>
      <c r="L1266">
        <v>0</v>
      </c>
      <c r="M1266">
        <v>0</v>
      </c>
      <c r="N1266">
        <v>0</v>
      </c>
      <c r="O1266">
        <v>0</v>
      </c>
      <c r="P1266">
        <v>0</v>
      </c>
      <c r="Q1266" t="str">
        <f>INDEX('Partner data'!A:DH,MATCH(C1266,'Partner data'!DG:DG,0),83)</f>
        <v>Soggetto pubblico</v>
      </c>
      <c r="R1266" t="b">
        <f>IF(E1266="staff",IF(INDEX('Partner data'!A:DH,MATCH(C1266,'Partner data'!DG:DG,0),112)="BL1 non presente","FALSO",INDEX('Partner data'!A:DH,MATCH(C1266,'Partner data'!DG:DG,0),112)))</f>
        <v>0</v>
      </c>
      <c r="S1266" t="b">
        <f t="shared" si="38"/>
        <v>0</v>
      </c>
      <c r="T1266" t="b">
        <f t="shared" si="39"/>
        <v>1</v>
      </c>
      <c r="U1266" s="154">
        <f>IFERROR(IF(R1266&lt;&gt;FALSE,IF(S1266=TRUE,INDEX('SummaryNOT_VALIDATED-BL'!$A$1:$F$16,MATCH(R1266,'SummaryNOT_VALIDATED-BL'!$A$1:$A$16,0),6),0),IF(S1266=TRUE,INDEX('SummaryNOT_VALIDATED-BL'!$A$1:$F$16,MATCH(E1266,'SummaryNOT_VALIDATED-BL'!$A$1:$A$16,0),6),0)),0)</f>
        <v>0</v>
      </c>
      <c r="V1266" s="81" cm="1">
        <f t="array" ref="V1266">INDEX('Weight tables'!$A$24:$C$27,MATCH(1,(RendicontiTrasmessiBL__2[[#This Row],[Cut percentage on real costs + USC]]&gt;='Weight tables'!$B$24:$B$27)*(RendicontiTrasmessiBL__2[[#This Row],[Cut percentage on real costs + USC]]&lt;='Weight tables'!$C$24:$C$27),0),1)</f>
        <v>0</v>
      </c>
      <c r="W1266" s="2">
        <f>RendicontiTrasmessiBL__2[[#This Row],[Weight real costs  + USC ]]</f>
        <v>0</v>
      </c>
    </row>
    <row r="1267" spans="1:23" x14ac:dyDescent="0.25">
      <c r="A1267" s="1" t="s">
        <v>57</v>
      </c>
      <c r="B1267" s="1" t="s">
        <v>20</v>
      </c>
      <c r="C1267" s="2">
        <v>304</v>
      </c>
      <c r="D1267" s="2">
        <v>39</v>
      </c>
      <c r="E1267" s="1" t="s">
        <v>233</v>
      </c>
      <c r="G1267">
        <v>0</v>
      </c>
      <c r="H1267">
        <v>0</v>
      </c>
      <c r="I1267">
        <v>0</v>
      </c>
      <c r="J1267">
        <v>0</v>
      </c>
      <c r="K1267">
        <v>0</v>
      </c>
      <c r="L1267">
        <v>0</v>
      </c>
      <c r="M1267">
        <v>0</v>
      </c>
      <c r="N1267">
        <v>0</v>
      </c>
      <c r="O1267">
        <v>0</v>
      </c>
      <c r="P1267">
        <v>0</v>
      </c>
      <c r="Q1267" t="str">
        <f>INDEX('Partner data'!A:DH,MATCH(C1267,'Partner data'!DG:DG,0),83)</f>
        <v>Soggetto pubblico</v>
      </c>
      <c r="R1267" t="b">
        <f>IF(E1267="staff",IF(INDEX('Partner data'!A:DH,MATCH(C1267,'Partner data'!DG:DG,0),112)="BL1 non presente","FALSO",INDEX('Partner data'!A:DH,MATCH(C1267,'Partner data'!DG:DG,0),112)))</f>
        <v>0</v>
      </c>
      <c r="S1267" t="b">
        <f t="shared" si="38"/>
        <v>0</v>
      </c>
      <c r="T1267" t="b">
        <f t="shared" si="39"/>
        <v>1</v>
      </c>
      <c r="U1267" s="154">
        <f>IFERROR(IF(R1267&lt;&gt;FALSE,IF(S1267=TRUE,INDEX('SummaryNOT_VALIDATED-BL'!$A$1:$F$16,MATCH(R1267,'SummaryNOT_VALIDATED-BL'!$A$1:$A$16,0),6),0),IF(S1267=TRUE,INDEX('SummaryNOT_VALIDATED-BL'!$A$1:$F$16,MATCH(E1267,'SummaryNOT_VALIDATED-BL'!$A$1:$A$16,0),6),0)),0)</f>
        <v>0</v>
      </c>
      <c r="V1267" s="81" cm="1">
        <f t="array" ref="V1267">INDEX('Weight tables'!$A$24:$C$27,MATCH(1,(RendicontiTrasmessiBL__2[[#This Row],[Cut percentage on real costs + USC]]&gt;='Weight tables'!$B$24:$B$27)*(RendicontiTrasmessiBL__2[[#This Row],[Cut percentage on real costs + USC]]&lt;='Weight tables'!$C$24:$C$27),0),1)</f>
        <v>0</v>
      </c>
      <c r="W1267" s="2">
        <f>RendicontiTrasmessiBL__2[[#This Row],[Weight real costs  + USC ]]</f>
        <v>0</v>
      </c>
    </row>
    <row r="1268" spans="1:23" x14ac:dyDescent="0.25">
      <c r="A1268" s="1" t="s">
        <v>57</v>
      </c>
      <c r="B1268" s="1" t="s">
        <v>20</v>
      </c>
      <c r="C1268" s="2">
        <v>304</v>
      </c>
      <c r="D1268" s="2">
        <v>39</v>
      </c>
      <c r="E1268" s="1" t="s">
        <v>234</v>
      </c>
      <c r="G1268">
        <v>0</v>
      </c>
      <c r="H1268">
        <v>0</v>
      </c>
      <c r="I1268">
        <v>0</v>
      </c>
      <c r="J1268">
        <v>0</v>
      </c>
      <c r="K1268">
        <v>0</v>
      </c>
      <c r="L1268">
        <v>0</v>
      </c>
      <c r="M1268">
        <v>0</v>
      </c>
      <c r="N1268">
        <v>0</v>
      </c>
      <c r="O1268">
        <v>0</v>
      </c>
      <c r="P1268">
        <v>0</v>
      </c>
      <c r="Q1268" t="str">
        <f>INDEX('Partner data'!A:DH,MATCH(C1268,'Partner data'!DG:DG,0),83)</f>
        <v>Soggetto pubblico</v>
      </c>
      <c r="R1268" t="b">
        <f>IF(E1268="staff",IF(INDEX('Partner data'!A:DH,MATCH(C1268,'Partner data'!DG:DG,0),112)="BL1 non presente","FALSO",INDEX('Partner data'!A:DH,MATCH(C1268,'Partner data'!DG:DG,0),112)))</f>
        <v>0</v>
      </c>
      <c r="S1268" t="b">
        <f t="shared" si="38"/>
        <v>0</v>
      </c>
      <c r="T1268" t="b">
        <f t="shared" si="39"/>
        <v>1</v>
      </c>
      <c r="U1268" s="154">
        <f>IFERROR(IF(R1268&lt;&gt;FALSE,IF(S1268=TRUE,INDEX('SummaryNOT_VALIDATED-BL'!$A$1:$F$16,MATCH(R1268,'SummaryNOT_VALIDATED-BL'!$A$1:$A$16,0),6),0),IF(S1268=TRUE,INDEX('SummaryNOT_VALIDATED-BL'!$A$1:$F$16,MATCH(E1268,'SummaryNOT_VALIDATED-BL'!$A$1:$A$16,0),6),0)),0)</f>
        <v>0</v>
      </c>
      <c r="V1268" s="81" cm="1">
        <f t="array" ref="V1268">INDEX('Weight tables'!$A$24:$C$27,MATCH(1,(RendicontiTrasmessiBL__2[[#This Row],[Cut percentage on real costs + USC]]&gt;='Weight tables'!$B$24:$B$27)*(RendicontiTrasmessiBL__2[[#This Row],[Cut percentage on real costs + USC]]&lt;='Weight tables'!$C$24:$C$27),0),1)</f>
        <v>0</v>
      </c>
      <c r="W1268" s="2">
        <f>RendicontiTrasmessiBL__2[[#This Row],[Weight real costs  + USC ]]</f>
        <v>0</v>
      </c>
    </row>
    <row r="1269" spans="1:23" x14ac:dyDescent="0.25">
      <c r="A1269" s="1" t="s">
        <v>57</v>
      </c>
      <c r="B1269" s="1" t="s">
        <v>20</v>
      </c>
      <c r="C1269" s="2">
        <v>304</v>
      </c>
      <c r="D1269" s="2">
        <v>39</v>
      </c>
      <c r="E1269" s="1" t="s">
        <v>236</v>
      </c>
      <c r="G1269">
        <v>0</v>
      </c>
      <c r="H1269">
        <v>0</v>
      </c>
      <c r="I1269">
        <v>0</v>
      </c>
      <c r="J1269">
        <v>0</v>
      </c>
      <c r="K1269">
        <v>0</v>
      </c>
      <c r="L1269">
        <v>0</v>
      </c>
      <c r="M1269">
        <v>0</v>
      </c>
      <c r="N1269">
        <v>0</v>
      </c>
      <c r="O1269">
        <v>0</v>
      </c>
      <c r="P1269">
        <v>0</v>
      </c>
      <c r="Q1269" t="str">
        <f>INDEX('Partner data'!A:DH,MATCH(C1269,'Partner data'!DG:DG,0),83)</f>
        <v>Soggetto pubblico</v>
      </c>
      <c r="R1269" t="b">
        <f>IF(E1269="staff",IF(INDEX('Partner data'!A:DH,MATCH(C1269,'Partner data'!DG:DG,0),112)="BL1 non presente","FALSO",INDEX('Partner data'!A:DH,MATCH(C1269,'Partner data'!DG:DG,0),112)))</f>
        <v>0</v>
      </c>
      <c r="S1269" t="b">
        <f t="shared" si="38"/>
        <v>0</v>
      </c>
      <c r="T1269" t="b">
        <f t="shared" si="39"/>
        <v>1</v>
      </c>
      <c r="U1269" s="154">
        <f>IFERROR(IF(R1269&lt;&gt;FALSE,IF(S1269=TRUE,INDEX('SummaryNOT_VALIDATED-BL'!$A$1:$F$16,MATCH(R1269,'SummaryNOT_VALIDATED-BL'!$A$1:$A$16,0),6),0),IF(S1269=TRUE,INDEX('SummaryNOT_VALIDATED-BL'!$A$1:$F$16,MATCH(E1269,'SummaryNOT_VALIDATED-BL'!$A$1:$A$16,0),6),0)),0)</f>
        <v>0</v>
      </c>
      <c r="V1269" s="81" cm="1">
        <f t="array" ref="V1269">INDEX('Weight tables'!$A$24:$C$27,MATCH(1,(RendicontiTrasmessiBL__2[[#This Row],[Cut percentage on real costs + USC]]&gt;='Weight tables'!$B$24:$B$27)*(RendicontiTrasmessiBL__2[[#This Row],[Cut percentage on real costs + USC]]&lt;='Weight tables'!$C$24:$C$27),0),1)</f>
        <v>0</v>
      </c>
      <c r="W1269" s="2">
        <f>RendicontiTrasmessiBL__2[[#This Row],[Weight real costs  + USC ]]</f>
        <v>0</v>
      </c>
    </row>
    <row r="1270" spans="1:23" x14ac:dyDescent="0.25">
      <c r="A1270" s="1" t="s">
        <v>57</v>
      </c>
      <c r="B1270" s="1" t="s">
        <v>20</v>
      </c>
      <c r="C1270" s="2">
        <v>304</v>
      </c>
      <c r="D1270" s="2">
        <v>39</v>
      </c>
      <c r="E1270" s="1" t="s">
        <v>237</v>
      </c>
      <c r="G1270">
        <v>0</v>
      </c>
      <c r="H1270">
        <v>0</v>
      </c>
      <c r="I1270">
        <v>0</v>
      </c>
      <c r="J1270">
        <v>0</v>
      </c>
      <c r="K1270">
        <v>0</v>
      </c>
      <c r="L1270">
        <v>0</v>
      </c>
      <c r="M1270">
        <v>0</v>
      </c>
      <c r="N1270">
        <v>0</v>
      </c>
      <c r="O1270">
        <v>0</v>
      </c>
      <c r="P1270">
        <v>0</v>
      </c>
      <c r="Q1270" t="str">
        <f>INDEX('Partner data'!A:DH,MATCH(C1270,'Partner data'!DG:DG,0),83)</f>
        <v>Soggetto pubblico</v>
      </c>
      <c r="R1270" t="b">
        <f>IF(E1270="staff",IF(INDEX('Partner data'!A:DH,MATCH(C1270,'Partner data'!DG:DG,0),112)="BL1 non presente","FALSO",INDEX('Partner data'!A:DH,MATCH(C1270,'Partner data'!DG:DG,0),112)))</f>
        <v>0</v>
      </c>
      <c r="S1270" t="b">
        <f t="shared" si="38"/>
        <v>0</v>
      </c>
      <c r="T1270" t="b">
        <f t="shared" si="39"/>
        <v>1</v>
      </c>
      <c r="U1270" s="154">
        <f>IFERROR(IF(R1270&lt;&gt;FALSE,IF(S1270=TRUE,INDEX('SummaryNOT_VALIDATED-BL'!$A$1:$F$16,MATCH(R1270,'SummaryNOT_VALIDATED-BL'!$A$1:$A$16,0),6),0),IF(S1270=TRUE,INDEX('SummaryNOT_VALIDATED-BL'!$A$1:$F$16,MATCH(E1270,'SummaryNOT_VALIDATED-BL'!$A$1:$A$16,0),6),0)),0)</f>
        <v>0</v>
      </c>
      <c r="V1270" s="81" cm="1">
        <f t="array" ref="V1270">INDEX('Weight tables'!$A$24:$C$27,MATCH(1,(RendicontiTrasmessiBL__2[[#This Row],[Cut percentage on real costs + USC]]&gt;='Weight tables'!$B$24:$B$27)*(RendicontiTrasmessiBL__2[[#This Row],[Cut percentage on real costs + USC]]&lt;='Weight tables'!$C$24:$C$27),0),1)</f>
        <v>0</v>
      </c>
      <c r="W1270" s="2">
        <f>RendicontiTrasmessiBL__2[[#This Row],[Weight real costs  + USC ]]</f>
        <v>0</v>
      </c>
    </row>
    <row r="1271" spans="1:23" x14ac:dyDescent="0.25">
      <c r="A1271" s="1" t="s">
        <v>57</v>
      </c>
      <c r="B1271" s="1" t="s">
        <v>380</v>
      </c>
      <c r="C1271" s="2">
        <v>307</v>
      </c>
      <c r="D1271" s="2">
        <v>245</v>
      </c>
      <c r="E1271" s="1" t="s">
        <v>228</v>
      </c>
      <c r="F1271">
        <v>20</v>
      </c>
      <c r="G1271">
        <v>50483</v>
      </c>
      <c r="H1271">
        <v>0</v>
      </c>
      <c r="I1271">
        <v>0</v>
      </c>
      <c r="J1271">
        <v>0</v>
      </c>
      <c r="K1271">
        <v>0</v>
      </c>
      <c r="L1271">
        <v>0</v>
      </c>
      <c r="M1271">
        <v>0</v>
      </c>
      <c r="N1271">
        <v>0</v>
      </c>
      <c r="O1271">
        <v>50483</v>
      </c>
      <c r="P1271">
        <v>0</v>
      </c>
      <c r="Q1271" t="str">
        <f>INDEX('Partner data'!A:DH,MATCH(C1271,'Partner data'!DG:DG,0),83)</f>
        <v>Soggetto pubblico</v>
      </c>
      <c r="R1271" t="str">
        <f>IF(E1271="staff",IF(INDEX('Partner data'!A:DH,MATCH(C1271,'Partner data'!DG:DG,0),112)="BL1 non presente","FALSO",INDEX('Partner data'!A:DH,MATCH(C1271,'Partner data'!DG:DG,0),112)))</f>
        <v>Tasso Forfettario 20%</v>
      </c>
      <c r="S1271" t="b">
        <f t="shared" si="38"/>
        <v>0</v>
      </c>
      <c r="T1271" t="b">
        <f t="shared" si="39"/>
        <v>1</v>
      </c>
      <c r="U1271" s="154">
        <f>IFERROR(IF(R1271&lt;&gt;FALSE,IF(S1271=TRUE,INDEX('SummaryNOT_VALIDATED-BL'!$A$1:$F$16,MATCH(R1271,'SummaryNOT_VALIDATED-BL'!$A$1:$A$16,0),6),0),IF(S1271=TRUE,INDEX('SummaryNOT_VALIDATED-BL'!$A$1:$F$16,MATCH(E1271,'SummaryNOT_VALIDATED-BL'!$A$1:$A$16,0),6),0)),0)</f>
        <v>0</v>
      </c>
      <c r="V1271" s="81" cm="1">
        <f t="array" ref="V1271">INDEX('Weight tables'!$A$24:$C$27,MATCH(1,(RendicontiTrasmessiBL__2[[#This Row],[Cut percentage on real costs + USC]]&gt;='Weight tables'!$B$24:$B$27)*(RendicontiTrasmessiBL__2[[#This Row],[Cut percentage on real costs + USC]]&lt;='Weight tables'!$C$24:$C$27),0),1)</f>
        <v>0</v>
      </c>
      <c r="W1271" s="2">
        <f>RendicontiTrasmessiBL__2[[#This Row],[Weight real costs  + USC ]]</f>
        <v>0</v>
      </c>
    </row>
    <row r="1272" spans="1:23" x14ac:dyDescent="0.25">
      <c r="A1272" s="1" t="s">
        <v>57</v>
      </c>
      <c r="B1272" s="1" t="s">
        <v>380</v>
      </c>
      <c r="C1272" s="2">
        <v>307</v>
      </c>
      <c r="D1272" s="2">
        <v>245</v>
      </c>
      <c r="E1272" s="1" t="s">
        <v>229</v>
      </c>
      <c r="F1272">
        <v>15</v>
      </c>
      <c r="G1272">
        <v>7572.45</v>
      </c>
      <c r="H1272">
        <v>0</v>
      </c>
      <c r="I1272">
        <v>0</v>
      </c>
      <c r="J1272">
        <v>0</v>
      </c>
      <c r="K1272">
        <v>0</v>
      </c>
      <c r="L1272">
        <v>0</v>
      </c>
      <c r="M1272">
        <v>0</v>
      </c>
      <c r="N1272">
        <v>0</v>
      </c>
      <c r="O1272">
        <v>7572.45</v>
      </c>
      <c r="P1272">
        <v>0</v>
      </c>
      <c r="Q1272" t="str">
        <f>INDEX('Partner data'!A:DH,MATCH(C1272,'Partner data'!DG:DG,0),83)</f>
        <v>Soggetto pubblico</v>
      </c>
      <c r="R1272" t="b">
        <f>IF(E1272="staff",IF(INDEX('Partner data'!A:DH,MATCH(C1272,'Partner data'!DG:DG,0),112)="BL1 non presente","FALSO",INDEX('Partner data'!A:DH,MATCH(C1272,'Partner data'!DG:DG,0),112)))</f>
        <v>0</v>
      </c>
      <c r="S1272" t="b">
        <f t="shared" si="38"/>
        <v>0</v>
      </c>
      <c r="T1272" t="b">
        <f t="shared" si="39"/>
        <v>1</v>
      </c>
      <c r="U1272" s="154">
        <f>IFERROR(IF(R1272&lt;&gt;FALSE,IF(S1272=TRUE,INDEX('SummaryNOT_VALIDATED-BL'!$A$1:$F$16,MATCH(R1272,'SummaryNOT_VALIDATED-BL'!$A$1:$A$16,0),6),0),IF(S1272=TRUE,INDEX('SummaryNOT_VALIDATED-BL'!$A$1:$F$16,MATCH(E1272,'SummaryNOT_VALIDATED-BL'!$A$1:$A$16,0),6),0)),0)</f>
        <v>0</v>
      </c>
      <c r="V1272" s="81" cm="1">
        <f t="array" ref="V1272">INDEX('Weight tables'!$A$24:$C$27,MATCH(1,(RendicontiTrasmessiBL__2[[#This Row],[Cut percentage on real costs + USC]]&gt;='Weight tables'!$B$24:$B$27)*(RendicontiTrasmessiBL__2[[#This Row],[Cut percentage on real costs + USC]]&lt;='Weight tables'!$C$24:$C$27),0),1)</f>
        <v>0</v>
      </c>
      <c r="W1272" s="2">
        <f>RendicontiTrasmessiBL__2[[#This Row],[Weight real costs  + USC ]]</f>
        <v>0</v>
      </c>
    </row>
    <row r="1273" spans="1:23" x14ac:dyDescent="0.25">
      <c r="A1273" s="1" t="s">
        <v>57</v>
      </c>
      <c r="B1273" s="1" t="s">
        <v>380</v>
      </c>
      <c r="C1273" s="2">
        <v>307</v>
      </c>
      <c r="D1273" s="2">
        <v>245</v>
      </c>
      <c r="E1273" s="1" t="s">
        <v>230</v>
      </c>
      <c r="F1273">
        <v>4</v>
      </c>
      <c r="G1273">
        <v>2019.32</v>
      </c>
      <c r="H1273">
        <v>0</v>
      </c>
      <c r="I1273">
        <v>0</v>
      </c>
      <c r="J1273">
        <v>0</v>
      </c>
      <c r="K1273">
        <v>0</v>
      </c>
      <c r="L1273">
        <v>0</v>
      </c>
      <c r="M1273">
        <v>0</v>
      </c>
      <c r="N1273">
        <v>0</v>
      </c>
      <c r="O1273">
        <v>2019.32</v>
      </c>
      <c r="P1273">
        <v>0</v>
      </c>
      <c r="Q1273" t="str">
        <f>INDEX('Partner data'!A:DH,MATCH(C1273,'Partner data'!DG:DG,0),83)</f>
        <v>Soggetto pubblico</v>
      </c>
      <c r="R1273" t="b">
        <f>IF(E1273="staff",IF(INDEX('Partner data'!A:DH,MATCH(C1273,'Partner data'!DG:DG,0),112)="BL1 non presente","FALSO",INDEX('Partner data'!A:DH,MATCH(C1273,'Partner data'!DG:DG,0),112)))</f>
        <v>0</v>
      </c>
      <c r="S1273" t="b">
        <f t="shared" si="38"/>
        <v>0</v>
      </c>
      <c r="T1273" t="b">
        <f t="shared" si="39"/>
        <v>1</v>
      </c>
      <c r="U1273" s="154">
        <f>IFERROR(IF(R1273&lt;&gt;FALSE,IF(S1273=TRUE,INDEX('SummaryNOT_VALIDATED-BL'!$A$1:$F$16,MATCH(R1273,'SummaryNOT_VALIDATED-BL'!$A$1:$A$16,0),6),0),IF(S1273=TRUE,INDEX('SummaryNOT_VALIDATED-BL'!$A$1:$F$16,MATCH(E1273,'SummaryNOT_VALIDATED-BL'!$A$1:$A$16,0),6),0)),0)</f>
        <v>0</v>
      </c>
      <c r="V1273" s="81" cm="1">
        <f t="array" ref="V1273">INDEX('Weight tables'!$A$24:$C$27,MATCH(1,(RendicontiTrasmessiBL__2[[#This Row],[Cut percentage on real costs + USC]]&gt;='Weight tables'!$B$24:$B$27)*(RendicontiTrasmessiBL__2[[#This Row],[Cut percentage on real costs + USC]]&lt;='Weight tables'!$C$24:$C$27),0),1)</f>
        <v>0</v>
      </c>
      <c r="W1273" s="2">
        <f>RendicontiTrasmessiBL__2[[#This Row],[Weight real costs  + USC ]]</f>
        <v>0</v>
      </c>
    </row>
    <row r="1274" spans="1:23" x14ac:dyDescent="0.25">
      <c r="A1274" s="1" t="s">
        <v>57</v>
      </c>
      <c r="B1274" s="1" t="s">
        <v>380</v>
      </c>
      <c r="C1274" s="2">
        <v>307</v>
      </c>
      <c r="D1274" s="2">
        <v>245</v>
      </c>
      <c r="E1274" s="1" t="s">
        <v>231</v>
      </c>
      <c r="G1274">
        <v>232415.02</v>
      </c>
      <c r="H1274">
        <v>0</v>
      </c>
      <c r="I1274">
        <v>0</v>
      </c>
      <c r="J1274">
        <v>0</v>
      </c>
      <c r="K1274">
        <v>0</v>
      </c>
      <c r="L1274">
        <v>0</v>
      </c>
      <c r="M1274">
        <v>0</v>
      </c>
      <c r="N1274">
        <v>0</v>
      </c>
      <c r="O1274">
        <v>232415.02</v>
      </c>
      <c r="P1274">
        <v>0</v>
      </c>
      <c r="Q1274" t="str">
        <f>INDEX('Partner data'!A:DH,MATCH(C1274,'Partner data'!DG:DG,0),83)</f>
        <v>Soggetto pubblico</v>
      </c>
      <c r="R1274" t="b">
        <f>IF(E1274="staff",IF(INDEX('Partner data'!A:DH,MATCH(C1274,'Partner data'!DG:DG,0),112)="BL1 non presente","FALSO",INDEX('Partner data'!A:DH,MATCH(C1274,'Partner data'!DG:DG,0),112)))</f>
        <v>0</v>
      </c>
      <c r="S1274" t="b">
        <f t="shared" si="38"/>
        <v>0</v>
      </c>
      <c r="T1274" t="b">
        <f t="shared" si="39"/>
        <v>1</v>
      </c>
      <c r="U1274" s="154">
        <f>IFERROR(IF(R1274&lt;&gt;FALSE,IF(S1274=TRUE,INDEX('SummaryNOT_VALIDATED-BL'!$A$1:$F$16,MATCH(R1274,'SummaryNOT_VALIDATED-BL'!$A$1:$A$16,0),6),0),IF(S1274=TRUE,INDEX('SummaryNOT_VALIDATED-BL'!$A$1:$F$16,MATCH(E1274,'SummaryNOT_VALIDATED-BL'!$A$1:$A$16,0),6),0)),0)</f>
        <v>0</v>
      </c>
      <c r="V1274" s="81" cm="1">
        <f t="array" ref="V1274">INDEX('Weight tables'!$A$24:$C$27,MATCH(1,(RendicontiTrasmessiBL__2[[#This Row],[Cut percentage on real costs + USC]]&gt;='Weight tables'!$B$24:$B$27)*(RendicontiTrasmessiBL__2[[#This Row],[Cut percentage on real costs + USC]]&lt;='Weight tables'!$C$24:$C$27),0),1)</f>
        <v>0</v>
      </c>
      <c r="W1274" s="2">
        <f>RendicontiTrasmessiBL__2[[#This Row],[Weight real costs  + USC ]]</f>
        <v>0</v>
      </c>
    </row>
    <row r="1275" spans="1:23" x14ac:dyDescent="0.25">
      <c r="A1275" s="1" t="s">
        <v>57</v>
      </c>
      <c r="B1275" s="1" t="s">
        <v>380</v>
      </c>
      <c r="C1275" s="2">
        <v>307</v>
      </c>
      <c r="D1275" s="2">
        <v>245</v>
      </c>
      <c r="E1275" s="1" t="s">
        <v>232</v>
      </c>
      <c r="G1275">
        <v>0</v>
      </c>
      <c r="H1275">
        <v>0</v>
      </c>
      <c r="I1275">
        <v>0</v>
      </c>
      <c r="J1275">
        <v>0</v>
      </c>
      <c r="K1275">
        <v>0</v>
      </c>
      <c r="L1275">
        <v>0</v>
      </c>
      <c r="M1275">
        <v>0</v>
      </c>
      <c r="N1275">
        <v>0</v>
      </c>
      <c r="O1275">
        <v>0</v>
      </c>
      <c r="P1275">
        <v>0</v>
      </c>
      <c r="Q1275" t="str">
        <f>INDEX('Partner data'!A:DH,MATCH(C1275,'Partner data'!DG:DG,0),83)</f>
        <v>Soggetto pubblico</v>
      </c>
      <c r="R1275" t="b">
        <f>IF(E1275="staff",IF(INDEX('Partner data'!A:DH,MATCH(C1275,'Partner data'!DG:DG,0),112)="BL1 non presente","FALSO",INDEX('Partner data'!A:DH,MATCH(C1275,'Partner data'!DG:DG,0),112)))</f>
        <v>0</v>
      </c>
      <c r="S1275" t="b">
        <f t="shared" si="38"/>
        <v>0</v>
      </c>
      <c r="T1275" t="b">
        <f t="shared" si="39"/>
        <v>1</v>
      </c>
      <c r="U1275" s="154">
        <f>IFERROR(IF(R1275&lt;&gt;FALSE,IF(S1275=TRUE,INDEX('SummaryNOT_VALIDATED-BL'!$A$1:$F$16,MATCH(R1275,'SummaryNOT_VALIDATED-BL'!$A$1:$A$16,0),6),0),IF(S1275=TRUE,INDEX('SummaryNOT_VALIDATED-BL'!$A$1:$F$16,MATCH(E1275,'SummaryNOT_VALIDATED-BL'!$A$1:$A$16,0),6),0)),0)</f>
        <v>0</v>
      </c>
      <c r="V1275" s="81" cm="1">
        <f t="array" ref="V1275">INDEX('Weight tables'!$A$24:$C$27,MATCH(1,(RendicontiTrasmessiBL__2[[#This Row],[Cut percentage on real costs + USC]]&gt;='Weight tables'!$B$24:$B$27)*(RendicontiTrasmessiBL__2[[#This Row],[Cut percentage on real costs + USC]]&lt;='Weight tables'!$C$24:$C$27),0),1)</f>
        <v>0</v>
      </c>
      <c r="W1275" s="2">
        <f>RendicontiTrasmessiBL__2[[#This Row],[Weight real costs  + USC ]]</f>
        <v>0</v>
      </c>
    </row>
    <row r="1276" spans="1:23" x14ac:dyDescent="0.25">
      <c r="A1276" s="1" t="s">
        <v>57</v>
      </c>
      <c r="B1276" s="1" t="s">
        <v>380</v>
      </c>
      <c r="C1276" s="2">
        <v>307</v>
      </c>
      <c r="D1276" s="2">
        <v>245</v>
      </c>
      <c r="E1276" s="1" t="s">
        <v>233</v>
      </c>
      <c r="G1276">
        <v>20000.009999999998</v>
      </c>
      <c r="H1276">
        <v>0</v>
      </c>
      <c r="I1276">
        <v>0</v>
      </c>
      <c r="J1276">
        <v>0</v>
      </c>
      <c r="K1276">
        <v>0</v>
      </c>
      <c r="L1276">
        <v>0</v>
      </c>
      <c r="M1276">
        <v>0</v>
      </c>
      <c r="N1276">
        <v>0</v>
      </c>
      <c r="O1276">
        <v>20000.009999999998</v>
      </c>
      <c r="P1276">
        <v>0</v>
      </c>
      <c r="Q1276" t="str">
        <f>INDEX('Partner data'!A:DH,MATCH(C1276,'Partner data'!DG:DG,0),83)</f>
        <v>Soggetto pubblico</v>
      </c>
      <c r="R1276" t="b">
        <f>IF(E1276="staff",IF(INDEX('Partner data'!A:DH,MATCH(C1276,'Partner data'!DG:DG,0),112)="BL1 non presente","FALSO",INDEX('Partner data'!A:DH,MATCH(C1276,'Partner data'!DG:DG,0),112)))</f>
        <v>0</v>
      </c>
      <c r="S1276" t="b">
        <f t="shared" si="38"/>
        <v>0</v>
      </c>
      <c r="T1276" t="b">
        <f t="shared" si="39"/>
        <v>1</v>
      </c>
      <c r="U1276" s="154">
        <f>IFERROR(IF(R1276&lt;&gt;FALSE,IF(S1276=TRUE,INDEX('SummaryNOT_VALIDATED-BL'!$A$1:$F$16,MATCH(R1276,'SummaryNOT_VALIDATED-BL'!$A$1:$A$16,0),6),0),IF(S1276=TRUE,INDEX('SummaryNOT_VALIDATED-BL'!$A$1:$F$16,MATCH(E1276,'SummaryNOT_VALIDATED-BL'!$A$1:$A$16,0),6),0)),0)</f>
        <v>0</v>
      </c>
      <c r="V1276" s="81" cm="1">
        <f t="array" ref="V1276">INDEX('Weight tables'!$A$24:$C$27,MATCH(1,(RendicontiTrasmessiBL__2[[#This Row],[Cut percentage on real costs + USC]]&gt;='Weight tables'!$B$24:$B$27)*(RendicontiTrasmessiBL__2[[#This Row],[Cut percentage on real costs + USC]]&lt;='Weight tables'!$C$24:$C$27),0),1)</f>
        <v>0</v>
      </c>
      <c r="W1276" s="2">
        <f>RendicontiTrasmessiBL__2[[#This Row],[Weight real costs  + USC ]]</f>
        <v>0</v>
      </c>
    </row>
    <row r="1277" spans="1:23" x14ac:dyDescent="0.25">
      <c r="A1277" s="1" t="s">
        <v>57</v>
      </c>
      <c r="B1277" s="1" t="s">
        <v>380</v>
      </c>
      <c r="C1277" s="2">
        <v>307</v>
      </c>
      <c r="D1277" s="2">
        <v>245</v>
      </c>
      <c r="E1277" s="1" t="s">
        <v>234</v>
      </c>
      <c r="G1277">
        <v>0</v>
      </c>
      <c r="H1277">
        <v>0</v>
      </c>
      <c r="I1277">
        <v>0</v>
      </c>
      <c r="J1277">
        <v>0</v>
      </c>
      <c r="K1277">
        <v>0</v>
      </c>
      <c r="L1277">
        <v>0</v>
      </c>
      <c r="M1277">
        <v>0</v>
      </c>
      <c r="N1277">
        <v>0</v>
      </c>
      <c r="O1277">
        <v>0</v>
      </c>
      <c r="P1277">
        <v>0</v>
      </c>
      <c r="Q1277" t="str">
        <f>INDEX('Partner data'!A:DH,MATCH(C1277,'Partner data'!DG:DG,0),83)</f>
        <v>Soggetto pubblico</v>
      </c>
      <c r="R1277" t="b">
        <f>IF(E1277="staff",IF(INDEX('Partner data'!A:DH,MATCH(C1277,'Partner data'!DG:DG,0),112)="BL1 non presente","FALSO",INDEX('Partner data'!A:DH,MATCH(C1277,'Partner data'!DG:DG,0),112)))</f>
        <v>0</v>
      </c>
      <c r="S1277" t="b">
        <f t="shared" si="38"/>
        <v>0</v>
      </c>
      <c r="T1277" t="b">
        <f t="shared" si="39"/>
        <v>1</v>
      </c>
      <c r="U1277" s="154">
        <f>IFERROR(IF(R1277&lt;&gt;FALSE,IF(S1277=TRUE,INDEX('SummaryNOT_VALIDATED-BL'!$A$1:$F$16,MATCH(R1277,'SummaryNOT_VALIDATED-BL'!$A$1:$A$16,0),6),0),IF(S1277=TRUE,INDEX('SummaryNOT_VALIDATED-BL'!$A$1:$F$16,MATCH(E1277,'SummaryNOT_VALIDATED-BL'!$A$1:$A$16,0),6),0)),0)</f>
        <v>0</v>
      </c>
      <c r="V1277" s="81" cm="1">
        <f t="array" ref="V1277">INDEX('Weight tables'!$A$24:$C$27,MATCH(1,(RendicontiTrasmessiBL__2[[#This Row],[Cut percentage on real costs + USC]]&gt;='Weight tables'!$B$24:$B$27)*(RendicontiTrasmessiBL__2[[#This Row],[Cut percentage on real costs + USC]]&lt;='Weight tables'!$C$24:$C$27),0),1)</f>
        <v>0</v>
      </c>
      <c r="W1277" s="2">
        <f>RendicontiTrasmessiBL__2[[#This Row],[Weight real costs  + USC ]]</f>
        <v>0</v>
      </c>
    </row>
    <row r="1278" spans="1:23" x14ac:dyDescent="0.25">
      <c r="A1278" s="1" t="s">
        <v>57</v>
      </c>
      <c r="B1278" s="1" t="s">
        <v>380</v>
      </c>
      <c r="C1278" s="2">
        <v>307</v>
      </c>
      <c r="D1278" s="2">
        <v>245</v>
      </c>
      <c r="E1278" s="1" t="s">
        <v>236</v>
      </c>
      <c r="G1278">
        <v>0</v>
      </c>
      <c r="H1278">
        <v>0</v>
      </c>
      <c r="I1278">
        <v>0</v>
      </c>
      <c r="J1278">
        <v>0</v>
      </c>
      <c r="K1278">
        <v>0</v>
      </c>
      <c r="L1278">
        <v>0</v>
      </c>
      <c r="M1278">
        <v>0</v>
      </c>
      <c r="N1278">
        <v>0</v>
      </c>
      <c r="O1278">
        <v>0</v>
      </c>
      <c r="P1278">
        <v>0</v>
      </c>
      <c r="Q1278" t="str">
        <f>INDEX('Partner data'!A:DH,MATCH(C1278,'Partner data'!DG:DG,0),83)</f>
        <v>Soggetto pubblico</v>
      </c>
      <c r="R1278" t="b">
        <f>IF(E1278="staff",IF(INDEX('Partner data'!A:DH,MATCH(C1278,'Partner data'!DG:DG,0),112)="BL1 non presente","FALSO",INDEX('Partner data'!A:DH,MATCH(C1278,'Partner data'!DG:DG,0),112)))</f>
        <v>0</v>
      </c>
      <c r="S1278" t="b">
        <f t="shared" si="38"/>
        <v>0</v>
      </c>
      <c r="T1278" t="b">
        <f t="shared" si="39"/>
        <v>1</v>
      </c>
      <c r="U1278" s="154">
        <f>IFERROR(IF(R1278&lt;&gt;FALSE,IF(S1278=TRUE,INDEX('SummaryNOT_VALIDATED-BL'!$A$1:$F$16,MATCH(R1278,'SummaryNOT_VALIDATED-BL'!$A$1:$A$16,0),6),0),IF(S1278=TRUE,INDEX('SummaryNOT_VALIDATED-BL'!$A$1:$F$16,MATCH(E1278,'SummaryNOT_VALIDATED-BL'!$A$1:$A$16,0),6),0)),0)</f>
        <v>0</v>
      </c>
      <c r="V1278" s="81" cm="1">
        <f t="array" ref="V1278">INDEX('Weight tables'!$A$24:$C$27,MATCH(1,(RendicontiTrasmessiBL__2[[#This Row],[Cut percentage on real costs + USC]]&gt;='Weight tables'!$B$24:$B$27)*(RendicontiTrasmessiBL__2[[#This Row],[Cut percentage on real costs + USC]]&lt;='Weight tables'!$C$24:$C$27),0),1)</f>
        <v>0</v>
      </c>
      <c r="W1278" s="2">
        <f>RendicontiTrasmessiBL__2[[#This Row],[Weight real costs  + USC ]]</f>
        <v>0</v>
      </c>
    </row>
    <row r="1279" spans="1:23" x14ac:dyDescent="0.25">
      <c r="A1279" s="1" t="s">
        <v>57</v>
      </c>
      <c r="B1279" s="1" t="s">
        <v>380</v>
      </c>
      <c r="C1279" s="2">
        <v>307</v>
      </c>
      <c r="D1279" s="2">
        <v>245</v>
      </c>
      <c r="E1279" s="1" t="s">
        <v>237</v>
      </c>
      <c r="G1279">
        <v>0</v>
      </c>
      <c r="H1279">
        <v>0</v>
      </c>
      <c r="I1279">
        <v>0</v>
      </c>
      <c r="J1279">
        <v>0</v>
      </c>
      <c r="K1279">
        <v>0</v>
      </c>
      <c r="L1279">
        <v>0</v>
      </c>
      <c r="M1279">
        <v>0</v>
      </c>
      <c r="N1279">
        <v>0</v>
      </c>
      <c r="O1279">
        <v>0</v>
      </c>
      <c r="P1279">
        <v>0</v>
      </c>
      <c r="Q1279" t="str">
        <f>INDEX('Partner data'!A:DH,MATCH(C1279,'Partner data'!DG:DG,0),83)</f>
        <v>Soggetto pubblico</v>
      </c>
      <c r="R1279" t="b">
        <f>IF(E1279="staff",IF(INDEX('Partner data'!A:DH,MATCH(C1279,'Partner data'!DG:DG,0),112)="BL1 non presente","FALSO",INDEX('Partner data'!A:DH,MATCH(C1279,'Partner data'!DG:DG,0),112)))</f>
        <v>0</v>
      </c>
      <c r="S1279" t="b">
        <f t="shared" si="38"/>
        <v>0</v>
      </c>
      <c r="T1279" t="b">
        <f t="shared" si="39"/>
        <v>1</v>
      </c>
      <c r="U1279" s="154">
        <f>IFERROR(IF(R1279&lt;&gt;FALSE,IF(S1279=TRUE,INDEX('SummaryNOT_VALIDATED-BL'!$A$1:$F$16,MATCH(R1279,'SummaryNOT_VALIDATED-BL'!$A$1:$A$16,0),6),0),IF(S1279=TRUE,INDEX('SummaryNOT_VALIDATED-BL'!$A$1:$F$16,MATCH(E1279,'SummaryNOT_VALIDATED-BL'!$A$1:$A$16,0),6),0)),0)</f>
        <v>0</v>
      </c>
      <c r="V1279" s="81" cm="1">
        <f t="array" ref="V1279">INDEX('Weight tables'!$A$24:$C$27,MATCH(1,(RendicontiTrasmessiBL__2[[#This Row],[Cut percentage on real costs + USC]]&gt;='Weight tables'!$B$24:$B$27)*(RendicontiTrasmessiBL__2[[#This Row],[Cut percentage on real costs + USC]]&lt;='Weight tables'!$C$24:$C$27),0),1)</f>
        <v>0</v>
      </c>
      <c r="W1279" s="2">
        <f>RendicontiTrasmessiBL__2[[#This Row],[Weight real costs  + USC ]]</f>
        <v>0</v>
      </c>
    </row>
    <row r="1280" spans="1:23" x14ac:dyDescent="0.25">
      <c r="A1280" s="1" t="s">
        <v>57</v>
      </c>
      <c r="B1280" s="1" t="s">
        <v>50</v>
      </c>
      <c r="C1280" s="2">
        <v>310</v>
      </c>
      <c r="D1280" s="2">
        <v>210</v>
      </c>
      <c r="E1280" s="1" t="s">
        <v>228</v>
      </c>
      <c r="G1280">
        <v>181452</v>
      </c>
      <c r="H1280">
        <v>30157.11</v>
      </c>
      <c r="I1280">
        <v>0</v>
      </c>
      <c r="J1280">
        <v>22503.98</v>
      </c>
      <c r="K1280">
        <v>0</v>
      </c>
      <c r="L1280">
        <v>22203.15</v>
      </c>
      <c r="M1280">
        <v>52661.09</v>
      </c>
      <c r="N1280">
        <v>29.02</v>
      </c>
      <c r="O1280">
        <v>128790.91</v>
      </c>
      <c r="P1280">
        <v>30094.63</v>
      </c>
      <c r="Q1280" t="str">
        <f>INDEX('Partner data'!A:DH,MATCH(C1280,'Partner data'!DG:DG,0),83)</f>
        <v>Soggetto pubblico</v>
      </c>
      <c r="R1280" t="str">
        <f>IF(E1280="staff",IF(INDEX('Partner data'!A:DH,MATCH(C1280,'Partner data'!DG:DG,0),112)="BL1 non presente","FALSO",INDEX('Partner data'!A:DH,MATCH(C1280,'Partner data'!DG:DG,0),112)))</f>
        <v>COSTO REALE</v>
      </c>
      <c r="S1280" t="b">
        <f t="shared" si="38"/>
        <v>1</v>
      </c>
      <c r="T1280" t="b">
        <f t="shared" si="39"/>
        <v>1</v>
      </c>
      <c r="U1280" s="154">
        <f>IFERROR(IF(R1280&lt;&gt;FALSE,IF(S1280=TRUE,INDEX('SummaryNOT_VALIDATED-BL'!$A$1:$F$16,MATCH(R1280,'SummaryNOT_VALIDATED-BL'!$A$1:$A$16,0),6),0),IF(S1280=TRUE,INDEX('SummaryNOT_VALIDATED-BL'!$A$1:$F$16,MATCH(E1280,'SummaryNOT_VALIDATED-BL'!$A$1:$A$16,0),6),0)),0)</f>
        <v>9.1604133276901048E-2</v>
      </c>
      <c r="V1280" s="81" cm="1">
        <f t="array" ref="V1280">INDEX('Weight tables'!$A$24:$C$27,MATCH(1,(RendicontiTrasmessiBL__2[[#This Row],[Cut percentage on real costs + USC]]&gt;='Weight tables'!$B$24:$B$27)*(RendicontiTrasmessiBL__2[[#This Row],[Cut percentage on real costs + USC]]&lt;='Weight tables'!$C$24:$C$27),0),1)</f>
        <v>4</v>
      </c>
      <c r="W1280" s="2">
        <f>RendicontiTrasmessiBL__2[[#This Row],[Weight real costs  + USC ]]</f>
        <v>4</v>
      </c>
    </row>
    <row r="1281" spans="1:23" x14ac:dyDescent="0.25">
      <c r="A1281" s="1" t="s">
        <v>57</v>
      </c>
      <c r="B1281" s="1" t="s">
        <v>50</v>
      </c>
      <c r="C1281" s="2">
        <v>310</v>
      </c>
      <c r="D1281" s="2">
        <v>210</v>
      </c>
      <c r="E1281" s="1" t="s">
        <v>229</v>
      </c>
      <c r="F1281">
        <v>15</v>
      </c>
      <c r="G1281">
        <v>27217.8</v>
      </c>
      <c r="H1281">
        <v>4523.5600000000004</v>
      </c>
      <c r="I1281">
        <v>0</v>
      </c>
      <c r="J1281">
        <v>3375.59</v>
      </c>
      <c r="K1281">
        <v>0</v>
      </c>
      <c r="L1281">
        <v>3330.47</v>
      </c>
      <c r="M1281">
        <v>7899.15</v>
      </c>
      <c r="N1281">
        <v>29.02</v>
      </c>
      <c r="O1281">
        <v>19318.650000000001</v>
      </c>
      <c r="P1281">
        <v>4514.1899999999996</v>
      </c>
      <c r="Q1281" t="str">
        <f>INDEX('Partner data'!A:DH,MATCH(C1281,'Partner data'!DG:DG,0),83)</f>
        <v>Soggetto pubblico</v>
      </c>
      <c r="R1281" t="b">
        <f>IF(E1281="staff",IF(INDEX('Partner data'!A:DH,MATCH(C1281,'Partner data'!DG:DG,0),112)="BL1 non presente","FALSO",INDEX('Partner data'!A:DH,MATCH(C1281,'Partner data'!DG:DG,0),112)))</f>
        <v>0</v>
      </c>
      <c r="S1281" t="b">
        <f t="shared" si="38"/>
        <v>1</v>
      </c>
      <c r="T1281" t="b">
        <f t="shared" si="39"/>
        <v>1</v>
      </c>
      <c r="U1281" s="154">
        <f>IFERROR(IF(R1281&lt;&gt;FALSE,IF(S1281=TRUE,INDEX('SummaryNOT_VALIDATED-BL'!$A$1:$F$16,MATCH(R1281,'SummaryNOT_VALIDATED-BL'!$A$1:$A$16,0),6),0),IF(S1281=TRUE,INDEX('SummaryNOT_VALIDATED-BL'!$A$1:$F$16,MATCH(E1281,'SummaryNOT_VALIDATED-BL'!$A$1:$A$16,0),6),0)),0)</f>
        <v>6.6460469504890221E-2</v>
      </c>
      <c r="V1281" s="81" cm="1">
        <f t="array" ref="V1281">INDEX('Weight tables'!$A$24:$C$27,MATCH(1,(RendicontiTrasmessiBL__2[[#This Row],[Cut percentage on real costs + USC]]&gt;='Weight tables'!$B$24:$B$27)*(RendicontiTrasmessiBL__2[[#This Row],[Cut percentage on real costs + USC]]&lt;='Weight tables'!$C$24:$C$27),0),1)</f>
        <v>4</v>
      </c>
      <c r="W1281" s="2">
        <f>RendicontiTrasmessiBL__2[[#This Row],[Weight real costs  + USC ]]</f>
        <v>4</v>
      </c>
    </row>
    <row r="1282" spans="1:23" x14ac:dyDescent="0.25">
      <c r="A1282" s="1" t="s">
        <v>57</v>
      </c>
      <c r="B1282" s="1" t="s">
        <v>50</v>
      </c>
      <c r="C1282" s="2">
        <v>310</v>
      </c>
      <c r="D1282" s="2">
        <v>210</v>
      </c>
      <c r="E1282" s="1" t="s">
        <v>230</v>
      </c>
      <c r="F1282">
        <v>4</v>
      </c>
      <c r="G1282">
        <v>7258.08</v>
      </c>
      <c r="H1282">
        <v>1206.28</v>
      </c>
      <c r="I1282">
        <v>0</v>
      </c>
      <c r="J1282">
        <v>900.15</v>
      </c>
      <c r="K1282">
        <v>0</v>
      </c>
      <c r="L1282">
        <v>888.12</v>
      </c>
      <c r="M1282">
        <v>2106.4299999999998</v>
      </c>
      <c r="N1282">
        <v>29.02</v>
      </c>
      <c r="O1282">
        <v>5151.6499999999996</v>
      </c>
      <c r="P1282">
        <v>1203.78</v>
      </c>
      <c r="Q1282" t="str">
        <f>INDEX('Partner data'!A:DH,MATCH(C1282,'Partner data'!DG:DG,0),83)</f>
        <v>Soggetto pubblico</v>
      </c>
      <c r="R1282" t="b">
        <f>IF(E1282="staff",IF(INDEX('Partner data'!A:DH,MATCH(C1282,'Partner data'!DG:DG,0),112)="BL1 non presente","FALSO",INDEX('Partner data'!A:DH,MATCH(C1282,'Partner data'!DG:DG,0),112)))</f>
        <v>0</v>
      </c>
      <c r="S1282" t="b">
        <f t="shared" ref="S1282:S1345" si="40">IF(J1282&lt;&gt;0,TRUE,FALSE)</f>
        <v>1</v>
      </c>
      <c r="T1282" t="b">
        <f t="shared" ref="T1282:T1345" si="41">OR(Q1282="Soggetto pubblico",Q1282="Organismo di diritto pubblico ")</f>
        <v>1</v>
      </c>
      <c r="U1282" s="154">
        <f>IFERROR(IF(R1282&lt;&gt;FALSE,IF(S1282=TRUE,INDEX('SummaryNOT_VALIDATED-BL'!$A$1:$F$16,MATCH(R1282,'SummaryNOT_VALIDATED-BL'!$A$1:$A$16,0),6),0),IF(S1282=TRUE,INDEX('SummaryNOT_VALIDATED-BL'!$A$1:$F$16,MATCH(E1282,'SummaryNOT_VALIDATED-BL'!$A$1:$A$16,0),6),0)),0)</f>
        <v>6.3112622236488891E-2</v>
      </c>
      <c r="V1282" s="81" cm="1">
        <f t="array" ref="V1282">INDEX('Weight tables'!$A$24:$C$27,MATCH(1,(RendicontiTrasmessiBL__2[[#This Row],[Cut percentage on real costs + USC]]&gt;='Weight tables'!$B$24:$B$27)*(RendicontiTrasmessiBL__2[[#This Row],[Cut percentage on real costs + USC]]&lt;='Weight tables'!$C$24:$C$27),0),1)</f>
        <v>4</v>
      </c>
      <c r="W1282" s="2">
        <f>RendicontiTrasmessiBL__2[[#This Row],[Weight real costs  + USC ]]</f>
        <v>4</v>
      </c>
    </row>
    <row r="1283" spans="1:23" x14ac:dyDescent="0.25">
      <c r="A1283" s="1" t="s">
        <v>57</v>
      </c>
      <c r="B1283" s="1" t="s">
        <v>50</v>
      </c>
      <c r="C1283" s="2">
        <v>310</v>
      </c>
      <c r="D1283" s="2">
        <v>210</v>
      </c>
      <c r="E1283" s="1" t="s">
        <v>231</v>
      </c>
      <c r="G1283">
        <v>54962.74</v>
      </c>
      <c r="H1283">
        <v>0</v>
      </c>
      <c r="I1283">
        <v>0</v>
      </c>
      <c r="J1283">
        <v>2866.41</v>
      </c>
      <c r="K1283">
        <v>0</v>
      </c>
      <c r="L1283">
        <v>2807.82</v>
      </c>
      <c r="M1283">
        <v>2866.41</v>
      </c>
      <c r="N1283">
        <v>5.22</v>
      </c>
      <c r="O1283">
        <v>52096.33</v>
      </c>
      <c r="P1283">
        <v>0</v>
      </c>
      <c r="Q1283" t="str">
        <f>INDEX('Partner data'!A:DH,MATCH(C1283,'Partner data'!DG:DG,0),83)</f>
        <v>Soggetto pubblico</v>
      </c>
      <c r="R1283" t="b">
        <f>IF(E1283="staff",IF(INDEX('Partner data'!A:DH,MATCH(C1283,'Partner data'!DG:DG,0),112)="BL1 non presente","FALSO",INDEX('Partner data'!A:DH,MATCH(C1283,'Partner data'!DG:DG,0),112)))</f>
        <v>0</v>
      </c>
      <c r="S1283" t="b">
        <f t="shared" si="40"/>
        <v>1</v>
      </c>
      <c r="T1283" t="b">
        <f t="shared" si="41"/>
        <v>1</v>
      </c>
      <c r="U1283" s="154">
        <f>IFERROR(IF(R1283&lt;&gt;FALSE,IF(S1283=TRUE,INDEX('SummaryNOT_VALIDATED-BL'!$A$1:$F$16,MATCH(R1283,'SummaryNOT_VALIDATED-BL'!$A$1:$A$16,0),6),0),IF(S1283=TRUE,INDEX('SummaryNOT_VALIDATED-BL'!$A$1:$F$16,MATCH(E1283,'SummaryNOT_VALIDATED-BL'!$A$1:$A$16,0),6),0)),0)</f>
        <v>5.577594442215475E-2</v>
      </c>
      <c r="V1283" s="81" cm="1">
        <f t="array" ref="V1283">INDEX('Weight tables'!$A$24:$C$27,MATCH(1,(RendicontiTrasmessiBL__2[[#This Row],[Cut percentage on real costs + USC]]&gt;='Weight tables'!$B$24:$B$27)*(RendicontiTrasmessiBL__2[[#This Row],[Cut percentage on real costs + USC]]&lt;='Weight tables'!$C$24:$C$27),0),1)</f>
        <v>4</v>
      </c>
      <c r="W1283" s="2">
        <f>RendicontiTrasmessiBL__2[[#This Row],[Weight real costs  + USC ]]</f>
        <v>4</v>
      </c>
    </row>
    <row r="1284" spans="1:23" x14ac:dyDescent="0.25">
      <c r="A1284" s="1" t="s">
        <v>57</v>
      </c>
      <c r="B1284" s="1" t="s">
        <v>50</v>
      </c>
      <c r="C1284" s="2">
        <v>310</v>
      </c>
      <c r="D1284" s="2">
        <v>210</v>
      </c>
      <c r="E1284" s="1" t="s">
        <v>232</v>
      </c>
      <c r="G1284">
        <v>9000</v>
      </c>
      <c r="H1284">
        <v>0</v>
      </c>
      <c r="I1284">
        <v>0</v>
      </c>
      <c r="J1284">
        <v>7917.8</v>
      </c>
      <c r="K1284">
        <v>0</v>
      </c>
      <c r="L1284">
        <v>7917.8</v>
      </c>
      <c r="M1284">
        <v>7917.8</v>
      </c>
      <c r="N1284">
        <v>87.98</v>
      </c>
      <c r="O1284">
        <v>1082.2</v>
      </c>
      <c r="P1284">
        <v>0</v>
      </c>
      <c r="Q1284" t="str">
        <f>INDEX('Partner data'!A:DH,MATCH(C1284,'Partner data'!DG:DG,0),83)</f>
        <v>Soggetto pubblico</v>
      </c>
      <c r="R1284" t="b">
        <f>IF(E1284="staff",IF(INDEX('Partner data'!A:DH,MATCH(C1284,'Partner data'!DG:DG,0),112)="BL1 non presente","FALSO",INDEX('Partner data'!A:DH,MATCH(C1284,'Partner data'!DG:DG,0),112)))</f>
        <v>0</v>
      </c>
      <c r="S1284" t="b">
        <f t="shared" si="40"/>
        <v>1</v>
      </c>
      <c r="T1284" t="b">
        <f t="shared" si="41"/>
        <v>1</v>
      </c>
      <c r="U1284" s="154">
        <f>IFERROR(IF(R1284&lt;&gt;FALSE,IF(S1284=TRUE,INDEX('SummaryNOT_VALIDATED-BL'!$A$1:$F$16,MATCH(R1284,'SummaryNOT_VALIDATED-BL'!$A$1:$A$16,0),6),0),IF(S1284=TRUE,INDEX('SummaryNOT_VALIDATED-BL'!$A$1:$F$16,MATCH(E1284,'SummaryNOT_VALIDATED-BL'!$A$1:$A$16,0),6),0)),0)</f>
        <v>1.102169095281242E-2</v>
      </c>
      <c r="V1284" s="81" cm="1">
        <f t="array" ref="V1284">INDEX('Weight tables'!$A$24:$C$27,MATCH(1,(RendicontiTrasmessiBL__2[[#This Row],[Cut percentage on real costs + USC]]&gt;='Weight tables'!$B$24:$B$27)*(RendicontiTrasmessiBL__2[[#This Row],[Cut percentage on real costs + USC]]&lt;='Weight tables'!$C$24:$C$27),0),1)</f>
        <v>0</v>
      </c>
      <c r="W1284" s="2">
        <f>RendicontiTrasmessiBL__2[[#This Row],[Weight real costs  + USC ]]</f>
        <v>0</v>
      </c>
    </row>
    <row r="1285" spans="1:23" x14ac:dyDescent="0.25">
      <c r="A1285" s="1" t="s">
        <v>57</v>
      </c>
      <c r="B1285" s="1" t="s">
        <v>50</v>
      </c>
      <c r="C1285" s="2">
        <v>310</v>
      </c>
      <c r="D1285" s="2">
        <v>210</v>
      </c>
      <c r="E1285" s="1" t="s">
        <v>233</v>
      </c>
      <c r="G1285">
        <v>32609.38</v>
      </c>
      <c r="H1285">
        <v>0</v>
      </c>
      <c r="I1285">
        <v>0</v>
      </c>
      <c r="J1285">
        <v>32609.38</v>
      </c>
      <c r="K1285">
        <v>0</v>
      </c>
      <c r="L1285">
        <v>32609.38</v>
      </c>
      <c r="M1285">
        <v>32609.38</v>
      </c>
      <c r="N1285">
        <v>100</v>
      </c>
      <c r="O1285">
        <v>0</v>
      </c>
      <c r="P1285">
        <v>0</v>
      </c>
      <c r="Q1285" t="str">
        <f>INDEX('Partner data'!A:DH,MATCH(C1285,'Partner data'!DG:DG,0),83)</f>
        <v>Soggetto pubblico</v>
      </c>
      <c r="R1285" t="b">
        <f>IF(E1285="staff",IF(INDEX('Partner data'!A:DH,MATCH(C1285,'Partner data'!DG:DG,0),112)="BL1 non presente","FALSO",INDEX('Partner data'!A:DH,MATCH(C1285,'Partner data'!DG:DG,0),112)))</f>
        <v>0</v>
      </c>
      <c r="S1285" t="b">
        <f t="shared" si="40"/>
        <v>1</v>
      </c>
      <c r="T1285" t="b">
        <f t="shared" si="41"/>
        <v>1</v>
      </c>
      <c r="U1285" s="154">
        <f>IFERROR(IF(R1285&lt;&gt;FALSE,IF(S1285=TRUE,INDEX('SummaryNOT_VALIDATED-BL'!$A$1:$F$16,MATCH(R1285,'SummaryNOT_VALIDATED-BL'!$A$1:$A$16,0),6),0),IF(S1285=TRUE,INDEX('SummaryNOT_VALIDATED-BL'!$A$1:$F$16,MATCH(E1285,'SummaryNOT_VALIDATED-BL'!$A$1:$A$16,0),6),0)),0)</f>
        <v>0</v>
      </c>
      <c r="V1285" s="81" cm="1">
        <f t="array" ref="V1285">INDEX('Weight tables'!$A$24:$C$27,MATCH(1,(RendicontiTrasmessiBL__2[[#This Row],[Cut percentage on real costs + USC]]&gt;='Weight tables'!$B$24:$B$27)*(RendicontiTrasmessiBL__2[[#This Row],[Cut percentage on real costs + USC]]&lt;='Weight tables'!$C$24:$C$27),0),1)</f>
        <v>0</v>
      </c>
      <c r="W1285" s="2">
        <f>RendicontiTrasmessiBL__2[[#This Row],[Weight real costs  + USC ]]</f>
        <v>0</v>
      </c>
    </row>
    <row r="1286" spans="1:23" x14ac:dyDescent="0.25">
      <c r="A1286" s="1" t="s">
        <v>57</v>
      </c>
      <c r="B1286" s="1" t="s">
        <v>50</v>
      </c>
      <c r="C1286" s="2">
        <v>310</v>
      </c>
      <c r="D1286" s="2">
        <v>210</v>
      </c>
      <c r="E1286" s="1" t="s">
        <v>234</v>
      </c>
      <c r="G1286">
        <v>0</v>
      </c>
      <c r="H1286">
        <v>0</v>
      </c>
      <c r="I1286">
        <v>0</v>
      </c>
      <c r="J1286">
        <v>0</v>
      </c>
      <c r="K1286">
        <v>0</v>
      </c>
      <c r="L1286">
        <v>0</v>
      </c>
      <c r="M1286">
        <v>0</v>
      </c>
      <c r="N1286">
        <v>0</v>
      </c>
      <c r="O1286">
        <v>0</v>
      </c>
      <c r="P1286">
        <v>0</v>
      </c>
      <c r="Q1286" t="str">
        <f>INDEX('Partner data'!A:DH,MATCH(C1286,'Partner data'!DG:DG,0),83)</f>
        <v>Soggetto pubblico</v>
      </c>
      <c r="R1286" t="b">
        <f>IF(E1286="staff",IF(INDEX('Partner data'!A:DH,MATCH(C1286,'Partner data'!DG:DG,0),112)="BL1 non presente","FALSO",INDEX('Partner data'!A:DH,MATCH(C1286,'Partner data'!DG:DG,0),112)))</f>
        <v>0</v>
      </c>
      <c r="S1286" t="b">
        <f t="shared" si="40"/>
        <v>0</v>
      </c>
      <c r="T1286" t="b">
        <f t="shared" si="41"/>
        <v>1</v>
      </c>
      <c r="U1286" s="154">
        <f>IFERROR(IF(R1286&lt;&gt;FALSE,IF(S1286=TRUE,INDEX('SummaryNOT_VALIDATED-BL'!$A$1:$F$16,MATCH(R1286,'SummaryNOT_VALIDATED-BL'!$A$1:$A$16,0),6),0),IF(S1286=TRUE,INDEX('SummaryNOT_VALIDATED-BL'!$A$1:$F$16,MATCH(E1286,'SummaryNOT_VALIDATED-BL'!$A$1:$A$16,0),6),0)),0)</f>
        <v>0</v>
      </c>
      <c r="V1286" s="81" cm="1">
        <f t="array" ref="V1286">INDEX('Weight tables'!$A$24:$C$27,MATCH(1,(RendicontiTrasmessiBL__2[[#This Row],[Cut percentage on real costs + USC]]&gt;='Weight tables'!$B$24:$B$27)*(RendicontiTrasmessiBL__2[[#This Row],[Cut percentage on real costs + USC]]&lt;='Weight tables'!$C$24:$C$27),0),1)</f>
        <v>0</v>
      </c>
      <c r="W1286" s="2">
        <f>RendicontiTrasmessiBL__2[[#This Row],[Weight real costs  + USC ]]</f>
        <v>0</v>
      </c>
    </row>
    <row r="1287" spans="1:23" x14ac:dyDescent="0.25">
      <c r="A1287" s="1" t="s">
        <v>57</v>
      </c>
      <c r="B1287" s="1" t="s">
        <v>50</v>
      </c>
      <c r="C1287" s="2">
        <v>310</v>
      </c>
      <c r="D1287" s="2">
        <v>210</v>
      </c>
      <c r="E1287" s="1" t="s">
        <v>236</v>
      </c>
      <c r="G1287">
        <v>0</v>
      </c>
      <c r="H1287">
        <v>0</v>
      </c>
      <c r="I1287">
        <v>0</v>
      </c>
      <c r="J1287">
        <v>0</v>
      </c>
      <c r="K1287">
        <v>0</v>
      </c>
      <c r="L1287">
        <v>0</v>
      </c>
      <c r="M1287">
        <v>0</v>
      </c>
      <c r="N1287">
        <v>0</v>
      </c>
      <c r="O1287">
        <v>0</v>
      </c>
      <c r="P1287">
        <v>0</v>
      </c>
      <c r="Q1287" t="str">
        <f>INDEX('Partner data'!A:DH,MATCH(C1287,'Partner data'!DG:DG,0),83)</f>
        <v>Soggetto pubblico</v>
      </c>
      <c r="R1287" t="b">
        <f>IF(E1287="staff",IF(INDEX('Partner data'!A:DH,MATCH(C1287,'Partner data'!DG:DG,0),112)="BL1 non presente","FALSO",INDEX('Partner data'!A:DH,MATCH(C1287,'Partner data'!DG:DG,0),112)))</f>
        <v>0</v>
      </c>
      <c r="S1287" t="b">
        <f t="shared" si="40"/>
        <v>0</v>
      </c>
      <c r="T1287" t="b">
        <f t="shared" si="41"/>
        <v>1</v>
      </c>
      <c r="U1287" s="154">
        <f>IFERROR(IF(R1287&lt;&gt;FALSE,IF(S1287=TRUE,INDEX('SummaryNOT_VALIDATED-BL'!$A$1:$F$16,MATCH(R1287,'SummaryNOT_VALIDATED-BL'!$A$1:$A$16,0),6),0),IF(S1287=TRUE,INDEX('SummaryNOT_VALIDATED-BL'!$A$1:$F$16,MATCH(E1287,'SummaryNOT_VALIDATED-BL'!$A$1:$A$16,0),6),0)),0)</f>
        <v>0</v>
      </c>
      <c r="V1287" s="81" cm="1">
        <f t="array" ref="V1287">INDEX('Weight tables'!$A$24:$C$27,MATCH(1,(RendicontiTrasmessiBL__2[[#This Row],[Cut percentage on real costs + USC]]&gt;='Weight tables'!$B$24:$B$27)*(RendicontiTrasmessiBL__2[[#This Row],[Cut percentage on real costs + USC]]&lt;='Weight tables'!$C$24:$C$27),0),1)</f>
        <v>0</v>
      </c>
      <c r="W1287" s="2">
        <f>RendicontiTrasmessiBL__2[[#This Row],[Weight real costs  + USC ]]</f>
        <v>0</v>
      </c>
    </row>
    <row r="1288" spans="1:23" x14ac:dyDescent="0.25">
      <c r="A1288" s="1" t="s">
        <v>57</v>
      </c>
      <c r="B1288" s="1" t="s">
        <v>50</v>
      </c>
      <c r="C1288" s="2">
        <v>310</v>
      </c>
      <c r="D1288" s="2">
        <v>210</v>
      </c>
      <c r="E1288" s="1" t="s">
        <v>237</v>
      </c>
      <c r="G1288">
        <v>0</v>
      </c>
      <c r="H1288">
        <v>0</v>
      </c>
      <c r="I1288">
        <v>0</v>
      </c>
      <c r="J1288">
        <v>0</v>
      </c>
      <c r="K1288">
        <v>0</v>
      </c>
      <c r="L1288">
        <v>0</v>
      </c>
      <c r="M1288">
        <v>0</v>
      </c>
      <c r="N1288">
        <v>0</v>
      </c>
      <c r="O1288">
        <v>0</v>
      </c>
      <c r="P1288">
        <v>0</v>
      </c>
      <c r="Q1288" t="str">
        <f>INDEX('Partner data'!A:DH,MATCH(C1288,'Partner data'!DG:DG,0),83)</f>
        <v>Soggetto pubblico</v>
      </c>
      <c r="R1288" t="b">
        <f>IF(E1288="staff",IF(INDEX('Partner data'!A:DH,MATCH(C1288,'Partner data'!DG:DG,0),112)="BL1 non presente","FALSO",INDEX('Partner data'!A:DH,MATCH(C1288,'Partner data'!DG:DG,0),112)))</f>
        <v>0</v>
      </c>
      <c r="S1288" t="b">
        <f t="shared" si="40"/>
        <v>0</v>
      </c>
      <c r="T1288" t="b">
        <f t="shared" si="41"/>
        <v>1</v>
      </c>
      <c r="U1288" s="154">
        <f>IFERROR(IF(R1288&lt;&gt;FALSE,IF(S1288=TRUE,INDEX('SummaryNOT_VALIDATED-BL'!$A$1:$F$16,MATCH(R1288,'SummaryNOT_VALIDATED-BL'!$A$1:$A$16,0),6),0),IF(S1288=TRUE,INDEX('SummaryNOT_VALIDATED-BL'!$A$1:$F$16,MATCH(E1288,'SummaryNOT_VALIDATED-BL'!$A$1:$A$16,0),6),0)),0)</f>
        <v>0</v>
      </c>
      <c r="V1288" s="81" cm="1">
        <f t="array" ref="V1288">INDEX('Weight tables'!$A$24:$C$27,MATCH(1,(RendicontiTrasmessiBL__2[[#This Row],[Cut percentage on real costs + USC]]&gt;='Weight tables'!$B$24:$B$27)*(RendicontiTrasmessiBL__2[[#This Row],[Cut percentage on real costs + USC]]&lt;='Weight tables'!$C$24:$C$27),0),1)</f>
        <v>0</v>
      </c>
      <c r="W1288" s="2">
        <f>RendicontiTrasmessiBL__2[[#This Row],[Weight real costs  + USC ]]</f>
        <v>0</v>
      </c>
    </row>
    <row r="1289" spans="1:23" x14ac:dyDescent="0.25">
      <c r="A1289" s="1" t="s">
        <v>57</v>
      </c>
      <c r="B1289" s="1" t="s">
        <v>50</v>
      </c>
      <c r="C1289" s="2">
        <v>310</v>
      </c>
      <c r="D1289" s="2">
        <v>70</v>
      </c>
      <c r="E1289" s="1" t="s">
        <v>228</v>
      </c>
      <c r="G1289">
        <v>181452</v>
      </c>
      <c r="H1289">
        <v>0</v>
      </c>
      <c r="I1289">
        <v>0</v>
      </c>
      <c r="J1289">
        <v>30157.11</v>
      </c>
      <c r="K1289">
        <v>0</v>
      </c>
      <c r="L1289">
        <v>30094.63</v>
      </c>
      <c r="M1289">
        <v>30157.11</v>
      </c>
      <c r="N1289">
        <v>16.62</v>
      </c>
      <c r="O1289">
        <v>151294.89000000001</v>
      </c>
      <c r="P1289">
        <v>0</v>
      </c>
      <c r="Q1289" t="str">
        <f>INDEX('Partner data'!A:DH,MATCH(C1289,'Partner data'!DG:DG,0),83)</f>
        <v>Soggetto pubblico</v>
      </c>
      <c r="R1289" t="str">
        <f>IF(E1289="staff",IF(INDEX('Partner data'!A:DH,MATCH(C1289,'Partner data'!DG:DG,0),112)="BL1 non presente","FALSO",INDEX('Partner data'!A:DH,MATCH(C1289,'Partner data'!DG:DG,0),112)))</f>
        <v>COSTO REALE</v>
      </c>
      <c r="S1289" t="b">
        <f t="shared" si="40"/>
        <v>1</v>
      </c>
      <c r="T1289" t="b">
        <f t="shared" si="41"/>
        <v>1</v>
      </c>
      <c r="U1289" s="154">
        <f>IFERROR(IF(R1289&lt;&gt;FALSE,IF(S1289=TRUE,INDEX('SummaryNOT_VALIDATED-BL'!$A$1:$F$16,MATCH(R1289,'SummaryNOT_VALIDATED-BL'!$A$1:$A$16,0),6),0),IF(S1289=TRUE,INDEX('SummaryNOT_VALIDATED-BL'!$A$1:$F$16,MATCH(E1289,'SummaryNOT_VALIDATED-BL'!$A$1:$A$16,0),6),0)),0)</f>
        <v>9.1604133276901048E-2</v>
      </c>
      <c r="V1289" s="81" cm="1">
        <f t="array" ref="V1289">INDEX('Weight tables'!$A$24:$C$27,MATCH(1,(RendicontiTrasmessiBL__2[[#This Row],[Cut percentage on real costs + USC]]&gt;='Weight tables'!$B$24:$B$27)*(RendicontiTrasmessiBL__2[[#This Row],[Cut percentage on real costs + USC]]&lt;='Weight tables'!$C$24:$C$27),0),1)</f>
        <v>4</v>
      </c>
      <c r="W1289" s="2">
        <f>RendicontiTrasmessiBL__2[[#This Row],[Weight real costs  + USC ]]</f>
        <v>4</v>
      </c>
    </row>
    <row r="1290" spans="1:23" x14ac:dyDescent="0.25">
      <c r="A1290" s="1" t="s">
        <v>57</v>
      </c>
      <c r="B1290" s="1" t="s">
        <v>50</v>
      </c>
      <c r="C1290" s="2">
        <v>310</v>
      </c>
      <c r="D1290" s="2">
        <v>70</v>
      </c>
      <c r="E1290" s="1" t="s">
        <v>229</v>
      </c>
      <c r="F1290">
        <v>15</v>
      </c>
      <c r="G1290">
        <v>27217.8</v>
      </c>
      <c r="H1290">
        <v>0</v>
      </c>
      <c r="I1290">
        <v>0</v>
      </c>
      <c r="J1290">
        <v>4523.5600000000004</v>
      </c>
      <c r="K1290">
        <v>0</v>
      </c>
      <c r="L1290">
        <v>4514.1899999999996</v>
      </c>
      <c r="M1290">
        <v>4523.5600000000004</v>
      </c>
      <c r="N1290">
        <v>16.62</v>
      </c>
      <c r="O1290">
        <v>22694.240000000002</v>
      </c>
      <c r="P1290">
        <v>0</v>
      </c>
      <c r="Q1290" t="str">
        <f>INDEX('Partner data'!A:DH,MATCH(C1290,'Partner data'!DG:DG,0),83)</f>
        <v>Soggetto pubblico</v>
      </c>
      <c r="R1290" t="b">
        <f>IF(E1290="staff",IF(INDEX('Partner data'!A:DH,MATCH(C1290,'Partner data'!DG:DG,0),112)="BL1 non presente","FALSO",INDEX('Partner data'!A:DH,MATCH(C1290,'Partner data'!DG:DG,0),112)))</f>
        <v>0</v>
      </c>
      <c r="S1290" t="b">
        <f t="shared" si="40"/>
        <v>1</v>
      </c>
      <c r="T1290" t="b">
        <f t="shared" si="41"/>
        <v>1</v>
      </c>
      <c r="U1290" s="154">
        <f>IFERROR(IF(R1290&lt;&gt;FALSE,IF(S1290=TRUE,INDEX('SummaryNOT_VALIDATED-BL'!$A$1:$F$16,MATCH(R1290,'SummaryNOT_VALIDATED-BL'!$A$1:$A$16,0),6),0),IF(S1290=TRUE,INDEX('SummaryNOT_VALIDATED-BL'!$A$1:$F$16,MATCH(E1290,'SummaryNOT_VALIDATED-BL'!$A$1:$A$16,0),6),0)),0)</f>
        <v>6.6460469504890221E-2</v>
      </c>
      <c r="V1290" s="81" cm="1">
        <f t="array" ref="V1290">INDEX('Weight tables'!$A$24:$C$27,MATCH(1,(RendicontiTrasmessiBL__2[[#This Row],[Cut percentage on real costs + USC]]&gt;='Weight tables'!$B$24:$B$27)*(RendicontiTrasmessiBL__2[[#This Row],[Cut percentage on real costs + USC]]&lt;='Weight tables'!$C$24:$C$27),0),1)</f>
        <v>4</v>
      </c>
      <c r="W1290" s="2">
        <f>RendicontiTrasmessiBL__2[[#This Row],[Weight real costs  + USC ]]</f>
        <v>4</v>
      </c>
    </row>
    <row r="1291" spans="1:23" x14ac:dyDescent="0.25">
      <c r="A1291" s="1" t="s">
        <v>57</v>
      </c>
      <c r="B1291" s="1" t="s">
        <v>50</v>
      </c>
      <c r="C1291" s="2">
        <v>310</v>
      </c>
      <c r="D1291" s="2">
        <v>70</v>
      </c>
      <c r="E1291" s="1" t="s">
        <v>230</v>
      </c>
      <c r="F1291">
        <v>4</v>
      </c>
      <c r="G1291">
        <v>7258.08</v>
      </c>
      <c r="H1291">
        <v>0</v>
      </c>
      <c r="I1291">
        <v>0</v>
      </c>
      <c r="J1291">
        <v>1206.28</v>
      </c>
      <c r="K1291">
        <v>0</v>
      </c>
      <c r="L1291">
        <v>1203.78</v>
      </c>
      <c r="M1291">
        <v>1206.28</v>
      </c>
      <c r="N1291">
        <v>16.62</v>
      </c>
      <c r="O1291">
        <v>6051.8</v>
      </c>
      <c r="P1291">
        <v>0</v>
      </c>
      <c r="Q1291" t="str">
        <f>INDEX('Partner data'!A:DH,MATCH(C1291,'Partner data'!DG:DG,0),83)</f>
        <v>Soggetto pubblico</v>
      </c>
      <c r="R1291" t="b">
        <f>IF(E1291="staff",IF(INDEX('Partner data'!A:DH,MATCH(C1291,'Partner data'!DG:DG,0),112)="BL1 non presente","FALSO",INDEX('Partner data'!A:DH,MATCH(C1291,'Partner data'!DG:DG,0),112)))</f>
        <v>0</v>
      </c>
      <c r="S1291" t="b">
        <f t="shared" si="40"/>
        <v>1</v>
      </c>
      <c r="T1291" t="b">
        <f t="shared" si="41"/>
        <v>1</v>
      </c>
      <c r="U1291" s="154">
        <f>IFERROR(IF(R1291&lt;&gt;FALSE,IF(S1291=TRUE,INDEX('SummaryNOT_VALIDATED-BL'!$A$1:$F$16,MATCH(R1291,'SummaryNOT_VALIDATED-BL'!$A$1:$A$16,0),6),0),IF(S1291=TRUE,INDEX('SummaryNOT_VALIDATED-BL'!$A$1:$F$16,MATCH(E1291,'SummaryNOT_VALIDATED-BL'!$A$1:$A$16,0),6),0)),0)</f>
        <v>6.3112622236488891E-2</v>
      </c>
      <c r="V1291" s="81" cm="1">
        <f t="array" ref="V1291">INDEX('Weight tables'!$A$24:$C$27,MATCH(1,(RendicontiTrasmessiBL__2[[#This Row],[Cut percentage on real costs + USC]]&gt;='Weight tables'!$B$24:$B$27)*(RendicontiTrasmessiBL__2[[#This Row],[Cut percentage on real costs + USC]]&lt;='Weight tables'!$C$24:$C$27),0),1)</f>
        <v>4</v>
      </c>
      <c r="W1291" s="2">
        <f>RendicontiTrasmessiBL__2[[#This Row],[Weight real costs  + USC ]]</f>
        <v>4</v>
      </c>
    </row>
    <row r="1292" spans="1:23" x14ac:dyDescent="0.25">
      <c r="A1292" s="1" t="s">
        <v>57</v>
      </c>
      <c r="B1292" s="1" t="s">
        <v>50</v>
      </c>
      <c r="C1292" s="2">
        <v>310</v>
      </c>
      <c r="D1292" s="2">
        <v>70</v>
      </c>
      <c r="E1292" s="1" t="s">
        <v>231</v>
      </c>
      <c r="G1292">
        <v>54962.74</v>
      </c>
      <c r="H1292">
        <v>0</v>
      </c>
      <c r="I1292">
        <v>0</v>
      </c>
      <c r="J1292">
        <v>0</v>
      </c>
      <c r="K1292">
        <v>0</v>
      </c>
      <c r="L1292">
        <v>0</v>
      </c>
      <c r="M1292">
        <v>0</v>
      </c>
      <c r="N1292">
        <v>0</v>
      </c>
      <c r="O1292">
        <v>54962.74</v>
      </c>
      <c r="P1292">
        <v>0</v>
      </c>
      <c r="Q1292" t="str">
        <f>INDEX('Partner data'!A:DH,MATCH(C1292,'Partner data'!DG:DG,0),83)</f>
        <v>Soggetto pubblico</v>
      </c>
      <c r="R1292" t="b">
        <f>IF(E1292="staff",IF(INDEX('Partner data'!A:DH,MATCH(C1292,'Partner data'!DG:DG,0),112)="BL1 non presente","FALSO",INDEX('Partner data'!A:DH,MATCH(C1292,'Partner data'!DG:DG,0),112)))</f>
        <v>0</v>
      </c>
      <c r="S1292" t="b">
        <f t="shared" si="40"/>
        <v>0</v>
      </c>
      <c r="T1292" t="b">
        <f t="shared" si="41"/>
        <v>1</v>
      </c>
      <c r="U1292" s="154">
        <f>IFERROR(IF(R1292&lt;&gt;FALSE,IF(S1292=TRUE,INDEX('SummaryNOT_VALIDATED-BL'!$A$1:$F$16,MATCH(R1292,'SummaryNOT_VALIDATED-BL'!$A$1:$A$16,0),6),0),IF(S1292=TRUE,INDEX('SummaryNOT_VALIDATED-BL'!$A$1:$F$16,MATCH(E1292,'SummaryNOT_VALIDATED-BL'!$A$1:$A$16,0),6),0)),0)</f>
        <v>0</v>
      </c>
      <c r="V1292" s="81" cm="1">
        <f t="array" ref="V1292">INDEX('Weight tables'!$A$24:$C$27,MATCH(1,(RendicontiTrasmessiBL__2[[#This Row],[Cut percentage on real costs + USC]]&gt;='Weight tables'!$B$24:$B$27)*(RendicontiTrasmessiBL__2[[#This Row],[Cut percentage on real costs + USC]]&lt;='Weight tables'!$C$24:$C$27),0),1)</f>
        <v>0</v>
      </c>
      <c r="W1292" s="2">
        <f>RendicontiTrasmessiBL__2[[#This Row],[Weight real costs  + USC ]]</f>
        <v>0</v>
      </c>
    </row>
    <row r="1293" spans="1:23" x14ac:dyDescent="0.25">
      <c r="A1293" s="1" t="s">
        <v>57</v>
      </c>
      <c r="B1293" s="1" t="s">
        <v>50</v>
      </c>
      <c r="C1293" s="2">
        <v>310</v>
      </c>
      <c r="D1293" s="2">
        <v>70</v>
      </c>
      <c r="E1293" s="1" t="s">
        <v>232</v>
      </c>
      <c r="G1293">
        <v>9000</v>
      </c>
      <c r="H1293">
        <v>0</v>
      </c>
      <c r="I1293">
        <v>0</v>
      </c>
      <c r="J1293">
        <v>0</v>
      </c>
      <c r="K1293">
        <v>0</v>
      </c>
      <c r="L1293">
        <v>0</v>
      </c>
      <c r="M1293">
        <v>0</v>
      </c>
      <c r="N1293">
        <v>0</v>
      </c>
      <c r="O1293">
        <v>9000</v>
      </c>
      <c r="P1293">
        <v>0</v>
      </c>
      <c r="Q1293" t="str">
        <f>INDEX('Partner data'!A:DH,MATCH(C1293,'Partner data'!DG:DG,0),83)</f>
        <v>Soggetto pubblico</v>
      </c>
      <c r="R1293" t="b">
        <f>IF(E1293="staff",IF(INDEX('Partner data'!A:DH,MATCH(C1293,'Partner data'!DG:DG,0),112)="BL1 non presente","FALSO",INDEX('Partner data'!A:DH,MATCH(C1293,'Partner data'!DG:DG,0),112)))</f>
        <v>0</v>
      </c>
      <c r="S1293" t="b">
        <f t="shared" si="40"/>
        <v>0</v>
      </c>
      <c r="T1293" t="b">
        <f t="shared" si="41"/>
        <v>1</v>
      </c>
      <c r="U1293" s="154">
        <f>IFERROR(IF(R1293&lt;&gt;FALSE,IF(S1293=TRUE,INDEX('SummaryNOT_VALIDATED-BL'!$A$1:$F$16,MATCH(R1293,'SummaryNOT_VALIDATED-BL'!$A$1:$A$16,0),6),0),IF(S1293=TRUE,INDEX('SummaryNOT_VALIDATED-BL'!$A$1:$F$16,MATCH(E1293,'SummaryNOT_VALIDATED-BL'!$A$1:$A$16,0),6),0)),0)</f>
        <v>0</v>
      </c>
      <c r="V1293" s="81" cm="1">
        <f t="array" ref="V1293">INDEX('Weight tables'!$A$24:$C$27,MATCH(1,(RendicontiTrasmessiBL__2[[#This Row],[Cut percentage on real costs + USC]]&gt;='Weight tables'!$B$24:$B$27)*(RendicontiTrasmessiBL__2[[#This Row],[Cut percentage on real costs + USC]]&lt;='Weight tables'!$C$24:$C$27),0),1)</f>
        <v>0</v>
      </c>
      <c r="W1293" s="2">
        <f>RendicontiTrasmessiBL__2[[#This Row],[Weight real costs  + USC ]]</f>
        <v>0</v>
      </c>
    </row>
    <row r="1294" spans="1:23" x14ac:dyDescent="0.25">
      <c r="A1294" s="1" t="s">
        <v>57</v>
      </c>
      <c r="B1294" s="1" t="s">
        <v>50</v>
      </c>
      <c r="C1294" s="2">
        <v>310</v>
      </c>
      <c r="D1294" s="2">
        <v>70</v>
      </c>
      <c r="E1294" s="1" t="s">
        <v>233</v>
      </c>
      <c r="G1294">
        <v>32609.38</v>
      </c>
      <c r="H1294">
        <v>0</v>
      </c>
      <c r="I1294">
        <v>0</v>
      </c>
      <c r="J1294">
        <v>0</v>
      </c>
      <c r="K1294">
        <v>0</v>
      </c>
      <c r="L1294">
        <v>0</v>
      </c>
      <c r="M1294">
        <v>0</v>
      </c>
      <c r="N1294">
        <v>0</v>
      </c>
      <c r="O1294">
        <v>32609.38</v>
      </c>
      <c r="P1294">
        <v>0</v>
      </c>
      <c r="Q1294" t="str">
        <f>INDEX('Partner data'!A:DH,MATCH(C1294,'Partner data'!DG:DG,0),83)</f>
        <v>Soggetto pubblico</v>
      </c>
      <c r="R1294" t="b">
        <f>IF(E1294="staff",IF(INDEX('Partner data'!A:DH,MATCH(C1294,'Partner data'!DG:DG,0),112)="BL1 non presente","FALSO",INDEX('Partner data'!A:DH,MATCH(C1294,'Partner data'!DG:DG,0),112)))</f>
        <v>0</v>
      </c>
      <c r="S1294" t="b">
        <f t="shared" si="40"/>
        <v>0</v>
      </c>
      <c r="T1294" t="b">
        <f t="shared" si="41"/>
        <v>1</v>
      </c>
      <c r="U1294" s="154">
        <f>IFERROR(IF(R1294&lt;&gt;FALSE,IF(S1294=TRUE,INDEX('SummaryNOT_VALIDATED-BL'!$A$1:$F$16,MATCH(R1294,'SummaryNOT_VALIDATED-BL'!$A$1:$A$16,0),6),0),IF(S1294=TRUE,INDEX('SummaryNOT_VALIDATED-BL'!$A$1:$F$16,MATCH(E1294,'SummaryNOT_VALIDATED-BL'!$A$1:$A$16,0),6),0)),0)</f>
        <v>0</v>
      </c>
      <c r="V1294" s="81" cm="1">
        <f t="array" ref="V1294">INDEX('Weight tables'!$A$24:$C$27,MATCH(1,(RendicontiTrasmessiBL__2[[#This Row],[Cut percentage on real costs + USC]]&gt;='Weight tables'!$B$24:$B$27)*(RendicontiTrasmessiBL__2[[#This Row],[Cut percentage on real costs + USC]]&lt;='Weight tables'!$C$24:$C$27),0),1)</f>
        <v>0</v>
      </c>
      <c r="W1294" s="2">
        <f>RendicontiTrasmessiBL__2[[#This Row],[Weight real costs  + USC ]]</f>
        <v>0</v>
      </c>
    </row>
    <row r="1295" spans="1:23" x14ac:dyDescent="0.25">
      <c r="A1295" s="1" t="s">
        <v>57</v>
      </c>
      <c r="B1295" s="1" t="s">
        <v>50</v>
      </c>
      <c r="C1295" s="2">
        <v>310</v>
      </c>
      <c r="D1295" s="2">
        <v>70</v>
      </c>
      <c r="E1295" s="1" t="s">
        <v>234</v>
      </c>
      <c r="G1295">
        <v>0</v>
      </c>
      <c r="H1295">
        <v>0</v>
      </c>
      <c r="I1295">
        <v>0</v>
      </c>
      <c r="J1295">
        <v>0</v>
      </c>
      <c r="K1295">
        <v>0</v>
      </c>
      <c r="L1295">
        <v>0</v>
      </c>
      <c r="M1295">
        <v>0</v>
      </c>
      <c r="N1295">
        <v>0</v>
      </c>
      <c r="O1295">
        <v>0</v>
      </c>
      <c r="P1295">
        <v>0</v>
      </c>
      <c r="Q1295" t="str">
        <f>INDEX('Partner data'!A:DH,MATCH(C1295,'Partner data'!DG:DG,0),83)</f>
        <v>Soggetto pubblico</v>
      </c>
      <c r="R1295" t="b">
        <f>IF(E1295="staff",IF(INDEX('Partner data'!A:DH,MATCH(C1295,'Partner data'!DG:DG,0),112)="BL1 non presente","FALSO",INDEX('Partner data'!A:DH,MATCH(C1295,'Partner data'!DG:DG,0),112)))</f>
        <v>0</v>
      </c>
      <c r="S1295" t="b">
        <f t="shared" si="40"/>
        <v>0</v>
      </c>
      <c r="T1295" t="b">
        <f t="shared" si="41"/>
        <v>1</v>
      </c>
      <c r="U1295" s="154">
        <f>IFERROR(IF(R1295&lt;&gt;FALSE,IF(S1295=TRUE,INDEX('SummaryNOT_VALIDATED-BL'!$A$1:$F$16,MATCH(R1295,'SummaryNOT_VALIDATED-BL'!$A$1:$A$16,0),6),0),IF(S1295=TRUE,INDEX('SummaryNOT_VALIDATED-BL'!$A$1:$F$16,MATCH(E1295,'SummaryNOT_VALIDATED-BL'!$A$1:$A$16,0),6),0)),0)</f>
        <v>0</v>
      </c>
      <c r="V1295" s="81" cm="1">
        <f t="array" ref="V1295">INDEX('Weight tables'!$A$24:$C$27,MATCH(1,(RendicontiTrasmessiBL__2[[#This Row],[Cut percentage on real costs + USC]]&gt;='Weight tables'!$B$24:$B$27)*(RendicontiTrasmessiBL__2[[#This Row],[Cut percentage on real costs + USC]]&lt;='Weight tables'!$C$24:$C$27),0),1)</f>
        <v>0</v>
      </c>
      <c r="W1295" s="2">
        <f>RendicontiTrasmessiBL__2[[#This Row],[Weight real costs  + USC ]]</f>
        <v>0</v>
      </c>
    </row>
    <row r="1296" spans="1:23" x14ac:dyDescent="0.25">
      <c r="A1296" s="1" t="s">
        <v>57</v>
      </c>
      <c r="B1296" s="1" t="s">
        <v>50</v>
      </c>
      <c r="C1296" s="2">
        <v>310</v>
      </c>
      <c r="D1296" s="2">
        <v>70</v>
      </c>
      <c r="E1296" s="1" t="s">
        <v>236</v>
      </c>
      <c r="G1296">
        <v>0</v>
      </c>
      <c r="H1296">
        <v>0</v>
      </c>
      <c r="I1296">
        <v>0</v>
      </c>
      <c r="J1296">
        <v>0</v>
      </c>
      <c r="K1296">
        <v>0</v>
      </c>
      <c r="L1296">
        <v>0</v>
      </c>
      <c r="M1296">
        <v>0</v>
      </c>
      <c r="N1296">
        <v>0</v>
      </c>
      <c r="O1296">
        <v>0</v>
      </c>
      <c r="P1296">
        <v>0</v>
      </c>
      <c r="Q1296" t="str">
        <f>INDEX('Partner data'!A:DH,MATCH(C1296,'Partner data'!DG:DG,0),83)</f>
        <v>Soggetto pubblico</v>
      </c>
      <c r="R1296" t="b">
        <f>IF(E1296="staff",IF(INDEX('Partner data'!A:DH,MATCH(C1296,'Partner data'!DG:DG,0),112)="BL1 non presente","FALSO",INDEX('Partner data'!A:DH,MATCH(C1296,'Partner data'!DG:DG,0),112)))</f>
        <v>0</v>
      </c>
      <c r="S1296" t="b">
        <f t="shared" si="40"/>
        <v>0</v>
      </c>
      <c r="T1296" t="b">
        <f t="shared" si="41"/>
        <v>1</v>
      </c>
      <c r="U1296" s="154">
        <f>IFERROR(IF(R1296&lt;&gt;FALSE,IF(S1296=TRUE,INDEX('SummaryNOT_VALIDATED-BL'!$A$1:$F$16,MATCH(R1296,'SummaryNOT_VALIDATED-BL'!$A$1:$A$16,0),6),0),IF(S1296=TRUE,INDEX('SummaryNOT_VALIDATED-BL'!$A$1:$F$16,MATCH(E1296,'SummaryNOT_VALIDATED-BL'!$A$1:$A$16,0),6),0)),0)</f>
        <v>0</v>
      </c>
      <c r="V1296" s="81" cm="1">
        <f t="array" ref="V1296">INDEX('Weight tables'!$A$24:$C$27,MATCH(1,(RendicontiTrasmessiBL__2[[#This Row],[Cut percentage on real costs + USC]]&gt;='Weight tables'!$B$24:$B$27)*(RendicontiTrasmessiBL__2[[#This Row],[Cut percentage on real costs + USC]]&lt;='Weight tables'!$C$24:$C$27),0),1)</f>
        <v>0</v>
      </c>
      <c r="W1296" s="2">
        <f>RendicontiTrasmessiBL__2[[#This Row],[Weight real costs  + USC ]]</f>
        <v>0</v>
      </c>
    </row>
    <row r="1297" spans="1:23" x14ac:dyDescent="0.25">
      <c r="A1297" s="1" t="s">
        <v>57</v>
      </c>
      <c r="B1297" s="1" t="s">
        <v>50</v>
      </c>
      <c r="C1297" s="2">
        <v>310</v>
      </c>
      <c r="D1297" s="2">
        <v>70</v>
      </c>
      <c r="E1297" s="1" t="s">
        <v>237</v>
      </c>
      <c r="G1297">
        <v>0</v>
      </c>
      <c r="H1297">
        <v>0</v>
      </c>
      <c r="I1297">
        <v>0</v>
      </c>
      <c r="J1297">
        <v>0</v>
      </c>
      <c r="K1297">
        <v>0</v>
      </c>
      <c r="L1297">
        <v>0</v>
      </c>
      <c r="M1297">
        <v>0</v>
      </c>
      <c r="N1297">
        <v>0</v>
      </c>
      <c r="O1297">
        <v>0</v>
      </c>
      <c r="P1297">
        <v>0</v>
      </c>
      <c r="Q1297" t="str">
        <f>INDEX('Partner data'!A:DH,MATCH(C1297,'Partner data'!DG:DG,0),83)</f>
        <v>Soggetto pubblico</v>
      </c>
      <c r="R1297" t="b">
        <f>IF(E1297="staff",IF(INDEX('Partner data'!A:DH,MATCH(C1297,'Partner data'!DG:DG,0),112)="BL1 non presente","FALSO",INDEX('Partner data'!A:DH,MATCH(C1297,'Partner data'!DG:DG,0),112)))</f>
        <v>0</v>
      </c>
      <c r="S1297" t="b">
        <f t="shared" si="40"/>
        <v>0</v>
      </c>
      <c r="T1297" t="b">
        <f t="shared" si="41"/>
        <v>1</v>
      </c>
      <c r="U1297" s="154">
        <f>IFERROR(IF(R1297&lt;&gt;FALSE,IF(S1297=TRUE,INDEX('SummaryNOT_VALIDATED-BL'!$A$1:$F$16,MATCH(R1297,'SummaryNOT_VALIDATED-BL'!$A$1:$A$16,0),6),0),IF(S1297=TRUE,INDEX('SummaryNOT_VALIDATED-BL'!$A$1:$F$16,MATCH(E1297,'SummaryNOT_VALIDATED-BL'!$A$1:$A$16,0),6),0)),0)</f>
        <v>0</v>
      </c>
      <c r="V1297" s="81" cm="1">
        <f t="array" ref="V1297">INDEX('Weight tables'!$A$24:$C$27,MATCH(1,(RendicontiTrasmessiBL__2[[#This Row],[Cut percentage on real costs + USC]]&gt;='Weight tables'!$B$24:$B$27)*(RendicontiTrasmessiBL__2[[#This Row],[Cut percentage on real costs + USC]]&lt;='Weight tables'!$C$24:$C$27),0),1)</f>
        <v>0</v>
      </c>
      <c r="W1297" s="2">
        <f>RendicontiTrasmessiBL__2[[#This Row],[Weight real costs  + USC ]]</f>
        <v>0</v>
      </c>
    </row>
    <row r="1298" spans="1:23" x14ac:dyDescent="0.25">
      <c r="A1298" s="1" t="s">
        <v>57</v>
      </c>
      <c r="B1298" s="1" t="s">
        <v>39</v>
      </c>
      <c r="C1298" s="2">
        <v>303</v>
      </c>
      <c r="D1298" s="2">
        <v>217</v>
      </c>
      <c r="E1298" s="1" t="s">
        <v>228</v>
      </c>
      <c r="G1298">
        <v>174420</v>
      </c>
      <c r="H1298">
        <v>24327</v>
      </c>
      <c r="I1298">
        <v>0</v>
      </c>
      <c r="J1298">
        <v>13648.5</v>
      </c>
      <c r="K1298">
        <v>0</v>
      </c>
      <c r="L1298">
        <v>0</v>
      </c>
      <c r="M1298">
        <v>37975.5</v>
      </c>
      <c r="N1298">
        <v>21.77</v>
      </c>
      <c r="O1298">
        <v>136444.5</v>
      </c>
      <c r="P1298">
        <v>24327</v>
      </c>
      <c r="Q1298" t="str">
        <f>INDEX('Partner data'!A:DH,MATCH(C1298,'Partner data'!DG:DG,0),83)</f>
        <v xml:space="preserve">Organismo di diritto pubblico </v>
      </c>
      <c r="R1298" t="str">
        <f>IF(E1298="staff",IF(INDEX('Partner data'!A:DH,MATCH(C1298,'Partner data'!DG:DG,0),112)="BL1 non presente","FALSO",INDEX('Partner data'!A:DH,MATCH(C1298,'Partner data'!DG:DG,0),112)))</f>
        <v>Costo Unitario Standard</v>
      </c>
      <c r="S1298" t="b">
        <f t="shared" si="40"/>
        <v>1</v>
      </c>
      <c r="T1298" t="b">
        <f t="shared" si="41"/>
        <v>1</v>
      </c>
      <c r="U1298" s="154">
        <f>IFERROR(IF(R1298&lt;&gt;FALSE,IF(S1298=TRUE,INDEX('SummaryNOT_VALIDATED-BL'!$A$1:$F$16,MATCH(R1298,'SummaryNOT_VALIDATED-BL'!$A$1:$A$16,0),6),0),IF(S1298=TRUE,INDEX('SummaryNOT_VALIDATED-BL'!$A$1:$F$16,MATCH(E1298,'SummaryNOT_VALIDATED-BL'!$A$1:$A$16,0),6),0)),0)</f>
        <v>3.2052879635441428E-2</v>
      </c>
      <c r="V1298" s="81" cm="1">
        <f t="array" ref="V1298">INDEX('Weight tables'!$A$24:$C$27,MATCH(1,(RendicontiTrasmessiBL__2[[#This Row],[Cut percentage on real costs + USC]]&gt;='Weight tables'!$B$24:$B$27)*(RendicontiTrasmessiBL__2[[#This Row],[Cut percentage on real costs + USC]]&lt;='Weight tables'!$C$24:$C$27),0),1)</f>
        <v>2</v>
      </c>
      <c r="W1298" s="2">
        <f>RendicontiTrasmessiBL__2[[#This Row],[Weight real costs  + USC ]]</f>
        <v>2</v>
      </c>
    </row>
    <row r="1299" spans="1:23" x14ac:dyDescent="0.25">
      <c r="A1299" s="1" t="s">
        <v>57</v>
      </c>
      <c r="B1299" s="1" t="s">
        <v>39</v>
      </c>
      <c r="C1299" s="2">
        <v>303</v>
      </c>
      <c r="D1299" s="2">
        <v>217</v>
      </c>
      <c r="E1299" s="1" t="s">
        <v>229</v>
      </c>
      <c r="F1299">
        <v>15</v>
      </c>
      <c r="G1299">
        <v>26163</v>
      </c>
      <c r="H1299">
        <v>3649.05</v>
      </c>
      <c r="I1299">
        <v>0</v>
      </c>
      <c r="J1299">
        <v>2047.27</v>
      </c>
      <c r="K1299">
        <v>0</v>
      </c>
      <c r="L1299">
        <v>0</v>
      </c>
      <c r="M1299">
        <v>5696.32</v>
      </c>
      <c r="N1299">
        <v>21.77</v>
      </c>
      <c r="O1299">
        <v>20466.68</v>
      </c>
      <c r="P1299">
        <v>3649.05</v>
      </c>
      <c r="Q1299" t="str">
        <f>INDEX('Partner data'!A:DH,MATCH(C1299,'Partner data'!DG:DG,0),83)</f>
        <v xml:space="preserve">Organismo di diritto pubblico </v>
      </c>
      <c r="R1299" t="b">
        <f>IF(E1299="staff",IF(INDEX('Partner data'!A:DH,MATCH(C1299,'Partner data'!DG:DG,0),112)="BL1 non presente","FALSO",INDEX('Partner data'!A:DH,MATCH(C1299,'Partner data'!DG:DG,0),112)))</f>
        <v>0</v>
      </c>
      <c r="S1299" t="b">
        <f t="shared" si="40"/>
        <v>1</v>
      </c>
      <c r="T1299" t="b">
        <f t="shared" si="41"/>
        <v>1</v>
      </c>
      <c r="U1299" s="154">
        <f>IFERROR(IF(R1299&lt;&gt;FALSE,IF(S1299=TRUE,INDEX('SummaryNOT_VALIDATED-BL'!$A$1:$F$16,MATCH(R1299,'SummaryNOT_VALIDATED-BL'!$A$1:$A$16,0),6),0),IF(S1299=TRUE,INDEX('SummaryNOT_VALIDATED-BL'!$A$1:$F$16,MATCH(E1299,'SummaryNOT_VALIDATED-BL'!$A$1:$A$16,0),6),0)),0)</f>
        <v>6.6460469504890221E-2</v>
      </c>
      <c r="V1299" s="81" cm="1">
        <f t="array" ref="V1299">INDEX('Weight tables'!$A$24:$C$27,MATCH(1,(RendicontiTrasmessiBL__2[[#This Row],[Cut percentage on real costs + USC]]&gt;='Weight tables'!$B$24:$B$27)*(RendicontiTrasmessiBL__2[[#This Row],[Cut percentage on real costs + USC]]&lt;='Weight tables'!$C$24:$C$27),0),1)</f>
        <v>4</v>
      </c>
      <c r="W1299" s="2">
        <f>RendicontiTrasmessiBL__2[[#This Row],[Weight real costs  + USC ]]</f>
        <v>4</v>
      </c>
    </row>
    <row r="1300" spans="1:23" x14ac:dyDescent="0.25">
      <c r="A1300" s="1" t="s">
        <v>57</v>
      </c>
      <c r="B1300" s="1" t="s">
        <v>39</v>
      </c>
      <c r="C1300" s="2">
        <v>303</v>
      </c>
      <c r="D1300" s="2">
        <v>217</v>
      </c>
      <c r="E1300" s="1" t="s">
        <v>230</v>
      </c>
      <c r="F1300">
        <v>4</v>
      </c>
      <c r="G1300">
        <v>6976.8</v>
      </c>
      <c r="H1300">
        <v>973.08</v>
      </c>
      <c r="I1300">
        <v>0</v>
      </c>
      <c r="J1300">
        <v>545.94000000000005</v>
      </c>
      <c r="K1300">
        <v>0</v>
      </c>
      <c r="L1300">
        <v>0</v>
      </c>
      <c r="M1300">
        <v>1519.02</v>
      </c>
      <c r="N1300">
        <v>21.77</v>
      </c>
      <c r="O1300">
        <v>5457.78</v>
      </c>
      <c r="P1300">
        <v>973.08</v>
      </c>
      <c r="Q1300" t="str">
        <f>INDEX('Partner data'!A:DH,MATCH(C1300,'Partner data'!DG:DG,0),83)</f>
        <v xml:space="preserve">Organismo di diritto pubblico </v>
      </c>
      <c r="R1300" t="b">
        <f>IF(E1300="staff",IF(INDEX('Partner data'!A:DH,MATCH(C1300,'Partner data'!DG:DG,0),112)="BL1 non presente","FALSO",INDEX('Partner data'!A:DH,MATCH(C1300,'Partner data'!DG:DG,0),112)))</f>
        <v>0</v>
      </c>
      <c r="S1300" t="b">
        <f t="shared" si="40"/>
        <v>1</v>
      </c>
      <c r="T1300" t="b">
        <f t="shared" si="41"/>
        <v>1</v>
      </c>
      <c r="U1300" s="154">
        <f>IFERROR(IF(R1300&lt;&gt;FALSE,IF(S1300=TRUE,INDEX('SummaryNOT_VALIDATED-BL'!$A$1:$F$16,MATCH(R1300,'SummaryNOT_VALIDATED-BL'!$A$1:$A$16,0),6),0),IF(S1300=TRUE,INDEX('SummaryNOT_VALIDATED-BL'!$A$1:$F$16,MATCH(E1300,'SummaryNOT_VALIDATED-BL'!$A$1:$A$16,0),6),0)),0)</f>
        <v>6.3112622236488891E-2</v>
      </c>
      <c r="V1300" s="81" cm="1">
        <f t="array" ref="V1300">INDEX('Weight tables'!$A$24:$C$27,MATCH(1,(RendicontiTrasmessiBL__2[[#This Row],[Cut percentage on real costs + USC]]&gt;='Weight tables'!$B$24:$B$27)*(RendicontiTrasmessiBL__2[[#This Row],[Cut percentage on real costs + USC]]&lt;='Weight tables'!$C$24:$C$27),0),1)</f>
        <v>4</v>
      </c>
      <c r="W1300" s="2">
        <f>RendicontiTrasmessiBL__2[[#This Row],[Weight real costs  + USC ]]</f>
        <v>4</v>
      </c>
    </row>
    <row r="1301" spans="1:23" x14ac:dyDescent="0.25">
      <c r="A1301" s="1" t="s">
        <v>57</v>
      </c>
      <c r="B1301" s="1" t="s">
        <v>39</v>
      </c>
      <c r="C1301" s="2">
        <v>303</v>
      </c>
      <c r="D1301" s="2">
        <v>217</v>
      </c>
      <c r="E1301" s="1" t="s">
        <v>231</v>
      </c>
      <c r="G1301">
        <v>379000</v>
      </c>
      <c r="H1301">
        <v>2989</v>
      </c>
      <c r="I1301">
        <v>0</v>
      </c>
      <c r="J1301">
        <v>10756.01</v>
      </c>
      <c r="K1301">
        <v>0</v>
      </c>
      <c r="L1301">
        <v>0</v>
      </c>
      <c r="M1301">
        <v>13745.01</v>
      </c>
      <c r="N1301">
        <v>3.63</v>
      </c>
      <c r="O1301">
        <v>365254.99</v>
      </c>
      <c r="P1301">
        <v>2989</v>
      </c>
      <c r="Q1301" t="str">
        <f>INDEX('Partner data'!A:DH,MATCH(C1301,'Partner data'!DG:DG,0),83)</f>
        <v xml:space="preserve">Organismo di diritto pubblico </v>
      </c>
      <c r="R1301" t="b">
        <f>IF(E1301="staff",IF(INDEX('Partner data'!A:DH,MATCH(C1301,'Partner data'!DG:DG,0),112)="BL1 non presente","FALSO",INDEX('Partner data'!A:DH,MATCH(C1301,'Partner data'!DG:DG,0),112)))</f>
        <v>0</v>
      </c>
      <c r="S1301" t="b">
        <f t="shared" si="40"/>
        <v>1</v>
      </c>
      <c r="T1301" t="b">
        <f t="shared" si="41"/>
        <v>1</v>
      </c>
      <c r="U1301" s="154">
        <f>IFERROR(IF(R1301&lt;&gt;FALSE,IF(S1301=TRUE,INDEX('SummaryNOT_VALIDATED-BL'!$A$1:$F$16,MATCH(R1301,'SummaryNOT_VALIDATED-BL'!$A$1:$A$16,0),6),0),IF(S1301=TRUE,INDEX('SummaryNOT_VALIDATED-BL'!$A$1:$F$16,MATCH(E1301,'SummaryNOT_VALIDATED-BL'!$A$1:$A$16,0),6),0)),0)</f>
        <v>5.577594442215475E-2</v>
      </c>
      <c r="V1301" s="81" cm="1">
        <f t="array" ref="V1301">INDEX('Weight tables'!$A$24:$C$27,MATCH(1,(RendicontiTrasmessiBL__2[[#This Row],[Cut percentage on real costs + USC]]&gt;='Weight tables'!$B$24:$B$27)*(RendicontiTrasmessiBL__2[[#This Row],[Cut percentage on real costs + USC]]&lt;='Weight tables'!$C$24:$C$27),0),1)</f>
        <v>4</v>
      </c>
      <c r="W1301" s="2">
        <f>RendicontiTrasmessiBL__2[[#This Row],[Weight real costs  + USC ]]</f>
        <v>4</v>
      </c>
    </row>
    <row r="1302" spans="1:23" x14ac:dyDescent="0.25">
      <c r="A1302" s="1" t="s">
        <v>57</v>
      </c>
      <c r="B1302" s="1" t="s">
        <v>39</v>
      </c>
      <c r="C1302" s="2">
        <v>303</v>
      </c>
      <c r="D1302" s="2">
        <v>217</v>
      </c>
      <c r="E1302" s="1" t="s">
        <v>232</v>
      </c>
      <c r="G1302">
        <v>30004.6</v>
      </c>
      <c r="H1302">
        <v>0</v>
      </c>
      <c r="I1302">
        <v>0</v>
      </c>
      <c r="J1302">
        <v>0</v>
      </c>
      <c r="K1302">
        <v>0</v>
      </c>
      <c r="L1302">
        <v>0</v>
      </c>
      <c r="M1302">
        <v>0</v>
      </c>
      <c r="N1302">
        <v>0</v>
      </c>
      <c r="O1302">
        <v>30004.6</v>
      </c>
      <c r="P1302">
        <v>0</v>
      </c>
      <c r="Q1302" t="str">
        <f>INDEX('Partner data'!A:DH,MATCH(C1302,'Partner data'!DG:DG,0),83)</f>
        <v xml:space="preserve">Organismo di diritto pubblico </v>
      </c>
      <c r="R1302" t="b">
        <f>IF(E1302="staff",IF(INDEX('Partner data'!A:DH,MATCH(C1302,'Partner data'!DG:DG,0),112)="BL1 non presente","FALSO",INDEX('Partner data'!A:DH,MATCH(C1302,'Partner data'!DG:DG,0),112)))</f>
        <v>0</v>
      </c>
      <c r="S1302" t="b">
        <f t="shared" si="40"/>
        <v>0</v>
      </c>
      <c r="T1302" t="b">
        <f t="shared" si="41"/>
        <v>1</v>
      </c>
      <c r="U1302" s="154">
        <f>IFERROR(IF(R1302&lt;&gt;FALSE,IF(S1302=TRUE,INDEX('SummaryNOT_VALIDATED-BL'!$A$1:$F$16,MATCH(R1302,'SummaryNOT_VALIDATED-BL'!$A$1:$A$16,0),6),0),IF(S1302=TRUE,INDEX('SummaryNOT_VALIDATED-BL'!$A$1:$F$16,MATCH(E1302,'SummaryNOT_VALIDATED-BL'!$A$1:$A$16,0),6),0)),0)</f>
        <v>0</v>
      </c>
      <c r="V1302" s="81" cm="1">
        <f t="array" ref="V1302">INDEX('Weight tables'!$A$24:$C$27,MATCH(1,(RendicontiTrasmessiBL__2[[#This Row],[Cut percentage on real costs + USC]]&gt;='Weight tables'!$B$24:$B$27)*(RendicontiTrasmessiBL__2[[#This Row],[Cut percentage on real costs + USC]]&lt;='Weight tables'!$C$24:$C$27),0),1)</f>
        <v>0</v>
      </c>
      <c r="W1302" s="2">
        <f>RendicontiTrasmessiBL__2[[#This Row],[Weight real costs  + USC ]]</f>
        <v>0</v>
      </c>
    </row>
    <row r="1303" spans="1:23" x14ac:dyDescent="0.25">
      <c r="A1303" s="1" t="s">
        <v>57</v>
      </c>
      <c r="B1303" s="1" t="s">
        <v>39</v>
      </c>
      <c r="C1303" s="2">
        <v>303</v>
      </c>
      <c r="D1303" s="2">
        <v>217</v>
      </c>
      <c r="E1303" s="1" t="s">
        <v>233</v>
      </c>
      <c r="G1303">
        <v>0</v>
      </c>
      <c r="H1303">
        <v>0</v>
      </c>
      <c r="I1303">
        <v>0</v>
      </c>
      <c r="J1303">
        <v>0</v>
      </c>
      <c r="K1303">
        <v>0</v>
      </c>
      <c r="L1303">
        <v>0</v>
      </c>
      <c r="M1303">
        <v>0</v>
      </c>
      <c r="N1303">
        <v>0</v>
      </c>
      <c r="O1303">
        <v>0</v>
      </c>
      <c r="P1303">
        <v>0</v>
      </c>
      <c r="Q1303" t="str">
        <f>INDEX('Partner data'!A:DH,MATCH(C1303,'Partner data'!DG:DG,0),83)</f>
        <v xml:space="preserve">Organismo di diritto pubblico </v>
      </c>
      <c r="R1303" t="b">
        <f>IF(E1303="staff",IF(INDEX('Partner data'!A:DH,MATCH(C1303,'Partner data'!DG:DG,0),112)="BL1 non presente","FALSO",INDEX('Partner data'!A:DH,MATCH(C1303,'Partner data'!DG:DG,0),112)))</f>
        <v>0</v>
      </c>
      <c r="S1303" t="b">
        <f t="shared" si="40"/>
        <v>0</v>
      </c>
      <c r="T1303" t="b">
        <f t="shared" si="41"/>
        <v>1</v>
      </c>
      <c r="U1303" s="154">
        <f>IFERROR(IF(R1303&lt;&gt;FALSE,IF(S1303=TRUE,INDEX('SummaryNOT_VALIDATED-BL'!$A$1:$F$16,MATCH(R1303,'SummaryNOT_VALIDATED-BL'!$A$1:$A$16,0),6),0),IF(S1303=TRUE,INDEX('SummaryNOT_VALIDATED-BL'!$A$1:$F$16,MATCH(E1303,'SummaryNOT_VALIDATED-BL'!$A$1:$A$16,0),6),0)),0)</f>
        <v>0</v>
      </c>
      <c r="V1303" s="81" cm="1">
        <f t="array" ref="V1303">INDEX('Weight tables'!$A$24:$C$27,MATCH(1,(RendicontiTrasmessiBL__2[[#This Row],[Cut percentage on real costs + USC]]&gt;='Weight tables'!$B$24:$B$27)*(RendicontiTrasmessiBL__2[[#This Row],[Cut percentage on real costs + USC]]&lt;='Weight tables'!$C$24:$C$27),0),1)</f>
        <v>0</v>
      </c>
      <c r="W1303" s="2">
        <f>RendicontiTrasmessiBL__2[[#This Row],[Weight real costs  + USC ]]</f>
        <v>0</v>
      </c>
    </row>
    <row r="1304" spans="1:23" x14ac:dyDescent="0.25">
      <c r="A1304" s="1" t="s">
        <v>57</v>
      </c>
      <c r="B1304" s="1" t="s">
        <v>39</v>
      </c>
      <c r="C1304" s="2">
        <v>303</v>
      </c>
      <c r="D1304" s="2">
        <v>217</v>
      </c>
      <c r="E1304" s="1" t="s">
        <v>234</v>
      </c>
      <c r="G1304">
        <v>0</v>
      </c>
      <c r="H1304">
        <v>0</v>
      </c>
      <c r="I1304">
        <v>0</v>
      </c>
      <c r="J1304">
        <v>0</v>
      </c>
      <c r="K1304">
        <v>0</v>
      </c>
      <c r="L1304">
        <v>0</v>
      </c>
      <c r="M1304">
        <v>0</v>
      </c>
      <c r="N1304">
        <v>0</v>
      </c>
      <c r="O1304">
        <v>0</v>
      </c>
      <c r="P1304">
        <v>0</v>
      </c>
      <c r="Q1304" t="str">
        <f>INDEX('Partner data'!A:DH,MATCH(C1304,'Partner data'!DG:DG,0),83)</f>
        <v xml:space="preserve">Organismo di diritto pubblico </v>
      </c>
      <c r="R1304" t="b">
        <f>IF(E1304="staff",IF(INDEX('Partner data'!A:DH,MATCH(C1304,'Partner data'!DG:DG,0),112)="BL1 non presente","FALSO",INDEX('Partner data'!A:DH,MATCH(C1304,'Partner data'!DG:DG,0),112)))</f>
        <v>0</v>
      </c>
      <c r="S1304" t="b">
        <f t="shared" si="40"/>
        <v>0</v>
      </c>
      <c r="T1304" t="b">
        <f t="shared" si="41"/>
        <v>1</v>
      </c>
      <c r="U1304" s="154">
        <f>IFERROR(IF(R1304&lt;&gt;FALSE,IF(S1304=TRUE,INDEX('SummaryNOT_VALIDATED-BL'!$A$1:$F$16,MATCH(R1304,'SummaryNOT_VALIDATED-BL'!$A$1:$A$16,0),6),0),IF(S1304=TRUE,INDEX('SummaryNOT_VALIDATED-BL'!$A$1:$F$16,MATCH(E1304,'SummaryNOT_VALIDATED-BL'!$A$1:$A$16,0),6),0)),0)</f>
        <v>0</v>
      </c>
      <c r="V1304" s="81" cm="1">
        <f t="array" ref="V1304">INDEX('Weight tables'!$A$24:$C$27,MATCH(1,(RendicontiTrasmessiBL__2[[#This Row],[Cut percentage on real costs + USC]]&gt;='Weight tables'!$B$24:$B$27)*(RendicontiTrasmessiBL__2[[#This Row],[Cut percentage on real costs + USC]]&lt;='Weight tables'!$C$24:$C$27),0),1)</f>
        <v>0</v>
      </c>
      <c r="W1304" s="2">
        <f>RendicontiTrasmessiBL__2[[#This Row],[Weight real costs  + USC ]]</f>
        <v>0</v>
      </c>
    </row>
    <row r="1305" spans="1:23" x14ac:dyDescent="0.25">
      <c r="A1305" s="1" t="s">
        <v>57</v>
      </c>
      <c r="B1305" s="1" t="s">
        <v>39</v>
      </c>
      <c r="C1305" s="2">
        <v>303</v>
      </c>
      <c r="D1305" s="2">
        <v>217</v>
      </c>
      <c r="E1305" s="1" t="s">
        <v>236</v>
      </c>
      <c r="G1305">
        <v>0</v>
      </c>
      <c r="H1305">
        <v>0</v>
      </c>
      <c r="I1305">
        <v>0</v>
      </c>
      <c r="J1305">
        <v>0</v>
      </c>
      <c r="K1305">
        <v>0</v>
      </c>
      <c r="L1305">
        <v>0</v>
      </c>
      <c r="M1305">
        <v>0</v>
      </c>
      <c r="N1305">
        <v>0</v>
      </c>
      <c r="O1305">
        <v>0</v>
      </c>
      <c r="P1305">
        <v>0</v>
      </c>
      <c r="Q1305" t="str">
        <f>INDEX('Partner data'!A:DH,MATCH(C1305,'Partner data'!DG:DG,0),83)</f>
        <v xml:space="preserve">Organismo di diritto pubblico </v>
      </c>
      <c r="R1305" t="b">
        <f>IF(E1305="staff",IF(INDEX('Partner data'!A:DH,MATCH(C1305,'Partner data'!DG:DG,0),112)="BL1 non presente","FALSO",INDEX('Partner data'!A:DH,MATCH(C1305,'Partner data'!DG:DG,0),112)))</f>
        <v>0</v>
      </c>
      <c r="S1305" t="b">
        <f t="shared" si="40"/>
        <v>0</v>
      </c>
      <c r="T1305" t="b">
        <f t="shared" si="41"/>
        <v>1</v>
      </c>
      <c r="U1305" s="154">
        <f>IFERROR(IF(R1305&lt;&gt;FALSE,IF(S1305=TRUE,INDEX('SummaryNOT_VALIDATED-BL'!$A$1:$F$16,MATCH(R1305,'SummaryNOT_VALIDATED-BL'!$A$1:$A$16,0),6),0),IF(S1305=TRUE,INDEX('SummaryNOT_VALIDATED-BL'!$A$1:$F$16,MATCH(E1305,'SummaryNOT_VALIDATED-BL'!$A$1:$A$16,0),6),0)),0)</f>
        <v>0</v>
      </c>
      <c r="V1305" s="81" cm="1">
        <f t="array" ref="V1305">INDEX('Weight tables'!$A$24:$C$27,MATCH(1,(RendicontiTrasmessiBL__2[[#This Row],[Cut percentage on real costs + USC]]&gt;='Weight tables'!$B$24:$B$27)*(RendicontiTrasmessiBL__2[[#This Row],[Cut percentage on real costs + USC]]&lt;='Weight tables'!$C$24:$C$27),0),1)</f>
        <v>0</v>
      </c>
      <c r="W1305" s="2">
        <f>RendicontiTrasmessiBL__2[[#This Row],[Weight real costs  + USC ]]</f>
        <v>0</v>
      </c>
    </row>
    <row r="1306" spans="1:23" x14ac:dyDescent="0.25">
      <c r="A1306" s="1" t="s">
        <v>57</v>
      </c>
      <c r="B1306" s="1" t="s">
        <v>39</v>
      </c>
      <c r="C1306" s="2">
        <v>303</v>
      </c>
      <c r="D1306" s="2">
        <v>217</v>
      </c>
      <c r="E1306" s="1" t="s">
        <v>237</v>
      </c>
      <c r="G1306">
        <v>0</v>
      </c>
      <c r="H1306">
        <v>0</v>
      </c>
      <c r="I1306">
        <v>0</v>
      </c>
      <c r="J1306">
        <v>0</v>
      </c>
      <c r="K1306">
        <v>0</v>
      </c>
      <c r="L1306">
        <v>0</v>
      </c>
      <c r="M1306">
        <v>0</v>
      </c>
      <c r="N1306">
        <v>0</v>
      </c>
      <c r="O1306">
        <v>0</v>
      </c>
      <c r="P1306">
        <v>0</v>
      </c>
      <c r="Q1306" t="str">
        <f>INDEX('Partner data'!A:DH,MATCH(C1306,'Partner data'!DG:DG,0),83)</f>
        <v xml:space="preserve">Organismo di diritto pubblico </v>
      </c>
      <c r="R1306" t="b">
        <f>IF(E1306="staff",IF(INDEX('Partner data'!A:DH,MATCH(C1306,'Partner data'!DG:DG,0),112)="BL1 non presente","FALSO",INDEX('Partner data'!A:DH,MATCH(C1306,'Partner data'!DG:DG,0),112)))</f>
        <v>0</v>
      </c>
      <c r="S1306" t="b">
        <f t="shared" si="40"/>
        <v>0</v>
      </c>
      <c r="T1306" t="b">
        <f t="shared" si="41"/>
        <v>1</v>
      </c>
      <c r="U1306" s="154">
        <f>IFERROR(IF(R1306&lt;&gt;FALSE,IF(S1306=TRUE,INDEX('SummaryNOT_VALIDATED-BL'!$A$1:$F$16,MATCH(R1306,'SummaryNOT_VALIDATED-BL'!$A$1:$A$16,0),6),0),IF(S1306=TRUE,INDEX('SummaryNOT_VALIDATED-BL'!$A$1:$F$16,MATCH(E1306,'SummaryNOT_VALIDATED-BL'!$A$1:$A$16,0),6),0)),0)</f>
        <v>0</v>
      </c>
      <c r="V1306" s="81" cm="1">
        <f t="array" ref="V1306">INDEX('Weight tables'!$A$24:$C$27,MATCH(1,(RendicontiTrasmessiBL__2[[#This Row],[Cut percentage on real costs + USC]]&gt;='Weight tables'!$B$24:$B$27)*(RendicontiTrasmessiBL__2[[#This Row],[Cut percentage on real costs + USC]]&lt;='Weight tables'!$C$24:$C$27),0),1)</f>
        <v>0</v>
      </c>
      <c r="W1306" s="2">
        <f>RendicontiTrasmessiBL__2[[#This Row],[Weight real costs  + USC ]]</f>
        <v>0</v>
      </c>
    </row>
    <row r="1307" spans="1:23" x14ac:dyDescent="0.25">
      <c r="A1307" s="1" t="s">
        <v>57</v>
      </c>
      <c r="B1307" s="1" t="s">
        <v>39</v>
      </c>
      <c r="C1307" s="2">
        <v>303</v>
      </c>
      <c r="D1307" s="2">
        <v>87</v>
      </c>
      <c r="E1307" s="1" t="s">
        <v>228</v>
      </c>
      <c r="G1307">
        <v>174420</v>
      </c>
      <c r="H1307">
        <v>0</v>
      </c>
      <c r="I1307">
        <v>0</v>
      </c>
      <c r="J1307">
        <v>24327</v>
      </c>
      <c r="K1307">
        <v>0</v>
      </c>
      <c r="L1307">
        <v>24327</v>
      </c>
      <c r="M1307">
        <v>24327</v>
      </c>
      <c r="N1307">
        <v>13.95</v>
      </c>
      <c r="O1307">
        <v>150093</v>
      </c>
      <c r="P1307">
        <v>0</v>
      </c>
      <c r="Q1307" t="str">
        <f>INDEX('Partner data'!A:DH,MATCH(C1307,'Partner data'!DG:DG,0),83)</f>
        <v xml:space="preserve">Organismo di diritto pubblico </v>
      </c>
      <c r="R1307" t="str">
        <f>IF(E1307="staff",IF(INDEX('Partner data'!A:DH,MATCH(C1307,'Partner data'!DG:DG,0),112)="BL1 non presente","FALSO",INDEX('Partner data'!A:DH,MATCH(C1307,'Partner data'!DG:DG,0),112)))</f>
        <v>Costo Unitario Standard</v>
      </c>
      <c r="S1307" t="b">
        <f t="shared" si="40"/>
        <v>1</v>
      </c>
      <c r="T1307" t="b">
        <f t="shared" si="41"/>
        <v>1</v>
      </c>
      <c r="U1307" s="154">
        <f>IFERROR(IF(R1307&lt;&gt;FALSE,IF(S1307=TRUE,INDEX('SummaryNOT_VALIDATED-BL'!$A$1:$F$16,MATCH(R1307,'SummaryNOT_VALIDATED-BL'!$A$1:$A$16,0),6),0),IF(S1307=TRUE,INDEX('SummaryNOT_VALIDATED-BL'!$A$1:$F$16,MATCH(E1307,'SummaryNOT_VALIDATED-BL'!$A$1:$A$16,0),6),0)),0)</f>
        <v>3.2052879635441428E-2</v>
      </c>
      <c r="V1307" s="81" cm="1">
        <f t="array" ref="V1307">INDEX('Weight tables'!$A$24:$C$27,MATCH(1,(RendicontiTrasmessiBL__2[[#This Row],[Cut percentage on real costs + USC]]&gt;='Weight tables'!$B$24:$B$27)*(RendicontiTrasmessiBL__2[[#This Row],[Cut percentage on real costs + USC]]&lt;='Weight tables'!$C$24:$C$27),0),1)</f>
        <v>2</v>
      </c>
      <c r="W1307" s="2">
        <f>RendicontiTrasmessiBL__2[[#This Row],[Weight real costs  + USC ]]</f>
        <v>2</v>
      </c>
    </row>
    <row r="1308" spans="1:23" x14ac:dyDescent="0.25">
      <c r="A1308" s="1" t="s">
        <v>57</v>
      </c>
      <c r="B1308" s="1" t="s">
        <v>39</v>
      </c>
      <c r="C1308" s="2">
        <v>303</v>
      </c>
      <c r="D1308" s="2">
        <v>87</v>
      </c>
      <c r="E1308" s="1" t="s">
        <v>229</v>
      </c>
      <c r="F1308">
        <v>15</v>
      </c>
      <c r="G1308">
        <v>26163</v>
      </c>
      <c r="H1308">
        <v>0</v>
      </c>
      <c r="I1308">
        <v>0</v>
      </c>
      <c r="J1308">
        <v>3649.05</v>
      </c>
      <c r="K1308">
        <v>0</v>
      </c>
      <c r="L1308">
        <v>3649.05</v>
      </c>
      <c r="M1308">
        <v>3649.05</v>
      </c>
      <c r="N1308">
        <v>13.95</v>
      </c>
      <c r="O1308">
        <v>22513.95</v>
      </c>
      <c r="P1308">
        <v>0</v>
      </c>
      <c r="Q1308" t="str">
        <f>INDEX('Partner data'!A:DH,MATCH(C1308,'Partner data'!DG:DG,0),83)</f>
        <v xml:space="preserve">Organismo di diritto pubblico </v>
      </c>
      <c r="R1308" t="b">
        <f>IF(E1308="staff",IF(INDEX('Partner data'!A:DH,MATCH(C1308,'Partner data'!DG:DG,0),112)="BL1 non presente","FALSO",INDEX('Partner data'!A:DH,MATCH(C1308,'Partner data'!DG:DG,0),112)))</f>
        <v>0</v>
      </c>
      <c r="S1308" t="b">
        <f t="shared" si="40"/>
        <v>1</v>
      </c>
      <c r="T1308" t="b">
        <f t="shared" si="41"/>
        <v>1</v>
      </c>
      <c r="U1308" s="154">
        <f>IFERROR(IF(R1308&lt;&gt;FALSE,IF(S1308=TRUE,INDEX('SummaryNOT_VALIDATED-BL'!$A$1:$F$16,MATCH(R1308,'SummaryNOT_VALIDATED-BL'!$A$1:$A$16,0),6),0),IF(S1308=TRUE,INDEX('SummaryNOT_VALIDATED-BL'!$A$1:$F$16,MATCH(E1308,'SummaryNOT_VALIDATED-BL'!$A$1:$A$16,0),6),0)),0)</f>
        <v>6.6460469504890221E-2</v>
      </c>
      <c r="V1308" s="81" cm="1">
        <f t="array" ref="V1308">INDEX('Weight tables'!$A$24:$C$27,MATCH(1,(RendicontiTrasmessiBL__2[[#This Row],[Cut percentage on real costs + USC]]&gt;='Weight tables'!$B$24:$B$27)*(RendicontiTrasmessiBL__2[[#This Row],[Cut percentage on real costs + USC]]&lt;='Weight tables'!$C$24:$C$27),0),1)</f>
        <v>4</v>
      </c>
      <c r="W1308" s="2">
        <f>RendicontiTrasmessiBL__2[[#This Row],[Weight real costs  + USC ]]</f>
        <v>4</v>
      </c>
    </row>
    <row r="1309" spans="1:23" x14ac:dyDescent="0.25">
      <c r="A1309" s="1" t="s">
        <v>57</v>
      </c>
      <c r="B1309" s="1" t="s">
        <v>39</v>
      </c>
      <c r="C1309" s="2">
        <v>303</v>
      </c>
      <c r="D1309" s="2">
        <v>87</v>
      </c>
      <c r="E1309" s="1" t="s">
        <v>230</v>
      </c>
      <c r="F1309">
        <v>4</v>
      </c>
      <c r="G1309">
        <v>6976.8</v>
      </c>
      <c r="H1309">
        <v>0</v>
      </c>
      <c r="I1309">
        <v>0</v>
      </c>
      <c r="J1309">
        <v>973.08</v>
      </c>
      <c r="K1309">
        <v>0</v>
      </c>
      <c r="L1309">
        <v>973.08</v>
      </c>
      <c r="M1309">
        <v>973.08</v>
      </c>
      <c r="N1309">
        <v>13.95</v>
      </c>
      <c r="O1309">
        <v>6003.72</v>
      </c>
      <c r="P1309">
        <v>0</v>
      </c>
      <c r="Q1309" t="str">
        <f>INDEX('Partner data'!A:DH,MATCH(C1309,'Partner data'!DG:DG,0),83)</f>
        <v xml:space="preserve">Organismo di diritto pubblico </v>
      </c>
      <c r="R1309" t="b">
        <f>IF(E1309="staff",IF(INDEX('Partner data'!A:DH,MATCH(C1309,'Partner data'!DG:DG,0),112)="BL1 non presente","FALSO",INDEX('Partner data'!A:DH,MATCH(C1309,'Partner data'!DG:DG,0),112)))</f>
        <v>0</v>
      </c>
      <c r="S1309" t="b">
        <f t="shared" si="40"/>
        <v>1</v>
      </c>
      <c r="T1309" t="b">
        <f t="shared" si="41"/>
        <v>1</v>
      </c>
      <c r="U1309" s="154">
        <f>IFERROR(IF(R1309&lt;&gt;FALSE,IF(S1309=TRUE,INDEX('SummaryNOT_VALIDATED-BL'!$A$1:$F$16,MATCH(R1309,'SummaryNOT_VALIDATED-BL'!$A$1:$A$16,0),6),0),IF(S1309=TRUE,INDEX('SummaryNOT_VALIDATED-BL'!$A$1:$F$16,MATCH(E1309,'SummaryNOT_VALIDATED-BL'!$A$1:$A$16,0),6),0)),0)</f>
        <v>6.3112622236488891E-2</v>
      </c>
      <c r="V1309" s="81" cm="1">
        <f t="array" ref="V1309">INDEX('Weight tables'!$A$24:$C$27,MATCH(1,(RendicontiTrasmessiBL__2[[#This Row],[Cut percentage on real costs + USC]]&gt;='Weight tables'!$B$24:$B$27)*(RendicontiTrasmessiBL__2[[#This Row],[Cut percentage on real costs + USC]]&lt;='Weight tables'!$C$24:$C$27),0),1)</f>
        <v>4</v>
      </c>
      <c r="W1309" s="2">
        <f>RendicontiTrasmessiBL__2[[#This Row],[Weight real costs  + USC ]]</f>
        <v>4</v>
      </c>
    </row>
    <row r="1310" spans="1:23" x14ac:dyDescent="0.25">
      <c r="A1310" s="1" t="s">
        <v>57</v>
      </c>
      <c r="B1310" s="1" t="s">
        <v>39</v>
      </c>
      <c r="C1310" s="2">
        <v>303</v>
      </c>
      <c r="D1310" s="2">
        <v>87</v>
      </c>
      <c r="E1310" s="1" t="s">
        <v>231</v>
      </c>
      <c r="G1310">
        <v>379000</v>
      </c>
      <c r="H1310">
        <v>0</v>
      </c>
      <c r="I1310">
        <v>0</v>
      </c>
      <c r="J1310">
        <v>2989</v>
      </c>
      <c r="K1310">
        <v>0</v>
      </c>
      <c r="L1310">
        <v>2989</v>
      </c>
      <c r="M1310">
        <v>2989</v>
      </c>
      <c r="N1310">
        <v>0.79</v>
      </c>
      <c r="O1310">
        <v>376011</v>
      </c>
      <c r="P1310">
        <v>0</v>
      </c>
      <c r="Q1310" t="str">
        <f>INDEX('Partner data'!A:DH,MATCH(C1310,'Partner data'!DG:DG,0),83)</f>
        <v xml:space="preserve">Organismo di diritto pubblico </v>
      </c>
      <c r="R1310" t="b">
        <f>IF(E1310="staff",IF(INDEX('Partner data'!A:DH,MATCH(C1310,'Partner data'!DG:DG,0),112)="BL1 non presente","FALSO",INDEX('Partner data'!A:DH,MATCH(C1310,'Partner data'!DG:DG,0),112)))</f>
        <v>0</v>
      </c>
      <c r="S1310" t="b">
        <f t="shared" si="40"/>
        <v>1</v>
      </c>
      <c r="T1310" t="b">
        <f t="shared" si="41"/>
        <v>1</v>
      </c>
      <c r="U1310" s="154">
        <f>IFERROR(IF(R1310&lt;&gt;FALSE,IF(S1310=TRUE,INDEX('SummaryNOT_VALIDATED-BL'!$A$1:$F$16,MATCH(R1310,'SummaryNOT_VALIDATED-BL'!$A$1:$A$16,0),6),0),IF(S1310=TRUE,INDEX('SummaryNOT_VALIDATED-BL'!$A$1:$F$16,MATCH(E1310,'SummaryNOT_VALIDATED-BL'!$A$1:$A$16,0),6),0)),0)</f>
        <v>5.577594442215475E-2</v>
      </c>
      <c r="V1310" s="81" cm="1">
        <f t="array" ref="V1310">INDEX('Weight tables'!$A$24:$C$27,MATCH(1,(RendicontiTrasmessiBL__2[[#This Row],[Cut percentage on real costs + USC]]&gt;='Weight tables'!$B$24:$B$27)*(RendicontiTrasmessiBL__2[[#This Row],[Cut percentage on real costs + USC]]&lt;='Weight tables'!$C$24:$C$27),0),1)</f>
        <v>4</v>
      </c>
      <c r="W1310" s="2">
        <f>RendicontiTrasmessiBL__2[[#This Row],[Weight real costs  + USC ]]</f>
        <v>4</v>
      </c>
    </row>
    <row r="1311" spans="1:23" x14ac:dyDescent="0.25">
      <c r="A1311" s="1" t="s">
        <v>57</v>
      </c>
      <c r="B1311" s="1" t="s">
        <v>39</v>
      </c>
      <c r="C1311" s="2">
        <v>303</v>
      </c>
      <c r="D1311" s="2">
        <v>87</v>
      </c>
      <c r="E1311" s="1" t="s">
        <v>232</v>
      </c>
      <c r="G1311">
        <v>30004.6</v>
      </c>
      <c r="H1311">
        <v>0</v>
      </c>
      <c r="I1311">
        <v>0</v>
      </c>
      <c r="J1311">
        <v>0</v>
      </c>
      <c r="K1311">
        <v>0</v>
      </c>
      <c r="L1311">
        <v>0</v>
      </c>
      <c r="M1311">
        <v>0</v>
      </c>
      <c r="N1311">
        <v>0</v>
      </c>
      <c r="O1311">
        <v>30004.6</v>
      </c>
      <c r="P1311">
        <v>0</v>
      </c>
      <c r="Q1311" t="str">
        <f>INDEX('Partner data'!A:DH,MATCH(C1311,'Partner data'!DG:DG,0),83)</f>
        <v xml:space="preserve">Organismo di diritto pubblico </v>
      </c>
      <c r="R1311" t="b">
        <f>IF(E1311="staff",IF(INDEX('Partner data'!A:DH,MATCH(C1311,'Partner data'!DG:DG,0),112)="BL1 non presente","FALSO",INDEX('Partner data'!A:DH,MATCH(C1311,'Partner data'!DG:DG,0),112)))</f>
        <v>0</v>
      </c>
      <c r="S1311" t="b">
        <f t="shared" si="40"/>
        <v>0</v>
      </c>
      <c r="T1311" t="b">
        <f t="shared" si="41"/>
        <v>1</v>
      </c>
      <c r="U1311" s="154">
        <f>IFERROR(IF(R1311&lt;&gt;FALSE,IF(S1311=TRUE,INDEX('SummaryNOT_VALIDATED-BL'!$A$1:$F$16,MATCH(R1311,'SummaryNOT_VALIDATED-BL'!$A$1:$A$16,0),6),0),IF(S1311=TRUE,INDEX('SummaryNOT_VALIDATED-BL'!$A$1:$F$16,MATCH(E1311,'SummaryNOT_VALIDATED-BL'!$A$1:$A$16,0),6),0)),0)</f>
        <v>0</v>
      </c>
      <c r="V1311" s="81" cm="1">
        <f t="array" ref="V1311">INDEX('Weight tables'!$A$24:$C$27,MATCH(1,(RendicontiTrasmessiBL__2[[#This Row],[Cut percentage on real costs + USC]]&gt;='Weight tables'!$B$24:$B$27)*(RendicontiTrasmessiBL__2[[#This Row],[Cut percentage on real costs + USC]]&lt;='Weight tables'!$C$24:$C$27),0),1)</f>
        <v>0</v>
      </c>
      <c r="W1311" s="2">
        <f>RendicontiTrasmessiBL__2[[#This Row],[Weight real costs  + USC ]]</f>
        <v>0</v>
      </c>
    </row>
    <row r="1312" spans="1:23" x14ac:dyDescent="0.25">
      <c r="A1312" s="1" t="s">
        <v>57</v>
      </c>
      <c r="B1312" s="1" t="s">
        <v>39</v>
      </c>
      <c r="C1312" s="2">
        <v>303</v>
      </c>
      <c r="D1312" s="2">
        <v>87</v>
      </c>
      <c r="E1312" s="1" t="s">
        <v>233</v>
      </c>
      <c r="G1312">
        <v>0</v>
      </c>
      <c r="H1312">
        <v>0</v>
      </c>
      <c r="I1312">
        <v>0</v>
      </c>
      <c r="J1312">
        <v>0</v>
      </c>
      <c r="K1312">
        <v>0</v>
      </c>
      <c r="L1312">
        <v>0</v>
      </c>
      <c r="M1312">
        <v>0</v>
      </c>
      <c r="N1312">
        <v>0</v>
      </c>
      <c r="O1312">
        <v>0</v>
      </c>
      <c r="P1312">
        <v>0</v>
      </c>
      <c r="Q1312" t="str">
        <f>INDEX('Partner data'!A:DH,MATCH(C1312,'Partner data'!DG:DG,0),83)</f>
        <v xml:space="preserve">Organismo di diritto pubblico </v>
      </c>
      <c r="R1312" t="b">
        <f>IF(E1312="staff",IF(INDEX('Partner data'!A:DH,MATCH(C1312,'Partner data'!DG:DG,0),112)="BL1 non presente","FALSO",INDEX('Partner data'!A:DH,MATCH(C1312,'Partner data'!DG:DG,0),112)))</f>
        <v>0</v>
      </c>
      <c r="S1312" t="b">
        <f t="shared" si="40"/>
        <v>0</v>
      </c>
      <c r="T1312" t="b">
        <f t="shared" si="41"/>
        <v>1</v>
      </c>
      <c r="U1312" s="154">
        <f>IFERROR(IF(R1312&lt;&gt;FALSE,IF(S1312=TRUE,INDEX('SummaryNOT_VALIDATED-BL'!$A$1:$F$16,MATCH(R1312,'SummaryNOT_VALIDATED-BL'!$A$1:$A$16,0),6),0),IF(S1312=TRUE,INDEX('SummaryNOT_VALIDATED-BL'!$A$1:$F$16,MATCH(E1312,'SummaryNOT_VALIDATED-BL'!$A$1:$A$16,0),6),0)),0)</f>
        <v>0</v>
      </c>
      <c r="V1312" s="81" cm="1">
        <f t="array" ref="V1312">INDEX('Weight tables'!$A$24:$C$27,MATCH(1,(RendicontiTrasmessiBL__2[[#This Row],[Cut percentage on real costs + USC]]&gt;='Weight tables'!$B$24:$B$27)*(RendicontiTrasmessiBL__2[[#This Row],[Cut percentage on real costs + USC]]&lt;='Weight tables'!$C$24:$C$27),0),1)</f>
        <v>0</v>
      </c>
      <c r="W1312" s="2">
        <f>RendicontiTrasmessiBL__2[[#This Row],[Weight real costs  + USC ]]</f>
        <v>0</v>
      </c>
    </row>
    <row r="1313" spans="1:23" x14ac:dyDescent="0.25">
      <c r="A1313" s="1" t="s">
        <v>57</v>
      </c>
      <c r="B1313" s="1" t="s">
        <v>39</v>
      </c>
      <c r="C1313" s="2">
        <v>303</v>
      </c>
      <c r="D1313" s="2">
        <v>87</v>
      </c>
      <c r="E1313" s="1" t="s">
        <v>234</v>
      </c>
      <c r="G1313">
        <v>0</v>
      </c>
      <c r="H1313">
        <v>0</v>
      </c>
      <c r="I1313">
        <v>0</v>
      </c>
      <c r="J1313">
        <v>0</v>
      </c>
      <c r="K1313">
        <v>0</v>
      </c>
      <c r="L1313">
        <v>0</v>
      </c>
      <c r="M1313">
        <v>0</v>
      </c>
      <c r="N1313">
        <v>0</v>
      </c>
      <c r="O1313">
        <v>0</v>
      </c>
      <c r="P1313">
        <v>0</v>
      </c>
      <c r="Q1313" t="str">
        <f>INDEX('Partner data'!A:DH,MATCH(C1313,'Partner data'!DG:DG,0),83)</f>
        <v xml:space="preserve">Organismo di diritto pubblico </v>
      </c>
      <c r="R1313" t="b">
        <f>IF(E1313="staff",IF(INDEX('Partner data'!A:DH,MATCH(C1313,'Partner data'!DG:DG,0),112)="BL1 non presente","FALSO",INDEX('Partner data'!A:DH,MATCH(C1313,'Partner data'!DG:DG,0),112)))</f>
        <v>0</v>
      </c>
      <c r="S1313" t="b">
        <f t="shared" si="40"/>
        <v>0</v>
      </c>
      <c r="T1313" t="b">
        <f t="shared" si="41"/>
        <v>1</v>
      </c>
      <c r="U1313" s="154">
        <f>IFERROR(IF(R1313&lt;&gt;FALSE,IF(S1313=TRUE,INDEX('SummaryNOT_VALIDATED-BL'!$A$1:$F$16,MATCH(R1313,'SummaryNOT_VALIDATED-BL'!$A$1:$A$16,0),6),0),IF(S1313=TRUE,INDEX('SummaryNOT_VALIDATED-BL'!$A$1:$F$16,MATCH(E1313,'SummaryNOT_VALIDATED-BL'!$A$1:$A$16,0),6),0)),0)</f>
        <v>0</v>
      </c>
      <c r="V1313" s="81" cm="1">
        <f t="array" ref="V1313">INDEX('Weight tables'!$A$24:$C$27,MATCH(1,(RendicontiTrasmessiBL__2[[#This Row],[Cut percentage on real costs + USC]]&gt;='Weight tables'!$B$24:$B$27)*(RendicontiTrasmessiBL__2[[#This Row],[Cut percentage on real costs + USC]]&lt;='Weight tables'!$C$24:$C$27),0),1)</f>
        <v>0</v>
      </c>
      <c r="W1313" s="2">
        <f>RendicontiTrasmessiBL__2[[#This Row],[Weight real costs  + USC ]]</f>
        <v>0</v>
      </c>
    </row>
    <row r="1314" spans="1:23" x14ac:dyDescent="0.25">
      <c r="A1314" s="1" t="s">
        <v>57</v>
      </c>
      <c r="B1314" s="1" t="s">
        <v>39</v>
      </c>
      <c r="C1314" s="2">
        <v>303</v>
      </c>
      <c r="D1314" s="2">
        <v>87</v>
      </c>
      <c r="E1314" s="1" t="s">
        <v>236</v>
      </c>
      <c r="G1314">
        <v>0</v>
      </c>
      <c r="H1314">
        <v>0</v>
      </c>
      <c r="I1314">
        <v>0</v>
      </c>
      <c r="J1314">
        <v>0</v>
      </c>
      <c r="K1314">
        <v>0</v>
      </c>
      <c r="L1314">
        <v>0</v>
      </c>
      <c r="M1314">
        <v>0</v>
      </c>
      <c r="N1314">
        <v>0</v>
      </c>
      <c r="O1314">
        <v>0</v>
      </c>
      <c r="P1314">
        <v>0</v>
      </c>
      <c r="Q1314" t="str">
        <f>INDEX('Partner data'!A:DH,MATCH(C1314,'Partner data'!DG:DG,0),83)</f>
        <v xml:space="preserve">Organismo di diritto pubblico </v>
      </c>
      <c r="R1314" t="b">
        <f>IF(E1314="staff",IF(INDEX('Partner data'!A:DH,MATCH(C1314,'Partner data'!DG:DG,0),112)="BL1 non presente","FALSO",INDEX('Partner data'!A:DH,MATCH(C1314,'Partner data'!DG:DG,0),112)))</f>
        <v>0</v>
      </c>
      <c r="S1314" t="b">
        <f t="shared" si="40"/>
        <v>0</v>
      </c>
      <c r="T1314" t="b">
        <f t="shared" si="41"/>
        <v>1</v>
      </c>
      <c r="U1314" s="154">
        <f>IFERROR(IF(R1314&lt;&gt;FALSE,IF(S1314=TRUE,INDEX('SummaryNOT_VALIDATED-BL'!$A$1:$F$16,MATCH(R1314,'SummaryNOT_VALIDATED-BL'!$A$1:$A$16,0),6),0),IF(S1314=TRUE,INDEX('SummaryNOT_VALIDATED-BL'!$A$1:$F$16,MATCH(E1314,'SummaryNOT_VALIDATED-BL'!$A$1:$A$16,0),6),0)),0)</f>
        <v>0</v>
      </c>
      <c r="V1314" s="81" cm="1">
        <f t="array" ref="V1314">INDEX('Weight tables'!$A$24:$C$27,MATCH(1,(RendicontiTrasmessiBL__2[[#This Row],[Cut percentage on real costs + USC]]&gt;='Weight tables'!$B$24:$B$27)*(RendicontiTrasmessiBL__2[[#This Row],[Cut percentage on real costs + USC]]&lt;='Weight tables'!$C$24:$C$27),0),1)</f>
        <v>0</v>
      </c>
      <c r="W1314" s="2">
        <f>RendicontiTrasmessiBL__2[[#This Row],[Weight real costs  + USC ]]</f>
        <v>0</v>
      </c>
    </row>
    <row r="1315" spans="1:23" x14ac:dyDescent="0.25">
      <c r="A1315" s="1" t="s">
        <v>57</v>
      </c>
      <c r="B1315" s="1" t="s">
        <v>39</v>
      </c>
      <c r="C1315" s="2">
        <v>303</v>
      </c>
      <c r="D1315" s="2">
        <v>87</v>
      </c>
      <c r="E1315" s="1" t="s">
        <v>237</v>
      </c>
      <c r="G1315">
        <v>0</v>
      </c>
      <c r="H1315">
        <v>0</v>
      </c>
      <c r="I1315">
        <v>0</v>
      </c>
      <c r="J1315">
        <v>0</v>
      </c>
      <c r="K1315">
        <v>0</v>
      </c>
      <c r="L1315">
        <v>0</v>
      </c>
      <c r="M1315">
        <v>0</v>
      </c>
      <c r="N1315">
        <v>0</v>
      </c>
      <c r="O1315">
        <v>0</v>
      </c>
      <c r="P1315">
        <v>0</v>
      </c>
      <c r="Q1315" t="str">
        <f>INDEX('Partner data'!A:DH,MATCH(C1315,'Partner data'!DG:DG,0),83)</f>
        <v xml:space="preserve">Organismo di diritto pubblico </v>
      </c>
      <c r="R1315" t="b">
        <f>IF(E1315="staff",IF(INDEX('Partner data'!A:DH,MATCH(C1315,'Partner data'!DG:DG,0),112)="BL1 non presente","FALSO",INDEX('Partner data'!A:DH,MATCH(C1315,'Partner data'!DG:DG,0),112)))</f>
        <v>0</v>
      </c>
      <c r="S1315" t="b">
        <f t="shared" si="40"/>
        <v>0</v>
      </c>
      <c r="T1315" t="b">
        <f t="shared" si="41"/>
        <v>1</v>
      </c>
      <c r="U1315" s="154">
        <f>IFERROR(IF(R1315&lt;&gt;FALSE,IF(S1315=TRUE,INDEX('SummaryNOT_VALIDATED-BL'!$A$1:$F$16,MATCH(R1315,'SummaryNOT_VALIDATED-BL'!$A$1:$A$16,0),6),0),IF(S1315=TRUE,INDEX('SummaryNOT_VALIDATED-BL'!$A$1:$F$16,MATCH(E1315,'SummaryNOT_VALIDATED-BL'!$A$1:$A$16,0),6),0)),0)</f>
        <v>0</v>
      </c>
      <c r="V1315" s="81" cm="1">
        <f t="array" ref="V1315">INDEX('Weight tables'!$A$24:$C$27,MATCH(1,(RendicontiTrasmessiBL__2[[#This Row],[Cut percentage on real costs + USC]]&gt;='Weight tables'!$B$24:$B$27)*(RendicontiTrasmessiBL__2[[#This Row],[Cut percentage on real costs + USC]]&lt;='Weight tables'!$C$24:$C$27),0),1)</f>
        <v>0</v>
      </c>
      <c r="W1315" s="2">
        <f>RendicontiTrasmessiBL__2[[#This Row],[Weight real costs  + USC ]]</f>
        <v>0</v>
      </c>
    </row>
    <row r="1316" spans="1:23" x14ac:dyDescent="0.25">
      <c r="A1316" s="1" t="s">
        <v>57</v>
      </c>
      <c r="B1316" s="1" t="s">
        <v>23</v>
      </c>
      <c r="C1316" s="2">
        <v>308</v>
      </c>
      <c r="D1316" s="2">
        <v>309</v>
      </c>
      <c r="E1316" s="1" t="s">
        <v>228</v>
      </c>
      <c r="G1316">
        <v>143640</v>
      </c>
      <c r="H1316">
        <v>30230.880000000001</v>
      </c>
      <c r="I1316">
        <v>0</v>
      </c>
      <c r="J1316">
        <v>22800</v>
      </c>
      <c r="K1316">
        <v>0</v>
      </c>
      <c r="L1316">
        <v>0</v>
      </c>
      <c r="M1316">
        <v>53030.879999999997</v>
      </c>
      <c r="N1316">
        <v>36.92</v>
      </c>
      <c r="O1316">
        <v>90609.12</v>
      </c>
      <c r="P1316">
        <v>30228</v>
      </c>
      <c r="Q1316" t="str">
        <f>INDEX('Partner data'!A:DH,MATCH(C1316,'Partner data'!DG:DG,0),83)</f>
        <v>Soggetto privato</v>
      </c>
      <c r="R1316" t="str">
        <f>IF(E1316="staff",IF(INDEX('Partner data'!A:DH,MATCH(C1316,'Partner data'!DG:DG,0),112)="BL1 non presente","FALSO",INDEX('Partner data'!A:DH,MATCH(C1316,'Partner data'!DG:DG,0),112)))</f>
        <v>Costo Unitario Standard</v>
      </c>
      <c r="S1316" t="b">
        <f t="shared" si="40"/>
        <v>1</v>
      </c>
      <c r="T1316" t="b">
        <f t="shared" si="41"/>
        <v>0</v>
      </c>
      <c r="U1316" s="154">
        <f>IFERROR(IF(R1316&lt;&gt;FALSE,IF(S1316=TRUE,INDEX('SummaryNOT_VALIDATED-BL'!$A$1:$F$16,MATCH(R1316,'SummaryNOT_VALIDATED-BL'!$A$1:$A$16,0),6),0),IF(S1316=TRUE,INDEX('SummaryNOT_VALIDATED-BL'!$A$1:$F$16,MATCH(E1316,'SummaryNOT_VALIDATED-BL'!$A$1:$A$16,0),6),0)),0)</f>
        <v>3.2052879635441428E-2</v>
      </c>
      <c r="V1316" s="81" cm="1">
        <f t="array" ref="V1316">INDEX('Weight tables'!$A$24:$C$27,MATCH(1,(RendicontiTrasmessiBL__2[[#This Row],[Cut percentage on real costs + USC]]&gt;='Weight tables'!$B$24:$B$27)*(RendicontiTrasmessiBL__2[[#This Row],[Cut percentage on real costs + USC]]&lt;='Weight tables'!$C$24:$C$27),0),1)</f>
        <v>2</v>
      </c>
      <c r="W1316" s="2">
        <f>RendicontiTrasmessiBL__2[[#This Row],[Weight real costs  + USC ]]</f>
        <v>2</v>
      </c>
    </row>
    <row r="1317" spans="1:23" x14ac:dyDescent="0.25">
      <c r="A1317" s="1" t="s">
        <v>57</v>
      </c>
      <c r="B1317" s="1" t="s">
        <v>23</v>
      </c>
      <c r="C1317" s="2">
        <v>308</v>
      </c>
      <c r="D1317" s="2">
        <v>309</v>
      </c>
      <c r="E1317" s="1" t="s">
        <v>229</v>
      </c>
      <c r="F1317">
        <v>15</v>
      </c>
      <c r="G1317">
        <v>21546</v>
      </c>
      <c r="H1317">
        <v>4534.63</v>
      </c>
      <c r="I1317">
        <v>0</v>
      </c>
      <c r="J1317">
        <v>3420</v>
      </c>
      <c r="K1317">
        <v>0</v>
      </c>
      <c r="L1317">
        <v>0</v>
      </c>
      <c r="M1317">
        <v>7954.63</v>
      </c>
      <c r="N1317">
        <v>36.92</v>
      </c>
      <c r="O1317">
        <v>13591.37</v>
      </c>
      <c r="P1317">
        <v>4534.2</v>
      </c>
      <c r="Q1317" t="str">
        <f>INDEX('Partner data'!A:DH,MATCH(C1317,'Partner data'!DG:DG,0),83)</f>
        <v>Soggetto privato</v>
      </c>
      <c r="R1317" t="b">
        <f>IF(E1317="staff",IF(INDEX('Partner data'!A:DH,MATCH(C1317,'Partner data'!DG:DG,0),112)="BL1 non presente","FALSO",INDEX('Partner data'!A:DH,MATCH(C1317,'Partner data'!DG:DG,0),112)))</f>
        <v>0</v>
      </c>
      <c r="S1317" t="b">
        <f t="shared" si="40"/>
        <v>1</v>
      </c>
      <c r="T1317" t="b">
        <f t="shared" si="41"/>
        <v>0</v>
      </c>
      <c r="U1317" s="154">
        <f>IFERROR(IF(R1317&lt;&gt;FALSE,IF(S1317=TRUE,INDEX('SummaryNOT_VALIDATED-BL'!$A$1:$F$16,MATCH(R1317,'SummaryNOT_VALIDATED-BL'!$A$1:$A$16,0),6),0),IF(S1317=TRUE,INDEX('SummaryNOT_VALIDATED-BL'!$A$1:$F$16,MATCH(E1317,'SummaryNOT_VALIDATED-BL'!$A$1:$A$16,0),6),0)),0)</f>
        <v>6.6460469504890221E-2</v>
      </c>
      <c r="V1317" s="81" cm="1">
        <f t="array" ref="V1317">INDEX('Weight tables'!$A$24:$C$27,MATCH(1,(RendicontiTrasmessiBL__2[[#This Row],[Cut percentage on real costs + USC]]&gt;='Weight tables'!$B$24:$B$27)*(RendicontiTrasmessiBL__2[[#This Row],[Cut percentage on real costs + USC]]&lt;='Weight tables'!$C$24:$C$27),0),1)</f>
        <v>4</v>
      </c>
      <c r="W1317" s="2">
        <f>RendicontiTrasmessiBL__2[[#This Row],[Weight real costs  + USC ]]</f>
        <v>4</v>
      </c>
    </row>
    <row r="1318" spans="1:23" x14ac:dyDescent="0.25">
      <c r="A1318" s="1" t="s">
        <v>57</v>
      </c>
      <c r="B1318" s="1" t="s">
        <v>23</v>
      </c>
      <c r="C1318" s="2">
        <v>308</v>
      </c>
      <c r="D1318" s="2">
        <v>309</v>
      </c>
      <c r="E1318" s="1" t="s">
        <v>230</v>
      </c>
      <c r="F1318">
        <v>4</v>
      </c>
      <c r="G1318">
        <v>5745.6</v>
      </c>
      <c r="H1318">
        <v>1209.23</v>
      </c>
      <c r="I1318">
        <v>0</v>
      </c>
      <c r="J1318">
        <v>912</v>
      </c>
      <c r="K1318">
        <v>0</v>
      </c>
      <c r="L1318">
        <v>0</v>
      </c>
      <c r="M1318">
        <v>2121.23</v>
      </c>
      <c r="N1318">
        <v>36.92</v>
      </c>
      <c r="O1318">
        <v>3624.37</v>
      </c>
      <c r="P1318">
        <v>1209.1199999999999</v>
      </c>
      <c r="Q1318" t="str">
        <f>INDEX('Partner data'!A:DH,MATCH(C1318,'Partner data'!DG:DG,0),83)</f>
        <v>Soggetto privato</v>
      </c>
      <c r="R1318" t="b">
        <f>IF(E1318="staff",IF(INDEX('Partner data'!A:DH,MATCH(C1318,'Partner data'!DG:DG,0),112)="BL1 non presente","FALSO",INDEX('Partner data'!A:DH,MATCH(C1318,'Partner data'!DG:DG,0),112)))</f>
        <v>0</v>
      </c>
      <c r="S1318" t="b">
        <f t="shared" si="40"/>
        <v>1</v>
      </c>
      <c r="T1318" t="b">
        <f t="shared" si="41"/>
        <v>0</v>
      </c>
      <c r="U1318" s="154">
        <f>IFERROR(IF(R1318&lt;&gt;FALSE,IF(S1318=TRUE,INDEX('SummaryNOT_VALIDATED-BL'!$A$1:$F$16,MATCH(R1318,'SummaryNOT_VALIDATED-BL'!$A$1:$A$16,0),6),0),IF(S1318=TRUE,INDEX('SummaryNOT_VALIDATED-BL'!$A$1:$F$16,MATCH(E1318,'SummaryNOT_VALIDATED-BL'!$A$1:$A$16,0),6),0)),0)</f>
        <v>6.3112622236488891E-2</v>
      </c>
      <c r="V1318" s="81" cm="1">
        <f t="array" ref="V1318">INDEX('Weight tables'!$A$24:$C$27,MATCH(1,(RendicontiTrasmessiBL__2[[#This Row],[Cut percentage on real costs + USC]]&gt;='Weight tables'!$B$24:$B$27)*(RendicontiTrasmessiBL__2[[#This Row],[Cut percentage on real costs + USC]]&lt;='Weight tables'!$C$24:$C$27),0),1)</f>
        <v>4</v>
      </c>
      <c r="W1318" s="2">
        <f>RendicontiTrasmessiBL__2[[#This Row],[Weight real costs  + USC ]]</f>
        <v>4</v>
      </c>
    </row>
    <row r="1319" spans="1:23" x14ac:dyDescent="0.25">
      <c r="A1319" s="1" t="s">
        <v>57</v>
      </c>
      <c r="B1319" s="1" t="s">
        <v>23</v>
      </c>
      <c r="C1319" s="2">
        <v>308</v>
      </c>
      <c r="D1319" s="2">
        <v>309</v>
      </c>
      <c r="E1319" s="1" t="s">
        <v>231</v>
      </c>
      <c r="G1319">
        <v>104068.5</v>
      </c>
      <c r="H1319">
        <v>0</v>
      </c>
      <c r="I1319">
        <v>0</v>
      </c>
      <c r="J1319">
        <v>24061.01</v>
      </c>
      <c r="K1319">
        <v>0</v>
      </c>
      <c r="L1319">
        <v>0</v>
      </c>
      <c r="M1319">
        <v>24061.01</v>
      </c>
      <c r="N1319">
        <v>23.12</v>
      </c>
      <c r="O1319">
        <v>80007.490000000005</v>
      </c>
      <c r="P1319">
        <v>0</v>
      </c>
      <c r="Q1319" t="str">
        <f>INDEX('Partner data'!A:DH,MATCH(C1319,'Partner data'!DG:DG,0),83)</f>
        <v>Soggetto privato</v>
      </c>
      <c r="R1319" t="b">
        <f>IF(E1319="staff",IF(INDEX('Partner data'!A:DH,MATCH(C1319,'Partner data'!DG:DG,0),112)="BL1 non presente","FALSO",INDEX('Partner data'!A:DH,MATCH(C1319,'Partner data'!DG:DG,0),112)))</f>
        <v>0</v>
      </c>
      <c r="S1319" t="b">
        <f t="shared" si="40"/>
        <v>1</v>
      </c>
      <c r="T1319" t="b">
        <f t="shared" si="41"/>
        <v>0</v>
      </c>
      <c r="U1319" s="154">
        <f>IFERROR(IF(R1319&lt;&gt;FALSE,IF(S1319=TRUE,INDEX('SummaryNOT_VALIDATED-BL'!$A$1:$F$16,MATCH(R1319,'SummaryNOT_VALIDATED-BL'!$A$1:$A$16,0),6),0),IF(S1319=TRUE,INDEX('SummaryNOT_VALIDATED-BL'!$A$1:$F$16,MATCH(E1319,'SummaryNOT_VALIDATED-BL'!$A$1:$A$16,0),6),0)),0)</f>
        <v>5.577594442215475E-2</v>
      </c>
      <c r="V1319" s="81" cm="1">
        <f t="array" ref="V1319">INDEX('Weight tables'!$A$24:$C$27,MATCH(1,(RendicontiTrasmessiBL__2[[#This Row],[Cut percentage on real costs + USC]]&gt;='Weight tables'!$B$24:$B$27)*(RendicontiTrasmessiBL__2[[#This Row],[Cut percentage on real costs + USC]]&lt;='Weight tables'!$C$24:$C$27),0),1)</f>
        <v>4</v>
      </c>
      <c r="W1319" s="2">
        <f>RendicontiTrasmessiBL__2[[#This Row],[Weight real costs  + USC ]]</f>
        <v>4</v>
      </c>
    </row>
    <row r="1320" spans="1:23" x14ac:dyDescent="0.25">
      <c r="A1320" s="1" t="s">
        <v>57</v>
      </c>
      <c r="B1320" s="1" t="s">
        <v>23</v>
      </c>
      <c r="C1320" s="2">
        <v>308</v>
      </c>
      <c r="D1320" s="2">
        <v>309</v>
      </c>
      <c r="E1320" s="1" t="s">
        <v>232</v>
      </c>
      <c r="G1320">
        <v>0</v>
      </c>
      <c r="H1320">
        <v>0</v>
      </c>
      <c r="I1320">
        <v>0</v>
      </c>
      <c r="J1320">
        <v>0</v>
      </c>
      <c r="K1320">
        <v>0</v>
      </c>
      <c r="L1320">
        <v>0</v>
      </c>
      <c r="M1320">
        <v>0</v>
      </c>
      <c r="N1320">
        <v>0</v>
      </c>
      <c r="O1320">
        <v>0</v>
      </c>
      <c r="P1320">
        <v>0</v>
      </c>
      <c r="Q1320" t="str">
        <f>INDEX('Partner data'!A:DH,MATCH(C1320,'Partner data'!DG:DG,0),83)</f>
        <v>Soggetto privato</v>
      </c>
      <c r="R1320" t="b">
        <f>IF(E1320="staff",IF(INDEX('Partner data'!A:DH,MATCH(C1320,'Partner data'!DG:DG,0),112)="BL1 non presente","FALSO",INDEX('Partner data'!A:DH,MATCH(C1320,'Partner data'!DG:DG,0),112)))</f>
        <v>0</v>
      </c>
      <c r="S1320" t="b">
        <f t="shared" si="40"/>
        <v>0</v>
      </c>
      <c r="T1320" t="b">
        <f t="shared" si="41"/>
        <v>0</v>
      </c>
      <c r="U1320" s="154">
        <f>IFERROR(IF(R1320&lt;&gt;FALSE,IF(S1320=TRUE,INDEX('SummaryNOT_VALIDATED-BL'!$A$1:$F$16,MATCH(R1320,'SummaryNOT_VALIDATED-BL'!$A$1:$A$16,0),6),0),IF(S1320=TRUE,INDEX('SummaryNOT_VALIDATED-BL'!$A$1:$F$16,MATCH(E1320,'SummaryNOT_VALIDATED-BL'!$A$1:$A$16,0),6),0)),0)</f>
        <v>0</v>
      </c>
      <c r="V1320" s="81" cm="1">
        <f t="array" ref="V1320">INDEX('Weight tables'!$A$24:$C$27,MATCH(1,(RendicontiTrasmessiBL__2[[#This Row],[Cut percentage on real costs + USC]]&gt;='Weight tables'!$B$24:$B$27)*(RendicontiTrasmessiBL__2[[#This Row],[Cut percentage on real costs + USC]]&lt;='Weight tables'!$C$24:$C$27),0),1)</f>
        <v>0</v>
      </c>
      <c r="W1320" s="2">
        <f>RendicontiTrasmessiBL__2[[#This Row],[Weight real costs  + USC ]]</f>
        <v>0</v>
      </c>
    </row>
    <row r="1321" spans="1:23" x14ac:dyDescent="0.25">
      <c r="A1321" s="1" t="s">
        <v>57</v>
      </c>
      <c r="B1321" s="1" t="s">
        <v>23</v>
      </c>
      <c r="C1321" s="2">
        <v>308</v>
      </c>
      <c r="D1321" s="2">
        <v>309</v>
      </c>
      <c r="E1321" s="1" t="s">
        <v>233</v>
      </c>
      <c r="G1321">
        <v>0</v>
      </c>
      <c r="H1321">
        <v>0</v>
      </c>
      <c r="I1321">
        <v>0</v>
      </c>
      <c r="J1321">
        <v>0</v>
      </c>
      <c r="K1321">
        <v>0</v>
      </c>
      <c r="L1321">
        <v>0</v>
      </c>
      <c r="M1321">
        <v>0</v>
      </c>
      <c r="N1321">
        <v>0</v>
      </c>
      <c r="O1321">
        <v>0</v>
      </c>
      <c r="P1321">
        <v>0</v>
      </c>
      <c r="Q1321" t="str">
        <f>INDEX('Partner data'!A:DH,MATCH(C1321,'Partner data'!DG:DG,0),83)</f>
        <v>Soggetto privato</v>
      </c>
      <c r="R1321" t="b">
        <f>IF(E1321="staff",IF(INDEX('Partner data'!A:DH,MATCH(C1321,'Partner data'!DG:DG,0),112)="BL1 non presente","FALSO",INDEX('Partner data'!A:DH,MATCH(C1321,'Partner data'!DG:DG,0),112)))</f>
        <v>0</v>
      </c>
      <c r="S1321" t="b">
        <f t="shared" si="40"/>
        <v>0</v>
      </c>
      <c r="T1321" t="b">
        <f t="shared" si="41"/>
        <v>0</v>
      </c>
      <c r="U1321" s="154">
        <f>IFERROR(IF(R1321&lt;&gt;FALSE,IF(S1321=TRUE,INDEX('SummaryNOT_VALIDATED-BL'!$A$1:$F$16,MATCH(R1321,'SummaryNOT_VALIDATED-BL'!$A$1:$A$16,0),6),0),IF(S1321=TRUE,INDEX('SummaryNOT_VALIDATED-BL'!$A$1:$F$16,MATCH(E1321,'SummaryNOT_VALIDATED-BL'!$A$1:$A$16,0),6),0)),0)</f>
        <v>0</v>
      </c>
      <c r="V1321" s="81" cm="1">
        <f t="array" ref="V1321">INDEX('Weight tables'!$A$24:$C$27,MATCH(1,(RendicontiTrasmessiBL__2[[#This Row],[Cut percentage on real costs + USC]]&gt;='Weight tables'!$B$24:$B$27)*(RendicontiTrasmessiBL__2[[#This Row],[Cut percentage on real costs + USC]]&lt;='Weight tables'!$C$24:$C$27),0),1)</f>
        <v>0</v>
      </c>
      <c r="W1321" s="2">
        <f>RendicontiTrasmessiBL__2[[#This Row],[Weight real costs  + USC ]]</f>
        <v>0</v>
      </c>
    </row>
    <row r="1322" spans="1:23" x14ac:dyDescent="0.25">
      <c r="A1322" s="1" t="s">
        <v>57</v>
      </c>
      <c r="B1322" s="1" t="s">
        <v>23</v>
      </c>
      <c r="C1322" s="2">
        <v>308</v>
      </c>
      <c r="D1322" s="2">
        <v>309</v>
      </c>
      <c r="E1322" s="1" t="s">
        <v>234</v>
      </c>
      <c r="G1322">
        <v>0</v>
      </c>
      <c r="H1322">
        <v>0</v>
      </c>
      <c r="I1322">
        <v>0</v>
      </c>
      <c r="J1322">
        <v>0</v>
      </c>
      <c r="K1322">
        <v>0</v>
      </c>
      <c r="L1322">
        <v>0</v>
      </c>
      <c r="M1322">
        <v>0</v>
      </c>
      <c r="N1322">
        <v>0</v>
      </c>
      <c r="O1322">
        <v>0</v>
      </c>
      <c r="P1322">
        <v>0</v>
      </c>
      <c r="Q1322" t="str">
        <f>INDEX('Partner data'!A:DH,MATCH(C1322,'Partner data'!DG:DG,0),83)</f>
        <v>Soggetto privato</v>
      </c>
      <c r="R1322" t="b">
        <f>IF(E1322="staff",IF(INDEX('Partner data'!A:DH,MATCH(C1322,'Partner data'!DG:DG,0),112)="BL1 non presente","FALSO",INDEX('Partner data'!A:DH,MATCH(C1322,'Partner data'!DG:DG,0),112)))</f>
        <v>0</v>
      </c>
      <c r="S1322" t="b">
        <f t="shared" si="40"/>
        <v>0</v>
      </c>
      <c r="T1322" t="b">
        <f t="shared" si="41"/>
        <v>0</v>
      </c>
      <c r="U1322" s="154">
        <f>IFERROR(IF(R1322&lt;&gt;FALSE,IF(S1322=TRUE,INDEX('SummaryNOT_VALIDATED-BL'!$A$1:$F$16,MATCH(R1322,'SummaryNOT_VALIDATED-BL'!$A$1:$A$16,0),6),0),IF(S1322=TRUE,INDEX('SummaryNOT_VALIDATED-BL'!$A$1:$F$16,MATCH(E1322,'SummaryNOT_VALIDATED-BL'!$A$1:$A$16,0),6),0)),0)</f>
        <v>0</v>
      </c>
      <c r="V1322" s="81" cm="1">
        <f t="array" ref="V1322">INDEX('Weight tables'!$A$24:$C$27,MATCH(1,(RendicontiTrasmessiBL__2[[#This Row],[Cut percentage on real costs + USC]]&gt;='Weight tables'!$B$24:$B$27)*(RendicontiTrasmessiBL__2[[#This Row],[Cut percentage on real costs + USC]]&lt;='Weight tables'!$C$24:$C$27),0),1)</f>
        <v>0</v>
      </c>
      <c r="W1322" s="2">
        <f>RendicontiTrasmessiBL__2[[#This Row],[Weight real costs  + USC ]]</f>
        <v>0</v>
      </c>
    </row>
    <row r="1323" spans="1:23" x14ac:dyDescent="0.25">
      <c r="A1323" s="1" t="s">
        <v>57</v>
      </c>
      <c r="B1323" s="1" t="s">
        <v>23</v>
      </c>
      <c r="C1323" s="2">
        <v>308</v>
      </c>
      <c r="D1323" s="2">
        <v>309</v>
      </c>
      <c r="E1323" s="1" t="s">
        <v>236</v>
      </c>
      <c r="G1323">
        <v>0</v>
      </c>
      <c r="H1323">
        <v>0</v>
      </c>
      <c r="I1323">
        <v>0</v>
      </c>
      <c r="J1323">
        <v>0</v>
      </c>
      <c r="K1323">
        <v>0</v>
      </c>
      <c r="L1323">
        <v>0</v>
      </c>
      <c r="M1323">
        <v>0</v>
      </c>
      <c r="N1323">
        <v>0</v>
      </c>
      <c r="O1323">
        <v>0</v>
      </c>
      <c r="P1323">
        <v>0</v>
      </c>
      <c r="Q1323" t="str">
        <f>INDEX('Partner data'!A:DH,MATCH(C1323,'Partner data'!DG:DG,0),83)</f>
        <v>Soggetto privato</v>
      </c>
      <c r="R1323" t="b">
        <f>IF(E1323="staff",IF(INDEX('Partner data'!A:DH,MATCH(C1323,'Partner data'!DG:DG,0),112)="BL1 non presente","FALSO",INDEX('Partner data'!A:DH,MATCH(C1323,'Partner data'!DG:DG,0),112)))</f>
        <v>0</v>
      </c>
      <c r="S1323" t="b">
        <f t="shared" si="40"/>
        <v>0</v>
      </c>
      <c r="T1323" t="b">
        <f t="shared" si="41"/>
        <v>0</v>
      </c>
      <c r="U1323" s="154">
        <f>IFERROR(IF(R1323&lt;&gt;FALSE,IF(S1323=TRUE,INDEX('SummaryNOT_VALIDATED-BL'!$A$1:$F$16,MATCH(R1323,'SummaryNOT_VALIDATED-BL'!$A$1:$A$16,0),6),0),IF(S1323=TRUE,INDEX('SummaryNOT_VALIDATED-BL'!$A$1:$F$16,MATCH(E1323,'SummaryNOT_VALIDATED-BL'!$A$1:$A$16,0),6),0)),0)</f>
        <v>0</v>
      </c>
      <c r="V1323" s="81" cm="1">
        <f t="array" ref="V1323">INDEX('Weight tables'!$A$24:$C$27,MATCH(1,(RendicontiTrasmessiBL__2[[#This Row],[Cut percentage on real costs + USC]]&gt;='Weight tables'!$B$24:$B$27)*(RendicontiTrasmessiBL__2[[#This Row],[Cut percentage on real costs + USC]]&lt;='Weight tables'!$C$24:$C$27),0),1)</f>
        <v>0</v>
      </c>
      <c r="W1323" s="2">
        <f>RendicontiTrasmessiBL__2[[#This Row],[Weight real costs  + USC ]]</f>
        <v>0</v>
      </c>
    </row>
    <row r="1324" spans="1:23" x14ac:dyDescent="0.25">
      <c r="A1324" s="1" t="s">
        <v>57</v>
      </c>
      <c r="B1324" s="1" t="s">
        <v>23</v>
      </c>
      <c r="C1324" s="2">
        <v>308</v>
      </c>
      <c r="D1324" s="2">
        <v>309</v>
      </c>
      <c r="E1324" s="1" t="s">
        <v>237</v>
      </c>
      <c r="G1324">
        <v>0</v>
      </c>
      <c r="H1324">
        <v>0</v>
      </c>
      <c r="I1324">
        <v>0</v>
      </c>
      <c r="J1324">
        <v>0</v>
      </c>
      <c r="K1324">
        <v>0</v>
      </c>
      <c r="L1324">
        <v>0</v>
      </c>
      <c r="M1324">
        <v>0</v>
      </c>
      <c r="N1324">
        <v>0</v>
      </c>
      <c r="O1324">
        <v>0</v>
      </c>
      <c r="P1324">
        <v>0</v>
      </c>
      <c r="Q1324" t="str">
        <f>INDEX('Partner data'!A:DH,MATCH(C1324,'Partner data'!DG:DG,0),83)</f>
        <v>Soggetto privato</v>
      </c>
      <c r="R1324" t="b">
        <f>IF(E1324="staff",IF(INDEX('Partner data'!A:DH,MATCH(C1324,'Partner data'!DG:DG,0),112)="BL1 non presente","FALSO",INDEX('Partner data'!A:DH,MATCH(C1324,'Partner data'!DG:DG,0),112)))</f>
        <v>0</v>
      </c>
      <c r="S1324" t="b">
        <f t="shared" si="40"/>
        <v>0</v>
      </c>
      <c r="T1324" t="b">
        <f t="shared" si="41"/>
        <v>0</v>
      </c>
      <c r="U1324" s="154">
        <f>IFERROR(IF(R1324&lt;&gt;FALSE,IF(S1324=TRUE,INDEX('SummaryNOT_VALIDATED-BL'!$A$1:$F$16,MATCH(R1324,'SummaryNOT_VALIDATED-BL'!$A$1:$A$16,0),6),0),IF(S1324=TRUE,INDEX('SummaryNOT_VALIDATED-BL'!$A$1:$F$16,MATCH(E1324,'SummaryNOT_VALIDATED-BL'!$A$1:$A$16,0),6),0)),0)</f>
        <v>0</v>
      </c>
      <c r="V1324" s="81" cm="1">
        <f t="array" ref="V1324">INDEX('Weight tables'!$A$24:$C$27,MATCH(1,(RendicontiTrasmessiBL__2[[#This Row],[Cut percentage on real costs + USC]]&gt;='Weight tables'!$B$24:$B$27)*(RendicontiTrasmessiBL__2[[#This Row],[Cut percentage on real costs + USC]]&lt;='Weight tables'!$C$24:$C$27),0),1)</f>
        <v>0</v>
      </c>
      <c r="W1324" s="2">
        <f>RendicontiTrasmessiBL__2[[#This Row],[Weight real costs  + USC ]]</f>
        <v>0</v>
      </c>
    </row>
    <row r="1325" spans="1:23" x14ac:dyDescent="0.25">
      <c r="A1325" s="1" t="s">
        <v>57</v>
      </c>
      <c r="B1325" s="1" t="s">
        <v>23</v>
      </c>
      <c r="C1325" s="2">
        <v>308</v>
      </c>
      <c r="D1325" s="2">
        <v>48</v>
      </c>
      <c r="E1325" s="1" t="s">
        <v>228</v>
      </c>
      <c r="G1325">
        <v>143640</v>
      </c>
      <c r="H1325">
        <v>0</v>
      </c>
      <c r="I1325">
        <v>0</v>
      </c>
      <c r="J1325">
        <v>30230.880000000001</v>
      </c>
      <c r="K1325">
        <v>0</v>
      </c>
      <c r="L1325">
        <v>30228</v>
      </c>
      <c r="M1325">
        <v>30230.880000000001</v>
      </c>
      <c r="N1325">
        <v>21.05</v>
      </c>
      <c r="O1325">
        <v>113409.12</v>
      </c>
      <c r="P1325">
        <v>0</v>
      </c>
      <c r="Q1325" t="str">
        <f>INDEX('Partner data'!A:DH,MATCH(C1325,'Partner data'!DG:DG,0),83)</f>
        <v>Soggetto privato</v>
      </c>
      <c r="R1325" t="str">
        <f>IF(E1325="staff",IF(INDEX('Partner data'!A:DH,MATCH(C1325,'Partner data'!DG:DG,0),112)="BL1 non presente","FALSO",INDEX('Partner data'!A:DH,MATCH(C1325,'Partner data'!DG:DG,0),112)))</f>
        <v>Costo Unitario Standard</v>
      </c>
      <c r="S1325" t="b">
        <f t="shared" si="40"/>
        <v>1</v>
      </c>
      <c r="T1325" t="b">
        <f t="shared" si="41"/>
        <v>0</v>
      </c>
      <c r="U1325" s="154">
        <f>IFERROR(IF(R1325&lt;&gt;FALSE,IF(S1325=TRUE,INDEX('SummaryNOT_VALIDATED-BL'!$A$1:$F$16,MATCH(R1325,'SummaryNOT_VALIDATED-BL'!$A$1:$A$16,0),6),0),IF(S1325=TRUE,INDEX('SummaryNOT_VALIDATED-BL'!$A$1:$F$16,MATCH(E1325,'SummaryNOT_VALIDATED-BL'!$A$1:$A$16,0),6),0)),0)</f>
        <v>3.2052879635441428E-2</v>
      </c>
      <c r="V1325" s="81" cm="1">
        <f t="array" ref="V1325">INDEX('Weight tables'!$A$24:$C$27,MATCH(1,(RendicontiTrasmessiBL__2[[#This Row],[Cut percentage on real costs + USC]]&gt;='Weight tables'!$B$24:$B$27)*(RendicontiTrasmessiBL__2[[#This Row],[Cut percentage on real costs + USC]]&lt;='Weight tables'!$C$24:$C$27),0),1)</f>
        <v>2</v>
      </c>
      <c r="W1325" s="2">
        <f>RendicontiTrasmessiBL__2[[#This Row],[Weight real costs  + USC ]]</f>
        <v>2</v>
      </c>
    </row>
    <row r="1326" spans="1:23" x14ac:dyDescent="0.25">
      <c r="A1326" s="1" t="s">
        <v>57</v>
      </c>
      <c r="B1326" s="1" t="s">
        <v>23</v>
      </c>
      <c r="C1326" s="2">
        <v>308</v>
      </c>
      <c r="D1326" s="2">
        <v>48</v>
      </c>
      <c r="E1326" s="1" t="s">
        <v>229</v>
      </c>
      <c r="F1326">
        <v>15</v>
      </c>
      <c r="G1326">
        <v>21546</v>
      </c>
      <c r="H1326">
        <v>0</v>
      </c>
      <c r="I1326">
        <v>0</v>
      </c>
      <c r="J1326">
        <v>4534.63</v>
      </c>
      <c r="K1326">
        <v>0</v>
      </c>
      <c r="L1326">
        <v>4534.2</v>
      </c>
      <c r="M1326">
        <v>4534.63</v>
      </c>
      <c r="N1326">
        <v>21.05</v>
      </c>
      <c r="O1326">
        <v>17011.37</v>
      </c>
      <c r="P1326">
        <v>0</v>
      </c>
      <c r="Q1326" t="str">
        <f>INDEX('Partner data'!A:DH,MATCH(C1326,'Partner data'!DG:DG,0),83)</f>
        <v>Soggetto privato</v>
      </c>
      <c r="R1326" t="b">
        <f>IF(E1326="staff",IF(INDEX('Partner data'!A:DH,MATCH(C1326,'Partner data'!DG:DG,0),112)="BL1 non presente","FALSO",INDEX('Partner data'!A:DH,MATCH(C1326,'Partner data'!DG:DG,0),112)))</f>
        <v>0</v>
      </c>
      <c r="S1326" t="b">
        <f t="shared" si="40"/>
        <v>1</v>
      </c>
      <c r="T1326" t="b">
        <f t="shared" si="41"/>
        <v>0</v>
      </c>
      <c r="U1326" s="154">
        <f>IFERROR(IF(R1326&lt;&gt;FALSE,IF(S1326=TRUE,INDEX('SummaryNOT_VALIDATED-BL'!$A$1:$F$16,MATCH(R1326,'SummaryNOT_VALIDATED-BL'!$A$1:$A$16,0),6),0),IF(S1326=TRUE,INDEX('SummaryNOT_VALIDATED-BL'!$A$1:$F$16,MATCH(E1326,'SummaryNOT_VALIDATED-BL'!$A$1:$A$16,0),6),0)),0)</f>
        <v>6.6460469504890221E-2</v>
      </c>
      <c r="V1326" s="81" cm="1">
        <f t="array" ref="V1326">INDEX('Weight tables'!$A$24:$C$27,MATCH(1,(RendicontiTrasmessiBL__2[[#This Row],[Cut percentage on real costs + USC]]&gt;='Weight tables'!$B$24:$B$27)*(RendicontiTrasmessiBL__2[[#This Row],[Cut percentage on real costs + USC]]&lt;='Weight tables'!$C$24:$C$27),0),1)</f>
        <v>4</v>
      </c>
      <c r="W1326" s="2">
        <f>RendicontiTrasmessiBL__2[[#This Row],[Weight real costs  + USC ]]</f>
        <v>4</v>
      </c>
    </row>
    <row r="1327" spans="1:23" x14ac:dyDescent="0.25">
      <c r="A1327" s="1" t="s">
        <v>57</v>
      </c>
      <c r="B1327" s="1" t="s">
        <v>23</v>
      </c>
      <c r="C1327" s="2">
        <v>308</v>
      </c>
      <c r="D1327" s="2">
        <v>48</v>
      </c>
      <c r="E1327" s="1" t="s">
        <v>230</v>
      </c>
      <c r="F1327">
        <v>4</v>
      </c>
      <c r="G1327">
        <v>5745.6</v>
      </c>
      <c r="H1327">
        <v>0</v>
      </c>
      <c r="I1327">
        <v>0</v>
      </c>
      <c r="J1327">
        <v>1209.23</v>
      </c>
      <c r="K1327">
        <v>0</v>
      </c>
      <c r="L1327">
        <v>1209.1199999999999</v>
      </c>
      <c r="M1327">
        <v>1209.23</v>
      </c>
      <c r="N1327">
        <v>21.05</v>
      </c>
      <c r="O1327">
        <v>4536.37</v>
      </c>
      <c r="P1327">
        <v>0</v>
      </c>
      <c r="Q1327" t="str">
        <f>INDEX('Partner data'!A:DH,MATCH(C1327,'Partner data'!DG:DG,0),83)</f>
        <v>Soggetto privato</v>
      </c>
      <c r="R1327" t="b">
        <f>IF(E1327="staff",IF(INDEX('Partner data'!A:DH,MATCH(C1327,'Partner data'!DG:DG,0),112)="BL1 non presente","FALSO",INDEX('Partner data'!A:DH,MATCH(C1327,'Partner data'!DG:DG,0),112)))</f>
        <v>0</v>
      </c>
      <c r="S1327" t="b">
        <f t="shared" si="40"/>
        <v>1</v>
      </c>
      <c r="T1327" t="b">
        <f t="shared" si="41"/>
        <v>0</v>
      </c>
      <c r="U1327" s="154">
        <f>IFERROR(IF(R1327&lt;&gt;FALSE,IF(S1327=TRUE,INDEX('SummaryNOT_VALIDATED-BL'!$A$1:$F$16,MATCH(R1327,'SummaryNOT_VALIDATED-BL'!$A$1:$A$16,0),6),0),IF(S1327=TRUE,INDEX('SummaryNOT_VALIDATED-BL'!$A$1:$F$16,MATCH(E1327,'SummaryNOT_VALIDATED-BL'!$A$1:$A$16,0),6),0)),0)</f>
        <v>6.3112622236488891E-2</v>
      </c>
      <c r="V1327" s="81" cm="1">
        <f t="array" ref="V1327">INDEX('Weight tables'!$A$24:$C$27,MATCH(1,(RendicontiTrasmessiBL__2[[#This Row],[Cut percentage on real costs + USC]]&gt;='Weight tables'!$B$24:$B$27)*(RendicontiTrasmessiBL__2[[#This Row],[Cut percentage on real costs + USC]]&lt;='Weight tables'!$C$24:$C$27),0),1)</f>
        <v>4</v>
      </c>
      <c r="W1327" s="2">
        <f>RendicontiTrasmessiBL__2[[#This Row],[Weight real costs  + USC ]]</f>
        <v>4</v>
      </c>
    </row>
    <row r="1328" spans="1:23" x14ac:dyDescent="0.25">
      <c r="A1328" s="1" t="s">
        <v>57</v>
      </c>
      <c r="B1328" s="1" t="s">
        <v>23</v>
      </c>
      <c r="C1328" s="2">
        <v>308</v>
      </c>
      <c r="D1328" s="2">
        <v>48</v>
      </c>
      <c r="E1328" s="1" t="s">
        <v>231</v>
      </c>
      <c r="G1328">
        <v>104068.5</v>
      </c>
      <c r="H1328">
        <v>0</v>
      </c>
      <c r="I1328">
        <v>0</v>
      </c>
      <c r="J1328">
        <v>0</v>
      </c>
      <c r="K1328">
        <v>0</v>
      </c>
      <c r="L1328">
        <v>0</v>
      </c>
      <c r="M1328">
        <v>0</v>
      </c>
      <c r="N1328">
        <v>0</v>
      </c>
      <c r="O1328">
        <v>104068.5</v>
      </c>
      <c r="P1328">
        <v>0</v>
      </c>
      <c r="Q1328" t="str">
        <f>INDEX('Partner data'!A:DH,MATCH(C1328,'Partner data'!DG:DG,0),83)</f>
        <v>Soggetto privato</v>
      </c>
      <c r="R1328" t="b">
        <f>IF(E1328="staff",IF(INDEX('Partner data'!A:DH,MATCH(C1328,'Partner data'!DG:DG,0),112)="BL1 non presente","FALSO",INDEX('Partner data'!A:DH,MATCH(C1328,'Partner data'!DG:DG,0),112)))</f>
        <v>0</v>
      </c>
      <c r="S1328" t="b">
        <f t="shared" si="40"/>
        <v>0</v>
      </c>
      <c r="T1328" t="b">
        <f t="shared" si="41"/>
        <v>0</v>
      </c>
      <c r="U1328" s="154">
        <f>IFERROR(IF(R1328&lt;&gt;FALSE,IF(S1328=TRUE,INDEX('SummaryNOT_VALIDATED-BL'!$A$1:$F$16,MATCH(R1328,'SummaryNOT_VALIDATED-BL'!$A$1:$A$16,0),6),0),IF(S1328=TRUE,INDEX('SummaryNOT_VALIDATED-BL'!$A$1:$F$16,MATCH(E1328,'SummaryNOT_VALIDATED-BL'!$A$1:$A$16,0),6),0)),0)</f>
        <v>0</v>
      </c>
      <c r="V1328" s="81" cm="1">
        <f t="array" ref="V1328">INDEX('Weight tables'!$A$24:$C$27,MATCH(1,(RendicontiTrasmessiBL__2[[#This Row],[Cut percentage on real costs + USC]]&gt;='Weight tables'!$B$24:$B$27)*(RendicontiTrasmessiBL__2[[#This Row],[Cut percentage on real costs + USC]]&lt;='Weight tables'!$C$24:$C$27),0),1)</f>
        <v>0</v>
      </c>
      <c r="W1328" s="2">
        <f>RendicontiTrasmessiBL__2[[#This Row],[Weight real costs  + USC ]]</f>
        <v>0</v>
      </c>
    </row>
    <row r="1329" spans="1:23" x14ac:dyDescent="0.25">
      <c r="A1329" s="1" t="s">
        <v>57</v>
      </c>
      <c r="B1329" s="1" t="s">
        <v>23</v>
      </c>
      <c r="C1329" s="2">
        <v>308</v>
      </c>
      <c r="D1329" s="2">
        <v>48</v>
      </c>
      <c r="E1329" s="1" t="s">
        <v>232</v>
      </c>
      <c r="G1329">
        <v>0</v>
      </c>
      <c r="H1329">
        <v>0</v>
      </c>
      <c r="I1329">
        <v>0</v>
      </c>
      <c r="J1329">
        <v>0</v>
      </c>
      <c r="K1329">
        <v>0</v>
      </c>
      <c r="L1329">
        <v>0</v>
      </c>
      <c r="M1329">
        <v>0</v>
      </c>
      <c r="N1329">
        <v>0</v>
      </c>
      <c r="O1329">
        <v>0</v>
      </c>
      <c r="P1329">
        <v>0</v>
      </c>
      <c r="Q1329" t="str">
        <f>INDEX('Partner data'!A:DH,MATCH(C1329,'Partner data'!DG:DG,0),83)</f>
        <v>Soggetto privato</v>
      </c>
      <c r="R1329" t="b">
        <f>IF(E1329="staff",IF(INDEX('Partner data'!A:DH,MATCH(C1329,'Partner data'!DG:DG,0),112)="BL1 non presente","FALSO",INDEX('Partner data'!A:DH,MATCH(C1329,'Partner data'!DG:DG,0),112)))</f>
        <v>0</v>
      </c>
      <c r="S1329" t="b">
        <f t="shared" si="40"/>
        <v>0</v>
      </c>
      <c r="T1329" t="b">
        <f t="shared" si="41"/>
        <v>0</v>
      </c>
      <c r="U1329" s="154">
        <f>IFERROR(IF(R1329&lt;&gt;FALSE,IF(S1329=TRUE,INDEX('SummaryNOT_VALIDATED-BL'!$A$1:$F$16,MATCH(R1329,'SummaryNOT_VALIDATED-BL'!$A$1:$A$16,0),6),0),IF(S1329=TRUE,INDEX('SummaryNOT_VALIDATED-BL'!$A$1:$F$16,MATCH(E1329,'SummaryNOT_VALIDATED-BL'!$A$1:$A$16,0),6),0)),0)</f>
        <v>0</v>
      </c>
      <c r="V1329" s="81" cm="1">
        <f t="array" ref="V1329">INDEX('Weight tables'!$A$24:$C$27,MATCH(1,(RendicontiTrasmessiBL__2[[#This Row],[Cut percentage on real costs + USC]]&gt;='Weight tables'!$B$24:$B$27)*(RendicontiTrasmessiBL__2[[#This Row],[Cut percentage on real costs + USC]]&lt;='Weight tables'!$C$24:$C$27),0),1)</f>
        <v>0</v>
      </c>
      <c r="W1329" s="2">
        <f>RendicontiTrasmessiBL__2[[#This Row],[Weight real costs  + USC ]]</f>
        <v>0</v>
      </c>
    </row>
    <row r="1330" spans="1:23" x14ac:dyDescent="0.25">
      <c r="A1330" s="1" t="s">
        <v>57</v>
      </c>
      <c r="B1330" s="1" t="s">
        <v>23</v>
      </c>
      <c r="C1330" s="2">
        <v>308</v>
      </c>
      <c r="D1330" s="2">
        <v>48</v>
      </c>
      <c r="E1330" s="1" t="s">
        <v>233</v>
      </c>
      <c r="G1330">
        <v>0</v>
      </c>
      <c r="H1330">
        <v>0</v>
      </c>
      <c r="I1330">
        <v>0</v>
      </c>
      <c r="J1330">
        <v>0</v>
      </c>
      <c r="K1330">
        <v>0</v>
      </c>
      <c r="L1330">
        <v>0</v>
      </c>
      <c r="M1330">
        <v>0</v>
      </c>
      <c r="N1330">
        <v>0</v>
      </c>
      <c r="O1330">
        <v>0</v>
      </c>
      <c r="P1330">
        <v>0</v>
      </c>
      <c r="Q1330" t="str">
        <f>INDEX('Partner data'!A:DH,MATCH(C1330,'Partner data'!DG:DG,0),83)</f>
        <v>Soggetto privato</v>
      </c>
      <c r="R1330" t="b">
        <f>IF(E1330="staff",IF(INDEX('Partner data'!A:DH,MATCH(C1330,'Partner data'!DG:DG,0),112)="BL1 non presente","FALSO",INDEX('Partner data'!A:DH,MATCH(C1330,'Partner data'!DG:DG,0),112)))</f>
        <v>0</v>
      </c>
      <c r="S1330" t="b">
        <f t="shared" si="40"/>
        <v>0</v>
      </c>
      <c r="T1330" t="b">
        <f t="shared" si="41"/>
        <v>0</v>
      </c>
      <c r="U1330" s="154">
        <f>IFERROR(IF(R1330&lt;&gt;FALSE,IF(S1330=TRUE,INDEX('SummaryNOT_VALIDATED-BL'!$A$1:$F$16,MATCH(R1330,'SummaryNOT_VALIDATED-BL'!$A$1:$A$16,0),6),0),IF(S1330=TRUE,INDEX('SummaryNOT_VALIDATED-BL'!$A$1:$F$16,MATCH(E1330,'SummaryNOT_VALIDATED-BL'!$A$1:$A$16,0),6),0)),0)</f>
        <v>0</v>
      </c>
      <c r="V1330" s="81" cm="1">
        <f t="array" ref="V1330">INDEX('Weight tables'!$A$24:$C$27,MATCH(1,(RendicontiTrasmessiBL__2[[#This Row],[Cut percentage on real costs + USC]]&gt;='Weight tables'!$B$24:$B$27)*(RendicontiTrasmessiBL__2[[#This Row],[Cut percentage on real costs + USC]]&lt;='Weight tables'!$C$24:$C$27),0),1)</f>
        <v>0</v>
      </c>
      <c r="W1330" s="2">
        <f>RendicontiTrasmessiBL__2[[#This Row],[Weight real costs  + USC ]]</f>
        <v>0</v>
      </c>
    </row>
    <row r="1331" spans="1:23" x14ac:dyDescent="0.25">
      <c r="A1331" s="1" t="s">
        <v>57</v>
      </c>
      <c r="B1331" s="1" t="s">
        <v>23</v>
      </c>
      <c r="C1331" s="2">
        <v>308</v>
      </c>
      <c r="D1331" s="2">
        <v>48</v>
      </c>
      <c r="E1331" s="1" t="s">
        <v>234</v>
      </c>
      <c r="G1331">
        <v>0</v>
      </c>
      <c r="H1331">
        <v>0</v>
      </c>
      <c r="I1331">
        <v>0</v>
      </c>
      <c r="J1331">
        <v>0</v>
      </c>
      <c r="K1331">
        <v>0</v>
      </c>
      <c r="L1331">
        <v>0</v>
      </c>
      <c r="M1331">
        <v>0</v>
      </c>
      <c r="N1331">
        <v>0</v>
      </c>
      <c r="O1331">
        <v>0</v>
      </c>
      <c r="P1331">
        <v>0</v>
      </c>
      <c r="Q1331" t="str">
        <f>INDEX('Partner data'!A:DH,MATCH(C1331,'Partner data'!DG:DG,0),83)</f>
        <v>Soggetto privato</v>
      </c>
      <c r="R1331" t="b">
        <f>IF(E1331="staff",IF(INDEX('Partner data'!A:DH,MATCH(C1331,'Partner data'!DG:DG,0),112)="BL1 non presente","FALSO",INDEX('Partner data'!A:DH,MATCH(C1331,'Partner data'!DG:DG,0),112)))</f>
        <v>0</v>
      </c>
      <c r="S1331" t="b">
        <f t="shared" si="40"/>
        <v>0</v>
      </c>
      <c r="T1331" t="b">
        <f t="shared" si="41"/>
        <v>0</v>
      </c>
      <c r="U1331" s="154">
        <f>IFERROR(IF(R1331&lt;&gt;FALSE,IF(S1331=TRUE,INDEX('SummaryNOT_VALIDATED-BL'!$A$1:$F$16,MATCH(R1331,'SummaryNOT_VALIDATED-BL'!$A$1:$A$16,0),6),0),IF(S1331=TRUE,INDEX('SummaryNOT_VALIDATED-BL'!$A$1:$F$16,MATCH(E1331,'SummaryNOT_VALIDATED-BL'!$A$1:$A$16,0),6),0)),0)</f>
        <v>0</v>
      </c>
      <c r="V1331" s="81" cm="1">
        <f t="array" ref="V1331">INDEX('Weight tables'!$A$24:$C$27,MATCH(1,(RendicontiTrasmessiBL__2[[#This Row],[Cut percentage on real costs + USC]]&gt;='Weight tables'!$B$24:$B$27)*(RendicontiTrasmessiBL__2[[#This Row],[Cut percentage on real costs + USC]]&lt;='Weight tables'!$C$24:$C$27),0),1)</f>
        <v>0</v>
      </c>
      <c r="W1331" s="2">
        <f>RendicontiTrasmessiBL__2[[#This Row],[Weight real costs  + USC ]]</f>
        <v>0</v>
      </c>
    </row>
    <row r="1332" spans="1:23" x14ac:dyDescent="0.25">
      <c r="A1332" s="1" t="s">
        <v>57</v>
      </c>
      <c r="B1332" s="1" t="s">
        <v>23</v>
      </c>
      <c r="C1332" s="2">
        <v>308</v>
      </c>
      <c r="D1332" s="2">
        <v>48</v>
      </c>
      <c r="E1332" s="1" t="s">
        <v>236</v>
      </c>
      <c r="G1332">
        <v>0</v>
      </c>
      <c r="H1332">
        <v>0</v>
      </c>
      <c r="I1332">
        <v>0</v>
      </c>
      <c r="J1332">
        <v>0</v>
      </c>
      <c r="K1332">
        <v>0</v>
      </c>
      <c r="L1332">
        <v>0</v>
      </c>
      <c r="M1332">
        <v>0</v>
      </c>
      <c r="N1332">
        <v>0</v>
      </c>
      <c r="O1332">
        <v>0</v>
      </c>
      <c r="P1332">
        <v>0</v>
      </c>
      <c r="Q1332" t="str">
        <f>INDEX('Partner data'!A:DH,MATCH(C1332,'Partner data'!DG:DG,0),83)</f>
        <v>Soggetto privato</v>
      </c>
      <c r="R1332" t="b">
        <f>IF(E1332="staff",IF(INDEX('Partner data'!A:DH,MATCH(C1332,'Partner data'!DG:DG,0),112)="BL1 non presente","FALSO",INDEX('Partner data'!A:DH,MATCH(C1332,'Partner data'!DG:DG,0),112)))</f>
        <v>0</v>
      </c>
      <c r="S1332" t="b">
        <f t="shared" si="40"/>
        <v>0</v>
      </c>
      <c r="T1332" t="b">
        <f t="shared" si="41"/>
        <v>0</v>
      </c>
      <c r="U1332" s="154">
        <f>IFERROR(IF(R1332&lt;&gt;FALSE,IF(S1332=TRUE,INDEX('SummaryNOT_VALIDATED-BL'!$A$1:$F$16,MATCH(R1332,'SummaryNOT_VALIDATED-BL'!$A$1:$A$16,0),6),0),IF(S1332=TRUE,INDEX('SummaryNOT_VALIDATED-BL'!$A$1:$F$16,MATCH(E1332,'SummaryNOT_VALIDATED-BL'!$A$1:$A$16,0),6),0)),0)</f>
        <v>0</v>
      </c>
      <c r="V1332" s="81" cm="1">
        <f t="array" ref="V1332">INDEX('Weight tables'!$A$24:$C$27,MATCH(1,(RendicontiTrasmessiBL__2[[#This Row],[Cut percentage on real costs + USC]]&gt;='Weight tables'!$B$24:$B$27)*(RendicontiTrasmessiBL__2[[#This Row],[Cut percentage on real costs + USC]]&lt;='Weight tables'!$C$24:$C$27),0),1)</f>
        <v>0</v>
      </c>
      <c r="W1332" s="2">
        <f>RendicontiTrasmessiBL__2[[#This Row],[Weight real costs  + USC ]]</f>
        <v>0</v>
      </c>
    </row>
    <row r="1333" spans="1:23" x14ac:dyDescent="0.25">
      <c r="A1333" s="1" t="s">
        <v>57</v>
      </c>
      <c r="B1333" s="1" t="s">
        <v>23</v>
      </c>
      <c r="C1333" s="2">
        <v>308</v>
      </c>
      <c r="D1333" s="2">
        <v>48</v>
      </c>
      <c r="E1333" s="1" t="s">
        <v>237</v>
      </c>
      <c r="G1333">
        <v>0</v>
      </c>
      <c r="H1333">
        <v>0</v>
      </c>
      <c r="I1333">
        <v>0</v>
      </c>
      <c r="J1333">
        <v>0</v>
      </c>
      <c r="K1333">
        <v>0</v>
      </c>
      <c r="L1333">
        <v>0</v>
      </c>
      <c r="M1333">
        <v>0</v>
      </c>
      <c r="N1333">
        <v>0</v>
      </c>
      <c r="O1333">
        <v>0</v>
      </c>
      <c r="P1333">
        <v>0</v>
      </c>
      <c r="Q1333" t="str">
        <f>INDEX('Partner data'!A:DH,MATCH(C1333,'Partner data'!DG:DG,0),83)</f>
        <v>Soggetto privato</v>
      </c>
      <c r="R1333" t="b">
        <f>IF(E1333="staff",IF(INDEX('Partner data'!A:DH,MATCH(C1333,'Partner data'!DG:DG,0),112)="BL1 non presente","FALSO",INDEX('Partner data'!A:DH,MATCH(C1333,'Partner data'!DG:DG,0),112)))</f>
        <v>0</v>
      </c>
      <c r="S1333" t="b">
        <f t="shared" si="40"/>
        <v>0</v>
      </c>
      <c r="T1333" t="b">
        <f t="shared" si="41"/>
        <v>0</v>
      </c>
      <c r="U1333" s="154">
        <f>IFERROR(IF(R1333&lt;&gt;FALSE,IF(S1333=TRUE,INDEX('SummaryNOT_VALIDATED-BL'!$A$1:$F$16,MATCH(R1333,'SummaryNOT_VALIDATED-BL'!$A$1:$A$16,0),6),0),IF(S1333=TRUE,INDEX('SummaryNOT_VALIDATED-BL'!$A$1:$F$16,MATCH(E1333,'SummaryNOT_VALIDATED-BL'!$A$1:$A$16,0),6),0)),0)</f>
        <v>0</v>
      </c>
      <c r="V1333" s="81" cm="1">
        <f t="array" ref="V1333">INDEX('Weight tables'!$A$24:$C$27,MATCH(1,(RendicontiTrasmessiBL__2[[#This Row],[Cut percentage on real costs + USC]]&gt;='Weight tables'!$B$24:$B$27)*(RendicontiTrasmessiBL__2[[#This Row],[Cut percentage on real costs + USC]]&lt;='Weight tables'!$C$24:$C$27),0),1)</f>
        <v>0</v>
      </c>
      <c r="W1333" s="2">
        <f>RendicontiTrasmessiBL__2[[#This Row],[Weight real costs  + USC ]]</f>
        <v>0</v>
      </c>
    </row>
    <row r="1334" spans="1:23" x14ac:dyDescent="0.25">
      <c r="A1334" s="1" t="s">
        <v>57</v>
      </c>
      <c r="B1334" s="1" t="s">
        <v>24</v>
      </c>
      <c r="C1334" s="2">
        <v>313</v>
      </c>
      <c r="D1334" s="2">
        <v>237</v>
      </c>
      <c r="E1334" s="1" t="s">
        <v>228</v>
      </c>
      <c r="G1334">
        <v>236435.04</v>
      </c>
      <c r="H1334">
        <v>68977.78</v>
      </c>
      <c r="I1334">
        <v>7778.63</v>
      </c>
      <c r="J1334">
        <v>31650.69</v>
      </c>
      <c r="K1334">
        <v>7512.54</v>
      </c>
      <c r="L1334">
        <v>0</v>
      </c>
      <c r="M1334">
        <v>100628.47</v>
      </c>
      <c r="N1334">
        <v>42.56</v>
      </c>
      <c r="O1334">
        <v>135806.57</v>
      </c>
      <c r="P1334">
        <v>59430.58</v>
      </c>
      <c r="Q1334" t="str">
        <f>INDEX('Partner data'!A:DH,MATCH(C1334,'Partner data'!DG:DG,0),83)</f>
        <v>Soggetto pubblico</v>
      </c>
      <c r="R1334" t="str">
        <f>IF(E1334="staff",IF(INDEX('Partner data'!A:DH,MATCH(C1334,'Partner data'!DG:DG,0),112)="BL1 non presente","FALSO",INDEX('Partner data'!A:DH,MATCH(C1334,'Partner data'!DG:DG,0),112)))</f>
        <v>COSTO REALE</v>
      </c>
      <c r="S1334" t="b">
        <f t="shared" si="40"/>
        <v>1</v>
      </c>
      <c r="T1334" t="b">
        <f t="shared" si="41"/>
        <v>1</v>
      </c>
      <c r="U1334" s="154">
        <f>IFERROR(IF(R1334&lt;&gt;FALSE,IF(S1334=TRUE,INDEX('SummaryNOT_VALIDATED-BL'!$A$1:$F$16,MATCH(R1334,'SummaryNOT_VALIDATED-BL'!$A$1:$A$16,0),6),0),IF(S1334=TRUE,INDEX('SummaryNOT_VALIDATED-BL'!$A$1:$F$16,MATCH(E1334,'SummaryNOT_VALIDATED-BL'!$A$1:$A$16,0),6),0)),0)</f>
        <v>9.1604133276901048E-2</v>
      </c>
      <c r="V1334" s="81" cm="1">
        <f t="array" ref="V1334">INDEX('Weight tables'!$A$24:$C$27,MATCH(1,(RendicontiTrasmessiBL__2[[#This Row],[Cut percentage on real costs + USC]]&gt;='Weight tables'!$B$24:$B$27)*(RendicontiTrasmessiBL__2[[#This Row],[Cut percentage on real costs + USC]]&lt;='Weight tables'!$C$24:$C$27),0),1)</f>
        <v>4</v>
      </c>
      <c r="W1334" s="2">
        <f>RendicontiTrasmessiBL__2[[#This Row],[Weight real costs  + USC ]]</f>
        <v>4</v>
      </c>
    </row>
    <row r="1335" spans="1:23" x14ac:dyDescent="0.25">
      <c r="A1335" s="1" t="s">
        <v>57</v>
      </c>
      <c r="B1335" s="1" t="s">
        <v>24</v>
      </c>
      <c r="C1335" s="2">
        <v>313</v>
      </c>
      <c r="D1335" s="2">
        <v>237</v>
      </c>
      <c r="E1335" s="1" t="s">
        <v>229</v>
      </c>
      <c r="F1335">
        <v>15</v>
      </c>
      <c r="G1335">
        <v>35465.25</v>
      </c>
      <c r="H1335">
        <v>10346.66</v>
      </c>
      <c r="I1335">
        <v>1166.79</v>
      </c>
      <c r="J1335">
        <v>4747.6000000000004</v>
      </c>
      <c r="K1335">
        <v>1126.8800000000001</v>
      </c>
      <c r="L1335">
        <v>0</v>
      </c>
      <c r="M1335">
        <v>15094.26</v>
      </c>
      <c r="N1335">
        <v>42.56</v>
      </c>
      <c r="O1335">
        <v>20370.990000000002</v>
      </c>
      <c r="P1335">
        <v>8914.58</v>
      </c>
      <c r="Q1335" t="str">
        <f>INDEX('Partner data'!A:DH,MATCH(C1335,'Partner data'!DG:DG,0),83)</f>
        <v>Soggetto pubblico</v>
      </c>
      <c r="R1335" t="b">
        <f>IF(E1335="staff",IF(INDEX('Partner data'!A:DH,MATCH(C1335,'Partner data'!DG:DG,0),112)="BL1 non presente","FALSO",INDEX('Partner data'!A:DH,MATCH(C1335,'Partner data'!DG:DG,0),112)))</f>
        <v>0</v>
      </c>
      <c r="S1335" t="b">
        <f t="shared" si="40"/>
        <v>1</v>
      </c>
      <c r="T1335" t="b">
        <f t="shared" si="41"/>
        <v>1</v>
      </c>
      <c r="U1335" s="154">
        <f>IFERROR(IF(R1335&lt;&gt;FALSE,IF(S1335=TRUE,INDEX('SummaryNOT_VALIDATED-BL'!$A$1:$F$16,MATCH(R1335,'SummaryNOT_VALIDATED-BL'!$A$1:$A$16,0),6),0),IF(S1335=TRUE,INDEX('SummaryNOT_VALIDATED-BL'!$A$1:$F$16,MATCH(E1335,'SummaryNOT_VALIDATED-BL'!$A$1:$A$16,0),6),0)),0)</f>
        <v>6.6460469504890221E-2</v>
      </c>
      <c r="V1335" s="81" cm="1">
        <f t="array" ref="V1335">INDEX('Weight tables'!$A$24:$C$27,MATCH(1,(RendicontiTrasmessiBL__2[[#This Row],[Cut percentage on real costs + USC]]&gt;='Weight tables'!$B$24:$B$27)*(RendicontiTrasmessiBL__2[[#This Row],[Cut percentage on real costs + USC]]&lt;='Weight tables'!$C$24:$C$27),0),1)</f>
        <v>4</v>
      </c>
      <c r="W1335" s="2">
        <f>RendicontiTrasmessiBL__2[[#This Row],[Weight real costs  + USC ]]</f>
        <v>4</v>
      </c>
    </row>
    <row r="1336" spans="1:23" x14ac:dyDescent="0.25">
      <c r="A1336" s="1" t="s">
        <v>57</v>
      </c>
      <c r="B1336" s="1" t="s">
        <v>24</v>
      </c>
      <c r="C1336" s="2">
        <v>313</v>
      </c>
      <c r="D1336" s="2">
        <v>237</v>
      </c>
      <c r="E1336" s="1" t="s">
        <v>230</v>
      </c>
      <c r="F1336">
        <v>4</v>
      </c>
      <c r="G1336">
        <v>9457.4</v>
      </c>
      <c r="H1336">
        <v>2759.11</v>
      </c>
      <c r="I1336">
        <v>311.14</v>
      </c>
      <c r="J1336">
        <v>1266.02</v>
      </c>
      <c r="K1336">
        <v>300.5</v>
      </c>
      <c r="L1336">
        <v>0</v>
      </c>
      <c r="M1336">
        <v>4025.13</v>
      </c>
      <c r="N1336">
        <v>42.56</v>
      </c>
      <c r="O1336">
        <v>5432.27</v>
      </c>
      <c r="P1336">
        <v>2377.2199999999998</v>
      </c>
      <c r="Q1336" t="str">
        <f>INDEX('Partner data'!A:DH,MATCH(C1336,'Partner data'!DG:DG,0),83)</f>
        <v>Soggetto pubblico</v>
      </c>
      <c r="R1336" t="b">
        <f>IF(E1336="staff",IF(INDEX('Partner data'!A:DH,MATCH(C1336,'Partner data'!DG:DG,0),112)="BL1 non presente","FALSO",INDEX('Partner data'!A:DH,MATCH(C1336,'Partner data'!DG:DG,0),112)))</f>
        <v>0</v>
      </c>
      <c r="S1336" t="b">
        <f t="shared" si="40"/>
        <v>1</v>
      </c>
      <c r="T1336" t="b">
        <f t="shared" si="41"/>
        <v>1</v>
      </c>
      <c r="U1336" s="154">
        <f>IFERROR(IF(R1336&lt;&gt;FALSE,IF(S1336=TRUE,INDEX('SummaryNOT_VALIDATED-BL'!$A$1:$F$16,MATCH(R1336,'SummaryNOT_VALIDATED-BL'!$A$1:$A$16,0),6),0),IF(S1336=TRUE,INDEX('SummaryNOT_VALIDATED-BL'!$A$1:$F$16,MATCH(E1336,'SummaryNOT_VALIDATED-BL'!$A$1:$A$16,0),6),0)),0)</f>
        <v>6.3112622236488891E-2</v>
      </c>
      <c r="V1336" s="81" cm="1">
        <f t="array" ref="V1336">INDEX('Weight tables'!$A$24:$C$27,MATCH(1,(RendicontiTrasmessiBL__2[[#This Row],[Cut percentage on real costs + USC]]&gt;='Weight tables'!$B$24:$B$27)*(RendicontiTrasmessiBL__2[[#This Row],[Cut percentage on real costs + USC]]&lt;='Weight tables'!$C$24:$C$27),0),1)</f>
        <v>4</v>
      </c>
      <c r="W1336" s="2">
        <f>RendicontiTrasmessiBL__2[[#This Row],[Weight real costs  + USC ]]</f>
        <v>4</v>
      </c>
    </row>
    <row r="1337" spans="1:23" x14ac:dyDescent="0.25">
      <c r="A1337" s="1" t="s">
        <v>57</v>
      </c>
      <c r="B1337" s="1" t="s">
        <v>24</v>
      </c>
      <c r="C1337" s="2">
        <v>313</v>
      </c>
      <c r="D1337" s="2">
        <v>237</v>
      </c>
      <c r="E1337" s="1" t="s">
        <v>231</v>
      </c>
      <c r="G1337">
        <v>31000.01</v>
      </c>
      <c r="H1337">
        <v>0</v>
      </c>
      <c r="I1337">
        <v>0</v>
      </c>
      <c r="J1337">
        <v>173.13</v>
      </c>
      <c r="K1337">
        <v>0</v>
      </c>
      <c r="L1337">
        <v>0</v>
      </c>
      <c r="M1337">
        <v>173.13</v>
      </c>
      <c r="N1337">
        <v>0.56000000000000005</v>
      </c>
      <c r="O1337">
        <v>30826.880000000001</v>
      </c>
      <c r="P1337">
        <v>0</v>
      </c>
      <c r="Q1337" t="str">
        <f>INDEX('Partner data'!A:DH,MATCH(C1337,'Partner data'!DG:DG,0),83)</f>
        <v>Soggetto pubblico</v>
      </c>
      <c r="R1337" t="b">
        <f>IF(E1337="staff",IF(INDEX('Partner data'!A:DH,MATCH(C1337,'Partner data'!DG:DG,0),112)="BL1 non presente","FALSO",INDEX('Partner data'!A:DH,MATCH(C1337,'Partner data'!DG:DG,0),112)))</f>
        <v>0</v>
      </c>
      <c r="S1337" t="b">
        <f t="shared" si="40"/>
        <v>1</v>
      </c>
      <c r="T1337" t="b">
        <f t="shared" si="41"/>
        <v>1</v>
      </c>
      <c r="U1337" s="154">
        <f>IFERROR(IF(R1337&lt;&gt;FALSE,IF(S1337=TRUE,INDEX('SummaryNOT_VALIDATED-BL'!$A$1:$F$16,MATCH(R1337,'SummaryNOT_VALIDATED-BL'!$A$1:$A$16,0),6),0),IF(S1337=TRUE,INDEX('SummaryNOT_VALIDATED-BL'!$A$1:$F$16,MATCH(E1337,'SummaryNOT_VALIDATED-BL'!$A$1:$A$16,0),6),0)),0)</f>
        <v>5.577594442215475E-2</v>
      </c>
      <c r="V1337" s="81" cm="1">
        <f t="array" ref="V1337">INDEX('Weight tables'!$A$24:$C$27,MATCH(1,(RendicontiTrasmessiBL__2[[#This Row],[Cut percentage on real costs + USC]]&gt;='Weight tables'!$B$24:$B$27)*(RendicontiTrasmessiBL__2[[#This Row],[Cut percentage on real costs + USC]]&lt;='Weight tables'!$C$24:$C$27),0),1)</f>
        <v>4</v>
      </c>
      <c r="W1337" s="2">
        <f>RendicontiTrasmessiBL__2[[#This Row],[Weight real costs  + USC ]]</f>
        <v>4</v>
      </c>
    </row>
    <row r="1338" spans="1:23" x14ac:dyDescent="0.25">
      <c r="A1338" s="1" t="s">
        <v>57</v>
      </c>
      <c r="B1338" s="1" t="s">
        <v>24</v>
      </c>
      <c r="C1338" s="2">
        <v>313</v>
      </c>
      <c r="D1338" s="2">
        <v>237</v>
      </c>
      <c r="E1338" s="1" t="s">
        <v>232</v>
      </c>
      <c r="G1338">
        <v>0</v>
      </c>
      <c r="H1338">
        <v>0</v>
      </c>
      <c r="I1338">
        <v>0</v>
      </c>
      <c r="J1338">
        <v>0</v>
      </c>
      <c r="K1338">
        <v>0</v>
      </c>
      <c r="L1338">
        <v>0</v>
      </c>
      <c r="M1338">
        <v>0</v>
      </c>
      <c r="N1338">
        <v>0</v>
      </c>
      <c r="O1338">
        <v>0</v>
      </c>
      <c r="P1338">
        <v>0</v>
      </c>
      <c r="Q1338" t="str">
        <f>INDEX('Partner data'!A:DH,MATCH(C1338,'Partner data'!DG:DG,0),83)</f>
        <v>Soggetto pubblico</v>
      </c>
      <c r="R1338" t="b">
        <f>IF(E1338="staff",IF(INDEX('Partner data'!A:DH,MATCH(C1338,'Partner data'!DG:DG,0),112)="BL1 non presente","FALSO",INDEX('Partner data'!A:DH,MATCH(C1338,'Partner data'!DG:DG,0),112)))</f>
        <v>0</v>
      </c>
      <c r="S1338" t="b">
        <f t="shared" si="40"/>
        <v>0</v>
      </c>
      <c r="T1338" t="b">
        <f t="shared" si="41"/>
        <v>1</v>
      </c>
      <c r="U1338" s="154">
        <f>IFERROR(IF(R1338&lt;&gt;FALSE,IF(S1338=TRUE,INDEX('SummaryNOT_VALIDATED-BL'!$A$1:$F$16,MATCH(R1338,'SummaryNOT_VALIDATED-BL'!$A$1:$A$16,0),6),0),IF(S1338=TRUE,INDEX('SummaryNOT_VALIDATED-BL'!$A$1:$F$16,MATCH(E1338,'SummaryNOT_VALIDATED-BL'!$A$1:$A$16,0),6),0)),0)</f>
        <v>0</v>
      </c>
      <c r="V1338" s="81" cm="1">
        <f t="array" ref="V1338">INDEX('Weight tables'!$A$24:$C$27,MATCH(1,(RendicontiTrasmessiBL__2[[#This Row],[Cut percentage on real costs + USC]]&gt;='Weight tables'!$B$24:$B$27)*(RendicontiTrasmessiBL__2[[#This Row],[Cut percentage on real costs + USC]]&lt;='Weight tables'!$C$24:$C$27),0),1)</f>
        <v>0</v>
      </c>
      <c r="W1338" s="2">
        <f>RendicontiTrasmessiBL__2[[#This Row],[Weight real costs  + USC ]]</f>
        <v>0</v>
      </c>
    </row>
    <row r="1339" spans="1:23" x14ac:dyDescent="0.25">
      <c r="A1339" s="1" t="s">
        <v>57</v>
      </c>
      <c r="B1339" s="1" t="s">
        <v>24</v>
      </c>
      <c r="C1339" s="2">
        <v>313</v>
      </c>
      <c r="D1339" s="2">
        <v>237</v>
      </c>
      <c r="E1339" s="1" t="s">
        <v>233</v>
      </c>
      <c r="G1339">
        <v>0</v>
      </c>
      <c r="H1339">
        <v>0</v>
      </c>
      <c r="I1339">
        <v>0</v>
      </c>
      <c r="J1339">
        <v>0</v>
      </c>
      <c r="K1339">
        <v>0</v>
      </c>
      <c r="L1339">
        <v>0</v>
      </c>
      <c r="M1339">
        <v>0</v>
      </c>
      <c r="N1339">
        <v>0</v>
      </c>
      <c r="O1339">
        <v>0</v>
      </c>
      <c r="P1339">
        <v>0</v>
      </c>
      <c r="Q1339" t="str">
        <f>INDEX('Partner data'!A:DH,MATCH(C1339,'Partner data'!DG:DG,0),83)</f>
        <v>Soggetto pubblico</v>
      </c>
      <c r="R1339" t="b">
        <f>IF(E1339="staff",IF(INDEX('Partner data'!A:DH,MATCH(C1339,'Partner data'!DG:DG,0),112)="BL1 non presente","FALSO",INDEX('Partner data'!A:DH,MATCH(C1339,'Partner data'!DG:DG,0),112)))</f>
        <v>0</v>
      </c>
      <c r="S1339" t="b">
        <f t="shared" si="40"/>
        <v>0</v>
      </c>
      <c r="T1339" t="b">
        <f t="shared" si="41"/>
        <v>1</v>
      </c>
      <c r="U1339" s="154">
        <f>IFERROR(IF(R1339&lt;&gt;FALSE,IF(S1339=TRUE,INDEX('SummaryNOT_VALIDATED-BL'!$A$1:$F$16,MATCH(R1339,'SummaryNOT_VALIDATED-BL'!$A$1:$A$16,0),6),0),IF(S1339=TRUE,INDEX('SummaryNOT_VALIDATED-BL'!$A$1:$F$16,MATCH(E1339,'SummaryNOT_VALIDATED-BL'!$A$1:$A$16,0),6),0)),0)</f>
        <v>0</v>
      </c>
      <c r="V1339" s="81" cm="1">
        <f t="array" ref="V1339">INDEX('Weight tables'!$A$24:$C$27,MATCH(1,(RendicontiTrasmessiBL__2[[#This Row],[Cut percentage on real costs + USC]]&gt;='Weight tables'!$B$24:$B$27)*(RendicontiTrasmessiBL__2[[#This Row],[Cut percentage on real costs + USC]]&lt;='Weight tables'!$C$24:$C$27),0),1)</f>
        <v>0</v>
      </c>
      <c r="W1339" s="2">
        <f>RendicontiTrasmessiBL__2[[#This Row],[Weight real costs  + USC ]]</f>
        <v>0</v>
      </c>
    </row>
    <row r="1340" spans="1:23" x14ac:dyDescent="0.25">
      <c r="A1340" s="1" t="s">
        <v>57</v>
      </c>
      <c r="B1340" s="1" t="s">
        <v>24</v>
      </c>
      <c r="C1340" s="2">
        <v>313</v>
      </c>
      <c r="D1340" s="2">
        <v>237</v>
      </c>
      <c r="E1340" s="1" t="s">
        <v>234</v>
      </c>
      <c r="G1340">
        <v>0</v>
      </c>
      <c r="H1340">
        <v>0</v>
      </c>
      <c r="I1340">
        <v>0</v>
      </c>
      <c r="J1340">
        <v>0</v>
      </c>
      <c r="K1340">
        <v>0</v>
      </c>
      <c r="L1340">
        <v>0</v>
      </c>
      <c r="M1340">
        <v>0</v>
      </c>
      <c r="N1340">
        <v>0</v>
      </c>
      <c r="O1340">
        <v>0</v>
      </c>
      <c r="P1340">
        <v>0</v>
      </c>
      <c r="Q1340" t="str">
        <f>INDEX('Partner data'!A:DH,MATCH(C1340,'Partner data'!DG:DG,0),83)</f>
        <v>Soggetto pubblico</v>
      </c>
      <c r="R1340" t="b">
        <f>IF(E1340="staff",IF(INDEX('Partner data'!A:DH,MATCH(C1340,'Partner data'!DG:DG,0),112)="BL1 non presente","FALSO",INDEX('Partner data'!A:DH,MATCH(C1340,'Partner data'!DG:DG,0),112)))</f>
        <v>0</v>
      </c>
      <c r="S1340" t="b">
        <f t="shared" si="40"/>
        <v>0</v>
      </c>
      <c r="T1340" t="b">
        <f t="shared" si="41"/>
        <v>1</v>
      </c>
      <c r="U1340" s="154">
        <f>IFERROR(IF(R1340&lt;&gt;FALSE,IF(S1340=TRUE,INDEX('SummaryNOT_VALIDATED-BL'!$A$1:$F$16,MATCH(R1340,'SummaryNOT_VALIDATED-BL'!$A$1:$A$16,0),6),0),IF(S1340=TRUE,INDEX('SummaryNOT_VALIDATED-BL'!$A$1:$F$16,MATCH(E1340,'SummaryNOT_VALIDATED-BL'!$A$1:$A$16,0),6),0)),0)</f>
        <v>0</v>
      </c>
      <c r="V1340" s="81" cm="1">
        <f t="array" ref="V1340">INDEX('Weight tables'!$A$24:$C$27,MATCH(1,(RendicontiTrasmessiBL__2[[#This Row],[Cut percentage on real costs + USC]]&gt;='Weight tables'!$B$24:$B$27)*(RendicontiTrasmessiBL__2[[#This Row],[Cut percentage on real costs + USC]]&lt;='Weight tables'!$C$24:$C$27),0),1)</f>
        <v>0</v>
      </c>
      <c r="W1340" s="2">
        <f>RendicontiTrasmessiBL__2[[#This Row],[Weight real costs  + USC ]]</f>
        <v>0</v>
      </c>
    </row>
    <row r="1341" spans="1:23" x14ac:dyDescent="0.25">
      <c r="A1341" s="1" t="s">
        <v>57</v>
      </c>
      <c r="B1341" s="1" t="s">
        <v>24</v>
      </c>
      <c r="C1341" s="2">
        <v>313</v>
      </c>
      <c r="D1341" s="2">
        <v>237</v>
      </c>
      <c r="E1341" s="1" t="s">
        <v>236</v>
      </c>
      <c r="G1341">
        <v>0</v>
      </c>
      <c r="H1341">
        <v>0</v>
      </c>
      <c r="I1341">
        <v>0</v>
      </c>
      <c r="J1341">
        <v>0</v>
      </c>
      <c r="K1341">
        <v>0</v>
      </c>
      <c r="L1341">
        <v>0</v>
      </c>
      <c r="M1341">
        <v>0</v>
      </c>
      <c r="N1341">
        <v>0</v>
      </c>
      <c r="O1341">
        <v>0</v>
      </c>
      <c r="P1341">
        <v>0</v>
      </c>
      <c r="Q1341" t="str">
        <f>INDEX('Partner data'!A:DH,MATCH(C1341,'Partner data'!DG:DG,0),83)</f>
        <v>Soggetto pubblico</v>
      </c>
      <c r="R1341" t="b">
        <f>IF(E1341="staff",IF(INDEX('Partner data'!A:DH,MATCH(C1341,'Partner data'!DG:DG,0),112)="BL1 non presente","FALSO",INDEX('Partner data'!A:DH,MATCH(C1341,'Partner data'!DG:DG,0),112)))</f>
        <v>0</v>
      </c>
      <c r="S1341" t="b">
        <f t="shared" si="40"/>
        <v>0</v>
      </c>
      <c r="T1341" t="b">
        <f t="shared" si="41"/>
        <v>1</v>
      </c>
      <c r="U1341" s="154">
        <f>IFERROR(IF(R1341&lt;&gt;FALSE,IF(S1341=TRUE,INDEX('SummaryNOT_VALIDATED-BL'!$A$1:$F$16,MATCH(R1341,'SummaryNOT_VALIDATED-BL'!$A$1:$A$16,0),6),0),IF(S1341=TRUE,INDEX('SummaryNOT_VALIDATED-BL'!$A$1:$F$16,MATCH(E1341,'SummaryNOT_VALIDATED-BL'!$A$1:$A$16,0),6),0)),0)</f>
        <v>0</v>
      </c>
      <c r="V1341" s="81" cm="1">
        <f t="array" ref="V1341">INDEX('Weight tables'!$A$24:$C$27,MATCH(1,(RendicontiTrasmessiBL__2[[#This Row],[Cut percentage on real costs + USC]]&gt;='Weight tables'!$B$24:$B$27)*(RendicontiTrasmessiBL__2[[#This Row],[Cut percentage on real costs + USC]]&lt;='Weight tables'!$C$24:$C$27),0),1)</f>
        <v>0</v>
      </c>
      <c r="W1341" s="2">
        <f>RendicontiTrasmessiBL__2[[#This Row],[Weight real costs  + USC ]]</f>
        <v>0</v>
      </c>
    </row>
    <row r="1342" spans="1:23" x14ac:dyDescent="0.25">
      <c r="A1342" s="1" t="s">
        <v>57</v>
      </c>
      <c r="B1342" s="1" t="s">
        <v>24</v>
      </c>
      <c r="C1342" s="2">
        <v>313</v>
      </c>
      <c r="D1342" s="2">
        <v>237</v>
      </c>
      <c r="E1342" s="1" t="s">
        <v>237</v>
      </c>
      <c r="G1342">
        <v>0</v>
      </c>
      <c r="H1342">
        <v>0</v>
      </c>
      <c r="I1342">
        <v>0</v>
      </c>
      <c r="J1342">
        <v>0</v>
      </c>
      <c r="K1342">
        <v>0</v>
      </c>
      <c r="L1342">
        <v>0</v>
      </c>
      <c r="M1342">
        <v>0</v>
      </c>
      <c r="N1342">
        <v>0</v>
      </c>
      <c r="O1342">
        <v>0</v>
      </c>
      <c r="P1342">
        <v>0</v>
      </c>
      <c r="Q1342" t="str">
        <f>INDEX('Partner data'!A:DH,MATCH(C1342,'Partner data'!DG:DG,0),83)</f>
        <v>Soggetto pubblico</v>
      </c>
      <c r="R1342" t="b">
        <f>IF(E1342="staff",IF(INDEX('Partner data'!A:DH,MATCH(C1342,'Partner data'!DG:DG,0),112)="BL1 non presente","FALSO",INDEX('Partner data'!A:DH,MATCH(C1342,'Partner data'!DG:DG,0),112)))</f>
        <v>0</v>
      </c>
      <c r="S1342" t="b">
        <f t="shared" si="40"/>
        <v>0</v>
      </c>
      <c r="T1342" t="b">
        <f t="shared" si="41"/>
        <v>1</v>
      </c>
      <c r="U1342" s="154">
        <f>IFERROR(IF(R1342&lt;&gt;FALSE,IF(S1342=TRUE,INDEX('SummaryNOT_VALIDATED-BL'!$A$1:$F$16,MATCH(R1342,'SummaryNOT_VALIDATED-BL'!$A$1:$A$16,0),6),0),IF(S1342=TRUE,INDEX('SummaryNOT_VALIDATED-BL'!$A$1:$F$16,MATCH(E1342,'SummaryNOT_VALIDATED-BL'!$A$1:$A$16,0),6),0)),0)</f>
        <v>0</v>
      </c>
      <c r="V1342" s="81" cm="1">
        <f t="array" ref="V1342">INDEX('Weight tables'!$A$24:$C$27,MATCH(1,(RendicontiTrasmessiBL__2[[#This Row],[Cut percentage on real costs + USC]]&gt;='Weight tables'!$B$24:$B$27)*(RendicontiTrasmessiBL__2[[#This Row],[Cut percentage on real costs + USC]]&lt;='Weight tables'!$C$24:$C$27),0),1)</f>
        <v>0</v>
      </c>
      <c r="W1342" s="2">
        <f>RendicontiTrasmessiBL__2[[#This Row],[Weight real costs  + USC ]]</f>
        <v>0</v>
      </c>
    </row>
    <row r="1343" spans="1:23" x14ac:dyDescent="0.25">
      <c r="A1343" s="1" t="s">
        <v>57</v>
      </c>
      <c r="B1343" s="1" t="s">
        <v>24</v>
      </c>
      <c r="C1343" s="2">
        <v>313</v>
      </c>
      <c r="D1343" s="2">
        <v>82</v>
      </c>
      <c r="E1343" s="1" t="s">
        <v>228</v>
      </c>
      <c r="G1343">
        <v>236435.04</v>
      </c>
      <c r="H1343">
        <v>0</v>
      </c>
      <c r="I1343">
        <v>0</v>
      </c>
      <c r="J1343">
        <v>68977.78</v>
      </c>
      <c r="K1343">
        <v>0</v>
      </c>
      <c r="L1343">
        <v>59430.58</v>
      </c>
      <c r="M1343">
        <v>68977.78</v>
      </c>
      <c r="N1343">
        <v>29.17</v>
      </c>
      <c r="O1343">
        <v>167457.26</v>
      </c>
      <c r="P1343">
        <v>0</v>
      </c>
      <c r="Q1343" t="str">
        <f>INDEX('Partner data'!A:DH,MATCH(C1343,'Partner data'!DG:DG,0),83)</f>
        <v>Soggetto pubblico</v>
      </c>
      <c r="R1343" t="str">
        <f>IF(E1343="staff",IF(INDEX('Partner data'!A:DH,MATCH(C1343,'Partner data'!DG:DG,0),112)="BL1 non presente","FALSO",INDEX('Partner data'!A:DH,MATCH(C1343,'Partner data'!DG:DG,0),112)))</f>
        <v>COSTO REALE</v>
      </c>
      <c r="S1343" t="b">
        <f t="shared" si="40"/>
        <v>1</v>
      </c>
      <c r="T1343" t="b">
        <f t="shared" si="41"/>
        <v>1</v>
      </c>
      <c r="U1343" s="154">
        <f>IFERROR(IF(R1343&lt;&gt;FALSE,IF(S1343=TRUE,INDEX('SummaryNOT_VALIDATED-BL'!$A$1:$F$16,MATCH(R1343,'SummaryNOT_VALIDATED-BL'!$A$1:$A$16,0),6),0),IF(S1343=TRUE,INDEX('SummaryNOT_VALIDATED-BL'!$A$1:$F$16,MATCH(E1343,'SummaryNOT_VALIDATED-BL'!$A$1:$A$16,0),6),0)),0)</f>
        <v>9.1604133276901048E-2</v>
      </c>
      <c r="V1343" s="81" cm="1">
        <f t="array" ref="V1343">INDEX('Weight tables'!$A$24:$C$27,MATCH(1,(RendicontiTrasmessiBL__2[[#This Row],[Cut percentage on real costs + USC]]&gt;='Weight tables'!$B$24:$B$27)*(RendicontiTrasmessiBL__2[[#This Row],[Cut percentage on real costs + USC]]&lt;='Weight tables'!$C$24:$C$27),0),1)</f>
        <v>4</v>
      </c>
      <c r="W1343" s="2">
        <f>RendicontiTrasmessiBL__2[[#This Row],[Weight real costs  + USC ]]</f>
        <v>4</v>
      </c>
    </row>
    <row r="1344" spans="1:23" x14ac:dyDescent="0.25">
      <c r="A1344" s="1" t="s">
        <v>57</v>
      </c>
      <c r="B1344" s="1" t="s">
        <v>24</v>
      </c>
      <c r="C1344" s="2">
        <v>313</v>
      </c>
      <c r="D1344" s="2">
        <v>82</v>
      </c>
      <c r="E1344" s="1" t="s">
        <v>229</v>
      </c>
      <c r="F1344">
        <v>15</v>
      </c>
      <c r="G1344">
        <v>35465.25</v>
      </c>
      <c r="H1344">
        <v>0</v>
      </c>
      <c r="I1344">
        <v>0</v>
      </c>
      <c r="J1344">
        <v>10346.66</v>
      </c>
      <c r="K1344">
        <v>0</v>
      </c>
      <c r="L1344">
        <v>8914.58</v>
      </c>
      <c r="M1344">
        <v>10346.66</v>
      </c>
      <c r="N1344">
        <v>29.17</v>
      </c>
      <c r="O1344">
        <v>25118.59</v>
      </c>
      <c r="P1344">
        <v>0</v>
      </c>
      <c r="Q1344" t="str">
        <f>INDEX('Partner data'!A:DH,MATCH(C1344,'Partner data'!DG:DG,0),83)</f>
        <v>Soggetto pubblico</v>
      </c>
      <c r="R1344" t="b">
        <f>IF(E1344="staff",IF(INDEX('Partner data'!A:DH,MATCH(C1344,'Partner data'!DG:DG,0),112)="BL1 non presente","FALSO",INDEX('Partner data'!A:DH,MATCH(C1344,'Partner data'!DG:DG,0),112)))</f>
        <v>0</v>
      </c>
      <c r="S1344" t="b">
        <f t="shared" si="40"/>
        <v>1</v>
      </c>
      <c r="T1344" t="b">
        <f t="shared" si="41"/>
        <v>1</v>
      </c>
      <c r="U1344" s="154">
        <f>IFERROR(IF(R1344&lt;&gt;FALSE,IF(S1344=TRUE,INDEX('SummaryNOT_VALIDATED-BL'!$A$1:$F$16,MATCH(R1344,'SummaryNOT_VALIDATED-BL'!$A$1:$A$16,0),6),0),IF(S1344=TRUE,INDEX('SummaryNOT_VALIDATED-BL'!$A$1:$F$16,MATCH(E1344,'SummaryNOT_VALIDATED-BL'!$A$1:$A$16,0),6),0)),0)</f>
        <v>6.6460469504890221E-2</v>
      </c>
      <c r="V1344" s="81" cm="1">
        <f t="array" ref="V1344">INDEX('Weight tables'!$A$24:$C$27,MATCH(1,(RendicontiTrasmessiBL__2[[#This Row],[Cut percentage on real costs + USC]]&gt;='Weight tables'!$B$24:$B$27)*(RendicontiTrasmessiBL__2[[#This Row],[Cut percentage on real costs + USC]]&lt;='Weight tables'!$C$24:$C$27),0),1)</f>
        <v>4</v>
      </c>
      <c r="W1344" s="2">
        <f>RendicontiTrasmessiBL__2[[#This Row],[Weight real costs  + USC ]]</f>
        <v>4</v>
      </c>
    </row>
    <row r="1345" spans="1:23" x14ac:dyDescent="0.25">
      <c r="A1345" s="1" t="s">
        <v>57</v>
      </c>
      <c r="B1345" s="1" t="s">
        <v>24</v>
      </c>
      <c r="C1345" s="2">
        <v>313</v>
      </c>
      <c r="D1345" s="2">
        <v>82</v>
      </c>
      <c r="E1345" s="1" t="s">
        <v>230</v>
      </c>
      <c r="F1345">
        <v>4</v>
      </c>
      <c r="G1345">
        <v>9457.4</v>
      </c>
      <c r="H1345">
        <v>0</v>
      </c>
      <c r="I1345">
        <v>0</v>
      </c>
      <c r="J1345">
        <v>2759.11</v>
      </c>
      <c r="K1345">
        <v>0</v>
      </c>
      <c r="L1345">
        <v>2377.2199999999998</v>
      </c>
      <c r="M1345">
        <v>2759.11</v>
      </c>
      <c r="N1345">
        <v>29.17</v>
      </c>
      <c r="O1345">
        <v>6698.29</v>
      </c>
      <c r="P1345">
        <v>0</v>
      </c>
      <c r="Q1345" t="str">
        <f>INDEX('Partner data'!A:DH,MATCH(C1345,'Partner data'!DG:DG,0),83)</f>
        <v>Soggetto pubblico</v>
      </c>
      <c r="R1345" t="b">
        <f>IF(E1345="staff",IF(INDEX('Partner data'!A:DH,MATCH(C1345,'Partner data'!DG:DG,0),112)="BL1 non presente","FALSO",INDEX('Partner data'!A:DH,MATCH(C1345,'Partner data'!DG:DG,0),112)))</f>
        <v>0</v>
      </c>
      <c r="S1345" t="b">
        <f t="shared" si="40"/>
        <v>1</v>
      </c>
      <c r="T1345" t="b">
        <f t="shared" si="41"/>
        <v>1</v>
      </c>
      <c r="U1345" s="154">
        <f>IFERROR(IF(R1345&lt;&gt;FALSE,IF(S1345=TRUE,INDEX('SummaryNOT_VALIDATED-BL'!$A$1:$F$16,MATCH(R1345,'SummaryNOT_VALIDATED-BL'!$A$1:$A$16,0),6),0),IF(S1345=TRUE,INDEX('SummaryNOT_VALIDATED-BL'!$A$1:$F$16,MATCH(E1345,'SummaryNOT_VALIDATED-BL'!$A$1:$A$16,0),6),0)),0)</f>
        <v>6.3112622236488891E-2</v>
      </c>
      <c r="V1345" s="81" cm="1">
        <f t="array" ref="V1345">INDEX('Weight tables'!$A$24:$C$27,MATCH(1,(RendicontiTrasmessiBL__2[[#This Row],[Cut percentage on real costs + USC]]&gt;='Weight tables'!$B$24:$B$27)*(RendicontiTrasmessiBL__2[[#This Row],[Cut percentage on real costs + USC]]&lt;='Weight tables'!$C$24:$C$27),0),1)</f>
        <v>4</v>
      </c>
      <c r="W1345" s="2">
        <f>RendicontiTrasmessiBL__2[[#This Row],[Weight real costs  + USC ]]</f>
        <v>4</v>
      </c>
    </row>
    <row r="1346" spans="1:23" x14ac:dyDescent="0.25">
      <c r="A1346" s="1" t="s">
        <v>57</v>
      </c>
      <c r="B1346" s="1" t="s">
        <v>24</v>
      </c>
      <c r="C1346" s="2">
        <v>313</v>
      </c>
      <c r="D1346" s="2">
        <v>82</v>
      </c>
      <c r="E1346" s="1" t="s">
        <v>231</v>
      </c>
      <c r="G1346">
        <v>31000.01</v>
      </c>
      <c r="H1346">
        <v>0</v>
      </c>
      <c r="I1346">
        <v>0</v>
      </c>
      <c r="J1346">
        <v>0</v>
      </c>
      <c r="K1346">
        <v>0</v>
      </c>
      <c r="L1346">
        <v>0</v>
      </c>
      <c r="M1346">
        <v>0</v>
      </c>
      <c r="N1346">
        <v>0</v>
      </c>
      <c r="O1346">
        <v>31000.01</v>
      </c>
      <c r="P1346">
        <v>0</v>
      </c>
      <c r="Q1346" t="str">
        <f>INDEX('Partner data'!A:DH,MATCH(C1346,'Partner data'!DG:DG,0),83)</f>
        <v>Soggetto pubblico</v>
      </c>
      <c r="R1346" t="b">
        <f>IF(E1346="staff",IF(INDEX('Partner data'!A:DH,MATCH(C1346,'Partner data'!DG:DG,0),112)="BL1 non presente","FALSO",INDEX('Partner data'!A:DH,MATCH(C1346,'Partner data'!DG:DG,0),112)))</f>
        <v>0</v>
      </c>
      <c r="S1346" t="b">
        <f t="shared" ref="S1346:S1409" si="42">IF(J1346&lt;&gt;0,TRUE,FALSE)</f>
        <v>0</v>
      </c>
      <c r="T1346" t="b">
        <f t="shared" ref="T1346:T1409" si="43">OR(Q1346="Soggetto pubblico",Q1346="Organismo di diritto pubblico ")</f>
        <v>1</v>
      </c>
      <c r="U1346" s="154">
        <f>IFERROR(IF(R1346&lt;&gt;FALSE,IF(S1346=TRUE,INDEX('SummaryNOT_VALIDATED-BL'!$A$1:$F$16,MATCH(R1346,'SummaryNOT_VALIDATED-BL'!$A$1:$A$16,0),6),0),IF(S1346=TRUE,INDEX('SummaryNOT_VALIDATED-BL'!$A$1:$F$16,MATCH(E1346,'SummaryNOT_VALIDATED-BL'!$A$1:$A$16,0),6),0)),0)</f>
        <v>0</v>
      </c>
      <c r="V1346" s="81" cm="1">
        <f t="array" ref="V1346">INDEX('Weight tables'!$A$24:$C$27,MATCH(1,(RendicontiTrasmessiBL__2[[#This Row],[Cut percentage on real costs + USC]]&gt;='Weight tables'!$B$24:$B$27)*(RendicontiTrasmessiBL__2[[#This Row],[Cut percentage on real costs + USC]]&lt;='Weight tables'!$C$24:$C$27),0),1)</f>
        <v>0</v>
      </c>
      <c r="W1346" s="2">
        <f>RendicontiTrasmessiBL__2[[#This Row],[Weight real costs  + USC ]]</f>
        <v>0</v>
      </c>
    </row>
    <row r="1347" spans="1:23" x14ac:dyDescent="0.25">
      <c r="A1347" s="1" t="s">
        <v>57</v>
      </c>
      <c r="B1347" s="1" t="s">
        <v>24</v>
      </c>
      <c r="C1347" s="2">
        <v>313</v>
      </c>
      <c r="D1347" s="2">
        <v>82</v>
      </c>
      <c r="E1347" s="1" t="s">
        <v>232</v>
      </c>
      <c r="G1347">
        <v>0</v>
      </c>
      <c r="H1347">
        <v>0</v>
      </c>
      <c r="I1347">
        <v>0</v>
      </c>
      <c r="J1347">
        <v>0</v>
      </c>
      <c r="K1347">
        <v>0</v>
      </c>
      <c r="L1347">
        <v>0</v>
      </c>
      <c r="M1347">
        <v>0</v>
      </c>
      <c r="N1347">
        <v>0</v>
      </c>
      <c r="O1347">
        <v>0</v>
      </c>
      <c r="P1347">
        <v>0</v>
      </c>
      <c r="Q1347" t="str">
        <f>INDEX('Partner data'!A:DH,MATCH(C1347,'Partner data'!DG:DG,0),83)</f>
        <v>Soggetto pubblico</v>
      </c>
      <c r="R1347" t="b">
        <f>IF(E1347="staff",IF(INDEX('Partner data'!A:DH,MATCH(C1347,'Partner data'!DG:DG,0),112)="BL1 non presente","FALSO",INDEX('Partner data'!A:DH,MATCH(C1347,'Partner data'!DG:DG,0),112)))</f>
        <v>0</v>
      </c>
      <c r="S1347" t="b">
        <f t="shared" si="42"/>
        <v>0</v>
      </c>
      <c r="T1347" t="b">
        <f t="shared" si="43"/>
        <v>1</v>
      </c>
      <c r="U1347" s="154">
        <f>IFERROR(IF(R1347&lt;&gt;FALSE,IF(S1347=TRUE,INDEX('SummaryNOT_VALIDATED-BL'!$A$1:$F$16,MATCH(R1347,'SummaryNOT_VALIDATED-BL'!$A$1:$A$16,0),6),0),IF(S1347=TRUE,INDEX('SummaryNOT_VALIDATED-BL'!$A$1:$F$16,MATCH(E1347,'SummaryNOT_VALIDATED-BL'!$A$1:$A$16,0),6),0)),0)</f>
        <v>0</v>
      </c>
      <c r="V1347" s="81" cm="1">
        <f t="array" ref="V1347">INDEX('Weight tables'!$A$24:$C$27,MATCH(1,(RendicontiTrasmessiBL__2[[#This Row],[Cut percentage on real costs + USC]]&gt;='Weight tables'!$B$24:$B$27)*(RendicontiTrasmessiBL__2[[#This Row],[Cut percentage on real costs + USC]]&lt;='Weight tables'!$C$24:$C$27),0),1)</f>
        <v>0</v>
      </c>
      <c r="W1347" s="2">
        <f>RendicontiTrasmessiBL__2[[#This Row],[Weight real costs  + USC ]]</f>
        <v>0</v>
      </c>
    </row>
    <row r="1348" spans="1:23" x14ac:dyDescent="0.25">
      <c r="A1348" s="1" t="s">
        <v>57</v>
      </c>
      <c r="B1348" s="1" t="s">
        <v>24</v>
      </c>
      <c r="C1348" s="2">
        <v>313</v>
      </c>
      <c r="D1348" s="2">
        <v>82</v>
      </c>
      <c r="E1348" s="1" t="s">
        <v>233</v>
      </c>
      <c r="G1348">
        <v>0</v>
      </c>
      <c r="H1348">
        <v>0</v>
      </c>
      <c r="I1348">
        <v>0</v>
      </c>
      <c r="J1348">
        <v>0</v>
      </c>
      <c r="K1348">
        <v>0</v>
      </c>
      <c r="L1348">
        <v>0</v>
      </c>
      <c r="M1348">
        <v>0</v>
      </c>
      <c r="N1348">
        <v>0</v>
      </c>
      <c r="O1348">
        <v>0</v>
      </c>
      <c r="P1348">
        <v>0</v>
      </c>
      <c r="Q1348" t="str">
        <f>INDEX('Partner data'!A:DH,MATCH(C1348,'Partner data'!DG:DG,0),83)</f>
        <v>Soggetto pubblico</v>
      </c>
      <c r="R1348" t="b">
        <f>IF(E1348="staff",IF(INDEX('Partner data'!A:DH,MATCH(C1348,'Partner data'!DG:DG,0),112)="BL1 non presente","FALSO",INDEX('Partner data'!A:DH,MATCH(C1348,'Partner data'!DG:DG,0),112)))</f>
        <v>0</v>
      </c>
      <c r="S1348" t="b">
        <f t="shared" si="42"/>
        <v>0</v>
      </c>
      <c r="T1348" t="b">
        <f t="shared" si="43"/>
        <v>1</v>
      </c>
      <c r="U1348" s="154">
        <f>IFERROR(IF(R1348&lt;&gt;FALSE,IF(S1348=TRUE,INDEX('SummaryNOT_VALIDATED-BL'!$A$1:$F$16,MATCH(R1348,'SummaryNOT_VALIDATED-BL'!$A$1:$A$16,0),6),0),IF(S1348=TRUE,INDEX('SummaryNOT_VALIDATED-BL'!$A$1:$F$16,MATCH(E1348,'SummaryNOT_VALIDATED-BL'!$A$1:$A$16,0),6),0)),0)</f>
        <v>0</v>
      </c>
      <c r="V1348" s="81" cm="1">
        <f t="array" ref="V1348">INDEX('Weight tables'!$A$24:$C$27,MATCH(1,(RendicontiTrasmessiBL__2[[#This Row],[Cut percentage on real costs + USC]]&gt;='Weight tables'!$B$24:$B$27)*(RendicontiTrasmessiBL__2[[#This Row],[Cut percentage on real costs + USC]]&lt;='Weight tables'!$C$24:$C$27),0),1)</f>
        <v>0</v>
      </c>
      <c r="W1348" s="2">
        <f>RendicontiTrasmessiBL__2[[#This Row],[Weight real costs  + USC ]]</f>
        <v>0</v>
      </c>
    </row>
    <row r="1349" spans="1:23" x14ac:dyDescent="0.25">
      <c r="A1349" s="1" t="s">
        <v>57</v>
      </c>
      <c r="B1349" s="1" t="s">
        <v>24</v>
      </c>
      <c r="C1349" s="2">
        <v>313</v>
      </c>
      <c r="D1349" s="2">
        <v>82</v>
      </c>
      <c r="E1349" s="1" t="s">
        <v>234</v>
      </c>
      <c r="G1349">
        <v>0</v>
      </c>
      <c r="H1349">
        <v>0</v>
      </c>
      <c r="I1349">
        <v>0</v>
      </c>
      <c r="J1349">
        <v>0</v>
      </c>
      <c r="K1349">
        <v>0</v>
      </c>
      <c r="L1349">
        <v>0</v>
      </c>
      <c r="M1349">
        <v>0</v>
      </c>
      <c r="N1349">
        <v>0</v>
      </c>
      <c r="O1349">
        <v>0</v>
      </c>
      <c r="P1349">
        <v>0</v>
      </c>
      <c r="Q1349" t="str">
        <f>INDEX('Partner data'!A:DH,MATCH(C1349,'Partner data'!DG:DG,0),83)</f>
        <v>Soggetto pubblico</v>
      </c>
      <c r="R1349" t="b">
        <f>IF(E1349="staff",IF(INDEX('Partner data'!A:DH,MATCH(C1349,'Partner data'!DG:DG,0),112)="BL1 non presente","FALSO",INDEX('Partner data'!A:DH,MATCH(C1349,'Partner data'!DG:DG,0),112)))</f>
        <v>0</v>
      </c>
      <c r="S1349" t="b">
        <f t="shared" si="42"/>
        <v>0</v>
      </c>
      <c r="T1349" t="b">
        <f t="shared" si="43"/>
        <v>1</v>
      </c>
      <c r="U1349" s="154">
        <f>IFERROR(IF(R1349&lt;&gt;FALSE,IF(S1349=TRUE,INDEX('SummaryNOT_VALIDATED-BL'!$A$1:$F$16,MATCH(R1349,'SummaryNOT_VALIDATED-BL'!$A$1:$A$16,0),6),0),IF(S1349=TRUE,INDEX('SummaryNOT_VALIDATED-BL'!$A$1:$F$16,MATCH(E1349,'SummaryNOT_VALIDATED-BL'!$A$1:$A$16,0),6),0)),0)</f>
        <v>0</v>
      </c>
      <c r="V1349" s="81" cm="1">
        <f t="array" ref="V1349">INDEX('Weight tables'!$A$24:$C$27,MATCH(1,(RendicontiTrasmessiBL__2[[#This Row],[Cut percentage on real costs + USC]]&gt;='Weight tables'!$B$24:$B$27)*(RendicontiTrasmessiBL__2[[#This Row],[Cut percentage on real costs + USC]]&lt;='Weight tables'!$C$24:$C$27),0),1)</f>
        <v>0</v>
      </c>
      <c r="W1349" s="2">
        <f>RendicontiTrasmessiBL__2[[#This Row],[Weight real costs  + USC ]]</f>
        <v>0</v>
      </c>
    </row>
    <row r="1350" spans="1:23" x14ac:dyDescent="0.25">
      <c r="A1350" s="1" t="s">
        <v>57</v>
      </c>
      <c r="B1350" s="1" t="s">
        <v>24</v>
      </c>
      <c r="C1350" s="2">
        <v>313</v>
      </c>
      <c r="D1350" s="2">
        <v>82</v>
      </c>
      <c r="E1350" s="1" t="s">
        <v>236</v>
      </c>
      <c r="G1350">
        <v>0</v>
      </c>
      <c r="H1350">
        <v>0</v>
      </c>
      <c r="I1350">
        <v>0</v>
      </c>
      <c r="J1350">
        <v>0</v>
      </c>
      <c r="K1350">
        <v>0</v>
      </c>
      <c r="L1350">
        <v>0</v>
      </c>
      <c r="M1350">
        <v>0</v>
      </c>
      <c r="N1350">
        <v>0</v>
      </c>
      <c r="O1350">
        <v>0</v>
      </c>
      <c r="P1350">
        <v>0</v>
      </c>
      <c r="Q1350" t="str">
        <f>INDEX('Partner data'!A:DH,MATCH(C1350,'Partner data'!DG:DG,0),83)</f>
        <v>Soggetto pubblico</v>
      </c>
      <c r="R1350" t="b">
        <f>IF(E1350="staff",IF(INDEX('Partner data'!A:DH,MATCH(C1350,'Partner data'!DG:DG,0),112)="BL1 non presente","FALSO",INDEX('Partner data'!A:DH,MATCH(C1350,'Partner data'!DG:DG,0),112)))</f>
        <v>0</v>
      </c>
      <c r="S1350" t="b">
        <f t="shared" si="42"/>
        <v>0</v>
      </c>
      <c r="T1350" t="b">
        <f t="shared" si="43"/>
        <v>1</v>
      </c>
      <c r="U1350" s="154">
        <f>IFERROR(IF(R1350&lt;&gt;FALSE,IF(S1350=TRUE,INDEX('SummaryNOT_VALIDATED-BL'!$A$1:$F$16,MATCH(R1350,'SummaryNOT_VALIDATED-BL'!$A$1:$A$16,0),6),0),IF(S1350=TRUE,INDEX('SummaryNOT_VALIDATED-BL'!$A$1:$F$16,MATCH(E1350,'SummaryNOT_VALIDATED-BL'!$A$1:$A$16,0),6),0)),0)</f>
        <v>0</v>
      </c>
      <c r="V1350" s="81" cm="1">
        <f t="array" ref="V1350">INDEX('Weight tables'!$A$24:$C$27,MATCH(1,(RendicontiTrasmessiBL__2[[#This Row],[Cut percentage on real costs + USC]]&gt;='Weight tables'!$B$24:$B$27)*(RendicontiTrasmessiBL__2[[#This Row],[Cut percentage on real costs + USC]]&lt;='Weight tables'!$C$24:$C$27),0),1)</f>
        <v>0</v>
      </c>
      <c r="W1350" s="2">
        <f>RendicontiTrasmessiBL__2[[#This Row],[Weight real costs  + USC ]]</f>
        <v>0</v>
      </c>
    </row>
    <row r="1351" spans="1:23" x14ac:dyDescent="0.25">
      <c r="A1351" s="1" t="s">
        <v>57</v>
      </c>
      <c r="B1351" s="1" t="s">
        <v>24</v>
      </c>
      <c r="C1351" s="2">
        <v>313</v>
      </c>
      <c r="D1351" s="2">
        <v>82</v>
      </c>
      <c r="E1351" s="1" t="s">
        <v>237</v>
      </c>
      <c r="G1351">
        <v>0</v>
      </c>
      <c r="H1351">
        <v>0</v>
      </c>
      <c r="I1351">
        <v>0</v>
      </c>
      <c r="J1351">
        <v>0</v>
      </c>
      <c r="K1351">
        <v>0</v>
      </c>
      <c r="L1351">
        <v>0</v>
      </c>
      <c r="M1351">
        <v>0</v>
      </c>
      <c r="N1351">
        <v>0</v>
      </c>
      <c r="O1351">
        <v>0</v>
      </c>
      <c r="P1351">
        <v>0</v>
      </c>
      <c r="Q1351" t="str">
        <f>INDEX('Partner data'!A:DH,MATCH(C1351,'Partner data'!DG:DG,0),83)</f>
        <v>Soggetto pubblico</v>
      </c>
      <c r="R1351" t="b">
        <f>IF(E1351="staff",IF(INDEX('Partner data'!A:DH,MATCH(C1351,'Partner data'!DG:DG,0),112)="BL1 non presente","FALSO",INDEX('Partner data'!A:DH,MATCH(C1351,'Partner data'!DG:DG,0),112)))</f>
        <v>0</v>
      </c>
      <c r="S1351" t="b">
        <f t="shared" si="42"/>
        <v>0</v>
      </c>
      <c r="T1351" t="b">
        <f t="shared" si="43"/>
        <v>1</v>
      </c>
      <c r="U1351" s="154">
        <f>IFERROR(IF(R1351&lt;&gt;FALSE,IF(S1351=TRUE,INDEX('SummaryNOT_VALIDATED-BL'!$A$1:$F$16,MATCH(R1351,'SummaryNOT_VALIDATED-BL'!$A$1:$A$16,0),6),0),IF(S1351=TRUE,INDEX('SummaryNOT_VALIDATED-BL'!$A$1:$F$16,MATCH(E1351,'SummaryNOT_VALIDATED-BL'!$A$1:$A$16,0),6),0)),0)</f>
        <v>0</v>
      </c>
      <c r="V1351" s="81" cm="1">
        <f t="array" ref="V1351">INDEX('Weight tables'!$A$24:$C$27,MATCH(1,(RendicontiTrasmessiBL__2[[#This Row],[Cut percentage on real costs + USC]]&gt;='Weight tables'!$B$24:$B$27)*(RendicontiTrasmessiBL__2[[#This Row],[Cut percentage on real costs + USC]]&lt;='Weight tables'!$C$24:$C$27),0),1)</f>
        <v>0</v>
      </c>
      <c r="W1351" s="2">
        <f>RendicontiTrasmessiBL__2[[#This Row],[Weight real costs  + USC ]]</f>
        <v>0</v>
      </c>
    </row>
    <row r="1352" spans="1:23" x14ac:dyDescent="0.25">
      <c r="A1352" s="1" t="s">
        <v>331</v>
      </c>
      <c r="B1352" s="1" t="s">
        <v>332</v>
      </c>
      <c r="C1352" s="2">
        <v>252</v>
      </c>
      <c r="D1352" s="2">
        <v>305</v>
      </c>
      <c r="E1352" s="1" t="s">
        <v>228</v>
      </c>
      <c r="G1352">
        <v>39904</v>
      </c>
      <c r="H1352">
        <v>0</v>
      </c>
      <c r="I1352">
        <v>0</v>
      </c>
      <c r="J1352">
        <v>0</v>
      </c>
      <c r="K1352">
        <v>0</v>
      </c>
      <c r="L1352">
        <v>0</v>
      </c>
      <c r="M1352">
        <v>0</v>
      </c>
      <c r="N1352">
        <v>0</v>
      </c>
      <c r="O1352">
        <v>39904</v>
      </c>
      <c r="P1352">
        <v>0</v>
      </c>
      <c r="Q1352" t="str">
        <f>INDEX('Partner data'!A:DH,MATCH(C1352,'Partner data'!DG:DG,0),83)</f>
        <v>Soggetto privato</v>
      </c>
      <c r="R1352" t="str">
        <f>IF(E1352="staff",IF(INDEX('Partner data'!A:DH,MATCH(C1352,'Partner data'!DG:DG,0),112)="BL1 non presente","FALSO",INDEX('Partner data'!A:DH,MATCH(C1352,'Partner data'!DG:DG,0),112)))</f>
        <v>Costo Unitario Standard</v>
      </c>
      <c r="S1352" t="b">
        <f t="shared" si="42"/>
        <v>0</v>
      </c>
      <c r="T1352" t="b">
        <f t="shared" si="43"/>
        <v>0</v>
      </c>
      <c r="U1352" s="154">
        <f>IFERROR(IF(R1352&lt;&gt;FALSE,IF(S1352=TRUE,INDEX('SummaryNOT_VALIDATED-BL'!$A$1:$F$16,MATCH(R1352,'SummaryNOT_VALIDATED-BL'!$A$1:$A$16,0),6),0),IF(S1352=TRUE,INDEX('SummaryNOT_VALIDATED-BL'!$A$1:$F$16,MATCH(E1352,'SummaryNOT_VALIDATED-BL'!$A$1:$A$16,0),6),0)),0)</f>
        <v>0</v>
      </c>
      <c r="V1352" s="81" cm="1">
        <f t="array" ref="V1352">INDEX('Weight tables'!$A$24:$C$27,MATCH(1,(RendicontiTrasmessiBL__2[[#This Row],[Cut percentage on real costs + USC]]&gt;='Weight tables'!$B$24:$B$27)*(RendicontiTrasmessiBL__2[[#This Row],[Cut percentage on real costs + USC]]&lt;='Weight tables'!$C$24:$C$27),0),1)</f>
        <v>0</v>
      </c>
      <c r="W1352" s="2">
        <f>RendicontiTrasmessiBL__2[[#This Row],[Weight real costs  + USC ]]</f>
        <v>0</v>
      </c>
    </row>
    <row r="1353" spans="1:23" x14ac:dyDescent="0.25">
      <c r="A1353" s="1" t="s">
        <v>331</v>
      </c>
      <c r="B1353" s="1" t="s">
        <v>332</v>
      </c>
      <c r="C1353" s="2">
        <v>252</v>
      </c>
      <c r="D1353" s="2">
        <v>305</v>
      </c>
      <c r="E1353" s="1" t="s">
        <v>229</v>
      </c>
      <c r="F1353">
        <v>15</v>
      </c>
      <c r="G1353">
        <v>5985.6</v>
      </c>
      <c r="H1353">
        <v>0</v>
      </c>
      <c r="I1353">
        <v>0</v>
      </c>
      <c r="J1353">
        <v>0</v>
      </c>
      <c r="K1353">
        <v>0</v>
      </c>
      <c r="L1353">
        <v>0</v>
      </c>
      <c r="M1353">
        <v>0</v>
      </c>
      <c r="N1353">
        <v>0</v>
      </c>
      <c r="O1353">
        <v>5985.6</v>
      </c>
      <c r="P1353">
        <v>0</v>
      </c>
      <c r="Q1353" t="str">
        <f>INDEX('Partner data'!A:DH,MATCH(C1353,'Partner data'!DG:DG,0),83)</f>
        <v>Soggetto privato</v>
      </c>
      <c r="R1353" t="b">
        <f>IF(E1353="staff",IF(INDEX('Partner data'!A:DH,MATCH(C1353,'Partner data'!DG:DG,0),112)="BL1 non presente","FALSO",INDEX('Partner data'!A:DH,MATCH(C1353,'Partner data'!DG:DG,0),112)))</f>
        <v>0</v>
      </c>
      <c r="S1353" t="b">
        <f t="shared" si="42"/>
        <v>0</v>
      </c>
      <c r="T1353" t="b">
        <f t="shared" si="43"/>
        <v>0</v>
      </c>
      <c r="U1353" s="154">
        <f>IFERROR(IF(R1353&lt;&gt;FALSE,IF(S1353=TRUE,INDEX('SummaryNOT_VALIDATED-BL'!$A$1:$F$16,MATCH(R1353,'SummaryNOT_VALIDATED-BL'!$A$1:$A$16,0),6),0),IF(S1353=TRUE,INDEX('SummaryNOT_VALIDATED-BL'!$A$1:$F$16,MATCH(E1353,'SummaryNOT_VALIDATED-BL'!$A$1:$A$16,0),6),0)),0)</f>
        <v>0</v>
      </c>
      <c r="V1353" s="81" cm="1">
        <f t="array" ref="V1353">INDEX('Weight tables'!$A$24:$C$27,MATCH(1,(RendicontiTrasmessiBL__2[[#This Row],[Cut percentage on real costs + USC]]&gt;='Weight tables'!$B$24:$B$27)*(RendicontiTrasmessiBL__2[[#This Row],[Cut percentage on real costs + USC]]&lt;='Weight tables'!$C$24:$C$27),0),1)</f>
        <v>0</v>
      </c>
      <c r="W1353" s="2">
        <f>RendicontiTrasmessiBL__2[[#This Row],[Weight real costs  + USC ]]</f>
        <v>0</v>
      </c>
    </row>
    <row r="1354" spans="1:23" x14ac:dyDescent="0.25">
      <c r="A1354" s="1" t="s">
        <v>331</v>
      </c>
      <c r="B1354" s="1" t="s">
        <v>332</v>
      </c>
      <c r="C1354" s="2">
        <v>252</v>
      </c>
      <c r="D1354" s="2">
        <v>305</v>
      </c>
      <c r="E1354" s="1" t="s">
        <v>230</v>
      </c>
      <c r="F1354">
        <v>4</v>
      </c>
      <c r="G1354">
        <v>1596.16</v>
      </c>
      <c r="H1354">
        <v>0</v>
      </c>
      <c r="I1354">
        <v>0</v>
      </c>
      <c r="J1354">
        <v>0</v>
      </c>
      <c r="K1354">
        <v>0</v>
      </c>
      <c r="L1354">
        <v>0</v>
      </c>
      <c r="M1354">
        <v>0</v>
      </c>
      <c r="N1354">
        <v>0</v>
      </c>
      <c r="O1354">
        <v>1596.16</v>
      </c>
      <c r="P1354">
        <v>0</v>
      </c>
      <c r="Q1354" t="str">
        <f>INDEX('Partner data'!A:DH,MATCH(C1354,'Partner data'!DG:DG,0),83)</f>
        <v>Soggetto privato</v>
      </c>
      <c r="R1354" t="b">
        <f>IF(E1354="staff",IF(INDEX('Partner data'!A:DH,MATCH(C1354,'Partner data'!DG:DG,0),112)="BL1 non presente","FALSO",INDEX('Partner data'!A:DH,MATCH(C1354,'Partner data'!DG:DG,0),112)))</f>
        <v>0</v>
      </c>
      <c r="S1354" t="b">
        <f t="shared" si="42"/>
        <v>0</v>
      </c>
      <c r="T1354" t="b">
        <f t="shared" si="43"/>
        <v>0</v>
      </c>
      <c r="U1354" s="154">
        <f>IFERROR(IF(R1354&lt;&gt;FALSE,IF(S1354=TRUE,INDEX('SummaryNOT_VALIDATED-BL'!$A$1:$F$16,MATCH(R1354,'SummaryNOT_VALIDATED-BL'!$A$1:$A$16,0),6),0),IF(S1354=TRUE,INDEX('SummaryNOT_VALIDATED-BL'!$A$1:$F$16,MATCH(E1354,'SummaryNOT_VALIDATED-BL'!$A$1:$A$16,0),6),0)),0)</f>
        <v>0</v>
      </c>
      <c r="V1354" s="81" cm="1">
        <f t="array" ref="V1354">INDEX('Weight tables'!$A$24:$C$27,MATCH(1,(RendicontiTrasmessiBL__2[[#This Row],[Cut percentage on real costs + USC]]&gt;='Weight tables'!$B$24:$B$27)*(RendicontiTrasmessiBL__2[[#This Row],[Cut percentage on real costs + USC]]&lt;='Weight tables'!$C$24:$C$27),0),1)</f>
        <v>0</v>
      </c>
      <c r="W1354" s="2">
        <f>RendicontiTrasmessiBL__2[[#This Row],[Weight real costs  + USC ]]</f>
        <v>0</v>
      </c>
    </row>
    <row r="1355" spans="1:23" x14ac:dyDescent="0.25">
      <c r="A1355" s="1" t="s">
        <v>331</v>
      </c>
      <c r="B1355" s="1" t="s">
        <v>332</v>
      </c>
      <c r="C1355" s="2">
        <v>252</v>
      </c>
      <c r="D1355" s="2">
        <v>305</v>
      </c>
      <c r="E1355" s="1" t="s">
        <v>231</v>
      </c>
      <c r="G1355">
        <v>53400</v>
      </c>
      <c r="H1355">
        <v>0</v>
      </c>
      <c r="I1355">
        <v>0</v>
      </c>
      <c r="J1355">
        <v>2440</v>
      </c>
      <c r="K1355">
        <v>0</v>
      </c>
      <c r="L1355">
        <v>0</v>
      </c>
      <c r="M1355">
        <v>2440</v>
      </c>
      <c r="N1355">
        <v>4.57</v>
      </c>
      <c r="O1355">
        <v>50960</v>
      </c>
      <c r="P1355">
        <v>0</v>
      </c>
      <c r="Q1355" t="str">
        <f>INDEX('Partner data'!A:DH,MATCH(C1355,'Partner data'!DG:DG,0),83)</f>
        <v>Soggetto privato</v>
      </c>
      <c r="R1355" t="b">
        <f>IF(E1355="staff",IF(INDEX('Partner data'!A:DH,MATCH(C1355,'Partner data'!DG:DG,0),112)="BL1 non presente","FALSO",INDEX('Partner data'!A:DH,MATCH(C1355,'Partner data'!DG:DG,0),112)))</f>
        <v>0</v>
      </c>
      <c r="S1355" t="b">
        <f t="shared" si="42"/>
        <v>1</v>
      </c>
      <c r="T1355" t="b">
        <f t="shared" si="43"/>
        <v>0</v>
      </c>
      <c r="U1355" s="154">
        <f>IFERROR(IF(R1355&lt;&gt;FALSE,IF(S1355=TRUE,INDEX('SummaryNOT_VALIDATED-BL'!$A$1:$F$16,MATCH(R1355,'SummaryNOT_VALIDATED-BL'!$A$1:$A$16,0),6),0),IF(S1355=TRUE,INDEX('SummaryNOT_VALIDATED-BL'!$A$1:$F$16,MATCH(E1355,'SummaryNOT_VALIDATED-BL'!$A$1:$A$16,0),6),0)),0)</f>
        <v>5.577594442215475E-2</v>
      </c>
      <c r="V1355" s="81" cm="1">
        <f t="array" ref="V1355">INDEX('Weight tables'!$A$24:$C$27,MATCH(1,(RendicontiTrasmessiBL__2[[#This Row],[Cut percentage on real costs + USC]]&gt;='Weight tables'!$B$24:$B$27)*(RendicontiTrasmessiBL__2[[#This Row],[Cut percentage on real costs + USC]]&lt;='Weight tables'!$C$24:$C$27),0),1)</f>
        <v>4</v>
      </c>
      <c r="W1355" s="2">
        <f>RendicontiTrasmessiBL__2[[#This Row],[Weight real costs  + USC ]]</f>
        <v>4</v>
      </c>
    </row>
    <row r="1356" spans="1:23" x14ac:dyDescent="0.25">
      <c r="A1356" s="1" t="s">
        <v>331</v>
      </c>
      <c r="B1356" s="1" t="s">
        <v>332</v>
      </c>
      <c r="C1356" s="2">
        <v>252</v>
      </c>
      <c r="D1356" s="2">
        <v>305</v>
      </c>
      <c r="E1356" s="1" t="s">
        <v>232</v>
      </c>
      <c r="G1356">
        <v>0</v>
      </c>
      <c r="H1356">
        <v>0</v>
      </c>
      <c r="I1356">
        <v>0</v>
      </c>
      <c r="J1356">
        <v>0</v>
      </c>
      <c r="K1356">
        <v>0</v>
      </c>
      <c r="L1356">
        <v>0</v>
      </c>
      <c r="M1356">
        <v>0</v>
      </c>
      <c r="N1356">
        <v>0</v>
      </c>
      <c r="O1356">
        <v>0</v>
      </c>
      <c r="P1356">
        <v>0</v>
      </c>
      <c r="Q1356" t="str">
        <f>INDEX('Partner data'!A:DH,MATCH(C1356,'Partner data'!DG:DG,0),83)</f>
        <v>Soggetto privato</v>
      </c>
      <c r="R1356" t="b">
        <f>IF(E1356="staff",IF(INDEX('Partner data'!A:DH,MATCH(C1356,'Partner data'!DG:DG,0),112)="BL1 non presente","FALSO",INDEX('Partner data'!A:DH,MATCH(C1356,'Partner data'!DG:DG,0),112)))</f>
        <v>0</v>
      </c>
      <c r="S1356" t="b">
        <f t="shared" si="42"/>
        <v>0</v>
      </c>
      <c r="T1356" t="b">
        <f t="shared" si="43"/>
        <v>0</v>
      </c>
      <c r="U1356" s="154">
        <f>IFERROR(IF(R1356&lt;&gt;FALSE,IF(S1356=TRUE,INDEX('SummaryNOT_VALIDATED-BL'!$A$1:$F$16,MATCH(R1356,'SummaryNOT_VALIDATED-BL'!$A$1:$A$16,0),6),0),IF(S1356=TRUE,INDEX('SummaryNOT_VALIDATED-BL'!$A$1:$F$16,MATCH(E1356,'SummaryNOT_VALIDATED-BL'!$A$1:$A$16,0),6),0)),0)</f>
        <v>0</v>
      </c>
      <c r="V1356" s="81" cm="1">
        <f t="array" ref="V1356">INDEX('Weight tables'!$A$24:$C$27,MATCH(1,(RendicontiTrasmessiBL__2[[#This Row],[Cut percentage on real costs + USC]]&gt;='Weight tables'!$B$24:$B$27)*(RendicontiTrasmessiBL__2[[#This Row],[Cut percentage on real costs + USC]]&lt;='Weight tables'!$C$24:$C$27),0),1)</f>
        <v>0</v>
      </c>
      <c r="W1356" s="2">
        <f>RendicontiTrasmessiBL__2[[#This Row],[Weight real costs  + USC ]]</f>
        <v>0</v>
      </c>
    </row>
    <row r="1357" spans="1:23" x14ac:dyDescent="0.25">
      <c r="A1357" s="1" t="s">
        <v>331</v>
      </c>
      <c r="B1357" s="1" t="s">
        <v>332</v>
      </c>
      <c r="C1357" s="2">
        <v>252</v>
      </c>
      <c r="D1357" s="2">
        <v>305</v>
      </c>
      <c r="E1357" s="1" t="s">
        <v>233</v>
      </c>
      <c r="G1357">
        <v>0</v>
      </c>
      <c r="H1357">
        <v>0</v>
      </c>
      <c r="I1357">
        <v>0</v>
      </c>
      <c r="J1357">
        <v>0</v>
      </c>
      <c r="K1357">
        <v>0</v>
      </c>
      <c r="L1357">
        <v>0</v>
      </c>
      <c r="M1357">
        <v>0</v>
      </c>
      <c r="N1357">
        <v>0</v>
      </c>
      <c r="O1357">
        <v>0</v>
      </c>
      <c r="P1357">
        <v>0</v>
      </c>
      <c r="Q1357" t="str">
        <f>INDEX('Partner data'!A:DH,MATCH(C1357,'Partner data'!DG:DG,0),83)</f>
        <v>Soggetto privato</v>
      </c>
      <c r="R1357" t="b">
        <f>IF(E1357="staff",IF(INDEX('Partner data'!A:DH,MATCH(C1357,'Partner data'!DG:DG,0),112)="BL1 non presente","FALSO",INDEX('Partner data'!A:DH,MATCH(C1357,'Partner data'!DG:DG,0),112)))</f>
        <v>0</v>
      </c>
      <c r="S1357" t="b">
        <f t="shared" si="42"/>
        <v>0</v>
      </c>
      <c r="T1357" t="b">
        <f t="shared" si="43"/>
        <v>0</v>
      </c>
      <c r="U1357" s="154">
        <f>IFERROR(IF(R1357&lt;&gt;FALSE,IF(S1357=TRUE,INDEX('SummaryNOT_VALIDATED-BL'!$A$1:$F$16,MATCH(R1357,'SummaryNOT_VALIDATED-BL'!$A$1:$A$16,0),6),0),IF(S1357=TRUE,INDEX('SummaryNOT_VALIDATED-BL'!$A$1:$F$16,MATCH(E1357,'SummaryNOT_VALIDATED-BL'!$A$1:$A$16,0),6),0)),0)</f>
        <v>0</v>
      </c>
      <c r="V1357" s="81" cm="1">
        <f t="array" ref="V1357">INDEX('Weight tables'!$A$24:$C$27,MATCH(1,(RendicontiTrasmessiBL__2[[#This Row],[Cut percentage on real costs + USC]]&gt;='Weight tables'!$B$24:$B$27)*(RendicontiTrasmessiBL__2[[#This Row],[Cut percentage on real costs + USC]]&lt;='Weight tables'!$C$24:$C$27),0),1)</f>
        <v>0</v>
      </c>
      <c r="W1357" s="2">
        <f>RendicontiTrasmessiBL__2[[#This Row],[Weight real costs  + USC ]]</f>
        <v>0</v>
      </c>
    </row>
    <row r="1358" spans="1:23" x14ac:dyDescent="0.25">
      <c r="A1358" s="1" t="s">
        <v>331</v>
      </c>
      <c r="B1358" s="1" t="s">
        <v>332</v>
      </c>
      <c r="C1358" s="2">
        <v>252</v>
      </c>
      <c r="D1358" s="2">
        <v>305</v>
      </c>
      <c r="E1358" s="1" t="s">
        <v>234</v>
      </c>
      <c r="G1358">
        <v>0</v>
      </c>
      <c r="H1358">
        <v>0</v>
      </c>
      <c r="I1358">
        <v>0</v>
      </c>
      <c r="J1358">
        <v>0</v>
      </c>
      <c r="K1358">
        <v>0</v>
      </c>
      <c r="L1358">
        <v>0</v>
      </c>
      <c r="M1358">
        <v>0</v>
      </c>
      <c r="N1358">
        <v>0</v>
      </c>
      <c r="O1358">
        <v>0</v>
      </c>
      <c r="P1358">
        <v>0</v>
      </c>
      <c r="Q1358" t="str">
        <f>INDEX('Partner data'!A:DH,MATCH(C1358,'Partner data'!DG:DG,0),83)</f>
        <v>Soggetto privato</v>
      </c>
      <c r="R1358" t="b">
        <f>IF(E1358="staff",IF(INDEX('Partner data'!A:DH,MATCH(C1358,'Partner data'!DG:DG,0),112)="BL1 non presente","FALSO",INDEX('Partner data'!A:DH,MATCH(C1358,'Partner data'!DG:DG,0),112)))</f>
        <v>0</v>
      </c>
      <c r="S1358" t="b">
        <f t="shared" si="42"/>
        <v>0</v>
      </c>
      <c r="T1358" t="b">
        <f t="shared" si="43"/>
        <v>0</v>
      </c>
      <c r="U1358" s="154">
        <f>IFERROR(IF(R1358&lt;&gt;FALSE,IF(S1358=TRUE,INDEX('SummaryNOT_VALIDATED-BL'!$A$1:$F$16,MATCH(R1358,'SummaryNOT_VALIDATED-BL'!$A$1:$A$16,0),6),0),IF(S1358=TRUE,INDEX('SummaryNOT_VALIDATED-BL'!$A$1:$F$16,MATCH(E1358,'SummaryNOT_VALIDATED-BL'!$A$1:$A$16,0),6),0)),0)</f>
        <v>0</v>
      </c>
      <c r="V1358" s="81" cm="1">
        <f t="array" ref="V1358">INDEX('Weight tables'!$A$24:$C$27,MATCH(1,(RendicontiTrasmessiBL__2[[#This Row],[Cut percentage on real costs + USC]]&gt;='Weight tables'!$B$24:$B$27)*(RendicontiTrasmessiBL__2[[#This Row],[Cut percentage on real costs + USC]]&lt;='Weight tables'!$C$24:$C$27),0),1)</f>
        <v>0</v>
      </c>
      <c r="W1358" s="2">
        <f>RendicontiTrasmessiBL__2[[#This Row],[Weight real costs  + USC ]]</f>
        <v>0</v>
      </c>
    </row>
    <row r="1359" spans="1:23" x14ac:dyDescent="0.25">
      <c r="A1359" s="1" t="s">
        <v>331</v>
      </c>
      <c r="B1359" s="1" t="s">
        <v>332</v>
      </c>
      <c r="C1359" s="2">
        <v>252</v>
      </c>
      <c r="D1359" s="2">
        <v>305</v>
      </c>
      <c r="E1359" s="1" t="s">
        <v>236</v>
      </c>
      <c r="G1359">
        <v>0</v>
      </c>
      <c r="H1359">
        <v>0</v>
      </c>
      <c r="I1359">
        <v>0</v>
      </c>
      <c r="J1359">
        <v>0</v>
      </c>
      <c r="K1359">
        <v>0</v>
      </c>
      <c r="L1359">
        <v>0</v>
      </c>
      <c r="M1359">
        <v>0</v>
      </c>
      <c r="N1359">
        <v>0</v>
      </c>
      <c r="O1359">
        <v>0</v>
      </c>
      <c r="P1359">
        <v>0</v>
      </c>
      <c r="Q1359" t="str">
        <f>INDEX('Partner data'!A:DH,MATCH(C1359,'Partner data'!DG:DG,0),83)</f>
        <v>Soggetto privato</v>
      </c>
      <c r="R1359" t="b">
        <f>IF(E1359="staff",IF(INDEX('Partner data'!A:DH,MATCH(C1359,'Partner data'!DG:DG,0),112)="BL1 non presente","FALSO",INDEX('Partner data'!A:DH,MATCH(C1359,'Partner data'!DG:DG,0),112)))</f>
        <v>0</v>
      </c>
      <c r="S1359" t="b">
        <f t="shared" si="42"/>
        <v>0</v>
      </c>
      <c r="T1359" t="b">
        <f t="shared" si="43"/>
        <v>0</v>
      </c>
      <c r="U1359" s="154">
        <f>IFERROR(IF(R1359&lt;&gt;FALSE,IF(S1359=TRUE,INDEX('SummaryNOT_VALIDATED-BL'!$A$1:$F$16,MATCH(R1359,'SummaryNOT_VALIDATED-BL'!$A$1:$A$16,0),6),0),IF(S1359=TRUE,INDEX('SummaryNOT_VALIDATED-BL'!$A$1:$F$16,MATCH(E1359,'SummaryNOT_VALIDATED-BL'!$A$1:$A$16,0),6),0)),0)</f>
        <v>0</v>
      </c>
      <c r="V1359" s="81" cm="1">
        <f t="array" ref="V1359">INDEX('Weight tables'!$A$24:$C$27,MATCH(1,(RendicontiTrasmessiBL__2[[#This Row],[Cut percentage on real costs + USC]]&gt;='Weight tables'!$B$24:$B$27)*(RendicontiTrasmessiBL__2[[#This Row],[Cut percentage on real costs + USC]]&lt;='Weight tables'!$C$24:$C$27),0),1)</f>
        <v>0</v>
      </c>
      <c r="W1359" s="2">
        <f>RendicontiTrasmessiBL__2[[#This Row],[Weight real costs  + USC ]]</f>
        <v>0</v>
      </c>
    </row>
    <row r="1360" spans="1:23" x14ac:dyDescent="0.25">
      <c r="A1360" s="1" t="s">
        <v>331</v>
      </c>
      <c r="B1360" s="1" t="s">
        <v>332</v>
      </c>
      <c r="C1360" s="2">
        <v>252</v>
      </c>
      <c r="D1360" s="2">
        <v>305</v>
      </c>
      <c r="E1360" s="1" t="s">
        <v>237</v>
      </c>
      <c r="G1360">
        <v>0</v>
      </c>
      <c r="H1360">
        <v>0</v>
      </c>
      <c r="I1360">
        <v>0</v>
      </c>
      <c r="J1360">
        <v>0</v>
      </c>
      <c r="K1360">
        <v>0</v>
      </c>
      <c r="L1360">
        <v>0</v>
      </c>
      <c r="M1360">
        <v>0</v>
      </c>
      <c r="N1360">
        <v>0</v>
      </c>
      <c r="O1360">
        <v>0</v>
      </c>
      <c r="P1360">
        <v>0</v>
      </c>
      <c r="Q1360" t="str">
        <f>INDEX('Partner data'!A:DH,MATCH(C1360,'Partner data'!DG:DG,0),83)</f>
        <v>Soggetto privato</v>
      </c>
      <c r="R1360" t="b">
        <f>IF(E1360="staff",IF(INDEX('Partner data'!A:DH,MATCH(C1360,'Partner data'!DG:DG,0),112)="BL1 non presente","FALSO",INDEX('Partner data'!A:DH,MATCH(C1360,'Partner data'!DG:DG,0),112)))</f>
        <v>0</v>
      </c>
      <c r="S1360" t="b">
        <f t="shared" si="42"/>
        <v>0</v>
      </c>
      <c r="T1360" t="b">
        <f t="shared" si="43"/>
        <v>0</v>
      </c>
      <c r="U1360" s="154">
        <f>IFERROR(IF(R1360&lt;&gt;FALSE,IF(S1360=TRUE,INDEX('SummaryNOT_VALIDATED-BL'!$A$1:$F$16,MATCH(R1360,'SummaryNOT_VALIDATED-BL'!$A$1:$A$16,0),6),0),IF(S1360=TRUE,INDEX('SummaryNOT_VALIDATED-BL'!$A$1:$F$16,MATCH(E1360,'SummaryNOT_VALIDATED-BL'!$A$1:$A$16,0),6),0)),0)</f>
        <v>0</v>
      </c>
      <c r="V1360" s="81" cm="1">
        <f t="array" ref="V1360">INDEX('Weight tables'!$A$24:$C$27,MATCH(1,(RendicontiTrasmessiBL__2[[#This Row],[Cut percentage on real costs + USC]]&gt;='Weight tables'!$B$24:$B$27)*(RendicontiTrasmessiBL__2[[#This Row],[Cut percentage on real costs + USC]]&lt;='Weight tables'!$C$24:$C$27),0),1)</f>
        <v>0</v>
      </c>
      <c r="W1360" s="2">
        <f>RendicontiTrasmessiBL__2[[#This Row],[Weight real costs  + USC ]]</f>
        <v>0</v>
      </c>
    </row>
    <row r="1361" spans="1:23" x14ac:dyDescent="0.25">
      <c r="A1361" s="1" t="s">
        <v>331</v>
      </c>
      <c r="B1361" s="1" t="s">
        <v>333</v>
      </c>
      <c r="C1361" s="2">
        <v>256</v>
      </c>
      <c r="D1361" s="2">
        <v>247</v>
      </c>
      <c r="E1361" s="1" t="s">
        <v>228</v>
      </c>
      <c r="G1361">
        <v>109999.86</v>
      </c>
      <c r="H1361">
        <v>0</v>
      </c>
      <c r="I1361">
        <v>0</v>
      </c>
      <c r="J1361">
        <v>20442.29</v>
      </c>
      <c r="K1361">
        <v>0</v>
      </c>
      <c r="L1361">
        <v>15699.61</v>
      </c>
      <c r="M1361">
        <v>20442.29</v>
      </c>
      <c r="N1361">
        <v>18.579999999999998</v>
      </c>
      <c r="O1361">
        <v>89557.57</v>
      </c>
      <c r="P1361">
        <v>0</v>
      </c>
      <c r="Q1361" t="str">
        <f>INDEX('Partner data'!A:DH,MATCH(C1361,'Partner data'!DG:DG,0),83)</f>
        <v>Soggetto pubblico</v>
      </c>
      <c r="R1361" t="str">
        <f>IF(E1361="staff",IF(INDEX('Partner data'!A:DH,MATCH(C1361,'Partner data'!DG:DG,0),112)="BL1 non presente","FALSO",INDEX('Partner data'!A:DH,MATCH(C1361,'Partner data'!DG:DG,0),112)))</f>
        <v>COSTO REALE</v>
      </c>
      <c r="S1361" t="b">
        <f t="shared" si="42"/>
        <v>1</v>
      </c>
      <c r="T1361" t="b">
        <f t="shared" si="43"/>
        <v>1</v>
      </c>
      <c r="U1361" s="154">
        <f>IFERROR(IF(R1361&lt;&gt;FALSE,IF(S1361=TRUE,INDEX('SummaryNOT_VALIDATED-BL'!$A$1:$F$16,MATCH(R1361,'SummaryNOT_VALIDATED-BL'!$A$1:$A$16,0),6),0),IF(S1361=TRUE,INDEX('SummaryNOT_VALIDATED-BL'!$A$1:$F$16,MATCH(E1361,'SummaryNOT_VALIDATED-BL'!$A$1:$A$16,0),6),0)),0)</f>
        <v>9.1604133276901048E-2</v>
      </c>
      <c r="V1361" s="81" cm="1">
        <f t="array" ref="V1361">INDEX('Weight tables'!$A$24:$C$27,MATCH(1,(RendicontiTrasmessiBL__2[[#This Row],[Cut percentage on real costs + USC]]&gt;='Weight tables'!$B$24:$B$27)*(RendicontiTrasmessiBL__2[[#This Row],[Cut percentage on real costs + USC]]&lt;='Weight tables'!$C$24:$C$27),0),1)</f>
        <v>4</v>
      </c>
      <c r="W1361" s="2">
        <f>RendicontiTrasmessiBL__2[[#This Row],[Weight real costs  + USC ]]</f>
        <v>4</v>
      </c>
    </row>
    <row r="1362" spans="1:23" x14ac:dyDescent="0.25">
      <c r="A1362" s="1" t="s">
        <v>331</v>
      </c>
      <c r="B1362" s="1" t="s">
        <v>333</v>
      </c>
      <c r="C1362" s="2">
        <v>256</v>
      </c>
      <c r="D1362" s="2">
        <v>247</v>
      </c>
      <c r="E1362" s="1" t="s">
        <v>229</v>
      </c>
      <c r="G1362">
        <v>0</v>
      </c>
      <c r="H1362">
        <v>0</v>
      </c>
      <c r="I1362">
        <v>0</v>
      </c>
      <c r="J1362">
        <v>0</v>
      </c>
      <c r="K1362">
        <v>0</v>
      </c>
      <c r="L1362">
        <v>0</v>
      </c>
      <c r="M1362">
        <v>0</v>
      </c>
      <c r="N1362">
        <v>0</v>
      </c>
      <c r="O1362">
        <v>0</v>
      </c>
      <c r="P1362">
        <v>0</v>
      </c>
      <c r="Q1362" t="str">
        <f>INDEX('Partner data'!A:DH,MATCH(C1362,'Partner data'!DG:DG,0),83)</f>
        <v>Soggetto pubblico</v>
      </c>
      <c r="R1362" t="b">
        <f>IF(E1362="staff",IF(INDEX('Partner data'!A:DH,MATCH(C1362,'Partner data'!DG:DG,0),112)="BL1 non presente","FALSO",INDEX('Partner data'!A:DH,MATCH(C1362,'Partner data'!DG:DG,0),112)))</f>
        <v>0</v>
      </c>
      <c r="S1362" t="b">
        <f t="shared" si="42"/>
        <v>0</v>
      </c>
      <c r="T1362" t="b">
        <f t="shared" si="43"/>
        <v>1</v>
      </c>
      <c r="U1362" s="154">
        <f>IFERROR(IF(R1362&lt;&gt;FALSE,IF(S1362=TRUE,INDEX('SummaryNOT_VALIDATED-BL'!$A$1:$F$16,MATCH(R1362,'SummaryNOT_VALIDATED-BL'!$A$1:$A$16,0),6),0),IF(S1362=TRUE,INDEX('SummaryNOT_VALIDATED-BL'!$A$1:$F$16,MATCH(E1362,'SummaryNOT_VALIDATED-BL'!$A$1:$A$16,0),6),0)),0)</f>
        <v>0</v>
      </c>
      <c r="V1362" s="81" cm="1">
        <f t="array" ref="V1362">INDEX('Weight tables'!$A$24:$C$27,MATCH(1,(RendicontiTrasmessiBL__2[[#This Row],[Cut percentage on real costs + USC]]&gt;='Weight tables'!$B$24:$B$27)*(RendicontiTrasmessiBL__2[[#This Row],[Cut percentage on real costs + USC]]&lt;='Weight tables'!$C$24:$C$27),0),1)</f>
        <v>0</v>
      </c>
      <c r="W1362" s="2">
        <f>RendicontiTrasmessiBL__2[[#This Row],[Weight real costs  + USC ]]</f>
        <v>0</v>
      </c>
    </row>
    <row r="1363" spans="1:23" x14ac:dyDescent="0.25">
      <c r="A1363" s="1" t="s">
        <v>331</v>
      </c>
      <c r="B1363" s="1" t="s">
        <v>333</v>
      </c>
      <c r="C1363" s="2">
        <v>256</v>
      </c>
      <c r="D1363" s="2">
        <v>247</v>
      </c>
      <c r="E1363" s="1" t="s">
        <v>230</v>
      </c>
      <c r="G1363">
        <v>0</v>
      </c>
      <c r="H1363">
        <v>0</v>
      </c>
      <c r="I1363">
        <v>0</v>
      </c>
      <c r="J1363">
        <v>0</v>
      </c>
      <c r="K1363">
        <v>0</v>
      </c>
      <c r="L1363">
        <v>0</v>
      </c>
      <c r="M1363">
        <v>0</v>
      </c>
      <c r="N1363">
        <v>0</v>
      </c>
      <c r="O1363">
        <v>0</v>
      </c>
      <c r="P1363">
        <v>0</v>
      </c>
      <c r="Q1363" t="str">
        <f>INDEX('Partner data'!A:DH,MATCH(C1363,'Partner data'!DG:DG,0),83)</f>
        <v>Soggetto pubblico</v>
      </c>
      <c r="R1363" t="b">
        <f>IF(E1363="staff",IF(INDEX('Partner data'!A:DH,MATCH(C1363,'Partner data'!DG:DG,0),112)="BL1 non presente","FALSO",INDEX('Partner data'!A:DH,MATCH(C1363,'Partner data'!DG:DG,0),112)))</f>
        <v>0</v>
      </c>
      <c r="S1363" t="b">
        <f t="shared" si="42"/>
        <v>0</v>
      </c>
      <c r="T1363" t="b">
        <f t="shared" si="43"/>
        <v>1</v>
      </c>
      <c r="U1363" s="154">
        <f>IFERROR(IF(R1363&lt;&gt;FALSE,IF(S1363=TRUE,INDEX('SummaryNOT_VALIDATED-BL'!$A$1:$F$16,MATCH(R1363,'SummaryNOT_VALIDATED-BL'!$A$1:$A$16,0),6),0),IF(S1363=TRUE,INDEX('SummaryNOT_VALIDATED-BL'!$A$1:$F$16,MATCH(E1363,'SummaryNOT_VALIDATED-BL'!$A$1:$A$16,0),6),0)),0)</f>
        <v>0</v>
      </c>
      <c r="V1363" s="81" cm="1">
        <f t="array" ref="V1363">INDEX('Weight tables'!$A$24:$C$27,MATCH(1,(RendicontiTrasmessiBL__2[[#This Row],[Cut percentage on real costs + USC]]&gt;='Weight tables'!$B$24:$B$27)*(RendicontiTrasmessiBL__2[[#This Row],[Cut percentage on real costs + USC]]&lt;='Weight tables'!$C$24:$C$27),0),1)</f>
        <v>0</v>
      </c>
      <c r="W1363" s="2">
        <f>RendicontiTrasmessiBL__2[[#This Row],[Weight real costs  + USC ]]</f>
        <v>0</v>
      </c>
    </row>
    <row r="1364" spans="1:23" x14ac:dyDescent="0.25">
      <c r="A1364" s="1" t="s">
        <v>331</v>
      </c>
      <c r="B1364" s="1" t="s">
        <v>333</v>
      </c>
      <c r="C1364" s="2">
        <v>256</v>
      </c>
      <c r="D1364" s="2">
        <v>247</v>
      </c>
      <c r="E1364" s="1" t="s">
        <v>231</v>
      </c>
      <c r="G1364">
        <v>0</v>
      </c>
      <c r="H1364">
        <v>0</v>
      </c>
      <c r="I1364">
        <v>0</v>
      </c>
      <c r="J1364">
        <v>0</v>
      </c>
      <c r="K1364">
        <v>0</v>
      </c>
      <c r="L1364">
        <v>0</v>
      </c>
      <c r="M1364">
        <v>0</v>
      </c>
      <c r="N1364">
        <v>0</v>
      </c>
      <c r="O1364">
        <v>0</v>
      </c>
      <c r="P1364">
        <v>0</v>
      </c>
      <c r="Q1364" t="str">
        <f>INDEX('Partner data'!A:DH,MATCH(C1364,'Partner data'!DG:DG,0),83)</f>
        <v>Soggetto pubblico</v>
      </c>
      <c r="R1364" t="b">
        <f>IF(E1364="staff",IF(INDEX('Partner data'!A:DH,MATCH(C1364,'Partner data'!DG:DG,0),112)="BL1 non presente","FALSO",INDEX('Partner data'!A:DH,MATCH(C1364,'Partner data'!DG:DG,0),112)))</f>
        <v>0</v>
      </c>
      <c r="S1364" t="b">
        <f t="shared" si="42"/>
        <v>0</v>
      </c>
      <c r="T1364" t="b">
        <f t="shared" si="43"/>
        <v>1</v>
      </c>
      <c r="U1364" s="154">
        <f>IFERROR(IF(R1364&lt;&gt;FALSE,IF(S1364=TRUE,INDEX('SummaryNOT_VALIDATED-BL'!$A$1:$F$16,MATCH(R1364,'SummaryNOT_VALIDATED-BL'!$A$1:$A$16,0),6),0),IF(S1364=TRUE,INDEX('SummaryNOT_VALIDATED-BL'!$A$1:$F$16,MATCH(E1364,'SummaryNOT_VALIDATED-BL'!$A$1:$A$16,0),6),0)),0)</f>
        <v>0</v>
      </c>
      <c r="V1364" s="81" cm="1">
        <f t="array" ref="V1364">INDEX('Weight tables'!$A$24:$C$27,MATCH(1,(RendicontiTrasmessiBL__2[[#This Row],[Cut percentage on real costs + USC]]&gt;='Weight tables'!$B$24:$B$27)*(RendicontiTrasmessiBL__2[[#This Row],[Cut percentage on real costs + USC]]&lt;='Weight tables'!$C$24:$C$27),0),1)</f>
        <v>0</v>
      </c>
      <c r="W1364" s="2">
        <f>RendicontiTrasmessiBL__2[[#This Row],[Weight real costs  + USC ]]</f>
        <v>0</v>
      </c>
    </row>
    <row r="1365" spans="1:23" x14ac:dyDescent="0.25">
      <c r="A1365" s="1" t="s">
        <v>331</v>
      </c>
      <c r="B1365" s="1" t="s">
        <v>333</v>
      </c>
      <c r="C1365" s="2">
        <v>256</v>
      </c>
      <c r="D1365" s="2">
        <v>247</v>
      </c>
      <c r="E1365" s="1" t="s">
        <v>232</v>
      </c>
      <c r="G1365">
        <v>0</v>
      </c>
      <c r="H1365">
        <v>0</v>
      </c>
      <c r="I1365">
        <v>0</v>
      </c>
      <c r="J1365">
        <v>0</v>
      </c>
      <c r="K1365">
        <v>0</v>
      </c>
      <c r="L1365">
        <v>0</v>
      </c>
      <c r="M1365">
        <v>0</v>
      </c>
      <c r="N1365">
        <v>0</v>
      </c>
      <c r="O1365">
        <v>0</v>
      </c>
      <c r="P1365">
        <v>0</v>
      </c>
      <c r="Q1365" t="str">
        <f>INDEX('Partner data'!A:DH,MATCH(C1365,'Partner data'!DG:DG,0),83)</f>
        <v>Soggetto pubblico</v>
      </c>
      <c r="R1365" t="b">
        <f>IF(E1365="staff",IF(INDEX('Partner data'!A:DH,MATCH(C1365,'Partner data'!DG:DG,0),112)="BL1 non presente","FALSO",INDEX('Partner data'!A:DH,MATCH(C1365,'Partner data'!DG:DG,0),112)))</f>
        <v>0</v>
      </c>
      <c r="S1365" t="b">
        <f t="shared" si="42"/>
        <v>0</v>
      </c>
      <c r="T1365" t="b">
        <f t="shared" si="43"/>
        <v>1</v>
      </c>
      <c r="U1365" s="154">
        <f>IFERROR(IF(R1365&lt;&gt;FALSE,IF(S1365=TRUE,INDEX('SummaryNOT_VALIDATED-BL'!$A$1:$F$16,MATCH(R1365,'SummaryNOT_VALIDATED-BL'!$A$1:$A$16,0),6),0),IF(S1365=TRUE,INDEX('SummaryNOT_VALIDATED-BL'!$A$1:$F$16,MATCH(E1365,'SummaryNOT_VALIDATED-BL'!$A$1:$A$16,0),6),0)),0)</f>
        <v>0</v>
      </c>
      <c r="V1365" s="81" cm="1">
        <f t="array" ref="V1365">INDEX('Weight tables'!$A$24:$C$27,MATCH(1,(RendicontiTrasmessiBL__2[[#This Row],[Cut percentage on real costs + USC]]&gt;='Weight tables'!$B$24:$B$27)*(RendicontiTrasmessiBL__2[[#This Row],[Cut percentage on real costs + USC]]&lt;='Weight tables'!$C$24:$C$27),0),1)</f>
        <v>0</v>
      </c>
      <c r="W1365" s="2">
        <f>RendicontiTrasmessiBL__2[[#This Row],[Weight real costs  + USC ]]</f>
        <v>0</v>
      </c>
    </row>
    <row r="1366" spans="1:23" x14ac:dyDescent="0.25">
      <c r="A1366" s="1" t="s">
        <v>331</v>
      </c>
      <c r="B1366" s="1" t="s">
        <v>333</v>
      </c>
      <c r="C1366" s="2">
        <v>256</v>
      </c>
      <c r="D1366" s="2">
        <v>247</v>
      </c>
      <c r="E1366" s="1" t="s">
        <v>233</v>
      </c>
      <c r="G1366">
        <v>0</v>
      </c>
      <c r="H1366">
        <v>0</v>
      </c>
      <c r="I1366">
        <v>0</v>
      </c>
      <c r="J1366">
        <v>0</v>
      </c>
      <c r="K1366">
        <v>0</v>
      </c>
      <c r="L1366">
        <v>0</v>
      </c>
      <c r="M1366">
        <v>0</v>
      </c>
      <c r="N1366">
        <v>0</v>
      </c>
      <c r="O1366">
        <v>0</v>
      </c>
      <c r="P1366">
        <v>0</v>
      </c>
      <c r="Q1366" t="str">
        <f>INDEX('Partner data'!A:DH,MATCH(C1366,'Partner data'!DG:DG,0),83)</f>
        <v>Soggetto pubblico</v>
      </c>
      <c r="R1366" t="b">
        <f>IF(E1366="staff",IF(INDEX('Partner data'!A:DH,MATCH(C1366,'Partner data'!DG:DG,0),112)="BL1 non presente","FALSO",INDEX('Partner data'!A:DH,MATCH(C1366,'Partner data'!DG:DG,0),112)))</f>
        <v>0</v>
      </c>
      <c r="S1366" t="b">
        <f t="shared" si="42"/>
        <v>0</v>
      </c>
      <c r="T1366" t="b">
        <f t="shared" si="43"/>
        <v>1</v>
      </c>
      <c r="U1366" s="154">
        <f>IFERROR(IF(R1366&lt;&gt;FALSE,IF(S1366=TRUE,INDEX('SummaryNOT_VALIDATED-BL'!$A$1:$F$16,MATCH(R1366,'SummaryNOT_VALIDATED-BL'!$A$1:$A$16,0),6),0),IF(S1366=TRUE,INDEX('SummaryNOT_VALIDATED-BL'!$A$1:$F$16,MATCH(E1366,'SummaryNOT_VALIDATED-BL'!$A$1:$A$16,0),6),0)),0)</f>
        <v>0</v>
      </c>
      <c r="V1366" s="81" cm="1">
        <f t="array" ref="V1366">INDEX('Weight tables'!$A$24:$C$27,MATCH(1,(RendicontiTrasmessiBL__2[[#This Row],[Cut percentage on real costs + USC]]&gt;='Weight tables'!$B$24:$B$27)*(RendicontiTrasmessiBL__2[[#This Row],[Cut percentage on real costs + USC]]&lt;='Weight tables'!$C$24:$C$27),0),1)</f>
        <v>0</v>
      </c>
      <c r="W1366" s="2">
        <f>RendicontiTrasmessiBL__2[[#This Row],[Weight real costs  + USC ]]</f>
        <v>0</v>
      </c>
    </row>
    <row r="1367" spans="1:23" x14ac:dyDescent="0.25">
      <c r="A1367" s="1" t="s">
        <v>331</v>
      </c>
      <c r="B1367" s="1" t="s">
        <v>333</v>
      </c>
      <c r="C1367" s="2">
        <v>256</v>
      </c>
      <c r="D1367" s="2">
        <v>247</v>
      </c>
      <c r="E1367" s="1" t="s">
        <v>234</v>
      </c>
      <c r="F1367">
        <v>22</v>
      </c>
      <c r="G1367">
        <v>24199.96</v>
      </c>
      <c r="H1367">
        <v>0</v>
      </c>
      <c r="I1367">
        <v>0</v>
      </c>
      <c r="J1367">
        <v>4497.3</v>
      </c>
      <c r="K1367">
        <v>0</v>
      </c>
      <c r="L1367">
        <v>3453.91</v>
      </c>
      <c r="M1367">
        <v>4497.3</v>
      </c>
      <c r="N1367">
        <v>18.579999999999998</v>
      </c>
      <c r="O1367">
        <v>19702.66</v>
      </c>
      <c r="P1367">
        <v>0</v>
      </c>
      <c r="Q1367" t="str">
        <f>INDEX('Partner data'!A:DH,MATCH(C1367,'Partner data'!DG:DG,0),83)</f>
        <v>Soggetto pubblico</v>
      </c>
      <c r="R1367" t="b">
        <f>IF(E1367="staff",IF(INDEX('Partner data'!A:DH,MATCH(C1367,'Partner data'!DG:DG,0),112)="BL1 non presente","FALSO",INDEX('Partner data'!A:DH,MATCH(C1367,'Partner data'!DG:DG,0),112)))</f>
        <v>0</v>
      </c>
      <c r="S1367" t="b">
        <f t="shared" si="42"/>
        <v>1</v>
      </c>
      <c r="T1367" t="b">
        <f t="shared" si="43"/>
        <v>1</v>
      </c>
      <c r="U1367" s="154">
        <f>IFERROR(IF(R1367&lt;&gt;FALSE,IF(S1367=TRUE,INDEX('SummaryNOT_VALIDATED-BL'!$A$1:$F$16,MATCH(R1367,'SummaryNOT_VALIDATED-BL'!$A$1:$A$16,0),6),0),IF(S1367=TRUE,INDEX('SummaryNOT_VALIDATED-BL'!$A$1:$F$16,MATCH(E1367,'SummaryNOT_VALIDATED-BL'!$A$1:$A$16,0),6),0)),0)</f>
        <v>8.7645339819521315E-2</v>
      </c>
      <c r="V1367" s="81" cm="1">
        <f t="array" ref="V1367">INDEX('Weight tables'!$A$24:$C$27,MATCH(1,(RendicontiTrasmessiBL__2[[#This Row],[Cut percentage on real costs + USC]]&gt;='Weight tables'!$B$24:$B$27)*(RendicontiTrasmessiBL__2[[#This Row],[Cut percentage on real costs + USC]]&lt;='Weight tables'!$C$24:$C$27),0),1)</f>
        <v>4</v>
      </c>
      <c r="W1367" s="2">
        <f>RendicontiTrasmessiBL__2[[#This Row],[Weight real costs  + USC ]]</f>
        <v>4</v>
      </c>
    </row>
    <row r="1368" spans="1:23" x14ac:dyDescent="0.25">
      <c r="A1368" s="1" t="s">
        <v>331</v>
      </c>
      <c r="B1368" s="1" t="s">
        <v>333</v>
      </c>
      <c r="C1368" s="2">
        <v>256</v>
      </c>
      <c r="D1368" s="2">
        <v>247</v>
      </c>
      <c r="E1368" s="1" t="s">
        <v>236</v>
      </c>
      <c r="G1368">
        <v>0</v>
      </c>
      <c r="H1368">
        <v>0</v>
      </c>
      <c r="I1368">
        <v>0</v>
      </c>
      <c r="J1368">
        <v>0</v>
      </c>
      <c r="K1368">
        <v>0</v>
      </c>
      <c r="L1368">
        <v>0</v>
      </c>
      <c r="M1368">
        <v>0</v>
      </c>
      <c r="N1368">
        <v>0</v>
      </c>
      <c r="O1368">
        <v>0</v>
      </c>
      <c r="P1368">
        <v>0</v>
      </c>
      <c r="Q1368" t="str">
        <f>INDEX('Partner data'!A:DH,MATCH(C1368,'Partner data'!DG:DG,0),83)</f>
        <v>Soggetto pubblico</v>
      </c>
      <c r="R1368" t="b">
        <f>IF(E1368="staff",IF(INDEX('Partner data'!A:DH,MATCH(C1368,'Partner data'!DG:DG,0),112)="BL1 non presente","FALSO",INDEX('Partner data'!A:DH,MATCH(C1368,'Partner data'!DG:DG,0),112)))</f>
        <v>0</v>
      </c>
      <c r="S1368" t="b">
        <f t="shared" si="42"/>
        <v>0</v>
      </c>
      <c r="T1368" t="b">
        <f t="shared" si="43"/>
        <v>1</v>
      </c>
      <c r="U1368" s="154">
        <f>IFERROR(IF(R1368&lt;&gt;FALSE,IF(S1368=TRUE,INDEX('SummaryNOT_VALIDATED-BL'!$A$1:$F$16,MATCH(R1368,'SummaryNOT_VALIDATED-BL'!$A$1:$A$16,0),6),0),IF(S1368=TRUE,INDEX('SummaryNOT_VALIDATED-BL'!$A$1:$F$16,MATCH(E1368,'SummaryNOT_VALIDATED-BL'!$A$1:$A$16,0),6),0)),0)</f>
        <v>0</v>
      </c>
      <c r="V1368" s="81" cm="1">
        <f t="array" ref="V1368">INDEX('Weight tables'!$A$24:$C$27,MATCH(1,(RendicontiTrasmessiBL__2[[#This Row],[Cut percentage on real costs + USC]]&gt;='Weight tables'!$B$24:$B$27)*(RendicontiTrasmessiBL__2[[#This Row],[Cut percentage on real costs + USC]]&lt;='Weight tables'!$C$24:$C$27),0),1)</f>
        <v>0</v>
      </c>
      <c r="W1368" s="2">
        <f>RendicontiTrasmessiBL__2[[#This Row],[Weight real costs  + USC ]]</f>
        <v>0</v>
      </c>
    </row>
    <row r="1369" spans="1:23" x14ac:dyDescent="0.25">
      <c r="A1369" s="1" t="s">
        <v>331</v>
      </c>
      <c r="B1369" s="1" t="s">
        <v>333</v>
      </c>
      <c r="C1369" s="2">
        <v>256</v>
      </c>
      <c r="D1369" s="2">
        <v>247</v>
      </c>
      <c r="E1369" s="1" t="s">
        <v>237</v>
      </c>
      <c r="G1369">
        <v>0</v>
      </c>
      <c r="H1369">
        <v>0</v>
      </c>
      <c r="I1369">
        <v>0</v>
      </c>
      <c r="J1369">
        <v>0</v>
      </c>
      <c r="K1369">
        <v>0</v>
      </c>
      <c r="L1369">
        <v>0</v>
      </c>
      <c r="M1369">
        <v>0</v>
      </c>
      <c r="N1369">
        <v>0</v>
      </c>
      <c r="O1369">
        <v>0</v>
      </c>
      <c r="P1369">
        <v>0</v>
      </c>
      <c r="Q1369" t="str">
        <f>INDEX('Partner data'!A:DH,MATCH(C1369,'Partner data'!DG:DG,0),83)</f>
        <v>Soggetto pubblico</v>
      </c>
      <c r="R1369" t="b">
        <f>IF(E1369="staff",IF(INDEX('Partner data'!A:DH,MATCH(C1369,'Partner data'!DG:DG,0),112)="BL1 non presente","FALSO",INDEX('Partner data'!A:DH,MATCH(C1369,'Partner data'!DG:DG,0),112)))</f>
        <v>0</v>
      </c>
      <c r="S1369" t="b">
        <f t="shared" si="42"/>
        <v>0</v>
      </c>
      <c r="T1369" t="b">
        <f t="shared" si="43"/>
        <v>1</v>
      </c>
      <c r="U1369" s="154">
        <f>IFERROR(IF(R1369&lt;&gt;FALSE,IF(S1369=TRUE,INDEX('SummaryNOT_VALIDATED-BL'!$A$1:$F$16,MATCH(R1369,'SummaryNOT_VALIDATED-BL'!$A$1:$A$16,0),6),0),IF(S1369=TRUE,INDEX('SummaryNOT_VALIDATED-BL'!$A$1:$F$16,MATCH(E1369,'SummaryNOT_VALIDATED-BL'!$A$1:$A$16,0),6),0)),0)</f>
        <v>0</v>
      </c>
      <c r="V1369" s="81" cm="1">
        <f t="array" ref="V1369">INDEX('Weight tables'!$A$24:$C$27,MATCH(1,(RendicontiTrasmessiBL__2[[#This Row],[Cut percentage on real costs + USC]]&gt;='Weight tables'!$B$24:$B$27)*(RendicontiTrasmessiBL__2[[#This Row],[Cut percentage on real costs + USC]]&lt;='Weight tables'!$C$24:$C$27),0),1)</f>
        <v>0</v>
      </c>
      <c r="W1369" s="2">
        <f>RendicontiTrasmessiBL__2[[#This Row],[Weight real costs  + USC ]]</f>
        <v>0</v>
      </c>
    </row>
    <row r="1370" spans="1:23" x14ac:dyDescent="0.25">
      <c r="A1370" s="1" t="s">
        <v>331</v>
      </c>
      <c r="B1370" s="1" t="s">
        <v>334</v>
      </c>
      <c r="C1370" s="2">
        <v>253</v>
      </c>
      <c r="D1370" s="2">
        <v>236</v>
      </c>
      <c r="E1370" s="1" t="s">
        <v>228</v>
      </c>
      <c r="G1370">
        <v>44030</v>
      </c>
      <c r="H1370">
        <v>0</v>
      </c>
      <c r="I1370">
        <v>0</v>
      </c>
      <c r="J1370">
        <v>13326</v>
      </c>
      <c r="K1370">
        <v>0</v>
      </c>
      <c r="L1370">
        <v>13044.6</v>
      </c>
      <c r="M1370">
        <v>13326</v>
      </c>
      <c r="N1370">
        <v>30.27</v>
      </c>
      <c r="O1370">
        <v>30704</v>
      </c>
      <c r="P1370">
        <v>0</v>
      </c>
      <c r="Q1370" t="str">
        <f>INDEX('Partner data'!A:DH,MATCH(C1370,'Partner data'!DG:DG,0),83)</f>
        <v>Soggetto pubblico</v>
      </c>
      <c r="R1370" t="str">
        <f>IF(E1370="staff",IF(INDEX('Partner data'!A:DH,MATCH(C1370,'Partner data'!DG:DG,0),112)="BL1 non presente","FALSO",INDEX('Partner data'!A:DH,MATCH(C1370,'Partner data'!DG:DG,0),112)))</f>
        <v>Costo Unitario Standard</v>
      </c>
      <c r="S1370" t="b">
        <f t="shared" si="42"/>
        <v>1</v>
      </c>
      <c r="T1370" t="b">
        <f t="shared" si="43"/>
        <v>1</v>
      </c>
      <c r="U1370" s="154">
        <f>IFERROR(IF(R1370&lt;&gt;FALSE,IF(S1370=TRUE,INDEX('SummaryNOT_VALIDATED-BL'!$A$1:$F$16,MATCH(R1370,'SummaryNOT_VALIDATED-BL'!$A$1:$A$16,0),6),0),IF(S1370=TRUE,INDEX('SummaryNOT_VALIDATED-BL'!$A$1:$F$16,MATCH(E1370,'SummaryNOT_VALIDATED-BL'!$A$1:$A$16,0),6),0)),0)</f>
        <v>3.2052879635441428E-2</v>
      </c>
      <c r="V1370" s="81" cm="1">
        <f t="array" ref="V1370">INDEX('Weight tables'!$A$24:$C$27,MATCH(1,(RendicontiTrasmessiBL__2[[#This Row],[Cut percentage on real costs + USC]]&gt;='Weight tables'!$B$24:$B$27)*(RendicontiTrasmessiBL__2[[#This Row],[Cut percentage on real costs + USC]]&lt;='Weight tables'!$C$24:$C$27),0),1)</f>
        <v>2</v>
      </c>
      <c r="W1370" s="2">
        <f>RendicontiTrasmessiBL__2[[#This Row],[Weight real costs  + USC ]]</f>
        <v>2</v>
      </c>
    </row>
    <row r="1371" spans="1:23" x14ac:dyDescent="0.25">
      <c r="A1371" s="1" t="s">
        <v>331</v>
      </c>
      <c r="B1371" s="1" t="s">
        <v>334</v>
      </c>
      <c r="C1371" s="2">
        <v>253</v>
      </c>
      <c r="D1371" s="2">
        <v>236</v>
      </c>
      <c r="E1371" s="1" t="s">
        <v>229</v>
      </c>
      <c r="F1371">
        <v>15</v>
      </c>
      <c r="G1371">
        <v>6604.5</v>
      </c>
      <c r="H1371">
        <v>0</v>
      </c>
      <c r="I1371">
        <v>0</v>
      </c>
      <c r="J1371">
        <v>1998.9</v>
      </c>
      <c r="K1371">
        <v>0</v>
      </c>
      <c r="L1371">
        <v>1956.69</v>
      </c>
      <c r="M1371">
        <v>1998.9</v>
      </c>
      <c r="N1371">
        <v>30.27</v>
      </c>
      <c r="O1371">
        <v>4605.6000000000004</v>
      </c>
      <c r="P1371">
        <v>0</v>
      </c>
      <c r="Q1371" t="str">
        <f>INDEX('Partner data'!A:DH,MATCH(C1371,'Partner data'!DG:DG,0),83)</f>
        <v>Soggetto pubblico</v>
      </c>
      <c r="R1371" t="b">
        <f>IF(E1371="staff",IF(INDEX('Partner data'!A:DH,MATCH(C1371,'Partner data'!DG:DG,0),112)="BL1 non presente","FALSO",INDEX('Partner data'!A:DH,MATCH(C1371,'Partner data'!DG:DG,0),112)))</f>
        <v>0</v>
      </c>
      <c r="S1371" t="b">
        <f t="shared" si="42"/>
        <v>1</v>
      </c>
      <c r="T1371" t="b">
        <f t="shared" si="43"/>
        <v>1</v>
      </c>
      <c r="U1371" s="154">
        <f>IFERROR(IF(R1371&lt;&gt;FALSE,IF(S1371=TRUE,INDEX('SummaryNOT_VALIDATED-BL'!$A$1:$F$16,MATCH(R1371,'SummaryNOT_VALIDATED-BL'!$A$1:$A$16,0),6),0),IF(S1371=TRUE,INDEX('SummaryNOT_VALIDATED-BL'!$A$1:$F$16,MATCH(E1371,'SummaryNOT_VALIDATED-BL'!$A$1:$A$16,0),6),0)),0)</f>
        <v>6.6460469504890221E-2</v>
      </c>
      <c r="V1371" s="81" cm="1">
        <f t="array" ref="V1371">INDEX('Weight tables'!$A$24:$C$27,MATCH(1,(RendicontiTrasmessiBL__2[[#This Row],[Cut percentage on real costs + USC]]&gt;='Weight tables'!$B$24:$B$27)*(RendicontiTrasmessiBL__2[[#This Row],[Cut percentage on real costs + USC]]&lt;='Weight tables'!$C$24:$C$27),0),1)</f>
        <v>4</v>
      </c>
      <c r="W1371" s="2">
        <f>RendicontiTrasmessiBL__2[[#This Row],[Weight real costs  + USC ]]</f>
        <v>4</v>
      </c>
    </row>
    <row r="1372" spans="1:23" x14ac:dyDescent="0.25">
      <c r="A1372" s="1" t="s">
        <v>331</v>
      </c>
      <c r="B1372" s="1" t="s">
        <v>334</v>
      </c>
      <c r="C1372" s="2">
        <v>253</v>
      </c>
      <c r="D1372" s="2">
        <v>236</v>
      </c>
      <c r="E1372" s="1" t="s">
        <v>230</v>
      </c>
      <c r="F1372">
        <v>4</v>
      </c>
      <c r="G1372">
        <v>1761.2</v>
      </c>
      <c r="H1372">
        <v>0</v>
      </c>
      <c r="I1372">
        <v>0</v>
      </c>
      <c r="J1372">
        <v>533.04</v>
      </c>
      <c r="K1372">
        <v>0</v>
      </c>
      <c r="L1372">
        <v>521.78</v>
      </c>
      <c r="M1372">
        <v>533.04</v>
      </c>
      <c r="N1372">
        <v>30.27</v>
      </c>
      <c r="O1372">
        <v>1228.1600000000001</v>
      </c>
      <c r="P1372">
        <v>0</v>
      </c>
      <c r="Q1372" t="str">
        <f>INDEX('Partner data'!A:DH,MATCH(C1372,'Partner data'!DG:DG,0),83)</f>
        <v>Soggetto pubblico</v>
      </c>
      <c r="R1372" t="b">
        <f>IF(E1372="staff",IF(INDEX('Partner data'!A:DH,MATCH(C1372,'Partner data'!DG:DG,0),112)="BL1 non presente","FALSO",INDEX('Partner data'!A:DH,MATCH(C1372,'Partner data'!DG:DG,0),112)))</f>
        <v>0</v>
      </c>
      <c r="S1372" t="b">
        <f t="shared" si="42"/>
        <v>1</v>
      </c>
      <c r="T1372" t="b">
        <f t="shared" si="43"/>
        <v>1</v>
      </c>
      <c r="U1372" s="154">
        <f>IFERROR(IF(R1372&lt;&gt;FALSE,IF(S1372=TRUE,INDEX('SummaryNOT_VALIDATED-BL'!$A$1:$F$16,MATCH(R1372,'SummaryNOT_VALIDATED-BL'!$A$1:$A$16,0),6),0),IF(S1372=TRUE,INDEX('SummaryNOT_VALIDATED-BL'!$A$1:$F$16,MATCH(E1372,'SummaryNOT_VALIDATED-BL'!$A$1:$A$16,0),6),0)),0)</f>
        <v>6.3112622236488891E-2</v>
      </c>
      <c r="V1372" s="81" cm="1">
        <f t="array" ref="V1372">INDEX('Weight tables'!$A$24:$C$27,MATCH(1,(RendicontiTrasmessiBL__2[[#This Row],[Cut percentage on real costs + USC]]&gt;='Weight tables'!$B$24:$B$27)*(RendicontiTrasmessiBL__2[[#This Row],[Cut percentage on real costs + USC]]&lt;='Weight tables'!$C$24:$C$27),0),1)</f>
        <v>4</v>
      </c>
      <c r="W1372" s="2">
        <f>RendicontiTrasmessiBL__2[[#This Row],[Weight real costs  + USC ]]</f>
        <v>4</v>
      </c>
    </row>
    <row r="1373" spans="1:23" x14ac:dyDescent="0.25">
      <c r="A1373" s="1" t="s">
        <v>331</v>
      </c>
      <c r="B1373" s="1" t="s">
        <v>334</v>
      </c>
      <c r="C1373" s="2">
        <v>253</v>
      </c>
      <c r="D1373" s="2">
        <v>236</v>
      </c>
      <c r="E1373" s="1" t="s">
        <v>231</v>
      </c>
      <c r="G1373">
        <v>47640</v>
      </c>
      <c r="H1373">
        <v>0</v>
      </c>
      <c r="I1373">
        <v>0</v>
      </c>
      <c r="J1373">
        <v>0</v>
      </c>
      <c r="K1373">
        <v>0</v>
      </c>
      <c r="L1373">
        <v>0</v>
      </c>
      <c r="M1373">
        <v>0</v>
      </c>
      <c r="N1373">
        <v>0</v>
      </c>
      <c r="O1373">
        <v>47640</v>
      </c>
      <c r="P1373">
        <v>0</v>
      </c>
      <c r="Q1373" t="str">
        <f>INDEX('Partner data'!A:DH,MATCH(C1373,'Partner data'!DG:DG,0),83)</f>
        <v>Soggetto pubblico</v>
      </c>
      <c r="R1373" t="b">
        <f>IF(E1373="staff",IF(INDEX('Partner data'!A:DH,MATCH(C1373,'Partner data'!DG:DG,0),112)="BL1 non presente","FALSO",INDEX('Partner data'!A:DH,MATCH(C1373,'Partner data'!DG:DG,0),112)))</f>
        <v>0</v>
      </c>
      <c r="S1373" t="b">
        <f t="shared" si="42"/>
        <v>0</v>
      </c>
      <c r="T1373" t="b">
        <f t="shared" si="43"/>
        <v>1</v>
      </c>
      <c r="U1373" s="154">
        <f>IFERROR(IF(R1373&lt;&gt;FALSE,IF(S1373=TRUE,INDEX('SummaryNOT_VALIDATED-BL'!$A$1:$F$16,MATCH(R1373,'SummaryNOT_VALIDATED-BL'!$A$1:$A$16,0),6),0),IF(S1373=TRUE,INDEX('SummaryNOT_VALIDATED-BL'!$A$1:$F$16,MATCH(E1373,'SummaryNOT_VALIDATED-BL'!$A$1:$A$16,0),6),0)),0)</f>
        <v>0</v>
      </c>
      <c r="V1373" s="81" cm="1">
        <f t="array" ref="V1373">INDEX('Weight tables'!$A$24:$C$27,MATCH(1,(RendicontiTrasmessiBL__2[[#This Row],[Cut percentage on real costs + USC]]&gt;='Weight tables'!$B$24:$B$27)*(RendicontiTrasmessiBL__2[[#This Row],[Cut percentage on real costs + USC]]&lt;='Weight tables'!$C$24:$C$27),0),1)</f>
        <v>0</v>
      </c>
      <c r="W1373" s="2">
        <f>RendicontiTrasmessiBL__2[[#This Row],[Weight real costs  + USC ]]</f>
        <v>0</v>
      </c>
    </row>
    <row r="1374" spans="1:23" x14ac:dyDescent="0.25">
      <c r="A1374" s="1" t="s">
        <v>331</v>
      </c>
      <c r="B1374" s="1" t="s">
        <v>334</v>
      </c>
      <c r="C1374" s="2">
        <v>253</v>
      </c>
      <c r="D1374" s="2">
        <v>236</v>
      </c>
      <c r="E1374" s="1" t="s">
        <v>232</v>
      </c>
      <c r="G1374">
        <v>0</v>
      </c>
      <c r="H1374">
        <v>0</v>
      </c>
      <c r="I1374">
        <v>0</v>
      </c>
      <c r="J1374">
        <v>0</v>
      </c>
      <c r="K1374">
        <v>0</v>
      </c>
      <c r="L1374">
        <v>0</v>
      </c>
      <c r="M1374">
        <v>0</v>
      </c>
      <c r="N1374">
        <v>0</v>
      </c>
      <c r="O1374">
        <v>0</v>
      </c>
      <c r="P1374">
        <v>0</v>
      </c>
      <c r="Q1374" t="str">
        <f>INDEX('Partner data'!A:DH,MATCH(C1374,'Partner data'!DG:DG,0),83)</f>
        <v>Soggetto pubblico</v>
      </c>
      <c r="R1374" t="b">
        <f>IF(E1374="staff",IF(INDEX('Partner data'!A:DH,MATCH(C1374,'Partner data'!DG:DG,0),112)="BL1 non presente","FALSO",INDEX('Partner data'!A:DH,MATCH(C1374,'Partner data'!DG:DG,0),112)))</f>
        <v>0</v>
      </c>
      <c r="S1374" t="b">
        <f t="shared" si="42"/>
        <v>0</v>
      </c>
      <c r="T1374" t="b">
        <f t="shared" si="43"/>
        <v>1</v>
      </c>
      <c r="U1374" s="154">
        <f>IFERROR(IF(R1374&lt;&gt;FALSE,IF(S1374=TRUE,INDEX('SummaryNOT_VALIDATED-BL'!$A$1:$F$16,MATCH(R1374,'SummaryNOT_VALIDATED-BL'!$A$1:$A$16,0),6),0),IF(S1374=TRUE,INDEX('SummaryNOT_VALIDATED-BL'!$A$1:$F$16,MATCH(E1374,'SummaryNOT_VALIDATED-BL'!$A$1:$A$16,0),6),0)),0)</f>
        <v>0</v>
      </c>
      <c r="V1374" s="81" cm="1">
        <f t="array" ref="V1374">INDEX('Weight tables'!$A$24:$C$27,MATCH(1,(RendicontiTrasmessiBL__2[[#This Row],[Cut percentage on real costs + USC]]&gt;='Weight tables'!$B$24:$B$27)*(RendicontiTrasmessiBL__2[[#This Row],[Cut percentage on real costs + USC]]&lt;='Weight tables'!$C$24:$C$27),0),1)</f>
        <v>0</v>
      </c>
      <c r="W1374" s="2">
        <f>RendicontiTrasmessiBL__2[[#This Row],[Weight real costs  + USC ]]</f>
        <v>0</v>
      </c>
    </row>
    <row r="1375" spans="1:23" x14ac:dyDescent="0.25">
      <c r="A1375" s="1" t="s">
        <v>331</v>
      </c>
      <c r="B1375" s="1" t="s">
        <v>334</v>
      </c>
      <c r="C1375" s="2">
        <v>253</v>
      </c>
      <c r="D1375" s="2">
        <v>236</v>
      </c>
      <c r="E1375" s="1" t="s">
        <v>233</v>
      </c>
      <c r="G1375">
        <v>0</v>
      </c>
      <c r="H1375">
        <v>0</v>
      </c>
      <c r="I1375">
        <v>0</v>
      </c>
      <c r="J1375">
        <v>0</v>
      </c>
      <c r="K1375">
        <v>0</v>
      </c>
      <c r="L1375">
        <v>0</v>
      </c>
      <c r="M1375">
        <v>0</v>
      </c>
      <c r="N1375">
        <v>0</v>
      </c>
      <c r="O1375">
        <v>0</v>
      </c>
      <c r="P1375">
        <v>0</v>
      </c>
      <c r="Q1375" t="str">
        <f>INDEX('Partner data'!A:DH,MATCH(C1375,'Partner data'!DG:DG,0),83)</f>
        <v>Soggetto pubblico</v>
      </c>
      <c r="R1375" t="b">
        <f>IF(E1375="staff",IF(INDEX('Partner data'!A:DH,MATCH(C1375,'Partner data'!DG:DG,0),112)="BL1 non presente","FALSO",INDEX('Partner data'!A:DH,MATCH(C1375,'Partner data'!DG:DG,0),112)))</f>
        <v>0</v>
      </c>
      <c r="S1375" t="b">
        <f t="shared" si="42"/>
        <v>0</v>
      </c>
      <c r="T1375" t="b">
        <f t="shared" si="43"/>
        <v>1</v>
      </c>
      <c r="U1375" s="154">
        <f>IFERROR(IF(R1375&lt;&gt;FALSE,IF(S1375=TRUE,INDEX('SummaryNOT_VALIDATED-BL'!$A$1:$F$16,MATCH(R1375,'SummaryNOT_VALIDATED-BL'!$A$1:$A$16,0),6),0),IF(S1375=TRUE,INDEX('SummaryNOT_VALIDATED-BL'!$A$1:$F$16,MATCH(E1375,'SummaryNOT_VALIDATED-BL'!$A$1:$A$16,0),6),0)),0)</f>
        <v>0</v>
      </c>
      <c r="V1375" s="81" cm="1">
        <f t="array" ref="V1375">INDEX('Weight tables'!$A$24:$C$27,MATCH(1,(RendicontiTrasmessiBL__2[[#This Row],[Cut percentage on real costs + USC]]&gt;='Weight tables'!$B$24:$B$27)*(RendicontiTrasmessiBL__2[[#This Row],[Cut percentage on real costs + USC]]&lt;='Weight tables'!$C$24:$C$27),0),1)</f>
        <v>0</v>
      </c>
      <c r="W1375" s="2">
        <f>RendicontiTrasmessiBL__2[[#This Row],[Weight real costs  + USC ]]</f>
        <v>0</v>
      </c>
    </row>
    <row r="1376" spans="1:23" x14ac:dyDescent="0.25">
      <c r="A1376" s="1" t="s">
        <v>331</v>
      </c>
      <c r="B1376" s="1" t="s">
        <v>334</v>
      </c>
      <c r="C1376" s="2">
        <v>253</v>
      </c>
      <c r="D1376" s="2">
        <v>236</v>
      </c>
      <c r="E1376" s="1" t="s">
        <v>234</v>
      </c>
      <c r="G1376">
        <v>0</v>
      </c>
      <c r="H1376">
        <v>0</v>
      </c>
      <c r="I1376">
        <v>0</v>
      </c>
      <c r="J1376">
        <v>0</v>
      </c>
      <c r="K1376">
        <v>0</v>
      </c>
      <c r="L1376">
        <v>0</v>
      </c>
      <c r="M1376">
        <v>0</v>
      </c>
      <c r="N1376">
        <v>0</v>
      </c>
      <c r="O1376">
        <v>0</v>
      </c>
      <c r="P1376">
        <v>0</v>
      </c>
      <c r="Q1376" t="str">
        <f>INDEX('Partner data'!A:DH,MATCH(C1376,'Partner data'!DG:DG,0),83)</f>
        <v>Soggetto pubblico</v>
      </c>
      <c r="R1376" t="b">
        <f>IF(E1376="staff",IF(INDEX('Partner data'!A:DH,MATCH(C1376,'Partner data'!DG:DG,0),112)="BL1 non presente","FALSO",INDEX('Partner data'!A:DH,MATCH(C1376,'Partner data'!DG:DG,0),112)))</f>
        <v>0</v>
      </c>
      <c r="S1376" t="b">
        <f t="shared" si="42"/>
        <v>0</v>
      </c>
      <c r="T1376" t="b">
        <f t="shared" si="43"/>
        <v>1</v>
      </c>
      <c r="U1376" s="154">
        <f>IFERROR(IF(R1376&lt;&gt;FALSE,IF(S1376=TRUE,INDEX('SummaryNOT_VALIDATED-BL'!$A$1:$F$16,MATCH(R1376,'SummaryNOT_VALIDATED-BL'!$A$1:$A$16,0),6),0),IF(S1376=TRUE,INDEX('SummaryNOT_VALIDATED-BL'!$A$1:$F$16,MATCH(E1376,'SummaryNOT_VALIDATED-BL'!$A$1:$A$16,0),6),0)),0)</f>
        <v>0</v>
      </c>
      <c r="V1376" s="81" cm="1">
        <f t="array" ref="V1376">INDEX('Weight tables'!$A$24:$C$27,MATCH(1,(RendicontiTrasmessiBL__2[[#This Row],[Cut percentage on real costs + USC]]&gt;='Weight tables'!$B$24:$B$27)*(RendicontiTrasmessiBL__2[[#This Row],[Cut percentage on real costs + USC]]&lt;='Weight tables'!$C$24:$C$27),0),1)</f>
        <v>0</v>
      </c>
      <c r="W1376" s="2">
        <f>RendicontiTrasmessiBL__2[[#This Row],[Weight real costs  + USC ]]</f>
        <v>0</v>
      </c>
    </row>
    <row r="1377" spans="1:23" x14ac:dyDescent="0.25">
      <c r="A1377" s="1" t="s">
        <v>331</v>
      </c>
      <c r="B1377" s="1" t="s">
        <v>334</v>
      </c>
      <c r="C1377" s="2">
        <v>253</v>
      </c>
      <c r="D1377" s="2">
        <v>236</v>
      </c>
      <c r="E1377" s="1" t="s">
        <v>236</v>
      </c>
      <c r="G1377">
        <v>0</v>
      </c>
      <c r="H1377">
        <v>0</v>
      </c>
      <c r="I1377">
        <v>0</v>
      </c>
      <c r="J1377">
        <v>0</v>
      </c>
      <c r="K1377">
        <v>0</v>
      </c>
      <c r="L1377">
        <v>0</v>
      </c>
      <c r="M1377">
        <v>0</v>
      </c>
      <c r="N1377">
        <v>0</v>
      </c>
      <c r="O1377">
        <v>0</v>
      </c>
      <c r="P1377">
        <v>0</v>
      </c>
      <c r="Q1377" t="str">
        <f>INDEX('Partner data'!A:DH,MATCH(C1377,'Partner data'!DG:DG,0),83)</f>
        <v>Soggetto pubblico</v>
      </c>
      <c r="R1377" t="b">
        <f>IF(E1377="staff",IF(INDEX('Partner data'!A:DH,MATCH(C1377,'Partner data'!DG:DG,0),112)="BL1 non presente","FALSO",INDEX('Partner data'!A:DH,MATCH(C1377,'Partner data'!DG:DG,0),112)))</f>
        <v>0</v>
      </c>
      <c r="S1377" t="b">
        <f t="shared" si="42"/>
        <v>0</v>
      </c>
      <c r="T1377" t="b">
        <f t="shared" si="43"/>
        <v>1</v>
      </c>
      <c r="U1377" s="154">
        <f>IFERROR(IF(R1377&lt;&gt;FALSE,IF(S1377=TRUE,INDEX('SummaryNOT_VALIDATED-BL'!$A$1:$F$16,MATCH(R1377,'SummaryNOT_VALIDATED-BL'!$A$1:$A$16,0),6),0),IF(S1377=TRUE,INDEX('SummaryNOT_VALIDATED-BL'!$A$1:$F$16,MATCH(E1377,'SummaryNOT_VALIDATED-BL'!$A$1:$A$16,0),6),0)),0)</f>
        <v>0</v>
      </c>
      <c r="V1377" s="81" cm="1">
        <f t="array" ref="V1377">INDEX('Weight tables'!$A$24:$C$27,MATCH(1,(RendicontiTrasmessiBL__2[[#This Row],[Cut percentage on real costs + USC]]&gt;='Weight tables'!$B$24:$B$27)*(RendicontiTrasmessiBL__2[[#This Row],[Cut percentage on real costs + USC]]&lt;='Weight tables'!$C$24:$C$27),0),1)</f>
        <v>0</v>
      </c>
      <c r="W1377" s="2">
        <f>RendicontiTrasmessiBL__2[[#This Row],[Weight real costs  + USC ]]</f>
        <v>0</v>
      </c>
    </row>
    <row r="1378" spans="1:23" x14ac:dyDescent="0.25">
      <c r="A1378" s="1" t="s">
        <v>331</v>
      </c>
      <c r="B1378" s="1" t="s">
        <v>334</v>
      </c>
      <c r="C1378" s="2">
        <v>253</v>
      </c>
      <c r="D1378" s="2">
        <v>236</v>
      </c>
      <c r="E1378" s="1" t="s">
        <v>237</v>
      </c>
      <c r="G1378">
        <v>0</v>
      </c>
      <c r="H1378">
        <v>0</v>
      </c>
      <c r="I1378">
        <v>0</v>
      </c>
      <c r="J1378">
        <v>0</v>
      </c>
      <c r="K1378">
        <v>0</v>
      </c>
      <c r="L1378">
        <v>0</v>
      </c>
      <c r="M1378">
        <v>0</v>
      </c>
      <c r="N1378">
        <v>0</v>
      </c>
      <c r="O1378">
        <v>0</v>
      </c>
      <c r="P1378">
        <v>0</v>
      </c>
      <c r="Q1378" t="str">
        <f>INDEX('Partner data'!A:DH,MATCH(C1378,'Partner data'!DG:DG,0),83)</f>
        <v>Soggetto pubblico</v>
      </c>
      <c r="R1378" t="b">
        <f>IF(E1378="staff",IF(INDEX('Partner data'!A:DH,MATCH(C1378,'Partner data'!DG:DG,0),112)="BL1 non presente","FALSO",INDEX('Partner data'!A:DH,MATCH(C1378,'Partner data'!DG:DG,0),112)))</f>
        <v>0</v>
      </c>
      <c r="S1378" t="b">
        <f t="shared" si="42"/>
        <v>0</v>
      </c>
      <c r="T1378" t="b">
        <f t="shared" si="43"/>
        <v>1</v>
      </c>
      <c r="U1378" s="154">
        <f>IFERROR(IF(R1378&lt;&gt;FALSE,IF(S1378=TRUE,INDEX('SummaryNOT_VALIDATED-BL'!$A$1:$F$16,MATCH(R1378,'SummaryNOT_VALIDATED-BL'!$A$1:$A$16,0),6),0),IF(S1378=TRUE,INDEX('SummaryNOT_VALIDATED-BL'!$A$1:$F$16,MATCH(E1378,'SummaryNOT_VALIDATED-BL'!$A$1:$A$16,0),6),0)),0)</f>
        <v>0</v>
      </c>
      <c r="V1378" s="81" cm="1">
        <f t="array" ref="V1378">INDEX('Weight tables'!$A$24:$C$27,MATCH(1,(RendicontiTrasmessiBL__2[[#This Row],[Cut percentage on real costs + USC]]&gt;='Weight tables'!$B$24:$B$27)*(RendicontiTrasmessiBL__2[[#This Row],[Cut percentage on real costs + USC]]&lt;='Weight tables'!$C$24:$C$27),0),1)</f>
        <v>0</v>
      </c>
      <c r="W1378" s="2">
        <f>RendicontiTrasmessiBL__2[[#This Row],[Weight real costs  + USC ]]</f>
        <v>0</v>
      </c>
    </row>
    <row r="1379" spans="1:23" x14ac:dyDescent="0.25">
      <c r="A1379" s="1" t="s">
        <v>331</v>
      </c>
      <c r="B1379" s="1" t="s">
        <v>335</v>
      </c>
      <c r="C1379" s="2">
        <v>254</v>
      </c>
      <c r="D1379" s="2">
        <v>226</v>
      </c>
      <c r="E1379" s="1" t="s">
        <v>228</v>
      </c>
      <c r="F1379">
        <v>20</v>
      </c>
      <c r="G1379">
        <v>16155.09</v>
      </c>
      <c r="H1379">
        <v>0</v>
      </c>
      <c r="I1379">
        <v>0</v>
      </c>
      <c r="J1379">
        <v>0</v>
      </c>
      <c r="K1379">
        <v>0</v>
      </c>
      <c r="L1379">
        <v>0</v>
      </c>
      <c r="M1379">
        <v>0</v>
      </c>
      <c r="N1379">
        <v>0</v>
      </c>
      <c r="O1379">
        <v>16155.09</v>
      </c>
      <c r="P1379">
        <v>0</v>
      </c>
      <c r="Q1379" t="str">
        <f>INDEX('Partner data'!A:DH,MATCH(C1379,'Partner data'!DG:DG,0),83)</f>
        <v>Soggetto pubblico</v>
      </c>
      <c r="R1379" t="str">
        <f>IF(E1379="staff",IF(INDEX('Partner data'!A:DH,MATCH(C1379,'Partner data'!DG:DG,0),112)="BL1 non presente","FALSO",INDEX('Partner data'!A:DH,MATCH(C1379,'Partner data'!DG:DG,0),112)))</f>
        <v>Tasso Forfettario 20%</v>
      </c>
      <c r="S1379" t="b">
        <f t="shared" si="42"/>
        <v>0</v>
      </c>
      <c r="T1379" t="b">
        <f t="shared" si="43"/>
        <v>1</v>
      </c>
      <c r="U1379" s="154">
        <f>IFERROR(IF(R1379&lt;&gt;FALSE,IF(S1379=TRUE,INDEX('SummaryNOT_VALIDATED-BL'!$A$1:$F$16,MATCH(R1379,'SummaryNOT_VALIDATED-BL'!$A$1:$A$16,0),6),0),IF(S1379=TRUE,INDEX('SummaryNOT_VALIDATED-BL'!$A$1:$F$16,MATCH(E1379,'SummaryNOT_VALIDATED-BL'!$A$1:$A$16,0),6),0)),0)</f>
        <v>0</v>
      </c>
      <c r="V1379" s="81" cm="1">
        <f t="array" ref="V1379">INDEX('Weight tables'!$A$24:$C$27,MATCH(1,(RendicontiTrasmessiBL__2[[#This Row],[Cut percentage on real costs + USC]]&gt;='Weight tables'!$B$24:$B$27)*(RendicontiTrasmessiBL__2[[#This Row],[Cut percentage on real costs + USC]]&lt;='Weight tables'!$C$24:$C$27),0),1)</f>
        <v>0</v>
      </c>
      <c r="W1379" s="2">
        <f>RendicontiTrasmessiBL__2[[#This Row],[Weight real costs  + USC ]]</f>
        <v>0</v>
      </c>
    </row>
    <row r="1380" spans="1:23" x14ac:dyDescent="0.25">
      <c r="A1380" s="1" t="s">
        <v>331</v>
      </c>
      <c r="B1380" s="1" t="s">
        <v>335</v>
      </c>
      <c r="C1380" s="2">
        <v>254</v>
      </c>
      <c r="D1380" s="2">
        <v>226</v>
      </c>
      <c r="E1380" s="1" t="s">
        <v>229</v>
      </c>
      <c r="F1380">
        <v>15</v>
      </c>
      <c r="G1380">
        <v>2423.2600000000002</v>
      </c>
      <c r="H1380">
        <v>0</v>
      </c>
      <c r="I1380">
        <v>0</v>
      </c>
      <c r="J1380">
        <v>0</v>
      </c>
      <c r="K1380">
        <v>0</v>
      </c>
      <c r="L1380">
        <v>0</v>
      </c>
      <c r="M1380">
        <v>0</v>
      </c>
      <c r="N1380">
        <v>0</v>
      </c>
      <c r="O1380">
        <v>2423.2600000000002</v>
      </c>
      <c r="P1380">
        <v>0</v>
      </c>
      <c r="Q1380" t="str">
        <f>INDEX('Partner data'!A:DH,MATCH(C1380,'Partner data'!DG:DG,0),83)</f>
        <v>Soggetto pubblico</v>
      </c>
      <c r="R1380" t="b">
        <f>IF(E1380="staff",IF(INDEX('Partner data'!A:DH,MATCH(C1380,'Partner data'!DG:DG,0),112)="BL1 non presente","FALSO",INDEX('Partner data'!A:DH,MATCH(C1380,'Partner data'!DG:DG,0),112)))</f>
        <v>0</v>
      </c>
      <c r="S1380" t="b">
        <f t="shared" si="42"/>
        <v>0</v>
      </c>
      <c r="T1380" t="b">
        <f t="shared" si="43"/>
        <v>1</v>
      </c>
      <c r="U1380" s="154">
        <f>IFERROR(IF(R1380&lt;&gt;FALSE,IF(S1380=TRUE,INDEX('SummaryNOT_VALIDATED-BL'!$A$1:$F$16,MATCH(R1380,'SummaryNOT_VALIDATED-BL'!$A$1:$A$16,0),6),0),IF(S1380=TRUE,INDEX('SummaryNOT_VALIDATED-BL'!$A$1:$F$16,MATCH(E1380,'SummaryNOT_VALIDATED-BL'!$A$1:$A$16,0),6),0)),0)</f>
        <v>0</v>
      </c>
      <c r="V1380" s="81" cm="1">
        <f t="array" ref="V1380">INDEX('Weight tables'!$A$24:$C$27,MATCH(1,(RendicontiTrasmessiBL__2[[#This Row],[Cut percentage on real costs + USC]]&gt;='Weight tables'!$B$24:$B$27)*(RendicontiTrasmessiBL__2[[#This Row],[Cut percentage on real costs + USC]]&lt;='Weight tables'!$C$24:$C$27),0),1)</f>
        <v>0</v>
      </c>
      <c r="W1380" s="2">
        <f>RendicontiTrasmessiBL__2[[#This Row],[Weight real costs  + USC ]]</f>
        <v>0</v>
      </c>
    </row>
    <row r="1381" spans="1:23" x14ac:dyDescent="0.25">
      <c r="A1381" s="1" t="s">
        <v>331</v>
      </c>
      <c r="B1381" s="1" t="s">
        <v>335</v>
      </c>
      <c r="C1381" s="2">
        <v>254</v>
      </c>
      <c r="D1381" s="2">
        <v>226</v>
      </c>
      <c r="E1381" s="1" t="s">
        <v>230</v>
      </c>
      <c r="F1381">
        <v>4</v>
      </c>
      <c r="G1381">
        <v>646.20000000000005</v>
      </c>
      <c r="H1381">
        <v>0</v>
      </c>
      <c r="I1381">
        <v>0</v>
      </c>
      <c r="J1381">
        <v>0</v>
      </c>
      <c r="K1381">
        <v>0</v>
      </c>
      <c r="L1381">
        <v>0</v>
      </c>
      <c r="M1381">
        <v>0</v>
      </c>
      <c r="N1381">
        <v>0</v>
      </c>
      <c r="O1381">
        <v>646.20000000000005</v>
      </c>
      <c r="P1381">
        <v>0</v>
      </c>
      <c r="Q1381" t="str">
        <f>INDEX('Partner data'!A:DH,MATCH(C1381,'Partner data'!DG:DG,0),83)</f>
        <v>Soggetto pubblico</v>
      </c>
      <c r="R1381" t="b">
        <f>IF(E1381="staff",IF(INDEX('Partner data'!A:DH,MATCH(C1381,'Partner data'!DG:DG,0),112)="BL1 non presente","FALSO",INDEX('Partner data'!A:DH,MATCH(C1381,'Partner data'!DG:DG,0),112)))</f>
        <v>0</v>
      </c>
      <c r="S1381" t="b">
        <f t="shared" si="42"/>
        <v>0</v>
      </c>
      <c r="T1381" t="b">
        <f t="shared" si="43"/>
        <v>1</v>
      </c>
      <c r="U1381" s="154">
        <f>IFERROR(IF(R1381&lt;&gt;FALSE,IF(S1381=TRUE,INDEX('SummaryNOT_VALIDATED-BL'!$A$1:$F$16,MATCH(R1381,'SummaryNOT_VALIDATED-BL'!$A$1:$A$16,0),6),0),IF(S1381=TRUE,INDEX('SummaryNOT_VALIDATED-BL'!$A$1:$F$16,MATCH(E1381,'SummaryNOT_VALIDATED-BL'!$A$1:$A$16,0),6),0)),0)</f>
        <v>0</v>
      </c>
      <c r="V1381" s="81" cm="1">
        <f t="array" ref="V1381">INDEX('Weight tables'!$A$24:$C$27,MATCH(1,(RendicontiTrasmessiBL__2[[#This Row],[Cut percentage on real costs + USC]]&gt;='Weight tables'!$B$24:$B$27)*(RendicontiTrasmessiBL__2[[#This Row],[Cut percentage on real costs + USC]]&lt;='Weight tables'!$C$24:$C$27),0),1)</f>
        <v>0</v>
      </c>
      <c r="W1381" s="2">
        <f>RendicontiTrasmessiBL__2[[#This Row],[Weight real costs  + USC ]]</f>
        <v>0</v>
      </c>
    </row>
    <row r="1382" spans="1:23" x14ac:dyDescent="0.25">
      <c r="A1382" s="1" t="s">
        <v>331</v>
      </c>
      <c r="B1382" s="1" t="s">
        <v>335</v>
      </c>
      <c r="C1382" s="2">
        <v>254</v>
      </c>
      <c r="D1382" s="2">
        <v>226</v>
      </c>
      <c r="E1382" s="1" t="s">
        <v>231</v>
      </c>
      <c r="G1382">
        <v>80775.45</v>
      </c>
      <c r="H1382">
        <v>0</v>
      </c>
      <c r="I1382">
        <v>0</v>
      </c>
      <c r="J1382">
        <v>0</v>
      </c>
      <c r="K1382">
        <v>0</v>
      </c>
      <c r="L1382">
        <v>0</v>
      </c>
      <c r="M1382">
        <v>0</v>
      </c>
      <c r="N1382">
        <v>0</v>
      </c>
      <c r="O1382">
        <v>80775.45</v>
      </c>
      <c r="P1382">
        <v>0</v>
      </c>
      <c r="Q1382" t="str">
        <f>INDEX('Partner data'!A:DH,MATCH(C1382,'Partner data'!DG:DG,0),83)</f>
        <v>Soggetto pubblico</v>
      </c>
      <c r="R1382" t="b">
        <f>IF(E1382="staff",IF(INDEX('Partner data'!A:DH,MATCH(C1382,'Partner data'!DG:DG,0),112)="BL1 non presente","FALSO",INDEX('Partner data'!A:DH,MATCH(C1382,'Partner data'!DG:DG,0),112)))</f>
        <v>0</v>
      </c>
      <c r="S1382" t="b">
        <f t="shared" si="42"/>
        <v>0</v>
      </c>
      <c r="T1382" t="b">
        <f t="shared" si="43"/>
        <v>1</v>
      </c>
      <c r="U1382" s="154">
        <f>IFERROR(IF(R1382&lt;&gt;FALSE,IF(S1382=TRUE,INDEX('SummaryNOT_VALIDATED-BL'!$A$1:$F$16,MATCH(R1382,'SummaryNOT_VALIDATED-BL'!$A$1:$A$16,0),6),0),IF(S1382=TRUE,INDEX('SummaryNOT_VALIDATED-BL'!$A$1:$F$16,MATCH(E1382,'SummaryNOT_VALIDATED-BL'!$A$1:$A$16,0),6),0)),0)</f>
        <v>0</v>
      </c>
      <c r="V1382" s="81" cm="1">
        <f t="array" ref="V1382">INDEX('Weight tables'!$A$24:$C$27,MATCH(1,(RendicontiTrasmessiBL__2[[#This Row],[Cut percentage on real costs + USC]]&gt;='Weight tables'!$B$24:$B$27)*(RendicontiTrasmessiBL__2[[#This Row],[Cut percentage on real costs + USC]]&lt;='Weight tables'!$C$24:$C$27),0),1)</f>
        <v>0</v>
      </c>
      <c r="W1382" s="2">
        <f>RendicontiTrasmessiBL__2[[#This Row],[Weight real costs  + USC ]]</f>
        <v>0</v>
      </c>
    </row>
    <row r="1383" spans="1:23" x14ac:dyDescent="0.25">
      <c r="A1383" s="1" t="s">
        <v>331</v>
      </c>
      <c r="B1383" s="1" t="s">
        <v>335</v>
      </c>
      <c r="C1383" s="2">
        <v>254</v>
      </c>
      <c r="D1383" s="2">
        <v>226</v>
      </c>
      <c r="E1383" s="1" t="s">
        <v>232</v>
      </c>
      <c r="G1383">
        <v>0</v>
      </c>
      <c r="H1383">
        <v>0</v>
      </c>
      <c r="I1383">
        <v>0</v>
      </c>
      <c r="J1383">
        <v>0</v>
      </c>
      <c r="K1383">
        <v>0</v>
      </c>
      <c r="L1383">
        <v>0</v>
      </c>
      <c r="M1383">
        <v>0</v>
      </c>
      <c r="N1383">
        <v>0</v>
      </c>
      <c r="O1383">
        <v>0</v>
      </c>
      <c r="P1383">
        <v>0</v>
      </c>
      <c r="Q1383" t="str">
        <f>INDEX('Partner data'!A:DH,MATCH(C1383,'Partner data'!DG:DG,0),83)</f>
        <v>Soggetto pubblico</v>
      </c>
      <c r="R1383" t="b">
        <f>IF(E1383="staff",IF(INDEX('Partner data'!A:DH,MATCH(C1383,'Partner data'!DG:DG,0),112)="BL1 non presente","FALSO",INDEX('Partner data'!A:DH,MATCH(C1383,'Partner data'!DG:DG,0),112)))</f>
        <v>0</v>
      </c>
      <c r="S1383" t="b">
        <f t="shared" si="42"/>
        <v>0</v>
      </c>
      <c r="T1383" t="b">
        <f t="shared" si="43"/>
        <v>1</v>
      </c>
      <c r="U1383" s="154">
        <f>IFERROR(IF(R1383&lt;&gt;FALSE,IF(S1383=TRUE,INDEX('SummaryNOT_VALIDATED-BL'!$A$1:$F$16,MATCH(R1383,'SummaryNOT_VALIDATED-BL'!$A$1:$A$16,0),6),0),IF(S1383=TRUE,INDEX('SummaryNOT_VALIDATED-BL'!$A$1:$F$16,MATCH(E1383,'SummaryNOT_VALIDATED-BL'!$A$1:$A$16,0),6),0)),0)</f>
        <v>0</v>
      </c>
      <c r="V1383" s="81" cm="1">
        <f t="array" ref="V1383">INDEX('Weight tables'!$A$24:$C$27,MATCH(1,(RendicontiTrasmessiBL__2[[#This Row],[Cut percentage on real costs + USC]]&gt;='Weight tables'!$B$24:$B$27)*(RendicontiTrasmessiBL__2[[#This Row],[Cut percentage on real costs + USC]]&lt;='Weight tables'!$C$24:$C$27),0),1)</f>
        <v>0</v>
      </c>
      <c r="W1383" s="2">
        <f>RendicontiTrasmessiBL__2[[#This Row],[Weight real costs  + USC ]]</f>
        <v>0</v>
      </c>
    </row>
    <row r="1384" spans="1:23" x14ac:dyDescent="0.25">
      <c r="A1384" s="1" t="s">
        <v>331</v>
      </c>
      <c r="B1384" s="1" t="s">
        <v>335</v>
      </c>
      <c r="C1384" s="2">
        <v>254</v>
      </c>
      <c r="D1384" s="2">
        <v>226</v>
      </c>
      <c r="E1384" s="1" t="s">
        <v>233</v>
      </c>
      <c r="G1384">
        <v>0</v>
      </c>
      <c r="H1384">
        <v>0</v>
      </c>
      <c r="I1384">
        <v>0</v>
      </c>
      <c r="J1384">
        <v>0</v>
      </c>
      <c r="K1384">
        <v>0</v>
      </c>
      <c r="L1384">
        <v>0</v>
      </c>
      <c r="M1384">
        <v>0</v>
      </c>
      <c r="N1384">
        <v>0</v>
      </c>
      <c r="O1384">
        <v>0</v>
      </c>
      <c r="P1384">
        <v>0</v>
      </c>
      <c r="Q1384" t="str">
        <f>INDEX('Partner data'!A:DH,MATCH(C1384,'Partner data'!DG:DG,0),83)</f>
        <v>Soggetto pubblico</v>
      </c>
      <c r="R1384" t="b">
        <f>IF(E1384="staff",IF(INDEX('Partner data'!A:DH,MATCH(C1384,'Partner data'!DG:DG,0),112)="BL1 non presente","FALSO",INDEX('Partner data'!A:DH,MATCH(C1384,'Partner data'!DG:DG,0),112)))</f>
        <v>0</v>
      </c>
      <c r="S1384" t="b">
        <f t="shared" si="42"/>
        <v>0</v>
      </c>
      <c r="T1384" t="b">
        <f t="shared" si="43"/>
        <v>1</v>
      </c>
      <c r="U1384" s="154">
        <f>IFERROR(IF(R1384&lt;&gt;FALSE,IF(S1384=TRUE,INDEX('SummaryNOT_VALIDATED-BL'!$A$1:$F$16,MATCH(R1384,'SummaryNOT_VALIDATED-BL'!$A$1:$A$16,0),6),0),IF(S1384=TRUE,INDEX('SummaryNOT_VALIDATED-BL'!$A$1:$F$16,MATCH(E1384,'SummaryNOT_VALIDATED-BL'!$A$1:$A$16,0),6),0)),0)</f>
        <v>0</v>
      </c>
      <c r="V1384" s="81" cm="1">
        <f t="array" ref="V1384">INDEX('Weight tables'!$A$24:$C$27,MATCH(1,(RendicontiTrasmessiBL__2[[#This Row],[Cut percentage on real costs + USC]]&gt;='Weight tables'!$B$24:$B$27)*(RendicontiTrasmessiBL__2[[#This Row],[Cut percentage on real costs + USC]]&lt;='Weight tables'!$C$24:$C$27),0),1)</f>
        <v>0</v>
      </c>
      <c r="W1384" s="2">
        <f>RendicontiTrasmessiBL__2[[#This Row],[Weight real costs  + USC ]]</f>
        <v>0</v>
      </c>
    </row>
    <row r="1385" spans="1:23" x14ac:dyDescent="0.25">
      <c r="A1385" s="1" t="s">
        <v>331</v>
      </c>
      <c r="B1385" s="1" t="s">
        <v>335</v>
      </c>
      <c r="C1385" s="2">
        <v>254</v>
      </c>
      <c r="D1385" s="2">
        <v>226</v>
      </c>
      <c r="E1385" s="1" t="s">
        <v>234</v>
      </c>
      <c r="G1385">
        <v>0</v>
      </c>
      <c r="H1385">
        <v>0</v>
      </c>
      <c r="I1385">
        <v>0</v>
      </c>
      <c r="J1385">
        <v>0</v>
      </c>
      <c r="K1385">
        <v>0</v>
      </c>
      <c r="L1385">
        <v>0</v>
      </c>
      <c r="M1385">
        <v>0</v>
      </c>
      <c r="N1385">
        <v>0</v>
      </c>
      <c r="O1385">
        <v>0</v>
      </c>
      <c r="P1385">
        <v>0</v>
      </c>
      <c r="Q1385" t="str">
        <f>INDEX('Partner data'!A:DH,MATCH(C1385,'Partner data'!DG:DG,0),83)</f>
        <v>Soggetto pubblico</v>
      </c>
      <c r="R1385" t="b">
        <f>IF(E1385="staff",IF(INDEX('Partner data'!A:DH,MATCH(C1385,'Partner data'!DG:DG,0),112)="BL1 non presente","FALSO",INDEX('Partner data'!A:DH,MATCH(C1385,'Partner data'!DG:DG,0),112)))</f>
        <v>0</v>
      </c>
      <c r="S1385" t="b">
        <f t="shared" si="42"/>
        <v>0</v>
      </c>
      <c r="T1385" t="b">
        <f t="shared" si="43"/>
        <v>1</v>
      </c>
      <c r="U1385" s="154">
        <f>IFERROR(IF(R1385&lt;&gt;FALSE,IF(S1385=TRUE,INDEX('SummaryNOT_VALIDATED-BL'!$A$1:$F$16,MATCH(R1385,'SummaryNOT_VALIDATED-BL'!$A$1:$A$16,0),6),0),IF(S1385=TRUE,INDEX('SummaryNOT_VALIDATED-BL'!$A$1:$F$16,MATCH(E1385,'SummaryNOT_VALIDATED-BL'!$A$1:$A$16,0),6),0)),0)</f>
        <v>0</v>
      </c>
      <c r="V1385" s="81" cm="1">
        <f t="array" ref="V1385">INDEX('Weight tables'!$A$24:$C$27,MATCH(1,(RendicontiTrasmessiBL__2[[#This Row],[Cut percentage on real costs + USC]]&gt;='Weight tables'!$B$24:$B$27)*(RendicontiTrasmessiBL__2[[#This Row],[Cut percentage on real costs + USC]]&lt;='Weight tables'!$C$24:$C$27),0),1)</f>
        <v>0</v>
      </c>
      <c r="W1385" s="2">
        <f>RendicontiTrasmessiBL__2[[#This Row],[Weight real costs  + USC ]]</f>
        <v>0</v>
      </c>
    </row>
    <row r="1386" spans="1:23" x14ac:dyDescent="0.25">
      <c r="A1386" s="1" t="s">
        <v>331</v>
      </c>
      <c r="B1386" s="1" t="s">
        <v>335</v>
      </c>
      <c r="C1386" s="2">
        <v>254</v>
      </c>
      <c r="D1386" s="2">
        <v>226</v>
      </c>
      <c r="E1386" s="1" t="s">
        <v>236</v>
      </c>
      <c r="G1386">
        <v>0</v>
      </c>
      <c r="H1386">
        <v>0</v>
      </c>
      <c r="I1386">
        <v>0</v>
      </c>
      <c r="J1386">
        <v>0</v>
      </c>
      <c r="K1386">
        <v>0</v>
      </c>
      <c r="L1386">
        <v>0</v>
      </c>
      <c r="M1386">
        <v>0</v>
      </c>
      <c r="N1386">
        <v>0</v>
      </c>
      <c r="O1386">
        <v>0</v>
      </c>
      <c r="P1386">
        <v>0</v>
      </c>
      <c r="Q1386" t="str">
        <f>INDEX('Partner data'!A:DH,MATCH(C1386,'Partner data'!DG:DG,0),83)</f>
        <v>Soggetto pubblico</v>
      </c>
      <c r="R1386" t="b">
        <f>IF(E1386="staff",IF(INDEX('Partner data'!A:DH,MATCH(C1386,'Partner data'!DG:DG,0),112)="BL1 non presente","FALSO",INDEX('Partner data'!A:DH,MATCH(C1386,'Partner data'!DG:DG,0),112)))</f>
        <v>0</v>
      </c>
      <c r="S1386" t="b">
        <f t="shared" si="42"/>
        <v>0</v>
      </c>
      <c r="T1386" t="b">
        <f t="shared" si="43"/>
        <v>1</v>
      </c>
      <c r="U1386" s="154">
        <f>IFERROR(IF(R1386&lt;&gt;FALSE,IF(S1386=TRUE,INDEX('SummaryNOT_VALIDATED-BL'!$A$1:$F$16,MATCH(R1386,'SummaryNOT_VALIDATED-BL'!$A$1:$A$16,0),6),0),IF(S1386=TRUE,INDEX('SummaryNOT_VALIDATED-BL'!$A$1:$F$16,MATCH(E1386,'SummaryNOT_VALIDATED-BL'!$A$1:$A$16,0),6),0)),0)</f>
        <v>0</v>
      </c>
      <c r="V1386" s="81" cm="1">
        <f t="array" ref="V1386">INDEX('Weight tables'!$A$24:$C$27,MATCH(1,(RendicontiTrasmessiBL__2[[#This Row],[Cut percentage on real costs + USC]]&gt;='Weight tables'!$B$24:$B$27)*(RendicontiTrasmessiBL__2[[#This Row],[Cut percentage on real costs + USC]]&lt;='Weight tables'!$C$24:$C$27),0),1)</f>
        <v>0</v>
      </c>
      <c r="W1386" s="2">
        <f>RendicontiTrasmessiBL__2[[#This Row],[Weight real costs  + USC ]]</f>
        <v>0</v>
      </c>
    </row>
    <row r="1387" spans="1:23" x14ac:dyDescent="0.25">
      <c r="A1387" s="1" t="s">
        <v>331</v>
      </c>
      <c r="B1387" s="1" t="s">
        <v>335</v>
      </c>
      <c r="C1387" s="2">
        <v>254</v>
      </c>
      <c r="D1387" s="2">
        <v>226</v>
      </c>
      <c r="E1387" s="1" t="s">
        <v>237</v>
      </c>
      <c r="G1387">
        <v>0</v>
      </c>
      <c r="H1387">
        <v>0</v>
      </c>
      <c r="I1387">
        <v>0</v>
      </c>
      <c r="J1387">
        <v>0</v>
      </c>
      <c r="K1387">
        <v>0</v>
      </c>
      <c r="L1387">
        <v>0</v>
      </c>
      <c r="M1387">
        <v>0</v>
      </c>
      <c r="N1387">
        <v>0</v>
      </c>
      <c r="O1387">
        <v>0</v>
      </c>
      <c r="P1387">
        <v>0</v>
      </c>
      <c r="Q1387" t="str">
        <f>INDEX('Partner data'!A:DH,MATCH(C1387,'Partner data'!DG:DG,0),83)</f>
        <v>Soggetto pubblico</v>
      </c>
      <c r="R1387" t="b">
        <f>IF(E1387="staff",IF(INDEX('Partner data'!A:DH,MATCH(C1387,'Partner data'!DG:DG,0),112)="BL1 non presente","FALSO",INDEX('Partner data'!A:DH,MATCH(C1387,'Partner data'!DG:DG,0),112)))</f>
        <v>0</v>
      </c>
      <c r="S1387" t="b">
        <f t="shared" si="42"/>
        <v>0</v>
      </c>
      <c r="T1387" t="b">
        <f t="shared" si="43"/>
        <v>1</v>
      </c>
      <c r="U1387" s="154">
        <f>IFERROR(IF(R1387&lt;&gt;FALSE,IF(S1387=TRUE,INDEX('SummaryNOT_VALIDATED-BL'!$A$1:$F$16,MATCH(R1387,'SummaryNOT_VALIDATED-BL'!$A$1:$A$16,0),6),0),IF(S1387=TRUE,INDEX('SummaryNOT_VALIDATED-BL'!$A$1:$F$16,MATCH(E1387,'SummaryNOT_VALIDATED-BL'!$A$1:$A$16,0),6),0)),0)</f>
        <v>0</v>
      </c>
      <c r="V1387" s="81" cm="1">
        <f t="array" ref="V1387">INDEX('Weight tables'!$A$24:$C$27,MATCH(1,(RendicontiTrasmessiBL__2[[#This Row],[Cut percentage on real costs + USC]]&gt;='Weight tables'!$B$24:$B$27)*(RendicontiTrasmessiBL__2[[#This Row],[Cut percentage on real costs + USC]]&lt;='Weight tables'!$C$24:$C$27),0),1)</f>
        <v>0</v>
      </c>
      <c r="W1387" s="2">
        <f>RendicontiTrasmessiBL__2[[#This Row],[Weight real costs  + USC ]]</f>
        <v>0</v>
      </c>
    </row>
    <row r="1388" spans="1:23" x14ac:dyDescent="0.25">
      <c r="A1388" s="1" t="s">
        <v>331</v>
      </c>
      <c r="B1388" s="1" t="s">
        <v>336</v>
      </c>
      <c r="C1388" s="2">
        <v>255</v>
      </c>
      <c r="D1388" s="2">
        <v>294</v>
      </c>
      <c r="E1388" s="1" t="s">
        <v>228</v>
      </c>
      <c r="G1388">
        <v>38884</v>
      </c>
      <c r="H1388">
        <v>0</v>
      </c>
      <c r="I1388">
        <v>0</v>
      </c>
      <c r="J1388">
        <v>9250</v>
      </c>
      <c r="K1388">
        <v>0</v>
      </c>
      <c r="L1388">
        <v>9142</v>
      </c>
      <c r="M1388">
        <v>9250</v>
      </c>
      <c r="N1388">
        <v>23.79</v>
      </c>
      <c r="O1388">
        <v>29634</v>
      </c>
      <c r="P1388">
        <v>0</v>
      </c>
      <c r="Q1388" t="str">
        <f>INDEX('Partner data'!A:DH,MATCH(C1388,'Partner data'!DG:DG,0),83)</f>
        <v>Soggetto privato</v>
      </c>
      <c r="R1388" t="str">
        <f>IF(E1388="staff",IF(INDEX('Partner data'!A:DH,MATCH(C1388,'Partner data'!DG:DG,0),112)="BL1 non presente","FALSO",INDEX('Partner data'!A:DH,MATCH(C1388,'Partner data'!DG:DG,0),112)))</f>
        <v>Costo Unitario Standard</v>
      </c>
      <c r="S1388" t="b">
        <f t="shared" si="42"/>
        <v>1</v>
      </c>
      <c r="T1388" t="b">
        <f t="shared" si="43"/>
        <v>0</v>
      </c>
      <c r="U1388" s="154">
        <f>IFERROR(IF(R1388&lt;&gt;FALSE,IF(S1388=TRUE,INDEX('SummaryNOT_VALIDATED-BL'!$A$1:$F$16,MATCH(R1388,'SummaryNOT_VALIDATED-BL'!$A$1:$A$16,0),6),0),IF(S1388=TRUE,INDEX('SummaryNOT_VALIDATED-BL'!$A$1:$F$16,MATCH(E1388,'SummaryNOT_VALIDATED-BL'!$A$1:$A$16,0),6),0)),0)</f>
        <v>3.2052879635441428E-2</v>
      </c>
      <c r="V1388" s="81" cm="1">
        <f t="array" ref="V1388">INDEX('Weight tables'!$A$24:$C$27,MATCH(1,(RendicontiTrasmessiBL__2[[#This Row],[Cut percentage on real costs + USC]]&gt;='Weight tables'!$B$24:$B$27)*(RendicontiTrasmessiBL__2[[#This Row],[Cut percentage on real costs + USC]]&lt;='Weight tables'!$C$24:$C$27),0),1)</f>
        <v>2</v>
      </c>
      <c r="W1388" s="2">
        <f>RendicontiTrasmessiBL__2[[#This Row],[Weight real costs  + USC ]]</f>
        <v>2</v>
      </c>
    </row>
    <row r="1389" spans="1:23" x14ac:dyDescent="0.25">
      <c r="A1389" s="1" t="s">
        <v>331</v>
      </c>
      <c r="B1389" s="1" t="s">
        <v>336</v>
      </c>
      <c r="C1389" s="2">
        <v>255</v>
      </c>
      <c r="D1389" s="2">
        <v>294</v>
      </c>
      <c r="E1389" s="1" t="s">
        <v>229</v>
      </c>
      <c r="F1389">
        <v>15</v>
      </c>
      <c r="G1389">
        <v>5832.6</v>
      </c>
      <c r="H1389">
        <v>0</v>
      </c>
      <c r="I1389">
        <v>0</v>
      </c>
      <c r="J1389">
        <v>1387.5</v>
      </c>
      <c r="K1389">
        <v>0</v>
      </c>
      <c r="L1389">
        <v>1371.3</v>
      </c>
      <c r="M1389">
        <v>1387.5</v>
      </c>
      <c r="N1389">
        <v>23.79</v>
      </c>
      <c r="O1389">
        <v>4445.1000000000004</v>
      </c>
      <c r="P1389">
        <v>0</v>
      </c>
      <c r="Q1389" t="str">
        <f>INDEX('Partner data'!A:DH,MATCH(C1389,'Partner data'!DG:DG,0),83)</f>
        <v>Soggetto privato</v>
      </c>
      <c r="R1389" t="b">
        <f>IF(E1389="staff",IF(INDEX('Partner data'!A:DH,MATCH(C1389,'Partner data'!DG:DG,0),112)="BL1 non presente","FALSO",INDEX('Partner data'!A:DH,MATCH(C1389,'Partner data'!DG:DG,0),112)))</f>
        <v>0</v>
      </c>
      <c r="S1389" t="b">
        <f t="shared" si="42"/>
        <v>1</v>
      </c>
      <c r="T1389" t="b">
        <f t="shared" si="43"/>
        <v>0</v>
      </c>
      <c r="U1389" s="154">
        <f>IFERROR(IF(R1389&lt;&gt;FALSE,IF(S1389=TRUE,INDEX('SummaryNOT_VALIDATED-BL'!$A$1:$F$16,MATCH(R1389,'SummaryNOT_VALIDATED-BL'!$A$1:$A$16,0),6),0),IF(S1389=TRUE,INDEX('SummaryNOT_VALIDATED-BL'!$A$1:$F$16,MATCH(E1389,'SummaryNOT_VALIDATED-BL'!$A$1:$A$16,0),6),0)),0)</f>
        <v>6.6460469504890221E-2</v>
      </c>
      <c r="V1389" s="81" cm="1">
        <f t="array" ref="V1389">INDEX('Weight tables'!$A$24:$C$27,MATCH(1,(RendicontiTrasmessiBL__2[[#This Row],[Cut percentage on real costs + USC]]&gt;='Weight tables'!$B$24:$B$27)*(RendicontiTrasmessiBL__2[[#This Row],[Cut percentage on real costs + USC]]&lt;='Weight tables'!$C$24:$C$27),0),1)</f>
        <v>4</v>
      </c>
      <c r="W1389" s="2">
        <f>RendicontiTrasmessiBL__2[[#This Row],[Weight real costs  + USC ]]</f>
        <v>4</v>
      </c>
    </row>
    <row r="1390" spans="1:23" x14ac:dyDescent="0.25">
      <c r="A1390" s="1" t="s">
        <v>331</v>
      </c>
      <c r="B1390" s="1" t="s">
        <v>336</v>
      </c>
      <c r="C1390" s="2">
        <v>255</v>
      </c>
      <c r="D1390" s="2">
        <v>294</v>
      </c>
      <c r="E1390" s="1" t="s">
        <v>230</v>
      </c>
      <c r="F1390">
        <v>4</v>
      </c>
      <c r="G1390">
        <v>1555.36</v>
      </c>
      <c r="H1390">
        <v>0</v>
      </c>
      <c r="I1390">
        <v>0</v>
      </c>
      <c r="J1390">
        <v>370</v>
      </c>
      <c r="K1390">
        <v>0</v>
      </c>
      <c r="L1390">
        <v>365.68</v>
      </c>
      <c r="M1390">
        <v>370</v>
      </c>
      <c r="N1390">
        <v>23.79</v>
      </c>
      <c r="O1390">
        <v>1185.3599999999999</v>
      </c>
      <c r="P1390">
        <v>0</v>
      </c>
      <c r="Q1390" t="str">
        <f>INDEX('Partner data'!A:DH,MATCH(C1390,'Partner data'!DG:DG,0),83)</f>
        <v>Soggetto privato</v>
      </c>
      <c r="R1390" t="b">
        <f>IF(E1390="staff",IF(INDEX('Partner data'!A:DH,MATCH(C1390,'Partner data'!DG:DG,0),112)="BL1 non presente","FALSO",INDEX('Partner data'!A:DH,MATCH(C1390,'Partner data'!DG:DG,0),112)))</f>
        <v>0</v>
      </c>
      <c r="S1390" t="b">
        <f t="shared" si="42"/>
        <v>1</v>
      </c>
      <c r="T1390" t="b">
        <f t="shared" si="43"/>
        <v>0</v>
      </c>
      <c r="U1390" s="154">
        <f>IFERROR(IF(R1390&lt;&gt;FALSE,IF(S1390=TRUE,INDEX('SummaryNOT_VALIDATED-BL'!$A$1:$F$16,MATCH(R1390,'SummaryNOT_VALIDATED-BL'!$A$1:$A$16,0),6),0),IF(S1390=TRUE,INDEX('SummaryNOT_VALIDATED-BL'!$A$1:$F$16,MATCH(E1390,'SummaryNOT_VALIDATED-BL'!$A$1:$A$16,0),6),0)),0)</f>
        <v>6.3112622236488891E-2</v>
      </c>
      <c r="V1390" s="81" cm="1">
        <f t="array" ref="V1390">INDEX('Weight tables'!$A$24:$C$27,MATCH(1,(RendicontiTrasmessiBL__2[[#This Row],[Cut percentage on real costs + USC]]&gt;='Weight tables'!$B$24:$B$27)*(RendicontiTrasmessiBL__2[[#This Row],[Cut percentage on real costs + USC]]&lt;='Weight tables'!$C$24:$C$27),0),1)</f>
        <v>4</v>
      </c>
      <c r="W1390" s="2">
        <f>RendicontiTrasmessiBL__2[[#This Row],[Weight real costs  + USC ]]</f>
        <v>4</v>
      </c>
    </row>
    <row r="1391" spans="1:23" x14ac:dyDescent="0.25">
      <c r="A1391" s="1" t="s">
        <v>331</v>
      </c>
      <c r="B1391" s="1" t="s">
        <v>336</v>
      </c>
      <c r="C1391" s="2">
        <v>255</v>
      </c>
      <c r="D1391" s="2">
        <v>294</v>
      </c>
      <c r="E1391" s="1" t="s">
        <v>231</v>
      </c>
      <c r="G1391">
        <v>119478.04</v>
      </c>
      <c r="H1391">
        <v>0</v>
      </c>
      <c r="I1391">
        <v>0</v>
      </c>
      <c r="J1391">
        <v>0</v>
      </c>
      <c r="K1391">
        <v>0</v>
      </c>
      <c r="L1391">
        <v>0</v>
      </c>
      <c r="M1391">
        <v>0</v>
      </c>
      <c r="N1391">
        <v>0</v>
      </c>
      <c r="O1391">
        <v>119478.04</v>
      </c>
      <c r="P1391">
        <v>0</v>
      </c>
      <c r="Q1391" t="str">
        <f>INDEX('Partner data'!A:DH,MATCH(C1391,'Partner data'!DG:DG,0),83)</f>
        <v>Soggetto privato</v>
      </c>
      <c r="R1391" t="b">
        <f>IF(E1391="staff",IF(INDEX('Partner data'!A:DH,MATCH(C1391,'Partner data'!DG:DG,0),112)="BL1 non presente","FALSO",INDEX('Partner data'!A:DH,MATCH(C1391,'Partner data'!DG:DG,0),112)))</f>
        <v>0</v>
      </c>
      <c r="S1391" t="b">
        <f t="shared" si="42"/>
        <v>0</v>
      </c>
      <c r="T1391" t="b">
        <f t="shared" si="43"/>
        <v>0</v>
      </c>
      <c r="U1391" s="154">
        <f>IFERROR(IF(R1391&lt;&gt;FALSE,IF(S1391=TRUE,INDEX('SummaryNOT_VALIDATED-BL'!$A$1:$F$16,MATCH(R1391,'SummaryNOT_VALIDATED-BL'!$A$1:$A$16,0),6),0),IF(S1391=TRUE,INDEX('SummaryNOT_VALIDATED-BL'!$A$1:$F$16,MATCH(E1391,'SummaryNOT_VALIDATED-BL'!$A$1:$A$16,0),6),0)),0)</f>
        <v>0</v>
      </c>
      <c r="V1391" s="81" cm="1">
        <f t="array" ref="V1391">INDEX('Weight tables'!$A$24:$C$27,MATCH(1,(RendicontiTrasmessiBL__2[[#This Row],[Cut percentage on real costs + USC]]&gt;='Weight tables'!$B$24:$B$27)*(RendicontiTrasmessiBL__2[[#This Row],[Cut percentage on real costs + USC]]&lt;='Weight tables'!$C$24:$C$27),0),1)</f>
        <v>0</v>
      </c>
      <c r="W1391" s="2">
        <f>RendicontiTrasmessiBL__2[[#This Row],[Weight real costs  + USC ]]</f>
        <v>0</v>
      </c>
    </row>
    <row r="1392" spans="1:23" x14ac:dyDescent="0.25">
      <c r="A1392" s="1" t="s">
        <v>331</v>
      </c>
      <c r="B1392" s="1" t="s">
        <v>336</v>
      </c>
      <c r="C1392" s="2">
        <v>255</v>
      </c>
      <c r="D1392" s="2">
        <v>294</v>
      </c>
      <c r="E1392" s="1" t="s">
        <v>232</v>
      </c>
      <c r="G1392">
        <v>8000</v>
      </c>
      <c r="H1392">
        <v>0</v>
      </c>
      <c r="I1392">
        <v>0</v>
      </c>
      <c r="J1392">
        <v>0</v>
      </c>
      <c r="K1392">
        <v>0</v>
      </c>
      <c r="L1392">
        <v>0</v>
      </c>
      <c r="M1392">
        <v>0</v>
      </c>
      <c r="N1392">
        <v>0</v>
      </c>
      <c r="O1392">
        <v>8000</v>
      </c>
      <c r="P1392">
        <v>0</v>
      </c>
      <c r="Q1392" t="str">
        <f>INDEX('Partner data'!A:DH,MATCH(C1392,'Partner data'!DG:DG,0),83)</f>
        <v>Soggetto privato</v>
      </c>
      <c r="R1392" t="b">
        <f>IF(E1392="staff",IF(INDEX('Partner data'!A:DH,MATCH(C1392,'Partner data'!DG:DG,0),112)="BL1 non presente","FALSO",INDEX('Partner data'!A:DH,MATCH(C1392,'Partner data'!DG:DG,0),112)))</f>
        <v>0</v>
      </c>
      <c r="S1392" t="b">
        <f t="shared" si="42"/>
        <v>0</v>
      </c>
      <c r="T1392" t="b">
        <f t="shared" si="43"/>
        <v>0</v>
      </c>
      <c r="U1392" s="154">
        <f>IFERROR(IF(R1392&lt;&gt;FALSE,IF(S1392=TRUE,INDEX('SummaryNOT_VALIDATED-BL'!$A$1:$F$16,MATCH(R1392,'SummaryNOT_VALIDATED-BL'!$A$1:$A$16,0),6),0),IF(S1392=TRUE,INDEX('SummaryNOT_VALIDATED-BL'!$A$1:$F$16,MATCH(E1392,'SummaryNOT_VALIDATED-BL'!$A$1:$A$16,0),6),0)),0)</f>
        <v>0</v>
      </c>
      <c r="V1392" s="81" cm="1">
        <f t="array" ref="V1392">INDEX('Weight tables'!$A$24:$C$27,MATCH(1,(RendicontiTrasmessiBL__2[[#This Row],[Cut percentage on real costs + USC]]&gt;='Weight tables'!$B$24:$B$27)*(RendicontiTrasmessiBL__2[[#This Row],[Cut percentage on real costs + USC]]&lt;='Weight tables'!$C$24:$C$27),0),1)</f>
        <v>0</v>
      </c>
      <c r="W1392" s="2">
        <f>RendicontiTrasmessiBL__2[[#This Row],[Weight real costs  + USC ]]</f>
        <v>0</v>
      </c>
    </row>
    <row r="1393" spans="1:23" x14ac:dyDescent="0.25">
      <c r="A1393" s="1" t="s">
        <v>331</v>
      </c>
      <c r="B1393" s="1" t="s">
        <v>336</v>
      </c>
      <c r="C1393" s="2">
        <v>255</v>
      </c>
      <c r="D1393" s="2">
        <v>294</v>
      </c>
      <c r="E1393" s="1" t="s">
        <v>233</v>
      </c>
      <c r="G1393">
        <v>0</v>
      </c>
      <c r="H1393">
        <v>0</v>
      </c>
      <c r="I1393">
        <v>0</v>
      </c>
      <c r="J1393">
        <v>0</v>
      </c>
      <c r="K1393">
        <v>0</v>
      </c>
      <c r="L1393">
        <v>0</v>
      </c>
      <c r="M1393">
        <v>0</v>
      </c>
      <c r="N1393">
        <v>0</v>
      </c>
      <c r="O1393">
        <v>0</v>
      </c>
      <c r="P1393">
        <v>0</v>
      </c>
      <c r="Q1393" t="str">
        <f>INDEX('Partner data'!A:DH,MATCH(C1393,'Partner data'!DG:DG,0),83)</f>
        <v>Soggetto privato</v>
      </c>
      <c r="R1393" t="b">
        <f>IF(E1393="staff",IF(INDEX('Partner data'!A:DH,MATCH(C1393,'Partner data'!DG:DG,0),112)="BL1 non presente","FALSO",INDEX('Partner data'!A:DH,MATCH(C1393,'Partner data'!DG:DG,0),112)))</f>
        <v>0</v>
      </c>
      <c r="S1393" t="b">
        <f t="shared" si="42"/>
        <v>0</v>
      </c>
      <c r="T1393" t="b">
        <f t="shared" si="43"/>
        <v>0</v>
      </c>
      <c r="U1393" s="154">
        <f>IFERROR(IF(R1393&lt;&gt;FALSE,IF(S1393=TRUE,INDEX('SummaryNOT_VALIDATED-BL'!$A$1:$F$16,MATCH(R1393,'SummaryNOT_VALIDATED-BL'!$A$1:$A$16,0),6),0),IF(S1393=TRUE,INDEX('SummaryNOT_VALIDATED-BL'!$A$1:$F$16,MATCH(E1393,'SummaryNOT_VALIDATED-BL'!$A$1:$A$16,0),6),0)),0)</f>
        <v>0</v>
      </c>
      <c r="V1393" s="81" cm="1">
        <f t="array" ref="V1393">INDEX('Weight tables'!$A$24:$C$27,MATCH(1,(RendicontiTrasmessiBL__2[[#This Row],[Cut percentage on real costs + USC]]&gt;='Weight tables'!$B$24:$B$27)*(RendicontiTrasmessiBL__2[[#This Row],[Cut percentage on real costs + USC]]&lt;='Weight tables'!$C$24:$C$27),0),1)</f>
        <v>0</v>
      </c>
      <c r="W1393" s="2">
        <f>RendicontiTrasmessiBL__2[[#This Row],[Weight real costs  + USC ]]</f>
        <v>0</v>
      </c>
    </row>
    <row r="1394" spans="1:23" x14ac:dyDescent="0.25">
      <c r="A1394" s="1" t="s">
        <v>331</v>
      </c>
      <c r="B1394" s="1" t="s">
        <v>336</v>
      </c>
      <c r="C1394" s="2">
        <v>255</v>
      </c>
      <c r="D1394" s="2">
        <v>294</v>
      </c>
      <c r="E1394" s="1" t="s">
        <v>234</v>
      </c>
      <c r="G1394">
        <v>0</v>
      </c>
      <c r="H1394">
        <v>0</v>
      </c>
      <c r="I1394">
        <v>0</v>
      </c>
      <c r="J1394">
        <v>0</v>
      </c>
      <c r="K1394">
        <v>0</v>
      </c>
      <c r="L1394">
        <v>0</v>
      </c>
      <c r="M1394">
        <v>0</v>
      </c>
      <c r="N1394">
        <v>0</v>
      </c>
      <c r="O1394">
        <v>0</v>
      </c>
      <c r="P1394">
        <v>0</v>
      </c>
      <c r="Q1394" t="str">
        <f>INDEX('Partner data'!A:DH,MATCH(C1394,'Partner data'!DG:DG,0),83)</f>
        <v>Soggetto privato</v>
      </c>
      <c r="R1394" t="b">
        <f>IF(E1394="staff",IF(INDEX('Partner data'!A:DH,MATCH(C1394,'Partner data'!DG:DG,0),112)="BL1 non presente","FALSO",INDEX('Partner data'!A:DH,MATCH(C1394,'Partner data'!DG:DG,0),112)))</f>
        <v>0</v>
      </c>
      <c r="S1394" t="b">
        <f t="shared" si="42"/>
        <v>0</v>
      </c>
      <c r="T1394" t="b">
        <f t="shared" si="43"/>
        <v>0</v>
      </c>
      <c r="U1394" s="154">
        <f>IFERROR(IF(R1394&lt;&gt;FALSE,IF(S1394=TRUE,INDEX('SummaryNOT_VALIDATED-BL'!$A$1:$F$16,MATCH(R1394,'SummaryNOT_VALIDATED-BL'!$A$1:$A$16,0),6),0),IF(S1394=TRUE,INDEX('SummaryNOT_VALIDATED-BL'!$A$1:$F$16,MATCH(E1394,'SummaryNOT_VALIDATED-BL'!$A$1:$A$16,0),6),0)),0)</f>
        <v>0</v>
      </c>
      <c r="V1394" s="81" cm="1">
        <f t="array" ref="V1394">INDEX('Weight tables'!$A$24:$C$27,MATCH(1,(RendicontiTrasmessiBL__2[[#This Row],[Cut percentage on real costs + USC]]&gt;='Weight tables'!$B$24:$B$27)*(RendicontiTrasmessiBL__2[[#This Row],[Cut percentage on real costs + USC]]&lt;='Weight tables'!$C$24:$C$27),0),1)</f>
        <v>0</v>
      </c>
      <c r="W1394" s="2">
        <f>RendicontiTrasmessiBL__2[[#This Row],[Weight real costs  + USC ]]</f>
        <v>0</v>
      </c>
    </row>
    <row r="1395" spans="1:23" x14ac:dyDescent="0.25">
      <c r="A1395" s="1" t="s">
        <v>331</v>
      </c>
      <c r="B1395" s="1" t="s">
        <v>336</v>
      </c>
      <c r="C1395" s="2">
        <v>255</v>
      </c>
      <c r="D1395" s="2">
        <v>294</v>
      </c>
      <c r="E1395" s="1" t="s">
        <v>236</v>
      </c>
      <c r="G1395">
        <v>0</v>
      </c>
      <c r="H1395">
        <v>0</v>
      </c>
      <c r="I1395">
        <v>0</v>
      </c>
      <c r="J1395">
        <v>0</v>
      </c>
      <c r="K1395">
        <v>0</v>
      </c>
      <c r="L1395">
        <v>0</v>
      </c>
      <c r="M1395">
        <v>0</v>
      </c>
      <c r="N1395">
        <v>0</v>
      </c>
      <c r="O1395">
        <v>0</v>
      </c>
      <c r="P1395">
        <v>0</v>
      </c>
      <c r="Q1395" t="str">
        <f>INDEX('Partner data'!A:DH,MATCH(C1395,'Partner data'!DG:DG,0),83)</f>
        <v>Soggetto privato</v>
      </c>
      <c r="R1395" t="b">
        <f>IF(E1395="staff",IF(INDEX('Partner data'!A:DH,MATCH(C1395,'Partner data'!DG:DG,0),112)="BL1 non presente","FALSO",INDEX('Partner data'!A:DH,MATCH(C1395,'Partner data'!DG:DG,0),112)))</f>
        <v>0</v>
      </c>
      <c r="S1395" t="b">
        <f t="shared" si="42"/>
        <v>0</v>
      </c>
      <c r="T1395" t="b">
        <f t="shared" si="43"/>
        <v>0</v>
      </c>
      <c r="U1395" s="154">
        <f>IFERROR(IF(R1395&lt;&gt;FALSE,IF(S1395=TRUE,INDEX('SummaryNOT_VALIDATED-BL'!$A$1:$F$16,MATCH(R1395,'SummaryNOT_VALIDATED-BL'!$A$1:$A$16,0),6),0),IF(S1395=TRUE,INDEX('SummaryNOT_VALIDATED-BL'!$A$1:$F$16,MATCH(E1395,'SummaryNOT_VALIDATED-BL'!$A$1:$A$16,0),6),0)),0)</f>
        <v>0</v>
      </c>
      <c r="V1395" s="81" cm="1">
        <f t="array" ref="V1395">INDEX('Weight tables'!$A$24:$C$27,MATCH(1,(RendicontiTrasmessiBL__2[[#This Row],[Cut percentage on real costs + USC]]&gt;='Weight tables'!$B$24:$B$27)*(RendicontiTrasmessiBL__2[[#This Row],[Cut percentage on real costs + USC]]&lt;='Weight tables'!$C$24:$C$27),0),1)</f>
        <v>0</v>
      </c>
      <c r="W1395" s="2">
        <f>RendicontiTrasmessiBL__2[[#This Row],[Weight real costs  + USC ]]</f>
        <v>0</v>
      </c>
    </row>
    <row r="1396" spans="1:23" x14ac:dyDescent="0.25">
      <c r="A1396" s="1" t="s">
        <v>331</v>
      </c>
      <c r="B1396" s="1" t="s">
        <v>336</v>
      </c>
      <c r="C1396" s="2">
        <v>255</v>
      </c>
      <c r="D1396" s="2">
        <v>294</v>
      </c>
      <c r="E1396" s="1" t="s">
        <v>237</v>
      </c>
      <c r="G1396">
        <v>0</v>
      </c>
      <c r="H1396">
        <v>0</v>
      </c>
      <c r="I1396">
        <v>0</v>
      </c>
      <c r="J1396">
        <v>0</v>
      </c>
      <c r="K1396">
        <v>0</v>
      </c>
      <c r="L1396">
        <v>0</v>
      </c>
      <c r="M1396">
        <v>0</v>
      </c>
      <c r="N1396">
        <v>0</v>
      </c>
      <c r="O1396">
        <v>0</v>
      </c>
      <c r="P1396">
        <v>0</v>
      </c>
      <c r="Q1396" t="str">
        <f>INDEX('Partner data'!A:DH,MATCH(C1396,'Partner data'!DG:DG,0),83)</f>
        <v>Soggetto privato</v>
      </c>
      <c r="R1396" t="b">
        <f>IF(E1396="staff",IF(INDEX('Partner data'!A:DH,MATCH(C1396,'Partner data'!DG:DG,0),112)="BL1 non presente","FALSO",INDEX('Partner data'!A:DH,MATCH(C1396,'Partner data'!DG:DG,0),112)))</f>
        <v>0</v>
      </c>
      <c r="S1396" t="b">
        <f t="shared" si="42"/>
        <v>0</v>
      </c>
      <c r="T1396" t="b">
        <f t="shared" si="43"/>
        <v>0</v>
      </c>
      <c r="U1396" s="154">
        <f>IFERROR(IF(R1396&lt;&gt;FALSE,IF(S1396=TRUE,INDEX('SummaryNOT_VALIDATED-BL'!$A$1:$F$16,MATCH(R1396,'SummaryNOT_VALIDATED-BL'!$A$1:$A$16,0),6),0),IF(S1396=TRUE,INDEX('SummaryNOT_VALIDATED-BL'!$A$1:$F$16,MATCH(E1396,'SummaryNOT_VALIDATED-BL'!$A$1:$A$16,0),6),0)),0)</f>
        <v>0</v>
      </c>
      <c r="V1396" s="81" cm="1">
        <f t="array" ref="V1396">INDEX('Weight tables'!$A$24:$C$27,MATCH(1,(RendicontiTrasmessiBL__2[[#This Row],[Cut percentage on real costs + USC]]&gt;='Weight tables'!$B$24:$B$27)*(RendicontiTrasmessiBL__2[[#This Row],[Cut percentage on real costs + USC]]&lt;='Weight tables'!$C$24:$C$27),0),1)</f>
        <v>0</v>
      </c>
      <c r="W1396" s="2">
        <f>RendicontiTrasmessiBL__2[[#This Row],[Weight real costs  + USC ]]</f>
        <v>0</v>
      </c>
    </row>
    <row r="1397" spans="1:23" x14ac:dyDescent="0.25">
      <c r="A1397" s="1" t="s">
        <v>331</v>
      </c>
      <c r="B1397" s="1" t="s">
        <v>330</v>
      </c>
      <c r="C1397" s="2">
        <v>189</v>
      </c>
      <c r="D1397" s="2">
        <v>343</v>
      </c>
      <c r="E1397" s="1" t="s">
        <v>228</v>
      </c>
      <c r="F1397">
        <v>20</v>
      </c>
      <c r="G1397">
        <v>21319.200000000001</v>
      </c>
      <c r="H1397">
        <v>0</v>
      </c>
      <c r="I1397">
        <v>0</v>
      </c>
      <c r="J1397">
        <v>0</v>
      </c>
      <c r="K1397">
        <v>0</v>
      </c>
      <c r="L1397">
        <v>0</v>
      </c>
      <c r="M1397">
        <v>0</v>
      </c>
      <c r="N1397">
        <v>0</v>
      </c>
      <c r="O1397">
        <v>21319.200000000001</v>
      </c>
      <c r="P1397">
        <v>0</v>
      </c>
      <c r="Q1397" t="str">
        <f>INDEX('Partner data'!A:DH,MATCH(C1397,'Partner data'!DG:DG,0),83)</f>
        <v>Soggetto privato</v>
      </c>
      <c r="R1397" t="str">
        <f>IF(E1397="staff",IF(INDEX('Partner data'!A:DH,MATCH(C1397,'Partner data'!DG:DG,0),112)="BL1 non presente","FALSO",INDEX('Partner data'!A:DH,MATCH(C1397,'Partner data'!DG:DG,0),112)))</f>
        <v>Tasso Forfettario 20%</v>
      </c>
      <c r="S1397" t="b">
        <f t="shared" si="42"/>
        <v>0</v>
      </c>
      <c r="T1397" t="b">
        <f t="shared" si="43"/>
        <v>0</v>
      </c>
      <c r="U1397" s="154">
        <f>IFERROR(IF(R1397&lt;&gt;FALSE,IF(S1397=TRUE,INDEX('SummaryNOT_VALIDATED-BL'!$A$1:$F$16,MATCH(R1397,'SummaryNOT_VALIDATED-BL'!$A$1:$A$16,0),6),0),IF(S1397=TRUE,INDEX('SummaryNOT_VALIDATED-BL'!$A$1:$F$16,MATCH(E1397,'SummaryNOT_VALIDATED-BL'!$A$1:$A$16,0),6),0)),0)</f>
        <v>0</v>
      </c>
      <c r="V1397" s="81" cm="1">
        <f t="array" ref="V1397">INDEX('Weight tables'!$A$24:$C$27,MATCH(1,(RendicontiTrasmessiBL__2[[#This Row],[Cut percentage on real costs + USC]]&gt;='Weight tables'!$B$24:$B$27)*(RendicontiTrasmessiBL__2[[#This Row],[Cut percentage on real costs + USC]]&lt;='Weight tables'!$C$24:$C$27),0),1)</f>
        <v>0</v>
      </c>
      <c r="W1397" s="2">
        <f>RendicontiTrasmessiBL__2[[#This Row],[Weight real costs  + USC ]]</f>
        <v>0</v>
      </c>
    </row>
    <row r="1398" spans="1:23" x14ac:dyDescent="0.25">
      <c r="A1398" s="1" t="s">
        <v>331</v>
      </c>
      <c r="B1398" s="1" t="s">
        <v>330</v>
      </c>
      <c r="C1398" s="2">
        <v>189</v>
      </c>
      <c r="D1398" s="2">
        <v>343</v>
      </c>
      <c r="E1398" s="1" t="s">
        <v>229</v>
      </c>
      <c r="F1398">
        <v>15</v>
      </c>
      <c r="G1398">
        <v>3197.88</v>
      </c>
      <c r="H1398">
        <v>0</v>
      </c>
      <c r="I1398">
        <v>0</v>
      </c>
      <c r="J1398">
        <v>0</v>
      </c>
      <c r="K1398">
        <v>0</v>
      </c>
      <c r="L1398">
        <v>0</v>
      </c>
      <c r="M1398">
        <v>0</v>
      </c>
      <c r="N1398">
        <v>0</v>
      </c>
      <c r="O1398">
        <v>3197.88</v>
      </c>
      <c r="P1398">
        <v>0</v>
      </c>
      <c r="Q1398" t="str">
        <f>INDEX('Partner data'!A:DH,MATCH(C1398,'Partner data'!DG:DG,0),83)</f>
        <v>Soggetto privato</v>
      </c>
      <c r="R1398" t="b">
        <f>IF(E1398="staff",IF(INDEX('Partner data'!A:DH,MATCH(C1398,'Partner data'!DG:DG,0),112)="BL1 non presente","FALSO",INDEX('Partner data'!A:DH,MATCH(C1398,'Partner data'!DG:DG,0),112)))</f>
        <v>0</v>
      </c>
      <c r="S1398" t="b">
        <f t="shared" si="42"/>
        <v>0</v>
      </c>
      <c r="T1398" t="b">
        <f t="shared" si="43"/>
        <v>0</v>
      </c>
      <c r="U1398" s="154">
        <f>IFERROR(IF(R1398&lt;&gt;FALSE,IF(S1398=TRUE,INDEX('SummaryNOT_VALIDATED-BL'!$A$1:$F$16,MATCH(R1398,'SummaryNOT_VALIDATED-BL'!$A$1:$A$16,0),6),0),IF(S1398=TRUE,INDEX('SummaryNOT_VALIDATED-BL'!$A$1:$F$16,MATCH(E1398,'SummaryNOT_VALIDATED-BL'!$A$1:$A$16,0),6),0)),0)</f>
        <v>0</v>
      </c>
      <c r="V1398" s="81" cm="1">
        <f t="array" ref="V1398">INDEX('Weight tables'!$A$24:$C$27,MATCH(1,(RendicontiTrasmessiBL__2[[#This Row],[Cut percentage on real costs + USC]]&gt;='Weight tables'!$B$24:$B$27)*(RendicontiTrasmessiBL__2[[#This Row],[Cut percentage on real costs + USC]]&lt;='Weight tables'!$C$24:$C$27),0),1)</f>
        <v>0</v>
      </c>
      <c r="W1398" s="2">
        <f>RendicontiTrasmessiBL__2[[#This Row],[Weight real costs  + USC ]]</f>
        <v>0</v>
      </c>
    </row>
    <row r="1399" spans="1:23" x14ac:dyDescent="0.25">
      <c r="A1399" s="1" t="s">
        <v>331</v>
      </c>
      <c r="B1399" s="1" t="s">
        <v>330</v>
      </c>
      <c r="C1399" s="2">
        <v>189</v>
      </c>
      <c r="D1399" s="2">
        <v>343</v>
      </c>
      <c r="E1399" s="1" t="s">
        <v>230</v>
      </c>
      <c r="F1399">
        <v>4</v>
      </c>
      <c r="G1399">
        <v>852.76</v>
      </c>
      <c r="H1399">
        <v>0</v>
      </c>
      <c r="I1399">
        <v>0</v>
      </c>
      <c r="J1399">
        <v>0</v>
      </c>
      <c r="K1399">
        <v>0</v>
      </c>
      <c r="L1399">
        <v>0</v>
      </c>
      <c r="M1399">
        <v>0</v>
      </c>
      <c r="N1399">
        <v>0</v>
      </c>
      <c r="O1399">
        <v>852.76</v>
      </c>
      <c r="P1399">
        <v>0</v>
      </c>
      <c r="Q1399" t="str">
        <f>INDEX('Partner data'!A:DH,MATCH(C1399,'Partner data'!DG:DG,0),83)</f>
        <v>Soggetto privato</v>
      </c>
      <c r="R1399" t="b">
        <f>IF(E1399="staff",IF(INDEX('Partner data'!A:DH,MATCH(C1399,'Partner data'!DG:DG,0),112)="BL1 non presente","FALSO",INDEX('Partner data'!A:DH,MATCH(C1399,'Partner data'!DG:DG,0),112)))</f>
        <v>0</v>
      </c>
      <c r="S1399" t="b">
        <f t="shared" si="42"/>
        <v>0</v>
      </c>
      <c r="T1399" t="b">
        <f t="shared" si="43"/>
        <v>0</v>
      </c>
      <c r="U1399" s="154">
        <f>IFERROR(IF(R1399&lt;&gt;FALSE,IF(S1399=TRUE,INDEX('SummaryNOT_VALIDATED-BL'!$A$1:$F$16,MATCH(R1399,'SummaryNOT_VALIDATED-BL'!$A$1:$A$16,0),6),0),IF(S1399=TRUE,INDEX('SummaryNOT_VALIDATED-BL'!$A$1:$F$16,MATCH(E1399,'SummaryNOT_VALIDATED-BL'!$A$1:$A$16,0),6),0)),0)</f>
        <v>0</v>
      </c>
      <c r="V1399" s="81" cm="1">
        <f t="array" ref="V1399">INDEX('Weight tables'!$A$24:$C$27,MATCH(1,(RendicontiTrasmessiBL__2[[#This Row],[Cut percentage on real costs + USC]]&gt;='Weight tables'!$B$24:$B$27)*(RendicontiTrasmessiBL__2[[#This Row],[Cut percentage on real costs + USC]]&lt;='Weight tables'!$C$24:$C$27),0),1)</f>
        <v>0</v>
      </c>
      <c r="W1399" s="2">
        <f>RendicontiTrasmessiBL__2[[#This Row],[Weight real costs  + USC ]]</f>
        <v>0</v>
      </c>
    </row>
    <row r="1400" spans="1:23" x14ac:dyDescent="0.25">
      <c r="A1400" s="1" t="s">
        <v>331</v>
      </c>
      <c r="B1400" s="1" t="s">
        <v>330</v>
      </c>
      <c r="C1400" s="2">
        <v>189</v>
      </c>
      <c r="D1400" s="2">
        <v>343</v>
      </c>
      <c r="E1400" s="1" t="s">
        <v>231</v>
      </c>
      <c r="G1400">
        <v>83196</v>
      </c>
      <c r="H1400">
        <v>0</v>
      </c>
      <c r="I1400">
        <v>0</v>
      </c>
      <c r="J1400">
        <v>0</v>
      </c>
      <c r="K1400">
        <v>0</v>
      </c>
      <c r="L1400">
        <v>0</v>
      </c>
      <c r="M1400">
        <v>0</v>
      </c>
      <c r="N1400">
        <v>0</v>
      </c>
      <c r="O1400">
        <v>83196</v>
      </c>
      <c r="P1400">
        <v>0</v>
      </c>
      <c r="Q1400" t="str">
        <f>INDEX('Partner data'!A:DH,MATCH(C1400,'Partner data'!DG:DG,0),83)</f>
        <v>Soggetto privato</v>
      </c>
      <c r="R1400" t="b">
        <f>IF(E1400="staff",IF(INDEX('Partner data'!A:DH,MATCH(C1400,'Partner data'!DG:DG,0),112)="BL1 non presente","FALSO",INDEX('Partner data'!A:DH,MATCH(C1400,'Partner data'!DG:DG,0),112)))</f>
        <v>0</v>
      </c>
      <c r="S1400" t="b">
        <f t="shared" si="42"/>
        <v>0</v>
      </c>
      <c r="T1400" t="b">
        <f t="shared" si="43"/>
        <v>0</v>
      </c>
      <c r="U1400" s="154">
        <f>IFERROR(IF(R1400&lt;&gt;FALSE,IF(S1400=TRUE,INDEX('SummaryNOT_VALIDATED-BL'!$A$1:$F$16,MATCH(R1400,'SummaryNOT_VALIDATED-BL'!$A$1:$A$16,0),6),0),IF(S1400=TRUE,INDEX('SummaryNOT_VALIDATED-BL'!$A$1:$F$16,MATCH(E1400,'SummaryNOT_VALIDATED-BL'!$A$1:$A$16,0),6),0)),0)</f>
        <v>0</v>
      </c>
      <c r="V1400" s="81" cm="1">
        <f t="array" ref="V1400">INDEX('Weight tables'!$A$24:$C$27,MATCH(1,(RendicontiTrasmessiBL__2[[#This Row],[Cut percentage on real costs + USC]]&gt;='Weight tables'!$B$24:$B$27)*(RendicontiTrasmessiBL__2[[#This Row],[Cut percentage on real costs + USC]]&lt;='Weight tables'!$C$24:$C$27),0),1)</f>
        <v>0</v>
      </c>
      <c r="W1400" s="2">
        <f>RendicontiTrasmessiBL__2[[#This Row],[Weight real costs  + USC ]]</f>
        <v>0</v>
      </c>
    </row>
    <row r="1401" spans="1:23" x14ac:dyDescent="0.25">
      <c r="A1401" s="1" t="s">
        <v>331</v>
      </c>
      <c r="B1401" s="1" t="s">
        <v>330</v>
      </c>
      <c r="C1401" s="2">
        <v>189</v>
      </c>
      <c r="D1401" s="2">
        <v>343</v>
      </c>
      <c r="E1401" s="1" t="s">
        <v>232</v>
      </c>
      <c r="G1401">
        <v>11200</v>
      </c>
      <c r="H1401">
        <v>0</v>
      </c>
      <c r="I1401">
        <v>0</v>
      </c>
      <c r="J1401">
        <v>0</v>
      </c>
      <c r="K1401">
        <v>0</v>
      </c>
      <c r="L1401">
        <v>0</v>
      </c>
      <c r="M1401">
        <v>0</v>
      </c>
      <c r="N1401">
        <v>0</v>
      </c>
      <c r="O1401">
        <v>11200</v>
      </c>
      <c r="P1401">
        <v>0</v>
      </c>
      <c r="Q1401" t="str">
        <f>INDEX('Partner data'!A:DH,MATCH(C1401,'Partner data'!DG:DG,0),83)</f>
        <v>Soggetto privato</v>
      </c>
      <c r="R1401" t="b">
        <f>IF(E1401="staff",IF(INDEX('Partner data'!A:DH,MATCH(C1401,'Partner data'!DG:DG,0),112)="BL1 non presente","FALSO",INDEX('Partner data'!A:DH,MATCH(C1401,'Partner data'!DG:DG,0),112)))</f>
        <v>0</v>
      </c>
      <c r="S1401" t="b">
        <f t="shared" si="42"/>
        <v>0</v>
      </c>
      <c r="T1401" t="b">
        <f t="shared" si="43"/>
        <v>0</v>
      </c>
      <c r="U1401" s="154">
        <f>IFERROR(IF(R1401&lt;&gt;FALSE,IF(S1401=TRUE,INDEX('SummaryNOT_VALIDATED-BL'!$A$1:$F$16,MATCH(R1401,'SummaryNOT_VALIDATED-BL'!$A$1:$A$16,0),6),0),IF(S1401=TRUE,INDEX('SummaryNOT_VALIDATED-BL'!$A$1:$F$16,MATCH(E1401,'SummaryNOT_VALIDATED-BL'!$A$1:$A$16,0),6),0)),0)</f>
        <v>0</v>
      </c>
      <c r="V1401" s="81" cm="1">
        <f t="array" ref="V1401">INDEX('Weight tables'!$A$24:$C$27,MATCH(1,(RendicontiTrasmessiBL__2[[#This Row],[Cut percentage on real costs + USC]]&gt;='Weight tables'!$B$24:$B$27)*(RendicontiTrasmessiBL__2[[#This Row],[Cut percentage on real costs + USC]]&lt;='Weight tables'!$C$24:$C$27),0),1)</f>
        <v>0</v>
      </c>
      <c r="W1401" s="2">
        <f>RendicontiTrasmessiBL__2[[#This Row],[Weight real costs  + USC ]]</f>
        <v>0</v>
      </c>
    </row>
    <row r="1402" spans="1:23" x14ac:dyDescent="0.25">
      <c r="A1402" s="1" t="s">
        <v>331</v>
      </c>
      <c r="B1402" s="1" t="s">
        <v>330</v>
      </c>
      <c r="C1402" s="2">
        <v>189</v>
      </c>
      <c r="D1402" s="2">
        <v>343</v>
      </c>
      <c r="E1402" s="1" t="s">
        <v>233</v>
      </c>
      <c r="G1402">
        <v>12200</v>
      </c>
      <c r="H1402">
        <v>0</v>
      </c>
      <c r="I1402">
        <v>0</v>
      </c>
      <c r="J1402">
        <v>0</v>
      </c>
      <c r="K1402">
        <v>0</v>
      </c>
      <c r="L1402">
        <v>0</v>
      </c>
      <c r="M1402">
        <v>0</v>
      </c>
      <c r="N1402">
        <v>0</v>
      </c>
      <c r="O1402">
        <v>12200</v>
      </c>
      <c r="P1402">
        <v>0</v>
      </c>
      <c r="Q1402" t="str">
        <f>INDEX('Partner data'!A:DH,MATCH(C1402,'Partner data'!DG:DG,0),83)</f>
        <v>Soggetto privato</v>
      </c>
      <c r="R1402" t="b">
        <f>IF(E1402="staff",IF(INDEX('Partner data'!A:DH,MATCH(C1402,'Partner data'!DG:DG,0),112)="BL1 non presente","FALSO",INDEX('Partner data'!A:DH,MATCH(C1402,'Partner data'!DG:DG,0),112)))</f>
        <v>0</v>
      </c>
      <c r="S1402" t="b">
        <f t="shared" si="42"/>
        <v>0</v>
      </c>
      <c r="T1402" t="b">
        <f t="shared" si="43"/>
        <v>0</v>
      </c>
      <c r="U1402" s="154">
        <f>IFERROR(IF(R1402&lt;&gt;FALSE,IF(S1402=TRUE,INDEX('SummaryNOT_VALIDATED-BL'!$A$1:$F$16,MATCH(R1402,'SummaryNOT_VALIDATED-BL'!$A$1:$A$16,0),6),0),IF(S1402=TRUE,INDEX('SummaryNOT_VALIDATED-BL'!$A$1:$F$16,MATCH(E1402,'SummaryNOT_VALIDATED-BL'!$A$1:$A$16,0),6),0)),0)</f>
        <v>0</v>
      </c>
      <c r="V1402" s="81" cm="1">
        <f t="array" ref="V1402">INDEX('Weight tables'!$A$24:$C$27,MATCH(1,(RendicontiTrasmessiBL__2[[#This Row],[Cut percentage on real costs + USC]]&gt;='Weight tables'!$B$24:$B$27)*(RendicontiTrasmessiBL__2[[#This Row],[Cut percentage on real costs + USC]]&lt;='Weight tables'!$C$24:$C$27),0),1)</f>
        <v>0</v>
      </c>
      <c r="W1402" s="2">
        <f>RendicontiTrasmessiBL__2[[#This Row],[Weight real costs  + USC ]]</f>
        <v>0</v>
      </c>
    </row>
    <row r="1403" spans="1:23" x14ac:dyDescent="0.25">
      <c r="A1403" s="1" t="s">
        <v>331</v>
      </c>
      <c r="B1403" s="1" t="s">
        <v>330</v>
      </c>
      <c r="C1403" s="2">
        <v>189</v>
      </c>
      <c r="D1403" s="2">
        <v>343</v>
      </c>
      <c r="E1403" s="1" t="s">
        <v>234</v>
      </c>
      <c r="G1403">
        <v>0</v>
      </c>
      <c r="H1403">
        <v>0</v>
      </c>
      <c r="I1403">
        <v>0</v>
      </c>
      <c r="J1403">
        <v>0</v>
      </c>
      <c r="K1403">
        <v>0</v>
      </c>
      <c r="L1403">
        <v>0</v>
      </c>
      <c r="M1403">
        <v>0</v>
      </c>
      <c r="N1403">
        <v>0</v>
      </c>
      <c r="O1403">
        <v>0</v>
      </c>
      <c r="P1403">
        <v>0</v>
      </c>
      <c r="Q1403" t="str">
        <f>INDEX('Partner data'!A:DH,MATCH(C1403,'Partner data'!DG:DG,0),83)</f>
        <v>Soggetto privato</v>
      </c>
      <c r="R1403" t="b">
        <f>IF(E1403="staff",IF(INDEX('Partner data'!A:DH,MATCH(C1403,'Partner data'!DG:DG,0),112)="BL1 non presente","FALSO",INDEX('Partner data'!A:DH,MATCH(C1403,'Partner data'!DG:DG,0),112)))</f>
        <v>0</v>
      </c>
      <c r="S1403" t="b">
        <f t="shared" si="42"/>
        <v>0</v>
      </c>
      <c r="T1403" t="b">
        <f t="shared" si="43"/>
        <v>0</v>
      </c>
      <c r="U1403" s="154">
        <f>IFERROR(IF(R1403&lt;&gt;FALSE,IF(S1403=TRUE,INDEX('SummaryNOT_VALIDATED-BL'!$A$1:$F$16,MATCH(R1403,'SummaryNOT_VALIDATED-BL'!$A$1:$A$16,0),6),0),IF(S1403=TRUE,INDEX('SummaryNOT_VALIDATED-BL'!$A$1:$F$16,MATCH(E1403,'SummaryNOT_VALIDATED-BL'!$A$1:$A$16,0),6),0)),0)</f>
        <v>0</v>
      </c>
      <c r="V1403" s="81" cm="1">
        <f t="array" ref="V1403">INDEX('Weight tables'!$A$24:$C$27,MATCH(1,(RendicontiTrasmessiBL__2[[#This Row],[Cut percentage on real costs + USC]]&gt;='Weight tables'!$B$24:$B$27)*(RendicontiTrasmessiBL__2[[#This Row],[Cut percentage on real costs + USC]]&lt;='Weight tables'!$C$24:$C$27),0),1)</f>
        <v>0</v>
      </c>
      <c r="W1403" s="2">
        <f>RendicontiTrasmessiBL__2[[#This Row],[Weight real costs  + USC ]]</f>
        <v>0</v>
      </c>
    </row>
    <row r="1404" spans="1:23" x14ac:dyDescent="0.25">
      <c r="A1404" s="1" t="s">
        <v>331</v>
      </c>
      <c r="B1404" s="1" t="s">
        <v>330</v>
      </c>
      <c r="C1404" s="2">
        <v>189</v>
      </c>
      <c r="D1404" s="2">
        <v>343</v>
      </c>
      <c r="E1404" s="1" t="s">
        <v>236</v>
      </c>
      <c r="G1404">
        <v>0</v>
      </c>
      <c r="H1404">
        <v>0</v>
      </c>
      <c r="I1404">
        <v>0</v>
      </c>
      <c r="J1404">
        <v>0</v>
      </c>
      <c r="K1404">
        <v>0</v>
      </c>
      <c r="L1404">
        <v>0</v>
      </c>
      <c r="M1404">
        <v>0</v>
      </c>
      <c r="N1404">
        <v>0</v>
      </c>
      <c r="O1404">
        <v>0</v>
      </c>
      <c r="P1404">
        <v>0</v>
      </c>
      <c r="Q1404" t="str">
        <f>INDEX('Partner data'!A:DH,MATCH(C1404,'Partner data'!DG:DG,0),83)</f>
        <v>Soggetto privato</v>
      </c>
      <c r="R1404" t="b">
        <f>IF(E1404="staff",IF(INDEX('Partner data'!A:DH,MATCH(C1404,'Partner data'!DG:DG,0),112)="BL1 non presente","FALSO",INDEX('Partner data'!A:DH,MATCH(C1404,'Partner data'!DG:DG,0),112)))</f>
        <v>0</v>
      </c>
      <c r="S1404" t="b">
        <f t="shared" si="42"/>
        <v>0</v>
      </c>
      <c r="T1404" t="b">
        <f t="shared" si="43"/>
        <v>0</v>
      </c>
      <c r="U1404" s="154">
        <f>IFERROR(IF(R1404&lt;&gt;FALSE,IF(S1404=TRUE,INDEX('SummaryNOT_VALIDATED-BL'!$A$1:$F$16,MATCH(R1404,'SummaryNOT_VALIDATED-BL'!$A$1:$A$16,0),6),0),IF(S1404=TRUE,INDEX('SummaryNOT_VALIDATED-BL'!$A$1:$F$16,MATCH(E1404,'SummaryNOT_VALIDATED-BL'!$A$1:$A$16,0),6),0)),0)</f>
        <v>0</v>
      </c>
      <c r="V1404" s="81" cm="1">
        <f t="array" ref="V1404">INDEX('Weight tables'!$A$24:$C$27,MATCH(1,(RendicontiTrasmessiBL__2[[#This Row],[Cut percentage on real costs + USC]]&gt;='Weight tables'!$B$24:$B$27)*(RendicontiTrasmessiBL__2[[#This Row],[Cut percentage on real costs + USC]]&lt;='Weight tables'!$C$24:$C$27),0),1)</f>
        <v>0</v>
      </c>
      <c r="W1404" s="2">
        <f>RendicontiTrasmessiBL__2[[#This Row],[Weight real costs  + USC ]]</f>
        <v>0</v>
      </c>
    </row>
    <row r="1405" spans="1:23" x14ac:dyDescent="0.25">
      <c r="A1405" s="1" t="s">
        <v>331</v>
      </c>
      <c r="B1405" s="1" t="s">
        <v>330</v>
      </c>
      <c r="C1405" s="2">
        <v>189</v>
      </c>
      <c r="D1405" s="2">
        <v>343</v>
      </c>
      <c r="E1405" s="1" t="s">
        <v>237</v>
      </c>
      <c r="G1405">
        <v>0</v>
      </c>
      <c r="H1405">
        <v>0</v>
      </c>
      <c r="I1405">
        <v>0</v>
      </c>
      <c r="J1405">
        <v>0</v>
      </c>
      <c r="K1405">
        <v>0</v>
      </c>
      <c r="L1405">
        <v>0</v>
      </c>
      <c r="M1405">
        <v>0</v>
      </c>
      <c r="N1405">
        <v>0</v>
      </c>
      <c r="O1405">
        <v>0</v>
      </c>
      <c r="P1405">
        <v>0</v>
      </c>
      <c r="Q1405" t="str">
        <f>INDEX('Partner data'!A:DH,MATCH(C1405,'Partner data'!DG:DG,0),83)</f>
        <v>Soggetto privato</v>
      </c>
      <c r="R1405" t="b">
        <f>IF(E1405="staff",IF(INDEX('Partner data'!A:DH,MATCH(C1405,'Partner data'!DG:DG,0),112)="BL1 non presente","FALSO",INDEX('Partner data'!A:DH,MATCH(C1405,'Partner data'!DG:DG,0),112)))</f>
        <v>0</v>
      </c>
      <c r="S1405" t="b">
        <f t="shared" si="42"/>
        <v>0</v>
      </c>
      <c r="T1405" t="b">
        <f t="shared" si="43"/>
        <v>0</v>
      </c>
      <c r="U1405" s="154">
        <f>IFERROR(IF(R1405&lt;&gt;FALSE,IF(S1405=TRUE,INDEX('SummaryNOT_VALIDATED-BL'!$A$1:$F$16,MATCH(R1405,'SummaryNOT_VALIDATED-BL'!$A$1:$A$16,0),6),0),IF(S1405=TRUE,INDEX('SummaryNOT_VALIDATED-BL'!$A$1:$F$16,MATCH(E1405,'SummaryNOT_VALIDATED-BL'!$A$1:$A$16,0),6),0)),0)</f>
        <v>0</v>
      </c>
      <c r="V1405" s="81" cm="1">
        <f t="array" ref="V1405">INDEX('Weight tables'!$A$24:$C$27,MATCH(1,(RendicontiTrasmessiBL__2[[#This Row],[Cut percentage on real costs + USC]]&gt;='Weight tables'!$B$24:$B$27)*(RendicontiTrasmessiBL__2[[#This Row],[Cut percentage on real costs + USC]]&lt;='Weight tables'!$C$24:$C$27),0),1)</f>
        <v>0</v>
      </c>
      <c r="W1405" s="2">
        <f>RendicontiTrasmessiBL__2[[#This Row],[Weight real costs  + USC ]]</f>
        <v>0</v>
      </c>
    </row>
    <row r="1406" spans="1:23" x14ac:dyDescent="0.25">
      <c r="A1406" s="1" t="s">
        <v>350</v>
      </c>
      <c r="B1406" s="1" t="s">
        <v>351</v>
      </c>
      <c r="C1406" s="2">
        <v>176</v>
      </c>
      <c r="D1406" s="2">
        <v>300</v>
      </c>
      <c r="E1406" s="1" t="s">
        <v>228</v>
      </c>
      <c r="G1406">
        <v>25100</v>
      </c>
      <c r="H1406">
        <v>0</v>
      </c>
      <c r="I1406">
        <v>0</v>
      </c>
      <c r="J1406">
        <v>4899</v>
      </c>
      <c r="K1406">
        <v>0</v>
      </c>
      <c r="L1406">
        <v>0</v>
      </c>
      <c r="M1406">
        <v>4899</v>
      </c>
      <c r="N1406">
        <v>19.52</v>
      </c>
      <c r="O1406">
        <v>20201</v>
      </c>
      <c r="P1406">
        <v>0</v>
      </c>
      <c r="Q1406" t="str">
        <f>INDEX('Partner data'!A:DH,MATCH(C1406,'Partner data'!DG:DG,0),83)</f>
        <v xml:space="preserve">Organismo di diritto pubblico </v>
      </c>
      <c r="R1406" t="str">
        <f>IF(E1406="staff",IF(INDEX('Partner data'!A:DH,MATCH(C1406,'Partner data'!DG:DG,0),112)="BL1 non presente","FALSO",INDEX('Partner data'!A:DH,MATCH(C1406,'Partner data'!DG:DG,0),112)))</f>
        <v>Costo Unitario Standard</v>
      </c>
      <c r="S1406" t="b">
        <f t="shared" si="42"/>
        <v>1</v>
      </c>
      <c r="T1406" t="b">
        <f t="shared" si="43"/>
        <v>1</v>
      </c>
      <c r="U1406" s="154">
        <f>IFERROR(IF(R1406&lt;&gt;FALSE,IF(S1406=TRUE,INDEX('SummaryNOT_VALIDATED-BL'!$A$1:$F$16,MATCH(R1406,'SummaryNOT_VALIDATED-BL'!$A$1:$A$16,0),6),0),IF(S1406=TRUE,INDEX('SummaryNOT_VALIDATED-BL'!$A$1:$F$16,MATCH(E1406,'SummaryNOT_VALIDATED-BL'!$A$1:$A$16,0),6),0)),0)</f>
        <v>3.2052879635441428E-2</v>
      </c>
      <c r="V1406" s="81" cm="1">
        <f t="array" ref="V1406">INDEX('Weight tables'!$A$24:$C$27,MATCH(1,(RendicontiTrasmessiBL__2[[#This Row],[Cut percentage on real costs + USC]]&gt;='Weight tables'!$B$24:$B$27)*(RendicontiTrasmessiBL__2[[#This Row],[Cut percentage on real costs + USC]]&lt;='Weight tables'!$C$24:$C$27),0),1)</f>
        <v>2</v>
      </c>
      <c r="W1406" s="2">
        <f>RendicontiTrasmessiBL__2[[#This Row],[Weight real costs  + USC ]]</f>
        <v>2</v>
      </c>
    </row>
    <row r="1407" spans="1:23" x14ac:dyDescent="0.25">
      <c r="A1407" s="1" t="s">
        <v>350</v>
      </c>
      <c r="B1407" s="1" t="s">
        <v>351</v>
      </c>
      <c r="C1407" s="2">
        <v>176</v>
      </c>
      <c r="D1407" s="2">
        <v>300</v>
      </c>
      <c r="E1407" s="1" t="s">
        <v>229</v>
      </c>
      <c r="F1407">
        <v>15</v>
      </c>
      <c r="G1407">
        <v>3765</v>
      </c>
      <c r="H1407">
        <v>0</v>
      </c>
      <c r="I1407">
        <v>0</v>
      </c>
      <c r="J1407">
        <v>734.85</v>
      </c>
      <c r="K1407">
        <v>0</v>
      </c>
      <c r="L1407">
        <v>0</v>
      </c>
      <c r="M1407">
        <v>734.85</v>
      </c>
      <c r="N1407">
        <v>19.52</v>
      </c>
      <c r="O1407">
        <v>3030.15</v>
      </c>
      <c r="P1407">
        <v>0</v>
      </c>
      <c r="Q1407" t="str">
        <f>INDEX('Partner data'!A:DH,MATCH(C1407,'Partner data'!DG:DG,0),83)</f>
        <v xml:space="preserve">Organismo di diritto pubblico </v>
      </c>
      <c r="R1407" t="b">
        <f>IF(E1407="staff",IF(INDEX('Partner data'!A:DH,MATCH(C1407,'Partner data'!DG:DG,0),112)="BL1 non presente","FALSO",INDEX('Partner data'!A:DH,MATCH(C1407,'Partner data'!DG:DG,0),112)))</f>
        <v>0</v>
      </c>
      <c r="S1407" t="b">
        <f t="shared" si="42"/>
        <v>1</v>
      </c>
      <c r="T1407" t="b">
        <f t="shared" si="43"/>
        <v>1</v>
      </c>
      <c r="U1407" s="154">
        <f>IFERROR(IF(R1407&lt;&gt;FALSE,IF(S1407=TRUE,INDEX('SummaryNOT_VALIDATED-BL'!$A$1:$F$16,MATCH(R1407,'SummaryNOT_VALIDATED-BL'!$A$1:$A$16,0),6),0),IF(S1407=TRUE,INDEX('SummaryNOT_VALIDATED-BL'!$A$1:$F$16,MATCH(E1407,'SummaryNOT_VALIDATED-BL'!$A$1:$A$16,0),6),0)),0)</f>
        <v>6.6460469504890221E-2</v>
      </c>
      <c r="V1407" s="81" cm="1">
        <f t="array" ref="V1407">INDEX('Weight tables'!$A$24:$C$27,MATCH(1,(RendicontiTrasmessiBL__2[[#This Row],[Cut percentage on real costs + USC]]&gt;='Weight tables'!$B$24:$B$27)*(RendicontiTrasmessiBL__2[[#This Row],[Cut percentage on real costs + USC]]&lt;='Weight tables'!$C$24:$C$27),0),1)</f>
        <v>4</v>
      </c>
      <c r="W1407" s="2">
        <f>RendicontiTrasmessiBL__2[[#This Row],[Weight real costs  + USC ]]</f>
        <v>4</v>
      </c>
    </row>
    <row r="1408" spans="1:23" x14ac:dyDescent="0.25">
      <c r="A1408" s="1" t="s">
        <v>350</v>
      </c>
      <c r="B1408" s="1" t="s">
        <v>351</v>
      </c>
      <c r="C1408" s="2">
        <v>176</v>
      </c>
      <c r="D1408" s="2">
        <v>300</v>
      </c>
      <c r="E1408" s="1" t="s">
        <v>230</v>
      </c>
      <c r="F1408">
        <v>4</v>
      </c>
      <c r="G1408">
        <v>1004</v>
      </c>
      <c r="H1408">
        <v>0</v>
      </c>
      <c r="I1408">
        <v>0</v>
      </c>
      <c r="J1408">
        <v>195.96</v>
      </c>
      <c r="K1408">
        <v>0</v>
      </c>
      <c r="L1408">
        <v>0</v>
      </c>
      <c r="M1408">
        <v>195.96</v>
      </c>
      <c r="N1408">
        <v>19.52</v>
      </c>
      <c r="O1408">
        <v>808.04</v>
      </c>
      <c r="P1408">
        <v>0</v>
      </c>
      <c r="Q1408" t="str">
        <f>INDEX('Partner data'!A:DH,MATCH(C1408,'Partner data'!DG:DG,0),83)</f>
        <v xml:space="preserve">Organismo di diritto pubblico </v>
      </c>
      <c r="R1408" t="b">
        <f>IF(E1408="staff",IF(INDEX('Partner data'!A:DH,MATCH(C1408,'Partner data'!DG:DG,0),112)="BL1 non presente","FALSO",INDEX('Partner data'!A:DH,MATCH(C1408,'Partner data'!DG:DG,0),112)))</f>
        <v>0</v>
      </c>
      <c r="S1408" t="b">
        <f t="shared" si="42"/>
        <v>1</v>
      </c>
      <c r="T1408" t="b">
        <f t="shared" si="43"/>
        <v>1</v>
      </c>
      <c r="U1408" s="154">
        <f>IFERROR(IF(R1408&lt;&gt;FALSE,IF(S1408=TRUE,INDEX('SummaryNOT_VALIDATED-BL'!$A$1:$F$16,MATCH(R1408,'SummaryNOT_VALIDATED-BL'!$A$1:$A$16,0),6),0),IF(S1408=TRUE,INDEX('SummaryNOT_VALIDATED-BL'!$A$1:$F$16,MATCH(E1408,'SummaryNOT_VALIDATED-BL'!$A$1:$A$16,0),6),0)),0)</f>
        <v>6.3112622236488891E-2</v>
      </c>
      <c r="V1408" s="81" cm="1">
        <f t="array" ref="V1408">INDEX('Weight tables'!$A$24:$C$27,MATCH(1,(RendicontiTrasmessiBL__2[[#This Row],[Cut percentage on real costs + USC]]&gt;='Weight tables'!$B$24:$B$27)*(RendicontiTrasmessiBL__2[[#This Row],[Cut percentage on real costs + USC]]&lt;='Weight tables'!$C$24:$C$27),0),1)</f>
        <v>4</v>
      </c>
      <c r="W1408" s="2">
        <f>RendicontiTrasmessiBL__2[[#This Row],[Weight real costs  + USC ]]</f>
        <v>4</v>
      </c>
    </row>
    <row r="1409" spans="1:23" x14ac:dyDescent="0.25">
      <c r="A1409" s="1" t="s">
        <v>350</v>
      </c>
      <c r="B1409" s="1" t="s">
        <v>351</v>
      </c>
      <c r="C1409" s="2">
        <v>176</v>
      </c>
      <c r="D1409" s="2">
        <v>300</v>
      </c>
      <c r="E1409" s="1" t="s">
        <v>231</v>
      </c>
      <c r="G1409">
        <v>41000</v>
      </c>
      <c r="H1409">
        <v>0</v>
      </c>
      <c r="I1409">
        <v>0</v>
      </c>
      <c r="J1409">
        <v>0</v>
      </c>
      <c r="K1409">
        <v>0</v>
      </c>
      <c r="L1409">
        <v>0</v>
      </c>
      <c r="M1409">
        <v>0</v>
      </c>
      <c r="N1409">
        <v>0</v>
      </c>
      <c r="O1409">
        <v>41000</v>
      </c>
      <c r="P1409">
        <v>0</v>
      </c>
      <c r="Q1409" t="str">
        <f>INDEX('Partner data'!A:DH,MATCH(C1409,'Partner data'!DG:DG,0),83)</f>
        <v xml:space="preserve">Organismo di diritto pubblico </v>
      </c>
      <c r="R1409" t="b">
        <f>IF(E1409="staff",IF(INDEX('Partner data'!A:DH,MATCH(C1409,'Partner data'!DG:DG,0),112)="BL1 non presente","FALSO",INDEX('Partner data'!A:DH,MATCH(C1409,'Partner data'!DG:DG,0),112)))</f>
        <v>0</v>
      </c>
      <c r="S1409" t="b">
        <f t="shared" si="42"/>
        <v>0</v>
      </c>
      <c r="T1409" t="b">
        <f t="shared" si="43"/>
        <v>1</v>
      </c>
      <c r="U1409" s="154">
        <f>IFERROR(IF(R1409&lt;&gt;FALSE,IF(S1409=TRUE,INDEX('SummaryNOT_VALIDATED-BL'!$A$1:$F$16,MATCH(R1409,'SummaryNOT_VALIDATED-BL'!$A$1:$A$16,0),6),0),IF(S1409=TRUE,INDEX('SummaryNOT_VALIDATED-BL'!$A$1:$F$16,MATCH(E1409,'SummaryNOT_VALIDATED-BL'!$A$1:$A$16,0),6),0)),0)</f>
        <v>0</v>
      </c>
      <c r="V1409" s="81" cm="1">
        <f t="array" ref="V1409">INDEX('Weight tables'!$A$24:$C$27,MATCH(1,(RendicontiTrasmessiBL__2[[#This Row],[Cut percentage on real costs + USC]]&gt;='Weight tables'!$B$24:$B$27)*(RendicontiTrasmessiBL__2[[#This Row],[Cut percentage on real costs + USC]]&lt;='Weight tables'!$C$24:$C$27),0),1)</f>
        <v>0</v>
      </c>
      <c r="W1409" s="2">
        <f>RendicontiTrasmessiBL__2[[#This Row],[Weight real costs  + USC ]]</f>
        <v>0</v>
      </c>
    </row>
    <row r="1410" spans="1:23" x14ac:dyDescent="0.25">
      <c r="A1410" s="1" t="s">
        <v>350</v>
      </c>
      <c r="B1410" s="1" t="s">
        <v>351</v>
      </c>
      <c r="C1410" s="2">
        <v>176</v>
      </c>
      <c r="D1410" s="2">
        <v>300</v>
      </c>
      <c r="E1410" s="1" t="s">
        <v>232</v>
      </c>
      <c r="G1410">
        <v>0</v>
      </c>
      <c r="H1410">
        <v>0</v>
      </c>
      <c r="I1410">
        <v>0</v>
      </c>
      <c r="J1410">
        <v>0</v>
      </c>
      <c r="K1410">
        <v>0</v>
      </c>
      <c r="L1410">
        <v>0</v>
      </c>
      <c r="M1410">
        <v>0</v>
      </c>
      <c r="N1410">
        <v>0</v>
      </c>
      <c r="O1410">
        <v>0</v>
      </c>
      <c r="P1410">
        <v>0</v>
      </c>
      <c r="Q1410" t="str">
        <f>INDEX('Partner data'!A:DH,MATCH(C1410,'Partner data'!DG:DG,0),83)</f>
        <v xml:space="preserve">Organismo di diritto pubblico </v>
      </c>
      <c r="R1410" t="b">
        <f>IF(E1410="staff",IF(INDEX('Partner data'!A:DH,MATCH(C1410,'Partner data'!DG:DG,0),112)="BL1 non presente","FALSO",INDEX('Partner data'!A:DH,MATCH(C1410,'Partner data'!DG:DG,0),112)))</f>
        <v>0</v>
      </c>
      <c r="S1410" t="b">
        <f t="shared" ref="S1410:S1473" si="44">IF(J1410&lt;&gt;0,TRUE,FALSE)</f>
        <v>0</v>
      </c>
      <c r="T1410" t="b">
        <f t="shared" ref="T1410:T1473" si="45">OR(Q1410="Soggetto pubblico",Q1410="Organismo di diritto pubblico ")</f>
        <v>1</v>
      </c>
      <c r="U1410" s="154">
        <f>IFERROR(IF(R1410&lt;&gt;FALSE,IF(S1410=TRUE,INDEX('SummaryNOT_VALIDATED-BL'!$A$1:$F$16,MATCH(R1410,'SummaryNOT_VALIDATED-BL'!$A$1:$A$16,0),6),0),IF(S1410=TRUE,INDEX('SummaryNOT_VALIDATED-BL'!$A$1:$F$16,MATCH(E1410,'SummaryNOT_VALIDATED-BL'!$A$1:$A$16,0),6),0)),0)</f>
        <v>0</v>
      </c>
      <c r="V1410" s="81" cm="1">
        <f t="array" ref="V1410">INDEX('Weight tables'!$A$24:$C$27,MATCH(1,(RendicontiTrasmessiBL__2[[#This Row],[Cut percentage on real costs + USC]]&gt;='Weight tables'!$B$24:$B$27)*(RendicontiTrasmessiBL__2[[#This Row],[Cut percentage on real costs + USC]]&lt;='Weight tables'!$C$24:$C$27),0),1)</f>
        <v>0</v>
      </c>
      <c r="W1410" s="2">
        <f>RendicontiTrasmessiBL__2[[#This Row],[Weight real costs  + USC ]]</f>
        <v>0</v>
      </c>
    </row>
    <row r="1411" spans="1:23" x14ac:dyDescent="0.25">
      <c r="A1411" s="1" t="s">
        <v>350</v>
      </c>
      <c r="B1411" s="1" t="s">
        <v>351</v>
      </c>
      <c r="C1411" s="2">
        <v>176</v>
      </c>
      <c r="D1411" s="2">
        <v>300</v>
      </c>
      <c r="E1411" s="1" t="s">
        <v>233</v>
      </c>
      <c r="G1411">
        <v>0</v>
      </c>
      <c r="H1411">
        <v>0</v>
      </c>
      <c r="I1411">
        <v>0</v>
      </c>
      <c r="J1411">
        <v>0</v>
      </c>
      <c r="K1411">
        <v>0</v>
      </c>
      <c r="L1411">
        <v>0</v>
      </c>
      <c r="M1411">
        <v>0</v>
      </c>
      <c r="N1411">
        <v>0</v>
      </c>
      <c r="O1411">
        <v>0</v>
      </c>
      <c r="P1411">
        <v>0</v>
      </c>
      <c r="Q1411" t="str">
        <f>INDEX('Partner data'!A:DH,MATCH(C1411,'Partner data'!DG:DG,0),83)</f>
        <v xml:space="preserve">Organismo di diritto pubblico </v>
      </c>
      <c r="R1411" t="b">
        <f>IF(E1411="staff",IF(INDEX('Partner data'!A:DH,MATCH(C1411,'Partner data'!DG:DG,0),112)="BL1 non presente","FALSO",INDEX('Partner data'!A:DH,MATCH(C1411,'Partner data'!DG:DG,0),112)))</f>
        <v>0</v>
      </c>
      <c r="S1411" t="b">
        <f t="shared" si="44"/>
        <v>0</v>
      </c>
      <c r="T1411" t="b">
        <f t="shared" si="45"/>
        <v>1</v>
      </c>
      <c r="U1411" s="154">
        <f>IFERROR(IF(R1411&lt;&gt;FALSE,IF(S1411=TRUE,INDEX('SummaryNOT_VALIDATED-BL'!$A$1:$F$16,MATCH(R1411,'SummaryNOT_VALIDATED-BL'!$A$1:$A$16,0),6),0),IF(S1411=TRUE,INDEX('SummaryNOT_VALIDATED-BL'!$A$1:$F$16,MATCH(E1411,'SummaryNOT_VALIDATED-BL'!$A$1:$A$16,0),6),0)),0)</f>
        <v>0</v>
      </c>
      <c r="V1411" s="81" cm="1">
        <f t="array" ref="V1411">INDEX('Weight tables'!$A$24:$C$27,MATCH(1,(RendicontiTrasmessiBL__2[[#This Row],[Cut percentage on real costs + USC]]&gt;='Weight tables'!$B$24:$B$27)*(RendicontiTrasmessiBL__2[[#This Row],[Cut percentage on real costs + USC]]&lt;='Weight tables'!$C$24:$C$27),0),1)</f>
        <v>0</v>
      </c>
      <c r="W1411" s="2">
        <f>RendicontiTrasmessiBL__2[[#This Row],[Weight real costs  + USC ]]</f>
        <v>0</v>
      </c>
    </row>
    <row r="1412" spans="1:23" x14ac:dyDescent="0.25">
      <c r="A1412" s="1" t="s">
        <v>350</v>
      </c>
      <c r="B1412" s="1" t="s">
        <v>351</v>
      </c>
      <c r="C1412" s="2">
        <v>176</v>
      </c>
      <c r="D1412" s="2">
        <v>300</v>
      </c>
      <c r="E1412" s="1" t="s">
        <v>234</v>
      </c>
      <c r="G1412">
        <v>0</v>
      </c>
      <c r="H1412">
        <v>0</v>
      </c>
      <c r="I1412">
        <v>0</v>
      </c>
      <c r="J1412">
        <v>0</v>
      </c>
      <c r="K1412">
        <v>0</v>
      </c>
      <c r="L1412">
        <v>0</v>
      </c>
      <c r="M1412">
        <v>0</v>
      </c>
      <c r="N1412">
        <v>0</v>
      </c>
      <c r="O1412">
        <v>0</v>
      </c>
      <c r="P1412">
        <v>0</v>
      </c>
      <c r="Q1412" t="str">
        <f>INDEX('Partner data'!A:DH,MATCH(C1412,'Partner data'!DG:DG,0),83)</f>
        <v xml:space="preserve">Organismo di diritto pubblico </v>
      </c>
      <c r="R1412" t="b">
        <f>IF(E1412="staff",IF(INDEX('Partner data'!A:DH,MATCH(C1412,'Partner data'!DG:DG,0),112)="BL1 non presente","FALSO",INDEX('Partner data'!A:DH,MATCH(C1412,'Partner data'!DG:DG,0),112)))</f>
        <v>0</v>
      </c>
      <c r="S1412" t="b">
        <f t="shared" si="44"/>
        <v>0</v>
      </c>
      <c r="T1412" t="b">
        <f t="shared" si="45"/>
        <v>1</v>
      </c>
      <c r="U1412" s="154">
        <f>IFERROR(IF(R1412&lt;&gt;FALSE,IF(S1412=TRUE,INDEX('SummaryNOT_VALIDATED-BL'!$A$1:$F$16,MATCH(R1412,'SummaryNOT_VALIDATED-BL'!$A$1:$A$16,0),6),0),IF(S1412=TRUE,INDEX('SummaryNOT_VALIDATED-BL'!$A$1:$F$16,MATCH(E1412,'SummaryNOT_VALIDATED-BL'!$A$1:$A$16,0),6),0)),0)</f>
        <v>0</v>
      </c>
      <c r="V1412" s="81" cm="1">
        <f t="array" ref="V1412">INDEX('Weight tables'!$A$24:$C$27,MATCH(1,(RendicontiTrasmessiBL__2[[#This Row],[Cut percentage on real costs + USC]]&gt;='Weight tables'!$B$24:$B$27)*(RendicontiTrasmessiBL__2[[#This Row],[Cut percentage on real costs + USC]]&lt;='Weight tables'!$C$24:$C$27),0),1)</f>
        <v>0</v>
      </c>
      <c r="W1412" s="2">
        <f>RendicontiTrasmessiBL__2[[#This Row],[Weight real costs  + USC ]]</f>
        <v>0</v>
      </c>
    </row>
    <row r="1413" spans="1:23" x14ac:dyDescent="0.25">
      <c r="A1413" s="1" t="s">
        <v>350</v>
      </c>
      <c r="B1413" s="1" t="s">
        <v>351</v>
      </c>
      <c r="C1413" s="2">
        <v>176</v>
      </c>
      <c r="D1413" s="2">
        <v>300</v>
      </c>
      <c r="E1413" s="1" t="s">
        <v>236</v>
      </c>
      <c r="G1413">
        <v>0</v>
      </c>
      <c r="H1413">
        <v>0</v>
      </c>
      <c r="I1413">
        <v>0</v>
      </c>
      <c r="J1413">
        <v>0</v>
      </c>
      <c r="K1413">
        <v>0</v>
      </c>
      <c r="L1413">
        <v>0</v>
      </c>
      <c r="M1413">
        <v>0</v>
      </c>
      <c r="N1413">
        <v>0</v>
      </c>
      <c r="O1413">
        <v>0</v>
      </c>
      <c r="P1413">
        <v>0</v>
      </c>
      <c r="Q1413" t="str">
        <f>INDEX('Partner data'!A:DH,MATCH(C1413,'Partner data'!DG:DG,0),83)</f>
        <v xml:space="preserve">Organismo di diritto pubblico </v>
      </c>
      <c r="R1413" t="b">
        <f>IF(E1413="staff",IF(INDEX('Partner data'!A:DH,MATCH(C1413,'Partner data'!DG:DG,0),112)="BL1 non presente","FALSO",INDEX('Partner data'!A:DH,MATCH(C1413,'Partner data'!DG:DG,0),112)))</f>
        <v>0</v>
      </c>
      <c r="S1413" t="b">
        <f t="shared" si="44"/>
        <v>0</v>
      </c>
      <c r="T1413" t="b">
        <f t="shared" si="45"/>
        <v>1</v>
      </c>
      <c r="U1413" s="154">
        <f>IFERROR(IF(R1413&lt;&gt;FALSE,IF(S1413=TRUE,INDEX('SummaryNOT_VALIDATED-BL'!$A$1:$F$16,MATCH(R1413,'SummaryNOT_VALIDATED-BL'!$A$1:$A$16,0),6),0),IF(S1413=TRUE,INDEX('SummaryNOT_VALIDATED-BL'!$A$1:$F$16,MATCH(E1413,'SummaryNOT_VALIDATED-BL'!$A$1:$A$16,0),6),0)),0)</f>
        <v>0</v>
      </c>
      <c r="V1413" s="81" cm="1">
        <f t="array" ref="V1413">INDEX('Weight tables'!$A$24:$C$27,MATCH(1,(RendicontiTrasmessiBL__2[[#This Row],[Cut percentage on real costs + USC]]&gt;='Weight tables'!$B$24:$B$27)*(RendicontiTrasmessiBL__2[[#This Row],[Cut percentage on real costs + USC]]&lt;='Weight tables'!$C$24:$C$27),0),1)</f>
        <v>0</v>
      </c>
      <c r="W1413" s="2">
        <f>RendicontiTrasmessiBL__2[[#This Row],[Weight real costs  + USC ]]</f>
        <v>0</v>
      </c>
    </row>
    <row r="1414" spans="1:23" x14ac:dyDescent="0.25">
      <c r="A1414" s="1" t="s">
        <v>350</v>
      </c>
      <c r="B1414" s="1" t="s">
        <v>351</v>
      </c>
      <c r="C1414" s="2">
        <v>176</v>
      </c>
      <c r="D1414" s="2">
        <v>300</v>
      </c>
      <c r="E1414" s="1" t="s">
        <v>237</v>
      </c>
      <c r="G1414">
        <v>0</v>
      </c>
      <c r="H1414">
        <v>0</v>
      </c>
      <c r="I1414">
        <v>0</v>
      </c>
      <c r="J1414">
        <v>0</v>
      </c>
      <c r="K1414">
        <v>0</v>
      </c>
      <c r="L1414">
        <v>0</v>
      </c>
      <c r="M1414">
        <v>0</v>
      </c>
      <c r="N1414">
        <v>0</v>
      </c>
      <c r="O1414">
        <v>0</v>
      </c>
      <c r="P1414">
        <v>0</v>
      </c>
      <c r="Q1414" t="str">
        <f>INDEX('Partner data'!A:DH,MATCH(C1414,'Partner data'!DG:DG,0),83)</f>
        <v xml:space="preserve">Organismo di diritto pubblico </v>
      </c>
      <c r="R1414" t="b">
        <f>IF(E1414="staff",IF(INDEX('Partner data'!A:DH,MATCH(C1414,'Partner data'!DG:DG,0),112)="BL1 non presente","FALSO",INDEX('Partner data'!A:DH,MATCH(C1414,'Partner data'!DG:DG,0),112)))</f>
        <v>0</v>
      </c>
      <c r="S1414" t="b">
        <f t="shared" si="44"/>
        <v>0</v>
      </c>
      <c r="T1414" t="b">
        <f t="shared" si="45"/>
        <v>1</v>
      </c>
      <c r="U1414" s="154">
        <f>IFERROR(IF(R1414&lt;&gt;FALSE,IF(S1414=TRUE,INDEX('SummaryNOT_VALIDATED-BL'!$A$1:$F$16,MATCH(R1414,'SummaryNOT_VALIDATED-BL'!$A$1:$A$16,0),6),0),IF(S1414=TRUE,INDEX('SummaryNOT_VALIDATED-BL'!$A$1:$F$16,MATCH(E1414,'SummaryNOT_VALIDATED-BL'!$A$1:$A$16,0),6),0)),0)</f>
        <v>0</v>
      </c>
      <c r="V1414" s="81" cm="1">
        <f t="array" ref="V1414">INDEX('Weight tables'!$A$24:$C$27,MATCH(1,(RendicontiTrasmessiBL__2[[#This Row],[Cut percentage on real costs + USC]]&gt;='Weight tables'!$B$24:$B$27)*(RendicontiTrasmessiBL__2[[#This Row],[Cut percentage on real costs + USC]]&lt;='Weight tables'!$C$24:$C$27),0),1)</f>
        <v>0</v>
      </c>
      <c r="W1414" s="2">
        <f>RendicontiTrasmessiBL__2[[#This Row],[Weight real costs  + USC ]]</f>
        <v>0</v>
      </c>
    </row>
    <row r="1415" spans="1:23" x14ac:dyDescent="0.25">
      <c r="A1415" s="1" t="s">
        <v>350</v>
      </c>
      <c r="B1415" s="1" t="s">
        <v>352</v>
      </c>
      <c r="C1415" s="2">
        <v>170</v>
      </c>
      <c r="D1415" s="2">
        <v>277</v>
      </c>
      <c r="E1415" s="1" t="s">
        <v>228</v>
      </c>
      <c r="G1415">
        <v>120161</v>
      </c>
      <c r="H1415">
        <v>0</v>
      </c>
      <c r="I1415">
        <v>0</v>
      </c>
      <c r="J1415">
        <v>14071</v>
      </c>
      <c r="K1415">
        <v>0</v>
      </c>
      <c r="L1415">
        <v>0</v>
      </c>
      <c r="M1415">
        <v>14071</v>
      </c>
      <c r="N1415">
        <v>11.71</v>
      </c>
      <c r="O1415">
        <v>106090</v>
      </c>
      <c r="P1415">
        <v>0</v>
      </c>
      <c r="Q1415" t="str">
        <f>INDEX('Partner data'!A:DH,MATCH(C1415,'Partner data'!DG:DG,0),83)</f>
        <v xml:space="preserve">Organismo di diritto pubblico </v>
      </c>
      <c r="R1415" t="str">
        <f>IF(E1415="staff",IF(INDEX('Partner data'!A:DH,MATCH(C1415,'Partner data'!DG:DG,0),112)="BL1 non presente","FALSO",INDEX('Partner data'!A:DH,MATCH(C1415,'Partner data'!DG:DG,0),112)))</f>
        <v>Costo Unitario Standard</v>
      </c>
      <c r="S1415" t="b">
        <f t="shared" si="44"/>
        <v>1</v>
      </c>
      <c r="T1415" t="b">
        <f t="shared" si="45"/>
        <v>1</v>
      </c>
      <c r="U1415" s="154">
        <f>IFERROR(IF(R1415&lt;&gt;FALSE,IF(S1415=TRUE,INDEX('SummaryNOT_VALIDATED-BL'!$A$1:$F$16,MATCH(R1415,'SummaryNOT_VALIDATED-BL'!$A$1:$A$16,0),6),0),IF(S1415=TRUE,INDEX('SummaryNOT_VALIDATED-BL'!$A$1:$F$16,MATCH(E1415,'SummaryNOT_VALIDATED-BL'!$A$1:$A$16,0),6),0)),0)</f>
        <v>3.2052879635441428E-2</v>
      </c>
      <c r="V1415" s="81" cm="1">
        <f t="array" ref="V1415">INDEX('Weight tables'!$A$24:$C$27,MATCH(1,(RendicontiTrasmessiBL__2[[#This Row],[Cut percentage on real costs + USC]]&gt;='Weight tables'!$B$24:$B$27)*(RendicontiTrasmessiBL__2[[#This Row],[Cut percentage on real costs + USC]]&lt;='Weight tables'!$C$24:$C$27),0),1)</f>
        <v>2</v>
      </c>
      <c r="W1415" s="2">
        <f>RendicontiTrasmessiBL__2[[#This Row],[Weight real costs  + USC ]]</f>
        <v>2</v>
      </c>
    </row>
    <row r="1416" spans="1:23" x14ac:dyDescent="0.25">
      <c r="A1416" s="1" t="s">
        <v>350</v>
      </c>
      <c r="B1416" s="1" t="s">
        <v>352</v>
      </c>
      <c r="C1416" s="2">
        <v>170</v>
      </c>
      <c r="D1416" s="2">
        <v>277</v>
      </c>
      <c r="E1416" s="1" t="s">
        <v>229</v>
      </c>
      <c r="G1416">
        <v>0</v>
      </c>
      <c r="H1416">
        <v>0</v>
      </c>
      <c r="I1416">
        <v>0</v>
      </c>
      <c r="J1416">
        <v>0</v>
      </c>
      <c r="K1416">
        <v>0</v>
      </c>
      <c r="L1416">
        <v>0</v>
      </c>
      <c r="M1416">
        <v>0</v>
      </c>
      <c r="N1416">
        <v>0</v>
      </c>
      <c r="O1416">
        <v>0</v>
      </c>
      <c r="P1416">
        <v>0</v>
      </c>
      <c r="Q1416" t="str">
        <f>INDEX('Partner data'!A:DH,MATCH(C1416,'Partner data'!DG:DG,0),83)</f>
        <v xml:space="preserve">Organismo di diritto pubblico </v>
      </c>
      <c r="R1416" t="b">
        <f>IF(E1416="staff",IF(INDEX('Partner data'!A:DH,MATCH(C1416,'Partner data'!DG:DG,0),112)="BL1 non presente","FALSO",INDEX('Partner data'!A:DH,MATCH(C1416,'Partner data'!DG:DG,0),112)))</f>
        <v>0</v>
      </c>
      <c r="S1416" t="b">
        <f t="shared" si="44"/>
        <v>0</v>
      </c>
      <c r="T1416" t="b">
        <f t="shared" si="45"/>
        <v>1</v>
      </c>
      <c r="U1416" s="154">
        <f>IFERROR(IF(R1416&lt;&gt;FALSE,IF(S1416=TRUE,INDEX('SummaryNOT_VALIDATED-BL'!$A$1:$F$16,MATCH(R1416,'SummaryNOT_VALIDATED-BL'!$A$1:$A$16,0),6),0),IF(S1416=TRUE,INDEX('SummaryNOT_VALIDATED-BL'!$A$1:$F$16,MATCH(E1416,'SummaryNOT_VALIDATED-BL'!$A$1:$A$16,0),6),0)),0)</f>
        <v>0</v>
      </c>
      <c r="V1416" s="81" cm="1">
        <f t="array" ref="V1416">INDEX('Weight tables'!$A$24:$C$27,MATCH(1,(RendicontiTrasmessiBL__2[[#This Row],[Cut percentage on real costs + USC]]&gt;='Weight tables'!$B$24:$B$27)*(RendicontiTrasmessiBL__2[[#This Row],[Cut percentage on real costs + USC]]&lt;='Weight tables'!$C$24:$C$27),0),1)</f>
        <v>0</v>
      </c>
      <c r="W1416" s="2">
        <f>RendicontiTrasmessiBL__2[[#This Row],[Weight real costs  + USC ]]</f>
        <v>0</v>
      </c>
    </row>
    <row r="1417" spans="1:23" x14ac:dyDescent="0.25">
      <c r="A1417" s="1" t="s">
        <v>350</v>
      </c>
      <c r="B1417" s="1" t="s">
        <v>352</v>
      </c>
      <c r="C1417" s="2">
        <v>170</v>
      </c>
      <c r="D1417" s="2">
        <v>277</v>
      </c>
      <c r="E1417" s="1" t="s">
        <v>230</v>
      </c>
      <c r="G1417">
        <v>0</v>
      </c>
      <c r="H1417">
        <v>0</v>
      </c>
      <c r="I1417">
        <v>0</v>
      </c>
      <c r="J1417">
        <v>0</v>
      </c>
      <c r="K1417">
        <v>0</v>
      </c>
      <c r="L1417">
        <v>0</v>
      </c>
      <c r="M1417">
        <v>0</v>
      </c>
      <c r="N1417">
        <v>0</v>
      </c>
      <c r="O1417">
        <v>0</v>
      </c>
      <c r="P1417">
        <v>0</v>
      </c>
      <c r="Q1417" t="str">
        <f>INDEX('Partner data'!A:DH,MATCH(C1417,'Partner data'!DG:DG,0),83)</f>
        <v xml:space="preserve">Organismo di diritto pubblico </v>
      </c>
      <c r="R1417" t="b">
        <f>IF(E1417="staff",IF(INDEX('Partner data'!A:DH,MATCH(C1417,'Partner data'!DG:DG,0),112)="BL1 non presente","FALSO",INDEX('Partner data'!A:DH,MATCH(C1417,'Partner data'!DG:DG,0),112)))</f>
        <v>0</v>
      </c>
      <c r="S1417" t="b">
        <f t="shared" si="44"/>
        <v>0</v>
      </c>
      <c r="T1417" t="b">
        <f t="shared" si="45"/>
        <v>1</v>
      </c>
      <c r="U1417" s="154">
        <f>IFERROR(IF(R1417&lt;&gt;FALSE,IF(S1417=TRUE,INDEX('SummaryNOT_VALIDATED-BL'!$A$1:$F$16,MATCH(R1417,'SummaryNOT_VALIDATED-BL'!$A$1:$A$16,0),6),0),IF(S1417=TRUE,INDEX('SummaryNOT_VALIDATED-BL'!$A$1:$F$16,MATCH(E1417,'SummaryNOT_VALIDATED-BL'!$A$1:$A$16,0),6),0)),0)</f>
        <v>0</v>
      </c>
      <c r="V1417" s="81" cm="1">
        <f t="array" ref="V1417">INDEX('Weight tables'!$A$24:$C$27,MATCH(1,(RendicontiTrasmessiBL__2[[#This Row],[Cut percentage on real costs + USC]]&gt;='Weight tables'!$B$24:$B$27)*(RendicontiTrasmessiBL__2[[#This Row],[Cut percentage on real costs + USC]]&lt;='Weight tables'!$C$24:$C$27),0),1)</f>
        <v>0</v>
      </c>
      <c r="W1417" s="2">
        <f>RendicontiTrasmessiBL__2[[#This Row],[Weight real costs  + USC ]]</f>
        <v>0</v>
      </c>
    </row>
    <row r="1418" spans="1:23" x14ac:dyDescent="0.25">
      <c r="A1418" s="1" t="s">
        <v>350</v>
      </c>
      <c r="B1418" s="1" t="s">
        <v>352</v>
      </c>
      <c r="C1418" s="2">
        <v>170</v>
      </c>
      <c r="D1418" s="2">
        <v>277</v>
      </c>
      <c r="E1418" s="1" t="s">
        <v>231</v>
      </c>
      <c r="G1418">
        <v>0</v>
      </c>
      <c r="H1418">
        <v>0</v>
      </c>
      <c r="I1418">
        <v>0</v>
      </c>
      <c r="J1418">
        <v>0</v>
      </c>
      <c r="K1418">
        <v>0</v>
      </c>
      <c r="L1418">
        <v>0</v>
      </c>
      <c r="M1418">
        <v>0</v>
      </c>
      <c r="N1418">
        <v>0</v>
      </c>
      <c r="O1418">
        <v>0</v>
      </c>
      <c r="P1418">
        <v>0</v>
      </c>
      <c r="Q1418" t="str">
        <f>INDEX('Partner data'!A:DH,MATCH(C1418,'Partner data'!DG:DG,0),83)</f>
        <v xml:space="preserve">Organismo di diritto pubblico </v>
      </c>
      <c r="R1418" t="b">
        <f>IF(E1418="staff",IF(INDEX('Partner data'!A:DH,MATCH(C1418,'Partner data'!DG:DG,0),112)="BL1 non presente","FALSO",INDEX('Partner data'!A:DH,MATCH(C1418,'Partner data'!DG:DG,0),112)))</f>
        <v>0</v>
      </c>
      <c r="S1418" t="b">
        <f t="shared" si="44"/>
        <v>0</v>
      </c>
      <c r="T1418" t="b">
        <f t="shared" si="45"/>
        <v>1</v>
      </c>
      <c r="U1418" s="154">
        <f>IFERROR(IF(R1418&lt;&gt;FALSE,IF(S1418=TRUE,INDEX('SummaryNOT_VALIDATED-BL'!$A$1:$F$16,MATCH(R1418,'SummaryNOT_VALIDATED-BL'!$A$1:$A$16,0),6),0),IF(S1418=TRUE,INDEX('SummaryNOT_VALIDATED-BL'!$A$1:$F$16,MATCH(E1418,'SummaryNOT_VALIDATED-BL'!$A$1:$A$16,0),6),0)),0)</f>
        <v>0</v>
      </c>
      <c r="V1418" s="81" cm="1">
        <f t="array" ref="V1418">INDEX('Weight tables'!$A$24:$C$27,MATCH(1,(RendicontiTrasmessiBL__2[[#This Row],[Cut percentage on real costs + USC]]&gt;='Weight tables'!$B$24:$B$27)*(RendicontiTrasmessiBL__2[[#This Row],[Cut percentage on real costs + USC]]&lt;='Weight tables'!$C$24:$C$27),0),1)</f>
        <v>0</v>
      </c>
      <c r="W1418" s="2">
        <f>RendicontiTrasmessiBL__2[[#This Row],[Weight real costs  + USC ]]</f>
        <v>0</v>
      </c>
    </row>
    <row r="1419" spans="1:23" x14ac:dyDescent="0.25">
      <c r="A1419" s="1" t="s">
        <v>350</v>
      </c>
      <c r="B1419" s="1" t="s">
        <v>352</v>
      </c>
      <c r="C1419" s="2">
        <v>170</v>
      </c>
      <c r="D1419" s="2">
        <v>277</v>
      </c>
      <c r="E1419" s="1" t="s">
        <v>232</v>
      </c>
      <c r="G1419">
        <v>0</v>
      </c>
      <c r="H1419">
        <v>0</v>
      </c>
      <c r="I1419">
        <v>0</v>
      </c>
      <c r="J1419">
        <v>0</v>
      </c>
      <c r="K1419">
        <v>0</v>
      </c>
      <c r="L1419">
        <v>0</v>
      </c>
      <c r="M1419">
        <v>0</v>
      </c>
      <c r="N1419">
        <v>0</v>
      </c>
      <c r="O1419">
        <v>0</v>
      </c>
      <c r="P1419">
        <v>0</v>
      </c>
      <c r="Q1419" t="str">
        <f>INDEX('Partner data'!A:DH,MATCH(C1419,'Partner data'!DG:DG,0),83)</f>
        <v xml:space="preserve">Organismo di diritto pubblico </v>
      </c>
      <c r="R1419" t="b">
        <f>IF(E1419="staff",IF(INDEX('Partner data'!A:DH,MATCH(C1419,'Partner data'!DG:DG,0),112)="BL1 non presente","FALSO",INDEX('Partner data'!A:DH,MATCH(C1419,'Partner data'!DG:DG,0),112)))</f>
        <v>0</v>
      </c>
      <c r="S1419" t="b">
        <f t="shared" si="44"/>
        <v>0</v>
      </c>
      <c r="T1419" t="b">
        <f t="shared" si="45"/>
        <v>1</v>
      </c>
      <c r="U1419" s="154">
        <f>IFERROR(IF(R1419&lt;&gt;FALSE,IF(S1419=TRUE,INDEX('SummaryNOT_VALIDATED-BL'!$A$1:$F$16,MATCH(R1419,'SummaryNOT_VALIDATED-BL'!$A$1:$A$16,0),6),0),IF(S1419=TRUE,INDEX('SummaryNOT_VALIDATED-BL'!$A$1:$F$16,MATCH(E1419,'SummaryNOT_VALIDATED-BL'!$A$1:$A$16,0),6),0)),0)</f>
        <v>0</v>
      </c>
      <c r="V1419" s="81" cm="1">
        <f t="array" ref="V1419">INDEX('Weight tables'!$A$24:$C$27,MATCH(1,(RendicontiTrasmessiBL__2[[#This Row],[Cut percentage on real costs + USC]]&gt;='Weight tables'!$B$24:$B$27)*(RendicontiTrasmessiBL__2[[#This Row],[Cut percentage on real costs + USC]]&lt;='Weight tables'!$C$24:$C$27),0),1)</f>
        <v>0</v>
      </c>
      <c r="W1419" s="2">
        <f>RendicontiTrasmessiBL__2[[#This Row],[Weight real costs  + USC ]]</f>
        <v>0</v>
      </c>
    </row>
    <row r="1420" spans="1:23" x14ac:dyDescent="0.25">
      <c r="A1420" s="1" t="s">
        <v>350</v>
      </c>
      <c r="B1420" s="1" t="s">
        <v>352</v>
      </c>
      <c r="C1420" s="2">
        <v>170</v>
      </c>
      <c r="D1420" s="2">
        <v>277</v>
      </c>
      <c r="E1420" s="1" t="s">
        <v>233</v>
      </c>
      <c r="G1420">
        <v>0</v>
      </c>
      <c r="H1420">
        <v>0</v>
      </c>
      <c r="I1420">
        <v>0</v>
      </c>
      <c r="J1420">
        <v>0</v>
      </c>
      <c r="K1420">
        <v>0</v>
      </c>
      <c r="L1420">
        <v>0</v>
      </c>
      <c r="M1420">
        <v>0</v>
      </c>
      <c r="N1420">
        <v>0</v>
      </c>
      <c r="O1420">
        <v>0</v>
      </c>
      <c r="P1420">
        <v>0</v>
      </c>
      <c r="Q1420" t="str">
        <f>INDEX('Partner data'!A:DH,MATCH(C1420,'Partner data'!DG:DG,0),83)</f>
        <v xml:space="preserve">Organismo di diritto pubblico </v>
      </c>
      <c r="R1420" t="b">
        <f>IF(E1420="staff",IF(INDEX('Partner data'!A:DH,MATCH(C1420,'Partner data'!DG:DG,0),112)="BL1 non presente","FALSO",INDEX('Partner data'!A:DH,MATCH(C1420,'Partner data'!DG:DG,0),112)))</f>
        <v>0</v>
      </c>
      <c r="S1420" t="b">
        <f t="shared" si="44"/>
        <v>0</v>
      </c>
      <c r="T1420" t="b">
        <f t="shared" si="45"/>
        <v>1</v>
      </c>
      <c r="U1420" s="154">
        <f>IFERROR(IF(R1420&lt;&gt;FALSE,IF(S1420=TRUE,INDEX('SummaryNOT_VALIDATED-BL'!$A$1:$F$16,MATCH(R1420,'SummaryNOT_VALIDATED-BL'!$A$1:$A$16,0),6),0),IF(S1420=TRUE,INDEX('SummaryNOT_VALIDATED-BL'!$A$1:$F$16,MATCH(E1420,'SummaryNOT_VALIDATED-BL'!$A$1:$A$16,0),6),0)),0)</f>
        <v>0</v>
      </c>
      <c r="V1420" s="81" cm="1">
        <f t="array" ref="V1420">INDEX('Weight tables'!$A$24:$C$27,MATCH(1,(RendicontiTrasmessiBL__2[[#This Row],[Cut percentage on real costs + USC]]&gt;='Weight tables'!$B$24:$B$27)*(RendicontiTrasmessiBL__2[[#This Row],[Cut percentage on real costs + USC]]&lt;='Weight tables'!$C$24:$C$27),0),1)</f>
        <v>0</v>
      </c>
      <c r="W1420" s="2">
        <f>RendicontiTrasmessiBL__2[[#This Row],[Weight real costs  + USC ]]</f>
        <v>0</v>
      </c>
    </row>
    <row r="1421" spans="1:23" x14ac:dyDescent="0.25">
      <c r="A1421" s="1" t="s">
        <v>350</v>
      </c>
      <c r="B1421" s="1" t="s">
        <v>352</v>
      </c>
      <c r="C1421" s="2">
        <v>170</v>
      </c>
      <c r="D1421" s="2">
        <v>277</v>
      </c>
      <c r="E1421" s="1" t="s">
        <v>234</v>
      </c>
      <c r="F1421">
        <v>40</v>
      </c>
      <c r="G1421">
        <v>48064.4</v>
      </c>
      <c r="H1421">
        <v>0</v>
      </c>
      <c r="I1421">
        <v>0</v>
      </c>
      <c r="J1421">
        <v>5628.4</v>
      </c>
      <c r="K1421">
        <v>0</v>
      </c>
      <c r="L1421">
        <v>0</v>
      </c>
      <c r="M1421">
        <v>5628.4</v>
      </c>
      <c r="N1421">
        <v>11.71</v>
      </c>
      <c r="O1421">
        <v>42436</v>
      </c>
      <c r="P1421">
        <v>0</v>
      </c>
      <c r="Q1421" t="str">
        <f>INDEX('Partner data'!A:DH,MATCH(C1421,'Partner data'!DG:DG,0),83)</f>
        <v xml:space="preserve">Organismo di diritto pubblico </v>
      </c>
      <c r="R1421" t="b">
        <f>IF(E1421="staff",IF(INDEX('Partner data'!A:DH,MATCH(C1421,'Partner data'!DG:DG,0),112)="BL1 non presente","FALSO",INDEX('Partner data'!A:DH,MATCH(C1421,'Partner data'!DG:DG,0),112)))</f>
        <v>0</v>
      </c>
      <c r="S1421" t="b">
        <f t="shared" si="44"/>
        <v>1</v>
      </c>
      <c r="T1421" t="b">
        <f t="shared" si="45"/>
        <v>1</v>
      </c>
      <c r="U1421" s="154">
        <f>IFERROR(IF(R1421&lt;&gt;FALSE,IF(S1421=TRUE,INDEX('SummaryNOT_VALIDATED-BL'!$A$1:$F$16,MATCH(R1421,'SummaryNOT_VALIDATED-BL'!$A$1:$A$16,0),6),0),IF(S1421=TRUE,INDEX('SummaryNOT_VALIDATED-BL'!$A$1:$F$16,MATCH(E1421,'SummaryNOT_VALIDATED-BL'!$A$1:$A$16,0),6),0)),0)</f>
        <v>8.7645339819521315E-2</v>
      </c>
      <c r="V1421" s="81" cm="1">
        <f t="array" ref="V1421">INDEX('Weight tables'!$A$24:$C$27,MATCH(1,(RendicontiTrasmessiBL__2[[#This Row],[Cut percentage on real costs + USC]]&gt;='Weight tables'!$B$24:$B$27)*(RendicontiTrasmessiBL__2[[#This Row],[Cut percentage on real costs + USC]]&lt;='Weight tables'!$C$24:$C$27),0),1)</f>
        <v>4</v>
      </c>
      <c r="W1421" s="2">
        <f>RendicontiTrasmessiBL__2[[#This Row],[Weight real costs  + USC ]]</f>
        <v>4</v>
      </c>
    </row>
    <row r="1422" spans="1:23" x14ac:dyDescent="0.25">
      <c r="A1422" s="1" t="s">
        <v>350</v>
      </c>
      <c r="B1422" s="1" t="s">
        <v>352</v>
      </c>
      <c r="C1422" s="2">
        <v>170</v>
      </c>
      <c r="D1422" s="2">
        <v>277</v>
      </c>
      <c r="E1422" s="1" t="s">
        <v>236</v>
      </c>
      <c r="G1422">
        <v>0</v>
      </c>
      <c r="H1422">
        <v>0</v>
      </c>
      <c r="I1422">
        <v>0</v>
      </c>
      <c r="J1422">
        <v>0</v>
      </c>
      <c r="K1422">
        <v>0</v>
      </c>
      <c r="L1422">
        <v>0</v>
      </c>
      <c r="M1422">
        <v>0</v>
      </c>
      <c r="N1422">
        <v>0</v>
      </c>
      <c r="O1422">
        <v>0</v>
      </c>
      <c r="P1422">
        <v>0</v>
      </c>
      <c r="Q1422" t="str">
        <f>INDEX('Partner data'!A:DH,MATCH(C1422,'Partner data'!DG:DG,0),83)</f>
        <v xml:space="preserve">Organismo di diritto pubblico </v>
      </c>
      <c r="R1422" t="b">
        <f>IF(E1422="staff",IF(INDEX('Partner data'!A:DH,MATCH(C1422,'Partner data'!DG:DG,0),112)="BL1 non presente","FALSO",INDEX('Partner data'!A:DH,MATCH(C1422,'Partner data'!DG:DG,0),112)))</f>
        <v>0</v>
      </c>
      <c r="S1422" t="b">
        <f t="shared" si="44"/>
        <v>0</v>
      </c>
      <c r="T1422" t="b">
        <f t="shared" si="45"/>
        <v>1</v>
      </c>
      <c r="U1422" s="154">
        <f>IFERROR(IF(R1422&lt;&gt;FALSE,IF(S1422=TRUE,INDEX('SummaryNOT_VALIDATED-BL'!$A$1:$F$16,MATCH(R1422,'SummaryNOT_VALIDATED-BL'!$A$1:$A$16,0),6),0),IF(S1422=TRUE,INDEX('SummaryNOT_VALIDATED-BL'!$A$1:$F$16,MATCH(E1422,'SummaryNOT_VALIDATED-BL'!$A$1:$A$16,0),6),0)),0)</f>
        <v>0</v>
      </c>
      <c r="V1422" s="81" cm="1">
        <f t="array" ref="V1422">INDEX('Weight tables'!$A$24:$C$27,MATCH(1,(RendicontiTrasmessiBL__2[[#This Row],[Cut percentage on real costs + USC]]&gt;='Weight tables'!$B$24:$B$27)*(RendicontiTrasmessiBL__2[[#This Row],[Cut percentage on real costs + USC]]&lt;='Weight tables'!$C$24:$C$27),0),1)</f>
        <v>0</v>
      </c>
      <c r="W1422" s="2">
        <f>RendicontiTrasmessiBL__2[[#This Row],[Weight real costs  + USC ]]</f>
        <v>0</v>
      </c>
    </row>
    <row r="1423" spans="1:23" x14ac:dyDescent="0.25">
      <c r="A1423" s="1" t="s">
        <v>350</v>
      </c>
      <c r="B1423" s="1" t="s">
        <v>352</v>
      </c>
      <c r="C1423" s="2">
        <v>170</v>
      </c>
      <c r="D1423" s="2">
        <v>277</v>
      </c>
      <c r="E1423" s="1" t="s">
        <v>237</v>
      </c>
      <c r="G1423">
        <v>0</v>
      </c>
      <c r="H1423">
        <v>0</v>
      </c>
      <c r="I1423">
        <v>0</v>
      </c>
      <c r="J1423">
        <v>0</v>
      </c>
      <c r="K1423">
        <v>0</v>
      </c>
      <c r="L1423">
        <v>0</v>
      </c>
      <c r="M1423">
        <v>0</v>
      </c>
      <c r="N1423">
        <v>0</v>
      </c>
      <c r="O1423">
        <v>0</v>
      </c>
      <c r="P1423">
        <v>0</v>
      </c>
      <c r="Q1423" t="str">
        <f>INDEX('Partner data'!A:DH,MATCH(C1423,'Partner data'!DG:DG,0),83)</f>
        <v xml:space="preserve">Organismo di diritto pubblico </v>
      </c>
      <c r="R1423" t="b">
        <f>IF(E1423="staff",IF(INDEX('Partner data'!A:DH,MATCH(C1423,'Partner data'!DG:DG,0),112)="BL1 non presente","FALSO",INDEX('Partner data'!A:DH,MATCH(C1423,'Partner data'!DG:DG,0),112)))</f>
        <v>0</v>
      </c>
      <c r="S1423" t="b">
        <f t="shared" si="44"/>
        <v>0</v>
      </c>
      <c r="T1423" t="b">
        <f t="shared" si="45"/>
        <v>1</v>
      </c>
      <c r="U1423" s="154">
        <f>IFERROR(IF(R1423&lt;&gt;FALSE,IF(S1423=TRUE,INDEX('SummaryNOT_VALIDATED-BL'!$A$1:$F$16,MATCH(R1423,'SummaryNOT_VALIDATED-BL'!$A$1:$A$16,0),6),0),IF(S1423=TRUE,INDEX('SummaryNOT_VALIDATED-BL'!$A$1:$F$16,MATCH(E1423,'SummaryNOT_VALIDATED-BL'!$A$1:$A$16,0),6),0)),0)</f>
        <v>0</v>
      </c>
      <c r="V1423" s="81" cm="1">
        <f t="array" ref="V1423">INDEX('Weight tables'!$A$24:$C$27,MATCH(1,(RendicontiTrasmessiBL__2[[#This Row],[Cut percentage on real costs + USC]]&gt;='Weight tables'!$B$24:$B$27)*(RendicontiTrasmessiBL__2[[#This Row],[Cut percentage on real costs + USC]]&lt;='Weight tables'!$C$24:$C$27),0),1)</f>
        <v>0</v>
      </c>
      <c r="W1423" s="2">
        <f>RendicontiTrasmessiBL__2[[#This Row],[Weight real costs  + USC ]]</f>
        <v>0</v>
      </c>
    </row>
    <row r="1424" spans="1:23" x14ac:dyDescent="0.25">
      <c r="A1424" s="1" t="s">
        <v>350</v>
      </c>
      <c r="B1424" s="1" t="s">
        <v>353</v>
      </c>
      <c r="C1424" s="2">
        <v>177</v>
      </c>
      <c r="D1424" s="2">
        <v>289</v>
      </c>
      <c r="E1424" s="1" t="s">
        <v>228</v>
      </c>
      <c r="G1424">
        <v>29287.5</v>
      </c>
      <c r="H1424">
        <v>0</v>
      </c>
      <c r="I1424">
        <v>0</v>
      </c>
      <c r="J1424">
        <v>7327.5</v>
      </c>
      <c r="K1424">
        <v>0</v>
      </c>
      <c r="L1424">
        <v>0</v>
      </c>
      <c r="M1424">
        <v>7327.5</v>
      </c>
      <c r="N1424">
        <v>25.02</v>
      </c>
      <c r="O1424">
        <v>21960</v>
      </c>
      <c r="P1424">
        <v>0</v>
      </c>
      <c r="Q1424" t="str">
        <f>INDEX('Partner data'!A:DH,MATCH(C1424,'Partner data'!DG:DG,0),83)</f>
        <v>Soggetto privato</v>
      </c>
      <c r="R1424" t="str">
        <f>IF(E1424="staff",IF(INDEX('Partner data'!A:DH,MATCH(C1424,'Partner data'!DG:DG,0),112)="BL1 non presente","FALSO",INDEX('Partner data'!A:DH,MATCH(C1424,'Partner data'!DG:DG,0),112)))</f>
        <v>COSTO REALE</v>
      </c>
      <c r="S1424" t="b">
        <f t="shared" si="44"/>
        <v>1</v>
      </c>
      <c r="T1424" t="b">
        <f t="shared" si="45"/>
        <v>0</v>
      </c>
      <c r="U1424" s="154">
        <f>IFERROR(IF(R1424&lt;&gt;FALSE,IF(S1424=TRUE,INDEX('SummaryNOT_VALIDATED-BL'!$A$1:$F$16,MATCH(R1424,'SummaryNOT_VALIDATED-BL'!$A$1:$A$16,0),6),0),IF(S1424=TRUE,INDEX('SummaryNOT_VALIDATED-BL'!$A$1:$F$16,MATCH(E1424,'SummaryNOT_VALIDATED-BL'!$A$1:$A$16,0),6),0)),0)</f>
        <v>9.1604133276901048E-2</v>
      </c>
      <c r="V1424" s="81" cm="1">
        <f t="array" ref="V1424">INDEX('Weight tables'!$A$24:$C$27,MATCH(1,(RendicontiTrasmessiBL__2[[#This Row],[Cut percentage on real costs + USC]]&gt;='Weight tables'!$B$24:$B$27)*(RendicontiTrasmessiBL__2[[#This Row],[Cut percentage on real costs + USC]]&lt;='Weight tables'!$C$24:$C$27),0),1)</f>
        <v>4</v>
      </c>
      <c r="W1424" s="2">
        <f>RendicontiTrasmessiBL__2[[#This Row],[Weight real costs  + USC ]]</f>
        <v>4</v>
      </c>
    </row>
    <row r="1425" spans="1:23" x14ac:dyDescent="0.25">
      <c r="A1425" s="1" t="s">
        <v>350</v>
      </c>
      <c r="B1425" s="1" t="s">
        <v>353</v>
      </c>
      <c r="C1425" s="2">
        <v>177</v>
      </c>
      <c r="D1425" s="2">
        <v>289</v>
      </c>
      <c r="E1425" s="1" t="s">
        <v>229</v>
      </c>
      <c r="F1425">
        <v>15</v>
      </c>
      <c r="G1425">
        <v>4393.12</v>
      </c>
      <c r="H1425">
        <v>0</v>
      </c>
      <c r="I1425">
        <v>0</v>
      </c>
      <c r="J1425">
        <v>1099.1199999999999</v>
      </c>
      <c r="K1425">
        <v>0</v>
      </c>
      <c r="L1425">
        <v>0</v>
      </c>
      <c r="M1425">
        <v>1099.1199999999999</v>
      </c>
      <c r="N1425">
        <v>25.02</v>
      </c>
      <c r="O1425">
        <v>3294</v>
      </c>
      <c r="P1425">
        <v>0</v>
      </c>
      <c r="Q1425" t="str">
        <f>INDEX('Partner data'!A:DH,MATCH(C1425,'Partner data'!DG:DG,0),83)</f>
        <v>Soggetto privato</v>
      </c>
      <c r="R1425" t="b">
        <f>IF(E1425="staff",IF(INDEX('Partner data'!A:DH,MATCH(C1425,'Partner data'!DG:DG,0),112)="BL1 non presente","FALSO",INDEX('Partner data'!A:DH,MATCH(C1425,'Partner data'!DG:DG,0),112)))</f>
        <v>0</v>
      </c>
      <c r="S1425" t="b">
        <f t="shared" si="44"/>
        <v>1</v>
      </c>
      <c r="T1425" t="b">
        <f t="shared" si="45"/>
        <v>0</v>
      </c>
      <c r="U1425" s="154">
        <f>IFERROR(IF(R1425&lt;&gt;FALSE,IF(S1425=TRUE,INDEX('SummaryNOT_VALIDATED-BL'!$A$1:$F$16,MATCH(R1425,'SummaryNOT_VALIDATED-BL'!$A$1:$A$16,0),6),0),IF(S1425=TRUE,INDEX('SummaryNOT_VALIDATED-BL'!$A$1:$F$16,MATCH(E1425,'SummaryNOT_VALIDATED-BL'!$A$1:$A$16,0),6),0)),0)</f>
        <v>6.6460469504890221E-2</v>
      </c>
      <c r="V1425" s="81" cm="1">
        <f t="array" ref="V1425">INDEX('Weight tables'!$A$24:$C$27,MATCH(1,(RendicontiTrasmessiBL__2[[#This Row],[Cut percentage on real costs + USC]]&gt;='Weight tables'!$B$24:$B$27)*(RendicontiTrasmessiBL__2[[#This Row],[Cut percentage on real costs + USC]]&lt;='Weight tables'!$C$24:$C$27),0),1)</f>
        <v>4</v>
      </c>
      <c r="W1425" s="2">
        <f>RendicontiTrasmessiBL__2[[#This Row],[Weight real costs  + USC ]]</f>
        <v>4</v>
      </c>
    </row>
    <row r="1426" spans="1:23" x14ac:dyDescent="0.25">
      <c r="A1426" s="1" t="s">
        <v>350</v>
      </c>
      <c r="B1426" s="1" t="s">
        <v>353</v>
      </c>
      <c r="C1426" s="2">
        <v>177</v>
      </c>
      <c r="D1426" s="2">
        <v>289</v>
      </c>
      <c r="E1426" s="1" t="s">
        <v>230</v>
      </c>
      <c r="F1426">
        <v>4</v>
      </c>
      <c r="G1426">
        <v>1171.5</v>
      </c>
      <c r="H1426">
        <v>0</v>
      </c>
      <c r="I1426">
        <v>0</v>
      </c>
      <c r="J1426">
        <v>293.10000000000002</v>
      </c>
      <c r="K1426">
        <v>0</v>
      </c>
      <c r="L1426">
        <v>0</v>
      </c>
      <c r="M1426">
        <v>293.10000000000002</v>
      </c>
      <c r="N1426">
        <v>25.02</v>
      </c>
      <c r="O1426">
        <v>878.4</v>
      </c>
      <c r="P1426">
        <v>0</v>
      </c>
      <c r="Q1426" t="str">
        <f>INDEX('Partner data'!A:DH,MATCH(C1426,'Partner data'!DG:DG,0),83)</f>
        <v>Soggetto privato</v>
      </c>
      <c r="R1426" t="b">
        <f>IF(E1426="staff",IF(INDEX('Partner data'!A:DH,MATCH(C1426,'Partner data'!DG:DG,0),112)="BL1 non presente","FALSO",INDEX('Partner data'!A:DH,MATCH(C1426,'Partner data'!DG:DG,0),112)))</f>
        <v>0</v>
      </c>
      <c r="S1426" t="b">
        <f t="shared" si="44"/>
        <v>1</v>
      </c>
      <c r="T1426" t="b">
        <f t="shared" si="45"/>
        <v>0</v>
      </c>
      <c r="U1426" s="154">
        <f>IFERROR(IF(R1426&lt;&gt;FALSE,IF(S1426=TRUE,INDEX('SummaryNOT_VALIDATED-BL'!$A$1:$F$16,MATCH(R1426,'SummaryNOT_VALIDATED-BL'!$A$1:$A$16,0),6),0),IF(S1426=TRUE,INDEX('SummaryNOT_VALIDATED-BL'!$A$1:$F$16,MATCH(E1426,'SummaryNOT_VALIDATED-BL'!$A$1:$A$16,0),6),0)),0)</f>
        <v>6.3112622236488891E-2</v>
      </c>
      <c r="V1426" s="81" cm="1">
        <f t="array" ref="V1426">INDEX('Weight tables'!$A$24:$C$27,MATCH(1,(RendicontiTrasmessiBL__2[[#This Row],[Cut percentage on real costs + USC]]&gt;='Weight tables'!$B$24:$B$27)*(RendicontiTrasmessiBL__2[[#This Row],[Cut percentage on real costs + USC]]&lt;='Weight tables'!$C$24:$C$27),0),1)</f>
        <v>4</v>
      </c>
      <c r="W1426" s="2">
        <f>RendicontiTrasmessiBL__2[[#This Row],[Weight real costs  + USC ]]</f>
        <v>4</v>
      </c>
    </row>
    <row r="1427" spans="1:23" x14ac:dyDescent="0.25">
      <c r="A1427" s="1" t="s">
        <v>350</v>
      </c>
      <c r="B1427" s="1" t="s">
        <v>353</v>
      </c>
      <c r="C1427" s="2">
        <v>177</v>
      </c>
      <c r="D1427" s="2">
        <v>289</v>
      </c>
      <c r="E1427" s="1" t="s">
        <v>231</v>
      </c>
      <c r="G1427">
        <v>34200</v>
      </c>
      <c r="H1427">
        <v>0</v>
      </c>
      <c r="I1427">
        <v>0</v>
      </c>
      <c r="J1427">
        <v>7320</v>
      </c>
      <c r="K1427">
        <v>0</v>
      </c>
      <c r="L1427">
        <v>0</v>
      </c>
      <c r="M1427">
        <v>7320</v>
      </c>
      <c r="N1427">
        <v>21.4</v>
      </c>
      <c r="O1427">
        <v>26880</v>
      </c>
      <c r="P1427">
        <v>0</v>
      </c>
      <c r="Q1427" t="str">
        <f>INDEX('Partner data'!A:DH,MATCH(C1427,'Partner data'!DG:DG,0),83)</f>
        <v>Soggetto privato</v>
      </c>
      <c r="R1427" t="b">
        <f>IF(E1427="staff",IF(INDEX('Partner data'!A:DH,MATCH(C1427,'Partner data'!DG:DG,0),112)="BL1 non presente","FALSO",INDEX('Partner data'!A:DH,MATCH(C1427,'Partner data'!DG:DG,0),112)))</f>
        <v>0</v>
      </c>
      <c r="S1427" t="b">
        <f t="shared" si="44"/>
        <v>1</v>
      </c>
      <c r="T1427" t="b">
        <f t="shared" si="45"/>
        <v>0</v>
      </c>
      <c r="U1427" s="154">
        <f>IFERROR(IF(R1427&lt;&gt;FALSE,IF(S1427=TRUE,INDEX('SummaryNOT_VALIDATED-BL'!$A$1:$F$16,MATCH(R1427,'SummaryNOT_VALIDATED-BL'!$A$1:$A$16,0),6),0),IF(S1427=TRUE,INDEX('SummaryNOT_VALIDATED-BL'!$A$1:$F$16,MATCH(E1427,'SummaryNOT_VALIDATED-BL'!$A$1:$A$16,0),6),0)),0)</f>
        <v>5.577594442215475E-2</v>
      </c>
      <c r="V1427" s="81" cm="1">
        <f t="array" ref="V1427">INDEX('Weight tables'!$A$24:$C$27,MATCH(1,(RendicontiTrasmessiBL__2[[#This Row],[Cut percentage on real costs + USC]]&gt;='Weight tables'!$B$24:$B$27)*(RendicontiTrasmessiBL__2[[#This Row],[Cut percentage on real costs + USC]]&lt;='Weight tables'!$C$24:$C$27),0),1)</f>
        <v>4</v>
      </c>
      <c r="W1427" s="2">
        <f>RendicontiTrasmessiBL__2[[#This Row],[Weight real costs  + USC ]]</f>
        <v>4</v>
      </c>
    </row>
    <row r="1428" spans="1:23" x14ac:dyDescent="0.25">
      <c r="A1428" s="1" t="s">
        <v>350</v>
      </c>
      <c r="B1428" s="1" t="s">
        <v>353</v>
      </c>
      <c r="C1428" s="2">
        <v>177</v>
      </c>
      <c r="D1428" s="2">
        <v>289</v>
      </c>
      <c r="E1428" s="1" t="s">
        <v>232</v>
      </c>
      <c r="G1428">
        <v>10800</v>
      </c>
      <c r="H1428">
        <v>0</v>
      </c>
      <c r="I1428">
        <v>0</v>
      </c>
      <c r="J1428">
        <v>13499.91</v>
      </c>
      <c r="K1428">
        <v>0</v>
      </c>
      <c r="L1428">
        <v>0</v>
      </c>
      <c r="M1428">
        <v>13499.91</v>
      </c>
      <c r="N1428">
        <v>125</v>
      </c>
      <c r="O1428">
        <v>-2699.91</v>
      </c>
      <c r="P1428">
        <v>0</v>
      </c>
      <c r="Q1428" t="str">
        <f>INDEX('Partner data'!A:DH,MATCH(C1428,'Partner data'!DG:DG,0),83)</f>
        <v>Soggetto privato</v>
      </c>
      <c r="R1428" t="b">
        <f>IF(E1428="staff",IF(INDEX('Partner data'!A:DH,MATCH(C1428,'Partner data'!DG:DG,0),112)="BL1 non presente","FALSO",INDEX('Partner data'!A:DH,MATCH(C1428,'Partner data'!DG:DG,0),112)))</f>
        <v>0</v>
      </c>
      <c r="S1428" t="b">
        <f t="shared" si="44"/>
        <v>1</v>
      </c>
      <c r="T1428" t="b">
        <f t="shared" si="45"/>
        <v>0</v>
      </c>
      <c r="U1428" s="154">
        <f>IFERROR(IF(R1428&lt;&gt;FALSE,IF(S1428=TRUE,INDEX('SummaryNOT_VALIDATED-BL'!$A$1:$F$16,MATCH(R1428,'SummaryNOT_VALIDATED-BL'!$A$1:$A$16,0),6),0),IF(S1428=TRUE,INDEX('SummaryNOT_VALIDATED-BL'!$A$1:$F$16,MATCH(E1428,'SummaryNOT_VALIDATED-BL'!$A$1:$A$16,0),6),0)),0)</f>
        <v>1.102169095281242E-2</v>
      </c>
      <c r="V1428" s="81" cm="1">
        <f t="array" ref="V1428">INDEX('Weight tables'!$A$24:$C$27,MATCH(1,(RendicontiTrasmessiBL__2[[#This Row],[Cut percentage on real costs + USC]]&gt;='Weight tables'!$B$24:$B$27)*(RendicontiTrasmessiBL__2[[#This Row],[Cut percentage on real costs + USC]]&lt;='Weight tables'!$C$24:$C$27),0),1)</f>
        <v>0</v>
      </c>
      <c r="W1428" s="2">
        <f>RendicontiTrasmessiBL__2[[#This Row],[Weight real costs  + USC ]]</f>
        <v>0</v>
      </c>
    </row>
    <row r="1429" spans="1:23" x14ac:dyDescent="0.25">
      <c r="A1429" s="1" t="s">
        <v>350</v>
      </c>
      <c r="B1429" s="1" t="s">
        <v>353</v>
      </c>
      <c r="C1429" s="2">
        <v>177</v>
      </c>
      <c r="D1429" s="2">
        <v>289</v>
      </c>
      <c r="E1429" s="1" t="s">
        <v>233</v>
      </c>
      <c r="G1429">
        <v>0</v>
      </c>
      <c r="H1429">
        <v>0</v>
      </c>
      <c r="I1429">
        <v>0</v>
      </c>
      <c r="J1429">
        <v>0</v>
      </c>
      <c r="K1429">
        <v>0</v>
      </c>
      <c r="L1429">
        <v>0</v>
      </c>
      <c r="M1429">
        <v>0</v>
      </c>
      <c r="N1429">
        <v>0</v>
      </c>
      <c r="O1429">
        <v>0</v>
      </c>
      <c r="P1429">
        <v>0</v>
      </c>
      <c r="Q1429" t="str">
        <f>INDEX('Partner data'!A:DH,MATCH(C1429,'Partner data'!DG:DG,0),83)</f>
        <v>Soggetto privato</v>
      </c>
      <c r="R1429" t="b">
        <f>IF(E1429="staff",IF(INDEX('Partner data'!A:DH,MATCH(C1429,'Partner data'!DG:DG,0),112)="BL1 non presente","FALSO",INDEX('Partner data'!A:DH,MATCH(C1429,'Partner data'!DG:DG,0),112)))</f>
        <v>0</v>
      </c>
      <c r="S1429" t="b">
        <f t="shared" si="44"/>
        <v>0</v>
      </c>
      <c r="T1429" t="b">
        <f t="shared" si="45"/>
        <v>0</v>
      </c>
      <c r="U1429" s="154">
        <f>IFERROR(IF(R1429&lt;&gt;FALSE,IF(S1429=TRUE,INDEX('SummaryNOT_VALIDATED-BL'!$A$1:$F$16,MATCH(R1429,'SummaryNOT_VALIDATED-BL'!$A$1:$A$16,0),6),0),IF(S1429=TRUE,INDEX('SummaryNOT_VALIDATED-BL'!$A$1:$F$16,MATCH(E1429,'SummaryNOT_VALIDATED-BL'!$A$1:$A$16,0),6),0)),0)</f>
        <v>0</v>
      </c>
      <c r="V1429" s="81" cm="1">
        <f t="array" ref="V1429">INDEX('Weight tables'!$A$24:$C$27,MATCH(1,(RendicontiTrasmessiBL__2[[#This Row],[Cut percentage on real costs + USC]]&gt;='Weight tables'!$B$24:$B$27)*(RendicontiTrasmessiBL__2[[#This Row],[Cut percentage on real costs + USC]]&lt;='Weight tables'!$C$24:$C$27),0),1)</f>
        <v>0</v>
      </c>
      <c r="W1429" s="2">
        <f>RendicontiTrasmessiBL__2[[#This Row],[Weight real costs  + USC ]]</f>
        <v>0</v>
      </c>
    </row>
    <row r="1430" spans="1:23" x14ac:dyDescent="0.25">
      <c r="A1430" s="1" t="s">
        <v>350</v>
      </c>
      <c r="B1430" s="1" t="s">
        <v>353</v>
      </c>
      <c r="C1430" s="2">
        <v>177</v>
      </c>
      <c r="D1430" s="2">
        <v>289</v>
      </c>
      <c r="E1430" s="1" t="s">
        <v>234</v>
      </c>
      <c r="G1430">
        <v>0</v>
      </c>
      <c r="H1430">
        <v>0</v>
      </c>
      <c r="I1430">
        <v>0</v>
      </c>
      <c r="J1430">
        <v>0</v>
      </c>
      <c r="K1430">
        <v>0</v>
      </c>
      <c r="L1430">
        <v>0</v>
      </c>
      <c r="M1430">
        <v>0</v>
      </c>
      <c r="N1430">
        <v>0</v>
      </c>
      <c r="O1430">
        <v>0</v>
      </c>
      <c r="P1430">
        <v>0</v>
      </c>
      <c r="Q1430" t="str">
        <f>INDEX('Partner data'!A:DH,MATCH(C1430,'Partner data'!DG:DG,0),83)</f>
        <v>Soggetto privato</v>
      </c>
      <c r="R1430" t="b">
        <f>IF(E1430="staff",IF(INDEX('Partner data'!A:DH,MATCH(C1430,'Partner data'!DG:DG,0),112)="BL1 non presente","FALSO",INDEX('Partner data'!A:DH,MATCH(C1430,'Partner data'!DG:DG,0),112)))</f>
        <v>0</v>
      </c>
      <c r="S1430" t="b">
        <f t="shared" si="44"/>
        <v>0</v>
      </c>
      <c r="T1430" t="b">
        <f t="shared" si="45"/>
        <v>0</v>
      </c>
      <c r="U1430" s="154">
        <f>IFERROR(IF(R1430&lt;&gt;FALSE,IF(S1430=TRUE,INDEX('SummaryNOT_VALIDATED-BL'!$A$1:$F$16,MATCH(R1430,'SummaryNOT_VALIDATED-BL'!$A$1:$A$16,0),6),0),IF(S1430=TRUE,INDEX('SummaryNOT_VALIDATED-BL'!$A$1:$F$16,MATCH(E1430,'SummaryNOT_VALIDATED-BL'!$A$1:$A$16,0),6),0)),0)</f>
        <v>0</v>
      </c>
      <c r="V1430" s="81" cm="1">
        <f t="array" ref="V1430">INDEX('Weight tables'!$A$24:$C$27,MATCH(1,(RendicontiTrasmessiBL__2[[#This Row],[Cut percentage on real costs + USC]]&gt;='Weight tables'!$B$24:$B$27)*(RendicontiTrasmessiBL__2[[#This Row],[Cut percentage on real costs + USC]]&lt;='Weight tables'!$C$24:$C$27),0),1)</f>
        <v>0</v>
      </c>
      <c r="W1430" s="2">
        <f>RendicontiTrasmessiBL__2[[#This Row],[Weight real costs  + USC ]]</f>
        <v>0</v>
      </c>
    </row>
    <row r="1431" spans="1:23" x14ac:dyDescent="0.25">
      <c r="A1431" s="1" t="s">
        <v>350</v>
      </c>
      <c r="B1431" s="1" t="s">
        <v>353</v>
      </c>
      <c r="C1431" s="2">
        <v>177</v>
      </c>
      <c r="D1431" s="2">
        <v>289</v>
      </c>
      <c r="E1431" s="1" t="s">
        <v>236</v>
      </c>
      <c r="G1431">
        <v>0</v>
      </c>
      <c r="H1431">
        <v>0</v>
      </c>
      <c r="I1431">
        <v>0</v>
      </c>
      <c r="J1431">
        <v>0</v>
      </c>
      <c r="K1431">
        <v>0</v>
      </c>
      <c r="L1431">
        <v>0</v>
      </c>
      <c r="M1431">
        <v>0</v>
      </c>
      <c r="N1431">
        <v>0</v>
      </c>
      <c r="O1431">
        <v>0</v>
      </c>
      <c r="P1431">
        <v>0</v>
      </c>
      <c r="Q1431" t="str">
        <f>INDEX('Partner data'!A:DH,MATCH(C1431,'Partner data'!DG:DG,0),83)</f>
        <v>Soggetto privato</v>
      </c>
      <c r="R1431" t="b">
        <f>IF(E1431="staff",IF(INDEX('Partner data'!A:DH,MATCH(C1431,'Partner data'!DG:DG,0),112)="BL1 non presente","FALSO",INDEX('Partner data'!A:DH,MATCH(C1431,'Partner data'!DG:DG,0),112)))</f>
        <v>0</v>
      </c>
      <c r="S1431" t="b">
        <f t="shared" si="44"/>
        <v>0</v>
      </c>
      <c r="T1431" t="b">
        <f t="shared" si="45"/>
        <v>0</v>
      </c>
      <c r="U1431" s="154">
        <f>IFERROR(IF(R1431&lt;&gt;FALSE,IF(S1431=TRUE,INDEX('SummaryNOT_VALIDATED-BL'!$A$1:$F$16,MATCH(R1431,'SummaryNOT_VALIDATED-BL'!$A$1:$A$16,0),6),0),IF(S1431=TRUE,INDEX('SummaryNOT_VALIDATED-BL'!$A$1:$F$16,MATCH(E1431,'SummaryNOT_VALIDATED-BL'!$A$1:$A$16,0),6),0)),0)</f>
        <v>0</v>
      </c>
      <c r="V1431" s="81" cm="1">
        <f t="array" ref="V1431">INDEX('Weight tables'!$A$24:$C$27,MATCH(1,(RendicontiTrasmessiBL__2[[#This Row],[Cut percentage on real costs + USC]]&gt;='Weight tables'!$B$24:$B$27)*(RendicontiTrasmessiBL__2[[#This Row],[Cut percentage on real costs + USC]]&lt;='Weight tables'!$C$24:$C$27),0),1)</f>
        <v>0</v>
      </c>
      <c r="W1431" s="2">
        <f>RendicontiTrasmessiBL__2[[#This Row],[Weight real costs  + USC ]]</f>
        <v>0</v>
      </c>
    </row>
    <row r="1432" spans="1:23" x14ac:dyDescent="0.25">
      <c r="A1432" s="1" t="s">
        <v>350</v>
      </c>
      <c r="B1432" s="1" t="s">
        <v>353</v>
      </c>
      <c r="C1432" s="2">
        <v>177</v>
      </c>
      <c r="D1432" s="2">
        <v>289</v>
      </c>
      <c r="E1432" s="1" t="s">
        <v>237</v>
      </c>
      <c r="G1432">
        <v>0</v>
      </c>
      <c r="H1432">
        <v>0</v>
      </c>
      <c r="I1432">
        <v>0</v>
      </c>
      <c r="J1432">
        <v>0</v>
      </c>
      <c r="K1432">
        <v>0</v>
      </c>
      <c r="L1432">
        <v>0</v>
      </c>
      <c r="M1432">
        <v>0</v>
      </c>
      <c r="N1432">
        <v>0</v>
      </c>
      <c r="O1432">
        <v>0</v>
      </c>
      <c r="P1432">
        <v>0</v>
      </c>
      <c r="Q1432" t="str">
        <f>INDEX('Partner data'!A:DH,MATCH(C1432,'Partner data'!DG:DG,0),83)</f>
        <v>Soggetto privato</v>
      </c>
      <c r="R1432" t="b">
        <f>IF(E1432="staff",IF(INDEX('Partner data'!A:DH,MATCH(C1432,'Partner data'!DG:DG,0),112)="BL1 non presente","FALSO",INDEX('Partner data'!A:DH,MATCH(C1432,'Partner data'!DG:DG,0),112)))</f>
        <v>0</v>
      </c>
      <c r="S1432" t="b">
        <f t="shared" si="44"/>
        <v>0</v>
      </c>
      <c r="T1432" t="b">
        <f t="shared" si="45"/>
        <v>0</v>
      </c>
      <c r="U1432" s="154">
        <f>IFERROR(IF(R1432&lt;&gt;FALSE,IF(S1432=TRUE,INDEX('SummaryNOT_VALIDATED-BL'!$A$1:$F$16,MATCH(R1432,'SummaryNOT_VALIDATED-BL'!$A$1:$A$16,0),6),0),IF(S1432=TRUE,INDEX('SummaryNOT_VALIDATED-BL'!$A$1:$F$16,MATCH(E1432,'SummaryNOT_VALIDATED-BL'!$A$1:$A$16,0),6),0)),0)</f>
        <v>0</v>
      </c>
      <c r="V1432" s="81" cm="1">
        <f t="array" ref="V1432">INDEX('Weight tables'!$A$24:$C$27,MATCH(1,(RendicontiTrasmessiBL__2[[#This Row],[Cut percentage on real costs + USC]]&gt;='Weight tables'!$B$24:$B$27)*(RendicontiTrasmessiBL__2[[#This Row],[Cut percentage on real costs + USC]]&lt;='Weight tables'!$C$24:$C$27),0),1)</f>
        <v>0</v>
      </c>
      <c r="W1432" s="2">
        <f>RendicontiTrasmessiBL__2[[#This Row],[Weight real costs  + USC ]]</f>
        <v>0</v>
      </c>
    </row>
    <row r="1433" spans="1:23" x14ac:dyDescent="0.25">
      <c r="A1433" s="1" t="s">
        <v>350</v>
      </c>
      <c r="B1433" s="1" t="s">
        <v>354</v>
      </c>
      <c r="C1433" s="2">
        <v>194</v>
      </c>
      <c r="D1433" s="2">
        <v>295</v>
      </c>
      <c r="E1433" s="1" t="s">
        <v>228</v>
      </c>
      <c r="G1433">
        <v>57140</v>
      </c>
      <c r="H1433">
        <v>0</v>
      </c>
      <c r="I1433">
        <v>0</v>
      </c>
      <c r="J1433">
        <v>7106.38</v>
      </c>
      <c r="K1433">
        <v>0</v>
      </c>
      <c r="L1433">
        <v>0</v>
      </c>
      <c r="M1433">
        <v>7106.38</v>
      </c>
      <c r="N1433">
        <v>12.44</v>
      </c>
      <c r="O1433">
        <v>50033.62</v>
      </c>
      <c r="P1433">
        <v>0</v>
      </c>
      <c r="Q1433" t="str">
        <f>INDEX('Partner data'!A:DH,MATCH(C1433,'Partner data'!DG:DG,0),83)</f>
        <v>Soggetto privato</v>
      </c>
      <c r="R1433" t="str">
        <f>IF(E1433="staff",IF(INDEX('Partner data'!A:DH,MATCH(C1433,'Partner data'!DG:DG,0),112)="BL1 non presente","FALSO",INDEX('Partner data'!A:DH,MATCH(C1433,'Partner data'!DG:DG,0),112)))</f>
        <v>COSTO REALE</v>
      </c>
      <c r="S1433" t="b">
        <f t="shared" si="44"/>
        <v>1</v>
      </c>
      <c r="T1433" t="b">
        <f t="shared" si="45"/>
        <v>0</v>
      </c>
      <c r="U1433" s="154">
        <f>IFERROR(IF(R1433&lt;&gt;FALSE,IF(S1433=TRUE,INDEX('SummaryNOT_VALIDATED-BL'!$A$1:$F$16,MATCH(R1433,'SummaryNOT_VALIDATED-BL'!$A$1:$A$16,0),6),0),IF(S1433=TRUE,INDEX('SummaryNOT_VALIDATED-BL'!$A$1:$F$16,MATCH(E1433,'SummaryNOT_VALIDATED-BL'!$A$1:$A$16,0),6),0)),0)</f>
        <v>9.1604133276901048E-2</v>
      </c>
      <c r="V1433" s="81" cm="1">
        <f t="array" ref="V1433">INDEX('Weight tables'!$A$24:$C$27,MATCH(1,(RendicontiTrasmessiBL__2[[#This Row],[Cut percentage on real costs + USC]]&gt;='Weight tables'!$B$24:$B$27)*(RendicontiTrasmessiBL__2[[#This Row],[Cut percentage on real costs + USC]]&lt;='Weight tables'!$C$24:$C$27),0),1)</f>
        <v>4</v>
      </c>
      <c r="W1433" s="2">
        <f>RendicontiTrasmessiBL__2[[#This Row],[Weight real costs  + USC ]]</f>
        <v>4</v>
      </c>
    </row>
    <row r="1434" spans="1:23" x14ac:dyDescent="0.25">
      <c r="A1434" s="1" t="s">
        <v>350</v>
      </c>
      <c r="B1434" s="1" t="s">
        <v>354</v>
      </c>
      <c r="C1434" s="2">
        <v>194</v>
      </c>
      <c r="D1434" s="2">
        <v>295</v>
      </c>
      <c r="E1434" s="1" t="s">
        <v>229</v>
      </c>
      <c r="G1434">
        <v>0</v>
      </c>
      <c r="H1434">
        <v>0</v>
      </c>
      <c r="I1434">
        <v>0</v>
      </c>
      <c r="J1434">
        <v>0</v>
      </c>
      <c r="K1434">
        <v>0</v>
      </c>
      <c r="L1434">
        <v>0</v>
      </c>
      <c r="M1434">
        <v>0</v>
      </c>
      <c r="N1434">
        <v>0</v>
      </c>
      <c r="O1434">
        <v>0</v>
      </c>
      <c r="P1434">
        <v>0</v>
      </c>
      <c r="Q1434" t="str">
        <f>INDEX('Partner data'!A:DH,MATCH(C1434,'Partner data'!DG:DG,0),83)</f>
        <v>Soggetto privato</v>
      </c>
      <c r="R1434" t="b">
        <f>IF(E1434="staff",IF(INDEX('Partner data'!A:DH,MATCH(C1434,'Partner data'!DG:DG,0),112)="BL1 non presente","FALSO",INDEX('Partner data'!A:DH,MATCH(C1434,'Partner data'!DG:DG,0),112)))</f>
        <v>0</v>
      </c>
      <c r="S1434" t="b">
        <f t="shared" si="44"/>
        <v>0</v>
      </c>
      <c r="T1434" t="b">
        <f t="shared" si="45"/>
        <v>0</v>
      </c>
      <c r="U1434" s="154">
        <f>IFERROR(IF(R1434&lt;&gt;FALSE,IF(S1434=TRUE,INDEX('SummaryNOT_VALIDATED-BL'!$A$1:$F$16,MATCH(R1434,'SummaryNOT_VALIDATED-BL'!$A$1:$A$16,0),6),0),IF(S1434=TRUE,INDEX('SummaryNOT_VALIDATED-BL'!$A$1:$F$16,MATCH(E1434,'SummaryNOT_VALIDATED-BL'!$A$1:$A$16,0),6),0)),0)</f>
        <v>0</v>
      </c>
      <c r="V1434" s="81" cm="1">
        <f t="array" ref="V1434">INDEX('Weight tables'!$A$24:$C$27,MATCH(1,(RendicontiTrasmessiBL__2[[#This Row],[Cut percentage on real costs + USC]]&gt;='Weight tables'!$B$24:$B$27)*(RendicontiTrasmessiBL__2[[#This Row],[Cut percentage on real costs + USC]]&lt;='Weight tables'!$C$24:$C$27),0),1)</f>
        <v>0</v>
      </c>
      <c r="W1434" s="2">
        <f>RendicontiTrasmessiBL__2[[#This Row],[Weight real costs  + USC ]]</f>
        <v>0</v>
      </c>
    </row>
    <row r="1435" spans="1:23" x14ac:dyDescent="0.25">
      <c r="A1435" s="1" t="s">
        <v>350</v>
      </c>
      <c r="B1435" s="1" t="s">
        <v>354</v>
      </c>
      <c r="C1435" s="2">
        <v>194</v>
      </c>
      <c r="D1435" s="2">
        <v>295</v>
      </c>
      <c r="E1435" s="1" t="s">
        <v>230</v>
      </c>
      <c r="G1435">
        <v>0</v>
      </c>
      <c r="H1435">
        <v>0</v>
      </c>
      <c r="I1435">
        <v>0</v>
      </c>
      <c r="J1435">
        <v>0</v>
      </c>
      <c r="K1435">
        <v>0</v>
      </c>
      <c r="L1435">
        <v>0</v>
      </c>
      <c r="M1435">
        <v>0</v>
      </c>
      <c r="N1435">
        <v>0</v>
      </c>
      <c r="O1435">
        <v>0</v>
      </c>
      <c r="P1435">
        <v>0</v>
      </c>
      <c r="Q1435" t="str">
        <f>INDEX('Partner data'!A:DH,MATCH(C1435,'Partner data'!DG:DG,0),83)</f>
        <v>Soggetto privato</v>
      </c>
      <c r="R1435" t="b">
        <f>IF(E1435="staff",IF(INDEX('Partner data'!A:DH,MATCH(C1435,'Partner data'!DG:DG,0),112)="BL1 non presente","FALSO",INDEX('Partner data'!A:DH,MATCH(C1435,'Partner data'!DG:DG,0),112)))</f>
        <v>0</v>
      </c>
      <c r="S1435" t="b">
        <f t="shared" si="44"/>
        <v>0</v>
      </c>
      <c r="T1435" t="b">
        <f t="shared" si="45"/>
        <v>0</v>
      </c>
      <c r="U1435" s="154">
        <f>IFERROR(IF(R1435&lt;&gt;FALSE,IF(S1435=TRUE,INDEX('SummaryNOT_VALIDATED-BL'!$A$1:$F$16,MATCH(R1435,'SummaryNOT_VALIDATED-BL'!$A$1:$A$16,0),6),0),IF(S1435=TRUE,INDEX('SummaryNOT_VALIDATED-BL'!$A$1:$F$16,MATCH(E1435,'SummaryNOT_VALIDATED-BL'!$A$1:$A$16,0),6),0)),0)</f>
        <v>0</v>
      </c>
      <c r="V1435" s="81" cm="1">
        <f t="array" ref="V1435">INDEX('Weight tables'!$A$24:$C$27,MATCH(1,(RendicontiTrasmessiBL__2[[#This Row],[Cut percentage on real costs + USC]]&gt;='Weight tables'!$B$24:$B$27)*(RendicontiTrasmessiBL__2[[#This Row],[Cut percentage on real costs + USC]]&lt;='Weight tables'!$C$24:$C$27),0),1)</f>
        <v>0</v>
      </c>
      <c r="W1435" s="2">
        <f>RendicontiTrasmessiBL__2[[#This Row],[Weight real costs  + USC ]]</f>
        <v>0</v>
      </c>
    </row>
    <row r="1436" spans="1:23" x14ac:dyDescent="0.25">
      <c r="A1436" s="1" t="s">
        <v>350</v>
      </c>
      <c r="B1436" s="1" t="s">
        <v>354</v>
      </c>
      <c r="C1436" s="2">
        <v>194</v>
      </c>
      <c r="D1436" s="2">
        <v>295</v>
      </c>
      <c r="E1436" s="1" t="s">
        <v>231</v>
      </c>
      <c r="G1436">
        <v>0</v>
      </c>
      <c r="H1436">
        <v>0</v>
      </c>
      <c r="I1436">
        <v>0</v>
      </c>
      <c r="J1436">
        <v>0</v>
      </c>
      <c r="K1436">
        <v>0</v>
      </c>
      <c r="L1436">
        <v>0</v>
      </c>
      <c r="M1436">
        <v>0</v>
      </c>
      <c r="N1436">
        <v>0</v>
      </c>
      <c r="O1436">
        <v>0</v>
      </c>
      <c r="P1436">
        <v>0</v>
      </c>
      <c r="Q1436" t="str">
        <f>INDEX('Partner data'!A:DH,MATCH(C1436,'Partner data'!DG:DG,0),83)</f>
        <v>Soggetto privato</v>
      </c>
      <c r="R1436" t="b">
        <f>IF(E1436="staff",IF(INDEX('Partner data'!A:DH,MATCH(C1436,'Partner data'!DG:DG,0),112)="BL1 non presente","FALSO",INDEX('Partner data'!A:DH,MATCH(C1436,'Partner data'!DG:DG,0),112)))</f>
        <v>0</v>
      </c>
      <c r="S1436" t="b">
        <f t="shared" si="44"/>
        <v>0</v>
      </c>
      <c r="T1436" t="b">
        <f t="shared" si="45"/>
        <v>0</v>
      </c>
      <c r="U1436" s="154">
        <f>IFERROR(IF(R1436&lt;&gt;FALSE,IF(S1436=TRUE,INDEX('SummaryNOT_VALIDATED-BL'!$A$1:$F$16,MATCH(R1436,'SummaryNOT_VALIDATED-BL'!$A$1:$A$16,0),6),0),IF(S1436=TRUE,INDEX('SummaryNOT_VALIDATED-BL'!$A$1:$F$16,MATCH(E1436,'SummaryNOT_VALIDATED-BL'!$A$1:$A$16,0),6),0)),0)</f>
        <v>0</v>
      </c>
      <c r="V1436" s="81" cm="1">
        <f t="array" ref="V1436">INDEX('Weight tables'!$A$24:$C$27,MATCH(1,(RendicontiTrasmessiBL__2[[#This Row],[Cut percentage on real costs + USC]]&gt;='Weight tables'!$B$24:$B$27)*(RendicontiTrasmessiBL__2[[#This Row],[Cut percentage on real costs + USC]]&lt;='Weight tables'!$C$24:$C$27),0),1)</f>
        <v>0</v>
      </c>
      <c r="W1436" s="2">
        <f>RendicontiTrasmessiBL__2[[#This Row],[Weight real costs  + USC ]]</f>
        <v>0</v>
      </c>
    </row>
    <row r="1437" spans="1:23" x14ac:dyDescent="0.25">
      <c r="A1437" s="1" t="s">
        <v>350</v>
      </c>
      <c r="B1437" s="1" t="s">
        <v>354</v>
      </c>
      <c r="C1437" s="2">
        <v>194</v>
      </c>
      <c r="D1437" s="2">
        <v>295</v>
      </c>
      <c r="E1437" s="1" t="s">
        <v>232</v>
      </c>
      <c r="G1437">
        <v>0</v>
      </c>
      <c r="H1437">
        <v>0</v>
      </c>
      <c r="I1437">
        <v>0</v>
      </c>
      <c r="J1437">
        <v>0</v>
      </c>
      <c r="K1437">
        <v>0</v>
      </c>
      <c r="L1437">
        <v>0</v>
      </c>
      <c r="M1437">
        <v>0</v>
      </c>
      <c r="N1437">
        <v>0</v>
      </c>
      <c r="O1437">
        <v>0</v>
      </c>
      <c r="P1437">
        <v>0</v>
      </c>
      <c r="Q1437" t="str">
        <f>INDEX('Partner data'!A:DH,MATCH(C1437,'Partner data'!DG:DG,0),83)</f>
        <v>Soggetto privato</v>
      </c>
      <c r="R1437" t="b">
        <f>IF(E1437="staff",IF(INDEX('Partner data'!A:DH,MATCH(C1437,'Partner data'!DG:DG,0),112)="BL1 non presente","FALSO",INDEX('Partner data'!A:DH,MATCH(C1437,'Partner data'!DG:DG,0),112)))</f>
        <v>0</v>
      </c>
      <c r="S1437" t="b">
        <f t="shared" si="44"/>
        <v>0</v>
      </c>
      <c r="T1437" t="b">
        <f t="shared" si="45"/>
        <v>0</v>
      </c>
      <c r="U1437" s="154">
        <f>IFERROR(IF(R1437&lt;&gt;FALSE,IF(S1437=TRUE,INDEX('SummaryNOT_VALIDATED-BL'!$A$1:$F$16,MATCH(R1437,'SummaryNOT_VALIDATED-BL'!$A$1:$A$16,0),6),0),IF(S1437=TRUE,INDEX('SummaryNOT_VALIDATED-BL'!$A$1:$F$16,MATCH(E1437,'SummaryNOT_VALIDATED-BL'!$A$1:$A$16,0),6),0)),0)</f>
        <v>0</v>
      </c>
      <c r="V1437" s="81" cm="1">
        <f t="array" ref="V1437">INDEX('Weight tables'!$A$24:$C$27,MATCH(1,(RendicontiTrasmessiBL__2[[#This Row],[Cut percentage on real costs + USC]]&gt;='Weight tables'!$B$24:$B$27)*(RendicontiTrasmessiBL__2[[#This Row],[Cut percentage on real costs + USC]]&lt;='Weight tables'!$C$24:$C$27),0),1)</f>
        <v>0</v>
      </c>
      <c r="W1437" s="2">
        <f>RendicontiTrasmessiBL__2[[#This Row],[Weight real costs  + USC ]]</f>
        <v>0</v>
      </c>
    </row>
    <row r="1438" spans="1:23" x14ac:dyDescent="0.25">
      <c r="A1438" s="1" t="s">
        <v>350</v>
      </c>
      <c r="B1438" s="1" t="s">
        <v>354</v>
      </c>
      <c r="C1438" s="2">
        <v>194</v>
      </c>
      <c r="D1438" s="2">
        <v>295</v>
      </c>
      <c r="E1438" s="1" t="s">
        <v>233</v>
      </c>
      <c r="G1438">
        <v>0</v>
      </c>
      <c r="H1438">
        <v>0</v>
      </c>
      <c r="I1438">
        <v>0</v>
      </c>
      <c r="J1438">
        <v>0</v>
      </c>
      <c r="K1438">
        <v>0</v>
      </c>
      <c r="L1438">
        <v>0</v>
      </c>
      <c r="M1438">
        <v>0</v>
      </c>
      <c r="N1438">
        <v>0</v>
      </c>
      <c r="O1438">
        <v>0</v>
      </c>
      <c r="P1438">
        <v>0</v>
      </c>
      <c r="Q1438" t="str">
        <f>INDEX('Partner data'!A:DH,MATCH(C1438,'Partner data'!DG:DG,0),83)</f>
        <v>Soggetto privato</v>
      </c>
      <c r="R1438" t="b">
        <f>IF(E1438="staff",IF(INDEX('Partner data'!A:DH,MATCH(C1438,'Partner data'!DG:DG,0),112)="BL1 non presente","FALSO",INDEX('Partner data'!A:DH,MATCH(C1438,'Partner data'!DG:DG,0),112)))</f>
        <v>0</v>
      </c>
      <c r="S1438" t="b">
        <f t="shared" si="44"/>
        <v>0</v>
      </c>
      <c r="T1438" t="b">
        <f t="shared" si="45"/>
        <v>0</v>
      </c>
      <c r="U1438" s="154">
        <f>IFERROR(IF(R1438&lt;&gt;FALSE,IF(S1438=TRUE,INDEX('SummaryNOT_VALIDATED-BL'!$A$1:$F$16,MATCH(R1438,'SummaryNOT_VALIDATED-BL'!$A$1:$A$16,0),6),0),IF(S1438=TRUE,INDEX('SummaryNOT_VALIDATED-BL'!$A$1:$F$16,MATCH(E1438,'SummaryNOT_VALIDATED-BL'!$A$1:$A$16,0),6),0)),0)</f>
        <v>0</v>
      </c>
      <c r="V1438" s="81" cm="1">
        <f t="array" ref="V1438">INDEX('Weight tables'!$A$24:$C$27,MATCH(1,(RendicontiTrasmessiBL__2[[#This Row],[Cut percentage on real costs + USC]]&gt;='Weight tables'!$B$24:$B$27)*(RendicontiTrasmessiBL__2[[#This Row],[Cut percentage on real costs + USC]]&lt;='Weight tables'!$C$24:$C$27),0),1)</f>
        <v>0</v>
      </c>
      <c r="W1438" s="2">
        <f>RendicontiTrasmessiBL__2[[#This Row],[Weight real costs  + USC ]]</f>
        <v>0</v>
      </c>
    </row>
    <row r="1439" spans="1:23" x14ac:dyDescent="0.25">
      <c r="A1439" s="1" t="s">
        <v>350</v>
      </c>
      <c r="B1439" s="1" t="s">
        <v>354</v>
      </c>
      <c r="C1439" s="2">
        <v>194</v>
      </c>
      <c r="D1439" s="2">
        <v>295</v>
      </c>
      <c r="E1439" s="1" t="s">
        <v>234</v>
      </c>
      <c r="F1439">
        <v>40</v>
      </c>
      <c r="G1439">
        <v>22856</v>
      </c>
      <c r="H1439">
        <v>0</v>
      </c>
      <c r="I1439">
        <v>0</v>
      </c>
      <c r="J1439">
        <v>2842.55</v>
      </c>
      <c r="K1439">
        <v>0</v>
      </c>
      <c r="L1439">
        <v>0</v>
      </c>
      <c r="M1439">
        <v>2842.55</v>
      </c>
      <c r="N1439">
        <v>12.44</v>
      </c>
      <c r="O1439">
        <v>20013.45</v>
      </c>
      <c r="P1439">
        <v>0</v>
      </c>
      <c r="Q1439" t="str">
        <f>INDEX('Partner data'!A:DH,MATCH(C1439,'Partner data'!DG:DG,0),83)</f>
        <v>Soggetto privato</v>
      </c>
      <c r="R1439" t="b">
        <f>IF(E1439="staff",IF(INDEX('Partner data'!A:DH,MATCH(C1439,'Partner data'!DG:DG,0),112)="BL1 non presente","FALSO",INDEX('Partner data'!A:DH,MATCH(C1439,'Partner data'!DG:DG,0),112)))</f>
        <v>0</v>
      </c>
      <c r="S1439" t="b">
        <f t="shared" si="44"/>
        <v>1</v>
      </c>
      <c r="T1439" t="b">
        <f t="shared" si="45"/>
        <v>0</v>
      </c>
      <c r="U1439" s="154">
        <f>IFERROR(IF(R1439&lt;&gt;FALSE,IF(S1439=TRUE,INDEX('SummaryNOT_VALIDATED-BL'!$A$1:$F$16,MATCH(R1439,'SummaryNOT_VALIDATED-BL'!$A$1:$A$16,0),6),0),IF(S1439=TRUE,INDEX('SummaryNOT_VALIDATED-BL'!$A$1:$F$16,MATCH(E1439,'SummaryNOT_VALIDATED-BL'!$A$1:$A$16,0),6),0)),0)</f>
        <v>8.7645339819521315E-2</v>
      </c>
      <c r="V1439" s="81" cm="1">
        <f t="array" ref="V1439">INDEX('Weight tables'!$A$24:$C$27,MATCH(1,(RendicontiTrasmessiBL__2[[#This Row],[Cut percentage on real costs + USC]]&gt;='Weight tables'!$B$24:$B$27)*(RendicontiTrasmessiBL__2[[#This Row],[Cut percentage on real costs + USC]]&lt;='Weight tables'!$C$24:$C$27),0),1)</f>
        <v>4</v>
      </c>
      <c r="W1439" s="2">
        <f>RendicontiTrasmessiBL__2[[#This Row],[Weight real costs  + USC ]]</f>
        <v>4</v>
      </c>
    </row>
    <row r="1440" spans="1:23" x14ac:dyDescent="0.25">
      <c r="A1440" s="1" t="s">
        <v>350</v>
      </c>
      <c r="B1440" s="1" t="s">
        <v>354</v>
      </c>
      <c r="C1440" s="2">
        <v>194</v>
      </c>
      <c r="D1440" s="2">
        <v>295</v>
      </c>
      <c r="E1440" s="1" t="s">
        <v>236</v>
      </c>
      <c r="G1440">
        <v>0</v>
      </c>
      <c r="H1440">
        <v>0</v>
      </c>
      <c r="I1440">
        <v>0</v>
      </c>
      <c r="J1440">
        <v>0</v>
      </c>
      <c r="K1440">
        <v>0</v>
      </c>
      <c r="L1440">
        <v>0</v>
      </c>
      <c r="M1440">
        <v>0</v>
      </c>
      <c r="N1440">
        <v>0</v>
      </c>
      <c r="O1440">
        <v>0</v>
      </c>
      <c r="P1440">
        <v>0</v>
      </c>
      <c r="Q1440" t="str">
        <f>INDEX('Partner data'!A:DH,MATCH(C1440,'Partner data'!DG:DG,0),83)</f>
        <v>Soggetto privato</v>
      </c>
      <c r="R1440" t="b">
        <f>IF(E1440="staff",IF(INDEX('Partner data'!A:DH,MATCH(C1440,'Partner data'!DG:DG,0),112)="BL1 non presente","FALSO",INDEX('Partner data'!A:DH,MATCH(C1440,'Partner data'!DG:DG,0),112)))</f>
        <v>0</v>
      </c>
      <c r="S1440" t="b">
        <f t="shared" si="44"/>
        <v>0</v>
      </c>
      <c r="T1440" t="b">
        <f t="shared" si="45"/>
        <v>0</v>
      </c>
      <c r="U1440" s="154">
        <f>IFERROR(IF(R1440&lt;&gt;FALSE,IF(S1440=TRUE,INDEX('SummaryNOT_VALIDATED-BL'!$A$1:$F$16,MATCH(R1440,'SummaryNOT_VALIDATED-BL'!$A$1:$A$16,0),6),0),IF(S1440=TRUE,INDEX('SummaryNOT_VALIDATED-BL'!$A$1:$F$16,MATCH(E1440,'SummaryNOT_VALIDATED-BL'!$A$1:$A$16,0),6),0)),0)</f>
        <v>0</v>
      </c>
      <c r="V1440" s="81" cm="1">
        <f t="array" ref="V1440">INDEX('Weight tables'!$A$24:$C$27,MATCH(1,(RendicontiTrasmessiBL__2[[#This Row],[Cut percentage on real costs + USC]]&gt;='Weight tables'!$B$24:$B$27)*(RendicontiTrasmessiBL__2[[#This Row],[Cut percentage on real costs + USC]]&lt;='Weight tables'!$C$24:$C$27),0),1)</f>
        <v>0</v>
      </c>
      <c r="W1440" s="2">
        <f>RendicontiTrasmessiBL__2[[#This Row],[Weight real costs  + USC ]]</f>
        <v>0</v>
      </c>
    </row>
    <row r="1441" spans="1:23" x14ac:dyDescent="0.25">
      <c r="A1441" s="1" t="s">
        <v>350</v>
      </c>
      <c r="B1441" s="1" t="s">
        <v>354</v>
      </c>
      <c r="C1441" s="2">
        <v>194</v>
      </c>
      <c r="D1441" s="2">
        <v>295</v>
      </c>
      <c r="E1441" s="1" t="s">
        <v>237</v>
      </c>
      <c r="G1441">
        <v>0</v>
      </c>
      <c r="H1441">
        <v>0</v>
      </c>
      <c r="I1441">
        <v>0</v>
      </c>
      <c r="J1441">
        <v>0</v>
      </c>
      <c r="K1441">
        <v>0</v>
      </c>
      <c r="L1441">
        <v>0</v>
      </c>
      <c r="M1441">
        <v>0</v>
      </c>
      <c r="N1441">
        <v>0</v>
      </c>
      <c r="O1441">
        <v>0</v>
      </c>
      <c r="P1441">
        <v>0</v>
      </c>
      <c r="Q1441" t="str">
        <f>INDEX('Partner data'!A:DH,MATCH(C1441,'Partner data'!DG:DG,0),83)</f>
        <v>Soggetto privato</v>
      </c>
      <c r="R1441" t="b">
        <f>IF(E1441="staff",IF(INDEX('Partner data'!A:DH,MATCH(C1441,'Partner data'!DG:DG,0),112)="BL1 non presente","FALSO",INDEX('Partner data'!A:DH,MATCH(C1441,'Partner data'!DG:DG,0),112)))</f>
        <v>0</v>
      </c>
      <c r="S1441" t="b">
        <f t="shared" si="44"/>
        <v>0</v>
      </c>
      <c r="T1441" t="b">
        <f t="shared" si="45"/>
        <v>0</v>
      </c>
      <c r="U1441" s="154">
        <f>IFERROR(IF(R1441&lt;&gt;FALSE,IF(S1441=TRUE,INDEX('SummaryNOT_VALIDATED-BL'!$A$1:$F$16,MATCH(R1441,'SummaryNOT_VALIDATED-BL'!$A$1:$A$16,0),6),0),IF(S1441=TRUE,INDEX('SummaryNOT_VALIDATED-BL'!$A$1:$F$16,MATCH(E1441,'SummaryNOT_VALIDATED-BL'!$A$1:$A$16,0),6),0)),0)</f>
        <v>0</v>
      </c>
      <c r="V1441" s="81" cm="1">
        <f t="array" ref="V1441">INDEX('Weight tables'!$A$24:$C$27,MATCH(1,(RendicontiTrasmessiBL__2[[#This Row],[Cut percentage on real costs + USC]]&gt;='Weight tables'!$B$24:$B$27)*(RendicontiTrasmessiBL__2[[#This Row],[Cut percentage on real costs + USC]]&lt;='Weight tables'!$C$24:$C$27),0),1)</f>
        <v>0</v>
      </c>
      <c r="W1441" s="2">
        <f>RendicontiTrasmessiBL__2[[#This Row],[Weight real costs  + USC ]]</f>
        <v>0</v>
      </c>
    </row>
    <row r="1442" spans="1:23" x14ac:dyDescent="0.25">
      <c r="A1442" s="1" t="s">
        <v>350</v>
      </c>
      <c r="B1442" s="1" t="s">
        <v>355</v>
      </c>
      <c r="C1442" s="2">
        <v>178</v>
      </c>
      <c r="D1442" s="2">
        <v>279</v>
      </c>
      <c r="E1442" s="1" t="s">
        <v>228</v>
      </c>
      <c r="G1442">
        <v>85700</v>
      </c>
      <c r="H1442">
        <v>0</v>
      </c>
      <c r="I1442">
        <v>0</v>
      </c>
      <c r="J1442">
        <v>11609.95</v>
      </c>
      <c r="K1442">
        <v>0</v>
      </c>
      <c r="L1442">
        <v>11609.95</v>
      </c>
      <c r="M1442">
        <v>11609.95</v>
      </c>
      <c r="N1442">
        <v>13.55</v>
      </c>
      <c r="O1442">
        <v>74090.05</v>
      </c>
      <c r="P1442">
        <v>0</v>
      </c>
      <c r="Q1442" t="str">
        <f>INDEX('Partner data'!A:DH,MATCH(C1442,'Partner data'!DG:DG,0),83)</f>
        <v>Soggetto pubblico</v>
      </c>
      <c r="R1442" t="str">
        <f>IF(E1442="staff",IF(INDEX('Partner data'!A:DH,MATCH(C1442,'Partner data'!DG:DG,0),112)="BL1 non presente","FALSO",INDEX('Partner data'!A:DH,MATCH(C1442,'Partner data'!DG:DG,0),112)))</f>
        <v>COSTO REALE</v>
      </c>
      <c r="S1442" t="b">
        <f t="shared" si="44"/>
        <v>1</v>
      </c>
      <c r="T1442" t="b">
        <f t="shared" si="45"/>
        <v>1</v>
      </c>
      <c r="U1442" s="154">
        <f>IFERROR(IF(R1442&lt;&gt;FALSE,IF(S1442=TRUE,INDEX('SummaryNOT_VALIDATED-BL'!$A$1:$F$16,MATCH(R1442,'SummaryNOT_VALIDATED-BL'!$A$1:$A$16,0),6),0),IF(S1442=TRUE,INDEX('SummaryNOT_VALIDATED-BL'!$A$1:$F$16,MATCH(E1442,'SummaryNOT_VALIDATED-BL'!$A$1:$A$16,0),6),0)),0)</f>
        <v>9.1604133276901048E-2</v>
      </c>
      <c r="V1442" s="81" cm="1">
        <f t="array" ref="V1442">INDEX('Weight tables'!$A$24:$C$27,MATCH(1,(RendicontiTrasmessiBL__2[[#This Row],[Cut percentage on real costs + USC]]&gt;='Weight tables'!$B$24:$B$27)*(RendicontiTrasmessiBL__2[[#This Row],[Cut percentage on real costs + USC]]&lt;='Weight tables'!$C$24:$C$27),0),1)</f>
        <v>4</v>
      </c>
      <c r="W1442" s="2">
        <f>RendicontiTrasmessiBL__2[[#This Row],[Weight real costs  + USC ]]</f>
        <v>4</v>
      </c>
    </row>
    <row r="1443" spans="1:23" x14ac:dyDescent="0.25">
      <c r="A1443" s="1" t="s">
        <v>350</v>
      </c>
      <c r="B1443" s="1" t="s">
        <v>355</v>
      </c>
      <c r="C1443" s="2">
        <v>178</v>
      </c>
      <c r="D1443" s="2">
        <v>279</v>
      </c>
      <c r="E1443" s="1" t="s">
        <v>229</v>
      </c>
      <c r="G1443">
        <v>0</v>
      </c>
      <c r="H1443">
        <v>0</v>
      </c>
      <c r="I1443">
        <v>0</v>
      </c>
      <c r="J1443">
        <v>0</v>
      </c>
      <c r="K1443">
        <v>0</v>
      </c>
      <c r="L1443">
        <v>0</v>
      </c>
      <c r="M1443">
        <v>0</v>
      </c>
      <c r="N1443">
        <v>0</v>
      </c>
      <c r="O1443">
        <v>0</v>
      </c>
      <c r="P1443">
        <v>0</v>
      </c>
      <c r="Q1443" t="str">
        <f>INDEX('Partner data'!A:DH,MATCH(C1443,'Partner data'!DG:DG,0),83)</f>
        <v>Soggetto pubblico</v>
      </c>
      <c r="R1443" t="b">
        <f>IF(E1443="staff",IF(INDEX('Partner data'!A:DH,MATCH(C1443,'Partner data'!DG:DG,0),112)="BL1 non presente","FALSO",INDEX('Partner data'!A:DH,MATCH(C1443,'Partner data'!DG:DG,0),112)))</f>
        <v>0</v>
      </c>
      <c r="S1443" t="b">
        <f t="shared" si="44"/>
        <v>0</v>
      </c>
      <c r="T1443" t="b">
        <f t="shared" si="45"/>
        <v>1</v>
      </c>
      <c r="U1443" s="154">
        <f>IFERROR(IF(R1443&lt;&gt;FALSE,IF(S1443=TRUE,INDEX('SummaryNOT_VALIDATED-BL'!$A$1:$F$16,MATCH(R1443,'SummaryNOT_VALIDATED-BL'!$A$1:$A$16,0),6),0),IF(S1443=TRUE,INDEX('SummaryNOT_VALIDATED-BL'!$A$1:$F$16,MATCH(E1443,'SummaryNOT_VALIDATED-BL'!$A$1:$A$16,0),6),0)),0)</f>
        <v>0</v>
      </c>
      <c r="V1443" s="81" cm="1">
        <f t="array" ref="V1443">INDEX('Weight tables'!$A$24:$C$27,MATCH(1,(RendicontiTrasmessiBL__2[[#This Row],[Cut percentage on real costs + USC]]&gt;='Weight tables'!$B$24:$B$27)*(RendicontiTrasmessiBL__2[[#This Row],[Cut percentage on real costs + USC]]&lt;='Weight tables'!$C$24:$C$27),0),1)</f>
        <v>0</v>
      </c>
      <c r="W1443" s="2">
        <f>RendicontiTrasmessiBL__2[[#This Row],[Weight real costs  + USC ]]</f>
        <v>0</v>
      </c>
    </row>
    <row r="1444" spans="1:23" x14ac:dyDescent="0.25">
      <c r="A1444" s="1" t="s">
        <v>350</v>
      </c>
      <c r="B1444" s="1" t="s">
        <v>355</v>
      </c>
      <c r="C1444" s="2">
        <v>178</v>
      </c>
      <c r="D1444" s="2">
        <v>279</v>
      </c>
      <c r="E1444" s="1" t="s">
        <v>230</v>
      </c>
      <c r="G1444">
        <v>0</v>
      </c>
      <c r="H1444">
        <v>0</v>
      </c>
      <c r="I1444">
        <v>0</v>
      </c>
      <c r="J1444">
        <v>0</v>
      </c>
      <c r="K1444">
        <v>0</v>
      </c>
      <c r="L1444">
        <v>0</v>
      </c>
      <c r="M1444">
        <v>0</v>
      </c>
      <c r="N1444">
        <v>0</v>
      </c>
      <c r="O1444">
        <v>0</v>
      </c>
      <c r="P1444">
        <v>0</v>
      </c>
      <c r="Q1444" t="str">
        <f>INDEX('Partner data'!A:DH,MATCH(C1444,'Partner data'!DG:DG,0),83)</f>
        <v>Soggetto pubblico</v>
      </c>
      <c r="R1444" t="b">
        <f>IF(E1444="staff",IF(INDEX('Partner data'!A:DH,MATCH(C1444,'Partner data'!DG:DG,0),112)="BL1 non presente","FALSO",INDEX('Partner data'!A:DH,MATCH(C1444,'Partner data'!DG:DG,0),112)))</f>
        <v>0</v>
      </c>
      <c r="S1444" t="b">
        <f t="shared" si="44"/>
        <v>0</v>
      </c>
      <c r="T1444" t="b">
        <f t="shared" si="45"/>
        <v>1</v>
      </c>
      <c r="U1444" s="154">
        <f>IFERROR(IF(R1444&lt;&gt;FALSE,IF(S1444=TRUE,INDEX('SummaryNOT_VALIDATED-BL'!$A$1:$F$16,MATCH(R1444,'SummaryNOT_VALIDATED-BL'!$A$1:$A$16,0),6),0),IF(S1444=TRUE,INDEX('SummaryNOT_VALIDATED-BL'!$A$1:$F$16,MATCH(E1444,'SummaryNOT_VALIDATED-BL'!$A$1:$A$16,0),6),0)),0)</f>
        <v>0</v>
      </c>
      <c r="V1444" s="81" cm="1">
        <f t="array" ref="V1444">INDEX('Weight tables'!$A$24:$C$27,MATCH(1,(RendicontiTrasmessiBL__2[[#This Row],[Cut percentage on real costs + USC]]&gt;='Weight tables'!$B$24:$B$27)*(RendicontiTrasmessiBL__2[[#This Row],[Cut percentage on real costs + USC]]&lt;='Weight tables'!$C$24:$C$27),0),1)</f>
        <v>0</v>
      </c>
      <c r="W1444" s="2">
        <f>RendicontiTrasmessiBL__2[[#This Row],[Weight real costs  + USC ]]</f>
        <v>0</v>
      </c>
    </row>
    <row r="1445" spans="1:23" x14ac:dyDescent="0.25">
      <c r="A1445" s="1" t="s">
        <v>350</v>
      </c>
      <c r="B1445" s="1" t="s">
        <v>355</v>
      </c>
      <c r="C1445" s="2">
        <v>178</v>
      </c>
      <c r="D1445" s="2">
        <v>279</v>
      </c>
      <c r="E1445" s="1" t="s">
        <v>231</v>
      </c>
      <c r="G1445">
        <v>0</v>
      </c>
      <c r="H1445">
        <v>0</v>
      </c>
      <c r="I1445">
        <v>0</v>
      </c>
      <c r="J1445">
        <v>0</v>
      </c>
      <c r="K1445">
        <v>0</v>
      </c>
      <c r="L1445">
        <v>0</v>
      </c>
      <c r="M1445">
        <v>0</v>
      </c>
      <c r="N1445">
        <v>0</v>
      </c>
      <c r="O1445">
        <v>0</v>
      </c>
      <c r="P1445">
        <v>0</v>
      </c>
      <c r="Q1445" t="str">
        <f>INDEX('Partner data'!A:DH,MATCH(C1445,'Partner data'!DG:DG,0),83)</f>
        <v>Soggetto pubblico</v>
      </c>
      <c r="R1445" t="b">
        <f>IF(E1445="staff",IF(INDEX('Partner data'!A:DH,MATCH(C1445,'Partner data'!DG:DG,0),112)="BL1 non presente","FALSO",INDEX('Partner data'!A:DH,MATCH(C1445,'Partner data'!DG:DG,0),112)))</f>
        <v>0</v>
      </c>
      <c r="S1445" t="b">
        <f t="shared" si="44"/>
        <v>0</v>
      </c>
      <c r="T1445" t="b">
        <f t="shared" si="45"/>
        <v>1</v>
      </c>
      <c r="U1445" s="154">
        <f>IFERROR(IF(R1445&lt;&gt;FALSE,IF(S1445=TRUE,INDEX('SummaryNOT_VALIDATED-BL'!$A$1:$F$16,MATCH(R1445,'SummaryNOT_VALIDATED-BL'!$A$1:$A$16,0),6),0),IF(S1445=TRUE,INDEX('SummaryNOT_VALIDATED-BL'!$A$1:$F$16,MATCH(E1445,'SummaryNOT_VALIDATED-BL'!$A$1:$A$16,0),6),0)),0)</f>
        <v>0</v>
      </c>
      <c r="V1445" s="81" cm="1">
        <f t="array" ref="V1445">INDEX('Weight tables'!$A$24:$C$27,MATCH(1,(RendicontiTrasmessiBL__2[[#This Row],[Cut percentage on real costs + USC]]&gt;='Weight tables'!$B$24:$B$27)*(RendicontiTrasmessiBL__2[[#This Row],[Cut percentage on real costs + USC]]&lt;='Weight tables'!$C$24:$C$27),0),1)</f>
        <v>0</v>
      </c>
      <c r="W1445" s="2">
        <f>RendicontiTrasmessiBL__2[[#This Row],[Weight real costs  + USC ]]</f>
        <v>0</v>
      </c>
    </row>
    <row r="1446" spans="1:23" x14ac:dyDescent="0.25">
      <c r="A1446" s="1" t="s">
        <v>350</v>
      </c>
      <c r="B1446" s="1" t="s">
        <v>355</v>
      </c>
      <c r="C1446" s="2">
        <v>178</v>
      </c>
      <c r="D1446" s="2">
        <v>279</v>
      </c>
      <c r="E1446" s="1" t="s">
        <v>232</v>
      </c>
      <c r="G1446">
        <v>0</v>
      </c>
      <c r="H1446">
        <v>0</v>
      </c>
      <c r="I1446">
        <v>0</v>
      </c>
      <c r="J1446">
        <v>0</v>
      </c>
      <c r="K1446">
        <v>0</v>
      </c>
      <c r="L1446">
        <v>0</v>
      </c>
      <c r="M1446">
        <v>0</v>
      </c>
      <c r="N1446">
        <v>0</v>
      </c>
      <c r="O1446">
        <v>0</v>
      </c>
      <c r="P1446">
        <v>0</v>
      </c>
      <c r="Q1446" t="str">
        <f>INDEX('Partner data'!A:DH,MATCH(C1446,'Partner data'!DG:DG,0),83)</f>
        <v>Soggetto pubblico</v>
      </c>
      <c r="R1446" t="b">
        <f>IF(E1446="staff",IF(INDEX('Partner data'!A:DH,MATCH(C1446,'Partner data'!DG:DG,0),112)="BL1 non presente","FALSO",INDEX('Partner data'!A:DH,MATCH(C1446,'Partner data'!DG:DG,0),112)))</f>
        <v>0</v>
      </c>
      <c r="S1446" t="b">
        <f t="shared" si="44"/>
        <v>0</v>
      </c>
      <c r="T1446" t="b">
        <f t="shared" si="45"/>
        <v>1</v>
      </c>
      <c r="U1446" s="154">
        <f>IFERROR(IF(R1446&lt;&gt;FALSE,IF(S1446=TRUE,INDEX('SummaryNOT_VALIDATED-BL'!$A$1:$F$16,MATCH(R1446,'SummaryNOT_VALIDATED-BL'!$A$1:$A$16,0),6),0),IF(S1446=TRUE,INDEX('SummaryNOT_VALIDATED-BL'!$A$1:$F$16,MATCH(E1446,'SummaryNOT_VALIDATED-BL'!$A$1:$A$16,0),6),0)),0)</f>
        <v>0</v>
      </c>
      <c r="V1446" s="81" cm="1">
        <f t="array" ref="V1446">INDEX('Weight tables'!$A$24:$C$27,MATCH(1,(RendicontiTrasmessiBL__2[[#This Row],[Cut percentage on real costs + USC]]&gt;='Weight tables'!$B$24:$B$27)*(RendicontiTrasmessiBL__2[[#This Row],[Cut percentage on real costs + USC]]&lt;='Weight tables'!$C$24:$C$27),0),1)</f>
        <v>0</v>
      </c>
      <c r="W1446" s="2">
        <f>RendicontiTrasmessiBL__2[[#This Row],[Weight real costs  + USC ]]</f>
        <v>0</v>
      </c>
    </row>
    <row r="1447" spans="1:23" x14ac:dyDescent="0.25">
      <c r="A1447" s="1" t="s">
        <v>350</v>
      </c>
      <c r="B1447" s="1" t="s">
        <v>355</v>
      </c>
      <c r="C1447" s="2">
        <v>178</v>
      </c>
      <c r="D1447" s="2">
        <v>279</v>
      </c>
      <c r="E1447" s="1" t="s">
        <v>233</v>
      </c>
      <c r="G1447">
        <v>0</v>
      </c>
      <c r="H1447">
        <v>0</v>
      </c>
      <c r="I1447">
        <v>0</v>
      </c>
      <c r="J1447">
        <v>0</v>
      </c>
      <c r="K1447">
        <v>0</v>
      </c>
      <c r="L1447">
        <v>0</v>
      </c>
      <c r="M1447">
        <v>0</v>
      </c>
      <c r="N1447">
        <v>0</v>
      </c>
      <c r="O1447">
        <v>0</v>
      </c>
      <c r="P1447">
        <v>0</v>
      </c>
      <c r="Q1447" t="str">
        <f>INDEX('Partner data'!A:DH,MATCH(C1447,'Partner data'!DG:DG,0),83)</f>
        <v>Soggetto pubblico</v>
      </c>
      <c r="R1447" t="b">
        <f>IF(E1447="staff",IF(INDEX('Partner data'!A:DH,MATCH(C1447,'Partner data'!DG:DG,0),112)="BL1 non presente","FALSO",INDEX('Partner data'!A:DH,MATCH(C1447,'Partner data'!DG:DG,0),112)))</f>
        <v>0</v>
      </c>
      <c r="S1447" t="b">
        <f t="shared" si="44"/>
        <v>0</v>
      </c>
      <c r="T1447" t="b">
        <f t="shared" si="45"/>
        <v>1</v>
      </c>
      <c r="U1447" s="154">
        <f>IFERROR(IF(R1447&lt;&gt;FALSE,IF(S1447=TRUE,INDEX('SummaryNOT_VALIDATED-BL'!$A$1:$F$16,MATCH(R1447,'SummaryNOT_VALIDATED-BL'!$A$1:$A$16,0),6),0),IF(S1447=TRUE,INDEX('SummaryNOT_VALIDATED-BL'!$A$1:$F$16,MATCH(E1447,'SummaryNOT_VALIDATED-BL'!$A$1:$A$16,0),6),0)),0)</f>
        <v>0</v>
      </c>
      <c r="V1447" s="81" cm="1">
        <f t="array" ref="V1447">INDEX('Weight tables'!$A$24:$C$27,MATCH(1,(RendicontiTrasmessiBL__2[[#This Row],[Cut percentage on real costs + USC]]&gt;='Weight tables'!$B$24:$B$27)*(RendicontiTrasmessiBL__2[[#This Row],[Cut percentage on real costs + USC]]&lt;='Weight tables'!$C$24:$C$27),0),1)</f>
        <v>0</v>
      </c>
      <c r="W1447" s="2">
        <f>RendicontiTrasmessiBL__2[[#This Row],[Weight real costs  + USC ]]</f>
        <v>0</v>
      </c>
    </row>
    <row r="1448" spans="1:23" x14ac:dyDescent="0.25">
      <c r="A1448" s="1" t="s">
        <v>350</v>
      </c>
      <c r="B1448" s="1" t="s">
        <v>355</v>
      </c>
      <c r="C1448" s="2">
        <v>178</v>
      </c>
      <c r="D1448" s="2">
        <v>279</v>
      </c>
      <c r="E1448" s="1" t="s">
        <v>234</v>
      </c>
      <c r="F1448">
        <v>40</v>
      </c>
      <c r="G1448">
        <v>34280</v>
      </c>
      <c r="H1448">
        <v>0</v>
      </c>
      <c r="I1448">
        <v>0</v>
      </c>
      <c r="J1448">
        <v>4643.9799999999996</v>
      </c>
      <c r="K1448">
        <v>0</v>
      </c>
      <c r="L1448">
        <v>4643.9799999999996</v>
      </c>
      <c r="M1448">
        <v>4643.9799999999996</v>
      </c>
      <c r="N1448">
        <v>13.55</v>
      </c>
      <c r="O1448">
        <v>29636.02</v>
      </c>
      <c r="P1448">
        <v>0</v>
      </c>
      <c r="Q1448" t="str">
        <f>INDEX('Partner data'!A:DH,MATCH(C1448,'Partner data'!DG:DG,0),83)</f>
        <v>Soggetto pubblico</v>
      </c>
      <c r="R1448" t="b">
        <f>IF(E1448="staff",IF(INDEX('Partner data'!A:DH,MATCH(C1448,'Partner data'!DG:DG,0),112)="BL1 non presente","FALSO",INDEX('Partner data'!A:DH,MATCH(C1448,'Partner data'!DG:DG,0),112)))</f>
        <v>0</v>
      </c>
      <c r="S1448" t="b">
        <f t="shared" si="44"/>
        <v>1</v>
      </c>
      <c r="T1448" t="b">
        <f t="shared" si="45"/>
        <v>1</v>
      </c>
      <c r="U1448" s="154">
        <f>IFERROR(IF(R1448&lt;&gt;FALSE,IF(S1448=TRUE,INDEX('SummaryNOT_VALIDATED-BL'!$A$1:$F$16,MATCH(R1448,'SummaryNOT_VALIDATED-BL'!$A$1:$A$16,0),6),0),IF(S1448=TRUE,INDEX('SummaryNOT_VALIDATED-BL'!$A$1:$F$16,MATCH(E1448,'SummaryNOT_VALIDATED-BL'!$A$1:$A$16,0),6),0)),0)</f>
        <v>8.7645339819521315E-2</v>
      </c>
      <c r="V1448" s="81" cm="1">
        <f t="array" ref="V1448">INDEX('Weight tables'!$A$24:$C$27,MATCH(1,(RendicontiTrasmessiBL__2[[#This Row],[Cut percentage on real costs + USC]]&gt;='Weight tables'!$B$24:$B$27)*(RendicontiTrasmessiBL__2[[#This Row],[Cut percentage on real costs + USC]]&lt;='Weight tables'!$C$24:$C$27),0),1)</f>
        <v>4</v>
      </c>
      <c r="W1448" s="2">
        <f>RendicontiTrasmessiBL__2[[#This Row],[Weight real costs  + USC ]]</f>
        <v>4</v>
      </c>
    </row>
    <row r="1449" spans="1:23" x14ac:dyDescent="0.25">
      <c r="A1449" s="1" t="s">
        <v>350</v>
      </c>
      <c r="B1449" s="1" t="s">
        <v>355</v>
      </c>
      <c r="C1449" s="2">
        <v>178</v>
      </c>
      <c r="D1449" s="2">
        <v>279</v>
      </c>
      <c r="E1449" s="1" t="s">
        <v>236</v>
      </c>
      <c r="G1449">
        <v>0</v>
      </c>
      <c r="H1449">
        <v>0</v>
      </c>
      <c r="I1449">
        <v>0</v>
      </c>
      <c r="J1449">
        <v>0</v>
      </c>
      <c r="K1449">
        <v>0</v>
      </c>
      <c r="L1449">
        <v>0</v>
      </c>
      <c r="M1449">
        <v>0</v>
      </c>
      <c r="N1449">
        <v>0</v>
      </c>
      <c r="O1449">
        <v>0</v>
      </c>
      <c r="P1449">
        <v>0</v>
      </c>
      <c r="Q1449" t="str">
        <f>INDEX('Partner data'!A:DH,MATCH(C1449,'Partner data'!DG:DG,0),83)</f>
        <v>Soggetto pubblico</v>
      </c>
      <c r="R1449" t="b">
        <f>IF(E1449="staff",IF(INDEX('Partner data'!A:DH,MATCH(C1449,'Partner data'!DG:DG,0),112)="BL1 non presente","FALSO",INDEX('Partner data'!A:DH,MATCH(C1449,'Partner data'!DG:DG,0),112)))</f>
        <v>0</v>
      </c>
      <c r="S1449" t="b">
        <f t="shared" si="44"/>
        <v>0</v>
      </c>
      <c r="T1449" t="b">
        <f t="shared" si="45"/>
        <v>1</v>
      </c>
      <c r="U1449" s="154">
        <f>IFERROR(IF(R1449&lt;&gt;FALSE,IF(S1449=TRUE,INDEX('SummaryNOT_VALIDATED-BL'!$A$1:$F$16,MATCH(R1449,'SummaryNOT_VALIDATED-BL'!$A$1:$A$16,0),6),0),IF(S1449=TRUE,INDEX('SummaryNOT_VALIDATED-BL'!$A$1:$F$16,MATCH(E1449,'SummaryNOT_VALIDATED-BL'!$A$1:$A$16,0),6),0)),0)</f>
        <v>0</v>
      </c>
      <c r="V1449" s="81" cm="1">
        <f t="array" ref="V1449">INDEX('Weight tables'!$A$24:$C$27,MATCH(1,(RendicontiTrasmessiBL__2[[#This Row],[Cut percentage on real costs + USC]]&gt;='Weight tables'!$B$24:$B$27)*(RendicontiTrasmessiBL__2[[#This Row],[Cut percentage on real costs + USC]]&lt;='Weight tables'!$C$24:$C$27),0),1)</f>
        <v>0</v>
      </c>
      <c r="W1449" s="2">
        <f>RendicontiTrasmessiBL__2[[#This Row],[Weight real costs  + USC ]]</f>
        <v>0</v>
      </c>
    </row>
    <row r="1450" spans="1:23" x14ac:dyDescent="0.25">
      <c r="A1450" s="1" t="s">
        <v>350</v>
      </c>
      <c r="B1450" s="1" t="s">
        <v>355</v>
      </c>
      <c r="C1450" s="2">
        <v>178</v>
      </c>
      <c r="D1450" s="2">
        <v>279</v>
      </c>
      <c r="E1450" s="1" t="s">
        <v>237</v>
      </c>
      <c r="G1450">
        <v>0</v>
      </c>
      <c r="H1450">
        <v>0</v>
      </c>
      <c r="I1450">
        <v>0</v>
      </c>
      <c r="J1450">
        <v>0</v>
      </c>
      <c r="K1450">
        <v>0</v>
      </c>
      <c r="L1450">
        <v>0</v>
      </c>
      <c r="M1450">
        <v>0</v>
      </c>
      <c r="N1450">
        <v>0</v>
      </c>
      <c r="O1450">
        <v>0</v>
      </c>
      <c r="P1450">
        <v>0</v>
      </c>
      <c r="Q1450" t="str">
        <f>INDEX('Partner data'!A:DH,MATCH(C1450,'Partner data'!DG:DG,0),83)</f>
        <v>Soggetto pubblico</v>
      </c>
      <c r="R1450" t="b">
        <f>IF(E1450="staff",IF(INDEX('Partner data'!A:DH,MATCH(C1450,'Partner data'!DG:DG,0),112)="BL1 non presente","FALSO",INDEX('Partner data'!A:DH,MATCH(C1450,'Partner data'!DG:DG,0),112)))</f>
        <v>0</v>
      </c>
      <c r="S1450" t="b">
        <f t="shared" si="44"/>
        <v>0</v>
      </c>
      <c r="T1450" t="b">
        <f t="shared" si="45"/>
        <v>1</v>
      </c>
      <c r="U1450" s="154">
        <f>IFERROR(IF(R1450&lt;&gt;FALSE,IF(S1450=TRUE,INDEX('SummaryNOT_VALIDATED-BL'!$A$1:$F$16,MATCH(R1450,'SummaryNOT_VALIDATED-BL'!$A$1:$A$16,0),6),0),IF(S1450=TRUE,INDEX('SummaryNOT_VALIDATED-BL'!$A$1:$F$16,MATCH(E1450,'SummaryNOT_VALIDATED-BL'!$A$1:$A$16,0),6),0)),0)</f>
        <v>0</v>
      </c>
      <c r="V1450" s="81" cm="1">
        <f t="array" ref="V1450">INDEX('Weight tables'!$A$24:$C$27,MATCH(1,(RendicontiTrasmessiBL__2[[#This Row],[Cut percentage on real costs + USC]]&gt;='Weight tables'!$B$24:$B$27)*(RendicontiTrasmessiBL__2[[#This Row],[Cut percentage on real costs + USC]]&lt;='Weight tables'!$C$24:$C$27),0),1)</f>
        <v>0</v>
      </c>
      <c r="W1450" s="2">
        <f>RendicontiTrasmessiBL__2[[#This Row],[Weight real costs  + USC ]]</f>
        <v>0</v>
      </c>
    </row>
    <row r="1451" spans="1:23" x14ac:dyDescent="0.25">
      <c r="A1451" s="1" t="s">
        <v>350</v>
      </c>
      <c r="B1451" s="1" t="s">
        <v>356</v>
      </c>
      <c r="C1451" s="2">
        <v>219</v>
      </c>
      <c r="D1451" s="2">
        <v>285</v>
      </c>
      <c r="E1451" s="1" t="s">
        <v>228</v>
      </c>
      <c r="G1451">
        <v>49980</v>
      </c>
      <c r="H1451">
        <v>0</v>
      </c>
      <c r="I1451">
        <v>0</v>
      </c>
      <c r="J1451">
        <v>2465.73</v>
      </c>
      <c r="K1451">
        <v>0</v>
      </c>
      <c r="L1451">
        <v>2465.73</v>
      </c>
      <c r="M1451">
        <v>2465.73</v>
      </c>
      <c r="N1451">
        <v>4.93</v>
      </c>
      <c r="O1451">
        <v>47514.27</v>
      </c>
      <c r="P1451">
        <v>0</v>
      </c>
      <c r="Q1451" t="str">
        <f>INDEX('Partner data'!A:DH,MATCH(C1451,'Partner data'!DG:DG,0),83)</f>
        <v>Soggetto pubblico</v>
      </c>
      <c r="R1451" t="str">
        <f>IF(E1451="staff",IF(INDEX('Partner data'!A:DH,MATCH(C1451,'Partner data'!DG:DG,0),112)="BL1 non presente","FALSO",INDEX('Partner data'!A:DH,MATCH(C1451,'Partner data'!DG:DG,0),112)))</f>
        <v>COSTO REALE</v>
      </c>
      <c r="S1451" t="b">
        <f t="shared" si="44"/>
        <v>1</v>
      </c>
      <c r="T1451" t="b">
        <f t="shared" si="45"/>
        <v>1</v>
      </c>
      <c r="U1451" s="154">
        <f>IFERROR(IF(R1451&lt;&gt;FALSE,IF(S1451=TRUE,INDEX('SummaryNOT_VALIDATED-BL'!$A$1:$F$16,MATCH(R1451,'SummaryNOT_VALIDATED-BL'!$A$1:$A$16,0),6),0),IF(S1451=TRUE,INDEX('SummaryNOT_VALIDATED-BL'!$A$1:$F$16,MATCH(E1451,'SummaryNOT_VALIDATED-BL'!$A$1:$A$16,0),6),0)),0)</f>
        <v>9.1604133276901048E-2</v>
      </c>
      <c r="V1451" s="81" cm="1">
        <f t="array" ref="V1451">INDEX('Weight tables'!$A$24:$C$27,MATCH(1,(RendicontiTrasmessiBL__2[[#This Row],[Cut percentage on real costs + USC]]&gt;='Weight tables'!$B$24:$B$27)*(RendicontiTrasmessiBL__2[[#This Row],[Cut percentage on real costs + USC]]&lt;='Weight tables'!$C$24:$C$27),0),1)</f>
        <v>4</v>
      </c>
      <c r="W1451" s="2">
        <f>RendicontiTrasmessiBL__2[[#This Row],[Weight real costs  + USC ]]</f>
        <v>4</v>
      </c>
    </row>
    <row r="1452" spans="1:23" x14ac:dyDescent="0.25">
      <c r="A1452" s="1" t="s">
        <v>350</v>
      </c>
      <c r="B1452" s="1" t="s">
        <v>356</v>
      </c>
      <c r="C1452" s="2">
        <v>219</v>
      </c>
      <c r="D1452" s="2">
        <v>285</v>
      </c>
      <c r="E1452" s="1" t="s">
        <v>229</v>
      </c>
      <c r="G1452">
        <v>0</v>
      </c>
      <c r="H1452">
        <v>0</v>
      </c>
      <c r="I1452">
        <v>0</v>
      </c>
      <c r="J1452">
        <v>0</v>
      </c>
      <c r="K1452">
        <v>0</v>
      </c>
      <c r="L1452">
        <v>0</v>
      </c>
      <c r="M1452">
        <v>0</v>
      </c>
      <c r="N1452">
        <v>0</v>
      </c>
      <c r="O1452">
        <v>0</v>
      </c>
      <c r="P1452">
        <v>0</v>
      </c>
      <c r="Q1452" t="str">
        <f>INDEX('Partner data'!A:DH,MATCH(C1452,'Partner data'!DG:DG,0),83)</f>
        <v>Soggetto pubblico</v>
      </c>
      <c r="R1452" t="b">
        <f>IF(E1452="staff",IF(INDEX('Partner data'!A:DH,MATCH(C1452,'Partner data'!DG:DG,0),112)="BL1 non presente","FALSO",INDEX('Partner data'!A:DH,MATCH(C1452,'Partner data'!DG:DG,0),112)))</f>
        <v>0</v>
      </c>
      <c r="S1452" t="b">
        <f t="shared" si="44"/>
        <v>0</v>
      </c>
      <c r="T1452" t="b">
        <f t="shared" si="45"/>
        <v>1</v>
      </c>
      <c r="U1452" s="154">
        <f>IFERROR(IF(R1452&lt;&gt;FALSE,IF(S1452=TRUE,INDEX('SummaryNOT_VALIDATED-BL'!$A$1:$F$16,MATCH(R1452,'SummaryNOT_VALIDATED-BL'!$A$1:$A$16,0),6),0),IF(S1452=TRUE,INDEX('SummaryNOT_VALIDATED-BL'!$A$1:$F$16,MATCH(E1452,'SummaryNOT_VALIDATED-BL'!$A$1:$A$16,0),6),0)),0)</f>
        <v>0</v>
      </c>
      <c r="V1452" s="81" cm="1">
        <f t="array" ref="V1452">INDEX('Weight tables'!$A$24:$C$27,MATCH(1,(RendicontiTrasmessiBL__2[[#This Row],[Cut percentage on real costs + USC]]&gt;='Weight tables'!$B$24:$B$27)*(RendicontiTrasmessiBL__2[[#This Row],[Cut percentage on real costs + USC]]&lt;='Weight tables'!$C$24:$C$27),0),1)</f>
        <v>0</v>
      </c>
      <c r="W1452" s="2">
        <f>RendicontiTrasmessiBL__2[[#This Row],[Weight real costs  + USC ]]</f>
        <v>0</v>
      </c>
    </row>
    <row r="1453" spans="1:23" x14ac:dyDescent="0.25">
      <c r="A1453" s="1" t="s">
        <v>350</v>
      </c>
      <c r="B1453" s="1" t="s">
        <v>356</v>
      </c>
      <c r="C1453" s="2">
        <v>219</v>
      </c>
      <c r="D1453" s="2">
        <v>285</v>
      </c>
      <c r="E1453" s="1" t="s">
        <v>230</v>
      </c>
      <c r="G1453">
        <v>0</v>
      </c>
      <c r="H1453">
        <v>0</v>
      </c>
      <c r="I1453">
        <v>0</v>
      </c>
      <c r="J1453">
        <v>0</v>
      </c>
      <c r="K1453">
        <v>0</v>
      </c>
      <c r="L1453">
        <v>0</v>
      </c>
      <c r="M1453">
        <v>0</v>
      </c>
      <c r="N1453">
        <v>0</v>
      </c>
      <c r="O1453">
        <v>0</v>
      </c>
      <c r="P1453">
        <v>0</v>
      </c>
      <c r="Q1453" t="str">
        <f>INDEX('Partner data'!A:DH,MATCH(C1453,'Partner data'!DG:DG,0),83)</f>
        <v>Soggetto pubblico</v>
      </c>
      <c r="R1453" t="b">
        <f>IF(E1453="staff",IF(INDEX('Partner data'!A:DH,MATCH(C1453,'Partner data'!DG:DG,0),112)="BL1 non presente","FALSO",INDEX('Partner data'!A:DH,MATCH(C1453,'Partner data'!DG:DG,0),112)))</f>
        <v>0</v>
      </c>
      <c r="S1453" t="b">
        <f t="shared" si="44"/>
        <v>0</v>
      </c>
      <c r="T1453" t="b">
        <f t="shared" si="45"/>
        <v>1</v>
      </c>
      <c r="U1453" s="154">
        <f>IFERROR(IF(R1453&lt;&gt;FALSE,IF(S1453=TRUE,INDEX('SummaryNOT_VALIDATED-BL'!$A$1:$F$16,MATCH(R1453,'SummaryNOT_VALIDATED-BL'!$A$1:$A$16,0),6),0),IF(S1453=TRUE,INDEX('SummaryNOT_VALIDATED-BL'!$A$1:$F$16,MATCH(E1453,'SummaryNOT_VALIDATED-BL'!$A$1:$A$16,0),6),0)),0)</f>
        <v>0</v>
      </c>
      <c r="V1453" s="81" cm="1">
        <f t="array" ref="V1453">INDEX('Weight tables'!$A$24:$C$27,MATCH(1,(RendicontiTrasmessiBL__2[[#This Row],[Cut percentage on real costs + USC]]&gt;='Weight tables'!$B$24:$B$27)*(RendicontiTrasmessiBL__2[[#This Row],[Cut percentage on real costs + USC]]&lt;='Weight tables'!$C$24:$C$27),0),1)</f>
        <v>0</v>
      </c>
      <c r="W1453" s="2">
        <f>RendicontiTrasmessiBL__2[[#This Row],[Weight real costs  + USC ]]</f>
        <v>0</v>
      </c>
    </row>
    <row r="1454" spans="1:23" x14ac:dyDescent="0.25">
      <c r="A1454" s="1" t="s">
        <v>350</v>
      </c>
      <c r="B1454" s="1" t="s">
        <v>356</v>
      </c>
      <c r="C1454" s="2">
        <v>219</v>
      </c>
      <c r="D1454" s="2">
        <v>285</v>
      </c>
      <c r="E1454" s="1" t="s">
        <v>231</v>
      </c>
      <c r="G1454">
        <v>0</v>
      </c>
      <c r="H1454">
        <v>0</v>
      </c>
      <c r="I1454">
        <v>0</v>
      </c>
      <c r="J1454">
        <v>0</v>
      </c>
      <c r="K1454">
        <v>0</v>
      </c>
      <c r="L1454">
        <v>0</v>
      </c>
      <c r="M1454">
        <v>0</v>
      </c>
      <c r="N1454">
        <v>0</v>
      </c>
      <c r="O1454">
        <v>0</v>
      </c>
      <c r="P1454">
        <v>0</v>
      </c>
      <c r="Q1454" t="str">
        <f>INDEX('Partner data'!A:DH,MATCH(C1454,'Partner data'!DG:DG,0),83)</f>
        <v>Soggetto pubblico</v>
      </c>
      <c r="R1454" t="b">
        <f>IF(E1454="staff",IF(INDEX('Partner data'!A:DH,MATCH(C1454,'Partner data'!DG:DG,0),112)="BL1 non presente","FALSO",INDEX('Partner data'!A:DH,MATCH(C1454,'Partner data'!DG:DG,0),112)))</f>
        <v>0</v>
      </c>
      <c r="S1454" t="b">
        <f t="shared" si="44"/>
        <v>0</v>
      </c>
      <c r="T1454" t="b">
        <f t="shared" si="45"/>
        <v>1</v>
      </c>
      <c r="U1454" s="154">
        <f>IFERROR(IF(R1454&lt;&gt;FALSE,IF(S1454=TRUE,INDEX('SummaryNOT_VALIDATED-BL'!$A$1:$F$16,MATCH(R1454,'SummaryNOT_VALIDATED-BL'!$A$1:$A$16,0),6),0),IF(S1454=TRUE,INDEX('SummaryNOT_VALIDATED-BL'!$A$1:$F$16,MATCH(E1454,'SummaryNOT_VALIDATED-BL'!$A$1:$A$16,0),6),0)),0)</f>
        <v>0</v>
      </c>
      <c r="V1454" s="81" cm="1">
        <f t="array" ref="V1454">INDEX('Weight tables'!$A$24:$C$27,MATCH(1,(RendicontiTrasmessiBL__2[[#This Row],[Cut percentage on real costs + USC]]&gt;='Weight tables'!$B$24:$B$27)*(RendicontiTrasmessiBL__2[[#This Row],[Cut percentage on real costs + USC]]&lt;='Weight tables'!$C$24:$C$27),0),1)</f>
        <v>0</v>
      </c>
      <c r="W1454" s="2">
        <f>RendicontiTrasmessiBL__2[[#This Row],[Weight real costs  + USC ]]</f>
        <v>0</v>
      </c>
    </row>
    <row r="1455" spans="1:23" x14ac:dyDescent="0.25">
      <c r="A1455" s="1" t="s">
        <v>350</v>
      </c>
      <c r="B1455" s="1" t="s">
        <v>356</v>
      </c>
      <c r="C1455" s="2">
        <v>219</v>
      </c>
      <c r="D1455" s="2">
        <v>285</v>
      </c>
      <c r="E1455" s="1" t="s">
        <v>232</v>
      </c>
      <c r="G1455">
        <v>0</v>
      </c>
      <c r="H1455">
        <v>0</v>
      </c>
      <c r="I1455">
        <v>0</v>
      </c>
      <c r="J1455">
        <v>0</v>
      </c>
      <c r="K1455">
        <v>0</v>
      </c>
      <c r="L1455">
        <v>0</v>
      </c>
      <c r="M1455">
        <v>0</v>
      </c>
      <c r="N1455">
        <v>0</v>
      </c>
      <c r="O1455">
        <v>0</v>
      </c>
      <c r="P1455">
        <v>0</v>
      </c>
      <c r="Q1455" t="str">
        <f>INDEX('Partner data'!A:DH,MATCH(C1455,'Partner data'!DG:DG,0),83)</f>
        <v>Soggetto pubblico</v>
      </c>
      <c r="R1455" t="b">
        <f>IF(E1455="staff",IF(INDEX('Partner data'!A:DH,MATCH(C1455,'Partner data'!DG:DG,0),112)="BL1 non presente","FALSO",INDEX('Partner data'!A:DH,MATCH(C1455,'Partner data'!DG:DG,0),112)))</f>
        <v>0</v>
      </c>
      <c r="S1455" t="b">
        <f t="shared" si="44"/>
        <v>0</v>
      </c>
      <c r="T1455" t="b">
        <f t="shared" si="45"/>
        <v>1</v>
      </c>
      <c r="U1455" s="154">
        <f>IFERROR(IF(R1455&lt;&gt;FALSE,IF(S1455=TRUE,INDEX('SummaryNOT_VALIDATED-BL'!$A$1:$F$16,MATCH(R1455,'SummaryNOT_VALIDATED-BL'!$A$1:$A$16,0),6),0),IF(S1455=TRUE,INDEX('SummaryNOT_VALIDATED-BL'!$A$1:$F$16,MATCH(E1455,'SummaryNOT_VALIDATED-BL'!$A$1:$A$16,0),6),0)),0)</f>
        <v>0</v>
      </c>
      <c r="V1455" s="81" cm="1">
        <f t="array" ref="V1455">INDEX('Weight tables'!$A$24:$C$27,MATCH(1,(RendicontiTrasmessiBL__2[[#This Row],[Cut percentage on real costs + USC]]&gt;='Weight tables'!$B$24:$B$27)*(RendicontiTrasmessiBL__2[[#This Row],[Cut percentage on real costs + USC]]&lt;='Weight tables'!$C$24:$C$27),0),1)</f>
        <v>0</v>
      </c>
      <c r="W1455" s="2">
        <f>RendicontiTrasmessiBL__2[[#This Row],[Weight real costs  + USC ]]</f>
        <v>0</v>
      </c>
    </row>
    <row r="1456" spans="1:23" x14ac:dyDescent="0.25">
      <c r="A1456" s="1" t="s">
        <v>350</v>
      </c>
      <c r="B1456" s="1" t="s">
        <v>356</v>
      </c>
      <c r="C1456" s="2">
        <v>219</v>
      </c>
      <c r="D1456" s="2">
        <v>285</v>
      </c>
      <c r="E1456" s="1" t="s">
        <v>233</v>
      </c>
      <c r="G1456">
        <v>0</v>
      </c>
      <c r="H1456">
        <v>0</v>
      </c>
      <c r="I1456">
        <v>0</v>
      </c>
      <c r="J1456">
        <v>0</v>
      </c>
      <c r="K1456">
        <v>0</v>
      </c>
      <c r="L1456">
        <v>0</v>
      </c>
      <c r="M1456">
        <v>0</v>
      </c>
      <c r="N1456">
        <v>0</v>
      </c>
      <c r="O1456">
        <v>0</v>
      </c>
      <c r="P1456">
        <v>0</v>
      </c>
      <c r="Q1456" t="str">
        <f>INDEX('Partner data'!A:DH,MATCH(C1456,'Partner data'!DG:DG,0),83)</f>
        <v>Soggetto pubblico</v>
      </c>
      <c r="R1456" t="b">
        <f>IF(E1456="staff",IF(INDEX('Partner data'!A:DH,MATCH(C1456,'Partner data'!DG:DG,0),112)="BL1 non presente","FALSO",INDEX('Partner data'!A:DH,MATCH(C1456,'Partner data'!DG:DG,0),112)))</f>
        <v>0</v>
      </c>
      <c r="S1456" t="b">
        <f t="shared" si="44"/>
        <v>0</v>
      </c>
      <c r="T1456" t="b">
        <f t="shared" si="45"/>
        <v>1</v>
      </c>
      <c r="U1456" s="154">
        <f>IFERROR(IF(R1456&lt;&gt;FALSE,IF(S1456=TRUE,INDEX('SummaryNOT_VALIDATED-BL'!$A$1:$F$16,MATCH(R1456,'SummaryNOT_VALIDATED-BL'!$A$1:$A$16,0),6),0),IF(S1456=TRUE,INDEX('SummaryNOT_VALIDATED-BL'!$A$1:$F$16,MATCH(E1456,'SummaryNOT_VALIDATED-BL'!$A$1:$A$16,0),6),0)),0)</f>
        <v>0</v>
      </c>
      <c r="V1456" s="81" cm="1">
        <f t="array" ref="V1456">INDEX('Weight tables'!$A$24:$C$27,MATCH(1,(RendicontiTrasmessiBL__2[[#This Row],[Cut percentage on real costs + USC]]&gt;='Weight tables'!$B$24:$B$27)*(RendicontiTrasmessiBL__2[[#This Row],[Cut percentage on real costs + USC]]&lt;='Weight tables'!$C$24:$C$27),0),1)</f>
        <v>0</v>
      </c>
      <c r="W1456" s="2">
        <f>RendicontiTrasmessiBL__2[[#This Row],[Weight real costs  + USC ]]</f>
        <v>0</v>
      </c>
    </row>
    <row r="1457" spans="1:23" x14ac:dyDescent="0.25">
      <c r="A1457" s="1" t="s">
        <v>350</v>
      </c>
      <c r="B1457" s="1" t="s">
        <v>356</v>
      </c>
      <c r="C1457" s="2">
        <v>219</v>
      </c>
      <c r="D1457" s="2">
        <v>285</v>
      </c>
      <c r="E1457" s="1" t="s">
        <v>234</v>
      </c>
      <c r="F1457">
        <v>40</v>
      </c>
      <c r="G1457">
        <v>19992</v>
      </c>
      <c r="H1457">
        <v>0</v>
      </c>
      <c r="I1457">
        <v>0</v>
      </c>
      <c r="J1457">
        <v>986.29</v>
      </c>
      <c r="K1457">
        <v>0</v>
      </c>
      <c r="L1457">
        <v>986.29</v>
      </c>
      <c r="M1457">
        <v>986.29</v>
      </c>
      <c r="N1457">
        <v>4.93</v>
      </c>
      <c r="O1457">
        <v>19005.71</v>
      </c>
      <c r="P1457">
        <v>0</v>
      </c>
      <c r="Q1457" t="str">
        <f>INDEX('Partner data'!A:DH,MATCH(C1457,'Partner data'!DG:DG,0),83)</f>
        <v>Soggetto pubblico</v>
      </c>
      <c r="R1457" t="b">
        <f>IF(E1457="staff",IF(INDEX('Partner data'!A:DH,MATCH(C1457,'Partner data'!DG:DG,0),112)="BL1 non presente","FALSO",INDEX('Partner data'!A:DH,MATCH(C1457,'Partner data'!DG:DG,0),112)))</f>
        <v>0</v>
      </c>
      <c r="S1457" t="b">
        <f t="shared" si="44"/>
        <v>1</v>
      </c>
      <c r="T1457" t="b">
        <f t="shared" si="45"/>
        <v>1</v>
      </c>
      <c r="U1457" s="154">
        <f>IFERROR(IF(R1457&lt;&gt;FALSE,IF(S1457=TRUE,INDEX('SummaryNOT_VALIDATED-BL'!$A$1:$F$16,MATCH(R1457,'SummaryNOT_VALIDATED-BL'!$A$1:$A$16,0),6),0),IF(S1457=TRUE,INDEX('SummaryNOT_VALIDATED-BL'!$A$1:$F$16,MATCH(E1457,'SummaryNOT_VALIDATED-BL'!$A$1:$A$16,0),6),0)),0)</f>
        <v>8.7645339819521315E-2</v>
      </c>
      <c r="V1457" s="81" cm="1">
        <f t="array" ref="V1457">INDEX('Weight tables'!$A$24:$C$27,MATCH(1,(RendicontiTrasmessiBL__2[[#This Row],[Cut percentage on real costs + USC]]&gt;='Weight tables'!$B$24:$B$27)*(RendicontiTrasmessiBL__2[[#This Row],[Cut percentage on real costs + USC]]&lt;='Weight tables'!$C$24:$C$27),0),1)</f>
        <v>4</v>
      </c>
      <c r="W1457" s="2">
        <f>RendicontiTrasmessiBL__2[[#This Row],[Weight real costs  + USC ]]</f>
        <v>4</v>
      </c>
    </row>
    <row r="1458" spans="1:23" x14ac:dyDescent="0.25">
      <c r="A1458" s="1" t="s">
        <v>350</v>
      </c>
      <c r="B1458" s="1" t="s">
        <v>356</v>
      </c>
      <c r="C1458" s="2">
        <v>219</v>
      </c>
      <c r="D1458" s="2">
        <v>285</v>
      </c>
      <c r="E1458" s="1" t="s">
        <v>236</v>
      </c>
      <c r="G1458">
        <v>0</v>
      </c>
      <c r="H1458">
        <v>0</v>
      </c>
      <c r="I1458">
        <v>0</v>
      </c>
      <c r="J1458">
        <v>0</v>
      </c>
      <c r="K1458">
        <v>0</v>
      </c>
      <c r="L1458">
        <v>0</v>
      </c>
      <c r="M1458">
        <v>0</v>
      </c>
      <c r="N1458">
        <v>0</v>
      </c>
      <c r="O1458">
        <v>0</v>
      </c>
      <c r="P1458">
        <v>0</v>
      </c>
      <c r="Q1458" t="str">
        <f>INDEX('Partner data'!A:DH,MATCH(C1458,'Partner data'!DG:DG,0),83)</f>
        <v>Soggetto pubblico</v>
      </c>
      <c r="R1458" t="b">
        <f>IF(E1458="staff",IF(INDEX('Partner data'!A:DH,MATCH(C1458,'Partner data'!DG:DG,0),112)="BL1 non presente","FALSO",INDEX('Partner data'!A:DH,MATCH(C1458,'Partner data'!DG:DG,0),112)))</f>
        <v>0</v>
      </c>
      <c r="S1458" t="b">
        <f t="shared" si="44"/>
        <v>0</v>
      </c>
      <c r="T1458" t="b">
        <f t="shared" si="45"/>
        <v>1</v>
      </c>
      <c r="U1458" s="154">
        <f>IFERROR(IF(R1458&lt;&gt;FALSE,IF(S1458=TRUE,INDEX('SummaryNOT_VALIDATED-BL'!$A$1:$F$16,MATCH(R1458,'SummaryNOT_VALIDATED-BL'!$A$1:$A$16,0),6),0),IF(S1458=TRUE,INDEX('SummaryNOT_VALIDATED-BL'!$A$1:$F$16,MATCH(E1458,'SummaryNOT_VALIDATED-BL'!$A$1:$A$16,0),6),0)),0)</f>
        <v>0</v>
      </c>
      <c r="V1458" s="81" cm="1">
        <f t="array" ref="V1458">INDEX('Weight tables'!$A$24:$C$27,MATCH(1,(RendicontiTrasmessiBL__2[[#This Row],[Cut percentage on real costs + USC]]&gt;='Weight tables'!$B$24:$B$27)*(RendicontiTrasmessiBL__2[[#This Row],[Cut percentage on real costs + USC]]&lt;='Weight tables'!$C$24:$C$27),0),1)</f>
        <v>0</v>
      </c>
      <c r="W1458" s="2">
        <f>RendicontiTrasmessiBL__2[[#This Row],[Weight real costs  + USC ]]</f>
        <v>0</v>
      </c>
    </row>
    <row r="1459" spans="1:23" x14ac:dyDescent="0.25">
      <c r="A1459" s="1" t="s">
        <v>350</v>
      </c>
      <c r="B1459" s="1" t="s">
        <v>356</v>
      </c>
      <c r="C1459" s="2">
        <v>219</v>
      </c>
      <c r="D1459" s="2">
        <v>285</v>
      </c>
      <c r="E1459" s="1" t="s">
        <v>237</v>
      </c>
      <c r="G1459">
        <v>0</v>
      </c>
      <c r="H1459">
        <v>0</v>
      </c>
      <c r="I1459">
        <v>0</v>
      </c>
      <c r="J1459">
        <v>0</v>
      </c>
      <c r="K1459">
        <v>0</v>
      </c>
      <c r="L1459">
        <v>0</v>
      </c>
      <c r="M1459">
        <v>0</v>
      </c>
      <c r="N1459">
        <v>0</v>
      </c>
      <c r="O1459">
        <v>0</v>
      </c>
      <c r="P1459">
        <v>0</v>
      </c>
      <c r="Q1459" t="str">
        <f>INDEX('Partner data'!A:DH,MATCH(C1459,'Partner data'!DG:DG,0),83)</f>
        <v>Soggetto pubblico</v>
      </c>
      <c r="R1459" t="b">
        <f>IF(E1459="staff",IF(INDEX('Partner data'!A:DH,MATCH(C1459,'Partner data'!DG:DG,0),112)="BL1 non presente","FALSO",INDEX('Partner data'!A:DH,MATCH(C1459,'Partner data'!DG:DG,0),112)))</f>
        <v>0</v>
      </c>
      <c r="S1459" t="b">
        <f t="shared" si="44"/>
        <v>0</v>
      </c>
      <c r="T1459" t="b">
        <f t="shared" si="45"/>
        <v>1</v>
      </c>
      <c r="U1459" s="154">
        <f>IFERROR(IF(R1459&lt;&gt;FALSE,IF(S1459=TRUE,INDEX('SummaryNOT_VALIDATED-BL'!$A$1:$F$16,MATCH(R1459,'SummaryNOT_VALIDATED-BL'!$A$1:$A$16,0),6),0),IF(S1459=TRUE,INDEX('SummaryNOT_VALIDATED-BL'!$A$1:$F$16,MATCH(E1459,'SummaryNOT_VALIDATED-BL'!$A$1:$A$16,0),6),0)),0)</f>
        <v>0</v>
      </c>
      <c r="V1459" s="81" cm="1">
        <f t="array" ref="V1459">INDEX('Weight tables'!$A$24:$C$27,MATCH(1,(RendicontiTrasmessiBL__2[[#This Row],[Cut percentage on real costs + USC]]&gt;='Weight tables'!$B$24:$B$27)*(RendicontiTrasmessiBL__2[[#This Row],[Cut percentage on real costs + USC]]&lt;='Weight tables'!$C$24:$C$27),0),1)</f>
        <v>0</v>
      </c>
      <c r="W1459" s="2">
        <f>RendicontiTrasmessiBL__2[[#This Row],[Weight real costs  + USC ]]</f>
        <v>0</v>
      </c>
    </row>
    <row r="1460" spans="1:23" x14ac:dyDescent="0.25">
      <c r="A1460" s="1" t="s">
        <v>63</v>
      </c>
      <c r="B1460" s="1" t="s">
        <v>37</v>
      </c>
      <c r="C1460" s="2">
        <v>288</v>
      </c>
      <c r="D1460" s="2">
        <v>266</v>
      </c>
      <c r="E1460" s="1" t="s">
        <v>228</v>
      </c>
      <c r="G1460">
        <v>125064</v>
      </c>
      <c r="H1460">
        <v>6919.41</v>
      </c>
      <c r="I1460">
        <v>0</v>
      </c>
      <c r="J1460">
        <v>10476.94</v>
      </c>
      <c r="K1460">
        <v>0</v>
      </c>
      <c r="L1460">
        <v>0</v>
      </c>
      <c r="M1460">
        <v>17396.349999999999</v>
      </c>
      <c r="N1460">
        <v>13.91</v>
      </c>
      <c r="O1460">
        <v>107667.65</v>
      </c>
      <c r="P1460">
        <v>6919.41</v>
      </c>
      <c r="Q1460" t="str">
        <f>INDEX('Partner data'!A:DH,MATCH(C1460,'Partner data'!DG:DG,0),83)</f>
        <v xml:space="preserve">Organismo di diritto pubblico </v>
      </c>
      <c r="R1460" t="str">
        <f>IF(E1460="staff",IF(INDEX('Partner data'!A:DH,MATCH(C1460,'Partner data'!DG:DG,0),112)="BL1 non presente","FALSO",INDEX('Partner data'!A:DH,MATCH(C1460,'Partner data'!DG:DG,0),112)))</f>
        <v>COSTO REALE</v>
      </c>
      <c r="S1460" t="b">
        <f t="shared" si="44"/>
        <v>1</v>
      </c>
      <c r="T1460" t="b">
        <f t="shared" si="45"/>
        <v>1</v>
      </c>
      <c r="U1460" s="154">
        <f>IFERROR(IF(R1460&lt;&gt;FALSE,IF(S1460=TRUE,INDEX('SummaryNOT_VALIDATED-BL'!$A$1:$F$16,MATCH(R1460,'SummaryNOT_VALIDATED-BL'!$A$1:$A$16,0),6),0),IF(S1460=TRUE,INDEX('SummaryNOT_VALIDATED-BL'!$A$1:$F$16,MATCH(E1460,'SummaryNOT_VALIDATED-BL'!$A$1:$A$16,0),6),0)),0)</f>
        <v>9.1604133276901048E-2</v>
      </c>
      <c r="V1460" s="81" cm="1">
        <f t="array" ref="V1460">INDEX('Weight tables'!$A$24:$C$27,MATCH(1,(RendicontiTrasmessiBL__2[[#This Row],[Cut percentage on real costs + USC]]&gt;='Weight tables'!$B$24:$B$27)*(RendicontiTrasmessiBL__2[[#This Row],[Cut percentage on real costs + USC]]&lt;='Weight tables'!$C$24:$C$27),0),1)</f>
        <v>4</v>
      </c>
      <c r="W1460" s="2">
        <f>RendicontiTrasmessiBL__2[[#This Row],[Weight real costs  + USC ]]</f>
        <v>4</v>
      </c>
    </row>
    <row r="1461" spans="1:23" x14ac:dyDescent="0.25">
      <c r="A1461" s="1" t="s">
        <v>63</v>
      </c>
      <c r="B1461" s="1" t="s">
        <v>37</v>
      </c>
      <c r="C1461" s="2">
        <v>288</v>
      </c>
      <c r="D1461" s="2">
        <v>266</v>
      </c>
      <c r="E1461" s="1" t="s">
        <v>229</v>
      </c>
      <c r="G1461">
        <v>0</v>
      </c>
      <c r="H1461">
        <v>0</v>
      </c>
      <c r="I1461">
        <v>0</v>
      </c>
      <c r="J1461">
        <v>0</v>
      </c>
      <c r="K1461">
        <v>0</v>
      </c>
      <c r="L1461">
        <v>0</v>
      </c>
      <c r="M1461">
        <v>0</v>
      </c>
      <c r="N1461">
        <v>0</v>
      </c>
      <c r="O1461">
        <v>0</v>
      </c>
      <c r="P1461">
        <v>0</v>
      </c>
      <c r="Q1461" t="str">
        <f>INDEX('Partner data'!A:DH,MATCH(C1461,'Partner data'!DG:DG,0),83)</f>
        <v xml:space="preserve">Organismo di diritto pubblico </v>
      </c>
      <c r="R1461" t="b">
        <f>IF(E1461="staff",IF(INDEX('Partner data'!A:DH,MATCH(C1461,'Partner data'!DG:DG,0),112)="BL1 non presente","FALSO",INDEX('Partner data'!A:DH,MATCH(C1461,'Partner data'!DG:DG,0),112)))</f>
        <v>0</v>
      </c>
      <c r="S1461" t="b">
        <f t="shared" si="44"/>
        <v>0</v>
      </c>
      <c r="T1461" t="b">
        <f t="shared" si="45"/>
        <v>1</v>
      </c>
      <c r="U1461" s="154">
        <f>IFERROR(IF(R1461&lt;&gt;FALSE,IF(S1461=TRUE,INDEX('SummaryNOT_VALIDATED-BL'!$A$1:$F$16,MATCH(R1461,'SummaryNOT_VALIDATED-BL'!$A$1:$A$16,0),6),0),IF(S1461=TRUE,INDEX('SummaryNOT_VALIDATED-BL'!$A$1:$F$16,MATCH(E1461,'SummaryNOT_VALIDATED-BL'!$A$1:$A$16,0),6),0)),0)</f>
        <v>0</v>
      </c>
      <c r="V1461" s="81" cm="1">
        <f t="array" ref="V1461">INDEX('Weight tables'!$A$24:$C$27,MATCH(1,(RendicontiTrasmessiBL__2[[#This Row],[Cut percentage on real costs + USC]]&gt;='Weight tables'!$B$24:$B$27)*(RendicontiTrasmessiBL__2[[#This Row],[Cut percentage on real costs + USC]]&lt;='Weight tables'!$C$24:$C$27),0),1)</f>
        <v>0</v>
      </c>
      <c r="W1461" s="2">
        <f>RendicontiTrasmessiBL__2[[#This Row],[Weight real costs  + USC ]]</f>
        <v>0</v>
      </c>
    </row>
    <row r="1462" spans="1:23" x14ac:dyDescent="0.25">
      <c r="A1462" s="1" t="s">
        <v>63</v>
      </c>
      <c r="B1462" s="1" t="s">
        <v>37</v>
      </c>
      <c r="C1462" s="2">
        <v>288</v>
      </c>
      <c r="D1462" s="2">
        <v>266</v>
      </c>
      <c r="E1462" s="1" t="s">
        <v>230</v>
      </c>
      <c r="G1462">
        <v>0</v>
      </c>
      <c r="H1462">
        <v>0</v>
      </c>
      <c r="I1462">
        <v>0</v>
      </c>
      <c r="J1462">
        <v>0</v>
      </c>
      <c r="K1462">
        <v>0</v>
      </c>
      <c r="L1462">
        <v>0</v>
      </c>
      <c r="M1462">
        <v>0</v>
      </c>
      <c r="N1462">
        <v>0</v>
      </c>
      <c r="O1462">
        <v>0</v>
      </c>
      <c r="P1462">
        <v>0</v>
      </c>
      <c r="Q1462" t="str">
        <f>INDEX('Partner data'!A:DH,MATCH(C1462,'Partner data'!DG:DG,0),83)</f>
        <v xml:space="preserve">Organismo di diritto pubblico </v>
      </c>
      <c r="R1462" t="b">
        <f>IF(E1462="staff",IF(INDEX('Partner data'!A:DH,MATCH(C1462,'Partner data'!DG:DG,0),112)="BL1 non presente","FALSO",INDEX('Partner data'!A:DH,MATCH(C1462,'Partner data'!DG:DG,0),112)))</f>
        <v>0</v>
      </c>
      <c r="S1462" t="b">
        <f t="shared" si="44"/>
        <v>0</v>
      </c>
      <c r="T1462" t="b">
        <f t="shared" si="45"/>
        <v>1</v>
      </c>
      <c r="U1462" s="154">
        <f>IFERROR(IF(R1462&lt;&gt;FALSE,IF(S1462=TRUE,INDEX('SummaryNOT_VALIDATED-BL'!$A$1:$F$16,MATCH(R1462,'SummaryNOT_VALIDATED-BL'!$A$1:$A$16,0),6),0),IF(S1462=TRUE,INDEX('SummaryNOT_VALIDATED-BL'!$A$1:$F$16,MATCH(E1462,'SummaryNOT_VALIDATED-BL'!$A$1:$A$16,0),6),0)),0)</f>
        <v>0</v>
      </c>
      <c r="V1462" s="81" cm="1">
        <f t="array" ref="V1462">INDEX('Weight tables'!$A$24:$C$27,MATCH(1,(RendicontiTrasmessiBL__2[[#This Row],[Cut percentage on real costs + USC]]&gt;='Weight tables'!$B$24:$B$27)*(RendicontiTrasmessiBL__2[[#This Row],[Cut percentage on real costs + USC]]&lt;='Weight tables'!$C$24:$C$27),0),1)</f>
        <v>0</v>
      </c>
      <c r="W1462" s="2">
        <f>RendicontiTrasmessiBL__2[[#This Row],[Weight real costs  + USC ]]</f>
        <v>0</v>
      </c>
    </row>
    <row r="1463" spans="1:23" x14ac:dyDescent="0.25">
      <c r="A1463" s="1" t="s">
        <v>63</v>
      </c>
      <c r="B1463" s="1" t="s">
        <v>37</v>
      </c>
      <c r="C1463" s="2">
        <v>288</v>
      </c>
      <c r="D1463" s="2">
        <v>266</v>
      </c>
      <c r="E1463" s="1" t="s">
        <v>231</v>
      </c>
      <c r="G1463">
        <v>0</v>
      </c>
      <c r="H1463">
        <v>0</v>
      </c>
      <c r="I1463">
        <v>0</v>
      </c>
      <c r="J1463">
        <v>0</v>
      </c>
      <c r="K1463">
        <v>0</v>
      </c>
      <c r="L1463">
        <v>0</v>
      </c>
      <c r="M1463">
        <v>0</v>
      </c>
      <c r="N1463">
        <v>0</v>
      </c>
      <c r="O1463">
        <v>0</v>
      </c>
      <c r="P1463">
        <v>0</v>
      </c>
      <c r="Q1463" t="str">
        <f>INDEX('Partner data'!A:DH,MATCH(C1463,'Partner data'!DG:DG,0),83)</f>
        <v xml:space="preserve">Organismo di diritto pubblico </v>
      </c>
      <c r="R1463" t="b">
        <f>IF(E1463="staff",IF(INDEX('Partner data'!A:DH,MATCH(C1463,'Partner data'!DG:DG,0),112)="BL1 non presente","FALSO",INDEX('Partner data'!A:DH,MATCH(C1463,'Partner data'!DG:DG,0),112)))</f>
        <v>0</v>
      </c>
      <c r="S1463" t="b">
        <f t="shared" si="44"/>
        <v>0</v>
      </c>
      <c r="T1463" t="b">
        <f t="shared" si="45"/>
        <v>1</v>
      </c>
      <c r="U1463" s="154">
        <f>IFERROR(IF(R1463&lt;&gt;FALSE,IF(S1463=TRUE,INDEX('SummaryNOT_VALIDATED-BL'!$A$1:$F$16,MATCH(R1463,'SummaryNOT_VALIDATED-BL'!$A$1:$A$16,0),6),0),IF(S1463=TRUE,INDEX('SummaryNOT_VALIDATED-BL'!$A$1:$F$16,MATCH(E1463,'SummaryNOT_VALIDATED-BL'!$A$1:$A$16,0),6),0)),0)</f>
        <v>0</v>
      </c>
      <c r="V1463" s="81" cm="1">
        <f t="array" ref="V1463">INDEX('Weight tables'!$A$24:$C$27,MATCH(1,(RendicontiTrasmessiBL__2[[#This Row],[Cut percentage on real costs + USC]]&gt;='Weight tables'!$B$24:$B$27)*(RendicontiTrasmessiBL__2[[#This Row],[Cut percentage on real costs + USC]]&lt;='Weight tables'!$C$24:$C$27),0),1)</f>
        <v>0</v>
      </c>
      <c r="W1463" s="2">
        <f>RendicontiTrasmessiBL__2[[#This Row],[Weight real costs  + USC ]]</f>
        <v>0</v>
      </c>
    </row>
    <row r="1464" spans="1:23" x14ac:dyDescent="0.25">
      <c r="A1464" s="1" t="s">
        <v>63</v>
      </c>
      <c r="B1464" s="1" t="s">
        <v>37</v>
      </c>
      <c r="C1464" s="2">
        <v>288</v>
      </c>
      <c r="D1464" s="2">
        <v>266</v>
      </c>
      <c r="E1464" s="1" t="s">
        <v>232</v>
      </c>
      <c r="G1464">
        <v>0</v>
      </c>
      <c r="H1464">
        <v>0</v>
      </c>
      <c r="I1464">
        <v>0</v>
      </c>
      <c r="J1464">
        <v>0</v>
      </c>
      <c r="K1464">
        <v>0</v>
      </c>
      <c r="L1464">
        <v>0</v>
      </c>
      <c r="M1464">
        <v>0</v>
      </c>
      <c r="N1464">
        <v>0</v>
      </c>
      <c r="O1464">
        <v>0</v>
      </c>
      <c r="P1464">
        <v>0</v>
      </c>
      <c r="Q1464" t="str">
        <f>INDEX('Partner data'!A:DH,MATCH(C1464,'Partner data'!DG:DG,0),83)</f>
        <v xml:space="preserve">Organismo di diritto pubblico </v>
      </c>
      <c r="R1464" t="b">
        <f>IF(E1464="staff",IF(INDEX('Partner data'!A:DH,MATCH(C1464,'Partner data'!DG:DG,0),112)="BL1 non presente","FALSO",INDEX('Partner data'!A:DH,MATCH(C1464,'Partner data'!DG:DG,0),112)))</f>
        <v>0</v>
      </c>
      <c r="S1464" t="b">
        <f t="shared" si="44"/>
        <v>0</v>
      </c>
      <c r="T1464" t="b">
        <f t="shared" si="45"/>
        <v>1</v>
      </c>
      <c r="U1464" s="154">
        <f>IFERROR(IF(R1464&lt;&gt;FALSE,IF(S1464=TRUE,INDEX('SummaryNOT_VALIDATED-BL'!$A$1:$F$16,MATCH(R1464,'SummaryNOT_VALIDATED-BL'!$A$1:$A$16,0),6),0),IF(S1464=TRUE,INDEX('SummaryNOT_VALIDATED-BL'!$A$1:$F$16,MATCH(E1464,'SummaryNOT_VALIDATED-BL'!$A$1:$A$16,0),6),0)),0)</f>
        <v>0</v>
      </c>
      <c r="V1464" s="81" cm="1">
        <f t="array" ref="V1464">INDEX('Weight tables'!$A$24:$C$27,MATCH(1,(RendicontiTrasmessiBL__2[[#This Row],[Cut percentage on real costs + USC]]&gt;='Weight tables'!$B$24:$B$27)*(RendicontiTrasmessiBL__2[[#This Row],[Cut percentage on real costs + USC]]&lt;='Weight tables'!$C$24:$C$27),0),1)</f>
        <v>0</v>
      </c>
      <c r="W1464" s="2">
        <f>RendicontiTrasmessiBL__2[[#This Row],[Weight real costs  + USC ]]</f>
        <v>0</v>
      </c>
    </row>
    <row r="1465" spans="1:23" x14ac:dyDescent="0.25">
      <c r="A1465" s="1" t="s">
        <v>63</v>
      </c>
      <c r="B1465" s="1" t="s">
        <v>37</v>
      </c>
      <c r="C1465" s="2">
        <v>288</v>
      </c>
      <c r="D1465" s="2">
        <v>266</v>
      </c>
      <c r="E1465" s="1" t="s">
        <v>233</v>
      </c>
      <c r="G1465">
        <v>0</v>
      </c>
      <c r="H1465">
        <v>0</v>
      </c>
      <c r="I1465">
        <v>0</v>
      </c>
      <c r="J1465">
        <v>0</v>
      </c>
      <c r="K1465">
        <v>0</v>
      </c>
      <c r="L1465">
        <v>0</v>
      </c>
      <c r="M1465">
        <v>0</v>
      </c>
      <c r="N1465">
        <v>0</v>
      </c>
      <c r="O1465">
        <v>0</v>
      </c>
      <c r="P1465">
        <v>0</v>
      </c>
      <c r="Q1465" t="str">
        <f>INDEX('Partner data'!A:DH,MATCH(C1465,'Partner data'!DG:DG,0),83)</f>
        <v xml:space="preserve">Organismo di diritto pubblico </v>
      </c>
      <c r="R1465" t="b">
        <f>IF(E1465="staff",IF(INDEX('Partner data'!A:DH,MATCH(C1465,'Partner data'!DG:DG,0),112)="BL1 non presente","FALSO",INDEX('Partner data'!A:DH,MATCH(C1465,'Partner data'!DG:DG,0),112)))</f>
        <v>0</v>
      </c>
      <c r="S1465" t="b">
        <f t="shared" si="44"/>
        <v>0</v>
      </c>
      <c r="T1465" t="b">
        <f t="shared" si="45"/>
        <v>1</v>
      </c>
      <c r="U1465" s="154">
        <f>IFERROR(IF(R1465&lt;&gt;FALSE,IF(S1465=TRUE,INDEX('SummaryNOT_VALIDATED-BL'!$A$1:$F$16,MATCH(R1465,'SummaryNOT_VALIDATED-BL'!$A$1:$A$16,0),6),0),IF(S1465=TRUE,INDEX('SummaryNOT_VALIDATED-BL'!$A$1:$F$16,MATCH(E1465,'SummaryNOT_VALIDATED-BL'!$A$1:$A$16,0),6),0)),0)</f>
        <v>0</v>
      </c>
      <c r="V1465" s="81" cm="1">
        <f t="array" ref="V1465">INDEX('Weight tables'!$A$24:$C$27,MATCH(1,(RendicontiTrasmessiBL__2[[#This Row],[Cut percentage on real costs + USC]]&gt;='Weight tables'!$B$24:$B$27)*(RendicontiTrasmessiBL__2[[#This Row],[Cut percentage on real costs + USC]]&lt;='Weight tables'!$C$24:$C$27),0),1)</f>
        <v>0</v>
      </c>
      <c r="W1465" s="2">
        <f>RendicontiTrasmessiBL__2[[#This Row],[Weight real costs  + USC ]]</f>
        <v>0</v>
      </c>
    </row>
    <row r="1466" spans="1:23" x14ac:dyDescent="0.25">
      <c r="A1466" s="1" t="s">
        <v>63</v>
      </c>
      <c r="B1466" s="1" t="s">
        <v>37</v>
      </c>
      <c r="C1466" s="2">
        <v>288</v>
      </c>
      <c r="D1466" s="2">
        <v>266</v>
      </c>
      <c r="E1466" s="1" t="s">
        <v>234</v>
      </c>
      <c r="F1466">
        <v>40</v>
      </c>
      <c r="G1466">
        <v>50025.599999999999</v>
      </c>
      <c r="H1466">
        <v>2767.76</v>
      </c>
      <c r="I1466">
        <v>0</v>
      </c>
      <c r="J1466">
        <v>4190.7700000000004</v>
      </c>
      <c r="K1466">
        <v>0</v>
      </c>
      <c r="L1466">
        <v>0</v>
      </c>
      <c r="M1466">
        <v>6958.53</v>
      </c>
      <c r="N1466">
        <v>13.91</v>
      </c>
      <c r="O1466">
        <v>43067.07</v>
      </c>
      <c r="P1466">
        <v>2767.76</v>
      </c>
      <c r="Q1466" t="str">
        <f>INDEX('Partner data'!A:DH,MATCH(C1466,'Partner data'!DG:DG,0),83)</f>
        <v xml:space="preserve">Organismo di diritto pubblico </v>
      </c>
      <c r="R1466" t="b">
        <f>IF(E1466="staff",IF(INDEX('Partner data'!A:DH,MATCH(C1466,'Partner data'!DG:DG,0),112)="BL1 non presente","FALSO",INDEX('Partner data'!A:DH,MATCH(C1466,'Partner data'!DG:DG,0),112)))</f>
        <v>0</v>
      </c>
      <c r="S1466" t="b">
        <f t="shared" si="44"/>
        <v>1</v>
      </c>
      <c r="T1466" t="b">
        <f t="shared" si="45"/>
        <v>1</v>
      </c>
      <c r="U1466" s="154">
        <f>IFERROR(IF(R1466&lt;&gt;FALSE,IF(S1466=TRUE,INDEX('SummaryNOT_VALIDATED-BL'!$A$1:$F$16,MATCH(R1466,'SummaryNOT_VALIDATED-BL'!$A$1:$A$16,0),6),0),IF(S1466=TRUE,INDEX('SummaryNOT_VALIDATED-BL'!$A$1:$F$16,MATCH(E1466,'SummaryNOT_VALIDATED-BL'!$A$1:$A$16,0),6),0)),0)</f>
        <v>8.7645339819521315E-2</v>
      </c>
      <c r="V1466" s="81" cm="1">
        <f t="array" ref="V1466">INDEX('Weight tables'!$A$24:$C$27,MATCH(1,(RendicontiTrasmessiBL__2[[#This Row],[Cut percentage on real costs + USC]]&gt;='Weight tables'!$B$24:$B$27)*(RendicontiTrasmessiBL__2[[#This Row],[Cut percentage on real costs + USC]]&lt;='Weight tables'!$C$24:$C$27),0),1)</f>
        <v>4</v>
      </c>
      <c r="W1466" s="2">
        <f>RendicontiTrasmessiBL__2[[#This Row],[Weight real costs  + USC ]]</f>
        <v>4</v>
      </c>
    </row>
    <row r="1467" spans="1:23" x14ac:dyDescent="0.25">
      <c r="A1467" s="1" t="s">
        <v>63</v>
      </c>
      <c r="B1467" s="1" t="s">
        <v>37</v>
      </c>
      <c r="C1467" s="2">
        <v>288</v>
      </c>
      <c r="D1467" s="2">
        <v>266</v>
      </c>
      <c r="E1467" s="1" t="s">
        <v>236</v>
      </c>
      <c r="G1467">
        <v>0</v>
      </c>
      <c r="H1467">
        <v>0</v>
      </c>
      <c r="I1467">
        <v>0</v>
      </c>
      <c r="J1467">
        <v>0</v>
      </c>
      <c r="K1467">
        <v>0</v>
      </c>
      <c r="L1467">
        <v>0</v>
      </c>
      <c r="M1467">
        <v>0</v>
      </c>
      <c r="N1467">
        <v>0</v>
      </c>
      <c r="O1467">
        <v>0</v>
      </c>
      <c r="P1467">
        <v>0</v>
      </c>
      <c r="Q1467" t="str">
        <f>INDEX('Partner data'!A:DH,MATCH(C1467,'Partner data'!DG:DG,0),83)</f>
        <v xml:space="preserve">Organismo di diritto pubblico </v>
      </c>
      <c r="R1467" t="b">
        <f>IF(E1467="staff",IF(INDEX('Partner data'!A:DH,MATCH(C1467,'Partner data'!DG:DG,0),112)="BL1 non presente","FALSO",INDEX('Partner data'!A:DH,MATCH(C1467,'Partner data'!DG:DG,0),112)))</f>
        <v>0</v>
      </c>
      <c r="S1467" t="b">
        <f t="shared" si="44"/>
        <v>0</v>
      </c>
      <c r="T1467" t="b">
        <f t="shared" si="45"/>
        <v>1</v>
      </c>
      <c r="U1467" s="154">
        <f>IFERROR(IF(R1467&lt;&gt;FALSE,IF(S1467=TRUE,INDEX('SummaryNOT_VALIDATED-BL'!$A$1:$F$16,MATCH(R1467,'SummaryNOT_VALIDATED-BL'!$A$1:$A$16,0),6),0),IF(S1467=TRUE,INDEX('SummaryNOT_VALIDATED-BL'!$A$1:$F$16,MATCH(E1467,'SummaryNOT_VALIDATED-BL'!$A$1:$A$16,0),6),0)),0)</f>
        <v>0</v>
      </c>
      <c r="V1467" s="81" cm="1">
        <f t="array" ref="V1467">INDEX('Weight tables'!$A$24:$C$27,MATCH(1,(RendicontiTrasmessiBL__2[[#This Row],[Cut percentage on real costs + USC]]&gt;='Weight tables'!$B$24:$B$27)*(RendicontiTrasmessiBL__2[[#This Row],[Cut percentage on real costs + USC]]&lt;='Weight tables'!$C$24:$C$27),0),1)</f>
        <v>0</v>
      </c>
      <c r="W1467" s="2">
        <f>RendicontiTrasmessiBL__2[[#This Row],[Weight real costs  + USC ]]</f>
        <v>0</v>
      </c>
    </row>
    <row r="1468" spans="1:23" x14ac:dyDescent="0.25">
      <c r="A1468" s="1" t="s">
        <v>63</v>
      </c>
      <c r="B1468" s="1" t="s">
        <v>37</v>
      </c>
      <c r="C1468" s="2">
        <v>288</v>
      </c>
      <c r="D1468" s="2">
        <v>266</v>
      </c>
      <c r="E1468" s="1" t="s">
        <v>237</v>
      </c>
      <c r="G1468">
        <v>0</v>
      </c>
      <c r="H1468">
        <v>0</v>
      </c>
      <c r="I1468">
        <v>0</v>
      </c>
      <c r="J1468">
        <v>0</v>
      </c>
      <c r="K1468">
        <v>0</v>
      </c>
      <c r="L1468">
        <v>0</v>
      </c>
      <c r="M1468">
        <v>0</v>
      </c>
      <c r="N1468">
        <v>0</v>
      </c>
      <c r="O1468">
        <v>0</v>
      </c>
      <c r="P1468">
        <v>0</v>
      </c>
      <c r="Q1468" t="str">
        <f>INDEX('Partner data'!A:DH,MATCH(C1468,'Partner data'!DG:DG,0),83)</f>
        <v xml:space="preserve">Organismo di diritto pubblico </v>
      </c>
      <c r="R1468" t="b">
        <f>IF(E1468="staff",IF(INDEX('Partner data'!A:DH,MATCH(C1468,'Partner data'!DG:DG,0),112)="BL1 non presente","FALSO",INDEX('Partner data'!A:DH,MATCH(C1468,'Partner data'!DG:DG,0),112)))</f>
        <v>0</v>
      </c>
      <c r="S1468" t="b">
        <f t="shared" si="44"/>
        <v>0</v>
      </c>
      <c r="T1468" t="b">
        <f t="shared" si="45"/>
        <v>1</v>
      </c>
      <c r="U1468" s="154">
        <f>IFERROR(IF(R1468&lt;&gt;FALSE,IF(S1468=TRUE,INDEX('SummaryNOT_VALIDATED-BL'!$A$1:$F$16,MATCH(R1468,'SummaryNOT_VALIDATED-BL'!$A$1:$A$16,0),6),0),IF(S1468=TRUE,INDEX('SummaryNOT_VALIDATED-BL'!$A$1:$F$16,MATCH(E1468,'SummaryNOT_VALIDATED-BL'!$A$1:$A$16,0),6),0)),0)</f>
        <v>0</v>
      </c>
      <c r="V1468" s="81" cm="1">
        <f t="array" ref="V1468">INDEX('Weight tables'!$A$24:$C$27,MATCH(1,(RendicontiTrasmessiBL__2[[#This Row],[Cut percentage on real costs + USC]]&gt;='Weight tables'!$B$24:$B$27)*(RendicontiTrasmessiBL__2[[#This Row],[Cut percentage on real costs + USC]]&lt;='Weight tables'!$C$24:$C$27),0),1)</f>
        <v>0</v>
      </c>
      <c r="W1468" s="2">
        <f>RendicontiTrasmessiBL__2[[#This Row],[Weight real costs  + USC ]]</f>
        <v>0</v>
      </c>
    </row>
    <row r="1469" spans="1:23" x14ac:dyDescent="0.25">
      <c r="A1469" s="1" t="s">
        <v>63</v>
      </c>
      <c r="B1469" s="1" t="s">
        <v>37</v>
      </c>
      <c r="C1469" s="2">
        <v>288</v>
      </c>
      <c r="D1469" s="2">
        <v>49</v>
      </c>
      <c r="E1469" s="1" t="s">
        <v>228</v>
      </c>
      <c r="G1469">
        <v>125064</v>
      </c>
      <c r="H1469">
        <v>0</v>
      </c>
      <c r="I1469">
        <v>0</v>
      </c>
      <c r="J1469">
        <v>6919.41</v>
      </c>
      <c r="K1469">
        <v>0</v>
      </c>
      <c r="L1469">
        <v>6919.41</v>
      </c>
      <c r="M1469">
        <v>6919.41</v>
      </c>
      <c r="N1469">
        <v>5.53</v>
      </c>
      <c r="O1469">
        <v>118144.59</v>
      </c>
      <c r="P1469">
        <v>0</v>
      </c>
      <c r="Q1469" t="str">
        <f>INDEX('Partner data'!A:DH,MATCH(C1469,'Partner data'!DG:DG,0),83)</f>
        <v xml:space="preserve">Organismo di diritto pubblico </v>
      </c>
      <c r="R1469" t="str">
        <f>IF(E1469="staff",IF(INDEX('Partner data'!A:DH,MATCH(C1469,'Partner data'!DG:DG,0),112)="BL1 non presente","FALSO",INDEX('Partner data'!A:DH,MATCH(C1469,'Partner data'!DG:DG,0),112)))</f>
        <v>COSTO REALE</v>
      </c>
      <c r="S1469" t="b">
        <f t="shared" si="44"/>
        <v>1</v>
      </c>
      <c r="T1469" t="b">
        <f t="shared" si="45"/>
        <v>1</v>
      </c>
      <c r="U1469" s="154">
        <f>IFERROR(IF(R1469&lt;&gt;FALSE,IF(S1469=TRUE,INDEX('SummaryNOT_VALIDATED-BL'!$A$1:$F$16,MATCH(R1469,'SummaryNOT_VALIDATED-BL'!$A$1:$A$16,0),6),0),IF(S1469=TRUE,INDEX('SummaryNOT_VALIDATED-BL'!$A$1:$F$16,MATCH(E1469,'SummaryNOT_VALIDATED-BL'!$A$1:$A$16,0),6),0)),0)</f>
        <v>9.1604133276901048E-2</v>
      </c>
      <c r="V1469" s="81" cm="1">
        <f t="array" ref="V1469">INDEX('Weight tables'!$A$24:$C$27,MATCH(1,(RendicontiTrasmessiBL__2[[#This Row],[Cut percentage on real costs + USC]]&gt;='Weight tables'!$B$24:$B$27)*(RendicontiTrasmessiBL__2[[#This Row],[Cut percentage on real costs + USC]]&lt;='Weight tables'!$C$24:$C$27),0),1)</f>
        <v>4</v>
      </c>
      <c r="W1469" s="2">
        <f>RendicontiTrasmessiBL__2[[#This Row],[Weight real costs  + USC ]]</f>
        <v>4</v>
      </c>
    </row>
    <row r="1470" spans="1:23" x14ac:dyDescent="0.25">
      <c r="A1470" s="1" t="s">
        <v>63</v>
      </c>
      <c r="B1470" s="1" t="s">
        <v>37</v>
      </c>
      <c r="C1470" s="2">
        <v>288</v>
      </c>
      <c r="D1470" s="2">
        <v>49</v>
      </c>
      <c r="E1470" s="1" t="s">
        <v>229</v>
      </c>
      <c r="G1470">
        <v>0</v>
      </c>
      <c r="H1470">
        <v>0</v>
      </c>
      <c r="I1470">
        <v>0</v>
      </c>
      <c r="J1470">
        <v>0</v>
      </c>
      <c r="K1470">
        <v>0</v>
      </c>
      <c r="L1470">
        <v>0</v>
      </c>
      <c r="M1470">
        <v>0</v>
      </c>
      <c r="N1470">
        <v>0</v>
      </c>
      <c r="O1470">
        <v>0</v>
      </c>
      <c r="P1470">
        <v>0</v>
      </c>
      <c r="Q1470" t="str">
        <f>INDEX('Partner data'!A:DH,MATCH(C1470,'Partner data'!DG:DG,0),83)</f>
        <v xml:space="preserve">Organismo di diritto pubblico </v>
      </c>
      <c r="R1470" t="b">
        <f>IF(E1470="staff",IF(INDEX('Partner data'!A:DH,MATCH(C1470,'Partner data'!DG:DG,0),112)="BL1 non presente","FALSO",INDEX('Partner data'!A:DH,MATCH(C1470,'Partner data'!DG:DG,0),112)))</f>
        <v>0</v>
      </c>
      <c r="S1470" t="b">
        <f t="shared" si="44"/>
        <v>0</v>
      </c>
      <c r="T1470" t="b">
        <f t="shared" si="45"/>
        <v>1</v>
      </c>
      <c r="U1470" s="154">
        <f>IFERROR(IF(R1470&lt;&gt;FALSE,IF(S1470=TRUE,INDEX('SummaryNOT_VALIDATED-BL'!$A$1:$F$16,MATCH(R1470,'SummaryNOT_VALIDATED-BL'!$A$1:$A$16,0),6),0),IF(S1470=TRUE,INDEX('SummaryNOT_VALIDATED-BL'!$A$1:$F$16,MATCH(E1470,'SummaryNOT_VALIDATED-BL'!$A$1:$A$16,0),6),0)),0)</f>
        <v>0</v>
      </c>
      <c r="V1470" s="81" cm="1">
        <f t="array" ref="V1470">INDEX('Weight tables'!$A$24:$C$27,MATCH(1,(RendicontiTrasmessiBL__2[[#This Row],[Cut percentage on real costs + USC]]&gt;='Weight tables'!$B$24:$B$27)*(RendicontiTrasmessiBL__2[[#This Row],[Cut percentage on real costs + USC]]&lt;='Weight tables'!$C$24:$C$27),0),1)</f>
        <v>0</v>
      </c>
      <c r="W1470" s="2">
        <f>RendicontiTrasmessiBL__2[[#This Row],[Weight real costs  + USC ]]</f>
        <v>0</v>
      </c>
    </row>
    <row r="1471" spans="1:23" x14ac:dyDescent="0.25">
      <c r="A1471" s="1" t="s">
        <v>63</v>
      </c>
      <c r="B1471" s="1" t="s">
        <v>37</v>
      </c>
      <c r="C1471" s="2">
        <v>288</v>
      </c>
      <c r="D1471" s="2">
        <v>49</v>
      </c>
      <c r="E1471" s="1" t="s">
        <v>230</v>
      </c>
      <c r="G1471">
        <v>0</v>
      </c>
      <c r="H1471">
        <v>0</v>
      </c>
      <c r="I1471">
        <v>0</v>
      </c>
      <c r="J1471">
        <v>0</v>
      </c>
      <c r="K1471">
        <v>0</v>
      </c>
      <c r="L1471">
        <v>0</v>
      </c>
      <c r="M1471">
        <v>0</v>
      </c>
      <c r="N1471">
        <v>0</v>
      </c>
      <c r="O1471">
        <v>0</v>
      </c>
      <c r="P1471">
        <v>0</v>
      </c>
      <c r="Q1471" t="str">
        <f>INDEX('Partner data'!A:DH,MATCH(C1471,'Partner data'!DG:DG,0),83)</f>
        <v xml:space="preserve">Organismo di diritto pubblico </v>
      </c>
      <c r="R1471" t="b">
        <f>IF(E1471="staff",IF(INDEX('Partner data'!A:DH,MATCH(C1471,'Partner data'!DG:DG,0),112)="BL1 non presente","FALSO",INDEX('Partner data'!A:DH,MATCH(C1471,'Partner data'!DG:DG,0),112)))</f>
        <v>0</v>
      </c>
      <c r="S1471" t="b">
        <f t="shared" si="44"/>
        <v>0</v>
      </c>
      <c r="T1471" t="b">
        <f t="shared" si="45"/>
        <v>1</v>
      </c>
      <c r="U1471" s="154">
        <f>IFERROR(IF(R1471&lt;&gt;FALSE,IF(S1471=TRUE,INDEX('SummaryNOT_VALIDATED-BL'!$A$1:$F$16,MATCH(R1471,'SummaryNOT_VALIDATED-BL'!$A$1:$A$16,0),6),0),IF(S1471=TRUE,INDEX('SummaryNOT_VALIDATED-BL'!$A$1:$F$16,MATCH(E1471,'SummaryNOT_VALIDATED-BL'!$A$1:$A$16,0),6),0)),0)</f>
        <v>0</v>
      </c>
      <c r="V1471" s="81" cm="1">
        <f t="array" ref="V1471">INDEX('Weight tables'!$A$24:$C$27,MATCH(1,(RendicontiTrasmessiBL__2[[#This Row],[Cut percentage on real costs + USC]]&gt;='Weight tables'!$B$24:$B$27)*(RendicontiTrasmessiBL__2[[#This Row],[Cut percentage on real costs + USC]]&lt;='Weight tables'!$C$24:$C$27),0),1)</f>
        <v>0</v>
      </c>
      <c r="W1471" s="2">
        <f>RendicontiTrasmessiBL__2[[#This Row],[Weight real costs  + USC ]]</f>
        <v>0</v>
      </c>
    </row>
    <row r="1472" spans="1:23" x14ac:dyDescent="0.25">
      <c r="A1472" s="1" t="s">
        <v>63</v>
      </c>
      <c r="B1472" s="1" t="s">
        <v>37</v>
      </c>
      <c r="C1472" s="2">
        <v>288</v>
      </c>
      <c r="D1472" s="2">
        <v>49</v>
      </c>
      <c r="E1472" s="1" t="s">
        <v>231</v>
      </c>
      <c r="G1472">
        <v>0</v>
      </c>
      <c r="H1472">
        <v>0</v>
      </c>
      <c r="I1472">
        <v>0</v>
      </c>
      <c r="J1472">
        <v>0</v>
      </c>
      <c r="K1472">
        <v>0</v>
      </c>
      <c r="L1472">
        <v>0</v>
      </c>
      <c r="M1472">
        <v>0</v>
      </c>
      <c r="N1472">
        <v>0</v>
      </c>
      <c r="O1472">
        <v>0</v>
      </c>
      <c r="P1472">
        <v>0</v>
      </c>
      <c r="Q1472" t="str">
        <f>INDEX('Partner data'!A:DH,MATCH(C1472,'Partner data'!DG:DG,0),83)</f>
        <v xml:space="preserve">Organismo di diritto pubblico </v>
      </c>
      <c r="R1472" t="b">
        <f>IF(E1472="staff",IF(INDEX('Partner data'!A:DH,MATCH(C1472,'Partner data'!DG:DG,0),112)="BL1 non presente","FALSO",INDEX('Partner data'!A:DH,MATCH(C1472,'Partner data'!DG:DG,0),112)))</f>
        <v>0</v>
      </c>
      <c r="S1472" t="b">
        <f t="shared" si="44"/>
        <v>0</v>
      </c>
      <c r="T1472" t="b">
        <f t="shared" si="45"/>
        <v>1</v>
      </c>
      <c r="U1472" s="154">
        <f>IFERROR(IF(R1472&lt;&gt;FALSE,IF(S1472=TRUE,INDEX('SummaryNOT_VALIDATED-BL'!$A$1:$F$16,MATCH(R1472,'SummaryNOT_VALIDATED-BL'!$A$1:$A$16,0),6),0),IF(S1472=TRUE,INDEX('SummaryNOT_VALIDATED-BL'!$A$1:$F$16,MATCH(E1472,'SummaryNOT_VALIDATED-BL'!$A$1:$A$16,0),6),0)),0)</f>
        <v>0</v>
      </c>
      <c r="V1472" s="81" cm="1">
        <f t="array" ref="V1472">INDEX('Weight tables'!$A$24:$C$27,MATCH(1,(RendicontiTrasmessiBL__2[[#This Row],[Cut percentage on real costs + USC]]&gt;='Weight tables'!$B$24:$B$27)*(RendicontiTrasmessiBL__2[[#This Row],[Cut percentage on real costs + USC]]&lt;='Weight tables'!$C$24:$C$27),0),1)</f>
        <v>0</v>
      </c>
      <c r="W1472" s="2">
        <f>RendicontiTrasmessiBL__2[[#This Row],[Weight real costs  + USC ]]</f>
        <v>0</v>
      </c>
    </row>
    <row r="1473" spans="1:23" x14ac:dyDescent="0.25">
      <c r="A1473" s="1" t="s">
        <v>63</v>
      </c>
      <c r="B1473" s="1" t="s">
        <v>37</v>
      </c>
      <c r="C1473" s="2">
        <v>288</v>
      </c>
      <c r="D1473" s="2">
        <v>49</v>
      </c>
      <c r="E1473" s="1" t="s">
        <v>232</v>
      </c>
      <c r="G1473">
        <v>0</v>
      </c>
      <c r="H1473">
        <v>0</v>
      </c>
      <c r="I1473">
        <v>0</v>
      </c>
      <c r="J1473">
        <v>0</v>
      </c>
      <c r="K1473">
        <v>0</v>
      </c>
      <c r="L1473">
        <v>0</v>
      </c>
      <c r="M1473">
        <v>0</v>
      </c>
      <c r="N1473">
        <v>0</v>
      </c>
      <c r="O1473">
        <v>0</v>
      </c>
      <c r="P1473">
        <v>0</v>
      </c>
      <c r="Q1473" t="str">
        <f>INDEX('Partner data'!A:DH,MATCH(C1473,'Partner data'!DG:DG,0),83)</f>
        <v xml:space="preserve">Organismo di diritto pubblico </v>
      </c>
      <c r="R1473" t="b">
        <f>IF(E1473="staff",IF(INDEX('Partner data'!A:DH,MATCH(C1473,'Partner data'!DG:DG,0),112)="BL1 non presente","FALSO",INDEX('Partner data'!A:DH,MATCH(C1473,'Partner data'!DG:DG,0),112)))</f>
        <v>0</v>
      </c>
      <c r="S1473" t="b">
        <f t="shared" si="44"/>
        <v>0</v>
      </c>
      <c r="T1473" t="b">
        <f t="shared" si="45"/>
        <v>1</v>
      </c>
      <c r="U1473" s="154">
        <f>IFERROR(IF(R1473&lt;&gt;FALSE,IF(S1473=TRUE,INDEX('SummaryNOT_VALIDATED-BL'!$A$1:$F$16,MATCH(R1473,'SummaryNOT_VALIDATED-BL'!$A$1:$A$16,0),6),0),IF(S1473=TRUE,INDEX('SummaryNOT_VALIDATED-BL'!$A$1:$F$16,MATCH(E1473,'SummaryNOT_VALIDATED-BL'!$A$1:$A$16,0),6),0)),0)</f>
        <v>0</v>
      </c>
      <c r="V1473" s="81" cm="1">
        <f t="array" ref="V1473">INDEX('Weight tables'!$A$24:$C$27,MATCH(1,(RendicontiTrasmessiBL__2[[#This Row],[Cut percentage on real costs + USC]]&gt;='Weight tables'!$B$24:$B$27)*(RendicontiTrasmessiBL__2[[#This Row],[Cut percentage on real costs + USC]]&lt;='Weight tables'!$C$24:$C$27),0),1)</f>
        <v>0</v>
      </c>
      <c r="W1473" s="2">
        <f>RendicontiTrasmessiBL__2[[#This Row],[Weight real costs  + USC ]]</f>
        <v>0</v>
      </c>
    </row>
    <row r="1474" spans="1:23" x14ac:dyDescent="0.25">
      <c r="A1474" s="1" t="s">
        <v>63</v>
      </c>
      <c r="B1474" s="1" t="s">
        <v>37</v>
      </c>
      <c r="C1474" s="2">
        <v>288</v>
      </c>
      <c r="D1474" s="2">
        <v>49</v>
      </c>
      <c r="E1474" s="1" t="s">
        <v>233</v>
      </c>
      <c r="G1474">
        <v>0</v>
      </c>
      <c r="H1474">
        <v>0</v>
      </c>
      <c r="I1474">
        <v>0</v>
      </c>
      <c r="J1474">
        <v>0</v>
      </c>
      <c r="K1474">
        <v>0</v>
      </c>
      <c r="L1474">
        <v>0</v>
      </c>
      <c r="M1474">
        <v>0</v>
      </c>
      <c r="N1474">
        <v>0</v>
      </c>
      <c r="O1474">
        <v>0</v>
      </c>
      <c r="P1474">
        <v>0</v>
      </c>
      <c r="Q1474" t="str">
        <f>INDEX('Partner data'!A:DH,MATCH(C1474,'Partner data'!DG:DG,0),83)</f>
        <v xml:space="preserve">Organismo di diritto pubblico </v>
      </c>
      <c r="R1474" t="b">
        <f>IF(E1474="staff",IF(INDEX('Partner data'!A:DH,MATCH(C1474,'Partner data'!DG:DG,0),112)="BL1 non presente","FALSO",INDEX('Partner data'!A:DH,MATCH(C1474,'Partner data'!DG:DG,0),112)))</f>
        <v>0</v>
      </c>
      <c r="S1474" t="b">
        <f t="shared" ref="S1474:S1537" si="46">IF(J1474&lt;&gt;0,TRUE,FALSE)</f>
        <v>0</v>
      </c>
      <c r="T1474" t="b">
        <f t="shared" ref="T1474:T1537" si="47">OR(Q1474="Soggetto pubblico",Q1474="Organismo di diritto pubblico ")</f>
        <v>1</v>
      </c>
      <c r="U1474" s="154">
        <f>IFERROR(IF(R1474&lt;&gt;FALSE,IF(S1474=TRUE,INDEX('SummaryNOT_VALIDATED-BL'!$A$1:$F$16,MATCH(R1474,'SummaryNOT_VALIDATED-BL'!$A$1:$A$16,0),6),0),IF(S1474=TRUE,INDEX('SummaryNOT_VALIDATED-BL'!$A$1:$F$16,MATCH(E1474,'SummaryNOT_VALIDATED-BL'!$A$1:$A$16,0),6),0)),0)</f>
        <v>0</v>
      </c>
      <c r="V1474" s="81" cm="1">
        <f t="array" ref="V1474">INDEX('Weight tables'!$A$24:$C$27,MATCH(1,(RendicontiTrasmessiBL__2[[#This Row],[Cut percentage on real costs + USC]]&gt;='Weight tables'!$B$24:$B$27)*(RendicontiTrasmessiBL__2[[#This Row],[Cut percentage on real costs + USC]]&lt;='Weight tables'!$C$24:$C$27),0),1)</f>
        <v>0</v>
      </c>
      <c r="W1474" s="2">
        <f>RendicontiTrasmessiBL__2[[#This Row],[Weight real costs  + USC ]]</f>
        <v>0</v>
      </c>
    </row>
    <row r="1475" spans="1:23" x14ac:dyDescent="0.25">
      <c r="A1475" s="1" t="s">
        <v>63</v>
      </c>
      <c r="B1475" s="1" t="s">
        <v>37</v>
      </c>
      <c r="C1475" s="2">
        <v>288</v>
      </c>
      <c r="D1475" s="2">
        <v>49</v>
      </c>
      <c r="E1475" s="1" t="s">
        <v>234</v>
      </c>
      <c r="F1475">
        <v>40</v>
      </c>
      <c r="G1475">
        <v>50025.599999999999</v>
      </c>
      <c r="H1475">
        <v>0</v>
      </c>
      <c r="I1475">
        <v>0</v>
      </c>
      <c r="J1475">
        <v>2767.76</v>
      </c>
      <c r="K1475">
        <v>0</v>
      </c>
      <c r="L1475">
        <v>2767.76</v>
      </c>
      <c r="M1475">
        <v>2767.76</v>
      </c>
      <c r="N1475">
        <v>5.53</v>
      </c>
      <c r="O1475">
        <v>47257.84</v>
      </c>
      <c r="P1475">
        <v>0</v>
      </c>
      <c r="Q1475" t="str">
        <f>INDEX('Partner data'!A:DH,MATCH(C1475,'Partner data'!DG:DG,0),83)</f>
        <v xml:space="preserve">Organismo di diritto pubblico </v>
      </c>
      <c r="R1475" t="b">
        <f>IF(E1475="staff",IF(INDEX('Partner data'!A:DH,MATCH(C1475,'Partner data'!DG:DG,0),112)="BL1 non presente","FALSO",INDEX('Partner data'!A:DH,MATCH(C1475,'Partner data'!DG:DG,0),112)))</f>
        <v>0</v>
      </c>
      <c r="S1475" t="b">
        <f t="shared" si="46"/>
        <v>1</v>
      </c>
      <c r="T1475" t="b">
        <f t="shared" si="47"/>
        <v>1</v>
      </c>
      <c r="U1475" s="154">
        <f>IFERROR(IF(R1475&lt;&gt;FALSE,IF(S1475=TRUE,INDEX('SummaryNOT_VALIDATED-BL'!$A$1:$F$16,MATCH(R1475,'SummaryNOT_VALIDATED-BL'!$A$1:$A$16,0),6),0),IF(S1475=TRUE,INDEX('SummaryNOT_VALIDATED-BL'!$A$1:$F$16,MATCH(E1475,'SummaryNOT_VALIDATED-BL'!$A$1:$A$16,0),6),0)),0)</f>
        <v>8.7645339819521315E-2</v>
      </c>
      <c r="V1475" s="81" cm="1">
        <f t="array" ref="V1475">INDEX('Weight tables'!$A$24:$C$27,MATCH(1,(RendicontiTrasmessiBL__2[[#This Row],[Cut percentage on real costs + USC]]&gt;='Weight tables'!$B$24:$B$27)*(RendicontiTrasmessiBL__2[[#This Row],[Cut percentage on real costs + USC]]&lt;='Weight tables'!$C$24:$C$27),0),1)</f>
        <v>4</v>
      </c>
      <c r="W1475" s="2">
        <f>RendicontiTrasmessiBL__2[[#This Row],[Weight real costs  + USC ]]</f>
        <v>4</v>
      </c>
    </row>
    <row r="1476" spans="1:23" x14ac:dyDescent="0.25">
      <c r="A1476" s="1" t="s">
        <v>63</v>
      </c>
      <c r="B1476" s="1" t="s">
        <v>37</v>
      </c>
      <c r="C1476" s="2">
        <v>288</v>
      </c>
      <c r="D1476" s="2">
        <v>49</v>
      </c>
      <c r="E1476" s="1" t="s">
        <v>236</v>
      </c>
      <c r="G1476">
        <v>0</v>
      </c>
      <c r="H1476">
        <v>0</v>
      </c>
      <c r="I1476">
        <v>0</v>
      </c>
      <c r="J1476">
        <v>0</v>
      </c>
      <c r="K1476">
        <v>0</v>
      </c>
      <c r="L1476">
        <v>0</v>
      </c>
      <c r="M1476">
        <v>0</v>
      </c>
      <c r="N1476">
        <v>0</v>
      </c>
      <c r="O1476">
        <v>0</v>
      </c>
      <c r="P1476">
        <v>0</v>
      </c>
      <c r="Q1476" t="str">
        <f>INDEX('Partner data'!A:DH,MATCH(C1476,'Partner data'!DG:DG,0),83)</f>
        <v xml:space="preserve">Organismo di diritto pubblico </v>
      </c>
      <c r="R1476" t="b">
        <f>IF(E1476="staff",IF(INDEX('Partner data'!A:DH,MATCH(C1476,'Partner data'!DG:DG,0),112)="BL1 non presente","FALSO",INDEX('Partner data'!A:DH,MATCH(C1476,'Partner data'!DG:DG,0),112)))</f>
        <v>0</v>
      </c>
      <c r="S1476" t="b">
        <f t="shared" si="46"/>
        <v>0</v>
      </c>
      <c r="T1476" t="b">
        <f t="shared" si="47"/>
        <v>1</v>
      </c>
      <c r="U1476" s="154">
        <f>IFERROR(IF(R1476&lt;&gt;FALSE,IF(S1476=TRUE,INDEX('SummaryNOT_VALIDATED-BL'!$A$1:$F$16,MATCH(R1476,'SummaryNOT_VALIDATED-BL'!$A$1:$A$16,0),6),0),IF(S1476=TRUE,INDEX('SummaryNOT_VALIDATED-BL'!$A$1:$F$16,MATCH(E1476,'SummaryNOT_VALIDATED-BL'!$A$1:$A$16,0),6),0)),0)</f>
        <v>0</v>
      </c>
      <c r="V1476" s="81" cm="1">
        <f t="array" ref="V1476">INDEX('Weight tables'!$A$24:$C$27,MATCH(1,(RendicontiTrasmessiBL__2[[#This Row],[Cut percentage on real costs + USC]]&gt;='Weight tables'!$B$24:$B$27)*(RendicontiTrasmessiBL__2[[#This Row],[Cut percentage on real costs + USC]]&lt;='Weight tables'!$C$24:$C$27),0),1)</f>
        <v>0</v>
      </c>
      <c r="W1476" s="2">
        <f>RendicontiTrasmessiBL__2[[#This Row],[Weight real costs  + USC ]]</f>
        <v>0</v>
      </c>
    </row>
    <row r="1477" spans="1:23" x14ac:dyDescent="0.25">
      <c r="A1477" s="1" t="s">
        <v>63</v>
      </c>
      <c r="B1477" s="1" t="s">
        <v>37</v>
      </c>
      <c r="C1477" s="2">
        <v>288</v>
      </c>
      <c r="D1477" s="2">
        <v>49</v>
      </c>
      <c r="E1477" s="1" t="s">
        <v>237</v>
      </c>
      <c r="G1477">
        <v>0</v>
      </c>
      <c r="H1477">
        <v>0</v>
      </c>
      <c r="I1477">
        <v>0</v>
      </c>
      <c r="J1477">
        <v>0</v>
      </c>
      <c r="K1477">
        <v>0</v>
      </c>
      <c r="L1477">
        <v>0</v>
      </c>
      <c r="M1477">
        <v>0</v>
      </c>
      <c r="N1477">
        <v>0</v>
      </c>
      <c r="O1477">
        <v>0</v>
      </c>
      <c r="P1477">
        <v>0</v>
      </c>
      <c r="Q1477" t="str">
        <f>INDEX('Partner data'!A:DH,MATCH(C1477,'Partner data'!DG:DG,0),83)</f>
        <v xml:space="preserve">Organismo di diritto pubblico </v>
      </c>
      <c r="R1477" t="b">
        <f>IF(E1477="staff",IF(INDEX('Partner data'!A:DH,MATCH(C1477,'Partner data'!DG:DG,0),112)="BL1 non presente","FALSO",INDEX('Partner data'!A:DH,MATCH(C1477,'Partner data'!DG:DG,0),112)))</f>
        <v>0</v>
      </c>
      <c r="S1477" t="b">
        <f t="shared" si="46"/>
        <v>0</v>
      </c>
      <c r="T1477" t="b">
        <f t="shared" si="47"/>
        <v>1</v>
      </c>
      <c r="U1477" s="154">
        <f>IFERROR(IF(R1477&lt;&gt;FALSE,IF(S1477=TRUE,INDEX('SummaryNOT_VALIDATED-BL'!$A$1:$F$16,MATCH(R1477,'SummaryNOT_VALIDATED-BL'!$A$1:$A$16,0),6),0),IF(S1477=TRUE,INDEX('SummaryNOT_VALIDATED-BL'!$A$1:$F$16,MATCH(E1477,'SummaryNOT_VALIDATED-BL'!$A$1:$A$16,0),6),0)),0)</f>
        <v>0</v>
      </c>
      <c r="V1477" s="81" cm="1">
        <f t="array" ref="V1477">INDEX('Weight tables'!$A$24:$C$27,MATCH(1,(RendicontiTrasmessiBL__2[[#This Row],[Cut percentage on real costs + USC]]&gt;='Weight tables'!$B$24:$B$27)*(RendicontiTrasmessiBL__2[[#This Row],[Cut percentage on real costs + USC]]&lt;='Weight tables'!$C$24:$C$27),0),1)</f>
        <v>0</v>
      </c>
      <c r="W1477" s="2">
        <f>RendicontiTrasmessiBL__2[[#This Row],[Weight real costs  + USC ]]</f>
        <v>0</v>
      </c>
    </row>
    <row r="1478" spans="1:23" x14ac:dyDescent="0.25">
      <c r="A1478" s="1" t="s">
        <v>63</v>
      </c>
      <c r="B1478" s="1" t="s">
        <v>4548</v>
      </c>
      <c r="C1478" s="2">
        <v>286</v>
      </c>
      <c r="D1478" s="2">
        <v>45</v>
      </c>
      <c r="E1478" s="1" t="s">
        <v>228</v>
      </c>
      <c r="G1478">
        <v>0</v>
      </c>
      <c r="H1478">
        <v>0</v>
      </c>
      <c r="I1478">
        <v>0</v>
      </c>
      <c r="J1478">
        <v>0</v>
      </c>
      <c r="K1478">
        <v>0</v>
      </c>
      <c r="L1478">
        <v>0</v>
      </c>
      <c r="M1478">
        <v>0</v>
      </c>
      <c r="N1478">
        <v>0</v>
      </c>
      <c r="O1478">
        <v>0</v>
      </c>
      <c r="P1478">
        <v>0</v>
      </c>
      <c r="Q1478" t="str">
        <f>INDEX('Partner data'!A:DH,MATCH(C1478,'Partner data'!DG:DG,0),83)</f>
        <v>Soggetto pubblico</v>
      </c>
      <c r="R1478" t="str">
        <f>IF(E1478="staff",IF(INDEX('Partner data'!A:DH,MATCH(C1478,'Partner data'!DG:DG,0),112)="BL1 non presente","FALSO",INDEX('Partner data'!A:DH,MATCH(C1478,'Partner data'!DG:DG,0),112)))</f>
        <v>FALSO</v>
      </c>
      <c r="S1478" t="b">
        <f t="shared" si="46"/>
        <v>0</v>
      </c>
      <c r="T1478" t="b">
        <f t="shared" si="47"/>
        <v>1</v>
      </c>
      <c r="U1478" s="154">
        <f>IFERROR(IF(R1478&lt;&gt;FALSE,IF(S1478=TRUE,INDEX('SummaryNOT_VALIDATED-BL'!$A$1:$F$16,MATCH(R1478,'SummaryNOT_VALIDATED-BL'!$A$1:$A$16,0),6),0),IF(S1478=TRUE,INDEX('SummaryNOT_VALIDATED-BL'!$A$1:$F$16,MATCH(E1478,'SummaryNOT_VALIDATED-BL'!$A$1:$A$16,0),6),0)),0)</f>
        <v>0</v>
      </c>
      <c r="V1478" s="81" cm="1">
        <f t="array" ref="V1478">INDEX('Weight tables'!$A$24:$C$27,MATCH(1,(RendicontiTrasmessiBL__2[[#This Row],[Cut percentage on real costs + USC]]&gt;='Weight tables'!$B$24:$B$27)*(RendicontiTrasmessiBL__2[[#This Row],[Cut percentage on real costs + USC]]&lt;='Weight tables'!$C$24:$C$27),0),1)</f>
        <v>0</v>
      </c>
      <c r="W1478" s="2">
        <f>RendicontiTrasmessiBL__2[[#This Row],[Weight real costs  + USC ]]</f>
        <v>0</v>
      </c>
    </row>
    <row r="1479" spans="1:23" x14ac:dyDescent="0.25">
      <c r="A1479" s="1" t="s">
        <v>63</v>
      </c>
      <c r="B1479" s="1" t="s">
        <v>4548</v>
      </c>
      <c r="C1479" s="2">
        <v>286</v>
      </c>
      <c r="D1479" s="2">
        <v>45</v>
      </c>
      <c r="E1479" s="1" t="s">
        <v>229</v>
      </c>
      <c r="G1479">
        <v>0</v>
      </c>
      <c r="H1479">
        <v>0</v>
      </c>
      <c r="I1479">
        <v>0</v>
      </c>
      <c r="J1479">
        <v>0</v>
      </c>
      <c r="K1479">
        <v>0</v>
      </c>
      <c r="L1479">
        <v>0</v>
      </c>
      <c r="M1479">
        <v>0</v>
      </c>
      <c r="N1479">
        <v>0</v>
      </c>
      <c r="O1479">
        <v>0</v>
      </c>
      <c r="P1479">
        <v>0</v>
      </c>
      <c r="Q1479" t="str">
        <f>INDEX('Partner data'!A:DH,MATCH(C1479,'Partner data'!DG:DG,0),83)</f>
        <v>Soggetto pubblico</v>
      </c>
      <c r="R1479" t="b">
        <f>IF(E1479="staff",IF(INDEX('Partner data'!A:DH,MATCH(C1479,'Partner data'!DG:DG,0),112)="BL1 non presente","FALSO",INDEX('Partner data'!A:DH,MATCH(C1479,'Partner data'!DG:DG,0),112)))</f>
        <v>0</v>
      </c>
      <c r="S1479" t="b">
        <f t="shared" si="46"/>
        <v>0</v>
      </c>
      <c r="T1479" t="b">
        <f t="shared" si="47"/>
        <v>1</v>
      </c>
      <c r="U1479" s="154">
        <f>IFERROR(IF(R1479&lt;&gt;FALSE,IF(S1479=TRUE,INDEX('SummaryNOT_VALIDATED-BL'!$A$1:$F$16,MATCH(R1479,'SummaryNOT_VALIDATED-BL'!$A$1:$A$16,0),6),0),IF(S1479=TRUE,INDEX('SummaryNOT_VALIDATED-BL'!$A$1:$F$16,MATCH(E1479,'SummaryNOT_VALIDATED-BL'!$A$1:$A$16,0),6),0)),0)</f>
        <v>0</v>
      </c>
      <c r="V1479" s="81" cm="1">
        <f t="array" ref="V1479">INDEX('Weight tables'!$A$24:$C$27,MATCH(1,(RendicontiTrasmessiBL__2[[#This Row],[Cut percentage on real costs + USC]]&gt;='Weight tables'!$B$24:$B$27)*(RendicontiTrasmessiBL__2[[#This Row],[Cut percentage on real costs + USC]]&lt;='Weight tables'!$C$24:$C$27),0),1)</f>
        <v>0</v>
      </c>
      <c r="W1479" s="2">
        <f>RendicontiTrasmessiBL__2[[#This Row],[Weight real costs  + USC ]]</f>
        <v>0</v>
      </c>
    </row>
    <row r="1480" spans="1:23" x14ac:dyDescent="0.25">
      <c r="A1480" s="1" t="s">
        <v>63</v>
      </c>
      <c r="B1480" s="1" t="s">
        <v>4548</v>
      </c>
      <c r="C1480" s="2">
        <v>286</v>
      </c>
      <c r="D1480" s="2">
        <v>45</v>
      </c>
      <c r="E1480" s="1" t="s">
        <v>230</v>
      </c>
      <c r="G1480">
        <v>0</v>
      </c>
      <c r="H1480">
        <v>0</v>
      </c>
      <c r="I1480">
        <v>0</v>
      </c>
      <c r="J1480">
        <v>0</v>
      </c>
      <c r="K1480">
        <v>0</v>
      </c>
      <c r="L1480">
        <v>0</v>
      </c>
      <c r="M1480">
        <v>0</v>
      </c>
      <c r="N1480">
        <v>0</v>
      </c>
      <c r="O1480">
        <v>0</v>
      </c>
      <c r="P1480">
        <v>0</v>
      </c>
      <c r="Q1480" t="str">
        <f>INDEX('Partner data'!A:DH,MATCH(C1480,'Partner data'!DG:DG,0),83)</f>
        <v>Soggetto pubblico</v>
      </c>
      <c r="R1480" t="b">
        <f>IF(E1480="staff",IF(INDEX('Partner data'!A:DH,MATCH(C1480,'Partner data'!DG:DG,0),112)="BL1 non presente","FALSO",INDEX('Partner data'!A:DH,MATCH(C1480,'Partner data'!DG:DG,0),112)))</f>
        <v>0</v>
      </c>
      <c r="S1480" t="b">
        <f t="shared" si="46"/>
        <v>0</v>
      </c>
      <c r="T1480" t="b">
        <f t="shared" si="47"/>
        <v>1</v>
      </c>
      <c r="U1480" s="154">
        <f>IFERROR(IF(R1480&lt;&gt;FALSE,IF(S1480=TRUE,INDEX('SummaryNOT_VALIDATED-BL'!$A$1:$F$16,MATCH(R1480,'SummaryNOT_VALIDATED-BL'!$A$1:$A$16,0),6),0),IF(S1480=TRUE,INDEX('SummaryNOT_VALIDATED-BL'!$A$1:$F$16,MATCH(E1480,'SummaryNOT_VALIDATED-BL'!$A$1:$A$16,0),6),0)),0)</f>
        <v>0</v>
      </c>
      <c r="V1480" s="81" cm="1">
        <f t="array" ref="V1480">INDEX('Weight tables'!$A$24:$C$27,MATCH(1,(RendicontiTrasmessiBL__2[[#This Row],[Cut percentage on real costs + USC]]&gt;='Weight tables'!$B$24:$B$27)*(RendicontiTrasmessiBL__2[[#This Row],[Cut percentage on real costs + USC]]&lt;='Weight tables'!$C$24:$C$27),0),1)</f>
        <v>0</v>
      </c>
      <c r="W1480" s="2">
        <f>RendicontiTrasmessiBL__2[[#This Row],[Weight real costs  + USC ]]</f>
        <v>0</v>
      </c>
    </row>
    <row r="1481" spans="1:23" x14ac:dyDescent="0.25">
      <c r="A1481" s="1" t="s">
        <v>63</v>
      </c>
      <c r="B1481" s="1" t="s">
        <v>4548</v>
      </c>
      <c r="C1481" s="2">
        <v>286</v>
      </c>
      <c r="D1481" s="2">
        <v>45</v>
      </c>
      <c r="E1481" s="1" t="s">
        <v>231</v>
      </c>
      <c r="G1481">
        <v>55000</v>
      </c>
      <c r="H1481">
        <v>0</v>
      </c>
      <c r="I1481">
        <v>0</v>
      </c>
      <c r="J1481">
        <v>0</v>
      </c>
      <c r="K1481">
        <v>0</v>
      </c>
      <c r="L1481">
        <v>0</v>
      </c>
      <c r="M1481">
        <v>0</v>
      </c>
      <c r="N1481">
        <v>0</v>
      </c>
      <c r="O1481">
        <v>55000</v>
      </c>
      <c r="P1481">
        <v>0</v>
      </c>
      <c r="Q1481" t="str">
        <f>INDEX('Partner data'!A:DH,MATCH(C1481,'Partner data'!DG:DG,0),83)</f>
        <v>Soggetto pubblico</v>
      </c>
      <c r="R1481" t="b">
        <f>IF(E1481="staff",IF(INDEX('Partner data'!A:DH,MATCH(C1481,'Partner data'!DG:DG,0),112)="BL1 non presente","FALSO",INDEX('Partner data'!A:DH,MATCH(C1481,'Partner data'!DG:DG,0),112)))</f>
        <v>0</v>
      </c>
      <c r="S1481" t="b">
        <f t="shared" si="46"/>
        <v>0</v>
      </c>
      <c r="T1481" t="b">
        <f t="shared" si="47"/>
        <v>1</v>
      </c>
      <c r="U1481" s="154">
        <f>IFERROR(IF(R1481&lt;&gt;FALSE,IF(S1481=TRUE,INDEX('SummaryNOT_VALIDATED-BL'!$A$1:$F$16,MATCH(R1481,'SummaryNOT_VALIDATED-BL'!$A$1:$A$16,0),6),0),IF(S1481=TRUE,INDEX('SummaryNOT_VALIDATED-BL'!$A$1:$F$16,MATCH(E1481,'SummaryNOT_VALIDATED-BL'!$A$1:$A$16,0),6),0)),0)</f>
        <v>0</v>
      </c>
      <c r="V1481" s="81" cm="1">
        <f t="array" ref="V1481">INDEX('Weight tables'!$A$24:$C$27,MATCH(1,(RendicontiTrasmessiBL__2[[#This Row],[Cut percentage on real costs + USC]]&gt;='Weight tables'!$B$24:$B$27)*(RendicontiTrasmessiBL__2[[#This Row],[Cut percentage on real costs + USC]]&lt;='Weight tables'!$C$24:$C$27),0),1)</f>
        <v>0</v>
      </c>
      <c r="W1481" s="2">
        <f>RendicontiTrasmessiBL__2[[#This Row],[Weight real costs  + USC ]]</f>
        <v>0</v>
      </c>
    </row>
    <row r="1482" spans="1:23" x14ac:dyDescent="0.25">
      <c r="A1482" s="1" t="s">
        <v>63</v>
      </c>
      <c r="B1482" s="1" t="s">
        <v>4548</v>
      </c>
      <c r="C1482" s="2">
        <v>286</v>
      </c>
      <c r="D1482" s="2">
        <v>45</v>
      </c>
      <c r="E1482" s="1" t="s">
        <v>232</v>
      </c>
      <c r="G1482">
        <v>0</v>
      </c>
      <c r="H1482">
        <v>0</v>
      </c>
      <c r="I1482">
        <v>0</v>
      </c>
      <c r="J1482">
        <v>0</v>
      </c>
      <c r="K1482">
        <v>0</v>
      </c>
      <c r="L1482">
        <v>0</v>
      </c>
      <c r="M1482">
        <v>0</v>
      </c>
      <c r="N1482">
        <v>0</v>
      </c>
      <c r="O1482">
        <v>0</v>
      </c>
      <c r="P1482">
        <v>0</v>
      </c>
      <c r="Q1482" t="str">
        <f>INDEX('Partner data'!A:DH,MATCH(C1482,'Partner data'!DG:DG,0),83)</f>
        <v>Soggetto pubblico</v>
      </c>
      <c r="R1482" t="b">
        <f>IF(E1482="staff",IF(INDEX('Partner data'!A:DH,MATCH(C1482,'Partner data'!DG:DG,0),112)="BL1 non presente","FALSO",INDEX('Partner data'!A:DH,MATCH(C1482,'Partner data'!DG:DG,0),112)))</f>
        <v>0</v>
      </c>
      <c r="S1482" t="b">
        <f t="shared" si="46"/>
        <v>0</v>
      </c>
      <c r="T1482" t="b">
        <f t="shared" si="47"/>
        <v>1</v>
      </c>
      <c r="U1482" s="154">
        <f>IFERROR(IF(R1482&lt;&gt;FALSE,IF(S1482=TRUE,INDEX('SummaryNOT_VALIDATED-BL'!$A$1:$F$16,MATCH(R1482,'SummaryNOT_VALIDATED-BL'!$A$1:$A$16,0),6),0),IF(S1482=TRUE,INDEX('SummaryNOT_VALIDATED-BL'!$A$1:$F$16,MATCH(E1482,'SummaryNOT_VALIDATED-BL'!$A$1:$A$16,0),6),0)),0)</f>
        <v>0</v>
      </c>
      <c r="V1482" s="81" cm="1">
        <f t="array" ref="V1482">INDEX('Weight tables'!$A$24:$C$27,MATCH(1,(RendicontiTrasmessiBL__2[[#This Row],[Cut percentage on real costs + USC]]&gt;='Weight tables'!$B$24:$B$27)*(RendicontiTrasmessiBL__2[[#This Row],[Cut percentage on real costs + USC]]&lt;='Weight tables'!$C$24:$C$27),0),1)</f>
        <v>0</v>
      </c>
      <c r="W1482" s="2">
        <f>RendicontiTrasmessiBL__2[[#This Row],[Weight real costs  + USC ]]</f>
        <v>0</v>
      </c>
    </row>
    <row r="1483" spans="1:23" x14ac:dyDescent="0.25">
      <c r="A1483" s="1" t="s">
        <v>63</v>
      </c>
      <c r="B1483" s="1" t="s">
        <v>4548</v>
      </c>
      <c r="C1483" s="2">
        <v>286</v>
      </c>
      <c r="D1483" s="2">
        <v>45</v>
      </c>
      <c r="E1483" s="1" t="s">
        <v>233</v>
      </c>
      <c r="G1483">
        <v>95000</v>
      </c>
      <c r="H1483">
        <v>0</v>
      </c>
      <c r="I1483">
        <v>0</v>
      </c>
      <c r="J1483">
        <v>0</v>
      </c>
      <c r="K1483">
        <v>0</v>
      </c>
      <c r="L1483">
        <v>0</v>
      </c>
      <c r="M1483">
        <v>0</v>
      </c>
      <c r="N1483">
        <v>0</v>
      </c>
      <c r="O1483">
        <v>95000</v>
      </c>
      <c r="P1483">
        <v>0</v>
      </c>
      <c r="Q1483" t="str">
        <f>INDEX('Partner data'!A:DH,MATCH(C1483,'Partner data'!DG:DG,0),83)</f>
        <v>Soggetto pubblico</v>
      </c>
      <c r="R1483" t="b">
        <f>IF(E1483="staff",IF(INDEX('Partner data'!A:DH,MATCH(C1483,'Partner data'!DG:DG,0),112)="BL1 non presente","FALSO",INDEX('Partner data'!A:DH,MATCH(C1483,'Partner data'!DG:DG,0),112)))</f>
        <v>0</v>
      </c>
      <c r="S1483" t="b">
        <f t="shared" si="46"/>
        <v>0</v>
      </c>
      <c r="T1483" t="b">
        <f t="shared" si="47"/>
        <v>1</v>
      </c>
      <c r="U1483" s="154">
        <f>IFERROR(IF(R1483&lt;&gt;FALSE,IF(S1483=TRUE,INDEX('SummaryNOT_VALIDATED-BL'!$A$1:$F$16,MATCH(R1483,'SummaryNOT_VALIDATED-BL'!$A$1:$A$16,0),6),0),IF(S1483=TRUE,INDEX('SummaryNOT_VALIDATED-BL'!$A$1:$F$16,MATCH(E1483,'SummaryNOT_VALIDATED-BL'!$A$1:$A$16,0),6),0)),0)</f>
        <v>0</v>
      </c>
      <c r="V1483" s="81" cm="1">
        <f t="array" ref="V1483">INDEX('Weight tables'!$A$24:$C$27,MATCH(1,(RendicontiTrasmessiBL__2[[#This Row],[Cut percentage on real costs + USC]]&gt;='Weight tables'!$B$24:$B$27)*(RendicontiTrasmessiBL__2[[#This Row],[Cut percentage on real costs + USC]]&lt;='Weight tables'!$C$24:$C$27),0),1)</f>
        <v>0</v>
      </c>
      <c r="W1483" s="2">
        <f>RendicontiTrasmessiBL__2[[#This Row],[Weight real costs  + USC ]]</f>
        <v>0</v>
      </c>
    </row>
    <row r="1484" spans="1:23" x14ac:dyDescent="0.25">
      <c r="A1484" s="1" t="s">
        <v>63</v>
      </c>
      <c r="B1484" s="1" t="s">
        <v>4548</v>
      </c>
      <c r="C1484" s="2">
        <v>286</v>
      </c>
      <c r="D1484" s="2">
        <v>45</v>
      </c>
      <c r="E1484" s="1" t="s">
        <v>234</v>
      </c>
      <c r="G1484">
        <v>0</v>
      </c>
      <c r="H1484">
        <v>0</v>
      </c>
      <c r="I1484">
        <v>0</v>
      </c>
      <c r="J1484">
        <v>0</v>
      </c>
      <c r="K1484">
        <v>0</v>
      </c>
      <c r="L1484">
        <v>0</v>
      </c>
      <c r="M1484">
        <v>0</v>
      </c>
      <c r="N1484">
        <v>0</v>
      </c>
      <c r="O1484">
        <v>0</v>
      </c>
      <c r="P1484">
        <v>0</v>
      </c>
      <c r="Q1484" t="str">
        <f>INDEX('Partner data'!A:DH,MATCH(C1484,'Partner data'!DG:DG,0),83)</f>
        <v>Soggetto pubblico</v>
      </c>
      <c r="R1484" t="b">
        <f>IF(E1484="staff",IF(INDEX('Partner data'!A:DH,MATCH(C1484,'Partner data'!DG:DG,0),112)="BL1 non presente","FALSO",INDEX('Partner data'!A:DH,MATCH(C1484,'Partner data'!DG:DG,0),112)))</f>
        <v>0</v>
      </c>
      <c r="S1484" t="b">
        <f t="shared" si="46"/>
        <v>0</v>
      </c>
      <c r="T1484" t="b">
        <f t="shared" si="47"/>
        <v>1</v>
      </c>
      <c r="U1484" s="154">
        <f>IFERROR(IF(R1484&lt;&gt;FALSE,IF(S1484=TRUE,INDEX('SummaryNOT_VALIDATED-BL'!$A$1:$F$16,MATCH(R1484,'SummaryNOT_VALIDATED-BL'!$A$1:$A$16,0),6),0),IF(S1484=TRUE,INDEX('SummaryNOT_VALIDATED-BL'!$A$1:$F$16,MATCH(E1484,'SummaryNOT_VALIDATED-BL'!$A$1:$A$16,0),6),0)),0)</f>
        <v>0</v>
      </c>
      <c r="V1484" s="81" cm="1">
        <f t="array" ref="V1484">INDEX('Weight tables'!$A$24:$C$27,MATCH(1,(RendicontiTrasmessiBL__2[[#This Row],[Cut percentage on real costs + USC]]&gt;='Weight tables'!$B$24:$B$27)*(RendicontiTrasmessiBL__2[[#This Row],[Cut percentage on real costs + USC]]&lt;='Weight tables'!$C$24:$C$27),0),1)</f>
        <v>0</v>
      </c>
      <c r="W1484" s="2">
        <f>RendicontiTrasmessiBL__2[[#This Row],[Weight real costs  + USC ]]</f>
        <v>0</v>
      </c>
    </row>
    <row r="1485" spans="1:23" x14ac:dyDescent="0.25">
      <c r="A1485" s="1" t="s">
        <v>63</v>
      </c>
      <c r="B1485" s="1" t="s">
        <v>4548</v>
      </c>
      <c r="C1485" s="2">
        <v>286</v>
      </c>
      <c r="D1485" s="2">
        <v>45</v>
      </c>
      <c r="E1485" s="1" t="s">
        <v>236</v>
      </c>
      <c r="G1485">
        <v>0</v>
      </c>
      <c r="H1485">
        <v>0</v>
      </c>
      <c r="I1485">
        <v>0</v>
      </c>
      <c r="J1485">
        <v>0</v>
      </c>
      <c r="K1485">
        <v>0</v>
      </c>
      <c r="L1485">
        <v>0</v>
      </c>
      <c r="M1485">
        <v>0</v>
      </c>
      <c r="N1485">
        <v>0</v>
      </c>
      <c r="O1485">
        <v>0</v>
      </c>
      <c r="P1485">
        <v>0</v>
      </c>
      <c r="Q1485" t="str">
        <f>INDEX('Partner data'!A:DH,MATCH(C1485,'Partner data'!DG:DG,0),83)</f>
        <v>Soggetto pubblico</v>
      </c>
      <c r="R1485" t="b">
        <f>IF(E1485="staff",IF(INDEX('Partner data'!A:DH,MATCH(C1485,'Partner data'!DG:DG,0),112)="BL1 non presente","FALSO",INDEX('Partner data'!A:DH,MATCH(C1485,'Partner data'!DG:DG,0),112)))</f>
        <v>0</v>
      </c>
      <c r="S1485" t="b">
        <f t="shared" si="46"/>
        <v>0</v>
      </c>
      <c r="T1485" t="b">
        <f t="shared" si="47"/>
        <v>1</v>
      </c>
      <c r="U1485" s="154">
        <f>IFERROR(IF(R1485&lt;&gt;FALSE,IF(S1485=TRUE,INDEX('SummaryNOT_VALIDATED-BL'!$A$1:$F$16,MATCH(R1485,'SummaryNOT_VALIDATED-BL'!$A$1:$A$16,0),6),0),IF(S1485=TRUE,INDEX('SummaryNOT_VALIDATED-BL'!$A$1:$F$16,MATCH(E1485,'SummaryNOT_VALIDATED-BL'!$A$1:$A$16,0),6),0)),0)</f>
        <v>0</v>
      </c>
      <c r="V1485" s="81" cm="1">
        <f t="array" ref="V1485">INDEX('Weight tables'!$A$24:$C$27,MATCH(1,(RendicontiTrasmessiBL__2[[#This Row],[Cut percentage on real costs + USC]]&gt;='Weight tables'!$B$24:$B$27)*(RendicontiTrasmessiBL__2[[#This Row],[Cut percentage on real costs + USC]]&lt;='Weight tables'!$C$24:$C$27),0),1)</f>
        <v>0</v>
      </c>
      <c r="W1485" s="2">
        <f>RendicontiTrasmessiBL__2[[#This Row],[Weight real costs  + USC ]]</f>
        <v>0</v>
      </c>
    </row>
    <row r="1486" spans="1:23" x14ac:dyDescent="0.25">
      <c r="A1486" s="1" t="s">
        <v>63</v>
      </c>
      <c r="B1486" s="1" t="s">
        <v>4548</v>
      </c>
      <c r="C1486" s="2">
        <v>286</v>
      </c>
      <c r="D1486" s="2">
        <v>45</v>
      </c>
      <c r="E1486" s="1" t="s">
        <v>237</v>
      </c>
      <c r="G1486">
        <v>0</v>
      </c>
      <c r="H1486">
        <v>0</v>
      </c>
      <c r="I1486">
        <v>0</v>
      </c>
      <c r="J1486">
        <v>0</v>
      </c>
      <c r="K1486">
        <v>0</v>
      </c>
      <c r="L1486">
        <v>0</v>
      </c>
      <c r="M1486">
        <v>0</v>
      </c>
      <c r="N1486">
        <v>0</v>
      </c>
      <c r="O1486">
        <v>0</v>
      </c>
      <c r="P1486">
        <v>0</v>
      </c>
      <c r="Q1486" t="str">
        <f>INDEX('Partner data'!A:DH,MATCH(C1486,'Partner data'!DG:DG,0),83)</f>
        <v>Soggetto pubblico</v>
      </c>
      <c r="R1486" t="b">
        <f>IF(E1486="staff",IF(INDEX('Partner data'!A:DH,MATCH(C1486,'Partner data'!DG:DG,0),112)="BL1 non presente","FALSO",INDEX('Partner data'!A:DH,MATCH(C1486,'Partner data'!DG:DG,0),112)))</f>
        <v>0</v>
      </c>
      <c r="S1486" t="b">
        <f t="shared" si="46"/>
        <v>0</v>
      </c>
      <c r="T1486" t="b">
        <f t="shared" si="47"/>
        <v>1</v>
      </c>
      <c r="U1486" s="154">
        <f>IFERROR(IF(R1486&lt;&gt;FALSE,IF(S1486=TRUE,INDEX('SummaryNOT_VALIDATED-BL'!$A$1:$F$16,MATCH(R1486,'SummaryNOT_VALIDATED-BL'!$A$1:$A$16,0),6),0),IF(S1486=TRUE,INDEX('SummaryNOT_VALIDATED-BL'!$A$1:$F$16,MATCH(E1486,'SummaryNOT_VALIDATED-BL'!$A$1:$A$16,0),6),0)),0)</f>
        <v>0</v>
      </c>
      <c r="V1486" s="81" cm="1">
        <f t="array" ref="V1486">INDEX('Weight tables'!$A$24:$C$27,MATCH(1,(RendicontiTrasmessiBL__2[[#This Row],[Cut percentage on real costs + USC]]&gt;='Weight tables'!$B$24:$B$27)*(RendicontiTrasmessiBL__2[[#This Row],[Cut percentage on real costs + USC]]&lt;='Weight tables'!$C$24:$C$27),0),1)</f>
        <v>0</v>
      </c>
      <c r="W1486" s="2">
        <f>RendicontiTrasmessiBL__2[[#This Row],[Weight real costs  + USC ]]</f>
        <v>0</v>
      </c>
    </row>
    <row r="1487" spans="1:23" x14ac:dyDescent="0.25">
      <c r="A1487" s="1" t="s">
        <v>63</v>
      </c>
      <c r="B1487" s="1" t="s">
        <v>4548</v>
      </c>
      <c r="C1487" s="2">
        <v>286</v>
      </c>
      <c r="D1487" s="2">
        <v>99</v>
      </c>
      <c r="E1487" s="1" t="s">
        <v>228</v>
      </c>
      <c r="G1487">
        <v>0</v>
      </c>
      <c r="H1487">
        <v>0</v>
      </c>
      <c r="I1487">
        <v>0</v>
      </c>
      <c r="J1487">
        <v>0</v>
      </c>
      <c r="K1487">
        <v>0</v>
      </c>
      <c r="L1487">
        <v>0</v>
      </c>
      <c r="M1487">
        <v>0</v>
      </c>
      <c r="N1487">
        <v>0</v>
      </c>
      <c r="O1487">
        <v>0</v>
      </c>
      <c r="P1487">
        <v>0</v>
      </c>
      <c r="Q1487" t="str">
        <f>INDEX('Partner data'!A:DH,MATCH(C1487,'Partner data'!DG:DG,0),83)</f>
        <v>Soggetto pubblico</v>
      </c>
      <c r="R1487" t="str">
        <f>IF(E1487="staff",IF(INDEX('Partner data'!A:DH,MATCH(C1487,'Partner data'!DG:DG,0),112)="BL1 non presente","FALSO",INDEX('Partner data'!A:DH,MATCH(C1487,'Partner data'!DG:DG,0),112)))</f>
        <v>FALSO</v>
      </c>
      <c r="S1487" t="b">
        <f t="shared" si="46"/>
        <v>0</v>
      </c>
      <c r="T1487" t="b">
        <f t="shared" si="47"/>
        <v>1</v>
      </c>
      <c r="U1487" s="154">
        <f>IFERROR(IF(R1487&lt;&gt;FALSE,IF(S1487=TRUE,INDEX('SummaryNOT_VALIDATED-BL'!$A$1:$F$16,MATCH(R1487,'SummaryNOT_VALIDATED-BL'!$A$1:$A$16,0),6),0),IF(S1487=TRUE,INDEX('SummaryNOT_VALIDATED-BL'!$A$1:$F$16,MATCH(E1487,'SummaryNOT_VALIDATED-BL'!$A$1:$A$16,0),6),0)),0)</f>
        <v>0</v>
      </c>
      <c r="V1487" s="81" cm="1">
        <f t="array" ref="V1487">INDEX('Weight tables'!$A$24:$C$27,MATCH(1,(RendicontiTrasmessiBL__2[[#This Row],[Cut percentage on real costs + USC]]&gt;='Weight tables'!$B$24:$B$27)*(RendicontiTrasmessiBL__2[[#This Row],[Cut percentage on real costs + USC]]&lt;='Weight tables'!$C$24:$C$27),0),1)</f>
        <v>0</v>
      </c>
      <c r="W1487" s="2">
        <f>RendicontiTrasmessiBL__2[[#This Row],[Weight real costs  + USC ]]</f>
        <v>0</v>
      </c>
    </row>
    <row r="1488" spans="1:23" x14ac:dyDescent="0.25">
      <c r="A1488" s="1" t="s">
        <v>63</v>
      </c>
      <c r="B1488" s="1" t="s">
        <v>4548</v>
      </c>
      <c r="C1488" s="2">
        <v>286</v>
      </c>
      <c r="D1488" s="2">
        <v>99</v>
      </c>
      <c r="E1488" s="1" t="s">
        <v>229</v>
      </c>
      <c r="G1488">
        <v>0</v>
      </c>
      <c r="H1488">
        <v>0</v>
      </c>
      <c r="I1488">
        <v>0</v>
      </c>
      <c r="J1488">
        <v>0</v>
      </c>
      <c r="K1488">
        <v>0</v>
      </c>
      <c r="L1488">
        <v>0</v>
      </c>
      <c r="M1488">
        <v>0</v>
      </c>
      <c r="N1488">
        <v>0</v>
      </c>
      <c r="O1488">
        <v>0</v>
      </c>
      <c r="P1488">
        <v>0</v>
      </c>
      <c r="Q1488" t="str">
        <f>INDEX('Partner data'!A:DH,MATCH(C1488,'Partner data'!DG:DG,0),83)</f>
        <v>Soggetto pubblico</v>
      </c>
      <c r="R1488" t="b">
        <f>IF(E1488="staff",IF(INDEX('Partner data'!A:DH,MATCH(C1488,'Partner data'!DG:DG,0),112)="BL1 non presente","FALSO",INDEX('Partner data'!A:DH,MATCH(C1488,'Partner data'!DG:DG,0),112)))</f>
        <v>0</v>
      </c>
      <c r="S1488" t="b">
        <f t="shared" si="46"/>
        <v>0</v>
      </c>
      <c r="T1488" t="b">
        <f t="shared" si="47"/>
        <v>1</v>
      </c>
      <c r="U1488" s="154">
        <f>IFERROR(IF(R1488&lt;&gt;FALSE,IF(S1488=TRUE,INDEX('SummaryNOT_VALIDATED-BL'!$A$1:$F$16,MATCH(R1488,'SummaryNOT_VALIDATED-BL'!$A$1:$A$16,0),6),0),IF(S1488=TRUE,INDEX('SummaryNOT_VALIDATED-BL'!$A$1:$F$16,MATCH(E1488,'SummaryNOT_VALIDATED-BL'!$A$1:$A$16,0),6),0)),0)</f>
        <v>0</v>
      </c>
      <c r="V1488" s="81" cm="1">
        <f t="array" ref="V1488">INDEX('Weight tables'!$A$24:$C$27,MATCH(1,(RendicontiTrasmessiBL__2[[#This Row],[Cut percentage on real costs + USC]]&gt;='Weight tables'!$B$24:$B$27)*(RendicontiTrasmessiBL__2[[#This Row],[Cut percentage on real costs + USC]]&lt;='Weight tables'!$C$24:$C$27),0),1)</f>
        <v>0</v>
      </c>
      <c r="W1488" s="2">
        <f>RendicontiTrasmessiBL__2[[#This Row],[Weight real costs  + USC ]]</f>
        <v>0</v>
      </c>
    </row>
    <row r="1489" spans="1:23" x14ac:dyDescent="0.25">
      <c r="A1489" s="1" t="s">
        <v>63</v>
      </c>
      <c r="B1489" s="1" t="s">
        <v>4548</v>
      </c>
      <c r="C1489" s="2">
        <v>286</v>
      </c>
      <c r="D1489" s="2">
        <v>99</v>
      </c>
      <c r="E1489" s="1" t="s">
        <v>230</v>
      </c>
      <c r="G1489">
        <v>0</v>
      </c>
      <c r="H1489">
        <v>0</v>
      </c>
      <c r="I1489">
        <v>0</v>
      </c>
      <c r="J1489">
        <v>0</v>
      </c>
      <c r="K1489">
        <v>0</v>
      </c>
      <c r="L1489">
        <v>0</v>
      </c>
      <c r="M1489">
        <v>0</v>
      </c>
      <c r="N1489">
        <v>0</v>
      </c>
      <c r="O1489">
        <v>0</v>
      </c>
      <c r="P1489">
        <v>0</v>
      </c>
      <c r="Q1489" t="str">
        <f>INDEX('Partner data'!A:DH,MATCH(C1489,'Partner data'!DG:DG,0),83)</f>
        <v>Soggetto pubblico</v>
      </c>
      <c r="R1489" t="b">
        <f>IF(E1489="staff",IF(INDEX('Partner data'!A:DH,MATCH(C1489,'Partner data'!DG:DG,0),112)="BL1 non presente","FALSO",INDEX('Partner data'!A:DH,MATCH(C1489,'Partner data'!DG:DG,0),112)))</f>
        <v>0</v>
      </c>
      <c r="S1489" t="b">
        <f t="shared" si="46"/>
        <v>0</v>
      </c>
      <c r="T1489" t="b">
        <f t="shared" si="47"/>
        <v>1</v>
      </c>
      <c r="U1489" s="154">
        <f>IFERROR(IF(R1489&lt;&gt;FALSE,IF(S1489=TRUE,INDEX('SummaryNOT_VALIDATED-BL'!$A$1:$F$16,MATCH(R1489,'SummaryNOT_VALIDATED-BL'!$A$1:$A$16,0),6),0),IF(S1489=TRUE,INDEX('SummaryNOT_VALIDATED-BL'!$A$1:$F$16,MATCH(E1489,'SummaryNOT_VALIDATED-BL'!$A$1:$A$16,0),6),0)),0)</f>
        <v>0</v>
      </c>
      <c r="V1489" s="81" cm="1">
        <f t="array" ref="V1489">INDEX('Weight tables'!$A$24:$C$27,MATCH(1,(RendicontiTrasmessiBL__2[[#This Row],[Cut percentage on real costs + USC]]&gt;='Weight tables'!$B$24:$B$27)*(RendicontiTrasmessiBL__2[[#This Row],[Cut percentage on real costs + USC]]&lt;='Weight tables'!$C$24:$C$27),0),1)</f>
        <v>0</v>
      </c>
      <c r="W1489" s="2">
        <f>RendicontiTrasmessiBL__2[[#This Row],[Weight real costs  + USC ]]</f>
        <v>0</v>
      </c>
    </row>
    <row r="1490" spans="1:23" x14ac:dyDescent="0.25">
      <c r="A1490" s="1" t="s">
        <v>63</v>
      </c>
      <c r="B1490" s="1" t="s">
        <v>4548</v>
      </c>
      <c r="C1490" s="2">
        <v>286</v>
      </c>
      <c r="D1490" s="2">
        <v>99</v>
      </c>
      <c r="E1490" s="1" t="s">
        <v>231</v>
      </c>
      <c r="G1490">
        <v>55000</v>
      </c>
      <c r="H1490">
        <v>0</v>
      </c>
      <c r="I1490">
        <v>0</v>
      </c>
      <c r="J1490">
        <v>0</v>
      </c>
      <c r="K1490">
        <v>0</v>
      </c>
      <c r="L1490">
        <v>0</v>
      </c>
      <c r="M1490">
        <v>0</v>
      </c>
      <c r="N1490">
        <v>0</v>
      </c>
      <c r="O1490">
        <v>55000</v>
      </c>
      <c r="P1490">
        <v>0</v>
      </c>
      <c r="Q1490" t="str">
        <f>INDEX('Partner data'!A:DH,MATCH(C1490,'Partner data'!DG:DG,0),83)</f>
        <v>Soggetto pubblico</v>
      </c>
      <c r="R1490" t="b">
        <f>IF(E1490="staff",IF(INDEX('Partner data'!A:DH,MATCH(C1490,'Partner data'!DG:DG,0),112)="BL1 non presente","FALSO",INDEX('Partner data'!A:DH,MATCH(C1490,'Partner data'!DG:DG,0),112)))</f>
        <v>0</v>
      </c>
      <c r="S1490" t="b">
        <f t="shared" si="46"/>
        <v>0</v>
      </c>
      <c r="T1490" t="b">
        <f t="shared" si="47"/>
        <v>1</v>
      </c>
      <c r="U1490" s="154">
        <f>IFERROR(IF(R1490&lt;&gt;FALSE,IF(S1490=TRUE,INDEX('SummaryNOT_VALIDATED-BL'!$A$1:$F$16,MATCH(R1490,'SummaryNOT_VALIDATED-BL'!$A$1:$A$16,0),6),0),IF(S1490=TRUE,INDEX('SummaryNOT_VALIDATED-BL'!$A$1:$F$16,MATCH(E1490,'SummaryNOT_VALIDATED-BL'!$A$1:$A$16,0),6),0)),0)</f>
        <v>0</v>
      </c>
      <c r="V1490" s="81" cm="1">
        <f t="array" ref="V1490">INDEX('Weight tables'!$A$24:$C$27,MATCH(1,(RendicontiTrasmessiBL__2[[#This Row],[Cut percentage on real costs + USC]]&gt;='Weight tables'!$B$24:$B$27)*(RendicontiTrasmessiBL__2[[#This Row],[Cut percentage on real costs + USC]]&lt;='Weight tables'!$C$24:$C$27),0),1)</f>
        <v>0</v>
      </c>
      <c r="W1490" s="2">
        <f>RendicontiTrasmessiBL__2[[#This Row],[Weight real costs  + USC ]]</f>
        <v>0</v>
      </c>
    </row>
    <row r="1491" spans="1:23" x14ac:dyDescent="0.25">
      <c r="A1491" s="1" t="s">
        <v>63</v>
      </c>
      <c r="B1491" s="1" t="s">
        <v>4548</v>
      </c>
      <c r="C1491" s="2">
        <v>286</v>
      </c>
      <c r="D1491" s="2">
        <v>99</v>
      </c>
      <c r="E1491" s="1" t="s">
        <v>232</v>
      </c>
      <c r="G1491">
        <v>0</v>
      </c>
      <c r="H1491">
        <v>0</v>
      </c>
      <c r="I1491">
        <v>0</v>
      </c>
      <c r="J1491">
        <v>0</v>
      </c>
      <c r="K1491">
        <v>0</v>
      </c>
      <c r="L1491">
        <v>0</v>
      </c>
      <c r="M1491">
        <v>0</v>
      </c>
      <c r="N1491">
        <v>0</v>
      </c>
      <c r="O1491">
        <v>0</v>
      </c>
      <c r="P1491">
        <v>0</v>
      </c>
      <c r="Q1491" t="str">
        <f>INDEX('Partner data'!A:DH,MATCH(C1491,'Partner data'!DG:DG,0),83)</f>
        <v>Soggetto pubblico</v>
      </c>
      <c r="R1491" t="b">
        <f>IF(E1491="staff",IF(INDEX('Partner data'!A:DH,MATCH(C1491,'Partner data'!DG:DG,0),112)="BL1 non presente","FALSO",INDEX('Partner data'!A:DH,MATCH(C1491,'Partner data'!DG:DG,0),112)))</f>
        <v>0</v>
      </c>
      <c r="S1491" t="b">
        <f t="shared" si="46"/>
        <v>0</v>
      </c>
      <c r="T1491" t="b">
        <f t="shared" si="47"/>
        <v>1</v>
      </c>
      <c r="U1491" s="154">
        <f>IFERROR(IF(R1491&lt;&gt;FALSE,IF(S1491=TRUE,INDEX('SummaryNOT_VALIDATED-BL'!$A$1:$F$16,MATCH(R1491,'SummaryNOT_VALIDATED-BL'!$A$1:$A$16,0),6),0),IF(S1491=TRUE,INDEX('SummaryNOT_VALIDATED-BL'!$A$1:$F$16,MATCH(E1491,'SummaryNOT_VALIDATED-BL'!$A$1:$A$16,0),6),0)),0)</f>
        <v>0</v>
      </c>
      <c r="V1491" s="81" cm="1">
        <f t="array" ref="V1491">INDEX('Weight tables'!$A$24:$C$27,MATCH(1,(RendicontiTrasmessiBL__2[[#This Row],[Cut percentage on real costs + USC]]&gt;='Weight tables'!$B$24:$B$27)*(RendicontiTrasmessiBL__2[[#This Row],[Cut percentage on real costs + USC]]&lt;='Weight tables'!$C$24:$C$27),0),1)</f>
        <v>0</v>
      </c>
      <c r="W1491" s="2">
        <f>RendicontiTrasmessiBL__2[[#This Row],[Weight real costs  + USC ]]</f>
        <v>0</v>
      </c>
    </row>
    <row r="1492" spans="1:23" x14ac:dyDescent="0.25">
      <c r="A1492" s="1" t="s">
        <v>63</v>
      </c>
      <c r="B1492" s="1" t="s">
        <v>4548</v>
      </c>
      <c r="C1492" s="2">
        <v>286</v>
      </c>
      <c r="D1492" s="2">
        <v>99</v>
      </c>
      <c r="E1492" s="1" t="s">
        <v>233</v>
      </c>
      <c r="G1492">
        <v>95000</v>
      </c>
      <c r="H1492">
        <v>0</v>
      </c>
      <c r="I1492">
        <v>0</v>
      </c>
      <c r="J1492">
        <v>0</v>
      </c>
      <c r="K1492">
        <v>0</v>
      </c>
      <c r="L1492">
        <v>0</v>
      </c>
      <c r="M1492">
        <v>0</v>
      </c>
      <c r="N1492">
        <v>0</v>
      </c>
      <c r="O1492">
        <v>95000</v>
      </c>
      <c r="P1492">
        <v>0</v>
      </c>
      <c r="Q1492" t="str">
        <f>INDEX('Partner data'!A:DH,MATCH(C1492,'Partner data'!DG:DG,0),83)</f>
        <v>Soggetto pubblico</v>
      </c>
      <c r="R1492" t="b">
        <f>IF(E1492="staff",IF(INDEX('Partner data'!A:DH,MATCH(C1492,'Partner data'!DG:DG,0),112)="BL1 non presente","FALSO",INDEX('Partner data'!A:DH,MATCH(C1492,'Partner data'!DG:DG,0),112)))</f>
        <v>0</v>
      </c>
      <c r="S1492" t="b">
        <f t="shared" si="46"/>
        <v>0</v>
      </c>
      <c r="T1492" t="b">
        <f t="shared" si="47"/>
        <v>1</v>
      </c>
      <c r="U1492" s="154">
        <f>IFERROR(IF(R1492&lt;&gt;FALSE,IF(S1492=TRUE,INDEX('SummaryNOT_VALIDATED-BL'!$A$1:$F$16,MATCH(R1492,'SummaryNOT_VALIDATED-BL'!$A$1:$A$16,0),6),0),IF(S1492=TRUE,INDEX('SummaryNOT_VALIDATED-BL'!$A$1:$F$16,MATCH(E1492,'SummaryNOT_VALIDATED-BL'!$A$1:$A$16,0),6),0)),0)</f>
        <v>0</v>
      </c>
      <c r="V1492" s="81" cm="1">
        <f t="array" ref="V1492">INDEX('Weight tables'!$A$24:$C$27,MATCH(1,(RendicontiTrasmessiBL__2[[#This Row],[Cut percentage on real costs + USC]]&gt;='Weight tables'!$B$24:$B$27)*(RendicontiTrasmessiBL__2[[#This Row],[Cut percentage on real costs + USC]]&lt;='Weight tables'!$C$24:$C$27),0),1)</f>
        <v>0</v>
      </c>
      <c r="W1492" s="2">
        <f>RendicontiTrasmessiBL__2[[#This Row],[Weight real costs  + USC ]]</f>
        <v>0</v>
      </c>
    </row>
    <row r="1493" spans="1:23" x14ac:dyDescent="0.25">
      <c r="A1493" s="1" t="s">
        <v>63</v>
      </c>
      <c r="B1493" s="1" t="s">
        <v>4548</v>
      </c>
      <c r="C1493" s="2">
        <v>286</v>
      </c>
      <c r="D1493" s="2">
        <v>99</v>
      </c>
      <c r="E1493" s="1" t="s">
        <v>234</v>
      </c>
      <c r="G1493">
        <v>0</v>
      </c>
      <c r="H1493">
        <v>0</v>
      </c>
      <c r="I1493">
        <v>0</v>
      </c>
      <c r="J1493">
        <v>0</v>
      </c>
      <c r="K1493">
        <v>0</v>
      </c>
      <c r="L1493">
        <v>0</v>
      </c>
      <c r="M1493">
        <v>0</v>
      </c>
      <c r="N1493">
        <v>0</v>
      </c>
      <c r="O1493">
        <v>0</v>
      </c>
      <c r="P1493">
        <v>0</v>
      </c>
      <c r="Q1493" t="str">
        <f>INDEX('Partner data'!A:DH,MATCH(C1493,'Partner data'!DG:DG,0),83)</f>
        <v>Soggetto pubblico</v>
      </c>
      <c r="R1493" t="b">
        <f>IF(E1493="staff",IF(INDEX('Partner data'!A:DH,MATCH(C1493,'Partner data'!DG:DG,0),112)="BL1 non presente","FALSO",INDEX('Partner data'!A:DH,MATCH(C1493,'Partner data'!DG:DG,0),112)))</f>
        <v>0</v>
      </c>
      <c r="S1493" t="b">
        <f t="shared" si="46"/>
        <v>0</v>
      </c>
      <c r="T1493" t="b">
        <f t="shared" si="47"/>
        <v>1</v>
      </c>
      <c r="U1493" s="154">
        <f>IFERROR(IF(R1493&lt;&gt;FALSE,IF(S1493=TRUE,INDEX('SummaryNOT_VALIDATED-BL'!$A$1:$F$16,MATCH(R1493,'SummaryNOT_VALIDATED-BL'!$A$1:$A$16,0),6),0),IF(S1493=TRUE,INDEX('SummaryNOT_VALIDATED-BL'!$A$1:$F$16,MATCH(E1493,'SummaryNOT_VALIDATED-BL'!$A$1:$A$16,0),6),0)),0)</f>
        <v>0</v>
      </c>
      <c r="V1493" s="81" cm="1">
        <f t="array" ref="V1493">INDEX('Weight tables'!$A$24:$C$27,MATCH(1,(RendicontiTrasmessiBL__2[[#This Row],[Cut percentage on real costs + USC]]&gt;='Weight tables'!$B$24:$B$27)*(RendicontiTrasmessiBL__2[[#This Row],[Cut percentage on real costs + USC]]&lt;='Weight tables'!$C$24:$C$27),0),1)</f>
        <v>0</v>
      </c>
      <c r="W1493" s="2">
        <f>RendicontiTrasmessiBL__2[[#This Row],[Weight real costs  + USC ]]</f>
        <v>0</v>
      </c>
    </row>
    <row r="1494" spans="1:23" x14ac:dyDescent="0.25">
      <c r="A1494" s="1" t="s">
        <v>63</v>
      </c>
      <c r="B1494" s="1" t="s">
        <v>4548</v>
      </c>
      <c r="C1494" s="2">
        <v>286</v>
      </c>
      <c r="D1494" s="2">
        <v>99</v>
      </c>
      <c r="E1494" s="1" t="s">
        <v>236</v>
      </c>
      <c r="G1494">
        <v>0</v>
      </c>
      <c r="H1494">
        <v>0</v>
      </c>
      <c r="I1494">
        <v>0</v>
      </c>
      <c r="J1494">
        <v>0</v>
      </c>
      <c r="K1494">
        <v>0</v>
      </c>
      <c r="L1494">
        <v>0</v>
      </c>
      <c r="M1494">
        <v>0</v>
      </c>
      <c r="N1494">
        <v>0</v>
      </c>
      <c r="O1494">
        <v>0</v>
      </c>
      <c r="P1494">
        <v>0</v>
      </c>
      <c r="Q1494" t="str">
        <f>INDEX('Partner data'!A:DH,MATCH(C1494,'Partner data'!DG:DG,0),83)</f>
        <v>Soggetto pubblico</v>
      </c>
      <c r="R1494" t="b">
        <f>IF(E1494="staff",IF(INDEX('Partner data'!A:DH,MATCH(C1494,'Partner data'!DG:DG,0),112)="BL1 non presente","FALSO",INDEX('Partner data'!A:DH,MATCH(C1494,'Partner data'!DG:DG,0),112)))</f>
        <v>0</v>
      </c>
      <c r="S1494" t="b">
        <f t="shared" si="46"/>
        <v>0</v>
      </c>
      <c r="T1494" t="b">
        <f t="shared" si="47"/>
        <v>1</v>
      </c>
      <c r="U1494" s="154">
        <f>IFERROR(IF(R1494&lt;&gt;FALSE,IF(S1494=TRUE,INDEX('SummaryNOT_VALIDATED-BL'!$A$1:$F$16,MATCH(R1494,'SummaryNOT_VALIDATED-BL'!$A$1:$A$16,0),6),0),IF(S1494=TRUE,INDEX('SummaryNOT_VALIDATED-BL'!$A$1:$F$16,MATCH(E1494,'SummaryNOT_VALIDATED-BL'!$A$1:$A$16,0),6),0)),0)</f>
        <v>0</v>
      </c>
      <c r="V1494" s="81" cm="1">
        <f t="array" ref="V1494">INDEX('Weight tables'!$A$24:$C$27,MATCH(1,(RendicontiTrasmessiBL__2[[#This Row],[Cut percentage on real costs + USC]]&gt;='Weight tables'!$B$24:$B$27)*(RendicontiTrasmessiBL__2[[#This Row],[Cut percentage on real costs + USC]]&lt;='Weight tables'!$C$24:$C$27),0),1)</f>
        <v>0</v>
      </c>
      <c r="W1494" s="2">
        <f>RendicontiTrasmessiBL__2[[#This Row],[Weight real costs  + USC ]]</f>
        <v>0</v>
      </c>
    </row>
    <row r="1495" spans="1:23" x14ac:dyDescent="0.25">
      <c r="A1495" s="1" t="s">
        <v>63</v>
      </c>
      <c r="B1495" s="1" t="s">
        <v>4548</v>
      </c>
      <c r="C1495" s="2">
        <v>286</v>
      </c>
      <c r="D1495" s="2">
        <v>99</v>
      </c>
      <c r="E1495" s="1" t="s">
        <v>237</v>
      </c>
      <c r="G1495">
        <v>0</v>
      </c>
      <c r="H1495">
        <v>0</v>
      </c>
      <c r="I1495">
        <v>0</v>
      </c>
      <c r="J1495">
        <v>0</v>
      </c>
      <c r="K1495">
        <v>0</v>
      </c>
      <c r="L1495">
        <v>0</v>
      </c>
      <c r="M1495">
        <v>0</v>
      </c>
      <c r="N1495">
        <v>0</v>
      </c>
      <c r="O1495">
        <v>0</v>
      </c>
      <c r="P1495">
        <v>0</v>
      </c>
      <c r="Q1495" t="str">
        <f>INDEX('Partner data'!A:DH,MATCH(C1495,'Partner data'!DG:DG,0),83)</f>
        <v>Soggetto pubblico</v>
      </c>
      <c r="R1495" t="b">
        <f>IF(E1495="staff",IF(INDEX('Partner data'!A:DH,MATCH(C1495,'Partner data'!DG:DG,0),112)="BL1 non presente","FALSO",INDEX('Partner data'!A:DH,MATCH(C1495,'Partner data'!DG:DG,0),112)))</f>
        <v>0</v>
      </c>
      <c r="S1495" t="b">
        <f t="shared" si="46"/>
        <v>0</v>
      </c>
      <c r="T1495" t="b">
        <f t="shared" si="47"/>
        <v>1</v>
      </c>
      <c r="U1495" s="154">
        <f>IFERROR(IF(R1495&lt;&gt;FALSE,IF(S1495=TRUE,INDEX('SummaryNOT_VALIDATED-BL'!$A$1:$F$16,MATCH(R1495,'SummaryNOT_VALIDATED-BL'!$A$1:$A$16,0),6),0),IF(S1495=TRUE,INDEX('SummaryNOT_VALIDATED-BL'!$A$1:$F$16,MATCH(E1495,'SummaryNOT_VALIDATED-BL'!$A$1:$A$16,0),6),0)),0)</f>
        <v>0</v>
      </c>
      <c r="V1495" s="81" cm="1">
        <f t="array" ref="V1495">INDEX('Weight tables'!$A$24:$C$27,MATCH(1,(RendicontiTrasmessiBL__2[[#This Row],[Cut percentage on real costs + USC]]&gt;='Weight tables'!$B$24:$B$27)*(RendicontiTrasmessiBL__2[[#This Row],[Cut percentage on real costs + USC]]&lt;='Weight tables'!$C$24:$C$27),0),1)</f>
        <v>0</v>
      </c>
      <c r="W1495" s="2">
        <f>RendicontiTrasmessiBL__2[[#This Row],[Weight real costs  + USC ]]</f>
        <v>0</v>
      </c>
    </row>
    <row r="1496" spans="1:23" x14ac:dyDescent="0.25">
      <c r="A1496" s="1" t="s">
        <v>63</v>
      </c>
      <c r="B1496" s="1" t="s">
        <v>51</v>
      </c>
      <c r="C1496" s="2">
        <v>287</v>
      </c>
      <c r="D1496" s="2">
        <v>326</v>
      </c>
      <c r="E1496" s="1" t="s">
        <v>228</v>
      </c>
      <c r="G1496">
        <v>106524.43</v>
      </c>
      <c r="H1496">
        <v>13346.81</v>
      </c>
      <c r="I1496">
        <v>0</v>
      </c>
      <c r="J1496">
        <v>18040.05</v>
      </c>
      <c r="K1496">
        <v>0</v>
      </c>
      <c r="L1496">
        <v>18040.05</v>
      </c>
      <c r="M1496">
        <v>31386.86</v>
      </c>
      <c r="N1496">
        <v>29.46</v>
      </c>
      <c r="O1496">
        <v>75137.570000000007</v>
      </c>
      <c r="P1496">
        <v>13102.63</v>
      </c>
      <c r="Q1496" t="str">
        <f>INDEX('Partner data'!A:DH,MATCH(C1496,'Partner data'!DG:DG,0),83)</f>
        <v>Soggetto privato</v>
      </c>
      <c r="R1496" t="str">
        <f>IF(E1496="staff",IF(INDEX('Partner data'!A:DH,MATCH(C1496,'Partner data'!DG:DG,0),112)="BL1 non presente","FALSO",INDEX('Partner data'!A:DH,MATCH(C1496,'Partner data'!DG:DG,0),112)))</f>
        <v>COSTO REALE</v>
      </c>
      <c r="S1496" t="b">
        <f t="shared" si="46"/>
        <v>1</v>
      </c>
      <c r="T1496" t="b">
        <f t="shared" si="47"/>
        <v>0</v>
      </c>
      <c r="U1496" s="154">
        <f>IFERROR(IF(R1496&lt;&gt;FALSE,IF(S1496=TRUE,INDEX('SummaryNOT_VALIDATED-BL'!$A$1:$F$16,MATCH(R1496,'SummaryNOT_VALIDATED-BL'!$A$1:$A$16,0),6),0),IF(S1496=TRUE,INDEX('SummaryNOT_VALIDATED-BL'!$A$1:$F$16,MATCH(E1496,'SummaryNOT_VALIDATED-BL'!$A$1:$A$16,0),6),0)),0)</f>
        <v>9.1604133276901048E-2</v>
      </c>
      <c r="V1496" s="81" cm="1">
        <f t="array" ref="V1496">INDEX('Weight tables'!$A$24:$C$27,MATCH(1,(RendicontiTrasmessiBL__2[[#This Row],[Cut percentage on real costs + USC]]&gt;='Weight tables'!$B$24:$B$27)*(RendicontiTrasmessiBL__2[[#This Row],[Cut percentage on real costs + USC]]&lt;='Weight tables'!$C$24:$C$27),0),1)</f>
        <v>4</v>
      </c>
      <c r="W1496" s="2">
        <f>RendicontiTrasmessiBL__2[[#This Row],[Weight real costs  + USC ]]</f>
        <v>4</v>
      </c>
    </row>
    <row r="1497" spans="1:23" x14ac:dyDescent="0.25">
      <c r="A1497" s="1" t="s">
        <v>63</v>
      </c>
      <c r="B1497" s="1" t="s">
        <v>51</v>
      </c>
      <c r="C1497" s="2">
        <v>287</v>
      </c>
      <c r="D1497" s="2">
        <v>326</v>
      </c>
      <c r="E1497" s="1" t="s">
        <v>229</v>
      </c>
      <c r="F1497">
        <v>15</v>
      </c>
      <c r="G1497">
        <v>15978.66</v>
      </c>
      <c r="H1497">
        <v>2002.02</v>
      </c>
      <c r="I1497">
        <v>0</v>
      </c>
      <c r="J1497">
        <v>2706</v>
      </c>
      <c r="K1497">
        <v>0</v>
      </c>
      <c r="L1497">
        <v>2706</v>
      </c>
      <c r="M1497">
        <v>4708.0200000000004</v>
      </c>
      <c r="N1497">
        <v>29.46</v>
      </c>
      <c r="O1497">
        <v>11270.64</v>
      </c>
      <c r="P1497">
        <v>1965.39</v>
      </c>
      <c r="Q1497" t="str">
        <f>INDEX('Partner data'!A:DH,MATCH(C1497,'Partner data'!DG:DG,0),83)</f>
        <v>Soggetto privato</v>
      </c>
      <c r="R1497" t="b">
        <f>IF(E1497="staff",IF(INDEX('Partner data'!A:DH,MATCH(C1497,'Partner data'!DG:DG,0),112)="BL1 non presente","FALSO",INDEX('Partner data'!A:DH,MATCH(C1497,'Partner data'!DG:DG,0),112)))</f>
        <v>0</v>
      </c>
      <c r="S1497" t="b">
        <f t="shared" si="46"/>
        <v>1</v>
      </c>
      <c r="T1497" t="b">
        <f t="shared" si="47"/>
        <v>0</v>
      </c>
      <c r="U1497" s="154">
        <f>IFERROR(IF(R1497&lt;&gt;FALSE,IF(S1497=TRUE,INDEX('SummaryNOT_VALIDATED-BL'!$A$1:$F$16,MATCH(R1497,'SummaryNOT_VALIDATED-BL'!$A$1:$A$16,0),6),0),IF(S1497=TRUE,INDEX('SummaryNOT_VALIDATED-BL'!$A$1:$F$16,MATCH(E1497,'SummaryNOT_VALIDATED-BL'!$A$1:$A$16,0),6),0)),0)</f>
        <v>6.6460469504890221E-2</v>
      </c>
      <c r="V1497" s="81" cm="1">
        <f t="array" ref="V1497">INDEX('Weight tables'!$A$24:$C$27,MATCH(1,(RendicontiTrasmessiBL__2[[#This Row],[Cut percentage on real costs + USC]]&gt;='Weight tables'!$B$24:$B$27)*(RendicontiTrasmessiBL__2[[#This Row],[Cut percentage on real costs + USC]]&lt;='Weight tables'!$C$24:$C$27),0),1)</f>
        <v>4</v>
      </c>
      <c r="W1497" s="2">
        <f>RendicontiTrasmessiBL__2[[#This Row],[Weight real costs  + USC ]]</f>
        <v>4</v>
      </c>
    </row>
    <row r="1498" spans="1:23" x14ac:dyDescent="0.25">
      <c r="A1498" s="1" t="s">
        <v>63</v>
      </c>
      <c r="B1498" s="1" t="s">
        <v>51</v>
      </c>
      <c r="C1498" s="2">
        <v>287</v>
      </c>
      <c r="D1498" s="2">
        <v>326</v>
      </c>
      <c r="E1498" s="1" t="s">
        <v>230</v>
      </c>
      <c r="F1498">
        <v>4</v>
      </c>
      <c r="G1498">
        <v>4260.97</v>
      </c>
      <c r="H1498">
        <v>533.87</v>
      </c>
      <c r="I1498">
        <v>0</v>
      </c>
      <c r="J1498">
        <v>721.6</v>
      </c>
      <c r="K1498">
        <v>0</v>
      </c>
      <c r="L1498">
        <v>721.6</v>
      </c>
      <c r="M1498">
        <v>1255.47</v>
      </c>
      <c r="N1498">
        <v>29.46</v>
      </c>
      <c r="O1498">
        <v>3005.5</v>
      </c>
      <c r="P1498">
        <v>524.1</v>
      </c>
      <c r="Q1498" t="str">
        <f>INDEX('Partner data'!A:DH,MATCH(C1498,'Partner data'!DG:DG,0),83)</f>
        <v>Soggetto privato</v>
      </c>
      <c r="R1498" t="b">
        <f>IF(E1498="staff",IF(INDEX('Partner data'!A:DH,MATCH(C1498,'Partner data'!DG:DG,0),112)="BL1 non presente","FALSO",INDEX('Partner data'!A:DH,MATCH(C1498,'Partner data'!DG:DG,0),112)))</f>
        <v>0</v>
      </c>
      <c r="S1498" t="b">
        <f t="shared" si="46"/>
        <v>1</v>
      </c>
      <c r="T1498" t="b">
        <f t="shared" si="47"/>
        <v>0</v>
      </c>
      <c r="U1498" s="154">
        <f>IFERROR(IF(R1498&lt;&gt;FALSE,IF(S1498=TRUE,INDEX('SummaryNOT_VALIDATED-BL'!$A$1:$F$16,MATCH(R1498,'SummaryNOT_VALIDATED-BL'!$A$1:$A$16,0),6),0),IF(S1498=TRUE,INDEX('SummaryNOT_VALIDATED-BL'!$A$1:$F$16,MATCH(E1498,'SummaryNOT_VALIDATED-BL'!$A$1:$A$16,0),6),0)),0)</f>
        <v>6.3112622236488891E-2</v>
      </c>
      <c r="V1498" s="81" cm="1">
        <f t="array" ref="V1498">INDEX('Weight tables'!$A$24:$C$27,MATCH(1,(RendicontiTrasmessiBL__2[[#This Row],[Cut percentage on real costs + USC]]&gt;='Weight tables'!$B$24:$B$27)*(RendicontiTrasmessiBL__2[[#This Row],[Cut percentage on real costs + USC]]&lt;='Weight tables'!$C$24:$C$27),0),1)</f>
        <v>4</v>
      </c>
      <c r="W1498" s="2">
        <f>RendicontiTrasmessiBL__2[[#This Row],[Weight real costs  + USC ]]</f>
        <v>4</v>
      </c>
    </row>
    <row r="1499" spans="1:23" x14ac:dyDescent="0.25">
      <c r="A1499" s="1" t="s">
        <v>63</v>
      </c>
      <c r="B1499" s="1" t="s">
        <v>51</v>
      </c>
      <c r="C1499" s="2">
        <v>287</v>
      </c>
      <c r="D1499" s="2">
        <v>326</v>
      </c>
      <c r="E1499" s="1" t="s">
        <v>231</v>
      </c>
      <c r="G1499">
        <v>48000</v>
      </c>
      <c r="H1499">
        <v>0</v>
      </c>
      <c r="I1499">
        <v>0</v>
      </c>
      <c r="J1499">
        <v>0</v>
      </c>
      <c r="K1499">
        <v>0</v>
      </c>
      <c r="L1499">
        <v>0</v>
      </c>
      <c r="M1499">
        <v>0</v>
      </c>
      <c r="N1499">
        <v>0</v>
      </c>
      <c r="O1499">
        <v>48000</v>
      </c>
      <c r="P1499">
        <v>0</v>
      </c>
      <c r="Q1499" t="str">
        <f>INDEX('Partner data'!A:DH,MATCH(C1499,'Partner data'!DG:DG,0),83)</f>
        <v>Soggetto privato</v>
      </c>
      <c r="R1499" t="b">
        <f>IF(E1499="staff",IF(INDEX('Partner data'!A:DH,MATCH(C1499,'Partner data'!DG:DG,0),112)="BL1 non presente","FALSO",INDEX('Partner data'!A:DH,MATCH(C1499,'Partner data'!DG:DG,0),112)))</f>
        <v>0</v>
      </c>
      <c r="S1499" t="b">
        <f t="shared" si="46"/>
        <v>0</v>
      </c>
      <c r="T1499" t="b">
        <f t="shared" si="47"/>
        <v>0</v>
      </c>
      <c r="U1499" s="154">
        <f>IFERROR(IF(R1499&lt;&gt;FALSE,IF(S1499=TRUE,INDEX('SummaryNOT_VALIDATED-BL'!$A$1:$F$16,MATCH(R1499,'SummaryNOT_VALIDATED-BL'!$A$1:$A$16,0),6),0),IF(S1499=TRUE,INDEX('SummaryNOT_VALIDATED-BL'!$A$1:$F$16,MATCH(E1499,'SummaryNOT_VALIDATED-BL'!$A$1:$A$16,0),6),0)),0)</f>
        <v>0</v>
      </c>
      <c r="V1499" s="81" cm="1">
        <f t="array" ref="V1499">INDEX('Weight tables'!$A$24:$C$27,MATCH(1,(RendicontiTrasmessiBL__2[[#This Row],[Cut percentage on real costs + USC]]&gt;='Weight tables'!$B$24:$B$27)*(RendicontiTrasmessiBL__2[[#This Row],[Cut percentage on real costs + USC]]&lt;='Weight tables'!$C$24:$C$27),0),1)</f>
        <v>0</v>
      </c>
      <c r="W1499" s="2">
        <f>RendicontiTrasmessiBL__2[[#This Row],[Weight real costs  + USC ]]</f>
        <v>0</v>
      </c>
    </row>
    <row r="1500" spans="1:23" x14ac:dyDescent="0.25">
      <c r="A1500" s="1" t="s">
        <v>63</v>
      </c>
      <c r="B1500" s="1" t="s">
        <v>51</v>
      </c>
      <c r="C1500" s="2">
        <v>287</v>
      </c>
      <c r="D1500" s="2">
        <v>326</v>
      </c>
      <c r="E1500" s="1" t="s">
        <v>232</v>
      </c>
      <c r="G1500">
        <v>550</v>
      </c>
      <c r="H1500">
        <v>0</v>
      </c>
      <c r="I1500">
        <v>0</v>
      </c>
      <c r="J1500">
        <v>0</v>
      </c>
      <c r="K1500">
        <v>0</v>
      </c>
      <c r="L1500">
        <v>0</v>
      </c>
      <c r="M1500">
        <v>0</v>
      </c>
      <c r="N1500">
        <v>0</v>
      </c>
      <c r="O1500">
        <v>550</v>
      </c>
      <c r="P1500">
        <v>0</v>
      </c>
      <c r="Q1500" t="str">
        <f>INDEX('Partner data'!A:DH,MATCH(C1500,'Partner data'!DG:DG,0),83)</f>
        <v>Soggetto privato</v>
      </c>
      <c r="R1500" t="b">
        <f>IF(E1500="staff",IF(INDEX('Partner data'!A:DH,MATCH(C1500,'Partner data'!DG:DG,0),112)="BL1 non presente","FALSO",INDEX('Partner data'!A:DH,MATCH(C1500,'Partner data'!DG:DG,0),112)))</f>
        <v>0</v>
      </c>
      <c r="S1500" t="b">
        <f t="shared" si="46"/>
        <v>0</v>
      </c>
      <c r="T1500" t="b">
        <f t="shared" si="47"/>
        <v>0</v>
      </c>
      <c r="U1500" s="154">
        <f>IFERROR(IF(R1500&lt;&gt;FALSE,IF(S1500=TRUE,INDEX('SummaryNOT_VALIDATED-BL'!$A$1:$F$16,MATCH(R1500,'SummaryNOT_VALIDATED-BL'!$A$1:$A$16,0),6),0),IF(S1500=TRUE,INDEX('SummaryNOT_VALIDATED-BL'!$A$1:$F$16,MATCH(E1500,'SummaryNOT_VALIDATED-BL'!$A$1:$A$16,0),6),0)),0)</f>
        <v>0</v>
      </c>
      <c r="V1500" s="81" cm="1">
        <f t="array" ref="V1500">INDEX('Weight tables'!$A$24:$C$27,MATCH(1,(RendicontiTrasmessiBL__2[[#This Row],[Cut percentage on real costs + USC]]&gt;='Weight tables'!$B$24:$B$27)*(RendicontiTrasmessiBL__2[[#This Row],[Cut percentage on real costs + USC]]&lt;='Weight tables'!$C$24:$C$27),0),1)</f>
        <v>0</v>
      </c>
      <c r="W1500" s="2">
        <f>RendicontiTrasmessiBL__2[[#This Row],[Weight real costs  + USC ]]</f>
        <v>0</v>
      </c>
    </row>
    <row r="1501" spans="1:23" x14ac:dyDescent="0.25">
      <c r="A1501" s="1" t="s">
        <v>63</v>
      </c>
      <c r="B1501" s="1" t="s">
        <v>51</v>
      </c>
      <c r="C1501" s="2">
        <v>287</v>
      </c>
      <c r="D1501" s="2">
        <v>326</v>
      </c>
      <c r="E1501" s="1" t="s">
        <v>233</v>
      </c>
      <c r="G1501">
        <v>0</v>
      </c>
      <c r="H1501">
        <v>0</v>
      </c>
      <c r="I1501">
        <v>0</v>
      </c>
      <c r="J1501">
        <v>0</v>
      </c>
      <c r="K1501">
        <v>0</v>
      </c>
      <c r="L1501">
        <v>0</v>
      </c>
      <c r="M1501">
        <v>0</v>
      </c>
      <c r="N1501">
        <v>0</v>
      </c>
      <c r="O1501">
        <v>0</v>
      </c>
      <c r="P1501">
        <v>0</v>
      </c>
      <c r="Q1501" t="str">
        <f>INDEX('Partner data'!A:DH,MATCH(C1501,'Partner data'!DG:DG,0),83)</f>
        <v>Soggetto privato</v>
      </c>
      <c r="R1501" t="b">
        <f>IF(E1501="staff",IF(INDEX('Partner data'!A:DH,MATCH(C1501,'Partner data'!DG:DG,0),112)="BL1 non presente","FALSO",INDEX('Partner data'!A:DH,MATCH(C1501,'Partner data'!DG:DG,0),112)))</f>
        <v>0</v>
      </c>
      <c r="S1501" t="b">
        <f t="shared" si="46"/>
        <v>0</v>
      </c>
      <c r="T1501" t="b">
        <f t="shared" si="47"/>
        <v>0</v>
      </c>
      <c r="U1501" s="154">
        <f>IFERROR(IF(R1501&lt;&gt;FALSE,IF(S1501=TRUE,INDEX('SummaryNOT_VALIDATED-BL'!$A$1:$F$16,MATCH(R1501,'SummaryNOT_VALIDATED-BL'!$A$1:$A$16,0),6),0),IF(S1501=TRUE,INDEX('SummaryNOT_VALIDATED-BL'!$A$1:$F$16,MATCH(E1501,'SummaryNOT_VALIDATED-BL'!$A$1:$A$16,0),6),0)),0)</f>
        <v>0</v>
      </c>
      <c r="V1501" s="81" cm="1">
        <f t="array" ref="V1501">INDEX('Weight tables'!$A$24:$C$27,MATCH(1,(RendicontiTrasmessiBL__2[[#This Row],[Cut percentage on real costs + USC]]&gt;='Weight tables'!$B$24:$B$27)*(RendicontiTrasmessiBL__2[[#This Row],[Cut percentage on real costs + USC]]&lt;='Weight tables'!$C$24:$C$27),0),1)</f>
        <v>0</v>
      </c>
      <c r="W1501" s="2">
        <f>RendicontiTrasmessiBL__2[[#This Row],[Weight real costs  + USC ]]</f>
        <v>0</v>
      </c>
    </row>
    <row r="1502" spans="1:23" x14ac:dyDescent="0.25">
      <c r="A1502" s="1" t="s">
        <v>63</v>
      </c>
      <c r="B1502" s="1" t="s">
        <v>51</v>
      </c>
      <c r="C1502" s="2">
        <v>287</v>
      </c>
      <c r="D1502" s="2">
        <v>326</v>
      </c>
      <c r="E1502" s="1" t="s">
        <v>234</v>
      </c>
      <c r="G1502">
        <v>0</v>
      </c>
      <c r="H1502">
        <v>0</v>
      </c>
      <c r="I1502">
        <v>0</v>
      </c>
      <c r="J1502">
        <v>0</v>
      </c>
      <c r="K1502">
        <v>0</v>
      </c>
      <c r="L1502">
        <v>0</v>
      </c>
      <c r="M1502">
        <v>0</v>
      </c>
      <c r="N1502">
        <v>0</v>
      </c>
      <c r="O1502">
        <v>0</v>
      </c>
      <c r="P1502">
        <v>0</v>
      </c>
      <c r="Q1502" t="str">
        <f>INDEX('Partner data'!A:DH,MATCH(C1502,'Partner data'!DG:DG,0),83)</f>
        <v>Soggetto privato</v>
      </c>
      <c r="R1502" t="b">
        <f>IF(E1502="staff",IF(INDEX('Partner data'!A:DH,MATCH(C1502,'Partner data'!DG:DG,0),112)="BL1 non presente","FALSO",INDEX('Partner data'!A:DH,MATCH(C1502,'Partner data'!DG:DG,0),112)))</f>
        <v>0</v>
      </c>
      <c r="S1502" t="b">
        <f t="shared" si="46"/>
        <v>0</v>
      </c>
      <c r="T1502" t="b">
        <f t="shared" si="47"/>
        <v>0</v>
      </c>
      <c r="U1502" s="154">
        <f>IFERROR(IF(R1502&lt;&gt;FALSE,IF(S1502=TRUE,INDEX('SummaryNOT_VALIDATED-BL'!$A$1:$F$16,MATCH(R1502,'SummaryNOT_VALIDATED-BL'!$A$1:$A$16,0),6),0),IF(S1502=TRUE,INDEX('SummaryNOT_VALIDATED-BL'!$A$1:$F$16,MATCH(E1502,'SummaryNOT_VALIDATED-BL'!$A$1:$A$16,0),6),0)),0)</f>
        <v>0</v>
      </c>
      <c r="V1502" s="81" cm="1">
        <f t="array" ref="V1502">INDEX('Weight tables'!$A$24:$C$27,MATCH(1,(RendicontiTrasmessiBL__2[[#This Row],[Cut percentage on real costs + USC]]&gt;='Weight tables'!$B$24:$B$27)*(RendicontiTrasmessiBL__2[[#This Row],[Cut percentage on real costs + USC]]&lt;='Weight tables'!$C$24:$C$27),0),1)</f>
        <v>0</v>
      </c>
      <c r="W1502" s="2">
        <f>RendicontiTrasmessiBL__2[[#This Row],[Weight real costs  + USC ]]</f>
        <v>0</v>
      </c>
    </row>
    <row r="1503" spans="1:23" x14ac:dyDescent="0.25">
      <c r="A1503" s="1" t="s">
        <v>63</v>
      </c>
      <c r="B1503" s="1" t="s">
        <v>51</v>
      </c>
      <c r="C1503" s="2">
        <v>287</v>
      </c>
      <c r="D1503" s="2">
        <v>326</v>
      </c>
      <c r="E1503" s="1" t="s">
        <v>236</v>
      </c>
      <c r="G1503">
        <v>0</v>
      </c>
      <c r="H1503">
        <v>0</v>
      </c>
      <c r="I1503">
        <v>0</v>
      </c>
      <c r="J1503">
        <v>0</v>
      </c>
      <c r="K1503">
        <v>0</v>
      </c>
      <c r="L1503">
        <v>0</v>
      </c>
      <c r="M1503">
        <v>0</v>
      </c>
      <c r="N1503">
        <v>0</v>
      </c>
      <c r="O1503">
        <v>0</v>
      </c>
      <c r="P1503">
        <v>0</v>
      </c>
      <c r="Q1503" t="str">
        <f>INDEX('Partner data'!A:DH,MATCH(C1503,'Partner data'!DG:DG,0),83)</f>
        <v>Soggetto privato</v>
      </c>
      <c r="R1503" t="b">
        <f>IF(E1503="staff",IF(INDEX('Partner data'!A:DH,MATCH(C1503,'Partner data'!DG:DG,0),112)="BL1 non presente","FALSO",INDEX('Partner data'!A:DH,MATCH(C1503,'Partner data'!DG:DG,0),112)))</f>
        <v>0</v>
      </c>
      <c r="S1503" t="b">
        <f t="shared" si="46"/>
        <v>0</v>
      </c>
      <c r="T1503" t="b">
        <f t="shared" si="47"/>
        <v>0</v>
      </c>
      <c r="U1503" s="154">
        <f>IFERROR(IF(R1503&lt;&gt;FALSE,IF(S1503=TRUE,INDEX('SummaryNOT_VALIDATED-BL'!$A$1:$F$16,MATCH(R1503,'SummaryNOT_VALIDATED-BL'!$A$1:$A$16,0),6),0),IF(S1503=TRUE,INDEX('SummaryNOT_VALIDATED-BL'!$A$1:$F$16,MATCH(E1503,'SummaryNOT_VALIDATED-BL'!$A$1:$A$16,0),6),0)),0)</f>
        <v>0</v>
      </c>
      <c r="V1503" s="81" cm="1">
        <f t="array" ref="V1503">INDEX('Weight tables'!$A$24:$C$27,MATCH(1,(RendicontiTrasmessiBL__2[[#This Row],[Cut percentage on real costs + USC]]&gt;='Weight tables'!$B$24:$B$27)*(RendicontiTrasmessiBL__2[[#This Row],[Cut percentage on real costs + USC]]&lt;='Weight tables'!$C$24:$C$27),0),1)</f>
        <v>0</v>
      </c>
      <c r="W1503" s="2">
        <f>RendicontiTrasmessiBL__2[[#This Row],[Weight real costs  + USC ]]</f>
        <v>0</v>
      </c>
    </row>
    <row r="1504" spans="1:23" x14ac:dyDescent="0.25">
      <c r="A1504" s="1" t="s">
        <v>63</v>
      </c>
      <c r="B1504" s="1" t="s">
        <v>51</v>
      </c>
      <c r="C1504" s="2">
        <v>287</v>
      </c>
      <c r="D1504" s="2">
        <v>326</v>
      </c>
      <c r="E1504" s="1" t="s">
        <v>237</v>
      </c>
      <c r="G1504">
        <v>0</v>
      </c>
      <c r="H1504">
        <v>0</v>
      </c>
      <c r="I1504">
        <v>0</v>
      </c>
      <c r="J1504">
        <v>0</v>
      </c>
      <c r="K1504">
        <v>0</v>
      </c>
      <c r="L1504">
        <v>0</v>
      </c>
      <c r="M1504">
        <v>0</v>
      </c>
      <c r="N1504">
        <v>0</v>
      </c>
      <c r="O1504">
        <v>0</v>
      </c>
      <c r="P1504">
        <v>0</v>
      </c>
      <c r="Q1504" t="str">
        <f>INDEX('Partner data'!A:DH,MATCH(C1504,'Partner data'!DG:DG,0),83)</f>
        <v>Soggetto privato</v>
      </c>
      <c r="R1504" t="b">
        <f>IF(E1504="staff",IF(INDEX('Partner data'!A:DH,MATCH(C1504,'Partner data'!DG:DG,0),112)="BL1 non presente","FALSO",INDEX('Partner data'!A:DH,MATCH(C1504,'Partner data'!DG:DG,0),112)))</f>
        <v>0</v>
      </c>
      <c r="S1504" t="b">
        <f t="shared" si="46"/>
        <v>0</v>
      </c>
      <c r="T1504" t="b">
        <f t="shared" si="47"/>
        <v>0</v>
      </c>
      <c r="U1504" s="154">
        <f>IFERROR(IF(R1504&lt;&gt;FALSE,IF(S1504=TRUE,INDEX('SummaryNOT_VALIDATED-BL'!$A$1:$F$16,MATCH(R1504,'SummaryNOT_VALIDATED-BL'!$A$1:$A$16,0),6),0),IF(S1504=TRUE,INDEX('SummaryNOT_VALIDATED-BL'!$A$1:$F$16,MATCH(E1504,'SummaryNOT_VALIDATED-BL'!$A$1:$A$16,0),6),0)),0)</f>
        <v>0</v>
      </c>
      <c r="V1504" s="81" cm="1">
        <f t="array" ref="V1504">INDEX('Weight tables'!$A$24:$C$27,MATCH(1,(RendicontiTrasmessiBL__2[[#This Row],[Cut percentage on real costs + USC]]&gt;='Weight tables'!$B$24:$B$27)*(RendicontiTrasmessiBL__2[[#This Row],[Cut percentage on real costs + USC]]&lt;='Weight tables'!$C$24:$C$27),0),1)</f>
        <v>0</v>
      </c>
      <c r="W1504" s="2">
        <f>RendicontiTrasmessiBL__2[[#This Row],[Weight real costs  + USC ]]</f>
        <v>0</v>
      </c>
    </row>
    <row r="1505" spans="1:23" x14ac:dyDescent="0.25">
      <c r="A1505" s="1" t="s">
        <v>63</v>
      </c>
      <c r="B1505" s="1" t="s">
        <v>51</v>
      </c>
      <c r="C1505" s="2">
        <v>287</v>
      </c>
      <c r="D1505" s="2">
        <v>62</v>
      </c>
      <c r="E1505" s="1" t="s">
        <v>228</v>
      </c>
      <c r="G1505">
        <v>106524.43</v>
      </c>
      <c r="H1505">
        <v>0</v>
      </c>
      <c r="I1505">
        <v>0</v>
      </c>
      <c r="J1505">
        <v>13346.81</v>
      </c>
      <c r="K1505">
        <v>0</v>
      </c>
      <c r="L1505">
        <v>13102.63</v>
      </c>
      <c r="M1505">
        <v>13346.81</v>
      </c>
      <c r="N1505">
        <v>12.53</v>
      </c>
      <c r="O1505">
        <v>93177.62</v>
      </c>
      <c r="P1505">
        <v>0</v>
      </c>
      <c r="Q1505" t="str">
        <f>INDEX('Partner data'!A:DH,MATCH(C1505,'Partner data'!DG:DG,0),83)</f>
        <v>Soggetto privato</v>
      </c>
      <c r="R1505" t="str">
        <f>IF(E1505="staff",IF(INDEX('Partner data'!A:DH,MATCH(C1505,'Partner data'!DG:DG,0),112)="BL1 non presente","FALSO",INDEX('Partner data'!A:DH,MATCH(C1505,'Partner data'!DG:DG,0),112)))</f>
        <v>COSTO REALE</v>
      </c>
      <c r="S1505" t="b">
        <f t="shared" si="46"/>
        <v>1</v>
      </c>
      <c r="T1505" t="b">
        <f t="shared" si="47"/>
        <v>0</v>
      </c>
      <c r="U1505" s="154">
        <f>IFERROR(IF(R1505&lt;&gt;FALSE,IF(S1505=TRUE,INDEX('SummaryNOT_VALIDATED-BL'!$A$1:$F$16,MATCH(R1505,'SummaryNOT_VALIDATED-BL'!$A$1:$A$16,0),6),0),IF(S1505=TRUE,INDEX('SummaryNOT_VALIDATED-BL'!$A$1:$F$16,MATCH(E1505,'SummaryNOT_VALIDATED-BL'!$A$1:$A$16,0),6),0)),0)</f>
        <v>9.1604133276901048E-2</v>
      </c>
      <c r="V1505" s="81" cm="1">
        <f t="array" ref="V1505">INDEX('Weight tables'!$A$24:$C$27,MATCH(1,(RendicontiTrasmessiBL__2[[#This Row],[Cut percentage on real costs + USC]]&gt;='Weight tables'!$B$24:$B$27)*(RendicontiTrasmessiBL__2[[#This Row],[Cut percentage on real costs + USC]]&lt;='Weight tables'!$C$24:$C$27),0),1)</f>
        <v>4</v>
      </c>
      <c r="W1505" s="2">
        <f>RendicontiTrasmessiBL__2[[#This Row],[Weight real costs  + USC ]]</f>
        <v>4</v>
      </c>
    </row>
    <row r="1506" spans="1:23" x14ac:dyDescent="0.25">
      <c r="A1506" s="1" t="s">
        <v>63</v>
      </c>
      <c r="B1506" s="1" t="s">
        <v>51</v>
      </c>
      <c r="C1506" s="2">
        <v>287</v>
      </c>
      <c r="D1506" s="2">
        <v>62</v>
      </c>
      <c r="E1506" s="1" t="s">
        <v>229</v>
      </c>
      <c r="F1506">
        <v>15</v>
      </c>
      <c r="G1506">
        <v>15978.66</v>
      </c>
      <c r="H1506">
        <v>0</v>
      </c>
      <c r="I1506">
        <v>0</v>
      </c>
      <c r="J1506">
        <v>2002.02</v>
      </c>
      <c r="K1506">
        <v>0</v>
      </c>
      <c r="L1506">
        <v>1965.39</v>
      </c>
      <c r="M1506">
        <v>2002.02</v>
      </c>
      <c r="N1506">
        <v>12.53</v>
      </c>
      <c r="O1506">
        <v>13976.64</v>
      </c>
      <c r="P1506">
        <v>0</v>
      </c>
      <c r="Q1506" t="str">
        <f>INDEX('Partner data'!A:DH,MATCH(C1506,'Partner data'!DG:DG,0),83)</f>
        <v>Soggetto privato</v>
      </c>
      <c r="R1506" t="b">
        <f>IF(E1506="staff",IF(INDEX('Partner data'!A:DH,MATCH(C1506,'Partner data'!DG:DG,0),112)="BL1 non presente","FALSO",INDEX('Partner data'!A:DH,MATCH(C1506,'Partner data'!DG:DG,0),112)))</f>
        <v>0</v>
      </c>
      <c r="S1506" t="b">
        <f t="shared" si="46"/>
        <v>1</v>
      </c>
      <c r="T1506" t="b">
        <f t="shared" si="47"/>
        <v>0</v>
      </c>
      <c r="U1506" s="154">
        <f>IFERROR(IF(R1506&lt;&gt;FALSE,IF(S1506=TRUE,INDEX('SummaryNOT_VALIDATED-BL'!$A$1:$F$16,MATCH(R1506,'SummaryNOT_VALIDATED-BL'!$A$1:$A$16,0),6),0),IF(S1506=TRUE,INDEX('SummaryNOT_VALIDATED-BL'!$A$1:$F$16,MATCH(E1506,'SummaryNOT_VALIDATED-BL'!$A$1:$A$16,0),6),0)),0)</f>
        <v>6.6460469504890221E-2</v>
      </c>
      <c r="V1506" s="81" cm="1">
        <f t="array" ref="V1506">INDEX('Weight tables'!$A$24:$C$27,MATCH(1,(RendicontiTrasmessiBL__2[[#This Row],[Cut percentage on real costs + USC]]&gt;='Weight tables'!$B$24:$B$27)*(RendicontiTrasmessiBL__2[[#This Row],[Cut percentage on real costs + USC]]&lt;='Weight tables'!$C$24:$C$27),0),1)</f>
        <v>4</v>
      </c>
      <c r="W1506" s="2">
        <f>RendicontiTrasmessiBL__2[[#This Row],[Weight real costs  + USC ]]</f>
        <v>4</v>
      </c>
    </row>
    <row r="1507" spans="1:23" x14ac:dyDescent="0.25">
      <c r="A1507" s="1" t="s">
        <v>63</v>
      </c>
      <c r="B1507" s="1" t="s">
        <v>51</v>
      </c>
      <c r="C1507" s="2">
        <v>287</v>
      </c>
      <c r="D1507" s="2">
        <v>62</v>
      </c>
      <c r="E1507" s="1" t="s">
        <v>230</v>
      </c>
      <c r="F1507">
        <v>4</v>
      </c>
      <c r="G1507">
        <v>4260.97</v>
      </c>
      <c r="H1507">
        <v>0</v>
      </c>
      <c r="I1507">
        <v>0</v>
      </c>
      <c r="J1507">
        <v>533.87</v>
      </c>
      <c r="K1507">
        <v>0</v>
      </c>
      <c r="L1507">
        <v>524.1</v>
      </c>
      <c r="M1507">
        <v>533.87</v>
      </c>
      <c r="N1507">
        <v>12.53</v>
      </c>
      <c r="O1507">
        <v>3727.1</v>
      </c>
      <c r="P1507">
        <v>0</v>
      </c>
      <c r="Q1507" t="str">
        <f>INDEX('Partner data'!A:DH,MATCH(C1507,'Partner data'!DG:DG,0),83)</f>
        <v>Soggetto privato</v>
      </c>
      <c r="R1507" t="b">
        <f>IF(E1507="staff",IF(INDEX('Partner data'!A:DH,MATCH(C1507,'Partner data'!DG:DG,0),112)="BL1 non presente","FALSO",INDEX('Partner data'!A:DH,MATCH(C1507,'Partner data'!DG:DG,0),112)))</f>
        <v>0</v>
      </c>
      <c r="S1507" t="b">
        <f t="shared" si="46"/>
        <v>1</v>
      </c>
      <c r="T1507" t="b">
        <f t="shared" si="47"/>
        <v>0</v>
      </c>
      <c r="U1507" s="154">
        <f>IFERROR(IF(R1507&lt;&gt;FALSE,IF(S1507=TRUE,INDEX('SummaryNOT_VALIDATED-BL'!$A$1:$F$16,MATCH(R1507,'SummaryNOT_VALIDATED-BL'!$A$1:$A$16,0),6),0),IF(S1507=TRUE,INDEX('SummaryNOT_VALIDATED-BL'!$A$1:$F$16,MATCH(E1507,'SummaryNOT_VALIDATED-BL'!$A$1:$A$16,0),6),0)),0)</f>
        <v>6.3112622236488891E-2</v>
      </c>
      <c r="V1507" s="81" cm="1">
        <f t="array" ref="V1507">INDEX('Weight tables'!$A$24:$C$27,MATCH(1,(RendicontiTrasmessiBL__2[[#This Row],[Cut percentage on real costs + USC]]&gt;='Weight tables'!$B$24:$B$27)*(RendicontiTrasmessiBL__2[[#This Row],[Cut percentage on real costs + USC]]&lt;='Weight tables'!$C$24:$C$27),0),1)</f>
        <v>4</v>
      </c>
      <c r="W1507" s="2">
        <f>RendicontiTrasmessiBL__2[[#This Row],[Weight real costs  + USC ]]</f>
        <v>4</v>
      </c>
    </row>
    <row r="1508" spans="1:23" x14ac:dyDescent="0.25">
      <c r="A1508" s="1" t="s">
        <v>63</v>
      </c>
      <c r="B1508" s="1" t="s">
        <v>51</v>
      </c>
      <c r="C1508" s="2">
        <v>287</v>
      </c>
      <c r="D1508" s="2">
        <v>62</v>
      </c>
      <c r="E1508" s="1" t="s">
        <v>231</v>
      </c>
      <c r="G1508">
        <v>48000</v>
      </c>
      <c r="H1508">
        <v>0</v>
      </c>
      <c r="I1508">
        <v>0</v>
      </c>
      <c r="J1508">
        <v>0</v>
      </c>
      <c r="K1508">
        <v>0</v>
      </c>
      <c r="L1508">
        <v>0</v>
      </c>
      <c r="M1508">
        <v>0</v>
      </c>
      <c r="N1508">
        <v>0</v>
      </c>
      <c r="O1508">
        <v>48000</v>
      </c>
      <c r="P1508">
        <v>0</v>
      </c>
      <c r="Q1508" t="str">
        <f>INDEX('Partner data'!A:DH,MATCH(C1508,'Partner data'!DG:DG,0),83)</f>
        <v>Soggetto privato</v>
      </c>
      <c r="R1508" t="b">
        <f>IF(E1508="staff",IF(INDEX('Partner data'!A:DH,MATCH(C1508,'Partner data'!DG:DG,0),112)="BL1 non presente","FALSO",INDEX('Partner data'!A:DH,MATCH(C1508,'Partner data'!DG:DG,0),112)))</f>
        <v>0</v>
      </c>
      <c r="S1508" t="b">
        <f t="shared" si="46"/>
        <v>0</v>
      </c>
      <c r="T1508" t="b">
        <f t="shared" si="47"/>
        <v>0</v>
      </c>
      <c r="U1508" s="154">
        <f>IFERROR(IF(R1508&lt;&gt;FALSE,IF(S1508=TRUE,INDEX('SummaryNOT_VALIDATED-BL'!$A$1:$F$16,MATCH(R1508,'SummaryNOT_VALIDATED-BL'!$A$1:$A$16,0),6),0),IF(S1508=TRUE,INDEX('SummaryNOT_VALIDATED-BL'!$A$1:$F$16,MATCH(E1508,'SummaryNOT_VALIDATED-BL'!$A$1:$A$16,0),6),0)),0)</f>
        <v>0</v>
      </c>
      <c r="V1508" s="81" cm="1">
        <f t="array" ref="V1508">INDEX('Weight tables'!$A$24:$C$27,MATCH(1,(RendicontiTrasmessiBL__2[[#This Row],[Cut percentage on real costs + USC]]&gt;='Weight tables'!$B$24:$B$27)*(RendicontiTrasmessiBL__2[[#This Row],[Cut percentage on real costs + USC]]&lt;='Weight tables'!$C$24:$C$27),0),1)</f>
        <v>0</v>
      </c>
      <c r="W1508" s="2">
        <f>RendicontiTrasmessiBL__2[[#This Row],[Weight real costs  + USC ]]</f>
        <v>0</v>
      </c>
    </row>
    <row r="1509" spans="1:23" x14ac:dyDescent="0.25">
      <c r="A1509" s="1" t="s">
        <v>63</v>
      </c>
      <c r="B1509" s="1" t="s">
        <v>51</v>
      </c>
      <c r="C1509" s="2">
        <v>287</v>
      </c>
      <c r="D1509" s="2">
        <v>62</v>
      </c>
      <c r="E1509" s="1" t="s">
        <v>232</v>
      </c>
      <c r="G1509">
        <v>550</v>
      </c>
      <c r="H1509">
        <v>0</v>
      </c>
      <c r="I1509">
        <v>0</v>
      </c>
      <c r="J1509">
        <v>0</v>
      </c>
      <c r="K1509">
        <v>0</v>
      </c>
      <c r="L1509">
        <v>0</v>
      </c>
      <c r="M1509">
        <v>0</v>
      </c>
      <c r="N1509">
        <v>0</v>
      </c>
      <c r="O1509">
        <v>550</v>
      </c>
      <c r="P1509">
        <v>0</v>
      </c>
      <c r="Q1509" t="str">
        <f>INDEX('Partner data'!A:DH,MATCH(C1509,'Partner data'!DG:DG,0),83)</f>
        <v>Soggetto privato</v>
      </c>
      <c r="R1509" t="b">
        <f>IF(E1509="staff",IF(INDEX('Partner data'!A:DH,MATCH(C1509,'Partner data'!DG:DG,0),112)="BL1 non presente","FALSO",INDEX('Partner data'!A:DH,MATCH(C1509,'Partner data'!DG:DG,0),112)))</f>
        <v>0</v>
      </c>
      <c r="S1509" t="b">
        <f t="shared" si="46"/>
        <v>0</v>
      </c>
      <c r="T1509" t="b">
        <f t="shared" si="47"/>
        <v>0</v>
      </c>
      <c r="U1509" s="154">
        <f>IFERROR(IF(R1509&lt;&gt;FALSE,IF(S1509=TRUE,INDEX('SummaryNOT_VALIDATED-BL'!$A$1:$F$16,MATCH(R1509,'SummaryNOT_VALIDATED-BL'!$A$1:$A$16,0),6),0),IF(S1509=TRUE,INDEX('SummaryNOT_VALIDATED-BL'!$A$1:$F$16,MATCH(E1509,'SummaryNOT_VALIDATED-BL'!$A$1:$A$16,0),6),0)),0)</f>
        <v>0</v>
      </c>
      <c r="V1509" s="81" cm="1">
        <f t="array" ref="V1509">INDEX('Weight tables'!$A$24:$C$27,MATCH(1,(RendicontiTrasmessiBL__2[[#This Row],[Cut percentage on real costs + USC]]&gt;='Weight tables'!$B$24:$B$27)*(RendicontiTrasmessiBL__2[[#This Row],[Cut percentage on real costs + USC]]&lt;='Weight tables'!$C$24:$C$27),0),1)</f>
        <v>0</v>
      </c>
      <c r="W1509" s="2">
        <f>RendicontiTrasmessiBL__2[[#This Row],[Weight real costs  + USC ]]</f>
        <v>0</v>
      </c>
    </row>
    <row r="1510" spans="1:23" x14ac:dyDescent="0.25">
      <c r="A1510" s="1" t="s">
        <v>63</v>
      </c>
      <c r="B1510" s="1" t="s">
        <v>51</v>
      </c>
      <c r="C1510" s="2">
        <v>287</v>
      </c>
      <c r="D1510" s="2">
        <v>62</v>
      </c>
      <c r="E1510" s="1" t="s">
        <v>233</v>
      </c>
      <c r="G1510">
        <v>0</v>
      </c>
      <c r="H1510">
        <v>0</v>
      </c>
      <c r="I1510">
        <v>0</v>
      </c>
      <c r="J1510">
        <v>0</v>
      </c>
      <c r="K1510">
        <v>0</v>
      </c>
      <c r="L1510">
        <v>0</v>
      </c>
      <c r="M1510">
        <v>0</v>
      </c>
      <c r="N1510">
        <v>0</v>
      </c>
      <c r="O1510">
        <v>0</v>
      </c>
      <c r="P1510">
        <v>0</v>
      </c>
      <c r="Q1510" t="str">
        <f>INDEX('Partner data'!A:DH,MATCH(C1510,'Partner data'!DG:DG,0),83)</f>
        <v>Soggetto privato</v>
      </c>
      <c r="R1510" t="b">
        <f>IF(E1510="staff",IF(INDEX('Partner data'!A:DH,MATCH(C1510,'Partner data'!DG:DG,0),112)="BL1 non presente","FALSO",INDEX('Partner data'!A:DH,MATCH(C1510,'Partner data'!DG:DG,0),112)))</f>
        <v>0</v>
      </c>
      <c r="S1510" t="b">
        <f t="shared" si="46"/>
        <v>0</v>
      </c>
      <c r="T1510" t="b">
        <f t="shared" si="47"/>
        <v>0</v>
      </c>
      <c r="U1510" s="154">
        <f>IFERROR(IF(R1510&lt;&gt;FALSE,IF(S1510=TRUE,INDEX('SummaryNOT_VALIDATED-BL'!$A$1:$F$16,MATCH(R1510,'SummaryNOT_VALIDATED-BL'!$A$1:$A$16,0),6),0),IF(S1510=TRUE,INDEX('SummaryNOT_VALIDATED-BL'!$A$1:$F$16,MATCH(E1510,'SummaryNOT_VALIDATED-BL'!$A$1:$A$16,0),6),0)),0)</f>
        <v>0</v>
      </c>
      <c r="V1510" s="81" cm="1">
        <f t="array" ref="V1510">INDEX('Weight tables'!$A$24:$C$27,MATCH(1,(RendicontiTrasmessiBL__2[[#This Row],[Cut percentage on real costs + USC]]&gt;='Weight tables'!$B$24:$B$27)*(RendicontiTrasmessiBL__2[[#This Row],[Cut percentage on real costs + USC]]&lt;='Weight tables'!$C$24:$C$27),0),1)</f>
        <v>0</v>
      </c>
      <c r="W1510" s="2">
        <f>RendicontiTrasmessiBL__2[[#This Row],[Weight real costs  + USC ]]</f>
        <v>0</v>
      </c>
    </row>
    <row r="1511" spans="1:23" x14ac:dyDescent="0.25">
      <c r="A1511" s="1" t="s">
        <v>63</v>
      </c>
      <c r="B1511" s="1" t="s">
        <v>51</v>
      </c>
      <c r="C1511" s="2">
        <v>287</v>
      </c>
      <c r="D1511" s="2">
        <v>62</v>
      </c>
      <c r="E1511" s="1" t="s">
        <v>234</v>
      </c>
      <c r="G1511">
        <v>0</v>
      </c>
      <c r="H1511">
        <v>0</v>
      </c>
      <c r="I1511">
        <v>0</v>
      </c>
      <c r="J1511">
        <v>0</v>
      </c>
      <c r="K1511">
        <v>0</v>
      </c>
      <c r="L1511">
        <v>0</v>
      </c>
      <c r="M1511">
        <v>0</v>
      </c>
      <c r="N1511">
        <v>0</v>
      </c>
      <c r="O1511">
        <v>0</v>
      </c>
      <c r="P1511">
        <v>0</v>
      </c>
      <c r="Q1511" t="str">
        <f>INDEX('Partner data'!A:DH,MATCH(C1511,'Partner data'!DG:DG,0),83)</f>
        <v>Soggetto privato</v>
      </c>
      <c r="R1511" t="b">
        <f>IF(E1511="staff",IF(INDEX('Partner data'!A:DH,MATCH(C1511,'Partner data'!DG:DG,0),112)="BL1 non presente","FALSO",INDEX('Partner data'!A:DH,MATCH(C1511,'Partner data'!DG:DG,0),112)))</f>
        <v>0</v>
      </c>
      <c r="S1511" t="b">
        <f t="shared" si="46"/>
        <v>0</v>
      </c>
      <c r="T1511" t="b">
        <f t="shared" si="47"/>
        <v>0</v>
      </c>
      <c r="U1511" s="154">
        <f>IFERROR(IF(R1511&lt;&gt;FALSE,IF(S1511=TRUE,INDEX('SummaryNOT_VALIDATED-BL'!$A$1:$F$16,MATCH(R1511,'SummaryNOT_VALIDATED-BL'!$A$1:$A$16,0),6),0),IF(S1511=TRUE,INDEX('SummaryNOT_VALIDATED-BL'!$A$1:$F$16,MATCH(E1511,'SummaryNOT_VALIDATED-BL'!$A$1:$A$16,0),6),0)),0)</f>
        <v>0</v>
      </c>
      <c r="V1511" s="81" cm="1">
        <f t="array" ref="V1511">INDEX('Weight tables'!$A$24:$C$27,MATCH(1,(RendicontiTrasmessiBL__2[[#This Row],[Cut percentage on real costs + USC]]&gt;='Weight tables'!$B$24:$B$27)*(RendicontiTrasmessiBL__2[[#This Row],[Cut percentage on real costs + USC]]&lt;='Weight tables'!$C$24:$C$27),0),1)</f>
        <v>0</v>
      </c>
      <c r="W1511" s="2">
        <f>RendicontiTrasmessiBL__2[[#This Row],[Weight real costs  + USC ]]</f>
        <v>0</v>
      </c>
    </row>
    <row r="1512" spans="1:23" x14ac:dyDescent="0.25">
      <c r="A1512" s="1" t="s">
        <v>63</v>
      </c>
      <c r="B1512" s="1" t="s">
        <v>51</v>
      </c>
      <c r="C1512" s="2">
        <v>287</v>
      </c>
      <c r="D1512" s="2">
        <v>62</v>
      </c>
      <c r="E1512" s="1" t="s">
        <v>236</v>
      </c>
      <c r="G1512">
        <v>0</v>
      </c>
      <c r="H1512">
        <v>0</v>
      </c>
      <c r="I1512">
        <v>0</v>
      </c>
      <c r="J1512">
        <v>0</v>
      </c>
      <c r="K1512">
        <v>0</v>
      </c>
      <c r="L1512">
        <v>0</v>
      </c>
      <c r="M1512">
        <v>0</v>
      </c>
      <c r="N1512">
        <v>0</v>
      </c>
      <c r="O1512">
        <v>0</v>
      </c>
      <c r="P1512">
        <v>0</v>
      </c>
      <c r="Q1512" t="str">
        <f>INDEX('Partner data'!A:DH,MATCH(C1512,'Partner data'!DG:DG,0),83)</f>
        <v>Soggetto privato</v>
      </c>
      <c r="R1512" t="b">
        <f>IF(E1512="staff",IF(INDEX('Partner data'!A:DH,MATCH(C1512,'Partner data'!DG:DG,0),112)="BL1 non presente","FALSO",INDEX('Partner data'!A:DH,MATCH(C1512,'Partner data'!DG:DG,0),112)))</f>
        <v>0</v>
      </c>
      <c r="S1512" t="b">
        <f t="shared" si="46"/>
        <v>0</v>
      </c>
      <c r="T1512" t="b">
        <f t="shared" si="47"/>
        <v>0</v>
      </c>
      <c r="U1512" s="154">
        <f>IFERROR(IF(R1512&lt;&gt;FALSE,IF(S1512=TRUE,INDEX('SummaryNOT_VALIDATED-BL'!$A$1:$F$16,MATCH(R1512,'SummaryNOT_VALIDATED-BL'!$A$1:$A$16,0),6),0),IF(S1512=TRUE,INDEX('SummaryNOT_VALIDATED-BL'!$A$1:$F$16,MATCH(E1512,'SummaryNOT_VALIDATED-BL'!$A$1:$A$16,0),6),0)),0)</f>
        <v>0</v>
      </c>
      <c r="V1512" s="81" cm="1">
        <f t="array" ref="V1512">INDEX('Weight tables'!$A$24:$C$27,MATCH(1,(RendicontiTrasmessiBL__2[[#This Row],[Cut percentage on real costs + USC]]&gt;='Weight tables'!$B$24:$B$27)*(RendicontiTrasmessiBL__2[[#This Row],[Cut percentage on real costs + USC]]&lt;='Weight tables'!$C$24:$C$27),0),1)</f>
        <v>0</v>
      </c>
      <c r="W1512" s="2">
        <f>RendicontiTrasmessiBL__2[[#This Row],[Weight real costs  + USC ]]</f>
        <v>0</v>
      </c>
    </row>
    <row r="1513" spans="1:23" x14ac:dyDescent="0.25">
      <c r="A1513" s="1" t="s">
        <v>63</v>
      </c>
      <c r="B1513" s="1" t="s">
        <v>51</v>
      </c>
      <c r="C1513" s="2">
        <v>287</v>
      </c>
      <c r="D1513" s="2">
        <v>62</v>
      </c>
      <c r="E1513" s="1" t="s">
        <v>237</v>
      </c>
      <c r="G1513">
        <v>0</v>
      </c>
      <c r="H1513">
        <v>0</v>
      </c>
      <c r="I1513">
        <v>0</v>
      </c>
      <c r="J1513">
        <v>0</v>
      </c>
      <c r="K1513">
        <v>0</v>
      </c>
      <c r="L1513">
        <v>0</v>
      </c>
      <c r="M1513">
        <v>0</v>
      </c>
      <c r="N1513">
        <v>0</v>
      </c>
      <c r="O1513">
        <v>0</v>
      </c>
      <c r="P1513">
        <v>0</v>
      </c>
      <c r="Q1513" t="str">
        <f>INDEX('Partner data'!A:DH,MATCH(C1513,'Partner data'!DG:DG,0),83)</f>
        <v>Soggetto privato</v>
      </c>
      <c r="R1513" t="b">
        <f>IF(E1513="staff",IF(INDEX('Partner data'!A:DH,MATCH(C1513,'Partner data'!DG:DG,0),112)="BL1 non presente","FALSO",INDEX('Partner data'!A:DH,MATCH(C1513,'Partner data'!DG:DG,0),112)))</f>
        <v>0</v>
      </c>
      <c r="S1513" t="b">
        <f t="shared" si="46"/>
        <v>0</v>
      </c>
      <c r="T1513" t="b">
        <f t="shared" si="47"/>
        <v>0</v>
      </c>
      <c r="U1513" s="154">
        <f>IFERROR(IF(R1513&lt;&gt;FALSE,IF(S1513=TRUE,INDEX('SummaryNOT_VALIDATED-BL'!$A$1:$F$16,MATCH(R1513,'SummaryNOT_VALIDATED-BL'!$A$1:$A$16,0),6),0),IF(S1513=TRUE,INDEX('SummaryNOT_VALIDATED-BL'!$A$1:$F$16,MATCH(E1513,'SummaryNOT_VALIDATED-BL'!$A$1:$A$16,0),6),0)),0)</f>
        <v>0</v>
      </c>
      <c r="V1513" s="81" cm="1">
        <f t="array" ref="V1513">INDEX('Weight tables'!$A$24:$C$27,MATCH(1,(RendicontiTrasmessiBL__2[[#This Row],[Cut percentage on real costs + USC]]&gt;='Weight tables'!$B$24:$B$27)*(RendicontiTrasmessiBL__2[[#This Row],[Cut percentage on real costs + USC]]&lt;='Weight tables'!$C$24:$C$27),0),1)</f>
        <v>0</v>
      </c>
      <c r="W1513" s="2">
        <f>RendicontiTrasmessiBL__2[[#This Row],[Weight real costs  + USC ]]</f>
        <v>0</v>
      </c>
    </row>
    <row r="1514" spans="1:23" x14ac:dyDescent="0.25">
      <c r="A1514" s="1" t="s">
        <v>63</v>
      </c>
      <c r="B1514" s="1" t="s">
        <v>46</v>
      </c>
      <c r="C1514" s="2">
        <v>230</v>
      </c>
      <c r="D1514" s="2">
        <v>20</v>
      </c>
      <c r="E1514" s="1" t="s">
        <v>228</v>
      </c>
      <c r="G1514">
        <v>171406.82</v>
      </c>
      <c r="H1514">
        <v>0</v>
      </c>
      <c r="I1514">
        <v>0</v>
      </c>
      <c r="J1514">
        <v>18201.55</v>
      </c>
      <c r="K1514">
        <v>0</v>
      </c>
      <c r="L1514">
        <v>11419.24</v>
      </c>
      <c r="M1514">
        <v>18201.55</v>
      </c>
      <c r="N1514">
        <v>10.62</v>
      </c>
      <c r="O1514">
        <v>153205.26999999999</v>
      </c>
      <c r="P1514">
        <v>0</v>
      </c>
      <c r="Q1514" t="str">
        <f>INDEX('Partner data'!A:DH,MATCH(C1514,'Partner data'!DG:DG,0),83)</f>
        <v>Soggetto pubblico</v>
      </c>
      <c r="R1514" t="str">
        <f>IF(E1514="staff",IF(INDEX('Partner data'!A:DH,MATCH(C1514,'Partner data'!DG:DG,0),112)="BL1 non presente","FALSO",INDEX('Partner data'!A:DH,MATCH(C1514,'Partner data'!DG:DG,0),112)))</f>
        <v>COSTO REALE</v>
      </c>
      <c r="S1514" t="b">
        <f t="shared" si="46"/>
        <v>1</v>
      </c>
      <c r="T1514" t="b">
        <f t="shared" si="47"/>
        <v>1</v>
      </c>
      <c r="U1514" s="154">
        <f>IFERROR(IF(R1514&lt;&gt;FALSE,IF(S1514=TRUE,INDEX('SummaryNOT_VALIDATED-BL'!$A$1:$F$16,MATCH(R1514,'SummaryNOT_VALIDATED-BL'!$A$1:$A$16,0),6),0),IF(S1514=TRUE,INDEX('SummaryNOT_VALIDATED-BL'!$A$1:$F$16,MATCH(E1514,'SummaryNOT_VALIDATED-BL'!$A$1:$A$16,0),6),0)),0)</f>
        <v>9.1604133276901048E-2</v>
      </c>
      <c r="V1514" s="81" cm="1">
        <f t="array" ref="V1514">INDEX('Weight tables'!$A$24:$C$27,MATCH(1,(RendicontiTrasmessiBL__2[[#This Row],[Cut percentage on real costs + USC]]&gt;='Weight tables'!$B$24:$B$27)*(RendicontiTrasmessiBL__2[[#This Row],[Cut percentage on real costs + USC]]&lt;='Weight tables'!$C$24:$C$27),0),1)</f>
        <v>4</v>
      </c>
      <c r="W1514" s="2">
        <f>RendicontiTrasmessiBL__2[[#This Row],[Weight real costs  + USC ]]</f>
        <v>4</v>
      </c>
    </row>
    <row r="1515" spans="1:23" x14ac:dyDescent="0.25">
      <c r="A1515" s="1" t="s">
        <v>63</v>
      </c>
      <c r="B1515" s="1" t="s">
        <v>46</v>
      </c>
      <c r="C1515" s="2">
        <v>230</v>
      </c>
      <c r="D1515" s="2">
        <v>20</v>
      </c>
      <c r="E1515" s="1" t="s">
        <v>229</v>
      </c>
      <c r="G1515">
        <v>0</v>
      </c>
      <c r="H1515">
        <v>0</v>
      </c>
      <c r="I1515">
        <v>0</v>
      </c>
      <c r="J1515">
        <v>0</v>
      </c>
      <c r="K1515">
        <v>0</v>
      </c>
      <c r="L1515">
        <v>0</v>
      </c>
      <c r="M1515">
        <v>0</v>
      </c>
      <c r="N1515">
        <v>0</v>
      </c>
      <c r="O1515">
        <v>0</v>
      </c>
      <c r="P1515">
        <v>0</v>
      </c>
      <c r="Q1515" t="str">
        <f>INDEX('Partner data'!A:DH,MATCH(C1515,'Partner data'!DG:DG,0),83)</f>
        <v>Soggetto pubblico</v>
      </c>
      <c r="R1515" t="b">
        <f>IF(E1515="staff",IF(INDEX('Partner data'!A:DH,MATCH(C1515,'Partner data'!DG:DG,0),112)="BL1 non presente","FALSO",INDEX('Partner data'!A:DH,MATCH(C1515,'Partner data'!DG:DG,0),112)))</f>
        <v>0</v>
      </c>
      <c r="S1515" t="b">
        <f t="shared" si="46"/>
        <v>0</v>
      </c>
      <c r="T1515" t="b">
        <f t="shared" si="47"/>
        <v>1</v>
      </c>
      <c r="U1515" s="154">
        <f>IFERROR(IF(R1515&lt;&gt;FALSE,IF(S1515=TRUE,INDEX('SummaryNOT_VALIDATED-BL'!$A$1:$F$16,MATCH(R1515,'SummaryNOT_VALIDATED-BL'!$A$1:$A$16,0),6),0),IF(S1515=TRUE,INDEX('SummaryNOT_VALIDATED-BL'!$A$1:$F$16,MATCH(E1515,'SummaryNOT_VALIDATED-BL'!$A$1:$A$16,0),6),0)),0)</f>
        <v>0</v>
      </c>
      <c r="V1515" s="81" cm="1">
        <f t="array" ref="V1515">INDEX('Weight tables'!$A$24:$C$27,MATCH(1,(RendicontiTrasmessiBL__2[[#This Row],[Cut percentage on real costs + USC]]&gt;='Weight tables'!$B$24:$B$27)*(RendicontiTrasmessiBL__2[[#This Row],[Cut percentage on real costs + USC]]&lt;='Weight tables'!$C$24:$C$27),0),1)</f>
        <v>0</v>
      </c>
      <c r="W1515" s="2">
        <f>RendicontiTrasmessiBL__2[[#This Row],[Weight real costs  + USC ]]</f>
        <v>0</v>
      </c>
    </row>
    <row r="1516" spans="1:23" x14ac:dyDescent="0.25">
      <c r="A1516" s="1" t="s">
        <v>63</v>
      </c>
      <c r="B1516" s="1" t="s">
        <v>46</v>
      </c>
      <c r="C1516" s="2">
        <v>230</v>
      </c>
      <c r="D1516" s="2">
        <v>20</v>
      </c>
      <c r="E1516" s="1" t="s">
        <v>230</v>
      </c>
      <c r="G1516">
        <v>0</v>
      </c>
      <c r="H1516">
        <v>0</v>
      </c>
      <c r="I1516">
        <v>0</v>
      </c>
      <c r="J1516">
        <v>0</v>
      </c>
      <c r="K1516">
        <v>0</v>
      </c>
      <c r="L1516">
        <v>0</v>
      </c>
      <c r="M1516">
        <v>0</v>
      </c>
      <c r="N1516">
        <v>0</v>
      </c>
      <c r="O1516">
        <v>0</v>
      </c>
      <c r="P1516">
        <v>0</v>
      </c>
      <c r="Q1516" t="str">
        <f>INDEX('Partner data'!A:DH,MATCH(C1516,'Partner data'!DG:DG,0),83)</f>
        <v>Soggetto pubblico</v>
      </c>
      <c r="R1516" t="b">
        <f>IF(E1516="staff",IF(INDEX('Partner data'!A:DH,MATCH(C1516,'Partner data'!DG:DG,0),112)="BL1 non presente","FALSO",INDEX('Partner data'!A:DH,MATCH(C1516,'Partner data'!DG:DG,0),112)))</f>
        <v>0</v>
      </c>
      <c r="S1516" t="b">
        <f t="shared" si="46"/>
        <v>0</v>
      </c>
      <c r="T1516" t="b">
        <f t="shared" si="47"/>
        <v>1</v>
      </c>
      <c r="U1516" s="154">
        <f>IFERROR(IF(R1516&lt;&gt;FALSE,IF(S1516=TRUE,INDEX('SummaryNOT_VALIDATED-BL'!$A$1:$F$16,MATCH(R1516,'SummaryNOT_VALIDATED-BL'!$A$1:$A$16,0),6),0),IF(S1516=TRUE,INDEX('SummaryNOT_VALIDATED-BL'!$A$1:$F$16,MATCH(E1516,'SummaryNOT_VALIDATED-BL'!$A$1:$A$16,0),6),0)),0)</f>
        <v>0</v>
      </c>
      <c r="V1516" s="81" cm="1">
        <f t="array" ref="V1516">INDEX('Weight tables'!$A$24:$C$27,MATCH(1,(RendicontiTrasmessiBL__2[[#This Row],[Cut percentage on real costs + USC]]&gt;='Weight tables'!$B$24:$B$27)*(RendicontiTrasmessiBL__2[[#This Row],[Cut percentage on real costs + USC]]&lt;='Weight tables'!$C$24:$C$27),0),1)</f>
        <v>0</v>
      </c>
      <c r="W1516" s="2">
        <f>RendicontiTrasmessiBL__2[[#This Row],[Weight real costs  + USC ]]</f>
        <v>0</v>
      </c>
    </row>
    <row r="1517" spans="1:23" x14ac:dyDescent="0.25">
      <c r="A1517" s="1" t="s">
        <v>63</v>
      </c>
      <c r="B1517" s="1" t="s">
        <v>46</v>
      </c>
      <c r="C1517" s="2">
        <v>230</v>
      </c>
      <c r="D1517" s="2">
        <v>20</v>
      </c>
      <c r="E1517" s="1" t="s">
        <v>231</v>
      </c>
      <c r="G1517">
        <v>0</v>
      </c>
      <c r="H1517">
        <v>0</v>
      </c>
      <c r="I1517">
        <v>0</v>
      </c>
      <c r="J1517">
        <v>0</v>
      </c>
      <c r="K1517">
        <v>0</v>
      </c>
      <c r="L1517">
        <v>0</v>
      </c>
      <c r="M1517">
        <v>0</v>
      </c>
      <c r="N1517">
        <v>0</v>
      </c>
      <c r="O1517">
        <v>0</v>
      </c>
      <c r="P1517">
        <v>0</v>
      </c>
      <c r="Q1517" t="str">
        <f>INDEX('Partner data'!A:DH,MATCH(C1517,'Partner data'!DG:DG,0),83)</f>
        <v>Soggetto pubblico</v>
      </c>
      <c r="R1517" t="b">
        <f>IF(E1517="staff",IF(INDEX('Partner data'!A:DH,MATCH(C1517,'Partner data'!DG:DG,0),112)="BL1 non presente","FALSO",INDEX('Partner data'!A:DH,MATCH(C1517,'Partner data'!DG:DG,0),112)))</f>
        <v>0</v>
      </c>
      <c r="S1517" t="b">
        <f t="shared" si="46"/>
        <v>0</v>
      </c>
      <c r="T1517" t="b">
        <f t="shared" si="47"/>
        <v>1</v>
      </c>
      <c r="U1517" s="154">
        <f>IFERROR(IF(R1517&lt;&gt;FALSE,IF(S1517=TRUE,INDEX('SummaryNOT_VALIDATED-BL'!$A$1:$F$16,MATCH(R1517,'SummaryNOT_VALIDATED-BL'!$A$1:$A$16,0),6),0),IF(S1517=TRUE,INDEX('SummaryNOT_VALIDATED-BL'!$A$1:$F$16,MATCH(E1517,'SummaryNOT_VALIDATED-BL'!$A$1:$A$16,0),6),0)),0)</f>
        <v>0</v>
      </c>
      <c r="V1517" s="81" cm="1">
        <f t="array" ref="V1517">INDEX('Weight tables'!$A$24:$C$27,MATCH(1,(RendicontiTrasmessiBL__2[[#This Row],[Cut percentage on real costs + USC]]&gt;='Weight tables'!$B$24:$B$27)*(RendicontiTrasmessiBL__2[[#This Row],[Cut percentage on real costs + USC]]&lt;='Weight tables'!$C$24:$C$27),0),1)</f>
        <v>0</v>
      </c>
      <c r="W1517" s="2">
        <f>RendicontiTrasmessiBL__2[[#This Row],[Weight real costs  + USC ]]</f>
        <v>0</v>
      </c>
    </row>
    <row r="1518" spans="1:23" x14ac:dyDescent="0.25">
      <c r="A1518" s="1" t="s">
        <v>63</v>
      </c>
      <c r="B1518" s="1" t="s">
        <v>46</v>
      </c>
      <c r="C1518" s="2">
        <v>230</v>
      </c>
      <c r="D1518" s="2">
        <v>20</v>
      </c>
      <c r="E1518" s="1" t="s">
        <v>232</v>
      </c>
      <c r="G1518">
        <v>0</v>
      </c>
      <c r="H1518">
        <v>0</v>
      </c>
      <c r="I1518">
        <v>0</v>
      </c>
      <c r="J1518">
        <v>0</v>
      </c>
      <c r="K1518">
        <v>0</v>
      </c>
      <c r="L1518">
        <v>0</v>
      </c>
      <c r="M1518">
        <v>0</v>
      </c>
      <c r="N1518">
        <v>0</v>
      </c>
      <c r="O1518">
        <v>0</v>
      </c>
      <c r="P1518">
        <v>0</v>
      </c>
      <c r="Q1518" t="str">
        <f>INDEX('Partner data'!A:DH,MATCH(C1518,'Partner data'!DG:DG,0),83)</f>
        <v>Soggetto pubblico</v>
      </c>
      <c r="R1518" t="b">
        <f>IF(E1518="staff",IF(INDEX('Partner data'!A:DH,MATCH(C1518,'Partner data'!DG:DG,0),112)="BL1 non presente","FALSO",INDEX('Partner data'!A:DH,MATCH(C1518,'Partner data'!DG:DG,0),112)))</f>
        <v>0</v>
      </c>
      <c r="S1518" t="b">
        <f t="shared" si="46"/>
        <v>0</v>
      </c>
      <c r="T1518" t="b">
        <f t="shared" si="47"/>
        <v>1</v>
      </c>
      <c r="U1518" s="154">
        <f>IFERROR(IF(R1518&lt;&gt;FALSE,IF(S1518=TRUE,INDEX('SummaryNOT_VALIDATED-BL'!$A$1:$F$16,MATCH(R1518,'SummaryNOT_VALIDATED-BL'!$A$1:$A$16,0),6),0),IF(S1518=TRUE,INDEX('SummaryNOT_VALIDATED-BL'!$A$1:$F$16,MATCH(E1518,'SummaryNOT_VALIDATED-BL'!$A$1:$A$16,0),6),0)),0)</f>
        <v>0</v>
      </c>
      <c r="V1518" s="81" cm="1">
        <f t="array" ref="V1518">INDEX('Weight tables'!$A$24:$C$27,MATCH(1,(RendicontiTrasmessiBL__2[[#This Row],[Cut percentage on real costs + USC]]&gt;='Weight tables'!$B$24:$B$27)*(RendicontiTrasmessiBL__2[[#This Row],[Cut percentage on real costs + USC]]&lt;='Weight tables'!$C$24:$C$27),0),1)</f>
        <v>0</v>
      </c>
      <c r="W1518" s="2">
        <f>RendicontiTrasmessiBL__2[[#This Row],[Weight real costs  + USC ]]</f>
        <v>0</v>
      </c>
    </row>
    <row r="1519" spans="1:23" x14ac:dyDescent="0.25">
      <c r="A1519" s="1" t="s">
        <v>63</v>
      </c>
      <c r="B1519" s="1" t="s">
        <v>46</v>
      </c>
      <c r="C1519" s="2">
        <v>230</v>
      </c>
      <c r="D1519" s="2">
        <v>20</v>
      </c>
      <c r="E1519" s="1" t="s">
        <v>233</v>
      </c>
      <c r="G1519">
        <v>0</v>
      </c>
      <c r="H1519">
        <v>0</v>
      </c>
      <c r="I1519">
        <v>0</v>
      </c>
      <c r="J1519">
        <v>0</v>
      </c>
      <c r="K1519">
        <v>0</v>
      </c>
      <c r="L1519">
        <v>0</v>
      </c>
      <c r="M1519">
        <v>0</v>
      </c>
      <c r="N1519">
        <v>0</v>
      </c>
      <c r="O1519">
        <v>0</v>
      </c>
      <c r="P1519">
        <v>0</v>
      </c>
      <c r="Q1519" t="str">
        <f>INDEX('Partner data'!A:DH,MATCH(C1519,'Partner data'!DG:DG,0),83)</f>
        <v>Soggetto pubblico</v>
      </c>
      <c r="R1519" t="b">
        <f>IF(E1519="staff",IF(INDEX('Partner data'!A:DH,MATCH(C1519,'Partner data'!DG:DG,0),112)="BL1 non presente","FALSO",INDEX('Partner data'!A:DH,MATCH(C1519,'Partner data'!DG:DG,0),112)))</f>
        <v>0</v>
      </c>
      <c r="S1519" t="b">
        <f t="shared" si="46"/>
        <v>0</v>
      </c>
      <c r="T1519" t="b">
        <f t="shared" si="47"/>
        <v>1</v>
      </c>
      <c r="U1519" s="154">
        <f>IFERROR(IF(R1519&lt;&gt;FALSE,IF(S1519=TRUE,INDEX('SummaryNOT_VALIDATED-BL'!$A$1:$F$16,MATCH(R1519,'SummaryNOT_VALIDATED-BL'!$A$1:$A$16,0),6),0),IF(S1519=TRUE,INDEX('SummaryNOT_VALIDATED-BL'!$A$1:$F$16,MATCH(E1519,'SummaryNOT_VALIDATED-BL'!$A$1:$A$16,0),6),0)),0)</f>
        <v>0</v>
      </c>
      <c r="V1519" s="81" cm="1">
        <f t="array" ref="V1519">INDEX('Weight tables'!$A$24:$C$27,MATCH(1,(RendicontiTrasmessiBL__2[[#This Row],[Cut percentage on real costs + USC]]&gt;='Weight tables'!$B$24:$B$27)*(RendicontiTrasmessiBL__2[[#This Row],[Cut percentage on real costs + USC]]&lt;='Weight tables'!$C$24:$C$27),0),1)</f>
        <v>0</v>
      </c>
      <c r="W1519" s="2">
        <f>RendicontiTrasmessiBL__2[[#This Row],[Weight real costs  + USC ]]</f>
        <v>0</v>
      </c>
    </row>
    <row r="1520" spans="1:23" x14ac:dyDescent="0.25">
      <c r="A1520" s="1" t="s">
        <v>63</v>
      </c>
      <c r="B1520" s="1" t="s">
        <v>46</v>
      </c>
      <c r="C1520" s="2">
        <v>230</v>
      </c>
      <c r="D1520" s="2">
        <v>20</v>
      </c>
      <c r="E1520" s="1" t="s">
        <v>234</v>
      </c>
      <c r="F1520">
        <v>40</v>
      </c>
      <c r="G1520">
        <v>68562.720000000001</v>
      </c>
      <c r="H1520">
        <v>0</v>
      </c>
      <c r="I1520">
        <v>0</v>
      </c>
      <c r="J1520">
        <v>7280.62</v>
      </c>
      <c r="K1520">
        <v>0</v>
      </c>
      <c r="L1520">
        <v>4567.6899999999996</v>
      </c>
      <c r="M1520">
        <v>7280.62</v>
      </c>
      <c r="N1520">
        <v>10.62</v>
      </c>
      <c r="O1520">
        <v>61282.1</v>
      </c>
      <c r="P1520">
        <v>0</v>
      </c>
      <c r="Q1520" t="str">
        <f>INDEX('Partner data'!A:DH,MATCH(C1520,'Partner data'!DG:DG,0),83)</f>
        <v>Soggetto pubblico</v>
      </c>
      <c r="R1520" t="b">
        <f>IF(E1520="staff",IF(INDEX('Partner data'!A:DH,MATCH(C1520,'Partner data'!DG:DG,0),112)="BL1 non presente","FALSO",INDEX('Partner data'!A:DH,MATCH(C1520,'Partner data'!DG:DG,0),112)))</f>
        <v>0</v>
      </c>
      <c r="S1520" t="b">
        <f t="shared" si="46"/>
        <v>1</v>
      </c>
      <c r="T1520" t="b">
        <f t="shared" si="47"/>
        <v>1</v>
      </c>
      <c r="U1520" s="154">
        <f>IFERROR(IF(R1520&lt;&gt;FALSE,IF(S1520=TRUE,INDEX('SummaryNOT_VALIDATED-BL'!$A$1:$F$16,MATCH(R1520,'SummaryNOT_VALIDATED-BL'!$A$1:$A$16,0),6),0),IF(S1520=TRUE,INDEX('SummaryNOT_VALIDATED-BL'!$A$1:$F$16,MATCH(E1520,'SummaryNOT_VALIDATED-BL'!$A$1:$A$16,0),6),0)),0)</f>
        <v>8.7645339819521315E-2</v>
      </c>
      <c r="V1520" s="81" cm="1">
        <f t="array" ref="V1520">INDEX('Weight tables'!$A$24:$C$27,MATCH(1,(RendicontiTrasmessiBL__2[[#This Row],[Cut percentage on real costs + USC]]&gt;='Weight tables'!$B$24:$B$27)*(RendicontiTrasmessiBL__2[[#This Row],[Cut percentage on real costs + USC]]&lt;='Weight tables'!$C$24:$C$27),0),1)</f>
        <v>4</v>
      </c>
      <c r="W1520" s="2">
        <f>RendicontiTrasmessiBL__2[[#This Row],[Weight real costs  + USC ]]</f>
        <v>4</v>
      </c>
    </row>
    <row r="1521" spans="1:23" x14ac:dyDescent="0.25">
      <c r="A1521" s="1" t="s">
        <v>63</v>
      </c>
      <c r="B1521" s="1" t="s">
        <v>46</v>
      </c>
      <c r="C1521" s="2">
        <v>230</v>
      </c>
      <c r="D1521" s="2">
        <v>20</v>
      </c>
      <c r="E1521" s="1" t="s">
        <v>236</v>
      </c>
      <c r="G1521">
        <v>0</v>
      </c>
      <c r="H1521">
        <v>0</v>
      </c>
      <c r="I1521">
        <v>0</v>
      </c>
      <c r="J1521">
        <v>0</v>
      </c>
      <c r="K1521">
        <v>0</v>
      </c>
      <c r="L1521">
        <v>0</v>
      </c>
      <c r="M1521">
        <v>0</v>
      </c>
      <c r="N1521">
        <v>0</v>
      </c>
      <c r="O1521">
        <v>0</v>
      </c>
      <c r="P1521">
        <v>0</v>
      </c>
      <c r="Q1521" t="str">
        <f>INDEX('Partner data'!A:DH,MATCH(C1521,'Partner data'!DG:DG,0),83)</f>
        <v>Soggetto pubblico</v>
      </c>
      <c r="R1521" t="b">
        <f>IF(E1521="staff",IF(INDEX('Partner data'!A:DH,MATCH(C1521,'Partner data'!DG:DG,0),112)="BL1 non presente","FALSO",INDEX('Partner data'!A:DH,MATCH(C1521,'Partner data'!DG:DG,0),112)))</f>
        <v>0</v>
      </c>
      <c r="S1521" t="b">
        <f t="shared" si="46"/>
        <v>0</v>
      </c>
      <c r="T1521" t="b">
        <f t="shared" si="47"/>
        <v>1</v>
      </c>
      <c r="U1521" s="154">
        <f>IFERROR(IF(R1521&lt;&gt;FALSE,IF(S1521=TRUE,INDEX('SummaryNOT_VALIDATED-BL'!$A$1:$F$16,MATCH(R1521,'SummaryNOT_VALIDATED-BL'!$A$1:$A$16,0),6),0),IF(S1521=TRUE,INDEX('SummaryNOT_VALIDATED-BL'!$A$1:$F$16,MATCH(E1521,'SummaryNOT_VALIDATED-BL'!$A$1:$A$16,0),6),0)),0)</f>
        <v>0</v>
      </c>
      <c r="V1521" s="81" cm="1">
        <f t="array" ref="V1521">INDEX('Weight tables'!$A$24:$C$27,MATCH(1,(RendicontiTrasmessiBL__2[[#This Row],[Cut percentage on real costs + USC]]&gt;='Weight tables'!$B$24:$B$27)*(RendicontiTrasmessiBL__2[[#This Row],[Cut percentage on real costs + USC]]&lt;='Weight tables'!$C$24:$C$27),0),1)</f>
        <v>0</v>
      </c>
      <c r="W1521" s="2">
        <f>RendicontiTrasmessiBL__2[[#This Row],[Weight real costs  + USC ]]</f>
        <v>0</v>
      </c>
    </row>
    <row r="1522" spans="1:23" x14ac:dyDescent="0.25">
      <c r="A1522" s="1" t="s">
        <v>63</v>
      </c>
      <c r="B1522" s="1" t="s">
        <v>46</v>
      </c>
      <c r="C1522" s="2">
        <v>230</v>
      </c>
      <c r="D1522" s="2">
        <v>20</v>
      </c>
      <c r="E1522" s="1" t="s">
        <v>237</v>
      </c>
      <c r="G1522">
        <v>0</v>
      </c>
      <c r="H1522">
        <v>0</v>
      </c>
      <c r="I1522">
        <v>0</v>
      </c>
      <c r="J1522">
        <v>0</v>
      </c>
      <c r="K1522">
        <v>0</v>
      </c>
      <c r="L1522">
        <v>0</v>
      </c>
      <c r="M1522">
        <v>0</v>
      </c>
      <c r="N1522">
        <v>0</v>
      </c>
      <c r="O1522">
        <v>0</v>
      </c>
      <c r="P1522">
        <v>0</v>
      </c>
      <c r="Q1522" t="str">
        <f>INDEX('Partner data'!A:DH,MATCH(C1522,'Partner data'!DG:DG,0),83)</f>
        <v>Soggetto pubblico</v>
      </c>
      <c r="R1522" t="b">
        <f>IF(E1522="staff",IF(INDEX('Partner data'!A:DH,MATCH(C1522,'Partner data'!DG:DG,0),112)="BL1 non presente","FALSO",INDEX('Partner data'!A:DH,MATCH(C1522,'Partner data'!DG:DG,0),112)))</f>
        <v>0</v>
      </c>
      <c r="S1522" t="b">
        <f t="shared" si="46"/>
        <v>0</v>
      </c>
      <c r="T1522" t="b">
        <f t="shared" si="47"/>
        <v>1</v>
      </c>
      <c r="U1522" s="154">
        <f>IFERROR(IF(R1522&lt;&gt;FALSE,IF(S1522=TRUE,INDEX('SummaryNOT_VALIDATED-BL'!$A$1:$F$16,MATCH(R1522,'SummaryNOT_VALIDATED-BL'!$A$1:$A$16,0),6),0),IF(S1522=TRUE,INDEX('SummaryNOT_VALIDATED-BL'!$A$1:$F$16,MATCH(E1522,'SummaryNOT_VALIDATED-BL'!$A$1:$A$16,0),6),0)),0)</f>
        <v>0</v>
      </c>
      <c r="V1522" s="81" cm="1">
        <f t="array" ref="V1522">INDEX('Weight tables'!$A$24:$C$27,MATCH(1,(RendicontiTrasmessiBL__2[[#This Row],[Cut percentage on real costs + USC]]&gt;='Weight tables'!$B$24:$B$27)*(RendicontiTrasmessiBL__2[[#This Row],[Cut percentage on real costs + USC]]&lt;='Weight tables'!$C$24:$C$27),0),1)</f>
        <v>0</v>
      </c>
      <c r="W1522" s="2">
        <f>RendicontiTrasmessiBL__2[[#This Row],[Weight real costs  + USC ]]</f>
        <v>0</v>
      </c>
    </row>
    <row r="1523" spans="1:23" x14ac:dyDescent="0.25">
      <c r="A1523" s="1" t="s">
        <v>63</v>
      </c>
      <c r="B1523" s="1" t="s">
        <v>46</v>
      </c>
      <c r="C1523" s="2">
        <v>230</v>
      </c>
      <c r="D1523" s="2">
        <v>234</v>
      </c>
      <c r="E1523" s="1" t="s">
        <v>228</v>
      </c>
      <c r="G1523">
        <v>171406.82</v>
      </c>
      <c r="H1523">
        <v>18201.55</v>
      </c>
      <c r="I1523">
        <v>6372.95</v>
      </c>
      <c r="J1523">
        <v>30103.55</v>
      </c>
      <c r="K1523">
        <v>6420.08</v>
      </c>
      <c r="L1523">
        <v>0</v>
      </c>
      <c r="M1523">
        <v>48305.1</v>
      </c>
      <c r="N1523">
        <v>28.18</v>
      </c>
      <c r="O1523">
        <v>123101.72</v>
      </c>
      <c r="P1523">
        <v>11419.24</v>
      </c>
      <c r="Q1523" t="str">
        <f>INDEX('Partner data'!A:DH,MATCH(C1523,'Partner data'!DG:DG,0),83)</f>
        <v>Soggetto pubblico</v>
      </c>
      <c r="R1523" t="str">
        <f>IF(E1523="staff",IF(INDEX('Partner data'!A:DH,MATCH(C1523,'Partner data'!DG:DG,0),112)="BL1 non presente","FALSO",INDEX('Partner data'!A:DH,MATCH(C1523,'Partner data'!DG:DG,0),112)))</f>
        <v>COSTO REALE</v>
      </c>
      <c r="S1523" t="b">
        <f t="shared" si="46"/>
        <v>1</v>
      </c>
      <c r="T1523" t="b">
        <f t="shared" si="47"/>
        <v>1</v>
      </c>
      <c r="U1523" s="154">
        <f>IFERROR(IF(R1523&lt;&gt;FALSE,IF(S1523=TRUE,INDEX('SummaryNOT_VALIDATED-BL'!$A$1:$F$16,MATCH(R1523,'SummaryNOT_VALIDATED-BL'!$A$1:$A$16,0),6),0),IF(S1523=TRUE,INDEX('SummaryNOT_VALIDATED-BL'!$A$1:$F$16,MATCH(E1523,'SummaryNOT_VALIDATED-BL'!$A$1:$A$16,0),6),0)),0)</f>
        <v>9.1604133276901048E-2</v>
      </c>
      <c r="V1523" s="81" cm="1">
        <f t="array" ref="V1523">INDEX('Weight tables'!$A$24:$C$27,MATCH(1,(RendicontiTrasmessiBL__2[[#This Row],[Cut percentage on real costs + USC]]&gt;='Weight tables'!$B$24:$B$27)*(RendicontiTrasmessiBL__2[[#This Row],[Cut percentage on real costs + USC]]&lt;='Weight tables'!$C$24:$C$27),0),1)</f>
        <v>4</v>
      </c>
      <c r="W1523" s="2">
        <f>RendicontiTrasmessiBL__2[[#This Row],[Weight real costs  + USC ]]</f>
        <v>4</v>
      </c>
    </row>
    <row r="1524" spans="1:23" x14ac:dyDescent="0.25">
      <c r="A1524" s="1" t="s">
        <v>63</v>
      </c>
      <c r="B1524" s="1" t="s">
        <v>46</v>
      </c>
      <c r="C1524" s="2">
        <v>230</v>
      </c>
      <c r="D1524" s="2">
        <v>234</v>
      </c>
      <c r="E1524" s="1" t="s">
        <v>229</v>
      </c>
      <c r="G1524">
        <v>0</v>
      </c>
      <c r="H1524">
        <v>0</v>
      </c>
      <c r="I1524">
        <v>0</v>
      </c>
      <c r="J1524">
        <v>0</v>
      </c>
      <c r="K1524">
        <v>0</v>
      </c>
      <c r="L1524">
        <v>0</v>
      </c>
      <c r="M1524">
        <v>0</v>
      </c>
      <c r="N1524">
        <v>0</v>
      </c>
      <c r="O1524">
        <v>0</v>
      </c>
      <c r="P1524">
        <v>0</v>
      </c>
      <c r="Q1524" t="str">
        <f>INDEX('Partner data'!A:DH,MATCH(C1524,'Partner data'!DG:DG,0),83)</f>
        <v>Soggetto pubblico</v>
      </c>
      <c r="R1524" t="b">
        <f>IF(E1524="staff",IF(INDEX('Partner data'!A:DH,MATCH(C1524,'Partner data'!DG:DG,0),112)="BL1 non presente","FALSO",INDEX('Partner data'!A:DH,MATCH(C1524,'Partner data'!DG:DG,0),112)))</f>
        <v>0</v>
      </c>
      <c r="S1524" t="b">
        <f t="shared" si="46"/>
        <v>0</v>
      </c>
      <c r="T1524" t="b">
        <f t="shared" si="47"/>
        <v>1</v>
      </c>
      <c r="U1524" s="154">
        <f>IFERROR(IF(R1524&lt;&gt;FALSE,IF(S1524=TRUE,INDEX('SummaryNOT_VALIDATED-BL'!$A$1:$F$16,MATCH(R1524,'SummaryNOT_VALIDATED-BL'!$A$1:$A$16,0),6),0),IF(S1524=TRUE,INDEX('SummaryNOT_VALIDATED-BL'!$A$1:$F$16,MATCH(E1524,'SummaryNOT_VALIDATED-BL'!$A$1:$A$16,0),6),0)),0)</f>
        <v>0</v>
      </c>
      <c r="V1524" s="81" cm="1">
        <f t="array" ref="V1524">INDEX('Weight tables'!$A$24:$C$27,MATCH(1,(RendicontiTrasmessiBL__2[[#This Row],[Cut percentage on real costs + USC]]&gt;='Weight tables'!$B$24:$B$27)*(RendicontiTrasmessiBL__2[[#This Row],[Cut percentage on real costs + USC]]&lt;='Weight tables'!$C$24:$C$27),0),1)</f>
        <v>0</v>
      </c>
      <c r="W1524" s="2">
        <f>RendicontiTrasmessiBL__2[[#This Row],[Weight real costs  + USC ]]</f>
        <v>0</v>
      </c>
    </row>
    <row r="1525" spans="1:23" x14ac:dyDescent="0.25">
      <c r="A1525" s="1" t="s">
        <v>63</v>
      </c>
      <c r="B1525" s="1" t="s">
        <v>46</v>
      </c>
      <c r="C1525" s="2">
        <v>230</v>
      </c>
      <c r="D1525" s="2">
        <v>234</v>
      </c>
      <c r="E1525" s="1" t="s">
        <v>230</v>
      </c>
      <c r="G1525">
        <v>0</v>
      </c>
      <c r="H1525">
        <v>0</v>
      </c>
      <c r="I1525">
        <v>0</v>
      </c>
      <c r="J1525">
        <v>0</v>
      </c>
      <c r="K1525">
        <v>0</v>
      </c>
      <c r="L1525">
        <v>0</v>
      </c>
      <c r="M1525">
        <v>0</v>
      </c>
      <c r="N1525">
        <v>0</v>
      </c>
      <c r="O1525">
        <v>0</v>
      </c>
      <c r="P1525">
        <v>0</v>
      </c>
      <c r="Q1525" t="str">
        <f>INDEX('Partner data'!A:DH,MATCH(C1525,'Partner data'!DG:DG,0),83)</f>
        <v>Soggetto pubblico</v>
      </c>
      <c r="R1525" t="b">
        <f>IF(E1525="staff",IF(INDEX('Partner data'!A:DH,MATCH(C1525,'Partner data'!DG:DG,0),112)="BL1 non presente","FALSO",INDEX('Partner data'!A:DH,MATCH(C1525,'Partner data'!DG:DG,0),112)))</f>
        <v>0</v>
      </c>
      <c r="S1525" t="b">
        <f t="shared" si="46"/>
        <v>0</v>
      </c>
      <c r="T1525" t="b">
        <f t="shared" si="47"/>
        <v>1</v>
      </c>
      <c r="U1525" s="154">
        <f>IFERROR(IF(R1525&lt;&gt;FALSE,IF(S1525=TRUE,INDEX('SummaryNOT_VALIDATED-BL'!$A$1:$F$16,MATCH(R1525,'SummaryNOT_VALIDATED-BL'!$A$1:$A$16,0),6),0),IF(S1525=TRUE,INDEX('SummaryNOT_VALIDATED-BL'!$A$1:$F$16,MATCH(E1525,'SummaryNOT_VALIDATED-BL'!$A$1:$A$16,0),6),0)),0)</f>
        <v>0</v>
      </c>
      <c r="V1525" s="81" cm="1">
        <f t="array" ref="V1525">INDEX('Weight tables'!$A$24:$C$27,MATCH(1,(RendicontiTrasmessiBL__2[[#This Row],[Cut percentage on real costs + USC]]&gt;='Weight tables'!$B$24:$B$27)*(RendicontiTrasmessiBL__2[[#This Row],[Cut percentage on real costs + USC]]&lt;='Weight tables'!$C$24:$C$27),0),1)</f>
        <v>0</v>
      </c>
      <c r="W1525" s="2">
        <f>RendicontiTrasmessiBL__2[[#This Row],[Weight real costs  + USC ]]</f>
        <v>0</v>
      </c>
    </row>
    <row r="1526" spans="1:23" x14ac:dyDescent="0.25">
      <c r="A1526" s="1" t="s">
        <v>63</v>
      </c>
      <c r="B1526" s="1" t="s">
        <v>46</v>
      </c>
      <c r="C1526" s="2">
        <v>230</v>
      </c>
      <c r="D1526" s="2">
        <v>234</v>
      </c>
      <c r="E1526" s="1" t="s">
        <v>231</v>
      </c>
      <c r="G1526">
        <v>0</v>
      </c>
      <c r="H1526">
        <v>0</v>
      </c>
      <c r="I1526">
        <v>0</v>
      </c>
      <c r="J1526">
        <v>0</v>
      </c>
      <c r="K1526">
        <v>0</v>
      </c>
      <c r="L1526">
        <v>0</v>
      </c>
      <c r="M1526">
        <v>0</v>
      </c>
      <c r="N1526">
        <v>0</v>
      </c>
      <c r="O1526">
        <v>0</v>
      </c>
      <c r="P1526">
        <v>0</v>
      </c>
      <c r="Q1526" t="str">
        <f>INDEX('Partner data'!A:DH,MATCH(C1526,'Partner data'!DG:DG,0),83)</f>
        <v>Soggetto pubblico</v>
      </c>
      <c r="R1526" t="b">
        <f>IF(E1526="staff",IF(INDEX('Partner data'!A:DH,MATCH(C1526,'Partner data'!DG:DG,0),112)="BL1 non presente","FALSO",INDEX('Partner data'!A:DH,MATCH(C1526,'Partner data'!DG:DG,0),112)))</f>
        <v>0</v>
      </c>
      <c r="S1526" t="b">
        <f t="shared" si="46"/>
        <v>0</v>
      </c>
      <c r="T1526" t="b">
        <f t="shared" si="47"/>
        <v>1</v>
      </c>
      <c r="U1526" s="154">
        <f>IFERROR(IF(R1526&lt;&gt;FALSE,IF(S1526=TRUE,INDEX('SummaryNOT_VALIDATED-BL'!$A$1:$F$16,MATCH(R1526,'SummaryNOT_VALIDATED-BL'!$A$1:$A$16,0),6),0),IF(S1526=TRUE,INDEX('SummaryNOT_VALIDATED-BL'!$A$1:$F$16,MATCH(E1526,'SummaryNOT_VALIDATED-BL'!$A$1:$A$16,0),6),0)),0)</f>
        <v>0</v>
      </c>
      <c r="V1526" s="81" cm="1">
        <f t="array" ref="V1526">INDEX('Weight tables'!$A$24:$C$27,MATCH(1,(RendicontiTrasmessiBL__2[[#This Row],[Cut percentage on real costs + USC]]&gt;='Weight tables'!$B$24:$B$27)*(RendicontiTrasmessiBL__2[[#This Row],[Cut percentage on real costs + USC]]&lt;='Weight tables'!$C$24:$C$27),0),1)</f>
        <v>0</v>
      </c>
      <c r="W1526" s="2">
        <f>RendicontiTrasmessiBL__2[[#This Row],[Weight real costs  + USC ]]</f>
        <v>0</v>
      </c>
    </row>
    <row r="1527" spans="1:23" x14ac:dyDescent="0.25">
      <c r="A1527" s="1" t="s">
        <v>63</v>
      </c>
      <c r="B1527" s="1" t="s">
        <v>46</v>
      </c>
      <c r="C1527" s="2">
        <v>230</v>
      </c>
      <c r="D1527" s="2">
        <v>234</v>
      </c>
      <c r="E1527" s="1" t="s">
        <v>232</v>
      </c>
      <c r="G1527">
        <v>0</v>
      </c>
      <c r="H1527">
        <v>0</v>
      </c>
      <c r="I1527">
        <v>0</v>
      </c>
      <c r="J1527">
        <v>0</v>
      </c>
      <c r="K1527">
        <v>0</v>
      </c>
      <c r="L1527">
        <v>0</v>
      </c>
      <c r="M1527">
        <v>0</v>
      </c>
      <c r="N1527">
        <v>0</v>
      </c>
      <c r="O1527">
        <v>0</v>
      </c>
      <c r="P1527">
        <v>0</v>
      </c>
      <c r="Q1527" t="str">
        <f>INDEX('Partner data'!A:DH,MATCH(C1527,'Partner data'!DG:DG,0),83)</f>
        <v>Soggetto pubblico</v>
      </c>
      <c r="R1527" t="b">
        <f>IF(E1527="staff",IF(INDEX('Partner data'!A:DH,MATCH(C1527,'Partner data'!DG:DG,0),112)="BL1 non presente","FALSO",INDEX('Partner data'!A:DH,MATCH(C1527,'Partner data'!DG:DG,0),112)))</f>
        <v>0</v>
      </c>
      <c r="S1527" t="b">
        <f t="shared" si="46"/>
        <v>0</v>
      </c>
      <c r="T1527" t="b">
        <f t="shared" si="47"/>
        <v>1</v>
      </c>
      <c r="U1527" s="154">
        <f>IFERROR(IF(R1527&lt;&gt;FALSE,IF(S1527=TRUE,INDEX('SummaryNOT_VALIDATED-BL'!$A$1:$F$16,MATCH(R1527,'SummaryNOT_VALIDATED-BL'!$A$1:$A$16,0),6),0),IF(S1527=TRUE,INDEX('SummaryNOT_VALIDATED-BL'!$A$1:$F$16,MATCH(E1527,'SummaryNOT_VALIDATED-BL'!$A$1:$A$16,0),6),0)),0)</f>
        <v>0</v>
      </c>
      <c r="V1527" s="81" cm="1">
        <f t="array" ref="V1527">INDEX('Weight tables'!$A$24:$C$27,MATCH(1,(RendicontiTrasmessiBL__2[[#This Row],[Cut percentage on real costs + USC]]&gt;='Weight tables'!$B$24:$B$27)*(RendicontiTrasmessiBL__2[[#This Row],[Cut percentage on real costs + USC]]&lt;='Weight tables'!$C$24:$C$27),0),1)</f>
        <v>0</v>
      </c>
      <c r="W1527" s="2">
        <f>RendicontiTrasmessiBL__2[[#This Row],[Weight real costs  + USC ]]</f>
        <v>0</v>
      </c>
    </row>
    <row r="1528" spans="1:23" x14ac:dyDescent="0.25">
      <c r="A1528" s="1" t="s">
        <v>63</v>
      </c>
      <c r="B1528" s="1" t="s">
        <v>46</v>
      </c>
      <c r="C1528" s="2">
        <v>230</v>
      </c>
      <c r="D1528" s="2">
        <v>234</v>
      </c>
      <c r="E1528" s="1" t="s">
        <v>233</v>
      </c>
      <c r="G1528">
        <v>0</v>
      </c>
      <c r="H1528">
        <v>0</v>
      </c>
      <c r="I1528">
        <v>0</v>
      </c>
      <c r="J1528">
        <v>0</v>
      </c>
      <c r="K1528">
        <v>0</v>
      </c>
      <c r="L1528">
        <v>0</v>
      </c>
      <c r="M1528">
        <v>0</v>
      </c>
      <c r="N1528">
        <v>0</v>
      </c>
      <c r="O1528">
        <v>0</v>
      </c>
      <c r="P1528">
        <v>0</v>
      </c>
      <c r="Q1528" t="str">
        <f>INDEX('Partner data'!A:DH,MATCH(C1528,'Partner data'!DG:DG,0),83)</f>
        <v>Soggetto pubblico</v>
      </c>
      <c r="R1528" t="b">
        <f>IF(E1528="staff",IF(INDEX('Partner data'!A:DH,MATCH(C1528,'Partner data'!DG:DG,0),112)="BL1 non presente","FALSO",INDEX('Partner data'!A:DH,MATCH(C1528,'Partner data'!DG:DG,0),112)))</f>
        <v>0</v>
      </c>
      <c r="S1528" t="b">
        <f t="shared" si="46"/>
        <v>0</v>
      </c>
      <c r="T1528" t="b">
        <f t="shared" si="47"/>
        <v>1</v>
      </c>
      <c r="U1528" s="154">
        <f>IFERROR(IF(R1528&lt;&gt;FALSE,IF(S1528=TRUE,INDEX('SummaryNOT_VALIDATED-BL'!$A$1:$F$16,MATCH(R1528,'SummaryNOT_VALIDATED-BL'!$A$1:$A$16,0),6),0),IF(S1528=TRUE,INDEX('SummaryNOT_VALIDATED-BL'!$A$1:$F$16,MATCH(E1528,'SummaryNOT_VALIDATED-BL'!$A$1:$A$16,0),6),0)),0)</f>
        <v>0</v>
      </c>
      <c r="V1528" s="81" cm="1">
        <f t="array" ref="V1528">INDEX('Weight tables'!$A$24:$C$27,MATCH(1,(RendicontiTrasmessiBL__2[[#This Row],[Cut percentage on real costs + USC]]&gt;='Weight tables'!$B$24:$B$27)*(RendicontiTrasmessiBL__2[[#This Row],[Cut percentage on real costs + USC]]&lt;='Weight tables'!$C$24:$C$27),0),1)</f>
        <v>0</v>
      </c>
      <c r="W1528" s="2">
        <f>RendicontiTrasmessiBL__2[[#This Row],[Weight real costs  + USC ]]</f>
        <v>0</v>
      </c>
    </row>
    <row r="1529" spans="1:23" x14ac:dyDescent="0.25">
      <c r="A1529" s="1" t="s">
        <v>63</v>
      </c>
      <c r="B1529" s="1" t="s">
        <v>46</v>
      </c>
      <c r="C1529" s="2">
        <v>230</v>
      </c>
      <c r="D1529" s="2">
        <v>234</v>
      </c>
      <c r="E1529" s="1" t="s">
        <v>234</v>
      </c>
      <c r="F1529">
        <v>40</v>
      </c>
      <c r="G1529">
        <v>68562.720000000001</v>
      </c>
      <c r="H1529">
        <v>7280.62</v>
      </c>
      <c r="I1529">
        <v>2549.1799999999998</v>
      </c>
      <c r="J1529">
        <v>12041.42</v>
      </c>
      <c r="K1529">
        <v>2568.0300000000002</v>
      </c>
      <c r="L1529">
        <v>0</v>
      </c>
      <c r="M1529">
        <v>19322.04</v>
      </c>
      <c r="N1529">
        <v>28.18</v>
      </c>
      <c r="O1529">
        <v>49240.68</v>
      </c>
      <c r="P1529">
        <v>4567.6899999999996</v>
      </c>
      <c r="Q1529" t="str">
        <f>INDEX('Partner data'!A:DH,MATCH(C1529,'Partner data'!DG:DG,0),83)</f>
        <v>Soggetto pubblico</v>
      </c>
      <c r="R1529" t="b">
        <f>IF(E1529="staff",IF(INDEX('Partner data'!A:DH,MATCH(C1529,'Partner data'!DG:DG,0),112)="BL1 non presente","FALSO",INDEX('Partner data'!A:DH,MATCH(C1529,'Partner data'!DG:DG,0),112)))</f>
        <v>0</v>
      </c>
      <c r="S1529" t="b">
        <f t="shared" si="46"/>
        <v>1</v>
      </c>
      <c r="T1529" t="b">
        <f t="shared" si="47"/>
        <v>1</v>
      </c>
      <c r="U1529" s="154">
        <f>IFERROR(IF(R1529&lt;&gt;FALSE,IF(S1529=TRUE,INDEX('SummaryNOT_VALIDATED-BL'!$A$1:$F$16,MATCH(R1529,'SummaryNOT_VALIDATED-BL'!$A$1:$A$16,0),6),0),IF(S1529=TRUE,INDEX('SummaryNOT_VALIDATED-BL'!$A$1:$F$16,MATCH(E1529,'SummaryNOT_VALIDATED-BL'!$A$1:$A$16,0),6),0)),0)</f>
        <v>8.7645339819521315E-2</v>
      </c>
      <c r="V1529" s="81" cm="1">
        <f t="array" ref="V1529">INDEX('Weight tables'!$A$24:$C$27,MATCH(1,(RendicontiTrasmessiBL__2[[#This Row],[Cut percentage on real costs + USC]]&gt;='Weight tables'!$B$24:$B$27)*(RendicontiTrasmessiBL__2[[#This Row],[Cut percentage on real costs + USC]]&lt;='Weight tables'!$C$24:$C$27),0),1)</f>
        <v>4</v>
      </c>
      <c r="W1529" s="2">
        <f>RendicontiTrasmessiBL__2[[#This Row],[Weight real costs  + USC ]]</f>
        <v>4</v>
      </c>
    </row>
    <row r="1530" spans="1:23" x14ac:dyDescent="0.25">
      <c r="A1530" s="1" t="s">
        <v>63</v>
      </c>
      <c r="B1530" s="1" t="s">
        <v>46</v>
      </c>
      <c r="C1530" s="2">
        <v>230</v>
      </c>
      <c r="D1530" s="2">
        <v>234</v>
      </c>
      <c r="E1530" s="1" t="s">
        <v>236</v>
      </c>
      <c r="G1530">
        <v>0</v>
      </c>
      <c r="H1530">
        <v>0</v>
      </c>
      <c r="I1530">
        <v>0</v>
      </c>
      <c r="J1530">
        <v>0</v>
      </c>
      <c r="K1530">
        <v>0</v>
      </c>
      <c r="L1530">
        <v>0</v>
      </c>
      <c r="M1530">
        <v>0</v>
      </c>
      <c r="N1530">
        <v>0</v>
      </c>
      <c r="O1530">
        <v>0</v>
      </c>
      <c r="P1530">
        <v>0</v>
      </c>
      <c r="Q1530" t="str">
        <f>INDEX('Partner data'!A:DH,MATCH(C1530,'Partner data'!DG:DG,0),83)</f>
        <v>Soggetto pubblico</v>
      </c>
      <c r="R1530" t="b">
        <f>IF(E1530="staff",IF(INDEX('Partner data'!A:DH,MATCH(C1530,'Partner data'!DG:DG,0),112)="BL1 non presente","FALSO",INDEX('Partner data'!A:DH,MATCH(C1530,'Partner data'!DG:DG,0),112)))</f>
        <v>0</v>
      </c>
      <c r="S1530" t="b">
        <f t="shared" si="46"/>
        <v>0</v>
      </c>
      <c r="T1530" t="b">
        <f t="shared" si="47"/>
        <v>1</v>
      </c>
      <c r="U1530" s="154">
        <f>IFERROR(IF(R1530&lt;&gt;FALSE,IF(S1530=TRUE,INDEX('SummaryNOT_VALIDATED-BL'!$A$1:$F$16,MATCH(R1530,'SummaryNOT_VALIDATED-BL'!$A$1:$A$16,0),6),0),IF(S1530=TRUE,INDEX('SummaryNOT_VALIDATED-BL'!$A$1:$F$16,MATCH(E1530,'SummaryNOT_VALIDATED-BL'!$A$1:$A$16,0),6),0)),0)</f>
        <v>0</v>
      </c>
      <c r="V1530" s="81" cm="1">
        <f t="array" ref="V1530">INDEX('Weight tables'!$A$24:$C$27,MATCH(1,(RendicontiTrasmessiBL__2[[#This Row],[Cut percentage on real costs + USC]]&gt;='Weight tables'!$B$24:$B$27)*(RendicontiTrasmessiBL__2[[#This Row],[Cut percentage on real costs + USC]]&lt;='Weight tables'!$C$24:$C$27),0),1)</f>
        <v>0</v>
      </c>
      <c r="W1530" s="2">
        <f>RendicontiTrasmessiBL__2[[#This Row],[Weight real costs  + USC ]]</f>
        <v>0</v>
      </c>
    </row>
    <row r="1531" spans="1:23" x14ac:dyDescent="0.25">
      <c r="A1531" s="1" t="s">
        <v>63</v>
      </c>
      <c r="B1531" s="1" t="s">
        <v>46</v>
      </c>
      <c r="C1531" s="2">
        <v>230</v>
      </c>
      <c r="D1531" s="2">
        <v>234</v>
      </c>
      <c r="E1531" s="1" t="s">
        <v>237</v>
      </c>
      <c r="G1531">
        <v>0</v>
      </c>
      <c r="H1531">
        <v>0</v>
      </c>
      <c r="I1531">
        <v>0</v>
      </c>
      <c r="J1531">
        <v>0</v>
      </c>
      <c r="K1531">
        <v>0</v>
      </c>
      <c r="L1531">
        <v>0</v>
      </c>
      <c r="M1531">
        <v>0</v>
      </c>
      <c r="N1531">
        <v>0</v>
      </c>
      <c r="O1531">
        <v>0</v>
      </c>
      <c r="P1531">
        <v>0</v>
      </c>
      <c r="Q1531" t="str">
        <f>INDEX('Partner data'!A:DH,MATCH(C1531,'Partner data'!DG:DG,0),83)</f>
        <v>Soggetto pubblico</v>
      </c>
      <c r="R1531" t="b">
        <f>IF(E1531="staff",IF(INDEX('Partner data'!A:DH,MATCH(C1531,'Partner data'!DG:DG,0),112)="BL1 non presente","FALSO",INDEX('Partner data'!A:DH,MATCH(C1531,'Partner data'!DG:DG,0),112)))</f>
        <v>0</v>
      </c>
      <c r="S1531" t="b">
        <f t="shared" si="46"/>
        <v>0</v>
      </c>
      <c r="T1531" t="b">
        <f t="shared" si="47"/>
        <v>1</v>
      </c>
      <c r="U1531" s="154">
        <f>IFERROR(IF(R1531&lt;&gt;FALSE,IF(S1531=TRUE,INDEX('SummaryNOT_VALIDATED-BL'!$A$1:$F$16,MATCH(R1531,'SummaryNOT_VALIDATED-BL'!$A$1:$A$16,0),6),0),IF(S1531=TRUE,INDEX('SummaryNOT_VALIDATED-BL'!$A$1:$F$16,MATCH(E1531,'SummaryNOT_VALIDATED-BL'!$A$1:$A$16,0),6),0)),0)</f>
        <v>0</v>
      </c>
      <c r="V1531" s="81" cm="1">
        <f t="array" ref="V1531">INDEX('Weight tables'!$A$24:$C$27,MATCH(1,(RendicontiTrasmessiBL__2[[#This Row],[Cut percentage on real costs + USC]]&gt;='Weight tables'!$B$24:$B$27)*(RendicontiTrasmessiBL__2[[#This Row],[Cut percentage on real costs + USC]]&lt;='Weight tables'!$C$24:$C$27),0),1)</f>
        <v>0</v>
      </c>
      <c r="W1531" s="2">
        <f>RendicontiTrasmessiBL__2[[#This Row],[Weight real costs  + USC ]]</f>
        <v>0</v>
      </c>
    </row>
    <row r="1532" spans="1:23" x14ac:dyDescent="0.25">
      <c r="A1532" s="1" t="s">
        <v>373</v>
      </c>
      <c r="B1532" s="1" t="s">
        <v>375</v>
      </c>
      <c r="C1532" s="2">
        <v>299</v>
      </c>
      <c r="D1532" s="2">
        <v>221</v>
      </c>
      <c r="E1532" s="1" t="s">
        <v>228</v>
      </c>
      <c r="G1532">
        <v>37500</v>
      </c>
      <c r="H1532">
        <v>0</v>
      </c>
      <c r="I1532">
        <v>0</v>
      </c>
      <c r="J1532">
        <v>8632.7000000000007</v>
      </c>
      <c r="K1532">
        <v>0</v>
      </c>
      <c r="L1532">
        <v>7177.14</v>
      </c>
      <c r="M1532">
        <v>8632.7000000000007</v>
      </c>
      <c r="N1532">
        <v>23.02</v>
      </c>
      <c r="O1532">
        <v>28867.3</v>
      </c>
      <c r="P1532">
        <v>0</v>
      </c>
      <c r="Q1532" t="str">
        <f>INDEX('Partner data'!A:DH,MATCH(C1532,'Partner data'!DG:DG,0),83)</f>
        <v>Soggetto privato</v>
      </c>
      <c r="R1532" t="str">
        <f>IF(E1532="staff",IF(INDEX('Partner data'!A:DH,MATCH(C1532,'Partner data'!DG:DG,0),112)="BL1 non presente","FALSO",INDEX('Partner data'!A:DH,MATCH(C1532,'Partner data'!DG:DG,0),112)))</f>
        <v>COSTO REALE</v>
      </c>
      <c r="S1532" t="b">
        <f t="shared" si="46"/>
        <v>1</v>
      </c>
      <c r="T1532" t="b">
        <f t="shared" si="47"/>
        <v>0</v>
      </c>
      <c r="U1532" s="154">
        <f>IFERROR(IF(R1532&lt;&gt;FALSE,IF(S1532=TRUE,INDEX('SummaryNOT_VALIDATED-BL'!$A$1:$F$16,MATCH(R1532,'SummaryNOT_VALIDATED-BL'!$A$1:$A$16,0),6),0),IF(S1532=TRUE,INDEX('SummaryNOT_VALIDATED-BL'!$A$1:$F$16,MATCH(E1532,'SummaryNOT_VALIDATED-BL'!$A$1:$A$16,0),6),0)),0)</f>
        <v>9.1604133276901048E-2</v>
      </c>
      <c r="V1532" s="81" cm="1">
        <f t="array" ref="V1532">INDEX('Weight tables'!$A$24:$C$27,MATCH(1,(RendicontiTrasmessiBL__2[[#This Row],[Cut percentage on real costs + USC]]&gt;='Weight tables'!$B$24:$B$27)*(RendicontiTrasmessiBL__2[[#This Row],[Cut percentage on real costs + USC]]&lt;='Weight tables'!$C$24:$C$27),0),1)</f>
        <v>4</v>
      </c>
      <c r="W1532" s="2">
        <f>RendicontiTrasmessiBL__2[[#This Row],[Weight real costs  + USC ]]</f>
        <v>4</v>
      </c>
    </row>
    <row r="1533" spans="1:23" x14ac:dyDescent="0.25">
      <c r="A1533" s="1" t="s">
        <v>373</v>
      </c>
      <c r="B1533" s="1" t="s">
        <v>375</v>
      </c>
      <c r="C1533" s="2">
        <v>299</v>
      </c>
      <c r="D1533" s="2">
        <v>221</v>
      </c>
      <c r="E1533" s="1" t="s">
        <v>229</v>
      </c>
      <c r="F1533">
        <v>15</v>
      </c>
      <c r="G1533">
        <v>5625</v>
      </c>
      <c r="H1533">
        <v>0</v>
      </c>
      <c r="I1533">
        <v>0</v>
      </c>
      <c r="J1533">
        <v>1294.9000000000001</v>
      </c>
      <c r="K1533">
        <v>0</v>
      </c>
      <c r="L1533">
        <v>1076.57</v>
      </c>
      <c r="M1533">
        <v>1294.9000000000001</v>
      </c>
      <c r="N1533">
        <v>23.02</v>
      </c>
      <c r="O1533">
        <v>4330.1000000000004</v>
      </c>
      <c r="P1533">
        <v>0</v>
      </c>
      <c r="Q1533" t="str">
        <f>INDEX('Partner data'!A:DH,MATCH(C1533,'Partner data'!DG:DG,0),83)</f>
        <v>Soggetto privato</v>
      </c>
      <c r="R1533" t="b">
        <f>IF(E1533="staff",IF(INDEX('Partner data'!A:DH,MATCH(C1533,'Partner data'!DG:DG,0),112)="BL1 non presente","FALSO",INDEX('Partner data'!A:DH,MATCH(C1533,'Partner data'!DG:DG,0),112)))</f>
        <v>0</v>
      </c>
      <c r="S1533" t="b">
        <f t="shared" si="46"/>
        <v>1</v>
      </c>
      <c r="T1533" t="b">
        <f t="shared" si="47"/>
        <v>0</v>
      </c>
      <c r="U1533" s="154">
        <f>IFERROR(IF(R1533&lt;&gt;FALSE,IF(S1533=TRUE,INDEX('SummaryNOT_VALIDATED-BL'!$A$1:$F$16,MATCH(R1533,'SummaryNOT_VALIDATED-BL'!$A$1:$A$16,0),6),0),IF(S1533=TRUE,INDEX('SummaryNOT_VALIDATED-BL'!$A$1:$F$16,MATCH(E1533,'SummaryNOT_VALIDATED-BL'!$A$1:$A$16,0),6),0)),0)</f>
        <v>6.6460469504890221E-2</v>
      </c>
      <c r="V1533" s="81" cm="1">
        <f t="array" ref="V1533">INDEX('Weight tables'!$A$24:$C$27,MATCH(1,(RendicontiTrasmessiBL__2[[#This Row],[Cut percentage on real costs + USC]]&gt;='Weight tables'!$B$24:$B$27)*(RendicontiTrasmessiBL__2[[#This Row],[Cut percentage on real costs + USC]]&lt;='Weight tables'!$C$24:$C$27),0),1)</f>
        <v>4</v>
      </c>
      <c r="W1533" s="2">
        <f>RendicontiTrasmessiBL__2[[#This Row],[Weight real costs  + USC ]]</f>
        <v>4</v>
      </c>
    </row>
    <row r="1534" spans="1:23" x14ac:dyDescent="0.25">
      <c r="A1534" s="1" t="s">
        <v>373</v>
      </c>
      <c r="B1534" s="1" t="s">
        <v>375</v>
      </c>
      <c r="C1534" s="2">
        <v>299</v>
      </c>
      <c r="D1534" s="2">
        <v>221</v>
      </c>
      <c r="E1534" s="1" t="s">
        <v>230</v>
      </c>
      <c r="F1534">
        <v>4</v>
      </c>
      <c r="G1534">
        <v>1500</v>
      </c>
      <c r="H1534">
        <v>0</v>
      </c>
      <c r="I1534">
        <v>0</v>
      </c>
      <c r="J1534">
        <v>345.3</v>
      </c>
      <c r="K1534">
        <v>0</v>
      </c>
      <c r="L1534">
        <v>287.08</v>
      </c>
      <c r="M1534">
        <v>345.3</v>
      </c>
      <c r="N1534">
        <v>23.02</v>
      </c>
      <c r="O1534">
        <v>1154.7</v>
      </c>
      <c r="P1534">
        <v>0</v>
      </c>
      <c r="Q1534" t="str">
        <f>INDEX('Partner data'!A:DH,MATCH(C1534,'Partner data'!DG:DG,0),83)</f>
        <v>Soggetto privato</v>
      </c>
      <c r="R1534" t="b">
        <f>IF(E1534="staff",IF(INDEX('Partner data'!A:DH,MATCH(C1534,'Partner data'!DG:DG,0),112)="BL1 non presente","FALSO",INDEX('Partner data'!A:DH,MATCH(C1534,'Partner data'!DG:DG,0),112)))</f>
        <v>0</v>
      </c>
      <c r="S1534" t="b">
        <f t="shared" si="46"/>
        <v>1</v>
      </c>
      <c r="T1534" t="b">
        <f t="shared" si="47"/>
        <v>0</v>
      </c>
      <c r="U1534" s="154">
        <f>IFERROR(IF(R1534&lt;&gt;FALSE,IF(S1534=TRUE,INDEX('SummaryNOT_VALIDATED-BL'!$A$1:$F$16,MATCH(R1534,'SummaryNOT_VALIDATED-BL'!$A$1:$A$16,0),6),0),IF(S1534=TRUE,INDEX('SummaryNOT_VALIDATED-BL'!$A$1:$F$16,MATCH(E1534,'SummaryNOT_VALIDATED-BL'!$A$1:$A$16,0),6),0)),0)</f>
        <v>6.3112622236488891E-2</v>
      </c>
      <c r="V1534" s="81" cm="1">
        <f t="array" ref="V1534">INDEX('Weight tables'!$A$24:$C$27,MATCH(1,(RendicontiTrasmessiBL__2[[#This Row],[Cut percentage on real costs + USC]]&gt;='Weight tables'!$B$24:$B$27)*(RendicontiTrasmessiBL__2[[#This Row],[Cut percentage on real costs + USC]]&lt;='Weight tables'!$C$24:$C$27),0),1)</f>
        <v>4</v>
      </c>
      <c r="W1534" s="2">
        <f>RendicontiTrasmessiBL__2[[#This Row],[Weight real costs  + USC ]]</f>
        <v>4</v>
      </c>
    </row>
    <row r="1535" spans="1:23" x14ac:dyDescent="0.25">
      <c r="A1535" s="1" t="s">
        <v>373</v>
      </c>
      <c r="B1535" s="1" t="s">
        <v>375</v>
      </c>
      <c r="C1535" s="2">
        <v>299</v>
      </c>
      <c r="D1535" s="2">
        <v>221</v>
      </c>
      <c r="E1535" s="1" t="s">
        <v>231</v>
      </c>
      <c r="G1535">
        <v>0</v>
      </c>
      <c r="H1535">
        <v>0</v>
      </c>
      <c r="I1535">
        <v>0</v>
      </c>
      <c r="J1535">
        <v>0</v>
      </c>
      <c r="K1535">
        <v>0</v>
      </c>
      <c r="L1535">
        <v>0</v>
      </c>
      <c r="M1535">
        <v>0</v>
      </c>
      <c r="N1535">
        <v>0</v>
      </c>
      <c r="O1535">
        <v>0</v>
      </c>
      <c r="P1535">
        <v>0</v>
      </c>
      <c r="Q1535" t="str">
        <f>INDEX('Partner data'!A:DH,MATCH(C1535,'Partner data'!DG:DG,0),83)</f>
        <v>Soggetto privato</v>
      </c>
      <c r="R1535" t="b">
        <f>IF(E1535="staff",IF(INDEX('Partner data'!A:DH,MATCH(C1535,'Partner data'!DG:DG,0),112)="BL1 non presente","FALSO",INDEX('Partner data'!A:DH,MATCH(C1535,'Partner data'!DG:DG,0),112)))</f>
        <v>0</v>
      </c>
      <c r="S1535" t="b">
        <f t="shared" si="46"/>
        <v>0</v>
      </c>
      <c r="T1535" t="b">
        <f t="shared" si="47"/>
        <v>0</v>
      </c>
      <c r="U1535" s="154">
        <f>IFERROR(IF(R1535&lt;&gt;FALSE,IF(S1535=TRUE,INDEX('SummaryNOT_VALIDATED-BL'!$A$1:$F$16,MATCH(R1535,'SummaryNOT_VALIDATED-BL'!$A$1:$A$16,0),6),0),IF(S1535=TRUE,INDEX('SummaryNOT_VALIDATED-BL'!$A$1:$F$16,MATCH(E1535,'SummaryNOT_VALIDATED-BL'!$A$1:$A$16,0),6),0)),0)</f>
        <v>0</v>
      </c>
      <c r="V1535" s="81" cm="1">
        <f t="array" ref="V1535">INDEX('Weight tables'!$A$24:$C$27,MATCH(1,(RendicontiTrasmessiBL__2[[#This Row],[Cut percentage on real costs + USC]]&gt;='Weight tables'!$B$24:$B$27)*(RendicontiTrasmessiBL__2[[#This Row],[Cut percentage on real costs + USC]]&lt;='Weight tables'!$C$24:$C$27),0),1)</f>
        <v>0</v>
      </c>
      <c r="W1535" s="2">
        <f>RendicontiTrasmessiBL__2[[#This Row],[Weight real costs  + USC ]]</f>
        <v>0</v>
      </c>
    </row>
    <row r="1536" spans="1:23" x14ac:dyDescent="0.25">
      <c r="A1536" s="1" t="s">
        <v>373</v>
      </c>
      <c r="B1536" s="1" t="s">
        <v>375</v>
      </c>
      <c r="C1536" s="2">
        <v>299</v>
      </c>
      <c r="D1536" s="2">
        <v>221</v>
      </c>
      <c r="E1536" s="1" t="s">
        <v>232</v>
      </c>
      <c r="G1536">
        <v>0</v>
      </c>
      <c r="H1536">
        <v>0</v>
      </c>
      <c r="I1536">
        <v>0</v>
      </c>
      <c r="J1536">
        <v>0</v>
      </c>
      <c r="K1536">
        <v>0</v>
      </c>
      <c r="L1536">
        <v>0</v>
      </c>
      <c r="M1536">
        <v>0</v>
      </c>
      <c r="N1536">
        <v>0</v>
      </c>
      <c r="O1536">
        <v>0</v>
      </c>
      <c r="P1536">
        <v>0</v>
      </c>
      <c r="Q1536" t="str">
        <f>INDEX('Partner data'!A:DH,MATCH(C1536,'Partner data'!DG:DG,0),83)</f>
        <v>Soggetto privato</v>
      </c>
      <c r="R1536" t="b">
        <f>IF(E1536="staff",IF(INDEX('Partner data'!A:DH,MATCH(C1536,'Partner data'!DG:DG,0),112)="BL1 non presente","FALSO",INDEX('Partner data'!A:DH,MATCH(C1536,'Partner data'!DG:DG,0),112)))</f>
        <v>0</v>
      </c>
      <c r="S1536" t="b">
        <f t="shared" si="46"/>
        <v>0</v>
      </c>
      <c r="T1536" t="b">
        <f t="shared" si="47"/>
        <v>0</v>
      </c>
      <c r="U1536" s="154">
        <f>IFERROR(IF(R1536&lt;&gt;FALSE,IF(S1536=TRUE,INDEX('SummaryNOT_VALIDATED-BL'!$A$1:$F$16,MATCH(R1536,'SummaryNOT_VALIDATED-BL'!$A$1:$A$16,0),6),0),IF(S1536=TRUE,INDEX('SummaryNOT_VALIDATED-BL'!$A$1:$F$16,MATCH(E1536,'SummaryNOT_VALIDATED-BL'!$A$1:$A$16,0),6),0)),0)</f>
        <v>0</v>
      </c>
      <c r="V1536" s="81" cm="1">
        <f t="array" ref="V1536">INDEX('Weight tables'!$A$24:$C$27,MATCH(1,(RendicontiTrasmessiBL__2[[#This Row],[Cut percentage on real costs + USC]]&gt;='Weight tables'!$B$24:$B$27)*(RendicontiTrasmessiBL__2[[#This Row],[Cut percentage on real costs + USC]]&lt;='Weight tables'!$C$24:$C$27),0),1)</f>
        <v>0</v>
      </c>
      <c r="W1536" s="2">
        <f>RendicontiTrasmessiBL__2[[#This Row],[Weight real costs  + USC ]]</f>
        <v>0</v>
      </c>
    </row>
    <row r="1537" spans="1:23" x14ac:dyDescent="0.25">
      <c r="A1537" s="1" t="s">
        <v>373</v>
      </c>
      <c r="B1537" s="1" t="s">
        <v>375</v>
      </c>
      <c r="C1537" s="2">
        <v>299</v>
      </c>
      <c r="D1537" s="2">
        <v>221</v>
      </c>
      <c r="E1537" s="1" t="s">
        <v>233</v>
      </c>
      <c r="G1537">
        <v>0</v>
      </c>
      <c r="H1537">
        <v>0</v>
      </c>
      <c r="I1537">
        <v>0</v>
      </c>
      <c r="J1537">
        <v>0</v>
      </c>
      <c r="K1537">
        <v>0</v>
      </c>
      <c r="L1537">
        <v>0</v>
      </c>
      <c r="M1537">
        <v>0</v>
      </c>
      <c r="N1537">
        <v>0</v>
      </c>
      <c r="O1537">
        <v>0</v>
      </c>
      <c r="P1537">
        <v>0</v>
      </c>
      <c r="Q1537" t="str">
        <f>INDEX('Partner data'!A:DH,MATCH(C1537,'Partner data'!DG:DG,0),83)</f>
        <v>Soggetto privato</v>
      </c>
      <c r="R1537" t="b">
        <f>IF(E1537="staff",IF(INDEX('Partner data'!A:DH,MATCH(C1537,'Partner data'!DG:DG,0),112)="BL1 non presente","FALSO",INDEX('Partner data'!A:DH,MATCH(C1537,'Partner data'!DG:DG,0),112)))</f>
        <v>0</v>
      </c>
      <c r="S1537" t="b">
        <f t="shared" si="46"/>
        <v>0</v>
      </c>
      <c r="T1537" t="b">
        <f t="shared" si="47"/>
        <v>0</v>
      </c>
      <c r="U1537" s="154">
        <f>IFERROR(IF(R1537&lt;&gt;FALSE,IF(S1537=TRUE,INDEX('SummaryNOT_VALIDATED-BL'!$A$1:$F$16,MATCH(R1537,'SummaryNOT_VALIDATED-BL'!$A$1:$A$16,0),6),0),IF(S1537=TRUE,INDEX('SummaryNOT_VALIDATED-BL'!$A$1:$F$16,MATCH(E1537,'SummaryNOT_VALIDATED-BL'!$A$1:$A$16,0),6),0)),0)</f>
        <v>0</v>
      </c>
      <c r="V1537" s="81" cm="1">
        <f t="array" ref="V1537">INDEX('Weight tables'!$A$24:$C$27,MATCH(1,(RendicontiTrasmessiBL__2[[#This Row],[Cut percentage on real costs + USC]]&gt;='Weight tables'!$B$24:$B$27)*(RendicontiTrasmessiBL__2[[#This Row],[Cut percentage on real costs + USC]]&lt;='Weight tables'!$C$24:$C$27),0),1)</f>
        <v>0</v>
      </c>
      <c r="W1537" s="2">
        <f>RendicontiTrasmessiBL__2[[#This Row],[Weight real costs  + USC ]]</f>
        <v>0</v>
      </c>
    </row>
    <row r="1538" spans="1:23" x14ac:dyDescent="0.25">
      <c r="A1538" s="1" t="s">
        <v>373</v>
      </c>
      <c r="B1538" s="1" t="s">
        <v>375</v>
      </c>
      <c r="C1538" s="2">
        <v>299</v>
      </c>
      <c r="D1538" s="2">
        <v>221</v>
      </c>
      <c r="E1538" s="1" t="s">
        <v>234</v>
      </c>
      <c r="G1538">
        <v>0</v>
      </c>
      <c r="H1538">
        <v>0</v>
      </c>
      <c r="I1538">
        <v>0</v>
      </c>
      <c r="J1538">
        <v>0</v>
      </c>
      <c r="K1538">
        <v>0</v>
      </c>
      <c r="L1538">
        <v>0</v>
      </c>
      <c r="M1538">
        <v>0</v>
      </c>
      <c r="N1538">
        <v>0</v>
      </c>
      <c r="O1538">
        <v>0</v>
      </c>
      <c r="P1538">
        <v>0</v>
      </c>
      <c r="Q1538" t="str">
        <f>INDEX('Partner data'!A:DH,MATCH(C1538,'Partner data'!DG:DG,0),83)</f>
        <v>Soggetto privato</v>
      </c>
      <c r="R1538" t="b">
        <f>IF(E1538="staff",IF(INDEX('Partner data'!A:DH,MATCH(C1538,'Partner data'!DG:DG,0),112)="BL1 non presente","FALSO",INDEX('Partner data'!A:DH,MATCH(C1538,'Partner data'!DG:DG,0),112)))</f>
        <v>0</v>
      </c>
      <c r="S1538" t="b">
        <f t="shared" ref="S1538:S1601" si="48">IF(J1538&lt;&gt;0,TRUE,FALSE)</f>
        <v>0</v>
      </c>
      <c r="T1538" t="b">
        <f t="shared" ref="T1538:T1601" si="49">OR(Q1538="Soggetto pubblico",Q1538="Organismo di diritto pubblico ")</f>
        <v>0</v>
      </c>
      <c r="U1538" s="154">
        <f>IFERROR(IF(R1538&lt;&gt;FALSE,IF(S1538=TRUE,INDEX('SummaryNOT_VALIDATED-BL'!$A$1:$F$16,MATCH(R1538,'SummaryNOT_VALIDATED-BL'!$A$1:$A$16,0),6),0),IF(S1538=TRUE,INDEX('SummaryNOT_VALIDATED-BL'!$A$1:$F$16,MATCH(E1538,'SummaryNOT_VALIDATED-BL'!$A$1:$A$16,0),6),0)),0)</f>
        <v>0</v>
      </c>
      <c r="V1538" s="81" cm="1">
        <f t="array" ref="V1538">INDEX('Weight tables'!$A$24:$C$27,MATCH(1,(RendicontiTrasmessiBL__2[[#This Row],[Cut percentage on real costs + USC]]&gt;='Weight tables'!$B$24:$B$27)*(RendicontiTrasmessiBL__2[[#This Row],[Cut percentage on real costs + USC]]&lt;='Weight tables'!$C$24:$C$27),0),1)</f>
        <v>0</v>
      </c>
      <c r="W1538" s="2">
        <f>RendicontiTrasmessiBL__2[[#This Row],[Weight real costs  + USC ]]</f>
        <v>0</v>
      </c>
    </row>
    <row r="1539" spans="1:23" x14ac:dyDescent="0.25">
      <c r="A1539" s="1" t="s">
        <v>373</v>
      </c>
      <c r="B1539" s="1" t="s">
        <v>375</v>
      </c>
      <c r="C1539" s="2">
        <v>299</v>
      </c>
      <c r="D1539" s="2">
        <v>221</v>
      </c>
      <c r="E1539" s="1" t="s">
        <v>236</v>
      </c>
      <c r="G1539">
        <v>0</v>
      </c>
      <c r="H1539">
        <v>0</v>
      </c>
      <c r="I1539">
        <v>0</v>
      </c>
      <c r="J1539">
        <v>0</v>
      </c>
      <c r="K1539">
        <v>0</v>
      </c>
      <c r="L1539">
        <v>0</v>
      </c>
      <c r="M1539">
        <v>0</v>
      </c>
      <c r="N1539">
        <v>0</v>
      </c>
      <c r="O1539">
        <v>0</v>
      </c>
      <c r="P1539">
        <v>0</v>
      </c>
      <c r="Q1539" t="str">
        <f>INDEX('Partner data'!A:DH,MATCH(C1539,'Partner data'!DG:DG,0),83)</f>
        <v>Soggetto privato</v>
      </c>
      <c r="R1539" t="b">
        <f>IF(E1539="staff",IF(INDEX('Partner data'!A:DH,MATCH(C1539,'Partner data'!DG:DG,0),112)="BL1 non presente","FALSO",INDEX('Partner data'!A:DH,MATCH(C1539,'Partner data'!DG:DG,0),112)))</f>
        <v>0</v>
      </c>
      <c r="S1539" t="b">
        <f t="shared" si="48"/>
        <v>0</v>
      </c>
      <c r="T1539" t="b">
        <f t="shared" si="49"/>
        <v>0</v>
      </c>
      <c r="U1539" s="154">
        <f>IFERROR(IF(R1539&lt;&gt;FALSE,IF(S1539=TRUE,INDEX('SummaryNOT_VALIDATED-BL'!$A$1:$F$16,MATCH(R1539,'SummaryNOT_VALIDATED-BL'!$A$1:$A$16,0),6),0),IF(S1539=TRUE,INDEX('SummaryNOT_VALIDATED-BL'!$A$1:$F$16,MATCH(E1539,'SummaryNOT_VALIDATED-BL'!$A$1:$A$16,0),6),0)),0)</f>
        <v>0</v>
      </c>
      <c r="V1539" s="81" cm="1">
        <f t="array" ref="V1539">INDEX('Weight tables'!$A$24:$C$27,MATCH(1,(RendicontiTrasmessiBL__2[[#This Row],[Cut percentage on real costs + USC]]&gt;='Weight tables'!$B$24:$B$27)*(RendicontiTrasmessiBL__2[[#This Row],[Cut percentage on real costs + USC]]&lt;='Weight tables'!$C$24:$C$27),0),1)</f>
        <v>0</v>
      </c>
      <c r="W1539" s="2">
        <f>RendicontiTrasmessiBL__2[[#This Row],[Weight real costs  + USC ]]</f>
        <v>0</v>
      </c>
    </row>
    <row r="1540" spans="1:23" x14ac:dyDescent="0.25">
      <c r="A1540" s="1" t="s">
        <v>373</v>
      </c>
      <c r="B1540" s="1" t="s">
        <v>375</v>
      </c>
      <c r="C1540" s="2">
        <v>299</v>
      </c>
      <c r="D1540" s="2">
        <v>221</v>
      </c>
      <c r="E1540" s="1" t="s">
        <v>237</v>
      </c>
      <c r="G1540">
        <v>0</v>
      </c>
      <c r="H1540">
        <v>0</v>
      </c>
      <c r="I1540">
        <v>0</v>
      </c>
      <c r="J1540">
        <v>0</v>
      </c>
      <c r="K1540">
        <v>0</v>
      </c>
      <c r="L1540">
        <v>0</v>
      </c>
      <c r="M1540">
        <v>0</v>
      </c>
      <c r="N1540">
        <v>0</v>
      </c>
      <c r="O1540">
        <v>0</v>
      </c>
      <c r="P1540">
        <v>0</v>
      </c>
      <c r="Q1540" t="str">
        <f>INDEX('Partner data'!A:DH,MATCH(C1540,'Partner data'!DG:DG,0),83)</f>
        <v>Soggetto privato</v>
      </c>
      <c r="R1540" t="b">
        <f>IF(E1540="staff",IF(INDEX('Partner data'!A:DH,MATCH(C1540,'Partner data'!DG:DG,0),112)="BL1 non presente","FALSO",INDEX('Partner data'!A:DH,MATCH(C1540,'Partner data'!DG:DG,0),112)))</f>
        <v>0</v>
      </c>
      <c r="S1540" t="b">
        <f t="shared" si="48"/>
        <v>0</v>
      </c>
      <c r="T1540" t="b">
        <f t="shared" si="49"/>
        <v>0</v>
      </c>
      <c r="U1540" s="154">
        <f>IFERROR(IF(R1540&lt;&gt;FALSE,IF(S1540=TRUE,INDEX('SummaryNOT_VALIDATED-BL'!$A$1:$F$16,MATCH(R1540,'SummaryNOT_VALIDATED-BL'!$A$1:$A$16,0),6),0),IF(S1540=TRUE,INDEX('SummaryNOT_VALIDATED-BL'!$A$1:$F$16,MATCH(E1540,'SummaryNOT_VALIDATED-BL'!$A$1:$A$16,0),6),0)),0)</f>
        <v>0</v>
      </c>
      <c r="V1540" s="81" cm="1">
        <f t="array" ref="V1540">INDEX('Weight tables'!$A$24:$C$27,MATCH(1,(RendicontiTrasmessiBL__2[[#This Row],[Cut percentage on real costs + USC]]&gt;='Weight tables'!$B$24:$B$27)*(RendicontiTrasmessiBL__2[[#This Row],[Cut percentage on real costs + USC]]&lt;='Weight tables'!$C$24:$C$27),0),1)</f>
        <v>0</v>
      </c>
      <c r="W1540" s="2">
        <f>RendicontiTrasmessiBL__2[[#This Row],[Weight real costs  + USC ]]</f>
        <v>0</v>
      </c>
    </row>
    <row r="1541" spans="1:23" x14ac:dyDescent="0.25">
      <c r="A1541" s="1" t="s">
        <v>373</v>
      </c>
      <c r="B1541" s="1" t="s">
        <v>376</v>
      </c>
      <c r="C1541" s="2">
        <v>297</v>
      </c>
      <c r="D1541" s="2">
        <v>214</v>
      </c>
      <c r="E1541" s="1" t="s">
        <v>228</v>
      </c>
      <c r="G1541">
        <v>91261.72</v>
      </c>
      <c r="H1541">
        <v>0</v>
      </c>
      <c r="I1541">
        <v>0</v>
      </c>
      <c r="J1541">
        <v>20987.66</v>
      </c>
      <c r="K1541">
        <v>0</v>
      </c>
      <c r="L1541">
        <v>0</v>
      </c>
      <c r="M1541">
        <v>20987.66</v>
      </c>
      <c r="N1541">
        <v>23</v>
      </c>
      <c r="O1541">
        <v>70274.06</v>
      </c>
      <c r="P1541">
        <v>0</v>
      </c>
      <c r="Q1541" t="str">
        <f>INDEX('Partner data'!A:DH,MATCH(C1541,'Partner data'!DG:DG,0),83)</f>
        <v xml:space="preserve">Organismo di diritto pubblico </v>
      </c>
      <c r="R1541" t="str">
        <f>IF(E1541="staff",IF(INDEX('Partner data'!A:DH,MATCH(C1541,'Partner data'!DG:DG,0),112)="BL1 non presente","FALSO",INDEX('Partner data'!A:DH,MATCH(C1541,'Partner data'!DG:DG,0),112)))</f>
        <v>COSTO REALE</v>
      </c>
      <c r="S1541" t="b">
        <f t="shared" si="48"/>
        <v>1</v>
      </c>
      <c r="T1541" t="b">
        <f t="shared" si="49"/>
        <v>1</v>
      </c>
      <c r="U1541" s="154">
        <f>IFERROR(IF(R1541&lt;&gt;FALSE,IF(S1541=TRUE,INDEX('SummaryNOT_VALIDATED-BL'!$A$1:$F$16,MATCH(R1541,'SummaryNOT_VALIDATED-BL'!$A$1:$A$16,0),6),0),IF(S1541=TRUE,INDEX('SummaryNOT_VALIDATED-BL'!$A$1:$F$16,MATCH(E1541,'SummaryNOT_VALIDATED-BL'!$A$1:$A$16,0),6),0)),0)</f>
        <v>9.1604133276901048E-2</v>
      </c>
      <c r="V1541" s="81" cm="1">
        <f t="array" ref="V1541">INDEX('Weight tables'!$A$24:$C$27,MATCH(1,(RendicontiTrasmessiBL__2[[#This Row],[Cut percentage on real costs + USC]]&gt;='Weight tables'!$B$24:$B$27)*(RendicontiTrasmessiBL__2[[#This Row],[Cut percentage on real costs + USC]]&lt;='Weight tables'!$C$24:$C$27),0),1)</f>
        <v>4</v>
      </c>
      <c r="W1541" s="2">
        <f>RendicontiTrasmessiBL__2[[#This Row],[Weight real costs  + USC ]]</f>
        <v>4</v>
      </c>
    </row>
    <row r="1542" spans="1:23" x14ac:dyDescent="0.25">
      <c r="A1542" s="1" t="s">
        <v>373</v>
      </c>
      <c r="B1542" s="1" t="s">
        <v>376</v>
      </c>
      <c r="C1542" s="2">
        <v>297</v>
      </c>
      <c r="D1542" s="2">
        <v>214</v>
      </c>
      <c r="E1542" s="1" t="s">
        <v>229</v>
      </c>
      <c r="F1542">
        <v>15</v>
      </c>
      <c r="G1542">
        <v>13689.25</v>
      </c>
      <c r="H1542">
        <v>0</v>
      </c>
      <c r="I1542">
        <v>0</v>
      </c>
      <c r="J1542">
        <v>3148.14</v>
      </c>
      <c r="K1542">
        <v>0</v>
      </c>
      <c r="L1542">
        <v>0</v>
      </c>
      <c r="M1542">
        <v>3148.14</v>
      </c>
      <c r="N1542">
        <v>23</v>
      </c>
      <c r="O1542">
        <v>10541.11</v>
      </c>
      <c r="P1542">
        <v>0</v>
      </c>
      <c r="Q1542" t="str">
        <f>INDEX('Partner data'!A:DH,MATCH(C1542,'Partner data'!DG:DG,0),83)</f>
        <v xml:space="preserve">Organismo di diritto pubblico </v>
      </c>
      <c r="R1542" t="b">
        <f>IF(E1542="staff",IF(INDEX('Partner data'!A:DH,MATCH(C1542,'Partner data'!DG:DG,0),112)="BL1 non presente","FALSO",INDEX('Partner data'!A:DH,MATCH(C1542,'Partner data'!DG:DG,0),112)))</f>
        <v>0</v>
      </c>
      <c r="S1542" t="b">
        <f t="shared" si="48"/>
        <v>1</v>
      </c>
      <c r="T1542" t="b">
        <f t="shared" si="49"/>
        <v>1</v>
      </c>
      <c r="U1542" s="154">
        <f>IFERROR(IF(R1542&lt;&gt;FALSE,IF(S1542=TRUE,INDEX('SummaryNOT_VALIDATED-BL'!$A$1:$F$16,MATCH(R1542,'SummaryNOT_VALIDATED-BL'!$A$1:$A$16,0),6),0),IF(S1542=TRUE,INDEX('SummaryNOT_VALIDATED-BL'!$A$1:$F$16,MATCH(E1542,'SummaryNOT_VALIDATED-BL'!$A$1:$A$16,0),6),0)),0)</f>
        <v>6.6460469504890221E-2</v>
      </c>
      <c r="V1542" s="81" cm="1">
        <f t="array" ref="V1542">INDEX('Weight tables'!$A$24:$C$27,MATCH(1,(RendicontiTrasmessiBL__2[[#This Row],[Cut percentage on real costs + USC]]&gt;='Weight tables'!$B$24:$B$27)*(RendicontiTrasmessiBL__2[[#This Row],[Cut percentage on real costs + USC]]&lt;='Weight tables'!$C$24:$C$27),0),1)</f>
        <v>4</v>
      </c>
      <c r="W1542" s="2">
        <f>RendicontiTrasmessiBL__2[[#This Row],[Weight real costs  + USC ]]</f>
        <v>4</v>
      </c>
    </row>
    <row r="1543" spans="1:23" x14ac:dyDescent="0.25">
      <c r="A1543" s="1" t="s">
        <v>373</v>
      </c>
      <c r="B1543" s="1" t="s">
        <v>376</v>
      </c>
      <c r="C1543" s="2">
        <v>297</v>
      </c>
      <c r="D1543" s="2">
        <v>214</v>
      </c>
      <c r="E1543" s="1" t="s">
        <v>230</v>
      </c>
      <c r="F1543">
        <v>4</v>
      </c>
      <c r="G1543">
        <v>3650.46</v>
      </c>
      <c r="H1543">
        <v>0</v>
      </c>
      <c r="I1543">
        <v>0</v>
      </c>
      <c r="J1543">
        <v>839.5</v>
      </c>
      <c r="K1543">
        <v>0</v>
      </c>
      <c r="L1543">
        <v>0</v>
      </c>
      <c r="M1543">
        <v>839.5</v>
      </c>
      <c r="N1543">
        <v>23</v>
      </c>
      <c r="O1543">
        <v>2810.96</v>
      </c>
      <c r="P1543">
        <v>0</v>
      </c>
      <c r="Q1543" t="str">
        <f>INDEX('Partner data'!A:DH,MATCH(C1543,'Partner data'!DG:DG,0),83)</f>
        <v xml:space="preserve">Organismo di diritto pubblico </v>
      </c>
      <c r="R1543" t="b">
        <f>IF(E1543="staff",IF(INDEX('Partner data'!A:DH,MATCH(C1543,'Partner data'!DG:DG,0),112)="BL1 non presente","FALSO",INDEX('Partner data'!A:DH,MATCH(C1543,'Partner data'!DG:DG,0),112)))</f>
        <v>0</v>
      </c>
      <c r="S1543" t="b">
        <f t="shared" si="48"/>
        <v>1</v>
      </c>
      <c r="T1543" t="b">
        <f t="shared" si="49"/>
        <v>1</v>
      </c>
      <c r="U1543" s="154">
        <f>IFERROR(IF(R1543&lt;&gt;FALSE,IF(S1543=TRUE,INDEX('SummaryNOT_VALIDATED-BL'!$A$1:$F$16,MATCH(R1543,'SummaryNOT_VALIDATED-BL'!$A$1:$A$16,0),6),0),IF(S1543=TRUE,INDEX('SummaryNOT_VALIDATED-BL'!$A$1:$F$16,MATCH(E1543,'SummaryNOT_VALIDATED-BL'!$A$1:$A$16,0),6),0)),0)</f>
        <v>6.3112622236488891E-2</v>
      </c>
      <c r="V1543" s="81" cm="1">
        <f t="array" ref="V1543">INDEX('Weight tables'!$A$24:$C$27,MATCH(1,(RendicontiTrasmessiBL__2[[#This Row],[Cut percentage on real costs + USC]]&gt;='Weight tables'!$B$24:$B$27)*(RendicontiTrasmessiBL__2[[#This Row],[Cut percentage on real costs + USC]]&lt;='Weight tables'!$C$24:$C$27),0),1)</f>
        <v>4</v>
      </c>
      <c r="W1543" s="2">
        <f>RendicontiTrasmessiBL__2[[#This Row],[Weight real costs  + USC ]]</f>
        <v>4</v>
      </c>
    </row>
    <row r="1544" spans="1:23" x14ac:dyDescent="0.25">
      <c r="A1544" s="1" t="s">
        <v>373</v>
      </c>
      <c r="B1544" s="1" t="s">
        <v>376</v>
      </c>
      <c r="C1544" s="2">
        <v>297</v>
      </c>
      <c r="D1544" s="2">
        <v>214</v>
      </c>
      <c r="E1544" s="1" t="s">
        <v>231</v>
      </c>
      <c r="G1544">
        <v>19398.57</v>
      </c>
      <c r="H1544">
        <v>0</v>
      </c>
      <c r="I1544">
        <v>0</v>
      </c>
      <c r="J1544">
        <v>634</v>
      </c>
      <c r="K1544">
        <v>0</v>
      </c>
      <c r="L1544">
        <v>0</v>
      </c>
      <c r="M1544">
        <v>634</v>
      </c>
      <c r="N1544">
        <v>3.27</v>
      </c>
      <c r="O1544">
        <v>18764.57</v>
      </c>
      <c r="P1544">
        <v>0</v>
      </c>
      <c r="Q1544" t="str">
        <f>INDEX('Partner data'!A:DH,MATCH(C1544,'Partner data'!DG:DG,0),83)</f>
        <v xml:space="preserve">Organismo di diritto pubblico </v>
      </c>
      <c r="R1544" t="b">
        <f>IF(E1544="staff",IF(INDEX('Partner data'!A:DH,MATCH(C1544,'Partner data'!DG:DG,0),112)="BL1 non presente","FALSO",INDEX('Partner data'!A:DH,MATCH(C1544,'Partner data'!DG:DG,0),112)))</f>
        <v>0</v>
      </c>
      <c r="S1544" t="b">
        <f t="shared" si="48"/>
        <v>1</v>
      </c>
      <c r="T1544" t="b">
        <f t="shared" si="49"/>
        <v>1</v>
      </c>
      <c r="U1544" s="154">
        <f>IFERROR(IF(R1544&lt;&gt;FALSE,IF(S1544=TRUE,INDEX('SummaryNOT_VALIDATED-BL'!$A$1:$F$16,MATCH(R1544,'SummaryNOT_VALIDATED-BL'!$A$1:$A$16,0),6),0),IF(S1544=TRUE,INDEX('SummaryNOT_VALIDATED-BL'!$A$1:$F$16,MATCH(E1544,'SummaryNOT_VALIDATED-BL'!$A$1:$A$16,0),6),0)),0)</f>
        <v>5.577594442215475E-2</v>
      </c>
      <c r="V1544" s="81" cm="1">
        <f t="array" ref="V1544">INDEX('Weight tables'!$A$24:$C$27,MATCH(1,(RendicontiTrasmessiBL__2[[#This Row],[Cut percentage on real costs + USC]]&gt;='Weight tables'!$B$24:$B$27)*(RendicontiTrasmessiBL__2[[#This Row],[Cut percentage on real costs + USC]]&lt;='Weight tables'!$C$24:$C$27),0),1)</f>
        <v>4</v>
      </c>
      <c r="W1544" s="2">
        <f>RendicontiTrasmessiBL__2[[#This Row],[Weight real costs  + USC ]]</f>
        <v>4</v>
      </c>
    </row>
    <row r="1545" spans="1:23" x14ac:dyDescent="0.25">
      <c r="A1545" s="1" t="s">
        <v>373</v>
      </c>
      <c r="B1545" s="1" t="s">
        <v>376</v>
      </c>
      <c r="C1545" s="2">
        <v>297</v>
      </c>
      <c r="D1545" s="2">
        <v>214</v>
      </c>
      <c r="E1545" s="1" t="s">
        <v>232</v>
      </c>
      <c r="G1545">
        <v>0</v>
      </c>
      <c r="H1545">
        <v>0</v>
      </c>
      <c r="I1545">
        <v>0</v>
      </c>
      <c r="J1545">
        <v>0</v>
      </c>
      <c r="K1545">
        <v>0</v>
      </c>
      <c r="L1545">
        <v>0</v>
      </c>
      <c r="M1545">
        <v>0</v>
      </c>
      <c r="N1545">
        <v>0</v>
      </c>
      <c r="O1545">
        <v>0</v>
      </c>
      <c r="P1545">
        <v>0</v>
      </c>
      <c r="Q1545" t="str">
        <f>INDEX('Partner data'!A:DH,MATCH(C1545,'Partner data'!DG:DG,0),83)</f>
        <v xml:space="preserve">Organismo di diritto pubblico </v>
      </c>
      <c r="R1545" t="b">
        <f>IF(E1545="staff",IF(INDEX('Partner data'!A:DH,MATCH(C1545,'Partner data'!DG:DG,0),112)="BL1 non presente","FALSO",INDEX('Partner data'!A:DH,MATCH(C1545,'Partner data'!DG:DG,0),112)))</f>
        <v>0</v>
      </c>
      <c r="S1545" t="b">
        <f t="shared" si="48"/>
        <v>0</v>
      </c>
      <c r="T1545" t="b">
        <f t="shared" si="49"/>
        <v>1</v>
      </c>
      <c r="U1545" s="154">
        <f>IFERROR(IF(R1545&lt;&gt;FALSE,IF(S1545=TRUE,INDEX('SummaryNOT_VALIDATED-BL'!$A$1:$F$16,MATCH(R1545,'SummaryNOT_VALIDATED-BL'!$A$1:$A$16,0),6),0),IF(S1545=TRUE,INDEX('SummaryNOT_VALIDATED-BL'!$A$1:$F$16,MATCH(E1545,'SummaryNOT_VALIDATED-BL'!$A$1:$A$16,0),6),0)),0)</f>
        <v>0</v>
      </c>
      <c r="V1545" s="81" cm="1">
        <f t="array" ref="V1545">INDEX('Weight tables'!$A$24:$C$27,MATCH(1,(RendicontiTrasmessiBL__2[[#This Row],[Cut percentage on real costs + USC]]&gt;='Weight tables'!$B$24:$B$27)*(RendicontiTrasmessiBL__2[[#This Row],[Cut percentage on real costs + USC]]&lt;='Weight tables'!$C$24:$C$27),0),1)</f>
        <v>0</v>
      </c>
      <c r="W1545" s="2">
        <f>RendicontiTrasmessiBL__2[[#This Row],[Weight real costs  + USC ]]</f>
        <v>0</v>
      </c>
    </row>
    <row r="1546" spans="1:23" x14ac:dyDescent="0.25">
      <c r="A1546" s="1" t="s">
        <v>373</v>
      </c>
      <c r="B1546" s="1" t="s">
        <v>376</v>
      </c>
      <c r="C1546" s="2">
        <v>297</v>
      </c>
      <c r="D1546" s="2">
        <v>214</v>
      </c>
      <c r="E1546" s="1" t="s">
        <v>233</v>
      </c>
      <c r="G1546">
        <v>0</v>
      </c>
      <c r="H1546">
        <v>0</v>
      </c>
      <c r="I1546">
        <v>0</v>
      </c>
      <c r="J1546">
        <v>0</v>
      </c>
      <c r="K1546">
        <v>0</v>
      </c>
      <c r="L1546">
        <v>0</v>
      </c>
      <c r="M1546">
        <v>0</v>
      </c>
      <c r="N1546">
        <v>0</v>
      </c>
      <c r="O1546">
        <v>0</v>
      </c>
      <c r="P1546">
        <v>0</v>
      </c>
      <c r="Q1546" t="str">
        <f>INDEX('Partner data'!A:DH,MATCH(C1546,'Partner data'!DG:DG,0),83)</f>
        <v xml:space="preserve">Organismo di diritto pubblico </v>
      </c>
      <c r="R1546" t="b">
        <f>IF(E1546="staff",IF(INDEX('Partner data'!A:DH,MATCH(C1546,'Partner data'!DG:DG,0),112)="BL1 non presente","FALSO",INDEX('Partner data'!A:DH,MATCH(C1546,'Partner data'!DG:DG,0),112)))</f>
        <v>0</v>
      </c>
      <c r="S1546" t="b">
        <f t="shared" si="48"/>
        <v>0</v>
      </c>
      <c r="T1546" t="b">
        <f t="shared" si="49"/>
        <v>1</v>
      </c>
      <c r="U1546" s="154">
        <f>IFERROR(IF(R1546&lt;&gt;FALSE,IF(S1546=TRUE,INDEX('SummaryNOT_VALIDATED-BL'!$A$1:$F$16,MATCH(R1546,'SummaryNOT_VALIDATED-BL'!$A$1:$A$16,0),6),0),IF(S1546=TRUE,INDEX('SummaryNOT_VALIDATED-BL'!$A$1:$F$16,MATCH(E1546,'SummaryNOT_VALIDATED-BL'!$A$1:$A$16,0),6),0)),0)</f>
        <v>0</v>
      </c>
      <c r="V1546" s="81" cm="1">
        <f t="array" ref="V1546">INDEX('Weight tables'!$A$24:$C$27,MATCH(1,(RendicontiTrasmessiBL__2[[#This Row],[Cut percentage on real costs + USC]]&gt;='Weight tables'!$B$24:$B$27)*(RendicontiTrasmessiBL__2[[#This Row],[Cut percentage on real costs + USC]]&lt;='Weight tables'!$C$24:$C$27),0),1)</f>
        <v>0</v>
      </c>
      <c r="W1546" s="2">
        <f>RendicontiTrasmessiBL__2[[#This Row],[Weight real costs  + USC ]]</f>
        <v>0</v>
      </c>
    </row>
    <row r="1547" spans="1:23" x14ac:dyDescent="0.25">
      <c r="A1547" s="1" t="s">
        <v>373</v>
      </c>
      <c r="B1547" s="1" t="s">
        <v>376</v>
      </c>
      <c r="C1547" s="2">
        <v>297</v>
      </c>
      <c r="D1547" s="2">
        <v>214</v>
      </c>
      <c r="E1547" s="1" t="s">
        <v>234</v>
      </c>
      <c r="G1547">
        <v>0</v>
      </c>
      <c r="H1547">
        <v>0</v>
      </c>
      <c r="I1547">
        <v>0</v>
      </c>
      <c r="J1547">
        <v>0</v>
      </c>
      <c r="K1547">
        <v>0</v>
      </c>
      <c r="L1547">
        <v>0</v>
      </c>
      <c r="M1547">
        <v>0</v>
      </c>
      <c r="N1547">
        <v>0</v>
      </c>
      <c r="O1547">
        <v>0</v>
      </c>
      <c r="P1547">
        <v>0</v>
      </c>
      <c r="Q1547" t="str">
        <f>INDEX('Partner data'!A:DH,MATCH(C1547,'Partner data'!DG:DG,0),83)</f>
        <v xml:space="preserve">Organismo di diritto pubblico </v>
      </c>
      <c r="R1547" t="b">
        <f>IF(E1547="staff",IF(INDEX('Partner data'!A:DH,MATCH(C1547,'Partner data'!DG:DG,0),112)="BL1 non presente","FALSO",INDEX('Partner data'!A:DH,MATCH(C1547,'Partner data'!DG:DG,0),112)))</f>
        <v>0</v>
      </c>
      <c r="S1547" t="b">
        <f t="shared" si="48"/>
        <v>0</v>
      </c>
      <c r="T1547" t="b">
        <f t="shared" si="49"/>
        <v>1</v>
      </c>
      <c r="U1547" s="154">
        <f>IFERROR(IF(R1547&lt;&gt;FALSE,IF(S1547=TRUE,INDEX('SummaryNOT_VALIDATED-BL'!$A$1:$F$16,MATCH(R1547,'SummaryNOT_VALIDATED-BL'!$A$1:$A$16,0),6),0),IF(S1547=TRUE,INDEX('SummaryNOT_VALIDATED-BL'!$A$1:$F$16,MATCH(E1547,'SummaryNOT_VALIDATED-BL'!$A$1:$A$16,0),6),0)),0)</f>
        <v>0</v>
      </c>
      <c r="V1547" s="81" cm="1">
        <f t="array" ref="V1547">INDEX('Weight tables'!$A$24:$C$27,MATCH(1,(RendicontiTrasmessiBL__2[[#This Row],[Cut percentage on real costs + USC]]&gt;='Weight tables'!$B$24:$B$27)*(RendicontiTrasmessiBL__2[[#This Row],[Cut percentage on real costs + USC]]&lt;='Weight tables'!$C$24:$C$27),0),1)</f>
        <v>0</v>
      </c>
      <c r="W1547" s="2">
        <f>RendicontiTrasmessiBL__2[[#This Row],[Weight real costs  + USC ]]</f>
        <v>0</v>
      </c>
    </row>
    <row r="1548" spans="1:23" x14ac:dyDescent="0.25">
      <c r="A1548" s="1" t="s">
        <v>373</v>
      </c>
      <c r="B1548" s="1" t="s">
        <v>376</v>
      </c>
      <c r="C1548" s="2">
        <v>297</v>
      </c>
      <c r="D1548" s="2">
        <v>214</v>
      </c>
      <c r="E1548" s="1" t="s">
        <v>236</v>
      </c>
      <c r="G1548">
        <v>0</v>
      </c>
      <c r="H1548">
        <v>0</v>
      </c>
      <c r="I1548">
        <v>0</v>
      </c>
      <c r="J1548">
        <v>0</v>
      </c>
      <c r="K1548">
        <v>0</v>
      </c>
      <c r="L1548">
        <v>0</v>
      </c>
      <c r="M1548">
        <v>0</v>
      </c>
      <c r="N1548">
        <v>0</v>
      </c>
      <c r="O1548">
        <v>0</v>
      </c>
      <c r="P1548">
        <v>0</v>
      </c>
      <c r="Q1548" t="str">
        <f>INDEX('Partner data'!A:DH,MATCH(C1548,'Partner data'!DG:DG,0),83)</f>
        <v xml:space="preserve">Organismo di diritto pubblico </v>
      </c>
      <c r="R1548" t="b">
        <f>IF(E1548="staff",IF(INDEX('Partner data'!A:DH,MATCH(C1548,'Partner data'!DG:DG,0),112)="BL1 non presente","FALSO",INDEX('Partner data'!A:DH,MATCH(C1548,'Partner data'!DG:DG,0),112)))</f>
        <v>0</v>
      </c>
      <c r="S1548" t="b">
        <f t="shared" si="48"/>
        <v>0</v>
      </c>
      <c r="T1548" t="b">
        <f t="shared" si="49"/>
        <v>1</v>
      </c>
      <c r="U1548" s="154">
        <f>IFERROR(IF(R1548&lt;&gt;FALSE,IF(S1548=TRUE,INDEX('SummaryNOT_VALIDATED-BL'!$A$1:$F$16,MATCH(R1548,'SummaryNOT_VALIDATED-BL'!$A$1:$A$16,0),6),0),IF(S1548=TRUE,INDEX('SummaryNOT_VALIDATED-BL'!$A$1:$F$16,MATCH(E1548,'SummaryNOT_VALIDATED-BL'!$A$1:$A$16,0),6),0)),0)</f>
        <v>0</v>
      </c>
      <c r="V1548" s="81" cm="1">
        <f t="array" ref="V1548">INDEX('Weight tables'!$A$24:$C$27,MATCH(1,(RendicontiTrasmessiBL__2[[#This Row],[Cut percentage on real costs + USC]]&gt;='Weight tables'!$B$24:$B$27)*(RendicontiTrasmessiBL__2[[#This Row],[Cut percentage on real costs + USC]]&lt;='Weight tables'!$C$24:$C$27),0),1)</f>
        <v>0</v>
      </c>
      <c r="W1548" s="2">
        <f>RendicontiTrasmessiBL__2[[#This Row],[Weight real costs  + USC ]]</f>
        <v>0</v>
      </c>
    </row>
    <row r="1549" spans="1:23" x14ac:dyDescent="0.25">
      <c r="A1549" s="1" t="s">
        <v>373</v>
      </c>
      <c r="B1549" s="1" t="s">
        <v>376</v>
      </c>
      <c r="C1549" s="2">
        <v>297</v>
      </c>
      <c r="D1549" s="2">
        <v>214</v>
      </c>
      <c r="E1549" s="1" t="s">
        <v>237</v>
      </c>
      <c r="G1549">
        <v>0</v>
      </c>
      <c r="H1549">
        <v>0</v>
      </c>
      <c r="I1549">
        <v>0</v>
      </c>
      <c r="J1549">
        <v>0</v>
      </c>
      <c r="K1549">
        <v>0</v>
      </c>
      <c r="L1549">
        <v>0</v>
      </c>
      <c r="M1549">
        <v>0</v>
      </c>
      <c r="N1549">
        <v>0</v>
      </c>
      <c r="O1549">
        <v>0</v>
      </c>
      <c r="P1549">
        <v>0</v>
      </c>
      <c r="Q1549" t="str">
        <f>INDEX('Partner data'!A:DH,MATCH(C1549,'Partner data'!DG:DG,0),83)</f>
        <v xml:space="preserve">Organismo di diritto pubblico </v>
      </c>
      <c r="R1549" t="b">
        <f>IF(E1549="staff",IF(INDEX('Partner data'!A:DH,MATCH(C1549,'Partner data'!DG:DG,0),112)="BL1 non presente","FALSO",INDEX('Partner data'!A:DH,MATCH(C1549,'Partner data'!DG:DG,0),112)))</f>
        <v>0</v>
      </c>
      <c r="S1549" t="b">
        <f t="shared" si="48"/>
        <v>0</v>
      </c>
      <c r="T1549" t="b">
        <f t="shared" si="49"/>
        <v>1</v>
      </c>
      <c r="U1549" s="154">
        <f>IFERROR(IF(R1549&lt;&gt;FALSE,IF(S1549=TRUE,INDEX('SummaryNOT_VALIDATED-BL'!$A$1:$F$16,MATCH(R1549,'SummaryNOT_VALIDATED-BL'!$A$1:$A$16,0),6),0),IF(S1549=TRUE,INDEX('SummaryNOT_VALIDATED-BL'!$A$1:$F$16,MATCH(E1549,'SummaryNOT_VALIDATED-BL'!$A$1:$A$16,0),6),0)),0)</f>
        <v>0</v>
      </c>
      <c r="V1549" s="81" cm="1">
        <f t="array" ref="V1549">INDEX('Weight tables'!$A$24:$C$27,MATCH(1,(RendicontiTrasmessiBL__2[[#This Row],[Cut percentage on real costs + USC]]&gt;='Weight tables'!$B$24:$B$27)*(RendicontiTrasmessiBL__2[[#This Row],[Cut percentage on real costs + USC]]&lt;='Weight tables'!$C$24:$C$27),0),1)</f>
        <v>0</v>
      </c>
      <c r="W1549" s="2">
        <f>RendicontiTrasmessiBL__2[[#This Row],[Weight real costs  + USC ]]</f>
        <v>0</v>
      </c>
    </row>
    <row r="1550" spans="1:23" x14ac:dyDescent="0.25">
      <c r="A1550" s="1" t="s">
        <v>373</v>
      </c>
      <c r="B1550" s="1" t="s">
        <v>377</v>
      </c>
      <c r="C1550" s="2">
        <v>302</v>
      </c>
      <c r="D1550" s="2">
        <v>228</v>
      </c>
      <c r="E1550" s="1" t="s">
        <v>228</v>
      </c>
      <c r="G1550">
        <v>38684.559999999998</v>
      </c>
      <c r="H1550">
        <v>0</v>
      </c>
      <c r="I1550">
        <v>0</v>
      </c>
      <c r="J1550">
        <v>2915</v>
      </c>
      <c r="K1550">
        <v>0</v>
      </c>
      <c r="L1550">
        <v>2915</v>
      </c>
      <c r="M1550">
        <v>2915</v>
      </c>
      <c r="N1550">
        <v>7.54</v>
      </c>
      <c r="O1550">
        <v>35769.56</v>
      </c>
      <c r="P1550">
        <v>0</v>
      </c>
      <c r="Q1550" t="str">
        <f>INDEX('Partner data'!A:DH,MATCH(C1550,'Partner data'!DG:DG,0),83)</f>
        <v>Soggetto privato</v>
      </c>
      <c r="R1550" t="str">
        <f>IF(E1550="staff",IF(INDEX('Partner data'!A:DH,MATCH(C1550,'Partner data'!DG:DG,0),112)="BL1 non presente","FALSO",INDEX('Partner data'!A:DH,MATCH(C1550,'Partner data'!DG:DG,0),112)))</f>
        <v>Tasso Forfettario 20%</v>
      </c>
      <c r="S1550" t="b">
        <f t="shared" si="48"/>
        <v>1</v>
      </c>
      <c r="T1550" t="b">
        <f t="shared" si="49"/>
        <v>0</v>
      </c>
      <c r="U1550" s="154">
        <f>IFERROR(IF(R1550&lt;&gt;FALSE,IF(S1550=TRUE,INDEX('SummaryNOT_VALIDATED-BL'!$A$1:$F$16,MATCH(R1550,'SummaryNOT_VALIDATED-BL'!$A$1:$A$16,0),6),0),IF(S1550=TRUE,INDEX('SummaryNOT_VALIDATED-BL'!$A$1:$F$16,MATCH(E1550,'SummaryNOT_VALIDATED-BL'!$A$1:$A$16,0),6),0)),0)</f>
        <v>1.2653355650533233E-2</v>
      </c>
      <c r="V1550" s="81" cm="1">
        <f t="array" ref="V1550">INDEX('Weight tables'!$A$24:$C$27,MATCH(1,(RendicontiTrasmessiBL__2[[#This Row],[Cut percentage on real costs + USC]]&gt;='Weight tables'!$B$24:$B$27)*(RendicontiTrasmessiBL__2[[#This Row],[Cut percentage on real costs + USC]]&lt;='Weight tables'!$C$24:$C$27),0),1)</f>
        <v>0</v>
      </c>
      <c r="W1550" s="2">
        <f>RendicontiTrasmessiBL__2[[#This Row],[Weight real costs  + USC ]]</f>
        <v>0</v>
      </c>
    </row>
    <row r="1551" spans="1:23" x14ac:dyDescent="0.25">
      <c r="A1551" s="1" t="s">
        <v>373</v>
      </c>
      <c r="B1551" s="1" t="s">
        <v>377</v>
      </c>
      <c r="C1551" s="2">
        <v>302</v>
      </c>
      <c r="D1551" s="2">
        <v>228</v>
      </c>
      <c r="E1551" s="1" t="s">
        <v>229</v>
      </c>
      <c r="G1551">
        <v>0</v>
      </c>
      <c r="H1551">
        <v>0</v>
      </c>
      <c r="I1551">
        <v>0</v>
      </c>
      <c r="J1551">
        <v>0</v>
      </c>
      <c r="K1551">
        <v>0</v>
      </c>
      <c r="L1551">
        <v>0</v>
      </c>
      <c r="M1551">
        <v>0</v>
      </c>
      <c r="N1551">
        <v>0</v>
      </c>
      <c r="O1551">
        <v>0</v>
      </c>
      <c r="P1551">
        <v>0</v>
      </c>
      <c r="Q1551" t="str">
        <f>INDEX('Partner data'!A:DH,MATCH(C1551,'Partner data'!DG:DG,0),83)</f>
        <v>Soggetto privato</v>
      </c>
      <c r="R1551" t="b">
        <f>IF(E1551="staff",IF(INDEX('Partner data'!A:DH,MATCH(C1551,'Partner data'!DG:DG,0),112)="BL1 non presente","FALSO",INDEX('Partner data'!A:DH,MATCH(C1551,'Partner data'!DG:DG,0),112)))</f>
        <v>0</v>
      </c>
      <c r="S1551" t="b">
        <f t="shared" si="48"/>
        <v>0</v>
      </c>
      <c r="T1551" t="b">
        <f t="shared" si="49"/>
        <v>0</v>
      </c>
      <c r="U1551" s="154">
        <f>IFERROR(IF(R1551&lt;&gt;FALSE,IF(S1551=TRUE,INDEX('SummaryNOT_VALIDATED-BL'!$A$1:$F$16,MATCH(R1551,'SummaryNOT_VALIDATED-BL'!$A$1:$A$16,0),6),0),IF(S1551=TRUE,INDEX('SummaryNOT_VALIDATED-BL'!$A$1:$F$16,MATCH(E1551,'SummaryNOT_VALIDATED-BL'!$A$1:$A$16,0),6),0)),0)</f>
        <v>0</v>
      </c>
      <c r="V1551" s="81" cm="1">
        <f t="array" ref="V1551">INDEX('Weight tables'!$A$24:$C$27,MATCH(1,(RendicontiTrasmessiBL__2[[#This Row],[Cut percentage on real costs + USC]]&gt;='Weight tables'!$B$24:$B$27)*(RendicontiTrasmessiBL__2[[#This Row],[Cut percentage on real costs + USC]]&lt;='Weight tables'!$C$24:$C$27),0),1)</f>
        <v>0</v>
      </c>
      <c r="W1551" s="2">
        <f>RendicontiTrasmessiBL__2[[#This Row],[Weight real costs  + USC ]]</f>
        <v>0</v>
      </c>
    </row>
    <row r="1552" spans="1:23" x14ac:dyDescent="0.25">
      <c r="A1552" s="1" t="s">
        <v>373</v>
      </c>
      <c r="B1552" s="1" t="s">
        <v>377</v>
      </c>
      <c r="C1552" s="2">
        <v>302</v>
      </c>
      <c r="D1552" s="2">
        <v>228</v>
      </c>
      <c r="E1552" s="1" t="s">
        <v>230</v>
      </c>
      <c r="F1552">
        <v>4</v>
      </c>
      <c r="G1552">
        <v>1547.38</v>
      </c>
      <c r="H1552">
        <v>0</v>
      </c>
      <c r="I1552">
        <v>0</v>
      </c>
      <c r="J1552">
        <v>116.6</v>
      </c>
      <c r="K1552">
        <v>0</v>
      </c>
      <c r="L1552">
        <v>116.6</v>
      </c>
      <c r="M1552">
        <v>116.6</v>
      </c>
      <c r="N1552">
        <v>7.54</v>
      </c>
      <c r="O1552">
        <v>1430.78</v>
      </c>
      <c r="P1552">
        <v>0</v>
      </c>
      <c r="Q1552" t="str">
        <f>INDEX('Partner data'!A:DH,MATCH(C1552,'Partner data'!DG:DG,0),83)</f>
        <v>Soggetto privato</v>
      </c>
      <c r="R1552" t="b">
        <f>IF(E1552="staff",IF(INDEX('Partner data'!A:DH,MATCH(C1552,'Partner data'!DG:DG,0),112)="BL1 non presente","FALSO",INDEX('Partner data'!A:DH,MATCH(C1552,'Partner data'!DG:DG,0),112)))</f>
        <v>0</v>
      </c>
      <c r="S1552" t="b">
        <f t="shared" si="48"/>
        <v>1</v>
      </c>
      <c r="T1552" t="b">
        <f t="shared" si="49"/>
        <v>0</v>
      </c>
      <c r="U1552" s="154">
        <f>IFERROR(IF(R1552&lt;&gt;FALSE,IF(S1552=TRUE,INDEX('SummaryNOT_VALIDATED-BL'!$A$1:$F$16,MATCH(R1552,'SummaryNOT_VALIDATED-BL'!$A$1:$A$16,0),6),0),IF(S1552=TRUE,INDEX('SummaryNOT_VALIDATED-BL'!$A$1:$F$16,MATCH(E1552,'SummaryNOT_VALIDATED-BL'!$A$1:$A$16,0),6),0)),0)</f>
        <v>6.3112622236488891E-2</v>
      </c>
      <c r="V1552" s="81" cm="1">
        <f t="array" ref="V1552">INDEX('Weight tables'!$A$24:$C$27,MATCH(1,(RendicontiTrasmessiBL__2[[#This Row],[Cut percentage on real costs + USC]]&gt;='Weight tables'!$B$24:$B$27)*(RendicontiTrasmessiBL__2[[#This Row],[Cut percentage on real costs + USC]]&lt;='Weight tables'!$C$24:$C$27),0),1)</f>
        <v>4</v>
      </c>
      <c r="W1552" s="2">
        <f>RendicontiTrasmessiBL__2[[#This Row],[Weight real costs  + USC ]]</f>
        <v>4</v>
      </c>
    </row>
    <row r="1553" spans="1:23" x14ac:dyDescent="0.25">
      <c r="A1553" s="1" t="s">
        <v>373</v>
      </c>
      <c r="B1553" s="1" t="s">
        <v>377</v>
      </c>
      <c r="C1553" s="2">
        <v>302</v>
      </c>
      <c r="D1553" s="2">
        <v>228</v>
      </c>
      <c r="E1553" s="1" t="s">
        <v>231</v>
      </c>
      <c r="G1553">
        <v>25000.06</v>
      </c>
      <c r="H1553">
        <v>0</v>
      </c>
      <c r="I1553">
        <v>0</v>
      </c>
      <c r="J1553">
        <v>0</v>
      </c>
      <c r="K1553">
        <v>0</v>
      </c>
      <c r="L1553">
        <v>0</v>
      </c>
      <c r="M1553">
        <v>0</v>
      </c>
      <c r="N1553">
        <v>0</v>
      </c>
      <c r="O1553">
        <v>25000.06</v>
      </c>
      <c r="P1553">
        <v>0</v>
      </c>
      <c r="Q1553" t="str">
        <f>INDEX('Partner data'!A:DH,MATCH(C1553,'Partner data'!DG:DG,0),83)</f>
        <v>Soggetto privato</v>
      </c>
      <c r="R1553" t="b">
        <f>IF(E1553="staff",IF(INDEX('Partner data'!A:DH,MATCH(C1553,'Partner data'!DG:DG,0),112)="BL1 non presente","FALSO",INDEX('Partner data'!A:DH,MATCH(C1553,'Partner data'!DG:DG,0),112)))</f>
        <v>0</v>
      </c>
      <c r="S1553" t="b">
        <f t="shared" si="48"/>
        <v>0</v>
      </c>
      <c r="T1553" t="b">
        <f t="shared" si="49"/>
        <v>0</v>
      </c>
      <c r="U1553" s="154">
        <f>IFERROR(IF(R1553&lt;&gt;FALSE,IF(S1553=TRUE,INDEX('SummaryNOT_VALIDATED-BL'!$A$1:$F$16,MATCH(R1553,'SummaryNOT_VALIDATED-BL'!$A$1:$A$16,0),6),0),IF(S1553=TRUE,INDEX('SummaryNOT_VALIDATED-BL'!$A$1:$F$16,MATCH(E1553,'SummaryNOT_VALIDATED-BL'!$A$1:$A$16,0),6),0)),0)</f>
        <v>0</v>
      </c>
      <c r="V1553" s="81" cm="1">
        <f t="array" ref="V1553">INDEX('Weight tables'!$A$24:$C$27,MATCH(1,(RendicontiTrasmessiBL__2[[#This Row],[Cut percentage on real costs + USC]]&gt;='Weight tables'!$B$24:$B$27)*(RendicontiTrasmessiBL__2[[#This Row],[Cut percentage on real costs + USC]]&lt;='Weight tables'!$C$24:$C$27),0),1)</f>
        <v>0</v>
      </c>
      <c r="W1553" s="2">
        <f>RendicontiTrasmessiBL__2[[#This Row],[Weight real costs  + USC ]]</f>
        <v>0</v>
      </c>
    </row>
    <row r="1554" spans="1:23" x14ac:dyDescent="0.25">
      <c r="A1554" s="1" t="s">
        <v>373</v>
      </c>
      <c r="B1554" s="1" t="s">
        <v>377</v>
      </c>
      <c r="C1554" s="2">
        <v>302</v>
      </c>
      <c r="D1554" s="2">
        <v>228</v>
      </c>
      <c r="E1554" s="1" t="s">
        <v>232</v>
      </c>
      <c r="G1554">
        <v>0</v>
      </c>
      <c r="H1554">
        <v>0</v>
      </c>
      <c r="I1554">
        <v>0</v>
      </c>
      <c r="J1554">
        <v>0</v>
      </c>
      <c r="K1554">
        <v>0</v>
      </c>
      <c r="L1554">
        <v>0</v>
      </c>
      <c r="M1554">
        <v>0</v>
      </c>
      <c r="N1554">
        <v>0</v>
      </c>
      <c r="O1554">
        <v>0</v>
      </c>
      <c r="P1554">
        <v>0</v>
      </c>
      <c r="Q1554" t="str">
        <f>INDEX('Partner data'!A:DH,MATCH(C1554,'Partner data'!DG:DG,0),83)</f>
        <v>Soggetto privato</v>
      </c>
      <c r="R1554" t="b">
        <f>IF(E1554="staff",IF(INDEX('Partner data'!A:DH,MATCH(C1554,'Partner data'!DG:DG,0),112)="BL1 non presente","FALSO",INDEX('Partner data'!A:DH,MATCH(C1554,'Partner data'!DG:DG,0),112)))</f>
        <v>0</v>
      </c>
      <c r="S1554" t="b">
        <f t="shared" si="48"/>
        <v>0</v>
      </c>
      <c r="T1554" t="b">
        <f t="shared" si="49"/>
        <v>0</v>
      </c>
      <c r="U1554" s="154">
        <f>IFERROR(IF(R1554&lt;&gt;FALSE,IF(S1554=TRUE,INDEX('SummaryNOT_VALIDATED-BL'!$A$1:$F$16,MATCH(R1554,'SummaryNOT_VALIDATED-BL'!$A$1:$A$16,0),6),0),IF(S1554=TRUE,INDEX('SummaryNOT_VALIDATED-BL'!$A$1:$F$16,MATCH(E1554,'SummaryNOT_VALIDATED-BL'!$A$1:$A$16,0),6),0)),0)</f>
        <v>0</v>
      </c>
      <c r="V1554" s="81" cm="1">
        <f t="array" ref="V1554">INDEX('Weight tables'!$A$24:$C$27,MATCH(1,(RendicontiTrasmessiBL__2[[#This Row],[Cut percentage on real costs + USC]]&gt;='Weight tables'!$B$24:$B$27)*(RendicontiTrasmessiBL__2[[#This Row],[Cut percentage on real costs + USC]]&lt;='Weight tables'!$C$24:$C$27),0),1)</f>
        <v>0</v>
      </c>
      <c r="W1554" s="2">
        <f>RendicontiTrasmessiBL__2[[#This Row],[Weight real costs  + USC ]]</f>
        <v>0</v>
      </c>
    </row>
    <row r="1555" spans="1:23" x14ac:dyDescent="0.25">
      <c r="A1555" s="1" t="s">
        <v>373</v>
      </c>
      <c r="B1555" s="1" t="s">
        <v>377</v>
      </c>
      <c r="C1555" s="2">
        <v>302</v>
      </c>
      <c r="D1555" s="2">
        <v>228</v>
      </c>
      <c r="E1555" s="1" t="s">
        <v>233</v>
      </c>
      <c r="G1555">
        <v>0</v>
      </c>
      <c r="H1555">
        <v>0</v>
      </c>
      <c r="I1555">
        <v>0</v>
      </c>
      <c r="J1555">
        <v>0</v>
      </c>
      <c r="K1555">
        <v>0</v>
      </c>
      <c r="L1555">
        <v>0</v>
      </c>
      <c r="M1555">
        <v>0</v>
      </c>
      <c r="N1555">
        <v>0</v>
      </c>
      <c r="O1555">
        <v>0</v>
      </c>
      <c r="P1555">
        <v>0</v>
      </c>
      <c r="Q1555" t="str">
        <f>INDEX('Partner data'!A:DH,MATCH(C1555,'Partner data'!DG:DG,0),83)</f>
        <v>Soggetto privato</v>
      </c>
      <c r="R1555" t="b">
        <f>IF(E1555="staff",IF(INDEX('Partner data'!A:DH,MATCH(C1555,'Partner data'!DG:DG,0),112)="BL1 non presente","FALSO",INDEX('Partner data'!A:DH,MATCH(C1555,'Partner data'!DG:DG,0),112)))</f>
        <v>0</v>
      </c>
      <c r="S1555" t="b">
        <f t="shared" si="48"/>
        <v>0</v>
      </c>
      <c r="T1555" t="b">
        <f t="shared" si="49"/>
        <v>0</v>
      </c>
      <c r="U1555" s="154">
        <f>IFERROR(IF(R1555&lt;&gt;FALSE,IF(S1555=TRUE,INDEX('SummaryNOT_VALIDATED-BL'!$A$1:$F$16,MATCH(R1555,'SummaryNOT_VALIDATED-BL'!$A$1:$A$16,0),6),0),IF(S1555=TRUE,INDEX('SummaryNOT_VALIDATED-BL'!$A$1:$F$16,MATCH(E1555,'SummaryNOT_VALIDATED-BL'!$A$1:$A$16,0),6),0)),0)</f>
        <v>0</v>
      </c>
      <c r="V1555" s="81" cm="1">
        <f t="array" ref="V1555">INDEX('Weight tables'!$A$24:$C$27,MATCH(1,(RendicontiTrasmessiBL__2[[#This Row],[Cut percentage on real costs + USC]]&gt;='Weight tables'!$B$24:$B$27)*(RendicontiTrasmessiBL__2[[#This Row],[Cut percentage on real costs + USC]]&lt;='Weight tables'!$C$24:$C$27),0),1)</f>
        <v>0</v>
      </c>
      <c r="W1555" s="2">
        <f>RendicontiTrasmessiBL__2[[#This Row],[Weight real costs  + USC ]]</f>
        <v>0</v>
      </c>
    </row>
    <row r="1556" spans="1:23" x14ac:dyDescent="0.25">
      <c r="A1556" s="1" t="s">
        <v>373</v>
      </c>
      <c r="B1556" s="1" t="s">
        <v>377</v>
      </c>
      <c r="C1556" s="2">
        <v>302</v>
      </c>
      <c r="D1556" s="2">
        <v>228</v>
      </c>
      <c r="E1556" s="1" t="s">
        <v>234</v>
      </c>
      <c r="G1556">
        <v>0</v>
      </c>
      <c r="H1556">
        <v>0</v>
      </c>
      <c r="I1556">
        <v>0</v>
      </c>
      <c r="J1556">
        <v>0</v>
      </c>
      <c r="K1556">
        <v>0</v>
      </c>
      <c r="L1556">
        <v>0</v>
      </c>
      <c r="M1556">
        <v>0</v>
      </c>
      <c r="N1556">
        <v>0</v>
      </c>
      <c r="O1556">
        <v>0</v>
      </c>
      <c r="P1556">
        <v>0</v>
      </c>
      <c r="Q1556" t="str">
        <f>INDEX('Partner data'!A:DH,MATCH(C1556,'Partner data'!DG:DG,0),83)</f>
        <v>Soggetto privato</v>
      </c>
      <c r="R1556" t="b">
        <f>IF(E1556="staff",IF(INDEX('Partner data'!A:DH,MATCH(C1556,'Partner data'!DG:DG,0),112)="BL1 non presente","FALSO",INDEX('Partner data'!A:DH,MATCH(C1556,'Partner data'!DG:DG,0),112)))</f>
        <v>0</v>
      </c>
      <c r="S1556" t="b">
        <f t="shared" si="48"/>
        <v>0</v>
      </c>
      <c r="T1556" t="b">
        <f t="shared" si="49"/>
        <v>0</v>
      </c>
      <c r="U1556" s="154">
        <f>IFERROR(IF(R1556&lt;&gt;FALSE,IF(S1556=TRUE,INDEX('SummaryNOT_VALIDATED-BL'!$A$1:$F$16,MATCH(R1556,'SummaryNOT_VALIDATED-BL'!$A$1:$A$16,0),6),0),IF(S1556=TRUE,INDEX('SummaryNOT_VALIDATED-BL'!$A$1:$F$16,MATCH(E1556,'SummaryNOT_VALIDATED-BL'!$A$1:$A$16,0),6),0)),0)</f>
        <v>0</v>
      </c>
      <c r="V1556" s="81" cm="1">
        <f t="array" ref="V1556">INDEX('Weight tables'!$A$24:$C$27,MATCH(1,(RendicontiTrasmessiBL__2[[#This Row],[Cut percentage on real costs + USC]]&gt;='Weight tables'!$B$24:$B$27)*(RendicontiTrasmessiBL__2[[#This Row],[Cut percentage on real costs + USC]]&lt;='Weight tables'!$C$24:$C$27),0),1)</f>
        <v>0</v>
      </c>
      <c r="W1556" s="2">
        <f>RendicontiTrasmessiBL__2[[#This Row],[Weight real costs  + USC ]]</f>
        <v>0</v>
      </c>
    </row>
    <row r="1557" spans="1:23" x14ac:dyDescent="0.25">
      <c r="A1557" s="1" t="s">
        <v>373</v>
      </c>
      <c r="B1557" s="1" t="s">
        <v>377</v>
      </c>
      <c r="C1557" s="2">
        <v>302</v>
      </c>
      <c r="D1557" s="2">
        <v>228</v>
      </c>
      <c r="E1557" s="1" t="s">
        <v>236</v>
      </c>
      <c r="G1557">
        <v>0</v>
      </c>
      <c r="H1557">
        <v>0</v>
      </c>
      <c r="I1557">
        <v>0</v>
      </c>
      <c r="J1557">
        <v>0</v>
      </c>
      <c r="K1557">
        <v>0</v>
      </c>
      <c r="L1557">
        <v>0</v>
      </c>
      <c r="M1557">
        <v>0</v>
      </c>
      <c r="N1557">
        <v>0</v>
      </c>
      <c r="O1557">
        <v>0</v>
      </c>
      <c r="P1557">
        <v>0</v>
      </c>
      <c r="Q1557" t="str">
        <f>INDEX('Partner data'!A:DH,MATCH(C1557,'Partner data'!DG:DG,0),83)</f>
        <v>Soggetto privato</v>
      </c>
      <c r="R1557" t="b">
        <f>IF(E1557="staff",IF(INDEX('Partner data'!A:DH,MATCH(C1557,'Partner data'!DG:DG,0),112)="BL1 non presente","FALSO",INDEX('Partner data'!A:DH,MATCH(C1557,'Partner data'!DG:DG,0),112)))</f>
        <v>0</v>
      </c>
      <c r="S1557" t="b">
        <f t="shared" si="48"/>
        <v>0</v>
      </c>
      <c r="T1557" t="b">
        <f t="shared" si="49"/>
        <v>0</v>
      </c>
      <c r="U1557" s="154">
        <f>IFERROR(IF(R1557&lt;&gt;FALSE,IF(S1557=TRUE,INDEX('SummaryNOT_VALIDATED-BL'!$A$1:$F$16,MATCH(R1557,'SummaryNOT_VALIDATED-BL'!$A$1:$A$16,0),6),0),IF(S1557=TRUE,INDEX('SummaryNOT_VALIDATED-BL'!$A$1:$F$16,MATCH(E1557,'SummaryNOT_VALIDATED-BL'!$A$1:$A$16,0),6),0)),0)</f>
        <v>0</v>
      </c>
      <c r="V1557" s="81" cm="1">
        <f t="array" ref="V1557">INDEX('Weight tables'!$A$24:$C$27,MATCH(1,(RendicontiTrasmessiBL__2[[#This Row],[Cut percentage on real costs + USC]]&gt;='Weight tables'!$B$24:$B$27)*(RendicontiTrasmessiBL__2[[#This Row],[Cut percentage on real costs + USC]]&lt;='Weight tables'!$C$24:$C$27),0),1)</f>
        <v>0</v>
      </c>
      <c r="W1557" s="2">
        <f>RendicontiTrasmessiBL__2[[#This Row],[Weight real costs  + USC ]]</f>
        <v>0</v>
      </c>
    </row>
    <row r="1558" spans="1:23" x14ac:dyDescent="0.25">
      <c r="A1558" s="1" t="s">
        <v>373</v>
      </c>
      <c r="B1558" s="1" t="s">
        <v>377</v>
      </c>
      <c r="C1558" s="2">
        <v>302</v>
      </c>
      <c r="D1558" s="2">
        <v>228</v>
      </c>
      <c r="E1558" s="1" t="s">
        <v>237</v>
      </c>
      <c r="G1558">
        <v>0</v>
      </c>
      <c r="H1558">
        <v>0</v>
      </c>
      <c r="I1558">
        <v>0</v>
      </c>
      <c r="J1558">
        <v>0</v>
      </c>
      <c r="K1558">
        <v>0</v>
      </c>
      <c r="L1558">
        <v>0</v>
      </c>
      <c r="M1558">
        <v>0</v>
      </c>
      <c r="N1558">
        <v>0</v>
      </c>
      <c r="O1558">
        <v>0</v>
      </c>
      <c r="P1558">
        <v>0</v>
      </c>
      <c r="Q1558" t="str">
        <f>INDEX('Partner data'!A:DH,MATCH(C1558,'Partner data'!DG:DG,0),83)</f>
        <v>Soggetto privato</v>
      </c>
      <c r="R1558" t="b">
        <f>IF(E1558="staff",IF(INDEX('Partner data'!A:DH,MATCH(C1558,'Partner data'!DG:DG,0),112)="BL1 non presente","FALSO",INDEX('Partner data'!A:DH,MATCH(C1558,'Partner data'!DG:DG,0),112)))</f>
        <v>0</v>
      </c>
      <c r="S1558" t="b">
        <f t="shared" si="48"/>
        <v>0</v>
      </c>
      <c r="T1558" t="b">
        <f t="shared" si="49"/>
        <v>0</v>
      </c>
      <c r="U1558" s="154">
        <f>IFERROR(IF(R1558&lt;&gt;FALSE,IF(S1558=TRUE,INDEX('SummaryNOT_VALIDATED-BL'!$A$1:$F$16,MATCH(R1558,'SummaryNOT_VALIDATED-BL'!$A$1:$A$16,0),6),0),IF(S1558=TRUE,INDEX('SummaryNOT_VALIDATED-BL'!$A$1:$F$16,MATCH(E1558,'SummaryNOT_VALIDATED-BL'!$A$1:$A$16,0),6),0)),0)</f>
        <v>0</v>
      </c>
      <c r="V1558" s="81" cm="1">
        <f t="array" ref="V1558">INDEX('Weight tables'!$A$24:$C$27,MATCH(1,(RendicontiTrasmessiBL__2[[#This Row],[Cut percentage on real costs + USC]]&gt;='Weight tables'!$B$24:$B$27)*(RendicontiTrasmessiBL__2[[#This Row],[Cut percentage on real costs + USC]]&lt;='Weight tables'!$C$24:$C$27),0),1)</f>
        <v>0</v>
      </c>
      <c r="W1558" s="2">
        <f>RendicontiTrasmessiBL__2[[#This Row],[Weight real costs  + USC ]]</f>
        <v>0</v>
      </c>
    </row>
    <row r="1559" spans="1:23" x14ac:dyDescent="0.25">
      <c r="A1559" s="1" t="s">
        <v>373</v>
      </c>
      <c r="B1559" s="1" t="s">
        <v>378</v>
      </c>
      <c r="C1559" s="2">
        <v>301</v>
      </c>
      <c r="D1559" s="2">
        <v>282</v>
      </c>
      <c r="E1559" s="1" t="s">
        <v>228</v>
      </c>
      <c r="G1559">
        <v>25030</v>
      </c>
      <c r="H1559">
        <v>0</v>
      </c>
      <c r="I1559">
        <v>0</v>
      </c>
      <c r="J1559">
        <v>4490.84</v>
      </c>
      <c r="K1559">
        <v>0</v>
      </c>
      <c r="L1559">
        <v>4490.84</v>
      </c>
      <c r="M1559">
        <v>4490.84</v>
      </c>
      <c r="N1559">
        <v>17.940000000000001</v>
      </c>
      <c r="O1559">
        <v>20539.16</v>
      </c>
      <c r="P1559">
        <v>0</v>
      </c>
      <c r="Q1559" t="str">
        <f>INDEX('Partner data'!A:DH,MATCH(C1559,'Partner data'!DG:DG,0),83)</f>
        <v>Soggetto pubblico</v>
      </c>
      <c r="R1559" t="str">
        <f>IF(E1559="staff",IF(INDEX('Partner data'!A:DH,MATCH(C1559,'Partner data'!DG:DG,0),112)="BL1 non presente","FALSO",INDEX('Partner data'!A:DH,MATCH(C1559,'Partner data'!DG:DG,0),112)))</f>
        <v>COSTO REALE</v>
      </c>
      <c r="S1559" t="b">
        <f t="shared" si="48"/>
        <v>1</v>
      </c>
      <c r="T1559" t="b">
        <f t="shared" si="49"/>
        <v>1</v>
      </c>
      <c r="U1559" s="154">
        <f>IFERROR(IF(R1559&lt;&gt;FALSE,IF(S1559=TRUE,INDEX('SummaryNOT_VALIDATED-BL'!$A$1:$F$16,MATCH(R1559,'SummaryNOT_VALIDATED-BL'!$A$1:$A$16,0),6),0),IF(S1559=TRUE,INDEX('SummaryNOT_VALIDATED-BL'!$A$1:$F$16,MATCH(E1559,'SummaryNOT_VALIDATED-BL'!$A$1:$A$16,0),6),0)),0)</f>
        <v>9.1604133276901048E-2</v>
      </c>
      <c r="V1559" s="81" cm="1">
        <f t="array" ref="V1559">INDEX('Weight tables'!$A$24:$C$27,MATCH(1,(RendicontiTrasmessiBL__2[[#This Row],[Cut percentage on real costs + USC]]&gt;='Weight tables'!$B$24:$B$27)*(RendicontiTrasmessiBL__2[[#This Row],[Cut percentage on real costs + USC]]&lt;='Weight tables'!$C$24:$C$27),0),1)</f>
        <v>4</v>
      </c>
      <c r="W1559" s="2">
        <f>RendicontiTrasmessiBL__2[[#This Row],[Weight real costs  + USC ]]</f>
        <v>4</v>
      </c>
    </row>
    <row r="1560" spans="1:23" x14ac:dyDescent="0.25">
      <c r="A1560" s="1" t="s">
        <v>373</v>
      </c>
      <c r="B1560" s="1" t="s">
        <v>378</v>
      </c>
      <c r="C1560" s="2">
        <v>301</v>
      </c>
      <c r="D1560" s="2">
        <v>282</v>
      </c>
      <c r="E1560" s="1" t="s">
        <v>229</v>
      </c>
      <c r="F1560">
        <v>15</v>
      </c>
      <c r="G1560">
        <v>3754.5</v>
      </c>
      <c r="H1560">
        <v>0</v>
      </c>
      <c r="I1560">
        <v>0</v>
      </c>
      <c r="J1560">
        <v>673.62</v>
      </c>
      <c r="K1560">
        <v>0</v>
      </c>
      <c r="L1560">
        <v>673.62</v>
      </c>
      <c r="M1560">
        <v>673.62</v>
      </c>
      <c r="N1560">
        <v>17.940000000000001</v>
      </c>
      <c r="O1560">
        <v>3080.88</v>
      </c>
      <c r="P1560">
        <v>0</v>
      </c>
      <c r="Q1560" t="str">
        <f>INDEX('Partner data'!A:DH,MATCH(C1560,'Partner data'!DG:DG,0),83)</f>
        <v>Soggetto pubblico</v>
      </c>
      <c r="R1560" t="b">
        <f>IF(E1560="staff",IF(INDEX('Partner data'!A:DH,MATCH(C1560,'Partner data'!DG:DG,0),112)="BL1 non presente","FALSO",INDEX('Partner data'!A:DH,MATCH(C1560,'Partner data'!DG:DG,0),112)))</f>
        <v>0</v>
      </c>
      <c r="S1560" t="b">
        <f t="shared" si="48"/>
        <v>1</v>
      </c>
      <c r="T1560" t="b">
        <f t="shared" si="49"/>
        <v>1</v>
      </c>
      <c r="U1560" s="154">
        <f>IFERROR(IF(R1560&lt;&gt;FALSE,IF(S1560=TRUE,INDEX('SummaryNOT_VALIDATED-BL'!$A$1:$F$16,MATCH(R1560,'SummaryNOT_VALIDATED-BL'!$A$1:$A$16,0),6),0),IF(S1560=TRUE,INDEX('SummaryNOT_VALIDATED-BL'!$A$1:$F$16,MATCH(E1560,'SummaryNOT_VALIDATED-BL'!$A$1:$A$16,0),6),0)),0)</f>
        <v>6.6460469504890221E-2</v>
      </c>
      <c r="V1560" s="81" cm="1">
        <f t="array" ref="V1560">INDEX('Weight tables'!$A$24:$C$27,MATCH(1,(RendicontiTrasmessiBL__2[[#This Row],[Cut percentage on real costs + USC]]&gt;='Weight tables'!$B$24:$B$27)*(RendicontiTrasmessiBL__2[[#This Row],[Cut percentage on real costs + USC]]&lt;='Weight tables'!$C$24:$C$27),0),1)</f>
        <v>4</v>
      </c>
      <c r="W1560" s="2">
        <f>RendicontiTrasmessiBL__2[[#This Row],[Weight real costs  + USC ]]</f>
        <v>4</v>
      </c>
    </row>
    <row r="1561" spans="1:23" x14ac:dyDescent="0.25">
      <c r="A1561" s="1" t="s">
        <v>373</v>
      </c>
      <c r="B1561" s="1" t="s">
        <v>378</v>
      </c>
      <c r="C1561" s="2">
        <v>301</v>
      </c>
      <c r="D1561" s="2">
        <v>282</v>
      </c>
      <c r="E1561" s="1" t="s">
        <v>230</v>
      </c>
      <c r="F1561">
        <v>4</v>
      </c>
      <c r="G1561">
        <v>1001.2</v>
      </c>
      <c r="H1561">
        <v>0</v>
      </c>
      <c r="I1561">
        <v>0</v>
      </c>
      <c r="J1561">
        <v>179.63</v>
      </c>
      <c r="K1561">
        <v>0</v>
      </c>
      <c r="L1561">
        <v>179.63</v>
      </c>
      <c r="M1561">
        <v>179.63</v>
      </c>
      <c r="N1561">
        <v>17.940000000000001</v>
      </c>
      <c r="O1561">
        <v>821.57</v>
      </c>
      <c r="P1561">
        <v>0</v>
      </c>
      <c r="Q1561" t="str">
        <f>INDEX('Partner data'!A:DH,MATCH(C1561,'Partner data'!DG:DG,0),83)</f>
        <v>Soggetto pubblico</v>
      </c>
      <c r="R1561" t="b">
        <f>IF(E1561="staff",IF(INDEX('Partner data'!A:DH,MATCH(C1561,'Partner data'!DG:DG,0),112)="BL1 non presente","FALSO",INDEX('Partner data'!A:DH,MATCH(C1561,'Partner data'!DG:DG,0),112)))</f>
        <v>0</v>
      </c>
      <c r="S1561" t="b">
        <f t="shared" si="48"/>
        <v>1</v>
      </c>
      <c r="T1561" t="b">
        <f t="shared" si="49"/>
        <v>1</v>
      </c>
      <c r="U1561" s="154">
        <f>IFERROR(IF(R1561&lt;&gt;FALSE,IF(S1561=TRUE,INDEX('SummaryNOT_VALIDATED-BL'!$A$1:$F$16,MATCH(R1561,'SummaryNOT_VALIDATED-BL'!$A$1:$A$16,0),6),0),IF(S1561=TRUE,INDEX('SummaryNOT_VALIDATED-BL'!$A$1:$F$16,MATCH(E1561,'SummaryNOT_VALIDATED-BL'!$A$1:$A$16,0),6),0)),0)</f>
        <v>6.3112622236488891E-2</v>
      </c>
      <c r="V1561" s="81" cm="1">
        <f t="array" ref="V1561">INDEX('Weight tables'!$A$24:$C$27,MATCH(1,(RendicontiTrasmessiBL__2[[#This Row],[Cut percentage on real costs + USC]]&gt;='Weight tables'!$B$24:$B$27)*(RendicontiTrasmessiBL__2[[#This Row],[Cut percentage on real costs + USC]]&lt;='Weight tables'!$C$24:$C$27),0),1)</f>
        <v>4</v>
      </c>
      <c r="W1561" s="2">
        <f>RendicontiTrasmessiBL__2[[#This Row],[Weight real costs  + USC ]]</f>
        <v>4</v>
      </c>
    </row>
    <row r="1562" spans="1:23" x14ac:dyDescent="0.25">
      <c r="A1562" s="1" t="s">
        <v>373</v>
      </c>
      <c r="B1562" s="1" t="s">
        <v>378</v>
      </c>
      <c r="C1562" s="2">
        <v>301</v>
      </c>
      <c r="D1562" s="2">
        <v>282</v>
      </c>
      <c r="E1562" s="1" t="s">
        <v>231</v>
      </c>
      <c r="G1562">
        <v>38250</v>
      </c>
      <c r="H1562">
        <v>0</v>
      </c>
      <c r="I1562">
        <v>0</v>
      </c>
      <c r="J1562">
        <v>0</v>
      </c>
      <c r="K1562">
        <v>0</v>
      </c>
      <c r="L1562">
        <v>0</v>
      </c>
      <c r="M1562">
        <v>0</v>
      </c>
      <c r="N1562">
        <v>0</v>
      </c>
      <c r="O1562">
        <v>38250</v>
      </c>
      <c r="P1562">
        <v>0</v>
      </c>
      <c r="Q1562" t="str">
        <f>INDEX('Partner data'!A:DH,MATCH(C1562,'Partner data'!DG:DG,0),83)</f>
        <v>Soggetto pubblico</v>
      </c>
      <c r="R1562" t="b">
        <f>IF(E1562="staff",IF(INDEX('Partner data'!A:DH,MATCH(C1562,'Partner data'!DG:DG,0),112)="BL1 non presente","FALSO",INDEX('Partner data'!A:DH,MATCH(C1562,'Partner data'!DG:DG,0),112)))</f>
        <v>0</v>
      </c>
      <c r="S1562" t="b">
        <f t="shared" si="48"/>
        <v>0</v>
      </c>
      <c r="T1562" t="b">
        <f t="shared" si="49"/>
        <v>1</v>
      </c>
      <c r="U1562" s="154">
        <f>IFERROR(IF(R1562&lt;&gt;FALSE,IF(S1562=TRUE,INDEX('SummaryNOT_VALIDATED-BL'!$A$1:$F$16,MATCH(R1562,'SummaryNOT_VALIDATED-BL'!$A$1:$A$16,0),6),0),IF(S1562=TRUE,INDEX('SummaryNOT_VALIDATED-BL'!$A$1:$F$16,MATCH(E1562,'SummaryNOT_VALIDATED-BL'!$A$1:$A$16,0),6),0)),0)</f>
        <v>0</v>
      </c>
      <c r="V1562" s="81" cm="1">
        <f t="array" ref="V1562">INDEX('Weight tables'!$A$24:$C$27,MATCH(1,(RendicontiTrasmessiBL__2[[#This Row],[Cut percentage on real costs + USC]]&gt;='Weight tables'!$B$24:$B$27)*(RendicontiTrasmessiBL__2[[#This Row],[Cut percentage on real costs + USC]]&lt;='Weight tables'!$C$24:$C$27),0),1)</f>
        <v>0</v>
      </c>
      <c r="W1562" s="2">
        <f>RendicontiTrasmessiBL__2[[#This Row],[Weight real costs  + USC ]]</f>
        <v>0</v>
      </c>
    </row>
    <row r="1563" spans="1:23" x14ac:dyDescent="0.25">
      <c r="A1563" s="1" t="s">
        <v>373</v>
      </c>
      <c r="B1563" s="1" t="s">
        <v>378</v>
      </c>
      <c r="C1563" s="2">
        <v>301</v>
      </c>
      <c r="D1563" s="2">
        <v>282</v>
      </c>
      <c r="E1563" s="1" t="s">
        <v>232</v>
      </c>
      <c r="G1563">
        <v>2000</v>
      </c>
      <c r="H1563">
        <v>0</v>
      </c>
      <c r="I1563">
        <v>0</v>
      </c>
      <c r="J1563">
        <v>0</v>
      </c>
      <c r="K1563">
        <v>0</v>
      </c>
      <c r="L1563">
        <v>0</v>
      </c>
      <c r="M1563">
        <v>0</v>
      </c>
      <c r="N1563">
        <v>0</v>
      </c>
      <c r="O1563">
        <v>2000</v>
      </c>
      <c r="P1563">
        <v>0</v>
      </c>
      <c r="Q1563" t="str">
        <f>INDEX('Partner data'!A:DH,MATCH(C1563,'Partner data'!DG:DG,0),83)</f>
        <v>Soggetto pubblico</v>
      </c>
      <c r="R1563" t="b">
        <f>IF(E1563="staff",IF(INDEX('Partner data'!A:DH,MATCH(C1563,'Partner data'!DG:DG,0),112)="BL1 non presente","FALSO",INDEX('Partner data'!A:DH,MATCH(C1563,'Partner data'!DG:DG,0),112)))</f>
        <v>0</v>
      </c>
      <c r="S1563" t="b">
        <f t="shared" si="48"/>
        <v>0</v>
      </c>
      <c r="T1563" t="b">
        <f t="shared" si="49"/>
        <v>1</v>
      </c>
      <c r="U1563" s="154">
        <f>IFERROR(IF(R1563&lt;&gt;FALSE,IF(S1563=TRUE,INDEX('SummaryNOT_VALIDATED-BL'!$A$1:$F$16,MATCH(R1563,'SummaryNOT_VALIDATED-BL'!$A$1:$A$16,0),6),0),IF(S1563=TRUE,INDEX('SummaryNOT_VALIDATED-BL'!$A$1:$F$16,MATCH(E1563,'SummaryNOT_VALIDATED-BL'!$A$1:$A$16,0),6),0)),0)</f>
        <v>0</v>
      </c>
      <c r="V1563" s="81" cm="1">
        <f t="array" ref="V1563">INDEX('Weight tables'!$A$24:$C$27,MATCH(1,(RendicontiTrasmessiBL__2[[#This Row],[Cut percentage on real costs + USC]]&gt;='Weight tables'!$B$24:$B$27)*(RendicontiTrasmessiBL__2[[#This Row],[Cut percentage on real costs + USC]]&lt;='Weight tables'!$C$24:$C$27),0),1)</f>
        <v>0</v>
      </c>
      <c r="W1563" s="2">
        <f>RendicontiTrasmessiBL__2[[#This Row],[Weight real costs  + USC ]]</f>
        <v>0</v>
      </c>
    </row>
    <row r="1564" spans="1:23" x14ac:dyDescent="0.25">
      <c r="A1564" s="1" t="s">
        <v>373</v>
      </c>
      <c r="B1564" s="1" t="s">
        <v>378</v>
      </c>
      <c r="C1564" s="2">
        <v>301</v>
      </c>
      <c r="D1564" s="2">
        <v>282</v>
      </c>
      <c r="E1564" s="1" t="s">
        <v>233</v>
      </c>
      <c r="G1564">
        <v>0</v>
      </c>
      <c r="H1564">
        <v>0</v>
      </c>
      <c r="I1564">
        <v>0</v>
      </c>
      <c r="J1564">
        <v>0</v>
      </c>
      <c r="K1564">
        <v>0</v>
      </c>
      <c r="L1564">
        <v>0</v>
      </c>
      <c r="M1564">
        <v>0</v>
      </c>
      <c r="N1564">
        <v>0</v>
      </c>
      <c r="O1564">
        <v>0</v>
      </c>
      <c r="P1564">
        <v>0</v>
      </c>
      <c r="Q1564" t="str">
        <f>INDEX('Partner data'!A:DH,MATCH(C1564,'Partner data'!DG:DG,0),83)</f>
        <v>Soggetto pubblico</v>
      </c>
      <c r="R1564" t="b">
        <f>IF(E1564="staff",IF(INDEX('Partner data'!A:DH,MATCH(C1564,'Partner data'!DG:DG,0),112)="BL1 non presente","FALSO",INDEX('Partner data'!A:DH,MATCH(C1564,'Partner data'!DG:DG,0),112)))</f>
        <v>0</v>
      </c>
      <c r="S1564" t="b">
        <f t="shared" si="48"/>
        <v>0</v>
      </c>
      <c r="T1564" t="b">
        <f t="shared" si="49"/>
        <v>1</v>
      </c>
      <c r="U1564" s="154">
        <f>IFERROR(IF(R1564&lt;&gt;FALSE,IF(S1564=TRUE,INDEX('SummaryNOT_VALIDATED-BL'!$A$1:$F$16,MATCH(R1564,'SummaryNOT_VALIDATED-BL'!$A$1:$A$16,0),6),0),IF(S1564=TRUE,INDEX('SummaryNOT_VALIDATED-BL'!$A$1:$F$16,MATCH(E1564,'SummaryNOT_VALIDATED-BL'!$A$1:$A$16,0),6),0)),0)</f>
        <v>0</v>
      </c>
      <c r="V1564" s="81" cm="1">
        <f t="array" ref="V1564">INDEX('Weight tables'!$A$24:$C$27,MATCH(1,(RendicontiTrasmessiBL__2[[#This Row],[Cut percentage on real costs + USC]]&gt;='Weight tables'!$B$24:$B$27)*(RendicontiTrasmessiBL__2[[#This Row],[Cut percentage on real costs + USC]]&lt;='Weight tables'!$C$24:$C$27),0),1)</f>
        <v>0</v>
      </c>
      <c r="W1564" s="2">
        <f>RendicontiTrasmessiBL__2[[#This Row],[Weight real costs  + USC ]]</f>
        <v>0</v>
      </c>
    </row>
    <row r="1565" spans="1:23" x14ac:dyDescent="0.25">
      <c r="A1565" s="1" t="s">
        <v>373</v>
      </c>
      <c r="B1565" s="1" t="s">
        <v>378</v>
      </c>
      <c r="C1565" s="2">
        <v>301</v>
      </c>
      <c r="D1565" s="2">
        <v>282</v>
      </c>
      <c r="E1565" s="1" t="s">
        <v>234</v>
      </c>
      <c r="G1565">
        <v>0</v>
      </c>
      <c r="H1565">
        <v>0</v>
      </c>
      <c r="I1565">
        <v>0</v>
      </c>
      <c r="J1565">
        <v>0</v>
      </c>
      <c r="K1565">
        <v>0</v>
      </c>
      <c r="L1565">
        <v>0</v>
      </c>
      <c r="M1565">
        <v>0</v>
      </c>
      <c r="N1565">
        <v>0</v>
      </c>
      <c r="O1565">
        <v>0</v>
      </c>
      <c r="P1565">
        <v>0</v>
      </c>
      <c r="Q1565" t="str">
        <f>INDEX('Partner data'!A:DH,MATCH(C1565,'Partner data'!DG:DG,0),83)</f>
        <v>Soggetto pubblico</v>
      </c>
      <c r="R1565" t="b">
        <f>IF(E1565="staff",IF(INDEX('Partner data'!A:DH,MATCH(C1565,'Partner data'!DG:DG,0),112)="BL1 non presente","FALSO",INDEX('Partner data'!A:DH,MATCH(C1565,'Partner data'!DG:DG,0),112)))</f>
        <v>0</v>
      </c>
      <c r="S1565" t="b">
        <f t="shared" si="48"/>
        <v>0</v>
      </c>
      <c r="T1565" t="b">
        <f t="shared" si="49"/>
        <v>1</v>
      </c>
      <c r="U1565" s="154">
        <f>IFERROR(IF(R1565&lt;&gt;FALSE,IF(S1565=TRUE,INDEX('SummaryNOT_VALIDATED-BL'!$A$1:$F$16,MATCH(R1565,'SummaryNOT_VALIDATED-BL'!$A$1:$A$16,0),6),0),IF(S1565=TRUE,INDEX('SummaryNOT_VALIDATED-BL'!$A$1:$F$16,MATCH(E1565,'SummaryNOT_VALIDATED-BL'!$A$1:$A$16,0),6),0)),0)</f>
        <v>0</v>
      </c>
      <c r="V1565" s="81" cm="1">
        <f t="array" ref="V1565">INDEX('Weight tables'!$A$24:$C$27,MATCH(1,(RendicontiTrasmessiBL__2[[#This Row],[Cut percentage on real costs + USC]]&gt;='Weight tables'!$B$24:$B$27)*(RendicontiTrasmessiBL__2[[#This Row],[Cut percentage on real costs + USC]]&lt;='Weight tables'!$C$24:$C$27),0),1)</f>
        <v>0</v>
      </c>
      <c r="W1565" s="2">
        <f>RendicontiTrasmessiBL__2[[#This Row],[Weight real costs  + USC ]]</f>
        <v>0</v>
      </c>
    </row>
    <row r="1566" spans="1:23" x14ac:dyDescent="0.25">
      <c r="A1566" s="1" t="s">
        <v>373</v>
      </c>
      <c r="B1566" s="1" t="s">
        <v>378</v>
      </c>
      <c r="C1566" s="2">
        <v>301</v>
      </c>
      <c r="D1566" s="2">
        <v>282</v>
      </c>
      <c r="E1566" s="1" t="s">
        <v>236</v>
      </c>
      <c r="G1566">
        <v>0</v>
      </c>
      <c r="H1566">
        <v>0</v>
      </c>
      <c r="I1566">
        <v>0</v>
      </c>
      <c r="J1566">
        <v>0</v>
      </c>
      <c r="K1566">
        <v>0</v>
      </c>
      <c r="L1566">
        <v>0</v>
      </c>
      <c r="M1566">
        <v>0</v>
      </c>
      <c r="N1566">
        <v>0</v>
      </c>
      <c r="O1566">
        <v>0</v>
      </c>
      <c r="P1566">
        <v>0</v>
      </c>
      <c r="Q1566" t="str">
        <f>INDEX('Partner data'!A:DH,MATCH(C1566,'Partner data'!DG:DG,0),83)</f>
        <v>Soggetto pubblico</v>
      </c>
      <c r="R1566" t="b">
        <f>IF(E1566="staff",IF(INDEX('Partner data'!A:DH,MATCH(C1566,'Partner data'!DG:DG,0),112)="BL1 non presente","FALSO",INDEX('Partner data'!A:DH,MATCH(C1566,'Partner data'!DG:DG,0),112)))</f>
        <v>0</v>
      </c>
      <c r="S1566" t="b">
        <f t="shared" si="48"/>
        <v>0</v>
      </c>
      <c r="T1566" t="b">
        <f t="shared" si="49"/>
        <v>1</v>
      </c>
      <c r="U1566" s="154">
        <f>IFERROR(IF(R1566&lt;&gt;FALSE,IF(S1566=TRUE,INDEX('SummaryNOT_VALIDATED-BL'!$A$1:$F$16,MATCH(R1566,'SummaryNOT_VALIDATED-BL'!$A$1:$A$16,0),6),0),IF(S1566=TRUE,INDEX('SummaryNOT_VALIDATED-BL'!$A$1:$F$16,MATCH(E1566,'SummaryNOT_VALIDATED-BL'!$A$1:$A$16,0),6),0)),0)</f>
        <v>0</v>
      </c>
      <c r="V1566" s="81" cm="1">
        <f t="array" ref="V1566">INDEX('Weight tables'!$A$24:$C$27,MATCH(1,(RendicontiTrasmessiBL__2[[#This Row],[Cut percentage on real costs + USC]]&gt;='Weight tables'!$B$24:$B$27)*(RendicontiTrasmessiBL__2[[#This Row],[Cut percentage on real costs + USC]]&lt;='Weight tables'!$C$24:$C$27),0),1)</f>
        <v>0</v>
      </c>
      <c r="W1566" s="2">
        <f>RendicontiTrasmessiBL__2[[#This Row],[Weight real costs  + USC ]]</f>
        <v>0</v>
      </c>
    </row>
    <row r="1567" spans="1:23" x14ac:dyDescent="0.25">
      <c r="A1567" s="1" t="s">
        <v>373</v>
      </c>
      <c r="B1567" s="1" t="s">
        <v>378</v>
      </c>
      <c r="C1567" s="2">
        <v>301</v>
      </c>
      <c r="D1567" s="2">
        <v>282</v>
      </c>
      <c r="E1567" s="1" t="s">
        <v>237</v>
      </c>
      <c r="G1567">
        <v>0</v>
      </c>
      <c r="H1567">
        <v>0</v>
      </c>
      <c r="I1567">
        <v>0</v>
      </c>
      <c r="J1567">
        <v>0</v>
      </c>
      <c r="K1567">
        <v>0</v>
      </c>
      <c r="L1567">
        <v>0</v>
      </c>
      <c r="M1567">
        <v>0</v>
      </c>
      <c r="N1567">
        <v>0</v>
      </c>
      <c r="O1567">
        <v>0</v>
      </c>
      <c r="P1567">
        <v>0</v>
      </c>
      <c r="Q1567" t="str">
        <f>INDEX('Partner data'!A:DH,MATCH(C1567,'Partner data'!DG:DG,0),83)</f>
        <v>Soggetto pubblico</v>
      </c>
      <c r="R1567" t="b">
        <f>IF(E1567="staff",IF(INDEX('Partner data'!A:DH,MATCH(C1567,'Partner data'!DG:DG,0),112)="BL1 non presente","FALSO",INDEX('Partner data'!A:DH,MATCH(C1567,'Partner data'!DG:DG,0),112)))</f>
        <v>0</v>
      </c>
      <c r="S1567" t="b">
        <f t="shared" si="48"/>
        <v>0</v>
      </c>
      <c r="T1567" t="b">
        <f t="shared" si="49"/>
        <v>1</v>
      </c>
      <c r="U1567" s="154">
        <f>IFERROR(IF(R1567&lt;&gt;FALSE,IF(S1567=TRUE,INDEX('SummaryNOT_VALIDATED-BL'!$A$1:$F$16,MATCH(R1567,'SummaryNOT_VALIDATED-BL'!$A$1:$A$16,0),6),0),IF(S1567=TRUE,INDEX('SummaryNOT_VALIDATED-BL'!$A$1:$F$16,MATCH(E1567,'SummaryNOT_VALIDATED-BL'!$A$1:$A$16,0),6),0)),0)</f>
        <v>0</v>
      </c>
      <c r="V1567" s="81" cm="1">
        <f t="array" ref="V1567">INDEX('Weight tables'!$A$24:$C$27,MATCH(1,(RendicontiTrasmessiBL__2[[#This Row],[Cut percentage on real costs + USC]]&gt;='Weight tables'!$B$24:$B$27)*(RendicontiTrasmessiBL__2[[#This Row],[Cut percentage on real costs + USC]]&lt;='Weight tables'!$C$24:$C$27),0),1)</f>
        <v>0</v>
      </c>
      <c r="W1567" s="2">
        <f>RendicontiTrasmessiBL__2[[#This Row],[Weight real costs  + USC ]]</f>
        <v>0</v>
      </c>
    </row>
    <row r="1568" spans="1:23" x14ac:dyDescent="0.25">
      <c r="A1568" s="1" t="s">
        <v>373</v>
      </c>
      <c r="B1568" s="1" t="s">
        <v>379</v>
      </c>
      <c r="C1568" s="2">
        <v>300</v>
      </c>
      <c r="D1568" s="2">
        <v>260</v>
      </c>
      <c r="E1568" s="1" t="s">
        <v>228</v>
      </c>
      <c r="G1568">
        <v>32500</v>
      </c>
      <c r="H1568">
        <v>0</v>
      </c>
      <c r="I1568">
        <v>0</v>
      </c>
      <c r="J1568">
        <v>0</v>
      </c>
      <c r="K1568">
        <v>0</v>
      </c>
      <c r="L1568">
        <v>0</v>
      </c>
      <c r="M1568">
        <v>0</v>
      </c>
      <c r="N1568">
        <v>0</v>
      </c>
      <c r="O1568">
        <v>32500</v>
      </c>
      <c r="P1568">
        <v>0</v>
      </c>
      <c r="Q1568" t="str">
        <f>INDEX('Partner data'!A:DH,MATCH(C1568,'Partner data'!DG:DG,0),83)</f>
        <v>Soggetto privato</v>
      </c>
      <c r="R1568" t="str">
        <f>IF(E1568="staff",IF(INDEX('Partner data'!A:DH,MATCH(C1568,'Partner data'!DG:DG,0),112)="BL1 non presente","FALSO",INDEX('Partner data'!A:DH,MATCH(C1568,'Partner data'!DG:DG,0),112)))</f>
        <v>COSTO REALE</v>
      </c>
      <c r="S1568" t="b">
        <f t="shared" si="48"/>
        <v>0</v>
      </c>
      <c r="T1568" t="b">
        <f t="shared" si="49"/>
        <v>0</v>
      </c>
      <c r="U1568" s="154">
        <f>IFERROR(IF(R1568&lt;&gt;FALSE,IF(S1568=TRUE,INDEX('SummaryNOT_VALIDATED-BL'!$A$1:$F$16,MATCH(R1568,'SummaryNOT_VALIDATED-BL'!$A$1:$A$16,0),6),0),IF(S1568=TRUE,INDEX('SummaryNOT_VALIDATED-BL'!$A$1:$F$16,MATCH(E1568,'SummaryNOT_VALIDATED-BL'!$A$1:$A$16,0),6),0)),0)</f>
        <v>0</v>
      </c>
      <c r="V1568" s="81" cm="1">
        <f t="array" ref="V1568">INDEX('Weight tables'!$A$24:$C$27,MATCH(1,(RendicontiTrasmessiBL__2[[#This Row],[Cut percentage on real costs + USC]]&gt;='Weight tables'!$B$24:$B$27)*(RendicontiTrasmessiBL__2[[#This Row],[Cut percentage on real costs + USC]]&lt;='Weight tables'!$C$24:$C$27),0),1)</f>
        <v>0</v>
      </c>
      <c r="W1568" s="2">
        <f>RendicontiTrasmessiBL__2[[#This Row],[Weight real costs  + USC ]]</f>
        <v>0</v>
      </c>
    </row>
    <row r="1569" spans="1:23" x14ac:dyDescent="0.25">
      <c r="A1569" s="1" t="s">
        <v>373</v>
      </c>
      <c r="B1569" s="1" t="s">
        <v>379</v>
      </c>
      <c r="C1569" s="2">
        <v>300</v>
      </c>
      <c r="D1569" s="2">
        <v>260</v>
      </c>
      <c r="E1569" s="1" t="s">
        <v>229</v>
      </c>
      <c r="G1569">
        <v>0</v>
      </c>
      <c r="H1569">
        <v>0</v>
      </c>
      <c r="I1569">
        <v>0</v>
      </c>
      <c r="J1569">
        <v>0</v>
      </c>
      <c r="K1569">
        <v>0</v>
      </c>
      <c r="L1569">
        <v>0</v>
      </c>
      <c r="M1569">
        <v>0</v>
      </c>
      <c r="N1569">
        <v>0</v>
      </c>
      <c r="O1569">
        <v>0</v>
      </c>
      <c r="P1569">
        <v>0</v>
      </c>
      <c r="Q1569" t="str">
        <f>INDEX('Partner data'!A:DH,MATCH(C1569,'Partner data'!DG:DG,0),83)</f>
        <v>Soggetto privato</v>
      </c>
      <c r="R1569" t="b">
        <f>IF(E1569="staff",IF(INDEX('Partner data'!A:DH,MATCH(C1569,'Partner data'!DG:DG,0),112)="BL1 non presente","FALSO",INDEX('Partner data'!A:DH,MATCH(C1569,'Partner data'!DG:DG,0),112)))</f>
        <v>0</v>
      </c>
      <c r="S1569" t="b">
        <f t="shared" si="48"/>
        <v>0</v>
      </c>
      <c r="T1569" t="b">
        <f t="shared" si="49"/>
        <v>0</v>
      </c>
      <c r="U1569" s="154">
        <f>IFERROR(IF(R1569&lt;&gt;FALSE,IF(S1569=TRUE,INDEX('SummaryNOT_VALIDATED-BL'!$A$1:$F$16,MATCH(R1569,'SummaryNOT_VALIDATED-BL'!$A$1:$A$16,0),6),0),IF(S1569=TRUE,INDEX('SummaryNOT_VALIDATED-BL'!$A$1:$F$16,MATCH(E1569,'SummaryNOT_VALIDATED-BL'!$A$1:$A$16,0),6),0)),0)</f>
        <v>0</v>
      </c>
      <c r="V1569" s="81" cm="1">
        <f t="array" ref="V1569">INDEX('Weight tables'!$A$24:$C$27,MATCH(1,(RendicontiTrasmessiBL__2[[#This Row],[Cut percentage on real costs + USC]]&gt;='Weight tables'!$B$24:$B$27)*(RendicontiTrasmessiBL__2[[#This Row],[Cut percentage on real costs + USC]]&lt;='Weight tables'!$C$24:$C$27),0),1)</f>
        <v>0</v>
      </c>
      <c r="W1569" s="2">
        <f>RendicontiTrasmessiBL__2[[#This Row],[Weight real costs  + USC ]]</f>
        <v>0</v>
      </c>
    </row>
    <row r="1570" spans="1:23" x14ac:dyDescent="0.25">
      <c r="A1570" s="1" t="s">
        <v>373</v>
      </c>
      <c r="B1570" s="1" t="s">
        <v>379</v>
      </c>
      <c r="C1570" s="2">
        <v>300</v>
      </c>
      <c r="D1570" s="2">
        <v>260</v>
      </c>
      <c r="E1570" s="1" t="s">
        <v>230</v>
      </c>
      <c r="G1570">
        <v>0</v>
      </c>
      <c r="H1570">
        <v>0</v>
      </c>
      <c r="I1570">
        <v>0</v>
      </c>
      <c r="J1570">
        <v>0</v>
      </c>
      <c r="K1570">
        <v>0</v>
      </c>
      <c r="L1570">
        <v>0</v>
      </c>
      <c r="M1570">
        <v>0</v>
      </c>
      <c r="N1570">
        <v>0</v>
      </c>
      <c r="O1570">
        <v>0</v>
      </c>
      <c r="P1570">
        <v>0</v>
      </c>
      <c r="Q1570" t="str">
        <f>INDEX('Partner data'!A:DH,MATCH(C1570,'Partner data'!DG:DG,0),83)</f>
        <v>Soggetto privato</v>
      </c>
      <c r="R1570" t="b">
        <f>IF(E1570="staff",IF(INDEX('Partner data'!A:DH,MATCH(C1570,'Partner data'!DG:DG,0),112)="BL1 non presente","FALSO",INDEX('Partner data'!A:DH,MATCH(C1570,'Partner data'!DG:DG,0),112)))</f>
        <v>0</v>
      </c>
      <c r="S1570" t="b">
        <f t="shared" si="48"/>
        <v>0</v>
      </c>
      <c r="T1570" t="b">
        <f t="shared" si="49"/>
        <v>0</v>
      </c>
      <c r="U1570" s="154">
        <f>IFERROR(IF(R1570&lt;&gt;FALSE,IF(S1570=TRUE,INDEX('SummaryNOT_VALIDATED-BL'!$A$1:$F$16,MATCH(R1570,'SummaryNOT_VALIDATED-BL'!$A$1:$A$16,0),6),0),IF(S1570=TRUE,INDEX('SummaryNOT_VALIDATED-BL'!$A$1:$F$16,MATCH(E1570,'SummaryNOT_VALIDATED-BL'!$A$1:$A$16,0),6),0)),0)</f>
        <v>0</v>
      </c>
      <c r="V1570" s="81" cm="1">
        <f t="array" ref="V1570">INDEX('Weight tables'!$A$24:$C$27,MATCH(1,(RendicontiTrasmessiBL__2[[#This Row],[Cut percentage on real costs + USC]]&gt;='Weight tables'!$B$24:$B$27)*(RendicontiTrasmessiBL__2[[#This Row],[Cut percentage on real costs + USC]]&lt;='Weight tables'!$C$24:$C$27),0),1)</f>
        <v>0</v>
      </c>
      <c r="W1570" s="2">
        <f>RendicontiTrasmessiBL__2[[#This Row],[Weight real costs  + USC ]]</f>
        <v>0</v>
      </c>
    </row>
    <row r="1571" spans="1:23" x14ac:dyDescent="0.25">
      <c r="A1571" s="1" t="s">
        <v>373</v>
      </c>
      <c r="B1571" s="1" t="s">
        <v>379</v>
      </c>
      <c r="C1571" s="2">
        <v>300</v>
      </c>
      <c r="D1571" s="2">
        <v>260</v>
      </c>
      <c r="E1571" s="1" t="s">
        <v>231</v>
      </c>
      <c r="G1571">
        <v>0</v>
      </c>
      <c r="H1571">
        <v>0</v>
      </c>
      <c r="I1571">
        <v>0</v>
      </c>
      <c r="J1571">
        <v>0</v>
      </c>
      <c r="K1571">
        <v>0</v>
      </c>
      <c r="L1571">
        <v>0</v>
      </c>
      <c r="M1571">
        <v>0</v>
      </c>
      <c r="N1571">
        <v>0</v>
      </c>
      <c r="O1571">
        <v>0</v>
      </c>
      <c r="P1571">
        <v>0</v>
      </c>
      <c r="Q1571" t="str">
        <f>INDEX('Partner data'!A:DH,MATCH(C1571,'Partner data'!DG:DG,0),83)</f>
        <v>Soggetto privato</v>
      </c>
      <c r="R1571" t="b">
        <f>IF(E1571="staff",IF(INDEX('Partner data'!A:DH,MATCH(C1571,'Partner data'!DG:DG,0),112)="BL1 non presente","FALSO",INDEX('Partner data'!A:DH,MATCH(C1571,'Partner data'!DG:DG,0),112)))</f>
        <v>0</v>
      </c>
      <c r="S1571" t="b">
        <f t="shared" si="48"/>
        <v>0</v>
      </c>
      <c r="T1571" t="b">
        <f t="shared" si="49"/>
        <v>0</v>
      </c>
      <c r="U1571" s="154">
        <f>IFERROR(IF(R1571&lt;&gt;FALSE,IF(S1571=TRUE,INDEX('SummaryNOT_VALIDATED-BL'!$A$1:$F$16,MATCH(R1571,'SummaryNOT_VALIDATED-BL'!$A$1:$A$16,0),6),0),IF(S1571=TRUE,INDEX('SummaryNOT_VALIDATED-BL'!$A$1:$F$16,MATCH(E1571,'SummaryNOT_VALIDATED-BL'!$A$1:$A$16,0),6),0)),0)</f>
        <v>0</v>
      </c>
      <c r="V1571" s="81" cm="1">
        <f t="array" ref="V1571">INDEX('Weight tables'!$A$24:$C$27,MATCH(1,(RendicontiTrasmessiBL__2[[#This Row],[Cut percentage on real costs + USC]]&gt;='Weight tables'!$B$24:$B$27)*(RendicontiTrasmessiBL__2[[#This Row],[Cut percentage on real costs + USC]]&lt;='Weight tables'!$C$24:$C$27),0),1)</f>
        <v>0</v>
      </c>
      <c r="W1571" s="2">
        <f>RendicontiTrasmessiBL__2[[#This Row],[Weight real costs  + USC ]]</f>
        <v>0</v>
      </c>
    </row>
    <row r="1572" spans="1:23" x14ac:dyDescent="0.25">
      <c r="A1572" s="1" t="s">
        <v>373</v>
      </c>
      <c r="B1572" s="1" t="s">
        <v>379</v>
      </c>
      <c r="C1572" s="2">
        <v>300</v>
      </c>
      <c r="D1572" s="2">
        <v>260</v>
      </c>
      <c r="E1572" s="1" t="s">
        <v>232</v>
      </c>
      <c r="G1572">
        <v>0</v>
      </c>
      <c r="H1572">
        <v>0</v>
      </c>
      <c r="I1572">
        <v>0</v>
      </c>
      <c r="J1572">
        <v>0</v>
      </c>
      <c r="K1572">
        <v>0</v>
      </c>
      <c r="L1572">
        <v>0</v>
      </c>
      <c r="M1572">
        <v>0</v>
      </c>
      <c r="N1572">
        <v>0</v>
      </c>
      <c r="O1572">
        <v>0</v>
      </c>
      <c r="P1572">
        <v>0</v>
      </c>
      <c r="Q1572" t="str">
        <f>INDEX('Partner data'!A:DH,MATCH(C1572,'Partner data'!DG:DG,0),83)</f>
        <v>Soggetto privato</v>
      </c>
      <c r="R1572" t="b">
        <f>IF(E1572="staff",IF(INDEX('Partner data'!A:DH,MATCH(C1572,'Partner data'!DG:DG,0),112)="BL1 non presente","FALSO",INDEX('Partner data'!A:DH,MATCH(C1572,'Partner data'!DG:DG,0),112)))</f>
        <v>0</v>
      </c>
      <c r="S1572" t="b">
        <f t="shared" si="48"/>
        <v>0</v>
      </c>
      <c r="T1572" t="b">
        <f t="shared" si="49"/>
        <v>0</v>
      </c>
      <c r="U1572" s="154">
        <f>IFERROR(IF(R1572&lt;&gt;FALSE,IF(S1572=TRUE,INDEX('SummaryNOT_VALIDATED-BL'!$A$1:$F$16,MATCH(R1572,'SummaryNOT_VALIDATED-BL'!$A$1:$A$16,0),6),0),IF(S1572=TRUE,INDEX('SummaryNOT_VALIDATED-BL'!$A$1:$F$16,MATCH(E1572,'SummaryNOT_VALIDATED-BL'!$A$1:$A$16,0),6),0)),0)</f>
        <v>0</v>
      </c>
      <c r="V1572" s="81" cm="1">
        <f t="array" ref="V1572">INDEX('Weight tables'!$A$24:$C$27,MATCH(1,(RendicontiTrasmessiBL__2[[#This Row],[Cut percentage on real costs + USC]]&gt;='Weight tables'!$B$24:$B$27)*(RendicontiTrasmessiBL__2[[#This Row],[Cut percentage on real costs + USC]]&lt;='Weight tables'!$C$24:$C$27),0),1)</f>
        <v>0</v>
      </c>
      <c r="W1572" s="2">
        <f>RendicontiTrasmessiBL__2[[#This Row],[Weight real costs  + USC ]]</f>
        <v>0</v>
      </c>
    </row>
    <row r="1573" spans="1:23" x14ac:dyDescent="0.25">
      <c r="A1573" s="1" t="s">
        <v>373</v>
      </c>
      <c r="B1573" s="1" t="s">
        <v>379</v>
      </c>
      <c r="C1573" s="2">
        <v>300</v>
      </c>
      <c r="D1573" s="2">
        <v>260</v>
      </c>
      <c r="E1573" s="1" t="s">
        <v>233</v>
      </c>
      <c r="G1573">
        <v>0</v>
      </c>
      <c r="H1573">
        <v>0</v>
      </c>
      <c r="I1573">
        <v>0</v>
      </c>
      <c r="J1573">
        <v>0</v>
      </c>
      <c r="K1573">
        <v>0</v>
      </c>
      <c r="L1573">
        <v>0</v>
      </c>
      <c r="M1573">
        <v>0</v>
      </c>
      <c r="N1573">
        <v>0</v>
      </c>
      <c r="O1573">
        <v>0</v>
      </c>
      <c r="P1573">
        <v>0</v>
      </c>
      <c r="Q1573" t="str">
        <f>INDEX('Partner data'!A:DH,MATCH(C1573,'Partner data'!DG:DG,0),83)</f>
        <v>Soggetto privato</v>
      </c>
      <c r="R1573" t="b">
        <f>IF(E1573="staff",IF(INDEX('Partner data'!A:DH,MATCH(C1573,'Partner data'!DG:DG,0),112)="BL1 non presente","FALSO",INDEX('Partner data'!A:DH,MATCH(C1573,'Partner data'!DG:DG,0),112)))</f>
        <v>0</v>
      </c>
      <c r="S1573" t="b">
        <f t="shared" si="48"/>
        <v>0</v>
      </c>
      <c r="T1573" t="b">
        <f t="shared" si="49"/>
        <v>0</v>
      </c>
      <c r="U1573" s="154">
        <f>IFERROR(IF(R1573&lt;&gt;FALSE,IF(S1573=TRUE,INDEX('SummaryNOT_VALIDATED-BL'!$A$1:$F$16,MATCH(R1573,'SummaryNOT_VALIDATED-BL'!$A$1:$A$16,0),6),0),IF(S1573=TRUE,INDEX('SummaryNOT_VALIDATED-BL'!$A$1:$F$16,MATCH(E1573,'SummaryNOT_VALIDATED-BL'!$A$1:$A$16,0),6),0)),0)</f>
        <v>0</v>
      </c>
      <c r="V1573" s="81" cm="1">
        <f t="array" ref="V1573">INDEX('Weight tables'!$A$24:$C$27,MATCH(1,(RendicontiTrasmessiBL__2[[#This Row],[Cut percentage on real costs + USC]]&gt;='Weight tables'!$B$24:$B$27)*(RendicontiTrasmessiBL__2[[#This Row],[Cut percentage on real costs + USC]]&lt;='Weight tables'!$C$24:$C$27),0),1)</f>
        <v>0</v>
      </c>
      <c r="W1573" s="2">
        <f>RendicontiTrasmessiBL__2[[#This Row],[Weight real costs  + USC ]]</f>
        <v>0</v>
      </c>
    </row>
    <row r="1574" spans="1:23" x14ac:dyDescent="0.25">
      <c r="A1574" s="1" t="s">
        <v>373</v>
      </c>
      <c r="B1574" s="1" t="s">
        <v>379</v>
      </c>
      <c r="C1574" s="2">
        <v>300</v>
      </c>
      <c r="D1574" s="2">
        <v>260</v>
      </c>
      <c r="E1574" s="1" t="s">
        <v>234</v>
      </c>
      <c r="F1574">
        <v>20</v>
      </c>
      <c r="G1574">
        <v>6500</v>
      </c>
      <c r="H1574">
        <v>0</v>
      </c>
      <c r="I1574">
        <v>0</v>
      </c>
      <c r="J1574">
        <v>0</v>
      </c>
      <c r="K1574">
        <v>0</v>
      </c>
      <c r="L1574">
        <v>0</v>
      </c>
      <c r="M1574">
        <v>0</v>
      </c>
      <c r="N1574">
        <v>0</v>
      </c>
      <c r="O1574">
        <v>6500</v>
      </c>
      <c r="P1574">
        <v>0</v>
      </c>
      <c r="Q1574" t="str">
        <f>INDEX('Partner data'!A:DH,MATCH(C1574,'Partner data'!DG:DG,0),83)</f>
        <v>Soggetto privato</v>
      </c>
      <c r="R1574" t="b">
        <f>IF(E1574="staff",IF(INDEX('Partner data'!A:DH,MATCH(C1574,'Partner data'!DG:DG,0),112)="BL1 non presente","FALSO",INDEX('Partner data'!A:DH,MATCH(C1574,'Partner data'!DG:DG,0),112)))</f>
        <v>0</v>
      </c>
      <c r="S1574" t="b">
        <f t="shared" si="48"/>
        <v>0</v>
      </c>
      <c r="T1574" t="b">
        <f t="shared" si="49"/>
        <v>0</v>
      </c>
      <c r="U1574" s="154">
        <f>IFERROR(IF(R1574&lt;&gt;FALSE,IF(S1574=TRUE,INDEX('SummaryNOT_VALIDATED-BL'!$A$1:$F$16,MATCH(R1574,'SummaryNOT_VALIDATED-BL'!$A$1:$A$16,0),6),0),IF(S1574=TRUE,INDEX('SummaryNOT_VALIDATED-BL'!$A$1:$F$16,MATCH(E1574,'SummaryNOT_VALIDATED-BL'!$A$1:$A$16,0),6),0)),0)</f>
        <v>0</v>
      </c>
      <c r="V1574" s="81" cm="1">
        <f t="array" ref="V1574">INDEX('Weight tables'!$A$24:$C$27,MATCH(1,(RendicontiTrasmessiBL__2[[#This Row],[Cut percentage on real costs + USC]]&gt;='Weight tables'!$B$24:$B$27)*(RendicontiTrasmessiBL__2[[#This Row],[Cut percentage on real costs + USC]]&lt;='Weight tables'!$C$24:$C$27),0),1)</f>
        <v>0</v>
      </c>
      <c r="W1574" s="2">
        <f>RendicontiTrasmessiBL__2[[#This Row],[Weight real costs  + USC ]]</f>
        <v>0</v>
      </c>
    </row>
    <row r="1575" spans="1:23" x14ac:dyDescent="0.25">
      <c r="A1575" s="1" t="s">
        <v>373</v>
      </c>
      <c r="B1575" s="1" t="s">
        <v>379</v>
      </c>
      <c r="C1575" s="2">
        <v>300</v>
      </c>
      <c r="D1575" s="2">
        <v>260</v>
      </c>
      <c r="E1575" s="1" t="s">
        <v>236</v>
      </c>
      <c r="G1575">
        <v>0</v>
      </c>
      <c r="H1575">
        <v>0</v>
      </c>
      <c r="I1575">
        <v>0</v>
      </c>
      <c r="J1575">
        <v>0</v>
      </c>
      <c r="K1575">
        <v>0</v>
      </c>
      <c r="L1575">
        <v>0</v>
      </c>
      <c r="M1575">
        <v>0</v>
      </c>
      <c r="N1575">
        <v>0</v>
      </c>
      <c r="O1575">
        <v>0</v>
      </c>
      <c r="P1575">
        <v>0</v>
      </c>
      <c r="Q1575" t="str">
        <f>INDEX('Partner data'!A:DH,MATCH(C1575,'Partner data'!DG:DG,0),83)</f>
        <v>Soggetto privato</v>
      </c>
      <c r="R1575" t="b">
        <f>IF(E1575="staff",IF(INDEX('Partner data'!A:DH,MATCH(C1575,'Partner data'!DG:DG,0),112)="BL1 non presente","FALSO",INDEX('Partner data'!A:DH,MATCH(C1575,'Partner data'!DG:DG,0),112)))</f>
        <v>0</v>
      </c>
      <c r="S1575" t="b">
        <f t="shared" si="48"/>
        <v>0</v>
      </c>
      <c r="T1575" t="b">
        <f t="shared" si="49"/>
        <v>0</v>
      </c>
      <c r="U1575" s="154">
        <f>IFERROR(IF(R1575&lt;&gt;FALSE,IF(S1575=TRUE,INDEX('SummaryNOT_VALIDATED-BL'!$A$1:$F$16,MATCH(R1575,'SummaryNOT_VALIDATED-BL'!$A$1:$A$16,0),6),0),IF(S1575=TRUE,INDEX('SummaryNOT_VALIDATED-BL'!$A$1:$F$16,MATCH(E1575,'SummaryNOT_VALIDATED-BL'!$A$1:$A$16,0),6),0)),0)</f>
        <v>0</v>
      </c>
      <c r="V1575" s="81" cm="1">
        <f t="array" ref="V1575">INDEX('Weight tables'!$A$24:$C$27,MATCH(1,(RendicontiTrasmessiBL__2[[#This Row],[Cut percentage on real costs + USC]]&gt;='Weight tables'!$B$24:$B$27)*(RendicontiTrasmessiBL__2[[#This Row],[Cut percentage on real costs + USC]]&lt;='Weight tables'!$C$24:$C$27),0),1)</f>
        <v>0</v>
      </c>
      <c r="W1575" s="2">
        <f>RendicontiTrasmessiBL__2[[#This Row],[Weight real costs  + USC ]]</f>
        <v>0</v>
      </c>
    </row>
    <row r="1576" spans="1:23" x14ac:dyDescent="0.25">
      <c r="A1576" s="1" t="s">
        <v>373</v>
      </c>
      <c r="B1576" s="1" t="s">
        <v>379</v>
      </c>
      <c r="C1576" s="2">
        <v>300</v>
      </c>
      <c r="D1576" s="2">
        <v>260</v>
      </c>
      <c r="E1576" s="1" t="s">
        <v>237</v>
      </c>
      <c r="G1576">
        <v>0</v>
      </c>
      <c r="H1576">
        <v>0</v>
      </c>
      <c r="I1576">
        <v>0</v>
      </c>
      <c r="J1576">
        <v>0</v>
      </c>
      <c r="K1576">
        <v>0</v>
      </c>
      <c r="L1576">
        <v>0</v>
      </c>
      <c r="M1576">
        <v>0</v>
      </c>
      <c r="N1576">
        <v>0</v>
      </c>
      <c r="O1576">
        <v>0</v>
      </c>
      <c r="P1576">
        <v>0</v>
      </c>
      <c r="Q1576" t="str">
        <f>INDEX('Partner data'!A:DH,MATCH(C1576,'Partner data'!DG:DG,0),83)</f>
        <v>Soggetto privato</v>
      </c>
      <c r="R1576" t="b">
        <f>IF(E1576="staff",IF(INDEX('Partner data'!A:DH,MATCH(C1576,'Partner data'!DG:DG,0),112)="BL1 non presente","FALSO",INDEX('Partner data'!A:DH,MATCH(C1576,'Partner data'!DG:DG,0),112)))</f>
        <v>0</v>
      </c>
      <c r="S1576" t="b">
        <f t="shared" si="48"/>
        <v>0</v>
      </c>
      <c r="T1576" t="b">
        <f t="shared" si="49"/>
        <v>0</v>
      </c>
      <c r="U1576" s="154">
        <f>IFERROR(IF(R1576&lt;&gt;FALSE,IF(S1576=TRUE,INDEX('SummaryNOT_VALIDATED-BL'!$A$1:$F$16,MATCH(R1576,'SummaryNOT_VALIDATED-BL'!$A$1:$A$16,0),6),0),IF(S1576=TRUE,INDEX('SummaryNOT_VALIDATED-BL'!$A$1:$F$16,MATCH(E1576,'SummaryNOT_VALIDATED-BL'!$A$1:$A$16,0),6),0)),0)</f>
        <v>0</v>
      </c>
      <c r="V1576" s="81" cm="1">
        <f t="array" ref="V1576">INDEX('Weight tables'!$A$24:$C$27,MATCH(1,(RendicontiTrasmessiBL__2[[#This Row],[Cut percentage on real costs + USC]]&gt;='Weight tables'!$B$24:$B$27)*(RendicontiTrasmessiBL__2[[#This Row],[Cut percentage on real costs + USC]]&lt;='Weight tables'!$C$24:$C$27),0),1)</f>
        <v>0</v>
      </c>
      <c r="W1576" s="2">
        <f>RendicontiTrasmessiBL__2[[#This Row],[Weight real costs  + USC ]]</f>
        <v>0</v>
      </c>
    </row>
    <row r="1577" spans="1:23" x14ac:dyDescent="0.25">
      <c r="A1577" s="1" t="s">
        <v>64</v>
      </c>
      <c r="B1577" s="1" t="s">
        <v>79</v>
      </c>
      <c r="C1577" s="2">
        <v>333</v>
      </c>
      <c r="D1577" s="2">
        <v>263</v>
      </c>
      <c r="E1577" s="1" t="s">
        <v>228</v>
      </c>
      <c r="G1577">
        <v>799073</v>
      </c>
      <c r="H1577">
        <v>124331.53</v>
      </c>
      <c r="I1577">
        <v>0</v>
      </c>
      <c r="J1577">
        <v>59780.35</v>
      </c>
      <c r="K1577">
        <v>0</v>
      </c>
      <c r="L1577">
        <v>59780.35</v>
      </c>
      <c r="M1577">
        <v>184111.88</v>
      </c>
      <c r="N1577">
        <v>23.04</v>
      </c>
      <c r="O1577">
        <v>614961.12</v>
      </c>
      <c r="P1577">
        <v>111211.51</v>
      </c>
      <c r="Q1577" t="str">
        <f>INDEX('Partner data'!A:DH,MATCH(C1577,'Partner data'!DG:DG,0),83)</f>
        <v xml:space="preserve">Organismo di diritto pubblico </v>
      </c>
      <c r="R1577" t="str">
        <f>IF(E1577="staff",IF(INDEX('Partner data'!A:DH,MATCH(C1577,'Partner data'!DG:DG,0),112)="BL1 non presente","FALSO",INDEX('Partner data'!A:DH,MATCH(C1577,'Partner data'!DG:DG,0),112)))</f>
        <v>COSTO REALE</v>
      </c>
      <c r="S1577" t="b">
        <f t="shared" si="48"/>
        <v>1</v>
      </c>
      <c r="T1577" t="b">
        <f t="shared" si="49"/>
        <v>1</v>
      </c>
      <c r="U1577" s="154">
        <f>IFERROR(IF(R1577&lt;&gt;FALSE,IF(S1577=TRUE,INDEX('SummaryNOT_VALIDATED-BL'!$A$1:$F$16,MATCH(R1577,'SummaryNOT_VALIDATED-BL'!$A$1:$A$16,0),6),0),IF(S1577=TRUE,INDEX('SummaryNOT_VALIDATED-BL'!$A$1:$F$16,MATCH(E1577,'SummaryNOT_VALIDATED-BL'!$A$1:$A$16,0),6),0)),0)</f>
        <v>9.1604133276901048E-2</v>
      </c>
      <c r="V1577" s="81" cm="1">
        <f t="array" ref="V1577">INDEX('Weight tables'!$A$24:$C$27,MATCH(1,(RendicontiTrasmessiBL__2[[#This Row],[Cut percentage on real costs + USC]]&gt;='Weight tables'!$B$24:$B$27)*(RendicontiTrasmessiBL__2[[#This Row],[Cut percentage on real costs + USC]]&lt;='Weight tables'!$C$24:$C$27),0),1)</f>
        <v>4</v>
      </c>
      <c r="W1577" s="2">
        <f>RendicontiTrasmessiBL__2[[#This Row],[Weight real costs  + USC ]]</f>
        <v>4</v>
      </c>
    </row>
    <row r="1578" spans="1:23" x14ac:dyDescent="0.25">
      <c r="A1578" s="1" t="s">
        <v>64</v>
      </c>
      <c r="B1578" s="1" t="s">
        <v>79</v>
      </c>
      <c r="C1578" s="2">
        <v>333</v>
      </c>
      <c r="D1578" s="2">
        <v>263</v>
      </c>
      <c r="E1578" s="1" t="s">
        <v>229</v>
      </c>
      <c r="F1578">
        <v>15</v>
      </c>
      <c r="G1578">
        <v>119860.95</v>
      </c>
      <c r="H1578">
        <v>18649.72</v>
      </c>
      <c r="I1578">
        <v>0</v>
      </c>
      <c r="J1578">
        <v>8967.0499999999993</v>
      </c>
      <c r="K1578">
        <v>0</v>
      </c>
      <c r="L1578">
        <v>8967.0499999999993</v>
      </c>
      <c r="M1578">
        <v>27616.77</v>
      </c>
      <c r="N1578">
        <v>23.04</v>
      </c>
      <c r="O1578">
        <v>92244.18</v>
      </c>
      <c r="P1578">
        <v>16681.72</v>
      </c>
      <c r="Q1578" t="str">
        <f>INDEX('Partner data'!A:DH,MATCH(C1578,'Partner data'!DG:DG,0),83)</f>
        <v xml:space="preserve">Organismo di diritto pubblico </v>
      </c>
      <c r="R1578" t="b">
        <f>IF(E1578="staff",IF(INDEX('Partner data'!A:DH,MATCH(C1578,'Partner data'!DG:DG,0),112)="BL1 non presente","FALSO",INDEX('Partner data'!A:DH,MATCH(C1578,'Partner data'!DG:DG,0),112)))</f>
        <v>0</v>
      </c>
      <c r="S1578" t="b">
        <f t="shared" si="48"/>
        <v>1</v>
      </c>
      <c r="T1578" t="b">
        <f t="shared" si="49"/>
        <v>1</v>
      </c>
      <c r="U1578" s="154">
        <f>IFERROR(IF(R1578&lt;&gt;FALSE,IF(S1578=TRUE,INDEX('SummaryNOT_VALIDATED-BL'!$A$1:$F$16,MATCH(R1578,'SummaryNOT_VALIDATED-BL'!$A$1:$A$16,0),6),0),IF(S1578=TRUE,INDEX('SummaryNOT_VALIDATED-BL'!$A$1:$F$16,MATCH(E1578,'SummaryNOT_VALIDATED-BL'!$A$1:$A$16,0),6),0)),0)</f>
        <v>6.6460469504890221E-2</v>
      </c>
      <c r="V1578" s="81" cm="1">
        <f t="array" ref="V1578">INDEX('Weight tables'!$A$24:$C$27,MATCH(1,(RendicontiTrasmessiBL__2[[#This Row],[Cut percentage on real costs + USC]]&gt;='Weight tables'!$B$24:$B$27)*(RendicontiTrasmessiBL__2[[#This Row],[Cut percentage on real costs + USC]]&lt;='Weight tables'!$C$24:$C$27),0),1)</f>
        <v>4</v>
      </c>
      <c r="W1578" s="2">
        <f>RendicontiTrasmessiBL__2[[#This Row],[Weight real costs  + USC ]]</f>
        <v>4</v>
      </c>
    </row>
    <row r="1579" spans="1:23" x14ac:dyDescent="0.25">
      <c r="A1579" s="1" t="s">
        <v>64</v>
      </c>
      <c r="B1579" s="1" t="s">
        <v>79</v>
      </c>
      <c r="C1579" s="2">
        <v>333</v>
      </c>
      <c r="D1579" s="2">
        <v>263</v>
      </c>
      <c r="E1579" s="1" t="s">
        <v>230</v>
      </c>
      <c r="F1579">
        <v>4</v>
      </c>
      <c r="G1579">
        <v>31962.92</v>
      </c>
      <c r="H1579">
        <v>4973.26</v>
      </c>
      <c r="I1579">
        <v>0</v>
      </c>
      <c r="J1579">
        <v>2391.21</v>
      </c>
      <c r="K1579">
        <v>0</v>
      </c>
      <c r="L1579">
        <v>2391.21</v>
      </c>
      <c r="M1579">
        <v>7364.47</v>
      </c>
      <c r="N1579">
        <v>23.04</v>
      </c>
      <c r="O1579">
        <v>24598.45</v>
      </c>
      <c r="P1579">
        <v>4448.46</v>
      </c>
      <c r="Q1579" t="str">
        <f>INDEX('Partner data'!A:DH,MATCH(C1579,'Partner data'!DG:DG,0),83)</f>
        <v xml:space="preserve">Organismo di diritto pubblico </v>
      </c>
      <c r="R1579" t="b">
        <f>IF(E1579="staff",IF(INDEX('Partner data'!A:DH,MATCH(C1579,'Partner data'!DG:DG,0),112)="BL1 non presente","FALSO",INDEX('Partner data'!A:DH,MATCH(C1579,'Partner data'!DG:DG,0),112)))</f>
        <v>0</v>
      </c>
      <c r="S1579" t="b">
        <f t="shared" si="48"/>
        <v>1</v>
      </c>
      <c r="T1579" t="b">
        <f t="shared" si="49"/>
        <v>1</v>
      </c>
      <c r="U1579" s="154">
        <f>IFERROR(IF(R1579&lt;&gt;FALSE,IF(S1579=TRUE,INDEX('SummaryNOT_VALIDATED-BL'!$A$1:$F$16,MATCH(R1579,'SummaryNOT_VALIDATED-BL'!$A$1:$A$16,0),6),0),IF(S1579=TRUE,INDEX('SummaryNOT_VALIDATED-BL'!$A$1:$F$16,MATCH(E1579,'SummaryNOT_VALIDATED-BL'!$A$1:$A$16,0),6),0)),0)</f>
        <v>6.3112622236488891E-2</v>
      </c>
      <c r="V1579" s="81" cm="1">
        <f t="array" ref="V1579">INDEX('Weight tables'!$A$24:$C$27,MATCH(1,(RendicontiTrasmessiBL__2[[#This Row],[Cut percentage on real costs + USC]]&gt;='Weight tables'!$B$24:$B$27)*(RendicontiTrasmessiBL__2[[#This Row],[Cut percentage on real costs + USC]]&lt;='Weight tables'!$C$24:$C$27),0),1)</f>
        <v>4</v>
      </c>
      <c r="W1579" s="2">
        <f>RendicontiTrasmessiBL__2[[#This Row],[Weight real costs  + USC ]]</f>
        <v>4</v>
      </c>
    </row>
    <row r="1580" spans="1:23" x14ac:dyDescent="0.25">
      <c r="A1580" s="1" t="s">
        <v>64</v>
      </c>
      <c r="B1580" s="1" t="s">
        <v>79</v>
      </c>
      <c r="C1580" s="2">
        <v>333</v>
      </c>
      <c r="D1580" s="2">
        <v>263</v>
      </c>
      <c r="E1580" s="1" t="s">
        <v>231</v>
      </c>
      <c r="G1580">
        <v>285398.63</v>
      </c>
      <c r="H1580">
        <v>9453.66</v>
      </c>
      <c r="I1580">
        <v>0</v>
      </c>
      <c r="J1580">
        <v>0</v>
      </c>
      <c r="K1580">
        <v>0</v>
      </c>
      <c r="L1580">
        <v>0</v>
      </c>
      <c r="M1580">
        <v>9453.66</v>
      </c>
      <c r="N1580">
        <v>3.31</v>
      </c>
      <c r="O1580">
        <v>275944.96999999997</v>
      </c>
      <c r="P1580">
        <v>9453.66</v>
      </c>
      <c r="Q1580" t="str">
        <f>INDEX('Partner data'!A:DH,MATCH(C1580,'Partner data'!DG:DG,0),83)</f>
        <v xml:space="preserve">Organismo di diritto pubblico </v>
      </c>
      <c r="R1580" t="b">
        <f>IF(E1580="staff",IF(INDEX('Partner data'!A:DH,MATCH(C1580,'Partner data'!DG:DG,0),112)="BL1 non presente","FALSO",INDEX('Partner data'!A:DH,MATCH(C1580,'Partner data'!DG:DG,0),112)))</f>
        <v>0</v>
      </c>
      <c r="S1580" t="b">
        <f t="shared" si="48"/>
        <v>0</v>
      </c>
      <c r="T1580" t="b">
        <f t="shared" si="49"/>
        <v>1</v>
      </c>
      <c r="U1580" s="154">
        <f>IFERROR(IF(R1580&lt;&gt;FALSE,IF(S1580=TRUE,INDEX('SummaryNOT_VALIDATED-BL'!$A$1:$F$16,MATCH(R1580,'SummaryNOT_VALIDATED-BL'!$A$1:$A$16,0),6),0),IF(S1580=TRUE,INDEX('SummaryNOT_VALIDATED-BL'!$A$1:$F$16,MATCH(E1580,'SummaryNOT_VALIDATED-BL'!$A$1:$A$16,0),6),0)),0)</f>
        <v>0</v>
      </c>
      <c r="V1580" s="81" cm="1">
        <f t="array" ref="V1580">INDEX('Weight tables'!$A$24:$C$27,MATCH(1,(RendicontiTrasmessiBL__2[[#This Row],[Cut percentage on real costs + USC]]&gt;='Weight tables'!$B$24:$B$27)*(RendicontiTrasmessiBL__2[[#This Row],[Cut percentage on real costs + USC]]&lt;='Weight tables'!$C$24:$C$27),0),1)</f>
        <v>0</v>
      </c>
      <c r="W1580" s="2">
        <f>RendicontiTrasmessiBL__2[[#This Row],[Weight real costs  + USC ]]</f>
        <v>0</v>
      </c>
    </row>
    <row r="1581" spans="1:23" x14ac:dyDescent="0.25">
      <c r="A1581" s="1" t="s">
        <v>64</v>
      </c>
      <c r="B1581" s="1" t="s">
        <v>79</v>
      </c>
      <c r="C1581" s="2">
        <v>333</v>
      </c>
      <c r="D1581" s="2">
        <v>263</v>
      </c>
      <c r="E1581" s="1" t="s">
        <v>232</v>
      </c>
      <c r="G1581">
        <v>0</v>
      </c>
      <c r="H1581">
        <v>0</v>
      </c>
      <c r="I1581">
        <v>0</v>
      </c>
      <c r="J1581">
        <v>0</v>
      </c>
      <c r="K1581">
        <v>0</v>
      </c>
      <c r="L1581">
        <v>0</v>
      </c>
      <c r="M1581">
        <v>0</v>
      </c>
      <c r="N1581">
        <v>0</v>
      </c>
      <c r="O1581">
        <v>0</v>
      </c>
      <c r="P1581">
        <v>0</v>
      </c>
      <c r="Q1581" t="str">
        <f>INDEX('Partner data'!A:DH,MATCH(C1581,'Partner data'!DG:DG,0),83)</f>
        <v xml:space="preserve">Organismo di diritto pubblico </v>
      </c>
      <c r="R1581" t="b">
        <f>IF(E1581="staff",IF(INDEX('Partner data'!A:DH,MATCH(C1581,'Partner data'!DG:DG,0),112)="BL1 non presente","FALSO",INDEX('Partner data'!A:DH,MATCH(C1581,'Partner data'!DG:DG,0),112)))</f>
        <v>0</v>
      </c>
      <c r="S1581" t="b">
        <f t="shared" si="48"/>
        <v>0</v>
      </c>
      <c r="T1581" t="b">
        <f t="shared" si="49"/>
        <v>1</v>
      </c>
      <c r="U1581" s="154">
        <f>IFERROR(IF(R1581&lt;&gt;FALSE,IF(S1581=TRUE,INDEX('SummaryNOT_VALIDATED-BL'!$A$1:$F$16,MATCH(R1581,'SummaryNOT_VALIDATED-BL'!$A$1:$A$16,0),6),0),IF(S1581=TRUE,INDEX('SummaryNOT_VALIDATED-BL'!$A$1:$F$16,MATCH(E1581,'SummaryNOT_VALIDATED-BL'!$A$1:$A$16,0),6),0)),0)</f>
        <v>0</v>
      </c>
      <c r="V1581" s="81" cm="1">
        <f t="array" ref="V1581">INDEX('Weight tables'!$A$24:$C$27,MATCH(1,(RendicontiTrasmessiBL__2[[#This Row],[Cut percentage on real costs + USC]]&gt;='Weight tables'!$B$24:$B$27)*(RendicontiTrasmessiBL__2[[#This Row],[Cut percentage on real costs + USC]]&lt;='Weight tables'!$C$24:$C$27),0),1)</f>
        <v>0</v>
      </c>
      <c r="W1581" s="2">
        <f>RendicontiTrasmessiBL__2[[#This Row],[Weight real costs  + USC ]]</f>
        <v>0</v>
      </c>
    </row>
    <row r="1582" spans="1:23" x14ac:dyDescent="0.25">
      <c r="A1582" s="1" t="s">
        <v>64</v>
      </c>
      <c r="B1582" s="1" t="s">
        <v>79</v>
      </c>
      <c r="C1582" s="2">
        <v>333</v>
      </c>
      <c r="D1582" s="2">
        <v>263</v>
      </c>
      <c r="E1582" s="1" t="s">
        <v>233</v>
      </c>
      <c r="G1582">
        <v>0</v>
      </c>
      <c r="H1582">
        <v>0</v>
      </c>
      <c r="I1582">
        <v>0</v>
      </c>
      <c r="J1582">
        <v>0</v>
      </c>
      <c r="K1582">
        <v>0</v>
      </c>
      <c r="L1582">
        <v>0</v>
      </c>
      <c r="M1582">
        <v>0</v>
      </c>
      <c r="N1582">
        <v>0</v>
      </c>
      <c r="O1582">
        <v>0</v>
      </c>
      <c r="P1582">
        <v>0</v>
      </c>
      <c r="Q1582" t="str">
        <f>INDEX('Partner data'!A:DH,MATCH(C1582,'Partner data'!DG:DG,0),83)</f>
        <v xml:space="preserve">Organismo di diritto pubblico </v>
      </c>
      <c r="R1582" t="b">
        <f>IF(E1582="staff",IF(INDEX('Partner data'!A:DH,MATCH(C1582,'Partner data'!DG:DG,0),112)="BL1 non presente","FALSO",INDEX('Partner data'!A:DH,MATCH(C1582,'Partner data'!DG:DG,0),112)))</f>
        <v>0</v>
      </c>
      <c r="S1582" t="b">
        <f t="shared" si="48"/>
        <v>0</v>
      </c>
      <c r="T1582" t="b">
        <f t="shared" si="49"/>
        <v>1</v>
      </c>
      <c r="U1582" s="154">
        <f>IFERROR(IF(R1582&lt;&gt;FALSE,IF(S1582=TRUE,INDEX('SummaryNOT_VALIDATED-BL'!$A$1:$F$16,MATCH(R1582,'SummaryNOT_VALIDATED-BL'!$A$1:$A$16,0),6),0),IF(S1582=TRUE,INDEX('SummaryNOT_VALIDATED-BL'!$A$1:$F$16,MATCH(E1582,'SummaryNOT_VALIDATED-BL'!$A$1:$A$16,0),6),0)),0)</f>
        <v>0</v>
      </c>
      <c r="V1582" s="81" cm="1">
        <f t="array" ref="V1582">INDEX('Weight tables'!$A$24:$C$27,MATCH(1,(RendicontiTrasmessiBL__2[[#This Row],[Cut percentage on real costs + USC]]&gt;='Weight tables'!$B$24:$B$27)*(RendicontiTrasmessiBL__2[[#This Row],[Cut percentage on real costs + USC]]&lt;='Weight tables'!$C$24:$C$27),0),1)</f>
        <v>0</v>
      </c>
      <c r="W1582" s="2">
        <f>RendicontiTrasmessiBL__2[[#This Row],[Weight real costs  + USC ]]</f>
        <v>0</v>
      </c>
    </row>
    <row r="1583" spans="1:23" x14ac:dyDescent="0.25">
      <c r="A1583" s="1" t="s">
        <v>64</v>
      </c>
      <c r="B1583" s="1" t="s">
        <v>79</v>
      </c>
      <c r="C1583" s="2">
        <v>333</v>
      </c>
      <c r="D1583" s="2">
        <v>263</v>
      </c>
      <c r="E1583" s="1" t="s">
        <v>234</v>
      </c>
      <c r="G1583">
        <v>0</v>
      </c>
      <c r="H1583">
        <v>0</v>
      </c>
      <c r="I1583">
        <v>0</v>
      </c>
      <c r="J1583">
        <v>0</v>
      </c>
      <c r="K1583">
        <v>0</v>
      </c>
      <c r="L1583">
        <v>0</v>
      </c>
      <c r="M1583">
        <v>0</v>
      </c>
      <c r="N1583">
        <v>0</v>
      </c>
      <c r="O1583">
        <v>0</v>
      </c>
      <c r="P1583">
        <v>0</v>
      </c>
      <c r="Q1583" t="str">
        <f>INDEX('Partner data'!A:DH,MATCH(C1583,'Partner data'!DG:DG,0),83)</f>
        <v xml:space="preserve">Organismo di diritto pubblico </v>
      </c>
      <c r="R1583" t="b">
        <f>IF(E1583="staff",IF(INDEX('Partner data'!A:DH,MATCH(C1583,'Partner data'!DG:DG,0),112)="BL1 non presente","FALSO",INDEX('Partner data'!A:DH,MATCH(C1583,'Partner data'!DG:DG,0),112)))</f>
        <v>0</v>
      </c>
      <c r="S1583" t="b">
        <f t="shared" si="48"/>
        <v>0</v>
      </c>
      <c r="T1583" t="b">
        <f t="shared" si="49"/>
        <v>1</v>
      </c>
      <c r="U1583" s="154">
        <f>IFERROR(IF(R1583&lt;&gt;FALSE,IF(S1583=TRUE,INDEX('SummaryNOT_VALIDATED-BL'!$A$1:$F$16,MATCH(R1583,'SummaryNOT_VALIDATED-BL'!$A$1:$A$16,0),6),0),IF(S1583=TRUE,INDEX('SummaryNOT_VALIDATED-BL'!$A$1:$F$16,MATCH(E1583,'SummaryNOT_VALIDATED-BL'!$A$1:$A$16,0),6),0)),0)</f>
        <v>0</v>
      </c>
      <c r="V1583" s="81" cm="1">
        <f t="array" ref="V1583">INDEX('Weight tables'!$A$24:$C$27,MATCH(1,(RendicontiTrasmessiBL__2[[#This Row],[Cut percentage on real costs + USC]]&gt;='Weight tables'!$B$24:$B$27)*(RendicontiTrasmessiBL__2[[#This Row],[Cut percentage on real costs + USC]]&lt;='Weight tables'!$C$24:$C$27),0),1)</f>
        <v>0</v>
      </c>
      <c r="W1583" s="2">
        <f>RendicontiTrasmessiBL__2[[#This Row],[Weight real costs  + USC ]]</f>
        <v>0</v>
      </c>
    </row>
    <row r="1584" spans="1:23" x14ac:dyDescent="0.25">
      <c r="A1584" s="1" t="s">
        <v>64</v>
      </c>
      <c r="B1584" s="1" t="s">
        <v>79</v>
      </c>
      <c r="C1584" s="2">
        <v>333</v>
      </c>
      <c r="D1584" s="2">
        <v>263</v>
      </c>
      <c r="E1584" s="1" t="s">
        <v>236</v>
      </c>
      <c r="G1584">
        <v>0</v>
      </c>
      <c r="H1584">
        <v>0</v>
      </c>
      <c r="I1584">
        <v>0</v>
      </c>
      <c r="J1584">
        <v>0</v>
      </c>
      <c r="K1584">
        <v>0</v>
      </c>
      <c r="L1584">
        <v>0</v>
      </c>
      <c r="M1584">
        <v>0</v>
      </c>
      <c r="N1584">
        <v>0</v>
      </c>
      <c r="O1584">
        <v>0</v>
      </c>
      <c r="P1584">
        <v>0</v>
      </c>
      <c r="Q1584" t="str">
        <f>INDEX('Partner data'!A:DH,MATCH(C1584,'Partner data'!DG:DG,0),83)</f>
        <v xml:space="preserve">Organismo di diritto pubblico </v>
      </c>
      <c r="R1584" t="b">
        <f>IF(E1584="staff",IF(INDEX('Partner data'!A:DH,MATCH(C1584,'Partner data'!DG:DG,0),112)="BL1 non presente","FALSO",INDEX('Partner data'!A:DH,MATCH(C1584,'Partner data'!DG:DG,0),112)))</f>
        <v>0</v>
      </c>
      <c r="S1584" t="b">
        <f t="shared" si="48"/>
        <v>0</v>
      </c>
      <c r="T1584" t="b">
        <f t="shared" si="49"/>
        <v>1</v>
      </c>
      <c r="U1584" s="154">
        <f>IFERROR(IF(R1584&lt;&gt;FALSE,IF(S1584=TRUE,INDEX('SummaryNOT_VALIDATED-BL'!$A$1:$F$16,MATCH(R1584,'SummaryNOT_VALIDATED-BL'!$A$1:$A$16,0),6),0),IF(S1584=TRUE,INDEX('SummaryNOT_VALIDATED-BL'!$A$1:$F$16,MATCH(E1584,'SummaryNOT_VALIDATED-BL'!$A$1:$A$16,0),6),0)),0)</f>
        <v>0</v>
      </c>
      <c r="V1584" s="81" cm="1">
        <f t="array" ref="V1584">INDEX('Weight tables'!$A$24:$C$27,MATCH(1,(RendicontiTrasmessiBL__2[[#This Row],[Cut percentage on real costs + USC]]&gt;='Weight tables'!$B$24:$B$27)*(RendicontiTrasmessiBL__2[[#This Row],[Cut percentage on real costs + USC]]&lt;='Weight tables'!$C$24:$C$27),0),1)</f>
        <v>0</v>
      </c>
      <c r="W1584" s="2">
        <f>RendicontiTrasmessiBL__2[[#This Row],[Weight real costs  + USC ]]</f>
        <v>0</v>
      </c>
    </row>
    <row r="1585" spans="1:23" x14ac:dyDescent="0.25">
      <c r="A1585" s="1" t="s">
        <v>64</v>
      </c>
      <c r="B1585" s="1" t="s">
        <v>79</v>
      </c>
      <c r="C1585" s="2">
        <v>333</v>
      </c>
      <c r="D1585" s="2">
        <v>263</v>
      </c>
      <c r="E1585" s="1" t="s">
        <v>237</v>
      </c>
      <c r="G1585">
        <v>10205674.5</v>
      </c>
      <c r="H1585">
        <v>0</v>
      </c>
      <c r="I1585">
        <v>0</v>
      </c>
      <c r="J1585">
        <v>0</v>
      </c>
      <c r="K1585">
        <v>0</v>
      </c>
      <c r="L1585">
        <v>0</v>
      </c>
      <c r="M1585">
        <v>0</v>
      </c>
      <c r="N1585">
        <v>0</v>
      </c>
      <c r="O1585">
        <v>10205674.5</v>
      </c>
      <c r="P1585">
        <v>0</v>
      </c>
      <c r="Q1585" t="str">
        <f>INDEX('Partner data'!A:DH,MATCH(C1585,'Partner data'!DG:DG,0),83)</f>
        <v xml:space="preserve">Organismo di diritto pubblico </v>
      </c>
      <c r="R1585" t="b">
        <f>IF(E1585="staff",IF(INDEX('Partner data'!A:DH,MATCH(C1585,'Partner data'!DG:DG,0),112)="BL1 non presente","FALSO",INDEX('Partner data'!A:DH,MATCH(C1585,'Partner data'!DG:DG,0),112)))</f>
        <v>0</v>
      </c>
      <c r="S1585" t="b">
        <f t="shared" si="48"/>
        <v>0</v>
      </c>
      <c r="T1585" t="b">
        <f t="shared" si="49"/>
        <v>1</v>
      </c>
      <c r="U1585" s="154">
        <f>IFERROR(IF(R1585&lt;&gt;FALSE,IF(S1585=TRUE,INDEX('SummaryNOT_VALIDATED-BL'!$A$1:$F$16,MATCH(R1585,'SummaryNOT_VALIDATED-BL'!$A$1:$A$16,0),6),0),IF(S1585=TRUE,INDEX('SummaryNOT_VALIDATED-BL'!$A$1:$F$16,MATCH(E1585,'SummaryNOT_VALIDATED-BL'!$A$1:$A$16,0),6),0)),0)</f>
        <v>0</v>
      </c>
      <c r="V1585" s="81" cm="1">
        <f t="array" ref="V1585">INDEX('Weight tables'!$A$24:$C$27,MATCH(1,(RendicontiTrasmessiBL__2[[#This Row],[Cut percentage on real costs + USC]]&gt;='Weight tables'!$B$24:$B$27)*(RendicontiTrasmessiBL__2[[#This Row],[Cut percentage on real costs + USC]]&lt;='Weight tables'!$C$24:$C$27),0),1)</f>
        <v>0</v>
      </c>
      <c r="W1585" s="2">
        <f>RendicontiTrasmessiBL__2[[#This Row],[Weight real costs  + USC ]]</f>
        <v>0</v>
      </c>
    </row>
    <row r="1586" spans="1:23" x14ac:dyDescent="0.25">
      <c r="A1586" s="1" t="s">
        <v>64</v>
      </c>
      <c r="B1586" s="1" t="s">
        <v>79</v>
      </c>
      <c r="C1586" s="2">
        <v>333</v>
      </c>
      <c r="D1586" s="2">
        <v>80</v>
      </c>
      <c r="E1586" s="1" t="s">
        <v>228</v>
      </c>
      <c r="G1586">
        <v>799073</v>
      </c>
      <c r="H1586">
        <v>0</v>
      </c>
      <c r="I1586">
        <v>0</v>
      </c>
      <c r="J1586">
        <v>124331.53</v>
      </c>
      <c r="K1586">
        <v>0</v>
      </c>
      <c r="L1586">
        <v>111211.51</v>
      </c>
      <c r="M1586">
        <v>124331.53</v>
      </c>
      <c r="N1586">
        <v>15.56</v>
      </c>
      <c r="O1586">
        <v>674741.47</v>
      </c>
      <c r="P1586">
        <v>0</v>
      </c>
      <c r="Q1586" t="str">
        <f>INDEX('Partner data'!A:DH,MATCH(C1586,'Partner data'!DG:DG,0),83)</f>
        <v xml:space="preserve">Organismo di diritto pubblico </v>
      </c>
      <c r="R1586" t="str">
        <f>IF(E1586="staff",IF(INDEX('Partner data'!A:DH,MATCH(C1586,'Partner data'!DG:DG,0),112)="BL1 non presente","FALSO",INDEX('Partner data'!A:DH,MATCH(C1586,'Partner data'!DG:DG,0),112)))</f>
        <v>COSTO REALE</v>
      </c>
      <c r="S1586" t="b">
        <f t="shared" si="48"/>
        <v>1</v>
      </c>
      <c r="T1586" t="b">
        <f t="shared" si="49"/>
        <v>1</v>
      </c>
      <c r="U1586" s="154">
        <f>IFERROR(IF(R1586&lt;&gt;FALSE,IF(S1586=TRUE,INDEX('SummaryNOT_VALIDATED-BL'!$A$1:$F$16,MATCH(R1586,'SummaryNOT_VALIDATED-BL'!$A$1:$A$16,0),6),0),IF(S1586=TRUE,INDEX('SummaryNOT_VALIDATED-BL'!$A$1:$F$16,MATCH(E1586,'SummaryNOT_VALIDATED-BL'!$A$1:$A$16,0),6),0)),0)</f>
        <v>9.1604133276901048E-2</v>
      </c>
      <c r="V1586" s="81" cm="1">
        <f t="array" ref="V1586">INDEX('Weight tables'!$A$24:$C$27,MATCH(1,(RendicontiTrasmessiBL__2[[#This Row],[Cut percentage on real costs + USC]]&gt;='Weight tables'!$B$24:$B$27)*(RendicontiTrasmessiBL__2[[#This Row],[Cut percentage on real costs + USC]]&lt;='Weight tables'!$C$24:$C$27),0),1)</f>
        <v>4</v>
      </c>
      <c r="W1586" s="2">
        <f>RendicontiTrasmessiBL__2[[#This Row],[Weight real costs  + USC ]]</f>
        <v>4</v>
      </c>
    </row>
    <row r="1587" spans="1:23" x14ac:dyDescent="0.25">
      <c r="A1587" s="1" t="s">
        <v>64</v>
      </c>
      <c r="B1587" s="1" t="s">
        <v>79</v>
      </c>
      <c r="C1587" s="2">
        <v>333</v>
      </c>
      <c r="D1587" s="2">
        <v>80</v>
      </c>
      <c r="E1587" s="1" t="s">
        <v>229</v>
      </c>
      <c r="F1587">
        <v>15</v>
      </c>
      <c r="G1587">
        <v>119860.95</v>
      </c>
      <c r="H1587">
        <v>0</v>
      </c>
      <c r="I1587">
        <v>0</v>
      </c>
      <c r="J1587">
        <v>18649.72</v>
      </c>
      <c r="K1587">
        <v>0</v>
      </c>
      <c r="L1587">
        <v>16681.72</v>
      </c>
      <c r="M1587">
        <v>18649.72</v>
      </c>
      <c r="N1587">
        <v>15.56</v>
      </c>
      <c r="O1587">
        <v>101211.23</v>
      </c>
      <c r="P1587">
        <v>0</v>
      </c>
      <c r="Q1587" t="str">
        <f>INDEX('Partner data'!A:DH,MATCH(C1587,'Partner data'!DG:DG,0),83)</f>
        <v xml:space="preserve">Organismo di diritto pubblico </v>
      </c>
      <c r="R1587" t="b">
        <f>IF(E1587="staff",IF(INDEX('Partner data'!A:DH,MATCH(C1587,'Partner data'!DG:DG,0),112)="BL1 non presente","FALSO",INDEX('Partner data'!A:DH,MATCH(C1587,'Partner data'!DG:DG,0),112)))</f>
        <v>0</v>
      </c>
      <c r="S1587" t="b">
        <f t="shared" si="48"/>
        <v>1</v>
      </c>
      <c r="T1587" t="b">
        <f t="shared" si="49"/>
        <v>1</v>
      </c>
      <c r="U1587" s="154">
        <f>IFERROR(IF(R1587&lt;&gt;FALSE,IF(S1587=TRUE,INDEX('SummaryNOT_VALIDATED-BL'!$A$1:$F$16,MATCH(R1587,'SummaryNOT_VALIDATED-BL'!$A$1:$A$16,0),6),0),IF(S1587=TRUE,INDEX('SummaryNOT_VALIDATED-BL'!$A$1:$F$16,MATCH(E1587,'SummaryNOT_VALIDATED-BL'!$A$1:$A$16,0),6),0)),0)</f>
        <v>6.6460469504890221E-2</v>
      </c>
      <c r="V1587" s="81" cm="1">
        <f t="array" ref="V1587">INDEX('Weight tables'!$A$24:$C$27,MATCH(1,(RendicontiTrasmessiBL__2[[#This Row],[Cut percentage on real costs + USC]]&gt;='Weight tables'!$B$24:$B$27)*(RendicontiTrasmessiBL__2[[#This Row],[Cut percentage on real costs + USC]]&lt;='Weight tables'!$C$24:$C$27),0),1)</f>
        <v>4</v>
      </c>
      <c r="W1587" s="2">
        <f>RendicontiTrasmessiBL__2[[#This Row],[Weight real costs  + USC ]]</f>
        <v>4</v>
      </c>
    </row>
    <row r="1588" spans="1:23" x14ac:dyDescent="0.25">
      <c r="A1588" s="1" t="s">
        <v>64</v>
      </c>
      <c r="B1588" s="1" t="s">
        <v>79</v>
      </c>
      <c r="C1588" s="2">
        <v>333</v>
      </c>
      <c r="D1588" s="2">
        <v>80</v>
      </c>
      <c r="E1588" s="1" t="s">
        <v>230</v>
      </c>
      <c r="F1588">
        <v>4</v>
      </c>
      <c r="G1588">
        <v>31962.92</v>
      </c>
      <c r="H1588">
        <v>0</v>
      </c>
      <c r="I1588">
        <v>0</v>
      </c>
      <c r="J1588">
        <v>4973.26</v>
      </c>
      <c r="K1588">
        <v>0</v>
      </c>
      <c r="L1588">
        <v>4448.46</v>
      </c>
      <c r="M1588">
        <v>4973.26</v>
      </c>
      <c r="N1588">
        <v>15.56</v>
      </c>
      <c r="O1588">
        <v>26989.66</v>
      </c>
      <c r="P1588">
        <v>0</v>
      </c>
      <c r="Q1588" t="str">
        <f>INDEX('Partner data'!A:DH,MATCH(C1588,'Partner data'!DG:DG,0),83)</f>
        <v xml:space="preserve">Organismo di diritto pubblico </v>
      </c>
      <c r="R1588" t="b">
        <f>IF(E1588="staff",IF(INDEX('Partner data'!A:DH,MATCH(C1588,'Partner data'!DG:DG,0),112)="BL1 non presente","FALSO",INDEX('Partner data'!A:DH,MATCH(C1588,'Partner data'!DG:DG,0),112)))</f>
        <v>0</v>
      </c>
      <c r="S1588" t="b">
        <f t="shared" si="48"/>
        <v>1</v>
      </c>
      <c r="T1588" t="b">
        <f t="shared" si="49"/>
        <v>1</v>
      </c>
      <c r="U1588" s="154">
        <f>IFERROR(IF(R1588&lt;&gt;FALSE,IF(S1588=TRUE,INDEX('SummaryNOT_VALIDATED-BL'!$A$1:$F$16,MATCH(R1588,'SummaryNOT_VALIDATED-BL'!$A$1:$A$16,0),6),0),IF(S1588=TRUE,INDEX('SummaryNOT_VALIDATED-BL'!$A$1:$F$16,MATCH(E1588,'SummaryNOT_VALIDATED-BL'!$A$1:$A$16,0),6),0)),0)</f>
        <v>6.3112622236488891E-2</v>
      </c>
      <c r="V1588" s="81" cm="1">
        <f t="array" ref="V1588">INDEX('Weight tables'!$A$24:$C$27,MATCH(1,(RendicontiTrasmessiBL__2[[#This Row],[Cut percentage on real costs + USC]]&gt;='Weight tables'!$B$24:$B$27)*(RendicontiTrasmessiBL__2[[#This Row],[Cut percentage on real costs + USC]]&lt;='Weight tables'!$C$24:$C$27),0),1)</f>
        <v>4</v>
      </c>
      <c r="W1588" s="2">
        <f>RendicontiTrasmessiBL__2[[#This Row],[Weight real costs  + USC ]]</f>
        <v>4</v>
      </c>
    </row>
    <row r="1589" spans="1:23" x14ac:dyDescent="0.25">
      <c r="A1589" s="1" t="s">
        <v>64</v>
      </c>
      <c r="B1589" s="1" t="s">
        <v>79</v>
      </c>
      <c r="C1589" s="2">
        <v>333</v>
      </c>
      <c r="D1589" s="2">
        <v>80</v>
      </c>
      <c r="E1589" s="1" t="s">
        <v>231</v>
      </c>
      <c r="G1589">
        <v>285398.63</v>
      </c>
      <c r="H1589">
        <v>0</v>
      </c>
      <c r="I1589">
        <v>0</v>
      </c>
      <c r="J1589">
        <v>9453.66</v>
      </c>
      <c r="K1589">
        <v>0</v>
      </c>
      <c r="L1589">
        <v>9453.66</v>
      </c>
      <c r="M1589">
        <v>9453.66</v>
      </c>
      <c r="N1589">
        <v>3.31</v>
      </c>
      <c r="O1589">
        <v>275944.96999999997</v>
      </c>
      <c r="P1589">
        <v>0</v>
      </c>
      <c r="Q1589" t="str">
        <f>INDEX('Partner data'!A:DH,MATCH(C1589,'Partner data'!DG:DG,0),83)</f>
        <v xml:space="preserve">Organismo di diritto pubblico </v>
      </c>
      <c r="R1589" t="b">
        <f>IF(E1589="staff",IF(INDEX('Partner data'!A:DH,MATCH(C1589,'Partner data'!DG:DG,0),112)="BL1 non presente","FALSO",INDEX('Partner data'!A:DH,MATCH(C1589,'Partner data'!DG:DG,0),112)))</f>
        <v>0</v>
      </c>
      <c r="S1589" t="b">
        <f t="shared" si="48"/>
        <v>1</v>
      </c>
      <c r="T1589" t="b">
        <f t="shared" si="49"/>
        <v>1</v>
      </c>
      <c r="U1589" s="154">
        <f>IFERROR(IF(R1589&lt;&gt;FALSE,IF(S1589=TRUE,INDEX('SummaryNOT_VALIDATED-BL'!$A$1:$F$16,MATCH(R1589,'SummaryNOT_VALIDATED-BL'!$A$1:$A$16,0),6),0),IF(S1589=TRUE,INDEX('SummaryNOT_VALIDATED-BL'!$A$1:$F$16,MATCH(E1589,'SummaryNOT_VALIDATED-BL'!$A$1:$A$16,0),6),0)),0)</f>
        <v>5.577594442215475E-2</v>
      </c>
      <c r="V1589" s="81" cm="1">
        <f t="array" ref="V1589">INDEX('Weight tables'!$A$24:$C$27,MATCH(1,(RendicontiTrasmessiBL__2[[#This Row],[Cut percentage on real costs + USC]]&gt;='Weight tables'!$B$24:$B$27)*(RendicontiTrasmessiBL__2[[#This Row],[Cut percentage on real costs + USC]]&lt;='Weight tables'!$C$24:$C$27),0),1)</f>
        <v>4</v>
      </c>
      <c r="W1589" s="2">
        <f>RendicontiTrasmessiBL__2[[#This Row],[Weight real costs  + USC ]]</f>
        <v>4</v>
      </c>
    </row>
    <row r="1590" spans="1:23" x14ac:dyDescent="0.25">
      <c r="A1590" s="1" t="s">
        <v>64</v>
      </c>
      <c r="B1590" s="1" t="s">
        <v>79</v>
      </c>
      <c r="C1590" s="2">
        <v>333</v>
      </c>
      <c r="D1590" s="2">
        <v>80</v>
      </c>
      <c r="E1590" s="1" t="s">
        <v>232</v>
      </c>
      <c r="G1590">
        <v>0</v>
      </c>
      <c r="H1590">
        <v>0</v>
      </c>
      <c r="I1590">
        <v>0</v>
      </c>
      <c r="J1590">
        <v>0</v>
      </c>
      <c r="K1590">
        <v>0</v>
      </c>
      <c r="L1590">
        <v>0</v>
      </c>
      <c r="M1590">
        <v>0</v>
      </c>
      <c r="N1590">
        <v>0</v>
      </c>
      <c r="O1590">
        <v>0</v>
      </c>
      <c r="P1590">
        <v>0</v>
      </c>
      <c r="Q1590" t="str">
        <f>INDEX('Partner data'!A:DH,MATCH(C1590,'Partner data'!DG:DG,0),83)</f>
        <v xml:space="preserve">Organismo di diritto pubblico </v>
      </c>
      <c r="R1590" t="b">
        <f>IF(E1590="staff",IF(INDEX('Partner data'!A:DH,MATCH(C1590,'Partner data'!DG:DG,0),112)="BL1 non presente","FALSO",INDEX('Partner data'!A:DH,MATCH(C1590,'Partner data'!DG:DG,0),112)))</f>
        <v>0</v>
      </c>
      <c r="S1590" t="b">
        <f t="shared" si="48"/>
        <v>0</v>
      </c>
      <c r="T1590" t="b">
        <f t="shared" si="49"/>
        <v>1</v>
      </c>
      <c r="U1590" s="154">
        <f>IFERROR(IF(R1590&lt;&gt;FALSE,IF(S1590=TRUE,INDEX('SummaryNOT_VALIDATED-BL'!$A$1:$F$16,MATCH(R1590,'SummaryNOT_VALIDATED-BL'!$A$1:$A$16,0),6),0),IF(S1590=TRUE,INDEX('SummaryNOT_VALIDATED-BL'!$A$1:$F$16,MATCH(E1590,'SummaryNOT_VALIDATED-BL'!$A$1:$A$16,0),6),0)),0)</f>
        <v>0</v>
      </c>
      <c r="V1590" s="81" cm="1">
        <f t="array" ref="V1590">INDEX('Weight tables'!$A$24:$C$27,MATCH(1,(RendicontiTrasmessiBL__2[[#This Row],[Cut percentage on real costs + USC]]&gt;='Weight tables'!$B$24:$B$27)*(RendicontiTrasmessiBL__2[[#This Row],[Cut percentage on real costs + USC]]&lt;='Weight tables'!$C$24:$C$27),0),1)</f>
        <v>0</v>
      </c>
      <c r="W1590" s="2">
        <f>RendicontiTrasmessiBL__2[[#This Row],[Weight real costs  + USC ]]</f>
        <v>0</v>
      </c>
    </row>
    <row r="1591" spans="1:23" x14ac:dyDescent="0.25">
      <c r="A1591" s="1" t="s">
        <v>64</v>
      </c>
      <c r="B1591" s="1" t="s">
        <v>79</v>
      </c>
      <c r="C1591" s="2">
        <v>333</v>
      </c>
      <c r="D1591" s="2">
        <v>80</v>
      </c>
      <c r="E1591" s="1" t="s">
        <v>233</v>
      </c>
      <c r="G1591">
        <v>0</v>
      </c>
      <c r="H1591">
        <v>0</v>
      </c>
      <c r="I1591">
        <v>0</v>
      </c>
      <c r="J1591">
        <v>0</v>
      </c>
      <c r="K1591">
        <v>0</v>
      </c>
      <c r="L1591">
        <v>0</v>
      </c>
      <c r="M1591">
        <v>0</v>
      </c>
      <c r="N1591">
        <v>0</v>
      </c>
      <c r="O1591">
        <v>0</v>
      </c>
      <c r="P1591">
        <v>0</v>
      </c>
      <c r="Q1591" t="str">
        <f>INDEX('Partner data'!A:DH,MATCH(C1591,'Partner data'!DG:DG,0),83)</f>
        <v xml:space="preserve">Organismo di diritto pubblico </v>
      </c>
      <c r="R1591" t="b">
        <f>IF(E1591="staff",IF(INDEX('Partner data'!A:DH,MATCH(C1591,'Partner data'!DG:DG,0),112)="BL1 non presente","FALSO",INDEX('Partner data'!A:DH,MATCH(C1591,'Partner data'!DG:DG,0),112)))</f>
        <v>0</v>
      </c>
      <c r="S1591" t="b">
        <f t="shared" si="48"/>
        <v>0</v>
      </c>
      <c r="T1591" t="b">
        <f t="shared" si="49"/>
        <v>1</v>
      </c>
      <c r="U1591" s="154">
        <f>IFERROR(IF(R1591&lt;&gt;FALSE,IF(S1591=TRUE,INDEX('SummaryNOT_VALIDATED-BL'!$A$1:$F$16,MATCH(R1591,'SummaryNOT_VALIDATED-BL'!$A$1:$A$16,0),6),0),IF(S1591=TRUE,INDEX('SummaryNOT_VALIDATED-BL'!$A$1:$F$16,MATCH(E1591,'SummaryNOT_VALIDATED-BL'!$A$1:$A$16,0),6),0)),0)</f>
        <v>0</v>
      </c>
      <c r="V1591" s="81" cm="1">
        <f t="array" ref="V1591">INDEX('Weight tables'!$A$24:$C$27,MATCH(1,(RendicontiTrasmessiBL__2[[#This Row],[Cut percentage on real costs + USC]]&gt;='Weight tables'!$B$24:$B$27)*(RendicontiTrasmessiBL__2[[#This Row],[Cut percentage on real costs + USC]]&lt;='Weight tables'!$C$24:$C$27),0),1)</f>
        <v>0</v>
      </c>
      <c r="W1591" s="2">
        <f>RendicontiTrasmessiBL__2[[#This Row],[Weight real costs  + USC ]]</f>
        <v>0</v>
      </c>
    </row>
    <row r="1592" spans="1:23" x14ac:dyDescent="0.25">
      <c r="A1592" s="1" t="s">
        <v>64</v>
      </c>
      <c r="B1592" s="1" t="s">
        <v>79</v>
      </c>
      <c r="C1592" s="2">
        <v>333</v>
      </c>
      <c r="D1592" s="2">
        <v>80</v>
      </c>
      <c r="E1592" s="1" t="s">
        <v>234</v>
      </c>
      <c r="G1592">
        <v>0</v>
      </c>
      <c r="H1592">
        <v>0</v>
      </c>
      <c r="I1592">
        <v>0</v>
      </c>
      <c r="J1592">
        <v>0</v>
      </c>
      <c r="K1592">
        <v>0</v>
      </c>
      <c r="L1592">
        <v>0</v>
      </c>
      <c r="M1592">
        <v>0</v>
      </c>
      <c r="N1592">
        <v>0</v>
      </c>
      <c r="O1592">
        <v>0</v>
      </c>
      <c r="P1592">
        <v>0</v>
      </c>
      <c r="Q1592" t="str">
        <f>INDEX('Partner data'!A:DH,MATCH(C1592,'Partner data'!DG:DG,0),83)</f>
        <v xml:space="preserve">Organismo di diritto pubblico </v>
      </c>
      <c r="R1592" t="b">
        <f>IF(E1592="staff",IF(INDEX('Partner data'!A:DH,MATCH(C1592,'Partner data'!DG:DG,0),112)="BL1 non presente","FALSO",INDEX('Partner data'!A:DH,MATCH(C1592,'Partner data'!DG:DG,0),112)))</f>
        <v>0</v>
      </c>
      <c r="S1592" t="b">
        <f t="shared" si="48"/>
        <v>0</v>
      </c>
      <c r="T1592" t="b">
        <f t="shared" si="49"/>
        <v>1</v>
      </c>
      <c r="U1592" s="154">
        <f>IFERROR(IF(R1592&lt;&gt;FALSE,IF(S1592=TRUE,INDEX('SummaryNOT_VALIDATED-BL'!$A$1:$F$16,MATCH(R1592,'SummaryNOT_VALIDATED-BL'!$A$1:$A$16,0),6),0),IF(S1592=TRUE,INDEX('SummaryNOT_VALIDATED-BL'!$A$1:$F$16,MATCH(E1592,'SummaryNOT_VALIDATED-BL'!$A$1:$A$16,0),6),0)),0)</f>
        <v>0</v>
      </c>
      <c r="V1592" s="81" cm="1">
        <f t="array" ref="V1592">INDEX('Weight tables'!$A$24:$C$27,MATCH(1,(RendicontiTrasmessiBL__2[[#This Row],[Cut percentage on real costs + USC]]&gt;='Weight tables'!$B$24:$B$27)*(RendicontiTrasmessiBL__2[[#This Row],[Cut percentage on real costs + USC]]&lt;='Weight tables'!$C$24:$C$27),0),1)</f>
        <v>0</v>
      </c>
      <c r="W1592" s="2">
        <f>RendicontiTrasmessiBL__2[[#This Row],[Weight real costs  + USC ]]</f>
        <v>0</v>
      </c>
    </row>
    <row r="1593" spans="1:23" x14ac:dyDescent="0.25">
      <c r="A1593" s="1" t="s">
        <v>64</v>
      </c>
      <c r="B1593" s="1" t="s">
        <v>79</v>
      </c>
      <c r="C1593" s="2">
        <v>333</v>
      </c>
      <c r="D1593" s="2">
        <v>80</v>
      </c>
      <c r="E1593" s="1" t="s">
        <v>236</v>
      </c>
      <c r="G1593">
        <v>0</v>
      </c>
      <c r="H1593">
        <v>0</v>
      </c>
      <c r="I1593">
        <v>0</v>
      </c>
      <c r="J1593">
        <v>0</v>
      </c>
      <c r="K1593">
        <v>0</v>
      </c>
      <c r="L1593">
        <v>0</v>
      </c>
      <c r="M1593">
        <v>0</v>
      </c>
      <c r="N1593">
        <v>0</v>
      </c>
      <c r="O1593">
        <v>0</v>
      </c>
      <c r="P1593">
        <v>0</v>
      </c>
      <c r="Q1593" t="str">
        <f>INDEX('Partner data'!A:DH,MATCH(C1593,'Partner data'!DG:DG,0),83)</f>
        <v xml:space="preserve">Organismo di diritto pubblico </v>
      </c>
      <c r="R1593" t="b">
        <f>IF(E1593="staff",IF(INDEX('Partner data'!A:DH,MATCH(C1593,'Partner data'!DG:DG,0),112)="BL1 non presente","FALSO",INDEX('Partner data'!A:DH,MATCH(C1593,'Partner data'!DG:DG,0),112)))</f>
        <v>0</v>
      </c>
      <c r="S1593" t="b">
        <f t="shared" si="48"/>
        <v>0</v>
      </c>
      <c r="T1593" t="b">
        <f t="shared" si="49"/>
        <v>1</v>
      </c>
      <c r="U1593" s="154">
        <f>IFERROR(IF(R1593&lt;&gt;FALSE,IF(S1593=TRUE,INDEX('SummaryNOT_VALIDATED-BL'!$A$1:$F$16,MATCH(R1593,'SummaryNOT_VALIDATED-BL'!$A$1:$A$16,0),6),0),IF(S1593=TRUE,INDEX('SummaryNOT_VALIDATED-BL'!$A$1:$F$16,MATCH(E1593,'SummaryNOT_VALIDATED-BL'!$A$1:$A$16,0),6),0)),0)</f>
        <v>0</v>
      </c>
      <c r="V1593" s="81" cm="1">
        <f t="array" ref="V1593">INDEX('Weight tables'!$A$24:$C$27,MATCH(1,(RendicontiTrasmessiBL__2[[#This Row],[Cut percentage on real costs + USC]]&gt;='Weight tables'!$B$24:$B$27)*(RendicontiTrasmessiBL__2[[#This Row],[Cut percentage on real costs + USC]]&lt;='Weight tables'!$C$24:$C$27),0),1)</f>
        <v>0</v>
      </c>
      <c r="W1593" s="2">
        <f>RendicontiTrasmessiBL__2[[#This Row],[Weight real costs  + USC ]]</f>
        <v>0</v>
      </c>
    </row>
    <row r="1594" spans="1:23" x14ac:dyDescent="0.25">
      <c r="A1594" s="1" t="s">
        <v>64</v>
      </c>
      <c r="B1594" s="1" t="s">
        <v>79</v>
      </c>
      <c r="C1594" s="2">
        <v>333</v>
      </c>
      <c r="D1594" s="2">
        <v>80</v>
      </c>
      <c r="E1594" s="1" t="s">
        <v>237</v>
      </c>
      <c r="G1594">
        <v>0</v>
      </c>
      <c r="H1594">
        <v>0</v>
      </c>
      <c r="I1594">
        <v>0</v>
      </c>
      <c r="J1594">
        <v>0</v>
      </c>
      <c r="K1594">
        <v>0</v>
      </c>
      <c r="L1594">
        <v>0</v>
      </c>
      <c r="M1594">
        <v>0</v>
      </c>
      <c r="N1594">
        <v>0</v>
      </c>
      <c r="O1594">
        <v>0</v>
      </c>
      <c r="P1594">
        <v>0</v>
      </c>
      <c r="Q1594" t="str">
        <f>INDEX('Partner data'!A:DH,MATCH(C1594,'Partner data'!DG:DG,0),83)</f>
        <v xml:space="preserve">Organismo di diritto pubblico </v>
      </c>
      <c r="R1594" t="b">
        <f>IF(E1594="staff",IF(INDEX('Partner data'!A:DH,MATCH(C1594,'Partner data'!DG:DG,0),112)="BL1 non presente","FALSO",INDEX('Partner data'!A:DH,MATCH(C1594,'Partner data'!DG:DG,0),112)))</f>
        <v>0</v>
      </c>
      <c r="S1594" t="b">
        <f t="shared" si="48"/>
        <v>0</v>
      </c>
      <c r="T1594" t="b">
        <f t="shared" si="49"/>
        <v>1</v>
      </c>
      <c r="U1594" s="154">
        <f>IFERROR(IF(R1594&lt;&gt;FALSE,IF(S1594=TRUE,INDEX('SummaryNOT_VALIDATED-BL'!$A$1:$F$16,MATCH(R1594,'SummaryNOT_VALIDATED-BL'!$A$1:$A$16,0),6),0),IF(S1594=TRUE,INDEX('SummaryNOT_VALIDATED-BL'!$A$1:$F$16,MATCH(E1594,'SummaryNOT_VALIDATED-BL'!$A$1:$A$16,0),6),0)),0)</f>
        <v>0</v>
      </c>
      <c r="V1594" s="81" cm="1">
        <f t="array" ref="V1594">INDEX('Weight tables'!$A$24:$C$27,MATCH(1,(RendicontiTrasmessiBL__2[[#This Row],[Cut percentage on real costs + USC]]&gt;='Weight tables'!$B$24:$B$27)*(RendicontiTrasmessiBL__2[[#This Row],[Cut percentage on real costs + USC]]&lt;='Weight tables'!$C$24:$C$27),0),1)</f>
        <v>0</v>
      </c>
      <c r="W1594" s="2">
        <f>RendicontiTrasmessiBL__2[[#This Row],[Weight real costs  + USC ]]</f>
        <v>0</v>
      </c>
    </row>
    <row r="1595" spans="1:23" x14ac:dyDescent="0.25">
      <c r="A1595" s="1" t="s">
        <v>60</v>
      </c>
      <c r="B1595" s="1" t="s">
        <v>328</v>
      </c>
      <c r="C1595" s="2">
        <v>138</v>
      </c>
      <c r="D1595" s="2">
        <v>318</v>
      </c>
      <c r="E1595" s="1" t="s">
        <v>228</v>
      </c>
      <c r="F1595">
        <v>20</v>
      </c>
      <c r="G1595">
        <v>16140</v>
      </c>
      <c r="H1595">
        <v>0</v>
      </c>
      <c r="I1595">
        <v>0</v>
      </c>
      <c r="J1595">
        <v>0</v>
      </c>
      <c r="K1595">
        <v>0</v>
      </c>
      <c r="L1595">
        <v>0</v>
      </c>
      <c r="M1595">
        <v>0</v>
      </c>
      <c r="N1595">
        <v>0</v>
      </c>
      <c r="O1595">
        <v>16140</v>
      </c>
      <c r="P1595">
        <v>0</v>
      </c>
      <c r="Q1595" t="str">
        <f>INDEX('Partner data'!A:DH,MATCH(C1595,'Partner data'!DG:DG,0),83)</f>
        <v>Soggetto privato</v>
      </c>
      <c r="R1595" t="str">
        <f>IF(E1595="staff",IF(INDEX('Partner data'!A:DH,MATCH(C1595,'Partner data'!DG:DG,0),112)="BL1 non presente","FALSO",INDEX('Partner data'!A:DH,MATCH(C1595,'Partner data'!DG:DG,0),112)))</f>
        <v>Tasso Forfettario 20%</v>
      </c>
      <c r="S1595" t="b">
        <f t="shared" si="48"/>
        <v>0</v>
      </c>
      <c r="T1595" t="b">
        <f t="shared" si="49"/>
        <v>0</v>
      </c>
      <c r="U1595" s="154">
        <f>IFERROR(IF(R1595&lt;&gt;FALSE,IF(S1595=TRUE,INDEX('SummaryNOT_VALIDATED-BL'!$A$1:$F$16,MATCH(R1595,'SummaryNOT_VALIDATED-BL'!$A$1:$A$16,0),6),0),IF(S1595=TRUE,INDEX('SummaryNOT_VALIDATED-BL'!$A$1:$F$16,MATCH(E1595,'SummaryNOT_VALIDATED-BL'!$A$1:$A$16,0),6),0)),0)</f>
        <v>0</v>
      </c>
      <c r="V1595" s="81" cm="1">
        <f t="array" ref="V1595">INDEX('Weight tables'!$A$24:$C$27,MATCH(1,(RendicontiTrasmessiBL__2[[#This Row],[Cut percentage on real costs + USC]]&gt;='Weight tables'!$B$24:$B$27)*(RendicontiTrasmessiBL__2[[#This Row],[Cut percentage on real costs + USC]]&lt;='Weight tables'!$C$24:$C$27),0),1)</f>
        <v>0</v>
      </c>
      <c r="W1595" s="2">
        <f>RendicontiTrasmessiBL__2[[#This Row],[Weight real costs  + USC ]]</f>
        <v>0</v>
      </c>
    </row>
    <row r="1596" spans="1:23" x14ac:dyDescent="0.25">
      <c r="A1596" s="1" t="s">
        <v>60</v>
      </c>
      <c r="B1596" s="1" t="s">
        <v>328</v>
      </c>
      <c r="C1596" s="2">
        <v>138</v>
      </c>
      <c r="D1596" s="2">
        <v>318</v>
      </c>
      <c r="E1596" s="1" t="s">
        <v>229</v>
      </c>
      <c r="F1596">
        <v>15</v>
      </c>
      <c r="G1596">
        <v>2421</v>
      </c>
      <c r="H1596">
        <v>0</v>
      </c>
      <c r="I1596">
        <v>0</v>
      </c>
      <c r="J1596">
        <v>0</v>
      </c>
      <c r="K1596">
        <v>0</v>
      </c>
      <c r="L1596">
        <v>0</v>
      </c>
      <c r="M1596">
        <v>0</v>
      </c>
      <c r="N1596">
        <v>0</v>
      </c>
      <c r="O1596">
        <v>2421</v>
      </c>
      <c r="P1596">
        <v>0</v>
      </c>
      <c r="Q1596" t="str">
        <f>INDEX('Partner data'!A:DH,MATCH(C1596,'Partner data'!DG:DG,0),83)</f>
        <v>Soggetto privato</v>
      </c>
      <c r="R1596" t="b">
        <f>IF(E1596="staff",IF(INDEX('Partner data'!A:DH,MATCH(C1596,'Partner data'!DG:DG,0),112)="BL1 non presente","FALSO",INDEX('Partner data'!A:DH,MATCH(C1596,'Partner data'!DG:DG,0),112)))</f>
        <v>0</v>
      </c>
      <c r="S1596" t="b">
        <f t="shared" si="48"/>
        <v>0</v>
      </c>
      <c r="T1596" t="b">
        <f t="shared" si="49"/>
        <v>0</v>
      </c>
      <c r="U1596" s="154">
        <f>IFERROR(IF(R1596&lt;&gt;FALSE,IF(S1596=TRUE,INDEX('SummaryNOT_VALIDATED-BL'!$A$1:$F$16,MATCH(R1596,'SummaryNOT_VALIDATED-BL'!$A$1:$A$16,0),6),0),IF(S1596=TRUE,INDEX('SummaryNOT_VALIDATED-BL'!$A$1:$F$16,MATCH(E1596,'SummaryNOT_VALIDATED-BL'!$A$1:$A$16,0),6),0)),0)</f>
        <v>0</v>
      </c>
      <c r="V1596" s="81" cm="1">
        <f t="array" ref="V1596">INDEX('Weight tables'!$A$24:$C$27,MATCH(1,(RendicontiTrasmessiBL__2[[#This Row],[Cut percentage on real costs + USC]]&gt;='Weight tables'!$B$24:$B$27)*(RendicontiTrasmessiBL__2[[#This Row],[Cut percentage on real costs + USC]]&lt;='Weight tables'!$C$24:$C$27),0),1)</f>
        <v>0</v>
      </c>
      <c r="W1596" s="2">
        <f>RendicontiTrasmessiBL__2[[#This Row],[Weight real costs  + USC ]]</f>
        <v>0</v>
      </c>
    </row>
    <row r="1597" spans="1:23" x14ac:dyDescent="0.25">
      <c r="A1597" s="1" t="s">
        <v>60</v>
      </c>
      <c r="B1597" s="1" t="s">
        <v>328</v>
      </c>
      <c r="C1597" s="2">
        <v>138</v>
      </c>
      <c r="D1597" s="2">
        <v>318</v>
      </c>
      <c r="E1597" s="1" t="s">
        <v>230</v>
      </c>
      <c r="F1597">
        <v>4</v>
      </c>
      <c r="G1597">
        <v>645.6</v>
      </c>
      <c r="H1597">
        <v>0</v>
      </c>
      <c r="I1597">
        <v>0</v>
      </c>
      <c r="J1597">
        <v>0</v>
      </c>
      <c r="K1597">
        <v>0</v>
      </c>
      <c r="L1597">
        <v>0</v>
      </c>
      <c r="M1597">
        <v>0</v>
      </c>
      <c r="N1597">
        <v>0</v>
      </c>
      <c r="O1597">
        <v>645.6</v>
      </c>
      <c r="P1597">
        <v>0</v>
      </c>
      <c r="Q1597" t="str">
        <f>INDEX('Partner data'!A:DH,MATCH(C1597,'Partner data'!DG:DG,0),83)</f>
        <v>Soggetto privato</v>
      </c>
      <c r="R1597" t="b">
        <f>IF(E1597="staff",IF(INDEX('Partner data'!A:DH,MATCH(C1597,'Partner data'!DG:DG,0),112)="BL1 non presente","FALSO",INDEX('Partner data'!A:DH,MATCH(C1597,'Partner data'!DG:DG,0),112)))</f>
        <v>0</v>
      </c>
      <c r="S1597" t="b">
        <f t="shared" si="48"/>
        <v>0</v>
      </c>
      <c r="T1597" t="b">
        <f t="shared" si="49"/>
        <v>0</v>
      </c>
      <c r="U1597" s="154">
        <f>IFERROR(IF(R1597&lt;&gt;FALSE,IF(S1597=TRUE,INDEX('SummaryNOT_VALIDATED-BL'!$A$1:$F$16,MATCH(R1597,'SummaryNOT_VALIDATED-BL'!$A$1:$A$16,0),6),0),IF(S1597=TRUE,INDEX('SummaryNOT_VALIDATED-BL'!$A$1:$F$16,MATCH(E1597,'SummaryNOT_VALIDATED-BL'!$A$1:$A$16,0),6),0)),0)</f>
        <v>0</v>
      </c>
      <c r="V1597" s="81" cm="1">
        <f t="array" ref="V1597">INDEX('Weight tables'!$A$24:$C$27,MATCH(1,(RendicontiTrasmessiBL__2[[#This Row],[Cut percentage on real costs + USC]]&gt;='Weight tables'!$B$24:$B$27)*(RendicontiTrasmessiBL__2[[#This Row],[Cut percentage on real costs + USC]]&lt;='Weight tables'!$C$24:$C$27),0),1)</f>
        <v>0</v>
      </c>
      <c r="W1597" s="2">
        <f>RendicontiTrasmessiBL__2[[#This Row],[Weight real costs  + USC ]]</f>
        <v>0</v>
      </c>
    </row>
    <row r="1598" spans="1:23" x14ac:dyDescent="0.25">
      <c r="A1598" s="1" t="s">
        <v>60</v>
      </c>
      <c r="B1598" s="1" t="s">
        <v>328</v>
      </c>
      <c r="C1598" s="2">
        <v>138</v>
      </c>
      <c r="D1598" s="2">
        <v>318</v>
      </c>
      <c r="E1598" s="1" t="s">
        <v>231</v>
      </c>
      <c r="G1598">
        <v>80700</v>
      </c>
      <c r="H1598">
        <v>0</v>
      </c>
      <c r="I1598">
        <v>0</v>
      </c>
      <c r="J1598">
        <v>0</v>
      </c>
      <c r="K1598">
        <v>0</v>
      </c>
      <c r="L1598">
        <v>0</v>
      </c>
      <c r="M1598">
        <v>0</v>
      </c>
      <c r="N1598">
        <v>0</v>
      </c>
      <c r="O1598">
        <v>80700</v>
      </c>
      <c r="P1598">
        <v>0</v>
      </c>
      <c r="Q1598" t="str">
        <f>INDEX('Partner data'!A:DH,MATCH(C1598,'Partner data'!DG:DG,0),83)</f>
        <v>Soggetto privato</v>
      </c>
      <c r="R1598" t="b">
        <f>IF(E1598="staff",IF(INDEX('Partner data'!A:DH,MATCH(C1598,'Partner data'!DG:DG,0),112)="BL1 non presente","FALSO",INDEX('Partner data'!A:DH,MATCH(C1598,'Partner data'!DG:DG,0),112)))</f>
        <v>0</v>
      </c>
      <c r="S1598" t="b">
        <f t="shared" si="48"/>
        <v>0</v>
      </c>
      <c r="T1598" t="b">
        <f t="shared" si="49"/>
        <v>0</v>
      </c>
      <c r="U1598" s="154">
        <f>IFERROR(IF(R1598&lt;&gt;FALSE,IF(S1598=TRUE,INDEX('SummaryNOT_VALIDATED-BL'!$A$1:$F$16,MATCH(R1598,'SummaryNOT_VALIDATED-BL'!$A$1:$A$16,0),6),0),IF(S1598=TRUE,INDEX('SummaryNOT_VALIDATED-BL'!$A$1:$F$16,MATCH(E1598,'SummaryNOT_VALIDATED-BL'!$A$1:$A$16,0),6),0)),0)</f>
        <v>0</v>
      </c>
      <c r="V1598" s="81" cm="1">
        <f t="array" ref="V1598">INDEX('Weight tables'!$A$24:$C$27,MATCH(1,(RendicontiTrasmessiBL__2[[#This Row],[Cut percentage on real costs + USC]]&gt;='Weight tables'!$B$24:$B$27)*(RendicontiTrasmessiBL__2[[#This Row],[Cut percentage on real costs + USC]]&lt;='Weight tables'!$C$24:$C$27),0),1)</f>
        <v>0</v>
      </c>
      <c r="W1598" s="2">
        <f>RendicontiTrasmessiBL__2[[#This Row],[Weight real costs  + USC ]]</f>
        <v>0</v>
      </c>
    </row>
    <row r="1599" spans="1:23" x14ac:dyDescent="0.25">
      <c r="A1599" s="1" t="s">
        <v>60</v>
      </c>
      <c r="B1599" s="1" t="s">
        <v>328</v>
      </c>
      <c r="C1599" s="2">
        <v>138</v>
      </c>
      <c r="D1599" s="2">
        <v>318</v>
      </c>
      <c r="E1599" s="1" t="s">
        <v>232</v>
      </c>
      <c r="G1599">
        <v>0</v>
      </c>
      <c r="H1599">
        <v>0</v>
      </c>
      <c r="I1599">
        <v>0</v>
      </c>
      <c r="J1599">
        <v>0</v>
      </c>
      <c r="K1599">
        <v>0</v>
      </c>
      <c r="L1599">
        <v>0</v>
      </c>
      <c r="M1599">
        <v>0</v>
      </c>
      <c r="N1599">
        <v>0</v>
      </c>
      <c r="O1599">
        <v>0</v>
      </c>
      <c r="P1599">
        <v>0</v>
      </c>
      <c r="Q1599" t="str">
        <f>INDEX('Partner data'!A:DH,MATCH(C1599,'Partner data'!DG:DG,0),83)</f>
        <v>Soggetto privato</v>
      </c>
      <c r="R1599" t="b">
        <f>IF(E1599="staff",IF(INDEX('Partner data'!A:DH,MATCH(C1599,'Partner data'!DG:DG,0),112)="BL1 non presente","FALSO",INDEX('Partner data'!A:DH,MATCH(C1599,'Partner data'!DG:DG,0),112)))</f>
        <v>0</v>
      </c>
      <c r="S1599" t="b">
        <f t="shared" si="48"/>
        <v>0</v>
      </c>
      <c r="T1599" t="b">
        <f t="shared" si="49"/>
        <v>0</v>
      </c>
      <c r="U1599" s="154">
        <f>IFERROR(IF(R1599&lt;&gt;FALSE,IF(S1599=TRUE,INDEX('SummaryNOT_VALIDATED-BL'!$A$1:$F$16,MATCH(R1599,'SummaryNOT_VALIDATED-BL'!$A$1:$A$16,0),6),0),IF(S1599=TRUE,INDEX('SummaryNOT_VALIDATED-BL'!$A$1:$F$16,MATCH(E1599,'SummaryNOT_VALIDATED-BL'!$A$1:$A$16,0),6),0)),0)</f>
        <v>0</v>
      </c>
      <c r="V1599" s="81" cm="1">
        <f t="array" ref="V1599">INDEX('Weight tables'!$A$24:$C$27,MATCH(1,(RendicontiTrasmessiBL__2[[#This Row],[Cut percentage on real costs + USC]]&gt;='Weight tables'!$B$24:$B$27)*(RendicontiTrasmessiBL__2[[#This Row],[Cut percentage on real costs + USC]]&lt;='Weight tables'!$C$24:$C$27),0),1)</f>
        <v>0</v>
      </c>
      <c r="W1599" s="2">
        <f>RendicontiTrasmessiBL__2[[#This Row],[Weight real costs  + USC ]]</f>
        <v>0</v>
      </c>
    </row>
    <row r="1600" spans="1:23" x14ac:dyDescent="0.25">
      <c r="A1600" s="1" t="s">
        <v>60</v>
      </c>
      <c r="B1600" s="1" t="s">
        <v>328</v>
      </c>
      <c r="C1600" s="2">
        <v>138</v>
      </c>
      <c r="D1600" s="2">
        <v>318</v>
      </c>
      <c r="E1600" s="1" t="s">
        <v>233</v>
      </c>
      <c r="G1600">
        <v>0</v>
      </c>
      <c r="H1600">
        <v>0</v>
      </c>
      <c r="I1600">
        <v>0</v>
      </c>
      <c r="J1600">
        <v>0</v>
      </c>
      <c r="K1600">
        <v>0</v>
      </c>
      <c r="L1600">
        <v>0</v>
      </c>
      <c r="M1600">
        <v>0</v>
      </c>
      <c r="N1600">
        <v>0</v>
      </c>
      <c r="O1600">
        <v>0</v>
      </c>
      <c r="P1600">
        <v>0</v>
      </c>
      <c r="Q1600" t="str">
        <f>INDEX('Partner data'!A:DH,MATCH(C1600,'Partner data'!DG:DG,0),83)</f>
        <v>Soggetto privato</v>
      </c>
      <c r="R1600" t="b">
        <f>IF(E1600="staff",IF(INDEX('Partner data'!A:DH,MATCH(C1600,'Partner data'!DG:DG,0),112)="BL1 non presente","FALSO",INDEX('Partner data'!A:DH,MATCH(C1600,'Partner data'!DG:DG,0),112)))</f>
        <v>0</v>
      </c>
      <c r="S1600" t="b">
        <f t="shared" si="48"/>
        <v>0</v>
      </c>
      <c r="T1600" t="b">
        <f t="shared" si="49"/>
        <v>0</v>
      </c>
      <c r="U1600" s="154">
        <f>IFERROR(IF(R1600&lt;&gt;FALSE,IF(S1600=TRUE,INDEX('SummaryNOT_VALIDATED-BL'!$A$1:$F$16,MATCH(R1600,'SummaryNOT_VALIDATED-BL'!$A$1:$A$16,0),6),0),IF(S1600=TRUE,INDEX('SummaryNOT_VALIDATED-BL'!$A$1:$F$16,MATCH(E1600,'SummaryNOT_VALIDATED-BL'!$A$1:$A$16,0),6),0)),0)</f>
        <v>0</v>
      </c>
      <c r="V1600" s="81" cm="1">
        <f t="array" ref="V1600">INDEX('Weight tables'!$A$24:$C$27,MATCH(1,(RendicontiTrasmessiBL__2[[#This Row],[Cut percentage on real costs + USC]]&gt;='Weight tables'!$B$24:$B$27)*(RendicontiTrasmessiBL__2[[#This Row],[Cut percentage on real costs + USC]]&lt;='Weight tables'!$C$24:$C$27),0),1)</f>
        <v>0</v>
      </c>
      <c r="W1600" s="2">
        <f>RendicontiTrasmessiBL__2[[#This Row],[Weight real costs  + USC ]]</f>
        <v>0</v>
      </c>
    </row>
    <row r="1601" spans="1:23" x14ac:dyDescent="0.25">
      <c r="A1601" s="1" t="s">
        <v>60</v>
      </c>
      <c r="B1601" s="1" t="s">
        <v>328</v>
      </c>
      <c r="C1601" s="2">
        <v>138</v>
      </c>
      <c r="D1601" s="2">
        <v>318</v>
      </c>
      <c r="E1601" s="1" t="s">
        <v>234</v>
      </c>
      <c r="G1601">
        <v>0</v>
      </c>
      <c r="H1601">
        <v>0</v>
      </c>
      <c r="I1601">
        <v>0</v>
      </c>
      <c r="J1601">
        <v>0</v>
      </c>
      <c r="K1601">
        <v>0</v>
      </c>
      <c r="L1601">
        <v>0</v>
      </c>
      <c r="M1601">
        <v>0</v>
      </c>
      <c r="N1601">
        <v>0</v>
      </c>
      <c r="O1601">
        <v>0</v>
      </c>
      <c r="P1601">
        <v>0</v>
      </c>
      <c r="Q1601" t="str">
        <f>INDEX('Partner data'!A:DH,MATCH(C1601,'Partner data'!DG:DG,0),83)</f>
        <v>Soggetto privato</v>
      </c>
      <c r="R1601" t="b">
        <f>IF(E1601="staff",IF(INDEX('Partner data'!A:DH,MATCH(C1601,'Partner data'!DG:DG,0),112)="BL1 non presente","FALSO",INDEX('Partner data'!A:DH,MATCH(C1601,'Partner data'!DG:DG,0),112)))</f>
        <v>0</v>
      </c>
      <c r="S1601" t="b">
        <f t="shared" si="48"/>
        <v>0</v>
      </c>
      <c r="T1601" t="b">
        <f t="shared" si="49"/>
        <v>0</v>
      </c>
      <c r="U1601" s="154">
        <f>IFERROR(IF(R1601&lt;&gt;FALSE,IF(S1601=TRUE,INDEX('SummaryNOT_VALIDATED-BL'!$A$1:$F$16,MATCH(R1601,'SummaryNOT_VALIDATED-BL'!$A$1:$A$16,0),6),0),IF(S1601=TRUE,INDEX('SummaryNOT_VALIDATED-BL'!$A$1:$F$16,MATCH(E1601,'SummaryNOT_VALIDATED-BL'!$A$1:$A$16,0),6),0)),0)</f>
        <v>0</v>
      </c>
      <c r="V1601" s="81" cm="1">
        <f t="array" ref="V1601">INDEX('Weight tables'!$A$24:$C$27,MATCH(1,(RendicontiTrasmessiBL__2[[#This Row],[Cut percentage on real costs + USC]]&gt;='Weight tables'!$B$24:$B$27)*(RendicontiTrasmessiBL__2[[#This Row],[Cut percentage on real costs + USC]]&lt;='Weight tables'!$C$24:$C$27),0),1)</f>
        <v>0</v>
      </c>
      <c r="W1601" s="2">
        <f>RendicontiTrasmessiBL__2[[#This Row],[Weight real costs  + USC ]]</f>
        <v>0</v>
      </c>
    </row>
    <row r="1602" spans="1:23" x14ac:dyDescent="0.25">
      <c r="A1602" s="1" t="s">
        <v>60</v>
      </c>
      <c r="B1602" s="1" t="s">
        <v>328</v>
      </c>
      <c r="C1602" s="2">
        <v>138</v>
      </c>
      <c r="D1602" s="2">
        <v>318</v>
      </c>
      <c r="E1602" s="1" t="s">
        <v>236</v>
      </c>
      <c r="G1602">
        <v>0</v>
      </c>
      <c r="H1602">
        <v>0</v>
      </c>
      <c r="I1602">
        <v>0</v>
      </c>
      <c r="J1602">
        <v>0</v>
      </c>
      <c r="K1602">
        <v>0</v>
      </c>
      <c r="L1602">
        <v>0</v>
      </c>
      <c r="M1602">
        <v>0</v>
      </c>
      <c r="N1602">
        <v>0</v>
      </c>
      <c r="O1602">
        <v>0</v>
      </c>
      <c r="P1602">
        <v>0</v>
      </c>
      <c r="Q1602" t="str">
        <f>INDEX('Partner data'!A:DH,MATCH(C1602,'Partner data'!DG:DG,0),83)</f>
        <v>Soggetto privato</v>
      </c>
      <c r="R1602" t="b">
        <f>IF(E1602="staff",IF(INDEX('Partner data'!A:DH,MATCH(C1602,'Partner data'!DG:DG,0),112)="BL1 non presente","FALSO",INDEX('Partner data'!A:DH,MATCH(C1602,'Partner data'!DG:DG,0),112)))</f>
        <v>0</v>
      </c>
      <c r="S1602" t="b">
        <f t="shared" ref="S1602:S1665" si="50">IF(J1602&lt;&gt;0,TRUE,FALSE)</f>
        <v>0</v>
      </c>
      <c r="T1602" t="b">
        <f t="shared" ref="T1602:T1665" si="51">OR(Q1602="Soggetto pubblico",Q1602="Organismo di diritto pubblico ")</f>
        <v>0</v>
      </c>
      <c r="U1602" s="154">
        <f>IFERROR(IF(R1602&lt;&gt;FALSE,IF(S1602=TRUE,INDEX('SummaryNOT_VALIDATED-BL'!$A$1:$F$16,MATCH(R1602,'SummaryNOT_VALIDATED-BL'!$A$1:$A$16,0),6),0),IF(S1602=TRUE,INDEX('SummaryNOT_VALIDATED-BL'!$A$1:$F$16,MATCH(E1602,'SummaryNOT_VALIDATED-BL'!$A$1:$A$16,0),6),0)),0)</f>
        <v>0</v>
      </c>
      <c r="V1602" s="81" cm="1">
        <f t="array" ref="V1602">INDEX('Weight tables'!$A$24:$C$27,MATCH(1,(RendicontiTrasmessiBL__2[[#This Row],[Cut percentage on real costs + USC]]&gt;='Weight tables'!$B$24:$B$27)*(RendicontiTrasmessiBL__2[[#This Row],[Cut percentage on real costs + USC]]&lt;='Weight tables'!$C$24:$C$27),0),1)</f>
        <v>0</v>
      </c>
      <c r="W1602" s="2">
        <f>RendicontiTrasmessiBL__2[[#This Row],[Weight real costs  + USC ]]</f>
        <v>0</v>
      </c>
    </row>
    <row r="1603" spans="1:23" x14ac:dyDescent="0.25">
      <c r="A1603" s="1" t="s">
        <v>60</v>
      </c>
      <c r="B1603" s="1" t="s">
        <v>328</v>
      </c>
      <c r="C1603" s="2">
        <v>138</v>
      </c>
      <c r="D1603" s="2">
        <v>318</v>
      </c>
      <c r="E1603" s="1" t="s">
        <v>237</v>
      </c>
      <c r="G1603">
        <v>0</v>
      </c>
      <c r="H1603">
        <v>0</v>
      </c>
      <c r="I1603">
        <v>0</v>
      </c>
      <c r="J1603">
        <v>0</v>
      </c>
      <c r="K1603">
        <v>0</v>
      </c>
      <c r="L1603">
        <v>0</v>
      </c>
      <c r="M1603">
        <v>0</v>
      </c>
      <c r="N1603">
        <v>0</v>
      </c>
      <c r="O1603">
        <v>0</v>
      </c>
      <c r="P1603">
        <v>0</v>
      </c>
      <c r="Q1603" t="str">
        <f>INDEX('Partner data'!A:DH,MATCH(C1603,'Partner data'!DG:DG,0),83)</f>
        <v>Soggetto privato</v>
      </c>
      <c r="R1603" t="b">
        <f>IF(E1603="staff",IF(INDEX('Partner data'!A:DH,MATCH(C1603,'Partner data'!DG:DG,0),112)="BL1 non presente","FALSO",INDEX('Partner data'!A:DH,MATCH(C1603,'Partner data'!DG:DG,0),112)))</f>
        <v>0</v>
      </c>
      <c r="S1603" t="b">
        <f t="shared" si="50"/>
        <v>0</v>
      </c>
      <c r="T1603" t="b">
        <f t="shared" si="51"/>
        <v>0</v>
      </c>
      <c r="U1603" s="154">
        <f>IFERROR(IF(R1603&lt;&gt;FALSE,IF(S1603=TRUE,INDEX('SummaryNOT_VALIDATED-BL'!$A$1:$F$16,MATCH(R1603,'SummaryNOT_VALIDATED-BL'!$A$1:$A$16,0),6),0),IF(S1603=TRUE,INDEX('SummaryNOT_VALIDATED-BL'!$A$1:$F$16,MATCH(E1603,'SummaryNOT_VALIDATED-BL'!$A$1:$A$16,0),6),0)),0)</f>
        <v>0</v>
      </c>
      <c r="V1603" s="81" cm="1">
        <f t="array" ref="V1603">INDEX('Weight tables'!$A$24:$C$27,MATCH(1,(RendicontiTrasmessiBL__2[[#This Row],[Cut percentage on real costs + USC]]&gt;='Weight tables'!$B$24:$B$27)*(RendicontiTrasmessiBL__2[[#This Row],[Cut percentage on real costs + USC]]&lt;='Weight tables'!$C$24:$C$27),0),1)</f>
        <v>0</v>
      </c>
      <c r="W1603" s="2">
        <f>RendicontiTrasmessiBL__2[[#This Row],[Weight real costs  + USC ]]</f>
        <v>0</v>
      </c>
    </row>
    <row r="1604" spans="1:23" x14ac:dyDescent="0.25">
      <c r="A1604" s="1" t="s">
        <v>60</v>
      </c>
      <c r="B1604" s="1" t="s">
        <v>328</v>
      </c>
      <c r="C1604" s="2">
        <v>138</v>
      </c>
      <c r="D1604" s="2">
        <v>77</v>
      </c>
      <c r="E1604" s="1" t="s">
        <v>228</v>
      </c>
      <c r="F1604">
        <v>20</v>
      </c>
      <c r="G1604">
        <v>16140</v>
      </c>
      <c r="H1604">
        <v>0</v>
      </c>
      <c r="I1604">
        <v>0</v>
      </c>
      <c r="J1604">
        <v>0</v>
      </c>
      <c r="K1604">
        <v>0</v>
      </c>
      <c r="L1604">
        <v>0</v>
      </c>
      <c r="M1604">
        <v>0</v>
      </c>
      <c r="N1604">
        <v>0</v>
      </c>
      <c r="O1604">
        <v>16140</v>
      </c>
      <c r="P1604">
        <v>0</v>
      </c>
      <c r="Q1604" t="str">
        <f>INDEX('Partner data'!A:DH,MATCH(C1604,'Partner data'!DG:DG,0),83)</f>
        <v>Soggetto privato</v>
      </c>
      <c r="R1604" t="str">
        <f>IF(E1604="staff",IF(INDEX('Partner data'!A:DH,MATCH(C1604,'Partner data'!DG:DG,0),112)="BL1 non presente","FALSO",INDEX('Partner data'!A:DH,MATCH(C1604,'Partner data'!DG:DG,0),112)))</f>
        <v>Tasso Forfettario 20%</v>
      </c>
      <c r="S1604" t="b">
        <f t="shared" si="50"/>
        <v>0</v>
      </c>
      <c r="T1604" t="b">
        <f t="shared" si="51"/>
        <v>0</v>
      </c>
      <c r="U1604" s="154">
        <f>IFERROR(IF(R1604&lt;&gt;FALSE,IF(S1604=TRUE,INDEX('SummaryNOT_VALIDATED-BL'!$A$1:$F$16,MATCH(R1604,'SummaryNOT_VALIDATED-BL'!$A$1:$A$16,0),6),0),IF(S1604=TRUE,INDEX('SummaryNOT_VALIDATED-BL'!$A$1:$F$16,MATCH(E1604,'SummaryNOT_VALIDATED-BL'!$A$1:$A$16,0),6),0)),0)</f>
        <v>0</v>
      </c>
      <c r="V1604" s="81" cm="1">
        <f t="array" ref="V1604">INDEX('Weight tables'!$A$24:$C$27,MATCH(1,(RendicontiTrasmessiBL__2[[#This Row],[Cut percentage on real costs + USC]]&gt;='Weight tables'!$B$24:$B$27)*(RendicontiTrasmessiBL__2[[#This Row],[Cut percentage on real costs + USC]]&lt;='Weight tables'!$C$24:$C$27),0),1)</f>
        <v>0</v>
      </c>
      <c r="W1604" s="2">
        <f>RendicontiTrasmessiBL__2[[#This Row],[Weight real costs  + USC ]]</f>
        <v>0</v>
      </c>
    </row>
    <row r="1605" spans="1:23" x14ac:dyDescent="0.25">
      <c r="A1605" s="1" t="s">
        <v>60</v>
      </c>
      <c r="B1605" s="1" t="s">
        <v>328</v>
      </c>
      <c r="C1605" s="2">
        <v>138</v>
      </c>
      <c r="D1605" s="2">
        <v>77</v>
      </c>
      <c r="E1605" s="1" t="s">
        <v>229</v>
      </c>
      <c r="F1605">
        <v>15</v>
      </c>
      <c r="G1605">
        <v>2421</v>
      </c>
      <c r="H1605">
        <v>0</v>
      </c>
      <c r="I1605">
        <v>0</v>
      </c>
      <c r="J1605">
        <v>0</v>
      </c>
      <c r="K1605">
        <v>0</v>
      </c>
      <c r="L1605">
        <v>0</v>
      </c>
      <c r="M1605">
        <v>0</v>
      </c>
      <c r="N1605">
        <v>0</v>
      </c>
      <c r="O1605">
        <v>2421</v>
      </c>
      <c r="P1605">
        <v>0</v>
      </c>
      <c r="Q1605" t="str">
        <f>INDEX('Partner data'!A:DH,MATCH(C1605,'Partner data'!DG:DG,0),83)</f>
        <v>Soggetto privato</v>
      </c>
      <c r="R1605" t="b">
        <f>IF(E1605="staff",IF(INDEX('Partner data'!A:DH,MATCH(C1605,'Partner data'!DG:DG,0),112)="BL1 non presente","FALSO",INDEX('Partner data'!A:DH,MATCH(C1605,'Partner data'!DG:DG,0),112)))</f>
        <v>0</v>
      </c>
      <c r="S1605" t="b">
        <f t="shared" si="50"/>
        <v>0</v>
      </c>
      <c r="T1605" t="b">
        <f t="shared" si="51"/>
        <v>0</v>
      </c>
      <c r="U1605" s="154">
        <f>IFERROR(IF(R1605&lt;&gt;FALSE,IF(S1605=TRUE,INDEX('SummaryNOT_VALIDATED-BL'!$A$1:$F$16,MATCH(R1605,'SummaryNOT_VALIDATED-BL'!$A$1:$A$16,0),6),0),IF(S1605=TRUE,INDEX('SummaryNOT_VALIDATED-BL'!$A$1:$F$16,MATCH(E1605,'SummaryNOT_VALIDATED-BL'!$A$1:$A$16,0),6),0)),0)</f>
        <v>0</v>
      </c>
      <c r="V1605" s="81" cm="1">
        <f t="array" ref="V1605">INDEX('Weight tables'!$A$24:$C$27,MATCH(1,(RendicontiTrasmessiBL__2[[#This Row],[Cut percentage on real costs + USC]]&gt;='Weight tables'!$B$24:$B$27)*(RendicontiTrasmessiBL__2[[#This Row],[Cut percentage on real costs + USC]]&lt;='Weight tables'!$C$24:$C$27),0),1)</f>
        <v>0</v>
      </c>
      <c r="W1605" s="2">
        <f>RendicontiTrasmessiBL__2[[#This Row],[Weight real costs  + USC ]]</f>
        <v>0</v>
      </c>
    </row>
    <row r="1606" spans="1:23" x14ac:dyDescent="0.25">
      <c r="A1606" s="1" t="s">
        <v>60</v>
      </c>
      <c r="B1606" s="1" t="s">
        <v>328</v>
      </c>
      <c r="C1606" s="2">
        <v>138</v>
      </c>
      <c r="D1606" s="2">
        <v>77</v>
      </c>
      <c r="E1606" s="1" t="s">
        <v>230</v>
      </c>
      <c r="F1606">
        <v>4</v>
      </c>
      <c r="G1606">
        <v>645.6</v>
      </c>
      <c r="H1606">
        <v>0</v>
      </c>
      <c r="I1606">
        <v>0</v>
      </c>
      <c r="J1606">
        <v>0</v>
      </c>
      <c r="K1606">
        <v>0</v>
      </c>
      <c r="L1606">
        <v>0</v>
      </c>
      <c r="M1606">
        <v>0</v>
      </c>
      <c r="N1606">
        <v>0</v>
      </c>
      <c r="O1606">
        <v>645.6</v>
      </c>
      <c r="P1606">
        <v>0</v>
      </c>
      <c r="Q1606" t="str">
        <f>INDEX('Partner data'!A:DH,MATCH(C1606,'Partner data'!DG:DG,0),83)</f>
        <v>Soggetto privato</v>
      </c>
      <c r="R1606" t="b">
        <f>IF(E1606="staff",IF(INDEX('Partner data'!A:DH,MATCH(C1606,'Partner data'!DG:DG,0),112)="BL1 non presente","FALSO",INDEX('Partner data'!A:DH,MATCH(C1606,'Partner data'!DG:DG,0),112)))</f>
        <v>0</v>
      </c>
      <c r="S1606" t="b">
        <f t="shared" si="50"/>
        <v>0</v>
      </c>
      <c r="T1606" t="b">
        <f t="shared" si="51"/>
        <v>0</v>
      </c>
      <c r="U1606" s="154">
        <f>IFERROR(IF(R1606&lt;&gt;FALSE,IF(S1606=TRUE,INDEX('SummaryNOT_VALIDATED-BL'!$A$1:$F$16,MATCH(R1606,'SummaryNOT_VALIDATED-BL'!$A$1:$A$16,0),6),0),IF(S1606=TRUE,INDEX('SummaryNOT_VALIDATED-BL'!$A$1:$F$16,MATCH(E1606,'SummaryNOT_VALIDATED-BL'!$A$1:$A$16,0),6),0)),0)</f>
        <v>0</v>
      </c>
      <c r="V1606" s="81" cm="1">
        <f t="array" ref="V1606">INDEX('Weight tables'!$A$24:$C$27,MATCH(1,(RendicontiTrasmessiBL__2[[#This Row],[Cut percentage on real costs + USC]]&gt;='Weight tables'!$B$24:$B$27)*(RendicontiTrasmessiBL__2[[#This Row],[Cut percentage on real costs + USC]]&lt;='Weight tables'!$C$24:$C$27),0),1)</f>
        <v>0</v>
      </c>
      <c r="W1606" s="2">
        <f>RendicontiTrasmessiBL__2[[#This Row],[Weight real costs  + USC ]]</f>
        <v>0</v>
      </c>
    </row>
    <row r="1607" spans="1:23" x14ac:dyDescent="0.25">
      <c r="A1607" s="1" t="s">
        <v>60</v>
      </c>
      <c r="B1607" s="1" t="s">
        <v>328</v>
      </c>
      <c r="C1607" s="2">
        <v>138</v>
      </c>
      <c r="D1607" s="2">
        <v>77</v>
      </c>
      <c r="E1607" s="1" t="s">
        <v>231</v>
      </c>
      <c r="G1607">
        <v>80700</v>
      </c>
      <c r="H1607">
        <v>0</v>
      </c>
      <c r="I1607">
        <v>0</v>
      </c>
      <c r="J1607">
        <v>0</v>
      </c>
      <c r="K1607">
        <v>0</v>
      </c>
      <c r="L1607">
        <v>0</v>
      </c>
      <c r="M1607">
        <v>0</v>
      </c>
      <c r="N1607">
        <v>0</v>
      </c>
      <c r="O1607">
        <v>80700</v>
      </c>
      <c r="P1607">
        <v>0</v>
      </c>
      <c r="Q1607" t="str">
        <f>INDEX('Partner data'!A:DH,MATCH(C1607,'Partner data'!DG:DG,0),83)</f>
        <v>Soggetto privato</v>
      </c>
      <c r="R1607" t="b">
        <f>IF(E1607="staff",IF(INDEX('Partner data'!A:DH,MATCH(C1607,'Partner data'!DG:DG,0),112)="BL1 non presente","FALSO",INDEX('Partner data'!A:DH,MATCH(C1607,'Partner data'!DG:DG,0),112)))</f>
        <v>0</v>
      </c>
      <c r="S1607" t="b">
        <f t="shared" si="50"/>
        <v>0</v>
      </c>
      <c r="T1607" t="b">
        <f t="shared" si="51"/>
        <v>0</v>
      </c>
      <c r="U1607" s="154">
        <f>IFERROR(IF(R1607&lt;&gt;FALSE,IF(S1607=TRUE,INDEX('SummaryNOT_VALIDATED-BL'!$A$1:$F$16,MATCH(R1607,'SummaryNOT_VALIDATED-BL'!$A$1:$A$16,0),6),0),IF(S1607=TRUE,INDEX('SummaryNOT_VALIDATED-BL'!$A$1:$F$16,MATCH(E1607,'SummaryNOT_VALIDATED-BL'!$A$1:$A$16,0),6),0)),0)</f>
        <v>0</v>
      </c>
      <c r="V1607" s="81" cm="1">
        <f t="array" ref="V1607">INDEX('Weight tables'!$A$24:$C$27,MATCH(1,(RendicontiTrasmessiBL__2[[#This Row],[Cut percentage on real costs + USC]]&gt;='Weight tables'!$B$24:$B$27)*(RendicontiTrasmessiBL__2[[#This Row],[Cut percentage on real costs + USC]]&lt;='Weight tables'!$C$24:$C$27),0),1)</f>
        <v>0</v>
      </c>
      <c r="W1607" s="2">
        <f>RendicontiTrasmessiBL__2[[#This Row],[Weight real costs  + USC ]]</f>
        <v>0</v>
      </c>
    </row>
    <row r="1608" spans="1:23" x14ac:dyDescent="0.25">
      <c r="A1608" s="1" t="s">
        <v>60</v>
      </c>
      <c r="B1608" s="1" t="s">
        <v>328</v>
      </c>
      <c r="C1608" s="2">
        <v>138</v>
      </c>
      <c r="D1608" s="2">
        <v>77</v>
      </c>
      <c r="E1608" s="1" t="s">
        <v>232</v>
      </c>
      <c r="G1608">
        <v>0</v>
      </c>
      <c r="H1608">
        <v>0</v>
      </c>
      <c r="I1608">
        <v>0</v>
      </c>
      <c r="J1608">
        <v>0</v>
      </c>
      <c r="K1608">
        <v>0</v>
      </c>
      <c r="L1608">
        <v>0</v>
      </c>
      <c r="M1608">
        <v>0</v>
      </c>
      <c r="N1608">
        <v>0</v>
      </c>
      <c r="O1608">
        <v>0</v>
      </c>
      <c r="P1608">
        <v>0</v>
      </c>
      <c r="Q1608" t="str">
        <f>INDEX('Partner data'!A:DH,MATCH(C1608,'Partner data'!DG:DG,0),83)</f>
        <v>Soggetto privato</v>
      </c>
      <c r="R1608" t="b">
        <f>IF(E1608="staff",IF(INDEX('Partner data'!A:DH,MATCH(C1608,'Partner data'!DG:DG,0),112)="BL1 non presente","FALSO",INDEX('Partner data'!A:DH,MATCH(C1608,'Partner data'!DG:DG,0),112)))</f>
        <v>0</v>
      </c>
      <c r="S1608" t="b">
        <f t="shared" si="50"/>
        <v>0</v>
      </c>
      <c r="T1608" t="b">
        <f t="shared" si="51"/>
        <v>0</v>
      </c>
      <c r="U1608" s="154">
        <f>IFERROR(IF(R1608&lt;&gt;FALSE,IF(S1608=TRUE,INDEX('SummaryNOT_VALIDATED-BL'!$A$1:$F$16,MATCH(R1608,'SummaryNOT_VALIDATED-BL'!$A$1:$A$16,0),6),0),IF(S1608=TRUE,INDEX('SummaryNOT_VALIDATED-BL'!$A$1:$F$16,MATCH(E1608,'SummaryNOT_VALIDATED-BL'!$A$1:$A$16,0),6),0)),0)</f>
        <v>0</v>
      </c>
      <c r="V1608" s="81" cm="1">
        <f t="array" ref="V1608">INDEX('Weight tables'!$A$24:$C$27,MATCH(1,(RendicontiTrasmessiBL__2[[#This Row],[Cut percentage on real costs + USC]]&gt;='Weight tables'!$B$24:$B$27)*(RendicontiTrasmessiBL__2[[#This Row],[Cut percentage on real costs + USC]]&lt;='Weight tables'!$C$24:$C$27),0),1)</f>
        <v>0</v>
      </c>
      <c r="W1608" s="2">
        <f>RendicontiTrasmessiBL__2[[#This Row],[Weight real costs  + USC ]]</f>
        <v>0</v>
      </c>
    </row>
    <row r="1609" spans="1:23" x14ac:dyDescent="0.25">
      <c r="A1609" s="1" t="s">
        <v>60</v>
      </c>
      <c r="B1609" s="1" t="s">
        <v>328</v>
      </c>
      <c r="C1609" s="2">
        <v>138</v>
      </c>
      <c r="D1609" s="2">
        <v>77</v>
      </c>
      <c r="E1609" s="1" t="s">
        <v>233</v>
      </c>
      <c r="G1609">
        <v>0</v>
      </c>
      <c r="H1609">
        <v>0</v>
      </c>
      <c r="I1609">
        <v>0</v>
      </c>
      <c r="J1609">
        <v>0</v>
      </c>
      <c r="K1609">
        <v>0</v>
      </c>
      <c r="L1609">
        <v>0</v>
      </c>
      <c r="M1609">
        <v>0</v>
      </c>
      <c r="N1609">
        <v>0</v>
      </c>
      <c r="O1609">
        <v>0</v>
      </c>
      <c r="P1609">
        <v>0</v>
      </c>
      <c r="Q1609" t="str">
        <f>INDEX('Partner data'!A:DH,MATCH(C1609,'Partner data'!DG:DG,0),83)</f>
        <v>Soggetto privato</v>
      </c>
      <c r="R1609" t="b">
        <f>IF(E1609="staff",IF(INDEX('Partner data'!A:DH,MATCH(C1609,'Partner data'!DG:DG,0),112)="BL1 non presente","FALSO",INDEX('Partner data'!A:DH,MATCH(C1609,'Partner data'!DG:DG,0),112)))</f>
        <v>0</v>
      </c>
      <c r="S1609" t="b">
        <f t="shared" si="50"/>
        <v>0</v>
      </c>
      <c r="T1609" t="b">
        <f t="shared" si="51"/>
        <v>0</v>
      </c>
      <c r="U1609" s="154">
        <f>IFERROR(IF(R1609&lt;&gt;FALSE,IF(S1609=TRUE,INDEX('SummaryNOT_VALIDATED-BL'!$A$1:$F$16,MATCH(R1609,'SummaryNOT_VALIDATED-BL'!$A$1:$A$16,0),6),0),IF(S1609=TRUE,INDEX('SummaryNOT_VALIDATED-BL'!$A$1:$F$16,MATCH(E1609,'SummaryNOT_VALIDATED-BL'!$A$1:$A$16,0),6),0)),0)</f>
        <v>0</v>
      </c>
      <c r="V1609" s="81" cm="1">
        <f t="array" ref="V1609">INDEX('Weight tables'!$A$24:$C$27,MATCH(1,(RendicontiTrasmessiBL__2[[#This Row],[Cut percentage on real costs + USC]]&gt;='Weight tables'!$B$24:$B$27)*(RendicontiTrasmessiBL__2[[#This Row],[Cut percentage on real costs + USC]]&lt;='Weight tables'!$C$24:$C$27),0),1)</f>
        <v>0</v>
      </c>
      <c r="W1609" s="2">
        <f>RendicontiTrasmessiBL__2[[#This Row],[Weight real costs  + USC ]]</f>
        <v>0</v>
      </c>
    </row>
    <row r="1610" spans="1:23" x14ac:dyDescent="0.25">
      <c r="A1610" s="1" t="s">
        <v>60</v>
      </c>
      <c r="B1610" s="1" t="s">
        <v>328</v>
      </c>
      <c r="C1610" s="2">
        <v>138</v>
      </c>
      <c r="D1610" s="2">
        <v>77</v>
      </c>
      <c r="E1610" s="1" t="s">
        <v>234</v>
      </c>
      <c r="G1610">
        <v>0</v>
      </c>
      <c r="H1610">
        <v>0</v>
      </c>
      <c r="I1610">
        <v>0</v>
      </c>
      <c r="J1610">
        <v>0</v>
      </c>
      <c r="K1610">
        <v>0</v>
      </c>
      <c r="L1610">
        <v>0</v>
      </c>
      <c r="M1610">
        <v>0</v>
      </c>
      <c r="N1610">
        <v>0</v>
      </c>
      <c r="O1610">
        <v>0</v>
      </c>
      <c r="P1610">
        <v>0</v>
      </c>
      <c r="Q1610" t="str">
        <f>INDEX('Partner data'!A:DH,MATCH(C1610,'Partner data'!DG:DG,0),83)</f>
        <v>Soggetto privato</v>
      </c>
      <c r="R1610" t="b">
        <f>IF(E1610="staff",IF(INDEX('Partner data'!A:DH,MATCH(C1610,'Partner data'!DG:DG,0),112)="BL1 non presente","FALSO",INDEX('Partner data'!A:DH,MATCH(C1610,'Partner data'!DG:DG,0),112)))</f>
        <v>0</v>
      </c>
      <c r="S1610" t="b">
        <f t="shared" si="50"/>
        <v>0</v>
      </c>
      <c r="T1610" t="b">
        <f t="shared" si="51"/>
        <v>0</v>
      </c>
      <c r="U1610" s="154">
        <f>IFERROR(IF(R1610&lt;&gt;FALSE,IF(S1610=TRUE,INDEX('SummaryNOT_VALIDATED-BL'!$A$1:$F$16,MATCH(R1610,'SummaryNOT_VALIDATED-BL'!$A$1:$A$16,0),6),0),IF(S1610=TRUE,INDEX('SummaryNOT_VALIDATED-BL'!$A$1:$F$16,MATCH(E1610,'SummaryNOT_VALIDATED-BL'!$A$1:$A$16,0),6),0)),0)</f>
        <v>0</v>
      </c>
      <c r="V1610" s="81" cm="1">
        <f t="array" ref="V1610">INDEX('Weight tables'!$A$24:$C$27,MATCH(1,(RendicontiTrasmessiBL__2[[#This Row],[Cut percentage on real costs + USC]]&gt;='Weight tables'!$B$24:$B$27)*(RendicontiTrasmessiBL__2[[#This Row],[Cut percentage on real costs + USC]]&lt;='Weight tables'!$C$24:$C$27),0),1)</f>
        <v>0</v>
      </c>
      <c r="W1610" s="2">
        <f>RendicontiTrasmessiBL__2[[#This Row],[Weight real costs  + USC ]]</f>
        <v>0</v>
      </c>
    </row>
    <row r="1611" spans="1:23" x14ac:dyDescent="0.25">
      <c r="A1611" s="1" t="s">
        <v>60</v>
      </c>
      <c r="B1611" s="1" t="s">
        <v>328</v>
      </c>
      <c r="C1611" s="2">
        <v>138</v>
      </c>
      <c r="D1611" s="2">
        <v>77</v>
      </c>
      <c r="E1611" s="1" t="s">
        <v>236</v>
      </c>
      <c r="G1611">
        <v>0</v>
      </c>
      <c r="H1611">
        <v>0</v>
      </c>
      <c r="I1611">
        <v>0</v>
      </c>
      <c r="J1611">
        <v>0</v>
      </c>
      <c r="K1611">
        <v>0</v>
      </c>
      <c r="L1611">
        <v>0</v>
      </c>
      <c r="M1611">
        <v>0</v>
      </c>
      <c r="N1611">
        <v>0</v>
      </c>
      <c r="O1611">
        <v>0</v>
      </c>
      <c r="P1611">
        <v>0</v>
      </c>
      <c r="Q1611" t="str">
        <f>INDEX('Partner data'!A:DH,MATCH(C1611,'Partner data'!DG:DG,0),83)</f>
        <v>Soggetto privato</v>
      </c>
      <c r="R1611" t="b">
        <f>IF(E1611="staff",IF(INDEX('Partner data'!A:DH,MATCH(C1611,'Partner data'!DG:DG,0),112)="BL1 non presente","FALSO",INDEX('Partner data'!A:DH,MATCH(C1611,'Partner data'!DG:DG,0),112)))</f>
        <v>0</v>
      </c>
      <c r="S1611" t="b">
        <f t="shared" si="50"/>
        <v>0</v>
      </c>
      <c r="T1611" t="b">
        <f t="shared" si="51"/>
        <v>0</v>
      </c>
      <c r="U1611" s="154">
        <f>IFERROR(IF(R1611&lt;&gt;FALSE,IF(S1611=TRUE,INDEX('SummaryNOT_VALIDATED-BL'!$A$1:$F$16,MATCH(R1611,'SummaryNOT_VALIDATED-BL'!$A$1:$A$16,0),6),0),IF(S1611=TRUE,INDEX('SummaryNOT_VALIDATED-BL'!$A$1:$F$16,MATCH(E1611,'SummaryNOT_VALIDATED-BL'!$A$1:$A$16,0),6),0)),0)</f>
        <v>0</v>
      </c>
      <c r="V1611" s="81" cm="1">
        <f t="array" ref="V1611">INDEX('Weight tables'!$A$24:$C$27,MATCH(1,(RendicontiTrasmessiBL__2[[#This Row],[Cut percentage on real costs + USC]]&gt;='Weight tables'!$B$24:$B$27)*(RendicontiTrasmessiBL__2[[#This Row],[Cut percentage on real costs + USC]]&lt;='Weight tables'!$C$24:$C$27),0),1)</f>
        <v>0</v>
      </c>
      <c r="W1611" s="2">
        <f>RendicontiTrasmessiBL__2[[#This Row],[Weight real costs  + USC ]]</f>
        <v>0</v>
      </c>
    </row>
    <row r="1612" spans="1:23" x14ac:dyDescent="0.25">
      <c r="A1612" s="1" t="s">
        <v>60</v>
      </c>
      <c r="B1612" s="1" t="s">
        <v>328</v>
      </c>
      <c r="C1612" s="2">
        <v>138</v>
      </c>
      <c r="D1612" s="2">
        <v>77</v>
      </c>
      <c r="E1612" s="1" t="s">
        <v>237</v>
      </c>
      <c r="G1612">
        <v>0</v>
      </c>
      <c r="H1612">
        <v>0</v>
      </c>
      <c r="I1612">
        <v>0</v>
      </c>
      <c r="J1612">
        <v>0</v>
      </c>
      <c r="K1612">
        <v>0</v>
      </c>
      <c r="L1612">
        <v>0</v>
      </c>
      <c r="M1612">
        <v>0</v>
      </c>
      <c r="N1612">
        <v>0</v>
      </c>
      <c r="O1612">
        <v>0</v>
      </c>
      <c r="P1612">
        <v>0</v>
      </c>
      <c r="Q1612" t="str">
        <f>INDEX('Partner data'!A:DH,MATCH(C1612,'Partner data'!DG:DG,0),83)</f>
        <v>Soggetto privato</v>
      </c>
      <c r="R1612" t="b">
        <f>IF(E1612="staff",IF(INDEX('Partner data'!A:DH,MATCH(C1612,'Partner data'!DG:DG,0),112)="BL1 non presente","FALSO",INDEX('Partner data'!A:DH,MATCH(C1612,'Partner data'!DG:DG,0),112)))</f>
        <v>0</v>
      </c>
      <c r="S1612" t="b">
        <f t="shared" si="50"/>
        <v>0</v>
      </c>
      <c r="T1612" t="b">
        <f t="shared" si="51"/>
        <v>0</v>
      </c>
      <c r="U1612" s="154">
        <f>IFERROR(IF(R1612&lt;&gt;FALSE,IF(S1612=TRUE,INDEX('SummaryNOT_VALIDATED-BL'!$A$1:$F$16,MATCH(R1612,'SummaryNOT_VALIDATED-BL'!$A$1:$A$16,0),6),0),IF(S1612=TRUE,INDEX('SummaryNOT_VALIDATED-BL'!$A$1:$F$16,MATCH(E1612,'SummaryNOT_VALIDATED-BL'!$A$1:$A$16,0),6),0)),0)</f>
        <v>0</v>
      </c>
      <c r="V1612" s="81" cm="1">
        <f t="array" ref="V1612">INDEX('Weight tables'!$A$24:$C$27,MATCH(1,(RendicontiTrasmessiBL__2[[#This Row],[Cut percentage on real costs + USC]]&gt;='Weight tables'!$B$24:$B$27)*(RendicontiTrasmessiBL__2[[#This Row],[Cut percentage on real costs + USC]]&lt;='Weight tables'!$C$24:$C$27),0),1)</f>
        <v>0</v>
      </c>
      <c r="W1612" s="2">
        <f>RendicontiTrasmessiBL__2[[#This Row],[Weight real costs  + USC ]]</f>
        <v>0</v>
      </c>
    </row>
    <row r="1613" spans="1:23" x14ac:dyDescent="0.25">
      <c r="A1613" s="1" t="s">
        <v>60</v>
      </c>
      <c r="B1613" s="1" t="s">
        <v>68</v>
      </c>
      <c r="C1613" s="2">
        <v>94</v>
      </c>
      <c r="D1613" s="2">
        <v>30</v>
      </c>
      <c r="E1613" s="1" t="s">
        <v>228</v>
      </c>
      <c r="F1613">
        <v>20</v>
      </c>
      <c r="G1613">
        <v>18220</v>
      </c>
      <c r="H1613">
        <v>0</v>
      </c>
      <c r="I1613">
        <v>0</v>
      </c>
      <c r="J1613">
        <v>0</v>
      </c>
      <c r="K1613">
        <v>0</v>
      </c>
      <c r="L1613">
        <v>0</v>
      </c>
      <c r="M1613">
        <v>0</v>
      </c>
      <c r="N1613">
        <v>0</v>
      </c>
      <c r="O1613">
        <v>18220</v>
      </c>
      <c r="P1613">
        <v>0</v>
      </c>
      <c r="Q1613" t="str">
        <f>INDEX('Partner data'!A:DH,MATCH(C1613,'Partner data'!DG:DG,0),83)</f>
        <v>Soggetto pubblico</v>
      </c>
      <c r="R1613" t="str">
        <f>IF(E1613="staff",IF(INDEX('Partner data'!A:DH,MATCH(C1613,'Partner data'!DG:DG,0),112)="BL1 non presente","FALSO",INDEX('Partner data'!A:DH,MATCH(C1613,'Partner data'!DG:DG,0),112)))</f>
        <v>Tasso Forfettario 20%</v>
      </c>
      <c r="S1613" t="b">
        <f t="shared" si="50"/>
        <v>0</v>
      </c>
      <c r="T1613" t="b">
        <f t="shared" si="51"/>
        <v>1</v>
      </c>
      <c r="U1613" s="154">
        <f>IFERROR(IF(R1613&lt;&gt;FALSE,IF(S1613=TRUE,INDEX('SummaryNOT_VALIDATED-BL'!$A$1:$F$16,MATCH(R1613,'SummaryNOT_VALIDATED-BL'!$A$1:$A$16,0),6),0),IF(S1613=TRUE,INDEX('SummaryNOT_VALIDATED-BL'!$A$1:$F$16,MATCH(E1613,'SummaryNOT_VALIDATED-BL'!$A$1:$A$16,0),6),0)),0)</f>
        <v>0</v>
      </c>
      <c r="V1613" s="81" cm="1">
        <f t="array" ref="V1613">INDEX('Weight tables'!$A$24:$C$27,MATCH(1,(RendicontiTrasmessiBL__2[[#This Row],[Cut percentage on real costs + USC]]&gt;='Weight tables'!$B$24:$B$27)*(RendicontiTrasmessiBL__2[[#This Row],[Cut percentage on real costs + USC]]&lt;='Weight tables'!$C$24:$C$27),0),1)</f>
        <v>0</v>
      </c>
      <c r="W1613" s="2">
        <f>RendicontiTrasmessiBL__2[[#This Row],[Weight real costs  + USC ]]</f>
        <v>0</v>
      </c>
    </row>
    <row r="1614" spans="1:23" x14ac:dyDescent="0.25">
      <c r="A1614" s="1" t="s">
        <v>60</v>
      </c>
      <c r="B1614" s="1" t="s">
        <v>68</v>
      </c>
      <c r="C1614" s="2">
        <v>94</v>
      </c>
      <c r="D1614" s="2">
        <v>30</v>
      </c>
      <c r="E1614" s="1" t="s">
        <v>229</v>
      </c>
      <c r="F1614">
        <v>15</v>
      </c>
      <c r="G1614">
        <v>2733</v>
      </c>
      <c r="H1614">
        <v>0</v>
      </c>
      <c r="I1614">
        <v>0</v>
      </c>
      <c r="J1614">
        <v>0</v>
      </c>
      <c r="K1614">
        <v>0</v>
      </c>
      <c r="L1614">
        <v>0</v>
      </c>
      <c r="M1614">
        <v>0</v>
      </c>
      <c r="N1614">
        <v>0</v>
      </c>
      <c r="O1614">
        <v>2733</v>
      </c>
      <c r="P1614">
        <v>0</v>
      </c>
      <c r="Q1614" t="str">
        <f>INDEX('Partner data'!A:DH,MATCH(C1614,'Partner data'!DG:DG,0),83)</f>
        <v>Soggetto pubblico</v>
      </c>
      <c r="R1614" t="b">
        <f>IF(E1614="staff",IF(INDEX('Partner data'!A:DH,MATCH(C1614,'Partner data'!DG:DG,0),112)="BL1 non presente","FALSO",INDEX('Partner data'!A:DH,MATCH(C1614,'Partner data'!DG:DG,0),112)))</f>
        <v>0</v>
      </c>
      <c r="S1614" t="b">
        <f t="shared" si="50"/>
        <v>0</v>
      </c>
      <c r="T1614" t="b">
        <f t="shared" si="51"/>
        <v>1</v>
      </c>
      <c r="U1614" s="154">
        <f>IFERROR(IF(R1614&lt;&gt;FALSE,IF(S1614=TRUE,INDEX('SummaryNOT_VALIDATED-BL'!$A$1:$F$16,MATCH(R1614,'SummaryNOT_VALIDATED-BL'!$A$1:$A$16,0),6),0),IF(S1614=TRUE,INDEX('SummaryNOT_VALIDATED-BL'!$A$1:$F$16,MATCH(E1614,'SummaryNOT_VALIDATED-BL'!$A$1:$A$16,0),6),0)),0)</f>
        <v>0</v>
      </c>
      <c r="V1614" s="81" cm="1">
        <f t="array" ref="V1614">INDEX('Weight tables'!$A$24:$C$27,MATCH(1,(RendicontiTrasmessiBL__2[[#This Row],[Cut percentage on real costs + USC]]&gt;='Weight tables'!$B$24:$B$27)*(RendicontiTrasmessiBL__2[[#This Row],[Cut percentage on real costs + USC]]&lt;='Weight tables'!$C$24:$C$27),0),1)</f>
        <v>0</v>
      </c>
      <c r="W1614" s="2">
        <f>RendicontiTrasmessiBL__2[[#This Row],[Weight real costs  + USC ]]</f>
        <v>0</v>
      </c>
    </row>
    <row r="1615" spans="1:23" x14ac:dyDescent="0.25">
      <c r="A1615" s="1" t="s">
        <v>60</v>
      </c>
      <c r="B1615" s="1" t="s">
        <v>68</v>
      </c>
      <c r="C1615" s="2">
        <v>94</v>
      </c>
      <c r="D1615" s="2">
        <v>30</v>
      </c>
      <c r="E1615" s="1" t="s">
        <v>230</v>
      </c>
      <c r="F1615">
        <v>4</v>
      </c>
      <c r="G1615">
        <v>728.8</v>
      </c>
      <c r="H1615">
        <v>0</v>
      </c>
      <c r="I1615">
        <v>0</v>
      </c>
      <c r="J1615">
        <v>0</v>
      </c>
      <c r="K1615">
        <v>0</v>
      </c>
      <c r="L1615">
        <v>0</v>
      </c>
      <c r="M1615">
        <v>0</v>
      </c>
      <c r="N1615">
        <v>0</v>
      </c>
      <c r="O1615">
        <v>728.8</v>
      </c>
      <c r="P1615">
        <v>0</v>
      </c>
      <c r="Q1615" t="str">
        <f>INDEX('Partner data'!A:DH,MATCH(C1615,'Partner data'!DG:DG,0),83)</f>
        <v>Soggetto pubblico</v>
      </c>
      <c r="R1615" t="b">
        <f>IF(E1615="staff",IF(INDEX('Partner data'!A:DH,MATCH(C1615,'Partner data'!DG:DG,0),112)="BL1 non presente","FALSO",INDEX('Partner data'!A:DH,MATCH(C1615,'Partner data'!DG:DG,0),112)))</f>
        <v>0</v>
      </c>
      <c r="S1615" t="b">
        <f t="shared" si="50"/>
        <v>0</v>
      </c>
      <c r="T1615" t="b">
        <f t="shared" si="51"/>
        <v>1</v>
      </c>
      <c r="U1615" s="154">
        <f>IFERROR(IF(R1615&lt;&gt;FALSE,IF(S1615=TRUE,INDEX('SummaryNOT_VALIDATED-BL'!$A$1:$F$16,MATCH(R1615,'SummaryNOT_VALIDATED-BL'!$A$1:$A$16,0),6),0),IF(S1615=TRUE,INDEX('SummaryNOT_VALIDATED-BL'!$A$1:$F$16,MATCH(E1615,'SummaryNOT_VALIDATED-BL'!$A$1:$A$16,0),6),0)),0)</f>
        <v>0</v>
      </c>
      <c r="V1615" s="81" cm="1">
        <f t="array" ref="V1615">INDEX('Weight tables'!$A$24:$C$27,MATCH(1,(RendicontiTrasmessiBL__2[[#This Row],[Cut percentage on real costs + USC]]&gt;='Weight tables'!$B$24:$B$27)*(RendicontiTrasmessiBL__2[[#This Row],[Cut percentage on real costs + USC]]&lt;='Weight tables'!$C$24:$C$27),0),1)</f>
        <v>0</v>
      </c>
      <c r="W1615" s="2">
        <f>RendicontiTrasmessiBL__2[[#This Row],[Weight real costs  + USC ]]</f>
        <v>0</v>
      </c>
    </row>
    <row r="1616" spans="1:23" x14ac:dyDescent="0.25">
      <c r="A1616" s="1" t="s">
        <v>60</v>
      </c>
      <c r="B1616" s="1" t="s">
        <v>68</v>
      </c>
      <c r="C1616" s="2">
        <v>94</v>
      </c>
      <c r="D1616" s="2">
        <v>30</v>
      </c>
      <c r="E1616" s="1" t="s">
        <v>231</v>
      </c>
      <c r="G1616">
        <v>91100</v>
      </c>
      <c r="H1616">
        <v>0</v>
      </c>
      <c r="I1616">
        <v>0</v>
      </c>
      <c r="J1616">
        <v>0</v>
      </c>
      <c r="K1616">
        <v>0</v>
      </c>
      <c r="L1616">
        <v>0</v>
      </c>
      <c r="M1616">
        <v>0</v>
      </c>
      <c r="N1616">
        <v>0</v>
      </c>
      <c r="O1616">
        <v>91100</v>
      </c>
      <c r="P1616">
        <v>0</v>
      </c>
      <c r="Q1616" t="str">
        <f>INDEX('Partner data'!A:DH,MATCH(C1616,'Partner data'!DG:DG,0),83)</f>
        <v>Soggetto pubblico</v>
      </c>
      <c r="R1616" t="b">
        <f>IF(E1616="staff",IF(INDEX('Partner data'!A:DH,MATCH(C1616,'Partner data'!DG:DG,0),112)="BL1 non presente","FALSO",INDEX('Partner data'!A:DH,MATCH(C1616,'Partner data'!DG:DG,0),112)))</f>
        <v>0</v>
      </c>
      <c r="S1616" t="b">
        <f t="shared" si="50"/>
        <v>0</v>
      </c>
      <c r="T1616" t="b">
        <f t="shared" si="51"/>
        <v>1</v>
      </c>
      <c r="U1616" s="154">
        <f>IFERROR(IF(R1616&lt;&gt;FALSE,IF(S1616=TRUE,INDEX('SummaryNOT_VALIDATED-BL'!$A$1:$F$16,MATCH(R1616,'SummaryNOT_VALIDATED-BL'!$A$1:$A$16,0),6),0),IF(S1616=TRUE,INDEX('SummaryNOT_VALIDATED-BL'!$A$1:$F$16,MATCH(E1616,'SummaryNOT_VALIDATED-BL'!$A$1:$A$16,0),6),0)),0)</f>
        <v>0</v>
      </c>
      <c r="V1616" s="81" cm="1">
        <f t="array" ref="V1616">INDEX('Weight tables'!$A$24:$C$27,MATCH(1,(RendicontiTrasmessiBL__2[[#This Row],[Cut percentage on real costs + USC]]&gt;='Weight tables'!$B$24:$B$27)*(RendicontiTrasmessiBL__2[[#This Row],[Cut percentage on real costs + USC]]&lt;='Weight tables'!$C$24:$C$27),0),1)</f>
        <v>0</v>
      </c>
      <c r="W1616" s="2">
        <f>RendicontiTrasmessiBL__2[[#This Row],[Weight real costs  + USC ]]</f>
        <v>0</v>
      </c>
    </row>
    <row r="1617" spans="1:23" x14ac:dyDescent="0.25">
      <c r="A1617" s="1" t="s">
        <v>60</v>
      </c>
      <c r="B1617" s="1" t="s">
        <v>68</v>
      </c>
      <c r="C1617" s="2">
        <v>94</v>
      </c>
      <c r="D1617" s="2">
        <v>30</v>
      </c>
      <c r="E1617" s="1" t="s">
        <v>232</v>
      </c>
      <c r="G1617">
        <v>0</v>
      </c>
      <c r="H1617">
        <v>0</v>
      </c>
      <c r="I1617">
        <v>0</v>
      </c>
      <c r="J1617">
        <v>0</v>
      </c>
      <c r="K1617">
        <v>0</v>
      </c>
      <c r="L1617">
        <v>0</v>
      </c>
      <c r="M1617">
        <v>0</v>
      </c>
      <c r="N1617">
        <v>0</v>
      </c>
      <c r="O1617">
        <v>0</v>
      </c>
      <c r="P1617">
        <v>0</v>
      </c>
      <c r="Q1617" t="str">
        <f>INDEX('Partner data'!A:DH,MATCH(C1617,'Partner data'!DG:DG,0),83)</f>
        <v>Soggetto pubblico</v>
      </c>
      <c r="R1617" t="b">
        <f>IF(E1617="staff",IF(INDEX('Partner data'!A:DH,MATCH(C1617,'Partner data'!DG:DG,0),112)="BL1 non presente","FALSO",INDEX('Partner data'!A:DH,MATCH(C1617,'Partner data'!DG:DG,0),112)))</f>
        <v>0</v>
      </c>
      <c r="S1617" t="b">
        <f t="shared" si="50"/>
        <v>0</v>
      </c>
      <c r="T1617" t="b">
        <f t="shared" si="51"/>
        <v>1</v>
      </c>
      <c r="U1617" s="154">
        <f>IFERROR(IF(R1617&lt;&gt;FALSE,IF(S1617=TRUE,INDEX('SummaryNOT_VALIDATED-BL'!$A$1:$F$16,MATCH(R1617,'SummaryNOT_VALIDATED-BL'!$A$1:$A$16,0),6),0),IF(S1617=TRUE,INDEX('SummaryNOT_VALIDATED-BL'!$A$1:$F$16,MATCH(E1617,'SummaryNOT_VALIDATED-BL'!$A$1:$A$16,0),6),0)),0)</f>
        <v>0</v>
      </c>
      <c r="V1617" s="81" cm="1">
        <f t="array" ref="V1617">INDEX('Weight tables'!$A$24:$C$27,MATCH(1,(RendicontiTrasmessiBL__2[[#This Row],[Cut percentage on real costs + USC]]&gt;='Weight tables'!$B$24:$B$27)*(RendicontiTrasmessiBL__2[[#This Row],[Cut percentage on real costs + USC]]&lt;='Weight tables'!$C$24:$C$27),0),1)</f>
        <v>0</v>
      </c>
      <c r="W1617" s="2">
        <f>RendicontiTrasmessiBL__2[[#This Row],[Weight real costs  + USC ]]</f>
        <v>0</v>
      </c>
    </row>
    <row r="1618" spans="1:23" x14ac:dyDescent="0.25">
      <c r="A1618" s="1" t="s">
        <v>60</v>
      </c>
      <c r="B1618" s="1" t="s">
        <v>68</v>
      </c>
      <c r="C1618" s="2">
        <v>94</v>
      </c>
      <c r="D1618" s="2">
        <v>30</v>
      </c>
      <c r="E1618" s="1" t="s">
        <v>233</v>
      </c>
      <c r="G1618">
        <v>0</v>
      </c>
      <c r="H1618">
        <v>0</v>
      </c>
      <c r="I1618">
        <v>0</v>
      </c>
      <c r="J1618">
        <v>0</v>
      </c>
      <c r="K1618">
        <v>0</v>
      </c>
      <c r="L1618">
        <v>0</v>
      </c>
      <c r="M1618">
        <v>0</v>
      </c>
      <c r="N1618">
        <v>0</v>
      </c>
      <c r="O1618">
        <v>0</v>
      </c>
      <c r="P1618">
        <v>0</v>
      </c>
      <c r="Q1618" t="str">
        <f>INDEX('Partner data'!A:DH,MATCH(C1618,'Partner data'!DG:DG,0),83)</f>
        <v>Soggetto pubblico</v>
      </c>
      <c r="R1618" t="b">
        <f>IF(E1618="staff",IF(INDEX('Partner data'!A:DH,MATCH(C1618,'Partner data'!DG:DG,0),112)="BL1 non presente","FALSO",INDEX('Partner data'!A:DH,MATCH(C1618,'Partner data'!DG:DG,0),112)))</f>
        <v>0</v>
      </c>
      <c r="S1618" t="b">
        <f t="shared" si="50"/>
        <v>0</v>
      </c>
      <c r="T1618" t="b">
        <f t="shared" si="51"/>
        <v>1</v>
      </c>
      <c r="U1618" s="154">
        <f>IFERROR(IF(R1618&lt;&gt;FALSE,IF(S1618=TRUE,INDEX('SummaryNOT_VALIDATED-BL'!$A$1:$F$16,MATCH(R1618,'SummaryNOT_VALIDATED-BL'!$A$1:$A$16,0),6),0),IF(S1618=TRUE,INDEX('SummaryNOT_VALIDATED-BL'!$A$1:$F$16,MATCH(E1618,'SummaryNOT_VALIDATED-BL'!$A$1:$A$16,0),6),0)),0)</f>
        <v>0</v>
      </c>
      <c r="V1618" s="81" cm="1">
        <f t="array" ref="V1618">INDEX('Weight tables'!$A$24:$C$27,MATCH(1,(RendicontiTrasmessiBL__2[[#This Row],[Cut percentage on real costs + USC]]&gt;='Weight tables'!$B$24:$B$27)*(RendicontiTrasmessiBL__2[[#This Row],[Cut percentage on real costs + USC]]&lt;='Weight tables'!$C$24:$C$27),0),1)</f>
        <v>0</v>
      </c>
      <c r="W1618" s="2">
        <f>RendicontiTrasmessiBL__2[[#This Row],[Weight real costs  + USC ]]</f>
        <v>0</v>
      </c>
    </row>
    <row r="1619" spans="1:23" x14ac:dyDescent="0.25">
      <c r="A1619" s="1" t="s">
        <v>60</v>
      </c>
      <c r="B1619" s="1" t="s">
        <v>68</v>
      </c>
      <c r="C1619" s="2">
        <v>94</v>
      </c>
      <c r="D1619" s="2">
        <v>30</v>
      </c>
      <c r="E1619" s="1" t="s">
        <v>234</v>
      </c>
      <c r="G1619">
        <v>0</v>
      </c>
      <c r="H1619">
        <v>0</v>
      </c>
      <c r="I1619">
        <v>0</v>
      </c>
      <c r="J1619">
        <v>0</v>
      </c>
      <c r="K1619">
        <v>0</v>
      </c>
      <c r="L1619">
        <v>0</v>
      </c>
      <c r="M1619">
        <v>0</v>
      </c>
      <c r="N1619">
        <v>0</v>
      </c>
      <c r="O1619">
        <v>0</v>
      </c>
      <c r="P1619">
        <v>0</v>
      </c>
      <c r="Q1619" t="str">
        <f>INDEX('Partner data'!A:DH,MATCH(C1619,'Partner data'!DG:DG,0),83)</f>
        <v>Soggetto pubblico</v>
      </c>
      <c r="R1619" t="b">
        <f>IF(E1619="staff",IF(INDEX('Partner data'!A:DH,MATCH(C1619,'Partner data'!DG:DG,0),112)="BL1 non presente","FALSO",INDEX('Partner data'!A:DH,MATCH(C1619,'Partner data'!DG:DG,0),112)))</f>
        <v>0</v>
      </c>
      <c r="S1619" t="b">
        <f t="shared" si="50"/>
        <v>0</v>
      </c>
      <c r="T1619" t="b">
        <f t="shared" si="51"/>
        <v>1</v>
      </c>
      <c r="U1619" s="154">
        <f>IFERROR(IF(R1619&lt;&gt;FALSE,IF(S1619=TRUE,INDEX('SummaryNOT_VALIDATED-BL'!$A$1:$F$16,MATCH(R1619,'SummaryNOT_VALIDATED-BL'!$A$1:$A$16,0),6),0),IF(S1619=TRUE,INDEX('SummaryNOT_VALIDATED-BL'!$A$1:$F$16,MATCH(E1619,'SummaryNOT_VALIDATED-BL'!$A$1:$A$16,0),6),0)),0)</f>
        <v>0</v>
      </c>
      <c r="V1619" s="81" cm="1">
        <f t="array" ref="V1619">INDEX('Weight tables'!$A$24:$C$27,MATCH(1,(RendicontiTrasmessiBL__2[[#This Row],[Cut percentage on real costs + USC]]&gt;='Weight tables'!$B$24:$B$27)*(RendicontiTrasmessiBL__2[[#This Row],[Cut percentage on real costs + USC]]&lt;='Weight tables'!$C$24:$C$27),0),1)</f>
        <v>0</v>
      </c>
      <c r="W1619" s="2">
        <f>RendicontiTrasmessiBL__2[[#This Row],[Weight real costs  + USC ]]</f>
        <v>0</v>
      </c>
    </row>
    <row r="1620" spans="1:23" x14ac:dyDescent="0.25">
      <c r="A1620" s="1" t="s">
        <v>60</v>
      </c>
      <c r="B1620" s="1" t="s">
        <v>68</v>
      </c>
      <c r="C1620" s="2">
        <v>94</v>
      </c>
      <c r="D1620" s="2">
        <v>30</v>
      </c>
      <c r="E1620" s="1" t="s">
        <v>236</v>
      </c>
      <c r="G1620">
        <v>0</v>
      </c>
      <c r="H1620">
        <v>0</v>
      </c>
      <c r="I1620">
        <v>0</v>
      </c>
      <c r="J1620">
        <v>0</v>
      </c>
      <c r="K1620">
        <v>0</v>
      </c>
      <c r="L1620">
        <v>0</v>
      </c>
      <c r="M1620">
        <v>0</v>
      </c>
      <c r="N1620">
        <v>0</v>
      </c>
      <c r="O1620">
        <v>0</v>
      </c>
      <c r="P1620">
        <v>0</v>
      </c>
      <c r="Q1620" t="str">
        <f>INDEX('Partner data'!A:DH,MATCH(C1620,'Partner data'!DG:DG,0),83)</f>
        <v>Soggetto pubblico</v>
      </c>
      <c r="R1620" t="b">
        <f>IF(E1620="staff",IF(INDEX('Partner data'!A:DH,MATCH(C1620,'Partner data'!DG:DG,0),112)="BL1 non presente","FALSO",INDEX('Partner data'!A:DH,MATCH(C1620,'Partner data'!DG:DG,0),112)))</f>
        <v>0</v>
      </c>
      <c r="S1620" t="b">
        <f t="shared" si="50"/>
        <v>0</v>
      </c>
      <c r="T1620" t="b">
        <f t="shared" si="51"/>
        <v>1</v>
      </c>
      <c r="U1620" s="154">
        <f>IFERROR(IF(R1620&lt;&gt;FALSE,IF(S1620=TRUE,INDEX('SummaryNOT_VALIDATED-BL'!$A$1:$F$16,MATCH(R1620,'SummaryNOT_VALIDATED-BL'!$A$1:$A$16,0),6),0),IF(S1620=TRUE,INDEX('SummaryNOT_VALIDATED-BL'!$A$1:$F$16,MATCH(E1620,'SummaryNOT_VALIDATED-BL'!$A$1:$A$16,0),6),0)),0)</f>
        <v>0</v>
      </c>
      <c r="V1620" s="81" cm="1">
        <f t="array" ref="V1620">INDEX('Weight tables'!$A$24:$C$27,MATCH(1,(RendicontiTrasmessiBL__2[[#This Row],[Cut percentage on real costs + USC]]&gt;='Weight tables'!$B$24:$B$27)*(RendicontiTrasmessiBL__2[[#This Row],[Cut percentage on real costs + USC]]&lt;='Weight tables'!$C$24:$C$27),0),1)</f>
        <v>0</v>
      </c>
      <c r="W1620" s="2">
        <f>RendicontiTrasmessiBL__2[[#This Row],[Weight real costs  + USC ]]</f>
        <v>0</v>
      </c>
    </row>
    <row r="1621" spans="1:23" x14ac:dyDescent="0.25">
      <c r="A1621" s="1" t="s">
        <v>60</v>
      </c>
      <c r="B1621" s="1" t="s">
        <v>68</v>
      </c>
      <c r="C1621" s="2">
        <v>94</v>
      </c>
      <c r="D1621" s="2">
        <v>30</v>
      </c>
      <c r="E1621" s="1" t="s">
        <v>237</v>
      </c>
      <c r="G1621">
        <v>0</v>
      </c>
      <c r="H1621">
        <v>0</v>
      </c>
      <c r="I1621">
        <v>0</v>
      </c>
      <c r="J1621">
        <v>0</v>
      </c>
      <c r="K1621">
        <v>0</v>
      </c>
      <c r="L1621">
        <v>0</v>
      </c>
      <c r="M1621">
        <v>0</v>
      </c>
      <c r="N1621">
        <v>0</v>
      </c>
      <c r="O1621">
        <v>0</v>
      </c>
      <c r="P1621">
        <v>0</v>
      </c>
      <c r="Q1621" t="str">
        <f>INDEX('Partner data'!A:DH,MATCH(C1621,'Partner data'!DG:DG,0),83)</f>
        <v>Soggetto pubblico</v>
      </c>
      <c r="R1621" t="b">
        <f>IF(E1621="staff",IF(INDEX('Partner data'!A:DH,MATCH(C1621,'Partner data'!DG:DG,0),112)="BL1 non presente","FALSO",INDEX('Partner data'!A:DH,MATCH(C1621,'Partner data'!DG:DG,0),112)))</f>
        <v>0</v>
      </c>
      <c r="S1621" t="b">
        <f t="shared" si="50"/>
        <v>0</v>
      </c>
      <c r="T1621" t="b">
        <f t="shared" si="51"/>
        <v>1</v>
      </c>
      <c r="U1621" s="154">
        <f>IFERROR(IF(R1621&lt;&gt;FALSE,IF(S1621=TRUE,INDEX('SummaryNOT_VALIDATED-BL'!$A$1:$F$16,MATCH(R1621,'SummaryNOT_VALIDATED-BL'!$A$1:$A$16,0),6),0),IF(S1621=TRUE,INDEX('SummaryNOT_VALIDATED-BL'!$A$1:$F$16,MATCH(E1621,'SummaryNOT_VALIDATED-BL'!$A$1:$A$16,0),6),0)),0)</f>
        <v>0</v>
      </c>
      <c r="V1621" s="81" cm="1">
        <f t="array" ref="V1621">INDEX('Weight tables'!$A$24:$C$27,MATCH(1,(RendicontiTrasmessiBL__2[[#This Row],[Cut percentage on real costs + USC]]&gt;='Weight tables'!$B$24:$B$27)*(RendicontiTrasmessiBL__2[[#This Row],[Cut percentage on real costs + USC]]&lt;='Weight tables'!$C$24:$C$27),0),1)</f>
        <v>0</v>
      </c>
      <c r="W1621" s="2">
        <f>RendicontiTrasmessiBL__2[[#This Row],[Weight real costs  + USC ]]</f>
        <v>0</v>
      </c>
    </row>
    <row r="1622" spans="1:23" x14ac:dyDescent="0.25">
      <c r="A1622" s="1" t="s">
        <v>60</v>
      </c>
      <c r="B1622" s="1" t="s">
        <v>68</v>
      </c>
      <c r="C1622" s="2">
        <v>94</v>
      </c>
      <c r="D1622" s="2">
        <v>308</v>
      </c>
      <c r="E1622" s="1" t="s">
        <v>228</v>
      </c>
      <c r="F1622">
        <v>20</v>
      </c>
      <c r="G1622">
        <v>18220</v>
      </c>
      <c r="H1622">
        <v>0</v>
      </c>
      <c r="I1622">
        <v>0</v>
      </c>
      <c r="J1622">
        <v>1119.0899999999999</v>
      </c>
      <c r="K1622">
        <v>0</v>
      </c>
      <c r="L1622">
        <v>0</v>
      </c>
      <c r="M1622">
        <v>1119.0899999999999</v>
      </c>
      <c r="N1622">
        <v>6.14</v>
      </c>
      <c r="O1622">
        <v>17100.91</v>
      </c>
      <c r="P1622">
        <v>0</v>
      </c>
      <c r="Q1622" t="str">
        <f>INDEX('Partner data'!A:DH,MATCH(C1622,'Partner data'!DG:DG,0),83)</f>
        <v>Soggetto pubblico</v>
      </c>
      <c r="R1622" t="str">
        <f>IF(E1622="staff",IF(INDEX('Partner data'!A:DH,MATCH(C1622,'Partner data'!DG:DG,0),112)="BL1 non presente","FALSO",INDEX('Partner data'!A:DH,MATCH(C1622,'Partner data'!DG:DG,0),112)))</f>
        <v>Tasso Forfettario 20%</v>
      </c>
      <c r="S1622" t="b">
        <f t="shared" si="50"/>
        <v>1</v>
      </c>
      <c r="T1622" t="b">
        <f t="shared" si="51"/>
        <v>1</v>
      </c>
      <c r="U1622" s="154">
        <f>IFERROR(IF(R1622&lt;&gt;FALSE,IF(S1622=TRUE,INDEX('SummaryNOT_VALIDATED-BL'!$A$1:$F$16,MATCH(R1622,'SummaryNOT_VALIDATED-BL'!$A$1:$A$16,0),6),0),IF(S1622=TRUE,INDEX('SummaryNOT_VALIDATED-BL'!$A$1:$F$16,MATCH(E1622,'SummaryNOT_VALIDATED-BL'!$A$1:$A$16,0),6),0)),0)</f>
        <v>1.2653355650533233E-2</v>
      </c>
      <c r="V1622" s="81" cm="1">
        <f t="array" ref="V1622">INDEX('Weight tables'!$A$24:$C$27,MATCH(1,(RendicontiTrasmessiBL__2[[#This Row],[Cut percentage on real costs + USC]]&gt;='Weight tables'!$B$24:$B$27)*(RendicontiTrasmessiBL__2[[#This Row],[Cut percentage on real costs + USC]]&lt;='Weight tables'!$C$24:$C$27),0),1)</f>
        <v>0</v>
      </c>
      <c r="W1622" s="2">
        <f>RendicontiTrasmessiBL__2[[#This Row],[Weight real costs  + USC ]]</f>
        <v>0</v>
      </c>
    </row>
    <row r="1623" spans="1:23" x14ac:dyDescent="0.25">
      <c r="A1623" s="1" t="s">
        <v>60</v>
      </c>
      <c r="B1623" s="1" t="s">
        <v>68</v>
      </c>
      <c r="C1623" s="2">
        <v>94</v>
      </c>
      <c r="D1623" s="2">
        <v>308</v>
      </c>
      <c r="E1623" s="1" t="s">
        <v>229</v>
      </c>
      <c r="F1623">
        <v>15</v>
      </c>
      <c r="G1623">
        <v>2733</v>
      </c>
      <c r="H1623">
        <v>0</v>
      </c>
      <c r="I1623">
        <v>0</v>
      </c>
      <c r="J1623">
        <v>167.86</v>
      </c>
      <c r="K1623">
        <v>0</v>
      </c>
      <c r="L1623">
        <v>0</v>
      </c>
      <c r="M1623">
        <v>167.86</v>
      </c>
      <c r="N1623">
        <v>6.14</v>
      </c>
      <c r="O1623">
        <v>2565.14</v>
      </c>
      <c r="P1623">
        <v>0</v>
      </c>
      <c r="Q1623" t="str">
        <f>INDEX('Partner data'!A:DH,MATCH(C1623,'Partner data'!DG:DG,0),83)</f>
        <v>Soggetto pubblico</v>
      </c>
      <c r="R1623" t="b">
        <f>IF(E1623="staff",IF(INDEX('Partner data'!A:DH,MATCH(C1623,'Partner data'!DG:DG,0),112)="BL1 non presente","FALSO",INDEX('Partner data'!A:DH,MATCH(C1623,'Partner data'!DG:DG,0),112)))</f>
        <v>0</v>
      </c>
      <c r="S1623" t="b">
        <f t="shared" si="50"/>
        <v>1</v>
      </c>
      <c r="T1623" t="b">
        <f t="shared" si="51"/>
        <v>1</v>
      </c>
      <c r="U1623" s="154">
        <f>IFERROR(IF(R1623&lt;&gt;FALSE,IF(S1623=TRUE,INDEX('SummaryNOT_VALIDATED-BL'!$A$1:$F$16,MATCH(R1623,'SummaryNOT_VALIDATED-BL'!$A$1:$A$16,0),6),0),IF(S1623=TRUE,INDEX('SummaryNOT_VALIDATED-BL'!$A$1:$F$16,MATCH(E1623,'SummaryNOT_VALIDATED-BL'!$A$1:$A$16,0),6),0)),0)</f>
        <v>6.6460469504890221E-2</v>
      </c>
      <c r="V1623" s="81" cm="1">
        <f t="array" ref="V1623">INDEX('Weight tables'!$A$24:$C$27,MATCH(1,(RendicontiTrasmessiBL__2[[#This Row],[Cut percentage on real costs + USC]]&gt;='Weight tables'!$B$24:$B$27)*(RendicontiTrasmessiBL__2[[#This Row],[Cut percentage on real costs + USC]]&lt;='Weight tables'!$C$24:$C$27),0),1)</f>
        <v>4</v>
      </c>
      <c r="W1623" s="2">
        <f>RendicontiTrasmessiBL__2[[#This Row],[Weight real costs  + USC ]]</f>
        <v>4</v>
      </c>
    </row>
    <row r="1624" spans="1:23" x14ac:dyDescent="0.25">
      <c r="A1624" s="1" t="s">
        <v>60</v>
      </c>
      <c r="B1624" s="1" t="s">
        <v>68</v>
      </c>
      <c r="C1624" s="2">
        <v>94</v>
      </c>
      <c r="D1624" s="2">
        <v>308</v>
      </c>
      <c r="E1624" s="1" t="s">
        <v>230</v>
      </c>
      <c r="F1624">
        <v>4</v>
      </c>
      <c r="G1624">
        <v>728.8</v>
      </c>
      <c r="H1624">
        <v>0</v>
      </c>
      <c r="I1624">
        <v>0</v>
      </c>
      <c r="J1624">
        <v>44.76</v>
      </c>
      <c r="K1624">
        <v>0</v>
      </c>
      <c r="L1624">
        <v>0</v>
      </c>
      <c r="M1624">
        <v>44.76</v>
      </c>
      <c r="N1624">
        <v>6.14</v>
      </c>
      <c r="O1624">
        <v>684.04</v>
      </c>
      <c r="P1624">
        <v>0</v>
      </c>
      <c r="Q1624" t="str">
        <f>INDEX('Partner data'!A:DH,MATCH(C1624,'Partner data'!DG:DG,0),83)</f>
        <v>Soggetto pubblico</v>
      </c>
      <c r="R1624" t="b">
        <f>IF(E1624="staff",IF(INDEX('Partner data'!A:DH,MATCH(C1624,'Partner data'!DG:DG,0),112)="BL1 non presente","FALSO",INDEX('Partner data'!A:DH,MATCH(C1624,'Partner data'!DG:DG,0),112)))</f>
        <v>0</v>
      </c>
      <c r="S1624" t="b">
        <f t="shared" si="50"/>
        <v>1</v>
      </c>
      <c r="T1624" t="b">
        <f t="shared" si="51"/>
        <v>1</v>
      </c>
      <c r="U1624" s="154">
        <f>IFERROR(IF(R1624&lt;&gt;FALSE,IF(S1624=TRUE,INDEX('SummaryNOT_VALIDATED-BL'!$A$1:$F$16,MATCH(R1624,'SummaryNOT_VALIDATED-BL'!$A$1:$A$16,0),6),0),IF(S1624=TRUE,INDEX('SummaryNOT_VALIDATED-BL'!$A$1:$F$16,MATCH(E1624,'SummaryNOT_VALIDATED-BL'!$A$1:$A$16,0),6),0)),0)</f>
        <v>6.3112622236488891E-2</v>
      </c>
      <c r="V1624" s="81" cm="1">
        <f t="array" ref="V1624">INDEX('Weight tables'!$A$24:$C$27,MATCH(1,(RendicontiTrasmessiBL__2[[#This Row],[Cut percentage on real costs + USC]]&gt;='Weight tables'!$B$24:$B$27)*(RendicontiTrasmessiBL__2[[#This Row],[Cut percentage on real costs + USC]]&lt;='Weight tables'!$C$24:$C$27),0),1)</f>
        <v>4</v>
      </c>
      <c r="W1624" s="2">
        <f>RendicontiTrasmessiBL__2[[#This Row],[Weight real costs  + USC ]]</f>
        <v>4</v>
      </c>
    </row>
    <row r="1625" spans="1:23" x14ac:dyDescent="0.25">
      <c r="A1625" s="1" t="s">
        <v>60</v>
      </c>
      <c r="B1625" s="1" t="s">
        <v>68</v>
      </c>
      <c r="C1625" s="2">
        <v>94</v>
      </c>
      <c r="D1625" s="2">
        <v>308</v>
      </c>
      <c r="E1625" s="1" t="s">
        <v>231</v>
      </c>
      <c r="G1625">
        <v>91100</v>
      </c>
      <c r="H1625">
        <v>0</v>
      </c>
      <c r="I1625">
        <v>0</v>
      </c>
      <c r="J1625">
        <v>5595.46</v>
      </c>
      <c r="K1625">
        <v>0</v>
      </c>
      <c r="L1625">
        <v>0</v>
      </c>
      <c r="M1625">
        <v>5595.46</v>
      </c>
      <c r="N1625">
        <v>6.14</v>
      </c>
      <c r="O1625">
        <v>85504.54</v>
      </c>
      <c r="P1625">
        <v>0</v>
      </c>
      <c r="Q1625" t="str">
        <f>INDEX('Partner data'!A:DH,MATCH(C1625,'Partner data'!DG:DG,0),83)</f>
        <v>Soggetto pubblico</v>
      </c>
      <c r="R1625" t="b">
        <f>IF(E1625="staff",IF(INDEX('Partner data'!A:DH,MATCH(C1625,'Partner data'!DG:DG,0),112)="BL1 non presente","FALSO",INDEX('Partner data'!A:DH,MATCH(C1625,'Partner data'!DG:DG,0),112)))</f>
        <v>0</v>
      </c>
      <c r="S1625" t="b">
        <f t="shared" si="50"/>
        <v>1</v>
      </c>
      <c r="T1625" t="b">
        <f t="shared" si="51"/>
        <v>1</v>
      </c>
      <c r="U1625" s="154">
        <f>IFERROR(IF(R1625&lt;&gt;FALSE,IF(S1625=TRUE,INDEX('SummaryNOT_VALIDATED-BL'!$A$1:$F$16,MATCH(R1625,'SummaryNOT_VALIDATED-BL'!$A$1:$A$16,0),6),0),IF(S1625=TRUE,INDEX('SummaryNOT_VALIDATED-BL'!$A$1:$F$16,MATCH(E1625,'SummaryNOT_VALIDATED-BL'!$A$1:$A$16,0),6),0)),0)</f>
        <v>5.577594442215475E-2</v>
      </c>
      <c r="V1625" s="81" cm="1">
        <f t="array" ref="V1625">INDEX('Weight tables'!$A$24:$C$27,MATCH(1,(RendicontiTrasmessiBL__2[[#This Row],[Cut percentage on real costs + USC]]&gt;='Weight tables'!$B$24:$B$27)*(RendicontiTrasmessiBL__2[[#This Row],[Cut percentage on real costs + USC]]&lt;='Weight tables'!$C$24:$C$27),0),1)</f>
        <v>4</v>
      </c>
      <c r="W1625" s="2">
        <f>RendicontiTrasmessiBL__2[[#This Row],[Weight real costs  + USC ]]</f>
        <v>4</v>
      </c>
    </row>
    <row r="1626" spans="1:23" x14ac:dyDescent="0.25">
      <c r="A1626" s="1" t="s">
        <v>60</v>
      </c>
      <c r="B1626" s="1" t="s">
        <v>68</v>
      </c>
      <c r="C1626" s="2">
        <v>94</v>
      </c>
      <c r="D1626" s="2">
        <v>308</v>
      </c>
      <c r="E1626" s="1" t="s">
        <v>232</v>
      </c>
      <c r="G1626">
        <v>0</v>
      </c>
      <c r="H1626">
        <v>0</v>
      </c>
      <c r="I1626">
        <v>0</v>
      </c>
      <c r="J1626">
        <v>0</v>
      </c>
      <c r="K1626">
        <v>0</v>
      </c>
      <c r="L1626">
        <v>0</v>
      </c>
      <c r="M1626">
        <v>0</v>
      </c>
      <c r="N1626">
        <v>0</v>
      </c>
      <c r="O1626">
        <v>0</v>
      </c>
      <c r="P1626">
        <v>0</v>
      </c>
      <c r="Q1626" t="str">
        <f>INDEX('Partner data'!A:DH,MATCH(C1626,'Partner data'!DG:DG,0),83)</f>
        <v>Soggetto pubblico</v>
      </c>
      <c r="R1626" t="b">
        <f>IF(E1626="staff",IF(INDEX('Partner data'!A:DH,MATCH(C1626,'Partner data'!DG:DG,0),112)="BL1 non presente","FALSO",INDEX('Partner data'!A:DH,MATCH(C1626,'Partner data'!DG:DG,0),112)))</f>
        <v>0</v>
      </c>
      <c r="S1626" t="b">
        <f t="shared" si="50"/>
        <v>0</v>
      </c>
      <c r="T1626" t="b">
        <f t="shared" si="51"/>
        <v>1</v>
      </c>
      <c r="U1626" s="154">
        <f>IFERROR(IF(R1626&lt;&gt;FALSE,IF(S1626=TRUE,INDEX('SummaryNOT_VALIDATED-BL'!$A$1:$F$16,MATCH(R1626,'SummaryNOT_VALIDATED-BL'!$A$1:$A$16,0),6),0),IF(S1626=TRUE,INDEX('SummaryNOT_VALIDATED-BL'!$A$1:$F$16,MATCH(E1626,'SummaryNOT_VALIDATED-BL'!$A$1:$A$16,0),6),0)),0)</f>
        <v>0</v>
      </c>
      <c r="V1626" s="81" cm="1">
        <f t="array" ref="V1626">INDEX('Weight tables'!$A$24:$C$27,MATCH(1,(RendicontiTrasmessiBL__2[[#This Row],[Cut percentage on real costs + USC]]&gt;='Weight tables'!$B$24:$B$27)*(RendicontiTrasmessiBL__2[[#This Row],[Cut percentage on real costs + USC]]&lt;='Weight tables'!$C$24:$C$27),0),1)</f>
        <v>0</v>
      </c>
      <c r="W1626" s="2">
        <f>RendicontiTrasmessiBL__2[[#This Row],[Weight real costs  + USC ]]</f>
        <v>0</v>
      </c>
    </row>
    <row r="1627" spans="1:23" x14ac:dyDescent="0.25">
      <c r="A1627" s="1" t="s">
        <v>60</v>
      </c>
      <c r="B1627" s="1" t="s">
        <v>68</v>
      </c>
      <c r="C1627" s="2">
        <v>94</v>
      </c>
      <c r="D1627" s="2">
        <v>308</v>
      </c>
      <c r="E1627" s="1" t="s">
        <v>233</v>
      </c>
      <c r="G1627">
        <v>0</v>
      </c>
      <c r="H1627">
        <v>0</v>
      </c>
      <c r="I1627">
        <v>0</v>
      </c>
      <c r="J1627">
        <v>0</v>
      </c>
      <c r="K1627">
        <v>0</v>
      </c>
      <c r="L1627">
        <v>0</v>
      </c>
      <c r="M1627">
        <v>0</v>
      </c>
      <c r="N1627">
        <v>0</v>
      </c>
      <c r="O1627">
        <v>0</v>
      </c>
      <c r="P1627">
        <v>0</v>
      </c>
      <c r="Q1627" t="str">
        <f>INDEX('Partner data'!A:DH,MATCH(C1627,'Partner data'!DG:DG,0),83)</f>
        <v>Soggetto pubblico</v>
      </c>
      <c r="R1627" t="b">
        <f>IF(E1627="staff",IF(INDEX('Partner data'!A:DH,MATCH(C1627,'Partner data'!DG:DG,0),112)="BL1 non presente","FALSO",INDEX('Partner data'!A:DH,MATCH(C1627,'Partner data'!DG:DG,0),112)))</f>
        <v>0</v>
      </c>
      <c r="S1627" t="b">
        <f t="shared" si="50"/>
        <v>0</v>
      </c>
      <c r="T1627" t="b">
        <f t="shared" si="51"/>
        <v>1</v>
      </c>
      <c r="U1627" s="154">
        <f>IFERROR(IF(R1627&lt;&gt;FALSE,IF(S1627=TRUE,INDEX('SummaryNOT_VALIDATED-BL'!$A$1:$F$16,MATCH(R1627,'SummaryNOT_VALIDATED-BL'!$A$1:$A$16,0),6),0),IF(S1627=TRUE,INDEX('SummaryNOT_VALIDATED-BL'!$A$1:$F$16,MATCH(E1627,'SummaryNOT_VALIDATED-BL'!$A$1:$A$16,0),6),0)),0)</f>
        <v>0</v>
      </c>
      <c r="V1627" s="81" cm="1">
        <f t="array" ref="V1627">INDEX('Weight tables'!$A$24:$C$27,MATCH(1,(RendicontiTrasmessiBL__2[[#This Row],[Cut percentage on real costs + USC]]&gt;='Weight tables'!$B$24:$B$27)*(RendicontiTrasmessiBL__2[[#This Row],[Cut percentage on real costs + USC]]&lt;='Weight tables'!$C$24:$C$27),0),1)</f>
        <v>0</v>
      </c>
      <c r="W1627" s="2">
        <f>RendicontiTrasmessiBL__2[[#This Row],[Weight real costs  + USC ]]</f>
        <v>0</v>
      </c>
    </row>
    <row r="1628" spans="1:23" x14ac:dyDescent="0.25">
      <c r="A1628" s="1" t="s">
        <v>60</v>
      </c>
      <c r="B1628" s="1" t="s">
        <v>68</v>
      </c>
      <c r="C1628" s="2">
        <v>94</v>
      </c>
      <c r="D1628" s="2">
        <v>308</v>
      </c>
      <c r="E1628" s="1" t="s">
        <v>234</v>
      </c>
      <c r="G1628">
        <v>0</v>
      </c>
      <c r="H1628">
        <v>0</v>
      </c>
      <c r="I1628">
        <v>0</v>
      </c>
      <c r="J1628">
        <v>0</v>
      </c>
      <c r="K1628">
        <v>0</v>
      </c>
      <c r="L1628">
        <v>0</v>
      </c>
      <c r="M1628">
        <v>0</v>
      </c>
      <c r="N1628">
        <v>0</v>
      </c>
      <c r="O1628">
        <v>0</v>
      </c>
      <c r="P1628">
        <v>0</v>
      </c>
      <c r="Q1628" t="str">
        <f>INDEX('Partner data'!A:DH,MATCH(C1628,'Partner data'!DG:DG,0),83)</f>
        <v>Soggetto pubblico</v>
      </c>
      <c r="R1628" t="b">
        <f>IF(E1628="staff",IF(INDEX('Partner data'!A:DH,MATCH(C1628,'Partner data'!DG:DG,0),112)="BL1 non presente","FALSO",INDEX('Partner data'!A:DH,MATCH(C1628,'Partner data'!DG:DG,0),112)))</f>
        <v>0</v>
      </c>
      <c r="S1628" t="b">
        <f t="shared" si="50"/>
        <v>0</v>
      </c>
      <c r="T1628" t="b">
        <f t="shared" si="51"/>
        <v>1</v>
      </c>
      <c r="U1628" s="154">
        <f>IFERROR(IF(R1628&lt;&gt;FALSE,IF(S1628=TRUE,INDEX('SummaryNOT_VALIDATED-BL'!$A$1:$F$16,MATCH(R1628,'SummaryNOT_VALIDATED-BL'!$A$1:$A$16,0),6),0),IF(S1628=TRUE,INDEX('SummaryNOT_VALIDATED-BL'!$A$1:$F$16,MATCH(E1628,'SummaryNOT_VALIDATED-BL'!$A$1:$A$16,0),6),0)),0)</f>
        <v>0</v>
      </c>
      <c r="V1628" s="81" cm="1">
        <f t="array" ref="V1628">INDEX('Weight tables'!$A$24:$C$27,MATCH(1,(RendicontiTrasmessiBL__2[[#This Row],[Cut percentage on real costs + USC]]&gt;='Weight tables'!$B$24:$B$27)*(RendicontiTrasmessiBL__2[[#This Row],[Cut percentage on real costs + USC]]&lt;='Weight tables'!$C$24:$C$27),0),1)</f>
        <v>0</v>
      </c>
      <c r="W1628" s="2">
        <f>RendicontiTrasmessiBL__2[[#This Row],[Weight real costs  + USC ]]</f>
        <v>0</v>
      </c>
    </row>
    <row r="1629" spans="1:23" x14ac:dyDescent="0.25">
      <c r="A1629" s="1" t="s">
        <v>60</v>
      </c>
      <c r="B1629" s="1" t="s">
        <v>68</v>
      </c>
      <c r="C1629" s="2">
        <v>94</v>
      </c>
      <c r="D1629" s="2">
        <v>308</v>
      </c>
      <c r="E1629" s="1" t="s">
        <v>236</v>
      </c>
      <c r="G1629">
        <v>0</v>
      </c>
      <c r="H1629">
        <v>0</v>
      </c>
      <c r="I1629">
        <v>0</v>
      </c>
      <c r="J1629">
        <v>0</v>
      </c>
      <c r="K1629">
        <v>0</v>
      </c>
      <c r="L1629">
        <v>0</v>
      </c>
      <c r="M1629">
        <v>0</v>
      </c>
      <c r="N1629">
        <v>0</v>
      </c>
      <c r="O1629">
        <v>0</v>
      </c>
      <c r="P1629">
        <v>0</v>
      </c>
      <c r="Q1629" t="str">
        <f>INDEX('Partner data'!A:DH,MATCH(C1629,'Partner data'!DG:DG,0),83)</f>
        <v>Soggetto pubblico</v>
      </c>
      <c r="R1629" t="b">
        <f>IF(E1629="staff",IF(INDEX('Partner data'!A:DH,MATCH(C1629,'Partner data'!DG:DG,0),112)="BL1 non presente","FALSO",INDEX('Partner data'!A:DH,MATCH(C1629,'Partner data'!DG:DG,0),112)))</f>
        <v>0</v>
      </c>
      <c r="S1629" t="b">
        <f t="shared" si="50"/>
        <v>0</v>
      </c>
      <c r="T1629" t="b">
        <f t="shared" si="51"/>
        <v>1</v>
      </c>
      <c r="U1629" s="154">
        <f>IFERROR(IF(R1629&lt;&gt;FALSE,IF(S1629=TRUE,INDEX('SummaryNOT_VALIDATED-BL'!$A$1:$F$16,MATCH(R1629,'SummaryNOT_VALIDATED-BL'!$A$1:$A$16,0),6),0),IF(S1629=TRUE,INDEX('SummaryNOT_VALIDATED-BL'!$A$1:$F$16,MATCH(E1629,'SummaryNOT_VALIDATED-BL'!$A$1:$A$16,0),6),0)),0)</f>
        <v>0</v>
      </c>
      <c r="V1629" s="81" cm="1">
        <f t="array" ref="V1629">INDEX('Weight tables'!$A$24:$C$27,MATCH(1,(RendicontiTrasmessiBL__2[[#This Row],[Cut percentage on real costs + USC]]&gt;='Weight tables'!$B$24:$B$27)*(RendicontiTrasmessiBL__2[[#This Row],[Cut percentage on real costs + USC]]&lt;='Weight tables'!$C$24:$C$27),0),1)</f>
        <v>0</v>
      </c>
      <c r="W1629" s="2">
        <f>RendicontiTrasmessiBL__2[[#This Row],[Weight real costs  + USC ]]</f>
        <v>0</v>
      </c>
    </row>
    <row r="1630" spans="1:23" x14ac:dyDescent="0.25">
      <c r="A1630" s="1" t="s">
        <v>60</v>
      </c>
      <c r="B1630" s="1" t="s">
        <v>68</v>
      </c>
      <c r="C1630" s="2">
        <v>94</v>
      </c>
      <c r="D1630" s="2">
        <v>308</v>
      </c>
      <c r="E1630" s="1" t="s">
        <v>237</v>
      </c>
      <c r="G1630">
        <v>0</v>
      </c>
      <c r="H1630">
        <v>0</v>
      </c>
      <c r="I1630">
        <v>0</v>
      </c>
      <c r="J1630">
        <v>0</v>
      </c>
      <c r="K1630">
        <v>0</v>
      </c>
      <c r="L1630">
        <v>0</v>
      </c>
      <c r="M1630">
        <v>0</v>
      </c>
      <c r="N1630">
        <v>0</v>
      </c>
      <c r="O1630">
        <v>0</v>
      </c>
      <c r="P1630">
        <v>0</v>
      </c>
      <c r="Q1630" t="str">
        <f>INDEX('Partner data'!A:DH,MATCH(C1630,'Partner data'!DG:DG,0),83)</f>
        <v>Soggetto pubblico</v>
      </c>
      <c r="R1630" t="b">
        <f>IF(E1630="staff",IF(INDEX('Partner data'!A:DH,MATCH(C1630,'Partner data'!DG:DG,0),112)="BL1 non presente","FALSO",INDEX('Partner data'!A:DH,MATCH(C1630,'Partner data'!DG:DG,0),112)))</f>
        <v>0</v>
      </c>
      <c r="S1630" t="b">
        <f t="shared" si="50"/>
        <v>0</v>
      </c>
      <c r="T1630" t="b">
        <f t="shared" si="51"/>
        <v>1</v>
      </c>
      <c r="U1630" s="154">
        <f>IFERROR(IF(R1630&lt;&gt;FALSE,IF(S1630=TRUE,INDEX('SummaryNOT_VALIDATED-BL'!$A$1:$F$16,MATCH(R1630,'SummaryNOT_VALIDATED-BL'!$A$1:$A$16,0),6),0),IF(S1630=TRUE,INDEX('SummaryNOT_VALIDATED-BL'!$A$1:$F$16,MATCH(E1630,'SummaryNOT_VALIDATED-BL'!$A$1:$A$16,0),6),0)),0)</f>
        <v>0</v>
      </c>
      <c r="V1630" s="81" cm="1">
        <f t="array" ref="V1630">INDEX('Weight tables'!$A$24:$C$27,MATCH(1,(RendicontiTrasmessiBL__2[[#This Row],[Cut percentage on real costs + USC]]&gt;='Weight tables'!$B$24:$B$27)*(RendicontiTrasmessiBL__2[[#This Row],[Cut percentage on real costs + USC]]&lt;='Weight tables'!$C$24:$C$27),0),1)</f>
        <v>0</v>
      </c>
      <c r="W1630" s="2">
        <f>RendicontiTrasmessiBL__2[[#This Row],[Weight real costs  + USC ]]</f>
        <v>0</v>
      </c>
    </row>
    <row r="1631" spans="1:23" x14ac:dyDescent="0.25">
      <c r="A1631" s="1" t="s">
        <v>60</v>
      </c>
      <c r="B1631" s="1" t="s">
        <v>329</v>
      </c>
      <c r="C1631" s="2">
        <v>173</v>
      </c>
      <c r="D1631" s="2">
        <v>276</v>
      </c>
      <c r="E1631" s="1" t="s">
        <v>228</v>
      </c>
      <c r="F1631">
        <v>20</v>
      </c>
      <c r="G1631">
        <v>16250</v>
      </c>
      <c r="H1631">
        <v>0</v>
      </c>
      <c r="I1631">
        <v>0</v>
      </c>
      <c r="J1631">
        <v>0</v>
      </c>
      <c r="K1631">
        <v>0</v>
      </c>
      <c r="L1631">
        <v>0</v>
      </c>
      <c r="M1631">
        <v>0</v>
      </c>
      <c r="N1631">
        <v>0</v>
      </c>
      <c r="O1631">
        <v>16250</v>
      </c>
      <c r="P1631">
        <v>0</v>
      </c>
      <c r="Q1631" t="str">
        <f>INDEX('Partner data'!A:DH,MATCH(C1631,'Partner data'!DG:DG,0),83)</f>
        <v>Soggetto pubblico</v>
      </c>
      <c r="R1631" t="str">
        <f>IF(E1631="staff",IF(INDEX('Partner data'!A:DH,MATCH(C1631,'Partner data'!DG:DG,0),112)="BL1 non presente","FALSO",INDEX('Partner data'!A:DH,MATCH(C1631,'Partner data'!DG:DG,0),112)))</f>
        <v>Tasso Forfettario 20%</v>
      </c>
      <c r="S1631" t="b">
        <f t="shared" si="50"/>
        <v>0</v>
      </c>
      <c r="T1631" t="b">
        <f t="shared" si="51"/>
        <v>1</v>
      </c>
      <c r="U1631" s="154">
        <f>IFERROR(IF(R1631&lt;&gt;FALSE,IF(S1631=TRUE,INDEX('SummaryNOT_VALIDATED-BL'!$A$1:$F$16,MATCH(R1631,'SummaryNOT_VALIDATED-BL'!$A$1:$A$16,0),6),0),IF(S1631=TRUE,INDEX('SummaryNOT_VALIDATED-BL'!$A$1:$F$16,MATCH(E1631,'SummaryNOT_VALIDATED-BL'!$A$1:$A$16,0),6),0)),0)</f>
        <v>0</v>
      </c>
      <c r="V1631" s="81" cm="1">
        <f t="array" ref="V1631">INDEX('Weight tables'!$A$24:$C$27,MATCH(1,(RendicontiTrasmessiBL__2[[#This Row],[Cut percentage on real costs + USC]]&gt;='Weight tables'!$B$24:$B$27)*(RendicontiTrasmessiBL__2[[#This Row],[Cut percentage on real costs + USC]]&lt;='Weight tables'!$C$24:$C$27),0),1)</f>
        <v>0</v>
      </c>
      <c r="W1631" s="2">
        <f>RendicontiTrasmessiBL__2[[#This Row],[Weight real costs  + USC ]]</f>
        <v>0</v>
      </c>
    </row>
    <row r="1632" spans="1:23" x14ac:dyDescent="0.25">
      <c r="A1632" s="1" t="s">
        <v>60</v>
      </c>
      <c r="B1632" s="1" t="s">
        <v>329</v>
      </c>
      <c r="C1632" s="2">
        <v>173</v>
      </c>
      <c r="D1632" s="2">
        <v>276</v>
      </c>
      <c r="E1632" s="1" t="s">
        <v>229</v>
      </c>
      <c r="F1632">
        <v>15</v>
      </c>
      <c r="G1632">
        <v>2437.5</v>
      </c>
      <c r="H1632">
        <v>0</v>
      </c>
      <c r="I1632">
        <v>0</v>
      </c>
      <c r="J1632">
        <v>0</v>
      </c>
      <c r="K1632">
        <v>0</v>
      </c>
      <c r="L1632">
        <v>0</v>
      </c>
      <c r="M1632">
        <v>0</v>
      </c>
      <c r="N1632">
        <v>0</v>
      </c>
      <c r="O1632">
        <v>2437.5</v>
      </c>
      <c r="P1632">
        <v>0</v>
      </c>
      <c r="Q1632" t="str">
        <f>INDEX('Partner data'!A:DH,MATCH(C1632,'Partner data'!DG:DG,0),83)</f>
        <v>Soggetto pubblico</v>
      </c>
      <c r="R1632" t="b">
        <f>IF(E1632="staff",IF(INDEX('Partner data'!A:DH,MATCH(C1632,'Partner data'!DG:DG,0),112)="BL1 non presente","FALSO",INDEX('Partner data'!A:DH,MATCH(C1632,'Partner data'!DG:DG,0),112)))</f>
        <v>0</v>
      </c>
      <c r="S1632" t="b">
        <f t="shared" si="50"/>
        <v>0</v>
      </c>
      <c r="T1632" t="b">
        <f t="shared" si="51"/>
        <v>1</v>
      </c>
      <c r="U1632" s="154">
        <f>IFERROR(IF(R1632&lt;&gt;FALSE,IF(S1632=TRUE,INDEX('SummaryNOT_VALIDATED-BL'!$A$1:$F$16,MATCH(R1632,'SummaryNOT_VALIDATED-BL'!$A$1:$A$16,0),6),0),IF(S1632=TRUE,INDEX('SummaryNOT_VALIDATED-BL'!$A$1:$F$16,MATCH(E1632,'SummaryNOT_VALIDATED-BL'!$A$1:$A$16,0),6),0)),0)</f>
        <v>0</v>
      </c>
      <c r="V1632" s="81" cm="1">
        <f t="array" ref="V1632">INDEX('Weight tables'!$A$24:$C$27,MATCH(1,(RendicontiTrasmessiBL__2[[#This Row],[Cut percentage on real costs + USC]]&gt;='Weight tables'!$B$24:$B$27)*(RendicontiTrasmessiBL__2[[#This Row],[Cut percentage on real costs + USC]]&lt;='Weight tables'!$C$24:$C$27),0),1)</f>
        <v>0</v>
      </c>
      <c r="W1632" s="2">
        <f>RendicontiTrasmessiBL__2[[#This Row],[Weight real costs  + USC ]]</f>
        <v>0</v>
      </c>
    </row>
    <row r="1633" spans="1:23" x14ac:dyDescent="0.25">
      <c r="A1633" s="1" t="s">
        <v>60</v>
      </c>
      <c r="B1633" s="1" t="s">
        <v>329</v>
      </c>
      <c r="C1633" s="2">
        <v>173</v>
      </c>
      <c r="D1633" s="2">
        <v>276</v>
      </c>
      <c r="E1633" s="1" t="s">
        <v>230</v>
      </c>
      <c r="F1633">
        <v>4</v>
      </c>
      <c r="G1633">
        <v>650</v>
      </c>
      <c r="H1633">
        <v>0</v>
      </c>
      <c r="I1633">
        <v>0</v>
      </c>
      <c r="J1633">
        <v>0</v>
      </c>
      <c r="K1633">
        <v>0</v>
      </c>
      <c r="L1633">
        <v>0</v>
      </c>
      <c r="M1633">
        <v>0</v>
      </c>
      <c r="N1633">
        <v>0</v>
      </c>
      <c r="O1633">
        <v>650</v>
      </c>
      <c r="P1633">
        <v>0</v>
      </c>
      <c r="Q1633" t="str">
        <f>INDEX('Partner data'!A:DH,MATCH(C1633,'Partner data'!DG:DG,0),83)</f>
        <v>Soggetto pubblico</v>
      </c>
      <c r="R1633" t="b">
        <f>IF(E1633="staff",IF(INDEX('Partner data'!A:DH,MATCH(C1633,'Partner data'!DG:DG,0),112)="BL1 non presente","FALSO",INDEX('Partner data'!A:DH,MATCH(C1633,'Partner data'!DG:DG,0),112)))</f>
        <v>0</v>
      </c>
      <c r="S1633" t="b">
        <f t="shared" si="50"/>
        <v>0</v>
      </c>
      <c r="T1633" t="b">
        <f t="shared" si="51"/>
        <v>1</v>
      </c>
      <c r="U1633" s="154">
        <f>IFERROR(IF(R1633&lt;&gt;FALSE,IF(S1633=TRUE,INDEX('SummaryNOT_VALIDATED-BL'!$A$1:$F$16,MATCH(R1633,'SummaryNOT_VALIDATED-BL'!$A$1:$A$16,0),6),0),IF(S1633=TRUE,INDEX('SummaryNOT_VALIDATED-BL'!$A$1:$F$16,MATCH(E1633,'SummaryNOT_VALIDATED-BL'!$A$1:$A$16,0),6),0)),0)</f>
        <v>0</v>
      </c>
      <c r="V1633" s="81" cm="1">
        <f t="array" ref="V1633">INDEX('Weight tables'!$A$24:$C$27,MATCH(1,(RendicontiTrasmessiBL__2[[#This Row],[Cut percentage on real costs + USC]]&gt;='Weight tables'!$B$24:$B$27)*(RendicontiTrasmessiBL__2[[#This Row],[Cut percentage on real costs + USC]]&lt;='Weight tables'!$C$24:$C$27),0),1)</f>
        <v>0</v>
      </c>
      <c r="W1633" s="2">
        <f>RendicontiTrasmessiBL__2[[#This Row],[Weight real costs  + USC ]]</f>
        <v>0</v>
      </c>
    </row>
    <row r="1634" spans="1:23" x14ac:dyDescent="0.25">
      <c r="A1634" s="1" t="s">
        <v>60</v>
      </c>
      <c r="B1634" s="1" t="s">
        <v>329</v>
      </c>
      <c r="C1634" s="2">
        <v>173</v>
      </c>
      <c r="D1634" s="2">
        <v>276</v>
      </c>
      <c r="E1634" s="1" t="s">
        <v>231</v>
      </c>
      <c r="G1634">
        <v>81250</v>
      </c>
      <c r="H1634">
        <v>0</v>
      </c>
      <c r="I1634">
        <v>0</v>
      </c>
      <c r="J1634">
        <v>0</v>
      </c>
      <c r="K1634">
        <v>0</v>
      </c>
      <c r="L1634">
        <v>0</v>
      </c>
      <c r="M1634">
        <v>0</v>
      </c>
      <c r="N1634">
        <v>0</v>
      </c>
      <c r="O1634">
        <v>81250</v>
      </c>
      <c r="P1634">
        <v>0</v>
      </c>
      <c r="Q1634" t="str">
        <f>INDEX('Partner data'!A:DH,MATCH(C1634,'Partner data'!DG:DG,0),83)</f>
        <v>Soggetto pubblico</v>
      </c>
      <c r="R1634" t="b">
        <f>IF(E1634="staff",IF(INDEX('Partner data'!A:DH,MATCH(C1634,'Partner data'!DG:DG,0),112)="BL1 non presente","FALSO",INDEX('Partner data'!A:DH,MATCH(C1634,'Partner data'!DG:DG,0),112)))</f>
        <v>0</v>
      </c>
      <c r="S1634" t="b">
        <f t="shared" si="50"/>
        <v>0</v>
      </c>
      <c r="T1634" t="b">
        <f t="shared" si="51"/>
        <v>1</v>
      </c>
      <c r="U1634" s="154">
        <f>IFERROR(IF(R1634&lt;&gt;FALSE,IF(S1634=TRUE,INDEX('SummaryNOT_VALIDATED-BL'!$A$1:$F$16,MATCH(R1634,'SummaryNOT_VALIDATED-BL'!$A$1:$A$16,0),6),0),IF(S1634=TRUE,INDEX('SummaryNOT_VALIDATED-BL'!$A$1:$F$16,MATCH(E1634,'SummaryNOT_VALIDATED-BL'!$A$1:$A$16,0),6),0)),0)</f>
        <v>0</v>
      </c>
      <c r="V1634" s="81" cm="1">
        <f t="array" ref="V1634">INDEX('Weight tables'!$A$24:$C$27,MATCH(1,(RendicontiTrasmessiBL__2[[#This Row],[Cut percentage on real costs + USC]]&gt;='Weight tables'!$B$24:$B$27)*(RendicontiTrasmessiBL__2[[#This Row],[Cut percentage on real costs + USC]]&lt;='Weight tables'!$C$24:$C$27),0),1)</f>
        <v>0</v>
      </c>
      <c r="W1634" s="2">
        <f>RendicontiTrasmessiBL__2[[#This Row],[Weight real costs  + USC ]]</f>
        <v>0</v>
      </c>
    </row>
    <row r="1635" spans="1:23" x14ac:dyDescent="0.25">
      <c r="A1635" s="1" t="s">
        <v>60</v>
      </c>
      <c r="B1635" s="1" t="s">
        <v>329</v>
      </c>
      <c r="C1635" s="2">
        <v>173</v>
      </c>
      <c r="D1635" s="2">
        <v>276</v>
      </c>
      <c r="E1635" s="1" t="s">
        <v>232</v>
      </c>
      <c r="G1635">
        <v>0</v>
      </c>
      <c r="H1635">
        <v>0</v>
      </c>
      <c r="I1635">
        <v>0</v>
      </c>
      <c r="J1635">
        <v>0</v>
      </c>
      <c r="K1635">
        <v>0</v>
      </c>
      <c r="L1635">
        <v>0</v>
      </c>
      <c r="M1635">
        <v>0</v>
      </c>
      <c r="N1635">
        <v>0</v>
      </c>
      <c r="O1635">
        <v>0</v>
      </c>
      <c r="P1635">
        <v>0</v>
      </c>
      <c r="Q1635" t="str">
        <f>INDEX('Partner data'!A:DH,MATCH(C1635,'Partner data'!DG:DG,0),83)</f>
        <v>Soggetto pubblico</v>
      </c>
      <c r="R1635" t="b">
        <f>IF(E1635="staff",IF(INDEX('Partner data'!A:DH,MATCH(C1635,'Partner data'!DG:DG,0),112)="BL1 non presente","FALSO",INDEX('Partner data'!A:DH,MATCH(C1635,'Partner data'!DG:DG,0),112)))</f>
        <v>0</v>
      </c>
      <c r="S1635" t="b">
        <f t="shared" si="50"/>
        <v>0</v>
      </c>
      <c r="T1635" t="b">
        <f t="shared" si="51"/>
        <v>1</v>
      </c>
      <c r="U1635" s="154">
        <f>IFERROR(IF(R1635&lt;&gt;FALSE,IF(S1635=TRUE,INDEX('SummaryNOT_VALIDATED-BL'!$A$1:$F$16,MATCH(R1635,'SummaryNOT_VALIDATED-BL'!$A$1:$A$16,0),6),0),IF(S1635=TRUE,INDEX('SummaryNOT_VALIDATED-BL'!$A$1:$F$16,MATCH(E1635,'SummaryNOT_VALIDATED-BL'!$A$1:$A$16,0),6),0)),0)</f>
        <v>0</v>
      </c>
      <c r="V1635" s="81" cm="1">
        <f t="array" ref="V1635">INDEX('Weight tables'!$A$24:$C$27,MATCH(1,(RendicontiTrasmessiBL__2[[#This Row],[Cut percentage on real costs + USC]]&gt;='Weight tables'!$B$24:$B$27)*(RendicontiTrasmessiBL__2[[#This Row],[Cut percentage on real costs + USC]]&lt;='Weight tables'!$C$24:$C$27),0),1)</f>
        <v>0</v>
      </c>
      <c r="W1635" s="2">
        <f>RendicontiTrasmessiBL__2[[#This Row],[Weight real costs  + USC ]]</f>
        <v>0</v>
      </c>
    </row>
    <row r="1636" spans="1:23" x14ac:dyDescent="0.25">
      <c r="A1636" s="1" t="s">
        <v>60</v>
      </c>
      <c r="B1636" s="1" t="s">
        <v>329</v>
      </c>
      <c r="C1636" s="2">
        <v>173</v>
      </c>
      <c r="D1636" s="2">
        <v>276</v>
      </c>
      <c r="E1636" s="1" t="s">
        <v>233</v>
      </c>
      <c r="G1636">
        <v>0</v>
      </c>
      <c r="H1636">
        <v>0</v>
      </c>
      <c r="I1636">
        <v>0</v>
      </c>
      <c r="J1636">
        <v>0</v>
      </c>
      <c r="K1636">
        <v>0</v>
      </c>
      <c r="L1636">
        <v>0</v>
      </c>
      <c r="M1636">
        <v>0</v>
      </c>
      <c r="N1636">
        <v>0</v>
      </c>
      <c r="O1636">
        <v>0</v>
      </c>
      <c r="P1636">
        <v>0</v>
      </c>
      <c r="Q1636" t="str">
        <f>INDEX('Partner data'!A:DH,MATCH(C1636,'Partner data'!DG:DG,0),83)</f>
        <v>Soggetto pubblico</v>
      </c>
      <c r="R1636" t="b">
        <f>IF(E1636="staff",IF(INDEX('Partner data'!A:DH,MATCH(C1636,'Partner data'!DG:DG,0),112)="BL1 non presente","FALSO",INDEX('Partner data'!A:DH,MATCH(C1636,'Partner data'!DG:DG,0),112)))</f>
        <v>0</v>
      </c>
      <c r="S1636" t="b">
        <f t="shared" si="50"/>
        <v>0</v>
      </c>
      <c r="T1636" t="b">
        <f t="shared" si="51"/>
        <v>1</v>
      </c>
      <c r="U1636" s="154">
        <f>IFERROR(IF(R1636&lt;&gt;FALSE,IF(S1636=TRUE,INDEX('SummaryNOT_VALIDATED-BL'!$A$1:$F$16,MATCH(R1636,'SummaryNOT_VALIDATED-BL'!$A$1:$A$16,0),6),0),IF(S1636=TRUE,INDEX('SummaryNOT_VALIDATED-BL'!$A$1:$F$16,MATCH(E1636,'SummaryNOT_VALIDATED-BL'!$A$1:$A$16,0),6),0)),0)</f>
        <v>0</v>
      </c>
      <c r="V1636" s="81" cm="1">
        <f t="array" ref="V1636">INDEX('Weight tables'!$A$24:$C$27,MATCH(1,(RendicontiTrasmessiBL__2[[#This Row],[Cut percentage on real costs + USC]]&gt;='Weight tables'!$B$24:$B$27)*(RendicontiTrasmessiBL__2[[#This Row],[Cut percentage on real costs + USC]]&lt;='Weight tables'!$C$24:$C$27),0),1)</f>
        <v>0</v>
      </c>
      <c r="W1636" s="2">
        <f>RendicontiTrasmessiBL__2[[#This Row],[Weight real costs  + USC ]]</f>
        <v>0</v>
      </c>
    </row>
    <row r="1637" spans="1:23" x14ac:dyDescent="0.25">
      <c r="A1637" s="1" t="s">
        <v>60</v>
      </c>
      <c r="B1637" s="1" t="s">
        <v>329</v>
      </c>
      <c r="C1637" s="2">
        <v>173</v>
      </c>
      <c r="D1637" s="2">
        <v>276</v>
      </c>
      <c r="E1637" s="1" t="s">
        <v>234</v>
      </c>
      <c r="G1637">
        <v>0</v>
      </c>
      <c r="H1637">
        <v>0</v>
      </c>
      <c r="I1637">
        <v>0</v>
      </c>
      <c r="J1637">
        <v>0</v>
      </c>
      <c r="K1637">
        <v>0</v>
      </c>
      <c r="L1637">
        <v>0</v>
      </c>
      <c r="M1637">
        <v>0</v>
      </c>
      <c r="N1637">
        <v>0</v>
      </c>
      <c r="O1637">
        <v>0</v>
      </c>
      <c r="P1637">
        <v>0</v>
      </c>
      <c r="Q1637" t="str">
        <f>INDEX('Partner data'!A:DH,MATCH(C1637,'Partner data'!DG:DG,0),83)</f>
        <v>Soggetto pubblico</v>
      </c>
      <c r="R1637" t="b">
        <f>IF(E1637="staff",IF(INDEX('Partner data'!A:DH,MATCH(C1637,'Partner data'!DG:DG,0),112)="BL1 non presente","FALSO",INDEX('Partner data'!A:DH,MATCH(C1637,'Partner data'!DG:DG,0),112)))</f>
        <v>0</v>
      </c>
      <c r="S1637" t="b">
        <f t="shared" si="50"/>
        <v>0</v>
      </c>
      <c r="T1637" t="b">
        <f t="shared" si="51"/>
        <v>1</v>
      </c>
      <c r="U1637" s="154">
        <f>IFERROR(IF(R1637&lt;&gt;FALSE,IF(S1637=TRUE,INDEX('SummaryNOT_VALIDATED-BL'!$A$1:$F$16,MATCH(R1637,'SummaryNOT_VALIDATED-BL'!$A$1:$A$16,0),6),0),IF(S1637=TRUE,INDEX('SummaryNOT_VALIDATED-BL'!$A$1:$F$16,MATCH(E1637,'SummaryNOT_VALIDATED-BL'!$A$1:$A$16,0),6),0)),0)</f>
        <v>0</v>
      </c>
      <c r="V1637" s="81" cm="1">
        <f t="array" ref="V1637">INDEX('Weight tables'!$A$24:$C$27,MATCH(1,(RendicontiTrasmessiBL__2[[#This Row],[Cut percentage on real costs + USC]]&gt;='Weight tables'!$B$24:$B$27)*(RendicontiTrasmessiBL__2[[#This Row],[Cut percentage on real costs + USC]]&lt;='Weight tables'!$C$24:$C$27),0),1)</f>
        <v>0</v>
      </c>
      <c r="W1637" s="2">
        <f>RendicontiTrasmessiBL__2[[#This Row],[Weight real costs  + USC ]]</f>
        <v>0</v>
      </c>
    </row>
    <row r="1638" spans="1:23" x14ac:dyDescent="0.25">
      <c r="A1638" s="1" t="s">
        <v>60</v>
      </c>
      <c r="B1638" s="1" t="s">
        <v>329</v>
      </c>
      <c r="C1638" s="2">
        <v>173</v>
      </c>
      <c r="D1638" s="2">
        <v>276</v>
      </c>
      <c r="E1638" s="1" t="s">
        <v>236</v>
      </c>
      <c r="G1638">
        <v>0</v>
      </c>
      <c r="H1638">
        <v>0</v>
      </c>
      <c r="I1638">
        <v>0</v>
      </c>
      <c r="J1638">
        <v>0</v>
      </c>
      <c r="K1638">
        <v>0</v>
      </c>
      <c r="L1638">
        <v>0</v>
      </c>
      <c r="M1638">
        <v>0</v>
      </c>
      <c r="N1638">
        <v>0</v>
      </c>
      <c r="O1638">
        <v>0</v>
      </c>
      <c r="P1638">
        <v>0</v>
      </c>
      <c r="Q1638" t="str">
        <f>INDEX('Partner data'!A:DH,MATCH(C1638,'Partner data'!DG:DG,0),83)</f>
        <v>Soggetto pubblico</v>
      </c>
      <c r="R1638" t="b">
        <f>IF(E1638="staff",IF(INDEX('Partner data'!A:DH,MATCH(C1638,'Partner data'!DG:DG,0),112)="BL1 non presente","FALSO",INDEX('Partner data'!A:DH,MATCH(C1638,'Partner data'!DG:DG,0),112)))</f>
        <v>0</v>
      </c>
      <c r="S1638" t="b">
        <f t="shared" si="50"/>
        <v>0</v>
      </c>
      <c r="T1638" t="b">
        <f t="shared" si="51"/>
        <v>1</v>
      </c>
      <c r="U1638" s="154">
        <f>IFERROR(IF(R1638&lt;&gt;FALSE,IF(S1638=TRUE,INDEX('SummaryNOT_VALIDATED-BL'!$A$1:$F$16,MATCH(R1638,'SummaryNOT_VALIDATED-BL'!$A$1:$A$16,0),6),0),IF(S1638=TRUE,INDEX('SummaryNOT_VALIDATED-BL'!$A$1:$F$16,MATCH(E1638,'SummaryNOT_VALIDATED-BL'!$A$1:$A$16,0),6),0)),0)</f>
        <v>0</v>
      </c>
      <c r="V1638" s="81" cm="1">
        <f t="array" ref="V1638">INDEX('Weight tables'!$A$24:$C$27,MATCH(1,(RendicontiTrasmessiBL__2[[#This Row],[Cut percentage on real costs + USC]]&gt;='Weight tables'!$B$24:$B$27)*(RendicontiTrasmessiBL__2[[#This Row],[Cut percentage on real costs + USC]]&lt;='Weight tables'!$C$24:$C$27),0),1)</f>
        <v>0</v>
      </c>
      <c r="W1638" s="2">
        <f>RendicontiTrasmessiBL__2[[#This Row],[Weight real costs  + USC ]]</f>
        <v>0</v>
      </c>
    </row>
    <row r="1639" spans="1:23" x14ac:dyDescent="0.25">
      <c r="A1639" s="1" t="s">
        <v>60</v>
      </c>
      <c r="B1639" s="1" t="s">
        <v>329</v>
      </c>
      <c r="C1639" s="2">
        <v>173</v>
      </c>
      <c r="D1639" s="2">
        <v>276</v>
      </c>
      <c r="E1639" s="1" t="s">
        <v>237</v>
      </c>
      <c r="G1639">
        <v>0</v>
      </c>
      <c r="H1639">
        <v>0</v>
      </c>
      <c r="I1639">
        <v>0</v>
      </c>
      <c r="J1639">
        <v>0</v>
      </c>
      <c r="K1639">
        <v>0</v>
      </c>
      <c r="L1639">
        <v>0</v>
      </c>
      <c r="M1639">
        <v>0</v>
      </c>
      <c r="N1639">
        <v>0</v>
      </c>
      <c r="O1639">
        <v>0</v>
      </c>
      <c r="P1639">
        <v>0</v>
      </c>
      <c r="Q1639" t="str">
        <f>INDEX('Partner data'!A:DH,MATCH(C1639,'Partner data'!DG:DG,0),83)</f>
        <v>Soggetto pubblico</v>
      </c>
      <c r="R1639" t="b">
        <f>IF(E1639="staff",IF(INDEX('Partner data'!A:DH,MATCH(C1639,'Partner data'!DG:DG,0),112)="BL1 non presente","FALSO",INDEX('Partner data'!A:DH,MATCH(C1639,'Partner data'!DG:DG,0),112)))</f>
        <v>0</v>
      </c>
      <c r="S1639" t="b">
        <f t="shared" si="50"/>
        <v>0</v>
      </c>
      <c r="T1639" t="b">
        <f t="shared" si="51"/>
        <v>1</v>
      </c>
      <c r="U1639" s="154">
        <f>IFERROR(IF(R1639&lt;&gt;FALSE,IF(S1639=TRUE,INDEX('SummaryNOT_VALIDATED-BL'!$A$1:$F$16,MATCH(R1639,'SummaryNOT_VALIDATED-BL'!$A$1:$A$16,0),6),0),IF(S1639=TRUE,INDEX('SummaryNOT_VALIDATED-BL'!$A$1:$F$16,MATCH(E1639,'SummaryNOT_VALIDATED-BL'!$A$1:$A$16,0),6),0)),0)</f>
        <v>0</v>
      </c>
      <c r="V1639" s="81" cm="1">
        <f t="array" ref="V1639">INDEX('Weight tables'!$A$24:$C$27,MATCH(1,(RendicontiTrasmessiBL__2[[#This Row],[Cut percentage on real costs + USC]]&gt;='Weight tables'!$B$24:$B$27)*(RendicontiTrasmessiBL__2[[#This Row],[Cut percentage on real costs + USC]]&lt;='Weight tables'!$C$24:$C$27),0),1)</f>
        <v>0</v>
      </c>
      <c r="W1639" s="2">
        <f>RendicontiTrasmessiBL__2[[#This Row],[Weight real costs  + USC ]]</f>
        <v>0</v>
      </c>
    </row>
    <row r="1640" spans="1:23" x14ac:dyDescent="0.25">
      <c r="A1640" s="1" t="s">
        <v>60</v>
      </c>
      <c r="B1640" s="1" t="s">
        <v>329</v>
      </c>
      <c r="C1640" s="2">
        <v>173</v>
      </c>
      <c r="D1640" s="2">
        <v>78</v>
      </c>
      <c r="E1640" s="1" t="s">
        <v>228</v>
      </c>
      <c r="F1640">
        <v>20</v>
      </c>
      <c r="G1640">
        <v>16250</v>
      </c>
      <c r="H1640">
        <v>0</v>
      </c>
      <c r="I1640">
        <v>0</v>
      </c>
      <c r="J1640">
        <v>0</v>
      </c>
      <c r="K1640">
        <v>0</v>
      </c>
      <c r="L1640">
        <v>0</v>
      </c>
      <c r="M1640">
        <v>0</v>
      </c>
      <c r="N1640">
        <v>0</v>
      </c>
      <c r="O1640">
        <v>16250</v>
      </c>
      <c r="P1640">
        <v>0</v>
      </c>
      <c r="Q1640" t="str">
        <f>INDEX('Partner data'!A:DH,MATCH(C1640,'Partner data'!DG:DG,0),83)</f>
        <v>Soggetto pubblico</v>
      </c>
      <c r="R1640" t="str">
        <f>IF(E1640="staff",IF(INDEX('Partner data'!A:DH,MATCH(C1640,'Partner data'!DG:DG,0),112)="BL1 non presente","FALSO",INDEX('Partner data'!A:DH,MATCH(C1640,'Partner data'!DG:DG,0),112)))</f>
        <v>Tasso Forfettario 20%</v>
      </c>
      <c r="S1640" t="b">
        <f t="shared" si="50"/>
        <v>0</v>
      </c>
      <c r="T1640" t="b">
        <f t="shared" si="51"/>
        <v>1</v>
      </c>
      <c r="U1640" s="154">
        <f>IFERROR(IF(R1640&lt;&gt;FALSE,IF(S1640=TRUE,INDEX('SummaryNOT_VALIDATED-BL'!$A$1:$F$16,MATCH(R1640,'SummaryNOT_VALIDATED-BL'!$A$1:$A$16,0),6),0),IF(S1640=TRUE,INDEX('SummaryNOT_VALIDATED-BL'!$A$1:$F$16,MATCH(E1640,'SummaryNOT_VALIDATED-BL'!$A$1:$A$16,0),6),0)),0)</f>
        <v>0</v>
      </c>
      <c r="V1640" s="81" cm="1">
        <f t="array" ref="V1640">INDEX('Weight tables'!$A$24:$C$27,MATCH(1,(RendicontiTrasmessiBL__2[[#This Row],[Cut percentage on real costs + USC]]&gt;='Weight tables'!$B$24:$B$27)*(RendicontiTrasmessiBL__2[[#This Row],[Cut percentage on real costs + USC]]&lt;='Weight tables'!$C$24:$C$27),0),1)</f>
        <v>0</v>
      </c>
      <c r="W1640" s="2">
        <f>RendicontiTrasmessiBL__2[[#This Row],[Weight real costs  + USC ]]</f>
        <v>0</v>
      </c>
    </row>
    <row r="1641" spans="1:23" x14ac:dyDescent="0.25">
      <c r="A1641" s="1" t="s">
        <v>60</v>
      </c>
      <c r="B1641" s="1" t="s">
        <v>329</v>
      </c>
      <c r="C1641" s="2">
        <v>173</v>
      </c>
      <c r="D1641" s="2">
        <v>78</v>
      </c>
      <c r="E1641" s="1" t="s">
        <v>229</v>
      </c>
      <c r="F1641">
        <v>15</v>
      </c>
      <c r="G1641">
        <v>2437.5</v>
      </c>
      <c r="H1641">
        <v>0</v>
      </c>
      <c r="I1641">
        <v>0</v>
      </c>
      <c r="J1641">
        <v>0</v>
      </c>
      <c r="K1641">
        <v>0</v>
      </c>
      <c r="L1641">
        <v>0</v>
      </c>
      <c r="M1641">
        <v>0</v>
      </c>
      <c r="N1641">
        <v>0</v>
      </c>
      <c r="O1641">
        <v>2437.5</v>
      </c>
      <c r="P1641">
        <v>0</v>
      </c>
      <c r="Q1641" t="str">
        <f>INDEX('Partner data'!A:DH,MATCH(C1641,'Partner data'!DG:DG,0),83)</f>
        <v>Soggetto pubblico</v>
      </c>
      <c r="R1641" t="b">
        <f>IF(E1641="staff",IF(INDEX('Partner data'!A:DH,MATCH(C1641,'Partner data'!DG:DG,0),112)="BL1 non presente","FALSO",INDEX('Partner data'!A:DH,MATCH(C1641,'Partner data'!DG:DG,0),112)))</f>
        <v>0</v>
      </c>
      <c r="S1641" t="b">
        <f t="shared" si="50"/>
        <v>0</v>
      </c>
      <c r="T1641" t="b">
        <f t="shared" si="51"/>
        <v>1</v>
      </c>
      <c r="U1641" s="154">
        <f>IFERROR(IF(R1641&lt;&gt;FALSE,IF(S1641=TRUE,INDEX('SummaryNOT_VALIDATED-BL'!$A$1:$F$16,MATCH(R1641,'SummaryNOT_VALIDATED-BL'!$A$1:$A$16,0),6),0),IF(S1641=TRUE,INDEX('SummaryNOT_VALIDATED-BL'!$A$1:$F$16,MATCH(E1641,'SummaryNOT_VALIDATED-BL'!$A$1:$A$16,0),6),0)),0)</f>
        <v>0</v>
      </c>
      <c r="V1641" s="81" cm="1">
        <f t="array" ref="V1641">INDEX('Weight tables'!$A$24:$C$27,MATCH(1,(RendicontiTrasmessiBL__2[[#This Row],[Cut percentage on real costs + USC]]&gt;='Weight tables'!$B$24:$B$27)*(RendicontiTrasmessiBL__2[[#This Row],[Cut percentage on real costs + USC]]&lt;='Weight tables'!$C$24:$C$27),0),1)</f>
        <v>0</v>
      </c>
      <c r="W1641" s="2">
        <f>RendicontiTrasmessiBL__2[[#This Row],[Weight real costs  + USC ]]</f>
        <v>0</v>
      </c>
    </row>
    <row r="1642" spans="1:23" x14ac:dyDescent="0.25">
      <c r="A1642" s="1" t="s">
        <v>60</v>
      </c>
      <c r="B1642" s="1" t="s">
        <v>329</v>
      </c>
      <c r="C1642" s="2">
        <v>173</v>
      </c>
      <c r="D1642" s="2">
        <v>78</v>
      </c>
      <c r="E1642" s="1" t="s">
        <v>230</v>
      </c>
      <c r="F1642">
        <v>4</v>
      </c>
      <c r="G1642">
        <v>650</v>
      </c>
      <c r="H1642">
        <v>0</v>
      </c>
      <c r="I1642">
        <v>0</v>
      </c>
      <c r="J1642">
        <v>0</v>
      </c>
      <c r="K1642">
        <v>0</v>
      </c>
      <c r="L1642">
        <v>0</v>
      </c>
      <c r="M1642">
        <v>0</v>
      </c>
      <c r="N1642">
        <v>0</v>
      </c>
      <c r="O1642">
        <v>650</v>
      </c>
      <c r="P1642">
        <v>0</v>
      </c>
      <c r="Q1642" t="str">
        <f>INDEX('Partner data'!A:DH,MATCH(C1642,'Partner data'!DG:DG,0),83)</f>
        <v>Soggetto pubblico</v>
      </c>
      <c r="R1642" t="b">
        <f>IF(E1642="staff",IF(INDEX('Partner data'!A:DH,MATCH(C1642,'Partner data'!DG:DG,0),112)="BL1 non presente","FALSO",INDEX('Partner data'!A:DH,MATCH(C1642,'Partner data'!DG:DG,0),112)))</f>
        <v>0</v>
      </c>
      <c r="S1642" t="b">
        <f t="shared" si="50"/>
        <v>0</v>
      </c>
      <c r="T1642" t="b">
        <f t="shared" si="51"/>
        <v>1</v>
      </c>
      <c r="U1642" s="154">
        <f>IFERROR(IF(R1642&lt;&gt;FALSE,IF(S1642=TRUE,INDEX('SummaryNOT_VALIDATED-BL'!$A$1:$F$16,MATCH(R1642,'SummaryNOT_VALIDATED-BL'!$A$1:$A$16,0),6),0),IF(S1642=TRUE,INDEX('SummaryNOT_VALIDATED-BL'!$A$1:$F$16,MATCH(E1642,'SummaryNOT_VALIDATED-BL'!$A$1:$A$16,0),6),0)),0)</f>
        <v>0</v>
      </c>
      <c r="V1642" s="81" cm="1">
        <f t="array" ref="V1642">INDEX('Weight tables'!$A$24:$C$27,MATCH(1,(RendicontiTrasmessiBL__2[[#This Row],[Cut percentage on real costs + USC]]&gt;='Weight tables'!$B$24:$B$27)*(RendicontiTrasmessiBL__2[[#This Row],[Cut percentage on real costs + USC]]&lt;='Weight tables'!$C$24:$C$27),0),1)</f>
        <v>0</v>
      </c>
      <c r="W1642" s="2">
        <f>RendicontiTrasmessiBL__2[[#This Row],[Weight real costs  + USC ]]</f>
        <v>0</v>
      </c>
    </row>
    <row r="1643" spans="1:23" x14ac:dyDescent="0.25">
      <c r="A1643" s="1" t="s">
        <v>60</v>
      </c>
      <c r="B1643" s="1" t="s">
        <v>329</v>
      </c>
      <c r="C1643" s="2">
        <v>173</v>
      </c>
      <c r="D1643" s="2">
        <v>78</v>
      </c>
      <c r="E1643" s="1" t="s">
        <v>231</v>
      </c>
      <c r="G1643">
        <v>81250</v>
      </c>
      <c r="H1643">
        <v>0</v>
      </c>
      <c r="I1643">
        <v>0</v>
      </c>
      <c r="J1643">
        <v>0</v>
      </c>
      <c r="K1643">
        <v>0</v>
      </c>
      <c r="L1643">
        <v>0</v>
      </c>
      <c r="M1643">
        <v>0</v>
      </c>
      <c r="N1643">
        <v>0</v>
      </c>
      <c r="O1643">
        <v>81250</v>
      </c>
      <c r="P1643">
        <v>0</v>
      </c>
      <c r="Q1643" t="str">
        <f>INDEX('Partner data'!A:DH,MATCH(C1643,'Partner data'!DG:DG,0),83)</f>
        <v>Soggetto pubblico</v>
      </c>
      <c r="R1643" t="b">
        <f>IF(E1643="staff",IF(INDEX('Partner data'!A:DH,MATCH(C1643,'Partner data'!DG:DG,0),112)="BL1 non presente","FALSO",INDEX('Partner data'!A:DH,MATCH(C1643,'Partner data'!DG:DG,0),112)))</f>
        <v>0</v>
      </c>
      <c r="S1643" t="b">
        <f t="shared" si="50"/>
        <v>0</v>
      </c>
      <c r="T1643" t="b">
        <f t="shared" si="51"/>
        <v>1</v>
      </c>
      <c r="U1643" s="154">
        <f>IFERROR(IF(R1643&lt;&gt;FALSE,IF(S1643=TRUE,INDEX('SummaryNOT_VALIDATED-BL'!$A$1:$F$16,MATCH(R1643,'SummaryNOT_VALIDATED-BL'!$A$1:$A$16,0),6),0),IF(S1643=TRUE,INDEX('SummaryNOT_VALIDATED-BL'!$A$1:$F$16,MATCH(E1643,'SummaryNOT_VALIDATED-BL'!$A$1:$A$16,0),6),0)),0)</f>
        <v>0</v>
      </c>
      <c r="V1643" s="81" cm="1">
        <f t="array" ref="V1643">INDEX('Weight tables'!$A$24:$C$27,MATCH(1,(RendicontiTrasmessiBL__2[[#This Row],[Cut percentage on real costs + USC]]&gt;='Weight tables'!$B$24:$B$27)*(RendicontiTrasmessiBL__2[[#This Row],[Cut percentage on real costs + USC]]&lt;='Weight tables'!$C$24:$C$27),0),1)</f>
        <v>0</v>
      </c>
      <c r="W1643" s="2">
        <f>RendicontiTrasmessiBL__2[[#This Row],[Weight real costs  + USC ]]</f>
        <v>0</v>
      </c>
    </row>
    <row r="1644" spans="1:23" x14ac:dyDescent="0.25">
      <c r="A1644" s="1" t="s">
        <v>60</v>
      </c>
      <c r="B1644" s="1" t="s">
        <v>329</v>
      </c>
      <c r="C1644" s="2">
        <v>173</v>
      </c>
      <c r="D1644" s="2">
        <v>78</v>
      </c>
      <c r="E1644" s="1" t="s">
        <v>232</v>
      </c>
      <c r="G1644">
        <v>0</v>
      </c>
      <c r="H1644">
        <v>0</v>
      </c>
      <c r="I1644">
        <v>0</v>
      </c>
      <c r="J1644">
        <v>0</v>
      </c>
      <c r="K1644">
        <v>0</v>
      </c>
      <c r="L1644">
        <v>0</v>
      </c>
      <c r="M1644">
        <v>0</v>
      </c>
      <c r="N1644">
        <v>0</v>
      </c>
      <c r="O1644">
        <v>0</v>
      </c>
      <c r="P1644">
        <v>0</v>
      </c>
      <c r="Q1644" t="str">
        <f>INDEX('Partner data'!A:DH,MATCH(C1644,'Partner data'!DG:DG,0),83)</f>
        <v>Soggetto pubblico</v>
      </c>
      <c r="R1644" t="b">
        <f>IF(E1644="staff",IF(INDEX('Partner data'!A:DH,MATCH(C1644,'Partner data'!DG:DG,0),112)="BL1 non presente","FALSO",INDEX('Partner data'!A:DH,MATCH(C1644,'Partner data'!DG:DG,0),112)))</f>
        <v>0</v>
      </c>
      <c r="S1644" t="b">
        <f t="shared" si="50"/>
        <v>0</v>
      </c>
      <c r="T1644" t="b">
        <f t="shared" si="51"/>
        <v>1</v>
      </c>
      <c r="U1644" s="154">
        <f>IFERROR(IF(R1644&lt;&gt;FALSE,IF(S1644=TRUE,INDEX('SummaryNOT_VALIDATED-BL'!$A$1:$F$16,MATCH(R1644,'SummaryNOT_VALIDATED-BL'!$A$1:$A$16,0),6),0),IF(S1644=TRUE,INDEX('SummaryNOT_VALIDATED-BL'!$A$1:$F$16,MATCH(E1644,'SummaryNOT_VALIDATED-BL'!$A$1:$A$16,0),6),0)),0)</f>
        <v>0</v>
      </c>
      <c r="V1644" s="81" cm="1">
        <f t="array" ref="V1644">INDEX('Weight tables'!$A$24:$C$27,MATCH(1,(RendicontiTrasmessiBL__2[[#This Row],[Cut percentage on real costs + USC]]&gt;='Weight tables'!$B$24:$B$27)*(RendicontiTrasmessiBL__2[[#This Row],[Cut percentage on real costs + USC]]&lt;='Weight tables'!$C$24:$C$27),0),1)</f>
        <v>0</v>
      </c>
      <c r="W1644" s="2">
        <f>RendicontiTrasmessiBL__2[[#This Row],[Weight real costs  + USC ]]</f>
        <v>0</v>
      </c>
    </row>
    <row r="1645" spans="1:23" x14ac:dyDescent="0.25">
      <c r="A1645" s="1" t="s">
        <v>60</v>
      </c>
      <c r="B1645" s="1" t="s">
        <v>329</v>
      </c>
      <c r="C1645" s="2">
        <v>173</v>
      </c>
      <c r="D1645" s="2">
        <v>78</v>
      </c>
      <c r="E1645" s="1" t="s">
        <v>233</v>
      </c>
      <c r="G1645">
        <v>0</v>
      </c>
      <c r="H1645">
        <v>0</v>
      </c>
      <c r="I1645">
        <v>0</v>
      </c>
      <c r="J1645">
        <v>0</v>
      </c>
      <c r="K1645">
        <v>0</v>
      </c>
      <c r="L1645">
        <v>0</v>
      </c>
      <c r="M1645">
        <v>0</v>
      </c>
      <c r="N1645">
        <v>0</v>
      </c>
      <c r="O1645">
        <v>0</v>
      </c>
      <c r="P1645">
        <v>0</v>
      </c>
      <c r="Q1645" t="str">
        <f>INDEX('Partner data'!A:DH,MATCH(C1645,'Partner data'!DG:DG,0),83)</f>
        <v>Soggetto pubblico</v>
      </c>
      <c r="R1645" t="b">
        <f>IF(E1645="staff",IF(INDEX('Partner data'!A:DH,MATCH(C1645,'Partner data'!DG:DG,0),112)="BL1 non presente","FALSO",INDEX('Partner data'!A:DH,MATCH(C1645,'Partner data'!DG:DG,0),112)))</f>
        <v>0</v>
      </c>
      <c r="S1645" t="b">
        <f t="shared" si="50"/>
        <v>0</v>
      </c>
      <c r="T1645" t="b">
        <f t="shared" si="51"/>
        <v>1</v>
      </c>
      <c r="U1645" s="154">
        <f>IFERROR(IF(R1645&lt;&gt;FALSE,IF(S1645=TRUE,INDEX('SummaryNOT_VALIDATED-BL'!$A$1:$F$16,MATCH(R1645,'SummaryNOT_VALIDATED-BL'!$A$1:$A$16,0),6),0),IF(S1645=TRUE,INDEX('SummaryNOT_VALIDATED-BL'!$A$1:$F$16,MATCH(E1645,'SummaryNOT_VALIDATED-BL'!$A$1:$A$16,0),6),0)),0)</f>
        <v>0</v>
      </c>
      <c r="V1645" s="81" cm="1">
        <f t="array" ref="V1645">INDEX('Weight tables'!$A$24:$C$27,MATCH(1,(RendicontiTrasmessiBL__2[[#This Row],[Cut percentage on real costs + USC]]&gt;='Weight tables'!$B$24:$B$27)*(RendicontiTrasmessiBL__2[[#This Row],[Cut percentage on real costs + USC]]&lt;='Weight tables'!$C$24:$C$27),0),1)</f>
        <v>0</v>
      </c>
      <c r="W1645" s="2">
        <f>RendicontiTrasmessiBL__2[[#This Row],[Weight real costs  + USC ]]</f>
        <v>0</v>
      </c>
    </row>
    <row r="1646" spans="1:23" x14ac:dyDescent="0.25">
      <c r="A1646" s="1" t="s">
        <v>60</v>
      </c>
      <c r="B1646" s="1" t="s">
        <v>329</v>
      </c>
      <c r="C1646" s="2">
        <v>173</v>
      </c>
      <c r="D1646" s="2">
        <v>78</v>
      </c>
      <c r="E1646" s="1" t="s">
        <v>234</v>
      </c>
      <c r="G1646">
        <v>0</v>
      </c>
      <c r="H1646">
        <v>0</v>
      </c>
      <c r="I1646">
        <v>0</v>
      </c>
      <c r="J1646">
        <v>0</v>
      </c>
      <c r="K1646">
        <v>0</v>
      </c>
      <c r="L1646">
        <v>0</v>
      </c>
      <c r="M1646">
        <v>0</v>
      </c>
      <c r="N1646">
        <v>0</v>
      </c>
      <c r="O1646">
        <v>0</v>
      </c>
      <c r="P1646">
        <v>0</v>
      </c>
      <c r="Q1646" t="str">
        <f>INDEX('Partner data'!A:DH,MATCH(C1646,'Partner data'!DG:DG,0),83)</f>
        <v>Soggetto pubblico</v>
      </c>
      <c r="R1646" t="b">
        <f>IF(E1646="staff",IF(INDEX('Partner data'!A:DH,MATCH(C1646,'Partner data'!DG:DG,0),112)="BL1 non presente","FALSO",INDEX('Partner data'!A:DH,MATCH(C1646,'Partner data'!DG:DG,0),112)))</f>
        <v>0</v>
      </c>
      <c r="S1646" t="b">
        <f t="shared" si="50"/>
        <v>0</v>
      </c>
      <c r="T1646" t="b">
        <f t="shared" si="51"/>
        <v>1</v>
      </c>
      <c r="U1646" s="154">
        <f>IFERROR(IF(R1646&lt;&gt;FALSE,IF(S1646=TRUE,INDEX('SummaryNOT_VALIDATED-BL'!$A$1:$F$16,MATCH(R1646,'SummaryNOT_VALIDATED-BL'!$A$1:$A$16,0),6),0),IF(S1646=TRUE,INDEX('SummaryNOT_VALIDATED-BL'!$A$1:$F$16,MATCH(E1646,'SummaryNOT_VALIDATED-BL'!$A$1:$A$16,0),6),0)),0)</f>
        <v>0</v>
      </c>
      <c r="V1646" s="81" cm="1">
        <f t="array" ref="V1646">INDEX('Weight tables'!$A$24:$C$27,MATCH(1,(RendicontiTrasmessiBL__2[[#This Row],[Cut percentage on real costs + USC]]&gt;='Weight tables'!$B$24:$B$27)*(RendicontiTrasmessiBL__2[[#This Row],[Cut percentage on real costs + USC]]&lt;='Weight tables'!$C$24:$C$27),0),1)</f>
        <v>0</v>
      </c>
      <c r="W1646" s="2">
        <f>RendicontiTrasmessiBL__2[[#This Row],[Weight real costs  + USC ]]</f>
        <v>0</v>
      </c>
    </row>
    <row r="1647" spans="1:23" x14ac:dyDescent="0.25">
      <c r="A1647" s="1" t="s">
        <v>60</v>
      </c>
      <c r="B1647" s="1" t="s">
        <v>329</v>
      </c>
      <c r="C1647" s="2">
        <v>173</v>
      </c>
      <c r="D1647" s="2">
        <v>78</v>
      </c>
      <c r="E1647" s="1" t="s">
        <v>236</v>
      </c>
      <c r="G1647">
        <v>0</v>
      </c>
      <c r="H1647">
        <v>0</v>
      </c>
      <c r="I1647">
        <v>0</v>
      </c>
      <c r="J1647">
        <v>0</v>
      </c>
      <c r="K1647">
        <v>0</v>
      </c>
      <c r="L1647">
        <v>0</v>
      </c>
      <c r="M1647">
        <v>0</v>
      </c>
      <c r="N1647">
        <v>0</v>
      </c>
      <c r="O1647">
        <v>0</v>
      </c>
      <c r="P1647">
        <v>0</v>
      </c>
      <c r="Q1647" t="str">
        <f>INDEX('Partner data'!A:DH,MATCH(C1647,'Partner data'!DG:DG,0),83)</f>
        <v>Soggetto pubblico</v>
      </c>
      <c r="R1647" t="b">
        <f>IF(E1647="staff",IF(INDEX('Partner data'!A:DH,MATCH(C1647,'Partner data'!DG:DG,0),112)="BL1 non presente","FALSO",INDEX('Partner data'!A:DH,MATCH(C1647,'Partner data'!DG:DG,0),112)))</f>
        <v>0</v>
      </c>
      <c r="S1647" t="b">
        <f t="shared" si="50"/>
        <v>0</v>
      </c>
      <c r="T1647" t="b">
        <f t="shared" si="51"/>
        <v>1</v>
      </c>
      <c r="U1647" s="154">
        <f>IFERROR(IF(R1647&lt;&gt;FALSE,IF(S1647=TRUE,INDEX('SummaryNOT_VALIDATED-BL'!$A$1:$F$16,MATCH(R1647,'SummaryNOT_VALIDATED-BL'!$A$1:$A$16,0),6),0),IF(S1647=TRUE,INDEX('SummaryNOT_VALIDATED-BL'!$A$1:$F$16,MATCH(E1647,'SummaryNOT_VALIDATED-BL'!$A$1:$A$16,0),6),0)),0)</f>
        <v>0</v>
      </c>
      <c r="V1647" s="81" cm="1">
        <f t="array" ref="V1647">INDEX('Weight tables'!$A$24:$C$27,MATCH(1,(RendicontiTrasmessiBL__2[[#This Row],[Cut percentage on real costs + USC]]&gt;='Weight tables'!$B$24:$B$27)*(RendicontiTrasmessiBL__2[[#This Row],[Cut percentage on real costs + USC]]&lt;='Weight tables'!$C$24:$C$27),0),1)</f>
        <v>0</v>
      </c>
      <c r="W1647" s="2">
        <f>RendicontiTrasmessiBL__2[[#This Row],[Weight real costs  + USC ]]</f>
        <v>0</v>
      </c>
    </row>
    <row r="1648" spans="1:23" x14ac:dyDescent="0.25">
      <c r="A1648" s="1" t="s">
        <v>60</v>
      </c>
      <c r="B1648" s="1" t="s">
        <v>329</v>
      </c>
      <c r="C1648" s="2">
        <v>173</v>
      </c>
      <c r="D1648" s="2">
        <v>78</v>
      </c>
      <c r="E1648" s="1" t="s">
        <v>237</v>
      </c>
      <c r="G1648">
        <v>0</v>
      </c>
      <c r="H1648">
        <v>0</v>
      </c>
      <c r="I1648">
        <v>0</v>
      </c>
      <c r="J1648">
        <v>0</v>
      </c>
      <c r="K1648">
        <v>0</v>
      </c>
      <c r="L1648">
        <v>0</v>
      </c>
      <c r="M1648">
        <v>0</v>
      </c>
      <c r="N1648">
        <v>0</v>
      </c>
      <c r="O1648">
        <v>0</v>
      </c>
      <c r="P1648">
        <v>0</v>
      </c>
      <c r="Q1648" t="str">
        <f>INDEX('Partner data'!A:DH,MATCH(C1648,'Partner data'!DG:DG,0),83)</f>
        <v>Soggetto pubblico</v>
      </c>
      <c r="R1648" t="b">
        <f>IF(E1648="staff",IF(INDEX('Partner data'!A:DH,MATCH(C1648,'Partner data'!DG:DG,0),112)="BL1 non presente","FALSO",INDEX('Partner data'!A:DH,MATCH(C1648,'Partner data'!DG:DG,0),112)))</f>
        <v>0</v>
      </c>
      <c r="S1648" t="b">
        <f t="shared" si="50"/>
        <v>0</v>
      </c>
      <c r="T1648" t="b">
        <f t="shared" si="51"/>
        <v>1</v>
      </c>
      <c r="U1648" s="154">
        <f>IFERROR(IF(R1648&lt;&gt;FALSE,IF(S1648=TRUE,INDEX('SummaryNOT_VALIDATED-BL'!$A$1:$F$16,MATCH(R1648,'SummaryNOT_VALIDATED-BL'!$A$1:$A$16,0),6),0),IF(S1648=TRUE,INDEX('SummaryNOT_VALIDATED-BL'!$A$1:$F$16,MATCH(E1648,'SummaryNOT_VALIDATED-BL'!$A$1:$A$16,0),6),0)),0)</f>
        <v>0</v>
      </c>
      <c r="V1648" s="81" cm="1">
        <f t="array" ref="V1648">INDEX('Weight tables'!$A$24:$C$27,MATCH(1,(RendicontiTrasmessiBL__2[[#This Row],[Cut percentage on real costs + USC]]&gt;='Weight tables'!$B$24:$B$27)*(RendicontiTrasmessiBL__2[[#This Row],[Cut percentage on real costs + USC]]&lt;='Weight tables'!$C$24:$C$27),0),1)</f>
        <v>0</v>
      </c>
      <c r="W1648" s="2">
        <f>RendicontiTrasmessiBL__2[[#This Row],[Weight real costs  + USC ]]</f>
        <v>0</v>
      </c>
    </row>
    <row r="1649" spans="1:23" x14ac:dyDescent="0.25">
      <c r="A1649" s="1" t="s">
        <v>60</v>
      </c>
      <c r="B1649" s="1" t="s">
        <v>35</v>
      </c>
      <c r="C1649" s="2">
        <v>95</v>
      </c>
      <c r="D1649" s="2">
        <v>258</v>
      </c>
      <c r="E1649" s="1" t="s">
        <v>228</v>
      </c>
      <c r="G1649">
        <v>61650</v>
      </c>
      <c r="H1649">
        <v>9965.98</v>
      </c>
      <c r="I1649">
        <v>0</v>
      </c>
      <c r="J1649">
        <v>11133.01</v>
      </c>
      <c r="K1649">
        <v>0</v>
      </c>
      <c r="L1649">
        <v>11133.01</v>
      </c>
      <c r="M1649">
        <v>21098.99</v>
      </c>
      <c r="N1649">
        <v>34.22</v>
      </c>
      <c r="O1649">
        <v>40551.01</v>
      </c>
      <c r="P1649">
        <v>7830.36</v>
      </c>
      <c r="Q1649" t="str">
        <f>INDEX('Partner data'!A:DH,MATCH(C1649,'Partner data'!DG:DG,0),83)</f>
        <v>Soggetto pubblico</v>
      </c>
      <c r="R1649" t="str">
        <f>IF(E1649="staff",IF(INDEX('Partner data'!A:DH,MATCH(C1649,'Partner data'!DG:DG,0),112)="BL1 non presente","FALSO",INDEX('Partner data'!A:DH,MATCH(C1649,'Partner data'!DG:DG,0),112)))</f>
        <v>COSTO REALE</v>
      </c>
      <c r="S1649" t="b">
        <f t="shared" si="50"/>
        <v>1</v>
      </c>
      <c r="T1649" t="b">
        <f t="shared" si="51"/>
        <v>1</v>
      </c>
      <c r="U1649" s="154">
        <f>IFERROR(IF(R1649&lt;&gt;FALSE,IF(S1649=TRUE,INDEX('SummaryNOT_VALIDATED-BL'!$A$1:$F$16,MATCH(R1649,'SummaryNOT_VALIDATED-BL'!$A$1:$A$16,0),6),0),IF(S1649=TRUE,INDEX('SummaryNOT_VALIDATED-BL'!$A$1:$F$16,MATCH(E1649,'SummaryNOT_VALIDATED-BL'!$A$1:$A$16,0),6),0)),0)</f>
        <v>9.1604133276901048E-2</v>
      </c>
      <c r="V1649" s="81" cm="1">
        <f t="array" ref="V1649">INDEX('Weight tables'!$A$24:$C$27,MATCH(1,(RendicontiTrasmessiBL__2[[#This Row],[Cut percentage on real costs + USC]]&gt;='Weight tables'!$B$24:$B$27)*(RendicontiTrasmessiBL__2[[#This Row],[Cut percentage on real costs + USC]]&lt;='Weight tables'!$C$24:$C$27),0),1)</f>
        <v>4</v>
      </c>
      <c r="W1649" s="2">
        <f>RendicontiTrasmessiBL__2[[#This Row],[Weight real costs  + USC ]]</f>
        <v>4</v>
      </c>
    </row>
    <row r="1650" spans="1:23" x14ac:dyDescent="0.25">
      <c r="A1650" s="1" t="s">
        <v>60</v>
      </c>
      <c r="B1650" s="1" t="s">
        <v>35</v>
      </c>
      <c r="C1650" s="2">
        <v>95</v>
      </c>
      <c r="D1650" s="2">
        <v>258</v>
      </c>
      <c r="E1650" s="1" t="s">
        <v>229</v>
      </c>
      <c r="F1650">
        <v>15</v>
      </c>
      <c r="G1650">
        <v>9247.5</v>
      </c>
      <c r="H1650">
        <v>1494.89</v>
      </c>
      <c r="I1650">
        <v>0</v>
      </c>
      <c r="J1650">
        <v>1669.95</v>
      </c>
      <c r="K1650">
        <v>0</v>
      </c>
      <c r="L1650">
        <v>1669.95</v>
      </c>
      <c r="M1650">
        <v>3164.84</v>
      </c>
      <c r="N1650">
        <v>34.22</v>
      </c>
      <c r="O1650">
        <v>6082.66</v>
      </c>
      <c r="P1650">
        <v>1174.55</v>
      </c>
      <c r="Q1650" t="str">
        <f>INDEX('Partner data'!A:DH,MATCH(C1650,'Partner data'!DG:DG,0),83)</f>
        <v>Soggetto pubblico</v>
      </c>
      <c r="R1650" t="b">
        <f>IF(E1650="staff",IF(INDEX('Partner data'!A:DH,MATCH(C1650,'Partner data'!DG:DG,0),112)="BL1 non presente","FALSO",INDEX('Partner data'!A:DH,MATCH(C1650,'Partner data'!DG:DG,0),112)))</f>
        <v>0</v>
      </c>
      <c r="S1650" t="b">
        <f t="shared" si="50"/>
        <v>1</v>
      </c>
      <c r="T1650" t="b">
        <f t="shared" si="51"/>
        <v>1</v>
      </c>
      <c r="U1650" s="154">
        <f>IFERROR(IF(R1650&lt;&gt;FALSE,IF(S1650=TRUE,INDEX('SummaryNOT_VALIDATED-BL'!$A$1:$F$16,MATCH(R1650,'SummaryNOT_VALIDATED-BL'!$A$1:$A$16,0),6),0),IF(S1650=TRUE,INDEX('SummaryNOT_VALIDATED-BL'!$A$1:$F$16,MATCH(E1650,'SummaryNOT_VALIDATED-BL'!$A$1:$A$16,0),6),0)),0)</f>
        <v>6.6460469504890221E-2</v>
      </c>
      <c r="V1650" s="81" cm="1">
        <f t="array" ref="V1650">INDEX('Weight tables'!$A$24:$C$27,MATCH(1,(RendicontiTrasmessiBL__2[[#This Row],[Cut percentage on real costs + USC]]&gt;='Weight tables'!$B$24:$B$27)*(RendicontiTrasmessiBL__2[[#This Row],[Cut percentage on real costs + USC]]&lt;='Weight tables'!$C$24:$C$27),0),1)</f>
        <v>4</v>
      </c>
      <c r="W1650" s="2">
        <f>RendicontiTrasmessiBL__2[[#This Row],[Weight real costs  + USC ]]</f>
        <v>4</v>
      </c>
    </row>
    <row r="1651" spans="1:23" x14ac:dyDescent="0.25">
      <c r="A1651" s="1" t="s">
        <v>60</v>
      </c>
      <c r="B1651" s="1" t="s">
        <v>35</v>
      </c>
      <c r="C1651" s="2">
        <v>95</v>
      </c>
      <c r="D1651" s="2">
        <v>258</v>
      </c>
      <c r="E1651" s="1" t="s">
        <v>230</v>
      </c>
      <c r="F1651">
        <v>4</v>
      </c>
      <c r="G1651">
        <v>2466</v>
      </c>
      <c r="H1651">
        <v>398.63</v>
      </c>
      <c r="I1651">
        <v>0</v>
      </c>
      <c r="J1651">
        <v>445.32</v>
      </c>
      <c r="K1651">
        <v>0</v>
      </c>
      <c r="L1651">
        <v>445.32</v>
      </c>
      <c r="M1651">
        <v>843.95</v>
      </c>
      <c r="N1651">
        <v>34.22</v>
      </c>
      <c r="O1651">
        <v>1622.05</v>
      </c>
      <c r="P1651">
        <v>313.20999999999998</v>
      </c>
      <c r="Q1651" t="str">
        <f>INDEX('Partner data'!A:DH,MATCH(C1651,'Partner data'!DG:DG,0),83)</f>
        <v>Soggetto pubblico</v>
      </c>
      <c r="R1651" t="b">
        <f>IF(E1651="staff",IF(INDEX('Partner data'!A:DH,MATCH(C1651,'Partner data'!DG:DG,0),112)="BL1 non presente","FALSO",INDEX('Partner data'!A:DH,MATCH(C1651,'Partner data'!DG:DG,0),112)))</f>
        <v>0</v>
      </c>
      <c r="S1651" t="b">
        <f t="shared" si="50"/>
        <v>1</v>
      </c>
      <c r="T1651" t="b">
        <f t="shared" si="51"/>
        <v>1</v>
      </c>
      <c r="U1651" s="154">
        <f>IFERROR(IF(R1651&lt;&gt;FALSE,IF(S1651=TRUE,INDEX('SummaryNOT_VALIDATED-BL'!$A$1:$F$16,MATCH(R1651,'SummaryNOT_VALIDATED-BL'!$A$1:$A$16,0),6),0),IF(S1651=TRUE,INDEX('SummaryNOT_VALIDATED-BL'!$A$1:$F$16,MATCH(E1651,'SummaryNOT_VALIDATED-BL'!$A$1:$A$16,0),6),0)),0)</f>
        <v>6.3112622236488891E-2</v>
      </c>
      <c r="V1651" s="81" cm="1">
        <f t="array" ref="V1651">INDEX('Weight tables'!$A$24:$C$27,MATCH(1,(RendicontiTrasmessiBL__2[[#This Row],[Cut percentage on real costs + USC]]&gt;='Weight tables'!$B$24:$B$27)*(RendicontiTrasmessiBL__2[[#This Row],[Cut percentage on real costs + USC]]&lt;='Weight tables'!$C$24:$C$27),0),1)</f>
        <v>4</v>
      </c>
      <c r="W1651" s="2">
        <f>RendicontiTrasmessiBL__2[[#This Row],[Weight real costs  + USC ]]</f>
        <v>4</v>
      </c>
    </row>
    <row r="1652" spans="1:23" x14ac:dyDescent="0.25">
      <c r="A1652" s="1" t="s">
        <v>60</v>
      </c>
      <c r="B1652" s="1" t="s">
        <v>35</v>
      </c>
      <c r="C1652" s="2">
        <v>95</v>
      </c>
      <c r="D1652" s="2">
        <v>258</v>
      </c>
      <c r="E1652" s="1" t="s">
        <v>231</v>
      </c>
      <c r="G1652">
        <v>37000</v>
      </c>
      <c r="H1652">
        <v>0</v>
      </c>
      <c r="I1652">
        <v>0</v>
      </c>
      <c r="J1652">
        <v>2055.1999999999998</v>
      </c>
      <c r="K1652">
        <v>0</v>
      </c>
      <c r="L1652">
        <v>2055.1999999999998</v>
      </c>
      <c r="M1652">
        <v>2055.1999999999998</v>
      </c>
      <c r="N1652">
        <v>5.55</v>
      </c>
      <c r="O1652">
        <v>34944.800000000003</v>
      </c>
      <c r="P1652">
        <v>0</v>
      </c>
      <c r="Q1652" t="str">
        <f>INDEX('Partner data'!A:DH,MATCH(C1652,'Partner data'!DG:DG,0),83)</f>
        <v>Soggetto pubblico</v>
      </c>
      <c r="R1652" t="b">
        <f>IF(E1652="staff",IF(INDEX('Partner data'!A:DH,MATCH(C1652,'Partner data'!DG:DG,0),112)="BL1 non presente","FALSO",INDEX('Partner data'!A:DH,MATCH(C1652,'Partner data'!DG:DG,0),112)))</f>
        <v>0</v>
      </c>
      <c r="S1652" t="b">
        <f t="shared" si="50"/>
        <v>1</v>
      </c>
      <c r="T1652" t="b">
        <f t="shared" si="51"/>
        <v>1</v>
      </c>
      <c r="U1652" s="154">
        <f>IFERROR(IF(R1652&lt;&gt;FALSE,IF(S1652=TRUE,INDEX('SummaryNOT_VALIDATED-BL'!$A$1:$F$16,MATCH(R1652,'SummaryNOT_VALIDATED-BL'!$A$1:$A$16,0),6),0),IF(S1652=TRUE,INDEX('SummaryNOT_VALIDATED-BL'!$A$1:$F$16,MATCH(E1652,'SummaryNOT_VALIDATED-BL'!$A$1:$A$16,0),6),0)),0)</f>
        <v>5.577594442215475E-2</v>
      </c>
      <c r="V1652" s="81" cm="1">
        <f t="array" ref="V1652">INDEX('Weight tables'!$A$24:$C$27,MATCH(1,(RendicontiTrasmessiBL__2[[#This Row],[Cut percentage on real costs + USC]]&gt;='Weight tables'!$B$24:$B$27)*(RendicontiTrasmessiBL__2[[#This Row],[Cut percentage on real costs + USC]]&lt;='Weight tables'!$C$24:$C$27),0),1)</f>
        <v>4</v>
      </c>
      <c r="W1652" s="2">
        <f>RendicontiTrasmessiBL__2[[#This Row],[Weight real costs  + USC ]]</f>
        <v>4</v>
      </c>
    </row>
    <row r="1653" spans="1:23" x14ac:dyDescent="0.25">
      <c r="A1653" s="1" t="s">
        <v>60</v>
      </c>
      <c r="B1653" s="1" t="s">
        <v>35</v>
      </c>
      <c r="C1653" s="2">
        <v>95</v>
      </c>
      <c r="D1653" s="2">
        <v>258</v>
      </c>
      <c r="E1653" s="1" t="s">
        <v>232</v>
      </c>
      <c r="G1653">
        <v>0</v>
      </c>
      <c r="H1653">
        <v>0</v>
      </c>
      <c r="I1653">
        <v>0</v>
      </c>
      <c r="J1653">
        <v>0</v>
      </c>
      <c r="K1653">
        <v>0</v>
      </c>
      <c r="L1653">
        <v>0</v>
      </c>
      <c r="M1653">
        <v>0</v>
      </c>
      <c r="N1653">
        <v>0</v>
      </c>
      <c r="O1653">
        <v>0</v>
      </c>
      <c r="P1653">
        <v>0</v>
      </c>
      <c r="Q1653" t="str">
        <f>INDEX('Partner data'!A:DH,MATCH(C1653,'Partner data'!DG:DG,0),83)</f>
        <v>Soggetto pubblico</v>
      </c>
      <c r="R1653" t="b">
        <f>IF(E1653="staff",IF(INDEX('Partner data'!A:DH,MATCH(C1653,'Partner data'!DG:DG,0),112)="BL1 non presente","FALSO",INDEX('Partner data'!A:DH,MATCH(C1653,'Partner data'!DG:DG,0),112)))</f>
        <v>0</v>
      </c>
      <c r="S1653" t="b">
        <f t="shared" si="50"/>
        <v>0</v>
      </c>
      <c r="T1653" t="b">
        <f t="shared" si="51"/>
        <v>1</v>
      </c>
      <c r="U1653" s="154">
        <f>IFERROR(IF(R1653&lt;&gt;FALSE,IF(S1653=TRUE,INDEX('SummaryNOT_VALIDATED-BL'!$A$1:$F$16,MATCH(R1653,'SummaryNOT_VALIDATED-BL'!$A$1:$A$16,0),6),0),IF(S1653=TRUE,INDEX('SummaryNOT_VALIDATED-BL'!$A$1:$F$16,MATCH(E1653,'SummaryNOT_VALIDATED-BL'!$A$1:$A$16,0),6),0)),0)</f>
        <v>0</v>
      </c>
      <c r="V1653" s="81" cm="1">
        <f t="array" ref="V1653">INDEX('Weight tables'!$A$24:$C$27,MATCH(1,(RendicontiTrasmessiBL__2[[#This Row],[Cut percentage on real costs + USC]]&gt;='Weight tables'!$B$24:$B$27)*(RendicontiTrasmessiBL__2[[#This Row],[Cut percentage on real costs + USC]]&lt;='Weight tables'!$C$24:$C$27),0),1)</f>
        <v>0</v>
      </c>
      <c r="W1653" s="2">
        <f>RendicontiTrasmessiBL__2[[#This Row],[Weight real costs  + USC ]]</f>
        <v>0</v>
      </c>
    </row>
    <row r="1654" spans="1:23" x14ac:dyDescent="0.25">
      <c r="A1654" s="1" t="s">
        <v>60</v>
      </c>
      <c r="B1654" s="1" t="s">
        <v>35</v>
      </c>
      <c r="C1654" s="2">
        <v>95</v>
      </c>
      <c r="D1654" s="2">
        <v>258</v>
      </c>
      <c r="E1654" s="1" t="s">
        <v>233</v>
      </c>
      <c r="G1654">
        <v>0</v>
      </c>
      <c r="H1654">
        <v>0</v>
      </c>
      <c r="I1654">
        <v>0</v>
      </c>
      <c r="J1654">
        <v>0</v>
      </c>
      <c r="K1654">
        <v>0</v>
      </c>
      <c r="L1654">
        <v>0</v>
      </c>
      <c r="M1654">
        <v>0</v>
      </c>
      <c r="N1654">
        <v>0</v>
      </c>
      <c r="O1654">
        <v>0</v>
      </c>
      <c r="P1654">
        <v>0</v>
      </c>
      <c r="Q1654" t="str">
        <f>INDEX('Partner data'!A:DH,MATCH(C1654,'Partner data'!DG:DG,0),83)</f>
        <v>Soggetto pubblico</v>
      </c>
      <c r="R1654" t="b">
        <f>IF(E1654="staff",IF(INDEX('Partner data'!A:DH,MATCH(C1654,'Partner data'!DG:DG,0),112)="BL1 non presente","FALSO",INDEX('Partner data'!A:DH,MATCH(C1654,'Partner data'!DG:DG,0),112)))</f>
        <v>0</v>
      </c>
      <c r="S1654" t="b">
        <f t="shared" si="50"/>
        <v>0</v>
      </c>
      <c r="T1654" t="b">
        <f t="shared" si="51"/>
        <v>1</v>
      </c>
      <c r="U1654" s="154">
        <f>IFERROR(IF(R1654&lt;&gt;FALSE,IF(S1654=TRUE,INDEX('SummaryNOT_VALIDATED-BL'!$A$1:$F$16,MATCH(R1654,'SummaryNOT_VALIDATED-BL'!$A$1:$A$16,0),6),0),IF(S1654=TRUE,INDEX('SummaryNOT_VALIDATED-BL'!$A$1:$F$16,MATCH(E1654,'SummaryNOT_VALIDATED-BL'!$A$1:$A$16,0),6),0)),0)</f>
        <v>0</v>
      </c>
      <c r="V1654" s="81" cm="1">
        <f t="array" ref="V1654">INDEX('Weight tables'!$A$24:$C$27,MATCH(1,(RendicontiTrasmessiBL__2[[#This Row],[Cut percentage on real costs + USC]]&gt;='Weight tables'!$B$24:$B$27)*(RendicontiTrasmessiBL__2[[#This Row],[Cut percentage on real costs + USC]]&lt;='Weight tables'!$C$24:$C$27),0),1)</f>
        <v>0</v>
      </c>
      <c r="W1654" s="2">
        <f>RendicontiTrasmessiBL__2[[#This Row],[Weight real costs  + USC ]]</f>
        <v>0</v>
      </c>
    </row>
    <row r="1655" spans="1:23" x14ac:dyDescent="0.25">
      <c r="A1655" s="1" t="s">
        <v>60</v>
      </c>
      <c r="B1655" s="1" t="s">
        <v>35</v>
      </c>
      <c r="C1655" s="2">
        <v>95</v>
      </c>
      <c r="D1655" s="2">
        <v>258</v>
      </c>
      <c r="E1655" s="1" t="s">
        <v>234</v>
      </c>
      <c r="G1655">
        <v>0</v>
      </c>
      <c r="H1655">
        <v>0</v>
      </c>
      <c r="I1655">
        <v>0</v>
      </c>
      <c r="J1655">
        <v>0</v>
      </c>
      <c r="K1655">
        <v>0</v>
      </c>
      <c r="L1655">
        <v>0</v>
      </c>
      <c r="M1655">
        <v>0</v>
      </c>
      <c r="N1655">
        <v>0</v>
      </c>
      <c r="O1655">
        <v>0</v>
      </c>
      <c r="P1655">
        <v>0</v>
      </c>
      <c r="Q1655" t="str">
        <f>INDEX('Partner data'!A:DH,MATCH(C1655,'Partner data'!DG:DG,0),83)</f>
        <v>Soggetto pubblico</v>
      </c>
      <c r="R1655" t="b">
        <f>IF(E1655="staff",IF(INDEX('Partner data'!A:DH,MATCH(C1655,'Partner data'!DG:DG,0),112)="BL1 non presente","FALSO",INDEX('Partner data'!A:DH,MATCH(C1655,'Partner data'!DG:DG,0),112)))</f>
        <v>0</v>
      </c>
      <c r="S1655" t="b">
        <f t="shared" si="50"/>
        <v>0</v>
      </c>
      <c r="T1655" t="b">
        <f t="shared" si="51"/>
        <v>1</v>
      </c>
      <c r="U1655" s="154">
        <f>IFERROR(IF(R1655&lt;&gt;FALSE,IF(S1655=TRUE,INDEX('SummaryNOT_VALIDATED-BL'!$A$1:$F$16,MATCH(R1655,'SummaryNOT_VALIDATED-BL'!$A$1:$A$16,0),6),0),IF(S1655=TRUE,INDEX('SummaryNOT_VALIDATED-BL'!$A$1:$F$16,MATCH(E1655,'SummaryNOT_VALIDATED-BL'!$A$1:$A$16,0),6),0)),0)</f>
        <v>0</v>
      </c>
      <c r="V1655" s="81" cm="1">
        <f t="array" ref="V1655">INDEX('Weight tables'!$A$24:$C$27,MATCH(1,(RendicontiTrasmessiBL__2[[#This Row],[Cut percentage on real costs + USC]]&gt;='Weight tables'!$B$24:$B$27)*(RendicontiTrasmessiBL__2[[#This Row],[Cut percentage on real costs + USC]]&lt;='Weight tables'!$C$24:$C$27),0),1)</f>
        <v>0</v>
      </c>
      <c r="W1655" s="2">
        <f>RendicontiTrasmessiBL__2[[#This Row],[Weight real costs  + USC ]]</f>
        <v>0</v>
      </c>
    </row>
    <row r="1656" spans="1:23" x14ac:dyDescent="0.25">
      <c r="A1656" s="1" t="s">
        <v>60</v>
      </c>
      <c r="B1656" s="1" t="s">
        <v>35</v>
      </c>
      <c r="C1656" s="2">
        <v>95</v>
      </c>
      <c r="D1656" s="2">
        <v>258</v>
      </c>
      <c r="E1656" s="1" t="s">
        <v>236</v>
      </c>
      <c r="G1656">
        <v>0</v>
      </c>
      <c r="H1656">
        <v>0</v>
      </c>
      <c r="I1656">
        <v>0</v>
      </c>
      <c r="J1656">
        <v>0</v>
      </c>
      <c r="K1656">
        <v>0</v>
      </c>
      <c r="L1656">
        <v>0</v>
      </c>
      <c r="M1656">
        <v>0</v>
      </c>
      <c r="N1656">
        <v>0</v>
      </c>
      <c r="O1656">
        <v>0</v>
      </c>
      <c r="P1656">
        <v>0</v>
      </c>
      <c r="Q1656" t="str">
        <f>INDEX('Partner data'!A:DH,MATCH(C1656,'Partner data'!DG:DG,0),83)</f>
        <v>Soggetto pubblico</v>
      </c>
      <c r="R1656" t="b">
        <f>IF(E1656="staff",IF(INDEX('Partner data'!A:DH,MATCH(C1656,'Partner data'!DG:DG,0),112)="BL1 non presente","FALSO",INDEX('Partner data'!A:DH,MATCH(C1656,'Partner data'!DG:DG,0),112)))</f>
        <v>0</v>
      </c>
      <c r="S1656" t="b">
        <f t="shared" si="50"/>
        <v>0</v>
      </c>
      <c r="T1656" t="b">
        <f t="shared" si="51"/>
        <v>1</v>
      </c>
      <c r="U1656" s="154">
        <f>IFERROR(IF(R1656&lt;&gt;FALSE,IF(S1656=TRUE,INDEX('SummaryNOT_VALIDATED-BL'!$A$1:$F$16,MATCH(R1656,'SummaryNOT_VALIDATED-BL'!$A$1:$A$16,0),6),0),IF(S1656=TRUE,INDEX('SummaryNOT_VALIDATED-BL'!$A$1:$F$16,MATCH(E1656,'SummaryNOT_VALIDATED-BL'!$A$1:$A$16,0),6),0)),0)</f>
        <v>0</v>
      </c>
      <c r="V1656" s="81" cm="1">
        <f t="array" ref="V1656">INDEX('Weight tables'!$A$24:$C$27,MATCH(1,(RendicontiTrasmessiBL__2[[#This Row],[Cut percentage on real costs + USC]]&gt;='Weight tables'!$B$24:$B$27)*(RendicontiTrasmessiBL__2[[#This Row],[Cut percentage on real costs + USC]]&lt;='Weight tables'!$C$24:$C$27),0),1)</f>
        <v>0</v>
      </c>
      <c r="W1656" s="2">
        <f>RendicontiTrasmessiBL__2[[#This Row],[Weight real costs  + USC ]]</f>
        <v>0</v>
      </c>
    </row>
    <row r="1657" spans="1:23" x14ac:dyDescent="0.25">
      <c r="A1657" s="1" t="s">
        <v>60</v>
      </c>
      <c r="B1657" s="1" t="s">
        <v>35</v>
      </c>
      <c r="C1657" s="2">
        <v>95</v>
      </c>
      <c r="D1657" s="2">
        <v>258</v>
      </c>
      <c r="E1657" s="1" t="s">
        <v>237</v>
      </c>
      <c r="G1657">
        <v>0</v>
      </c>
      <c r="H1657">
        <v>0</v>
      </c>
      <c r="I1657">
        <v>0</v>
      </c>
      <c r="J1657">
        <v>0</v>
      </c>
      <c r="K1657">
        <v>0</v>
      </c>
      <c r="L1657">
        <v>0</v>
      </c>
      <c r="M1657">
        <v>0</v>
      </c>
      <c r="N1657">
        <v>0</v>
      </c>
      <c r="O1657">
        <v>0</v>
      </c>
      <c r="P1657">
        <v>0</v>
      </c>
      <c r="Q1657" t="str">
        <f>INDEX('Partner data'!A:DH,MATCH(C1657,'Partner data'!DG:DG,0),83)</f>
        <v>Soggetto pubblico</v>
      </c>
      <c r="R1657" t="b">
        <f>IF(E1657="staff",IF(INDEX('Partner data'!A:DH,MATCH(C1657,'Partner data'!DG:DG,0),112)="BL1 non presente","FALSO",INDEX('Partner data'!A:DH,MATCH(C1657,'Partner data'!DG:DG,0),112)))</f>
        <v>0</v>
      </c>
      <c r="S1657" t="b">
        <f t="shared" si="50"/>
        <v>0</v>
      </c>
      <c r="T1657" t="b">
        <f t="shared" si="51"/>
        <v>1</v>
      </c>
      <c r="U1657" s="154">
        <f>IFERROR(IF(R1657&lt;&gt;FALSE,IF(S1657=TRUE,INDEX('SummaryNOT_VALIDATED-BL'!$A$1:$F$16,MATCH(R1657,'SummaryNOT_VALIDATED-BL'!$A$1:$A$16,0),6),0),IF(S1657=TRUE,INDEX('SummaryNOT_VALIDATED-BL'!$A$1:$F$16,MATCH(E1657,'SummaryNOT_VALIDATED-BL'!$A$1:$A$16,0),6),0)),0)</f>
        <v>0</v>
      </c>
      <c r="V1657" s="81" cm="1">
        <f t="array" ref="V1657">INDEX('Weight tables'!$A$24:$C$27,MATCH(1,(RendicontiTrasmessiBL__2[[#This Row],[Cut percentage on real costs + USC]]&gt;='Weight tables'!$B$24:$B$27)*(RendicontiTrasmessiBL__2[[#This Row],[Cut percentage on real costs + USC]]&lt;='Weight tables'!$C$24:$C$27),0),1)</f>
        <v>0</v>
      </c>
      <c r="W1657" s="2">
        <f>RendicontiTrasmessiBL__2[[#This Row],[Weight real costs  + USC ]]</f>
        <v>0</v>
      </c>
    </row>
    <row r="1658" spans="1:23" x14ac:dyDescent="0.25">
      <c r="A1658" s="1" t="s">
        <v>60</v>
      </c>
      <c r="B1658" s="1" t="s">
        <v>35</v>
      </c>
      <c r="C1658" s="2">
        <v>95</v>
      </c>
      <c r="D1658" s="2">
        <v>42</v>
      </c>
      <c r="E1658" s="1" t="s">
        <v>228</v>
      </c>
      <c r="G1658">
        <v>61650</v>
      </c>
      <c r="H1658">
        <v>0</v>
      </c>
      <c r="I1658">
        <v>0</v>
      </c>
      <c r="J1658">
        <v>9965.98</v>
      </c>
      <c r="K1658">
        <v>0</v>
      </c>
      <c r="L1658">
        <v>7830.36</v>
      </c>
      <c r="M1658">
        <v>9965.98</v>
      </c>
      <c r="N1658">
        <v>16.170000000000002</v>
      </c>
      <c r="O1658">
        <v>51684.02</v>
      </c>
      <c r="P1658">
        <v>0</v>
      </c>
      <c r="Q1658" t="str">
        <f>INDEX('Partner data'!A:DH,MATCH(C1658,'Partner data'!DG:DG,0),83)</f>
        <v>Soggetto pubblico</v>
      </c>
      <c r="R1658" t="str">
        <f>IF(E1658="staff",IF(INDEX('Partner data'!A:DH,MATCH(C1658,'Partner data'!DG:DG,0),112)="BL1 non presente","FALSO",INDEX('Partner data'!A:DH,MATCH(C1658,'Partner data'!DG:DG,0),112)))</f>
        <v>COSTO REALE</v>
      </c>
      <c r="S1658" t="b">
        <f t="shared" si="50"/>
        <v>1</v>
      </c>
      <c r="T1658" t="b">
        <f t="shared" si="51"/>
        <v>1</v>
      </c>
      <c r="U1658" s="154">
        <f>IFERROR(IF(R1658&lt;&gt;FALSE,IF(S1658=TRUE,INDEX('SummaryNOT_VALIDATED-BL'!$A$1:$F$16,MATCH(R1658,'SummaryNOT_VALIDATED-BL'!$A$1:$A$16,0),6),0),IF(S1658=TRUE,INDEX('SummaryNOT_VALIDATED-BL'!$A$1:$F$16,MATCH(E1658,'SummaryNOT_VALIDATED-BL'!$A$1:$A$16,0),6),0)),0)</f>
        <v>9.1604133276901048E-2</v>
      </c>
      <c r="V1658" s="81" cm="1">
        <f t="array" ref="V1658">INDEX('Weight tables'!$A$24:$C$27,MATCH(1,(RendicontiTrasmessiBL__2[[#This Row],[Cut percentage on real costs + USC]]&gt;='Weight tables'!$B$24:$B$27)*(RendicontiTrasmessiBL__2[[#This Row],[Cut percentage on real costs + USC]]&lt;='Weight tables'!$C$24:$C$27),0),1)</f>
        <v>4</v>
      </c>
      <c r="W1658" s="2">
        <f>RendicontiTrasmessiBL__2[[#This Row],[Weight real costs  + USC ]]</f>
        <v>4</v>
      </c>
    </row>
    <row r="1659" spans="1:23" x14ac:dyDescent="0.25">
      <c r="A1659" s="1" t="s">
        <v>60</v>
      </c>
      <c r="B1659" s="1" t="s">
        <v>35</v>
      </c>
      <c r="C1659" s="2">
        <v>95</v>
      </c>
      <c r="D1659" s="2">
        <v>42</v>
      </c>
      <c r="E1659" s="1" t="s">
        <v>229</v>
      </c>
      <c r="F1659">
        <v>15</v>
      </c>
      <c r="G1659">
        <v>9247.5</v>
      </c>
      <c r="H1659">
        <v>0</v>
      </c>
      <c r="I1659">
        <v>0</v>
      </c>
      <c r="J1659">
        <v>1494.89</v>
      </c>
      <c r="K1659">
        <v>0</v>
      </c>
      <c r="L1659">
        <v>1174.55</v>
      </c>
      <c r="M1659">
        <v>1494.89</v>
      </c>
      <c r="N1659">
        <v>16.170000000000002</v>
      </c>
      <c r="O1659">
        <v>7752.61</v>
      </c>
      <c r="P1659">
        <v>0</v>
      </c>
      <c r="Q1659" t="str">
        <f>INDEX('Partner data'!A:DH,MATCH(C1659,'Partner data'!DG:DG,0),83)</f>
        <v>Soggetto pubblico</v>
      </c>
      <c r="R1659" t="b">
        <f>IF(E1659="staff",IF(INDEX('Partner data'!A:DH,MATCH(C1659,'Partner data'!DG:DG,0),112)="BL1 non presente","FALSO",INDEX('Partner data'!A:DH,MATCH(C1659,'Partner data'!DG:DG,0),112)))</f>
        <v>0</v>
      </c>
      <c r="S1659" t="b">
        <f t="shared" si="50"/>
        <v>1</v>
      </c>
      <c r="T1659" t="b">
        <f t="shared" si="51"/>
        <v>1</v>
      </c>
      <c r="U1659" s="154">
        <f>IFERROR(IF(R1659&lt;&gt;FALSE,IF(S1659=TRUE,INDEX('SummaryNOT_VALIDATED-BL'!$A$1:$F$16,MATCH(R1659,'SummaryNOT_VALIDATED-BL'!$A$1:$A$16,0),6),0),IF(S1659=TRUE,INDEX('SummaryNOT_VALIDATED-BL'!$A$1:$F$16,MATCH(E1659,'SummaryNOT_VALIDATED-BL'!$A$1:$A$16,0),6),0)),0)</f>
        <v>6.6460469504890221E-2</v>
      </c>
      <c r="V1659" s="81" cm="1">
        <f t="array" ref="V1659">INDEX('Weight tables'!$A$24:$C$27,MATCH(1,(RendicontiTrasmessiBL__2[[#This Row],[Cut percentage on real costs + USC]]&gt;='Weight tables'!$B$24:$B$27)*(RendicontiTrasmessiBL__2[[#This Row],[Cut percentage on real costs + USC]]&lt;='Weight tables'!$C$24:$C$27),0),1)</f>
        <v>4</v>
      </c>
      <c r="W1659" s="2">
        <f>RendicontiTrasmessiBL__2[[#This Row],[Weight real costs  + USC ]]</f>
        <v>4</v>
      </c>
    </row>
    <row r="1660" spans="1:23" x14ac:dyDescent="0.25">
      <c r="A1660" s="1" t="s">
        <v>60</v>
      </c>
      <c r="B1660" s="1" t="s">
        <v>35</v>
      </c>
      <c r="C1660" s="2">
        <v>95</v>
      </c>
      <c r="D1660" s="2">
        <v>42</v>
      </c>
      <c r="E1660" s="1" t="s">
        <v>230</v>
      </c>
      <c r="F1660">
        <v>4</v>
      </c>
      <c r="G1660">
        <v>2466</v>
      </c>
      <c r="H1660">
        <v>0</v>
      </c>
      <c r="I1660">
        <v>0</v>
      </c>
      <c r="J1660">
        <v>398.63</v>
      </c>
      <c r="K1660">
        <v>0</v>
      </c>
      <c r="L1660">
        <v>313.20999999999998</v>
      </c>
      <c r="M1660">
        <v>398.63</v>
      </c>
      <c r="N1660">
        <v>16.170000000000002</v>
      </c>
      <c r="O1660">
        <v>2067.37</v>
      </c>
      <c r="P1660">
        <v>0</v>
      </c>
      <c r="Q1660" t="str">
        <f>INDEX('Partner data'!A:DH,MATCH(C1660,'Partner data'!DG:DG,0),83)</f>
        <v>Soggetto pubblico</v>
      </c>
      <c r="R1660" t="b">
        <f>IF(E1660="staff",IF(INDEX('Partner data'!A:DH,MATCH(C1660,'Partner data'!DG:DG,0),112)="BL1 non presente","FALSO",INDEX('Partner data'!A:DH,MATCH(C1660,'Partner data'!DG:DG,0),112)))</f>
        <v>0</v>
      </c>
      <c r="S1660" t="b">
        <f t="shared" si="50"/>
        <v>1</v>
      </c>
      <c r="T1660" t="b">
        <f t="shared" si="51"/>
        <v>1</v>
      </c>
      <c r="U1660" s="154">
        <f>IFERROR(IF(R1660&lt;&gt;FALSE,IF(S1660=TRUE,INDEX('SummaryNOT_VALIDATED-BL'!$A$1:$F$16,MATCH(R1660,'SummaryNOT_VALIDATED-BL'!$A$1:$A$16,0),6),0),IF(S1660=TRUE,INDEX('SummaryNOT_VALIDATED-BL'!$A$1:$F$16,MATCH(E1660,'SummaryNOT_VALIDATED-BL'!$A$1:$A$16,0),6),0)),0)</f>
        <v>6.3112622236488891E-2</v>
      </c>
      <c r="V1660" s="81" cm="1">
        <f t="array" ref="V1660">INDEX('Weight tables'!$A$24:$C$27,MATCH(1,(RendicontiTrasmessiBL__2[[#This Row],[Cut percentage on real costs + USC]]&gt;='Weight tables'!$B$24:$B$27)*(RendicontiTrasmessiBL__2[[#This Row],[Cut percentage on real costs + USC]]&lt;='Weight tables'!$C$24:$C$27),0),1)</f>
        <v>4</v>
      </c>
      <c r="W1660" s="2">
        <f>RendicontiTrasmessiBL__2[[#This Row],[Weight real costs  + USC ]]</f>
        <v>4</v>
      </c>
    </row>
    <row r="1661" spans="1:23" x14ac:dyDescent="0.25">
      <c r="A1661" s="1" t="s">
        <v>60</v>
      </c>
      <c r="B1661" s="1" t="s">
        <v>35</v>
      </c>
      <c r="C1661" s="2">
        <v>95</v>
      </c>
      <c r="D1661" s="2">
        <v>42</v>
      </c>
      <c r="E1661" s="1" t="s">
        <v>231</v>
      </c>
      <c r="G1661">
        <v>37000</v>
      </c>
      <c r="H1661">
        <v>0</v>
      </c>
      <c r="I1661">
        <v>0</v>
      </c>
      <c r="J1661">
        <v>0</v>
      </c>
      <c r="K1661">
        <v>0</v>
      </c>
      <c r="L1661">
        <v>0</v>
      </c>
      <c r="M1661">
        <v>0</v>
      </c>
      <c r="N1661">
        <v>0</v>
      </c>
      <c r="O1661">
        <v>37000</v>
      </c>
      <c r="P1661">
        <v>0</v>
      </c>
      <c r="Q1661" t="str">
        <f>INDEX('Partner data'!A:DH,MATCH(C1661,'Partner data'!DG:DG,0),83)</f>
        <v>Soggetto pubblico</v>
      </c>
      <c r="R1661" t="b">
        <f>IF(E1661="staff",IF(INDEX('Partner data'!A:DH,MATCH(C1661,'Partner data'!DG:DG,0),112)="BL1 non presente","FALSO",INDEX('Partner data'!A:DH,MATCH(C1661,'Partner data'!DG:DG,0),112)))</f>
        <v>0</v>
      </c>
      <c r="S1661" t="b">
        <f t="shared" si="50"/>
        <v>0</v>
      </c>
      <c r="T1661" t="b">
        <f t="shared" si="51"/>
        <v>1</v>
      </c>
      <c r="U1661" s="154">
        <f>IFERROR(IF(R1661&lt;&gt;FALSE,IF(S1661=TRUE,INDEX('SummaryNOT_VALIDATED-BL'!$A$1:$F$16,MATCH(R1661,'SummaryNOT_VALIDATED-BL'!$A$1:$A$16,0),6),0),IF(S1661=TRUE,INDEX('SummaryNOT_VALIDATED-BL'!$A$1:$F$16,MATCH(E1661,'SummaryNOT_VALIDATED-BL'!$A$1:$A$16,0),6),0)),0)</f>
        <v>0</v>
      </c>
      <c r="V1661" s="81" cm="1">
        <f t="array" ref="V1661">INDEX('Weight tables'!$A$24:$C$27,MATCH(1,(RendicontiTrasmessiBL__2[[#This Row],[Cut percentage on real costs + USC]]&gt;='Weight tables'!$B$24:$B$27)*(RendicontiTrasmessiBL__2[[#This Row],[Cut percentage on real costs + USC]]&lt;='Weight tables'!$C$24:$C$27),0),1)</f>
        <v>0</v>
      </c>
      <c r="W1661" s="2">
        <f>RendicontiTrasmessiBL__2[[#This Row],[Weight real costs  + USC ]]</f>
        <v>0</v>
      </c>
    </row>
    <row r="1662" spans="1:23" x14ac:dyDescent="0.25">
      <c r="A1662" s="1" t="s">
        <v>60</v>
      </c>
      <c r="B1662" s="1" t="s">
        <v>35</v>
      </c>
      <c r="C1662" s="2">
        <v>95</v>
      </c>
      <c r="D1662" s="2">
        <v>42</v>
      </c>
      <c r="E1662" s="1" t="s">
        <v>232</v>
      </c>
      <c r="G1662">
        <v>0</v>
      </c>
      <c r="H1662">
        <v>0</v>
      </c>
      <c r="I1662">
        <v>0</v>
      </c>
      <c r="J1662">
        <v>0</v>
      </c>
      <c r="K1662">
        <v>0</v>
      </c>
      <c r="L1662">
        <v>0</v>
      </c>
      <c r="M1662">
        <v>0</v>
      </c>
      <c r="N1662">
        <v>0</v>
      </c>
      <c r="O1662">
        <v>0</v>
      </c>
      <c r="P1662">
        <v>0</v>
      </c>
      <c r="Q1662" t="str">
        <f>INDEX('Partner data'!A:DH,MATCH(C1662,'Partner data'!DG:DG,0),83)</f>
        <v>Soggetto pubblico</v>
      </c>
      <c r="R1662" t="b">
        <f>IF(E1662="staff",IF(INDEX('Partner data'!A:DH,MATCH(C1662,'Partner data'!DG:DG,0),112)="BL1 non presente","FALSO",INDEX('Partner data'!A:DH,MATCH(C1662,'Partner data'!DG:DG,0),112)))</f>
        <v>0</v>
      </c>
      <c r="S1662" t="b">
        <f t="shared" si="50"/>
        <v>0</v>
      </c>
      <c r="T1662" t="b">
        <f t="shared" si="51"/>
        <v>1</v>
      </c>
      <c r="U1662" s="154">
        <f>IFERROR(IF(R1662&lt;&gt;FALSE,IF(S1662=TRUE,INDEX('SummaryNOT_VALIDATED-BL'!$A$1:$F$16,MATCH(R1662,'SummaryNOT_VALIDATED-BL'!$A$1:$A$16,0),6),0),IF(S1662=TRUE,INDEX('SummaryNOT_VALIDATED-BL'!$A$1:$F$16,MATCH(E1662,'SummaryNOT_VALIDATED-BL'!$A$1:$A$16,0),6),0)),0)</f>
        <v>0</v>
      </c>
      <c r="V1662" s="81" cm="1">
        <f t="array" ref="V1662">INDEX('Weight tables'!$A$24:$C$27,MATCH(1,(RendicontiTrasmessiBL__2[[#This Row],[Cut percentage on real costs + USC]]&gt;='Weight tables'!$B$24:$B$27)*(RendicontiTrasmessiBL__2[[#This Row],[Cut percentage on real costs + USC]]&lt;='Weight tables'!$C$24:$C$27),0),1)</f>
        <v>0</v>
      </c>
      <c r="W1662" s="2">
        <f>RendicontiTrasmessiBL__2[[#This Row],[Weight real costs  + USC ]]</f>
        <v>0</v>
      </c>
    </row>
    <row r="1663" spans="1:23" x14ac:dyDescent="0.25">
      <c r="A1663" s="1" t="s">
        <v>60</v>
      </c>
      <c r="B1663" s="1" t="s">
        <v>35</v>
      </c>
      <c r="C1663" s="2">
        <v>95</v>
      </c>
      <c r="D1663" s="2">
        <v>42</v>
      </c>
      <c r="E1663" s="1" t="s">
        <v>233</v>
      </c>
      <c r="G1663">
        <v>0</v>
      </c>
      <c r="H1663">
        <v>0</v>
      </c>
      <c r="I1663">
        <v>0</v>
      </c>
      <c r="J1663">
        <v>0</v>
      </c>
      <c r="K1663">
        <v>0</v>
      </c>
      <c r="L1663">
        <v>0</v>
      </c>
      <c r="M1663">
        <v>0</v>
      </c>
      <c r="N1663">
        <v>0</v>
      </c>
      <c r="O1663">
        <v>0</v>
      </c>
      <c r="P1663">
        <v>0</v>
      </c>
      <c r="Q1663" t="str">
        <f>INDEX('Partner data'!A:DH,MATCH(C1663,'Partner data'!DG:DG,0),83)</f>
        <v>Soggetto pubblico</v>
      </c>
      <c r="R1663" t="b">
        <f>IF(E1663="staff",IF(INDEX('Partner data'!A:DH,MATCH(C1663,'Partner data'!DG:DG,0),112)="BL1 non presente","FALSO",INDEX('Partner data'!A:DH,MATCH(C1663,'Partner data'!DG:DG,0),112)))</f>
        <v>0</v>
      </c>
      <c r="S1663" t="b">
        <f t="shared" si="50"/>
        <v>0</v>
      </c>
      <c r="T1663" t="b">
        <f t="shared" si="51"/>
        <v>1</v>
      </c>
      <c r="U1663" s="154">
        <f>IFERROR(IF(R1663&lt;&gt;FALSE,IF(S1663=TRUE,INDEX('SummaryNOT_VALIDATED-BL'!$A$1:$F$16,MATCH(R1663,'SummaryNOT_VALIDATED-BL'!$A$1:$A$16,0),6),0),IF(S1663=TRUE,INDEX('SummaryNOT_VALIDATED-BL'!$A$1:$F$16,MATCH(E1663,'SummaryNOT_VALIDATED-BL'!$A$1:$A$16,0),6),0)),0)</f>
        <v>0</v>
      </c>
      <c r="V1663" s="81" cm="1">
        <f t="array" ref="V1663">INDEX('Weight tables'!$A$24:$C$27,MATCH(1,(RendicontiTrasmessiBL__2[[#This Row],[Cut percentage on real costs + USC]]&gt;='Weight tables'!$B$24:$B$27)*(RendicontiTrasmessiBL__2[[#This Row],[Cut percentage on real costs + USC]]&lt;='Weight tables'!$C$24:$C$27),0),1)</f>
        <v>0</v>
      </c>
      <c r="W1663" s="2">
        <f>RendicontiTrasmessiBL__2[[#This Row],[Weight real costs  + USC ]]</f>
        <v>0</v>
      </c>
    </row>
    <row r="1664" spans="1:23" x14ac:dyDescent="0.25">
      <c r="A1664" s="1" t="s">
        <v>60</v>
      </c>
      <c r="B1664" s="1" t="s">
        <v>35</v>
      </c>
      <c r="C1664" s="2">
        <v>95</v>
      </c>
      <c r="D1664" s="2">
        <v>42</v>
      </c>
      <c r="E1664" s="1" t="s">
        <v>234</v>
      </c>
      <c r="G1664">
        <v>0</v>
      </c>
      <c r="H1664">
        <v>0</v>
      </c>
      <c r="I1664">
        <v>0</v>
      </c>
      <c r="J1664">
        <v>0</v>
      </c>
      <c r="K1664">
        <v>0</v>
      </c>
      <c r="L1664">
        <v>0</v>
      </c>
      <c r="M1664">
        <v>0</v>
      </c>
      <c r="N1664">
        <v>0</v>
      </c>
      <c r="O1664">
        <v>0</v>
      </c>
      <c r="P1664">
        <v>0</v>
      </c>
      <c r="Q1664" t="str">
        <f>INDEX('Partner data'!A:DH,MATCH(C1664,'Partner data'!DG:DG,0),83)</f>
        <v>Soggetto pubblico</v>
      </c>
      <c r="R1664" t="b">
        <f>IF(E1664="staff",IF(INDEX('Partner data'!A:DH,MATCH(C1664,'Partner data'!DG:DG,0),112)="BL1 non presente","FALSO",INDEX('Partner data'!A:DH,MATCH(C1664,'Partner data'!DG:DG,0),112)))</f>
        <v>0</v>
      </c>
      <c r="S1664" t="b">
        <f t="shared" si="50"/>
        <v>0</v>
      </c>
      <c r="T1664" t="b">
        <f t="shared" si="51"/>
        <v>1</v>
      </c>
      <c r="U1664" s="154">
        <f>IFERROR(IF(R1664&lt;&gt;FALSE,IF(S1664=TRUE,INDEX('SummaryNOT_VALIDATED-BL'!$A$1:$F$16,MATCH(R1664,'SummaryNOT_VALIDATED-BL'!$A$1:$A$16,0),6),0),IF(S1664=TRUE,INDEX('SummaryNOT_VALIDATED-BL'!$A$1:$F$16,MATCH(E1664,'SummaryNOT_VALIDATED-BL'!$A$1:$A$16,0),6),0)),0)</f>
        <v>0</v>
      </c>
      <c r="V1664" s="81" cm="1">
        <f t="array" ref="V1664">INDEX('Weight tables'!$A$24:$C$27,MATCH(1,(RendicontiTrasmessiBL__2[[#This Row],[Cut percentage on real costs + USC]]&gt;='Weight tables'!$B$24:$B$27)*(RendicontiTrasmessiBL__2[[#This Row],[Cut percentage on real costs + USC]]&lt;='Weight tables'!$C$24:$C$27),0),1)</f>
        <v>0</v>
      </c>
      <c r="W1664" s="2">
        <f>RendicontiTrasmessiBL__2[[#This Row],[Weight real costs  + USC ]]</f>
        <v>0</v>
      </c>
    </row>
    <row r="1665" spans="1:23" x14ac:dyDescent="0.25">
      <c r="A1665" s="1" t="s">
        <v>60</v>
      </c>
      <c r="B1665" s="1" t="s">
        <v>35</v>
      </c>
      <c r="C1665" s="2">
        <v>95</v>
      </c>
      <c r="D1665" s="2">
        <v>42</v>
      </c>
      <c r="E1665" s="1" t="s">
        <v>236</v>
      </c>
      <c r="G1665">
        <v>0</v>
      </c>
      <c r="H1665">
        <v>0</v>
      </c>
      <c r="I1665">
        <v>0</v>
      </c>
      <c r="J1665">
        <v>0</v>
      </c>
      <c r="K1665">
        <v>0</v>
      </c>
      <c r="L1665">
        <v>0</v>
      </c>
      <c r="M1665">
        <v>0</v>
      </c>
      <c r="N1665">
        <v>0</v>
      </c>
      <c r="O1665">
        <v>0</v>
      </c>
      <c r="P1665">
        <v>0</v>
      </c>
      <c r="Q1665" t="str">
        <f>INDEX('Partner data'!A:DH,MATCH(C1665,'Partner data'!DG:DG,0),83)</f>
        <v>Soggetto pubblico</v>
      </c>
      <c r="R1665" t="b">
        <f>IF(E1665="staff",IF(INDEX('Partner data'!A:DH,MATCH(C1665,'Partner data'!DG:DG,0),112)="BL1 non presente","FALSO",INDEX('Partner data'!A:DH,MATCH(C1665,'Partner data'!DG:DG,0),112)))</f>
        <v>0</v>
      </c>
      <c r="S1665" t="b">
        <f t="shared" si="50"/>
        <v>0</v>
      </c>
      <c r="T1665" t="b">
        <f t="shared" si="51"/>
        <v>1</v>
      </c>
      <c r="U1665" s="154">
        <f>IFERROR(IF(R1665&lt;&gt;FALSE,IF(S1665=TRUE,INDEX('SummaryNOT_VALIDATED-BL'!$A$1:$F$16,MATCH(R1665,'SummaryNOT_VALIDATED-BL'!$A$1:$A$16,0),6),0),IF(S1665=TRUE,INDEX('SummaryNOT_VALIDATED-BL'!$A$1:$F$16,MATCH(E1665,'SummaryNOT_VALIDATED-BL'!$A$1:$A$16,0),6),0)),0)</f>
        <v>0</v>
      </c>
      <c r="V1665" s="81" cm="1">
        <f t="array" ref="V1665">INDEX('Weight tables'!$A$24:$C$27,MATCH(1,(RendicontiTrasmessiBL__2[[#This Row],[Cut percentage on real costs + USC]]&gt;='Weight tables'!$B$24:$B$27)*(RendicontiTrasmessiBL__2[[#This Row],[Cut percentage on real costs + USC]]&lt;='Weight tables'!$C$24:$C$27),0),1)</f>
        <v>0</v>
      </c>
      <c r="W1665" s="2">
        <f>RendicontiTrasmessiBL__2[[#This Row],[Weight real costs  + USC ]]</f>
        <v>0</v>
      </c>
    </row>
    <row r="1666" spans="1:23" x14ac:dyDescent="0.25">
      <c r="A1666" s="1" t="s">
        <v>60</v>
      </c>
      <c r="B1666" s="1" t="s">
        <v>35</v>
      </c>
      <c r="C1666" s="2">
        <v>95</v>
      </c>
      <c r="D1666" s="2">
        <v>42</v>
      </c>
      <c r="E1666" s="1" t="s">
        <v>237</v>
      </c>
      <c r="G1666">
        <v>0</v>
      </c>
      <c r="H1666">
        <v>0</v>
      </c>
      <c r="I1666">
        <v>0</v>
      </c>
      <c r="J1666">
        <v>0</v>
      </c>
      <c r="K1666">
        <v>0</v>
      </c>
      <c r="L1666">
        <v>0</v>
      </c>
      <c r="M1666">
        <v>0</v>
      </c>
      <c r="N1666">
        <v>0</v>
      </c>
      <c r="O1666">
        <v>0</v>
      </c>
      <c r="P1666">
        <v>0</v>
      </c>
      <c r="Q1666" t="str">
        <f>INDEX('Partner data'!A:DH,MATCH(C1666,'Partner data'!DG:DG,0),83)</f>
        <v>Soggetto pubblico</v>
      </c>
      <c r="R1666" t="b">
        <f>IF(E1666="staff",IF(INDEX('Partner data'!A:DH,MATCH(C1666,'Partner data'!DG:DG,0),112)="BL1 non presente","FALSO",INDEX('Partner data'!A:DH,MATCH(C1666,'Partner data'!DG:DG,0),112)))</f>
        <v>0</v>
      </c>
      <c r="S1666" t="b">
        <f t="shared" ref="S1666:S1729" si="52">IF(J1666&lt;&gt;0,TRUE,FALSE)</f>
        <v>0</v>
      </c>
      <c r="T1666" t="b">
        <f t="shared" ref="T1666:T1729" si="53">OR(Q1666="Soggetto pubblico",Q1666="Organismo di diritto pubblico ")</f>
        <v>1</v>
      </c>
      <c r="U1666" s="154">
        <f>IFERROR(IF(R1666&lt;&gt;FALSE,IF(S1666=TRUE,INDEX('SummaryNOT_VALIDATED-BL'!$A$1:$F$16,MATCH(R1666,'SummaryNOT_VALIDATED-BL'!$A$1:$A$16,0),6),0),IF(S1666=TRUE,INDEX('SummaryNOT_VALIDATED-BL'!$A$1:$F$16,MATCH(E1666,'SummaryNOT_VALIDATED-BL'!$A$1:$A$16,0),6),0)),0)</f>
        <v>0</v>
      </c>
      <c r="V1666" s="81" cm="1">
        <f t="array" ref="V1666">INDEX('Weight tables'!$A$24:$C$27,MATCH(1,(RendicontiTrasmessiBL__2[[#This Row],[Cut percentage on real costs + USC]]&gt;='Weight tables'!$B$24:$B$27)*(RendicontiTrasmessiBL__2[[#This Row],[Cut percentage on real costs + USC]]&lt;='Weight tables'!$C$24:$C$27),0),1)</f>
        <v>0</v>
      </c>
      <c r="W1666" s="2">
        <f>RendicontiTrasmessiBL__2[[#This Row],[Weight real costs  + USC ]]</f>
        <v>0</v>
      </c>
    </row>
    <row r="1667" spans="1:23" x14ac:dyDescent="0.25">
      <c r="A1667" s="1" t="s">
        <v>60</v>
      </c>
      <c r="B1667" s="1" t="s">
        <v>26</v>
      </c>
      <c r="C1667" s="2">
        <v>172</v>
      </c>
      <c r="D1667" s="2">
        <v>251</v>
      </c>
      <c r="E1667" s="1" t="s">
        <v>228</v>
      </c>
      <c r="G1667">
        <v>63000</v>
      </c>
      <c r="H1667">
        <v>9272.2900000000009</v>
      </c>
      <c r="I1667">
        <v>0</v>
      </c>
      <c r="J1667">
        <v>15096.91</v>
      </c>
      <c r="K1667">
        <v>0</v>
      </c>
      <c r="L1667">
        <v>15096.91</v>
      </c>
      <c r="M1667">
        <v>24369.200000000001</v>
      </c>
      <c r="N1667">
        <v>38.68</v>
      </c>
      <c r="O1667">
        <v>38630.800000000003</v>
      </c>
      <c r="P1667">
        <v>8501.9</v>
      </c>
      <c r="Q1667" t="str">
        <f>INDEX('Partner data'!A:DH,MATCH(C1667,'Partner data'!DG:DG,0),83)</f>
        <v>Soggetto privato</v>
      </c>
      <c r="R1667" t="str">
        <f>IF(E1667="staff",IF(INDEX('Partner data'!A:DH,MATCH(C1667,'Partner data'!DG:DG,0),112)="BL1 non presente","FALSO",INDEX('Partner data'!A:DH,MATCH(C1667,'Partner data'!DG:DG,0),112)))</f>
        <v>COSTO REALE</v>
      </c>
      <c r="S1667" t="b">
        <f t="shared" si="52"/>
        <v>1</v>
      </c>
      <c r="T1667" t="b">
        <f t="shared" si="53"/>
        <v>0</v>
      </c>
      <c r="U1667" s="154">
        <f>IFERROR(IF(R1667&lt;&gt;FALSE,IF(S1667=TRUE,INDEX('SummaryNOT_VALIDATED-BL'!$A$1:$F$16,MATCH(R1667,'SummaryNOT_VALIDATED-BL'!$A$1:$A$16,0),6),0),IF(S1667=TRUE,INDEX('SummaryNOT_VALIDATED-BL'!$A$1:$F$16,MATCH(E1667,'SummaryNOT_VALIDATED-BL'!$A$1:$A$16,0),6),0)),0)</f>
        <v>9.1604133276901048E-2</v>
      </c>
      <c r="V1667" s="81" cm="1">
        <f t="array" ref="V1667">INDEX('Weight tables'!$A$24:$C$27,MATCH(1,(RendicontiTrasmessiBL__2[[#This Row],[Cut percentage on real costs + USC]]&gt;='Weight tables'!$B$24:$B$27)*(RendicontiTrasmessiBL__2[[#This Row],[Cut percentage on real costs + USC]]&lt;='Weight tables'!$C$24:$C$27),0),1)</f>
        <v>4</v>
      </c>
      <c r="W1667" s="2">
        <f>RendicontiTrasmessiBL__2[[#This Row],[Weight real costs  + USC ]]</f>
        <v>4</v>
      </c>
    </row>
    <row r="1668" spans="1:23" x14ac:dyDescent="0.25">
      <c r="A1668" s="1" t="s">
        <v>60</v>
      </c>
      <c r="B1668" s="1" t="s">
        <v>26</v>
      </c>
      <c r="C1668" s="2">
        <v>172</v>
      </c>
      <c r="D1668" s="2">
        <v>251</v>
      </c>
      <c r="E1668" s="1" t="s">
        <v>229</v>
      </c>
      <c r="F1668">
        <v>15</v>
      </c>
      <c r="G1668">
        <v>9450</v>
      </c>
      <c r="H1668">
        <v>1390.84</v>
      </c>
      <c r="I1668">
        <v>0</v>
      </c>
      <c r="J1668">
        <v>2264.5300000000002</v>
      </c>
      <c r="K1668">
        <v>0</v>
      </c>
      <c r="L1668">
        <v>2264.5300000000002</v>
      </c>
      <c r="M1668">
        <v>3655.37</v>
      </c>
      <c r="N1668">
        <v>38.68</v>
      </c>
      <c r="O1668">
        <v>5794.63</v>
      </c>
      <c r="P1668">
        <v>1275.28</v>
      </c>
      <c r="Q1668" t="str">
        <f>INDEX('Partner data'!A:DH,MATCH(C1668,'Partner data'!DG:DG,0),83)</f>
        <v>Soggetto privato</v>
      </c>
      <c r="R1668" t="b">
        <f>IF(E1668="staff",IF(INDEX('Partner data'!A:DH,MATCH(C1668,'Partner data'!DG:DG,0),112)="BL1 non presente","FALSO",INDEX('Partner data'!A:DH,MATCH(C1668,'Partner data'!DG:DG,0),112)))</f>
        <v>0</v>
      </c>
      <c r="S1668" t="b">
        <f t="shared" si="52"/>
        <v>1</v>
      </c>
      <c r="T1668" t="b">
        <f t="shared" si="53"/>
        <v>0</v>
      </c>
      <c r="U1668" s="154">
        <f>IFERROR(IF(R1668&lt;&gt;FALSE,IF(S1668=TRUE,INDEX('SummaryNOT_VALIDATED-BL'!$A$1:$F$16,MATCH(R1668,'SummaryNOT_VALIDATED-BL'!$A$1:$A$16,0),6),0),IF(S1668=TRUE,INDEX('SummaryNOT_VALIDATED-BL'!$A$1:$F$16,MATCH(E1668,'SummaryNOT_VALIDATED-BL'!$A$1:$A$16,0),6),0)),0)</f>
        <v>6.6460469504890221E-2</v>
      </c>
      <c r="V1668" s="81" cm="1">
        <f t="array" ref="V1668">INDEX('Weight tables'!$A$24:$C$27,MATCH(1,(RendicontiTrasmessiBL__2[[#This Row],[Cut percentage on real costs + USC]]&gt;='Weight tables'!$B$24:$B$27)*(RendicontiTrasmessiBL__2[[#This Row],[Cut percentage on real costs + USC]]&lt;='Weight tables'!$C$24:$C$27),0),1)</f>
        <v>4</v>
      </c>
      <c r="W1668" s="2">
        <f>RendicontiTrasmessiBL__2[[#This Row],[Weight real costs  + USC ]]</f>
        <v>4</v>
      </c>
    </row>
    <row r="1669" spans="1:23" x14ac:dyDescent="0.25">
      <c r="A1669" s="1" t="s">
        <v>60</v>
      </c>
      <c r="B1669" s="1" t="s">
        <v>26</v>
      </c>
      <c r="C1669" s="2">
        <v>172</v>
      </c>
      <c r="D1669" s="2">
        <v>251</v>
      </c>
      <c r="E1669" s="1" t="s">
        <v>230</v>
      </c>
      <c r="F1669">
        <v>4</v>
      </c>
      <c r="G1669">
        <v>2520</v>
      </c>
      <c r="H1669">
        <v>370.89</v>
      </c>
      <c r="I1669">
        <v>0</v>
      </c>
      <c r="J1669">
        <v>603.87</v>
      </c>
      <c r="K1669">
        <v>0</v>
      </c>
      <c r="L1669">
        <v>603.87</v>
      </c>
      <c r="M1669">
        <v>974.76</v>
      </c>
      <c r="N1669">
        <v>38.68</v>
      </c>
      <c r="O1669">
        <v>1545.24</v>
      </c>
      <c r="P1669">
        <v>340.07</v>
      </c>
      <c r="Q1669" t="str">
        <f>INDEX('Partner data'!A:DH,MATCH(C1669,'Partner data'!DG:DG,0),83)</f>
        <v>Soggetto privato</v>
      </c>
      <c r="R1669" t="b">
        <f>IF(E1669="staff",IF(INDEX('Partner data'!A:DH,MATCH(C1669,'Partner data'!DG:DG,0),112)="BL1 non presente","FALSO",INDEX('Partner data'!A:DH,MATCH(C1669,'Partner data'!DG:DG,0),112)))</f>
        <v>0</v>
      </c>
      <c r="S1669" t="b">
        <f t="shared" si="52"/>
        <v>1</v>
      </c>
      <c r="T1669" t="b">
        <f t="shared" si="53"/>
        <v>0</v>
      </c>
      <c r="U1669" s="154">
        <f>IFERROR(IF(R1669&lt;&gt;FALSE,IF(S1669=TRUE,INDEX('SummaryNOT_VALIDATED-BL'!$A$1:$F$16,MATCH(R1669,'SummaryNOT_VALIDATED-BL'!$A$1:$A$16,0),6),0),IF(S1669=TRUE,INDEX('SummaryNOT_VALIDATED-BL'!$A$1:$F$16,MATCH(E1669,'SummaryNOT_VALIDATED-BL'!$A$1:$A$16,0),6),0)),0)</f>
        <v>6.3112622236488891E-2</v>
      </c>
      <c r="V1669" s="81" cm="1">
        <f t="array" ref="V1669">INDEX('Weight tables'!$A$24:$C$27,MATCH(1,(RendicontiTrasmessiBL__2[[#This Row],[Cut percentage on real costs + USC]]&gt;='Weight tables'!$B$24:$B$27)*(RendicontiTrasmessiBL__2[[#This Row],[Cut percentage on real costs + USC]]&lt;='Weight tables'!$C$24:$C$27),0),1)</f>
        <v>4</v>
      </c>
      <c r="W1669" s="2">
        <f>RendicontiTrasmessiBL__2[[#This Row],[Weight real costs  + USC ]]</f>
        <v>4</v>
      </c>
    </row>
    <row r="1670" spans="1:23" x14ac:dyDescent="0.25">
      <c r="A1670" s="1" t="s">
        <v>60</v>
      </c>
      <c r="B1670" s="1" t="s">
        <v>26</v>
      </c>
      <c r="C1670" s="2">
        <v>172</v>
      </c>
      <c r="D1670" s="2">
        <v>251</v>
      </c>
      <c r="E1670" s="1" t="s">
        <v>231</v>
      </c>
      <c r="G1670">
        <v>44200</v>
      </c>
      <c r="H1670">
        <v>9.7799999999999994</v>
      </c>
      <c r="I1670">
        <v>0</v>
      </c>
      <c r="J1670">
        <v>204</v>
      </c>
      <c r="K1670">
        <v>0</v>
      </c>
      <c r="L1670">
        <v>204</v>
      </c>
      <c r="M1670">
        <v>213.78</v>
      </c>
      <c r="N1670">
        <v>0.48</v>
      </c>
      <c r="O1670">
        <v>43986.22</v>
      </c>
      <c r="P1670">
        <v>9.7799999999999994</v>
      </c>
      <c r="Q1670" t="str">
        <f>INDEX('Partner data'!A:DH,MATCH(C1670,'Partner data'!DG:DG,0),83)</f>
        <v>Soggetto privato</v>
      </c>
      <c r="R1670" t="b">
        <f>IF(E1670="staff",IF(INDEX('Partner data'!A:DH,MATCH(C1670,'Partner data'!DG:DG,0),112)="BL1 non presente","FALSO",INDEX('Partner data'!A:DH,MATCH(C1670,'Partner data'!DG:DG,0),112)))</f>
        <v>0</v>
      </c>
      <c r="S1670" t="b">
        <f t="shared" si="52"/>
        <v>1</v>
      </c>
      <c r="T1670" t="b">
        <f t="shared" si="53"/>
        <v>0</v>
      </c>
      <c r="U1670" s="154">
        <f>IFERROR(IF(R1670&lt;&gt;FALSE,IF(S1670=TRUE,INDEX('SummaryNOT_VALIDATED-BL'!$A$1:$F$16,MATCH(R1670,'SummaryNOT_VALIDATED-BL'!$A$1:$A$16,0),6),0),IF(S1670=TRUE,INDEX('SummaryNOT_VALIDATED-BL'!$A$1:$F$16,MATCH(E1670,'SummaryNOT_VALIDATED-BL'!$A$1:$A$16,0),6),0)),0)</f>
        <v>5.577594442215475E-2</v>
      </c>
      <c r="V1670" s="81" cm="1">
        <f t="array" ref="V1670">INDEX('Weight tables'!$A$24:$C$27,MATCH(1,(RendicontiTrasmessiBL__2[[#This Row],[Cut percentage on real costs + USC]]&gt;='Weight tables'!$B$24:$B$27)*(RendicontiTrasmessiBL__2[[#This Row],[Cut percentage on real costs + USC]]&lt;='Weight tables'!$C$24:$C$27),0),1)</f>
        <v>4</v>
      </c>
      <c r="W1670" s="2">
        <f>RendicontiTrasmessiBL__2[[#This Row],[Weight real costs  + USC ]]</f>
        <v>4</v>
      </c>
    </row>
    <row r="1671" spans="1:23" x14ac:dyDescent="0.25">
      <c r="A1671" s="1" t="s">
        <v>60</v>
      </c>
      <c r="B1671" s="1" t="s">
        <v>26</v>
      </c>
      <c r="C1671" s="2">
        <v>172</v>
      </c>
      <c r="D1671" s="2">
        <v>251</v>
      </c>
      <c r="E1671" s="1" t="s">
        <v>232</v>
      </c>
      <c r="G1671">
        <v>0</v>
      </c>
      <c r="H1671">
        <v>0</v>
      </c>
      <c r="I1671">
        <v>0</v>
      </c>
      <c r="J1671">
        <v>0</v>
      </c>
      <c r="K1671">
        <v>0</v>
      </c>
      <c r="L1671">
        <v>0</v>
      </c>
      <c r="M1671">
        <v>0</v>
      </c>
      <c r="N1671">
        <v>0</v>
      </c>
      <c r="O1671">
        <v>0</v>
      </c>
      <c r="P1671">
        <v>0</v>
      </c>
      <c r="Q1671" t="str">
        <f>INDEX('Partner data'!A:DH,MATCH(C1671,'Partner data'!DG:DG,0),83)</f>
        <v>Soggetto privato</v>
      </c>
      <c r="R1671" t="b">
        <f>IF(E1671="staff",IF(INDEX('Partner data'!A:DH,MATCH(C1671,'Partner data'!DG:DG,0),112)="BL1 non presente","FALSO",INDEX('Partner data'!A:DH,MATCH(C1671,'Partner data'!DG:DG,0),112)))</f>
        <v>0</v>
      </c>
      <c r="S1671" t="b">
        <f t="shared" si="52"/>
        <v>0</v>
      </c>
      <c r="T1671" t="b">
        <f t="shared" si="53"/>
        <v>0</v>
      </c>
      <c r="U1671" s="154">
        <f>IFERROR(IF(R1671&lt;&gt;FALSE,IF(S1671=TRUE,INDEX('SummaryNOT_VALIDATED-BL'!$A$1:$F$16,MATCH(R1671,'SummaryNOT_VALIDATED-BL'!$A$1:$A$16,0),6),0),IF(S1671=TRUE,INDEX('SummaryNOT_VALIDATED-BL'!$A$1:$F$16,MATCH(E1671,'SummaryNOT_VALIDATED-BL'!$A$1:$A$16,0),6),0)),0)</f>
        <v>0</v>
      </c>
      <c r="V1671" s="81" cm="1">
        <f t="array" ref="V1671">INDEX('Weight tables'!$A$24:$C$27,MATCH(1,(RendicontiTrasmessiBL__2[[#This Row],[Cut percentage on real costs + USC]]&gt;='Weight tables'!$B$24:$B$27)*(RendicontiTrasmessiBL__2[[#This Row],[Cut percentage on real costs + USC]]&lt;='Weight tables'!$C$24:$C$27),0),1)</f>
        <v>0</v>
      </c>
      <c r="W1671" s="2">
        <f>RendicontiTrasmessiBL__2[[#This Row],[Weight real costs  + USC ]]</f>
        <v>0</v>
      </c>
    </row>
    <row r="1672" spans="1:23" x14ac:dyDescent="0.25">
      <c r="A1672" s="1" t="s">
        <v>60</v>
      </c>
      <c r="B1672" s="1" t="s">
        <v>26</v>
      </c>
      <c r="C1672" s="2">
        <v>172</v>
      </c>
      <c r="D1672" s="2">
        <v>251</v>
      </c>
      <c r="E1672" s="1" t="s">
        <v>233</v>
      </c>
      <c r="G1672">
        <v>0</v>
      </c>
      <c r="H1672">
        <v>0</v>
      </c>
      <c r="I1672">
        <v>0</v>
      </c>
      <c r="J1672">
        <v>0</v>
      </c>
      <c r="K1672">
        <v>0</v>
      </c>
      <c r="L1672">
        <v>0</v>
      </c>
      <c r="M1672">
        <v>0</v>
      </c>
      <c r="N1672">
        <v>0</v>
      </c>
      <c r="O1672">
        <v>0</v>
      </c>
      <c r="P1672">
        <v>0</v>
      </c>
      <c r="Q1672" t="str">
        <f>INDEX('Partner data'!A:DH,MATCH(C1672,'Partner data'!DG:DG,0),83)</f>
        <v>Soggetto privato</v>
      </c>
      <c r="R1672" t="b">
        <f>IF(E1672="staff",IF(INDEX('Partner data'!A:DH,MATCH(C1672,'Partner data'!DG:DG,0),112)="BL1 non presente","FALSO",INDEX('Partner data'!A:DH,MATCH(C1672,'Partner data'!DG:DG,0),112)))</f>
        <v>0</v>
      </c>
      <c r="S1672" t="b">
        <f t="shared" si="52"/>
        <v>0</v>
      </c>
      <c r="T1672" t="b">
        <f t="shared" si="53"/>
        <v>0</v>
      </c>
      <c r="U1672" s="154">
        <f>IFERROR(IF(R1672&lt;&gt;FALSE,IF(S1672=TRUE,INDEX('SummaryNOT_VALIDATED-BL'!$A$1:$F$16,MATCH(R1672,'SummaryNOT_VALIDATED-BL'!$A$1:$A$16,0),6),0),IF(S1672=TRUE,INDEX('SummaryNOT_VALIDATED-BL'!$A$1:$F$16,MATCH(E1672,'SummaryNOT_VALIDATED-BL'!$A$1:$A$16,0),6),0)),0)</f>
        <v>0</v>
      </c>
      <c r="V1672" s="81" cm="1">
        <f t="array" ref="V1672">INDEX('Weight tables'!$A$24:$C$27,MATCH(1,(RendicontiTrasmessiBL__2[[#This Row],[Cut percentage on real costs + USC]]&gt;='Weight tables'!$B$24:$B$27)*(RendicontiTrasmessiBL__2[[#This Row],[Cut percentage on real costs + USC]]&lt;='Weight tables'!$C$24:$C$27),0),1)</f>
        <v>0</v>
      </c>
      <c r="W1672" s="2">
        <f>RendicontiTrasmessiBL__2[[#This Row],[Weight real costs  + USC ]]</f>
        <v>0</v>
      </c>
    </row>
    <row r="1673" spans="1:23" x14ac:dyDescent="0.25">
      <c r="A1673" s="1" t="s">
        <v>60</v>
      </c>
      <c r="B1673" s="1" t="s">
        <v>26</v>
      </c>
      <c r="C1673" s="2">
        <v>172</v>
      </c>
      <c r="D1673" s="2">
        <v>251</v>
      </c>
      <c r="E1673" s="1" t="s">
        <v>234</v>
      </c>
      <c r="G1673">
        <v>0</v>
      </c>
      <c r="H1673">
        <v>0</v>
      </c>
      <c r="I1673">
        <v>0</v>
      </c>
      <c r="J1673">
        <v>0</v>
      </c>
      <c r="K1673">
        <v>0</v>
      </c>
      <c r="L1673">
        <v>0</v>
      </c>
      <c r="M1673">
        <v>0</v>
      </c>
      <c r="N1673">
        <v>0</v>
      </c>
      <c r="O1673">
        <v>0</v>
      </c>
      <c r="P1673">
        <v>0</v>
      </c>
      <c r="Q1673" t="str">
        <f>INDEX('Partner data'!A:DH,MATCH(C1673,'Partner data'!DG:DG,0),83)</f>
        <v>Soggetto privato</v>
      </c>
      <c r="R1673" t="b">
        <f>IF(E1673="staff",IF(INDEX('Partner data'!A:DH,MATCH(C1673,'Partner data'!DG:DG,0),112)="BL1 non presente","FALSO",INDEX('Partner data'!A:DH,MATCH(C1673,'Partner data'!DG:DG,0),112)))</f>
        <v>0</v>
      </c>
      <c r="S1673" t="b">
        <f t="shared" si="52"/>
        <v>0</v>
      </c>
      <c r="T1673" t="b">
        <f t="shared" si="53"/>
        <v>0</v>
      </c>
      <c r="U1673" s="154">
        <f>IFERROR(IF(R1673&lt;&gt;FALSE,IF(S1673=TRUE,INDEX('SummaryNOT_VALIDATED-BL'!$A$1:$F$16,MATCH(R1673,'SummaryNOT_VALIDATED-BL'!$A$1:$A$16,0),6),0),IF(S1673=TRUE,INDEX('SummaryNOT_VALIDATED-BL'!$A$1:$F$16,MATCH(E1673,'SummaryNOT_VALIDATED-BL'!$A$1:$A$16,0),6),0)),0)</f>
        <v>0</v>
      </c>
      <c r="V1673" s="81" cm="1">
        <f t="array" ref="V1673">INDEX('Weight tables'!$A$24:$C$27,MATCH(1,(RendicontiTrasmessiBL__2[[#This Row],[Cut percentage on real costs + USC]]&gt;='Weight tables'!$B$24:$B$27)*(RendicontiTrasmessiBL__2[[#This Row],[Cut percentage on real costs + USC]]&lt;='Weight tables'!$C$24:$C$27),0),1)</f>
        <v>0</v>
      </c>
      <c r="W1673" s="2">
        <f>RendicontiTrasmessiBL__2[[#This Row],[Weight real costs  + USC ]]</f>
        <v>0</v>
      </c>
    </row>
    <row r="1674" spans="1:23" x14ac:dyDescent="0.25">
      <c r="A1674" s="1" t="s">
        <v>60</v>
      </c>
      <c r="B1674" s="1" t="s">
        <v>26</v>
      </c>
      <c r="C1674" s="2">
        <v>172</v>
      </c>
      <c r="D1674" s="2">
        <v>251</v>
      </c>
      <c r="E1674" s="1" t="s">
        <v>236</v>
      </c>
      <c r="G1674">
        <v>0</v>
      </c>
      <c r="H1674">
        <v>0</v>
      </c>
      <c r="I1674">
        <v>0</v>
      </c>
      <c r="J1674">
        <v>0</v>
      </c>
      <c r="K1674">
        <v>0</v>
      </c>
      <c r="L1674">
        <v>0</v>
      </c>
      <c r="M1674">
        <v>0</v>
      </c>
      <c r="N1674">
        <v>0</v>
      </c>
      <c r="O1674">
        <v>0</v>
      </c>
      <c r="P1674">
        <v>0</v>
      </c>
      <c r="Q1674" t="str">
        <f>INDEX('Partner data'!A:DH,MATCH(C1674,'Partner data'!DG:DG,0),83)</f>
        <v>Soggetto privato</v>
      </c>
      <c r="R1674" t="b">
        <f>IF(E1674="staff",IF(INDEX('Partner data'!A:DH,MATCH(C1674,'Partner data'!DG:DG,0),112)="BL1 non presente","FALSO",INDEX('Partner data'!A:DH,MATCH(C1674,'Partner data'!DG:DG,0),112)))</f>
        <v>0</v>
      </c>
      <c r="S1674" t="b">
        <f t="shared" si="52"/>
        <v>0</v>
      </c>
      <c r="T1674" t="b">
        <f t="shared" si="53"/>
        <v>0</v>
      </c>
      <c r="U1674" s="154">
        <f>IFERROR(IF(R1674&lt;&gt;FALSE,IF(S1674=TRUE,INDEX('SummaryNOT_VALIDATED-BL'!$A$1:$F$16,MATCH(R1674,'SummaryNOT_VALIDATED-BL'!$A$1:$A$16,0),6),0),IF(S1674=TRUE,INDEX('SummaryNOT_VALIDATED-BL'!$A$1:$F$16,MATCH(E1674,'SummaryNOT_VALIDATED-BL'!$A$1:$A$16,0),6),0)),0)</f>
        <v>0</v>
      </c>
      <c r="V1674" s="81" cm="1">
        <f t="array" ref="V1674">INDEX('Weight tables'!$A$24:$C$27,MATCH(1,(RendicontiTrasmessiBL__2[[#This Row],[Cut percentage on real costs + USC]]&gt;='Weight tables'!$B$24:$B$27)*(RendicontiTrasmessiBL__2[[#This Row],[Cut percentage on real costs + USC]]&lt;='Weight tables'!$C$24:$C$27),0),1)</f>
        <v>0</v>
      </c>
      <c r="W1674" s="2">
        <f>RendicontiTrasmessiBL__2[[#This Row],[Weight real costs  + USC ]]</f>
        <v>0</v>
      </c>
    </row>
    <row r="1675" spans="1:23" x14ac:dyDescent="0.25">
      <c r="A1675" s="1" t="s">
        <v>60</v>
      </c>
      <c r="B1675" s="1" t="s">
        <v>26</v>
      </c>
      <c r="C1675" s="2">
        <v>172</v>
      </c>
      <c r="D1675" s="2">
        <v>251</v>
      </c>
      <c r="E1675" s="1" t="s">
        <v>237</v>
      </c>
      <c r="G1675">
        <v>0</v>
      </c>
      <c r="H1675">
        <v>0</v>
      </c>
      <c r="I1675">
        <v>0</v>
      </c>
      <c r="J1675">
        <v>0</v>
      </c>
      <c r="K1675">
        <v>0</v>
      </c>
      <c r="L1675">
        <v>0</v>
      </c>
      <c r="M1675">
        <v>0</v>
      </c>
      <c r="N1675">
        <v>0</v>
      </c>
      <c r="O1675">
        <v>0</v>
      </c>
      <c r="P1675">
        <v>0</v>
      </c>
      <c r="Q1675" t="str">
        <f>INDEX('Partner data'!A:DH,MATCH(C1675,'Partner data'!DG:DG,0),83)</f>
        <v>Soggetto privato</v>
      </c>
      <c r="R1675" t="b">
        <f>IF(E1675="staff",IF(INDEX('Partner data'!A:DH,MATCH(C1675,'Partner data'!DG:DG,0),112)="BL1 non presente","FALSO",INDEX('Partner data'!A:DH,MATCH(C1675,'Partner data'!DG:DG,0),112)))</f>
        <v>0</v>
      </c>
      <c r="S1675" t="b">
        <f t="shared" si="52"/>
        <v>0</v>
      </c>
      <c r="T1675" t="b">
        <f t="shared" si="53"/>
        <v>0</v>
      </c>
      <c r="U1675" s="154">
        <f>IFERROR(IF(R1675&lt;&gt;FALSE,IF(S1675=TRUE,INDEX('SummaryNOT_VALIDATED-BL'!$A$1:$F$16,MATCH(R1675,'SummaryNOT_VALIDATED-BL'!$A$1:$A$16,0),6),0),IF(S1675=TRUE,INDEX('SummaryNOT_VALIDATED-BL'!$A$1:$F$16,MATCH(E1675,'SummaryNOT_VALIDATED-BL'!$A$1:$A$16,0),6),0)),0)</f>
        <v>0</v>
      </c>
      <c r="V1675" s="81" cm="1">
        <f t="array" ref="V1675">INDEX('Weight tables'!$A$24:$C$27,MATCH(1,(RendicontiTrasmessiBL__2[[#This Row],[Cut percentage on real costs + USC]]&gt;='Weight tables'!$B$24:$B$27)*(RendicontiTrasmessiBL__2[[#This Row],[Cut percentage on real costs + USC]]&lt;='Weight tables'!$C$24:$C$27),0),1)</f>
        <v>0</v>
      </c>
      <c r="W1675" s="2">
        <f>RendicontiTrasmessiBL__2[[#This Row],[Weight real costs  + USC ]]</f>
        <v>0</v>
      </c>
    </row>
    <row r="1676" spans="1:23" x14ac:dyDescent="0.25">
      <c r="A1676" s="1" t="s">
        <v>60</v>
      </c>
      <c r="B1676" s="1" t="s">
        <v>26</v>
      </c>
      <c r="C1676" s="2">
        <v>172</v>
      </c>
      <c r="D1676" s="2">
        <v>43</v>
      </c>
      <c r="E1676" s="1" t="s">
        <v>228</v>
      </c>
      <c r="G1676">
        <v>63000</v>
      </c>
      <c r="H1676">
        <v>0</v>
      </c>
      <c r="I1676">
        <v>0</v>
      </c>
      <c r="J1676">
        <v>9272.2900000000009</v>
      </c>
      <c r="K1676">
        <v>0</v>
      </c>
      <c r="L1676">
        <v>8501.9</v>
      </c>
      <c r="M1676">
        <v>9272.2900000000009</v>
      </c>
      <c r="N1676">
        <v>14.72</v>
      </c>
      <c r="O1676">
        <v>53727.71</v>
      </c>
      <c r="P1676">
        <v>0</v>
      </c>
      <c r="Q1676" t="str">
        <f>INDEX('Partner data'!A:DH,MATCH(C1676,'Partner data'!DG:DG,0),83)</f>
        <v>Soggetto privato</v>
      </c>
      <c r="R1676" t="str">
        <f>IF(E1676="staff",IF(INDEX('Partner data'!A:DH,MATCH(C1676,'Partner data'!DG:DG,0),112)="BL1 non presente","FALSO",INDEX('Partner data'!A:DH,MATCH(C1676,'Partner data'!DG:DG,0),112)))</f>
        <v>COSTO REALE</v>
      </c>
      <c r="S1676" t="b">
        <f t="shared" si="52"/>
        <v>1</v>
      </c>
      <c r="T1676" t="b">
        <f t="shared" si="53"/>
        <v>0</v>
      </c>
      <c r="U1676" s="154">
        <f>IFERROR(IF(R1676&lt;&gt;FALSE,IF(S1676=TRUE,INDEX('SummaryNOT_VALIDATED-BL'!$A$1:$F$16,MATCH(R1676,'SummaryNOT_VALIDATED-BL'!$A$1:$A$16,0),6),0),IF(S1676=TRUE,INDEX('SummaryNOT_VALIDATED-BL'!$A$1:$F$16,MATCH(E1676,'SummaryNOT_VALIDATED-BL'!$A$1:$A$16,0),6),0)),0)</f>
        <v>9.1604133276901048E-2</v>
      </c>
      <c r="V1676" s="81" cm="1">
        <f t="array" ref="V1676">INDEX('Weight tables'!$A$24:$C$27,MATCH(1,(RendicontiTrasmessiBL__2[[#This Row],[Cut percentage on real costs + USC]]&gt;='Weight tables'!$B$24:$B$27)*(RendicontiTrasmessiBL__2[[#This Row],[Cut percentage on real costs + USC]]&lt;='Weight tables'!$C$24:$C$27),0),1)</f>
        <v>4</v>
      </c>
      <c r="W1676" s="2">
        <f>RendicontiTrasmessiBL__2[[#This Row],[Weight real costs  + USC ]]</f>
        <v>4</v>
      </c>
    </row>
    <row r="1677" spans="1:23" x14ac:dyDescent="0.25">
      <c r="A1677" s="1" t="s">
        <v>60</v>
      </c>
      <c r="B1677" s="1" t="s">
        <v>26</v>
      </c>
      <c r="C1677" s="2">
        <v>172</v>
      </c>
      <c r="D1677" s="2">
        <v>43</v>
      </c>
      <c r="E1677" s="1" t="s">
        <v>229</v>
      </c>
      <c r="F1677">
        <v>15</v>
      </c>
      <c r="G1677">
        <v>9450</v>
      </c>
      <c r="H1677">
        <v>0</v>
      </c>
      <c r="I1677">
        <v>0</v>
      </c>
      <c r="J1677">
        <v>1390.84</v>
      </c>
      <c r="K1677">
        <v>0</v>
      </c>
      <c r="L1677">
        <v>1275.28</v>
      </c>
      <c r="M1677">
        <v>1390.84</v>
      </c>
      <c r="N1677">
        <v>14.72</v>
      </c>
      <c r="O1677">
        <v>8059.16</v>
      </c>
      <c r="P1677">
        <v>0</v>
      </c>
      <c r="Q1677" t="str">
        <f>INDEX('Partner data'!A:DH,MATCH(C1677,'Partner data'!DG:DG,0),83)</f>
        <v>Soggetto privato</v>
      </c>
      <c r="R1677" t="b">
        <f>IF(E1677="staff",IF(INDEX('Partner data'!A:DH,MATCH(C1677,'Partner data'!DG:DG,0),112)="BL1 non presente","FALSO",INDEX('Partner data'!A:DH,MATCH(C1677,'Partner data'!DG:DG,0),112)))</f>
        <v>0</v>
      </c>
      <c r="S1677" t="b">
        <f t="shared" si="52"/>
        <v>1</v>
      </c>
      <c r="T1677" t="b">
        <f t="shared" si="53"/>
        <v>0</v>
      </c>
      <c r="U1677" s="154">
        <f>IFERROR(IF(R1677&lt;&gt;FALSE,IF(S1677=TRUE,INDEX('SummaryNOT_VALIDATED-BL'!$A$1:$F$16,MATCH(R1677,'SummaryNOT_VALIDATED-BL'!$A$1:$A$16,0),6),0),IF(S1677=TRUE,INDEX('SummaryNOT_VALIDATED-BL'!$A$1:$F$16,MATCH(E1677,'SummaryNOT_VALIDATED-BL'!$A$1:$A$16,0),6),0)),0)</f>
        <v>6.6460469504890221E-2</v>
      </c>
      <c r="V1677" s="81" cm="1">
        <f t="array" ref="V1677">INDEX('Weight tables'!$A$24:$C$27,MATCH(1,(RendicontiTrasmessiBL__2[[#This Row],[Cut percentage on real costs + USC]]&gt;='Weight tables'!$B$24:$B$27)*(RendicontiTrasmessiBL__2[[#This Row],[Cut percentage on real costs + USC]]&lt;='Weight tables'!$C$24:$C$27),0),1)</f>
        <v>4</v>
      </c>
      <c r="W1677" s="2">
        <f>RendicontiTrasmessiBL__2[[#This Row],[Weight real costs  + USC ]]</f>
        <v>4</v>
      </c>
    </row>
    <row r="1678" spans="1:23" x14ac:dyDescent="0.25">
      <c r="A1678" s="1" t="s">
        <v>60</v>
      </c>
      <c r="B1678" s="1" t="s">
        <v>26</v>
      </c>
      <c r="C1678" s="2">
        <v>172</v>
      </c>
      <c r="D1678" s="2">
        <v>43</v>
      </c>
      <c r="E1678" s="1" t="s">
        <v>230</v>
      </c>
      <c r="F1678">
        <v>4</v>
      </c>
      <c r="G1678">
        <v>2520</v>
      </c>
      <c r="H1678">
        <v>0</v>
      </c>
      <c r="I1678">
        <v>0</v>
      </c>
      <c r="J1678">
        <v>370.89</v>
      </c>
      <c r="K1678">
        <v>0</v>
      </c>
      <c r="L1678">
        <v>340.07</v>
      </c>
      <c r="M1678">
        <v>370.89</v>
      </c>
      <c r="N1678">
        <v>14.72</v>
      </c>
      <c r="O1678">
        <v>2149.11</v>
      </c>
      <c r="P1678">
        <v>0</v>
      </c>
      <c r="Q1678" t="str">
        <f>INDEX('Partner data'!A:DH,MATCH(C1678,'Partner data'!DG:DG,0),83)</f>
        <v>Soggetto privato</v>
      </c>
      <c r="R1678" t="b">
        <f>IF(E1678="staff",IF(INDEX('Partner data'!A:DH,MATCH(C1678,'Partner data'!DG:DG,0),112)="BL1 non presente","FALSO",INDEX('Partner data'!A:DH,MATCH(C1678,'Partner data'!DG:DG,0),112)))</f>
        <v>0</v>
      </c>
      <c r="S1678" t="b">
        <f t="shared" si="52"/>
        <v>1</v>
      </c>
      <c r="T1678" t="b">
        <f t="shared" si="53"/>
        <v>0</v>
      </c>
      <c r="U1678" s="154">
        <f>IFERROR(IF(R1678&lt;&gt;FALSE,IF(S1678=TRUE,INDEX('SummaryNOT_VALIDATED-BL'!$A$1:$F$16,MATCH(R1678,'SummaryNOT_VALIDATED-BL'!$A$1:$A$16,0),6),0),IF(S1678=TRUE,INDEX('SummaryNOT_VALIDATED-BL'!$A$1:$F$16,MATCH(E1678,'SummaryNOT_VALIDATED-BL'!$A$1:$A$16,0),6),0)),0)</f>
        <v>6.3112622236488891E-2</v>
      </c>
      <c r="V1678" s="81" cm="1">
        <f t="array" ref="V1678">INDEX('Weight tables'!$A$24:$C$27,MATCH(1,(RendicontiTrasmessiBL__2[[#This Row],[Cut percentage on real costs + USC]]&gt;='Weight tables'!$B$24:$B$27)*(RendicontiTrasmessiBL__2[[#This Row],[Cut percentage on real costs + USC]]&lt;='Weight tables'!$C$24:$C$27),0),1)</f>
        <v>4</v>
      </c>
      <c r="W1678" s="2">
        <f>RendicontiTrasmessiBL__2[[#This Row],[Weight real costs  + USC ]]</f>
        <v>4</v>
      </c>
    </row>
    <row r="1679" spans="1:23" x14ac:dyDescent="0.25">
      <c r="A1679" s="1" t="s">
        <v>60</v>
      </c>
      <c r="B1679" s="1" t="s">
        <v>26</v>
      </c>
      <c r="C1679" s="2">
        <v>172</v>
      </c>
      <c r="D1679" s="2">
        <v>43</v>
      </c>
      <c r="E1679" s="1" t="s">
        <v>231</v>
      </c>
      <c r="G1679">
        <v>44200</v>
      </c>
      <c r="H1679">
        <v>0</v>
      </c>
      <c r="I1679">
        <v>0</v>
      </c>
      <c r="J1679">
        <v>9.7799999999999994</v>
      </c>
      <c r="K1679">
        <v>0</v>
      </c>
      <c r="L1679">
        <v>9.7799999999999994</v>
      </c>
      <c r="M1679">
        <v>9.7799999999999994</v>
      </c>
      <c r="N1679">
        <v>0.02</v>
      </c>
      <c r="O1679">
        <v>44190.22</v>
      </c>
      <c r="P1679">
        <v>0</v>
      </c>
      <c r="Q1679" t="str">
        <f>INDEX('Partner data'!A:DH,MATCH(C1679,'Partner data'!DG:DG,0),83)</f>
        <v>Soggetto privato</v>
      </c>
      <c r="R1679" t="b">
        <f>IF(E1679="staff",IF(INDEX('Partner data'!A:DH,MATCH(C1679,'Partner data'!DG:DG,0),112)="BL1 non presente","FALSO",INDEX('Partner data'!A:DH,MATCH(C1679,'Partner data'!DG:DG,0),112)))</f>
        <v>0</v>
      </c>
      <c r="S1679" t="b">
        <f t="shared" si="52"/>
        <v>1</v>
      </c>
      <c r="T1679" t="b">
        <f t="shared" si="53"/>
        <v>0</v>
      </c>
      <c r="U1679" s="154">
        <f>IFERROR(IF(R1679&lt;&gt;FALSE,IF(S1679=TRUE,INDEX('SummaryNOT_VALIDATED-BL'!$A$1:$F$16,MATCH(R1679,'SummaryNOT_VALIDATED-BL'!$A$1:$A$16,0),6),0),IF(S1679=TRUE,INDEX('SummaryNOT_VALIDATED-BL'!$A$1:$F$16,MATCH(E1679,'SummaryNOT_VALIDATED-BL'!$A$1:$A$16,0),6),0)),0)</f>
        <v>5.577594442215475E-2</v>
      </c>
      <c r="V1679" s="81" cm="1">
        <f t="array" ref="V1679">INDEX('Weight tables'!$A$24:$C$27,MATCH(1,(RendicontiTrasmessiBL__2[[#This Row],[Cut percentage on real costs + USC]]&gt;='Weight tables'!$B$24:$B$27)*(RendicontiTrasmessiBL__2[[#This Row],[Cut percentage on real costs + USC]]&lt;='Weight tables'!$C$24:$C$27),0),1)</f>
        <v>4</v>
      </c>
      <c r="W1679" s="2">
        <f>RendicontiTrasmessiBL__2[[#This Row],[Weight real costs  + USC ]]</f>
        <v>4</v>
      </c>
    </row>
    <row r="1680" spans="1:23" x14ac:dyDescent="0.25">
      <c r="A1680" s="1" t="s">
        <v>60</v>
      </c>
      <c r="B1680" s="1" t="s">
        <v>26</v>
      </c>
      <c r="C1680" s="2">
        <v>172</v>
      </c>
      <c r="D1680" s="2">
        <v>43</v>
      </c>
      <c r="E1680" s="1" t="s">
        <v>232</v>
      </c>
      <c r="G1680">
        <v>0</v>
      </c>
      <c r="H1680">
        <v>0</v>
      </c>
      <c r="I1680">
        <v>0</v>
      </c>
      <c r="J1680">
        <v>0</v>
      </c>
      <c r="K1680">
        <v>0</v>
      </c>
      <c r="L1680">
        <v>0</v>
      </c>
      <c r="M1680">
        <v>0</v>
      </c>
      <c r="N1680">
        <v>0</v>
      </c>
      <c r="O1680">
        <v>0</v>
      </c>
      <c r="P1680">
        <v>0</v>
      </c>
      <c r="Q1680" t="str">
        <f>INDEX('Partner data'!A:DH,MATCH(C1680,'Partner data'!DG:DG,0),83)</f>
        <v>Soggetto privato</v>
      </c>
      <c r="R1680" t="b">
        <f>IF(E1680="staff",IF(INDEX('Partner data'!A:DH,MATCH(C1680,'Partner data'!DG:DG,0),112)="BL1 non presente","FALSO",INDEX('Partner data'!A:DH,MATCH(C1680,'Partner data'!DG:DG,0),112)))</f>
        <v>0</v>
      </c>
      <c r="S1680" t="b">
        <f t="shared" si="52"/>
        <v>0</v>
      </c>
      <c r="T1680" t="b">
        <f t="shared" si="53"/>
        <v>0</v>
      </c>
      <c r="U1680" s="154">
        <f>IFERROR(IF(R1680&lt;&gt;FALSE,IF(S1680=TRUE,INDEX('SummaryNOT_VALIDATED-BL'!$A$1:$F$16,MATCH(R1680,'SummaryNOT_VALIDATED-BL'!$A$1:$A$16,0),6),0),IF(S1680=TRUE,INDEX('SummaryNOT_VALIDATED-BL'!$A$1:$F$16,MATCH(E1680,'SummaryNOT_VALIDATED-BL'!$A$1:$A$16,0),6),0)),0)</f>
        <v>0</v>
      </c>
      <c r="V1680" s="81" cm="1">
        <f t="array" ref="V1680">INDEX('Weight tables'!$A$24:$C$27,MATCH(1,(RendicontiTrasmessiBL__2[[#This Row],[Cut percentage on real costs + USC]]&gt;='Weight tables'!$B$24:$B$27)*(RendicontiTrasmessiBL__2[[#This Row],[Cut percentage on real costs + USC]]&lt;='Weight tables'!$C$24:$C$27),0),1)</f>
        <v>0</v>
      </c>
      <c r="W1680" s="2">
        <f>RendicontiTrasmessiBL__2[[#This Row],[Weight real costs  + USC ]]</f>
        <v>0</v>
      </c>
    </row>
    <row r="1681" spans="1:23" x14ac:dyDescent="0.25">
      <c r="A1681" s="1" t="s">
        <v>60</v>
      </c>
      <c r="B1681" s="1" t="s">
        <v>26</v>
      </c>
      <c r="C1681" s="2">
        <v>172</v>
      </c>
      <c r="D1681" s="2">
        <v>43</v>
      </c>
      <c r="E1681" s="1" t="s">
        <v>233</v>
      </c>
      <c r="G1681">
        <v>0</v>
      </c>
      <c r="H1681">
        <v>0</v>
      </c>
      <c r="I1681">
        <v>0</v>
      </c>
      <c r="J1681">
        <v>0</v>
      </c>
      <c r="K1681">
        <v>0</v>
      </c>
      <c r="L1681">
        <v>0</v>
      </c>
      <c r="M1681">
        <v>0</v>
      </c>
      <c r="N1681">
        <v>0</v>
      </c>
      <c r="O1681">
        <v>0</v>
      </c>
      <c r="P1681">
        <v>0</v>
      </c>
      <c r="Q1681" t="str">
        <f>INDEX('Partner data'!A:DH,MATCH(C1681,'Partner data'!DG:DG,0),83)</f>
        <v>Soggetto privato</v>
      </c>
      <c r="R1681" t="b">
        <f>IF(E1681="staff",IF(INDEX('Partner data'!A:DH,MATCH(C1681,'Partner data'!DG:DG,0),112)="BL1 non presente","FALSO",INDEX('Partner data'!A:DH,MATCH(C1681,'Partner data'!DG:DG,0),112)))</f>
        <v>0</v>
      </c>
      <c r="S1681" t="b">
        <f t="shared" si="52"/>
        <v>0</v>
      </c>
      <c r="T1681" t="b">
        <f t="shared" si="53"/>
        <v>0</v>
      </c>
      <c r="U1681" s="154">
        <f>IFERROR(IF(R1681&lt;&gt;FALSE,IF(S1681=TRUE,INDEX('SummaryNOT_VALIDATED-BL'!$A$1:$F$16,MATCH(R1681,'SummaryNOT_VALIDATED-BL'!$A$1:$A$16,0),6),0),IF(S1681=TRUE,INDEX('SummaryNOT_VALIDATED-BL'!$A$1:$F$16,MATCH(E1681,'SummaryNOT_VALIDATED-BL'!$A$1:$A$16,0),6),0)),0)</f>
        <v>0</v>
      </c>
      <c r="V1681" s="81" cm="1">
        <f t="array" ref="V1681">INDEX('Weight tables'!$A$24:$C$27,MATCH(1,(RendicontiTrasmessiBL__2[[#This Row],[Cut percentage on real costs + USC]]&gt;='Weight tables'!$B$24:$B$27)*(RendicontiTrasmessiBL__2[[#This Row],[Cut percentage on real costs + USC]]&lt;='Weight tables'!$C$24:$C$27),0),1)</f>
        <v>0</v>
      </c>
      <c r="W1681" s="2">
        <f>RendicontiTrasmessiBL__2[[#This Row],[Weight real costs  + USC ]]</f>
        <v>0</v>
      </c>
    </row>
    <row r="1682" spans="1:23" x14ac:dyDescent="0.25">
      <c r="A1682" s="1" t="s">
        <v>60</v>
      </c>
      <c r="B1682" s="1" t="s">
        <v>26</v>
      </c>
      <c r="C1682" s="2">
        <v>172</v>
      </c>
      <c r="D1682" s="2">
        <v>43</v>
      </c>
      <c r="E1682" s="1" t="s">
        <v>234</v>
      </c>
      <c r="G1682">
        <v>0</v>
      </c>
      <c r="H1682">
        <v>0</v>
      </c>
      <c r="I1682">
        <v>0</v>
      </c>
      <c r="J1682">
        <v>0</v>
      </c>
      <c r="K1682">
        <v>0</v>
      </c>
      <c r="L1682">
        <v>0</v>
      </c>
      <c r="M1682">
        <v>0</v>
      </c>
      <c r="N1682">
        <v>0</v>
      </c>
      <c r="O1682">
        <v>0</v>
      </c>
      <c r="P1682">
        <v>0</v>
      </c>
      <c r="Q1682" t="str">
        <f>INDEX('Partner data'!A:DH,MATCH(C1682,'Partner data'!DG:DG,0),83)</f>
        <v>Soggetto privato</v>
      </c>
      <c r="R1682" t="b">
        <f>IF(E1682="staff",IF(INDEX('Partner data'!A:DH,MATCH(C1682,'Partner data'!DG:DG,0),112)="BL1 non presente","FALSO",INDEX('Partner data'!A:DH,MATCH(C1682,'Partner data'!DG:DG,0),112)))</f>
        <v>0</v>
      </c>
      <c r="S1682" t="b">
        <f t="shared" si="52"/>
        <v>0</v>
      </c>
      <c r="T1682" t="b">
        <f t="shared" si="53"/>
        <v>0</v>
      </c>
      <c r="U1682" s="154">
        <f>IFERROR(IF(R1682&lt;&gt;FALSE,IF(S1682=TRUE,INDEX('SummaryNOT_VALIDATED-BL'!$A$1:$F$16,MATCH(R1682,'SummaryNOT_VALIDATED-BL'!$A$1:$A$16,0),6),0),IF(S1682=TRUE,INDEX('SummaryNOT_VALIDATED-BL'!$A$1:$F$16,MATCH(E1682,'SummaryNOT_VALIDATED-BL'!$A$1:$A$16,0),6),0)),0)</f>
        <v>0</v>
      </c>
      <c r="V1682" s="81" cm="1">
        <f t="array" ref="V1682">INDEX('Weight tables'!$A$24:$C$27,MATCH(1,(RendicontiTrasmessiBL__2[[#This Row],[Cut percentage on real costs + USC]]&gt;='Weight tables'!$B$24:$B$27)*(RendicontiTrasmessiBL__2[[#This Row],[Cut percentage on real costs + USC]]&lt;='Weight tables'!$C$24:$C$27),0),1)</f>
        <v>0</v>
      </c>
      <c r="W1682" s="2">
        <f>RendicontiTrasmessiBL__2[[#This Row],[Weight real costs  + USC ]]</f>
        <v>0</v>
      </c>
    </row>
    <row r="1683" spans="1:23" x14ac:dyDescent="0.25">
      <c r="A1683" s="1" t="s">
        <v>60</v>
      </c>
      <c r="B1683" s="1" t="s">
        <v>26</v>
      </c>
      <c r="C1683" s="2">
        <v>172</v>
      </c>
      <c r="D1683" s="2">
        <v>43</v>
      </c>
      <c r="E1683" s="1" t="s">
        <v>236</v>
      </c>
      <c r="G1683">
        <v>0</v>
      </c>
      <c r="H1683">
        <v>0</v>
      </c>
      <c r="I1683">
        <v>0</v>
      </c>
      <c r="J1683">
        <v>0</v>
      </c>
      <c r="K1683">
        <v>0</v>
      </c>
      <c r="L1683">
        <v>0</v>
      </c>
      <c r="M1683">
        <v>0</v>
      </c>
      <c r="N1683">
        <v>0</v>
      </c>
      <c r="O1683">
        <v>0</v>
      </c>
      <c r="P1683">
        <v>0</v>
      </c>
      <c r="Q1683" t="str">
        <f>INDEX('Partner data'!A:DH,MATCH(C1683,'Partner data'!DG:DG,0),83)</f>
        <v>Soggetto privato</v>
      </c>
      <c r="R1683" t="b">
        <f>IF(E1683="staff",IF(INDEX('Partner data'!A:DH,MATCH(C1683,'Partner data'!DG:DG,0),112)="BL1 non presente","FALSO",INDEX('Partner data'!A:DH,MATCH(C1683,'Partner data'!DG:DG,0),112)))</f>
        <v>0</v>
      </c>
      <c r="S1683" t="b">
        <f t="shared" si="52"/>
        <v>0</v>
      </c>
      <c r="T1683" t="b">
        <f t="shared" si="53"/>
        <v>0</v>
      </c>
      <c r="U1683" s="154">
        <f>IFERROR(IF(R1683&lt;&gt;FALSE,IF(S1683=TRUE,INDEX('SummaryNOT_VALIDATED-BL'!$A$1:$F$16,MATCH(R1683,'SummaryNOT_VALIDATED-BL'!$A$1:$A$16,0),6),0),IF(S1683=TRUE,INDEX('SummaryNOT_VALIDATED-BL'!$A$1:$F$16,MATCH(E1683,'SummaryNOT_VALIDATED-BL'!$A$1:$A$16,0),6),0)),0)</f>
        <v>0</v>
      </c>
      <c r="V1683" s="81" cm="1">
        <f t="array" ref="V1683">INDEX('Weight tables'!$A$24:$C$27,MATCH(1,(RendicontiTrasmessiBL__2[[#This Row],[Cut percentage on real costs + USC]]&gt;='Weight tables'!$B$24:$B$27)*(RendicontiTrasmessiBL__2[[#This Row],[Cut percentage on real costs + USC]]&lt;='Weight tables'!$C$24:$C$27),0),1)</f>
        <v>0</v>
      </c>
      <c r="W1683" s="2">
        <f>RendicontiTrasmessiBL__2[[#This Row],[Weight real costs  + USC ]]</f>
        <v>0</v>
      </c>
    </row>
    <row r="1684" spans="1:23" x14ac:dyDescent="0.25">
      <c r="A1684" s="1" t="s">
        <v>60</v>
      </c>
      <c r="B1684" s="1" t="s">
        <v>26</v>
      </c>
      <c r="C1684" s="2">
        <v>172</v>
      </c>
      <c r="D1684" s="2">
        <v>43</v>
      </c>
      <c r="E1684" s="1" t="s">
        <v>237</v>
      </c>
      <c r="G1684">
        <v>0</v>
      </c>
      <c r="H1684">
        <v>0</v>
      </c>
      <c r="I1684">
        <v>0</v>
      </c>
      <c r="J1684">
        <v>0</v>
      </c>
      <c r="K1684">
        <v>0</v>
      </c>
      <c r="L1684">
        <v>0</v>
      </c>
      <c r="M1684">
        <v>0</v>
      </c>
      <c r="N1684">
        <v>0</v>
      </c>
      <c r="O1684">
        <v>0</v>
      </c>
      <c r="P1684">
        <v>0</v>
      </c>
      <c r="Q1684" t="str">
        <f>INDEX('Partner data'!A:DH,MATCH(C1684,'Partner data'!DG:DG,0),83)</f>
        <v>Soggetto privato</v>
      </c>
      <c r="R1684" t="b">
        <f>IF(E1684="staff",IF(INDEX('Partner data'!A:DH,MATCH(C1684,'Partner data'!DG:DG,0),112)="BL1 non presente","FALSO",INDEX('Partner data'!A:DH,MATCH(C1684,'Partner data'!DG:DG,0),112)))</f>
        <v>0</v>
      </c>
      <c r="S1684" t="b">
        <f t="shared" si="52"/>
        <v>0</v>
      </c>
      <c r="T1684" t="b">
        <f t="shared" si="53"/>
        <v>0</v>
      </c>
      <c r="U1684" s="154">
        <f>IFERROR(IF(R1684&lt;&gt;FALSE,IF(S1684=TRUE,INDEX('SummaryNOT_VALIDATED-BL'!$A$1:$F$16,MATCH(R1684,'SummaryNOT_VALIDATED-BL'!$A$1:$A$16,0),6),0),IF(S1684=TRUE,INDEX('SummaryNOT_VALIDATED-BL'!$A$1:$F$16,MATCH(E1684,'SummaryNOT_VALIDATED-BL'!$A$1:$A$16,0),6),0)),0)</f>
        <v>0</v>
      </c>
      <c r="V1684" s="81" cm="1">
        <f t="array" ref="V1684">INDEX('Weight tables'!$A$24:$C$27,MATCH(1,(RendicontiTrasmessiBL__2[[#This Row],[Cut percentage on real costs + USC]]&gt;='Weight tables'!$B$24:$B$27)*(RendicontiTrasmessiBL__2[[#This Row],[Cut percentage on real costs + USC]]&lt;='Weight tables'!$C$24:$C$27),0),1)</f>
        <v>0</v>
      </c>
      <c r="W1684" s="2">
        <f>RendicontiTrasmessiBL__2[[#This Row],[Weight real costs  + USC ]]</f>
        <v>0</v>
      </c>
    </row>
    <row r="1685" spans="1:23" x14ac:dyDescent="0.25">
      <c r="A1685" s="1" t="s">
        <v>60</v>
      </c>
      <c r="B1685" s="1" t="s">
        <v>330</v>
      </c>
      <c r="C1685" s="2">
        <v>137</v>
      </c>
      <c r="D1685" s="2">
        <v>104</v>
      </c>
      <c r="E1685" s="1" t="s">
        <v>228</v>
      </c>
      <c r="F1685">
        <v>20</v>
      </c>
      <c r="G1685">
        <v>17660</v>
      </c>
      <c r="H1685">
        <v>0</v>
      </c>
      <c r="I1685">
        <v>0</v>
      </c>
      <c r="J1685">
        <v>0</v>
      </c>
      <c r="K1685">
        <v>0</v>
      </c>
      <c r="L1685">
        <v>0</v>
      </c>
      <c r="M1685">
        <v>0</v>
      </c>
      <c r="N1685">
        <v>0</v>
      </c>
      <c r="O1685">
        <v>17660</v>
      </c>
      <c r="P1685">
        <v>0</v>
      </c>
      <c r="Q1685" t="str">
        <f>INDEX('Partner data'!A:DH,MATCH(C1685,'Partner data'!DG:DG,0),83)</f>
        <v>Soggetto privato</v>
      </c>
      <c r="R1685" t="str">
        <f>IF(E1685="staff",IF(INDEX('Partner data'!A:DH,MATCH(C1685,'Partner data'!DG:DG,0),112)="BL1 non presente","FALSO",INDEX('Partner data'!A:DH,MATCH(C1685,'Partner data'!DG:DG,0),112)))</f>
        <v>Tasso Forfettario 20%</v>
      </c>
      <c r="S1685" t="b">
        <f t="shared" si="52"/>
        <v>0</v>
      </c>
      <c r="T1685" t="b">
        <f t="shared" si="53"/>
        <v>0</v>
      </c>
      <c r="U1685" s="154">
        <f>IFERROR(IF(R1685&lt;&gt;FALSE,IF(S1685=TRUE,INDEX('SummaryNOT_VALIDATED-BL'!$A$1:$F$16,MATCH(R1685,'SummaryNOT_VALIDATED-BL'!$A$1:$A$16,0),6),0),IF(S1685=TRUE,INDEX('SummaryNOT_VALIDATED-BL'!$A$1:$F$16,MATCH(E1685,'SummaryNOT_VALIDATED-BL'!$A$1:$A$16,0),6),0)),0)</f>
        <v>0</v>
      </c>
      <c r="V1685" s="81" cm="1">
        <f t="array" ref="V1685">INDEX('Weight tables'!$A$24:$C$27,MATCH(1,(RendicontiTrasmessiBL__2[[#This Row],[Cut percentage on real costs + USC]]&gt;='Weight tables'!$B$24:$B$27)*(RendicontiTrasmessiBL__2[[#This Row],[Cut percentage on real costs + USC]]&lt;='Weight tables'!$C$24:$C$27),0),1)</f>
        <v>0</v>
      </c>
      <c r="W1685" s="2">
        <f>RendicontiTrasmessiBL__2[[#This Row],[Weight real costs  + USC ]]</f>
        <v>0</v>
      </c>
    </row>
    <row r="1686" spans="1:23" x14ac:dyDescent="0.25">
      <c r="A1686" s="1" t="s">
        <v>60</v>
      </c>
      <c r="B1686" s="1" t="s">
        <v>330</v>
      </c>
      <c r="C1686" s="2">
        <v>137</v>
      </c>
      <c r="D1686" s="2">
        <v>104</v>
      </c>
      <c r="E1686" s="1" t="s">
        <v>229</v>
      </c>
      <c r="F1686">
        <v>15</v>
      </c>
      <c r="G1686">
        <v>2649</v>
      </c>
      <c r="H1686">
        <v>0</v>
      </c>
      <c r="I1686">
        <v>0</v>
      </c>
      <c r="J1686">
        <v>0</v>
      </c>
      <c r="K1686">
        <v>0</v>
      </c>
      <c r="L1686">
        <v>0</v>
      </c>
      <c r="M1686">
        <v>0</v>
      </c>
      <c r="N1686">
        <v>0</v>
      </c>
      <c r="O1686">
        <v>2649</v>
      </c>
      <c r="P1686">
        <v>0</v>
      </c>
      <c r="Q1686" t="str">
        <f>INDEX('Partner data'!A:DH,MATCH(C1686,'Partner data'!DG:DG,0),83)</f>
        <v>Soggetto privato</v>
      </c>
      <c r="R1686" t="b">
        <f>IF(E1686="staff",IF(INDEX('Partner data'!A:DH,MATCH(C1686,'Partner data'!DG:DG,0),112)="BL1 non presente","FALSO",INDEX('Partner data'!A:DH,MATCH(C1686,'Partner data'!DG:DG,0),112)))</f>
        <v>0</v>
      </c>
      <c r="S1686" t="b">
        <f t="shared" si="52"/>
        <v>0</v>
      </c>
      <c r="T1686" t="b">
        <f t="shared" si="53"/>
        <v>0</v>
      </c>
      <c r="U1686" s="154">
        <f>IFERROR(IF(R1686&lt;&gt;FALSE,IF(S1686=TRUE,INDEX('SummaryNOT_VALIDATED-BL'!$A$1:$F$16,MATCH(R1686,'SummaryNOT_VALIDATED-BL'!$A$1:$A$16,0),6),0),IF(S1686=TRUE,INDEX('SummaryNOT_VALIDATED-BL'!$A$1:$F$16,MATCH(E1686,'SummaryNOT_VALIDATED-BL'!$A$1:$A$16,0),6),0)),0)</f>
        <v>0</v>
      </c>
      <c r="V1686" s="81" cm="1">
        <f t="array" ref="V1686">INDEX('Weight tables'!$A$24:$C$27,MATCH(1,(RendicontiTrasmessiBL__2[[#This Row],[Cut percentage on real costs + USC]]&gt;='Weight tables'!$B$24:$B$27)*(RendicontiTrasmessiBL__2[[#This Row],[Cut percentage on real costs + USC]]&lt;='Weight tables'!$C$24:$C$27),0),1)</f>
        <v>0</v>
      </c>
      <c r="W1686" s="2">
        <f>RendicontiTrasmessiBL__2[[#This Row],[Weight real costs  + USC ]]</f>
        <v>0</v>
      </c>
    </row>
    <row r="1687" spans="1:23" x14ac:dyDescent="0.25">
      <c r="A1687" s="1" t="s">
        <v>60</v>
      </c>
      <c r="B1687" s="1" t="s">
        <v>330</v>
      </c>
      <c r="C1687" s="2">
        <v>137</v>
      </c>
      <c r="D1687" s="2">
        <v>104</v>
      </c>
      <c r="E1687" s="1" t="s">
        <v>230</v>
      </c>
      <c r="F1687">
        <v>4</v>
      </c>
      <c r="G1687">
        <v>706.4</v>
      </c>
      <c r="H1687">
        <v>0</v>
      </c>
      <c r="I1687">
        <v>0</v>
      </c>
      <c r="J1687">
        <v>0</v>
      </c>
      <c r="K1687">
        <v>0</v>
      </c>
      <c r="L1687">
        <v>0</v>
      </c>
      <c r="M1687">
        <v>0</v>
      </c>
      <c r="N1687">
        <v>0</v>
      </c>
      <c r="O1687">
        <v>706.4</v>
      </c>
      <c r="P1687">
        <v>0</v>
      </c>
      <c r="Q1687" t="str">
        <f>INDEX('Partner data'!A:DH,MATCH(C1687,'Partner data'!DG:DG,0),83)</f>
        <v>Soggetto privato</v>
      </c>
      <c r="R1687" t="b">
        <f>IF(E1687="staff",IF(INDEX('Partner data'!A:DH,MATCH(C1687,'Partner data'!DG:DG,0),112)="BL1 non presente","FALSO",INDEX('Partner data'!A:DH,MATCH(C1687,'Partner data'!DG:DG,0),112)))</f>
        <v>0</v>
      </c>
      <c r="S1687" t="b">
        <f t="shared" si="52"/>
        <v>0</v>
      </c>
      <c r="T1687" t="b">
        <f t="shared" si="53"/>
        <v>0</v>
      </c>
      <c r="U1687" s="154">
        <f>IFERROR(IF(R1687&lt;&gt;FALSE,IF(S1687=TRUE,INDEX('SummaryNOT_VALIDATED-BL'!$A$1:$F$16,MATCH(R1687,'SummaryNOT_VALIDATED-BL'!$A$1:$A$16,0),6),0),IF(S1687=TRUE,INDEX('SummaryNOT_VALIDATED-BL'!$A$1:$F$16,MATCH(E1687,'SummaryNOT_VALIDATED-BL'!$A$1:$A$16,0),6),0)),0)</f>
        <v>0</v>
      </c>
      <c r="V1687" s="81" cm="1">
        <f t="array" ref="V1687">INDEX('Weight tables'!$A$24:$C$27,MATCH(1,(RendicontiTrasmessiBL__2[[#This Row],[Cut percentage on real costs + USC]]&gt;='Weight tables'!$B$24:$B$27)*(RendicontiTrasmessiBL__2[[#This Row],[Cut percentage on real costs + USC]]&lt;='Weight tables'!$C$24:$C$27),0),1)</f>
        <v>0</v>
      </c>
      <c r="W1687" s="2">
        <f>RendicontiTrasmessiBL__2[[#This Row],[Weight real costs  + USC ]]</f>
        <v>0</v>
      </c>
    </row>
    <row r="1688" spans="1:23" x14ac:dyDescent="0.25">
      <c r="A1688" s="1" t="s">
        <v>60</v>
      </c>
      <c r="B1688" s="1" t="s">
        <v>330</v>
      </c>
      <c r="C1688" s="2">
        <v>137</v>
      </c>
      <c r="D1688" s="2">
        <v>104</v>
      </c>
      <c r="E1688" s="1" t="s">
        <v>231</v>
      </c>
      <c r="G1688">
        <v>88300</v>
      </c>
      <c r="H1688">
        <v>0</v>
      </c>
      <c r="I1688">
        <v>0</v>
      </c>
      <c r="J1688">
        <v>0</v>
      </c>
      <c r="K1688">
        <v>0</v>
      </c>
      <c r="L1688">
        <v>0</v>
      </c>
      <c r="M1688">
        <v>0</v>
      </c>
      <c r="N1688">
        <v>0</v>
      </c>
      <c r="O1688">
        <v>88300</v>
      </c>
      <c r="P1688">
        <v>0</v>
      </c>
      <c r="Q1688" t="str">
        <f>INDEX('Partner data'!A:DH,MATCH(C1688,'Partner data'!DG:DG,0),83)</f>
        <v>Soggetto privato</v>
      </c>
      <c r="R1688" t="b">
        <f>IF(E1688="staff",IF(INDEX('Partner data'!A:DH,MATCH(C1688,'Partner data'!DG:DG,0),112)="BL1 non presente","FALSO",INDEX('Partner data'!A:DH,MATCH(C1688,'Partner data'!DG:DG,0),112)))</f>
        <v>0</v>
      </c>
      <c r="S1688" t="b">
        <f t="shared" si="52"/>
        <v>0</v>
      </c>
      <c r="T1688" t="b">
        <f t="shared" si="53"/>
        <v>0</v>
      </c>
      <c r="U1688" s="154">
        <f>IFERROR(IF(R1688&lt;&gt;FALSE,IF(S1688=TRUE,INDEX('SummaryNOT_VALIDATED-BL'!$A$1:$F$16,MATCH(R1688,'SummaryNOT_VALIDATED-BL'!$A$1:$A$16,0),6),0),IF(S1688=TRUE,INDEX('SummaryNOT_VALIDATED-BL'!$A$1:$F$16,MATCH(E1688,'SummaryNOT_VALIDATED-BL'!$A$1:$A$16,0),6),0)),0)</f>
        <v>0</v>
      </c>
      <c r="V1688" s="81" cm="1">
        <f t="array" ref="V1688">INDEX('Weight tables'!$A$24:$C$27,MATCH(1,(RendicontiTrasmessiBL__2[[#This Row],[Cut percentage on real costs + USC]]&gt;='Weight tables'!$B$24:$B$27)*(RendicontiTrasmessiBL__2[[#This Row],[Cut percentage on real costs + USC]]&lt;='Weight tables'!$C$24:$C$27),0),1)</f>
        <v>0</v>
      </c>
      <c r="W1688" s="2">
        <f>RendicontiTrasmessiBL__2[[#This Row],[Weight real costs  + USC ]]</f>
        <v>0</v>
      </c>
    </row>
    <row r="1689" spans="1:23" x14ac:dyDescent="0.25">
      <c r="A1689" s="1" t="s">
        <v>60</v>
      </c>
      <c r="B1689" s="1" t="s">
        <v>330</v>
      </c>
      <c r="C1689" s="2">
        <v>137</v>
      </c>
      <c r="D1689" s="2">
        <v>104</v>
      </c>
      <c r="E1689" s="1" t="s">
        <v>232</v>
      </c>
      <c r="G1689">
        <v>0</v>
      </c>
      <c r="H1689">
        <v>0</v>
      </c>
      <c r="I1689">
        <v>0</v>
      </c>
      <c r="J1689">
        <v>0</v>
      </c>
      <c r="K1689">
        <v>0</v>
      </c>
      <c r="L1689">
        <v>0</v>
      </c>
      <c r="M1689">
        <v>0</v>
      </c>
      <c r="N1689">
        <v>0</v>
      </c>
      <c r="O1689">
        <v>0</v>
      </c>
      <c r="P1689">
        <v>0</v>
      </c>
      <c r="Q1689" t="str">
        <f>INDEX('Partner data'!A:DH,MATCH(C1689,'Partner data'!DG:DG,0),83)</f>
        <v>Soggetto privato</v>
      </c>
      <c r="R1689" t="b">
        <f>IF(E1689="staff",IF(INDEX('Partner data'!A:DH,MATCH(C1689,'Partner data'!DG:DG,0),112)="BL1 non presente","FALSO",INDEX('Partner data'!A:DH,MATCH(C1689,'Partner data'!DG:DG,0),112)))</f>
        <v>0</v>
      </c>
      <c r="S1689" t="b">
        <f t="shared" si="52"/>
        <v>0</v>
      </c>
      <c r="T1689" t="b">
        <f t="shared" si="53"/>
        <v>0</v>
      </c>
      <c r="U1689" s="154">
        <f>IFERROR(IF(R1689&lt;&gt;FALSE,IF(S1689=TRUE,INDEX('SummaryNOT_VALIDATED-BL'!$A$1:$F$16,MATCH(R1689,'SummaryNOT_VALIDATED-BL'!$A$1:$A$16,0),6),0),IF(S1689=TRUE,INDEX('SummaryNOT_VALIDATED-BL'!$A$1:$F$16,MATCH(E1689,'SummaryNOT_VALIDATED-BL'!$A$1:$A$16,0),6),0)),0)</f>
        <v>0</v>
      </c>
      <c r="V1689" s="81" cm="1">
        <f t="array" ref="V1689">INDEX('Weight tables'!$A$24:$C$27,MATCH(1,(RendicontiTrasmessiBL__2[[#This Row],[Cut percentage on real costs + USC]]&gt;='Weight tables'!$B$24:$B$27)*(RendicontiTrasmessiBL__2[[#This Row],[Cut percentage on real costs + USC]]&lt;='Weight tables'!$C$24:$C$27),0),1)</f>
        <v>0</v>
      </c>
      <c r="W1689" s="2">
        <f>RendicontiTrasmessiBL__2[[#This Row],[Weight real costs  + USC ]]</f>
        <v>0</v>
      </c>
    </row>
    <row r="1690" spans="1:23" x14ac:dyDescent="0.25">
      <c r="A1690" s="1" t="s">
        <v>60</v>
      </c>
      <c r="B1690" s="1" t="s">
        <v>330</v>
      </c>
      <c r="C1690" s="2">
        <v>137</v>
      </c>
      <c r="D1690" s="2">
        <v>104</v>
      </c>
      <c r="E1690" s="1" t="s">
        <v>233</v>
      </c>
      <c r="G1690">
        <v>0</v>
      </c>
      <c r="H1690">
        <v>0</v>
      </c>
      <c r="I1690">
        <v>0</v>
      </c>
      <c r="J1690">
        <v>0</v>
      </c>
      <c r="K1690">
        <v>0</v>
      </c>
      <c r="L1690">
        <v>0</v>
      </c>
      <c r="M1690">
        <v>0</v>
      </c>
      <c r="N1690">
        <v>0</v>
      </c>
      <c r="O1690">
        <v>0</v>
      </c>
      <c r="P1690">
        <v>0</v>
      </c>
      <c r="Q1690" t="str">
        <f>INDEX('Partner data'!A:DH,MATCH(C1690,'Partner data'!DG:DG,0),83)</f>
        <v>Soggetto privato</v>
      </c>
      <c r="R1690" t="b">
        <f>IF(E1690="staff",IF(INDEX('Partner data'!A:DH,MATCH(C1690,'Partner data'!DG:DG,0),112)="BL1 non presente","FALSO",INDEX('Partner data'!A:DH,MATCH(C1690,'Partner data'!DG:DG,0),112)))</f>
        <v>0</v>
      </c>
      <c r="S1690" t="b">
        <f t="shared" si="52"/>
        <v>0</v>
      </c>
      <c r="T1690" t="b">
        <f t="shared" si="53"/>
        <v>0</v>
      </c>
      <c r="U1690" s="154">
        <f>IFERROR(IF(R1690&lt;&gt;FALSE,IF(S1690=TRUE,INDEX('SummaryNOT_VALIDATED-BL'!$A$1:$F$16,MATCH(R1690,'SummaryNOT_VALIDATED-BL'!$A$1:$A$16,0),6),0),IF(S1690=TRUE,INDEX('SummaryNOT_VALIDATED-BL'!$A$1:$F$16,MATCH(E1690,'SummaryNOT_VALIDATED-BL'!$A$1:$A$16,0),6),0)),0)</f>
        <v>0</v>
      </c>
      <c r="V1690" s="81" cm="1">
        <f t="array" ref="V1690">INDEX('Weight tables'!$A$24:$C$27,MATCH(1,(RendicontiTrasmessiBL__2[[#This Row],[Cut percentage on real costs + USC]]&gt;='Weight tables'!$B$24:$B$27)*(RendicontiTrasmessiBL__2[[#This Row],[Cut percentage on real costs + USC]]&lt;='Weight tables'!$C$24:$C$27),0),1)</f>
        <v>0</v>
      </c>
      <c r="W1690" s="2">
        <f>RendicontiTrasmessiBL__2[[#This Row],[Weight real costs  + USC ]]</f>
        <v>0</v>
      </c>
    </row>
    <row r="1691" spans="1:23" x14ac:dyDescent="0.25">
      <c r="A1691" s="1" t="s">
        <v>60</v>
      </c>
      <c r="B1691" s="1" t="s">
        <v>330</v>
      </c>
      <c r="C1691" s="2">
        <v>137</v>
      </c>
      <c r="D1691" s="2">
        <v>104</v>
      </c>
      <c r="E1691" s="1" t="s">
        <v>234</v>
      </c>
      <c r="G1691">
        <v>0</v>
      </c>
      <c r="H1691">
        <v>0</v>
      </c>
      <c r="I1691">
        <v>0</v>
      </c>
      <c r="J1691">
        <v>0</v>
      </c>
      <c r="K1691">
        <v>0</v>
      </c>
      <c r="L1691">
        <v>0</v>
      </c>
      <c r="M1691">
        <v>0</v>
      </c>
      <c r="N1691">
        <v>0</v>
      </c>
      <c r="O1691">
        <v>0</v>
      </c>
      <c r="P1691">
        <v>0</v>
      </c>
      <c r="Q1691" t="str">
        <f>INDEX('Partner data'!A:DH,MATCH(C1691,'Partner data'!DG:DG,0),83)</f>
        <v>Soggetto privato</v>
      </c>
      <c r="R1691" t="b">
        <f>IF(E1691="staff",IF(INDEX('Partner data'!A:DH,MATCH(C1691,'Partner data'!DG:DG,0),112)="BL1 non presente","FALSO",INDEX('Partner data'!A:DH,MATCH(C1691,'Partner data'!DG:DG,0),112)))</f>
        <v>0</v>
      </c>
      <c r="S1691" t="b">
        <f t="shared" si="52"/>
        <v>0</v>
      </c>
      <c r="T1691" t="b">
        <f t="shared" si="53"/>
        <v>0</v>
      </c>
      <c r="U1691" s="154">
        <f>IFERROR(IF(R1691&lt;&gt;FALSE,IF(S1691=TRUE,INDEX('SummaryNOT_VALIDATED-BL'!$A$1:$F$16,MATCH(R1691,'SummaryNOT_VALIDATED-BL'!$A$1:$A$16,0),6),0),IF(S1691=TRUE,INDEX('SummaryNOT_VALIDATED-BL'!$A$1:$F$16,MATCH(E1691,'SummaryNOT_VALIDATED-BL'!$A$1:$A$16,0),6),0)),0)</f>
        <v>0</v>
      </c>
      <c r="V1691" s="81" cm="1">
        <f t="array" ref="V1691">INDEX('Weight tables'!$A$24:$C$27,MATCH(1,(RendicontiTrasmessiBL__2[[#This Row],[Cut percentage on real costs + USC]]&gt;='Weight tables'!$B$24:$B$27)*(RendicontiTrasmessiBL__2[[#This Row],[Cut percentage on real costs + USC]]&lt;='Weight tables'!$C$24:$C$27),0),1)</f>
        <v>0</v>
      </c>
      <c r="W1691" s="2">
        <f>RendicontiTrasmessiBL__2[[#This Row],[Weight real costs  + USC ]]</f>
        <v>0</v>
      </c>
    </row>
    <row r="1692" spans="1:23" x14ac:dyDescent="0.25">
      <c r="A1692" s="1" t="s">
        <v>60</v>
      </c>
      <c r="B1692" s="1" t="s">
        <v>330</v>
      </c>
      <c r="C1692" s="2">
        <v>137</v>
      </c>
      <c r="D1692" s="2">
        <v>104</v>
      </c>
      <c r="E1692" s="1" t="s">
        <v>236</v>
      </c>
      <c r="G1692">
        <v>0</v>
      </c>
      <c r="H1692">
        <v>0</v>
      </c>
      <c r="I1692">
        <v>0</v>
      </c>
      <c r="J1692">
        <v>0</v>
      </c>
      <c r="K1692">
        <v>0</v>
      </c>
      <c r="L1692">
        <v>0</v>
      </c>
      <c r="M1692">
        <v>0</v>
      </c>
      <c r="N1692">
        <v>0</v>
      </c>
      <c r="O1692">
        <v>0</v>
      </c>
      <c r="P1692">
        <v>0</v>
      </c>
      <c r="Q1692" t="str">
        <f>INDEX('Partner data'!A:DH,MATCH(C1692,'Partner data'!DG:DG,0),83)</f>
        <v>Soggetto privato</v>
      </c>
      <c r="R1692" t="b">
        <f>IF(E1692="staff",IF(INDEX('Partner data'!A:DH,MATCH(C1692,'Partner data'!DG:DG,0),112)="BL1 non presente","FALSO",INDEX('Partner data'!A:DH,MATCH(C1692,'Partner data'!DG:DG,0),112)))</f>
        <v>0</v>
      </c>
      <c r="S1692" t="b">
        <f t="shared" si="52"/>
        <v>0</v>
      </c>
      <c r="T1692" t="b">
        <f t="shared" si="53"/>
        <v>0</v>
      </c>
      <c r="U1692" s="154">
        <f>IFERROR(IF(R1692&lt;&gt;FALSE,IF(S1692=TRUE,INDEX('SummaryNOT_VALIDATED-BL'!$A$1:$F$16,MATCH(R1692,'SummaryNOT_VALIDATED-BL'!$A$1:$A$16,0),6),0),IF(S1692=TRUE,INDEX('SummaryNOT_VALIDATED-BL'!$A$1:$F$16,MATCH(E1692,'SummaryNOT_VALIDATED-BL'!$A$1:$A$16,0),6),0)),0)</f>
        <v>0</v>
      </c>
      <c r="V1692" s="81" cm="1">
        <f t="array" ref="V1692">INDEX('Weight tables'!$A$24:$C$27,MATCH(1,(RendicontiTrasmessiBL__2[[#This Row],[Cut percentage on real costs + USC]]&gt;='Weight tables'!$B$24:$B$27)*(RendicontiTrasmessiBL__2[[#This Row],[Cut percentage on real costs + USC]]&lt;='Weight tables'!$C$24:$C$27),0),1)</f>
        <v>0</v>
      </c>
      <c r="W1692" s="2">
        <f>RendicontiTrasmessiBL__2[[#This Row],[Weight real costs  + USC ]]</f>
        <v>0</v>
      </c>
    </row>
    <row r="1693" spans="1:23" x14ac:dyDescent="0.25">
      <c r="A1693" s="1" t="s">
        <v>60</v>
      </c>
      <c r="B1693" s="1" t="s">
        <v>330</v>
      </c>
      <c r="C1693" s="2">
        <v>137</v>
      </c>
      <c r="D1693" s="2">
        <v>104</v>
      </c>
      <c r="E1693" s="1" t="s">
        <v>237</v>
      </c>
      <c r="G1693">
        <v>0</v>
      </c>
      <c r="H1693">
        <v>0</v>
      </c>
      <c r="I1693">
        <v>0</v>
      </c>
      <c r="J1693">
        <v>0</v>
      </c>
      <c r="K1693">
        <v>0</v>
      </c>
      <c r="L1693">
        <v>0</v>
      </c>
      <c r="M1693">
        <v>0</v>
      </c>
      <c r="N1693">
        <v>0</v>
      </c>
      <c r="O1693">
        <v>0</v>
      </c>
      <c r="P1693">
        <v>0</v>
      </c>
      <c r="Q1693" t="str">
        <f>INDEX('Partner data'!A:DH,MATCH(C1693,'Partner data'!DG:DG,0),83)</f>
        <v>Soggetto privato</v>
      </c>
      <c r="R1693" t="b">
        <f>IF(E1693="staff",IF(INDEX('Partner data'!A:DH,MATCH(C1693,'Partner data'!DG:DG,0),112)="BL1 non presente","FALSO",INDEX('Partner data'!A:DH,MATCH(C1693,'Partner data'!DG:DG,0),112)))</f>
        <v>0</v>
      </c>
      <c r="S1693" t="b">
        <f t="shared" si="52"/>
        <v>0</v>
      </c>
      <c r="T1693" t="b">
        <f t="shared" si="53"/>
        <v>0</v>
      </c>
      <c r="U1693" s="154">
        <f>IFERROR(IF(R1693&lt;&gt;FALSE,IF(S1693=TRUE,INDEX('SummaryNOT_VALIDATED-BL'!$A$1:$F$16,MATCH(R1693,'SummaryNOT_VALIDATED-BL'!$A$1:$A$16,0),6),0),IF(S1693=TRUE,INDEX('SummaryNOT_VALIDATED-BL'!$A$1:$F$16,MATCH(E1693,'SummaryNOT_VALIDATED-BL'!$A$1:$A$16,0),6),0)),0)</f>
        <v>0</v>
      </c>
      <c r="V1693" s="81" cm="1">
        <f t="array" ref="V1693">INDEX('Weight tables'!$A$24:$C$27,MATCH(1,(RendicontiTrasmessiBL__2[[#This Row],[Cut percentage on real costs + USC]]&gt;='Weight tables'!$B$24:$B$27)*(RendicontiTrasmessiBL__2[[#This Row],[Cut percentage on real costs + USC]]&lt;='Weight tables'!$C$24:$C$27),0),1)</f>
        <v>0</v>
      </c>
      <c r="W1693" s="2">
        <f>RendicontiTrasmessiBL__2[[#This Row],[Weight real costs  + USC ]]</f>
        <v>0</v>
      </c>
    </row>
    <row r="1694" spans="1:23" x14ac:dyDescent="0.25">
      <c r="A1694" s="1" t="s">
        <v>60</v>
      </c>
      <c r="B1694" s="1" t="s">
        <v>330</v>
      </c>
      <c r="C1694" s="2">
        <v>137</v>
      </c>
      <c r="D1694" s="2">
        <v>337</v>
      </c>
      <c r="E1694" s="1" t="s">
        <v>228</v>
      </c>
      <c r="F1694">
        <v>20</v>
      </c>
      <c r="G1694">
        <v>17660</v>
      </c>
      <c r="H1694">
        <v>0</v>
      </c>
      <c r="I1694">
        <v>0</v>
      </c>
      <c r="J1694">
        <v>0</v>
      </c>
      <c r="K1694">
        <v>0</v>
      </c>
      <c r="L1694">
        <v>0</v>
      </c>
      <c r="M1694">
        <v>0</v>
      </c>
      <c r="N1694">
        <v>0</v>
      </c>
      <c r="O1694">
        <v>17660</v>
      </c>
      <c r="P1694">
        <v>0</v>
      </c>
      <c r="Q1694" t="str">
        <f>INDEX('Partner data'!A:DH,MATCH(C1694,'Partner data'!DG:DG,0),83)</f>
        <v>Soggetto privato</v>
      </c>
      <c r="R1694" t="str">
        <f>IF(E1694="staff",IF(INDEX('Partner data'!A:DH,MATCH(C1694,'Partner data'!DG:DG,0),112)="BL1 non presente","FALSO",INDEX('Partner data'!A:DH,MATCH(C1694,'Partner data'!DG:DG,0),112)))</f>
        <v>Tasso Forfettario 20%</v>
      </c>
      <c r="S1694" t="b">
        <f t="shared" si="52"/>
        <v>0</v>
      </c>
      <c r="T1694" t="b">
        <f t="shared" si="53"/>
        <v>0</v>
      </c>
      <c r="U1694" s="154">
        <f>IFERROR(IF(R1694&lt;&gt;FALSE,IF(S1694=TRUE,INDEX('SummaryNOT_VALIDATED-BL'!$A$1:$F$16,MATCH(R1694,'SummaryNOT_VALIDATED-BL'!$A$1:$A$16,0),6),0),IF(S1694=TRUE,INDEX('SummaryNOT_VALIDATED-BL'!$A$1:$F$16,MATCH(E1694,'SummaryNOT_VALIDATED-BL'!$A$1:$A$16,0),6),0)),0)</f>
        <v>0</v>
      </c>
      <c r="V1694" s="81" cm="1">
        <f t="array" ref="V1694">INDEX('Weight tables'!$A$24:$C$27,MATCH(1,(RendicontiTrasmessiBL__2[[#This Row],[Cut percentage on real costs + USC]]&gt;='Weight tables'!$B$24:$B$27)*(RendicontiTrasmessiBL__2[[#This Row],[Cut percentage on real costs + USC]]&lt;='Weight tables'!$C$24:$C$27),0),1)</f>
        <v>0</v>
      </c>
      <c r="W1694" s="2">
        <f>RendicontiTrasmessiBL__2[[#This Row],[Weight real costs  + USC ]]</f>
        <v>0</v>
      </c>
    </row>
    <row r="1695" spans="1:23" x14ac:dyDescent="0.25">
      <c r="A1695" s="1" t="s">
        <v>60</v>
      </c>
      <c r="B1695" s="1" t="s">
        <v>330</v>
      </c>
      <c r="C1695" s="2">
        <v>137</v>
      </c>
      <c r="D1695" s="2">
        <v>337</v>
      </c>
      <c r="E1695" s="1" t="s">
        <v>229</v>
      </c>
      <c r="F1695">
        <v>15</v>
      </c>
      <c r="G1695">
        <v>2649</v>
      </c>
      <c r="H1695">
        <v>0</v>
      </c>
      <c r="I1695">
        <v>0</v>
      </c>
      <c r="J1695">
        <v>0</v>
      </c>
      <c r="K1695">
        <v>0</v>
      </c>
      <c r="L1695">
        <v>0</v>
      </c>
      <c r="M1695">
        <v>0</v>
      </c>
      <c r="N1695">
        <v>0</v>
      </c>
      <c r="O1695">
        <v>2649</v>
      </c>
      <c r="P1695">
        <v>0</v>
      </c>
      <c r="Q1695" t="str">
        <f>INDEX('Partner data'!A:DH,MATCH(C1695,'Partner data'!DG:DG,0),83)</f>
        <v>Soggetto privato</v>
      </c>
      <c r="R1695" t="b">
        <f>IF(E1695="staff",IF(INDEX('Partner data'!A:DH,MATCH(C1695,'Partner data'!DG:DG,0),112)="BL1 non presente","FALSO",INDEX('Partner data'!A:DH,MATCH(C1695,'Partner data'!DG:DG,0),112)))</f>
        <v>0</v>
      </c>
      <c r="S1695" t="b">
        <f t="shared" si="52"/>
        <v>0</v>
      </c>
      <c r="T1695" t="b">
        <f t="shared" si="53"/>
        <v>0</v>
      </c>
      <c r="U1695" s="154">
        <f>IFERROR(IF(R1695&lt;&gt;FALSE,IF(S1695=TRUE,INDEX('SummaryNOT_VALIDATED-BL'!$A$1:$F$16,MATCH(R1695,'SummaryNOT_VALIDATED-BL'!$A$1:$A$16,0),6),0),IF(S1695=TRUE,INDEX('SummaryNOT_VALIDATED-BL'!$A$1:$F$16,MATCH(E1695,'SummaryNOT_VALIDATED-BL'!$A$1:$A$16,0),6),0)),0)</f>
        <v>0</v>
      </c>
      <c r="V1695" s="81" cm="1">
        <f t="array" ref="V1695">INDEX('Weight tables'!$A$24:$C$27,MATCH(1,(RendicontiTrasmessiBL__2[[#This Row],[Cut percentage on real costs + USC]]&gt;='Weight tables'!$B$24:$B$27)*(RendicontiTrasmessiBL__2[[#This Row],[Cut percentage on real costs + USC]]&lt;='Weight tables'!$C$24:$C$27),0),1)</f>
        <v>0</v>
      </c>
      <c r="W1695" s="2">
        <f>RendicontiTrasmessiBL__2[[#This Row],[Weight real costs  + USC ]]</f>
        <v>0</v>
      </c>
    </row>
    <row r="1696" spans="1:23" x14ac:dyDescent="0.25">
      <c r="A1696" s="1" t="s">
        <v>60</v>
      </c>
      <c r="B1696" s="1" t="s">
        <v>330</v>
      </c>
      <c r="C1696" s="2">
        <v>137</v>
      </c>
      <c r="D1696" s="2">
        <v>337</v>
      </c>
      <c r="E1696" s="1" t="s">
        <v>230</v>
      </c>
      <c r="F1696">
        <v>4</v>
      </c>
      <c r="G1696">
        <v>706.4</v>
      </c>
      <c r="H1696">
        <v>0</v>
      </c>
      <c r="I1696">
        <v>0</v>
      </c>
      <c r="J1696">
        <v>0</v>
      </c>
      <c r="K1696">
        <v>0</v>
      </c>
      <c r="L1696">
        <v>0</v>
      </c>
      <c r="M1696">
        <v>0</v>
      </c>
      <c r="N1696">
        <v>0</v>
      </c>
      <c r="O1696">
        <v>706.4</v>
      </c>
      <c r="P1696">
        <v>0</v>
      </c>
      <c r="Q1696" t="str">
        <f>INDEX('Partner data'!A:DH,MATCH(C1696,'Partner data'!DG:DG,0),83)</f>
        <v>Soggetto privato</v>
      </c>
      <c r="R1696" t="b">
        <f>IF(E1696="staff",IF(INDEX('Partner data'!A:DH,MATCH(C1696,'Partner data'!DG:DG,0),112)="BL1 non presente","FALSO",INDEX('Partner data'!A:DH,MATCH(C1696,'Partner data'!DG:DG,0),112)))</f>
        <v>0</v>
      </c>
      <c r="S1696" t="b">
        <f t="shared" si="52"/>
        <v>0</v>
      </c>
      <c r="T1696" t="b">
        <f t="shared" si="53"/>
        <v>0</v>
      </c>
      <c r="U1696" s="154">
        <f>IFERROR(IF(R1696&lt;&gt;FALSE,IF(S1696=TRUE,INDEX('SummaryNOT_VALIDATED-BL'!$A$1:$F$16,MATCH(R1696,'SummaryNOT_VALIDATED-BL'!$A$1:$A$16,0),6),0),IF(S1696=TRUE,INDEX('SummaryNOT_VALIDATED-BL'!$A$1:$F$16,MATCH(E1696,'SummaryNOT_VALIDATED-BL'!$A$1:$A$16,0),6),0)),0)</f>
        <v>0</v>
      </c>
      <c r="V1696" s="81" cm="1">
        <f t="array" ref="V1696">INDEX('Weight tables'!$A$24:$C$27,MATCH(1,(RendicontiTrasmessiBL__2[[#This Row],[Cut percentage on real costs + USC]]&gt;='Weight tables'!$B$24:$B$27)*(RendicontiTrasmessiBL__2[[#This Row],[Cut percentage on real costs + USC]]&lt;='Weight tables'!$C$24:$C$27),0),1)</f>
        <v>0</v>
      </c>
      <c r="W1696" s="2">
        <f>RendicontiTrasmessiBL__2[[#This Row],[Weight real costs  + USC ]]</f>
        <v>0</v>
      </c>
    </row>
    <row r="1697" spans="1:23" x14ac:dyDescent="0.25">
      <c r="A1697" s="1" t="s">
        <v>60</v>
      </c>
      <c r="B1697" s="1" t="s">
        <v>330</v>
      </c>
      <c r="C1697" s="2">
        <v>137</v>
      </c>
      <c r="D1697" s="2">
        <v>337</v>
      </c>
      <c r="E1697" s="1" t="s">
        <v>231</v>
      </c>
      <c r="G1697">
        <v>88300</v>
      </c>
      <c r="H1697">
        <v>0</v>
      </c>
      <c r="I1697">
        <v>0</v>
      </c>
      <c r="J1697">
        <v>0</v>
      </c>
      <c r="K1697">
        <v>0</v>
      </c>
      <c r="L1697">
        <v>0</v>
      </c>
      <c r="M1697">
        <v>0</v>
      </c>
      <c r="N1697">
        <v>0</v>
      </c>
      <c r="O1697">
        <v>88300</v>
      </c>
      <c r="P1697">
        <v>0</v>
      </c>
      <c r="Q1697" t="str">
        <f>INDEX('Partner data'!A:DH,MATCH(C1697,'Partner data'!DG:DG,0),83)</f>
        <v>Soggetto privato</v>
      </c>
      <c r="R1697" t="b">
        <f>IF(E1697="staff",IF(INDEX('Partner data'!A:DH,MATCH(C1697,'Partner data'!DG:DG,0),112)="BL1 non presente","FALSO",INDEX('Partner data'!A:DH,MATCH(C1697,'Partner data'!DG:DG,0),112)))</f>
        <v>0</v>
      </c>
      <c r="S1697" t="b">
        <f t="shared" si="52"/>
        <v>0</v>
      </c>
      <c r="T1697" t="b">
        <f t="shared" si="53"/>
        <v>0</v>
      </c>
      <c r="U1697" s="154">
        <f>IFERROR(IF(R1697&lt;&gt;FALSE,IF(S1697=TRUE,INDEX('SummaryNOT_VALIDATED-BL'!$A$1:$F$16,MATCH(R1697,'SummaryNOT_VALIDATED-BL'!$A$1:$A$16,0),6),0),IF(S1697=TRUE,INDEX('SummaryNOT_VALIDATED-BL'!$A$1:$F$16,MATCH(E1697,'SummaryNOT_VALIDATED-BL'!$A$1:$A$16,0),6),0)),0)</f>
        <v>0</v>
      </c>
      <c r="V1697" s="81" cm="1">
        <f t="array" ref="V1697">INDEX('Weight tables'!$A$24:$C$27,MATCH(1,(RendicontiTrasmessiBL__2[[#This Row],[Cut percentage on real costs + USC]]&gt;='Weight tables'!$B$24:$B$27)*(RendicontiTrasmessiBL__2[[#This Row],[Cut percentage on real costs + USC]]&lt;='Weight tables'!$C$24:$C$27),0),1)</f>
        <v>0</v>
      </c>
      <c r="W1697" s="2">
        <f>RendicontiTrasmessiBL__2[[#This Row],[Weight real costs  + USC ]]</f>
        <v>0</v>
      </c>
    </row>
    <row r="1698" spans="1:23" x14ac:dyDescent="0.25">
      <c r="A1698" s="1" t="s">
        <v>60</v>
      </c>
      <c r="B1698" s="1" t="s">
        <v>330</v>
      </c>
      <c r="C1698" s="2">
        <v>137</v>
      </c>
      <c r="D1698" s="2">
        <v>337</v>
      </c>
      <c r="E1698" s="1" t="s">
        <v>232</v>
      </c>
      <c r="G1698">
        <v>0</v>
      </c>
      <c r="H1698">
        <v>0</v>
      </c>
      <c r="I1698">
        <v>0</v>
      </c>
      <c r="J1698">
        <v>0</v>
      </c>
      <c r="K1698">
        <v>0</v>
      </c>
      <c r="L1698">
        <v>0</v>
      </c>
      <c r="M1698">
        <v>0</v>
      </c>
      <c r="N1698">
        <v>0</v>
      </c>
      <c r="O1698">
        <v>0</v>
      </c>
      <c r="P1698">
        <v>0</v>
      </c>
      <c r="Q1698" t="str">
        <f>INDEX('Partner data'!A:DH,MATCH(C1698,'Partner data'!DG:DG,0),83)</f>
        <v>Soggetto privato</v>
      </c>
      <c r="R1698" t="b">
        <f>IF(E1698="staff",IF(INDEX('Partner data'!A:DH,MATCH(C1698,'Partner data'!DG:DG,0),112)="BL1 non presente","FALSO",INDEX('Partner data'!A:DH,MATCH(C1698,'Partner data'!DG:DG,0),112)))</f>
        <v>0</v>
      </c>
      <c r="S1698" t="b">
        <f t="shared" si="52"/>
        <v>0</v>
      </c>
      <c r="T1698" t="b">
        <f t="shared" si="53"/>
        <v>0</v>
      </c>
      <c r="U1698" s="154">
        <f>IFERROR(IF(R1698&lt;&gt;FALSE,IF(S1698=TRUE,INDEX('SummaryNOT_VALIDATED-BL'!$A$1:$F$16,MATCH(R1698,'SummaryNOT_VALIDATED-BL'!$A$1:$A$16,0),6),0),IF(S1698=TRUE,INDEX('SummaryNOT_VALIDATED-BL'!$A$1:$F$16,MATCH(E1698,'SummaryNOT_VALIDATED-BL'!$A$1:$A$16,0),6),0)),0)</f>
        <v>0</v>
      </c>
      <c r="V1698" s="81" cm="1">
        <f t="array" ref="V1698">INDEX('Weight tables'!$A$24:$C$27,MATCH(1,(RendicontiTrasmessiBL__2[[#This Row],[Cut percentage on real costs + USC]]&gt;='Weight tables'!$B$24:$B$27)*(RendicontiTrasmessiBL__2[[#This Row],[Cut percentage on real costs + USC]]&lt;='Weight tables'!$C$24:$C$27),0),1)</f>
        <v>0</v>
      </c>
      <c r="W1698" s="2">
        <f>RendicontiTrasmessiBL__2[[#This Row],[Weight real costs  + USC ]]</f>
        <v>0</v>
      </c>
    </row>
    <row r="1699" spans="1:23" x14ac:dyDescent="0.25">
      <c r="A1699" s="1" t="s">
        <v>60</v>
      </c>
      <c r="B1699" s="1" t="s">
        <v>330</v>
      </c>
      <c r="C1699" s="2">
        <v>137</v>
      </c>
      <c r="D1699" s="2">
        <v>337</v>
      </c>
      <c r="E1699" s="1" t="s">
        <v>233</v>
      </c>
      <c r="G1699">
        <v>0</v>
      </c>
      <c r="H1699">
        <v>0</v>
      </c>
      <c r="I1699">
        <v>0</v>
      </c>
      <c r="J1699">
        <v>0</v>
      </c>
      <c r="K1699">
        <v>0</v>
      </c>
      <c r="L1699">
        <v>0</v>
      </c>
      <c r="M1699">
        <v>0</v>
      </c>
      <c r="N1699">
        <v>0</v>
      </c>
      <c r="O1699">
        <v>0</v>
      </c>
      <c r="P1699">
        <v>0</v>
      </c>
      <c r="Q1699" t="str">
        <f>INDEX('Partner data'!A:DH,MATCH(C1699,'Partner data'!DG:DG,0),83)</f>
        <v>Soggetto privato</v>
      </c>
      <c r="R1699" t="b">
        <f>IF(E1699="staff",IF(INDEX('Partner data'!A:DH,MATCH(C1699,'Partner data'!DG:DG,0),112)="BL1 non presente","FALSO",INDEX('Partner data'!A:DH,MATCH(C1699,'Partner data'!DG:DG,0),112)))</f>
        <v>0</v>
      </c>
      <c r="S1699" t="b">
        <f t="shared" si="52"/>
        <v>0</v>
      </c>
      <c r="T1699" t="b">
        <f t="shared" si="53"/>
        <v>0</v>
      </c>
      <c r="U1699" s="154">
        <f>IFERROR(IF(R1699&lt;&gt;FALSE,IF(S1699=TRUE,INDEX('SummaryNOT_VALIDATED-BL'!$A$1:$F$16,MATCH(R1699,'SummaryNOT_VALIDATED-BL'!$A$1:$A$16,0),6),0),IF(S1699=TRUE,INDEX('SummaryNOT_VALIDATED-BL'!$A$1:$F$16,MATCH(E1699,'SummaryNOT_VALIDATED-BL'!$A$1:$A$16,0),6),0)),0)</f>
        <v>0</v>
      </c>
      <c r="V1699" s="81" cm="1">
        <f t="array" ref="V1699">INDEX('Weight tables'!$A$24:$C$27,MATCH(1,(RendicontiTrasmessiBL__2[[#This Row],[Cut percentage on real costs + USC]]&gt;='Weight tables'!$B$24:$B$27)*(RendicontiTrasmessiBL__2[[#This Row],[Cut percentage on real costs + USC]]&lt;='Weight tables'!$C$24:$C$27),0),1)</f>
        <v>0</v>
      </c>
      <c r="W1699" s="2">
        <f>RendicontiTrasmessiBL__2[[#This Row],[Weight real costs  + USC ]]</f>
        <v>0</v>
      </c>
    </row>
    <row r="1700" spans="1:23" x14ac:dyDescent="0.25">
      <c r="A1700" s="1" t="s">
        <v>60</v>
      </c>
      <c r="B1700" s="1" t="s">
        <v>330</v>
      </c>
      <c r="C1700" s="2">
        <v>137</v>
      </c>
      <c r="D1700" s="2">
        <v>337</v>
      </c>
      <c r="E1700" s="1" t="s">
        <v>234</v>
      </c>
      <c r="G1700">
        <v>0</v>
      </c>
      <c r="H1700">
        <v>0</v>
      </c>
      <c r="I1700">
        <v>0</v>
      </c>
      <c r="J1700">
        <v>0</v>
      </c>
      <c r="K1700">
        <v>0</v>
      </c>
      <c r="L1700">
        <v>0</v>
      </c>
      <c r="M1700">
        <v>0</v>
      </c>
      <c r="N1700">
        <v>0</v>
      </c>
      <c r="O1700">
        <v>0</v>
      </c>
      <c r="P1700">
        <v>0</v>
      </c>
      <c r="Q1700" t="str">
        <f>INDEX('Partner data'!A:DH,MATCH(C1700,'Partner data'!DG:DG,0),83)</f>
        <v>Soggetto privato</v>
      </c>
      <c r="R1700" t="b">
        <f>IF(E1700="staff",IF(INDEX('Partner data'!A:DH,MATCH(C1700,'Partner data'!DG:DG,0),112)="BL1 non presente","FALSO",INDEX('Partner data'!A:DH,MATCH(C1700,'Partner data'!DG:DG,0),112)))</f>
        <v>0</v>
      </c>
      <c r="S1700" t="b">
        <f t="shared" si="52"/>
        <v>0</v>
      </c>
      <c r="T1700" t="b">
        <f t="shared" si="53"/>
        <v>0</v>
      </c>
      <c r="U1700" s="154">
        <f>IFERROR(IF(R1700&lt;&gt;FALSE,IF(S1700=TRUE,INDEX('SummaryNOT_VALIDATED-BL'!$A$1:$F$16,MATCH(R1700,'SummaryNOT_VALIDATED-BL'!$A$1:$A$16,0),6),0),IF(S1700=TRUE,INDEX('SummaryNOT_VALIDATED-BL'!$A$1:$F$16,MATCH(E1700,'SummaryNOT_VALIDATED-BL'!$A$1:$A$16,0),6),0)),0)</f>
        <v>0</v>
      </c>
      <c r="V1700" s="81" cm="1">
        <f t="array" ref="V1700">INDEX('Weight tables'!$A$24:$C$27,MATCH(1,(RendicontiTrasmessiBL__2[[#This Row],[Cut percentage on real costs + USC]]&gt;='Weight tables'!$B$24:$B$27)*(RendicontiTrasmessiBL__2[[#This Row],[Cut percentage on real costs + USC]]&lt;='Weight tables'!$C$24:$C$27),0),1)</f>
        <v>0</v>
      </c>
      <c r="W1700" s="2">
        <f>RendicontiTrasmessiBL__2[[#This Row],[Weight real costs  + USC ]]</f>
        <v>0</v>
      </c>
    </row>
    <row r="1701" spans="1:23" x14ac:dyDescent="0.25">
      <c r="A1701" s="1" t="s">
        <v>60</v>
      </c>
      <c r="B1701" s="1" t="s">
        <v>330</v>
      </c>
      <c r="C1701" s="2">
        <v>137</v>
      </c>
      <c r="D1701" s="2">
        <v>337</v>
      </c>
      <c r="E1701" s="1" t="s">
        <v>236</v>
      </c>
      <c r="G1701">
        <v>0</v>
      </c>
      <c r="H1701">
        <v>0</v>
      </c>
      <c r="I1701">
        <v>0</v>
      </c>
      <c r="J1701">
        <v>0</v>
      </c>
      <c r="K1701">
        <v>0</v>
      </c>
      <c r="L1701">
        <v>0</v>
      </c>
      <c r="M1701">
        <v>0</v>
      </c>
      <c r="N1701">
        <v>0</v>
      </c>
      <c r="O1701">
        <v>0</v>
      </c>
      <c r="P1701">
        <v>0</v>
      </c>
      <c r="Q1701" t="str">
        <f>INDEX('Partner data'!A:DH,MATCH(C1701,'Partner data'!DG:DG,0),83)</f>
        <v>Soggetto privato</v>
      </c>
      <c r="R1701" t="b">
        <f>IF(E1701="staff",IF(INDEX('Partner data'!A:DH,MATCH(C1701,'Partner data'!DG:DG,0),112)="BL1 non presente","FALSO",INDEX('Partner data'!A:DH,MATCH(C1701,'Partner data'!DG:DG,0),112)))</f>
        <v>0</v>
      </c>
      <c r="S1701" t="b">
        <f t="shared" si="52"/>
        <v>0</v>
      </c>
      <c r="T1701" t="b">
        <f t="shared" si="53"/>
        <v>0</v>
      </c>
      <c r="U1701" s="154">
        <f>IFERROR(IF(R1701&lt;&gt;FALSE,IF(S1701=TRUE,INDEX('SummaryNOT_VALIDATED-BL'!$A$1:$F$16,MATCH(R1701,'SummaryNOT_VALIDATED-BL'!$A$1:$A$16,0),6),0),IF(S1701=TRUE,INDEX('SummaryNOT_VALIDATED-BL'!$A$1:$F$16,MATCH(E1701,'SummaryNOT_VALIDATED-BL'!$A$1:$A$16,0),6),0)),0)</f>
        <v>0</v>
      </c>
      <c r="V1701" s="81" cm="1">
        <f t="array" ref="V1701">INDEX('Weight tables'!$A$24:$C$27,MATCH(1,(RendicontiTrasmessiBL__2[[#This Row],[Cut percentage on real costs + USC]]&gt;='Weight tables'!$B$24:$B$27)*(RendicontiTrasmessiBL__2[[#This Row],[Cut percentage on real costs + USC]]&lt;='Weight tables'!$C$24:$C$27),0),1)</f>
        <v>0</v>
      </c>
      <c r="W1701" s="2">
        <f>RendicontiTrasmessiBL__2[[#This Row],[Weight real costs  + USC ]]</f>
        <v>0</v>
      </c>
    </row>
    <row r="1702" spans="1:23" x14ac:dyDescent="0.25">
      <c r="A1702" s="1" t="s">
        <v>60</v>
      </c>
      <c r="B1702" s="1" t="s">
        <v>330</v>
      </c>
      <c r="C1702" s="2">
        <v>137</v>
      </c>
      <c r="D1702" s="2">
        <v>337</v>
      </c>
      <c r="E1702" s="1" t="s">
        <v>237</v>
      </c>
      <c r="G1702">
        <v>0</v>
      </c>
      <c r="H1702">
        <v>0</v>
      </c>
      <c r="I1702">
        <v>0</v>
      </c>
      <c r="J1702">
        <v>0</v>
      </c>
      <c r="K1702">
        <v>0</v>
      </c>
      <c r="L1702">
        <v>0</v>
      </c>
      <c r="M1702">
        <v>0</v>
      </c>
      <c r="N1702">
        <v>0</v>
      </c>
      <c r="O1702">
        <v>0</v>
      </c>
      <c r="P1702">
        <v>0</v>
      </c>
      <c r="Q1702" t="str">
        <f>INDEX('Partner data'!A:DH,MATCH(C1702,'Partner data'!DG:DG,0),83)</f>
        <v>Soggetto privato</v>
      </c>
      <c r="R1702" t="b">
        <f>IF(E1702="staff",IF(INDEX('Partner data'!A:DH,MATCH(C1702,'Partner data'!DG:DG,0),112)="BL1 non presente","FALSO",INDEX('Partner data'!A:DH,MATCH(C1702,'Partner data'!DG:DG,0),112)))</f>
        <v>0</v>
      </c>
      <c r="S1702" t="b">
        <f t="shared" si="52"/>
        <v>0</v>
      </c>
      <c r="T1702" t="b">
        <f t="shared" si="53"/>
        <v>0</v>
      </c>
      <c r="U1702" s="154">
        <f>IFERROR(IF(R1702&lt;&gt;FALSE,IF(S1702=TRUE,INDEX('SummaryNOT_VALIDATED-BL'!$A$1:$F$16,MATCH(R1702,'SummaryNOT_VALIDATED-BL'!$A$1:$A$16,0),6),0),IF(S1702=TRUE,INDEX('SummaryNOT_VALIDATED-BL'!$A$1:$F$16,MATCH(E1702,'SummaryNOT_VALIDATED-BL'!$A$1:$A$16,0),6),0)),0)</f>
        <v>0</v>
      </c>
      <c r="V1702" s="81" cm="1">
        <f t="array" ref="V1702">INDEX('Weight tables'!$A$24:$C$27,MATCH(1,(RendicontiTrasmessiBL__2[[#This Row],[Cut percentage on real costs + USC]]&gt;='Weight tables'!$B$24:$B$27)*(RendicontiTrasmessiBL__2[[#This Row],[Cut percentage on real costs + USC]]&lt;='Weight tables'!$C$24:$C$27),0),1)</f>
        <v>0</v>
      </c>
      <c r="W1702" s="2">
        <f>RendicontiTrasmessiBL__2[[#This Row],[Weight real costs  + USC ]]</f>
        <v>0</v>
      </c>
    </row>
    <row r="1703" spans="1:23" x14ac:dyDescent="0.25">
      <c r="A1703" s="1" t="s">
        <v>67</v>
      </c>
      <c r="B1703" s="1" t="s">
        <v>323</v>
      </c>
      <c r="C1703" s="2">
        <v>169</v>
      </c>
      <c r="D1703" s="2">
        <v>174</v>
      </c>
      <c r="E1703" s="1" t="s">
        <v>228</v>
      </c>
      <c r="G1703">
        <v>60518</v>
      </c>
      <c r="H1703">
        <v>0</v>
      </c>
      <c r="I1703">
        <v>0</v>
      </c>
      <c r="J1703">
        <v>9008.9</v>
      </c>
      <c r="K1703">
        <v>0</v>
      </c>
      <c r="L1703">
        <v>9008.9</v>
      </c>
      <c r="M1703">
        <v>9008.9</v>
      </c>
      <c r="N1703">
        <v>14.89</v>
      </c>
      <c r="O1703">
        <v>51509.1</v>
      </c>
      <c r="P1703">
        <v>0</v>
      </c>
      <c r="Q1703" t="str">
        <f>INDEX('Partner data'!A:DH,MATCH(C1703,'Partner data'!DG:DG,0),83)</f>
        <v>Soggetto pubblico</v>
      </c>
      <c r="R1703" t="str">
        <f>IF(E1703="staff",IF(INDEX('Partner data'!A:DH,MATCH(C1703,'Partner data'!DG:DG,0),112)="BL1 non presente","FALSO",INDEX('Partner data'!A:DH,MATCH(C1703,'Partner data'!DG:DG,0),112)))</f>
        <v>Costo Unitario Standard</v>
      </c>
      <c r="S1703" t="b">
        <f t="shared" si="52"/>
        <v>1</v>
      </c>
      <c r="T1703" t="b">
        <f t="shared" si="53"/>
        <v>1</v>
      </c>
      <c r="U1703" s="154">
        <f>IFERROR(IF(R1703&lt;&gt;FALSE,IF(S1703=TRUE,INDEX('SummaryNOT_VALIDATED-BL'!$A$1:$F$16,MATCH(R1703,'SummaryNOT_VALIDATED-BL'!$A$1:$A$16,0),6),0),IF(S1703=TRUE,INDEX('SummaryNOT_VALIDATED-BL'!$A$1:$F$16,MATCH(E1703,'SummaryNOT_VALIDATED-BL'!$A$1:$A$16,0),6),0)),0)</f>
        <v>3.2052879635441428E-2</v>
      </c>
      <c r="V1703" s="81" cm="1">
        <f t="array" ref="V1703">INDEX('Weight tables'!$A$24:$C$27,MATCH(1,(RendicontiTrasmessiBL__2[[#This Row],[Cut percentage on real costs + USC]]&gt;='Weight tables'!$B$24:$B$27)*(RendicontiTrasmessiBL__2[[#This Row],[Cut percentage on real costs + USC]]&lt;='Weight tables'!$C$24:$C$27),0),1)</f>
        <v>2</v>
      </c>
      <c r="W1703" s="2">
        <f>RendicontiTrasmessiBL__2[[#This Row],[Weight real costs  + USC ]]</f>
        <v>2</v>
      </c>
    </row>
    <row r="1704" spans="1:23" x14ac:dyDescent="0.25">
      <c r="A1704" s="1" t="s">
        <v>67</v>
      </c>
      <c r="B1704" s="1" t="s">
        <v>323</v>
      </c>
      <c r="C1704" s="2">
        <v>169</v>
      </c>
      <c r="D1704" s="2">
        <v>174</v>
      </c>
      <c r="E1704" s="1" t="s">
        <v>229</v>
      </c>
      <c r="G1704">
        <v>0</v>
      </c>
      <c r="H1704">
        <v>0</v>
      </c>
      <c r="I1704">
        <v>0</v>
      </c>
      <c r="J1704">
        <v>0</v>
      </c>
      <c r="K1704">
        <v>0</v>
      </c>
      <c r="L1704">
        <v>0</v>
      </c>
      <c r="M1704">
        <v>0</v>
      </c>
      <c r="N1704">
        <v>0</v>
      </c>
      <c r="O1704">
        <v>0</v>
      </c>
      <c r="P1704">
        <v>0</v>
      </c>
      <c r="Q1704" t="str">
        <f>INDEX('Partner data'!A:DH,MATCH(C1704,'Partner data'!DG:DG,0),83)</f>
        <v>Soggetto pubblico</v>
      </c>
      <c r="R1704" t="b">
        <f>IF(E1704="staff",IF(INDEX('Partner data'!A:DH,MATCH(C1704,'Partner data'!DG:DG,0),112)="BL1 non presente","FALSO",INDEX('Partner data'!A:DH,MATCH(C1704,'Partner data'!DG:DG,0),112)))</f>
        <v>0</v>
      </c>
      <c r="S1704" t="b">
        <f t="shared" si="52"/>
        <v>0</v>
      </c>
      <c r="T1704" t="b">
        <f t="shared" si="53"/>
        <v>1</v>
      </c>
      <c r="U1704" s="154">
        <f>IFERROR(IF(R1704&lt;&gt;FALSE,IF(S1704=TRUE,INDEX('SummaryNOT_VALIDATED-BL'!$A$1:$F$16,MATCH(R1704,'SummaryNOT_VALIDATED-BL'!$A$1:$A$16,0),6),0),IF(S1704=TRUE,INDEX('SummaryNOT_VALIDATED-BL'!$A$1:$F$16,MATCH(E1704,'SummaryNOT_VALIDATED-BL'!$A$1:$A$16,0),6),0)),0)</f>
        <v>0</v>
      </c>
      <c r="V1704" s="81" cm="1">
        <f t="array" ref="V1704">INDEX('Weight tables'!$A$24:$C$27,MATCH(1,(RendicontiTrasmessiBL__2[[#This Row],[Cut percentage on real costs + USC]]&gt;='Weight tables'!$B$24:$B$27)*(RendicontiTrasmessiBL__2[[#This Row],[Cut percentage on real costs + USC]]&lt;='Weight tables'!$C$24:$C$27),0),1)</f>
        <v>0</v>
      </c>
      <c r="W1704" s="2">
        <f>RendicontiTrasmessiBL__2[[#This Row],[Weight real costs  + USC ]]</f>
        <v>0</v>
      </c>
    </row>
    <row r="1705" spans="1:23" x14ac:dyDescent="0.25">
      <c r="A1705" s="1" t="s">
        <v>67</v>
      </c>
      <c r="B1705" s="1" t="s">
        <v>323</v>
      </c>
      <c r="C1705" s="2">
        <v>169</v>
      </c>
      <c r="D1705" s="2">
        <v>174</v>
      </c>
      <c r="E1705" s="1" t="s">
        <v>230</v>
      </c>
      <c r="G1705">
        <v>0</v>
      </c>
      <c r="H1705">
        <v>0</v>
      </c>
      <c r="I1705">
        <v>0</v>
      </c>
      <c r="J1705">
        <v>0</v>
      </c>
      <c r="K1705">
        <v>0</v>
      </c>
      <c r="L1705">
        <v>0</v>
      </c>
      <c r="M1705">
        <v>0</v>
      </c>
      <c r="N1705">
        <v>0</v>
      </c>
      <c r="O1705">
        <v>0</v>
      </c>
      <c r="P1705">
        <v>0</v>
      </c>
      <c r="Q1705" t="str">
        <f>INDEX('Partner data'!A:DH,MATCH(C1705,'Partner data'!DG:DG,0),83)</f>
        <v>Soggetto pubblico</v>
      </c>
      <c r="R1705" t="b">
        <f>IF(E1705="staff",IF(INDEX('Partner data'!A:DH,MATCH(C1705,'Partner data'!DG:DG,0),112)="BL1 non presente","FALSO",INDEX('Partner data'!A:DH,MATCH(C1705,'Partner data'!DG:DG,0),112)))</f>
        <v>0</v>
      </c>
      <c r="S1705" t="b">
        <f t="shared" si="52"/>
        <v>0</v>
      </c>
      <c r="T1705" t="b">
        <f t="shared" si="53"/>
        <v>1</v>
      </c>
      <c r="U1705" s="154">
        <f>IFERROR(IF(R1705&lt;&gt;FALSE,IF(S1705=TRUE,INDEX('SummaryNOT_VALIDATED-BL'!$A$1:$F$16,MATCH(R1705,'SummaryNOT_VALIDATED-BL'!$A$1:$A$16,0),6),0),IF(S1705=TRUE,INDEX('SummaryNOT_VALIDATED-BL'!$A$1:$F$16,MATCH(E1705,'SummaryNOT_VALIDATED-BL'!$A$1:$A$16,0),6),0)),0)</f>
        <v>0</v>
      </c>
      <c r="V1705" s="81" cm="1">
        <f t="array" ref="V1705">INDEX('Weight tables'!$A$24:$C$27,MATCH(1,(RendicontiTrasmessiBL__2[[#This Row],[Cut percentage on real costs + USC]]&gt;='Weight tables'!$B$24:$B$27)*(RendicontiTrasmessiBL__2[[#This Row],[Cut percentage on real costs + USC]]&lt;='Weight tables'!$C$24:$C$27),0),1)</f>
        <v>0</v>
      </c>
      <c r="W1705" s="2">
        <f>RendicontiTrasmessiBL__2[[#This Row],[Weight real costs  + USC ]]</f>
        <v>0</v>
      </c>
    </row>
    <row r="1706" spans="1:23" x14ac:dyDescent="0.25">
      <c r="A1706" s="1" t="s">
        <v>67</v>
      </c>
      <c r="B1706" s="1" t="s">
        <v>323</v>
      </c>
      <c r="C1706" s="2">
        <v>169</v>
      </c>
      <c r="D1706" s="2">
        <v>174</v>
      </c>
      <c r="E1706" s="1" t="s">
        <v>231</v>
      </c>
      <c r="G1706">
        <v>0</v>
      </c>
      <c r="H1706">
        <v>0</v>
      </c>
      <c r="I1706">
        <v>0</v>
      </c>
      <c r="J1706">
        <v>0</v>
      </c>
      <c r="K1706">
        <v>0</v>
      </c>
      <c r="L1706">
        <v>0</v>
      </c>
      <c r="M1706">
        <v>0</v>
      </c>
      <c r="N1706">
        <v>0</v>
      </c>
      <c r="O1706">
        <v>0</v>
      </c>
      <c r="P1706">
        <v>0</v>
      </c>
      <c r="Q1706" t="str">
        <f>INDEX('Partner data'!A:DH,MATCH(C1706,'Partner data'!DG:DG,0),83)</f>
        <v>Soggetto pubblico</v>
      </c>
      <c r="R1706" t="b">
        <f>IF(E1706="staff",IF(INDEX('Partner data'!A:DH,MATCH(C1706,'Partner data'!DG:DG,0),112)="BL1 non presente","FALSO",INDEX('Partner data'!A:DH,MATCH(C1706,'Partner data'!DG:DG,0),112)))</f>
        <v>0</v>
      </c>
      <c r="S1706" t="b">
        <f t="shared" si="52"/>
        <v>0</v>
      </c>
      <c r="T1706" t="b">
        <f t="shared" si="53"/>
        <v>1</v>
      </c>
      <c r="U1706" s="154">
        <f>IFERROR(IF(R1706&lt;&gt;FALSE,IF(S1706=TRUE,INDEX('SummaryNOT_VALIDATED-BL'!$A$1:$F$16,MATCH(R1706,'SummaryNOT_VALIDATED-BL'!$A$1:$A$16,0),6),0),IF(S1706=TRUE,INDEX('SummaryNOT_VALIDATED-BL'!$A$1:$F$16,MATCH(E1706,'SummaryNOT_VALIDATED-BL'!$A$1:$A$16,0),6),0)),0)</f>
        <v>0</v>
      </c>
      <c r="V1706" s="81" cm="1">
        <f t="array" ref="V1706">INDEX('Weight tables'!$A$24:$C$27,MATCH(1,(RendicontiTrasmessiBL__2[[#This Row],[Cut percentage on real costs + USC]]&gt;='Weight tables'!$B$24:$B$27)*(RendicontiTrasmessiBL__2[[#This Row],[Cut percentage on real costs + USC]]&lt;='Weight tables'!$C$24:$C$27),0),1)</f>
        <v>0</v>
      </c>
      <c r="W1706" s="2">
        <f>RendicontiTrasmessiBL__2[[#This Row],[Weight real costs  + USC ]]</f>
        <v>0</v>
      </c>
    </row>
    <row r="1707" spans="1:23" x14ac:dyDescent="0.25">
      <c r="A1707" s="1" t="s">
        <v>67</v>
      </c>
      <c r="B1707" s="1" t="s">
        <v>323</v>
      </c>
      <c r="C1707" s="2">
        <v>169</v>
      </c>
      <c r="D1707" s="2">
        <v>174</v>
      </c>
      <c r="E1707" s="1" t="s">
        <v>232</v>
      </c>
      <c r="G1707">
        <v>0</v>
      </c>
      <c r="H1707">
        <v>0</v>
      </c>
      <c r="I1707">
        <v>0</v>
      </c>
      <c r="J1707">
        <v>0</v>
      </c>
      <c r="K1707">
        <v>0</v>
      </c>
      <c r="L1707">
        <v>0</v>
      </c>
      <c r="M1707">
        <v>0</v>
      </c>
      <c r="N1707">
        <v>0</v>
      </c>
      <c r="O1707">
        <v>0</v>
      </c>
      <c r="P1707">
        <v>0</v>
      </c>
      <c r="Q1707" t="str">
        <f>INDEX('Partner data'!A:DH,MATCH(C1707,'Partner data'!DG:DG,0),83)</f>
        <v>Soggetto pubblico</v>
      </c>
      <c r="R1707" t="b">
        <f>IF(E1707="staff",IF(INDEX('Partner data'!A:DH,MATCH(C1707,'Partner data'!DG:DG,0),112)="BL1 non presente","FALSO",INDEX('Partner data'!A:DH,MATCH(C1707,'Partner data'!DG:DG,0),112)))</f>
        <v>0</v>
      </c>
      <c r="S1707" t="b">
        <f t="shared" si="52"/>
        <v>0</v>
      </c>
      <c r="T1707" t="b">
        <f t="shared" si="53"/>
        <v>1</v>
      </c>
      <c r="U1707" s="154">
        <f>IFERROR(IF(R1707&lt;&gt;FALSE,IF(S1707=TRUE,INDEX('SummaryNOT_VALIDATED-BL'!$A$1:$F$16,MATCH(R1707,'SummaryNOT_VALIDATED-BL'!$A$1:$A$16,0),6),0),IF(S1707=TRUE,INDEX('SummaryNOT_VALIDATED-BL'!$A$1:$F$16,MATCH(E1707,'SummaryNOT_VALIDATED-BL'!$A$1:$A$16,0),6),0)),0)</f>
        <v>0</v>
      </c>
      <c r="V1707" s="81" cm="1">
        <f t="array" ref="V1707">INDEX('Weight tables'!$A$24:$C$27,MATCH(1,(RendicontiTrasmessiBL__2[[#This Row],[Cut percentage on real costs + USC]]&gt;='Weight tables'!$B$24:$B$27)*(RendicontiTrasmessiBL__2[[#This Row],[Cut percentage on real costs + USC]]&lt;='Weight tables'!$C$24:$C$27),0),1)</f>
        <v>0</v>
      </c>
      <c r="W1707" s="2">
        <f>RendicontiTrasmessiBL__2[[#This Row],[Weight real costs  + USC ]]</f>
        <v>0</v>
      </c>
    </row>
    <row r="1708" spans="1:23" x14ac:dyDescent="0.25">
      <c r="A1708" s="1" t="s">
        <v>67</v>
      </c>
      <c r="B1708" s="1" t="s">
        <v>323</v>
      </c>
      <c r="C1708" s="2">
        <v>169</v>
      </c>
      <c r="D1708" s="2">
        <v>174</v>
      </c>
      <c r="E1708" s="1" t="s">
        <v>233</v>
      </c>
      <c r="G1708">
        <v>0</v>
      </c>
      <c r="H1708">
        <v>0</v>
      </c>
      <c r="I1708">
        <v>0</v>
      </c>
      <c r="J1708">
        <v>0</v>
      </c>
      <c r="K1708">
        <v>0</v>
      </c>
      <c r="L1708">
        <v>0</v>
      </c>
      <c r="M1708">
        <v>0</v>
      </c>
      <c r="N1708">
        <v>0</v>
      </c>
      <c r="O1708">
        <v>0</v>
      </c>
      <c r="P1708">
        <v>0</v>
      </c>
      <c r="Q1708" t="str">
        <f>INDEX('Partner data'!A:DH,MATCH(C1708,'Partner data'!DG:DG,0),83)</f>
        <v>Soggetto pubblico</v>
      </c>
      <c r="R1708" t="b">
        <f>IF(E1708="staff",IF(INDEX('Partner data'!A:DH,MATCH(C1708,'Partner data'!DG:DG,0),112)="BL1 non presente","FALSO",INDEX('Partner data'!A:DH,MATCH(C1708,'Partner data'!DG:DG,0),112)))</f>
        <v>0</v>
      </c>
      <c r="S1708" t="b">
        <f t="shared" si="52"/>
        <v>0</v>
      </c>
      <c r="T1708" t="b">
        <f t="shared" si="53"/>
        <v>1</v>
      </c>
      <c r="U1708" s="154">
        <f>IFERROR(IF(R1708&lt;&gt;FALSE,IF(S1708=TRUE,INDEX('SummaryNOT_VALIDATED-BL'!$A$1:$F$16,MATCH(R1708,'SummaryNOT_VALIDATED-BL'!$A$1:$A$16,0),6),0),IF(S1708=TRUE,INDEX('SummaryNOT_VALIDATED-BL'!$A$1:$F$16,MATCH(E1708,'SummaryNOT_VALIDATED-BL'!$A$1:$A$16,0),6),0)),0)</f>
        <v>0</v>
      </c>
      <c r="V1708" s="81" cm="1">
        <f t="array" ref="V1708">INDEX('Weight tables'!$A$24:$C$27,MATCH(1,(RendicontiTrasmessiBL__2[[#This Row],[Cut percentage on real costs + USC]]&gt;='Weight tables'!$B$24:$B$27)*(RendicontiTrasmessiBL__2[[#This Row],[Cut percentage on real costs + USC]]&lt;='Weight tables'!$C$24:$C$27),0),1)</f>
        <v>0</v>
      </c>
      <c r="W1708" s="2">
        <f>RendicontiTrasmessiBL__2[[#This Row],[Weight real costs  + USC ]]</f>
        <v>0</v>
      </c>
    </row>
    <row r="1709" spans="1:23" x14ac:dyDescent="0.25">
      <c r="A1709" s="1" t="s">
        <v>67</v>
      </c>
      <c r="B1709" s="1" t="s">
        <v>323</v>
      </c>
      <c r="C1709" s="2">
        <v>169</v>
      </c>
      <c r="D1709" s="2">
        <v>174</v>
      </c>
      <c r="E1709" s="1" t="s">
        <v>234</v>
      </c>
      <c r="F1709">
        <v>40</v>
      </c>
      <c r="G1709">
        <v>24207.200000000001</v>
      </c>
      <c r="H1709">
        <v>0</v>
      </c>
      <c r="I1709">
        <v>0</v>
      </c>
      <c r="J1709">
        <v>3603.56</v>
      </c>
      <c r="K1709">
        <v>0</v>
      </c>
      <c r="L1709">
        <v>3603.56</v>
      </c>
      <c r="M1709">
        <v>3603.56</v>
      </c>
      <c r="N1709">
        <v>14.89</v>
      </c>
      <c r="O1709">
        <v>20603.64</v>
      </c>
      <c r="P1709">
        <v>0</v>
      </c>
      <c r="Q1709" t="str">
        <f>INDEX('Partner data'!A:DH,MATCH(C1709,'Partner data'!DG:DG,0),83)</f>
        <v>Soggetto pubblico</v>
      </c>
      <c r="R1709" t="b">
        <f>IF(E1709="staff",IF(INDEX('Partner data'!A:DH,MATCH(C1709,'Partner data'!DG:DG,0),112)="BL1 non presente","FALSO",INDEX('Partner data'!A:DH,MATCH(C1709,'Partner data'!DG:DG,0),112)))</f>
        <v>0</v>
      </c>
      <c r="S1709" t="b">
        <f t="shared" si="52"/>
        <v>1</v>
      </c>
      <c r="T1709" t="b">
        <f t="shared" si="53"/>
        <v>1</v>
      </c>
      <c r="U1709" s="154">
        <f>IFERROR(IF(R1709&lt;&gt;FALSE,IF(S1709=TRUE,INDEX('SummaryNOT_VALIDATED-BL'!$A$1:$F$16,MATCH(R1709,'SummaryNOT_VALIDATED-BL'!$A$1:$A$16,0),6),0),IF(S1709=TRUE,INDEX('SummaryNOT_VALIDATED-BL'!$A$1:$F$16,MATCH(E1709,'SummaryNOT_VALIDATED-BL'!$A$1:$A$16,0),6),0)),0)</f>
        <v>8.7645339819521315E-2</v>
      </c>
      <c r="V1709" s="81" cm="1">
        <f t="array" ref="V1709">INDEX('Weight tables'!$A$24:$C$27,MATCH(1,(RendicontiTrasmessiBL__2[[#This Row],[Cut percentage on real costs + USC]]&gt;='Weight tables'!$B$24:$B$27)*(RendicontiTrasmessiBL__2[[#This Row],[Cut percentage on real costs + USC]]&lt;='Weight tables'!$C$24:$C$27),0),1)</f>
        <v>4</v>
      </c>
      <c r="W1709" s="2">
        <f>RendicontiTrasmessiBL__2[[#This Row],[Weight real costs  + USC ]]</f>
        <v>4</v>
      </c>
    </row>
    <row r="1710" spans="1:23" x14ac:dyDescent="0.25">
      <c r="A1710" s="1" t="s">
        <v>67</v>
      </c>
      <c r="B1710" s="1" t="s">
        <v>323</v>
      </c>
      <c r="C1710" s="2">
        <v>169</v>
      </c>
      <c r="D1710" s="2">
        <v>174</v>
      </c>
      <c r="E1710" s="1" t="s">
        <v>236</v>
      </c>
      <c r="G1710">
        <v>0</v>
      </c>
      <c r="H1710">
        <v>0</v>
      </c>
      <c r="I1710">
        <v>0</v>
      </c>
      <c r="J1710">
        <v>0</v>
      </c>
      <c r="K1710">
        <v>0</v>
      </c>
      <c r="L1710">
        <v>0</v>
      </c>
      <c r="M1710">
        <v>0</v>
      </c>
      <c r="N1710">
        <v>0</v>
      </c>
      <c r="O1710">
        <v>0</v>
      </c>
      <c r="P1710">
        <v>0</v>
      </c>
      <c r="Q1710" t="str">
        <f>INDEX('Partner data'!A:DH,MATCH(C1710,'Partner data'!DG:DG,0),83)</f>
        <v>Soggetto pubblico</v>
      </c>
      <c r="R1710" t="b">
        <f>IF(E1710="staff",IF(INDEX('Partner data'!A:DH,MATCH(C1710,'Partner data'!DG:DG,0),112)="BL1 non presente","FALSO",INDEX('Partner data'!A:DH,MATCH(C1710,'Partner data'!DG:DG,0),112)))</f>
        <v>0</v>
      </c>
      <c r="S1710" t="b">
        <f t="shared" si="52"/>
        <v>0</v>
      </c>
      <c r="T1710" t="b">
        <f t="shared" si="53"/>
        <v>1</v>
      </c>
      <c r="U1710" s="154">
        <f>IFERROR(IF(R1710&lt;&gt;FALSE,IF(S1710=TRUE,INDEX('SummaryNOT_VALIDATED-BL'!$A$1:$F$16,MATCH(R1710,'SummaryNOT_VALIDATED-BL'!$A$1:$A$16,0),6),0),IF(S1710=TRUE,INDEX('SummaryNOT_VALIDATED-BL'!$A$1:$F$16,MATCH(E1710,'SummaryNOT_VALIDATED-BL'!$A$1:$A$16,0),6),0)),0)</f>
        <v>0</v>
      </c>
      <c r="V1710" s="81" cm="1">
        <f t="array" ref="V1710">INDEX('Weight tables'!$A$24:$C$27,MATCH(1,(RendicontiTrasmessiBL__2[[#This Row],[Cut percentage on real costs + USC]]&gt;='Weight tables'!$B$24:$B$27)*(RendicontiTrasmessiBL__2[[#This Row],[Cut percentage on real costs + USC]]&lt;='Weight tables'!$C$24:$C$27),0),1)</f>
        <v>0</v>
      </c>
      <c r="W1710" s="2">
        <f>RendicontiTrasmessiBL__2[[#This Row],[Weight real costs  + USC ]]</f>
        <v>0</v>
      </c>
    </row>
    <row r="1711" spans="1:23" x14ac:dyDescent="0.25">
      <c r="A1711" s="1" t="s">
        <v>67</v>
      </c>
      <c r="B1711" s="1" t="s">
        <v>323</v>
      </c>
      <c r="C1711" s="2">
        <v>169</v>
      </c>
      <c r="D1711" s="2">
        <v>174</v>
      </c>
      <c r="E1711" s="1" t="s">
        <v>237</v>
      </c>
      <c r="G1711">
        <v>0</v>
      </c>
      <c r="H1711">
        <v>0</v>
      </c>
      <c r="I1711">
        <v>0</v>
      </c>
      <c r="J1711">
        <v>0</v>
      </c>
      <c r="K1711">
        <v>0</v>
      </c>
      <c r="L1711">
        <v>0</v>
      </c>
      <c r="M1711">
        <v>0</v>
      </c>
      <c r="N1711">
        <v>0</v>
      </c>
      <c r="O1711">
        <v>0</v>
      </c>
      <c r="P1711">
        <v>0</v>
      </c>
      <c r="Q1711" t="str">
        <f>INDEX('Partner data'!A:DH,MATCH(C1711,'Partner data'!DG:DG,0),83)</f>
        <v>Soggetto pubblico</v>
      </c>
      <c r="R1711" t="b">
        <f>IF(E1711="staff",IF(INDEX('Partner data'!A:DH,MATCH(C1711,'Partner data'!DG:DG,0),112)="BL1 non presente","FALSO",INDEX('Partner data'!A:DH,MATCH(C1711,'Partner data'!DG:DG,0),112)))</f>
        <v>0</v>
      </c>
      <c r="S1711" t="b">
        <f t="shared" si="52"/>
        <v>0</v>
      </c>
      <c r="T1711" t="b">
        <f t="shared" si="53"/>
        <v>1</v>
      </c>
      <c r="U1711" s="154">
        <f>IFERROR(IF(R1711&lt;&gt;FALSE,IF(S1711=TRUE,INDEX('SummaryNOT_VALIDATED-BL'!$A$1:$F$16,MATCH(R1711,'SummaryNOT_VALIDATED-BL'!$A$1:$A$16,0),6),0),IF(S1711=TRUE,INDEX('SummaryNOT_VALIDATED-BL'!$A$1:$F$16,MATCH(E1711,'SummaryNOT_VALIDATED-BL'!$A$1:$A$16,0),6),0)),0)</f>
        <v>0</v>
      </c>
      <c r="V1711" s="81" cm="1">
        <f t="array" ref="V1711">INDEX('Weight tables'!$A$24:$C$27,MATCH(1,(RendicontiTrasmessiBL__2[[#This Row],[Cut percentage on real costs + USC]]&gt;='Weight tables'!$B$24:$B$27)*(RendicontiTrasmessiBL__2[[#This Row],[Cut percentage on real costs + USC]]&lt;='Weight tables'!$C$24:$C$27),0),1)</f>
        <v>0</v>
      </c>
      <c r="W1711" s="2">
        <f>RendicontiTrasmessiBL__2[[#This Row],[Weight real costs  + USC ]]</f>
        <v>0</v>
      </c>
    </row>
    <row r="1712" spans="1:23" x14ac:dyDescent="0.25">
      <c r="A1712" s="1" t="s">
        <v>67</v>
      </c>
      <c r="B1712" s="1" t="s">
        <v>324</v>
      </c>
      <c r="C1712" s="2">
        <v>166</v>
      </c>
      <c r="D1712" s="2">
        <v>148</v>
      </c>
      <c r="E1712" s="1" t="s">
        <v>228</v>
      </c>
      <c r="G1712">
        <v>71523</v>
      </c>
      <c r="H1712">
        <v>0</v>
      </c>
      <c r="I1712">
        <v>0</v>
      </c>
      <c r="J1712">
        <v>17874</v>
      </c>
      <c r="K1712">
        <v>0</v>
      </c>
      <c r="L1712">
        <v>17874</v>
      </c>
      <c r="M1712">
        <v>17874</v>
      </c>
      <c r="N1712">
        <v>24.99</v>
      </c>
      <c r="O1712">
        <v>53649</v>
      </c>
      <c r="P1712">
        <v>0</v>
      </c>
      <c r="Q1712" t="str">
        <f>INDEX('Partner data'!A:DH,MATCH(C1712,'Partner data'!DG:DG,0),83)</f>
        <v>Soggetto pubblico</v>
      </c>
      <c r="R1712" t="str">
        <f>IF(E1712="staff",IF(INDEX('Partner data'!A:DH,MATCH(C1712,'Partner data'!DG:DG,0),112)="BL1 non presente","FALSO",INDEX('Partner data'!A:DH,MATCH(C1712,'Partner data'!DG:DG,0),112)))</f>
        <v>Costo Unitario Standard</v>
      </c>
      <c r="S1712" t="b">
        <f t="shared" si="52"/>
        <v>1</v>
      </c>
      <c r="T1712" t="b">
        <f t="shared" si="53"/>
        <v>1</v>
      </c>
      <c r="U1712" s="154">
        <f>IFERROR(IF(R1712&lt;&gt;FALSE,IF(S1712=TRUE,INDEX('SummaryNOT_VALIDATED-BL'!$A$1:$F$16,MATCH(R1712,'SummaryNOT_VALIDATED-BL'!$A$1:$A$16,0),6),0),IF(S1712=TRUE,INDEX('SummaryNOT_VALIDATED-BL'!$A$1:$F$16,MATCH(E1712,'SummaryNOT_VALIDATED-BL'!$A$1:$A$16,0),6),0)),0)</f>
        <v>3.2052879635441428E-2</v>
      </c>
      <c r="V1712" s="81" cm="1">
        <f t="array" ref="V1712">INDEX('Weight tables'!$A$24:$C$27,MATCH(1,(RendicontiTrasmessiBL__2[[#This Row],[Cut percentage on real costs + USC]]&gt;='Weight tables'!$B$24:$B$27)*(RendicontiTrasmessiBL__2[[#This Row],[Cut percentage on real costs + USC]]&lt;='Weight tables'!$C$24:$C$27),0),1)</f>
        <v>2</v>
      </c>
      <c r="W1712" s="2">
        <f>RendicontiTrasmessiBL__2[[#This Row],[Weight real costs  + USC ]]</f>
        <v>2</v>
      </c>
    </row>
    <row r="1713" spans="1:23" x14ac:dyDescent="0.25">
      <c r="A1713" s="1" t="s">
        <v>67</v>
      </c>
      <c r="B1713" s="1" t="s">
        <v>324</v>
      </c>
      <c r="C1713" s="2">
        <v>166</v>
      </c>
      <c r="D1713" s="2">
        <v>148</v>
      </c>
      <c r="E1713" s="1" t="s">
        <v>229</v>
      </c>
      <c r="G1713">
        <v>0</v>
      </c>
      <c r="H1713">
        <v>0</v>
      </c>
      <c r="I1713">
        <v>0</v>
      </c>
      <c r="J1713">
        <v>0</v>
      </c>
      <c r="K1713">
        <v>0</v>
      </c>
      <c r="L1713">
        <v>0</v>
      </c>
      <c r="M1713">
        <v>0</v>
      </c>
      <c r="N1713">
        <v>0</v>
      </c>
      <c r="O1713">
        <v>0</v>
      </c>
      <c r="P1713">
        <v>0</v>
      </c>
      <c r="Q1713" t="str">
        <f>INDEX('Partner data'!A:DH,MATCH(C1713,'Partner data'!DG:DG,0),83)</f>
        <v>Soggetto pubblico</v>
      </c>
      <c r="R1713" t="b">
        <f>IF(E1713="staff",IF(INDEX('Partner data'!A:DH,MATCH(C1713,'Partner data'!DG:DG,0),112)="BL1 non presente","FALSO",INDEX('Partner data'!A:DH,MATCH(C1713,'Partner data'!DG:DG,0),112)))</f>
        <v>0</v>
      </c>
      <c r="S1713" t="b">
        <f t="shared" si="52"/>
        <v>0</v>
      </c>
      <c r="T1713" t="b">
        <f t="shared" si="53"/>
        <v>1</v>
      </c>
      <c r="U1713" s="154">
        <f>IFERROR(IF(R1713&lt;&gt;FALSE,IF(S1713=TRUE,INDEX('SummaryNOT_VALIDATED-BL'!$A$1:$F$16,MATCH(R1713,'SummaryNOT_VALIDATED-BL'!$A$1:$A$16,0),6),0),IF(S1713=TRUE,INDEX('SummaryNOT_VALIDATED-BL'!$A$1:$F$16,MATCH(E1713,'SummaryNOT_VALIDATED-BL'!$A$1:$A$16,0),6),0)),0)</f>
        <v>0</v>
      </c>
      <c r="V1713" s="81" cm="1">
        <f t="array" ref="V1713">INDEX('Weight tables'!$A$24:$C$27,MATCH(1,(RendicontiTrasmessiBL__2[[#This Row],[Cut percentage on real costs + USC]]&gt;='Weight tables'!$B$24:$B$27)*(RendicontiTrasmessiBL__2[[#This Row],[Cut percentage on real costs + USC]]&lt;='Weight tables'!$C$24:$C$27),0),1)</f>
        <v>0</v>
      </c>
      <c r="W1713" s="2">
        <f>RendicontiTrasmessiBL__2[[#This Row],[Weight real costs  + USC ]]</f>
        <v>0</v>
      </c>
    </row>
    <row r="1714" spans="1:23" x14ac:dyDescent="0.25">
      <c r="A1714" s="1" t="s">
        <v>67</v>
      </c>
      <c r="B1714" s="1" t="s">
        <v>324</v>
      </c>
      <c r="C1714" s="2">
        <v>166</v>
      </c>
      <c r="D1714" s="2">
        <v>148</v>
      </c>
      <c r="E1714" s="1" t="s">
        <v>230</v>
      </c>
      <c r="G1714">
        <v>0</v>
      </c>
      <c r="H1714">
        <v>0</v>
      </c>
      <c r="I1714">
        <v>0</v>
      </c>
      <c r="J1714">
        <v>0</v>
      </c>
      <c r="K1714">
        <v>0</v>
      </c>
      <c r="L1714">
        <v>0</v>
      </c>
      <c r="M1714">
        <v>0</v>
      </c>
      <c r="N1714">
        <v>0</v>
      </c>
      <c r="O1714">
        <v>0</v>
      </c>
      <c r="P1714">
        <v>0</v>
      </c>
      <c r="Q1714" t="str">
        <f>INDEX('Partner data'!A:DH,MATCH(C1714,'Partner data'!DG:DG,0),83)</f>
        <v>Soggetto pubblico</v>
      </c>
      <c r="R1714" t="b">
        <f>IF(E1714="staff",IF(INDEX('Partner data'!A:DH,MATCH(C1714,'Partner data'!DG:DG,0),112)="BL1 non presente","FALSO",INDEX('Partner data'!A:DH,MATCH(C1714,'Partner data'!DG:DG,0),112)))</f>
        <v>0</v>
      </c>
      <c r="S1714" t="b">
        <f t="shared" si="52"/>
        <v>0</v>
      </c>
      <c r="T1714" t="b">
        <f t="shared" si="53"/>
        <v>1</v>
      </c>
      <c r="U1714" s="154">
        <f>IFERROR(IF(R1714&lt;&gt;FALSE,IF(S1714=TRUE,INDEX('SummaryNOT_VALIDATED-BL'!$A$1:$F$16,MATCH(R1714,'SummaryNOT_VALIDATED-BL'!$A$1:$A$16,0),6),0),IF(S1714=TRUE,INDEX('SummaryNOT_VALIDATED-BL'!$A$1:$F$16,MATCH(E1714,'SummaryNOT_VALIDATED-BL'!$A$1:$A$16,0),6),0)),0)</f>
        <v>0</v>
      </c>
      <c r="V1714" s="81" cm="1">
        <f t="array" ref="V1714">INDEX('Weight tables'!$A$24:$C$27,MATCH(1,(RendicontiTrasmessiBL__2[[#This Row],[Cut percentage on real costs + USC]]&gt;='Weight tables'!$B$24:$B$27)*(RendicontiTrasmessiBL__2[[#This Row],[Cut percentage on real costs + USC]]&lt;='Weight tables'!$C$24:$C$27),0),1)</f>
        <v>0</v>
      </c>
      <c r="W1714" s="2">
        <f>RendicontiTrasmessiBL__2[[#This Row],[Weight real costs  + USC ]]</f>
        <v>0</v>
      </c>
    </row>
    <row r="1715" spans="1:23" x14ac:dyDescent="0.25">
      <c r="A1715" s="1" t="s">
        <v>67</v>
      </c>
      <c r="B1715" s="1" t="s">
        <v>324</v>
      </c>
      <c r="C1715" s="2">
        <v>166</v>
      </c>
      <c r="D1715" s="2">
        <v>148</v>
      </c>
      <c r="E1715" s="1" t="s">
        <v>231</v>
      </c>
      <c r="G1715">
        <v>0</v>
      </c>
      <c r="H1715">
        <v>0</v>
      </c>
      <c r="I1715">
        <v>0</v>
      </c>
      <c r="J1715">
        <v>0</v>
      </c>
      <c r="K1715">
        <v>0</v>
      </c>
      <c r="L1715">
        <v>0</v>
      </c>
      <c r="M1715">
        <v>0</v>
      </c>
      <c r="N1715">
        <v>0</v>
      </c>
      <c r="O1715">
        <v>0</v>
      </c>
      <c r="P1715">
        <v>0</v>
      </c>
      <c r="Q1715" t="str">
        <f>INDEX('Partner data'!A:DH,MATCH(C1715,'Partner data'!DG:DG,0),83)</f>
        <v>Soggetto pubblico</v>
      </c>
      <c r="R1715" t="b">
        <f>IF(E1715="staff",IF(INDEX('Partner data'!A:DH,MATCH(C1715,'Partner data'!DG:DG,0),112)="BL1 non presente","FALSO",INDEX('Partner data'!A:DH,MATCH(C1715,'Partner data'!DG:DG,0),112)))</f>
        <v>0</v>
      </c>
      <c r="S1715" t="b">
        <f t="shared" si="52"/>
        <v>0</v>
      </c>
      <c r="T1715" t="b">
        <f t="shared" si="53"/>
        <v>1</v>
      </c>
      <c r="U1715" s="154">
        <f>IFERROR(IF(R1715&lt;&gt;FALSE,IF(S1715=TRUE,INDEX('SummaryNOT_VALIDATED-BL'!$A$1:$F$16,MATCH(R1715,'SummaryNOT_VALIDATED-BL'!$A$1:$A$16,0),6),0),IF(S1715=TRUE,INDEX('SummaryNOT_VALIDATED-BL'!$A$1:$F$16,MATCH(E1715,'SummaryNOT_VALIDATED-BL'!$A$1:$A$16,0),6),0)),0)</f>
        <v>0</v>
      </c>
      <c r="V1715" s="81" cm="1">
        <f t="array" ref="V1715">INDEX('Weight tables'!$A$24:$C$27,MATCH(1,(RendicontiTrasmessiBL__2[[#This Row],[Cut percentage on real costs + USC]]&gt;='Weight tables'!$B$24:$B$27)*(RendicontiTrasmessiBL__2[[#This Row],[Cut percentage on real costs + USC]]&lt;='Weight tables'!$C$24:$C$27),0),1)</f>
        <v>0</v>
      </c>
      <c r="W1715" s="2">
        <f>RendicontiTrasmessiBL__2[[#This Row],[Weight real costs  + USC ]]</f>
        <v>0</v>
      </c>
    </row>
    <row r="1716" spans="1:23" x14ac:dyDescent="0.25">
      <c r="A1716" s="1" t="s">
        <v>67</v>
      </c>
      <c r="B1716" s="1" t="s">
        <v>324</v>
      </c>
      <c r="C1716" s="2">
        <v>166</v>
      </c>
      <c r="D1716" s="2">
        <v>148</v>
      </c>
      <c r="E1716" s="1" t="s">
        <v>232</v>
      </c>
      <c r="G1716">
        <v>0</v>
      </c>
      <c r="H1716">
        <v>0</v>
      </c>
      <c r="I1716">
        <v>0</v>
      </c>
      <c r="J1716">
        <v>0</v>
      </c>
      <c r="K1716">
        <v>0</v>
      </c>
      <c r="L1716">
        <v>0</v>
      </c>
      <c r="M1716">
        <v>0</v>
      </c>
      <c r="N1716">
        <v>0</v>
      </c>
      <c r="O1716">
        <v>0</v>
      </c>
      <c r="P1716">
        <v>0</v>
      </c>
      <c r="Q1716" t="str">
        <f>INDEX('Partner data'!A:DH,MATCH(C1716,'Partner data'!DG:DG,0),83)</f>
        <v>Soggetto pubblico</v>
      </c>
      <c r="R1716" t="b">
        <f>IF(E1716="staff",IF(INDEX('Partner data'!A:DH,MATCH(C1716,'Partner data'!DG:DG,0),112)="BL1 non presente","FALSO",INDEX('Partner data'!A:DH,MATCH(C1716,'Partner data'!DG:DG,0),112)))</f>
        <v>0</v>
      </c>
      <c r="S1716" t="b">
        <f t="shared" si="52"/>
        <v>0</v>
      </c>
      <c r="T1716" t="b">
        <f t="shared" si="53"/>
        <v>1</v>
      </c>
      <c r="U1716" s="154">
        <f>IFERROR(IF(R1716&lt;&gt;FALSE,IF(S1716=TRUE,INDEX('SummaryNOT_VALIDATED-BL'!$A$1:$F$16,MATCH(R1716,'SummaryNOT_VALIDATED-BL'!$A$1:$A$16,0),6),0),IF(S1716=TRUE,INDEX('SummaryNOT_VALIDATED-BL'!$A$1:$F$16,MATCH(E1716,'SummaryNOT_VALIDATED-BL'!$A$1:$A$16,0),6),0)),0)</f>
        <v>0</v>
      </c>
      <c r="V1716" s="81" cm="1">
        <f t="array" ref="V1716">INDEX('Weight tables'!$A$24:$C$27,MATCH(1,(RendicontiTrasmessiBL__2[[#This Row],[Cut percentage on real costs + USC]]&gt;='Weight tables'!$B$24:$B$27)*(RendicontiTrasmessiBL__2[[#This Row],[Cut percentage on real costs + USC]]&lt;='Weight tables'!$C$24:$C$27),0),1)</f>
        <v>0</v>
      </c>
      <c r="W1716" s="2">
        <f>RendicontiTrasmessiBL__2[[#This Row],[Weight real costs  + USC ]]</f>
        <v>0</v>
      </c>
    </row>
    <row r="1717" spans="1:23" x14ac:dyDescent="0.25">
      <c r="A1717" s="1" t="s">
        <v>67</v>
      </c>
      <c r="B1717" s="1" t="s">
        <v>324</v>
      </c>
      <c r="C1717" s="2">
        <v>166</v>
      </c>
      <c r="D1717" s="2">
        <v>148</v>
      </c>
      <c r="E1717" s="1" t="s">
        <v>233</v>
      </c>
      <c r="G1717">
        <v>0</v>
      </c>
      <c r="H1717">
        <v>0</v>
      </c>
      <c r="I1717">
        <v>0</v>
      </c>
      <c r="J1717">
        <v>0</v>
      </c>
      <c r="K1717">
        <v>0</v>
      </c>
      <c r="L1717">
        <v>0</v>
      </c>
      <c r="M1717">
        <v>0</v>
      </c>
      <c r="N1717">
        <v>0</v>
      </c>
      <c r="O1717">
        <v>0</v>
      </c>
      <c r="P1717">
        <v>0</v>
      </c>
      <c r="Q1717" t="str">
        <f>INDEX('Partner data'!A:DH,MATCH(C1717,'Partner data'!DG:DG,0),83)</f>
        <v>Soggetto pubblico</v>
      </c>
      <c r="R1717" t="b">
        <f>IF(E1717="staff",IF(INDEX('Partner data'!A:DH,MATCH(C1717,'Partner data'!DG:DG,0),112)="BL1 non presente","FALSO",INDEX('Partner data'!A:DH,MATCH(C1717,'Partner data'!DG:DG,0),112)))</f>
        <v>0</v>
      </c>
      <c r="S1717" t="b">
        <f t="shared" si="52"/>
        <v>0</v>
      </c>
      <c r="T1717" t="b">
        <f t="shared" si="53"/>
        <v>1</v>
      </c>
      <c r="U1717" s="154">
        <f>IFERROR(IF(R1717&lt;&gt;FALSE,IF(S1717=TRUE,INDEX('SummaryNOT_VALIDATED-BL'!$A$1:$F$16,MATCH(R1717,'SummaryNOT_VALIDATED-BL'!$A$1:$A$16,0),6),0),IF(S1717=TRUE,INDEX('SummaryNOT_VALIDATED-BL'!$A$1:$F$16,MATCH(E1717,'SummaryNOT_VALIDATED-BL'!$A$1:$A$16,0),6),0)),0)</f>
        <v>0</v>
      </c>
      <c r="V1717" s="81" cm="1">
        <f t="array" ref="V1717">INDEX('Weight tables'!$A$24:$C$27,MATCH(1,(RendicontiTrasmessiBL__2[[#This Row],[Cut percentage on real costs + USC]]&gt;='Weight tables'!$B$24:$B$27)*(RendicontiTrasmessiBL__2[[#This Row],[Cut percentage on real costs + USC]]&lt;='Weight tables'!$C$24:$C$27),0),1)</f>
        <v>0</v>
      </c>
      <c r="W1717" s="2">
        <f>RendicontiTrasmessiBL__2[[#This Row],[Weight real costs  + USC ]]</f>
        <v>0</v>
      </c>
    </row>
    <row r="1718" spans="1:23" x14ac:dyDescent="0.25">
      <c r="A1718" s="1" t="s">
        <v>67</v>
      </c>
      <c r="B1718" s="1" t="s">
        <v>324</v>
      </c>
      <c r="C1718" s="2">
        <v>166</v>
      </c>
      <c r="D1718" s="2">
        <v>148</v>
      </c>
      <c r="E1718" s="1" t="s">
        <v>234</v>
      </c>
      <c r="F1718">
        <v>40</v>
      </c>
      <c r="G1718">
        <v>28609.200000000001</v>
      </c>
      <c r="H1718">
        <v>0</v>
      </c>
      <c r="I1718">
        <v>0</v>
      </c>
      <c r="J1718">
        <v>7149.6</v>
      </c>
      <c r="K1718">
        <v>0</v>
      </c>
      <c r="L1718">
        <v>7149.6</v>
      </c>
      <c r="M1718">
        <v>7149.6</v>
      </c>
      <c r="N1718">
        <v>24.99</v>
      </c>
      <c r="O1718">
        <v>21459.599999999999</v>
      </c>
      <c r="P1718">
        <v>0</v>
      </c>
      <c r="Q1718" t="str">
        <f>INDEX('Partner data'!A:DH,MATCH(C1718,'Partner data'!DG:DG,0),83)</f>
        <v>Soggetto pubblico</v>
      </c>
      <c r="R1718" t="b">
        <f>IF(E1718="staff",IF(INDEX('Partner data'!A:DH,MATCH(C1718,'Partner data'!DG:DG,0),112)="BL1 non presente","FALSO",INDEX('Partner data'!A:DH,MATCH(C1718,'Partner data'!DG:DG,0),112)))</f>
        <v>0</v>
      </c>
      <c r="S1718" t="b">
        <f t="shared" si="52"/>
        <v>1</v>
      </c>
      <c r="T1718" t="b">
        <f t="shared" si="53"/>
        <v>1</v>
      </c>
      <c r="U1718" s="154">
        <f>IFERROR(IF(R1718&lt;&gt;FALSE,IF(S1718=TRUE,INDEX('SummaryNOT_VALIDATED-BL'!$A$1:$F$16,MATCH(R1718,'SummaryNOT_VALIDATED-BL'!$A$1:$A$16,0),6),0),IF(S1718=TRUE,INDEX('SummaryNOT_VALIDATED-BL'!$A$1:$F$16,MATCH(E1718,'SummaryNOT_VALIDATED-BL'!$A$1:$A$16,0),6),0)),0)</f>
        <v>8.7645339819521315E-2</v>
      </c>
      <c r="V1718" s="81" cm="1">
        <f t="array" ref="V1718">INDEX('Weight tables'!$A$24:$C$27,MATCH(1,(RendicontiTrasmessiBL__2[[#This Row],[Cut percentage on real costs + USC]]&gt;='Weight tables'!$B$24:$B$27)*(RendicontiTrasmessiBL__2[[#This Row],[Cut percentage on real costs + USC]]&lt;='Weight tables'!$C$24:$C$27),0),1)</f>
        <v>4</v>
      </c>
      <c r="W1718" s="2">
        <f>RendicontiTrasmessiBL__2[[#This Row],[Weight real costs  + USC ]]</f>
        <v>4</v>
      </c>
    </row>
    <row r="1719" spans="1:23" x14ac:dyDescent="0.25">
      <c r="A1719" s="1" t="s">
        <v>67</v>
      </c>
      <c r="B1719" s="1" t="s">
        <v>324</v>
      </c>
      <c r="C1719" s="2">
        <v>166</v>
      </c>
      <c r="D1719" s="2">
        <v>148</v>
      </c>
      <c r="E1719" s="1" t="s">
        <v>236</v>
      </c>
      <c r="G1719">
        <v>0</v>
      </c>
      <c r="H1719">
        <v>0</v>
      </c>
      <c r="I1719">
        <v>0</v>
      </c>
      <c r="J1719">
        <v>0</v>
      </c>
      <c r="K1719">
        <v>0</v>
      </c>
      <c r="L1719">
        <v>0</v>
      </c>
      <c r="M1719">
        <v>0</v>
      </c>
      <c r="N1719">
        <v>0</v>
      </c>
      <c r="O1719">
        <v>0</v>
      </c>
      <c r="P1719">
        <v>0</v>
      </c>
      <c r="Q1719" t="str">
        <f>INDEX('Partner data'!A:DH,MATCH(C1719,'Partner data'!DG:DG,0),83)</f>
        <v>Soggetto pubblico</v>
      </c>
      <c r="R1719" t="b">
        <f>IF(E1719="staff",IF(INDEX('Partner data'!A:DH,MATCH(C1719,'Partner data'!DG:DG,0),112)="BL1 non presente","FALSO",INDEX('Partner data'!A:DH,MATCH(C1719,'Partner data'!DG:DG,0),112)))</f>
        <v>0</v>
      </c>
      <c r="S1719" t="b">
        <f t="shared" si="52"/>
        <v>0</v>
      </c>
      <c r="T1719" t="b">
        <f t="shared" si="53"/>
        <v>1</v>
      </c>
      <c r="U1719" s="154">
        <f>IFERROR(IF(R1719&lt;&gt;FALSE,IF(S1719=TRUE,INDEX('SummaryNOT_VALIDATED-BL'!$A$1:$F$16,MATCH(R1719,'SummaryNOT_VALIDATED-BL'!$A$1:$A$16,0),6),0),IF(S1719=TRUE,INDEX('SummaryNOT_VALIDATED-BL'!$A$1:$F$16,MATCH(E1719,'SummaryNOT_VALIDATED-BL'!$A$1:$A$16,0),6),0)),0)</f>
        <v>0</v>
      </c>
      <c r="V1719" s="81" cm="1">
        <f t="array" ref="V1719">INDEX('Weight tables'!$A$24:$C$27,MATCH(1,(RendicontiTrasmessiBL__2[[#This Row],[Cut percentage on real costs + USC]]&gt;='Weight tables'!$B$24:$B$27)*(RendicontiTrasmessiBL__2[[#This Row],[Cut percentage on real costs + USC]]&lt;='Weight tables'!$C$24:$C$27),0),1)</f>
        <v>0</v>
      </c>
      <c r="W1719" s="2">
        <f>RendicontiTrasmessiBL__2[[#This Row],[Weight real costs  + USC ]]</f>
        <v>0</v>
      </c>
    </row>
    <row r="1720" spans="1:23" x14ac:dyDescent="0.25">
      <c r="A1720" s="1" t="s">
        <v>67</v>
      </c>
      <c r="B1720" s="1" t="s">
        <v>324</v>
      </c>
      <c r="C1720" s="2">
        <v>166</v>
      </c>
      <c r="D1720" s="2">
        <v>148</v>
      </c>
      <c r="E1720" s="1" t="s">
        <v>237</v>
      </c>
      <c r="G1720">
        <v>0</v>
      </c>
      <c r="H1720">
        <v>0</v>
      </c>
      <c r="I1720">
        <v>0</v>
      </c>
      <c r="J1720">
        <v>0</v>
      </c>
      <c r="K1720">
        <v>0</v>
      </c>
      <c r="L1720">
        <v>0</v>
      </c>
      <c r="M1720">
        <v>0</v>
      </c>
      <c r="N1720">
        <v>0</v>
      </c>
      <c r="O1720">
        <v>0</v>
      </c>
      <c r="P1720">
        <v>0</v>
      </c>
      <c r="Q1720" t="str">
        <f>INDEX('Partner data'!A:DH,MATCH(C1720,'Partner data'!DG:DG,0),83)</f>
        <v>Soggetto pubblico</v>
      </c>
      <c r="R1720" t="b">
        <f>IF(E1720="staff",IF(INDEX('Partner data'!A:DH,MATCH(C1720,'Partner data'!DG:DG,0),112)="BL1 non presente","FALSO",INDEX('Partner data'!A:DH,MATCH(C1720,'Partner data'!DG:DG,0),112)))</f>
        <v>0</v>
      </c>
      <c r="S1720" t="b">
        <f t="shared" si="52"/>
        <v>0</v>
      </c>
      <c r="T1720" t="b">
        <f t="shared" si="53"/>
        <v>1</v>
      </c>
      <c r="U1720" s="154">
        <f>IFERROR(IF(R1720&lt;&gt;FALSE,IF(S1720=TRUE,INDEX('SummaryNOT_VALIDATED-BL'!$A$1:$F$16,MATCH(R1720,'SummaryNOT_VALIDATED-BL'!$A$1:$A$16,0),6),0),IF(S1720=TRUE,INDEX('SummaryNOT_VALIDATED-BL'!$A$1:$F$16,MATCH(E1720,'SummaryNOT_VALIDATED-BL'!$A$1:$A$16,0),6),0)),0)</f>
        <v>0</v>
      </c>
      <c r="V1720" s="81" cm="1">
        <f t="array" ref="V1720">INDEX('Weight tables'!$A$24:$C$27,MATCH(1,(RendicontiTrasmessiBL__2[[#This Row],[Cut percentage on real costs + USC]]&gt;='Weight tables'!$B$24:$B$27)*(RendicontiTrasmessiBL__2[[#This Row],[Cut percentage on real costs + USC]]&lt;='Weight tables'!$C$24:$C$27),0),1)</f>
        <v>0</v>
      </c>
      <c r="W1720" s="2">
        <f>RendicontiTrasmessiBL__2[[#This Row],[Weight real costs  + USC ]]</f>
        <v>0</v>
      </c>
    </row>
    <row r="1721" spans="1:23" x14ac:dyDescent="0.25">
      <c r="A1721" s="1" t="s">
        <v>67</v>
      </c>
      <c r="B1721" s="1" t="s">
        <v>56</v>
      </c>
      <c r="C1721" s="2">
        <v>165</v>
      </c>
      <c r="D1721" s="2">
        <v>121</v>
      </c>
      <c r="E1721" s="1" t="s">
        <v>228</v>
      </c>
      <c r="G1721">
        <v>71500</v>
      </c>
      <c r="H1721">
        <v>0</v>
      </c>
      <c r="I1721">
        <v>0</v>
      </c>
      <c r="J1721">
        <v>3372.7</v>
      </c>
      <c r="K1721">
        <v>0</v>
      </c>
      <c r="L1721">
        <v>3372.7</v>
      </c>
      <c r="M1721">
        <v>3372.7</v>
      </c>
      <c r="N1721">
        <v>4.72</v>
      </c>
      <c r="O1721">
        <v>68127.3</v>
      </c>
      <c r="P1721">
        <v>0</v>
      </c>
      <c r="Q1721" t="str">
        <f>INDEX('Partner data'!A:DH,MATCH(C1721,'Partner data'!DG:DG,0),83)</f>
        <v>Soggetto pubblico</v>
      </c>
      <c r="R1721" t="str">
        <f>IF(E1721="staff",IF(INDEX('Partner data'!A:DH,MATCH(C1721,'Partner data'!DG:DG,0),112)="BL1 non presente","FALSO",INDEX('Partner data'!A:DH,MATCH(C1721,'Partner data'!DG:DG,0),112)))</f>
        <v>COSTO REALE</v>
      </c>
      <c r="S1721" t="b">
        <f t="shared" si="52"/>
        <v>1</v>
      </c>
      <c r="T1721" t="b">
        <f t="shared" si="53"/>
        <v>1</v>
      </c>
      <c r="U1721" s="154">
        <f>IFERROR(IF(R1721&lt;&gt;FALSE,IF(S1721=TRUE,INDEX('SummaryNOT_VALIDATED-BL'!$A$1:$F$16,MATCH(R1721,'SummaryNOT_VALIDATED-BL'!$A$1:$A$16,0),6),0),IF(S1721=TRUE,INDEX('SummaryNOT_VALIDATED-BL'!$A$1:$F$16,MATCH(E1721,'SummaryNOT_VALIDATED-BL'!$A$1:$A$16,0),6),0)),0)</f>
        <v>9.1604133276901048E-2</v>
      </c>
      <c r="V1721" s="81" cm="1">
        <f t="array" ref="V1721">INDEX('Weight tables'!$A$24:$C$27,MATCH(1,(RendicontiTrasmessiBL__2[[#This Row],[Cut percentage on real costs + USC]]&gt;='Weight tables'!$B$24:$B$27)*(RendicontiTrasmessiBL__2[[#This Row],[Cut percentage on real costs + USC]]&lt;='Weight tables'!$C$24:$C$27),0),1)</f>
        <v>4</v>
      </c>
      <c r="W1721" s="2">
        <f>RendicontiTrasmessiBL__2[[#This Row],[Weight real costs  + USC ]]</f>
        <v>4</v>
      </c>
    </row>
    <row r="1722" spans="1:23" x14ac:dyDescent="0.25">
      <c r="A1722" s="1" t="s">
        <v>67</v>
      </c>
      <c r="B1722" s="1" t="s">
        <v>56</v>
      </c>
      <c r="C1722" s="2">
        <v>165</v>
      </c>
      <c r="D1722" s="2">
        <v>121</v>
      </c>
      <c r="E1722" s="1" t="s">
        <v>229</v>
      </c>
      <c r="G1722">
        <v>0</v>
      </c>
      <c r="H1722">
        <v>0</v>
      </c>
      <c r="I1722">
        <v>0</v>
      </c>
      <c r="J1722">
        <v>0</v>
      </c>
      <c r="K1722">
        <v>0</v>
      </c>
      <c r="L1722">
        <v>0</v>
      </c>
      <c r="M1722">
        <v>0</v>
      </c>
      <c r="N1722">
        <v>0</v>
      </c>
      <c r="O1722">
        <v>0</v>
      </c>
      <c r="P1722">
        <v>0</v>
      </c>
      <c r="Q1722" t="str">
        <f>INDEX('Partner data'!A:DH,MATCH(C1722,'Partner data'!DG:DG,0),83)</f>
        <v>Soggetto pubblico</v>
      </c>
      <c r="R1722" t="b">
        <f>IF(E1722="staff",IF(INDEX('Partner data'!A:DH,MATCH(C1722,'Partner data'!DG:DG,0),112)="BL1 non presente","FALSO",INDEX('Partner data'!A:DH,MATCH(C1722,'Partner data'!DG:DG,0),112)))</f>
        <v>0</v>
      </c>
      <c r="S1722" t="b">
        <f t="shared" si="52"/>
        <v>0</v>
      </c>
      <c r="T1722" t="b">
        <f t="shared" si="53"/>
        <v>1</v>
      </c>
      <c r="U1722" s="154">
        <f>IFERROR(IF(R1722&lt;&gt;FALSE,IF(S1722=TRUE,INDEX('SummaryNOT_VALIDATED-BL'!$A$1:$F$16,MATCH(R1722,'SummaryNOT_VALIDATED-BL'!$A$1:$A$16,0),6),0),IF(S1722=TRUE,INDEX('SummaryNOT_VALIDATED-BL'!$A$1:$F$16,MATCH(E1722,'SummaryNOT_VALIDATED-BL'!$A$1:$A$16,0),6),0)),0)</f>
        <v>0</v>
      </c>
      <c r="V1722" s="81" cm="1">
        <f t="array" ref="V1722">INDEX('Weight tables'!$A$24:$C$27,MATCH(1,(RendicontiTrasmessiBL__2[[#This Row],[Cut percentage on real costs + USC]]&gt;='Weight tables'!$B$24:$B$27)*(RendicontiTrasmessiBL__2[[#This Row],[Cut percentage on real costs + USC]]&lt;='Weight tables'!$C$24:$C$27),0),1)</f>
        <v>0</v>
      </c>
      <c r="W1722" s="2">
        <f>RendicontiTrasmessiBL__2[[#This Row],[Weight real costs  + USC ]]</f>
        <v>0</v>
      </c>
    </row>
    <row r="1723" spans="1:23" x14ac:dyDescent="0.25">
      <c r="A1723" s="1" t="s">
        <v>67</v>
      </c>
      <c r="B1723" s="1" t="s">
        <v>56</v>
      </c>
      <c r="C1723" s="2">
        <v>165</v>
      </c>
      <c r="D1723" s="2">
        <v>121</v>
      </c>
      <c r="E1723" s="1" t="s">
        <v>230</v>
      </c>
      <c r="G1723">
        <v>0</v>
      </c>
      <c r="H1723">
        <v>0</v>
      </c>
      <c r="I1723">
        <v>0</v>
      </c>
      <c r="J1723">
        <v>0</v>
      </c>
      <c r="K1723">
        <v>0</v>
      </c>
      <c r="L1723">
        <v>0</v>
      </c>
      <c r="M1723">
        <v>0</v>
      </c>
      <c r="N1723">
        <v>0</v>
      </c>
      <c r="O1723">
        <v>0</v>
      </c>
      <c r="P1723">
        <v>0</v>
      </c>
      <c r="Q1723" t="str">
        <f>INDEX('Partner data'!A:DH,MATCH(C1723,'Partner data'!DG:DG,0),83)</f>
        <v>Soggetto pubblico</v>
      </c>
      <c r="R1723" t="b">
        <f>IF(E1723="staff",IF(INDEX('Partner data'!A:DH,MATCH(C1723,'Partner data'!DG:DG,0),112)="BL1 non presente","FALSO",INDEX('Partner data'!A:DH,MATCH(C1723,'Partner data'!DG:DG,0),112)))</f>
        <v>0</v>
      </c>
      <c r="S1723" t="b">
        <f t="shared" si="52"/>
        <v>0</v>
      </c>
      <c r="T1723" t="b">
        <f t="shared" si="53"/>
        <v>1</v>
      </c>
      <c r="U1723" s="154">
        <f>IFERROR(IF(R1723&lt;&gt;FALSE,IF(S1723=TRUE,INDEX('SummaryNOT_VALIDATED-BL'!$A$1:$F$16,MATCH(R1723,'SummaryNOT_VALIDATED-BL'!$A$1:$A$16,0),6),0),IF(S1723=TRUE,INDEX('SummaryNOT_VALIDATED-BL'!$A$1:$F$16,MATCH(E1723,'SummaryNOT_VALIDATED-BL'!$A$1:$A$16,0),6),0)),0)</f>
        <v>0</v>
      </c>
      <c r="V1723" s="81" cm="1">
        <f t="array" ref="V1723">INDEX('Weight tables'!$A$24:$C$27,MATCH(1,(RendicontiTrasmessiBL__2[[#This Row],[Cut percentage on real costs + USC]]&gt;='Weight tables'!$B$24:$B$27)*(RendicontiTrasmessiBL__2[[#This Row],[Cut percentage on real costs + USC]]&lt;='Weight tables'!$C$24:$C$27),0),1)</f>
        <v>0</v>
      </c>
      <c r="W1723" s="2">
        <f>RendicontiTrasmessiBL__2[[#This Row],[Weight real costs  + USC ]]</f>
        <v>0</v>
      </c>
    </row>
    <row r="1724" spans="1:23" x14ac:dyDescent="0.25">
      <c r="A1724" s="1" t="s">
        <v>67</v>
      </c>
      <c r="B1724" s="1" t="s">
        <v>56</v>
      </c>
      <c r="C1724" s="2">
        <v>165</v>
      </c>
      <c r="D1724" s="2">
        <v>121</v>
      </c>
      <c r="E1724" s="1" t="s">
        <v>231</v>
      </c>
      <c r="G1724">
        <v>0</v>
      </c>
      <c r="H1724">
        <v>0</v>
      </c>
      <c r="I1724">
        <v>0</v>
      </c>
      <c r="J1724">
        <v>0</v>
      </c>
      <c r="K1724">
        <v>0</v>
      </c>
      <c r="L1724">
        <v>0</v>
      </c>
      <c r="M1724">
        <v>0</v>
      </c>
      <c r="N1724">
        <v>0</v>
      </c>
      <c r="O1724">
        <v>0</v>
      </c>
      <c r="P1724">
        <v>0</v>
      </c>
      <c r="Q1724" t="str">
        <f>INDEX('Partner data'!A:DH,MATCH(C1724,'Partner data'!DG:DG,0),83)</f>
        <v>Soggetto pubblico</v>
      </c>
      <c r="R1724" t="b">
        <f>IF(E1724="staff",IF(INDEX('Partner data'!A:DH,MATCH(C1724,'Partner data'!DG:DG,0),112)="BL1 non presente","FALSO",INDEX('Partner data'!A:DH,MATCH(C1724,'Partner data'!DG:DG,0),112)))</f>
        <v>0</v>
      </c>
      <c r="S1724" t="b">
        <f t="shared" si="52"/>
        <v>0</v>
      </c>
      <c r="T1724" t="b">
        <f t="shared" si="53"/>
        <v>1</v>
      </c>
      <c r="U1724" s="154">
        <f>IFERROR(IF(R1724&lt;&gt;FALSE,IF(S1724=TRUE,INDEX('SummaryNOT_VALIDATED-BL'!$A$1:$F$16,MATCH(R1724,'SummaryNOT_VALIDATED-BL'!$A$1:$A$16,0),6),0),IF(S1724=TRUE,INDEX('SummaryNOT_VALIDATED-BL'!$A$1:$F$16,MATCH(E1724,'SummaryNOT_VALIDATED-BL'!$A$1:$A$16,0),6),0)),0)</f>
        <v>0</v>
      </c>
      <c r="V1724" s="81" cm="1">
        <f t="array" ref="V1724">INDEX('Weight tables'!$A$24:$C$27,MATCH(1,(RendicontiTrasmessiBL__2[[#This Row],[Cut percentage on real costs + USC]]&gt;='Weight tables'!$B$24:$B$27)*(RendicontiTrasmessiBL__2[[#This Row],[Cut percentage on real costs + USC]]&lt;='Weight tables'!$C$24:$C$27),0),1)</f>
        <v>0</v>
      </c>
      <c r="W1724" s="2">
        <f>RendicontiTrasmessiBL__2[[#This Row],[Weight real costs  + USC ]]</f>
        <v>0</v>
      </c>
    </row>
    <row r="1725" spans="1:23" x14ac:dyDescent="0.25">
      <c r="A1725" s="1" t="s">
        <v>67</v>
      </c>
      <c r="B1725" s="1" t="s">
        <v>56</v>
      </c>
      <c r="C1725" s="2">
        <v>165</v>
      </c>
      <c r="D1725" s="2">
        <v>121</v>
      </c>
      <c r="E1725" s="1" t="s">
        <v>232</v>
      </c>
      <c r="G1725">
        <v>0</v>
      </c>
      <c r="H1725">
        <v>0</v>
      </c>
      <c r="I1725">
        <v>0</v>
      </c>
      <c r="J1725">
        <v>0</v>
      </c>
      <c r="K1725">
        <v>0</v>
      </c>
      <c r="L1725">
        <v>0</v>
      </c>
      <c r="M1725">
        <v>0</v>
      </c>
      <c r="N1725">
        <v>0</v>
      </c>
      <c r="O1725">
        <v>0</v>
      </c>
      <c r="P1725">
        <v>0</v>
      </c>
      <c r="Q1725" t="str">
        <f>INDEX('Partner data'!A:DH,MATCH(C1725,'Partner data'!DG:DG,0),83)</f>
        <v>Soggetto pubblico</v>
      </c>
      <c r="R1725" t="b">
        <f>IF(E1725="staff",IF(INDEX('Partner data'!A:DH,MATCH(C1725,'Partner data'!DG:DG,0),112)="BL1 non presente","FALSO",INDEX('Partner data'!A:DH,MATCH(C1725,'Partner data'!DG:DG,0),112)))</f>
        <v>0</v>
      </c>
      <c r="S1725" t="b">
        <f t="shared" si="52"/>
        <v>0</v>
      </c>
      <c r="T1725" t="b">
        <f t="shared" si="53"/>
        <v>1</v>
      </c>
      <c r="U1725" s="154">
        <f>IFERROR(IF(R1725&lt;&gt;FALSE,IF(S1725=TRUE,INDEX('SummaryNOT_VALIDATED-BL'!$A$1:$F$16,MATCH(R1725,'SummaryNOT_VALIDATED-BL'!$A$1:$A$16,0),6),0),IF(S1725=TRUE,INDEX('SummaryNOT_VALIDATED-BL'!$A$1:$F$16,MATCH(E1725,'SummaryNOT_VALIDATED-BL'!$A$1:$A$16,0),6),0)),0)</f>
        <v>0</v>
      </c>
      <c r="V1725" s="81" cm="1">
        <f t="array" ref="V1725">INDEX('Weight tables'!$A$24:$C$27,MATCH(1,(RendicontiTrasmessiBL__2[[#This Row],[Cut percentage on real costs + USC]]&gt;='Weight tables'!$B$24:$B$27)*(RendicontiTrasmessiBL__2[[#This Row],[Cut percentage on real costs + USC]]&lt;='Weight tables'!$C$24:$C$27),0),1)</f>
        <v>0</v>
      </c>
      <c r="W1725" s="2">
        <f>RendicontiTrasmessiBL__2[[#This Row],[Weight real costs  + USC ]]</f>
        <v>0</v>
      </c>
    </row>
    <row r="1726" spans="1:23" x14ac:dyDescent="0.25">
      <c r="A1726" s="1" t="s">
        <v>67</v>
      </c>
      <c r="B1726" s="1" t="s">
        <v>56</v>
      </c>
      <c r="C1726" s="2">
        <v>165</v>
      </c>
      <c r="D1726" s="2">
        <v>121</v>
      </c>
      <c r="E1726" s="1" t="s">
        <v>233</v>
      </c>
      <c r="G1726">
        <v>0</v>
      </c>
      <c r="H1726">
        <v>0</v>
      </c>
      <c r="I1726">
        <v>0</v>
      </c>
      <c r="J1726">
        <v>0</v>
      </c>
      <c r="K1726">
        <v>0</v>
      </c>
      <c r="L1726">
        <v>0</v>
      </c>
      <c r="M1726">
        <v>0</v>
      </c>
      <c r="N1726">
        <v>0</v>
      </c>
      <c r="O1726">
        <v>0</v>
      </c>
      <c r="P1726">
        <v>0</v>
      </c>
      <c r="Q1726" t="str">
        <f>INDEX('Partner data'!A:DH,MATCH(C1726,'Partner data'!DG:DG,0),83)</f>
        <v>Soggetto pubblico</v>
      </c>
      <c r="R1726" t="b">
        <f>IF(E1726="staff",IF(INDEX('Partner data'!A:DH,MATCH(C1726,'Partner data'!DG:DG,0),112)="BL1 non presente","FALSO",INDEX('Partner data'!A:DH,MATCH(C1726,'Partner data'!DG:DG,0),112)))</f>
        <v>0</v>
      </c>
      <c r="S1726" t="b">
        <f t="shared" si="52"/>
        <v>0</v>
      </c>
      <c r="T1726" t="b">
        <f t="shared" si="53"/>
        <v>1</v>
      </c>
      <c r="U1726" s="154">
        <f>IFERROR(IF(R1726&lt;&gt;FALSE,IF(S1726=TRUE,INDEX('SummaryNOT_VALIDATED-BL'!$A$1:$F$16,MATCH(R1726,'SummaryNOT_VALIDATED-BL'!$A$1:$A$16,0),6),0),IF(S1726=TRUE,INDEX('SummaryNOT_VALIDATED-BL'!$A$1:$F$16,MATCH(E1726,'SummaryNOT_VALIDATED-BL'!$A$1:$A$16,0),6),0)),0)</f>
        <v>0</v>
      </c>
      <c r="V1726" s="81" cm="1">
        <f t="array" ref="V1726">INDEX('Weight tables'!$A$24:$C$27,MATCH(1,(RendicontiTrasmessiBL__2[[#This Row],[Cut percentage on real costs + USC]]&gt;='Weight tables'!$B$24:$B$27)*(RendicontiTrasmessiBL__2[[#This Row],[Cut percentage on real costs + USC]]&lt;='Weight tables'!$C$24:$C$27),0),1)</f>
        <v>0</v>
      </c>
      <c r="W1726" s="2">
        <f>RendicontiTrasmessiBL__2[[#This Row],[Weight real costs  + USC ]]</f>
        <v>0</v>
      </c>
    </row>
    <row r="1727" spans="1:23" x14ac:dyDescent="0.25">
      <c r="A1727" s="1" t="s">
        <v>67</v>
      </c>
      <c r="B1727" s="1" t="s">
        <v>56</v>
      </c>
      <c r="C1727" s="2">
        <v>165</v>
      </c>
      <c r="D1727" s="2">
        <v>121</v>
      </c>
      <c r="E1727" s="1" t="s">
        <v>234</v>
      </c>
      <c r="F1727">
        <v>40</v>
      </c>
      <c r="G1727">
        <v>28600</v>
      </c>
      <c r="H1727">
        <v>0</v>
      </c>
      <c r="I1727">
        <v>0</v>
      </c>
      <c r="J1727">
        <v>1349.08</v>
      </c>
      <c r="K1727">
        <v>0</v>
      </c>
      <c r="L1727">
        <v>1349.08</v>
      </c>
      <c r="M1727">
        <v>1349.08</v>
      </c>
      <c r="N1727">
        <v>4.72</v>
      </c>
      <c r="O1727">
        <v>27250.92</v>
      </c>
      <c r="P1727">
        <v>0</v>
      </c>
      <c r="Q1727" t="str">
        <f>INDEX('Partner data'!A:DH,MATCH(C1727,'Partner data'!DG:DG,0),83)</f>
        <v>Soggetto pubblico</v>
      </c>
      <c r="R1727" t="b">
        <f>IF(E1727="staff",IF(INDEX('Partner data'!A:DH,MATCH(C1727,'Partner data'!DG:DG,0),112)="BL1 non presente","FALSO",INDEX('Partner data'!A:DH,MATCH(C1727,'Partner data'!DG:DG,0),112)))</f>
        <v>0</v>
      </c>
      <c r="S1727" t="b">
        <f t="shared" si="52"/>
        <v>1</v>
      </c>
      <c r="T1727" t="b">
        <f t="shared" si="53"/>
        <v>1</v>
      </c>
      <c r="U1727" s="154">
        <f>IFERROR(IF(R1727&lt;&gt;FALSE,IF(S1727=TRUE,INDEX('SummaryNOT_VALIDATED-BL'!$A$1:$F$16,MATCH(R1727,'SummaryNOT_VALIDATED-BL'!$A$1:$A$16,0),6),0),IF(S1727=TRUE,INDEX('SummaryNOT_VALIDATED-BL'!$A$1:$F$16,MATCH(E1727,'SummaryNOT_VALIDATED-BL'!$A$1:$A$16,0),6),0)),0)</f>
        <v>8.7645339819521315E-2</v>
      </c>
      <c r="V1727" s="81" cm="1">
        <f t="array" ref="V1727">INDEX('Weight tables'!$A$24:$C$27,MATCH(1,(RendicontiTrasmessiBL__2[[#This Row],[Cut percentage on real costs + USC]]&gt;='Weight tables'!$B$24:$B$27)*(RendicontiTrasmessiBL__2[[#This Row],[Cut percentage on real costs + USC]]&lt;='Weight tables'!$C$24:$C$27),0),1)</f>
        <v>4</v>
      </c>
      <c r="W1727" s="2">
        <f>RendicontiTrasmessiBL__2[[#This Row],[Weight real costs  + USC ]]</f>
        <v>4</v>
      </c>
    </row>
    <row r="1728" spans="1:23" x14ac:dyDescent="0.25">
      <c r="A1728" s="1" t="s">
        <v>67</v>
      </c>
      <c r="B1728" s="1" t="s">
        <v>56</v>
      </c>
      <c r="C1728" s="2">
        <v>165</v>
      </c>
      <c r="D1728" s="2">
        <v>121</v>
      </c>
      <c r="E1728" s="1" t="s">
        <v>236</v>
      </c>
      <c r="G1728">
        <v>0</v>
      </c>
      <c r="H1728">
        <v>0</v>
      </c>
      <c r="I1728">
        <v>0</v>
      </c>
      <c r="J1728">
        <v>0</v>
      </c>
      <c r="K1728">
        <v>0</v>
      </c>
      <c r="L1728">
        <v>0</v>
      </c>
      <c r="M1728">
        <v>0</v>
      </c>
      <c r="N1728">
        <v>0</v>
      </c>
      <c r="O1728">
        <v>0</v>
      </c>
      <c r="P1728">
        <v>0</v>
      </c>
      <c r="Q1728" t="str">
        <f>INDEX('Partner data'!A:DH,MATCH(C1728,'Partner data'!DG:DG,0),83)</f>
        <v>Soggetto pubblico</v>
      </c>
      <c r="R1728" t="b">
        <f>IF(E1728="staff",IF(INDEX('Partner data'!A:DH,MATCH(C1728,'Partner data'!DG:DG,0),112)="BL1 non presente","FALSO",INDEX('Partner data'!A:DH,MATCH(C1728,'Partner data'!DG:DG,0),112)))</f>
        <v>0</v>
      </c>
      <c r="S1728" t="b">
        <f t="shared" si="52"/>
        <v>0</v>
      </c>
      <c r="T1728" t="b">
        <f t="shared" si="53"/>
        <v>1</v>
      </c>
      <c r="U1728" s="154">
        <f>IFERROR(IF(R1728&lt;&gt;FALSE,IF(S1728=TRUE,INDEX('SummaryNOT_VALIDATED-BL'!$A$1:$F$16,MATCH(R1728,'SummaryNOT_VALIDATED-BL'!$A$1:$A$16,0),6),0),IF(S1728=TRUE,INDEX('SummaryNOT_VALIDATED-BL'!$A$1:$F$16,MATCH(E1728,'SummaryNOT_VALIDATED-BL'!$A$1:$A$16,0),6),0)),0)</f>
        <v>0</v>
      </c>
      <c r="V1728" s="81" cm="1">
        <f t="array" ref="V1728">INDEX('Weight tables'!$A$24:$C$27,MATCH(1,(RendicontiTrasmessiBL__2[[#This Row],[Cut percentage on real costs + USC]]&gt;='Weight tables'!$B$24:$B$27)*(RendicontiTrasmessiBL__2[[#This Row],[Cut percentage on real costs + USC]]&lt;='Weight tables'!$C$24:$C$27),0),1)</f>
        <v>0</v>
      </c>
      <c r="W1728" s="2">
        <f>RendicontiTrasmessiBL__2[[#This Row],[Weight real costs  + USC ]]</f>
        <v>0</v>
      </c>
    </row>
    <row r="1729" spans="1:23" x14ac:dyDescent="0.25">
      <c r="A1729" s="1" t="s">
        <v>67</v>
      </c>
      <c r="B1729" s="1" t="s">
        <v>56</v>
      </c>
      <c r="C1729" s="2">
        <v>165</v>
      </c>
      <c r="D1729" s="2">
        <v>121</v>
      </c>
      <c r="E1729" s="1" t="s">
        <v>237</v>
      </c>
      <c r="G1729">
        <v>0</v>
      </c>
      <c r="H1729">
        <v>0</v>
      </c>
      <c r="I1729">
        <v>0</v>
      </c>
      <c r="J1729">
        <v>0</v>
      </c>
      <c r="K1729">
        <v>0</v>
      </c>
      <c r="L1729">
        <v>0</v>
      </c>
      <c r="M1729">
        <v>0</v>
      </c>
      <c r="N1729">
        <v>0</v>
      </c>
      <c r="O1729">
        <v>0</v>
      </c>
      <c r="P1729">
        <v>0</v>
      </c>
      <c r="Q1729" t="str">
        <f>INDEX('Partner data'!A:DH,MATCH(C1729,'Partner data'!DG:DG,0),83)</f>
        <v>Soggetto pubblico</v>
      </c>
      <c r="R1729" t="b">
        <f>IF(E1729="staff",IF(INDEX('Partner data'!A:DH,MATCH(C1729,'Partner data'!DG:DG,0),112)="BL1 non presente","FALSO",INDEX('Partner data'!A:DH,MATCH(C1729,'Partner data'!DG:DG,0),112)))</f>
        <v>0</v>
      </c>
      <c r="S1729" t="b">
        <f t="shared" si="52"/>
        <v>0</v>
      </c>
      <c r="T1729" t="b">
        <f t="shared" si="53"/>
        <v>1</v>
      </c>
      <c r="U1729" s="154">
        <f>IFERROR(IF(R1729&lt;&gt;FALSE,IF(S1729=TRUE,INDEX('SummaryNOT_VALIDATED-BL'!$A$1:$F$16,MATCH(R1729,'SummaryNOT_VALIDATED-BL'!$A$1:$A$16,0),6),0),IF(S1729=TRUE,INDEX('SummaryNOT_VALIDATED-BL'!$A$1:$F$16,MATCH(E1729,'SummaryNOT_VALIDATED-BL'!$A$1:$A$16,0),6),0)),0)</f>
        <v>0</v>
      </c>
      <c r="V1729" s="81" cm="1">
        <f t="array" ref="V1729">INDEX('Weight tables'!$A$24:$C$27,MATCH(1,(RendicontiTrasmessiBL__2[[#This Row],[Cut percentage on real costs + USC]]&gt;='Weight tables'!$B$24:$B$27)*(RendicontiTrasmessiBL__2[[#This Row],[Cut percentage on real costs + USC]]&lt;='Weight tables'!$C$24:$C$27),0),1)</f>
        <v>0</v>
      </c>
      <c r="W1729" s="2">
        <f>RendicontiTrasmessiBL__2[[#This Row],[Weight real costs  + USC ]]</f>
        <v>0</v>
      </c>
    </row>
    <row r="1730" spans="1:23" x14ac:dyDescent="0.25">
      <c r="A1730" s="1" t="s">
        <v>67</v>
      </c>
      <c r="B1730" s="1" t="s">
        <v>325</v>
      </c>
      <c r="C1730" s="2">
        <v>162</v>
      </c>
      <c r="D1730" s="2">
        <v>115</v>
      </c>
      <c r="E1730" s="1" t="s">
        <v>228</v>
      </c>
      <c r="G1730">
        <v>84752</v>
      </c>
      <c r="H1730">
        <v>0</v>
      </c>
      <c r="I1730">
        <v>0</v>
      </c>
      <c r="J1730">
        <v>21330</v>
      </c>
      <c r="K1730">
        <v>0</v>
      </c>
      <c r="L1730">
        <v>21330</v>
      </c>
      <c r="M1730">
        <v>21330</v>
      </c>
      <c r="N1730">
        <v>25.17</v>
      </c>
      <c r="O1730">
        <v>63422</v>
      </c>
      <c r="P1730">
        <v>0</v>
      </c>
      <c r="Q1730" t="str">
        <f>INDEX('Partner data'!A:DH,MATCH(C1730,'Partner data'!DG:DG,0),83)</f>
        <v>Soggetto pubblico</v>
      </c>
      <c r="R1730" t="str">
        <f>IF(E1730="staff",IF(INDEX('Partner data'!A:DH,MATCH(C1730,'Partner data'!DG:DG,0),112)="BL1 non presente","FALSO",INDEX('Partner data'!A:DH,MATCH(C1730,'Partner data'!DG:DG,0),112)))</f>
        <v>Costo Unitario Standard</v>
      </c>
      <c r="S1730" t="b">
        <f t="shared" ref="S1730:S1793" si="54">IF(J1730&lt;&gt;0,TRUE,FALSE)</f>
        <v>1</v>
      </c>
      <c r="T1730" t="b">
        <f t="shared" ref="T1730:T1793" si="55">OR(Q1730="Soggetto pubblico",Q1730="Organismo di diritto pubblico ")</f>
        <v>1</v>
      </c>
      <c r="U1730" s="154">
        <f>IFERROR(IF(R1730&lt;&gt;FALSE,IF(S1730=TRUE,INDEX('SummaryNOT_VALIDATED-BL'!$A$1:$F$16,MATCH(R1730,'SummaryNOT_VALIDATED-BL'!$A$1:$A$16,0),6),0),IF(S1730=TRUE,INDEX('SummaryNOT_VALIDATED-BL'!$A$1:$F$16,MATCH(E1730,'SummaryNOT_VALIDATED-BL'!$A$1:$A$16,0),6),0)),0)</f>
        <v>3.2052879635441428E-2</v>
      </c>
      <c r="V1730" s="81" cm="1">
        <f t="array" ref="V1730">INDEX('Weight tables'!$A$24:$C$27,MATCH(1,(RendicontiTrasmessiBL__2[[#This Row],[Cut percentage on real costs + USC]]&gt;='Weight tables'!$B$24:$B$27)*(RendicontiTrasmessiBL__2[[#This Row],[Cut percentage on real costs + USC]]&lt;='Weight tables'!$C$24:$C$27),0),1)</f>
        <v>2</v>
      </c>
      <c r="W1730" s="2">
        <f>RendicontiTrasmessiBL__2[[#This Row],[Weight real costs  + USC ]]</f>
        <v>2</v>
      </c>
    </row>
    <row r="1731" spans="1:23" x14ac:dyDescent="0.25">
      <c r="A1731" s="1" t="s">
        <v>67</v>
      </c>
      <c r="B1731" s="1" t="s">
        <v>325</v>
      </c>
      <c r="C1731" s="2">
        <v>162</v>
      </c>
      <c r="D1731" s="2">
        <v>115</v>
      </c>
      <c r="E1731" s="1" t="s">
        <v>229</v>
      </c>
      <c r="G1731">
        <v>0</v>
      </c>
      <c r="H1731">
        <v>0</v>
      </c>
      <c r="I1731">
        <v>0</v>
      </c>
      <c r="J1731">
        <v>0</v>
      </c>
      <c r="K1731">
        <v>0</v>
      </c>
      <c r="L1731">
        <v>0</v>
      </c>
      <c r="M1731">
        <v>0</v>
      </c>
      <c r="N1731">
        <v>0</v>
      </c>
      <c r="O1731">
        <v>0</v>
      </c>
      <c r="P1731">
        <v>0</v>
      </c>
      <c r="Q1731" t="str">
        <f>INDEX('Partner data'!A:DH,MATCH(C1731,'Partner data'!DG:DG,0),83)</f>
        <v>Soggetto pubblico</v>
      </c>
      <c r="R1731" t="b">
        <f>IF(E1731="staff",IF(INDEX('Partner data'!A:DH,MATCH(C1731,'Partner data'!DG:DG,0),112)="BL1 non presente","FALSO",INDEX('Partner data'!A:DH,MATCH(C1731,'Partner data'!DG:DG,0),112)))</f>
        <v>0</v>
      </c>
      <c r="S1731" t="b">
        <f t="shared" si="54"/>
        <v>0</v>
      </c>
      <c r="T1731" t="b">
        <f t="shared" si="55"/>
        <v>1</v>
      </c>
      <c r="U1731" s="154">
        <f>IFERROR(IF(R1731&lt;&gt;FALSE,IF(S1731=TRUE,INDEX('SummaryNOT_VALIDATED-BL'!$A$1:$F$16,MATCH(R1731,'SummaryNOT_VALIDATED-BL'!$A$1:$A$16,0),6),0),IF(S1731=TRUE,INDEX('SummaryNOT_VALIDATED-BL'!$A$1:$F$16,MATCH(E1731,'SummaryNOT_VALIDATED-BL'!$A$1:$A$16,0),6),0)),0)</f>
        <v>0</v>
      </c>
      <c r="V1731" s="81" cm="1">
        <f t="array" ref="V1731">INDEX('Weight tables'!$A$24:$C$27,MATCH(1,(RendicontiTrasmessiBL__2[[#This Row],[Cut percentage on real costs + USC]]&gt;='Weight tables'!$B$24:$B$27)*(RendicontiTrasmessiBL__2[[#This Row],[Cut percentage on real costs + USC]]&lt;='Weight tables'!$C$24:$C$27),0),1)</f>
        <v>0</v>
      </c>
      <c r="W1731" s="2">
        <f>RendicontiTrasmessiBL__2[[#This Row],[Weight real costs  + USC ]]</f>
        <v>0</v>
      </c>
    </row>
    <row r="1732" spans="1:23" x14ac:dyDescent="0.25">
      <c r="A1732" s="1" t="s">
        <v>67</v>
      </c>
      <c r="B1732" s="1" t="s">
        <v>325</v>
      </c>
      <c r="C1732" s="2">
        <v>162</v>
      </c>
      <c r="D1732" s="2">
        <v>115</v>
      </c>
      <c r="E1732" s="1" t="s">
        <v>230</v>
      </c>
      <c r="G1732">
        <v>0</v>
      </c>
      <c r="H1732">
        <v>0</v>
      </c>
      <c r="I1732">
        <v>0</v>
      </c>
      <c r="J1732">
        <v>0</v>
      </c>
      <c r="K1732">
        <v>0</v>
      </c>
      <c r="L1732">
        <v>0</v>
      </c>
      <c r="M1732">
        <v>0</v>
      </c>
      <c r="N1732">
        <v>0</v>
      </c>
      <c r="O1732">
        <v>0</v>
      </c>
      <c r="P1732">
        <v>0</v>
      </c>
      <c r="Q1732" t="str">
        <f>INDEX('Partner data'!A:DH,MATCH(C1732,'Partner data'!DG:DG,0),83)</f>
        <v>Soggetto pubblico</v>
      </c>
      <c r="R1732" t="b">
        <f>IF(E1732="staff",IF(INDEX('Partner data'!A:DH,MATCH(C1732,'Partner data'!DG:DG,0),112)="BL1 non presente","FALSO",INDEX('Partner data'!A:DH,MATCH(C1732,'Partner data'!DG:DG,0),112)))</f>
        <v>0</v>
      </c>
      <c r="S1732" t="b">
        <f t="shared" si="54"/>
        <v>0</v>
      </c>
      <c r="T1732" t="b">
        <f t="shared" si="55"/>
        <v>1</v>
      </c>
      <c r="U1732" s="154">
        <f>IFERROR(IF(R1732&lt;&gt;FALSE,IF(S1732=TRUE,INDEX('SummaryNOT_VALIDATED-BL'!$A$1:$F$16,MATCH(R1732,'SummaryNOT_VALIDATED-BL'!$A$1:$A$16,0),6),0),IF(S1732=TRUE,INDEX('SummaryNOT_VALIDATED-BL'!$A$1:$F$16,MATCH(E1732,'SummaryNOT_VALIDATED-BL'!$A$1:$A$16,0),6),0)),0)</f>
        <v>0</v>
      </c>
      <c r="V1732" s="81" cm="1">
        <f t="array" ref="V1732">INDEX('Weight tables'!$A$24:$C$27,MATCH(1,(RendicontiTrasmessiBL__2[[#This Row],[Cut percentage on real costs + USC]]&gt;='Weight tables'!$B$24:$B$27)*(RendicontiTrasmessiBL__2[[#This Row],[Cut percentage on real costs + USC]]&lt;='Weight tables'!$C$24:$C$27),0),1)</f>
        <v>0</v>
      </c>
      <c r="W1732" s="2">
        <f>RendicontiTrasmessiBL__2[[#This Row],[Weight real costs  + USC ]]</f>
        <v>0</v>
      </c>
    </row>
    <row r="1733" spans="1:23" x14ac:dyDescent="0.25">
      <c r="A1733" s="1" t="s">
        <v>67</v>
      </c>
      <c r="B1733" s="1" t="s">
        <v>325</v>
      </c>
      <c r="C1733" s="2">
        <v>162</v>
      </c>
      <c r="D1733" s="2">
        <v>115</v>
      </c>
      <c r="E1733" s="1" t="s">
        <v>231</v>
      </c>
      <c r="G1733">
        <v>0</v>
      </c>
      <c r="H1733">
        <v>0</v>
      </c>
      <c r="I1733">
        <v>0</v>
      </c>
      <c r="J1733">
        <v>0</v>
      </c>
      <c r="K1733">
        <v>0</v>
      </c>
      <c r="L1733">
        <v>0</v>
      </c>
      <c r="M1733">
        <v>0</v>
      </c>
      <c r="N1733">
        <v>0</v>
      </c>
      <c r="O1733">
        <v>0</v>
      </c>
      <c r="P1733">
        <v>0</v>
      </c>
      <c r="Q1733" t="str">
        <f>INDEX('Partner data'!A:DH,MATCH(C1733,'Partner data'!DG:DG,0),83)</f>
        <v>Soggetto pubblico</v>
      </c>
      <c r="R1733" t="b">
        <f>IF(E1733="staff",IF(INDEX('Partner data'!A:DH,MATCH(C1733,'Partner data'!DG:DG,0),112)="BL1 non presente","FALSO",INDEX('Partner data'!A:DH,MATCH(C1733,'Partner data'!DG:DG,0),112)))</f>
        <v>0</v>
      </c>
      <c r="S1733" t="b">
        <f t="shared" si="54"/>
        <v>0</v>
      </c>
      <c r="T1733" t="b">
        <f t="shared" si="55"/>
        <v>1</v>
      </c>
      <c r="U1733" s="154">
        <f>IFERROR(IF(R1733&lt;&gt;FALSE,IF(S1733=TRUE,INDEX('SummaryNOT_VALIDATED-BL'!$A$1:$F$16,MATCH(R1733,'SummaryNOT_VALIDATED-BL'!$A$1:$A$16,0),6),0),IF(S1733=TRUE,INDEX('SummaryNOT_VALIDATED-BL'!$A$1:$F$16,MATCH(E1733,'SummaryNOT_VALIDATED-BL'!$A$1:$A$16,0),6),0)),0)</f>
        <v>0</v>
      </c>
      <c r="V1733" s="81" cm="1">
        <f t="array" ref="V1733">INDEX('Weight tables'!$A$24:$C$27,MATCH(1,(RendicontiTrasmessiBL__2[[#This Row],[Cut percentage on real costs + USC]]&gt;='Weight tables'!$B$24:$B$27)*(RendicontiTrasmessiBL__2[[#This Row],[Cut percentage on real costs + USC]]&lt;='Weight tables'!$C$24:$C$27),0),1)</f>
        <v>0</v>
      </c>
      <c r="W1733" s="2">
        <f>RendicontiTrasmessiBL__2[[#This Row],[Weight real costs  + USC ]]</f>
        <v>0</v>
      </c>
    </row>
    <row r="1734" spans="1:23" x14ac:dyDescent="0.25">
      <c r="A1734" s="1" t="s">
        <v>67</v>
      </c>
      <c r="B1734" s="1" t="s">
        <v>325</v>
      </c>
      <c r="C1734" s="2">
        <v>162</v>
      </c>
      <c r="D1734" s="2">
        <v>115</v>
      </c>
      <c r="E1734" s="1" t="s">
        <v>232</v>
      </c>
      <c r="G1734">
        <v>0</v>
      </c>
      <c r="H1734">
        <v>0</v>
      </c>
      <c r="I1734">
        <v>0</v>
      </c>
      <c r="J1734">
        <v>0</v>
      </c>
      <c r="K1734">
        <v>0</v>
      </c>
      <c r="L1734">
        <v>0</v>
      </c>
      <c r="M1734">
        <v>0</v>
      </c>
      <c r="N1734">
        <v>0</v>
      </c>
      <c r="O1734">
        <v>0</v>
      </c>
      <c r="P1734">
        <v>0</v>
      </c>
      <c r="Q1734" t="str">
        <f>INDEX('Partner data'!A:DH,MATCH(C1734,'Partner data'!DG:DG,0),83)</f>
        <v>Soggetto pubblico</v>
      </c>
      <c r="R1734" t="b">
        <f>IF(E1734="staff",IF(INDEX('Partner data'!A:DH,MATCH(C1734,'Partner data'!DG:DG,0),112)="BL1 non presente","FALSO",INDEX('Partner data'!A:DH,MATCH(C1734,'Partner data'!DG:DG,0),112)))</f>
        <v>0</v>
      </c>
      <c r="S1734" t="b">
        <f t="shared" si="54"/>
        <v>0</v>
      </c>
      <c r="T1734" t="b">
        <f t="shared" si="55"/>
        <v>1</v>
      </c>
      <c r="U1734" s="154">
        <f>IFERROR(IF(R1734&lt;&gt;FALSE,IF(S1734=TRUE,INDEX('SummaryNOT_VALIDATED-BL'!$A$1:$F$16,MATCH(R1734,'SummaryNOT_VALIDATED-BL'!$A$1:$A$16,0),6),0),IF(S1734=TRUE,INDEX('SummaryNOT_VALIDATED-BL'!$A$1:$F$16,MATCH(E1734,'SummaryNOT_VALIDATED-BL'!$A$1:$A$16,0),6),0)),0)</f>
        <v>0</v>
      </c>
      <c r="V1734" s="81" cm="1">
        <f t="array" ref="V1734">INDEX('Weight tables'!$A$24:$C$27,MATCH(1,(RendicontiTrasmessiBL__2[[#This Row],[Cut percentage on real costs + USC]]&gt;='Weight tables'!$B$24:$B$27)*(RendicontiTrasmessiBL__2[[#This Row],[Cut percentage on real costs + USC]]&lt;='Weight tables'!$C$24:$C$27),0),1)</f>
        <v>0</v>
      </c>
      <c r="W1734" s="2">
        <f>RendicontiTrasmessiBL__2[[#This Row],[Weight real costs  + USC ]]</f>
        <v>0</v>
      </c>
    </row>
    <row r="1735" spans="1:23" x14ac:dyDescent="0.25">
      <c r="A1735" s="1" t="s">
        <v>67</v>
      </c>
      <c r="B1735" s="1" t="s">
        <v>325</v>
      </c>
      <c r="C1735" s="2">
        <v>162</v>
      </c>
      <c r="D1735" s="2">
        <v>115</v>
      </c>
      <c r="E1735" s="1" t="s">
        <v>233</v>
      </c>
      <c r="G1735">
        <v>0</v>
      </c>
      <c r="H1735">
        <v>0</v>
      </c>
      <c r="I1735">
        <v>0</v>
      </c>
      <c r="J1735">
        <v>0</v>
      </c>
      <c r="K1735">
        <v>0</v>
      </c>
      <c r="L1735">
        <v>0</v>
      </c>
      <c r="M1735">
        <v>0</v>
      </c>
      <c r="N1735">
        <v>0</v>
      </c>
      <c r="O1735">
        <v>0</v>
      </c>
      <c r="P1735">
        <v>0</v>
      </c>
      <c r="Q1735" t="str">
        <f>INDEX('Partner data'!A:DH,MATCH(C1735,'Partner data'!DG:DG,0),83)</f>
        <v>Soggetto pubblico</v>
      </c>
      <c r="R1735" t="b">
        <f>IF(E1735="staff",IF(INDEX('Partner data'!A:DH,MATCH(C1735,'Partner data'!DG:DG,0),112)="BL1 non presente","FALSO",INDEX('Partner data'!A:DH,MATCH(C1735,'Partner data'!DG:DG,0),112)))</f>
        <v>0</v>
      </c>
      <c r="S1735" t="b">
        <f t="shared" si="54"/>
        <v>0</v>
      </c>
      <c r="T1735" t="b">
        <f t="shared" si="55"/>
        <v>1</v>
      </c>
      <c r="U1735" s="154">
        <f>IFERROR(IF(R1735&lt;&gt;FALSE,IF(S1735=TRUE,INDEX('SummaryNOT_VALIDATED-BL'!$A$1:$F$16,MATCH(R1735,'SummaryNOT_VALIDATED-BL'!$A$1:$A$16,0),6),0),IF(S1735=TRUE,INDEX('SummaryNOT_VALIDATED-BL'!$A$1:$F$16,MATCH(E1735,'SummaryNOT_VALIDATED-BL'!$A$1:$A$16,0),6),0)),0)</f>
        <v>0</v>
      </c>
      <c r="V1735" s="81" cm="1">
        <f t="array" ref="V1735">INDEX('Weight tables'!$A$24:$C$27,MATCH(1,(RendicontiTrasmessiBL__2[[#This Row],[Cut percentage on real costs + USC]]&gt;='Weight tables'!$B$24:$B$27)*(RendicontiTrasmessiBL__2[[#This Row],[Cut percentage on real costs + USC]]&lt;='Weight tables'!$C$24:$C$27),0),1)</f>
        <v>0</v>
      </c>
      <c r="W1735" s="2">
        <f>RendicontiTrasmessiBL__2[[#This Row],[Weight real costs  + USC ]]</f>
        <v>0</v>
      </c>
    </row>
    <row r="1736" spans="1:23" x14ac:dyDescent="0.25">
      <c r="A1736" s="1" t="s">
        <v>67</v>
      </c>
      <c r="B1736" s="1" t="s">
        <v>325</v>
      </c>
      <c r="C1736" s="2">
        <v>162</v>
      </c>
      <c r="D1736" s="2">
        <v>115</v>
      </c>
      <c r="E1736" s="1" t="s">
        <v>234</v>
      </c>
      <c r="F1736">
        <v>40</v>
      </c>
      <c r="G1736">
        <v>33900.800000000003</v>
      </c>
      <c r="H1736">
        <v>0</v>
      </c>
      <c r="I1736">
        <v>0</v>
      </c>
      <c r="J1736">
        <v>8532</v>
      </c>
      <c r="K1736">
        <v>0</v>
      </c>
      <c r="L1736">
        <v>8532</v>
      </c>
      <c r="M1736">
        <v>8532</v>
      </c>
      <c r="N1736">
        <v>25.17</v>
      </c>
      <c r="O1736">
        <v>25368.799999999999</v>
      </c>
      <c r="P1736">
        <v>0</v>
      </c>
      <c r="Q1736" t="str">
        <f>INDEX('Partner data'!A:DH,MATCH(C1736,'Partner data'!DG:DG,0),83)</f>
        <v>Soggetto pubblico</v>
      </c>
      <c r="R1736" t="b">
        <f>IF(E1736="staff",IF(INDEX('Partner data'!A:DH,MATCH(C1736,'Partner data'!DG:DG,0),112)="BL1 non presente","FALSO",INDEX('Partner data'!A:DH,MATCH(C1736,'Partner data'!DG:DG,0),112)))</f>
        <v>0</v>
      </c>
      <c r="S1736" t="b">
        <f t="shared" si="54"/>
        <v>1</v>
      </c>
      <c r="T1736" t="b">
        <f t="shared" si="55"/>
        <v>1</v>
      </c>
      <c r="U1736" s="154">
        <f>IFERROR(IF(R1736&lt;&gt;FALSE,IF(S1736=TRUE,INDEX('SummaryNOT_VALIDATED-BL'!$A$1:$F$16,MATCH(R1736,'SummaryNOT_VALIDATED-BL'!$A$1:$A$16,0),6),0),IF(S1736=TRUE,INDEX('SummaryNOT_VALIDATED-BL'!$A$1:$F$16,MATCH(E1736,'SummaryNOT_VALIDATED-BL'!$A$1:$A$16,0),6),0)),0)</f>
        <v>8.7645339819521315E-2</v>
      </c>
      <c r="V1736" s="81" cm="1">
        <f t="array" ref="V1736">INDEX('Weight tables'!$A$24:$C$27,MATCH(1,(RendicontiTrasmessiBL__2[[#This Row],[Cut percentage on real costs + USC]]&gt;='Weight tables'!$B$24:$B$27)*(RendicontiTrasmessiBL__2[[#This Row],[Cut percentage on real costs + USC]]&lt;='Weight tables'!$C$24:$C$27),0),1)</f>
        <v>4</v>
      </c>
      <c r="W1736" s="2">
        <f>RendicontiTrasmessiBL__2[[#This Row],[Weight real costs  + USC ]]</f>
        <v>4</v>
      </c>
    </row>
    <row r="1737" spans="1:23" x14ac:dyDescent="0.25">
      <c r="A1737" s="1" t="s">
        <v>67</v>
      </c>
      <c r="B1737" s="1" t="s">
        <v>325</v>
      </c>
      <c r="C1737" s="2">
        <v>162</v>
      </c>
      <c r="D1737" s="2">
        <v>115</v>
      </c>
      <c r="E1737" s="1" t="s">
        <v>236</v>
      </c>
      <c r="G1737">
        <v>0</v>
      </c>
      <c r="H1737">
        <v>0</v>
      </c>
      <c r="I1737">
        <v>0</v>
      </c>
      <c r="J1737">
        <v>0</v>
      </c>
      <c r="K1737">
        <v>0</v>
      </c>
      <c r="L1737">
        <v>0</v>
      </c>
      <c r="M1737">
        <v>0</v>
      </c>
      <c r="N1737">
        <v>0</v>
      </c>
      <c r="O1737">
        <v>0</v>
      </c>
      <c r="P1737">
        <v>0</v>
      </c>
      <c r="Q1737" t="str">
        <f>INDEX('Partner data'!A:DH,MATCH(C1737,'Partner data'!DG:DG,0),83)</f>
        <v>Soggetto pubblico</v>
      </c>
      <c r="R1737" t="b">
        <f>IF(E1737="staff",IF(INDEX('Partner data'!A:DH,MATCH(C1737,'Partner data'!DG:DG,0),112)="BL1 non presente","FALSO",INDEX('Partner data'!A:DH,MATCH(C1737,'Partner data'!DG:DG,0),112)))</f>
        <v>0</v>
      </c>
      <c r="S1737" t="b">
        <f t="shared" si="54"/>
        <v>0</v>
      </c>
      <c r="T1737" t="b">
        <f t="shared" si="55"/>
        <v>1</v>
      </c>
      <c r="U1737" s="154">
        <f>IFERROR(IF(R1737&lt;&gt;FALSE,IF(S1737=TRUE,INDEX('SummaryNOT_VALIDATED-BL'!$A$1:$F$16,MATCH(R1737,'SummaryNOT_VALIDATED-BL'!$A$1:$A$16,0),6),0),IF(S1737=TRUE,INDEX('SummaryNOT_VALIDATED-BL'!$A$1:$F$16,MATCH(E1737,'SummaryNOT_VALIDATED-BL'!$A$1:$A$16,0),6),0)),0)</f>
        <v>0</v>
      </c>
      <c r="V1737" s="81" cm="1">
        <f t="array" ref="V1737">INDEX('Weight tables'!$A$24:$C$27,MATCH(1,(RendicontiTrasmessiBL__2[[#This Row],[Cut percentage on real costs + USC]]&gt;='Weight tables'!$B$24:$B$27)*(RendicontiTrasmessiBL__2[[#This Row],[Cut percentage on real costs + USC]]&lt;='Weight tables'!$C$24:$C$27),0),1)</f>
        <v>0</v>
      </c>
      <c r="W1737" s="2">
        <f>RendicontiTrasmessiBL__2[[#This Row],[Weight real costs  + USC ]]</f>
        <v>0</v>
      </c>
    </row>
    <row r="1738" spans="1:23" x14ac:dyDescent="0.25">
      <c r="A1738" s="1" t="s">
        <v>67</v>
      </c>
      <c r="B1738" s="1" t="s">
        <v>325</v>
      </c>
      <c r="C1738" s="2">
        <v>162</v>
      </c>
      <c r="D1738" s="2">
        <v>115</v>
      </c>
      <c r="E1738" s="1" t="s">
        <v>237</v>
      </c>
      <c r="G1738">
        <v>0</v>
      </c>
      <c r="H1738">
        <v>0</v>
      </c>
      <c r="I1738">
        <v>0</v>
      </c>
      <c r="J1738">
        <v>0</v>
      </c>
      <c r="K1738">
        <v>0</v>
      </c>
      <c r="L1738">
        <v>0</v>
      </c>
      <c r="M1738">
        <v>0</v>
      </c>
      <c r="N1738">
        <v>0</v>
      </c>
      <c r="O1738">
        <v>0</v>
      </c>
      <c r="P1738">
        <v>0</v>
      </c>
      <c r="Q1738" t="str">
        <f>INDEX('Partner data'!A:DH,MATCH(C1738,'Partner data'!DG:DG,0),83)</f>
        <v>Soggetto pubblico</v>
      </c>
      <c r="R1738" t="b">
        <f>IF(E1738="staff",IF(INDEX('Partner data'!A:DH,MATCH(C1738,'Partner data'!DG:DG,0),112)="BL1 non presente","FALSO",INDEX('Partner data'!A:DH,MATCH(C1738,'Partner data'!DG:DG,0),112)))</f>
        <v>0</v>
      </c>
      <c r="S1738" t="b">
        <f t="shared" si="54"/>
        <v>0</v>
      </c>
      <c r="T1738" t="b">
        <f t="shared" si="55"/>
        <v>1</v>
      </c>
      <c r="U1738" s="154">
        <f>IFERROR(IF(R1738&lt;&gt;FALSE,IF(S1738=TRUE,INDEX('SummaryNOT_VALIDATED-BL'!$A$1:$F$16,MATCH(R1738,'SummaryNOT_VALIDATED-BL'!$A$1:$A$16,0),6),0),IF(S1738=TRUE,INDEX('SummaryNOT_VALIDATED-BL'!$A$1:$F$16,MATCH(E1738,'SummaryNOT_VALIDATED-BL'!$A$1:$A$16,0),6),0)),0)</f>
        <v>0</v>
      </c>
      <c r="V1738" s="81" cm="1">
        <f t="array" ref="V1738">INDEX('Weight tables'!$A$24:$C$27,MATCH(1,(RendicontiTrasmessiBL__2[[#This Row],[Cut percentage on real costs + USC]]&gt;='Weight tables'!$B$24:$B$27)*(RendicontiTrasmessiBL__2[[#This Row],[Cut percentage on real costs + USC]]&lt;='Weight tables'!$C$24:$C$27),0),1)</f>
        <v>0</v>
      </c>
      <c r="W1738" s="2">
        <f>RendicontiTrasmessiBL__2[[#This Row],[Weight real costs  + USC ]]</f>
        <v>0</v>
      </c>
    </row>
    <row r="1739" spans="1:23" x14ac:dyDescent="0.25">
      <c r="A1739" s="1" t="s">
        <v>67</v>
      </c>
      <c r="B1739" s="1" t="s">
        <v>326</v>
      </c>
      <c r="C1739" s="2">
        <v>164</v>
      </c>
      <c r="D1739" s="2">
        <v>116</v>
      </c>
      <c r="E1739" s="1" t="s">
        <v>228</v>
      </c>
      <c r="G1739">
        <v>68940</v>
      </c>
      <c r="H1739">
        <v>0</v>
      </c>
      <c r="I1739">
        <v>0</v>
      </c>
      <c r="J1739">
        <v>16770</v>
      </c>
      <c r="K1739">
        <v>0</v>
      </c>
      <c r="L1739">
        <v>16770</v>
      </c>
      <c r="M1739">
        <v>16770</v>
      </c>
      <c r="N1739">
        <v>24.33</v>
      </c>
      <c r="O1739">
        <v>52170</v>
      </c>
      <c r="P1739">
        <v>0</v>
      </c>
      <c r="Q1739" t="str">
        <f>INDEX('Partner data'!A:DH,MATCH(C1739,'Partner data'!DG:DG,0),83)</f>
        <v>Soggetto privato</v>
      </c>
      <c r="R1739" t="str">
        <f>IF(E1739="staff",IF(INDEX('Partner data'!A:DH,MATCH(C1739,'Partner data'!DG:DG,0),112)="BL1 non presente","FALSO",INDEX('Partner data'!A:DH,MATCH(C1739,'Partner data'!DG:DG,0),112)))</f>
        <v>Costo Unitario Standard</v>
      </c>
      <c r="S1739" t="b">
        <f t="shared" si="54"/>
        <v>1</v>
      </c>
      <c r="T1739" t="b">
        <f t="shared" si="55"/>
        <v>0</v>
      </c>
      <c r="U1739" s="154">
        <f>IFERROR(IF(R1739&lt;&gt;FALSE,IF(S1739=TRUE,INDEX('SummaryNOT_VALIDATED-BL'!$A$1:$F$16,MATCH(R1739,'SummaryNOT_VALIDATED-BL'!$A$1:$A$16,0),6),0),IF(S1739=TRUE,INDEX('SummaryNOT_VALIDATED-BL'!$A$1:$F$16,MATCH(E1739,'SummaryNOT_VALIDATED-BL'!$A$1:$A$16,0),6),0)),0)</f>
        <v>3.2052879635441428E-2</v>
      </c>
      <c r="V1739" s="81" cm="1">
        <f t="array" ref="V1739">INDEX('Weight tables'!$A$24:$C$27,MATCH(1,(RendicontiTrasmessiBL__2[[#This Row],[Cut percentage on real costs + USC]]&gt;='Weight tables'!$B$24:$B$27)*(RendicontiTrasmessiBL__2[[#This Row],[Cut percentage on real costs + USC]]&lt;='Weight tables'!$C$24:$C$27),0),1)</f>
        <v>2</v>
      </c>
      <c r="W1739" s="2">
        <f>RendicontiTrasmessiBL__2[[#This Row],[Weight real costs  + USC ]]</f>
        <v>2</v>
      </c>
    </row>
    <row r="1740" spans="1:23" x14ac:dyDescent="0.25">
      <c r="A1740" s="1" t="s">
        <v>67</v>
      </c>
      <c r="B1740" s="1" t="s">
        <v>326</v>
      </c>
      <c r="C1740" s="2">
        <v>164</v>
      </c>
      <c r="D1740" s="2">
        <v>116</v>
      </c>
      <c r="E1740" s="1" t="s">
        <v>229</v>
      </c>
      <c r="G1740">
        <v>0</v>
      </c>
      <c r="H1740">
        <v>0</v>
      </c>
      <c r="I1740">
        <v>0</v>
      </c>
      <c r="J1740">
        <v>0</v>
      </c>
      <c r="K1740">
        <v>0</v>
      </c>
      <c r="L1740">
        <v>0</v>
      </c>
      <c r="M1740">
        <v>0</v>
      </c>
      <c r="N1740">
        <v>0</v>
      </c>
      <c r="O1740">
        <v>0</v>
      </c>
      <c r="P1740">
        <v>0</v>
      </c>
      <c r="Q1740" t="str">
        <f>INDEX('Partner data'!A:DH,MATCH(C1740,'Partner data'!DG:DG,0),83)</f>
        <v>Soggetto privato</v>
      </c>
      <c r="R1740" t="b">
        <f>IF(E1740="staff",IF(INDEX('Partner data'!A:DH,MATCH(C1740,'Partner data'!DG:DG,0),112)="BL1 non presente","FALSO",INDEX('Partner data'!A:DH,MATCH(C1740,'Partner data'!DG:DG,0),112)))</f>
        <v>0</v>
      </c>
      <c r="S1740" t="b">
        <f t="shared" si="54"/>
        <v>0</v>
      </c>
      <c r="T1740" t="b">
        <f t="shared" si="55"/>
        <v>0</v>
      </c>
      <c r="U1740" s="154">
        <f>IFERROR(IF(R1740&lt;&gt;FALSE,IF(S1740=TRUE,INDEX('SummaryNOT_VALIDATED-BL'!$A$1:$F$16,MATCH(R1740,'SummaryNOT_VALIDATED-BL'!$A$1:$A$16,0),6),0),IF(S1740=TRUE,INDEX('SummaryNOT_VALIDATED-BL'!$A$1:$F$16,MATCH(E1740,'SummaryNOT_VALIDATED-BL'!$A$1:$A$16,0),6),0)),0)</f>
        <v>0</v>
      </c>
      <c r="V1740" s="81" cm="1">
        <f t="array" ref="V1740">INDEX('Weight tables'!$A$24:$C$27,MATCH(1,(RendicontiTrasmessiBL__2[[#This Row],[Cut percentage on real costs + USC]]&gt;='Weight tables'!$B$24:$B$27)*(RendicontiTrasmessiBL__2[[#This Row],[Cut percentage on real costs + USC]]&lt;='Weight tables'!$C$24:$C$27),0),1)</f>
        <v>0</v>
      </c>
      <c r="W1740" s="2">
        <f>RendicontiTrasmessiBL__2[[#This Row],[Weight real costs  + USC ]]</f>
        <v>0</v>
      </c>
    </row>
    <row r="1741" spans="1:23" x14ac:dyDescent="0.25">
      <c r="A1741" s="1" t="s">
        <v>67</v>
      </c>
      <c r="B1741" s="1" t="s">
        <v>326</v>
      </c>
      <c r="C1741" s="2">
        <v>164</v>
      </c>
      <c r="D1741" s="2">
        <v>116</v>
      </c>
      <c r="E1741" s="1" t="s">
        <v>230</v>
      </c>
      <c r="G1741">
        <v>0</v>
      </c>
      <c r="H1741">
        <v>0</v>
      </c>
      <c r="I1741">
        <v>0</v>
      </c>
      <c r="J1741">
        <v>0</v>
      </c>
      <c r="K1741">
        <v>0</v>
      </c>
      <c r="L1741">
        <v>0</v>
      </c>
      <c r="M1741">
        <v>0</v>
      </c>
      <c r="N1741">
        <v>0</v>
      </c>
      <c r="O1741">
        <v>0</v>
      </c>
      <c r="P1741">
        <v>0</v>
      </c>
      <c r="Q1741" t="str">
        <f>INDEX('Partner data'!A:DH,MATCH(C1741,'Partner data'!DG:DG,0),83)</f>
        <v>Soggetto privato</v>
      </c>
      <c r="R1741" t="b">
        <f>IF(E1741="staff",IF(INDEX('Partner data'!A:DH,MATCH(C1741,'Partner data'!DG:DG,0),112)="BL1 non presente","FALSO",INDEX('Partner data'!A:DH,MATCH(C1741,'Partner data'!DG:DG,0),112)))</f>
        <v>0</v>
      </c>
      <c r="S1741" t="b">
        <f t="shared" si="54"/>
        <v>0</v>
      </c>
      <c r="T1741" t="b">
        <f t="shared" si="55"/>
        <v>0</v>
      </c>
      <c r="U1741" s="154">
        <f>IFERROR(IF(R1741&lt;&gt;FALSE,IF(S1741=TRUE,INDEX('SummaryNOT_VALIDATED-BL'!$A$1:$F$16,MATCH(R1741,'SummaryNOT_VALIDATED-BL'!$A$1:$A$16,0),6),0),IF(S1741=TRUE,INDEX('SummaryNOT_VALIDATED-BL'!$A$1:$F$16,MATCH(E1741,'SummaryNOT_VALIDATED-BL'!$A$1:$A$16,0),6),0)),0)</f>
        <v>0</v>
      </c>
      <c r="V1741" s="81" cm="1">
        <f t="array" ref="V1741">INDEX('Weight tables'!$A$24:$C$27,MATCH(1,(RendicontiTrasmessiBL__2[[#This Row],[Cut percentage on real costs + USC]]&gt;='Weight tables'!$B$24:$B$27)*(RendicontiTrasmessiBL__2[[#This Row],[Cut percentage on real costs + USC]]&lt;='Weight tables'!$C$24:$C$27),0),1)</f>
        <v>0</v>
      </c>
      <c r="W1741" s="2">
        <f>RendicontiTrasmessiBL__2[[#This Row],[Weight real costs  + USC ]]</f>
        <v>0</v>
      </c>
    </row>
    <row r="1742" spans="1:23" x14ac:dyDescent="0.25">
      <c r="A1742" s="1" t="s">
        <v>67</v>
      </c>
      <c r="B1742" s="1" t="s">
        <v>326</v>
      </c>
      <c r="C1742" s="2">
        <v>164</v>
      </c>
      <c r="D1742" s="2">
        <v>116</v>
      </c>
      <c r="E1742" s="1" t="s">
        <v>231</v>
      </c>
      <c r="G1742">
        <v>0</v>
      </c>
      <c r="H1742">
        <v>0</v>
      </c>
      <c r="I1742">
        <v>0</v>
      </c>
      <c r="J1742">
        <v>0</v>
      </c>
      <c r="K1742">
        <v>0</v>
      </c>
      <c r="L1742">
        <v>0</v>
      </c>
      <c r="M1742">
        <v>0</v>
      </c>
      <c r="N1742">
        <v>0</v>
      </c>
      <c r="O1742">
        <v>0</v>
      </c>
      <c r="P1742">
        <v>0</v>
      </c>
      <c r="Q1742" t="str">
        <f>INDEX('Partner data'!A:DH,MATCH(C1742,'Partner data'!DG:DG,0),83)</f>
        <v>Soggetto privato</v>
      </c>
      <c r="R1742" t="b">
        <f>IF(E1742="staff",IF(INDEX('Partner data'!A:DH,MATCH(C1742,'Partner data'!DG:DG,0),112)="BL1 non presente","FALSO",INDEX('Partner data'!A:DH,MATCH(C1742,'Partner data'!DG:DG,0),112)))</f>
        <v>0</v>
      </c>
      <c r="S1742" t="b">
        <f t="shared" si="54"/>
        <v>0</v>
      </c>
      <c r="T1742" t="b">
        <f t="shared" si="55"/>
        <v>0</v>
      </c>
      <c r="U1742" s="154">
        <f>IFERROR(IF(R1742&lt;&gt;FALSE,IF(S1742=TRUE,INDEX('SummaryNOT_VALIDATED-BL'!$A$1:$F$16,MATCH(R1742,'SummaryNOT_VALIDATED-BL'!$A$1:$A$16,0),6),0),IF(S1742=TRUE,INDEX('SummaryNOT_VALIDATED-BL'!$A$1:$F$16,MATCH(E1742,'SummaryNOT_VALIDATED-BL'!$A$1:$A$16,0),6),0)),0)</f>
        <v>0</v>
      </c>
      <c r="V1742" s="81" cm="1">
        <f t="array" ref="V1742">INDEX('Weight tables'!$A$24:$C$27,MATCH(1,(RendicontiTrasmessiBL__2[[#This Row],[Cut percentage on real costs + USC]]&gt;='Weight tables'!$B$24:$B$27)*(RendicontiTrasmessiBL__2[[#This Row],[Cut percentage on real costs + USC]]&lt;='Weight tables'!$C$24:$C$27),0),1)</f>
        <v>0</v>
      </c>
      <c r="W1742" s="2">
        <f>RendicontiTrasmessiBL__2[[#This Row],[Weight real costs  + USC ]]</f>
        <v>0</v>
      </c>
    </row>
    <row r="1743" spans="1:23" x14ac:dyDescent="0.25">
      <c r="A1743" s="1" t="s">
        <v>67</v>
      </c>
      <c r="B1743" s="1" t="s">
        <v>326</v>
      </c>
      <c r="C1743" s="2">
        <v>164</v>
      </c>
      <c r="D1743" s="2">
        <v>116</v>
      </c>
      <c r="E1743" s="1" t="s">
        <v>232</v>
      </c>
      <c r="G1743">
        <v>0</v>
      </c>
      <c r="H1743">
        <v>0</v>
      </c>
      <c r="I1743">
        <v>0</v>
      </c>
      <c r="J1743">
        <v>0</v>
      </c>
      <c r="K1743">
        <v>0</v>
      </c>
      <c r="L1743">
        <v>0</v>
      </c>
      <c r="M1743">
        <v>0</v>
      </c>
      <c r="N1743">
        <v>0</v>
      </c>
      <c r="O1743">
        <v>0</v>
      </c>
      <c r="P1743">
        <v>0</v>
      </c>
      <c r="Q1743" t="str">
        <f>INDEX('Partner data'!A:DH,MATCH(C1743,'Partner data'!DG:DG,0),83)</f>
        <v>Soggetto privato</v>
      </c>
      <c r="R1743" t="b">
        <f>IF(E1743="staff",IF(INDEX('Partner data'!A:DH,MATCH(C1743,'Partner data'!DG:DG,0),112)="BL1 non presente","FALSO",INDEX('Partner data'!A:DH,MATCH(C1743,'Partner data'!DG:DG,0),112)))</f>
        <v>0</v>
      </c>
      <c r="S1743" t="b">
        <f t="shared" si="54"/>
        <v>0</v>
      </c>
      <c r="T1743" t="b">
        <f t="shared" si="55"/>
        <v>0</v>
      </c>
      <c r="U1743" s="154">
        <f>IFERROR(IF(R1743&lt;&gt;FALSE,IF(S1743=TRUE,INDEX('SummaryNOT_VALIDATED-BL'!$A$1:$F$16,MATCH(R1743,'SummaryNOT_VALIDATED-BL'!$A$1:$A$16,0),6),0),IF(S1743=TRUE,INDEX('SummaryNOT_VALIDATED-BL'!$A$1:$F$16,MATCH(E1743,'SummaryNOT_VALIDATED-BL'!$A$1:$A$16,0),6),0)),0)</f>
        <v>0</v>
      </c>
      <c r="V1743" s="81" cm="1">
        <f t="array" ref="V1743">INDEX('Weight tables'!$A$24:$C$27,MATCH(1,(RendicontiTrasmessiBL__2[[#This Row],[Cut percentage on real costs + USC]]&gt;='Weight tables'!$B$24:$B$27)*(RendicontiTrasmessiBL__2[[#This Row],[Cut percentage on real costs + USC]]&lt;='Weight tables'!$C$24:$C$27),0),1)</f>
        <v>0</v>
      </c>
      <c r="W1743" s="2">
        <f>RendicontiTrasmessiBL__2[[#This Row],[Weight real costs  + USC ]]</f>
        <v>0</v>
      </c>
    </row>
    <row r="1744" spans="1:23" x14ac:dyDescent="0.25">
      <c r="A1744" s="1" t="s">
        <v>67</v>
      </c>
      <c r="B1744" s="1" t="s">
        <v>326</v>
      </c>
      <c r="C1744" s="2">
        <v>164</v>
      </c>
      <c r="D1744" s="2">
        <v>116</v>
      </c>
      <c r="E1744" s="1" t="s">
        <v>233</v>
      </c>
      <c r="G1744">
        <v>0</v>
      </c>
      <c r="H1744">
        <v>0</v>
      </c>
      <c r="I1744">
        <v>0</v>
      </c>
      <c r="J1744">
        <v>0</v>
      </c>
      <c r="K1744">
        <v>0</v>
      </c>
      <c r="L1744">
        <v>0</v>
      </c>
      <c r="M1744">
        <v>0</v>
      </c>
      <c r="N1744">
        <v>0</v>
      </c>
      <c r="O1744">
        <v>0</v>
      </c>
      <c r="P1744">
        <v>0</v>
      </c>
      <c r="Q1744" t="str">
        <f>INDEX('Partner data'!A:DH,MATCH(C1744,'Partner data'!DG:DG,0),83)</f>
        <v>Soggetto privato</v>
      </c>
      <c r="R1744" t="b">
        <f>IF(E1744="staff",IF(INDEX('Partner data'!A:DH,MATCH(C1744,'Partner data'!DG:DG,0),112)="BL1 non presente","FALSO",INDEX('Partner data'!A:DH,MATCH(C1744,'Partner data'!DG:DG,0),112)))</f>
        <v>0</v>
      </c>
      <c r="S1744" t="b">
        <f t="shared" si="54"/>
        <v>0</v>
      </c>
      <c r="T1744" t="b">
        <f t="shared" si="55"/>
        <v>0</v>
      </c>
      <c r="U1744" s="154">
        <f>IFERROR(IF(R1744&lt;&gt;FALSE,IF(S1744=TRUE,INDEX('SummaryNOT_VALIDATED-BL'!$A$1:$F$16,MATCH(R1744,'SummaryNOT_VALIDATED-BL'!$A$1:$A$16,0),6),0),IF(S1744=TRUE,INDEX('SummaryNOT_VALIDATED-BL'!$A$1:$F$16,MATCH(E1744,'SummaryNOT_VALIDATED-BL'!$A$1:$A$16,0),6),0)),0)</f>
        <v>0</v>
      </c>
      <c r="V1744" s="81" cm="1">
        <f t="array" ref="V1744">INDEX('Weight tables'!$A$24:$C$27,MATCH(1,(RendicontiTrasmessiBL__2[[#This Row],[Cut percentage on real costs + USC]]&gt;='Weight tables'!$B$24:$B$27)*(RendicontiTrasmessiBL__2[[#This Row],[Cut percentage on real costs + USC]]&lt;='Weight tables'!$C$24:$C$27),0),1)</f>
        <v>0</v>
      </c>
      <c r="W1744" s="2">
        <f>RendicontiTrasmessiBL__2[[#This Row],[Weight real costs  + USC ]]</f>
        <v>0</v>
      </c>
    </row>
    <row r="1745" spans="1:23" x14ac:dyDescent="0.25">
      <c r="A1745" s="1" t="s">
        <v>67</v>
      </c>
      <c r="B1745" s="1" t="s">
        <v>326</v>
      </c>
      <c r="C1745" s="2">
        <v>164</v>
      </c>
      <c r="D1745" s="2">
        <v>116</v>
      </c>
      <c r="E1745" s="1" t="s">
        <v>234</v>
      </c>
      <c r="F1745">
        <v>40</v>
      </c>
      <c r="G1745">
        <v>27576</v>
      </c>
      <c r="H1745">
        <v>0</v>
      </c>
      <c r="I1745">
        <v>0</v>
      </c>
      <c r="J1745">
        <v>6708</v>
      </c>
      <c r="K1745">
        <v>0</v>
      </c>
      <c r="L1745">
        <v>6708</v>
      </c>
      <c r="M1745">
        <v>6708</v>
      </c>
      <c r="N1745">
        <v>24.33</v>
      </c>
      <c r="O1745">
        <v>20868</v>
      </c>
      <c r="P1745">
        <v>0</v>
      </c>
      <c r="Q1745" t="str">
        <f>INDEX('Partner data'!A:DH,MATCH(C1745,'Partner data'!DG:DG,0),83)</f>
        <v>Soggetto privato</v>
      </c>
      <c r="R1745" t="b">
        <f>IF(E1745="staff",IF(INDEX('Partner data'!A:DH,MATCH(C1745,'Partner data'!DG:DG,0),112)="BL1 non presente","FALSO",INDEX('Partner data'!A:DH,MATCH(C1745,'Partner data'!DG:DG,0),112)))</f>
        <v>0</v>
      </c>
      <c r="S1745" t="b">
        <f t="shared" si="54"/>
        <v>1</v>
      </c>
      <c r="T1745" t="b">
        <f t="shared" si="55"/>
        <v>0</v>
      </c>
      <c r="U1745" s="154">
        <f>IFERROR(IF(R1745&lt;&gt;FALSE,IF(S1745=TRUE,INDEX('SummaryNOT_VALIDATED-BL'!$A$1:$F$16,MATCH(R1745,'SummaryNOT_VALIDATED-BL'!$A$1:$A$16,0),6),0),IF(S1745=TRUE,INDEX('SummaryNOT_VALIDATED-BL'!$A$1:$F$16,MATCH(E1745,'SummaryNOT_VALIDATED-BL'!$A$1:$A$16,0),6),0)),0)</f>
        <v>8.7645339819521315E-2</v>
      </c>
      <c r="V1745" s="81" cm="1">
        <f t="array" ref="V1745">INDEX('Weight tables'!$A$24:$C$27,MATCH(1,(RendicontiTrasmessiBL__2[[#This Row],[Cut percentage on real costs + USC]]&gt;='Weight tables'!$B$24:$B$27)*(RendicontiTrasmessiBL__2[[#This Row],[Cut percentage on real costs + USC]]&lt;='Weight tables'!$C$24:$C$27),0),1)</f>
        <v>4</v>
      </c>
      <c r="W1745" s="2">
        <f>RendicontiTrasmessiBL__2[[#This Row],[Weight real costs  + USC ]]</f>
        <v>4</v>
      </c>
    </row>
    <row r="1746" spans="1:23" x14ac:dyDescent="0.25">
      <c r="A1746" s="1" t="s">
        <v>67</v>
      </c>
      <c r="B1746" s="1" t="s">
        <v>326</v>
      </c>
      <c r="C1746" s="2">
        <v>164</v>
      </c>
      <c r="D1746" s="2">
        <v>116</v>
      </c>
      <c r="E1746" s="1" t="s">
        <v>236</v>
      </c>
      <c r="G1746">
        <v>0</v>
      </c>
      <c r="H1746">
        <v>0</v>
      </c>
      <c r="I1746">
        <v>0</v>
      </c>
      <c r="J1746">
        <v>0</v>
      </c>
      <c r="K1746">
        <v>0</v>
      </c>
      <c r="L1746">
        <v>0</v>
      </c>
      <c r="M1746">
        <v>0</v>
      </c>
      <c r="N1746">
        <v>0</v>
      </c>
      <c r="O1746">
        <v>0</v>
      </c>
      <c r="P1746">
        <v>0</v>
      </c>
      <c r="Q1746" t="str">
        <f>INDEX('Partner data'!A:DH,MATCH(C1746,'Partner data'!DG:DG,0),83)</f>
        <v>Soggetto privato</v>
      </c>
      <c r="R1746" t="b">
        <f>IF(E1746="staff",IF(INDEX('Partner data'!A:DH,MATCH(C1746,'Partner data'!DG:DG,0),112)="BL1 non presente","FALSO",INDEX('Partner data'!A:DH,MATCH(C1746,'Partner data'!DG:DG,0),112)))</f>
        <v>0</v>
      </c>
      <c r="S1746" t="b">
        <f t="shared" si="54"/>
        <v>0</v>
      </c>
      <c r="T1746" t="b">
        <f t="shared" si="55"/>
        <v>0</v>
      </c>
      <c r="U1746" s="154">
        <f>IFERROR(IF(R1746&lt;&gt;FALSE,IF(S1746=TRUE,INDEX('SummaryNOT_VALIDATED-BL'!$A$1:$F$16,MATCH(R1746,'SummaryNOT_VALIDATED-BL'!$A$1:$A$16,0),6),0),IF(S1746=TRUE,INDEX('SummaryNOT_VALIDATED-BL'!$A$1:$F$16,MATCH(E1746,'SummaryNOT_VALIDATED-BL'!$A$1:$A$16,0),6),0)),0)</f>
        <v>0</v>
      </c>
      <c r="V1746" s="81" cm="1">
        <f t="array" ref="V1746">INDEX('Weight tables'!$A$24:$C$27,MATCH(1,(RendicontiTrasmessiBL__2[[#This Row],[Cut percentage on real costs + USC]]&gt;='Weight tables'!$B$24:$B$27)*(RendicontiTrasmessiBL__2[[#This Row],[Cut percentage on real costs + USC]]&lt;='Weight tables'!$C$24:$C$27),0),1)</f>
        <v>0</v>
      </c>
      <c r="W1746" s="2">
        <f>RendicontiTrasmessiBL__2[[#This Row],[Weight real costs  + USC ]]</f>
        <v>0</v>
      </c>
    </row>
    <row r="1747" spans="1:23" x14ac:dyDescent="0.25">
      <c r="A1747" s="1" t="s">
        <v>67</v>
      </c>
      <c r="B1747" s="1" t="s">
        <v>326</v>
      </c>
      <c r="C1747" s="2">
        <v>164</v>
      </c>
      <c r="D1747" s="2">
        <v>116</v>
      </c>
      <c r="E1747" s="1" t="s">
        <v>237</v>
      </c>
      <c r="G1747">
        <v>0</v>
      </c>
      <c r="H1747">
        <v>0</v>
      </c>
      <c r="I1747">
        <v>0</v>
      </c>
      <c r="J1747">
        <v>0</v>
      </c>
      <c r="K1747">
        <v>0</v>
      </c>
      <c r="L1747">
        <v>0</v>
      </c>
      <c r="M1747">
        <v>0</v>
      </c>
      <c r="N1747">
        <v>0</v>
      </c>
      <c r="O1747">
        <v>0</v>
      </c>
      <c r="P1747">
        <v>0</v>
      </c>
      <c r="Q1747" t="str">
        <f>INDEX('Partner data'!A:DH,MATCH(C1747,'Partner data'!DG:DG,0),83)</f>
        <v>Soggetto privato</v>
      </c>
      <c r="R1747" t="b">
        <f>IF(E1747="staff",IF(INDEX('Partner data'!A:DH,MATCH(C1747,'Partner data'!DG:DG,0),112)="BL1 non presente","FALSO",INDEX('Partner data'!A:DH,MATCH(C1747,'Partner data'!DG:DG,0),112)))</f>
        <v>0</v>
      </c>
      <c r="S1747" t="b">
        <f t="shared" si="54"/>
        <v>0</v>
      </c>
      <c r="T1747" t="b">
        <f t="shared" si="55"/>
        <v>0</v>
      </c>
      <c r="U1747" s="154">
        <f>IFERROR(IF(R1747&lt;&gt;FALSE,IF(S1747=TRUE,INDEX('SummaryNOT_VALIDATED-BL'!$A$1:$F$16,MATCH(R1747,'SummaryNOT_VALIDATED-BL'!$A$1:$A$16,0),6),0),IF(S1747=TRUE,INDEX('SummaryNOT_VALIDATED-BL'!$A$1:$F$16,MATCH(E1747,'SummaryNOT_VALIDATED-BL'!$A$1:$A$16,0),6),0)),0)</f>
        <v>0</v>
      </c>
      <c r="V1747" s="81" cm="1">
        <f t="array" ref="V1747">INDEX('Weight tables'!$A$24:$C$27,MATCH(1,(RendicontiTrasmessiBL__2[[#This Row],[Cut percentage on real costs + USC]]&gt;='Weight tables'!$B$24:$B$27)*(RendicontiTrasmessiBL__2[[#This Row],[Cut percentage on real costs + USC]]&lt;='Weight tables'!$C$24:$C$27),0),1)</f>
        <v>0</v>
      </c>
      <c r="W1747" s="2">
        <f>RendicontiTrasmessiBL__2[[#This Row],[Weight real costs  + USC ]]</f>
        <v>0</v>
      </c>
    </row>
    <row r="1748" spans="1:23" x14ac:dyDescent="0.25">
      <c r="A1748" s="1" t="s">
        <v>67</v>
      </c>
      <c r="B1748" s="1" t="s">
        <v>327</v>
      </c>
      <c r="C1748" s="2">
        <v>168</v>
      </c>
      <c r="D1748" s="2">
        <v>117</v>
      </c>
      <c r="E1748" s="1" t="s">
        <v>228</v>
      </c>
      <c r="G1748">
        <v>60632.6</v>
      </c>
      <c r="H1748">
        <v>0</v>
      </c>
      <c r="I1748">
        <v>0</v>
      </c>
      <c r="J1748">
        <v>15440.66</v>
      </c>
      <c r="K1748">
        <v>0</v>
      </c>
      <c r="L1748">
        <v>15437.89</v>
      </c>
      <c r="M1748">
        <v>15440.66</v>
      </c>
      <c r="N1748">
        <v>25.47</v>
      </c>
      <c r="O1748">
        <v>45191.94</v>
      </c>
      <c r="P1748">
        <v>0</v>
      </c>
      <c r="Q1748" t="str">
        <f>INDEX('Partner data'!A:DH,MATCH(C1748,'Partner data'!DG:DG,0),83)</f>
        <v>Soggetto pubblico</v>
      </c>
      <c r="R1748" t="str">
        <f>IF(E1748="staff",IF(INDEX('Partner data'!A:DH,MATCH(C1748,'Partner data'!DG:DG,0),112)="BL1 non presente","FALSO",INDEX('Partner data'!A:DH,MATCH(C1748,'Partner data'!DG:DG,0),112)))</f>
        <v>COSTO REALE</v>
      </c>
      <c r="S1748" t="b">
        <f t="shared" si="54"/>
        <v>1</v>
      </c>
      <c r="T1748" t="b">
        <f t="shared" si="55"/>
        <v>1</v>
      </c>
      <c r="U1748" s="154">
        <f>IFERROR(IF(R1748&lt;&gt;FALSE,IF(S1748=TRUE,INDEX('SummaryNOT_VALIDATED-BL'!$A$1:$F$16,MATCH(R1748,'SummaryNOT_VALIDATED-BL'!$A$1:$A$16,0),6),0),IF(S1748=TRUE,INDEX('SummaryNOT_VALIDATED-BL'!$A$1:$F$16,MATCH(E1748,'SummaryNOT_VALIDATED-BL'!$A$1:$A$16,0),6),0)),0)</f>
        <v>9.1604133276901048E-2</v>
      </c>
      <c r="V1748" s="81" cm="1">
        <f t="array" ref="V1748">INDEX('Weight tables'!$A$24:$C$27,MATCH(1,(RendicontiTrasmessiBL__2[[#This Row],[Cut percentage on real costs + USC]]&gt;='Weight tables'!$B$24:$B$27)*(RendicontiTrasmessiBL__2[[#This Row],[Cut percentage on real costs + USC]]&lt;='Weight tables'!$C$24:$C$27),0),1)</f>
        <v>4</v>
      </c>
      <c r="W1748" s="2">
        <f>RendicontiTrasmessiBL__2[[#This Row],[Weight real costs  + USC ]]</f>
        <v>4</v>
      </c>
    </row>
    <row r="1749" spans="1:23" x14ac:dyDescent="0.25">
      <c r="A1749" s="1" t="s">
        <v>67</v>
      </c>
      <c r="B1749" s="1" t="s">
        <v>327</v>
      </c>
      <c r="C1749" s="2">
        <v>168</v>
      </c>
      <c r="D1749" s="2">
        <v>117</v>
      </c>
      <c r="E1749" s="1" t="s">
        <v>229</v>
      </c>
      <c r="G1749">
        <v>0</v>
      </c>
      <c r="H1749">
        <v>0</v>
      </c>
      <c r="I1749">
        <v>0</v>
      </c>
      <c r="J1749">
        <v>0</v>
      </c>
      <c r="K1749">
        <v>0</v>
      </c>
      <c r="L1749">
        <v>0</v>
      </c>
      <c r="M1749">
        <v>0</v>
      </c>
      <c r="N1749">
        <v>0</v>
      </c>
      <c r="O1749">
        <v>0</v>
      </c>
      <c r="P1749">
        <v>0</v>
      </c>
      <c r="Q1749" t="str">
        <f>INDEX('Partner data'!A:DH,MATCH(C1749,'Partner data'!DG:DG,0),83)</f>
        <v>Soggetto pubblico</v>
      </c>
      <c r="R1749" t="b">
        <f>IF(E1749="staff",IF(INDEX('Partner data'!A:DH,MATCH(C1749,'Partner data'!DG:DG,0),112)="BL1 non presente","FALSO",INDEX('Partner data'!A:DH,MATCH(C1749,'Partner data'!DG:DG,0),112)))</f>
        <v>0</v>
      </c>
      <c r="S1749" t="b">
        <f t="shared" si="54"/>
        <v>0</v>
      </c>
      <c r="T1749" t="b">
        <f t="shared" si="55"/>
        <v>1</v>
      </c>
      <c r="U1749" s="154">
        <f>IFERROR(IF(R1749&lt;&gt;FALSE,IF(S1749=TRUE,INDEX('SummaryNOT_VALIDATED-BL'!$A$1:$F$16,MATCH(R1749,'SummaryNOT_VALIDATED-BL'!$A$1:$A$16,0),6),0),IF(S1749=TRUE,INDEX('SummaryNOT_VALIDATED-BL'!$A$1:$F$16,MATCH(E1749,'SummaryNOT_VALIDATED-BL'!$A$1:$A$16,0),6),0)),0)</f>
        <v>0</v>
      </c>
      <c r="V1749" s="81" cm="1">
        <f t="array" ref="V1749">INDEX('Weight tables'!$A$24:$C$27,MATCH(1,(RendicontiTrasmessiBL__2[[#This Row],[Cut percentage on real costs + USC]]&gt;='Weight tables'!$B$24:$B$27)*(RendicontiTrasmessiBL__2[[#This Row],[Cut percentage on real costs + USC]]&lt;='Weight tables'!$C$24:$C$27),0),1)</f>
        <v>0</v>
      </c>
      <c r="W1749" s="2">
        <f>RendicontiTrasmessiBL__2[[#This Row],[Weight real costs  + USC ]]</f>
        <v>0</v>
      </c>
    </row>
    <row r="1750" spans="1:23" x14ac:dyDescent="0.25">
      <c r="A1750" s="1" t="s">
        <v>67</v>
      </c>
      <c r="B1750" s="1" t="s">
        <v>327</v>
      </c>
      <c r="C1750" s="2">
        <v>168</v>
      </c>
      <c r="D1750" s="2">
        <v>117</v>
      </c>
      <c r="E1750" s="1" t="s">
        <v>230</v>
      </c>
      <c r="G1750">
        <v>0</v>
      </c>
      <c r="H1750">
        <v>0</v>
      </c>
      <c r="I1750">
        <v>0</v>
      </c>
      <c r="J1750">
        <v>0</v>
      </c>
      <c r="K1750">
        <v>0</v>
      </c>
      <c r="L1750">
        <v>0</v>
      </c>
      <c r="M1750">
        <v>0</v>
      </c>
      <c r="N1750">
        <v>0</v>
      </c>
      <c r="O1750">
        <v>0</v>
      </c>
      <c r="P1750">
        <v>0</v>
      </c>
      <c r="Q1750" t="str">
        <f>INDEX('Partner data'!A:DH,MATCH(C1750,'Partner data'!DG:DG,0),83)</f>
        <v>Soggetto pubblico</v>
      </c>
      <c r="R1750" t="b">
        <f>IF(E1750="staff",IF(INDEX('Partner data'!A:DH,MATCH(C1750,'Partner data'!DG:DG,0),112)="BL1 non presente","FALSO",INDEX('Partner data'!A:DH,MATCH(C1750,'Partner data'!DG:DG,0),112)))</f>
        <v>0</v>
      </c>
      <c r="S1750" t="b">
        <f t="shared" si="54"/>
        <v>0</v>
      </c>
      <c r="T1750" t="b">
        <f t="shared" si="55"/>
        <v>1</v>
      </c>
      <c r="U1750" s="154">
        <f>IFERROR(IF(R1750&lt;&gt;FALSE,IF(S1750=TRUE,INDEX('SummaryNOT_VALIDATED-BL'!$A$1:$F$16,MATCH(R1750,'SummaryNOT_VALIDATED-BL'!$A$1:$A$16,0),6),0),IF(S1750=TRUE,INDEX('SummaryNOT_VALIDATED-BL'!$A$1:$F$16,MATCH(E1750,'SummaryNOT_VALIDATED-BL'!$A$1:$A$16,0),6),0)),0)</f>
        <v>0</v>
      </c>
      <c r="V1750" s="81" cm="1">
        <f t="array" ref="V1750">INDEX('Weight tables'!$A$24:$C$27,MATCH(1,(RendicontiTrasmessiBL__2[[#This Row],[Cut percentage on real costs + USC]]&gt;='Weight tables'!$B$24:$B$27)*(RendicontiTrasmessiBL__2[[#This Row],[Cut percentage on real costs + USC]]&lt;='Weight tables'!$C$24:$C$27),0),1)</f>
        <v>0</v>
      </c>
      <c r="W1750" s="2">
        <f>RendicontiTrasmessiBL__2[[#This Row],[Weight real costs  + USC ]]</f>
        <v>0</v>
      </c>
    </row>
    <row r="1751" spans="1:23" x14ac:dyDescent="0.25">
      <c r="A1751" s="1" t="s">
        <v>67</v>
      </c>
      <c r="B1751" s="1" t="s">
        <v>327</v>
      </c>
      <c r="C1751" s="2">
        <v>168</v>
      </c>
      <c r="D1751" s="2">
        <v>117</v>
      </c>
      <c r="E1751" s="1" t="s">
        <v>231</v>
      </c>
      <c r="G1751">
        <v>0</v>
      </c>
      <c r="H1751">
        <v>0</v>
      </c>
      <c r="I1751">
        <v>0</v>
      </c>
      <c r="J1751">
        <v>0</v>
      </c>
      <c r="K1751">
        <v>0</v>
      </c>
      <c r="L1751">
        <v>0</v>
      </c>
      <c r="M1751">
        <v>0</v>
      </c>
      <c r="N1751">
        <v>0</v>
      </c>
      <c r="O1751">
        <v>0</v>
      </c>
      <c r="P1751">
        <v>0</v>
      </c>
      <c r="Q1751" t="str">
        <f>INDEX('Partner data'!A:DH,MATCH(C1751,'Partner data'!DG:DG,0),83)</f>
        <v>Soggetto pubblico</v>
      </c>
      <c r="R1751" t="b">
        <f>IF(E1751="staff",IF(INDEX('Partner data'!A:DH,MATCH(C1751,'Partner data'!DG:DG,0),112)="BL1 non presente","FALSO",INDEX('Partner data'!A:DH,MATCH(C1751,'Partner data'!DG:DG,0),112)))</f>
        <v>0</v>
      </c>
      <c r="S1751" t="b">
        <f t="shared" si="54"/>
        <v>0</v>
      </c>
      <c r="T1751" t="b">
        <f t="shared" si="55"/>
        <v>1</v>
      </c>
      <c r="U1751" s="154">
        <f>IFERROR(IF(R1751&lt;&gt;FALSE,IF(S1751=TRUE,INDEX('SummaryNOT_VALIDATED-BL'!$A$1:$F$16,MATCH(R1751,'SummaryNOT_VALIDATED-BL'!$A$1:$A$16,0),6),0),IF(S1751=TRUE,INDEX('SummaryNOT_VALIDATED-BL'!$A$1:$F$16,MATCH(E1751,'SummaryNOT_VALIDATED-BL'!$A$1:$A$16,0),6),0)),0)</f>
        <v>0</v>
      </c>
      <c r="V1751" s="81" cm="1">
        <f t="array" ref="V1751">INDEX('Weight tables'!$A$24:$C$27,MATCH(1,(RendicontiTrasmessiBL__2[[#This Row],[Cut percentage on real costs + USC]]&gt;='Weight tables'!$B$24:$B$27)*(RendicontiTrasmessiBL__2[[#This Row],[Cut percentage on real costs + USC]]&lt;='Weight tables'!$C$24:$C$27),0),1)</f>
        <v>0</v>
      </c>
      <c r="W1751" s="2">
        <f>RendicontiTrasmessiBL__2[[#This Row],[Weight real costs  + USC ]]</f>
        <v>0</v>
      </c>
    </row>
    <row r="1752" spans="1:23" x14ac:dyDescent="0.25">
      <c r="A1752" s="1" t="s">
        <v>67</v>
      </c>
      <c r="B1752" s="1" t="s">
        <v>327</v>
      </c>
      <c r="C1752" s="2">
        <v>168</v>
      </c>
      <c r="D1752" s="2">
        <v>117</v>
      </c>
      <c r="E1752" s="1" t="s">
        <v>232</v>
      </c>
      <c r="G1752">
        <v>0</v>
      </c>
      <c r="H1752">
        <v>0</v>
      </c>
      <c r="I1752">
        <v>0</v>
      </c>
      <c r="J1752">
        <v>0</v>
      </c>
      <c r="K1752">
        <v>0</v>
      </c>
      <c r="L1752">
        <v>0</v>
      </c>
      <c r="M1752">
        <v>0</v>
      </c>
      <c r="N1752">
        <v>0</v>
      </c>
      <c r="O1752">
        <v>0</v>
      </c>
      <c r="P1752">
        <v>0</v>
      </c>
      <c r="Q1752" t="str">
        <f>INDEX('Partner data'!A:DH,MATCH(C1752,'Partner data'!DG:DG,0),83)</f>
        <v>Soggetto pubblico</v>
      </c>
      <c r="R1752" t="b">
        <f>IF(E1752="staff",IF(INDEX('Partner data'!A:DH,MATCH(C1752,'Partner data'!DG:DG,0),112)="BL1 non presente","FALSO",INDEX('Partner data'!A:DH,MATCH(C1752,'Partner data'!DG:DG,0),112)))</f>
        <v>0</v>
      </c>
      <c r="S1752" t="b">
        <f t="shared" si="54"/>
        <v>0</v>
      </c>
      <c r="T1752" t="b">
        <f t="shared" si="55"/>
        <v>1</v>
      </c>
      <c r="U1752" s="154">
        <f>IFERROR(IF(R1752&lt;&gt;FALSE,IF(S1752=TRUE,INDEX('SummaryNOT_VALIDATED-BL'!$A$1:$F$16,MATCH(R1752,'SummaryNOT_VALIDATED-BL'!$A$1:$A$16,0),6),0),IF(S1752=TRUE,INDEX('SummaryNOT_VALIDATED-BL'!$A$1:$F$16,MATCH(E1752,'SummaryNOT_VALIDATED-BL'!$A$1:$A$16,0),6),0)),0)</f>
        <v>0</v>
      </c>
      <c r="V1752" s="81" cm="1">
        <f t="array" ref="V1752">INDEX('Weight tables'!$A$24:$C$27,MATCH(1,(RendicontiTrasmessiBL__2[[#This Row],[Cut percentage on real costs + USC]]&gt;='Weight tables'!$B$24:$B$27)*(RendicontiTrasmessiBL__2[[#This Row],[Cut percentage on real costs + USC]]&lt;='Weight tables'!$C$24:$C$27),0),1)</f>
        <v>0</v>
      </c>
      <c r="W1752" s="2">
        <f>RendicontiTrasmessiBL__2[[#This Row],[Weight real costs  + USC ]]</f>
        <v>0</v>
      </c>
    </row>
    <row r="1753" spans="1:23" x14ac:dyDescent="0.25">
      <c r="A1753" s="1" t="s">
        <v>67</v>
      </c>
      <c r="B1753" s="1" t="s">
        <v>327</v>
      </c>
      <c r="C1753" s="2">
        <v>168</v>
      </c>
      <c r="D1753" s="2">
        <v>117</v>
      </c>
      <c r="E1753" s="1" t="s">
        <v>233</v>
      </c>
      <c r="G1753">
        <v>0</v>
      </c>
      <c r="H1753">
        <v>0</v>
      </c>
      <c r="I1753">
        <v>0</v>
      </c>
      <c r="J1753">
        <v>0</v>
      </c>
      <c r="K1753">
        <v>0</v>
      </c>
      <c r="L1753">
        <v>0</v>
      </c>
      <c r="M1753">
        <v>0</v>
      </c>
      <c r="N1753">
        <v>0</v>
      </c>
      <c r="O1753">
        <v>0</v>
      </c>
      <c r="P1753">
        <v>0</v>
      </c>
      <c r="Q1753" t="str">
        <f>INDEX('Partner data'!A:DH,MATCH(C1753,'Partner data'!DG:DG,0),83)</f>
        <v>Soggetto pubblico</v>
      </c>
      <c r="R1753" t="b">
        <f>IF(E1753="staff",IF(INDEX('Partner data'!A:DH,MATCH(C1753,'Partner data'!DG:DG,0),112)="BL1 non presente","FALSO",INDEX('Partner data'!A:DH,MATCH(C1753,'Partner data'!DG:DG,0),112)))</f>
        <v>0</v>
      </c>
      <c r="S1753" t="b">
        <f t="shared" si="54"/>
        <v>0</v>
      </c>
      <c r="T1753" t="b">
        <f t="shared" si="55"/>
        <v>1</v>
      </c>
      <c r="U1753" s="154">
        <f>IFERROR(IF(R1753&lt;&gt;FALSE,IF(S1753=TRUE,INDEX('SummaryNOT_VALIDATED-BL'!$A$1:$F$16,MATCH(R1753,'SummaryNOT_VALIDATED-BL'!$A$1:$A$16,0),6),0),IF(S1753=TRUE,INDEX('SummaryNOT_VALIDATED-BL'!$A$1:$F$16,MATCH(E1753,'SummaryNOT_VALIDATED-BL'!$A$1:$A$16,0),6),0)),0)</f>
        <v>0</v>
      </c>
      <c r="V1753" s="81" cm="1">
        <f t="array" ref="V1753">INDEX('Weight tables'!$A$24:$C$27,MATCH(1,(RendicontiTrasmessiBL__2[[#This Row],[Cut percentage on real costs + USC]]&gt;='Weight tables'!$B$24:$B$27)*(RendicontiTrasmessiBL__2[[#This Row],[Cut percentage on real costs + USC]]&lt;='Weight tables'!$C$24:$C$27),0),1)</f>
        <v>0</v>
      </c>
      <c r="W1753" s="2">
        <f>RendicontiTrasmessiBL__2[[#This Row],[Weight real costs  + USC ]]</f>
        <v>0</v>
      </c>
    </row>
    <row r="1754" spans="1:23" x14ac:dyDescent="0.25">
      <c r="A1754" s="1" t="s">
        <v>67</v>
      </c>
      <c r="B1754" s="1" t="s">
        <v>327</v>
      </c>
      <c r="C1754" s="2">
        <v>168</v>
      </c>
      <c r="D1754" s="2">
        <v>117</v>
      </c>
      <c r="E1754" s="1" t="s">
        <v>234</v>
      </c>
      <c r="F1754">
        <v>40</v>
      </c>
      <c r="G1754">
        <v>24253.040000000001</v>
      </c>
      <c r="H1754">
        <v>0</v>
      </c>
      <c r="I1754">
        <v>0</v>
      </c>
      <c r="J1754">
        <v>6176.26</v>
      </c>
      <c r="K1754">
        <v>0</v>
      </c>
      <c r="L1754">
        <v>6175.15</v>
      </c>
      <c r="M1754">
        <v>6176.26</v>
      </c>
      <c r="N1754">
        <v>25.47</v>
      </c>
      <c r="O1754">
        <v>18076.78</v>
      </c>
      <c r="P1754">
        <v>0</v>
      </c>
      <c r="Q1754" t="str">
        <f>INDEX('Partner data'!A:DH,MATCH(C1754,'Partner data'!DG:DG,0),83)</f>
        <v>Soggetto pubblico</v>
      </c>
      <c r="R1754" t="b">
        <f>IF(E1754="staff",IF(INDEX('Partner data'!A:DH,MATCH(C1754,'Partner data'!DG:DG,0),112)="BL1 non presente","FALSO",INDEX('Partner data'!A:DH,MATCH(C1754,'Partner data'!DG:DG,0),112)))</f>
        <v>0</v>
      </c>
      <c r="S1754" t="b">
        <f t="shared" si="54"/>
        <v>1</v>
      </c>
      <c r="T1754" t="b">
        <f t="shared" si="55"/>
        <v>1</v>
      </c>
      <c r="U1754" s="154">
        <f>IFERROR(IF(R1754&lt;&gt;FALSE,IF(S1754=TRUE,INDEX('SummaryNOT_VALIDATED-BL'!$A$1:$F$16,MATCH(R1754,'SummaryNOT_VALIDATED-BL'!$A$1:$A$16,0),6),0),IF(S1754=TRUE,INDEX('SummaryNOT_VALIDATED-BL'!$A$1:$F$16,MATCH(E1754,'SummaryNOT_VALIDATED-BL'!$A$1:$A$16,0),6),0)),0)</f>
        <v>8.7645339819521315E-2</v>
      </c>
      <c r="V1754" s="81" cm="1">
        <f t="array" ref="V1754">INDEX('Weight tables'!$A$24:$C$27,MATCH(1,(RendicontiTrasmessiBL__2[[#This Row],[Cut percentage on real costs + USC]]&gt;='Weight tables'!$B$24:$B$27)*(RendicontiTrasmessiBL__2[[#This Row],[Cut percentage on real costs + USC]]&lt;='Weight tables'!$C$24:$C$27),0),1)</f>
        <v>4</v>
      </c>
      <c r="W1754" s="2">
        <f>RendicontiTrasmessiBL__2[[#This Row],[Weight real costs  + USC ]]</f>
        <v>4</v>
      </c>
    </row>
    <row r="1755" spans="1:23" x14ac:dyDescent="0.25">
      <c r="A1755" s="1" t="s">
        <v>67</v>
      </c>
      <c r="B1755" s="1" t="s">
        <v>327</v>
      </c>
      <c r="C1755" s="2">
        <v>168</v>
      </c>
      <c r="D1755" s="2">
        <v>117</v>
      </c>
      <c r="E1755" s="1" t="s">
        <v>236</v>
      </c>
      <c r="G1755">
        <v>0</v>
      </c>
      <c r="H1755">
        <v>0</v>
      </c>
      <c r="I1755">
        <v>0</v>
      </c>
      <c r="J1755">
        <v>0</v>
      </c>
      <c r="K1755">
        <v>0</v>
      </c>
      <c r="L1755">
        <v>0</v>
      </c>
      <c r="M1755">
        <v>0</v>
      </c>
      <c r="N1755">
        <v>0</v>
      </c>
      <c r="O1755">
        <v>0</v>
      </c>
      <c r="P1755">
        <v>0</v>
      </c>
      <c r="Q1755" t="str">
        <f>INDEX('Partner data'!A:DH,MATCH(C1755,'Partner data'!DG:DG,0),83)</f>
        <v>Soggetto pubblico</v>
      </c>
      <c r="R1755" t="b">
        <f>IF(E1755="staff",IF(INDEX('Partner data'!A:DH,MATCH(C1755,'Partner data'!DG:DG,0),112)="BL1 non presente","FALSO",INDEX('Partner data'!A:DH,MATCH(C1755,'Partner data'!DG:DG,0),112)))</f>
        <v>0</v>
      </c>
      <c r="S1755" t="b">
        <f t="shared" si="54"/>
        <v>0</v>
      </c>
      <c r="T1755" t="b">
        <f t="shared" si="55"/>
        <v>1</v>
      </c>
      <c r="U1755" s="154">
        <f>IFERROR(IF(R1755&lt;&gt;FALSE,IF(S1755=TRUE,INDEX('SummaryNOT_VALIDATED-BL'!$A$1:$F$16,MATCH(R1755,'SummaryNOT_VALIDATED-BL'!$A$1:$A$16,0),6),0),IF(S1755=TRUE,INDEX('SummaryNOT_VALIDATED-BL'!$A$1:$F$16,MATCH(E1755,'SummaryNOT_VALIDATED-BL'!$A$1:$A$16,0),6),0)),0)</f>
        <v>0</v>
      </c>
      <c r="V1755" s="81" cm="1">
        <f t="array" ref="V1755">INDEX('Weight tables'!$A$24:$C$27,MATCH(1,(RendicontiTrasmessiBL__2[[#This Row],[Cut percentage on real costs + USC]]&gt;='Weight tables'!$B$24:$B$27)*(RendicontiTrasmessiBL__2[[#This Row],[Cut percentage on real costs + USC]]&lt;='Weight tables'!$C$24:$C$27),0),1)</f>
        <v>0</v>
      </c>
      <c r="W1755" s="2">
        <f>RendicontiTrasmessiBL__2[[#This Row],[Weight real costs  + USC ]]</f>
        <v>0</v>
      </c>
    </row>
    <row r="1756" spans="1:23" x14ac:dyDescent="0.25">
      <c r="A1756" s="1" t="s">
        <v>67</v>
      </c>
      <c r="B1756" s="1" t="s">
        <v>327</v>
      </c>
      <c r="C1756" s="2">
        <v>168</v>
      </c>
      <c r="D1756" s="2">
        <v>117</v>
      </c>
      <c r="E1756" s="1" t="s">
        <v>237</v>
      </c>
      <c r="G1756">
        <v>0</v>
      </c>
      <c r="H1756">
        <v>0</v>
      </c>
      <c r="I1756">
        <v>0</v>
      </c>
      <c r="J1756">
        <v>0</v>
      </c>
      <c r="K1756">
        <v>0</v>
      </c>
      <c r="L1756">
        <v>0</v>
      </c>
      <c r="M1756">
        <v>0</v>
      </c>
      <c r="N1756">
        <v>0</v>
      </c>
      <c r="O1756">
        <v>0</v>
      </c>
      <c r="P1756">
        <v>0</v>
      </c>
      <c r="Q1756" t="str">
        <f>INDEX('Partner data'!A:DH,MATCH(C1756,'Partner data'!DG:DG,0),83)</f>
        <v>Soggetto pubblico</v>
      </c>
      <c r="R1756" t="b">
        <f>IF(E1756="staff",IF(INDEX('Partner data'!A:DH,MATCH(C1756,'Partner data'!DG:DG,0),112)="BL1 non presente","FALSO",INDEX('Partner data'!A:DH,MATCH(C1756,'Partner data'!DG:DG,0),112)))</f>
        <v>0</v>
      </c>
      <c r="S1756" t="b">
        <f t="shared" si="54"/>
        <v>0</v>
      </c>
      <c r="T1756" t="b">
        <f t="shared" si="55"/>
        <v>1</v>
      </c>
      <c r="U1756" s="154">
        <f>IFERROR(IF(R1756&lt;&gt;FALSE,IF(S1756=TRUE,INDEX('SummaryNOT_VALIDATED-BL'!$A$1:$F$16,MATCH(R1756,'SummaryNOT_VALIDATED-BL'!$A$1:$A$16,0),6),0),IF(S1756=TRUE,INDEX('SummaryNOT_VALIDATED-BL'!$A$1:$F$16,MATCH(E1756,'SummaryNOT_VALIDATED-BL'!$A$1:$A$16,0),6),0)),0)</f>
        <v>0</v>
      </c>
      <c r="V1756" s="81" cm="1">
        <f t="array" ref="V1756">INDEX('Weight tables'!$A$24:$C$27,MATCH(1,(RendicontiTrasmessiBL__2[[#This Row],[Cut percentage on real costs + USC]]&gt;='Weight tables'!$B$24:$B$27)*(RendicontiTrasmessiBL__2[[#This Row],[Cut percentage on real costs + USC]]&lt;='Weight tables'!$C$24:$C$27),0),1)</f>
        <v>0</v>
      </c>
      <c r="W1756" s="2">
        <f>RendicontiTrasmessiBL__2[[#This Row],[Weight real costs  + USC ]]</f>
        <v>0</v>
      </c>
    </row>
    <row r="1757" spans="1:23" x14ac:dyDescent="0.25">
      <c r="A1757" s="1" t="s">
        <v>66</v>
      </c>
      <c r="B1757" s="1" t="s">
        <v>371</v>
      </c>
      <c r="C1757" s="2">
        <v>262</v>
      </c>
      <c r="D1757" s="2">
        <v>302</v>
      </c>
      <c r="E1757" s="1" t="s">
        <v>228</v>
      </c>
      <c r="F1757">
        <v>20</v>
      </c>
      <c r="G1757">
        <v>20800</v>
      </c>
      <c r="H1757">
        <v>0</v>
      </c>
      <c r="I1757">
        <v>0</v>
      </c>
      <c r="J1757">
        <v>0</v>
      </c>
      <c r="K1757">
        <v>0</v>
      </c>
      <c r="L1757">
        <v>0</v>
      </c>
      <c r="M1757">
        <v>0</v>
      </c>
      <c r="N1757">
        <v>0</v>
      </c>
      <c r="O1757">
        <v>20800</v>
      </c>
      <c r="P1757">
        <v>0</v>
      </c>
      <c r="Q1757" t="str">
        <f>INDEX('Partner data'!A:DH,MATCH(C1757,'Partner data'!DG:DG,0),83)</f>
        <v>Soggetto pubblico</v>
      </c>
      <c r="R1757" t="str">
        <f>IF(E1757="staff",IF(INDEX('Partner data'!A:DH,MATCH(C1757,'Partner data'!DG:DG,0),112)="BL1 non presente","FALSO",INDEX('Partner data'!A:DH,MATCH(C1757,'Partner data'!DG:DG,0),112)))</f>
        <v>Tasso Forfettario 20%</v>
      </c>
      <c r="S1757" t="b">
        <f t="shared" si="54"/>
        <v>0</v>
      </c>
      <c r="T1757" t="b">
        <f t="shared" si="55"/>
        <v>1</v>
      </c>
      <c r="U1757" s="154">
        <f>IFERROR(IF(R1757&lt;&gt;FALSE,IF(S1757=TRUE,INDEX('SummaryNOT_VALIDATED-BL'!$A$1:$F$16,MATCH(R1757,'SummaryNOT_VALIDATED-BL'!$A$1:$A$16,0),6),0),IF(S1757=TRUE,INDEX('SummaryNOT_VALIDATED-BL'!$A$1:$F$16,MATCH(E1757,'SummaryNOT_VALIDATED-BL'!$A$1:$A$16,0),6),0)),0)</f>
        <v>0</v>
      </c>
      <c r="V1757" s="81" cm="1">
        <f t="array" ref="V1757">INDEX('Weight tables'!$A$24:$C$27,MATCH(1,(RendicontiTrasmessiBL__2[[#This Row],[Cut percentage on real costs + USC]]&gt;='Weight tables'!$B$24:$B$27)*(RendicontiTrasmessiBL__2[[#This Row],[Cut percentage on real costs + USC]]&lt;='Weight tables'!$C$24:$C$27),0),1)</f>
        <v>0</v>
      </c>
      <c r="W1757" s="2">
        <f>RendicontiTrasmessiBL__2[[#This Row],[Weight real costs  + USC ]]</f>
        <v>0</v>
      </c>
    </row>
    <row r="1758" spans="1:23" x14ac:dyDescent="0.25">
      <c r="A1758" s="1" t="s">
        <v>66</v>
      </c>
      <c r="B1758" s="1" t="s">
        <v>371</v>
      </c>
      <c r="C1758" s="2">
        <v>262</v>
      </c>
      <c r="D1758" s="2">
        <v>302</v>
      </c>
      <c r="E1758" s="1" t="s">
        <v>229</v>
      </c>
      <c r="G1758">
        <v>0</v>
      </c>
      <c r="H1758">
        <v>0</v>
      </c>
      <c r="I1758">
        <v>0</v>
      </c>
      <c r="J1758">
        <v>0</v>
      </c>
      <c r="K1758">
        <v>0</v>
      </c>
      <c r="L1758">
        <v>0</v>
      </c>
      <c r="M1758">
        <v>0</v>
      </c>
      <c r="N1758">
        <v>0</v>
      </c>
      <c r="O1758">
        <v>0</v>
      </c>
      <c r="P1758">
        <v>0</v>
      </c>
      <c r="Q1758" t="str">
        <f>INDEX('Partner data'!A:DH,MATCH(C1758,'Partner data'!DG:DG,0),83)</f>
        <v>Soggetto pubblico</v>
      </c>
      <c r="R1758" t="b">
        <f>IF(E1758="staff",IF(INDEX('Partner data'!A:DH,MATCH(C1758,'Partner data'!DG:DG,0),112)="BL1 non presente","FALSO",INDEX('Partner data'!A:DH,MATCH(C1758,'Partner data'!DG:DG,0),112)))</f>
        <v>0</v>
      </c>
      <c r="S1758" t="b">
        <f t="shared" si="54"/>
        <v>0</v>
      </c>
      <c r="T1758" t="b">
        <f t="shared" si="55"/>
        <v>1</v>
      </c>
      <c r="U1758" s="154">
        <f>IFERROR(IF(R1758&lt;&gt;FALSE,IF(S1758=TRUE,INDEX('SummaryNOT_VALIDATED-BL'!$A$1:$F$16,MATCH(R1758,'SummaryNOT_VALIDATED-BL'!$A$1:$A$16,0),6),0),IF(S1758=TRUE,INDEX('SummaryNOT_VALIDATED-BL'!$A$1:$F$16,MATCH(E1758,'SummaryNOT_VALIDATED-BL'!$A$1:$A$16,0),6),0)),0)</f>
        <v>0</v>
      </c>
      <c r="V1758" s="81" cm="1">
        <f t="array" ref="V1758">INDEX('Weight tables'!$A$24:$C$27,MATCH(1,(RendicontiTrasmessiBL__2[[#This Row],[Cut percentage on real costs + USC]]&gt;='Weight tables'!$B$24:$B$27)*(RendicontiTrasmessiBL__2[[#This Row],[Cut percentage on real costs + USC]]&lt;='Weight tables'!$C$24:$C$27),0),1)</f>
        <v>0</v>
      </c>
      <c r="W1758" s="2">
        <f>RendicontiTrasmessiBL__2[[#This Row],[Weight real costs  + USC ]]</f>
        <v>0</v>
      </c>
    </row>
    <row r="1759" spans="1:23" x14ac:dyDescent="0.25">
      <c r="A1759" s="1" t="s">
        <v>66</v>
      </c>
      <c r="B1759" s="1" t="s">
        <v>371</v>
      </c>
      <c r="C1759" s="2">
        <v>262</v>
      </c>
      <c r="D1759" s="2">
        <v>302</v>
      </c>
      <c r="E1759" s="1" t="s">
        <v>230</v>
      </c>
      <c r="G1759">
        <v>0</v>
      </c>
      <c r="H1759">
        <v>0</v>
      </c>
      <c r="I1759">
        <v>0</v>
      </c>
      <c r="J1759">
        <v>0</v>
      </c>
      <c r="K1759">
        <v>0</v>
      </c>
      <c r="L1759">
        <v>0</v>
      </c>
      <c r="M1759">
        <v>0</v>
      </c>
      <c r="N1759">
        <v>0</v>
      </c>
      <c r="O1759">
        <v>0</v>
      </c>
      <c r="P1759">
        <v>0</v>
      </c>
      <c r="Q1759" t="str">
        <f>INDEX('Partner data'!A:DH,MATCH(C1759,'Partner data'!DG:DG,0),83)</f>
        <v>Soggetto pubblico</v>
      </c>
      <c r="R1759" t="b">
        <f>IF(E1759="staff",IF(INDEX('Partner data'!A:DH,MATCH(C1759,'Partner data'!DG:DG,0),112)="BL1 non presente","FALSO",INDEX('Partner data'!A:DH,MATCH(C1759,'Partner data'!DG:DG,0),112)))</f>
        <v>0</v>
      </c>
      <c r="S1759" t="b">
        <f t="shared" si="54"/>
        <v>0</v>
      </c>
      <c r="T1759" t="b">
        <f t="shared" si="55"/>
        <v>1</v>
      </c>
      <c r="U1759" s="154">
        <f>IFERROR(IF(R1759&lt;&gt;FALSE,IF(S1759=TRUE,INDEX('SummaryNOT_VALIDATED-BL'!$A$1:$F$16,MATCH(R1759,'SummaryNOT_VALIDATED-BL'!$A$1:$A$16,0),6),0),IF(S1759=TRUE,INDEX('SummaryNOT_VALIDATED-BL'!$A$1:$F$16,MATCH(E1759,'SummaryNOT_VALIDATED-BL'!$A$1:$A$16,0),6),0)),0)</f>
        <v>0</v>
      </c>
      <c r="V1759" s="81" cm="1">
        <f t="array" ref="V1759">INDEX('Weight tables'!$A$24:$C$27,MATCH(1,(RendicontiTrasmessiBL__2[[#This Row],[Cut percentage on real costs + USC]]&gt;='Weight tables'!$B$24:$B$27)*(RendicontiTrasmessiBL__2[[#This Row],[Cut percentage on real costs + USC]]&lt;='Weight tables'!$C$24:$C$27),0),1)</f>
        <v>0</v>
      </c>
      <c r="W1759" s="2">
        <f>RendicontiTrasmessiBL__2[[#This Row],[Weight real costs  + USC ]]</f>
        <v>0</v>
      </c>
    </row>
    <row r="1760" spans="1:23" x14ac:dyDescent="0.25">
      <c r="A1760" s="1" t="s">
        <v>66</v>
      </c>
      <c r="B1760" s="1" t="s">
        <v>371</v>
      </c>
      <c r="C1760" s="2">
        <v>262</v>
      </c>
      <c r="D1760" s="2">
        <v>302</v>
      </c>
      <c r="E1760" s="1" t="s">
        <v>231</v>
      </c>
      <c r="G1760">
        <v>104000</v>
      </c>
      <c r="H1760">
        <v>0</v>
      </c>
      <c r="I1760">
        <v>0</v>
      </c>
      <c r="J1760">
        <v>0</v>
      </c>
      <c r="K1760">
        <v>0</v>
      </c>
      <c r="L1760">
        <v>0</v>
      </c>
      <c r="M1760">
        <v>0</v>
      </c>
      <c r="N1760">
        <v>0</v>
      </c>
      <c r="O1760">
        <v>104000</v>
      </c>
      <c r="P1760">
        <v>0</v>
      </c>
      <c r="Q1760" t="str">
        <f>INDEX('Partner data'!A:DH,MATCH(C1760,'Partner data'!DG:DG,0),83)</f>
        <v>Soggetto pubblico</v>
      </c>
      <c r="R1760" t="b">
        <f>IF(E1760="staff",IF(INDEX('Partner data'!A:DH,MATCH(C1760,'Partner data'!DG:DG,0),112)="BL1 non presente","FALSO",INDEX('Partner data'!A:DH,MATCH(C1760,'Partner data'!DG:DG,0),112)))</f>
        <v>0</v>
      </c>
      <c r="S1760" t="b">
        <f t="shared" si="54"/>
        <v>0</v>
      </c>
      <c r="T1760" t="b">
        <f t="shared" si="55"/>
        <v>1</v>
      </c>
      <c r="U1760" s="154">
        <f>IFERROR(IF(R1760&lt;&gt;FALSE,IF(S1760=TRUE,INDEX('SummaryNOT_VALIDATED-BL'!$A$1:$F$16,MATCH(R1760,'SummaryNOT_VALIDATED-BL'!$A$1:$A$16,0),6),0),IF(S1760=TRUE,INDEX('SummaryNOT_VALIDATED-BL'!$A$1:$F$16,MATCH(E1760,'SummaryNOT_VALIDATED-BL'!$A$1:$A$16,0),6),0)),0)</f>
        <v>0</v>
      </c>
      <c r="V1760" s="81" cm="1">
        <f t="array" ref="V1760">INDEX('Weight tables'!$A$24:$C$27,MATCH(1,(RendicontiTrasmessiBL__2[[#This Row],[Cut percentage on real costs + USC]]&gt;='Weight tables'!$B$24:$B$27)*(RendicontiTrasmessiBL__2[[#This Row],[Cut percentage on real costs + USC]]&lt;='Weight tables'!$C$24:$C$27),0),1)</f>
        <v>0</v>
      </c>
      <c r="W1760" s="2">
        <f>RendicontiTrasmessiBL__2[[#This Row],[Weight real costs  + USC ]]</f>
        <v>0</v>
      </c>
    </row>
    <row r="1761" spans="1:23" x14ac:dyDescent="0.25">
      <c r="A1761" s="1" t="s">
        <v>66</v>
      </c>
      <c r="B1761" s="1" t="s">
        <v>371</v>
      </c>
      <c r="C1761" s="2">
        <v>262</v>
      </c>
      <c r="D1761" s="2">
        <v>302</v>
      </c>
      <c r="E1761" s="1" t="s">
        <v>232</v>
      </c>
      <c r="G1761">
        <v>0</v>
      </c>
      <c r="H1761">
        <v>0</v>
      </c>
      <c r="I1761">
        <v>0</v>
      </c>
      <c r="J1761">
        <v>0</v>
      </c>
      <c r="K1761">
        <v>0</v>
      </c>
      <c r="L1761">
        <v>0</v>
      </c>
      <c r="M1761">
        <v>0</v>
      </c>
      <c r="N1761">
        <v>0</v>
      </c>
      <c r="O1761">
        <v>0</v>
      </c>
      <c r="P1761">
        <v>0</v>
      </c>
      <c r="Q1761" t="str">
        <f>INDEX('Partner data'!A:DH,MATCH(C1761,'Partner data'!DG:DG,0),83)</f>
        <v>Soggetto pubblico</v>
      </c>
      <c r="R1761" t="b">
        <f>IF(E1761="staff",IF(INDEX('Partner data'!A:DH,MATCH(C1761,'Partner data'!DG:DG,0),112)="BL1 non presente","FALSO",INDEX('Partner data'!A:DH,MATCH(C1761,'Partner data'!DG:DG,0),112)))</f>
        <v>0</v>
      </c>
      <c r="S1761" t="b">
        <f t="shared" si="54"/>
        <v>0</v>
      </c>
      <c r="T1761" t="b">
        <f t="shared" si="55"/>
        <v>1</v>
      </c>
      <c r="U1761" s="154">
        <f>IFERROR(IF(R1761&lt;&gt;FALSE,IF(S1761=TRUE,INDEX('SummaryNOT_VALIDATED-BL'!$A$1:$F$16,MATCH(R1761,'SummaryNOT_VALIDATED-BL'!$A$1:$A$16,0),6),0),IF(S1761=TRUE,INDEX('SummaryNOT_VALIDATED-BL'!$A$1:$F$16,MATCH(E1761,'SummaryNOT_VALIDATED-BL'!$A$1:$A$16,0),6),0)),0)</f>
        <v>0</v>
      </c>
      <c r="V1761" s="81" cm="1">
        <f t="array" ref="V1761">INDEX('Weight tables'!$A$24:$C$27,MATCH(1,(RendicontiTrasmessiBL__2[[#This Row],[Cut percentage on real costs + USC]]&gt;='Weight tables'!$B$24:$B$27)*(RendicontiTrasmessiBL__2[[#This Row],[Cut percentage on real costs + USC]]&lt;='Weight tables'!$C$24:$C$27),0),1)</f>
        <v>0</v>
      </c>
      <c r="W1761" s="2">
        <f>RendicontiTrasmessiBL__2[[#This Row],[Weight real costs  + USC ]]</f>
        <v>0</v>
      </c>
    </row>
    <row r="1762" spans="1:23" x14ac:dyDescent="0.25">
      <c r="A1762" s="1" t="s">
        <v>66</v>
      </c>
      <c r="B1762" s="1" t="s">
        <v>371</v>
      </c>
      <c r="C1762" s="2">
        <v>262</v>
      </c>
      <c r="D1762" s="2">
        <v>302</v>
      </c>
      <c r="E1762" s="1" t="s">
        <v>233</v>
      </c>
      <c r="G1762">
        <v>0</v>
      </c>
      <c r="H1762">
        <v>0</v>
      </c>
      <c r="I1762">
        <v>0</v>
      </c>
      <c r="J1762">
        <v>0</v>
      </c>
      <c r="K1762">
        <v>0</v>
      </c>
      <c r="L1762">
        <v>0</v>
      </c>
      <c r="M1762">
        <v>0</v>
      </c>
      <c r="N1762">
        <v>0</v>
      </c>
      <c r="O1762">
        <v>0</v>
      </c>
      <c r="P1762">
        <v>0</v>
      </c>
      <c r="Q1762" t="str">
        <f>INDEX('Partner data'!A:DH,MATCH(C1762,'Partner data'!DG:DG,0),83)</f>
        <v>Soggetto pubblico</v>
      </c>
      <c r="R1762" t="b">
        <f>IF(E1762="staff",IF(INDEX('Partner data'!A:DH,MATCH(C1762,'Partner data'!DG:DG,0),112)="BL1 non presente","FALSO",INDEX('Partner data'!A:DH,MATCH(C1762,'Partner data'!DG:DG,0),112)))</f>
        <v>0</v>
      </c>
      <c r="S1762" t="b">
        <f t="shared" si="54"/>
        <v>0</v>
      </c>
      <c r="T1762" t="b">
        <f t="shared" si="55"/>
        <v>1</v>
      </c>
      <c r="U1762" s="154">
        <f>IFERROR(IF(R1762&lt;&gt;FALSE,IF(S1762=TRUE,INDEX('SummaryNOT_VALIDATED-BL'!$A$1:$F$16,MATCH(R1762,'SummaryNOT_VALIDATED-BL'!$A$1:$A$16,0),6),0),IF(S1762=TRUE,INDEX('SummaryNOT_VALIDATED-BL'!$A$1:$F$16,MATCH(E1762,'SummaryNOT_VALIDATED-BL'!$A$1:$A$16,0),6),0)),0)</f>
        <v>0</v>
      </c>
      <c r="V1762" s="81" cm="1">
        <f t="array" ref="V1762">INDEX('Weight tables'!$A$24:$C$27,MATCH(1,(RendicontiTrasmessiBL__2[[#This Row],[Cut percentage on real costs + USC]]&gt;='Weight tables'!$B$24:$B$27)*(RendicontiTrasmessiBL__2[[#This Row],[Cut percentage on real costs + USC]]&lt;='Weight tables'!$C$24:$C$27),0),1)</f>
        <v>0</v>
      </c>
      <c r="W1762" s="2">
        <f>RendicontiTrasmessiBL__2[[#This Row],[Weight real costs  + USC ]]</f>
        <v>0</v>
      </c>
    </row>
    <row r="1763" spans="1:23" x14ac:dyDescent="0.25">
      <c r="A1763" s="1" t="s">
        <v>66</v>
      </c>
      <c r="B1763" s="1" t="s">
        <v>371</v>
      </c>
      <c r="C1763" s="2">
        <v>262</v>
      </c>
      <c r="D1763" s="2">
        <v>302</v>
      </c>
      <c r="E1763" s="1" t="s">
        <v>234</v>
      </c>
      <c r="G1763">
        <v>0</v>
      </c>
      <c r="H1763">
        <v>0</v>
      </c>
      <c r="I1763">
        <v>0</v>
      </c>
      <c r="J1763">
        <v>0</v>
      </c>
      <c r="K1763">
        <v>0</v>
      </c>
      <c r="L1763">
        <v>0</v>
      </c>
      <c r="M1763">
        <v>0</v>
      </c>
      <c r="N1763">
        <v>0</v>
      </c>
      <c r="O1763">
        <v>0</v>
      </c>
      <c r="P1763">
        <v>0</v>
      </c>
      <c r="Q1763" t="str">
        <f>INDEX('Partner data'!A:DH,MATCH(C1763,'Partner data'!DG:DG,0),83)</f>
        <v>Soggetto pubblico</v>
      </c>
      <c r="R1763" t="b">
        <f>IF(E1763="staff",IF(INDEX('Partner data'!A:DH,MATCH(C1763,'Partner data'!DG:DG,0),112)="BL1 non presente","FALSO",INDEX('Partner data'!A:DH,MATCH(C1763,'Partner data'!DG:DG,0),112)))</f>
        <v>0</v>
      </c>
      <c r="S1763" t="b">
        <f t="shared" si="54"/>
        <v>0</v>
      </c>
      <c r="T1763" t="b">
        <f t="shared" si="55"/>
        <v>1</v>
      </c>
      <c r="U1763" s="154">
        <f>IFERROR(IF(R1763&lt;&gt;FALSE,IF(S1763=TRUE,INDEX('SummaryNOT_VALIDATED-BL'!$A$1:$F$16,MATCH(R1763,'SummaryNOT_VALIDATED-BL'!$A$1:$A$16,0),6),0),IF(S1763=TRUE,INDEX('SummaryNOT_VALIDATED-BL'!$A$1:$F$16,MATCH(E1763,'SummaryNOT_VALIDATED-BL'!$A$1:$A$16,0),6),0)),0)</f>
        <v>0</v>
      </c>
      <c r="V1763" s="81" cm="1">
        <f t="array" ref="V1763">INDEX('Weight tables'!$A$24:$C$27,MATCH(1,(RendicontiTrasmessiBL__2[[#This Row],[Cut percentage on real costs + USC]]&gt;='Weight tables'!$B$24:$B$27)*(RendicontiTrasmessiBL__2[[#This Row],[Cut percentage on real costs + USC]]&lt;='Weight tables'!$C$24:$C$27),0),1)</f>
        <v>0</v>
      </c>
      <c r="W1763" s="2">
        <f>RendicontiTrasmessiBL__2[[#This Row],[Weight real costs  + USC ]]</f>
        <v>0</v>
      </c>
    </row>
    <row r="1764" spans="1:23" x14ac:dyDescent="0.25">
      <c r="A1764" s="1" t="s">
        <v>66</v>
      </c>
      <c r="B1764" s="1" t="s">
        <v>371</v>
      </c>
      <c r="C1764" s="2">
        <v>262</v>
      </c>
      <c r="D1764" s="2">
        <v>302</v>
      </c>
      <c r="E1764" s="1" t="s">
        <v>236</v>
      </c>
      <c r="G1764">
        <v>0</v>
      </c>
      <c r="H1764">
        <v>0</v>
      </c>
      <c r="I1764">
        <v>0</v>
      </c>
      <c r="J1764">
        <v>0</v>
      </c>
      <c r="K1764">
        <v>0</v>
      </c>
      <c r="L1764">
        <v>0</v>
      </c>
      <c r="M1764">
        <v>0</v>
      </c>
      <c r="N1764">
        <v>0</v>
      </c>
      <c r="O1764">
        <v>0</v>
      </c>
      <c r="P1764">
        <v>0</v>
      </c>
      <c r="Q1764" t="str">
        <f>INDEX('Partner data'!A:DH,MATCH(C1764,'Partner data'!DG:DG,0),83)</f>
        <v>Soggetto pubblico</v>
      </c>
      <c r="R1764" t="b">
        <f>IF(E1764="staff",IF(INDEX('Partner data'!A:DH,MATCH(C1764,'Partner data'!DG:DG,0),112)="BL1 non presente","FALSO",INDEX('Partner data'!A:DH,MATCH(C1764,'Partner data'!DG:DG,0),112)))</f>
        <v>0</v>
      </c>
      <c r="S1764" t="b">
        <f t="shared" si="54"/>
        <v>0</v>
      </c>
      <c r="T1764" t="b">
        <f t="shared" si="55"/>
        <v>1</v>
      </c>
      <c r="U1764" s="154">
        <f>IFERROR(IF(R1764&lt;&gt;FALSE,IF(S1764=TRUE,INDEX('SummaryNOT_VALIDATED-BL'!$A$1:$F$16,MATCH(R1764,'SummaryNOT_VALIDATED-BL'!$A$1:$A$16,0),6),0),IF(S1764=TRUE,INDEX('SummaryNOT_VALIDATED-BL'!$A$1:$F$16,MATCH(E1764,'SummaryNOT_VALIDATED-BL'!$A$1:$A$16,0),6),0)),0)</f>
        <v>0</v>
      </c>
      <c r="V1764" s="81" cm="1">
        <f t="array" ref="V1764">INDEX('Weight tables'!$A$24:$C$27,MATCH(1,(RendicontiTrasmessiBL__2[[#This Row],[Cut percentage on real costs + USC]]&gt;='Weight tables'!$B$24:$B$27)*(RendicontiTrasmessiBL__2[[#This Row],[Cut percentage on real costs + USC]]&lt;='Weight tables'!$C$24:$C$27),0),1)</f>
        <v>0</v>
      </c>
      <c r="W1764" s="2">
        <f>RendicontiTrasmessiBL__2[[#This Row],[Weight real costs  + USC ]]</f>
        <v>0</v>
      </c>
    </row>
    <row r="1765" spans="1:23" x14ac:dyDescent="0.25">
      <c r="A1765" s="1" t="s">
        <v>66</v>
      </c>
      <c r="B1765" s="1" t="s">
        <v>371</v>
      </c>
      <c r="C1765" s="2">
        <v>262</v>
      </c>
      <c r="D1765" s="2">
        <v>302</v>
      </c>
      <c r="E1765" s="1" t="s">
        <v>237</v>
      </c>
      <c r="G1765">
        <v>0</v>
      </c>
      <c r="H1765">
        <v>0</v>
      </c>
      <c r="I1765">
        <v>0</v>
      </c>
      <c r="J1765">
        <v>0</v>
      </c>
      <c r="K1765">
        <v>0</v>
      </c>
      <c r="L1765">
        <v>0</v>
      </c>
      <c r="M1765">
        <v>0</v>
      </c>
      <c r="N1765">
        <v>0</v>
      </c>
      <c r="O1765">
        <v>0</v>
      </c>
      <c r="P1765">
        <v>0</v>
      </c>
      <c r="Q1765" t="str">
        <f>INDEX('Partner data'!A:DH,MATCH(C1765,'Partner data'!DG:DG,0),83)</f>
        <v>Soggetto pubblico</v>
      </c>
      <c r="R1765" t="b">
        <f>IF(E1765="staff",IF(INDEX('Partner data'!A:DH,MATCH(C1765,'Partner data'!DG:DG,0),112)="BL1 non presente","FALSO",INDEX('Partner data'!A:DH,MATCH(C1765,'Partner data'!DG:DG,0),112)))</f>
        <v>0</v>
      </c>
      <c r="S1765" t="b">
        <f t="shared" si="54"/>
        <v>0</v>
      </c>
      <c r="T1765" t="b">
        <f t="shared" si="55"/>
        <v>1</v>
      </c>
      <c r="U1765" s="154">
        <f>IFERROR(IF(R1765&lt;&gt;FALSE,IF(S1765=TRUE,INDEX('SummaryNOT_VALIDATED-BL'!$A$1:$F$16,MATCH(R1765,'SummaryNOT_VALIDATED-BL'!$A$1:$A$16,0),6),0),IF(S1765=TRUE,INDEX('SummaryNOT_VALIDATED-BL'!$A$1:$F$16,MATCH(E1765,'SummaryNOT_VALIDATED-BL'!$A$1:$A$16,0),6),0)),0)</f>
        <v>0</v>
      </c>
      <c r="V1765" s="81" cm="1">
        <f t="array" ref="V1765">INDEX('Weight tables'!$A$24:$C$27,MATCH(1,(RendicontiTrasmessiBL__2[[#This Row],[Cut percentage on real costs + USC]]&gt;='Weight tables'!$B$24:$B$27)*(RendicontiTrasmessiBL__2[[#This Row],[Cut percentage on real costs + USC]]&lt;='Weight tables'!$C$24:$C$27),0),1)</f>
        <v>0</v>
      </c>
      <c r="W1765" s="2">
        <f>RendicontiTrasmessiBL__2[[#This Row],[Weight real costs  + USC ]]</f>
        <v>0</v>
      </c>
    </row>
    <row r="1766" spans="1:23" x14ac:dyDescent="0.25">
      <c r="A1766" s="1" t="s">
        <v>66</v>
      </c>
      <c r="B1766" s="1" t="s">
        <v>55</v>
      </c>
      <c r="C1766" s="2">
        <v>259</v>
      </c>
      <c r="D1766" s="2">
        <v>100</v>
      </c>
      <c r="E1766" s="1" t="s">
        <v>228</v>
      </c>
      <c r="G1766">
        <v>100000</v>
      </c>
      <c r="H1766">
        <v>0</v>
      </c>
      <c r="I1766">
        <v>0</v>
      </c>
      <c r="J1766">
        <v>22213.19</v>
      </c>
      <c r="K1766">
        <v>0</v>
      </c>
      <c r="L1766">
        <v>21363.16</v>
      </c>
      <c r="M1766">
        <v>22213.19</v>
      </c>
      <c r="N1766">
        <v>22.21</v>
      </c>
      <c r="O1766">
        <v>77786.81</v>
      </c>
      <c r="P1766">
        <v>0</v>
      </c>
      <c r="Q1766" t="str">
        <f>INDEX('Partner data'!A:DH,MATCH(C1766,'Partner data'!DG:DG,0),83)</f>
        <v>Soggetto privato</v>
      </c>
      <c r="R1766" t="str">
        <f>IF(E1766="staff",IF(INDEX('Partner data'!A:DH,MATCH(C1766,'Partner data'!DG:DG,0),112)="BL1 non presente","FALSO",INDEX('Partner data'!A:DH,MATCH(C1766,'Partner data'!DG:DG,0),112)))</f>
        <v>COSTO REALE</v>
      </c>
      <c r="S1766" t="b">
        <f t="shared" si="54"/>
        <v>1</v>
      </c>
      <c r="T1766" t="b">
        <f t="shared" si="55"/>
        <v>0</v>
      </c>
      <c r="U1766" s="154">
        <f>IFERROR(IF(R1766&lt;&gt;FALSE,IF(S1766=TRUE,INDEX('SummaryNOT_VALIDATED-BL'!$A$1:$F$16,MATCH(R1766,'SummaryNOT_VALIDATED-BL'!$A$1:$A$16,0),6),0),IF(S1766=TRUE,INDEX('SummaryNOT_VALIDATED-BL'!$A$1:$F$16,MATCH(E1766,'SummaryNOT_VALIDATED-BL'!$A$1:$A$16,0),6),0)),0)</f>
        <v>9.1604133276901048E-2</v>
      </c>
      <c r="V1766" s="81" cm="1">
        <f t="array" ref="V1766">INDEX('Weight tables'!$A$24:$C$27,MATCH(1,(RendicontiTrasmessiBL__2[[#This Row],[Cut percentage on real costs + USC]]&gt;='Weight tables'!$B$24:$B$27)*(RendicontiTrasmessiBL__2[[#This Row],[Cut percentage on real costs + USC]]&lt;='Weight tables'!$C$24:$C$27),0),1)</f>
        <v>4</v>
      </c>
      <c r="W1766" s="2">
        <f>RendicontiTrasmessiBL__2[[#This Row],[Weight real costs  + USC ]]</f>
        <v>4</v>
      </c>
    </row>
    <row r="1767" spans="1:23" x14ac:dyDescent="0.25">
      <c r="A1767" s="1" t="s">
        <v>66</v>
      </c>
      <c r="B1767" s="1" t="s">
        <v>55</v>
      </c>
      <c r="C1767" s="2">
        <v>259</v>
      </c>
      <c r="D1767" s="2">
        <v>100</v>
      </c>
      <c r="E1767" s="1" t="s">
        <v>229</v>
      </c>
      <c r="G1767">
        <v>0</v>
      </c>
      <c r="H1767">
        <v>0</v>
      </c>
      <c r="I1767">
        <v>0</v>
      </c>
      <c r="J1767">
        <v>0</v>
      </c>
      <c r="K1767">
        <v>0</v>
      </c>
      <c r="L1767">
        <v>0</v>
      </c>
      <c r="M1767">
        <v>0</v>
      </c>
      <c r="N1767">
        <v>0</v>
      </c>
      <c r="O1767">
        <v>0</v>
      </c>
      <c r="P1767">
        <v>0</v>
      </c>
      <c r="Q1767" t="str">
        <f>INDEX('Partner data'!A:DH,MATCH(C1767,'Partner data'!DG:DG,0),83)</f>
        <v>Soggetto privato</v>
      </c>
      <c r="R1767" t="b">
        <f>IF(E1767="staff",IF(INDEX('Partner data'!A:DH,MATCH(C1767,'Partner data'!DG:DG,0),112)="BL1 non presente","FALSO",INDEX('Partner data'!A:DH,MATCH(C1767,'Partner data'!DG:DG,0),112)))</f>
        <v>0</v>
      </c>
      <c r="S1767" t="b">
        <f t="shared" si="54"/>
        <v>0</v>
      </c>
      <c r="T1767" t="b">
        <f t="shared" si="55"/>
        <v>0</v>
      </c>
      <c r="U1767" s="154">
        <f>IFERROR(IF(R1767&lt;&gt;FALSE,IF(S1767=TRUE,INDEX('SummaryNOT_VALIDATED-BL'!$A$1:$F$16,MATCH(R1767,'SummaryNOT_VALIDATED-BL'!$A$1:$A$16,0),6),0),IF(S1767=TRUE,INDEX('SummaryNOT_VALIDATED-BL'!$A$1:$F$16,MATCH(E1767,'SummaryNOT_VALIDATED-BL'!$A$1:$A$16,0),6),0)),0)</f>
        <v>0</v>
      </c>
      <c r="V1767" s="81" cm="1">
        <f t="array" ref="V1767">INDEX('Weight tables'!$A$24:$C$27,MATCH(1,(RendicontiTrasmessiBL__2[[#This Row],[Cut percentage on real costs + USC]]&gt;='Weight tables'!$B$24:$B$27)*(RendicontiTrasmessiBL__2[[#This Row],[Cut percentage on real costs + USC]]&lt;='Weight tables'!$C$24:$C$27),0),1)</f>
        <v>0</v>
      </c>
      <c r="W1767" s="2">
        <f>RendicontiTrasmessiBL__2[[#This Row],[Weight real costs  + USC ]]</f>
        <v>0</v>
      </c>
    </row>
    <row r="1768" spans="1:23" x14ac:dyDescent="0.25">
      <c r="A1768" s="1" t="s">
        <v>66</v>
      </c>
      <c r="B1768" s="1" t="s">
        <v>55</v>
      </c>
      <c r="C1768" s="2">
        <v>259</v>
      </c>
      <c r="D1768" s="2">
        <v>100</v>
      </c>
      <c r="E1768" s="1" t="s">
        <v>230</v>
      </c>
      <c r="G1768">
        <v>0</v>
      </c>
      <c r="H1768">
        <v>0</v>
      </c>
      <c r="I1768">
        <v>0</v>
      </c>
      <c r="J1768">
        <v>0</v>
      </c>
      <c r="K1768">
        <v>0</v>
      </c>
      <c r="L1768">
        <v>0</v>
      </c>
      <c r="M1768">
        <v>0</v>
      </c>
      <c r="N1768">
        <v>0</v>
      </c>
      <c r="O1768">
        <v>0</v>
      </c>
      <c r="P1768">
        <v>0</v>
      </c>
      <c r="Q1768" t="str">
        <f>INDEX('Partner data'!A:DH,MATCH(C1768,'Partner data'!DG:DG,0),83)</f>
        <v>Soggetto privato</v>
      </c>
      <c r="R1768" t="b">
        <f>IF(E1768="staff",IF(INDEX('Partner data'!A:DH,MATCH(C1768,'Partner data'!DG:DG,0),112)="BL1 non presente","FALSO",INDEX('Partner data'!A:DH,MATCH(C1768,'Partner data'!DG:DG,0),112)))</f>
        <v>0</v>
      </c>
      <c r="S1768" t="b">
        <f t="shared" si="54"/>
        <v>0</v>
      </c>
      <c r="T1768" t="b">
        <f t="shared" si="55"/>
        <v>0</v>
      </c>
      <c r="U1768" s="154">
        <f>IFERROR(IF(R1768&lt;&gt;FALSE,IF(S1768=TRUE,INDEX('SummaryNOT_VALIDATED-BL'!$A$1:$F$16,MATCH(R1768,'SummaryNOT_VALIDATED-BL'!$A$1:$A$16,0),6),0),IF(S1768=TRUE,INDEX('SummaryNOT_VALIDATED-BL'!$A$1:$F$16,MATCH(E1768,'SummaryNOT_VALIDATED-BL'!$A$1:$A$16,0),6),0)),0)</f>
        <v>0</v>
      </c>
      <c r="V1768" s="81" cm="1">
        <f t="array" ref="V1768">INDEX('Weight tables'!$A$24:$C$27,MATCH(1,(RendicontiTrasmessiBL__2[[#This Row],[Cut percentage on real costs + USC]]&gt;='Weight tables'!$B$24:$B$27)*(RendicontiTrasmessiBL__2[[#This Row],[Cut percentage on real costs + USC]]&lt;='Weight tables'!$C$24:$C$27),0),1)</f>
        <v>0</v>
      </c>
      <c r="W1768" s="2">
        <f>RendicontiTrasmessiBL__2[[#This Row],[Weight real costs  + USC ]]</f>
        <v>0</v>
      </c>
    </row>
    <row r="1769" spans="1:23" x14ac:dyDescent="0.25">
      <c r="A1769" s="1" t="s">
        <v>66</v>
      </c>
      <c r="B1769" s="1" t="s">
        <v>55</v>
      </c>
      <c r="C1769" s="2">
        <v>259</v>
      </c>
      <c r="D1769" s="2">
        <v>100</v>
      </c>
      <c r="E1769" s="1" t="s">
        <v>231</v>
      </c>
      <c r="G1769">
        <v>0</v>
      </c>
      <c r="H1769">
        <v>0</v>
      </c>
      <c r="I1769">
        <v>0</v>
      </c>
      <c r="J1769">
        <v>0</v>
      </c>
      <c r="K1769">
        <v>0</v>
      </c>
      <c r="L1769">
        <v>0</v>
      </c>
      <c r="M1769">
        <v>0</v>
      </c>
      <c r="N1769">
        <v>0</v>
      </c>
      <c r="O1769">
        <v>0</v>
      </c>
      <c r="P1769">
        <v>0</v>
      </c>
      <c r="Q1769" t="str">
        <f>INDEX('Partner data'!A:DH,MATCH(C1769,'Partner data'!DG:DG,0),83)</f>
        <v>Soggetto privato</v>
      </c>
      <c r="R1769" t="b">
        <f>IF(E1769="staff",IF(INDEX('Partner data'!A:DH,MATCH(C1769,'Partner data'!DG:DG,0),112)="BL1 non presente","FALSO",INDEX('Partner data'!A:DH,MATCH(C1769,'Partner data'!DG:DG,0),112)))</f>
        <v>0</v>
      </c>
      <c r="S1769" t="b">
        <f t="shared" si="54"/>
        <v>0</v>
      </c>
      <c r="T1769" t="b">
        <f t="shared" si="55"/>
        <v>0</v>
      </c>
      <c r="U1769" s="154">
        <f>IFERROR(IF(R1769&lt;&gt;FALSE,IF(S1769=TRUE,INDEX('SummaryNOT_VALIDATED-BL'!$A$1:$F$16,MATCH(R1769,'SummaryNOT_VALIDATED-BL'!$A$1:$A$16,0),6),0),IF(S1769=TRUE,INDEX('SummaryNOT_VALIDATED-BL'!$A$1:$F$16,MATCH(E1769,'SummaryNOT_VALIDATED-BL'!$A$1:$A$16,0),6),0)),0)</f>
        <v>0</v>
      </c>
      <c r="V1769" s="81" cm="1">
        <f t="array" ref="V1769">INDEX('Weight tables'!$A$24:$C$27,MATCH(1,(RendicontiTrasmessiBL__2[[#This Row],[Cut percentage on real costs + USC]]&gt;='Weight tables'!$B$24:$B$27)*(RendicontiTrasmessiBL__2[[#This Row],[Cut percentage on real costs + USC]]&lt;='Weight tables'!$C$24:$C$27),0),1)</f>
        <v>0</v>
      </c>
      <c r="W1769" s="2">
        <f>RendicontiTrasmessiBL__2[[#This Row],[Weight real costs  + USC ]]</f>
        <v>0</v>
      </c>
    </row>
    <row r="1770" spans="1:23" x14ac:dyDescent="0.25">
      <c r="A1770" s="1" t="s">
        <v>66</v>
      </c>
      <c r="B1770" s="1" t="s">
        <v>55</v>
      </c>
      <c r="C1770" s="2">
        <v>259</v>
      </c>
      <c r="D1770" s="2">
        <v>100</v>
      </c>
      <c r="E1770" s="1" t="s">
        <v>232</v>
      </c>
      <c r="G1770">
        <v>0</v>
      </c>
      <c r="H1770">
        <v>0</v>
      </c>
      <c r="I1770">
        <v>0</v>
      </c>
      <c r="J1770">
        <v>0</v>
      </c>
      <c r="K1770">
        <v>0</v>
      </c>
      <c r="L1770">
        <v>0</v>
      </c>
      <c r="M1770">
        <v>0</v>
      </c>
      <c r="N1770">
        <v>0</v>
      </c>
      <c r="O1770">
        <v>0</v>
      </c>
      <c r="P1770">
        <v>0</v>
      </c>
      <c r="Q1770" t="str">
        <f>INDEX('Partner data'!A:DH,MATCH(C1770,'Partner data'!DG:DG,0),83)</f>
        <v>Soggetto privato</v>
      </c>
      <c r="R1770" t="b">
        <f>IF(E1770="staff",IF(INDEX('Partner data'!A:DH,MATCH(C1770,'Partner data'!DG:DG,0),112)="BL1 non presente","FALSO",INDEX('Partner data'!A:DH,MATCH(C1770,'Partner data'!DG:DG,0),112)))</f>
        <v>0</v>
      </c>
      <c r="S1770" t="b">
        <f t="shared" si="54"/>
        <v>0</v>
      </c>
      <c r="T1770" t="b">
        <f t="shared" si="55"/>
        <v>0</v>
      </c>
      <c r="U1770" s="154">
        <f>IFERROR(IF(R1770&lt;&gt;FALSE,IF(S1770=TRUE,INDEX('SummaryNOT_VALIDATED-BL'!$A$1:$F$16,MATCH(R1770,'SummaryNOT_VALIDATED-BL'!$A$1:$A$16,0),6),0),IF(S1770=TRUE,INDEX('SummaryNOT_VALIDATED-BL'!$A$1:$F$16,MATCH(E1770,'SummaryNOT_VALIDATED-BL'!$A$1:$A$16,0),6),0)),0)</f>
        <v>0</v>
      </c>
      <c r="V1770" s="81" cm="1">
        <f t="array" ref="V1770">INDEX('Weight tables'!$A$24:$C$27,MATCH(1,(RendicontiTrasmessiBL__2[[#This Row],[Cut percentage on real costs + USC]]&gt;='Weight tables'!$B$24:$B$27)*(RendicontiTrasmessiBL__2[[#This Row],[Cut percentage on real costs + USC]]&lt;='Weight tables'!$C$24:$C$27),0),1)</f>
        <v>0</v>
      </c>
      <c r="W1770" s="2">
        <f>RendicontiTrasmessiBL__2[[#This Row],[Weight real costs  + USC ]]</f>
        <v>0</v>
      </c>
    </row>
    <row r="1771" spans="1:23" x14ac:dyDescent="0.25">
      <c r="A1771" s="1" t="s">
        <v>66</v>
      </c>
      <c r="B1771" s="1" t="s">
        <v>55</v>
      </c>
      <c r="C1771" s="2">
        <v>259</v>
      </c>
      <c r="D1771" s="2">
        <v>100</v>
      </c>
      <c r="E1771" s="1" t="s">
        <v>233</v>
      </c>
      <c r="G1771">
        <v>0</v>
      </c>
      <c r="H1771">
        <v>0</v>
      </c>
      <c r="I1771">
        <v>0</v>
      </c>
      <c r="J1771">
        <v>0</v>
      </c>
      <c r="K1771">
        <v>0</v>
      </c>
      <c r="L1771">
        <v>0</v>
      </c>
      <c r="M1771">
        <v>0</v>
      </c>
      <c r="N1771">
        <v>0</v>
      </c>
      <c r="O1771">
        <v>0</v>
      </c>
      <c r="P1771">
        <v>0</v>
      </c>
      <c r="Q1771" t="str">
        <f>INDEX('Partner data'!A:DH,MATCH(C1771,'Partner data'!DG:DG,0),83)</f>
        <v>Soggetto privato</v>
      </c>
      <c r="R1771" t="b">
        <f>IF(E1771="staff",IF(INDEX('Partner data'!A:DH,MATCH(C1771,'Partner data'!DG:DG,0),112)="BL1 non presente","FALSO",INDEX('Partner data'!A:DH,MATCH(C1771,'Partner data'!DG:DG,0),112)))</f>
        <v>0</v>
      </c>
      <c r="S1771" t="b">
        <f t="shared" si="54"/>
        <v>0</v>
      </c>
      <c r="T1771" t="b">
        <f t="shared" si="55"/>
        <v>0</v>
      </c>
      <c r="U1771" s="154">
        <f>IFERROR(IF(R1771&lt;&gt;FALSE,IF(S1771=TRUE,INDEX('SummaryNOT_VALIDATED-BL'!$A$1:$F$16,MATCH(R1771,'SummaryNOT_VALIDATED-BL'!$A$1:$A$16,0),6),0),IF(S1771=TRUE,INDEX('SummaryNOT_VALIDATED-BL'!$A$1:$F$16,MATCH(E1771,'SummaryNOT_VALIDATED-BL'!$A$1:$A$16,0),6),0)),0)</f>
        <v>0</v>
      </c>
      <c r="V1771" s="81" cm="1">
        <f t="array" ref="V1771">INDEX('Weight tables'!$A$24:$C$27,MATCH(1,(RendicontiTrasmessiBL__2[[#This Row],[Cut percentage on real costs + USC]]&gt;='Weight tables'!$B$24:$B$27)*(RendicontiTrasmessiBL__2[[#This Row],[Cut percentage on real costs + USC]]&lt;='Weight tables'!$C$24:$C$27),0),1)</f>
        <v>0</v>
      </c>
      <c r="W1771" s="2">
        <f>RendicontiTrasmessiBL__2[[#This Row],[Weight real costs  + USC ]]</f>
        <v>0</v>
      </c>
    </row>
    <row r="1772" spans="1:23" x14ac:dyDescent="0.25">
      <c r="A1772" s="1" t="s">
        <v>66</v>
      </c>
      <c r="B1772" s="1" t="s">
        <v>55</v>
      </c>
      <c r="C1772" s="2">
        <v>259</v>
      </c>
      <c r="D1772" s="2">
        <v>100</v>
      </c>
      <c r="E1772" s="1" t="s">
        <v>234</v>
      </c>
      <c r="F1772">
        <v>40</v>
      </c>
      <c r="G1772">
        <v>40000</v>
      </c>
      <c r="H1772">
        <v>0</v>
      </c>
      <c r="I1772">
        <v>0</v>
      </c>
      <c r="J1772">
        <v>8885.27</v>
      </c>
      <c r="K1772">
        <v>0</v>
      </c>
      <c r="L1772">
        <v>8545.26</v>
      </c>
      <c r="M1772">
        <v>8885.27</v>
      </c>
      <c r="N1772">
        <v>22.21</v>
      </c>
      <c r="O1772">
        <v>31114.73</v>
      </c>
      <c r="P1772">
        <v>0</v>
      </c>
      <c r="Q1772" t="str">
        <f>INDEX('Partner data'!A:DH,MATCH(C1772,'Partner data'!DG:DG,0),83)</f>
        <v>Soggetto privato</v>
      </c>
      <c r="R1772" t="b">
        <f>IF(E1772="staff",IF(INDEX('Partner data'!A:DH,MATCH(C1772,'Partner data'!DG:DG,0),112)="BL1 non presente","FALSO",INDEX('Partner data'!A:DH,MATCH(C1772,'Partner data'!DG:DG,0),112)))</f>
        <v>0</v>
      </c>
      <c r="S1772" t="b">
        <f t="shared" si="54"/>
        <v>1</v>
      </c>
      <c r="T1772" t="b">
        <f t="shared" si="55"/>
        <v>0</v>
      </c>
      <c r="U1772" s="154">
        <f>IFERROR(IF(R1772&lt;&gt;FALSE,IF(S1772=TRUE,INDEX('SummaryNOT_VALIDATED-BL'!$A$1:$F$16,MATCH(R1772,'SummaryNOT_VALIDATED-BL'!$A$1:$A$16,0),6),0),IF(S1772=TRUE,INDEX('SummaryNOT_VALIDATED-BL'!$A$1:$F$16,MATCH(E1772,'SummaryNOT_VALIDATED-BL'!$A$1:$A$16,0),6),0)),0)</f>
        <v>8.7645339819521315E-2</v>
      </c>
      <c r="V1772" s="81" cm="1">
        <f t="array" ref="V1772">INDEX('Weight tables'!$A$24:$C$27,MATCH(1,(RendicontiTrasmessiBL__2[[#This Row],[Cut percentage on real costs + USC]]&gt;='Weight tables'!$B$24:$B$27)*(RendicontiTrasmessiBL__2[[#This Row],[Cut percentage on real costs + USC]]&lt;='Weight tables'!$C$24:$C$27),0),1)</f>
        <v>4</v>
      </c>
      <c r="W1772" s="2">
        <f>RendicontiTrasmessiBL__2[[#This Row],[Weight real costs  + USC ]]</f>
        <v>4</v>
      </c>
    </row>
    <row r="1773" spans="1:23" x14ac:dyDescent="0.25">
      <c r="A1773" s="1" t="s">
        <v>66</v>
      </c>
      <c r="B1773" s="1" t="s">
        <v>55</v>
      </c>
      <c r="C1773" s="2">
        <v>259</v>
      </c>
      <c r="D1773" s="2">
        <v>100</v>
      </c>
      <c r="E1773" s="1" t="s">
        <v>236</v>
      </c>
      <c r="G1773">
        <v>0</v>
      </c>
      <c r="H1773">
        <v>0</v>
      </c>
      <c r="I1773">
        <v>0</v>
      </c>
      <c r="J1773">
        <v>0</v>
      </c>
      <c r="K1773">
        <v>0</v>
      </c>
      <c r="L1773">
        <v>0</v>
      </c>
      <c r="M1773">
        <v>0</v>
      </c>
      <c r="N1773">
        <v>0</v>
      </c>
      <c r="O1773">
        <v>0</v>
      </c>
      <c r="P1773">
        <v>0</v>
      </c>
      <c r="Q1773" t="str">
        <f>INDEX('Partner data'!A:DH,MATCH(C1773,'Partner data'!DG:DG,0),83)</f>
        <v>Soggetto privato</v>
      </c>
      <c r="R1773" t="b">
        <f>IF(E1773="staff",IF(INDEX('Partner data'!A:DH,MATCH(C1773,'Partner data'!DG:DG,0),112)="BL1 non presente","FALSO",INDEX('Partner data'!A:DH,MATCH(C1773,'Partner data'!DG:DG,0),112)))</f>
        <v>0</v>
      </c>
      <c r="S1773" t="b">
        <f t="shared" si="54"/>
        <v>0</v>
      </c>
      <c r="T1773" t="b">
        <f t="shared" si="55"/>
        <v>0</v>
      </c>
      <c r="U1773" s="154">
        <f>IFERROR(IF(R1773&lt;&gt;FALSE,IF(S1773=TRUE,INDEX('SummaryNOT_VALIDATED-BL'!$A$1:$F$16,MATCH(R1773,'SummaryNOT_VALIDATED-BL'!$A$1:$A$16,0),6),0),IF(S1773=TRUE,INDEX('SummaryNOT_VALIDATED-BL'!$A$1:$F$16,MATCH(E1773,'SummaryNOT_VALIDATED-BL'!$A$1:$A$16,0),6),0)),0)</f>
        <v>0</v>
      </c>
      <c r="V1773" s="81" cm="1">
        <f t="array" ref="V1773">INDEX('Weight tables'!$A$24:$C$27,MATCH(1,(RendicontiTrasmessiBL__2[[#This Row],[Cut percentage on real costs + USC]]&gt;='Weight tables'!$B$24:$B$27)*(RendicontiTrasmessiBL__2[[#This Row],[Cut percentage on real costs + USC]]&lt;='Weight tables'!$C$24:$C$27),0),1)</f>
        <v>0</v>
      </c>
      <c r="W1773" s="2">
        <f>RendicontiTrasmessiBL__2[[#This Row],[Weight real costs  + USC ]]</f>
        <v>0</v>
      </c>
    </row>
    <row r="1774" spans="1:23" x14ac:dyDescent="0.25">
      <c r="A1774" s="1" t="s">
        <v>66</v>
      </c>
      <c r="B1774" s="1" t="s">
        <v>55</v>
      </c>
      <c r="C1774" s="2">
        <v>259</v>
      </c>
      <c r="D1774" s="2">
        <v>100</v>
      </c>
      <c r="E1774" s="1" t="s">
        <v>237</v>
      </c>
      <c r="G1774">
        <v>0</v>
      </c>
      <c r="H1774">
        <v>0</v>
      </c>
      <c r="I1774">
        <v>0</v>
      </c>
      <c r="J1774">
        <v>0</v>
      </c>
      <c r="K1774">
        <v>0</v>
      </c>
      <c r="L1774">
        <v>0</v>
      </c>
      <c r="M1774">
        <v>0</v>
      </c>
      <c r="N1774">
        <v>0</v>
      </c>
      <c r="O1774">
        <v>0</v>
      </c>
      <c r="P1774">
        <v>0</v>
      </c>
      <c r="Q1774" t="str">
        <f>INDEX('Partner data'!A:DH,MATCH(C1774,'Partner data'!DG:DG,0),83)</f>
        <v>Soggetto privato</v>
      </c>
      <c r="R1774" t="b">
        <f>IF(E1774="staff",IF(INDEX('Partner data'!A:DH,MATCH(C1774,'Partner data'!DG:DG,0),112)="BL1 non presente","FALSO",INDEX('Partner data'!A:DH,MATCH(C1774,'Partner data'!DG:DG,0),112)))</f>
        <v>0</v>
      </c>
      <c r="S1774" t="b">
        <f t="shared" si="54"/>
        <v>0</v>
      </c>
      <c r="T1774" t="b">
        <f t="shared" si="55"/>
        <v>0</v>
      </c>
      <c r="U1774" s="154">
        <f>IFERROR(IF(R1774&lt;&gt;FALSE,IF(S1774=TRUE,INDEX('SummaryNOT_VALIDATED-BL'!$A$1:$F$16,MATCH(R1774,'SummaryNOT_VALIDATED-BL'!$A$1:$A$16,0),6),0),IF(S1774=TRUE,INDEX('SummaryNOT_VALIDATED-BL'!$A$1:$F$16,MATCH(E1774,'SummaryNOT_VALIDATED-BL'!$A$1:$A$16,0),6),0)),0)</f>
        <v>0</v>
      </c>
      <c r="V1774" s="81" cm="1">
        <f t="array" ref="V1774">INDEX('Weight tables'!$A$24:$C$27,MATCH(1,(RendicontiTrasmessiBL__2[[#This Row],[Cut percentage on real costs + USC]]&gt;='Weight tables'!$B$24:$B$27)*(RendicontiTrasmessiBL__2[[#This Row],[Cut percentage on real costs + USC]]&lt;='Weight tables'!$C$24:$C$27),0),1)</f>
        <v>0</v>
      </c>
      <c r="W1774" s="2">
        <f>RendicontiTrasmessiBL__2[[#This Row],[Weight real costs  + USC ]]</f>
        <v>0</v>
      </c>
    </row>
    <row r="1775" spans="1:23" x14ac:dyDescent="0.25">
      <c r="A1775" s="1" t="s">
        <v>66</v>
      </c>
      <c r="B1775" s="1" t="s">
        <v>372</v>
      </c>
      <c r="C1775" s="2">
        <v>261</v>
      </c>
      <c r="D1775" s="2">
        <v>215</v>
      </c>
      <c r="E1775" s="1" t="s">
        <v>228</v>
      </c>
      <c r="F1775">
        <v>20</v>
      </c>
      <c r="G1775">
        <v>20832</v>
      </c>
      <c r="H1775">
        <v>0</v>
      </c>
      <c r="I1775">
        <v>0</v>
      </c>
      <c r="J1775">
        <v>0</v>
      </c>
      <c r="K1775">
        <v>0</v>
      </c>
      <c r="L1775">
        <v>0</v>
      </c>
      <c r="M1775">
        <v>0</v>
      </c>
      <c r="N1775">
        <v>0</v>
      </c>
      <c r="O1775">
        <v>20832</v>
      </c>
      <c r="P1775">
        <v>0</v>
      </c>
      <c r="Q1775" t="str">
        <f>INDEX('Partner data'!A:DH,MATCH(C1775,'Partner data'!DG:DG,0),83)</f>
        <v>Soggetto pubblico</v>
      </c>
      <c r="R1775" t="str">
        <f>IF(E1775="staff",IF(INDEX('Partner data'!A:DH,MATCH(C1775,'Partner data'!DG:DG,0),112)="BL1 non presente","FALSO",INDEX('Partner data'!A:DH,MATCH(C1775,'Partner data'!DG:DG,0),112)))</f>
        <v>Tasso Forfettario 20%</v>
      </c>
      <c r="S1775" t="b">
        <f t="shared" si="54"/>
        <v>0</v>
      </c>
      <c r="T1775" t="b">
        <f t="shared" si="55"/>
        <v>1</v>
      </c>
      <c r="U1775" s="154">
        <f>IFERROR(IF(R1775&lt;&gt;FALSE,IF(S1775=TRUE,INDEX('SummaryNOT_VALIDATED-BL'!$A$1:$F$16,MATCH(R1775,'SummaryNOT_VALIDATED-BL'!$A$1:$A$16,0),6),0),IF(S1775=TRUE,INDEX('SummaryNOT_VALIDATED-BL'!$A$1:$F$16,MATCH(E1775,'SummaryNOT_VALIDATED-BL'!$A$1:$A$16,0),6),0)),0)</f>
        <v>0</v>
      </c>
      <c r="V1775" s="81" cm="1">
        <f t="array" ref="V1775">INDEX('Weight tables'!$A$24:$C$27,MATCH(1,(RendicontiTrasmessiBL__2[[#This Row],[Cut percentage on real costs + USC]]&gt;='Weight tables'!$B$24:$B$27)*(RendicontiTrasmessiBL__2[[#This Row],[Cut percentage on real costs + USC]]&lt;='Weight tables'!$C$24:$C$27),0),1)</f>
        <v>0</v>
      </c>
      <c r="W1775" s="2">
        <f>RendicontiTrasmessiBL__2[[#This Row],[Weight real costs  + USC ]]</f>
        <v>0</v>
      </c>
    </row>
    <row r="1776" spans="1:23" x14ac:dyDescent="0.25">
      <c r="A1776" s="1" t="s">
        <v>66</v>
      </c>
      <c r="B1776" s="1" t="s">
        <v>372</v>
      </c>
      <c r="C1776" s="2">
        <v>261</v>
      </c>
      <c r="D1776" s="2">
        <v>215</v>
      </c>
      <c r="E1776" s="1" t="s">
        <v>229</v>
      </c>
      <c r="G1776">
        <v>0</v>
      </c>
      <c r="H1776">
        <v>0</v>
      </c>
      <c r="I1776">
        <v>0</v>
      </c>
      <c r="J1776">
        <v>0</v>
      </c>
      <c r="K1776">
        <v>0</v>
      </c>
      <c r="L1776">
        <v>0</v>
      </c>
      <c r="M1776">
        <v>0</v>
      </c>
      <c r="N1776">
        <v>0</v>
      </c>
      <c r="O1776">
        <v>0</v>
      </c>
      <c r="P1776">
        <v>0</v>
      </c>
      <c r="Q1776" t="str">
        <f>INDEX('Partner data'!A:DH,MATCH(C1776,'Partner data'!DG:DG,0),83)</f>
        <v>Soggetto pubblico</v>
      </c>
      <c r="R1776" t="b">
        <f>IF(E1776="staff",IF(INDEX('Partner data'!A:DH,MATCH(C1776,'Partner data'!DG:DG,0),112)="BL1 non presente","FALSO",INDEX('Partner data'!A:DH,MATCH(C1776,'Partner data'!DG:DG,0),112)))</f>
        <v>0</v>
      </c>
      <c r="S1776" t="b">
        <f t="shared" si="54"/>
        <v>0</v>
      </c>
      <c r="T1776" t="b">
        <f t="shared" si="55"/>
        <v>1</v>
      </c>
      <c r="U1776" s="154">
        <f>IFERROR(IF(R1776&lt;&gt;FALSE,IF(S1776=TRUE,INDEX('SummaryNOT_VALIDATED-BL'!$A$1:$F$16,MATCH(R1776,'SummaryNOT_VALIDATED-BL'!$A$1:$A$16,0),6),0),IF(S1776=TRUE,INDEX('SummaryNOT_VALIDATED-BL'!$A$1:$F$16,MATCH(E1776,'SummaryNOT_VALIDATED-BL'!$A$1:$A$16,0),6),0)),0)</f>
        <v>0</v>
      </c>
      <c r="V1776" s="81" cm="1">
        <f t="array" ref="V1776">INDEX('Weight tables'!$A$24:$C$27,MATCH(1,(RendicontiTrasmessiBL__2[[#This Row],[Cut percentage on real costs + USC]]&gt;='Weight tables'!$B$24:$B$27)*(RendicontiTrasmessiBL__2[[#This Row],[Cut percentage on real costs + USC]]&lt;='Weight tables'!$C$24:$C$27),0),1)</f>
        <v>0</v>
      </c>
      <c r="W1776" s="2">
        <f>RendicontiTrasmessiBL__2[[#This Row],[Weight real costs  + USC ]]</f>
        <v>0</v>
      </c>
    </row>
    <row r="1777" spans="1:23" x14ac:dyDescent="0.25">
      <c r="A1777" s="1" t="s">
        <v>66</v>
      </c>
      <c r="B1777" s="1" t="s">
        <v>372</v>
      </c>
      <c r="C1777" s="2">
        <v>261</v>
      </c>
      <c r="D1777" s="2">
        <v>215</v>
      </c>
      <c r="E1777" s="1" t="s">
        <v>230</v>
      </c>
      <c r="G1777">
        <v>0</v>
      </c>
      <c r="H1777">
        <v>0</v>
      </c>
      <c r="I1777">
        <v>0</v>
      </c>
      <c r="J1777">
        <v>0</v>
      </c>
      <c r="K1777">
        <v>0</v>
      </c>
      <c r="L1777">
        <v>0</v>
      </c>
      <c r="M1777">
        <v>0</v>
      </c>
      <c r="N1777">
        <v>0</v>
      </c>
      <c r="O1777">
        <v>0</v>
      </c>
      <c r="P1777">
        <v>0</v>
      </c>
      <c r="Q1777" t="str">
        <f>INDEX('Partner data'!A:DH,MATCH(C1777,'Partner data'!DG:DG,0),83)</f>
        <v>Soggetto pubblico</v>
      </c>
      <c r="R1777" t="b">
        <f>IF(E1777="staff",IF(INDEX('Partner data'!A:DH,MATCH(C1777,'Partner data'!DG:DG,0),112)="BL1 non presente","FALSO",INDEX('Partner data'!A:DH,MATCH(C1777,'Partner data'!DG:DG,0),112)))</f>
        <v>0</v>
      </c>
      <c r="S1777" t="b">
        <f t="shared" si="54"/>
        <v>0</v>
      </c>
      <c r="T1777" t="b">
        <f t="shared" si="55"/>
        <v>1</v>
      </c>
      <c r="U1777" s="154">
        <f>IFERROR(IF(R1777&lt;&gt;FALSE,IF(S1777=TRUE,INDEX('SummaryNOT_VALIDATED-BL'!$A$1:$F$16,MATCH(R1777,'SummaryNOT_VALIDATED-BL'!$A$1:$A$16,0),6),0),IF(S1777=TRUE,INDEX('SummaryNOT_VALIDATED-BL'!$A$1:$F$16,MATCH(E1777,'SummaryNOT_VALIDATED-BL'!$A$1:$A$16,0),6),0)),0)</f>
        <v>0</v>
      </c>
      <c r="V1777" s="81" cm="1">
        <f t="array" ref="V1777">INDEX('Weight tables'!$A$24:$C$27,MATCH(1,(RendicontiTrasmessiBL__2[[#This Row],[Cut percentage on real costs + USC]]&gt;='Weight tables'!$B$24:$B$27)*(RendicontiTrasmessiBL__2[[#This Row],[Cut percentage on real costs + USC]]&lt;='Weight tables'!$C$24:$C$27),0),1)</f>
        <v>0</v>
      </c>
      <c r="W1777" s="2">
        <f>RendicontiTrasmessiBL__2[[#This Row],[Weight real costs  + USC ]]</f>
        <v>0</v>
      </c>
    </row>
    <row r="1778" spans="1:23" x14ac:dyDescent="0.25">
      <c r="A1778" s="1" t="s">
        <v>66</v>
      </c>
      <c r="B1778" s="1" t="s">
        <v>372</v>
      </c>
      <c r="C1778" s="2">
        <v>261</v>
      </c>
      <c r="D1778" s="2">
        <v>215</v>
      </c>
      <c r="E1778" s="1" t="s">
        <v>231</v>
      </c>
      <c r="G1778">
        <v>104160</v>
      </c>
      <c r="H1778">
        <v>0</v>
      </c>
      <c r="I1778">
        <v>0</v>
      </c>
      <c r="J1778">
        <v>0</v>
      </c>
      <c r="K1778">
        <v>0</v>
      </c>
      <c r="L1778">
        <v>0</v>
      </c>
      <c r="M1778">
        <v>0</v>
      </c>
      <c r="N1778">
        <v>0</v>
      </c>
      <c r="O1778">
        <v>104160</v>
      </c>
      <c r="P1778">
        <v>0</v>
      </c>
      <c r="Q1778" t="str">
        <f>INDEX('Partner data'!A:DH,MATCH(C1778,'Partner data'!DG:DG,0),83)</f>
        <v>Soggetto pubblico</v>
      </c>
      <c r="R1778" t="b">
        <f>IF(E1778="staff",IF(INDEX('Partner data'!A:DH,MATCH(C1778,'Partner data'!DG:DG,0),112)="BL1 non presente","FALSO",INDEX('Partner data'!A:DH,MATCH(C1778,'Partner data'!DG:DG,0),112)))</f>
        <v>0</v>
      </c>
      <c r="S1778" t="b">
        <f t="shared" si="54"/>
        <v>0</v>
      </c>
      <c r="T1778" t="b">
        <f t="shared" si="55"/>
        <v>1</v>
      </c>
      <c r="U1778" s="154">
        <f>IFERROR(IF(R1778&lt;&gt;FALSE,IF(S1778=TRUE,INDEX('SummaryNOT_VALIDATED-BL'!$A$1:$F$16,MATCH(R1778,'SummaryNOT_VALIDATED-BL'!$A$1:$A$16,0),6),0),IF(S1778=TRUE,INDEX('SummaryNOT_VALIDATED-BL'!$A$1:$F$16,MATCH(E1778,'SummaryNOT_VALIDATED-BL'!$A$1:$A$16,0),6),0)),0)</f>
        <v>0</v>
      </c>
      <c r="V1778" s="81" cm="1">
        <f t="array" ref="V1778">INDEX('Weight tables'!$A$24:$C$27,MATCH(1,(RendicontiTrasmessiBL__2[[#This Row],[Cut percentage on real costs + USC]]&gt;='Weight tables'!$B$24:$B$27)*(RendicontiTrasmessiBL__2[[#This Row],[Cut percentage on real costs + USC]]&lt;='Weight tables'!$C$24:$C$27),0),1)</f>
        <v>0</v>
      </c>
      <c r="W1778" s="2">
        <f>RendicontiTrasmessiBL__2[[#This Row],[Weight real costs  + USC ]]</f>
        <v>0</v>
      </c>
    </row>
    <row r="1779" spans="1:23" x14ac:dyDescent="0.25">
      <c r="A1779" s="1" t="s">
        <v>66</v>
      </c>
      <c r="B1779" s="1" t="s">
        <v>372</v>
      </c>
      <c r="C1779" s="2">
        <v>261</v>
      </c>
      <c r="D1779" s="2">
        <v>215</v>
      </c>
      <c r="E1779" s="1" t="s">
        <v>232</v>
      </c>
      <c r="G1779">
        <v>0</v>
      </c>
      <c r="H1779">
        <v>0</v>
      </c>
      <c r="I1779">
        <v>0</v>
      </c>
      <c r="J1779">
        <v>0</v>
      </c>
      <c r="K1779">
        <v>0</v>
      </c>
      <c r="L1779">
        <v>0</v>
      </c>
      <c r="M1779">
        <v>0</v>
      </c>
      <c r="N1779">
        <v>0</v>
      </c>
      <c r="O1779">
        <v>0</v>
      </c>
      <c r="P1779">
        <v>0</v>
      </c>
      <c r="Q1779" t="str">
        <f>INDEX('Partner data'!A:DH,MATCH(C1779,'Partner data'!DG:DG,0),83)</f>
        <v>Soggetto pubblico</v>
      </c>
      <c r="R1779" t="b">
        <f>IF(E1779="staff",IF(INDEX('Partner data'!A:DH,MATCH(C1779,'Partner data'!DG:DG,0),112)="BL1 non presente","FALSO",INDEX('Partner data'!A:DH,MATCH(C1779,'Partner data'!DG:DG,0),112)))</f>
        <v>0</v>
      </c>
      <c r="S1779" t="b">
        <f t="shared" si="54"/>
        <v>0</v>
      </c>
      <c r="T1779" t="b">
        <f t="shared" si="55"/>
        <v>1</v>
      </c>
      <c r="U1779" s="154">
        <f>IFERROR(IF(R1779&lt;&gt;FALSE,IF(S1779=TRUE,INDEX('SummaryNOT_VALIDATED-BL'!$A$1:$F$16,MATCH(R1779,'SummaryNOT_VALIDATED-BL'!$A$1:$A$16,0),6),0),IF(S1779=TRUE,INDEX('SummaryNOT_VALIDATED-BL'!$A$1:$F$16,MATCH(E1779,'SummaryNOT_VALIDATED-BL'!$A$1:$A$16,0),6),0)),0)</f>
        <v>0</v>
      </c>
      <c r="V1779" s="81" cm="1">
        <f t="array" ref="V1779">INDEX('Weight tables'!$A$24:$C$27,MATCH(1,(RendicontiTrasmessiBL__2[[#This Row],[Cut percentage on real costs + USC]]&gt;='Weight tables'!$B$24:$B$27)*(RendicontiTrasmessiBL__2[[#This Row],[Cut percentage on real costs + USC]]&lt;='Weight tables'!$C$24:$C$27),0),1)</f>
        <v>0</v>
      </c>
      <c r="W1779" s="2">
        <f>RendicontiTrasmessiBL__2[[#This Row],[Weight real costs  + USC ]]</f>
        <v>0</v>
      </c>
    </row>
    <row r="1780" spans="1:23" x14ac:dyDescent="0.25">
      <c r="A1780" s="1" t="s">
        <v>66</v>
      </c>
      <c r="B1780" s="1" t="s">
        <v>372</v>
      </c>
      <c r="C1780" s="2">
        <v>261</v>
      </c>
      <c r="D1780" s="2">
        <v>215</v>
      </c>
      <c r="E1780" s="1" t="s">
        <v>233</v>
      </c>
      <c r="G1780">
        <v>0</v>
      </c>
      <c r="H1780">
        <v>0</v>
      </c>
      <c r="I1780">
        <v>0</v>
      </c>
      <c r="J1780">
        <v>0</v>
      </c>
      <c r="K1780">
        <v>0</v>
      </c>
      <c r="L1780">
        <v>0</v>
      </c>
      <c r="M1780">
        <v>0</v>
      </c>
      <c r="N1780">
        <v>0</v>
      </c>
      <c r="O1780">
        <v>0</v>
      </c>
      <c r="P1780">
        <v>0</v>
      </c>
      <c r="Q1780" t="str">
        <f>INDEX('Partner data'!A:DH,MATCH(C1780,'Partner data'!DG:DG,0),83)</f>
        <v>Soggetto pubblico</v>
      </c>
      <c r="R1780" t="b">
        <f>IF(E1780="staff",IF(INDEX('Partner data'!A:DH,MATCH(C1780,'Partner data'!DG:DG,0),112)="BL1 non presente","FALSO",INDEX('Partner data'!A:DH,MATCH(C1780,'Partner data'!DG:DG,0),112)))</f>
        <v>0</v>
      </c>
      <c r="S1780" t="b">
        <f t="shared" si="54"/>
        <v>0</v>
      </c>
      <c r="T1780" t="b">
        <f t="shared" si="55"/>
        <v>1</v>
      </c>
      <c r="U1780" s="154">
        <f>IFERROR(IF(R1780&lt;&gt;FALSE,IF(S1780=TRUE,INDEX('SummaryNOT_VALIDATED-BL'!$A$1:$F$16,MATCH(R1780,'SummaryNOT_VALIDATED-BL'!$A$1:$A$16,0),6),0),IF(S1780=TRUE,INDEX('SummaryNOT_VALIDATED-BL'!$A$1:$F$16,MATCH(E1780,'SummaryNOT_VALIDATED-BL'!$A$1:$A$16,0),6),0)),0)</f>
        <v>0</v>
      </c>
      <c r="V1780" s="81" cm="1">
        <f t="array" ref="V1780">INDEX('Weight tables'!$A$24:$C$27,MATCH(1,(RendicontiTrasmessiBL__2[[#This Row],[Cut percentage on real costs + USC]]&gt;='Weight tables'!$B$24:$B$27)*(RendicontiTrasmessiBL__2[[#This Row],[Cut percentage on real costs + USC]]&lt;='Weight tables'!$C$24:$C$27),0),1)</f>
        <v>0</v>
      </c>
      <c r="W1780" s="2">
        <f>RendicontiTrasmessiBL__2[[#This Row],[Weight real costs  + USC ]]</f>
        <v>0</v>
      </c>
    </row>
    <row r="1781" spans="1:23" x14ac:dyDescent="0.25">
      <c r="A1781" s="1" t="s">
        <v>66</v>
      </c>
      <c r="B1781" s="1" t="s">
        <v>372</v>
      </c>
      <c r="C1781" s="2">
        <v>261</v>
      </c>
      <c r="D1781" s="2">
        <v>215</v>
      </c>
      <c r="E1781" s="1" t="s">
        <v>234</v>
      </c>
      <c r="G1781">
        <v>0</v>
      </c>
      <c r="H1781">
        <v>0</v>
      </c>
      <c r="I1781">
        <v>0</v>
      </c>
      <c r="J1781">
        <v>0</v>
      </c>
      <c r="K1781">
        <v>0</v>
      </c>
      <c r="L1781">
        <v>0</v>
      </c>
      <c r="M1781">
        <v>0</v>
      </c>
      <c r="N1781">
        <v>0</v>
      </c>
      <c r="O1781">
        <v>0</v>
      </c>
      <c r="P1781">
        <v>0</v>
      </c>
      <c r="Q1781" t="str">
        <f>INDEX('Partner data'!A:DH,MATCH(C1781,'Partner data'!DG:DG,0),83)</f>
        <v>Soggetto pubblico</v>
      </c>
      <c r="R1781" t="b">
        <f>IF(E1781="staff",IF(INDEX('Partner data'!A:DH,MATCH(C1781,'Partner data'!DG:DG,0),112)="BL1 non presente","FALSO",INDEX('Partner data'!A:DH,MATCH(C1781,'Partner data'!DG:DG,0),112)))</f>
        <v>0</v>
      </c>
      <c r="S1781" t="b">
        <f t="shared" si="54"/>
        <v>0</v>
      </c>
      <c r="T1781" t="b">
        <f t="shared" si="55"/>
        <v>1</v>
      </c>
      <c r="U1781" s="154">
        <f>IFERROR(IF(R1781&lt;&gt;FALSE,IF(S1781=TRUE,INDEX('SummaryNOT_VALIDATED-BL'!$A$1:$F$16,MATCH(R1781,'SummaryNOT_VALIDATED-BL'!$A$1:$A$16,0),6),0),IF(S1781=TRUE,INDEX('SummaryNOT_VALIDATED-BL'!$A$1:$F$16,MATCH(E1781,'SummaryNOT_VALIDATED-BL'!$A$1:$A$16,0),6),0)),0)</f>
        <v>0</v>
      </c>
      <c r="V1781" s="81" cm="1">
        <f t="array" ref="V1781">INDEX('Weight tables'!$A$24:$C$27,MATCH(1,(RendicontiTrasmessiBL__2[[#This Row],[Cut percentage on real costs + USC]]&gt;='Weight tables'!$B$24:$B$27)*(RendicontiTrasmessiBL__2[[#This Row],[Cut percentage on real costs + USC]]&lt;='Weight tables'!$C$24:$C$27),0),1)</f>
        <v>0</v>
      </c>
      <c r="W1781" s="2">
        <f>RendicontiTrasmessiBL__2[[#This Row],[Weight real costs  + USC ]]</f>
        <v>0</v>
      </c>
    </row>
    <row r="1782" spans="1:23" x14ac:dyDescent="0.25">
      <c r="A1782" s="1" t="s">
        <v>66</v>
      </c>
      <c r="B1782" s="1" t="s">
        <v>372</v>
      </c>
      <c r="C1782" s="2">
        <v>261</v>
      </c>
      <c r="D1782" s="2">
        <v>215</v>
      </c>
      <c r="E1782" s="1" t="s">
        <v>236</v>
      </c>
      <c r="G1782">
        <v>0</v>
      </c>
      <c r="H1782">
        <v>0</v>
      </c>
      <c r="I1782">
        <v>0</v>
      </c>
      <c r="J1782">
        <v>0</v>
      </c>
      <c r="K1782">
        <v>0</v>
      </c>
      <c r="L1782">
        <v>0</v>
      </c>
      <c r="M1782">
        <v>0</v>
      </c>
      <c r="N1782">
        <v>0</v>
      </c>
      <c r="O1782">
        <v>0</v>
      </c>
      <c r="P1782">
        <v>0</v>
      </c>
      <c r="Q1782" t="str">
        <f>INDEX('Partner data'!A:DH,MATCH(C1782,'Partner data'!DG:DG,0),83)</f>
        <v>Soggetto pubblico</v>
      </c>
      <c r="R1782" t="b">
        <f>IF(E1782="staff",IF(INDEX('Partner data'!A:DH,MATCH(C1782,'Partner data'!DG:DG,0),112)="BL1 non presente","FALSO",INDEX('Partner data'!A:DH,MATCH(C1782,'Partner data'!DG:DG,0),112)))</f>
        <v>0</v>
      </c>
      <c r="S1782" t="b">
        <f t="shared" si="54"/>
        <v>0</v>
      </c>
      <c r="T1782" t="b">
        <f t="shared" si="55"/>
        <v>1</v>
      </c>
      <c r="U1782" s="154">
        <f>IFERROR(IF(R1782&lt;&gt;FALSE,IF(S1782=TRUE,INDEX('SummaryNOT_VALIDATED-BL'!$A$1:$F$16,MATCH(R1782,'SummaryNOT_VALIDATED-BL'!$A$1:$A$16,0),6),0),IF(S1782=TRUE,INDEX('SummaryNOT_VALIDATED-BL'!$A$1:$F$16,MATCH(E1782,'SummaryNOT_VALIDATED-BL'!$A$1:$A$16,0),6),0)),0)</f>
        <v>0</v>
      </c>
      <c r="V1782" s="81" cm="1">
        <f t="array" ref="V1782">INDEX('Weight tables'!$A$24:$C$27,MATCH(1,(RendicontiTrasmessiBL__2[[#This Row],[Cut percentage on real costs + USC]]&gt;='Weight tables'!$B$24:$B$27)*(RendicontiTrasmessiBL__2[[#This Row],[Cut percentage on real costs + USC]]&lt;='Weight tables'!$C$24:$C$27),0),1)</f>
        <v>0</v>
      </c>
      <c r="W1782" s="2">
        <f>RendicontiTrasmessiBL__2[[#This Row],[Weight real costs  + USC ]]</f>
        <v>0</v>
      </c>
    </row>
    <row r="1783" spans="1:23" x14ac:dyDescent="0.25">
      <c r="A1783" s="1" t="s">
        <v>66</v>
      </c>
      <c r="B1783" s="1" t="s">
        <v>372</v>
      </c>
      <c r="C1783" s="2">
        <v>261</v>
      </c>
      <c r="D1783" s="2">
        <v>215</v>
      </c>
      <c r="E1783" s="1" t="s">
        <v>237</v>
      </c>
      <c r="G1783">
        <v>0</v>
      </c>
      <c r="H1783">
        <v>0</v>
      </c>
      <c r="I1783">
        <v>0</v>
      </c>
      <c r="J1783">
        <v>0</v>
      </c>
      <c r="K1783">
        <v>0</v>
      </c>
      <c r="L1783">
        <v>0</v>
      </c>
      <c r="M1783">
        <v>0</v>
      </c>
      <c r="N1783">
        <v>0</v>
      </c>
      <c r="O1783">
        <v>0</v>
      </c>
      <c r="P1783">
        <v>0</v>
      </c>
      <c r="Q1783" t="str">
        <f>INDEX('Partner data'!A:DH,MATCH(C1783,'Partner data'!DG:DG,0),83)</f>
        <v>Soggetto pubblico</v>
      </c>
      <c r="R1783" t="b">
        <f>IF(E1783="staff",IF(INDEX('Partner data'!A:DH,MATCH(C1783,'Partner data'!DG:DG,0),112)="BL1 non presente","FALSO",INDEX('Partner data'!A:DH,MATCH(C1783,'Partner data'!DG:DG,0),112)))</f>
        <v>0</v>
      </c>
      <c r="S1783" t="b">
        <f t="shared" si="54"/>
        <v>0</v>
      </c>
      <c r="T1783" t="b">
        <f t="shared" si="55"/>
        <v>1</v>
      </c>
      <c r="U1783" s="154">
        <f>IFERROR(IF(R1783&lt;&gt;FALSE,IF(S1783=TRUE,INDEX('SummaryNOT_VALIDATED-BL'!$A$1:$F$16,MATCH(R1783,'SummaryNOT_VALIDATED-BL'!$A$1:$A$16,0),6),0),IF(S1783=TRUE,INDEX('SummaryNOT_VALIDATED-BL'!$A$1:$F$16,MATCH(E1783,'SummaryNOT_VALIDATED-BL'!$A$1:$A$16,0),6),0)),0)</f>
        <v>0</v>
      </c>
      <c r="V1783" s="81" cm="1">
        <f t="array" ref="V1783">INDEX('Weight tables'!$A$24:$C$27,MATCH(1,(RendicontiTrasmessiBL__2[[#This Row],[Cut percentage on real costs + USC]]&gt;='Weight tables'!$B$24:$B$27)*(RendicontiTrasmessiBL__2[[#This Row],[Cut percentage on real costs + USC]]&lt;='Weight tables'!$C$24:$C$27),0),1)</f>
        <v>0</v>
      </c>
      <c r="W1783" s="2">
        <f>RendicontiTrasmessiBL__2[[#This Row],[Weight real costs  + USC ]]</f>
        <v>0</v>
      </c>
    </row>
    <row r="1784" spans="1:23" x14ac:dyDescent="0.25">
      <c r="A1784" s="1" t="s">
        <v>66</v>
      </c>
      <c r="B1784" s="1" t="s">
        <v>36</v>
      </c>
      <c r="C1784" s="2">
        <v>260</v>
      </c>
      <c r="D1784" s="2">
        <v>207</v>
      </c>
      <c r="E1784" s="1" t="s">
        <v>228</v>
      </c>
      <c r="G1784">
        <v>51120</v>
      </c>
      <c r="H1784">
        <v>0</v>
      </c>
      <c r="I1784">
        <v>0</v>
      </c>
      <c r="J1784">
        <v>8996.16</v>
      </c>
      <c r="K1784">
        <v>0</v>
      </c>
      <c r="L1784">
        <v>0</v>
      </c>
      <c r="M1784">
        <v>8996.16</v>
      </c>
      <c r="N1784">
        <v>17.600000000000001</v>
      </c>
      <c r="O1784">
        <v>42123.839999999997</v>
      </c>
      <c r="P1784">
        <v>0</v>
      </c>
      <c r="Q1784" t="str">
        <f>INDEX('Partner data'!A:DH,MATCH(C1784,'Partner data'!DG:DG,0),83)</f>
        <v>Soggetto pubblico</v>
      </c>
      <c r="R1784" t="str">
        <f>IF(E1784="staff",IF(INDEX('Partner data'!A:DH,MATCH(C1784,'Partner data'!DG:DG,0),112)="BL1 non presente","FALSO",INDEX('Partner data'!A:DH,MATCH(C1784,'Partner data'!DG:DG,0),112)))</f>
        <v>COSTO REALE</v>
      </c>
      <c r="S1784" t="b">
        <f t="shared" si="54"/>
        <v>1</v>
      </c>
      <c r="T1784" t="b">
        <f t="shared" si="55"/>
        <v>1</v>
      </c>
      <c r="U1784" s="154">
        <f>IFERROR(IF(R1784&lt;&gt;FALSE,IF(S1784=TRUE,INDEX('SummaryNOT_VALIDATED-BL'!$A$1:$F$16,MATCH(R1784,'SummaryNOT_VALIDATED-BL'!$A$1:$A$16,0),6),0),IF(S1784=TRUE,INDEX('SummaryNOT_VALIDATED-BL'!$A$1:$F$16,MATCH(E1784,'SummaryNOT_VALIDATED-BL'!$A$1:$A$16,0),6),0)),0)</f>
        <v>9.1604133276901048E-2</v>
      </c>
      <c r="V1784" s="81" cm="1">
        <f t="array" ref="V1784">INDEX('Weight tables'!$A$24:$C$27,MATCH(1,(RendicontiTrasmessiBL__2[[#This Row],[Cut percentage on real costs + USC]]&gt;='Weight tables'!$B$24:$B$27)*(RendicontiTrasmessiBL__2[[#This Row],[Cut percentage on real costs + USC]]&lt;='Weight tables'!$C$24:$C$27),0),1)</f>
        <v>4</v>
      </c>
      <c r="W1784" s="2">
        <f>RendicontiTrasmessiBL__2[[#This Row],[Weight real costs  + USC ]]</f>
        <v>4</v>
      </c>
    </row>
    <row r="1785" spans="1:23" x14ac:dyDescent="0.25">
      <c r="A1785" s="1" t="s">
        <v>66</v>
      </c>
      <c r="B1785" s="1" t="s">
        <v>36</v>
      </c>
      <c r="C1785" s="2">
        <v>260</v>
      </c>
      <c r="D1785" s="2">
        <v>207</v>
      </c>
      <c r="E1785" s="1" t="s">
        <v>229</v>
      </c>
      <c r="F1785">
        <v>15</v>
      </c>
      <c r="G1785">
        <v>7668</v>
      </c>
      <c r="H1785">
        <v>0</v>
      </c>
      <c r="I1785">
        <v>0</v>
      </c>
      <c r="J1785">
        <v>1349.42</v>
      </c>
      <c r="K1785">
        <v>0</v>
      </c>
      <c r="L1785">
        <v>0</v>
      </c>
      <c r="M1785">
        <v>1349.42</v>
      </c>
      <c r="N1785">
        <v>17.600000000000001</v>
      </c>
      <c r="O1785">
        <v>6318.58</v>
      </c>
      <c r="P1785">
        <v>0</v>
      </c>
      <c r="Q1785" t="str">
        <f>INDEX('Partner data'!A:DH,MATCH(C1785,'Partner data'!DG:DG,0),83)</f>
        <v>Soggetto pubblico</v>
      </c>
      <c r="R1785" t="b">
        <f>IF(E1785="staff",IF(INDEX('Partner data'!A:DH,MATCH(C1785,'Partner data'!DG:DG,0),112)="BL1 non presente","FALSO",INDEX('Partner data'!A:DH,MATCH(C1785,'Partner data'!DG:DG,0),112)))</f>
        <v>0</v>
      </c>
      <c r="S1785" t="b">
        <f t="shared" si="54"/>
        <v>1</v>
      </c>
      <c r="T1785" t="b">
        <f t="shared" si="55"/>
        <v>1</v>
      </c>
      <c r="U1785" s="154">
        <f>IFERROR(IF(R1785&lt;&gt;FALSE,IF(S1785=TRUE,INDEX('SummaryNOT_VALIDATED-BL'!$A$1:$F$16,MATCH(R1785,'SummaryNOT_VALIDATED-BL'!$A$1:$A$16,0),6),0),IF(S1785=TRUE,INDEX('SummaryNOT_VALIDATED-BL'!$A$1:$F$16,MATCH(E1785,'SummaryNOT_VALIDATED-BL'!$A$1:$A$16,0),6),0)),0)</f>
        <v>6.6460469504890221E-2</v>
      </c>
      <c r="V1785" s="81" cm="1">
        <f t="array" ref="V1785">INDEX('Weight tables'!$A$24:$C$27,MATCH(1,(RendicontiTrasmessiBL__2[[#This Row],[Cut percentage on real costs + USC]]&gt;='Weight tables'!$B$24:$B$27)*(RendicontiTrasmessiBL__2[[#This Row],[Cut percentage on real costs + USC]]&lt;='Weight tables'!$C$24:$C$27),0),1)</f>
        <v>4</v>
      </c>
      <c r="W1785" s="2">
        <f>RendicontiTrasmessiBL__2[[#This Row],[Weight real costs  + USC ]]</f>
        <v>4</v>
      </c>
    </row>
    <row r="1786" spans="1:23" x14ac:dyDescent="0.25">
      <c r="A1786" s="1" t="s">
        <v>66</v>
      </c>
      <c r="B1786" s="1" t="s">
        <v>36</v>
      </c>
      <c r="C1786" s="2">
        <v>260</v>
      </c>
      <c r="D1786" s="2">
        <v>207</v>
      </c>
      <c r="E1786" s="1" t="s">
        <v>230</v>
      </c>
      <c r="F1786">
        <v>4</v>
      </c>
      <c r="G1786">
        <v>2044.8</v>
      </c>
      <c r="H1786">
        <v>0</v>
      </c>
      <c r="I1786">
        <v>0</v>
      </c>
      <c r="J1786">
        <v>359.84</v>
      </c>
      <c r="K1786">
        <v>0</v>
      </c>
      <c r="L1786">
        <v>0</v>
      </c>
      <c r="M1786">
        <v>359.84</v>
      </c>
      <c r="N1786">
        <v>17.600000000000001</v>
      </c>
      <c r="O1786">
        <v>1684.96</v>
      </c>
      <c r="P1786">
        <v>0</v>
      </c>
      <c r="Q1786" t="str">
        <f>INDEX('Partner data'!A:DH,MATCH(C1786,'Partner data'!DG:DG,0),83)</f>
        <v>Soggetto pubblico</v>
      </c>
      <c r="R1786" t="b">
        <f>IF(E1786="staff",IF(INDEX('Partner data'!A:DH,MATCH(C1786,'Partner data'!DG:DG,0),112)="BL1 non presente","FALSO",INDEX('Partner data'!A:DH,MATCH(C1786,'Partner data'!DG:DG,0),112)))</f>
        <v>0</v>
      </c>
      <c r="S1786" t="b">
        <f t="shared" si="54"/>
        <v>1</v>
      </c>
      <c r="T1786" t="b">
        <f t="shared" si="55"/>
        <v>1</v>
      </c>
      <c r="U1786" s="154">
        <f>IFERROR(IF(R1786&lt;&gt;FALSE,IF(S1786=TRUE,INDEX('SummaryNOT_VALIDATED-BL'!$A$1:$F$16,MATCH(R1786,'SummaryNOT_VALIDATED-BL'!$A$1:$A$16,0),6),0),IF(S1786=TRUE,INDEX('SummaryNOT_VALIDATED-BL'!$A$1:$F$16,MATCH(E1786,'SummaryNOT_VALIDATED-BL'!$A$1:$A$16,0),6),0)),0)</f>
        <v>6.3112622236488891E-2</v>
      </c>
      <c r="V1786" s="81" cm="1">
        <f t="array" ref="V1786">INDEX('Weight tables'!$A$24:$C$27,MATCH(1,(RendicontiTrasmessiBL__2[[#This Row],[Cut percentage on real costs + USC]]&gt;='Weight tables'!$B$24:$B$27)*(RendicontiTrasmessiBL__2[[#This Row],[Cut percentage on real costs + USC]]&lt;='Weight tables'!$C$24:$C$27),0),1)</f>
        <v>4</v>
      </c>
      <c r="W1786" s="2">
        <f>RendicontiTrasmessiBL__2[[#This Row],[Weight real costs  + USC ]]</f>
        <v>4</v>
      </c>
    </row>
    <row r="1787" spans="1:23" x14ac:dyDescent="0.25">
      <c r="A1787" s="1" t="s">
        <v>66</v>
      </c>
      <c r="B1787" s="1" t="s">
        <v>36</v>
      </c>
      <c r="C1787" s="2">
        <v>260</v>
      </c>
      <c r="D1787" s="2">
        <v>207</v>
      </c>
      <c r="E1787" s="1" t="s">
        <v>231</v>
      </c>
      <c r="G1787">
        <v>45608.6</v>
      </c>
      <c r="H1787">
        <v>0</v>
      </c>
      <c r="I1787">
        <v>0</v>
      </c>
      <c r="J1787">
        <v>137.49</v>
      </c>
      <c r="K1787">
        <v>0</v>
      </c>
      <c r="L1787">
        <v>0</v>
      </c>
      <c r="M1787">
        <v>137.49</v>
      </c>
      <c r="N1787">
        <v>0.3</v>
      </c>
      <c r="O1787">
        <v>45471.11</v>
      </c>
      <c r="P1787">
        <v>0</v>
      </c>
      <c r="Q1787" t="str">
        <f>INDEX('Partner data'!A:DH,MATCH(C1787,'Partner data'!DG:DG,0),83)</f>
        <v>Soggetto pubblico</v>
      </c>
      <c r="R1787" t="b">
        <f>IF(E1787="staff",IF(INDEX('Partner data'!A:DH,MATCH(C1787,'Partner data'!DG:DG,0),112)="BL1 non presente","FALSO",INDEX('Partner data'!A:DH,MATCH(C1787,'Partner data'!DG:DG,0),112)))</f>
        <v>0</v>
      </c>
      <c r="S1787" t="b">
        <f t="shared" si="54"/>
        <v>1</v>
      </c>
      <c r="T1787" t="b">
        <f t="shared" si="55"/>
        <v>1</v>
      </c>
      <c r="U1787" s="154">
        <f>IFERROR(IF(R1787&lt;&gt;FALSE,IF(S1787=TRUE,INDEX('SummaryNOT_VALIDATED-BL'!$A$1:$F$16,MATCH(R1787,'SummaryNOT_VALIDATED-BL'!$A$1:$A$16,0),6),0),IF(S1787=TRUE,INDEX('SummaryNOT_VALIDATED-BL'!$A$1:$F$16,MATCH(E1787,'SummaryNOT_VALIDATED-BL'!$A$1:$A$16,0),6),0)),0)</f>
        <v>5.577594442215475E-2</v>
      </c>
      <c r="V1787" s="81" cm="1">
        <f t="array" ref="V1787">INDEX('Weight tables'!$A$24:$C$27,MATCH(1,(RendicontiTrasmessiBL__2[[#This Row],[Cut percentage on real costs + USC]]&gt;='Weight tables'!$B$24:$B$27)*(RendicontiTrasmessiBL__2[[#This Row],[Cut percentage on real costs + USC]]&lt;='Weight tables'!$C$24:$C$27),0),1)</f>
        <v>4</v>
      </c>
      <c r="W1787" s="2">
        <f>RendicontiTrasmessiBL__2[[#This Row],[Weight real costs  + USC ]]</f>
        <v>4</v>
      </c>
    </row>
    <row r="1788" spans="1:23" x14ac:dyDescent="0.25">
      <c r="A1788" s="1" t="s">
        <v>66</v>
      </c>
      <c r="B1788" s="1" t="s">
        <v>36</v>
      </c>
      <c r="C1788" s="2">
        <v>260</v>
      </c>
      <c r="D1788" s="2">
        <v>207</v>
      </c>
      <c r="E1788" s="1" t="s">
        <v>232</v>
      </c>
      <c r="G1788">
        <v>3558.6</v>
      </c>
      <c r="H1788">
        <v>0</v>
      </c>
      <c r="I1788">
        <v>0</v>
      </c>
      <c r="J1788">
        <v>2997.54</v>
      </c>
      <c r="K1788">
        <v>0</v>
      </c>
      <c r="L1788">
        <v>0</v>
      </c>
      <c r="M1788">
        <v>2997.54</v>
      </c>
      <c r="N1788">
        <v>84.23</v>
      </c>
      <c r="O1788">
        <v>561.05999999999995</v>
      </c>
      <c r="P1788">
        <v>0</v>
      </c>
      <c r="Q1788" t="str">
        <f>INDEX('Partner data'!A:DH,MATCH(C1788,'Partner data'!DG:DG,0),83)</f>
        <v>Soggetto pubblico</v>
      </c>
      <c r="R1788" t="b">
        <f>IF(E1788="staff",IF(INDEX('Partner data'!A:DH,MATCH(C1788,'Partner data'!DG:DG,0),112)="BL1 non presente","FALSO",INDEX('Partner data'!A:DH,MATCH(C1788,'Partner data'!DG:DG,0),112)))</f>
        <v>0</v>
      </c>
      <c r="S1788" t="b">
        <f t="shared" si="54"/>
        <v>1</v>
      </c>
      <c r="T1788" t="b">
        <f t="shared" si="55"/>
        <v>1</v>
      </c>
      <c r="U1788" s="154">
        <f>IFERROR(IF(R1788&lt;&gt;FALSE,IF(S1788=TRUE,INDEX('SummaryNOT_VALIDATED-BL'!$A$1:$F$16,MATCH(R1788,'SummaryNOT_VALIDATED-BL'!$A$1:$A$16,0),6),0),IF(S1788=TRUE,INDEX('SummaryNOT_VALIDATED-BL'!$A$1:$F$16,MATCH(E1788,'SummaryNOT_VALIDATED-BL'!$A$1:$A$16,0),6),0)),0)</f>
        <v>1.102169095281242E-2</v>
      </c>
      <c r="V1788" s="81" cm="1">
        <f t="array" ref="V1788">INDEX('Weight tables'!$A$24:$C$27,MATCH(1,(RendicontiTrasmessiBL__2[[#This Row],[Cut percentage on real costs + USC]]&gt;='Weight tables'!$B$24:$B$27)*(RendicontiTrasmessiBL__2[[#This Row],[Cut percentage on real costs + USC]]&lt;='Weight tables'!$C$24:$C$27),0),1)</f>
        <v>0</v>
      </c>
      <c r="W1788" s="2">
        <f>RendicontiTrasmessiBL__2[[#This Row],[Weight real costs  + USC ]]</f>
        <v>0</v>
      </c>
    </row>
    <row r="1789" spans="1:23" x14ac:dyDescent="0.25">
      <c r="A1789" s="1" t="s">
        <v>66</v>
      </c>
      <c r="B1789" s="1" t="s">
        <v>36</v>
      </c>
      <c r="C1789" s="2">
        <v>260</v>
      </c>
      <c r="D1789" s="2">
        <v>207</v>
      </c>
      <c r="E1789" s="1" t="s">
        <v>233</v>
      </c>
      <c r="G1789">
        <v>0</v>
      </c>
      <c r="H1789">
        <v>0</v>
      </c>
      <c r="I1789">
        <v>0</v>
      </c>
      <c r="J1789">
        <v>0</v>
      </c>
      <c r="K1789">
        <v>0</v>
      </c>
      <c r="L1789">
        <v>0</v>
      </c>
      <c r="M1789">
        <v>0</v>
      </c>
      <c r="N1789">
        <v>0</v>
      </c>
      <c r="O1789">
        <v>0</v>
      </c>
      <c r="P1789">
        <v>0</v>
      </c>
      <c r="Q1789" t="str">
        <f>INDEX('Partner data'!A:DH,MATCH(C1789,'Partner data'!DG:DG,0),83)</f>
        <v>Soggetto pubblico</v>
      </c>
      <c r="R1789" t="b">
        <f>IF(E1789="staff",IF(INDEX('Partner data'!A:DH,MATCH(C1789,'Partner data'!DG:DG,0),112)="BL1 non presente","FALSO",INDEX('Partner data'!A:DH,MATCH(C1789,'Partner data'!DG:DG,0),112)))</f>
        <v>0</v>
      </c>
      <c r="S1789" t="b">
        <f t="shared" si="54"/>
        <v>0</v>
      </c>
      <c r="T1789" t="b">
        <f t="shared" si="55"/>
        <v>1</v>
      </c>
      <c r="U1789" s="154">
        <f>IFERROR(IF(R1789&lt;&gt;FALSE,IF(S1789=TRUE,INDEX('SummaryNOT_VALIDATED-BL'!$A$1:$F$16,MATCH(R1789,'SummaryNOT_VALIDATED-BL'!$A$1:$A$16,0),6),0),IF(S1789=TRUE,INDEX('SummaryNOT_VALIDATED-BL'!$A$1:$F$16,MATCH(E1789,'SummaryNOT_VALIDATED-BL'!$A$1:$A$16,0),6),0)),0)</f>
        <v>0</v>
      </c>
      <c r="V1789" s="81" cm="1">
        <f t="array" ref="V1789">INDEX('Weight tables'!$A$24:$C$27,MATCH(1,(RendicontiTrasmessiBL__2[[#This Row],[Cut percentage on real costs + USC]]&gt;='Weight tables'!$B$24:$B$27)*(RendicontiTrasmessiBL__2[[#This Row],[Cut percentage on real costs + USC]]&lt;='Weight tables'!$C$24:$C$27),0),1)</f>
        <v>0</v>
      </c>
      <c r="W1789" s="2">
        <f>RendicontiTrasmessiBL__2[[#This Row],[Weight real costs  + USC ]]</f>
        <v>0</v>
      </c>
    </row>
    <row r="1790" spans="1:23" x14ac:dyDescent="0.25">
      <c r="A1790" s="1" t="s">
        <v>66</v>
      </c>
      <c r="B1790" s="1" t="s">
        <v>36</v>
      </c>
      <c r="C1790" s="2">
        <v>260</v>
      </c>
      <c r="D1790" s="2">
        <v>207</v>
      </c>
      <c r="E1790" s="1" t="s">
        <v>234</v>
      </c>
      <c r="G1790">
        <v>0</v>
      </c>
      <c r="H1790">
        <v>0</v>
      </c>
      <c r="I1790">
        <v>0</v>
      </c>
      <c r="J1790">
        <v>0</v>
      </c>
      <c r="K1790">
        <v>0</v>
      </c>
      <c r="L1790">
        <v>0</v>
      </c>
      <c r="M1790">
        <v>0</v>
      </c>
      <c r="N1790">
        <v>0</v>
      </c>
      <c r="O1790">
        <v>0</v>
      </c>
      <c r="P1790">
        <v>0</v>
      </c>
      <c r="Q1790" t="str">
        <f>INDEX('Partner data'!A:DH,MATCH(C1790,'Partner data'!DG:DG,0),83)</f>
        <v>Soggetto pubblico</v>
      </c>
      <c r="R1790" t="b">
        <f>IF(E1790="staff",IF(INDEX('Partner data'!A:DH,MATCH(C1790,'Partner data'!DG:DG,0),112)="BL1 non presente","FALSO",INDEX('Partner data'!A:DH,MATCH(C1790,'Partner data'!DG:DG,0),112)))</f>
        <v>0</v>
      </c>
      <c r="S1790" t="b">
        <f t="shared" si="54"/>
        <v>0</v>
      </c>
      <c r="T1790" t="b">
        <f t="shared" si="55"/>
        <v>1</v>
      </c>
      <c r="U1790" s="154">
        <f>IFERROR(IF(R1790&lt;&gt;FALSE,IF(S1790=TRUE,INDEX('SummaryNOT_VALIDATED-BL'!$A$1:$F$16,MATCH(R1790,'SummaryNOT_VALIDATED-BL'!$A$1:$A$16,0),6),0),IF(S1790=TRUE,INDEX('SummaryNOT_VALIDATED-BL'!$A$1:$F$16,MATCH(E1790,'SummaryNOT_VALIDATED-BL'!$A$1:$A$16,0),6),0)),0)</f>
        <v>0</v>
      </c>
      <c r="V1790" s="81" cm="1">
        <f t="array" ref="V1790">INDEX('Weight tables'!$A$24:$C$27,MATCH(1,(RendicontiTrasmessiBL__2[[#This Row],[Cut percentage on real costs + USC]]&gt;='Weight tables'!$B$24:$B$27)*(RendicontiTrasmessiBL__2[[#This Row],[Cut percentage on real costs + USC]]&lt;='Weight tables'!$C$24:$C$27),0),1)</f>
        <v>0</v>
      </c>
      <c r="W1790" s="2">
        <f>RendicontiTrasmessiBL__2[[#This Row],[Weight real costs  + USC ]]</f>
        <v>0</v>
      </c>
    </row>
    <row r="1791" spans="1:23" x14ac:dyDescent="0.25">
      <c r="A1791" s="1" t="s">
        <v>66</v>
      </c>
      <c r="B1791" s="1" t="s">
        <v>36</v>
      </c>
      <c r="C1791" s="2">
        <v>260</v>
      </c>
      <c r="D1791" s="2">
        <v>207</v>
      </c>
      <c r="E1791" s="1" t="s">
        <v>236</v>
      </c>
      <c r="G1791">
        <v>0</v>
      </c>
      <c r="H1791">
        <v>0</v>
      </c>
      <c r="I1791">
        <v>0</v>
      </c>
      <c r="J1791">
        <v>0</v>
      </c>
      <c r="K1791">
        <v>0</v>
      </c>
      <c r="L1791">
        <v>0</v>
      </c>
      <c r="M1791">
        <v>0</v>
      </c>
      <c r="N1791">
        <v>0</v>
      </c>
      <c r="O1791">
        <v>0</v>
      </c>
      <c r="P1791">
        <v>0</v>
      </c>
      <c r="Q1791" t="str">
        <f>INDEX('Partner data'!A:DH,MATCH(C1791,'Partner data'!DG:DG,0),83)</f>
        <v>Soggetto pubblico</v>
      </c>
      <c r="R1791" t="b">
        <f>IF(E1791="staff",IF(INDEX('Partner data'!A:DH,MATCH(C1791,'Partner data'!DG:DG,0),112)="BL1 non presente","FALSO",INDEX('Partner data'!A:DH,MATCH(C1791,'Partner data'!DG:DG,0),112)))</f>
        <v>0</v>
      </c>
      <c r="S1791" t="b">
        <f t="shared" si="54"/>
        <v>0</v>
      </c>
      <c r="T1791" t="b">
        <f t="shared" si="55"/>
        <v>1</v>
      </c>
      <c r="U1791" s="154">
        <f>IFERROR(IF(R1791&lt;&gt;FALSE,IF(S1791=TRUE,INDEX('SummaryNOT_VALIDATED-BL'!$A$1:$F$16,MATCH(R1791,'SummaryNOT_VALIDATED-BL'!$A$1:$A$16,0),6),0),IF(S1791=TRUE,INDEX('SummaryNOT_VALIDATED-BL'!$A$1:$F$16,MATCH(E1791,'SummaryNOT_VALIDATED-BL'!$A$1:$A$16,0),6),0)),0)</f>
        <v>0</v>
      </c>
      <c r="V1791" s="81" cm="1">
        <f t="array" ref="V1791">INDEX('Weight tables'!$A$24:$C$27,MATCH(1,(RendicontiTrasmessiBL__2[[#This Row],[Cut percentage on real costs + USC]]&gt;='Weight tables'!$B$24:$B$27)*(RendicontiTrasmessiBL__2[[#This Row],[Cut percentage on real costs + USC]]&lt;='Weight tables'!$C$24:$C$27),0),1)</f>
        <v>0</v>
      </c>
      <c r="W1791" s="2">
        <f>RendicontiTrasmessiBL__2[[#This Row],[Weight real costs  + USC ]]</f>
        <v>0</v>
      </c>
    </row>
    <row r="1792" spans="1:23" x14ac:dyDescent="0.25">
      <c r="A1792" s="1" t="s">
        <v>66</v>
      </c>
      <c r="B1792" s="1" t="s">
        <v>36</v>
      </c>
      <c r="C1792" s="2">
        <v>260</v>
      </c>
      <c r="D1792" s="2">
        <v>207</v>
      </c>
      <c r="E1792" s="1" t="s">
        <v>237</v>
      </c>
      <c r="G1792">
        <v>0</v>
      </c>
      <c r="H1792">
        <v>0</v>
      </c>
      <c r="I1792">
        <v>0</v>
      </c>
      <c r="J1792">
        <v>0</v>
      </c>
      <c r="K1792">
        <v>0</v>
      </c>
      <c r="L1792">
        <v>0</v>
      </c>
      <c r="M1792">
        <v>0</v>
      </c>
      <c r="N1792">
        <v>0</v>
      </c>
      <c r="O1792">
        <v>0</v>
      </c>
      <c r="P1792">
        <v>0</v>
      </c>
      <c r="Q1792" t="str">
        <f>INDEX('Partner data'!A:DH,MATCH(C1792,'Partner data'!DG:DG,0),83)</f>
        <v>Soggetto pubblico</v>
      </c>
      <c r="R1792" t="b">
        <f>IF(E1792="staff",IF(INDEX('Partner data'!A:DH,MATCH(C1792,'Partner data'!DG:DG,0),112)="BL1 non presente","FALSO",INDEX('Partner data'!A:DH,MATCH(C1792,'Partner data'!DG:DG,0),112)))</f>
        <v>0</v>
      </c>
      <c r="S1792" t="b">
        <f t="shared" si="54"/>
        <v>0</v>
      </c>
      <c r="T1792" t="b">
        <f t="shared" si="55"/>
        <v>1</v>
      </c>
      <c r="U1792" s="154">
        <f>IFERROR(IF(R1792&lt;&gt;FALSE,IF(S1792=TRUE,INDEX('SummaryNOT_VALIDATED-BL'!$A$1:$F$16,MATCH(R1792,'SummaryNOT_VALIDATED-BL'!$A$1:$A$16,0),6),0),IF(S1792=TRUE,INDEX('SummaryNOT_VALIDATED-BL'!$A$1:$F$16,MATCH(E1792,'SummaryNOT_VALIDATED-BL'!$A$1:$A$16,0),6),0)),0)</f>
        <v>0</v>
      </c>
      <c r="V1792" s="81" cm="1">
        <f t="array" ref="V1792">INDEX('Weight tables'!$A$24:$C$27,MATCH(1,(RendicontiTrasmessiBL__2[[#This Row],[Cut percentage on real costs + USC]]&gt;='Weight tables'!$B$24:$B$27)*(RendicontiTrasmessiBL__2[[#This Row],[Cut percentage on real costs + USC]]&lt;='Weight tables'!$C$24:$C$27),0),1)</f>
        <v>0</v>
      </c>
      <c r="W1792" s="2">
        <f>RendicontiTrasmessiBL__2[[#This Row],[Weight real costs  + USC ]]</f>
        <v>0</v>
      </c>
    </row>
    <row r="1793" spans="1:23" x14ac:dyDescent="0.25">
      <c r="A1793" s="1" t="s">
        <v>66</v>
      </c>
      <c r="B1793" s="1" t="s">
        <v>21</v>
      </c>
      <c r="C1793" s="2">
        <v>258</v>
      </c>
      <c r="D1793" s="2">
        <v>161</v>
      </c>
      <c r="E1793" s="1" t="s">
        <v>228</v>
      </c>
      <c r="F1793">
        <v>20</v>
      </c>
      <c r="G1793">
        <v>38933.760000000002</v>
      </c>
      <c r="H1793">
        <v>0</v>
      </c>
      <c r="I1793">
        <v>0</v>
      </c>
      <c r="J1793">
        <v>1843.92</v>
      </c>
      <c r="K1793">
        <v>0</v>
      </c>
      <c r="L1793">
        <v>1843.92</v>
      </c>
      <c r="M1793">
        <v>1843.92</v>
      </c>
      <c r="N1793">
        <v>4.74</v>
      </c>
      <c r="O1793">
        <v>37089.839999999997</v>
      </c>
      <c r="P1793">
        <v>0</v>
      </c>
      <c r="Q1793" t="str">
        <f>INDEX('Partner data'!A:DH,MATCH(C1793,'Partner data'!DG:DG,0),83)</f>
        <v xml:space="preserve">Organismo di diritto pubblico </v>
      </c>
      <c r="R1793" t="str">
        <f>IF(E1793="staff",IF(INDEX('Partner data'!A:DH,MATCH(C1793,'Partner data'!DG:DG,0),112)="BL1 non presente","FALSO",INDEX('Partner data'!A:DH,MATCH(C1793,'Partner data'!DG:DG,0),112)))</f>
        <v>Tasso Forfettario 20%</v>
      </c>
      <c r="S1793" t="b">
        <f t="shared" si="54"/>
        <v>1</v>
      </c>
      <c r="T1793" t="b">
        <f t="shared" si="55"/>
        <v>1</v>
      </c>
      <c r="U1793" s="154">
        <f>IFERROR(IF(R1793&lt;&gt;FALSE,IF(S1793=TRUE,INDEX('SummaryNOT_VALIDATED-BL'!$A$1:$F$16,MATCH(R1793,'SummaryNOT_VALIDATED-BL'!$A$1:$A$16,0),6),0),IF(S1793=TRUE,INDEX('SummaryNOT_VALIDATED-BL'!$A$1:$F$16,MATCH(E1793,'SummaryNOT_VALIDATED-BL'!$A$1:$A$16,0),6),0)),0)</f>
        <v>1.2653355650533233E-2</v>
      </c>
      <c r="V1793" s="81" cm="1">
        <f t="array" ref="V1793">INDEX('Weight tables'!$A$24:$C$27,MATCH(1,(RendicontiTrasmessiBL__2[[#This Row],[Cut percentage on real costs + USC]]&gt;='Weight tables'!$B$24:$B$27)*(RendicontiTrasmessiBL__2[[#This Row],[Cut percentage on real costs + USC]]&lt;='Weight tables'!$C$24:$C$27),0),1)</f>
        <v>0</v>
      </c>
      <c r="W1793" s="2">
        <f>RendicontiTrasmessiBL__2[[#This Row],[Weight real costs  + USC ]]</f>
        <v>0</v>
      </c>
    </row>
    <row r="1794" spans="1:23" x14ac:dyDescent="0.25">
      <c r="A1794" s="1" t="s">
        <v>66</v>
      </c>
      <c r="B1794" s="1" t="s">
        <v>21</v>
      </c>
      <c r="C1794" s="2">
        <v>258</v>
      </c>
      <c r="D1794" s="2">
        <v>161</v>
      </c>
      <c r="E1794" s="1" t="s">
        <v>229</v>
      </c>
      <c r="F1794">
        <v>15</v>
      </c>
      <c r="G1794">
        <v>5840.06</v>
      </c>
      <c r="H1794">
        <v>0</v>
      </c>
      <c r="I1794">
        <v>0</v>
      </c>
      <c r="J1794">
        <v>276.58</v>
      </c>
      <c r="K1794">
        <v>0</v>
      </c>
      <c r="L1794">
        <v>276.58</v>
      </c>
      <c r="M1794">
        <v>276.58</v>
      </c>
      <c r="N1794">
        <v>4.74</v>
      </c>
      <c r="O1794">
        <v>5563.48</v>
      </c>
      <c r="P1794">
        <v>0</v>
      </c>
      <c r="Q1794" t="str">
        <f>INDEX('Partner data'!A:DH,MATCH(C1794,'Partner data'!DG:DG,0),83)</f>
        <v xml:space="preserve">Organismo di diritto pubblico </v>
      </c>
      <c r="R1794" t="b">
        <f>IF(E1794="staff",IF(INDEX('Partner data'!A:DH,MATCH(C1794,'Partner data'!DG:DG,0),112)="BL1 non presente","FALSO",INDEX('Partner data'!A:DH,MATCH(C1794,'Partner data'!DG:DG,0),112)))</f>
        <v>0</v>
      </c>
      <c r="S1794" t="b">
        <f t="shared" ref="S1794:S1857" si="56">IF(J1794&lt;&gt;0,TRUE,FALSE)</f>
        <v>1</v>
      </c>
      <c r="T1794" t="b">
        <f t="shared" ref="T1794:T1857" si="57">OR(Q1794="Soggetto pubblico",Q1794="Organismo di diritto pubblico ")</f>
        <v>1</v>
      </c>
      <c r="U1794" s="154">
        <f>IFERROR(IF(R1794&lt;&gt;FALSE,IF(S1794=TRUE,INDEX('SummaryNOT_VALIDATED-BL'!$A$1:$F$16,MATCH(R1794,'SummaryNOT_VALIDATED-BL'!$A$1:$A$16,0),6),0),IF(S1794=TRUE,INDEX('SummaryNOT_VALIDATED-BL'!$A$1:$F$16,MATCH(E1794,'SummaryNOT_VALIDATED-BL'!$A$1:$A$16,0),6),0)),0)</f>
        <v>6.6460469504890221E-2</v>
      </c>
      <c r="V1794" s="81" cm="1">
        <f t="array" ref="V1794">INDEX('Weight tables'!$A$24:$C$27,MATCH(1,(RendicontiTrasmessiBL__2[[#This Row],[Cut percentage on real costs + USC]]&gt;='Weight tables'!$B$24:$B$27)*(RendicontiTrasmessiBL__2[[#This Row],[Cut percentage on real costs + USC]]&lt;='Weight tables'!$C$24:$C$27),0),1)</f>
        <v>4</v>
      </c>
      <c r="W1794" s="2">
        <f>RendicontiTrasmessiBL__2[[#This Row],[Weight real costs  + USC ]]</f>
        <v>4</v>
      </c>
    </row>
    <row r="1795" spans="1:23" x14ac:dyDescent="0.25">
      <c r="A1795" s="1" t="s">
        <v>66</v>
      </c>
      <c r="B1795" s="1" t="s">
        <v>21</v>
      </c>
      <c r="C1795" s="2">
        <v>258</v>
      </c>
      <c r="D1795" s="2">
        <v>161</v>
      </c>
      <c r="E1795" s="1" t="s">
        <v>230</v>
      </c>
      <c r="F1795">
        <v>4</v>
      </c>
      <c r="G1795">
        <v>1557.35</v>
      </c>
      <c r="H1795">
        <v>0</v>
      </c>
      <c r="I1795">
        <v>0</v>
      </c>
      <c r="J1795">
        <v>73.75</v>
      </c>
      <c r="K1795">
        <v>0</v>
      </c>
      <c r="L1795">
        <v>73.75</v>
      </c>
      <c r="M1795">
        <v>73.75</v>
      </c>
      <c r="N1795">
        <v>4.74</v>
      </c>
      <c r="O1795">
        <v>1483.6</v>
      </c>
      <c r="P1795">
        <v>0</v>
      </c>
      <c r="Q1795" t="str">
        <f>INDEX('Partner data'!A:DH,MATCH(C1795,'Partner data'!DG:DG,0),83)</f>
        <v xml:space="preserve">Organismo di diritto pubblico </v>
      </c>
      <c r="R1795" t="b">
        <f>IF(E1795="staff",IF(INDEX('Partner data'!A:DH,MATCH(C1795,'Partner data'!DG:DG,0),112)="BL1 non presente","FALSO",INDEX('Partner data'!A:DH,MATCH(C1795,'Partner data'!DG:DG,0),112)))</f>
        <v>0</v>
      </c>
      <c r="S1795" t="b">
        <f t="shared" si="56"/>
        <v>1</v>
      </c>
      <c r="T1795" t="b">
        <f t="shared" si="57"/>
        <v>1</v>
      </c>
      <c r="U1795" s="154">
        <f>IFERROR(IF(R1795&lt;&gt;FALSE,IF(S1795=TRUE,INDEX('SummaryNOT_VALIDATED-BL'!$A$1:$F$16,MATCH(R1795,'SummaryNOT_VALIDATED-BL'!$A$1:$A$16,0),6),0),IF(S1795=TRUE,INDEX('SummaryNOT_VALIDATED-BL'!$A$1:$F$16,MATCH(E1795,'SummaryNOT_VALIDATED-BL'!$A$1:$A$16,0),6),0)),0)</f>
        <v>6.3112622236488891E-2</v>
      </c>
      <c r="V1795" s="81" cm="1">
        <f t="array" ref="V1795">INDEX('Weight tables'!$A$24:$C$27,MATCH(1,(RendicontiTrasmessiBL__2[[#This Row],[Cut percentage on real costs + USC]]&gt;='Weight tables'!$B$24:$B$27)*(RendicontiTrasmessiBL__2[[#This Row],[Cut percentage on real costs + USC]]&lt;='Weight tables'!$C$24:$C$27),0),1)</f>
        <v>4</v>
      </c>
      <c r="W1795" s="2">
        <f>RendicontiTrasmessiBL__2[[#This Row],[Weight real costs  + USC ]]</f>
        <v>4</v>
      </c>
    </row>
    <row r="1796" spans="1:23" x14ac:dyDescent="0.25">
      <c r="A1796" s="1" t="s">
        <v>66</v>
      </c>
      <c r="B1796" s="1" t="s">
        <v>21</v>
      </c>
      <c r="C1796" s="2">
        <v>258</v>
      </c>
      <c r="D1796" s="2">
        <v>161</v>
      </c>
      <c r="E1796" s="1" t="s">
        <v>231</v>
      </c>
      <c r="G1796">
        <v>194668.79999999999</v>
      </c>
      <c r="H1796">
        <v>0</v>
      </c>
      <c r="I1796">
        <v>0</v>
      </c>
      <c r="J1796">
        <v>9219.6299999999992</v>
      </c>
      <c r="K1796">
        <v>0</v>
      </c>
      <c r="L1796">
        <v>9219.6299999999992</v>
      </c>
      <c r="M1796">
        <v>9219.6299999999992</v>
      </c>
      <c r="N1796">
        <v>4.74</v>
      </c>
      <c r="O1796">
        <v>185449.17</v>
      </c>
      <c r="P1796">
        <v>0</v>
      </c>
      <c r="Q1796" t="str">
        <f>INDEX('Partner data'!A:DH,MATCH(C1796,'Partner data'!DG:DG,0),83)</f>
        <v xml:space="preserve">Organismo di diritto pubblico </v>
      </c>
      <c r="R1796" t="b">
        <f>IF(E1796="staff",IF(INDEX('Partner data'!A:DH,MATCH(C1796,'Partner data'!DG:DG,0),112)="BL1 non presente","FALSO",INDEX('Partner data'!A:DH,MATCH(C1796,'Partner data'!DG:DG,0),112)))</f>
        <v>0</v>
      </c>
      <c r="S1796" t="b">
        <f t="shared" si="56"/>
        <v>1</v>
      </c>
      <c r="T1796" t="b">
        <f t="shared" si="57"/>
        <v>1</v>
      </c>
      <c r="U1796" s="154">
        <f>IFERROR(IF(R1796&lt;&gt;FALSE,IF(S1796=TRUE,INDEX('SummaryNOT_VALIDATED-BL'!$A$1:$F$16,MATCH(R1796,'SummaryNOT_VALIDATED-BL'!$A$1:$A$16,0),6),0),IF(S1796=TRUE,INDEX('SummaryNOT_VALIDATED-BL'!$A$1:$F$16,MATCH(E1796,'SummaryNOT_VALIDATED-BL'!$A$1:$A$16,0),6),0)),0)</f>
        <v>5.577594442215475E-2</v>
      </c>
      <c r="V1796" s="81" cm="1">
        <f t="array" ref="V1796">INDEX('Weight tables'!$A$24:$C$27,MATCH(1,(RendicontiTrasmessiBL__2[[#This Row],[Cut percentage on real costs + USC]]&gt;='Weight tables'!$B$24:$B$27)*(RendicontiTrasmessiBL__2[[#This Row],[Cut percentage on real costs + USC]]&lt;='Weight tables'!$C$24:$C$27),0),1)</f>
        <v>4</v>
      </c>
      <c r="W1796" s="2">
        <f>RendicontiTrasmessiBL__2[[#This Row],[Weight real costs  + USC ]]</f>
        <v>4</v>
      </c>
    </row>
    <row r="1797" spans="1:23" x14ac:dyDescent="0.25">
      <c r="A1797" s="1" t="s">
        <v>66</v>
      </c>
      <c r="B1797" s="1" t="s">
        <v>21</v>
      </c>
      <c r="C1797" s="2">
        <v>258</v>
      </c>
      <c r="D1797" s="2">
        <v>161</v>
      </c>
      <c r="E1797" s="1" t="s">
        <v>232</v>
      </c>
      <c r="G1797">
        <v>0</v>
      </c>
      <c r="H1797">
        <v>0</v>
      </c>
      <c r="I1797">
        <v>0</v>
      </c>
      <c r="J1797">
        <v>0</v>
      </c>
      <c r="K1797">
        <v>0</v>
      </c>
      <c r="L1797">
        <v>0</v>
      </c>
      <c r="M1797">
        <v>0</v>
      </c>
      <c r="N1797">
        <v>0</v>
      </c>
      <c r="O1797">
        <v>0</v>
      </c>
      <c r="P1797">
        <v>0</v>
      </c>
      <c r="Q1797" t="str">
        <f>INDEX('Partner data'!A:DH,MATCH(C1797,'Partner data'!DG:DG,0),83)</f>
        <v xml:space="preserve">Organismo di diritto pubblico </v>
      </c>
      <c r="R1797" t="b">
        <f>IF(E1797="staff",IF(INDEX('Partner data'!A:DH,MATCH(C1797,'Partner data'!DG:DG,0),112)="BL1 non presente","FALSO",INDEX('Partner data'!A:DH,MATCH(C1797,'Partner data'!DG:DG,0),112)))</f>
        <v>0</v>
      </c>
      <c r="S1797" t="b">
        <f t="shared" si="56"/>
        <v>0</v>
      </c>
      <c r="T1797" t="b">
        <f t="shared" si="57"/>
        <v>1</v>
      </c>
      <c r="U1797" s="154">
        <f>IFERROR(IF(R1797&lt;&gt;FALSE,IF(S1797=TRUE,INDEX('SummaryNOT_VALIDATED-BL'!$A$1:$F$16,MATCH(R1797,'SummaryNOT_VALIDATED-BL'!$A$1:$A$16,0),6),0),IF(S1797=TRUE,INDEX('SummaryNOT_VALIDATED-BL'!$A$1:$F$16,MATCH(E1797,'SummaryNOT_VALIDATED-BL'!$A$1:$A$16,0),6),0)),0)</f>
        <v>0</v>
      </c>
      <c r="V1797" s="81" cm="1">
        <f t="array" ref="V1797">INDEX('Weight tables'!$A$24:$C$27,MATCH(1,(RendicontiTrasmessiBL__2[[#This Row],[Cut percentage on real costs + USC]]&gt;='Weight tables'!$B$24:$B$27)*(RendicontiTrasmessiBL__2[[#This Row],[Cut percentage on real costs + USC]]&lt;='Weight tables'!$C$24:$C$27),0),1)</f>
        <v>0</v>
      </c>
      <c r="W1797" s="2">
        <f>RendicontiTrasmessiBL__2[[#This Row],[Weight real costs  + USC ]]</f>
        <v>0</v>
      </c>
    </row>
    <row r="1798" spans="1:23" x14ac:dyDescent="0.25">
      <c r="A1798" s="1" t="s">
        <v>66</v>
      </c>
      <c r="B1798" s="1" t="s">
        <v>21</v>
      </c>
      <c r="C1798" s="2">
        <v>258</v>
      </c>
      <c r="D1798" s="2">
        <v>161</v>
      </c>
      <c r="E1798" s="1" t="s">
        <v>233</v>
      </c>
      <c r="G1798">
        <v>0</v>
      </c>
      <c r="H1798">
        <v>0</v>
      </c>
      <c r="I1798">
        <v>0</v>
      </c>
      <c r="J1798">
        <v>0</v>
      </c>
      <c r="K1798">
        <v>0</v>
      </c>
      <c r="L1798">
        <v>0</v>
      </c>
      <c r="M1798">
        <v>0</v>
      </c>
      <c r="N1798">
        <v>0</v>
      </c>
      <c r="O1798">
        <v>0</v>
      </c>
      <c r="P1798">
        <v>0</v>
      </c>
      <c r="Q1798" t="str">
        <f>INDEX('Partner data'!A:DH,MATCH(C1798,'Partner data'!DG:DG,0),83)</f>
        <v xml:space="preserve">Organismo di diritto pubblico </v>
      </c>
      <c r="R1798" t="b">
        <f>IF(E1798="staff",IF(INDEX('Partner data'!A:DH,MATCH(C1798,'Partner data'!DG:DG,0),112)="BL1 non presente","FALSO",INDEX('Partner data'!A:DH,MATCH(C1798,'Partner data'!DG:DG,0),112)))</f>
        <v>0</v>
      </c>
      <c r="S1798" t="b">
        <f t="shared" si="56"/>
        <v>0</v>
      </c>
      <c r="T1798" t="b">
        <f t="shared" si="57"/>
        <v>1</v>
      </c>
      <c r="U1798" s="154">
        <f>IFERROR(IF(R1798&lt;&gt;FALSE,IF(S1798=TRUE,INDEX('SummaryNOT_VALIDATED-BL'!$A$1:$F$16,MATCH(R1798,'SummaryNOT_VALIDATED-BL'!$A$1:$A$16,0),6),0),IF(S1798=TRUE,INDEX('SummaryNOT_VALIDATED-BL'!$A$1:$F$16,MATCH(E1798,'SummaryNOT_VALIDATED-BL'!$A$1:$A$16,0),6),0)),0)</f>
        <v>0</v>
      </c>
      <c r="V1798" s="81" cm="1">
        <f t="array" ref="V1798">INDEX('Weight tables'!$A$24:$C$27,MATCH(1,(RendicontiTrasmessiBL__2[[#This Row],[Cut percentage on real costs + USC]]&gt;='Weight tables'!$B$24:$B$27)*(RendicontiTrasmessiBL__2[[#This Row],[Cut percentage on real costs + USC]]&lt;='Weight tables'!$C$24:$C$27),0),1)</f>
        <v>0</v>
      </c>
      <c r="W1798" s="2">
        <f>RendicontiTrasmessiBL__2[[#This Row],[Weight real costs  + USC ]]</f>
        <v>0</v>
      </c>
    </row>
    <row r="1799" spans="1:23" x14ac:dyDescent="0.25">
      <c r="A1799" s="1" t="s">
        <v>66</v>
      </c>
      <c r="B1799" s="1" t="s">
        <v>21</v>
      </c>
      <c r="C1799" s="2">
        <v>258</v>
      </c>
      <c r="D1799" s="2">
        <v>161</v>
      </c>
      <c r="E1799" s="1" t="s">
        <v>234</v>
      </c>
      <c r="G1799">
        <v>0</v>
      </c>
      <c r="H1799">
        <v>0</v>
      </c>
      <c r="I1799">
        <v>0</v>
      </c>
      <c r="J1799">
        <v>0</v>
      </c>
      <c r="K1799">
        <v>0</v>
      </c>
      <c r="L1799">
        <v>0</v>
      </c>
      <c r="M1799">
        <v>0</v>
      </c>
      <c r="N1799">
        <v>0</v>
      </c>
      <c r="O1799">
        <v>0</v>
      </c>
      <c r="P1799">
        <v>0</v>
      </c>
      <c r="Q1799" t="str">
        <f>INDEX('Partner data'!A:DH,MATCH(C1799,'Partner data'!DG:DG,0),83)</f>
        <v xml:space="preserve">Organismo di diritto pubblico </v>
      </c>
      <c r="R1799" t="b">
        <f>IF(E1799="staff",IF(INDEX('Partner data'!A:DH,MATCH(C1799,'Partner data'!DG:DG,0),112)="BL1 non presente","FALSO",INDEX('Partner data'!A:DH,MATCH(C1799,'Partner data'!DG:DG,0),112)))</f>
        <v>0</v>
      </c>
      <c r="S1799" t="b">
        <f t="shared" si="56"/>
        <v>0</v>
      </c>
      <c r="T1799" t="b">
        <f t="shared" si="57"/>
        <v>1</v>
      </c>
      <c r="U1799" s="154">
        <f>IFERROR(IF(R1799&lt;&gt;FALSE,IF(S1799=TRUE,INDEX('SummaryNOT_VALIDATED-BL'!$A$1:$F$16,MATCH(R1799,'SummaryNOT_VALIDATED-BL'!$A$1:$A$16,0),6),0),IF(S1799=TRUE,INDEX('SummaryNOT_VALIDATED-BL'!$A$1:$F$16,MATCH(E1799,'SummaryNOT_VALIDATED-BL'!$A$1:$A$16,0),6),0)),0)</f>
        <v>0</v>
      </c>
      <c r="V1799" s="81" cm="1">
        <f t="array" ref="V1799">INDEX('Weight tables'!$A$24:$C$27,MATCH(1,(RendicontiTrasmessiBL__2[[#This Row],[Cut percentage on real costs + USC]]&gt;='Weight tables'!$B$24:$B$27)*(RendicontiTrasmessiBL__2[[#This Row],[Cut percentage on real costs + USC]]&lt;='Weight tables'!$C$24:$C$27),0),1)</f>
        <v>0</v>
      </c>
      <c r="W1799" s="2">
        <f>RendicontiTrasmessiBL__2[[#This Row],[Weight real costs  + USC ]]</f>
        <v>0</v>
      </c>
    </row>
    <row r="1800" spans="1:23" x14ac:dyDescent="0.25">
      <c r="A1800" s="1" t="s">
        <v>66</v>
      </c>
      <c r="B1800" s="1" t="s">
        <v>21</v>
      </c>
      <c r="C1800" s="2">
        <v>258</v>
      </c>
      <c r="D1800" s="2">
        <v>161</v>
      </c>
      <c r="E1800" s="1" t="s">
        <v>236</v>
      </c>
      <c r="G1800">
        <v>0</v>
      </c>
      <c r="H1800">
        <v>0</v>
      </c>
      <c r="I1800">
        <v>0</v>
      </c>
      <c r="J1800">
        <v>0</v>
      </c>
      <c r="K1800">
        <v>0</v>
      </c>
      <c r="L1800">
        <v>0</v>
      </c>
      <c r="M1800">
        <v>0</v>
      </c>
      <c r="N1800">
        <v>0</v>
      </c>
      <c r="O1800">
        <v>0</v>
      </c>
      <c r="P1800">
        <v>0</v>
      </c>
      <c r="Q1800" t="str">
        <f>INDEX('Partner data'!A:DH,MATCH(C1800,'Partner data'!DG:DG,0),83)</f>
        <v xml:space="preserve">Organismo di diritto pubblico </v>
      </c>
      <c r="R1800" t="b">
        <f>IF(E1800="staff",IF(INDEX('Partner data'!A:DH,MATCH(C1800,'Partner data'!DG:DG,0),112)="BL1 non presente","FALSO",INDEX('Partner data'!A:DH,MATCH(C1800,'Partner data'!DG:DG,0),112)))</f>
        <v>0</v>
      </c>
      <c r="S1800" t="b">
        <f t="shared" si="56"/>
        <v>0</v>
      </c>
      <c r="T1800" t="b">
        <f t="shared" si="57"/>
        <v>1</v>
      </c>
      <c r="U1800" s="154">
        <f>IFERROR(IF(R1800&lt;&gt;FALSE,IF(S1800=TRUE,INDEX('SummaryNOT_VALIDATED-BL'!$A$1:$F$16,MATCH(R1800,'SummaryNOT_VALIDATED-BL'!$A$1:$A$16,0),6),0),IF(S1800=TRUE,INDEX('SummaryNOT_VALIDATED-BL'!$A$1:$F$16,MATCH(E1800,'SummaryNOT_VALIDATED-BL'!$A$1:$A$16,0),6),0)),0)</f>
        <v>0</v>
      </c>
      <c r="V1800" s="81" cm="1">
        <f t="array" ref="V1800">INDEX('Weight tables'!$A$24:$C$27,MATCH(1,(RendicontiTrasmessiBL__2[[#This Row],[Cut percentage on real costs + USC]]&gt;='Weight tables'!$B$24:$B$27)*(RendicontiTrasmessiBL__2[[#This Row],[Cut percentage on real costs + USC]]&lt;='Weight tables'!$C$24:$C$27),0),1)</f>
        <v>0</v>
      </c>
      <c r="W1800" s="2">
        <f>RendicontiTrasmessiBL__2[[#This Row],[Weight real costs  + USC ]]</f>
        <v>0</v>
      </c>
    </row>
    <row r="1801" spans="1:23" x14ac:dyDescent="0.25">
      <c r="A1801" s="1" t="s">
        <v>66</v>
      </c>
      <c r="B1801" s="1" t="s">
        <v>21</v>
      </c>
      <c r="C1801" s="2">
        <v>258</v>
      </c>
      <c r="D1801" s="2">
        <v>161</v>
      </c>
      <c r="E1801" s="1" t="s">
        <v>237</v>
      </c>
      <c r="G1801">
        <v>0</v>
      </c>
      <c r="H1801">
        <v>0</v>
      </c>
      <c r="I1801">
        <v>0</v>
      </c>
      <c r="J1801">
        <v>0</v>
      </c>
      <c r="K1801">
        <v>0</v>
      </c>
      <c r="L1801">
        <v>0</v>
      </c>
      <c r="M1801">
        <v>0</v>
      </c>
      <c r="N1801">
        <v>0</v>
      </c>
      <c r="O1801">
        <v>0</v>
      </c>
      <c r="P1801">
        <v>0</v>
      </c>
      <c r="Q1801" t="str">
        <f>INDEX('Partner data'!A:DH,MATCH(C1801,'Partner data'!DG:DG,0),83)</f>
        <v xml:space="preserve">Organismo di diritto pubblico </v>
      </c>
      <c r="R1801" t="b">
        <f>IF(E1801="staff",IF(INDEX('Partner data'!A:DH,MATCH(C1801,'Partner data'!DG:DG,0),112)="BL1 non presente","FALSO",INDEX('Partner data'!A:DH,MATCH(C1801,'Partner data'!DG:DG,0),112)))</f>
        <v>0</v>
      </c>
      <c r="S1801" t="b">
        <f t="shared" si="56"/>
        <v>0</v>
      </c>
      <c r="T1801" t="b">
        <f t="shared" si="57"/>
        <v>1</v>
      </c>
      <c r="U1801" s="154">
        <f>IFERROR(IF(R1801&lt;&gt;FALSE,IF(S1801=TRUE,INDEX('SummaryNOT_VALIDATED-BL'!$A$1:$F$16,MATCH(R1801,'SummaryNOT_VALIDATED-BL'!$A$1:$A$16,0),6),0),IF(S1801=TRUE,INDEX('SummaryNOT_VALIDATED-BL'!$A$1:$F$16,MATCH(E1801,'SummaryNOT_VALIDATED-BL'!$A$1:$A$16,0),6),0)),0)</f>
        <v>0</v>
      </c>
      <c r="V1801" s="81" cm="1">
        <f t="array" ref="V1801">INDEX('Weight tables'!$A$24:$C$27,MATCH(1,(RendicontiTrasmessiBL__2[[#This Row],[Cut percentage on real costs + USC]]&gt;='Weight tables'!$B$24:$B$27)*(RendicontiTrasmessiBL__2[[#This Row],[Cut percentage on real costs + USC]]&lt;='Weight tables'!$C$24:$C$27),0),1)</f>
        <v>0</v>
      </c>
      <c r="W1801" s="2">
        <f>RendicontiTrasmessiBL__2[[#This Row],[Weight real costs  + USC ]]</f>
        <v>0</v>
      </c>
    </row>
    <row r="1802" spans="1:23" x14ac:dyDescent="0.25">
      <c r="A1802" s="1" t="s">
        <v>277</v>
      </c>
      <c r="B1802" s="1" t="s">
        <v>278</v>
      </c>
      <c r="C1802" s="2">
        <v>233</v>
      </c>
      <c r="D1802" s="2">
        <v>179</v>
      </c>
      <c r="E1802" s="1" t="s">
        <v>228</v>
      </c>
      <c r="F1802">
        <v>20</v>
      </c>
      <c r="G1802">
        <v>13753.2</v>
      </c>
      <c r="H1802">
        <v>0</v>
      </c>
      <c r="I1802">
        <v>0</v>
      </c>
      <c r="J1802">
        <v>0</v>
      </c>
      <c r="K1802">
        <v>0</v>
      </c>
      <c r="L1802">
        <v>0</v>
      </c>
      <c r="M1802">
        <v>0</v>
      </c>
      <c r="N1802">
        <v>0</v>
      </c>
      <c r="O1802">
        <v>13753.2</v>
      </c>
      <c r="P1802">
        <v>0</v>
      </c>
      <c r="Q1802" t="str">
        <f>INDEX('Partner data'!A:DH,MATCH(C1802,'Partner data'!DG:DG,0),83)</f>
        <v>Soggetto pubblico</v>
      </c>
      <c r="R1802" t="str">
        <f>IF(E1802="staff",IF(INDEX('Partner data'!A:DH,MATCH(C1802,'Partner data'!DG:DG,0),112)="BL1 non presente","FALSO",INDEX('Partner data'!A:DH,MATCH(C1802,'Partner data'!DG:DG,0),112)))</f>
        <v>Tasso Forfettario 20%</v>
      </c>
      <c r="S1802" t="b">
        <f t="shared" si="56"/>
        <v>0</v>
      </c>
      <c r="T1802" t="b">
        <f t="shared" si="57"/>
        <v>1</v>
      </c>
      <c r="U1802" s="154">
        <f>IFERROR(IF(R1802&lt;&gt;FALSE,IF(S1802=TRUE,INDEX('SummaryNOT_VALIDATED-BL'!$A$1:$F$16,MATCH(R1802,'SummaryNOT_VALIDATED-BL'!$A$1:$A$16,0),6),0),IF(S1802=TRUE,INDEX('SummaryNOT_VALIDATED-BL'!$A$1:$F$16,MATCH(E1802,'SummaryNOT_VALIDATED-BL'!$A$1:$A$16,0),6),0)),0)</f>
        <v>0</v>
      </c>
      <c r="V1802" s="81" cm="1">
        <f t="array" ref="V1802">INDEX('Weight tables'!$A$24:$C$27,MATCH(1,(RendicontiTrasmessiBL__2[[#This Row],[Cut percentage on real costs + USC]]&gt;='Weight tables'!$B$24:$B$27)*(RendicontiTrasmessiBL__2[[#This Row],[Cut percentage on real costs + USC]]&lt;='Weight tables'!$C$24:$C$27),0),1)</f>
        <v>0</v>
      </c>
      <c r="W1802" s="2">
        <f>RendicontiTrasmessiBL__2[[#This Row],[Weight real costs  + USC ]]</f>
        <v>0</v>
      </c>
    </row>
    <row r="1803" spans="1:23" x14ac:dyDescent="0.25">
      <c r="A1803" s="1" t="s">
        <v>277</v>
      </c>
      <c r="B1803" s="1" t="s">
        <v>278</v>
      </c>
      <c r="C1803" s="2">
        <v>233</v>
      </c>
      <c r="D1803" s="2">
        <v>179</v>
      </c>
      <c r="E1803" s="1" t="s">
        <v>229</v>
      </c>
      <c r="F1803">
        <v>15</v>
      </c>
      <c r="G1803">
        <v>2062.98</v>
      </c>
      <c r="H1803">
        <v>0</v>
      </c>
      <c r="I1803">
        <v>0</v>
      </c>
      <c r="J1803">
        <v>0</v>
      </c>
      <c r="K1803">
        <v>0</v>
      </c>
      <c r="L1803">
        <v>0</v>
      </c>
      <c r="M1803">
        <v>0</v>
      </c>
      <c r="N1803">
        <v>0</v>
      </c>
      <c r="O1803">
        <v>2062.98</v>
      </c>
      <c r="P1803">
        <v>0</v>
      </c>
      <c r="Q1803" t="str">
        <f>INDEX('Partner data'!A:DH,MATCH(C1803,'Partner data'!DG:DG,0),83)</f>
        <v>Soggetto pubblico</v>
      </c>
      <c r="R1803" t="b">
        <f>IF(E1803="staff",IF(INDEX('Partner data'!A:DH,MATCH(C1803,'Partner data'!DG:DG,0),112)="BL1 non presente","FALSO",INDEX('Partner data'!A:DH,MATCH(C1803,'Partner data'!DG:DG,0),112)))</f>
        <v>0</v>
      </c>
      <c r="S1803" t="b">
        <f t="shared" si="56"/>
        <v>0</v>
      </c>
      <c r="T1803" t="b">
        <f t="shared" si="57"/>
        <v>1</v>
      </c>
      <c r="U1803" s="154">
        <f>IFERROR(IF(R1803&lt;&gt;FALSE,IF(S1803=TRUE,INDEX('SummaryNOT_VALIDATED-BL'!$A$1:$F$16,MATCH(R1803,'SummaryNOT_VALIDATED-BL'!$A$1:$A$16,0),6),0),IF(S1803=TRUE,INDEX('SummaryNOT_VALIDATED-BL'!$A$1:$F$16,MATCH(E1803,'SummaryNOT_VALIDATED-BL'!$A$1:$A$16,0),6),0)),0)</f>
        <v>0</v>
      </c>
      <c r="V1803" s="81" cm="1">
        <f t="array" ref="V1803">INDEX('Weight tables'!$A$24:$C$27,MATCH(1,(RendicontiTrasmessiBL__2[[#This Row],[Cut percentage on real costs + USC]]&gt;='Weight tables'!$B$24:$B$27)*(RendicontiTrasmessiBL__2[[#This Row],[Cut percentage on real costs + USC]]&lt;='Weight tables'!$C$24:$C$27),0),1)</f>
        <v>0</v>
      </c>
      <c r="W1803" s="2">
        <f>RendicontiTrasmessiBL__2[[#This Row],[Weight real costs  + USC ]]</f>
        <v>0</v>
      </c>
    </row>
    <row r="1804" spans="1:23" x14ac:dyDescent="0.25">
      <c r="A1804" s="1" t="s">
        <v>277</v>
      </c>
      <c r="B1804" s="1" t="s">
        <v>278</v>
      </c>
      <c r="C1804" s="2">
        <v>233</v>
      </c>
      <c r="D1804" s="2">
        <v>179</v>
      </c>
      <c r="E1804" s="1" t="s">
        <v>230</v>
      </c>
      <c r="F1804">
        <v>4</v>
      </c>
      <c r="G1804">
        <v>550.12</v>
      </c>
      <c r="H1804">
        <v>0</v>
      </c>
      <c r="I1804">
        <v>0</v>
      </c>
      <c r="J1804">
        <v>0</v>
      </c>
      <c r="K1804">
        <v>0</v>
      </c>
      <c r="L1804">
        <v>0</v>
      </c>
      <c r="M1804">
        <v>0</v>
      </c>
      <c r="N1804">
        <v>0</v>
      </c>
      <c r="O1804">
        <v>550.12</v>
      </c>
      <c r="P1804">
        <v>0</v>
      </c>
      <c r="Q1804" t="str">
        <f>INDEX('Partner data'!A:DH,MATCH(C1804,'Partner data'!DG:DG,0),83)</f>
        <v>Soggetto pubblico</v>
      </c>
      <c r="R1804" t="b">
        <f>IF(E1804="staff",IF(INDEX('Partner data'!A:DH,MATCH(C1804,'Partner data'!DG:DG,0),112)="BL1 non presente","FALSO",INDEX('Partner data'!A:DH,MATCH(C1804,'Partner data'!DG:DG,0),112)))</f>
        <v>0</v>
      </c>
      <c r="S1804" t="b">
        <f t="shared" si="56"/>
        <v>0</v>
      </c>
      <c r="T1804" t="b">
        <f t="shared" si="57"/>
        <v>1</v>
      </c>
      <c r="U1804" s="154">
        <f>IFERROR(IF(R1804&lt;&gt;FALSE,IF(S1804=TRUE,INDEX('SummaryNOT_VALIDATED-BL'!$A$1:$F$16,MATCH(R1804,'SummaryNOT_VALIDATED-BL'!$A$1:$A$16,0),6),0),IF(S1804=TRUE,INDEX('SummaryNOT_VALIDATED-BL'!$A$1:$F$16,MATCH(E1804,'SummaryNOT_VALIDATED-BL'!$A$1:$A$16,0),6),0)),0)</f>
        <v>0</v>
      </c>
      <c r="V1804" s="81" cm="1">
        <f t="array" ref="V1804">INDEX('Weight tables'!$A$24:$C$27,MATCH(1,(RendicontiTrasmessiBL__2[[#This Row],[Cut percentage on real costs + USC]]&gt;='Weight tables'!$B$24:$B$27)*(RendicontiTrasmessiBL__2[[#This Row],[Cut percentage on real costs + USC]]&lt;='Weight tables'!$C$24:$C$27),0),1)</f>
        <v>0</v>
      </c>
      <c r="W1804" s="2">
        <f>RendicontiTrasmessiBL__2[[#This Row],[Weight real costs  + USC ]]</f>
        <v>0</v>
      </c>
    </row>
    <row r="1805" spans="1:23" x14ac:dyDescent="0.25">
      <c r="A1805" s="1" t="s">
        <v>277</v>
      </c>
      <c r="B1805" s="1" t="s">
        <v>278</v>
      </c>
      <c r="C1805" s="2">
        <v>233</v>
      </c>
      <c r="D1805" s="2">
        <v>179</v>
      </c>
      <c r="E1805" s="1" t="s">
        <v>231</v>
      </c>
      <c r="G1805">
        <v>44000</v>
      </c>
      <c r="H1805">
        <v>0</v>
      </c>
      <c r="I1805">
        <v>0</v>
      </c>
      <c r="J1805">
        <v>0</v>
      </c>
      <c r="K1805">
        <v>0</v>
      </c>
      <c r="L1805">
        <v>0</v>
      </c>
      <c r="M1805">
        <v>0</v>
      </c>
      <c r="N1805">
        <v>0</v>
      </c>
      <c r="O1805">
        <v>44000</v>
      </c>
      <c r="P1805">
        <v>0</v>
      </c>
      <c r="Q1805" t="str">
        <f>INDEX('Partner data'!A:DH,MATCH(C1805,'Partner data'!DG:DG,0),83)</f>
        <v>Soggetto pubblico</v>
      </c>
      <c r="R1805" t="b">
        <f>IF(E1805="staff",IF(INDEX('Partner data'!A:DH,MATCH(C1805,'Partner data'!DG:DG,0),112)="BL1 non presente","FALSO",INDEX('Partner data'!A:DH,MATCH(C1805,'Partner data'!DG:DG,0),112)))</f>
        <v>0</v>
      </c>
      <c r="S1805" t="b">
        <f t="shared" si="56"/>
        <v>0</v>
      </c>
      <c r="T1805" t="b">
        <f t="shared" si="57"/>
        <v>1</v>
      </c>
      <c r="U1805" s="154">
        <f>IFERROR(IF(R1805&lt;&gt;FALSE,IF(S1805=TRUE,INDEX('SummaryNOT_VALIDATED-BL'!$A$1:$F$16,MATCH(R1805,'SummaryNOT_VALIDATED-BL'!$A$1:$A$16,0),6),0),IF(S1805=TRUE,INDEX('SummaryNOT_VALIDATED-BL'!$A$1:$F$16,MATCH(E1805,'SummaryNOT_VALIDATED-BL'!$A$1:$A$16,0),6),0)),0)</f>
        <v>0</v>
      </c>
      <c r="V1805" s="81" cm="1">
        <f t="array" ref="V1805">INDEX('Weight tables'!$A$24:$C$27,MATCH(1,(RendicontiTrasmessiBL__2[[#This Row],[Cut percentage on real costs + USC]]&gt;='Weight tables'!$B$24:$B$27)*(RendicontiTrasmessiBL__2[[#This Row],[Cut percentage on real costs + USC]]&lt;='Weight tables'!$C$24:$C$27),0),1)</f>
        <v>0</v>
      </c>
      <c r="W1805" s="2">
        <f>RendicontiTrasmessiBL__2[[#This Row],[Weight real costs  + USC ]]</f>
        <v>0</v>
      </c>
    </row>
    <row r="1806" spans="1:23" x14ac:dyDescent="0.25">
      <c r="A1806" s="1" t="s">
        <v>277</v>
      </c>
      <c r="B1806" s="1" t="s">
        <v>278</v>
      </c>
      <c r="C1806" s="2">
        <v>233</v>
      </c>
      <c r="D1806" s="2">
        <v>179</v>
      </c>
      <c r="E1806" s="1" t="s">
        <v>232</v>
      </c>
      <c r="G1806">
        <v>24766</v>
      </c>
      <c r="H1806">
        <v>0</v>
      </c>
      <c r="I1806">
        <v>0</v>
      </c>
      <c r="J1806">
        <v>0</v>
      </c>
      <c r="K1806">
        <v>0</v>
      </c>
      <c r="L1806">
        <v>0</v>
      </c>
      <c r="M1806">
        <v>0</v>
      </c>
      <c r="N1806">
        <v>0</v>
      </c>
      <c r="O1806">
        <v>24766</v>
      </c>
      <c r="P1806">
        <v>0</v>
      </c>
      <c r="Q1806" t="str">
        <f>INDEX('Partner data'!A:DH,MATCH(C1806,'Partner data'!DG:DG,0),83)</f>
        <v>Soggetto pubblico</v>
      </c>
      <c r="R1806" t="b">
        <f>IF(E1806="staff",IF(INDEX('Partner data'!A:DH,MATCH(C1806,'Partner data'!DG:DG,0),112)="BL1 non presente","FALSO",INDEX('Partner data'!A:DH,MATCH(C1806,'Partner data'!DG:DG,0),112)))</f>
        <v>0</v>
      </c>
      <c r="S1806" t="b">
        <f t="shared" si="56"/>
        <v>0</v>
      </c>
      <c r="T1806" t="b">
        <f t="shared" si="57"/>
        <v>1</v>
      </c>
      <c r="U1806" s="154">
        <f>IFERROR(IF(R1806&lt;&gt;FALSE,IF(S1806=TRUE,INDEX('SummaryNOT_VALIDATED-BL'!$A$1:$F$16,MATCH(R1806,'SummaryNOT_VALIDATED-BL'!$A$1:$A$16,0),6),0),IF(S1806=TRUE,INDEX('SummaryNOT_VALIDATED-BL'!$A$1:$F$16,MATCH(E1806,'SummaryNOT_VALIDATED-BL'!$A$1:$A$16,0),6),0)),0)</f>
        <v>0</v>
      </c>
      <c r="V1806" s="81" cm="1">
        <f t="array" ref="V1806">INDEX('Weight tables'!$A$24:$C$27,MATCH(1,(RendicontiTrasmessiBL__2[[#This Row],[Cut percentage on real costs + USC]]&gt;='Weight tables'!$B$24:$B$27)*(RendicontiTrasmessiBL__2[[#This Row],[Cut percentage on real costs + USC]]&lt;='Weight tables'!$C$24:$C$27),0),1)</f>
        <v>0</v>
      </c>
      <c r="W1806" s="2">
        <f>RendicontiTrasmessiBL__2[[#This Row],[Weight real costs  + USC ]]</f>
        <v>0</v>
      </c>
    </row>
    <row r="1807" spans="1:23" x14ac:dyDescent="0.25">
      <c r="A1807" s="1" t="s">
        <v>277</v>
      </c>
      <c r="B1807" s="1" t="s">
        <v>278</v>
      </c>
      <c r="C1807" s="2">
        <v>233</v>
      </c>
      <c r="D1807" s="2">
        <v>179</v>
      </c>
      <c r="E1807" s="1" t="s">
        <v>233</v>
      </c>
      <c r="G1807">
        <v>0</v>
      </c>
      <c r="H1807">
        <v>0</v>
      </c>
      <c r="I1807">
        <v>0</v>
      </c>
      <c r="J1807">
        <v>0</v>
      </c>
      <c r="K1807">
        <v>0</v>
      </c>
      <c r="L1807">
        <v>0</v>
      </c>
      <c r="M1807">
        <v>0</v>
      </c>
      <c r="N1807">
        <v>0</v>
      </c>
      <c r="O1807">
        <v>0</v>
      </c>
      <c r="P1807">
        <v>0</v>
      </c>
      <c r="Q1807" t="str">
        <f>INDEX('Partner data'!A:DH,MATCH(C1807,'Partner data'!DG:DG,0),83)</f>
        <v>Soggetto pubblico</v>
      </c>
      <c r="R1807" t="b">
        <f>IF(E1807="staff",IF(INDEX('Partner data'!A:DH,MATCH(C1807,'Partner data'!DG:DG,0),112)="BL1 non presente","FALSO",INDEX('Partner data'!A:DH,MATCH(C1807,'Partner data'!DG:DG,0),112)))</f>
        <v>0</v>
      </c>
      <c r="S1807" t="b">
        <f t="shared" si="56"/>
        <v>0</v>
      </c>
      <c r="T1807" t="b">
        <f t="shared" si="57"/>
        <v>1</v>
      </c>
      <c r="U1807" s="154">
        <f>IFERROR(IF(R1807&lt;&gt;FALSE,IF(S1807=TRUE,INDEX('SummaryNOT_VALIDATED-BL'!$A$1:$F$16,MATCH(R1807,'SummaryNOT_VALIDATED-BL'!$A$1:$A$16,0),6),0),IF(S1807=TRUE,INDEX('SummaryNOT_VALIDATED-BL'!$A$1:$F$16,MATCH(E1807,'SummaryNOT_VALIDATED-BL'!$A$1:$A$16,0),6),0)),0)</f>
        <v>0</v>
      </c>
      <c r="V1807" s="81" cm="1">
        <f t="array" ref="V1807">INDEX('Weight tables'!$A$24:$C$27,MATCH(1,(RendicontiTrasmessiBL__2[[#This Row],[Cut percentage on real costs + USC]]&gt;='Weight tables'!$B$24:$B$27)*(RendicontiTrasmessiBL__2[[#This Row],[Cut percentage on real costs + USC]]&lt;='Weight tables'!$C$24:$C$27),0),1)</f>
        <v>0</v>
      </c>
      <c r="W1807" s="2">
        <f>RendicontiTrasmessiBL__2[[#This Row],[Weight real costs  + USC ]]</f>
        <v>0</v>
      </c>
    </row>
    <row r="1808" spans="1:23" x14ac:dyDescent="0.25">
      <c r="A1808" s="1" t="s">
        <v>277</v>
      </c>
      <c r="B1808" s="1" t="s">
        <v>278</v>
      </c>
      <c r="C1808" s="2">
        <v>233</v>
      </c>
      <c r="D1808" s="2">
        <v>179</v>
      </c>
      <c r="E1808" s="1" t="s">
        <v>234</v>
      </c>
      <c r="G1808">
        <v>0</v>
      </c>
      <c r="H1808">
        <v>0</v>
      </c>
      <c r="I1808">
        <v>0</v>
      </c>
      <c r="J1808">
        <v>0</v>
      </c>
      <c r="K1808">
        <v>0</v>
      </c>
      <c r="L1808">
        <v>0</v>
      </c>
      <c r="M1808">
        <v>0</v>
      </c>
      <c r="N1808">
        <v>0</v>
      </c>
      <c r="O1808">
        <v>0</v>
      </c>
      <c r="P1808">
        <v>0</v>
      </c>
      <c r="Q1808" t="str">
        <f>INDEX('Partner data'!A:DH,MATCH(C1808,'Partner data'!DG:DG,0),83)</f>
        <v>Soggetto pubblico</v>
      </c>
      <c r="R1808" t="b">
        <f>IF(E1808="staff",IF(INDEX('Partner data'!A:DH,MATCH(C1808,'Partner data'!DG:DG,0),112)="BL1 non presente","FALSO",INDEX('Partner data'!A:DH,MATCH(C1808,'Partner data'!DG:DG,0),112)))</f>
        <v>0</v>
      </c>
      <c r="S1808" t="b">
        <f t="shared" si="56"/>
        <v>0</v>
      </c>
      <c r="T1808" t="b">
        <f t="shared" si="57"/>
        <v>1</v>
      </c>
      <c r="U1808" s="154">
        <f>IFERROR(IF(R1808&lt;&gt;FALSE,IF(S1808=TRUE,INDEX('SummaryNOT_VALIDATED-BL'!$A$1:$F$16,MATCH(R1808,'SummaryNOT_VALIDATED-BL'!$A$1:$A$16,0),6),0),IF(S1808=TRUE,INDEX('SummaryNOT_VALIDATED-BL'!$A$1:$F$16,MATCH(E1808,'SummaryNOT_VALIDATED-BL'!$A$1:$A$16,0),6),0)),0)</f>
        <v>0</v>
      </c>
      <c r="V1808" s="81" cm="1">
        <f t="array" ref="V1808">INDEX('Weight tables'!$A$24:$C$27,MATCH(1,(RendicontiTrasmessiBL__2[[#This Row],[Cut percentage on real costs + USC]]&gt;='Weight tables'!$B$24:$B$27)*(RendicontiTrasmessiBL__2[[#This Row],[Cut percentage on real costs + USC]]&lt;='Weight tables'!$C$24:$C$27),0),1)</f>
        <v>0</v>
      </c>
      <c r="W1808" s="2">
        <f>RendicontiTrasmessiBL__2[[#This Row],[Weight real costs  + USC ]]</f>
        <v>0</v>
      </c>
    </row>
    <row r="1809" spans="1:23" x14ac:dyDescent="0.25">
      <c r="A1809" s="1" t="s">
        <v>277</v>
      </c>
      <c r="B1809" s="1" t="s">
        <v>278</v>
      </c>
      <c r="C1809" s="2">
        <v>233</v>
      </c>
      <c r="D1809" s="2">
        <v>179</v>
      </c>
      <c r="E1809" s="1" t="s">
        <v>236</v>
      </c>
      <c r="G1809">
        <v>0</v>
      </c>
      <c r="H1809">
        <v>0</v>
      </c>
      <c r="I1809">
        <v>0</v>
      </c>
      <c r="J1809">
        <v>0</v>
      </c>
      <c r="K1809">
        <v>0</v>
      </c>
      <c r="L1809">
        <v>0</v>
      </c>
      <c r="M1809">
        <v>0</v>
      </c>
      <c r="N1809">
        <v>0</v>
      </c>
      <c r="O1809">
        <v>0</v>
      </c>
      <c r="P1809">
        <v>0</v>
      </c>
      <c r="Q1809" t="str">
        <f>INDEX('Partner data'!A:DH,MATCH(C1809,'Partner data'!DG:DG,0),83)</f>
        <v>Soggetto pubblico</v>
      </c>
      <c r="R1809" t="b">
        <f>IF(E1809="staff",IF(INDEX('Partner data'!A:DH,MATCH(C1809,'Partner data'!DG:DG,0),112)="BL1 non presente","FALSO",INDEX('Partner data'!A:DH,MATCH(C1809,'Partner data'!DG:DG,0),112)))</f>
        <v>0</v>
      </c>
      <c r="S1809" t="b">
        <f t="shared" si="56"/>
        <v>0</v>
      </c>
      <c r="T1809" t="b">
        <f t="shared" si="57"/>
        <v>1</v>
      </c>
      <c r="U1809" s="154">
        <f>IFERROR(IF(R1809&lt;&gt;FALSE,IF(S1809=TRUE,INDEX('SummaryNOT_VALIDATED-BL'!$A$1:$F$16,MATCH(R1809,'SummaryNOT_VALIDATED-BL'!$A$1:$A$16,0),6),0),IF(S1809=TRUE,INDEX('SummaryNOT_VALIDATED-BL'!$A$1:$F$16,MATCH(E1809,'SummaryNOT_VALIDATED-BL'!$A$1:$A$16,0),6),0)),0)</f>
        <v>0</v>
      </c>
      <c r="V1809" s="81" cm="1">
        <f t="array" ref="V1809">INDEX('Weight tables'!$A$24:$C$27,MATCH(1,(RendicontiTrasmessiBL__2[[#This Row],[Cut percentage on real costs + USC]]&gt;='Weight tables'!$B$24:$B$27)*(RendicontiTrasmessiBL__2[[#This Row],[Cut percentage on real costs + USC]]&lt;='Weight tables'!$C$24:$C$27),0),1)</f>
        <v>0</v>
      </c>
      <c r="W1809" s="2">
        <f>RendicontiTrasmessiBL__2[[#This Row],[Weight real costs  + USC ]]</f>
        <v>0</v>
      </c>
    </row>
    <row r="1810" spans="1:23" x14ac:dyDescent="0.25">
      <c r="A1810" s="1" t="s">
        <v>277</v>
      </c>
      <c r="B1810" s="1" t="s">
        <v>278</v>
      </c>
      <c r="C1810" s="2">
        <v>233</v>
      </c>
      <c r="D1810" s="2">
        <v>179</v>
      </c>
      <c r="E1810" s="1" t="s">
        <v>237</v>
      </c>
      <c r="G1810">
        <v>0</v>
      </c>
      <c r="H1810">
        <v>0</v>
      </c>
      <c r="I1810">
        <v>0</v>
      </c>
      <c r="J1810">
        <v>0</v>
      </c>
      <c r="K1810">
        <v>0</v>
      </c>
      <c r="L1810">
        <v>0</v>
      </c>
      <c r="M1810">
        <v>0</v>
      </c>
      <c r="N1810">
        <v>0</v>
      </c>
      <c r="O1810">
        <v>0</v>
      </c>
      <c r="P1810">
        <v>0</v>
      </c>
      <c r="Q1810" t="str">
        <f>INDEX('Partner data'!A:DH,MATCH(C1810,'Partner data'!DG:DG,0),83)</f>
        <v>Soggetto pubblico</v>
      </c>
      <c r="R1810" t="b">
        <f>IF(E1810="staff",IF(INDEX('Partner data'!A:DH,MATCH(C1810,'Partner data'!DG:DG,0),112)="BL1 non presente","FALSO",INDEX('Partner data'!A:DH,MATCH(C1810,'Partner data'!DG:DG,0),112)))</f>
        <v>0</v>
      </c>
      <c r="S1810" t="b">
        <f t="shared" si="56"/>
        <v>0</v>
      </c>
      <c r="T1810" t="b">
        <f t="shared" si="57"/>
        <v>1</v>
      </c>
      <c r="U1810" s="154">
        <f>IFERROR(IF(R1810&lt;&gt;FALSE,IF(S1810=TRUE,INDEX('SummaryNOT_VALIDATED-BL'!$A$1:$F$16,MATCH(R1810,'SummaryNOT_VALIDATED-BL'!$A$1:$A$16,0),6),0),IF(S1810=TRUE,INDEX('SummaryNOT_VALIDATED-BL'!$A$1:$F$16,MATCH(E1810,'SummaryNOT_VALIDATED-BL'!$A$1:$A$16,0),6),0)),0)</f>
        <v>0</v>
      </c>
      <c r="V1810" s="81" cm="1">
        <f t="array" ref="V1810">INDEX('Weight tables'!$A$24:$C$27,MATCH(1,(RendicontiTrasmessiBL__2[[#This Row],[Cut percentage on real costs + USC]]&gt;='Weight tables'!$B$24:$B$27)*(RendicontiTrasmessiBL__2[[#This Row],[Cut percentage on real costs + USC]]&lt;='Weight tables'!$C$24:$C$27),0),1)</f>
        <v>0</v>
      </c>
      <c r="W1810" s="2">
        <f>RendicontiTrasmessiBL__2[[#This Row],[Weight real costs  + USC ]]</f>
        <v>0</v>
      </c>
    </row>
    <row r="1811" spans="1:23" x14ac:dyDescent="0.25">
      <c r="A1811" s="1" t="s">
        <v>277</v>
      </c>
      <c r="B1811" s="1" t="s">
        <v>279</v>
      </c>
      <c r="C1811" s="2">
        <v>120</v>
      </c>
      <c r="D1811" s="2">
        <v>177</v>
      </c>
      <c r="E1811" s="1" t="s">
        <v>228</v>
      </c>
      <c r="G1811">
        <v>86112.5</v>
      </c>
      <c r="H1811">
        <v>0</v>
      </c>
      <c r="I1811">
        <v>0</v>
      </c>
      <c r="J1811">
        <v>9322.34</v>
      </c>
      <c r="K1811">
        <v>0</v>
      </c>
      <c r="L1811">
        <v>0</v>
      </c>
      <c r="M1811">
        <v>9322.34</v>
      </c>
      <c r="N1811">
        <v>10.83</v>
      </c>
      <c r="O1811">
        <v>76790.16</v>
      </c>
      <c r="P1811">
        <v>0</v>
      </c>
      <c r="Q1811" t="str">
        <f>INDEX('Partner data'!A:DH,MATCH(C1811,'Partner data'!DG:DG,0),83)</f>
        <v>Soggetto pubblico</v>
      </c>
      <c r="R1811" t="str">
        <f>IF(E1811="staff",IF(INDEX('Partner data'!A:DH,MATCH(C1811,'Partner data'!DG:DG,0),112)="BL1 non presente","FALSO",INDEX('Partner data'!A:DH,MATCH(C1811,'Partner data'!DG:DG,0),112)))</f>
        <v>COSTO REALE</v>
      </c>
      <c r="S1811" t="b">
        <f t="shared" si="56"/>
        <v>1</v>
      </c>
      <c r="T1811" t="b">
        <f t="shared" si="57"/>
        <v>1</v>
      </c>
      <c r="U1811" s="154">
        <f>IFERROR(IF(R1811&lt;&gt;FALSE,IF(S1811=TRUE,INDEX('SummaryNOT_VALIDATED-BL'!$A$1:$F$16,MATCH(R1811,'SummaryNOT_VALIDATED-BL'!$A$1:$A$16,0),6),0),IF(S1811=TRUE,INDEX('SummaryNOT_VALIDATED-BL'!$A$1:$F$16,MATCH(E1811,'SummaryNOT_VALIDATED-BL'!$A$1:$A$16,0),6),0)),0)</f>
        <v>9.1604133276901048E-2</v>
      </c>
      <c r="V1811" s="81" cm="1">
        <f t="array" ref="V1811">INDEX('Weight tables'!$A$24:$C$27,MATCH(1,(RendicontiTrasmessiBL__2[[#This Row],[Cut percentage on real costs + USC]]&gt;='Weight tables'!$B$24:$B$27)*(RendicontiTrasmessiBL__2[[#This Row],[Cut percentage on real costs + USC]]&lt;='Weight tables'!$C$24:$C$27),0),1)</f>
        <v>4</v>
      </c>
      <c r="W1811" s="2">
        <f>RendicontiTrasmessiBL__2[[#This Row],[Weight real costs  + USC ]]</f>
        <v>4</v>
      </c>
    </row>
    <row r="1812" spans="1:23" x14ac:dyDescent="0.25">
      <c r="A1812" s="1" t="s">
        <v>277</v>
      </c>
      <c r="B1812" s="1" t="s">
        <v>279</v>
      </c>
      <c r="C1812" s="2">
        <v>120</v>
      </c>
      <c r="D1812" s="2">
        <v>177</v>
      </c>
      <c r="E1812" s="1" t="s">
        <v>229</v>
      </c>
      <c r="G1812">
        <v>0</v>
      </c>
      <c r="H1812">
        <v>0</v>
      </c>
      <c r="I1812">
        <v>0</v>
      </c>
      <c r="J1812">
        <v>0</v>
      </c>
      <c r="K1812">
        <v>0</v>
      </c>
      <c r="L1812">
        <v>0</v>
      </c>
      <c r="M1812">
        <v>0</v>
      </c>
      <c r="N1812">
        <v>0</v>
      </c>
      <c r="O1812">
        <v>0</v>
      </c>
      <c r="P1812">
        <v>0</v>
      </c>
      <c r="Q1812" t="str">
        <f>INDEX('Partner data'!A:DH,MATCH(C1812,'Partner data'!DG:DG,0),83)</f>
        <v>Soggetto pubblico</v>
      </c>
      <c r="R1812" t="b">
        <f>IF(E1812="staff",IF(INDEX('Partner data'!A:DH,MATCH(C1812,'Partner data'!DG:DG,0),112)="BL1 non presente","FALSO",INDEX('Partner data'!A:DH,MATCH(C1812,'Partner data'!DG:DG,0),112)))</f>
        <v>0</v>
      </c>
      <c r="S1812" t="b">
        <f t="shared" si="56"/>
        <v>0</v>
      </c>
      <c r="T1812" t="b">
        <f t="shared" si="57"/>
        <v>1</v>
      </c>
      <c r="U1812" s="154">
        <f>IFERROR(IF(R1812&lt;&gt;FALSE,IF(S1812=TRUE,INDEX('SummaryNOT_VALIDATED-BL'!$A$1:$F$16,MATCH(R1812,'SummaryNOT_VALIDATED-BL'!$A$1:$A$16,0),6),0),IF(S1812=TRUE,INDEX('SummaryNOT_VALIDATED-BL'!$A$1:$F$16,MATCH(E1812,'SummaryNOT_VALIDATED-BL'!$A$1:$A$16,0),6),0)),0)</f>
        <v>0</v>
      </c>
      <c r="V1812" s="81" cm="1">
        <f t="array" ref="V1812">INDEX('Weight tables'!$A$24:$C$27,MATCH(1,(RendicontiTrasmessiBL__2[[#This Row],[Cut percentage on real costs + USC]]&gt;='Weight tables'!$B$24:$B$27)*(RendicontiTrasmessiBL__2[[#This Row],[Cut percentage on real costs + USC]]&lt;='Weight tables'!$C$24:$C$27),0),1)</f>
        <v>0</v>
      </c>
      <c r="W1812" s="2">
        <f>RendicontiTrasmessiBL__2[[#This Row],[Weight real costs  + USC ]]</f>
        <v>0</v>
      </c>
    </row>
    <row r="1813" spans="1:23" x14ac:dyDescent="0.25">
      <c r="A1813" s="1" t="s">
        <v>277</v>
      </c>
      <c r="B1813" s="1" t="s">
        <v>279</v>
      </c>
      <c r="C1813" s="2">
        <v>120</v>
      </c>
      <c r="D1813" s="2">
        <v>177</v>
      </c>
      <c r="E1813" s="1" t="s">
        <v>230</v>
      </c>
      <c r="G1813">
        <v>0</v>
      </c>
      <c r="H1813">
        <v>0</v>
      </c>
      <c r="I1813">
        <v>0</v>
      </c>
      <c r="J1813">
        <v>0</v>
      </c>
      <c r="K1813">
        <v>0</v>
      </c>
      <c r="L1813">
        <v>0</v>
      </c>
      <c r="M1813">
        <v>0</v>
      </c>
      <c r="N1813">
        <v>0</v>
      </c>
      <c r="O1813">
        <v>0</v>
      </c>
      <c r="P1813">
        <v>0</v>
      </c>
      <c r="Q1813" t="str">
        <f>INDEX('Partner data'!A:DH,MATCH(C1813,'Partner data'!DG:DG,0),83)</f>
        <v>Soggetto pubblico</v>
      </c>
      <c r="R1813" t="b">
        <f>IF(E1813="staff",IF(INDEX('Partner data'!A:DH,MATCH(C1813,'Partner data'!DG:DG,0),112)="BL1 non presente","FALSO",INDEX('Partner data'!A:DH,MATCH(C1813,'Partner data'!DG:DG,0),112)))</f>
        <v>0</v>
      </c>
      <c r="S1813" t="b">
        <f t="shared" si="56"/>
        <v>0</v>
      </c>
      <c r="T1813" t="b">
        <f t="shared" si="57"/>
        <v>1</v>
      </c>
      <c r="U1813" s="154">
        <f>IFERROR(IF(R1813&lt;&gt;FALSE,IF(S1813=TRUE,INDEX('SummaryNOT_VALIDATED-BL'!$A$1:$F$16,MATCH(R1813,'SummaryNOT_VALIDATED-BL'!$A$1:$A$16,0),6),0),IF(S1813=TRUE,INDEX('SummaryNOT_VALIDATED-BL'!$A$1:$F$16,MATCH(E1813,'SummaryNOT_VALIDATED-BL'!$A$1:$A$16,0),6),0)),0)</f>
        <v>0</v>
      </c>
      <c r="V1813" s="81" cm="1">
        <f t="array" ref="V1813">INDEX('Weight tables'!$A$24:$C$27,MATCH(1,(RendicontiTrasmessiBL__2[[#This Row],[Cut percentage on real costs + USC]]&gt;='Weight tables'!$B$24:$B$27)*(RendicontiTrasmessiBL__2[[#This Row],[Cut percentage on real costs + USC]]&lt;='Weight tables'!$C$24:$C$27),0),1)</f>
        <v>0</v>
      </c>
      <c r="W1813" s="2">
        <f>RendicontiTrasmessiBL__2[[#This Row],[Weight real costs  + USC ]]</f>
        <v>0</v>
      </c>
    </row>
    <row r="1814" spans="1:23" x14ac:dyDescent="0.25">
      <c r="A1814" s="1" t="s">
        <v>277</v>
      </c>
      <c r="B1814" s="1" t="s">
        <v>279</v>
      </c>
      <c r="C1814" s="2">
        <v>120</v>
      </c>
      <c r="D1814" s="2">
        <v>177</v>
      </c>
      <c r="E1814" s="1" t="s">
        <v>231</v>
      </c>
      <c r="G1814">
        <v>0</v>
      </c>
      <c r="H1814">
        <v>0</v>
      </c>
      <c r="I1814">
        <v>0</v>
      </c>
      <c r="J1814">
        <v>0</v>
      </c>
      <c r="K1814">
        <v>0</v>
      </c>
      <c r="L1814">
        <v>0</v>
      </c>
      <c r="M1814">
        <v>0</v>
      </c>
      <c r="N1814">
        <v>0</v>
      </c>
      <c r="O1814">
        <v>0</v>
      </c>
      <c r="P1814">
        <v>0</v>
      </c>
      <c r="Q1814" t="str">
        <f>INDEX('Partner data'!A:DH,MATCH(C1814,'Partner data'!DG:DG,0),83)</f>
        <v>Soggetto pubblico</v>
      </c>
      <c r="R1814" t="b">
        <f>IF(E1814="staff",IF(INDEX('Partner data'!A:DH,MATCH(C1814,'Partner data'!DG:DG,0),112)="BL1 non presente","FALSO",INDEX('Partner data'!A:DH,MATCH(C1814,'Partner data'!DG:DG,0),112)))</f>
        <v>0</v>
      </c>
      <c r="S1814" t="b">
        <f t="shared" si="56"/>
        <v>0</v>
      </c>
      <c r="T1814" t="b">
        <f t="shared" si="57"/>
        <v>1</v>
      </c>
      <c r="U1814" s="154">
        <f>IFERROR(IF(R1814&lt;&gt;FALSE,IF(S1814=TRUE,INDEX('SummaryNOT_VALIDATED-BL'!$A$1:$F$16,MATCH(R1814,'SummaryNOT_VALIDATED-BL'!$A$1:$A$16,0),6),0),IF(S1814=TRUE,INDEX('SummaryNOT_VALIDATED-BL'!$A$1:$F$16,MATCH(E1814,'SummaryNOT_VALIDATED-BL'!$A$1:$A$16,0),6),0)),0)</f>
        <v>0</v>
      </c>
      <c r="V1814" s="81" cm="1">
        <f t="array" ref="V1814">INDEX('Weight tables'!$A$24:$C$27,MATCH(1,(RendicontiTrasmessiBL__2[[#This Row],[Cut percentage on real costs + USC]]&gt;='Weight tables'!$B$24:$B$27)*(RendicontiTrasmessiBL__2[[#This Row],[Cut percentage on real costs + USC]]&lt;='Weight tables'!$C$24:$C$27),0),1)</f>
        <v>0</v>
      </c>
      <c r="W1814" s="2">
        <f>RendicontiTrasmessiBL__2[[#This Row],[Weight real costs  + USC ]]</f>
        <v>0</v>
      </c>
    </row>
    <row r="1815" spans="1:23" x14ac:dyDescent="0.25">
      <c r="A1815" s="1" t="s">
        <v>277</v>
      </c>
      <c r="B1815" s="1" t="s">
        <v>279</v>
      </c>
      <c r="C1815" s="2">
        <v>120</v>
      </c>
      <c r="D1815" s="2">
        <v>177</v>
      </c>
      <c r="E1815" s="1" t="s">
        <v>232</v>
      </c>
      <c r="G1815">
        <v>0</v>
      </c>
      <c r="H1815">
        <v>0</v>
      </c>
      <c r="I1815">
        <v>0</v>
      </c>
      <c r="J1815">
        <v>0</v>
      </c>
      <c r="K1815">
        <v>0</v>
      </c>
      <c r="L1815">
        <v>0</v>
      </c>
      <c r="M1815">
        <v>0</v>
      </c>
      <c r="N1815">
        <v>0</v>
      </c>
      <c r="O1815">
        <v>0</v>
      </c>
      <c r="P1815">
        <v>0</v>
      </c>
      <c r="Q1815" t="str">
        <f>INDEX('Partner data'!A:DH,MATCH(C1815,'Partner data'!DG:DG,0),83)</f>
        <v>Soggetto pubblico</v>
      </c>
      <c r="R1815" t="b">
        <f>IF(E1815="staff",IF(INDEX('Partner data'!A:DH,MATCH(C1815,'Partner data'!DG:DG,0),112)="BL1 non presente","FALSO",INDEX('Partner data'!A:DH,MATCH(C1815,'Partner data'!DG:DG,0),112)))</f>
        <v>0</v>
      </c>
      <c r="S1815" t="b">
        <f t="shared" si="56"/>
        <v>0</v>
      </c>
      <c r="T1815" t="b">
        <f t="shared" si="57"/>
        <v>1</v>
      </c>
      <c r="U1815" s="154">
        <f>IFERROR(IF(R1815&lt;&gt;FALSE,IF(S1815=TRUE,INDEX('SummaryNOT_VALIDATED-BL'!$A$1:$F$16,MATCH(R1815,'SummaryNOT_VALIDATED-BL'!$A$1:$A$16,0),6),0),IF(S1815=TRUE,INDEX('SummaryNOT_VALIDATED-BL'!$A$1:$F$16,MATCH(E1815,'SummaryNOT_VALIDATED-BL'!$A$1:$A$16,0),6),0)),0)</f>
        <v>0</v>
      </c>
      <c r="V1815" s="81" cm="1">
        <f t="array" ref="V1815">INDEX('Weight tables'!$A$24:$C$27,MATCH(1,(RendicontiTrasmessiBL__2[[#This Row],[Cut percentage on real costs + USC]]&gt;='Weight tables'!$B$24:$B$27)*(RendicontiTrasmessiBL__2[[#This Row],[Cut percentage on real costs + USC]]&lt;='Weight tables'!$C$24:$C$27),0),1)</f>
        <v>0</v>
      </c>
      <c r="W1815" s="2">
        <f>RendicontiTrasmessiBL__2[[#This Row],[Weight real costs  + USC ]]</f>
        <v>0</v>
      </c>
    </row>
    <row r="1816" spans="1:23" x14ac:dyDescent="0.25">
      <c r="A1816" s="1" t="s">
        <v>277</v>
      </c>
      <c r="B1816" s="1" t="s">
        <v>279</v>
      </c>
      <c r="C1816" s="2">
        <v>120</v>
      </c>
      <c r="D1816" s="2">
        <v>177</v>
      </c>
      <c r="E1816" s="1" t="s">
        <v>233</v>
      </c>
      <c r="G1816">
        <v>0</v>
      </c>
      <c r="H1816">
        <v>0</v>
      </c>
      <c r="I1816">
        <v>0</v>
      </c>
      <c r="J1816">
        <v>0</v>
      </c>
      <c r="K1816">
        <v>0</v>
      </c>
      <c r="L1816">
        <v>0</v>
      </c>
      <c r="M1816">
        <v>0</v>
      </c>
      <c r="N1816">
        <v>0</v>
      </c>
      <c r="O1816">
        <v>0</v>
      </c>
      <c r="P1816">
        <v>0</v>
      </c>
      <c r="Q1816" t="str">
        <f>INDEX('Partner data'!A:DH,MATCH(C1816,'Partner data'!DG:DG,0),83)</f>
        <v>Soggetto pubblico</v>
      </c>
      <c r="R1816" t="b">
        <f>IF(E1816="staff",IF(INDEX('Partner data'!A:DH,MATCH(C1816,'Partner data'!DG:DG,0),112)="BL1 non presente","FALSO",INDEX('Partner data'!A:DH,MATCH(C1816,'Partner data'!DG:DG,0),112)))</f>
        <v>0</v>
      </c>
      <c r="S1816" t="b">
        <f t="shared" si="56"/>
        <v>0</v>
      </c>
      <c r="T1816" t="b">
        <f t="shared" si="57"/>
        <v>1</v>
      </c>
      <c r="U1816" s="154">
        <f>IFERROR(IF(R1816&lt;&gt;FALSE,IF(S1816=TRUE,INDEX('SummaryNOT_VALIDATED-BL'!$A$1:$F$16,MATCH(R1816,'SummaryNOT_VALIDATED-BL'!$A$1:$A$16,0),6),0),IF(S1816=TRUE,INDEX('SummaryNOT_VALIDATED-BL'!$A$1:$F$16,MATCH(E1816,'SummaryNOT_VALIDATED-BL'!$A$1:$A$16,0),6),0)),0)</f>
        <v>0</v>
      </c>
      <c r="V1816" s="81" cm="1">
        <f t="array" ref="V1816">INDEX('Weight tables'!$A$24:$C$27,MATCH(1,(RendicontiTrasmessiBL__2[[#This Row],[Cut percentage on real costs + USC]]&gt;='Weight tables'!$B$24:$B$27)*(RendicontiTrasmessiBL__2[[#This Row],[Cut percentage on real costs + USC]]&lt;='Weight tables'!$C$24:$C$27),0),1)</f>
        <v>0</v>
      </c>
      <c r="W1816" s="2">
        <f>RendicontiTrasmessiBL__2[[#This Row],[Weight real costs  + USC ]]</f>
        <v>0</v>
      </c>
    </row>
    <row r="1817" spans="1:23" x14ac:dyDescent="0.25">
      <c r="A1817" s="1" t="s">
        <v>277</v>
      </c>
      <c r="B1817" s="1" t="s">
        <v>279</v>
      </c>
      <c r="C1817" s="2">
        <v>120</v>
      </c>
      <c r="D1817" s="2">
        <v>177</v>
      </c>
      <c r="E1817" s="1" t="s">
        <v>234</v>
      </c>
      <c r="F1817">
        <v>40</v>
      </c>
      <c r="G1817">
        <v>34445</v>
      </c>
      <c r="H1817">
        <v>0</v>
      </c>
      <c r="I1817">
        <v>0</v>
      </c>
      <c r="J1817">
        <v>3728.93</v>
      </c>
      <c r="K1817">
        <v>0</v>
      </c>
      <c r="L1817">
        <v>0</v>
      </c>
      <c r="M1817">
        <v>3728.93</v>
      </c>
      <c r="N1817">
        <v>10.83</v>
      </c>
      <c r="O1817">
        <v>30716.07</v>
      </c>
      <c r="P1817">
        <v>0</v>
      </c>
      <c r="Q1817" t="str">
        <f>INDEX('Partner data'!A:DH,MATCH(C1817,'Partner data'!DG:DG,0),83)</f>
        <v>Soggetto pubblico</v>
      </c>
      <c r="R1817" t="b">
        <f>IF(E1817="staff",IF(INDEX('Partner data'!A:DH,MATCH(C1817,'Partner data'!DG:DG,0),112)="BL1 non presente","FALSO",INDEX('Partner data'!A:DH,MATCH(C1817,'Partner data'!DG:DG,0),112)))</f>
        <v>0</v>
      </c>
      <c r="S1817" t="b">
        <f t="shared" si="56"/>
        <v>1</v>
      </c>
      <c r="T1817" t="b">
        <f t="shared" si="57"/>
        <v>1</v>
      </c>
      <c r="U1817" s="154">
        <f>IFERROR(IF(R1817&lt;&gt;FALSE,IF(S1817=TRUE,INDEX('SummaryNOT_VALIDATED-BL'!$A$1:$F$16,MATCH(R1817,'SummaryNOT_VALIDATED-BL'!$A$1:$A$16,0),6),0),IF(S1817=TRUE,INDEX('SummaryNOT_VALIDATED-BL'!$A$1:$F$16,MATCH(E1817,'SummaryNOT_VALIDATED-BL'!$A$1:$A$16,0),6),0)),0)</f>
        <v>8.7645339819521315E-2</v>
      </c>
      <c r="V1817" s="81" cm="1">
        <f t="array" ref="V1817">INDEX('Weight tables'!$A$24:$C$27,MATCH(1,(RendicontiTrasmessiBL__2[[#This Row],[Cut percentage on real costs + USC]]&gt;='Weight tables'!$B$24:$B$27)*(RendicontiTrasmessiBL__2[[#This Row],[Cut percentage on real costs + USC]]&lt;='Weight tables'!$C$24:$C$27),0),1)</f>
        <v>4</v>
      </c>
      <c r="W1817" s="2">
        <f>RendicontiTrasmessiBL__2[[#This Row],[Weight real costs  + USC ]]</f>
        <v>4</v>
      </c>
    </row>
    <row r="1818" spans="1:23" x14ac:dyDescent="0.25">
      <c r="A1818" s="1" t="s">
        <v>277</v>
      </c>
      <c r="B1818" s="1" t="s">
        <v>279</v>
      </c>
      <c r="C1818" s="2">
        <v>120</v>
      </c>
      <c r="D1818" s="2">
        <v>177</v>
      </c>
      <c r="E1818" s="1" t="s">
        <v>236</v>
      </c>
      <c r="G1818">
        <v>0</v>
      </c>
      <c r="H1818">
        <v>0</v>
      </c>
      <c r="I1818">
        <v>0</v>
      </c>
      <c r="J1818">
        <v>0</v>
      </c>
      <c r="K1818">
        <v>0</v>
      </c>
      <c r="L1818">
        <v>0</v>
      </c>
      <c r="M1818">
        <v>0</v>
      </c>
      <c r="N1818">
        <v>0</v>
      </c>
      <c r="O1818">
        <v>0</v>
      </c>
      <c r="P1818">
        <v>0</v>
      </c>
      <c r="Q1818" t="str">
        <f>INDEX('Partner data'!A:DH,MATCH(C1818,'Partner data'!DG:DG,0),83)</f>
        <v>Soggetto pubblico</v>
      </c>
      <c r="R1818" t="b">
        <f>IF(E1818="staff",IF(INDEX('Partner data'!A:DH,MATCH(C1818,'Partner data'!DG:DG,0),112)="BL1 non presente","FALSO",INDEX('Partner data'!A:DH,MATCH(C1818,'Partner data'!DG:DG,0),112)))</f>
        <v>0</v>
      </c>
      <c r="S1818" t="b">
        <f t="shared" si="56"/>
        <v>0</v>
      </c>
      <c r="T1818" t="b">
        <f t="shared" si="57"/>
        <v>1</v>
      </c>
      <c r="U1818" s="154">
        <f>IFERROR(IF(R1818&lt;&gt;FALSE,IF(S1818=TRUE,INDEX('SummaryNOT_VALIDATED-BL'!$A$1:$F$16,MATCH(R1818,'SummaryNOT_VALIDATED-BL'!$A$1:$A$16,0),6),0),IF(S1818=TRUE,INDEX('SummaryNOT_VALIDATED-BL'!$A$1:$F$16,MATCH(E1818,'SummaryNOT_VALIDATED-BL'!$A$1:$A$16,0),6),0)),0)</f>
        <v>0</v>
      </c>
      <c r="V1818" s="81" cm="1">
        <f t="array" ref="V1818">INDEX('Weight tables'!$A$24:$C$27,MATCH(1,(RendicontiTrasmessiBL__2[[#This Row],[Cut percentage on real costs + USC]]&gt;='Weight tables'!$B$24:$B$27)*(RendicontiTrasmessiBL__2[[#This Row],[Cut percentage on real costs + USC]]&lt;='Weight tables'!$C$24:$C$27),0),1)</f>
        <v>0</v>
      </c>
      <c r="W1818" s="2">
        <f>RendicontiTrasmessiBL__2[[#This Row],[Weight real costs  + USC ]]</f>
        <v>0</v>
      </c>
    </row>
    <row r="1819" spans="1:23" x14ac:dyDescent="0.25">
      <c r="A1819" s="1" t="s">
        <v>277</v>
      </c>
      <c r="B1819" s="1" t="s">
        <v>279</v>
      </c>
      <c r="C1819" s="2">
        <v>120</v>
      </c>
      <c r="D1819" s="2">
        <v>177</v>
      </c>
      <c r="E1819" s="1" t="s">
        <v>237</v>
      </c>
      <c r="G1819">
        <v>0</v>
      </c>
      <c r="H1819">
        <v>0</v>
      </c>
      <c r="I1819">
        <v>0</v>
      </c>
      <c r="J1819">
        <v>0</v>
      </c>
      <c r="K1819">
        <v>0</v>
      </c>
      <c r="L1819">
        <v>0</v>
      </c>
      <c r="M1819">
        <v>0</v>
      </c>
      <c r="N1819">
        <v>0</v>
      </c>
      <c r="O1819">
        <v>0</v>
      </c>
      <c r="P1819">
        <v>0</v>
      </c>
      <c r="Q1819" t="str">
        <f>INDEX('Partner data'!A:DH,MATCH(C1819,'Partner data'!DG:DG,0),83)</f>
        <v>Soggetto pubblico</v>
      </c>
      <c r="R1819" t="b">
        <f>IF(E1819="staff",IF(INDEX('Partner data'!A:DH,MATCH(C1819,'Partner data'!DG:DG,0),112)="BL1 non presente","FALSO",INDEX('Partner data'!A:DH,MATCH(C1819,'Partner data'!DG:DG,0),112)))</f>
        <v>0</v>
      </c>
      <c r="S1819" t="b">
        <f t="shared" si="56"/>
        <v>0</v>
      </c>
      <c r="T1819" t="b">
        <f t="shared" si="57"/>
        <v>1</v>
      </c>
      <c r="U1819" s="154">
        <f>IFERROR(IF(R1819&lt;&gt;FALSE,IF(S1819=TRUE,INDEX('SummaryNOT_VALIDATED-BL'!$A$1:$F$16,MATCH(R1819,'SummaryNOT_VALIDATED-BL'!$A$1:$A$16,0),6),0),IF(S1819=TRUE,INDEX('SummaryNOT_VALIDATED-BL'!$A$1:$F$16,MATCH(E1819,'SummaryNOT_VALIDATED-BL'!$A$1:$A$16,0),6),0)),0)</f>
        <v>0</v>
      </c>
      <c r="V1819" s="81" cm="1">
        <f t="array" ref="V1819">INDEX('Weight tables'!$A$24:$C$27,MATCH(1,(RendicontiTrasmessiBL__2[[#This Row],[Cut percentage on real costs + USC]]&gt;='Weight tables'!$B$24:$B$27)*(RendicontiTrasmessiBL__2[[#This Row],[Cut percentage on real costs + USC]]&lt;='Weight tables'!$C$24:$C$27),0),1)</f>
        <v>0</v>
      </c>
      <c r="W1819" s="2">
        <f>RendicontiTrasmessiBL__2[[#This Row],[Weight real costs  + USC ]]</f>
        <v>0</v>
      </c>
    </row>
    <row r="1820" spans="1:23" x14ac:dyDescent="0.25">
      <c r="A1820" s="1" t="s">
        <v>277</v>
      </c>
      <c r="B1820" s="1" t="s">
        <v>280</v>
      </c>
      <c r="C1820" s="2">
        <v>118</v>
      </c>
      <c r="D1820" s="2">
        <v>155</v>
      </c>
      <c r="E1820" s="1" t="s">
        <v>228</v>
      </c>
      <c r="F1820">
        <v>20</v>
      </c>
      <c r="G1820">
        <v>30000</v>
      </c>
      <c r="H1820">
        <v>0</v>
      </c>
      <c r="I1820">
        <v>0</v>
      </c>
      <c r="J1820">
        <v>0</v>
      </c>
      <c r="K1820">
        <v>0</v>
      </c>
      <c r="L1820">
        <v>0</v>
      </c>
      <c r="M1820">
        <v>0</v>
      </c>
      <c r="N1820">
        <v>0</v>
      </c>
      <c r="O1820">
        <v>30000</v>
      </c>
      <c r="P1820">
        <v>0</v>
      </c>
      <c r="Q1820" t="str">
        <f>INDEX('Partner data'!A:DH,MATCH(C1820,'Partner data'!DG:DG,0),83)</f>
        <v xml:space="preserve">Organismo di diritto pubblico </v>
      </c>
      <c r="R1820" t="str">
        <f>IF(E1820="staff",IF(INDEX('Partner data'!A:DH,MATCH(C1820,'Partner data'!DG:DG,0),112)="BL1 non presente","FALSO",INDEX('Partner data'!A:DH,MATCH(C1820,'Partner data'!DG:DG,0),112)))</f>
        <v>Tasso Forfettario 20%</v>
      </c>
      <c r="S1820" t="b">
        <f t="shared" si="56"/>
        <v>0</v>
      </c>
      <c r="T1820" t="b">
        <f t="shared" si="57"/>
        <v>1</v>
      </c>
      <c r="U1820" s="154">
        <f>IFERROR(IF(R1820&lt;&gt;FALSE,IF(S1820=TRUE,INDEX('SummaryNOT_VALIDATED-BL'!$A$1:$F$16,MATCH(R1820,'SummaryNOT_VALIDATED-BL'!$A$1:$A$16,0),6),0),IF(S1820=TRUE,INDEX('SummaryNOT_VALIDATED-BL'!$A$1:$F$16,MATCH(E1820,'SummaryNOT_VALIDATED-BL'!$A$1:$A$16,0),6),0)),0)</f>
        <v>0</v>
      </c>
      <c r="V1820" s="81" cm="1">
        <f t="array" ref="V1820">INDEX('Weight tables'!$A$24:$C$27,MATCH(1,(RendicontiTrasmessiBL__2[[#This Row],[Cut percentage on real costs + USC]]&gt;='Weight tables'!$B$24:$B$27)*(RendicontiTrasmessiBL__2[[#This Row],[Cut percentage on real costs + USC]]&lt;='Weight tables'!$C$24:$C$27),0),1)</f>
        <v>0</v>
      </c>
      <c r="W1820" s="2">
        <f>RendicontiTrasmessiBL__2[[#This Row],[Weight real costs  + USC ]]</f>
        <v>0</v>
      </c>
    </row>
    <row r="1821" spans="1:23" x14ac:dyDescent="0.25">
      <c r="A1821" s="1" t="s">
        <v>277</v>
      </c>
      <c r="B1821" s="1" t="s">
        <v>280</v>
      </c>
      <c r="C1821" s="2">
        <v>118</v>
      </c>
      <c r="D1821" s="2">
        <v>155</v>
      </c>
      <c r="E1821" s="1" t="s">
        <v>229</v>
      </c>
      <c r="F1821">
        <v>15</v>
      </c>
      <c r="G1821">
        <v>4500</v>
      </c>
      <c r="H1821">
        <v>0</v>
      </c>
      <c r="I1821">
        <v>0</v>
      </c>
      <c r="J1821">
        <v>0</v>
      </c>
      <c r="K1821">
        <v>0</v>
      </c>
      <c r="L1821">
        <v>0</v>
      </c>
      <c r="M1821">
        <v>0</v>
      </c>
      <c r="N1821">
        <v>0</v>
      </c>
      <c r="O1821">
        <v>4500</v>
      </c>
      <c r="P1821">
        <v>0</v>
      </c>
      <c r="Q1821" t="str">
        <f>INDEX('Partner data'!A:DH,MATCH(C1821,'Partner data'!DG:DG,0),83)</f>
        <v xml:space="preserve">Organismo di diritto pubblico </v>
      </c>
      <c r="R1821" t="b">
        <f>IF(E1821="staff",IF(INDEX('Partner data'!A:DH,MATCH(C1821,'Partner data'!DG:DG,0),112)="BL1 non presente","FALSO",INDEX('Partner data'!A:DH,MATCH(C1821,'Partner data'!DG:DG,0),112)))</f>
        <v>0</v>
      </c>
      <c r="S1821" t="b">
        <f t="shared" si="56"/>
        <v>0</v>
      </c>
      <c r="T1821" t="b">
        <f t="shared" si="57"/>
        <v>1</v>
      </c>
      <c r="U1821" s="154">
        <f>IFERROR(IF(R1821&lt;&gt;FALSE,IF(S1821=TRUE,INDEX('SummaryNOT_VALIDATED-BL'!$A$1:$F$16,MATCH(R1821,'SummaryNOT_VALIDATED-BL'!$A$1:$A$16,0),6),0),IF(S1821=TRUE,INDEX('SummaryNOT_VALIDATED-BL'!$A$1:$F$16,MATCH(E1821,'SummaryNOT_VALIDATED-BL'!$A$1:$A$16,0),6),0)),0)</f>
        <v>0</v>
      </c>
      <c r="V1821" s="81" cm="1">
        <f t="array" ref="V1821">INDEX('Weight tables'!$A$24:$C$27,MATCH(1,(RendicontiTrasmessiBL__2[[#This Row],[Cut percentage on real costs + USC]]&gt;='Weight tables'!$B$24:$B$27)*(RendicontiTrasmessiBL__2[[#This Row],[Cut percentage on real costs + USC]]&lt;='Weight tables'!$C$24:$C$27),0),1)</f>
        <v>0</v>
      </c>
      <c r="W1821" s="2">
        <f>RendicontiTrasmessiBL__2[[#This Row],[Weight real costs  + USC ]]</f>
        <v>0</v>
      </c>
    </row>
    <row r="1822" spans="1:23" x14ac:dyDescent="0.25">
      <c r="A1822" s="1" t="s">
        <v>277</v>
      </c>
      <c r="B1822" s="1" t="s">
        <v>280</v>
      </c>
      <c r="C1822" s="2">
        <v>118</v>
      </c>
      <c r="D1822" s="2">
        <v>155</v>
      </c>
      <c r="E1822" s="1" t="s">
        <v>230</v>
      </c>
      <c r="F1822">
        <v>4</v>
      </c>
      <c r="G1822">
        <v>1200</v>
      </c>
      <c r="H1822">
        <v>0</v>
      </c>
      <c r="I1822">
        <v>0</v>
      </c>
      <c r="J1822">
        <v>0</v>
      </c>
      <c r="K1822">
        <v>0</v>
      </c>
      <c r="L1822">
        <v>0</v>
      </c>
      <c r="M1822">
        <v>0</v>
      </c>
      <c r="N1822">
        <v>0</v>
      </c>
      <c r="O1822">
        <v>1200</v>
      </c>
      <c r="P1822">
        <v>0</v>
      </c>
      <c r="Q1822" t="str">
        <f>INDEX('Partner data'!A:DH,MATCH(C1822,'Partner data'!DG:DG,0),83)</f>
        <v xml:space="preserve">Organismo di diritto pubblico </v>
      </c>
      <c r="R1822" t="b">
        <f>IF(E1822="staff",IF(INDEX('Partner data'!A:DH,MATCH(C1822,'Partner data'!DG:DG,0),112)="BL1 non presente","FALSO",INDEX('Partner data'!A:DH,MATCH(C1822,'Partner data'!DG:DG,0),112)))</f>
        <v>0</v>
      </c>
      <c r="S1822" t="b">
        <f t="shared" si="56"/>
        <v>0</v>
      </c>
      <c r="T1822" t="b">
        <f t="shared" si="57"/>
        <v>1</v>
      </c>
      <c r="U1822" s="154">
        <f>IFERROR(IF(R1822&lt;&gt;FALSE,IF(S1822=TRUE,INDEX('SummaryNOT_VALIDATED-BL'!$A$1:$F$16,MATCH(R1822,'SummaryNOT_VALIDATED-BL'!$A$1:$A$16,0),6),0),IF(S1822=TRUE,INDEX('SummaryNOT_VALIDATED-BL'!$A$1:$F$16,MATCH(E1822,'SummaryNOT_VALIDATED-BL'!$A$1:$A$16,0),6),0)),0)</f>
        <v>0</v>
      </c>
      <c r="V1822" s="81" cm="1">
        <f t="array" ref="V1822">INDEX('Weight tables'!$A$24:$C$27,MATCH(1,(RendicontiTrasmessiBL__2[[#This Row],[Cut percentage on real costs + USC]]&gt;='Weight tables'!$B$24:$B$27)*(RendicontiTrasmessiBL__2[[#This Row],[Cut percentage on real costs + USC]]&lt;='Weight tables'!$C$24:$C$27),0),1)</f>
        <v>0</v>
      </c>
      <c r="W1822" s="2">
        <f>RendicontiTrasmessiBL__2[[#This Row],[Weight real costs  + USC ]]</f>
        <v>0</v>
      </c>
    </row>
    <row r="1823" spans="1:23" x14ac:dyDescent="0.25">
      <c r="A1823" s="1" t="s">
        <v>277</v>
      </c>
      <c r="B1823" s="1" t="s">
        <v>280</v>
      </c>
      <c r="C1823" s="2">
        <v>118</v>
      </c>
      <c r="D1823" s="2">
        <v>155</v>
      </c>
      <c r="E1823" s="1" t="s">
        <v>231</v>
      </c>
      <c r="G1823">
        <v>25000</v>
      </c>
      <c r="H1823">
        <v>0</v>
      </c>
      <c r="I1823">
        <v>0</v>
      </c>
      <c r="J1823">
        <v>0</v>
      </c>
      <c r="K1823">
        <v>0</v>
      </c>
      <c r="L1823">
        <v>0</v>
      </c>
      <c r="M1823">
        <v>0</v>
      </c>
      <c r="N1823">
        <v>0</v>
      </c>
      <c r="O1823">
        <v>25000</v>
      </c>
      <c r="P1823">
        <v>0</v>
      </c>
      <c r="Q1823" t="str">
        <f>INDEX('Partner data'!A:DH,MATCH(C1823,'Partner data'!DG:DG,0),83)</f>
        <v xml:space="preserve">Organismo di diritto pubblico </v>
      </c>
      <c r="R1823" t="b">
        <f>IF(E1823="staff",IF(INDEX('Partner data'!A:DH,MATCH(C1823,'Partner data'!DG:DG,0),112)="BL1 non presente","FALSO",INDEX('Partner data'!A:DH,MATCH(C1823,'Partner data'!DG:DG,0),112)))</f>
        <v>0</v>
      </c>
      <c r="S1823" t="b">
        <f t="shared" si="56"/>
        <v>0</v>
      </c>
      <c r="T1823" t="b">
        <f t="shared" si="57"/>
        <v>1</v>
      </c>
      <c r="U1823" s="154">
        <f>IFERROR(IF(R1823&lt;&gt;FALSE,IF(S1823=TRUE,INDEX('SummaryNOT_VALIDATED-BL'!$A$1:$F$16,MATCH(R1823,'SummaryNOT_VALIDATED-BL'!$A$1:$A$16,0),6),0),IF(S1823=TRUE,INDEX('SummaryNOT_VALIDATED-BL'!$A$1:$F$16,MATCH(E1823,'SummaryNOT_VALIDATED-BL'!$A$1:$A$16,0),6),0)),0)</f>
        <v>0</v>
      </c>
      <c r="V1823" s="81" cm="1">
        <f t="array" ref="V1823">INDEX('Weight tables'!$A$24:$C$27,MATCH(1,(RendicontiTrasmessiBL__2[[#This Row],[Cut percentage on real costs + USC]]&gt;='Weight tables'!$B$24:$B$27)*(RendicontiTrasmessiBL__2[[#This Row],[Cut percentage on real costs + USC]]&lt;='Weight tables'!$C$24:$C$27),0),1)</f>
        <v>0</v>
      </c>
      <c r="W1823" s="2">
        <f>RendicontiTrasmessiBL__2[[#This Row],[Weight real costs  + USC ]]</f>
        <v>0</v>
      </c>
    </row>
    <row r="1824" spans="1:23" x14ac:dyDescent="0.25">
      <c r="A1824" s="1" t="s">
        <v>277</v>
      </c>
      <c r="B1824" s="1" t="s">
        <v>280</v>
      </c>
      <c r="C1824" s="2">
        <v>118</v>
      </c>
      <c r="D1824" s="2">
        <v>155</v>
      </c>
      <c r="E1824" s="1" t="s">
        <v>232</v>
      </c>
      <c r="G1824">
        <v>50000</v>
      </c>
      <c r="H1824">
        <v>0</v>
      </c>
      <c r="I1824">
        <v>0</v>
      </c>
      <c r="J1824">
        <v>0</v>
      </c>
      <c r="K1824">
        <v>0</v>
      </c>
      <c r="L1824">
        <v>0</v>
      </c>
      <c r="M1824">
        <v>0</v>
      </c>
      <c r="N1824">
        <v>0</v>
      </c>
      <c r="O1824">
        <v>50000</v>
      </c>
      <c r="P1824">
        <v>0</v>
      </c>
      <c r="Q1824" t="str">
        <f>INDEX('Partner data'!A:DH,MATCH(C1824,'Partner data'!DG:DG,0),83)</f>
        <v xml:space="preserve">Organismo di diritto pubblico </v>
      </c>
      <c r="R1824" t="b">
        <f>IF(E1824="staff",IF(INDEX('Partner data'!A:DH,MATCH(C1824,'Partner data'!DG:DG,0),112)="BL1 non presente","FALSO",INDEX('Partner data'!A:DH,MATCH(C1824,'Partner data'!DG:DG,0),112)))</f>
        <v>0</v>
      </c>
      <c r="S1824" t="b">
        <f t="shared" si="56"/>
        <v>0</v>
      </c>
      <c r="T1824" t="b">
        <f t="shared" si="57"/>
        <v>1</v>
      </c>
      <c r="U1824" s="154">
        <f>IFERROR(IF(R1824&lt;&gt;FALSE,IF(S1824=TRUE,INDEX('SummaryNOT_VALIDATED-BL'!$A$1:$F$16,MATCH(R1824,'SummaryNOT_VALIDATED-BL'!$A$1:$A$16,0),6),0),IF(S1824=TRUE,INDEX('SummaryNOT_VALIDATED-BL'!$A$1:$F$16,MATCH(E1824,'SummaryNOT_VALIDATED-BL'!$A$1:$A$16,0),6),0)),0)</f>
        <v>0</v>
      </c>
      <c r="V1824" s="81" cm="1">
        <f t="array" ref="V1824">INDEX('Weight tables'!$A$24:$C$27,MATCH(1,(RendicontiTrasmessiBL__2[[#This Row],[Cut percentage on real costs + USC]]&gt;='Weight tables'!$B$24:$B$27)*(RendicontiTrasmessiBL__2[[#This Row],[Cut percentage on real costs + USC]]&lt;='Weight tables'!$C$24:$C$27),0),1)</f>
        <v>0</v>
      </c>
      <c r="W1824" s="2">
        <f>RendicontiTrasmessiBL__2[[#This Row],[Weight real costs  + USC ]]</f>
        <v>0</v>
      </c>
    </row>
    <row r="1825" spans="1:23" x14ac:dyDescent="0.25">
      <c r="A1825" s="1" t="s">
        <v>277</v>
      </c>
      <c r="B1825" s="1" t="s">
        <v>280</v>
      </c>
      <c r="C1825" s="2">
        <v>118</v>
      </c>
      <c r="D1825" s="2">
        <v>155</v>
      </c>
      <c r="E1825" s="1" t="s">
        <v>233</v>
      </c>
      <c r="G1825">
        <v>75000</v>
      </c>
      <c r="H1825">
        <v>0</v>
      </c>
      <c r="I1825">
        <v>0</v>
      </c>
      <c r="J1825">
        <v>0</v>
      </c>
      <c r="K1825">
        <v>0</v>
      </c>
      <c r="L1825">
        <v>0</v>
      </c>
      <c r="M1825">
        <v>0</v>
      </c>
      <c r="N1825">
        <v>0</v>
      </c>
      <c r="O1825">
        <v>75000</v>
      </c>
      <c r="P1825">
        <v>0</v>
      </c>
      <c r="Q1825" t="str">
        <f>INDEX('Partner data'!A:DH,MATCH(C1825,'Partner data'!DG:DG,0),83)</f>
        <v xml:space="preserve">Organismo di diritto pubblico </v>
      </c>
      <c r="R1825" t="b">
        <f>IF(E1825="staff",IF(INDEX('Partner data'!A:DH,MATCH(C1825,'Partner data'!DG:DG,0),112)="BL1 non presente","FALSO",INDEX('Partner data'!A:DH,MATCH(C1825,'Partner data'!DG:DG,0),112)))</f>
        <v>0</v>
      </c>
      <c r="S1825" t="b">
        <f t="shared" si="56"/>
        <v>0</v>
      </c>
      <c r="T1825" t="b">
        <f t="shared" si="57"/>
        <v>1</v>
      </c>
      <c r="U1825" s="154">
        <f>IFERROR(IF(R1825&lt;&gt;FALSE,IF(S1825=TRUE,INDEX('SummaryNOT_VALIDATED-BL'!$A$1:$F$16,MATCH(R1825,'SummaryNOT_VALIDATED-BL'!$A$1:$A$16,0),6),0),IF(S1825=TRUE,INDEX('SummaryNOT_VALIDATED-BL'!$A$1:$F$16,MATCH(E1825,'SummaryNOT_VALIDATED-BL'!$A$1:$A$16,0),6),0)),0)</f>
        <v>0</v>
      </c>
      <c r="V1825" s="81" cm="1">
        <f t="array" ref="V1825">INDEX('Weight tables'!$A$24:$C$27,MATCH(1,(RendicontiTrasmessiBL__2[[#This Row],[Cut percentage on real costs + USC]]&gt;='Weight tables'!$B$24:$B$27)*(RendicontiTrasmessiBL__2[[#This Row],[Cut percentage on real costs + USC]]&lt;='Weight tables'!$C$24:$C$27),0),1)</f>
        <v>0</v>
      </c>
      <c r="W1825" s="2">
        <f>RendicontiTrasmessiBL__2[[#This Row],[Weight real costs  + USC ]]</f>
        <v>0</v>
      </c>
    </row>
    <row r="1826" spans="1:23" x14ac:dyDescent="0.25">
      <c r="A1826" s="1" t="s">
        <v>277</v>
      </c>
      <c r="B1826" s="1" t="s">
        <v>280</v>
      </c>
      <c r="C1826" s="2">
        <v>118</v>
      </c>
      <c r="D1826" s="2">
        <v>155</v>
      </c>
      <c r="E1826" s="1" t="s">
        <v>234</v>
      </c>
      <c r="G1826">
        <v>0</v>
      </c>
      <c r="H1826">
        <v>0</v>
      </c>
      <c r="I1826">
        <v>0</v>
      </c>
      <c r="J1826">
        <v>0</v>
      </c>
      <c r="K1826">
        <v>0</v>
      </c>
      <c r="L1826">
        <v>0</v>
      </c>
      <c r="M1826">
        <v>0</v>
      </c>
      <c r="N1826">
        <v>0</v>
      </c>
      <c r="O1826">
        <v>0</v>
      </c>
      <c r="P1826">
        <v>0</v>
      </c>
      <c r="Q1826" t="str">
        <f>INDEX('Partner data'!A:DH,MATCH(C1826,'Partner data'!DG:DG,0),83)</f>
        <v xml:space="preserve">Organismo di diritto pubblico </v>
      </c>
      <c r="R1826" t="b">
        <f>IF(E1826="staff",IF(INDEX('Partner data'!A:DH,MATCH(C1826,'Partner data'!DG:DG,0),112)="BL1 non presente","FALSO",INDEX('Partner data'!A:DH,MATCH(C1826,'Partner data'!DG:DG,0),112)))</f>
        <v>0</v>
      </c>
      <c r="S1826" t="b">
        <f t="shared" si="56"/>
        <v>0</v>
      </c>
      <c r="T1826" t="b">
        <f t="shared" si="57"/>
        <v>1</v>
      </c>
      <c r="U1826" s="154">
        <f>IFERROR(IF(R1826&lt;&gt;FALSE,IF(S1826=TRUE,INDEX('SummaryNOT_VALIDATED-BL'!$A$1:$F$16,MATCH(R1826,'SummaryNOT_VALIDATED-BL'!$A$1:$A$16,0),6),0),IF(S1826=TRUE,INDEX('SummaryNOT_VALIDATED-BL'!$A$1:$F$16,MATCH(E1826,'SummaryNOT_VALIDATED-BL'!$A$1:$A$16,0),6),0)),0)</f>
        <v>0</v>
      </c>
      <c r="V1826" s="81" cm="1">
        <f t="array" ref="V1826">INDEX('Weight tables'!$A$24:$C$27,MATCH(1,(RendicontiTrasmessiBL__2[[#This Row],[Cut percentage on real costs + USC]]&gt;='Weight tables'!$B$24:$B$27)*(RendicontiTrasmessiBL__2[[#This Row],[Cut percentage on real costs + USC]]&lt;='Weight tables'!$C$24:$C$27),0),1)</f>
        <v>0</v>
      </c>
      <c r="W1826" s="2">
        <f>RendicontiTrasmessiBL__2[[#This Row],[Weight real costs  + USC ]]</f>
        <v>0</v>
      </c>
    </row>
    <row r="1827" spans="1:23" x14ac:dyDescent="0.25">
      <c r="A1827" s="1" t="s">
        <v>277</v>
      </c>
      <c r="B1827" s="1" t="s">
        <v>280</v>
      </c>
      <c r="C1827" s="2">
        <v>118</v>
      </c>
      <c r="D1827" s="2">
        <v>155</v>
      </c>
      <c r="E1827" s="1" t="s">
        <v>236</v>
      </c>
      <c r="G1827">
        <v>0</v>
      </c>
      <c r="H1827">
        <v>0</v>
      </c>
      <c r="I1827">
        <v>0</v>
      </c>
      <c r="J1827">
        <v>0</v>
      </c>
      <c r="K1827">
        <v>0</v>
      </c>
      <c r="L1827">
        <v>0</v>
      </c>
      <c r="M1827">
        <v>0</v>
      </c>
      <c r="N1827">
        <v>0</v>
      </c>
      <c r="O1827">
        <v>0</v>
      </c>
      <c r="P1827">
        <v>0</v>
      </c>
      <c r="Q1827" t="str">
        <f>INDEX('Partner data'!A:DH,MATCH(C1827,'Partner data'!DG:DG,0),83)</f>
        <v xml:space="preserve">Organismo di diritto pubblico </v>
      </c>
      <c r="R1827" t="b">
        <f>IF(E1827="staff",IF(INDEX('Partner data'!A:DH,MATCH(C1827,'Partner data'!DG:DG,0),112)="BL1 non presente","FALSO",INDEX('Partner data'!A:DH,MATCH(C1827,'Partner data'!DG:DG,0),112)))</f>
        <v>0</v>
      </c>
      <c r="S1827" t="b">
        <f t="shared" si="56"/>
        <v>0</v>
      </c>
      <c r="T1827" t="b">
        <f t="shared" si="57"/>
        <v>1</v>
      </c>
      <c r="U1827" s="154">
        <f>IFERROR(IF(R1827&lt;&gt;FALSE,IF(S1827=TRUE,INDEX('SummaryNOT_VALIDATED-BL'!$A$1:$F$16,MATCH(R1827,'SummaryNOT_VALIDATED-BL'!$A$1:$A$16,0),6),0),IF(S1827=TRUE,INDEX('SummaryNOT_VALIDATED-BL'!$A$1:$F$16,MATCH(E1827,'SummaryNOT_VALIDATED-BL'!$A$1:$A$16,0),6),0)),0)</f>
        <v>0</v>
      </c>
      <c r="V1827" s="81" cm="1">
        <f t="array" ref="V1827">INDEX('Weight tables'!$A$24:$C$27,MATCH(1,(RendicontiTrasmessiBL__2[[#This Row],[Cut percentage on real costs + USC]]&gt;='Weight tables'!$B$24:$B$27)*(RendicontiTrasmessiBL__2[[#This Row],[Cut percentage on real costs + USC]]&lt;='Weight tables'!$C$24:$C$27),0),1)</f>
        <v>0</v>
      </c>
      <c r="W1827" s="2">
        <f>RendicontiTrasmessiBL__2[[#This Row],[Weight real costs  + USC ]]</f>
        <v>0</v>
      </c>
    </row>
    <row r="1828" spans="1:23" x14ac:dyDescent="0.25">
      <c r="A1828" s="1" t="s">
        <v>277</v>
      </c>
      <c r="B1828" s="1" t="s">
        <v>280</v>
      </c>
      <c r="C1828" s="2">
        <v>118</v>
      </c>
      <c r="D1828" s="2">
        <v>155</v>
      </c>
      <c r="E1828" s="1" t="s">
        <v>237</v>
      </c>
      <c r="G1828">
        <v>0</v>
      </c>
      <c r="H1828">
        <v>0</v>
      </c>
      <c r="I1828">
        <v>0</v>
      </c>
      <c r="J1828">
        <v>0</v>
      </c>
      <c r="K1828">
        <v>0</v>
      </c>
      <c r="L1828">
        <v>0</v>
      </c>
      <c r="M1828">
        <v>0</v>
      </c>
      <c r="N1828">
        <v>0</v>
      </c>
      <c r="O1828">
        <v>0</v>
      </c>
      <c r="P1828">
        <v>0</v>
      </c>
      <c r="Q1828" t="str">
        <f>INDEX('Partner data'!A:DH,MATCH(C1828,'Partner data'!DG:DG,0),83)</f>
        <v xml:space="preserve">Organismo di diritto pubblico </v>
      </c>
      <c r="R1828" t="b">
        <f>IF(E1828="staff",IF(INDEX('Partner data'!A:DH,MATCH(C1828,'Partner data'!DG:DG,0),112)="BL1 non presente","FALSO",INDEX('Partner data'!A:DH,MATCH(C1828,'Partner data'!DG:DG,0),112)))</f>
        <v>0</v>
      </c>
      <c r="S1828" t="b">
        <f t="shared" si="56"/>
        <v>0</v>
      </c>
      <c r="T1828" t="b">
        <f t="shared" si="57"/>
        <v>1</v>
      </c>
      <c r="U1828" s="154">
        <f>IFERROR(IF(R1828&lt;&gt;FALSE,IF(S1828=TRUE,INDEX('SummaryNOT_VALIDATED-BL'!$A$1:$F$16,MATCH(R1828,'SummaryNOT_VALIDATED-BL'!$A$1:$A$16,0),6),0),IF(S1828=TRUE,INDEX('SummaryNOT_VALIDATED-BL'!$A$1:$F$16,MATCH(E1828,'SummaryNOT_VALIDATED-BL'!$A$1:$A$16,0),6),0)),0)</f>
        <v>0</v>
      </c>
      <c r="V1828" s="81" cm="1">
        <f t="array" ref="V1828">INDEX('Weight tables'!$A$24:$C$27,MATCH(1,(RendicontiTrasmessiBL__2[[#This Row],[Cut percentage on real costs + USC]]&gt;='Weight tables'!$B$24:$B$27)*(RendicontiTrasmessiBL__2[[#This Row],[Cut percentage on real costs + USC]]&lt;='Weight tables'!$C$24:$C$27),0),1)</f>
        <v>0</v>
      </c>
      <c r="W1828" s="2">
        <f>RendicontiTrasmessiBL__2[[#This Row],[Weight real costs  + USC ]]</f>
        <v>0</v>
      </c>
    </row>
    <row r="1829" spans="1:23" x14ac:dyDescent="0.25">
      <c r="A1829" s="1" t="s">
        <v>277</v>
      </c>
      <c r="B1829" s="1" t="s">
        <v>275</v>
      </c>
      <c r="C1829" s="2">
        <v>119</v>
      </c>
      <c r="D1829" s="2">
        <v>272</v>
      </c>
      <c r="E1829" s="1" t="s">
        <v>228</v>
      </c>
      <c r="F1829">
        <v>20</v>
      </c>
      <c r="G1829">
        <v>17400</v>
      </c>
      <c r="H1829">
        <v>0</v>
      </c>
      <c r="I1829">
        <v>0</v>
      </c>
      <c r="J1829">
        <v>3989.4</v>
      </c>
      <c r="K1829">
        <v>0</v>
      </c>
      <c r="L1829">
        <v>0</v>
      </c>
      <c r="M1829">
        <v>3989.4</v>
      </c>
      <c r="N1829">
        <v>22.93</v>
      </c>
      <c r="O1829">
        <v>13410.6</v>
      </c>
      <c r="P1829">
        <v>0</v>
      </c>
      <c r="Q1829" t="str">
        <f>INDEX('Partner data'!A:DH,MATCH(C1829,'Partner data'!DG:DG,0),83)</f>
        <v>Soggetto pubblico</v>
      </c>
      <c r="R1829" t="str">
        <f>IF(E1829="staff",IF(INDEX('Partner data'!A:DH,MATCH(C1829,'Partner data'!DG:DG,0),112)="BL1 non presente","FALSO",INDEX('Partner data'!A:DH,MATCH(C1829,'Partner data'!DG:DG,0),112)))</f>
        <v>Tasso Forfettario 20%</v>
      </c>
      <c r="S1829" t="b">
        <f t="shared" si="56"/>
        <v>1</v>
      </c>
      <c r="T1829" t="b">
        <f t="shared" si="57"/>
        <v>1</v>
      </c>
      <c r="U1829" s="154">
        <f>IFERROR(IF(R1829&lt;&gt;FALSE,IF(S1829=TRUE,INDEX('SummaryNOT_VALIDATED-BL'!$A$1:$F$16,MATCH(R1829,'SummaryNOT_VALIDATED-BL'!$A$1:$A$16,0),6),0),IF(S1829=TRUE,INDEX('SummaryNOT_VALIDATED-BL'!$A$1:$F$16,MATCH(E1829,'SummaryNOT_VALIDATED-BL'!$A$1:$A$16,0),6),0)),0)</f>
        <v>1.2653355650533233E-2</v>
      </c>
      <c r="V1829" s="81" cm="1">
        <f t="array" ref="V1829">INDEX('Weight tables'!$A$24:$C$27,MATCH(1,(RendicontiTrasmessiBL__2[[#This Row],[Cut percentage on real costs + USC]]&gt;='Weight tables'!$B$24:$B$27)*(RendicontiTrasmessiBL__2[[#This Row],[Cut percentage on real costs + USC]]&lt;='Weight tables'!$C$24:$C$27),0),1)</f>
        <v>0</v>
      </c>
      <c r="W1829" s="2">
        <f>RendicontiTrasmessiBL__2[[#This Row],[Weight real costs  + USC ]]</f>
        <v>0</v>
      </c>
    </row>
    <row r="1830" spans="1:23" x14ac:dyDescent="0.25">
      <c r="A1830" s="1" t="s">
        <v>277</v>
      </c>
      <c r="B1830" s="1" t="s">
        <v>275</v>
      </c>
      <c r="C1830" s="2">
        <v>119</v>
      </c>
      <c r="D1830" s="2">
        <v>272</v>
      </c>
      <c r="E1830" s="1" t="s">
        <v>229</v>
      </c>
      <c r="F1830">
        <v>15</v>
      </c>
      <c r="G1830">
        <v>2610</v>
      </c>
      <c r="H1830">
        <v>0</v>
      </c>
      <c r="I1830">
        <v>0</v>
      </c>
      <c r="J1830">
        <v>598.41</v>
      </c>
      <c r="K1830">
        <v>0</v>
      </c>
      <c r="L1830">
        <v>0</v>
      </c>
      <c r="M1830">
        <v>598.41</v>
      </c>
      <c r="N1830">
        <v>22.93</v>
      </c>
      <c r="O1830">
        <v>2011.59</v>
      </c>
      <c r="P1830">
        <v>0</v>
      </c>
      <c r="Q1830" t="str">
        <f>INDEX('Partner data'!A:DH,MATCH(C1830,'Partner data'!DG:DG,0),83)</f>
        <v>Soggetto pubblico</v>
      </c>
      <c r="R1830" t="b">
        <f>IF(E1830="staff",IF(INDEX('Partner data'!A:DH,MATCH(C1830,'Partner data'!DG:DG,0),112)="BL1 non presente","FALSO",INDEX('Partner data'!A:DH,MATCH(C1830,'Partner data'!DG:DG,0),112)))</f>
        <v>0</v>
      </c>
      <c r="S1830" t="b">
        <f t="shared" si="56"/>
        <v>1</v>
      </c>
      <c r="T1830" t="b">
        <f t="shared" si="57"/>
        <v>1</v>
      </c>
      <c r="U1830" s="154">
        <f>IFERROR(IF(R1830&lt;&gt;FALSE,IF(S1830=TRUE,INDEX('SummaryNOT_VALIDATED-BL'!$A$1:$F$16,MATCH(R1830,'SummaryNOT_VALIDATED-BL'!$A$1:$A$16,0),6),0),IF(S1830=TRUE,INDEX('SummaryNOT_VALIDATED-BL'!$A$1:$F$16,MATCH(E1830,'SummaryNOT_VALIDATED-BL'!$A$1:$A$16,0),6),0)),0)</f>
        <v>6.6460469504890221E-2</v>
      </c>
      <c r="V1830" s="81" cm="1">
        <f t="array" ref="V1830">INDEX('Weight tables'!$A$24:$C$27,MATCH(1,(RendicontiTrasmessiBL__2[[#This Row],[Cut percentage on real costs + USC]]&gt;='Weight tables'!$B$24:$B$27)*(RendicontiTrasmessiBL__2[[#This Row],[Cut percentage on real costs + USC]]&lt;='Weight tables'!$C$24:$C$27),0),1)</f>
        <v>4</v>
      </c>
      <c r="W1830" s="2">
        <f>RendicontiTrasmessiBL__2[[#This Row],[Weight real costs  + USC ]]</f>
        <v>4</v>
      </c>
    </row>
    <row r="1831" spans="1:23" x14ac:dyDescent="0.25">
      <c r="A1831" s="1" t="s">
        <v>277</v>
      </c>
      <c r="B1831" s="1" t="s">
        <v>275</v>
      </c>
      <c r="C1831" s="2">
        <v>119</v>
      </c>
      <c r="D1831" s="2">
        <v>272</v>
      </c>
      <c r="E1831" s="1" t="s">
        <v>230</v>
      </c>
      <c r="F1831">
        <v>4</v>
      </c>
      <c r="G1831">
        <v>696</v>
      </c>
      <c r="H1831">
        <v>0</v>
      </c>
      <c r="I1831">
        <v>0</v>
      </c>
      <c r="J1831">
        <v>159.57</v>
      </c>
      <c r="K1831">
        <v>0</v>
      </c>
      <c r="L1831">
        <v>0</v>
      </c>
      <c r="M1831">
        <v>159.57</v>
      </c>
      <c r="N1831">
        <v>22.93</v>
      </c>
      <c r="O1831">
        <v>536.42999999999995</v>
      </c>
      <c r="P1831">
        <v>0</v>
      </c>
      <c r="Q1831" t="str">
        <f>INDEX('Partner data'!A:DH,MATCH(C1831,'Partner data'!DG:DG,0),83)</f>
        <v>Soggetto pubblico</v>
      </c>
      <c r="R1831" t="b">
        <f>IF(E1831="staff",IF(INDEX('Partner data'!A:DH,MATCH(C1831,'Partner data'!DG:DG,0),112)="BL1 non presente","FALSO",INDEX('Partner data'!A:DH,MATCH(C1831,'Partner data'!DG:DG,0),112)))</f>
        <v>0</v>
      </c>
      <c r="S1831" t="b">
        <f t="shared" si="56"/>
        <v>1</v>
      </c>
      <c r="T1831" t="b">
        <f t="shared" si="57"/>
        <v>1</v>
      </c>
      <c r="U1831" s="154">
        <f>IFERROR(IF(R1831&lt;&gt;FALSE,IF(S1831=TRUE,INDEX('SummaryNOT_VALIDATED-BL'!$A$1:$F$16,MATCH(R1831,'SummaryNOT_VALIDATED-BL'!$A$1:$A$16,0),6),0),IF(S1831=TRUE,INDEX('SummaryNOT_VALIDATED-BL'!$A$1:$F$16,MATCH(E1831,'SummaryNOT_VALIDATED-BL'!$A$1:$A$16,0),6),0)),0)</f>
        <v>6.3112622236488891E-2</v>
      </c>
      <c r="V1831" s="81" cm="1">
        <f t="array" ref="V1831">INDEX('Weight tables'!$A$24:$C$27,MATCH(1,(RendicontiTrasmessiBL__2[[#This Row],[Cut percentage on real costs + USC]]&gt;='Weight tables'!$B$24:$B$27)*(RendicontiTrasmessiBL__2[[#This Row],[Cut percentage on real costs + USC]]&lt;='Weight tables'!$C$24:$C$27),0),1)</f>
        <v>4</v>
      </c>
      <c r="W1831" s="2">
        <f>RendicontiTrasmessiBL__2[[#This Row],[Weight real costs  + USC ]]</f>
        <v>4</v>
      </c>
    </row>
    <row r="1832" spans="1:23" x14ac:dyDescent="0.25">
      <c r="A1832" s="1" t="s">
        <v>277</v>
      </c>
      <c r="B1832" s="1" t="s">
        <v>275</v>
      </c>
      <c r="C1832" s="2">
        <v>119</v>
      </c>
      <c r="D1832" s="2">
        <v>272</v>
      </c>
      <c r="E1832" s="1" t="s">
        <v>231</v>
      </c>
      <c r="G1832">
        <v>30000</v>
      </c>
      <c r="H1832">
        <v>0</v>
      </c>
      <c r="I1832">
        <v>0</v>
      </c>
      <c r="J1832">
        <v>19947</v>
      </c>
      <c r="K1832">
        <v>0</v>
      </c>
      <c r="L1832">
        <v>0</v>
      </c>
      <c r="M1832">
        <v>19947</v>
      </c>
      <c r="N1832">
        <v>66.489999999999995</v>
      </c>
      <c r="O1832">
        <v>10053</v>
      </c>
      <c r="P1832">
        <v>0</v>
      </c>
      <c r="Q1832" t="str">
        <f>INDEX('Partner data'!A:DH,MATCH(C1832,'Partner data'!DG:DG,0),83)</f>
        <v>Soggetto pubblico</v>
      </c>
      <c r="R1832" t="b">
        <f>IF(E1832="staff",IF(INDEX('Partner data'!A:DH,MATCH(C1832,'Partner data'!DG:DG,0),112)="BL1 non presente","FALSO",INDEX('Partner data'!A:DH,MATCH(C1832,'Partner data'!DG:DG,0),112)))</f>
        <v>0</v>
      </c>
      <c r="S1832" t="b">
        <f t="shared" si="56"/>
        <v>1</v>
      </c>
      <c r="T1832" t="b">
        <f t="shared" si="57"/>
        <v>1</v>
      </c>
      <c r="U1832" s="154">
        <f>IFERROR(IF(R1832&lt;&gt;FALSE,IF(S1832=TRUE,INDEX('SummaryNOT_VALIDATED-BL'!$A$1:$F$16,MATCH(R1832,'SummaryNOT_VALIDATED-BL'!$A$1:$A$16,0),6),0),IF(S1832=TRUE,INDEX('SummaryNOT_VALIDATED-BL'!$A$1:$F$16,MATCH(E1832,'SummaryNOT_VALIDATED-BL'!$A$1:$A$16,0),6),0)),0)</f>
        <v>5.577594442215475E-2</v>
      </c>
      <c r="V1832" s="81" cm="1">
        <f t="array" ref="V1832">INDEX('Weight tables'!$A$24:$C$27,MATCH(1,(RendicontiTrasmessiBL__2[[#This Row],[Cut percentage on real costs + USC]]&gt;='Weight tables'!$B$24:$B$27)*(RendicontiTrasmessiBL__2[[#This Row],[Cut percentage on real costs + USC]]&lt;='Weight tables'!$C$24:$C$27),0),1)</f>
        <v>4</v>
      </c>
      <c r="W1832" s="2">
        <f>RendicontiTrasmessiBL__2[[#This Row],[Weight real costs  + USC ]]</f>
        <v>4</v>
      </c>
    </row>
    <row r="1833" spans="1:23" x14ac:dyDescent="0.25">
      <c r="A1833" s="1" t="s">
        <v>277</v>
      </c>
      <c r="B1833" s="1" t="s">
        <v>275</v>
      </c>
      <c r="C1833" s="2">
        <v>119</v>
      </c>
      <c r="D1833" s="2">
        <v>272</v>
      </c>
      <c r="E1833" s="1" t="s">
        <v>232</v>
      </c>
      <c r="G1833">
        <v>37000</v>
      </c>
      <c r="H1833">
        <v>0</v>
      </c>
      <c r="I1833">
        <v>0</v>
      </c>
      <c r="J1833">
        <v>0</v>
      </c>
      <c r="K1833">
        <v>0</v>
      </c>
      <c r="L1833">
        <v>0</v>
      </c>
      <c r="M1833">
        <v>0</v>
      </c>
      <c r="N1833">
        <v>0</v>
      </c>
      <c r="O1833">
        <v>37000</v>
      </c>
      <c r="P1833">
        <v>0</v>
      </c>
      <c r="Q1833" t="str">
        <f>INDEX('Partner data'!A:DH,MATCH(C1833,'Partner data'!DG:DG,0),83)</f>
        <v>Soggetto pubblico</v>
      </c>
      <c r="R1833" t="b">
        <f>IF(E1833="staff",IF(INDEX('Partner data'!A:DH,MATCH(C1833,'Partner data'!DG:DG,0),112)="BL1 non presente","FALSO",INDEX('Partner data'!A:DH,MATCH(C1833,'Partner data'!DG:DG,0),112)))</f>
        <v>0</v>
      </c>
      <c r="S1833" t="b">
        <f t="shared" si="56"/>
        <v>0</v>
      </c>
      <c r="T1833" t="b">
        <f t="shared" si="57"/>
        <v>1</v>
      </c>
      <c r="U1833" s="154">
        <f>IFERROR(IF(R1833&lt;&gt;FALSE,IF(S1833=TRUE,INDEX('SummaryNOT_VALIDATED-BL'!$A$1:$F$16,MATCH(R1833,'SummaryNOT_VALIDATED-BL'!$A$1:$A$16,0),6),0),IF(S1833=TRUE,INDEX('SummaryNOT_VALIDATED-BL'!$A$1:$F$16,MATCH(E1833,'SummaryNOT_VALIDATED-BL'!$A$1:$A$16,0),6),0)),0)</f>
        <v>0</v>
      </c>
      <c r="V1833" s="81" cm="1">
        <f t="array" ref="V1833">INDEX('Weight tables'!$A$24:$C$27,MATCH(1,(RendicontiTrasmessiBL__2[[#This Row],[Cut percentage on real costs + USC]]&gt;='Weight tables'!$B$24:$B$27)*(RendicontiTrasmessiBL__2[[#This Row],[Cut percentage on real costs + USC]]&lt;='Weight tables'!$C$24:$C$27),0),1)</f>
        <v>0</v>
      </c>
      <c r="W1833" s="2">
        <f>RendicontiTrasmessiBL__2[[#This Row],[Weight real costs  + USC ]]</f>
        <v>0</v>
      </c>
    </row>
    <row r="1834" spans="1:23" x14ac:dyDescent="0.25">
      <c r="A1834" s="1" t="s">
        <v>277</v>
      </c>
      <c r="B1834" s="1" t="s">
        <v>275</v>
      </c>
      <c r="C1834" s="2">
        <v>119</v>
      </c>
      <c r="D1834" s="2">
        <v>272</v>
      </c>
      <c r="E1834" s="1" t="s">
        <v>233</v>
      </c>
      <c r="G1834">
        <v>20000</v>
      </c>
      <c r="H1834">
        <v>0</v>
      </c>
      <c r="I1834">
        <v>0</v>
      </c>
      <c r="J1834">
        <v>0</v>
      </c>
      <c r="K1834">
        <v>0</v>
      </c>
      <c r="L1834">
        <v>0</v>
      </c>
      <c r="M1834">
        <v>0</v>
      </c>
      <c r="N1834">
        <v>0</v>
      </c>
      <c r="O1834">
        <v>20000</v>
      </c>
      <c r="P1834">
        <v>0</v>
      </c>
      <c r="Q1834" t="str">
        <f>INDEX('Partner data'!A:DH,MATCH(C1834,'Partner data'!DG:DG,0),83)</f>
        <v>Soggetto pubblico</v>
      </c>
      <c r="R1834" t="b">
        <f>IF(E1834="staff",IF(INDEX('Partner data'!A:DH,MATCH(C1834,'Partner data'!DG:DG,0),112)="BL1 non presente","FALSO",INDEX('Partner data'!A:DH,MATCH(C1834,'Partner data'!DG:DG,0),112)))</f>
        <v>0</v>
      </c>
      <c r="S1834" t="b">
        <f t="shared" si="56"/>
        <v>0</v>
      </c>
      <c r="T1834" t="b">
        <f t="shared" si="57"/>
        <v>1</v>
      </c>
      <c r="U1834" s="154">
        <f>IFERROR(IF(R1834&lt;&gt;FALSE,IF(S1834=TRUE,INDEX('SummaryNOT_VALIDATED-BL'!$A$1:$F$16,MATCH(R1834,'SummaryNOT_VALIDATED-BL'!$A$1:$A$16,0),6),0),IF(S1834=TRUE,INDEX('SummaryNOT_VALIDATED-BL'!$A$1:$F$16,MATCH(E1834,'SummaryNOT_VALIDATED-BL'!$A$1:$A$16,0),6),0)),0)</f>
        <v>0</v>
      </c>
      <c r="V1834" s="81" cm="1">
        <f t="array" ref="V1834">INDEX('Weight tables'!$A$24:$C$27,MATCH(1,(RendicontiTrasmessiBL__2[[#This Row],[Cut percentage on real costs + USC]]&gt;='Weight tables'!$B$24:$B$27)*(RendicontiTrasmessiBL__2[[#This Row],[Cut percentage on real costs + USC]]&lt;='Weight tables'!$C$24:$C$27),0),1)</f>
        <v>0</v>
      </c>
      <c r="W1834" s="2">
        <f>RendicontiTrasmessiBL__2[[#This Row],[Weight real costs  + USC ]]</f>
        <v>0</v>
      </c>
    </row>
    <row r="1835" spans="1:23" x14ac:dyDescent="0.25">
      <c r="A1835" s="1" t="s">
        <v>277</v>
      </c>
      <c r="B1835" s="1" t="s">
        <v>275</v>
      </c>
      <c r="C1835" s="2">
        <v>119</v>
      </c>
      <c r="D1835" s="2">
        <v>272</v>
      </c>
      <c r="E1835" s="1" t="s">
        <v>234</v>
      </c>
      <c r="G1835">
        <v>0</v>
      </c>
      <c r="H1835">
        <v>0</v>
      </c>
      <c r="I1835">
        <v>0</v>
      </c>
      <c r="J1835">
        <v>0</v>
      </c>
      <c r="K1835">
        <v>0</v>
      </c>
      <c r="L1835">
        <v>0</v>
      </c>
      <c r="M1835">
        <v>0</v>
      </c>
      <c r="N1835">
        <v>0</v>
      </c>
      <c r="O1835">
        <v>0</v>
      </c>
      <c r="P1835">
        <v>0</v>
      </c>
      <c r="Q1835" t="str">
        <f>INDEX('Partner data'!A:DH,MATCH(C1835,'Partner data'!DG:DG,0),83)</f>
        <v>Soggetto pubblico</v>
      </c>
      <c r="R1835" t="b">
        <f>IF(E1835="staff",IF(INDEX('Partner data'!A:DH,MATCH(C1835,'Partner data'!DG:DG,0),112)="BL1 non presente","FALSO",INDEX('Partner data'!A:DH,MATCH(C1835,'Partner data'!DG:DG,0),112)))</f>
        <v>0</v>
      </c>
      <c r="S1835" t="b">
        <f t="shared" si="56"/>
        <v>0</v>
      </c>
      <c r="T1835" t="b">
        <f t="shared" si="57"/>
        <v>1</v>
      </c>
      <c r="U1835" s="154">
        <f>IFERROR(IF(R1835&lt;&gt;FALSE,IF(S1835=TRUE,INDEX('SummaryNOT_VALIDATED-BL'!$A$1:$F$16,MATCH(R1835,'SummaryNOT_VALIDATED-BL'!$A$1:$A$16,0),6),0),IF(S1835=TRUE,INDEX('SummaryNOT_VALIDATED-BL'!$A$1:$F$16,MATCH(E1835,'SummaryNOT_VALIDATED-BL'!$A$1:$A$16,0),6),0)),0)</f>
        <v>0</v>
      </c>
      <c r="V1835" s="81" cm="1">
        <f t="array" ref="V1835">INDEX('Weight tables'!$A$24:$C$27,MATCH(1,(RendicontiTrasmessiBL__2[[#This Row],[Cut percentage on real costs + USC]]&gt;='Weight tables'!$B$24:$B$27)*(RendicontiTrasmessiBL__2[[#This Row],[Cut percentage on real costs + USC]]&lt;='Weight tables'!$C$24:$C$27),0),1)</f>
        <v>0</v>
      </c>
      <c r="W1835" s="2">
        <f>RendicontiTrasmessiBL__2[[#This Row],[Weight real costs  + USC ]]</f>
        <v>0</v>
      </c>
    </row>
    <row r="1836" spans="1:23" x14ac:dyDescent="0.25">
      <c r="A1836" s="1" t="s">
        <v>277</v>
      </c>
      <c r="B1836" s="1" t="s">
        <v>275</v>
      </c>
      <c r="C1836" s="2">
        <v>119</v>
      </c>
      <c r="D1836" s="2">
        <v>272</v>
      </c>
      <c r="E1836" s="1" t="s">
        <v>236</v>
      </c>
      <c r="G1836">
        <v>0</v>
      </c>
      <c r="H1836">
        <v>0</v>
      </c>
      <c r="I1836">
        <v>0</v>
      </c>
      <c r="J1836">
        <v>0</v>
      </c>
      <c r="K1836">
        <v>0</v>
      </c>
      <c r="L1836">
        <v>0</v>
      </c>
      <c r="M1836">
        <v>0</v>
      </c>
      <c r="N1836">
        <v>0</v>
      </c>
      <c r="O1836">
        <v>0</v>
      </c>
      <c r="P1836">
        <v>0</v>
      </c>
      <c r="Q1836" t="str">
        <f>INDEX('Partner data'!A:DH,MATCH(C1836,'Partner data'!DG:DG,0),83)</f>
        <v>Soggetto pubblico</v>
      </c>
      <c r="R1836" t="b">
        <f>IF(E1836="staff",IF(INDEX('Partner data'!A:DH,MATCH(C1836,'Partner data'!DG:DG,0),112)="BL1 non presente","FALSO",INDEX('Partner data'!A:DH,MATCH(C1836,'Partner data'!DG:DG,0),112)))</f>
        <v>0</v>
      </c>
      <c r="S1836" t="b">
        <f t="shared" si="56"/>
        <v>0</v>
      </c>
      <c r="T1836" t="b">
        <f t="shared" si="57"/>
        <v>1</v>
      </c>
      <c r="U1836" s="154">
        <f>IFERROR(IF(R1836&lt;&gt;FALSE,IF(S1836=TRUE,INDEX('SummaryNOT_VALIDATED-BL'!$A$1:$F$16,MATCH(R1836,'SummaryNOT_VALIDATED-BL'!$A$1:$A$16,0),6),0),IF(S1836=TRUE,INDEX('SummaryNOT_VALIDATED-BL'!$A$1:$F$16,MATCH(E1836,'SummaryNOT_VALIDATED-BL'!$A$1:$A$16,0),6),0)),0)</f>
        <v>0</v>
      </c>
      <c r="V1836" s="81" cm="1">
        <f t="array" ref="V1836">INDEX('Weight tables'!$A$24:$C$27,MATCH(1,(RendicontiTrasmessiBL__2[[#This Row],[Cut percentage on real costs + USC]]&gt;='Weight tables'!$B$24:$B$27)*(RendicontiTrasmessiBL__2[[#This Row],[Cut percentage on real costs + USC]]&lt;='Weight tables'!$C$24:$C$27),0),1)</f>
        <v>0</v>
      </c>
      <c r="W1836" s="2">
        <f>RendicontiTrasmessiBL__2[[#This Row],[Weight real costs  + USC ]]</f>
        <v>0</v>
      </c>
    </row>
    <row r="1837" spans="1:23" x14ac:dyDescent="0.25">
      <c r="A1837" s="1" t="s">
        <v>277</v>
      </c>
      <c r="B1837" s="1" t="s">
        <v>275</v>
      </c>
      <c r="C1837" s="2">
        <v>119</v>
      </c>
      <c r="D1837" s="2">
        <v>272</v>
      </c>
      <c r="E1837" s="1" t="s">
        <v>237</v>
      </c>
      <c r="G1837">
        <v>0</v>
      </c>
      <c r="H1837">
        <v>0</v>
      </c>
      <c r="I1837">
        <v>0</v>
      </c>
      <c r="J1837">
        <v>0</v>
      </c>
      <c r="K1837">
        <v>0</v>
      </c>
      <c r="L1837">
        <v>0</v>
      </c>
      <c r="M1837">
        <v>0</v>
      </c>
      <c r="N1837">
        <v>0</v>
      </c>
      <c r="O1837">
        <v>0</v>
      </c>
      <c r="P1837">
        <v>0</v>
      </c>
      <c r="Q1837" t="str">
        <f>INDEX('Partner data'!A:DH,MATCH(C1837,'Partner data'!DG:DG,0),83)</f>
        <v>Soggetto pubblico</v>
      </c>
      <c r="R1837" t="b">
        <f>IF(E1837="staff",IF(INDEX('Partner data'!A:DH,MATCH(C1837,'Partner data'!DG:DG,0),112)="BL1 non presente","FALSO",INDEX('Partner data'!A:DH,MATCH(C1837,'Partner data'!DG:DG,0),112)))</f>
        <v>0</v>
      </c>
      <c r="S1837" t="b">
        <f t="shared" si="56"/>
        <v>0</v>
      </c>
      <c r="T1837" t="b">
        <f t="shared" si="57"/>
        <v>1</v>
      </c>
      <c r="U1837" s="154">
        <f>IFERROR(IF(R1837&lt;&gt;FALSE,IF(S1837=TRUE,INDEX('SummaryNOT_VALIDATED-BL'!$A$1:$F$16,MATCH(R1837,'SummaryNOT_VALIDATED-BL'!$A$1:$A$16,0),6),0),IF(S1837=TRUE,INDEX('SummaryNOT_VALIDATED-BL'!$A$1:$F$16,MATCH(E1837,'SummaryNOT_VALIDATED-BL'!$A$1:$A$16,0),6),0)),0)</f>
        <v>0</v>
      </c>
      <c r="V1837" s="81" cm="1">
        <f t="array" ref="V1837">INDEX('Weight tables'!$A$24:$C$27,MATCH(1,(RendicontiTrasmessiBL__2[[#This Row],[Cut percentage on real costs + USC]]&gt;='Weight tables'!$B$24:$B$27)*(RendicontiTrasmessiBL__2[[#This Row],[Cut percentage on real costs + USC]]&lt;='Weight tables'!$C$24:$C$27),0),1)</f>
        <v>0</v>
      </c>
      <c r="W1837" s="2">
        <f>RendicontiTrasmessiBL__2[[#This Row],[Weight real costs  + USC ]]</f>
        <v>0</v>
      </c>
    </row>
    <row r="1838" spans="1:23" x14ac:dyDescent="0.25">
      <c r="A1838" s="1" t="s">
        <v>277</v>
      </c>
      <c r="B1838" s="1" t="s">
        <v>281</v>
      </c>
      <c r="C1838" s="2">
        <v>93</v>
      </c>
      <c r="D1838" s="2">
        <v>145</v>
      </c>
      <c r="E1838" s="1" t="s">
        <v>228</v>
      </c>
      <c r="F1838">
        <v>20</v>
      </c>
      <c r="G1838">
        <v>37300</v>
      </c>
      <c r="H1838">
        <v>0</v>
      </c>
      <c r="I1838">
        <v>0</v>
      </c>
      <c r="J1838">
        <v>2880.18</v>
      </c>
      <c r="K1838">
        <v>0</v>
      </c>
      <c r="L1838">
        <v>0</v>
      </c>
      <c r="M1838">
        <v>2880.18</v>
      </c>
      <c r="N1838">
        <v>7.72</v>
      </c>
      <c r="O1838">
        <v>34419.82</v>
      </c>
      <c r="P1838">
        <v>0</v>
      </c>
      <c r="Q1838" t="str">
        <f>INDEX('Partner data'!A:DH,MATCH(C1838,'Partner data'!DG:DG,0),83)</f>
        <v>Soggetto pubblico</v>
      </c>
      <c r="R1838" t="str">
        <f>IF(E1838="staff",IF(INDEX('Partner data'!A:DH,MATCH(C1838,'Partner data'!DG:DG,0),112)="BL1 non presente","FALSO",INDEX('Partner data'!A:DH,MATCH(C1838,'Partner data'!DG:DG,0),112)))</f>
        <v>Tasso Forfettario 20%</v>
      </c>
      <c r="S1838" t="b">
        <f t="shared" si="56"/>
        <v>1</v>
      </c>
      <c r="T1838" t="b">
        <f t="shared" si="57"/>
        <v>1</v>
      </c>
      <c r="U1838" s="154">
        <f>IFERROR(IF(R1838&lt;&gt;FALSE,IF(S1838=TRUE,INDEX('SummaryNOT_VALIDATED-BL'!$A$1:$F$16,MATCH(R1838,'SummaryNOT_VALIDATED-BL'!$A$1:$A$16,0),6),0),IF(S1838=TRUE,INDEX('SummaryNOT_VALIDATED-BL'!$A$1:$F$16,MATCH(E1838,'SummaryNOT_VALIDATED-BL'!$A$1:$A$16,0),6),0)),0)</f>
        <v>1.2653355650533233E-2</v>
      </c>
      <c r="V1838" s="81" cm="1">
        <f t="array" ref="V1838">INDEX('Weight tables'!$A$24:$C$27,MATCH(1,(RendicontiTrasmessiBL__2[[#This Row],[Cut percentage on real costs + USC]]&gt;='Weight tables'!$B$24:$B$27)*(RendicontiTrasmessiBL__2[[#This Row],[Cut percentage on real costs + USC]]&lt;='Weight tables'!$C$24:$C$27),0),1)</f>
        <v>0</v>
      </c>
      <c r="W1838" s="2">
        <f>RendicontiTrasmessiBL__2[[#This Row],[Weight real costs  + USC ]]</f>
        <v>0</v>
      </c>
    </row>
    <row r="1839" spans="1:23" x14ac:dyDescent="0.25">
      <c r="A1839" s="1" t="s">
        <v>277</v>
      </c>
      <c r="B1839" s="1" t="s">
        <v>281</v>
      </c>
      <c r="C1839" s="2">
        <v>93</v>
      </c>
      <c r="D1839" s="2">
        <v>145</v>
      </c>
      <c r="E1839" s="1" t="s">
        <v>229</v>
      </c>
      <c r="F1839">
        <v>15</v>
      </c>
      <c r="G1839">
        <v>5595</v>
      </c>
      <c r="H1839">
        <v>0</v>
      </c>
      <c r="I1839">
        <v>0</v>
      </c>
      <c r="J1839">
        <v>432.02</v>
      </c>
      <c r="K1839">
        <v>0</v>
      </c>
      <c r="L1839">
        <v>0</v>
      </c>
      <c r="M1839">
        <v>432.02</v>
      </c>
      <c r="N1839">
        <v>7.72</v>
      </c>
      <c r="O1839">
        <v>5162.9799999999996</v>
      </c>
      <c r="P1839">
        <v>0</v>
      </c>
      <c r="Q1839" t="str">
        <f>INDEX('Partner data'!A:DH,MATCH(C1839,'Partner data'!DG:DG,0),83)</f>
        <v>Soggetto pubblico</v>
      </c>
      <c r="R1839" t="b">
        <f>IF(E1839="staff",IF(INDEX('Partner data'!A:DH,MATCH(C1839,'Partner data'!DG:DG,0),112)="BL1 non presente","FALSO",INDEX('Partner data'!A:DH,MATCH(C1839,'Partner data'!DG:DG,0),112)))</f>
        <v>0</v>
      </c>
      <c r="S1839" t="b">
        <f t="shared" si="56"/>
        <v>1</v>
      </c>
      <c r="T1839" t="b">
        <f t="shared" si="57"/>
        <v>1</v>
      </c>
      <c r="U1839" s="154">
        <f>IFERROR(IF(R1839&lt;&gt;FALSE,IF(S1839=TRUE,INDEX('SummaryNOT_VALIDATED-BL'!$A$1:$F$16,MATCH(R1839,'SummaryNOT_VALIDATED-BL'!$A$1:$A$16,0),6),0),IF(S1839=TRUE,INDEX('SummaryNOT_VALIDATED-BL'!$A$1:$F$16,MATCH(E1839,'SummaryNOT_VALIDATED-BL'!$A$1:$A$16,0),6),0)),0)</f>
        <v>6.6460469504890221E-2</v>
      </c>
      <c r="V1839" s="81" cm="1">
        <f t="array" ref="V1839">INDEX('Weight tables'!$A$24:$C$27,MATCH(1,(RendicontiTrasmessiBL__2[[#This Row],[Cut percentage on real costs + USC]]&gt;='Weight tables'!$B$24:$B$27)*(RendicontiTrasmessiBL__2[[#This Row],[Cut percentage on real costs + USC]]&lt;='Weight tables'!$C$24:$C$27),0),1)</f>
        <v>4</v>
      </c>
      <c r="W1839" s="2">
        <f>RendicontiTrasmessiBL__2[[#This Row],[Weight real costs  + USC ]]</f>
        <v>4</v>
      </c>
    </row>
    <row r="1840" spans="1:23" x14ac:dyDescent="0.25">
      <c r="A1840" s="1" t="s">
        <v>277</v>
      </c>
      <c r="B1840" s="1" t="s">
        <v>281</v>
      </c>
      <c r="C1840" s="2">
        <v>93</v>
      </c>
      <c r="D1840" s="2">
        <v>145</v>
      </c>
      <c r="E1840" s="1" t="s">
        <v>230</v>
      </c>
      <c r="F1840">
        <v>4</v>
      </c>
      <c r="G1840">
        <v>1492</v>
      </c>
      <c r="H1840">
        <v>0</v>
      </c>
      <c r="I1840">
        <v>0</v>
      </c>
      <c r="J1840">
        <v>115.2</v>
      </c>
      <c r="K1840">
        <v>0</v>
      </c>
      <c r="L1840">
        <v>0</v>
      </c>
      <c r="M1840">
        <v>115.2</v>
      </c>
      <c r="N1840">
        <v>7.72</v>
      </c>
      <c r="O1840">
        <v>1376.8</v>
      </c>
      <c r="P1840">
        <v>0</v>
      </c>
      <c r="Q1840" t="str">
        <f>INDEX('Partner data'!A:DH,MATCH(C1840,'Partner data'!DG:DG,0),83)</f>
        <v>Soggetto pubblico</v>
      </c>
      <c r="R1840" t="b">
        <f>IF(E1840="staff",IF(INDEX('Partner data'!A:DH,MATCH(C1840,'Partner data'!DG:DG,0),112)="BL1 non presente","FALSO",INDEX('Partner data'!A:DH,MATCH(C1840,'Partner data'!DG:DG,0),112)))</f>
        <v>0</v>
      </c>
      <c r="S1840" t="b">
        <f t="shared" si="56"/>
        <v>1</v>
      </c>
      <c r="T1840" t="b">
        <f t="shared" si="57"/>
        <v>1</v>
      </c>
      <c r="U1840" s="154">
        <f>IFERROR(IF(R1840&lt;&gt;FALSE,IF(S1840=TRUE,INDEX('SummaryNOT_VALIDATED-BL'!$A$1:$F$16,MATCH(R1840,'SummaryNOT_VALIDATED-BL'!$A$1:$A$16,0),6),0),IF(S1840=TRUE,INDEX('SummaryNOT_VALIDATED-BL'!$A$1:$F$16,MATCH(E1840,'SummaryNOT_VALIDATED-BL'!$A$1:$A$16,0),6),0)),0)</f>
        <v>6.3112622236488891E-2</v>
      </c>
      <c r="V1840" s="81" cm="1">
        <f t="array" ref="V1840">INDEX('Weight tables'!$A$24:$C$27,MATCH(1,(RendicontiTrasmessiBL__2[[#This Row],[Cut percentage on real costs + USC]]&gt;='Weight tables'!$B$24:$B$27)*(RendicontiTrasmessiBL__2[[#This Row],[Cut percentage on real costs + USC]]&lt;='Weight tables'!$C$24:$C$27),0),1)</f>
        <v>4</v>
      </c>
      <c r="W1840" s="2">
        <f>RendicontiTrasmessiBL__2[[#This Row],[Weight real costs  + USC ]]</f>
        <v>4</v>
      </c>
    </row>
    <row r="1841" spans="1:23" x14ac:dyDescent="0.25">
      <c r="A1841" s="1" t="s">
        <v>277</v>
      </c>
      <c r="B1841" s="1" t="s">
        <v>281</v>
      </c>
      <c r="C1841" s="2">
        <v>93</v>
      </c>
      <c r="D1841" s="2">
        <v>145</v>
      </c>
      <c r="E1841" s="1" t="s">
        <v>231</v>
      </c>
      <c r="G1841">
        <v>64500</v>
      </c>
      <c r="H1841">
        <v>0</v>
      </c>
      <c r="I1841">
        <v>0</v>
      </c>
      <c r="J1841">
        <v>14400.9</v>
      </c>
      <c r="K1841">
        <v>0</v>
      </c>
      <c r="L1841">
        <v>0</v>
      </c>
      <c r="M1841">
        <v>14400.9</v>
      </c>
      <c r="N1841">
        <v>22.33</v>
      </c>
      <c r="O1841">
        <v>50099.1</v>
      </c>
      <c r="P1841">
        <v>0</v>
      </c>
      <c r="Q1841" t="str">
        <f>INDEX('Partner data'!A:DH,MATCH(C1841,'Partner data'!DG:DG,0),83)</f>
        <v>Soggetto pubblico</v>
      </c>
      <c r="R1841" t="b">
        <f>IF(E1841="staff",IF(INDEX('Partner data'!A:DH,MATCH(C1841,'Partner data'!DG:DG,0),112)="BL1 non presente","FALSO",INDEX('Partner data'!A:DH,MATCH(C1841,'Partner data'!DG:DG,0),112)))</f>
        <v>0</v>
      </c>
      <c r="S1841" t="b">
        <f t="shared" si="56"/>
        <v>1</v>
      </c>
      <c r="T1841" t="b">
        <f t="shared" si="57"/>
        <v>1</v>
      </c>
      <c r="U1841" s="154">
        <f>IFERROR(IF(R1841&lt;&gt;FALSE,IF(S1841=TRUE,INDEX('SummaryNOT_VALIDATED-BL'!$A$1:$F$16,MATCH(R1841,'SummaryNOT_VALIDATED-BL'!$A$1:$A$16,0),6),0),IF(S1841=TRUE,INDEX('SummaryNOT_VALIDATED-BL'!$A$1:$F$16,MATCH(E1841,'SummaryNOT_VALIDATED-BL'!$A$1:$A$16,0),6),0)),0)</f>
        <v>5.577594442215475E-2</v>
      </c>
      <c r="V1841" s="81" cm="1">
        <f t="array" ref="V1841">INDEX('Weight tables'!$A$24:$C$27,MATCH(1,(RendicontiTrasmessiBL__2[[#This Row],[Cut percentage on real costs + USC]]&gt;='Weight tables'!$B$24:$B$27)*(RendicontiTrasmessiBL__2[[#This Row],[Cut percentage on real costs + USC]]&lt;='Weight tables'!$C$24:$C$27),0),1)</f>
        <v>4</v>
      </c>
      <c r="W1841" s="2">
        <f>RendicontiTrasmessiBL__2[[#This Row],[Weight real costs  + USC ]]</f>
        <v>4</v>
      </c>
    </row>
    <row r="1842" spans="1:23" x14ac:dyDescent="0.25">
      <c r="A1842" s="1" t="s">
        <v>277</v>
      </c>
      <c r="B1842" s="1" t="s">
        <v>281</v>
      </c>
      <c r="C1842" s="2">
        <v>93</v>
      </c>
      <c r="D1842" s="2">
        <v>145</v>
      </c>
      <c r="E1842" s="1" t="s">
        <v>232</v>
      </c>
      <c r="G1842">
        <v>92000</v>
      </c>
      <c r="H1842">
        <v>0</v>
      </c>
      <c r="I1842">
        <v>0</v>
      </c>
      <c r="J1842">
        <v>0</v>
      </c>
      <c r="K1842">
        <v>0</v>
      </c>
      <c r="L1842">
        <v>0</v>
      </c>
      <c r="M1842">
        <v>0</v>
      </c>
      <c r="N1842">
        <v>0</v>
      </c>
      <c r="O1842">
        <v>92000</v>
      </c>
      <c r="P1842">
        <v>0</v>
      </c>
      <c r="Q1842" t="str">
        <f>INDEX('Partner data'!A:DH,MATCH(C1842,'Partner data'!DG:DG,0),83)</f>
        <v>Soggetto pubblico</v>
      </c>
      <c r="R1842" t="b">
        <f>IF(E1842="staff",IF(INDEX('Partner data'!A:DH,MATCH(C1842,'Partner data'!DG:DG,0),112)="BL1 non presente","FALSO",INDEX('Partner data'!A:DH,MATCH(C1842,'Partner data'!DG:DG,0),112)))</f>
        <v>0</v>
      </c>
      <c r="S1842" t="b">
        <f t="shared" si="56"/>
        <v>0</v>
      </c>
      <c r="T1842" t="b">
        <f t="shared" si="57"/>
        <v>1</v>
      </c>
      <c r="U1842" s="154">
        <f>IFERROR(IF(R1842&lt;&gt;FALSE,IF(S1842=TRUE,INDEX('SummaryNOT_VALIDATED-BL'!$A$1:$F$16,MATCH(R1842,'SummaryNOT_VALIDATED-BL'!$A$1:$A$16,0),6),0),IF(S1842=TRUE,INDEX('SummaryNOT_VALIDATED-BL'!$A$1:$F$16,MATCH(E1842,'SummaryNOT_VALIDATED-BL'!$A$1:$A$16,0),6),0)),0)</f>
        <v>0</v>
      </c>
      <c r="V1842" s="81" cm="1">
        <f t="array" ref="V1842">INDEX('Weight tables'!$A$24:$C$27,MATCH(1,(RendicontiTrasmessiBL__2[[#This Row],[Cut percentage on real costs + USC]]&gt;='Weight tables'!$B$24:$B$27)*(RendicontiTrasmessiBL__2[[#This Row],[Cut percentage on real costs + USC]]&lt;='Weight tables'!$C$24:$C$27),0),1)</f>
        <v>0</v>
      </c>
      <c r="W1842" s="2">
        <f>RendicontiTrasmessiBL__2[[#This Row],[Weight real costs  + USC ]]</f>
        <v>0</v>
      </c>
    </row>
    <row r="1843" spans="1:23" x14ac:dyDescent="0.25">
      <c r="A1843" s="1" t="s">
        <v>277</v>
      </c>
      <c r="B1843" s="1" t="s">
        <v>281</v>
      </c>
      <c r="C1843" s="2">
        <v>93</v>
      </c>
      <c r="D1843" s="2">
        <v>145</v>
      </c>
      <c r="E1843" s="1" t="s">
        <v>233</v>
      </c>
      <c r="G1843">
        <v>30000</v>
      </c>
      <c r="H1843">
        <v>0</v>
      </c>
      <c r="I1843">
        <v>0</v>
      </c>
      <c r="J1843">
        <v>0</v>
      </c>
      <c r="K1843">
        <v>0</v>
      </c>
      <c r="L1843">
        <v>0</v>
      </c>
      <c r="M1843">
        <v>0</v>
      </c>
      <c r="N1843">
        <v>0</v>
      </c>
      <c r="O1843">
        <v>30000</v>
      </c>
      <c r="P1843">
        <v>0</v>
      </c>
      <c r="Q1843" t="str">
        <f>INDEX('Partner data'!A:DH,MATCH(C1843,'Partner data'!DG:DG,0),83)</f>
        <v>Soggetto pubblico</v>
      </c>
      <c r="R1843" t="b">
        <f>IF(E1843="staff",IF(INDEX('Partner data'!A:DH,MATCH(C1843,'Partner data'!DG:DG,0),112)="BL1 non presente","FALSO",INDEX('Partner data'!A:DH,MATCH(C1843,'Partner data'!DG:DG,0),112)))</f>
        <v>0</v>
      </c>
      <c r="S1843" t="b">
        <f t="shared" si="56"/>
        <v>0</v>
      </c>
      <c r="T1843" t="b">
        <f t="shared" si="57"/>
        <v>1</v>
      </c>
      <c r="U1843" s="154">
        <f>IFERROR(IF(R1843&lt;&gt;FALSE,IF(S1843=TRUE,INDEX('SummaryNOT_VALIDATED-BL'!$A$1:$F$16,MATCH(R1843,'SummaryNOT_VALIDATED-BL'!$A$1:$A$16,0),6),0),IF(S1843=TRUE,INDEX('SummaryNOT_VALIDATED-BL'!$A$1:$F$16,MATCH(E1843,'SummaryNOT_VALIDATED-BL'!$A$1:$A$16,0),6),0)),0)</f>
        <v>0</v>
      </c>
      <c r="V1843" s="81" cm="1">
        <f t="array" ref="V1843">INDEX('Weight tables'!$A$24:$C$27,MATCH(1,(RendicontiTrasmessiBL__2[[#This Row],[Cut percentage on real costs + USC]]&gt;='Weight tables'!$B$24:$B$27)*(RendicontiTrasmessiBL__2[[#This Row],[Cut percentage on real costs + USC]]&lt;='Weight tables'!$C$24:$C$27),0),1)</f>
        <v>0</v>
      </c>
      <c r="W1843" s="2">
        <f>RendicontiTrasmessiBL__2[[#This Row],[Weight real costs  + USC ]]</f>
        <v>0</v>
      </c>
    </row>
    <row r="1844" spans="1:23" x14ac:dyDescent="0.25">
      <c r="A1844" s="1" t="s">
        <v>277</v>
      </c>
      <c r="B1844" s="1" t="s">
        <v>281</v>
      </c>
      <c r="C1844" s="2">
        <v>93</v>
      </c>
      <c r="D1844" s="2">
        <v>145</v>
      </c>
      <c r="E1844" s="1" t="s">
        <v>234</v>
      </c>
      <c r="G1844">
        <v>0</v>
      </c>
      <c r="H1844">
        <v>0</v>
      </c>
      <c r="I1844">
        <v>0</v>
      </c>
      <c r="J1844">
        <v>0</v>
      </c>
      <c r="K1844">
        <v>0</v>
      </c>
      <c r="L1844">
        <v>0</v>
      </c>
      <c r="M1844">
        <v>0</v>
      </c>
      <c r="N1844">
        <v>0</v>
      </c>
      <c r="O1844">
        <v>0</v>
      </c>
      <c r="P1844">
        <v>0</v>
      </c>
      <c r="Q1844" t="str">
        <f>INDEX('Partner data'!A:DH,MATCH(C1844,'Partner data'!DG:DG,0),83)</f>
        <v>Soggetto pubblico</v>
      </c>
      <c r="R1844" t="b">
        <f>IF(E1844="staff",IF(INDEX('Partner data'!A:DH,MATCH(C1844,'Partner data'!DG:DG,0),112)="BL1 non presente","FALSO",INDEX('Partner data'!A:DH,MATCH(C1844,'Partner data'!DG:DG,0),112)))</f>
        <v>0</v>
      </c>
      <c r="S1844" t="b">
        <f t="shared" si="56"/>
        <v>0</v>
      </c>
      <c r="T1844" t="b">
        <f t="shared" si="57"/>
        <v>1</v>
      </c>
      <c r="U1844" s="154">
        <f>IFERROR(IF(R1844&lt;&gt;FALSE,IF(S1844=TRUE,INDEX('SummaryNOT_VALIDATED-BL'!$A$1:$F$16,MATCH(R1844,'SummaryNOT_VALIDATED-BL'!$A$1:$A$16,0),6),0),IF(S1844=TRUE,INDEX('SummaryNOT_VALIDATED-BL'!$A$1:$F$16,MATCH(E1844,'SummaryNOT_VALIDATED-BL'!$A$1:$A$16,0),6),0)),0)</f>
        <v>0</v>
      </c>
      <c r="V1844" s="81" cm="1">
        <f t="array" ref="V1844">INDEX('Weight tables'!$A$24:$C$27,MATCH(1,(RendicontiTrasmessiBL__2[[#This Row],[Cut percentage on real costs + USC]]&gt;='Weight tables'!$B$24:$B$27)*(RendicontiTrasmessiBL__2[[#This Row],[Cut percentage on real costs + USC]]&lt;='Weight tables'!$C$24:$C$27),0),1)</f>
        <v>0</v>
      </c>
      <c r="W1844" s="2">
        <f>RendicontiTrasmessiBL__2[[#This Row],[Weight real costs  + USC ]]</f>
        <v>0</v>
      </c>
    </row>
    <row r="1845" spans="1:23" x14ac:dyDescent="0.25">
      <c r="A1845" s="1" t="s">
        <v>277</v>
      </c>
      <c r="B1845" s="1" t="s">
        <v>281</v>
      </c>
      <c r="C1845" s="2">
        <v>93</v>
      </c>
      <c r="D1845" s="2">
        <v>145</v>
      </c>
      <c r="E1845" s="1" t="s">
        <v>236</v>
      </c>
      <c r="G1845">
        <v>0</v>
      </c>
      <c r="H1845">
        <v>0</v>
      </c>
      <c r="I1845">
        <v>0</v>
      </c>
      <c r="J1845">
        <v>0</v>
      </c>
      <c r="K1845">
        <v>0</v>
      </c>
      <c r="L1845">
        <v>0</v>
      </c>
      <c r="M1845">
        <v>0</v>
      </c>
      <c r="N1845">
        <v>0</v>
      </c>
      <c r="O1845">
        <v>0</v>
      </c>
      <c r="P1845">
        <v>0</v>
      </c>
      <c r="Q1845" t="str">
        <f>INDEX('Partner data'!A:DH,MATCH(C1845,'Partner data'!DG:DG,0),83)</f>
        <v>Soggetto pubblico</v>
      </c>
      <c r="R1845" t="b">
        <f>IF(E1845="staff",IF(INDEX('Partner data'!A:DH,MATCH(C1845,'Partner data'!DG:DG,0),112)="BL1 non presente","FALSO",INDEX('Partner data'!A:DH,MATCH(C1845,'Partner data'!DG:DG,0),112)))</f>
        <v>0</v>
      </c>
      <c r="S1845" t="b">
        <f t="shared" si="56"/>
        <v>0</v>
      </c>
      <c r="T1845" t="b">
        <f t="shared" si="57"/>
        <v>1</v>
      </c>
      <c r="U1845" s="154">
        <f>IFERROR(IF(R1845&lt;&gt;FALSE,IF(S1845=TRUE,INDEX('SummaryNOT_VALIDATED-BL'!$A$1:$F$16,MATCH(R1845,'SummaryNOT_VALIDATED-BL'!$A$1:$A$16,0),6),0),IF(S1845=TRUE,INDEX('SummaryNOT_VALIDATED-BL'!$A$1:$F$16,MATCH(E1845,'SummaryNOT_VALIDATED-BL'!$A$1:$A$16,0),6),0)),0)</f>
        <v>0</v>
      </c>
      <c r="V1845" s="81" cm="1">
        <f t="array" ref="V1845">INDEX('Weight tables'!$A$24:$C$27,MATCH(1,(RendicontiTrasmessiBL__2[[#This Row],[Cut percentage on real costs + USC]]&gt;='Weight tables'!$B$24:$B$27)*(RendicontiTrasmessiBL__2[[#This Row],[Cut percentage on real costs + USC]]&lt;='Weight tables'!$C$24:$C$27),0),1)</f>
        <v>0</v>
      </c>
      <c r="W1845" s="2">
        <f>RendicontiTrasmessiBL__2[[#This Row],[Weight real costs  + USC ]]</f>
        <v>0</v>
      </c>
    </row>
    <row r="1846" spans="1:23" x14ac:dyDescent="0.25">
      <c r="A1846" s="1" t="s">
        <v>277</v>
      </c>
      <c r="B1846" s="1" t="s">
        <v>281</v>
      </c>
      <c r="C1846" s="2">
        <v>93</v>
      </c>
      <c r="D1846" s="2">
        <v>145</v>
      </c>
      <c r="E1846" s="1" t="s">
        <v>237</v>
      </c>
      <c r="G1846">
        <v>0</v>
      </c>
      <c r="H1846">
        <v>0</v>
      </c>
      <c r="I1846">
        <v>0</v>
      </c>
      <c r="J1846">
        <v>0</v>
      </c>
      <c r="K1846">
        <v>0</v>
      </c>
      <c r="L1846">
        <v>0</v>
      </c>
      <c r="M1846">
        <v>0</v>
      </c>
      <c r="N1846">
        <v>0</v>
      </c>
      <c r="O1846">
        <v>0</v>
      </c>
      <c r="P1846">
        <v>0</v>
      </c>
      <c r="Q1846" t="str">
        <f>INDEX('Partner data'!A:DH,MATCH(C1846,'Partner data'!DG:DG,0),83)</f>
        <v>Soggetto pubblico</v>
      </c>
      <c r="R1846" t="b">
        <f>IF(E1846="staff",IF(INDEX('Partner data'!A:DH,MATCH(C1846,'Partner data'!DG:DG,0),112)="BL1 non presente","FALSO",INDEX('Partner data'!A:DH,MATCH(C1846,'Partner data'!DG:DG,0),112)))</f>
        <v>0</v>
      </c>
      <c r="S1846" t="b">
        <f t="shared" si="56"/>
        <v>0</v>
      </c>
      <c r="T1846" t="b">
        <f t="shared" si="57"/>
        <v>1</v>
      </c>
      <c r="U1846" s="154">
        <f>IFERROR(IF(R1846&lt;&gt;FALSE,IF(S1846=TRUE,INDEX('SummaryNOT_VALIDATED-BL'!$A$1:$F$16,MATCH(R1846,'SummaryNOT_VALIDATED-BL'!$A$1:$A$16,0),6),0),IF(S1846=TRUE,INDEX('SummaryNOT_VALIDATED-BL'!$A$1:$F$16,MATCH(E1846,'SummaryNOT_VALIDATED-BL'!$A$1:$A$16,0),6),0)),0)</f>
        <v>0</v>
      </c>
      <c r="V1846" s="81" cm="1">
        <f t="array" ref="V1846">INDEX('Weight tables'!$A$24:$C$27,MATCH(1,(RendicontiTrasmessiBL__2[[#This Row],[Cut percentage on real costs + USC]]&gt;='Weight tables'!$B$24:$B$27)*(RendicontiTrasmessiBL__2[[#This Row],[Cut percentage on real costs + USC]]&lt;='Weight tables'!$C$24:$C$27),0),1)</f>
        <v>0</v>
      </c>
      <c r="W1846" s="2">
        <f>RendicontiTrasmessiBL__2[[#This Row],[Weight real costs  + USC ]]</f>
        <v>0</v>
      </c>
    </row>
    <row r="1847" spans="1:23" x14ac:dyDescent="0.25">
      <c r="A1847" s="1" t="s">
        <v>310</v>
      </c>
      <c r="B1847" s="1" t="s">
        <v>311</v>
      </c>
      <c r="C1847" s="2">
        <v>181</v>
      </c>
      <c r="D1847" s="2">
        <v>192</v>
      </c>
      <c r="E1847" s="1" t="s">
        <v>228</v>
      </c>
      <c r="G1847">
        <v>48460</v>
      </c>
      <c r="H1847">
        <v>0</v>
      </c>
      <c r="I1847">
        <v>0</v>
      </c>
      <c r="J1847">
        <v>3954</v>
      </c>
      <c r="K1847">
        <v>0</v>
      </c>
      <c r="L1847">
        <v>0</v>
      </c>
      <c r="M1847">
        <v>3954</v>
      </c>
      <c r="N1847">
        <v>8.16</v>
      </c>
      <c r="O1847">
        <v>44506</v>
      </c>
      <c r="P1847">
        <v>0</v>
      </c>
      <c r="Q1847" t="str">
        <f>INDEX('Partner data'!A:DH,MATCH(C1847,'Partner data'!DG:DG,0),83)</f>
        <v>Soggetto pubblico</v>
      </c>
      <c r="R1847" t="str">
        <f>IF(E1847="staff",IF(INDEX('Partner data'!A:DH,MATCH(C1847,'Partner data'!DG:DG,0),112)="BL1 non presente","FALSO",INDEX('Partner data'!A:DH,MATCH(C1847,'Partner data'!DG:DG,0),112)))</f>
        <v>Costo Unitario Standard</v>
      </c>
      <c r="S1847" t="b">
        <f t="shared" si="56"/>
        <v>1</v>
      </c>
      <c r="T1847" t="b">
        <f t="shared" si="57"/>
        <v>1</v>
      </c>
      <c r="U1847" s="154">
        <f>IFERROR(IF(R1847&lt;&gt;FALSE,IF(S1847=TRUE,INDEX('SummaryNOT_VALIDATED-BL'!$A$1:$F$16,MATCH(R1847,'SummaryNOT_VALIDATED-BL'!$A$1:$A$16,0),6),0),IF(S1847=TRUE,INDEX('SummaryNOT_VALIDATED-BL'!$A$1:$F$16,MATCH(E1847,'SummaryNOT_VALIDATED-BL'!$A$1:$A$16,0),6),0)),0)</f>
        <v>3.2052879635441428E-2</v>
      </c>
      <c r="V1847" s="81" cm="1">
        <f t="array" ref="V1847">INDEX('Weight tables'!$A$24:$C$27,MATCH(1,(RendicontiTrasmessiBL__2[[#This Row],[Cut percentage on real costs + USC]]&gt;='Weight tables'!$B$24:$B$27)*(RendicontiTrasmessiBL__2[[#This Row],[Cut percentage on real costs + USC]]&lt;='Weight tables'!$C$24:$C$27),0),1)</f>
        <v>2</v>
      </c>
      <c r="W1847" s="2">
        <f>RendicontiTrasmessiBL__2[[#This Row],[Weight real costs  + USC ]]</f>
        <v>2</v>
      </c>
    </row>
    <row r="1848" spans="1:23" x14ac:dyDescent="0.25">
      <c r="A1848" s="1" t="s">
        <v>310</v>
      </c>
      <c r="B1848" s="1" t="s">
        <v>311</v>
      </c>
      <c r="C1848" s="2">
        <v>181</v>
      </c>
      <c r="D1848" s="2">
        <v>192</v>
      </c>
      <c r="E1848" s="1" t="s">
        <v>229</v>
      </c>
      <c r="F1848">
        <v>15</v>
      </c>
      <c r="G1848">
        <v>7269</v>
      </c>
      <c r="H1848">
        <v>0</v>
      </c>
      <c r="I1848">
        <v>0</v>
      </c>
      <c r="J1848">
        <v>593.1</v>
      </c>
      <c r="K1848">
        <v>0</v>
      </c>
      <c r="L1848">
        <v>0</v>
      </c>
      <c r="M1848">
        <v>593.1</v>
      </c>
      <c r="N1848">
        <v>8.16</v>
      </c>
      <c r="O1848">
        <v>6675.9</v>
      </c>
      <c r="P1848">
        <v>0</v>
      </c>
      <c r="Q1848" t="str">
        <f>INDEX('Partner data'!A:DH,MATCH(C1848,'Partner data'!DG:DG,0),83)</f>
        <v>Soggetto pubblico</v>
      </c>
      <c r="R1848" t="b">
        <f>IF(E1848="staff",IF(INDEX('Partner data'!A:DH,MATCH(C1848,'Partner data'!DG:DG,0),112)="BL1 non presente","FALSO",INDEX('Partner data'!A:DH,MATCH(C1848,'Partner data'!DG:DG,0),112)))</f>
        <v>0</v>
      </c>
      <c r="S1848" t="b">
        <f t="shared" si="56"/>
        <v>1</v>
      </c>
      <c r="T1848" t="b">
        <f t="shared" si="57"/>
        <v>1</v>
      </c>
      <c r="U1848" s="154">
        <f>IFERROR(IF(R1848&lt;&gt;FALSE,IF(S1848=TRUE,INDEX('SummaryNOT_VALIDATED-BL'!$A$1:$F$16,MATCH(R1848,'SummaryNOT_VALIDATED-BL'!$A$1:$A$16,0),6),0),IF(S1848=TRUE,INDEX('SummaryNOT_VALIDATED-BL'!$A$1:$F$16,MATCH(E1848,'SummaryNOT_VALIDATED-BL'!$A$1:$A$16,0),6),0)),0)</f>
        <v>6.6460469504890221E-2</v>
      </c>
      <c r="V1848" s="81" cm="1">
        <f t="array" ref="V1848">INDEX('Weight tables'!$A$24:$C$27,MATCH(1,(RendicontiTrasmessiBL__2[[#This Row],[Cut percentage on real costs + USC]]&gt;='Weight tables'!$B$24:$B$27)*(RendicontiTrasmessiBL__2[[#This Row],[Cut percentage on real costs + USC]]&lt;='Weight tables'!$C$24:$C$27),0),1)</f>
        <v>4</v>
      </c>
      <c r="W1848" s="2">
        <f>RendicontiTrasmessiBL__2[[#This Row],[Weight real costs  + USC ]]</f>
        <v>4</v>
      </c>
    </row>
    <row r="1849" spans="1:23" x14ac:dyDescent="0.25">
      <c r="A1849" s="1" t="s">
        <v>310</v>
      </c>
      <c r="B1849" s="1" t="s">
        <v>311</v>
      </c>
      <c r="C1849" s="2">
        <v>181</v>
      </c>
      <c r="D1849" s="2">
        <v>192</v>
      </c>
      <c r="E1849" s="1" t="s">
        <v>230</v>
      </c>
      <c r="G1849">
        <v>0</v>
      </c>
      <c r="H1849">
        <v>0</v>
      </c>
      <c r="I1849">
        <v>0</v>
      </c>
      <c r="J1849">
        <v>0</v>
      </c>
      <c r="K1849">
        <v>0</v>
      </c>
      <c r="L1849">
        <v>0</v>
      </c>
      <c r="M1849">
        <v>0</v>
      </c>
      <c r="N1849">
        <v>0</v>
      </c>
      <c r="O1849">
        <v>0</v>
      </c>
      <c r="P1849">
        <v>0</v>
      </c>
      <c r="Q1849" t="str">
        <f>INDEX('Partner data'!A:DH,MATCH(C1849,'Partner data'!DG:DG,0),83)</f>
        <v>Soggetto pubblico</v>
      </c>
      <c r="R1849" t="b">
        <f>IF(E1849="staff",IF(INDEX('Partner data'!A:DH,MATCH(C1849,'Partner data'!DG:DG,0),112)="BL1 non presente","FALSO",INDEX('Partner data'!A:DH,MATCH(C1849,'Partner data'!DG:DG,0),112)))</f>
        <v>0</v>
      </c>
      <c r="S1849" t="b">
        <f t="shared" si="56"/>
        <v>0</v>
      </c>
      <c r="T1849" t="b">
        <f t="shared" si="57"/>
        <v>1</v>
      </c>
      <c r="U1849" s="154">
        <f>IFERROR(IF(R1849&lt;&gt;FALSE,IF(S1849=TRUE,INDEX('SummaryNOT_VALIDATED-BL'!$A$1:$F$16,MATCH(R1849,'SummaryNOT_VALIDATED-BL'!$A$1:$A$16,0),6),0),IF(S1849=TRUE,INDEX('SummaryNOT_VALIDATED-BL'!$A$1:$F$16,MATCH(E1849,'SummaryNOT_VALIDATED-BL'!$A$1:$A$16,0),6),0)),0)</f>
        <v>0</v>
      </c>
      <c r="V1849" s="81" cm="1">
        <f t="array" ref="V1849">INDEX('Weight tables'!$A$24:$C$27,MATCH(1,(RendicontiTrasmessiBL__2[[#This Row],[Cut percentage on real costs + USC]]&gt;='Weight tables'!$B$24:$B$27)*(RendicontiTrasmessiBL__2[[#This Row],[Cut percentage on real costs + USC]]&lt;='Weight tables'!$C$24:$C$27),0),1)</f>
        <v>0</v>
      </c>
      <c r="W1849" s="2">
        <f>RendicontiTrasmessiBL__2[[#This Row],[Weight real costs  + USC ]]</f>
        <v>0</v>
      </c>
    </row>
    <row r="1850" spans="1:23" x14ac:dyDescent="0.25">
      <c r="A1850" s="1" t="s">
        <v>310</v>
      </c>
      <c r="B1850" s="1" t="s">
        <v>311</v>
      </c>
      <c r="C1850" s="2">
        <v>181</v>
      </c>
      <c r="D1850" s="2">
        <v>192</v>
      </c>
      <c r="E1850" s="1" t="s">
        <v>231</v>
      </c>
      <c r="G1850">
        <v>7000</v>
      </c>
      <c r="H1850">
        <v>0</v>
      </c>
      <c r="I1850">
        <v>0</v>
      </c>
      <c r="J1850">
        <v>0</v>
      </c>
      <c r="K1850">
        <v>0</v>
      </c>
      <c r="L1850">
        <v>0</v>
      </c>
      <c r="M1850">
        <v>0</v>
      </c>
      <c r="N1850">
        <v>0</v>
      </c>
      <c r="O1850">
        <v>7000</v>
      </c>
      <c r="P1850">
        <v>0</v>
      </c>
      <c r="Q1850" t="str">
        <f>INDEX('Partner data'!A:DH,MATCH(C1850,'Partner data'!DG:DG,0),83)</f>
        <v>Soggetto pubblico</v>
      </c>
      <c r="R1850" t="b">
        <f>IF(E1850="staff",IF(INDEX('Partner data'!A:DH,MATCH(C1850,'Partner data'!DG:DG,0),112)="BL1 non presente","FALSO",INDEX('Partner data'!A:DH,MATCH(C1850,'Partner data'!DG:DG,0),112)))</f>
        <v>0</v>
      </c>
      <c r="S1850" t="b">
        <f t="shared" si="56"/>
        <v>0</v>
      </c>
      <c r="T1850" t="b">
        <f t="shared" si="57"/>
        <v>1</v>
      </c>
      <c r="U1850" s="154">
        <f>IFERROR(IF(R1850&lt;&gt;FALSE,IF(S1850=TRUE,INDEX('SummaryNOT_VALIDATED-BL'!$A$1:$F$16,MATCH(R1850,'SummaryNOT_VALIDATED-BL'!$A$1:$A$16,0),6),0),IF(S1850=TRUE,INDEX('SummaryNOT_VALIDATED-BL'!$A$1:$F$16,MATCH(E1850,'SummaryNOT_VALIDATED-BL'!$A$1:$A$16,0),6),0)),0)</f>
        <v>0</v>
      </c>
      <c r="V1850" s="81" cm="1">
        <f t="array" ref="V1850">INDEX('Weight tables'!$A$24:$C$27,MATCH(1,(RendicontiTrasmessiBL__2[[#This Row],[Cut percentage on real costs + USC]]&gt;='Weight tables'!$B$24:$B$27)*(RendicontiTrasmessiBL__2[[#This Row],[Cut percentage on real costs + USC]]&lt;='Weight tables'!$C$24:$C$27),0),1)</f>
        <v>0</v>
      </c>
      <c r="W1850" s="2">
        <f>RendicontiTrasmessiBL__2[[#This Row],[Weight real costs  + USC ]]</f>
        <v>0</v>
      </c>
    </row>
    <row r="1851" spans="1:23" x14ac:dyDescent="0.25">
      <c r="A1851" s="1" t="s">
        <v>310</v>
      </c>
      <c r="B1851" s="1" t="s">
        <v>311</v>
      </c>
      <c r="C1851" s="2">
        <v>181</v>
      </c>
      <c r="D1851" s="2">
        <v>192</v>
      </c>
      <c r="E1851" s="1" t="s">
        <v>232</v>
      </c>
      <c r="G1851">
        <v>82000</v>
      </c>
      <c r="H1851">
        <v>0</v>
      </c>
      <c r="I1851">
        <v>0</v>
      </c>
      <c r="J1851">
        <v>0</v>
      </c>
      <c r="K1851">
        <v>0</v>
      </c>
      <c r="L1851">
        <v>0</v>
      </c>
      <c r="M1851">
        <v>0</v>
      </c>
      <c r="N1851">
        <v>0</v>
      </c>
      <c r="O1851">
        <v>82000</v>
      </c>
      <c r="P1851">
        <v>0</v>
      </c>
      <c r="Q1851" t="str">
        <f>INDEX('Partner data'!A:DH,MATCH(C1851,'Partner data'!DG:DG,0),83)</f>
        <v>Soggetto pubblico</v>
      </c>
      <c r="R1851" t="b">
        <f>IF(E1851="staff",IF(INDEX('Partner data'!A:DH,MATCH(C1851,'Partner data'!DG:DG,0),112)="BL1 non presente","FALSO",INDEX('Partner data'!A:DH,MATCH(C1851,'Partner data'!DG:DG,0),112)))</f>
        <v>0</v>
      </c>
      <c r="S1851" t="b">
        <f t="shared" si="56"/>
        <v>0</v>
      </c>
      <c r="T1851" t="b">
        <f t="shared" si="57"/>
        <v>1</v>
      </c>
      <c r="U1851" s="154">
        <f>IFERROR(IF(R1851&lt;&gt;FALSE,IF(S1851=TRUE,INDEX('SummaryNOT_VALIDATED-BL'!$A$1:$F$16,MATCH(R1851,'SummaryNOT_VALIDATED-BL'!$A$1:$A$16,0),6),0),IF(S1851=TRUE,INDEX('SummaryNOT_VALIDATED-BL'!$A$1:$F$16,MATCH(E1851,'SummaryNOT_VALIDATED-BL'!$A$1:$A$16,0),6),0)),0)</f>
        <v>0</v>
      </c>
      <c r="V1851" s="81" cm="1">
        <f t="array" ref="V1851">INDEX('Weight tables'!$A$24:$C$27,MATCH(1,(RendicontiTrasmessiBL__2[[#This Row],[Cut percentage on real costs + USC]]&gt;='Weight tables'!$B$24:$B$27)*(RendicontiTrasmessiBL__2[[#This Row],[Cut percentage on real costs + USC]]&lt;='Weight tables'!$C$24:$C$27),0),1)</f>
        <v>0</v>
      </c>
      <c r="W1851" s="2">
        <f>RendicontiTrasmessiBL__2[[#This Row],[Weight real costs  + USC ]]</f>
        <v>0</v>
      </c>
    </row>
    <row r="1852" spans="1:23" x14ac:dyDescent="0.25">
      <c r="A1852" s="1" t="s">
        <v>310</v>
      </c>
      <c r="B1852" s="1" t="s">
        <v>311</v>
      </c>
      <c r="C1852" s="2">
        <v>181</v>
      </c>
      <c r="D1852" s="2">
        <v>192</v>
      </c>
      <c r="E1852" s="1" t="s">
        <v>233</v>
      </c>
      <c r="G1852">
        <v>0</v>
      </c>
      <c r="H1852">
        <v>0</v>
      </c>
      <c r="I1852">
        <v>0</v>
      </c>
      <c r="J1852">
        <v>0</v>
      </c>
      <c r="K1852">
        <v>0</v>
      </c>
      <c r="L1852">
        <v>0</v>
      </c>
      <c r="M1852">
        <v>0</v>
      </c>
      <c r="N1852">
        <v>0</v>
      </c>
      <c r="O1852">
        <v>0</v>
      </c>
      <c r="P1852">
        <v>0</v>
      </c>
      <c r="Q1852" t="str">
        <f>INDEX('Partner data'!A:DH,MATCH(C1852,'Partner data'!DG:DG,0),83)</f>
        <v>Soggetto pubblico</v>
      </c>
      <c r="R1852" t="b">
        <f>IF(E1852="staff",IF(INDEX('Partner data'!A:DH,MATCH(C1852,'Partner data'!DG:DG,0),112)="BL1 non presente","FALSO",INDEX('Partner data'!A:DH,MATCH(C1852,'Partner data'!DG:DG,0),112)))</f>
        <v>0</v>
      </c>
      <c r="S1852" t="b">
        <f t="shared" si="56"/>
        <v>0</v>
      </c>
      <c r="T1852" t="b">
        <f t="shared" si="57"/>
        <v>1</v>
      </c>
      <c r="U1852" s="154">
        <f>IFERROR(IF(R1852&lt;&gt;FALSE,IF(S1852=TRUE,INDEX('SummaryNOT_VALIDATED-BL'!$A$1:$F$16,MATCH(R1852,'SummaryNOT_VALIDATED-BL'!$A$1:$A$16,0),6),0),IF(S1852=TRUE,INDEX('SummaryNOT_VALIDATED-BL'!$A$1:$F$16,MATCH(E1852,'SummaryNOT_VALIDATED-BL'!$A$1:$A$16,0),6),0)),0)</f>
        <v>0</v>
      </c>
      <c r="V1852" s="81" cm="1">
        <f t="array" ref="V1852">INDEX('Weight tables'!$A$24:$C$27,MATCH(1,(RendicontiTrasmessiBL__2[[#This Row],[Cut percentage on real costs + USC]]&gt;='Weight tables'!$B$24:$B$27)*(RendicontiTrasmessiBL__2[[#This Row],[Cut percentage on real costs + USC]]&lt;='Weight tables'!$C$24:$C$27),0),1)</f>
        <v>0</v>
      </c>
      <c r="W1852" s="2">
        <f>RendicontiTrasmessiBL__2[[#This Row],[Weight real costs  + USC ]]</f>
        <v>0</v>
      </c>
    </row>
    <row r="1853" spans="1:23" x14ac:dyDescent="0.25">
      <c r="A1853" s="1" t="s">
        <v>310</v>
      </c>
      <c r="B1853" s="1" t="s">
        <v>311</v>
      </c>
      <c r="C1853" s="2">
        <v>181</v>
      </c>
      <c r="D1853" s="2">
        <v>192</v>
      </c>
      <c r="E1853" s="1" t="s">
        <v>234</v>
      </c>
      <c r="G1853">
        <v>0</v>
      </c>
      <c r="H1853">
        <v>0</v>
      </c>
      <c r="I1853">
        <v>0</v>
      </c>
      <c r="J1853">
        <v>0</v>
      </c>
      <c r="K1853">
        <v>0</v>
      </c>
      <c r="L1853">
        <v>0</v>
      </c>
      <c r="M1853">
        <v>0</v>
      </c>
      <c r="N1853">
        <v>0</v>
      </c>
      <c r="O1853">
        <v>0</v>
      </c>
      <c r="P1853">
        <v>0</v>
      </c>
      <c r="Q1853" t="str">
        <f>INDEX('Partner data'!A:DH,MATCH(C1853,'Partner data'!DG:DG,0),83)</f>
        <v>Soggetto pubblico</v>
      </c>
      <c r="R1853" t="b">
        <f>IF(E1853="staff",IF(INDEX('Partner data'!A:DH,MATCH(C1853,'Partner data'!DG:DG,0),112)="BL1 non presente","FALSO",INDEX('Partner data'!A:DH,MATCH(C1853,'Partner data'!DG:DG,0),112)))</f>
        <v>0</v>
      </c>
      <c r="S1853" t="b">
        <f t="shared" si="56"/>
        <v>0</v>
      </c>
      <c r="T1853" t="b">
        <f t="shared" si="57"/>
        <v>1</v>
      </c>
      <c r="U1853" s="154">
        <f>IFERROR(IF(R1853&lt;&gt;FALSE,IF(S1853=TRUE,INDEX('SummaryNOT_VALIDATED-BL'!$A$1:$F$16,MATCH(R1853,'SummaryNOT_VALIDATED-BL'!$A$1:$A$16,0),6),0),IF(S1853=TRUE,INDEX('SummaryNOT_VALIDATED-BL'!$A$1:$F$16,MATCH(E1853,'SummaryNOT_VALIDATED-BL'!$A$1:$A$16,0),6),0)),0)</f>
        <v>0</v>
      </c>
      <c r="V1853" s="81" cm="1">
        <f t="array" ref="V1853">INDEX('Weight tables'!$A$24:$C$27,MATCH(1,(RendicontiTrasmessiBL__2[[#This Row],[Cut percentage on real costs + USC]]&gt;='Weight tables'!$B$24:$B$27)*(RendicontiTrasmessiBL__2[[#This Row],[Cut percentage on real costs + USC]]&lt;='Weight tables'!$C$24:$C$27),0),1)</f>
        <v>0</v>
      </c>
      <c r="W1853" s="2">
        <f>RendicontiTrasmessiBL__2[[#This Row],[Weight real costs  + USC ]]</f>
        <v>0</v>
      </c>
    </row>
    <row r="1854" spans="1:23" x14ac:dyDescent="0.25">
      <c r="A1854" s="1" t="s">
        <v>310</v>
      </c>
      <c r="B1854" s="1" t="s">
        <v>311</v>
      </c>
      <c r="C1854" s="2">
        <v>181</v>
      </c>
      <c r="D1854" s="2">
        <v>192</v>
      </c>
      <c r="E1854" s="1" t="s">
        <v>236</v>
      </c>
      <c r="G1854">
        <v>0</v>
      </c>
      <c r="H1854">
        <v>0</v>
      </c>
      <c r="I1854">
        <v>0</v>
      </c>
      <c r="J1854">
        <v>0</v>
      </c>
      <c r="K1854">
        <v>0</v>
      </c>
      <c r="L1854">
        <v>0</v>
      </c>
      <c r="M1854">
        <v>0</v>
      </c>
      <c r="N1854">
        <v>0</v>
      </c>
      <c r="O1854">
        <v>0</v>
      </c>
      <c r="P1854">
        <v>0</v>
      </c>
      <c r="Q1854" t="str">
        <f>INDEX('Partner data'!A:DH,MATCH(C1854,'Partner data'!DG:DG,0),83)</f>
        <v>Soggetto pubblico</v>
      </c>
      <c r="R1854" t="b">
        <f>IF(E1854="staff",IF(INDEX('Partner data'!A:DH,MATCH(C1854,'Partner data'!DG:DG,0),112)="BL1 non presente","FALSO",INDEX('Partner data'!A:DH,MATCH(C1854,'Partner data'!DG:DG,0),112)))</f>
        <v>0</v>
      </c>
      <c r="S1854" t="b">
        <f t="shared" si="56"/>
        <v>0</v>
      </c>
      <c r="T1854" t="b">
        <f t="shared" si="57"/>
        <v>1</v>
      </c>
      <c r="U1854" s="154">
        <f>IFERROR(IF(R1854&lt;&gt;FALSE,IF(S1854=TRUE,INDEX('SummaryNOT_VALIDATED-BL'!$A$1:$F$16,MATCH(R1854,'SummaryNOT_VALIDATED-BL'!$A$1:$A$16,0),6),0),IF(S1854=TRUE,INDEX('SummaryNOT_VALIDATED-BL'!$A$1:$F$16,MATCH(E1854,'SummaryNOT_VALIDATED-BL'!$A$1:$A$16,0),6),0)),0)</f>
        <v>0</v>
      </c>
      <c r="V1854" s="81" cm="1">
        <f t="array" ref="V1854">INDEX('Weight tables'!$A$24:$C$27,MATCH(1,(RendicontiTrasmessiBL__2[[#This Row],[Cut percentage on real costs + USC]]&gt;='Weight tables'!$B$24:$B$27)*(RendicontiTrasmessiBL__2[[#This Row],[Cut percentage on real costs + USC]]&lt;='Weight tables'!$C$24:$C$27),0),1)</f>
        <v>0</v>
      </c>
      <c r="W1854" s="2">
        <f>RendicontiTrasmessiBL__2[[#This Row],[Weight real costs  + USC ]]</f>
        <v>0</v>
      </c>
    </row>
    <row r="1855" spans="1:23" x14ac:dyDescent="0.25">
      <c r="A1855" s="1" t="s">
        <v>310</v>
      </c>
      <c r="B1855" s="1" t="s">
        <v>311</v>
      </c>
      <c r="C1855" s="2">
        <v>181</v>
      </c>
      <c r="D1855" s="2">
        <v>192</v>
      </c>
      <c r="E1855" s="1" t="s">
        <v>237</v>
      </c>
      <c r="G1855">
        <v>0</v>
      </c>
      <c r="H1855">
        <v>0</v>
      </c>
      <c r="I1855">
        <v>0</v>
      </c>
      <c r="J1855">
        <v>0</v>
      </c>
      <c r="K1855">
        <v>0</v>
      </c>
      <c r="L1855">
        <v>0</v>
      </c>
      <c r="M1855">
        <v>0</v>
      </c>
      <c r="N1855">
        <v>0</v>
      </c>
      <c r="O1855">
        <v>0</v>
      </c>
      <c r="P1855">
        <v>0</v>
      </c>
      <c r="Q1855" t="str">
        <f>INDEX('Partner data'!A:DH,MATCH(C1855,'Partner data'!DG:DG,0),83)</f>
        <v>Soggetto pubblico</v>
      </c>
      <c r="R1855" t="b">
        <f>IF(E1855="staff",IF(INDEX('Partner data'!A:DH,MATCH(C1855,'Partner data'!DG:DG,0),112)="BL1 non presente","FALSO",INDEX('Partner data'!A:DH,MATCH(C1855,'Partner data'!DG:DG,0),112)))</f>
        <v>0</v>
      </c>
      <c r="S1855" t="b">
        <f t="shared" si="56"/>
        <v>0</v>
      </c>
      <c r="T1855" t="b">
        <f t="shared" si="57"/>
        <v>1</v>
      </c>
      <c r="U1855" s="154">
        <f>IFERROR(IF(R1855&lt;&gt;FALSE,IF(S1855=TRUE,INDEX('SummaryNOT_VALIDATED-BL'!$A$1:$F$16,MATCH(R1855,'SummaryNOT_VALIDATED-BL'!$A$1:$A$16,0),6),0),IF(S1855=TRUE,INDEX('SummaryNOT_VALIDATED-BL'!$A$1:$F$16,MATCH(E1855,'SummaryNOT_VALIDATED-BL'!$A$1:$A$16,0),6),0)),0)</f>
        <v>0</v>
      </c>
      <c r="V1855" s="81" cm="1">
        <f t="array" ref="V1855">INDEX('Weight tables'!$A$24:$C$27,MATCH(1,(RendicontiTrasmessiBL__2[[#This Row],[Cut percentage on real costs + USC]]&gt;='Weight tables'!$B$24:$B$27)*(RendicontiTrasmessiBL__2[[#This Row],[Cut percentage on real costs + USC]]&lt;='Weight tables'!$C$24:$C$27),0),1)</f>
        <v>0</v>
      </c>
      <c r="W1855" s="2">
        <f>RendicontiTrasmessiBL__2[[#This Row],[Weight real costs  + USC ]]</f>
        <v>0</v>
      </c>
    </row>
    <row r="1856" spans="1:23" x14ac:dyDescent="0.25">
      <c r="A1856" s="1" t="s">
        <v>310</v>
      </c>
      <c r="B1856" s="1" t="s">
        <v>32</v>
      </c>
      <c r="C1856" s="2">
        <v>80</v>
      </c>
      <c r="D1856" s="2">
        <v>338</v>
      </c>
      <c r="E1856" s="1" t="s">
        <v>228</v>
      </c>
      <c r="G1856">
        <v>92644</v>
      </c>
      <c r="H1856">
        <v>9352</v>
      </c>
      <c r="I1856">
        <v>0</v>
      </c>
      <c r="J1856">
        <v>14830</v>
      </c>
      <c r="K1856">
        <v>0</v>
      </c>
      <c r="L1856">
        <v>0</v>
      </c>
      <c r="M1856">
        <v>24182</v>
      </c>
      <c r="N1856">
        <v>26.1</v>
      </c>
      <c r="O1856">
        <v>68462</v>
      </c>
      <c r="P1856">
        <v>9352</v>
      </c>
      <c r="Q1856" t="str">
        <f>INDEX('Partner data'!A:DH,MATCH(C1856,'Partner data'!DG:DG,0),83)</f>
        <v>Soggetto pubblico</v>
      </c>
      <c r="R1856" t="str">
        <f>IF(E1856="staff",IF(INDEX('Partner data'!A:DH,MATCH(C1856,'Partner data'!DG:DG,0),112)="BL1 non presente","FALSO",INDEX('Partner data'!A:DH,MATCH(C1856,'Partner data'!DG:DG,0),112)))</f>
        <v>Costo Unitario Standard</v>
      </c>
      <c r="S1856" t="b">
        <f t="shared" si="56"/>
        <v>1</v>
      </c>
      <c r="T1856" t="b">
        <f t="shared" si="57"/>
        <v>1</v>
      </c>
      <c r="U1856" s="154">
        <f>IFERROR(IF(R1856&lt;&gt;FALSE,IF(S1856=TRUE,INDEX('SummaryNOT_VALIDATED-BL'!$A$1:$F$16,MATCH(R1856,'SummaryNOT_VALIDATED-BL'!$A$1:$A$16,0),6),0),IF(S1856=TRUE,INDEX('SummaryNOT_VALIDATED-BL'!$A$1:$F$16,MATCH(E1856,'SummaryNOT_VALIDATED-BL'!$A$1:$A$16,0),6),0)),0)</f>
        <v>3.2052879635441428E-2</v>
      </c>
      <c r="V1856" s="81" cm="1">
        <f t="array" ref="V1856">INDEX('Weight tables'!$A$24:$C$27,MATCH(1,(RendicontiTrasmessiBL__2[[#This Row],[Cut percentage on real costs + USC]]&gt;='Weight tables'!$B$24:$B$27)*(RendicontiTrasmessiBL__2[[#This Row],[Cut percentage on real costs + USC]]&lt;='Weight tables'!$C$24:$C$27),0),1)</f>
        <v>2</v>
      </c>
      <c r="W1856" s="2">
        <f>RendicontiTrasmessiBL__2[[#This Row],[Weight real costs  + USC ]]</f>
        <v>2</v>
      </c>
    </row>
    <row r="1857" spans="1:23" x14ac:dyDescent="0.25">
      <c r="A1857" s="1" t="s">
        <v>310</v>
      </c>
      <c r="B1857" s="1" t="s">
        <v>32</v>
      </c>
      <c r="C1857" s="2">
        <v>80</v>
      </c>
      <c r="D1857" s="2">
        <v>338</v>
      </c>
      <c r="E1857" s="1" t="s">
        <v>229</v>
      </c>
      <c r="F1857">
        <v>15</v>
      </c>
      <c r="G1857">
        <v>13896.6</v>
      </c>
      <c r="H1857">
        <v>1402.8</v>
      </c>
      <c r="I1857">
        <v>0</v>
      </c>
      <c r="J1857">
        <v>2224.5</v>
      </c>
      <c r="K1857">
        <v>0</v>
      </c>
      <c r="L1857">
        <v>0</v>
      </c>
      <c r="M1857">
        <v>3627.3</v>
      </c>
      <c r="N1857">
        <v>26.1</v>
      </c>
      <c r="O1857">
        <v>10269.299999999999</v>
      </c>
      <c r="P1857">
        <v>1402.8</v>
      </c>
      <c r="Q1857" t="str">
        <f>INDEX('Partner data'!A:DH,MATCH(C1857,'Partner data'!DG:DG,0),83)</f>
        <v>Soggetto pubblico</v>
      </c>
      <c r="R1857" t="b">
        <f>IF(E1857="staff",IF(INDEX('Partner data'!A:DH,MATCH(C1857,'Partner data'!DG:DG,0),112)="BL1 non presente","FALSO",INDEX('Partner data'!A:DH,MATCH(C1857,'Partner data'!DG:DG,0),112)))</f>
        <v>0</v>
      </c>
      <c r="S1857" t="b">
        <f t="shared" si="56"/>
        <v>1</v>
      </c>
      <c r="T1857" t="b">
        <f t="shared" si="57"/>
        <v>1</v>
      </c>
      <c r="U1857" s="154">
        <f>IFERROR(IF(R1857&lt;&gt;FALSE,IF(S1857=TRUE,INDEX('SummaryNOT_VALIDATED-BL'!$A$1:$F$16,MATCH(R1857,'SummaryNOT_VALIDATED-BL'!$A$1:$A$16,0),6),0),IF(S1857=TRUE,INDEX('SummaryNOT_VALIDATED-BL'!$A$1:$F$16,MATCH(E1857,'SummaryNOT_VALIDATED-BL'!$A$1:$A$16,0),6),0)),0)</f>
        <v>6.6460469504890221E-2</v>
      </c>
      <c r="V1857" s="81" cm="1">
        <f t="array" ref="V1857">INDEX('Weight tables'!$A$24:$C$27,MATCH(1,(RendicontiTrasmessiBL__2[[#This Row],[Cut percentage on real costs + USC]]&gt;='Weight tables'!$B$24:$B$27)*(RendicontiTrasmessiBL__2[[#This Row],[Cut percentage on real costs + USC]]&lt;='Weight tables'!$C$24:$C$27),0),1)</f>
        <v>4</v>
      </c>
      <c r="W1857" s="2">
        <f>RendicontiTrasmessiBL__2[[#This Row],[Weight real costs  + USC ]]</f>
        <v>4</v>
      </c>
    </row>
    <row r="1858" spans="1:23" x14ac:dyDescent="0.25">
      <c r="A1858" s="1" t="s">
        <v>310</v>
      </c>
      <c r="B1858" s="1" t="s">
        <v>32</v>
      </c>
      <c r="C1858" s="2">
        <v>80</v>
      </c>
      <c r="D1858" s="2">
        <v>338</v>
      </c>
      <c r="E1858" s="1" t="s">
        <v>230</v>
      </c>
      <c r="F1858">
        <v>4</v>
      </c>
      <c r="G1858">
        <v>3705.76</v>
      </c>
      <c r="H1858">
        <v>374.08</v>
      </c>
      <c r="I1858">
        <v>0</v>
      </c>
      <c r="J1858">
        <v>593.20000000000005</v>
      </c>
      <c r="K1858">
        <v>0</v>
      </c>
      <c r="L1858">
        <v>0</v>
      </c>
      <c r="M1858">
        <v>967.28</v>
      </c>
      <c r="N1858">
        <v>26.1</v>
      </c>
      <c r="O1858">
        <v>2738.48</v>
      </c>
      <c r="P1858">
        <v>374.08</v>
      </c>
      <c r="Q1858" t="str">
        <f>INDEX('Partner data'!A:DH,MATCH(C1858,'Partner data'!DG:DG,0),83)</f>
        <v>Soggetto pubblico</v>
      </c>
      <c r="R1858" t="b">
        <f>IF(E1858="staff",IF(INDEX('Partner data'!A:DH,MATCH(C1858,'Partner data'!DG:DG,0),112)="BL1 non presente","FALSO",INDEX('Partner data'!A:DH,MATCH(C1858,'Partner data'!DG:DG,0),112)))</f>
        <v>0</v>
      </c>
      <c r="S1858" t="b">
        <f t="shared" ref="S1858:S1909" si="58">IF(J1858&lt;&gt;0,TRUE,FALSE)</f>
        <v>1</v>
      </c>
      <c r="T1858" t="b">
        <f t="shared" ref="T1858:T1909" si="59">OR(Q1858="Soggetto pubblico",Q1858="Organismo di diritto pubblico ")</f>
        <v>1</v>
      </c>
      <c r="U1858" s="154">
        <f>IFERROR(IF(R1858&lt;&gt;FALSE,IF(S1858=TRUE,INDEX('SummaryNOT_VALIDATED-BL'!$A$1:$F$16,MATCH(R1858,'SummaryNOT_VALIDATED-BL'!$A$1:$A$16,0),6),0),IF(S1858=TRUE,INDEX('SummaryNOT_VALIDATED-BL'!$A$1:$F$16,MATCH(E1858,'SummaryNOT_VALIDATED-BL'!$A$1:$A$16,0),6),0)),0)</f>
        <v>6.3112622236488891E-2</v>
      </c>
      <c r="V1858" s="81" cm="1">
        <f t="array" ref="V1858">INDEX('Weight tables'!$A$24:$C$27,MATCH(1,(RendicontiTrasmessiBL__2[[#This Row],[Cut percentage on real costs + USC]]&gt;='Weight tables'!$B$24:$B$27)*(RendicontiTrasmessiBL__2[[#This Row],[Cut percentage on real costs + USC]]&lt;='Weight tables'!$C$24:$C$27),0),1)</f>
        <v>4</v>
      </c>
      <c r="W1858" s="2">
        <f>RendicontiTrasmessiBL__2[[#This Row],[Weight real costs  + USC ]]</f>
        <v>4</v>
      </c>
    </row>
    <row r="1859" spans="1:23" x14ac:dyDescent="0.25">
      <c r="A1859" s="1" t="s">
        <v>310</v>
      </c>
      <c r="B1859" s="1" t="s">
        <v>32</v>
      </c>
      <c r="C1859" s="2">
        <v>80</v>
      </c>
      <c r="D1859" s="2">
        <v>338</v>
      </c>
      <c r="E1859" s="1" t="s">
        <v>231</v>
      </c>
      <c r="G1859">
        <v>33000</v>
      </c>
      <c r="H1859">
        <v>0</v>
      </c>
      <c r="I1859">
        <v>0</v>
      </c>
      <c r="J1859">
        <v>178.75</v>
      </c>
      <c r="K1859">
        <v>0</v>
      </c>
      <c r="L1859">
        <v>0</v>
      </c>
      <c r="M1859">
        <v>178.75</v>
      </c>
      <c r="N1859">
        <v>0.54</v>
      </c>
      <c r="O1859">
        <v>32821.25</v>
      </c>
      <c r="P1859">
        <v>0</v>
      </c>
      <c r="Q1859" t="str">
        <f>INDEX('Partner data'!A:DH,MATCH(C1859,'Partner data'!DG:DG,0),83)</f>
        <v>Soggetto pubblico</v>
      </c>
      <c r="R1859" t="b">
        <f>IF(E1859="staff",IF(INDEX('Partner data'!A:DH,MATCH(C1859,'Partner data'!DG:DG,0),112)="BL1 non presente","FALSO",INDEX('Partner data'!A:DH,MATCH(C1859,'Partner data'!DG:DG,0),112)))</f>
        <v>0</v>
      </c>
      <c r="S1859" t="b">
        <f t="shared" si="58"/>
        <v>1</v>
      </c>
      <c r="T1859" t="b">
        <f t="shared" si="59"/>
        <v>1</v>
      </c>
      <c r="U1859" s="154">
        <f>IFERROR(IF(R1859&lt;&gt;FALSE,IF(S1859=TRUE,INDEX('SummaryNOT_VALIDATED-BL'!$A$1:$F$16,MATCH(R1859,'SummaryNOT_VALIDATED-BL'!$A$1:$A$16,0),6),0),IF(S1859=TRUE,INDEX('SummaryNOT_VALIDATED-BL'!$A$1:$F$16,MATCH(E1859,'SummaryNOT_VALIDATED-BL'!$A$1:$A$16,0),6),0)),0)</f>
        <v>5.577594442215475E-2</v>
      </c>
      <c r="V1859" s="81" cm="1">
        <f t="array" ref="V1859">INDEX('Weight tables'!$A$24:$C$27,MATCH(1,(RendicontiTrasmessiBL__2[[#This Row],[Cut percentage on real costs + USC]]&gt;='Weight tables'!$B$24:$B$27)*(RendicontiTrasmessiBL__2[[#This Row],[Cut percentage on real costs + USC]]&lt;='Weight tables'!$C$24:$C$27),0),1)</f>
        <v>4</v>
      </c>
      <c r="W1859" s="2">
        <f>RendicontiTrasmessiBL__2[[#This Row],[Weight real costs  + USC ]]</f>
        <v>4</v>
      </c>
    </row>
    <row r="1860" spans="1:23" x14ac:dyDescent="0.25">
      <c r="A1860" s="1" t="s">
        <v>310</v>
      </c>
      <c r="B1860" s="1" t="s">
        <v>32</v>
      </c>
      <c r="C1860" s="2">
        <v>80</v>
      </c>
      <c r="D1860" s="2">
        <v>338</v>
      </c>
      <c r="E1860" s="1" t="s">
        <v>232</v>
      </c>
      <c r="G1860">
        <v>7000</v>
      </c>
      <c r="H1860">
        <v>0</v>
      </c>
      <c r="I1860">
        <v>0</v>
      </c>
      <c r="J1860">
        <v>0</v>
      </c>
      <c r="K1860">
        <v>0</v>
      </c>
      <c r="L1860">
        <v>0</v>
      </c>
      <c r="M1860">
        <v>0</v>
      </c>
      <c r="N1860">
        <v>0</v>
      </c>
      <c r="O1860">
        <v>7000</v>
      </c>
      <c r="P1860">
        <v>0</v>
      </c>
      <c r="Q1860" t="str">
        <f>INDEX('Partner data'!A:DH,MATCH(C1860,'Partner data'!DG:DG,0),83)</f>
        <v>Soggetto pubblico</v>
      </c>
      <c r="R1860" t="b">
        <f>IF(E1860="staff",IF(INDEX('Partner data'!A:DH,MATCH(C1860,'Partner data'!DG:DG,0),112)="BL1 non presente","FALSO",INDEX('Partner data'!A:DH,MATCH(C1860,'Partner data'!DG:DG,0),112)))</f>
        <v>0</v>
      </c>
      <c r="S1860" t="b">
        <f t="shared" si="58"/>
        <v>0</v>
      </c>
      <c r="T1860" t="b">
        <f t="shared" si="59"/>
        <v>1</v>
      </c>
      <c r="U1860" s="154">
        <f>IFERROR(IF(R1860&lt;&gt;FALSE,IF(S1860=TRUE,INDEX('SummaryNOT_VALIDATED-BL'!$A$1:$F$16,MATCH(R1860,'SummaryNOT_VALIDATED-BL'!$A$1:$A$16,0),6),0),IF(S1860=TRUE,INDEX('SummaryNOT_VALIDATED-BL'!$A$1:$F$16,MATCH(E1860,'SummaryNOT_VALIDATED-BL'!$A$1:$A$16,0),6),0)),0)</f>
        <v>0</v>
      </c>
      <c r="V1860" s="81" cm="1">
        <f t="array" ref="V1860">INDEX('Weight tables'!$A$24:$C$27,MATCH(1,(RendicontiTrasmessiBL__2[[#This Row],[Cut percentage on real costs + USC]]&gt;='Weight tables'!$B$24:$B$27)*(RendicontiTrasmessiBL__2[[#This Row],[Cut percentage on real costs + USC]]&lt;='Weight tables'!$C$24:$C$27),0),1)</f>
        <v>0</v>
      </c>
      <c r="W1860" s="2">
        <f>RendicontiTrasmessiBL__2[[#This Row],[Weight real costs  + USC ]]</f>
        <v>0</v>
      </c>
    </row>
    <row r="1861" spans="1:23" x14ac:dyDescent="0.25">
      <c r="A1861" s="1" t="s">
        <v>310</v>
      </c>
      <c r="B1861" s="1" t="s">
        <v>32</v>
      </c>
      <c r="C1861" s="2">
        <v>80</v>
      </c>
      <c r="D1861" s="2">
        <v>338</v>
      </c>
      <c r="E1861" s="1" t="s">
        <v>233</v>
      </c>
      <c r="G1861">
        <v>0</v>
      </c>
      <c r="H1861">
        <v>0</v>
      </c>
      <c r="I1861">
        <v>0</v>
      </c>
      <c r="J1861">
        <v>0</v>
      </c>
      <c r="K1861">
        <v>0</v>
      </c>
      <c r="L1861">
        <v>0</v>
      </c>
      <c r="M1861">
        <v>0</v>
      </c>
      <c r="N1861">
        <v>0</v>
      </c>
      <c r="O1861">
        <v>0</v>
      </c>
      <c r="P1861">
        <v>0</v>
      </c>
      <c r="Q1861" t="str">
        <f>INDEX('Partner data'!A:DH,MATCH(C1861,'Partner data'!DG:DG,0),83)</f>
        <v>Soggetto pubblico</v>
      </c>
      <c r="R1861" t="b">
        <f>IF(E1861="staff",IF(INDEX('Partner data'!A:DH,MATCH(C1861,'Partner data'!DG:DG,0),112)="BL1 non presente","FALSO",INDEX('Partner data'!A:DH,MATCH(C1861,'Partner data'!DG:DG,0),112)))</f>
        <v>0</v>
      </c>
      <c r="S1861" t="b">
        <f t="shared" si="58"/>
        <v>0</v>
      </c>
      <c r="T1861" t="b">
        <f t="shared" si="59"/>
        <v>1</v>
      </c>
      <c r="U1861" s="154">
        <f>IFERROR(IF(R1861&lt;&gt;FALSE,IF(S1861=TRUE,INDEX('SummaryNOT_VALIDATED-BL'!$A$1:$F$16,MATCH(R1861,'SummaryNOT_VALIDATED-BL'!$A$1:$A$16,0),6),0),IF(S1861=TRUE,INDEX('SummaryNOT_VALIDATED-BL'!$A$1:$F$16,MATCH(E1861,'SummaryNOT_VALIDATED-BL'!$A$1:$A$16,0),6),0)),0)</f>
        <v>0</v>
      </c>
      <c r="V1861" s="81" cm="1">
        <f t="array" ref="V1861">INDEX('Weight tables'!$A$24:$C$27,MATCH(1,(RendicontiTrasmessiBL__2[[#This Row],[Cut percentage on real costs + USC]]&gt;='Weight tables'!$B$24:$B$27)*(RendicontiTrasmessiBL__2[[#This Row],[Cut percentage on real costs + USC]]&lt;='Weight tables'!$C$24:$C$27),0),1)</f>
        <v>0</v>
      </c>
      <c r="W1861" s="2">
        <f>RendicontiTrasmessiBL__2[[#This Row],[Weight real costs  + USC ]]</f>
        <v>0</v>
      </c>
    </row>
    <row r="1862" spans="1:23" x14ac:dyDescent="0.25">
      <c r="A1862" s="1" t="s">
        <v>310</v>
      </c>
      <c r="B1862" s="1" t="s">
        <v>32</v>
      </c>
      <c r="C1862" s="2">
        <v>80</v>
      </c>
      <c r="D1862" s="2">
        <v>338</v>
      </c>
      <c r="E1862" s="1" t="s">
        <v>234</v>
      </c>
      <c r="G1862">
        <v>0</v>
      </c>
      <c r="H1862">
        <v>0</v>
      </c>
      <c r="I1862">
        <v>0</v>
      </c>
      <c r="J1862">
        <v>0</v>
      </c>
      <c r="K1862">
        <v>0</v>
      </c>
      <c r="L1862">
        <v>0</v>
      </c>
      <c r="M1862">
        <v>0</v>
      </c>
      <c r="N1862">
        <v>0</v>
      </c>
      <c r="O1862">
        <v>0</v>
      </c>
      <c r="P1862">
        <v>0</v>
      </c>
      <c r="Q1862" t="str">
        <f>INDEX('Partner data'!A:DH,MATCH(C1862,'Partner data'!DG:DG,0),83)</f>
        <v>Soggetto pubblico</v>
      </c>
      <c r="R1862" t="b">
        <f>IF(E1862="staff",IF(INDEX('Partner data'!A:DH,MATCH(C1862,'Partner data'!DG:DG,0),112)="BL1 non presente","FALSO",INDEX('Partner data'!A:DH,MATCH(C1862,'Partner data'!DG:DG,0),112)))</f>
        <v>0</v>
      </c>
      <c r="S1862" t="b">
        <f t="shared" si="58"/>
        <v>0</v>
      </c>
      <c r="T1862" t="b">
        <f t="shared" si="59"/>
        <v>1</v>
      </c>
      <c r="U1862" s="154">
        <f>IFERROR(IF(R1862&lt;&gt;FALSE,IF(S1862=TRUE,INDEX('SummaryNOT_VALIDATED-BL'!$A$1:$F$16,MATCH(R1862,'SummaryNOT_VALIDATED-BL'!$A$1:$A$16,0),6),0),IF(S1862=TRUE,INDEX('SummaryNOT_VALIDATED-BL'!$A$1:$F$16,MATCH(E1862,'SummaryNOT_VALIDATED-BL'!$A$1:$A$16,0),6),0)),0)</f>
        <v>0</v>
      </c>
      <c r="V1862" s="81" cm="1">
        <f t="array" ref="V1862">INDEX('Weight tables'!$A$24:$C$27,MATCH(1,(RendicontiTrasmessiBL__2[[#This Row],[Cut percentage on real costs + USC]]&gt;='Weight tables'!$B$24:$B$27)*(RendicontiTrasmessiBL__2[[#This Row],[Cut percentage on real costs + USC]]&lt;='Weight tables'!$C$24:$C$27),0),1)</f>
        <v>0</v>
      </c>
      <c r="W1862" s="2">
        <f>RendicontiTrasmessiBL__2[[#This Row],[Weight real costs  + USC ]]</f>
        <v>0</v>
      </c>
    </row>
    <row r="1863" spans="1:23" x14ac:dyDescent="0.25">
      <c r="A1863" s="1" t="s">
        <v>310</v>
      </c>
      <c r="B1863" s="1" t="s">
        <v>32</v>
      </c>
      <c r="C1863" s="2">
        <v>80</v>
      </c>
      <c r="D1863" s="2">
        <v>338</v>
      </c>
      <c r="E1863" s="1" t="s">
        <v>236</v>
      </c>
      <c r="G1863">
        <v>0</v>
      </c>
      <c r="H1863">
        <v>0</v>
      </c>
      <c r="I1863">
        <v>0</v>
      </c>
      <c r="J1863">
        <v>0</v>
      </c>
      <c r="K1863">
        <v>0</v>
      </c>
      <c r="L1863">
        <v>0</v>
      </c>
      <c r="M1863">
        <v>0</v>
      </c>
      <c r="N1863">
        <v>0</v>
      </c>
      <c r="O1863">
        <v>0</v>
      </c>
      <c r="P1863">
        <v>0</v>
      </c>
      <c r="Q1863" t="str">
        <f>INDEX('Partner data'!A:DH,MATCH(C1863,'Partner data'!DG:DG,0),83)</f>
        <v>Soggetto pubblico</v>
      </c>
      <c r="R1863" t="b">
        <f>IF(E1863="staff",IF(INDEX('Partner data'!A:DH,MATCH(C1863,'Partner data'!DG:DG,0),112)="BL1 non presente","FALSO",INDEX('Partner data'!A:DH,MATCH(C1863,'Partner data'!DG:DG,0),112)))</f>
        <v>0</v>
      </c>
      <c r="S1863" t="b">
        <f t="shared" si="58"/>
        <v>0</v>
      </c>
      <c r="T1863" t="b">
        <f t="shared" si="59"/>
        <v>1</v>
      </c>
      <c r="U1863" s="154">
        <f>IFERROR(IF(R1863&lt;&gt;FALSE,IF(S1863=TRUE,INDEX('SummaryNOT_VALIDATED-BL'!$A$1:$F$16,MATCH(R1863,'SummaryNOT_VALIDATED-BL'!$A$1:$A$16,0),6),0),IF(S1863=TRUE,INDEX('SummaryNOT_VALIDATED-BL'!$A$1:$F$16,MATCH(E1863,'SummaryNOT_VALIDATED-BL'!$A$1:$A$16,0),6),0)),0)</f>
        <v>0</v>
      </c>
      <c r="V1863" s="81" cm="1">
        <f t="array" ref="V1863">INDEX('Weight tables'!$A$24:$C$27,MATCH(1,(RendicontiTrasmessiBL__2[[#This Row],[Cut percentage on real costs + USC]]&gt;='Weight tables'!$B$24:$B$27)*(RendicontiTrasmessiBL__2[[#This Row],[Cut percentage on real costs + USC]]&lt;='Weight tables'!$C$24:$C$27),0),1)</f>
        <v>0</v>
      </c>
      <c r="W1863" s="2">
        <f>RendicontiTrasmessiBL__2[[#This Row],[Weight real costs  + USC ]]</f>
        <v>0</v>
      </c>
    </row>
    <row r="1864" spans="1:23" x14ac:dyDescent="0.25">
      <c r="A1864" s="1" t="s">
        <v>310</v>
      </c>
      <c r="B1864" s="1" t="s">
        <v>32</v>
      </c>
      <c r="C1864" s="2">
        <v>80</v>
      </c>
      <c r="D1864" s="2">
        <v>338</v>
      </c>
      <c r="E1864" s="1" t="s">
        <v>237</v>
      </c>
      <c r="G1864">
        <v>0</v>
      </c>
      <c r="H1864">
        <v>0</v>
      </c>
      <c r="I1864">
        <v>0</v>
      </c>
      <c r="J1864">
        <v>0</v>
      </c>
      <c r="K1864">
        <v>0</v>
      </c>
      <c r="L1864">
        <v>0</v>
      </c>
      <c r="M1864">
        <v>0</v>
      </c>
      <c r="N1864">
        <v>0</v>
      </c>
      <c r="O1864">
        <v>0</v>
      </c>
      <c r="P1864">
        <v>0</v>
      </c>
      <c r="Q1864" t="str">
        <f>INDEX('Partner data'!A:DH,MATCH(C1864,'Partner data'!DG:DG,0),83)</f>
        <v>Soggetto pubblico</v>
      </c>
      <c r="R1864" t="b">
        <f>IF(E1864="staff",IF(INDEX('Partner data'!A:DH,MATCH(C1864,'Partner data'!DG:DG,0),112)="BL1 non presente","FALSO",INDEX('Partner data'!A:DH,MATCH(C1864,'Partner data'!DG:DG,0),112)))</f>
        <v>0</v>
      </c>
      <c r="S1864" t="b">
        <f t="shared" si="58"/>
        <v>0</v>
      </c>
      <c r="T1864" t="b">
        <f t="shared" si="59"/>
        <v>1</v>
      </c>
      <c r="U1864" s="154">
        <f>IFERROR(IF(R1864&lt;&gt;FALSE,IF(S1864=TRUE,INDEX('SummaryNOT_VALIDATED-BL'!$A$1:$F$16,MATCH(R1864,'SummaryNOT_VALIDATED-BL'!$A$1:$A$16,0),6),0),IF(S1864=TRUE,INDEX('SummaryNOT_VALIDATED-BL'!$A$1:$F$16,MATCH(E1864,'SummaryNOT_VALIDATED-BL'!$A$1:$A$16,0),6),0)),0)</f>
        <v>0</v>
      </c>
      <c r="V1864" s="81" cm="1">
        <f t="array" ref="V1864">INDEX('Weight tables'!$A$24:$C$27,MATCH(1,(RendicontiTrasmessiBL__2[[#This Row],[Cut percentage on real costs + USC]]&gt;='Weight tables'!$B$24:$B$27)*(RendicontiTrasmessiBL__2[[#This Row],[Cut percentage on real costs + USC]]&lt;='Weight tables'!$C$24:$C$27),0),1)</f>
        <v>0</v>
      </c>
      <c r="W1864" s="2">
        <f>RendicontiTrasmessiBL__2[[#This Row],[Weight real costs  + USC ]]</f>
        <v>0</v>
      </c>
    </row>
    <row r="1865" spans="1:23" x14ac:dyDescent="0.25">
      <c r="A1865" s="1" t="s">
        <v>310</v>
      </c>
      <c r="B1865" s="1" t="s">
        <v>32</v>
      </c>
      <c r="C1865" s="2">
        <v>80</v>
      </c>
      <c r="D1865" s="2">
        <v>86</v>
      </c>
      <c r="E1865" s="1" t="s">
        <v>228</v>
      </c>
      <c r="G1865">
        <v>92644</v>
      </c>
      <c r="H1865">
        <v>0</v>
      </c>
      <c r="I1865">
        <v>0</v>
      </c>
      <c r="J1865">
        <v>9352</v>
      </c>
      <c r="K1865">
        <v>0</v>
      </c>
      <c r="L1865">
        <v>9352</v>
      </c>
      <c r="M1865">
        <v>9352</v>
      </c>
      <c r="N1865">
        <v>10.09</v>
      </c>
      <c r="O1865">
        <v>83292</v>
      </c>
      <c r="P1865">
        <v>0</v>
      </c>
      <c r="Q1865" t="str">
        <f>INDEX('Partner data'!A:DH,MATCH(C1865,'Partner data'!DG:DG,0),83)</f>
        <v>Soggetto pubblico</v>
      </c>
      <c r="R1865" t="str">
        <f>IF(E1865="staff",IF(INDEX('Partner data'!A:DH,MATCH(C1865,'Partner data'!DG:DG,0),112)="BL1 non presente","FALSO",INDEX('Partner data'!A:DH,MATCH(C1865,'Partner data'!DG:DG,0),112)))</f>
        <v>Costo Unitario Standard</v>
      </c>
      <c r="S1865" t="b">
        <f t="shared" si="58"/>
        <v>1</v>
      </c>
      <c r="T1865" t="b">
        <f t="shared" si="59"/>
        <v>1</v>
      </c>
      <c r="U1865" s="154">
        <f>IFERROR(IF(R1865&lt;&gt;FALSE,IF(S1865=TRUE,INDEX('SummaryNOT_VALIDATED-BL'!$A$1:$F$16,MATCH(R1865,'SummaryNOT_VALIDATED-BL'!$A$1:$A$16,0),6),0),IF(S1865=TRUE,INDEX('SummaryNOT_VALIDATED-BL'!$A$1:$F$16,MATCH(E1865,'SummaryNOT_VALIDATED-BL'!$A$1:$A$16,0),6),0)),0)</f>
        <v>3.2052879635441428E-2</v>
      </c>
      <c r="V1865" s="81" cm="1">
        <f t="array" ref="V1865">INDEX('Weight tables'!$A$24:$C$27,MATCH(1,(RendicontiTrasmessiBL__2[[#This Row],[Cut percentage on real costs + USC]]&gt;='Weight tables'!$B$24:$B$27)*(RendicontiTrasmessiBL__2[[#This Row],[Cut percentage on real costs + USC]]&lt;='Weight tables'!$C$24:$C$27),0),1)</f>
        <v>2</v>
      </c>
      <c r="W1865" s="2">
        <f>RendicontiTrasmessiBL__2[[#This Row],[Weight real costs  + USC ]]</f>
        <v>2</v>
      </c>
    </row>
    <row r="1866" spans="1:23" x14ac:dyDescent="0.25">
      <c r="A1866" s="1" t="s">
        <v>310</v>
      </c>
      <c r="B1866" s="1" t="s">
        <v>32</v>
      </c>
      <c r="C1866" s="2">
        <v>80</v>
      </c>
      <c r="D1866" s="2">
        <v>86</v>
      </c>
      <c r="E1866" s="1" t="s">
        <v>229</v>
      </c>
      <c r="F1866">
        <v>15</v>
      </c>
      <c r="G1866">
        <v>13896.6</v>
      </c>
      <c r="H1866">
        <v>0</v>
      </c>
      <c r="I1866">
        <v>0</v>
      </c>
      <c r="J1866">
        <v>1402.8</v>
      </c>
      <c r="K1866">
        <v>0</v>
      </c>
      <c r="L1866">
        <v>1402.8</v>
      </c>
      <c r="M1866">
        <v>1402.8</v>
      </c>
      <c r="N1866">
        <v>10.09</v>
      </c>
      <c r="O1866">
        <v>12493.8</v>
      </c>
      <c r="P1866">
        <v>0</v>
      </c>
      <c r="Q1866" t="str">
        <f>INDEX('Partner data'!A:DH,MATCH(C1866,'Partner data'!DG:DG,0),83)</f>
        <v>Soggetto pubblico</v>
      </c>
      <c r="R1866" t="b">
        <f>IF(E1866="staff",IF(INDEX('Partner data'!A:DH,MATCH(C1866,'Partner data'!DG:DG,0),112)="BL1 non presente","FALSO",INDEX('Partner data'!A:DH,MATCH(C1866,'Partner data'!DG:DG,0),112)))</f>
        <v>0</v>
      </c>
      <c r="S1866" t="b">
        <f t="shared" si="58"/>
        <v>1</v>
      </c>
      <c r="T1866" t="b">
        <f t="shared" si="59"/>
        <v>1</v>
      </c>
      <c r="U1866" s="154">
        <f>IFERROR(IF(R1866&lt;&gt;FALSE,IF(S1866=TRUE,INDEX('SummaryNOT_VALIDATED-BL'!$A$1:$F$16,MATCH(R1866,'SummaryNOT_VALIDATED-BL'!$A$1:$A$16,0),6),0),IF(S1866=TRUE,INDEX('SummaryNOT_VALIDATED-BL'!$A$1:$F$16,MATCH(E1866,'SummaryNOT_VALIDATED-BL'!$A$1:$A$16,0),6),0)),0)</f>
        <v>6.6460469504890221E-2</v>
      </c>
      <c r="V1866" s="81" cm="1">
        <f t="array" ref="V1866">INDEX('Weight tables'!$A$24:$C$27,MATCH(1,(RendicontiTrasmessiBL__2[[#This Row],[Cut percentage on real costs + USC]]&gt;='Weight tables'!$B$24:$B$27)*(RendicontiTrasmessiBL__2[[#This Row],[Cut percentage on real costs + USC]]&lt;='Weight tables'!$C$24:$C$27),0),1)</f>
        <v>4</v>
      </c>
      <c r="W1866" s="2">
        <f>RendicontiTrasmessiBL__2[[#This Row],[Weight real costs  + USC ]]</f>
        <v>4</v>
      </c>
    </row>
    <row r="1867" spans="1:23" x14ac:dyDescent="0.25">
      <c r="A1867" s="1" t="s">
        <v>310</v>
      </c>
      <c r="B1867" s="1" t="s">
        <v>32</v>
      </c>
      <c r="C1867" s="2">
        <v>80</v>
      </c>
      <c r="D1867" s="2">
        <v>86</v>
      </c>
      <c r="E1867" s="1" t="s">
        <v>230</v>
      </c>
      <c r="F1867">
        <v>4</v>
      </c>
      <c r="G1867">
        <v>3705.76</v>
      </c>
      <c r="H1867">
        <v>0</v>
      </c>
      <c r="I1867">
        <v>0</v>
      </c>
      <c r="J1867">
        <v>374.08</v>
      </c>
      <c r="K1867">
        <v>0</v>
      </c>
      <c r="L1867">
        <v>374.08</v>
      </c>
      <c r="M1867">
        <v>374.08</v>
      </c>
      <c r="N1867">
        <v>10.09</v>
      </c>
      <c r="O1867">
        <v>3331.68</v>
      </c>
      <c r="P1867">
        <v>0</v>
      </c>
      <c r="Q1867" t="str">
        <f>INDEX('Partner data'!A:DH,MATCH(C1867,'Partner data'!DG:DG,0),83)</f>
        <v>Soggetto pubblico</v>
      </c>
      <c r="R1867" t="b">
        <f>IF(E1867="staff",IF(INDEX('Partner data'!A:DH,MATCH(C1867,'Partner data'!DG:DG,0),112)="BL1 non presente","FALSO",INDEX('Partner data'!A:DH,MATCH(C1867,'Partner data'!DG:DG,0),112)))</f>
        <v>0</v>
      </c>
      <c r="S1867" t="b">
        <f t="shared" si="58"/>
        <v>1</v>
      </c>
      <c r="T1867" t="b">
        <f t="shared" si="59"/>
        <v>1</v>
      </c>
      <c r="U1867" s="154">
        <f>IFERROR(IF(R1867&lt;&gt;FALSE,IF(S1867=TRUE,INDEX('SummaryNOT_VALIDATED-BL'!$A$1:$F$16,MATCH(R1867,'SummaryNOT_VALIDATED-BL'!$A$1:$A$16,0),6),0),IF(S1867=TRUE,INDEX('SummaryNOT_VALIDATED-BL'!$A$1:$F$16,MATCH(E1867,'SummaryNOT_VALIDATED-BL'!$A$1:$A$16,0),6),0)),0)</f>
        <v>6.3112622236488891E-2</v>
      </c>
      <c r="V1867" s="81" cm="1">
        <f t="array" ref="V1867">INDEX('Weight tables'!$A$24:$C$27,MATCH(1,(RendicontiTrasmessiBL__2[[#This Row],[Cut percentage on real costs + USC]]&gt;='Weight tables'!$B$24:$B$27)*(RendicontiTrasmessiBL__2[[#This Row],[Cut percentage on real costs + USC]]&lt;='Weight tables'!$C$24:$C$27),0),1)</f>
        <v>4</v>
      </c>
      <c r="W1867" s="2">
        <f>RendicontiTrasmessiBL__2[[#This Row],[Weight real costs  + USC ]]</f>
        <v>4</v>
      </c>
    </row>
    <row r="1868" spans="1:23" x14ac:dyDescent="0.25">
      <c r="A1868" s="1" t="s">
        <v>310</v>
      </c>
      <c r="B1868" s="1" t="s">
        <v>32</v>
      </c>
      <c r="C1868" s="2">
        <v>80</v>
      </c>
      <c r="D1868" s="2">
        <v>86</v>
      </c>
      <c r="E1868" s="1" t="s">
        <v>231</v>
      </c>
      <c r="G1868">
        <v>33000</v>
      </c>
      <c r="H1868">
        <v>0</v>
      </c>
      <c r="I1868">
        <v>0</v>
      </c>
      <c r="J1868">
        <v>0</v>
      </c>
      <c r="K1868">
        <v>0</v>
      </c>
      <c r="L1868">
        <v>0</v>
      </c>
      <c r="M1868">
        <v>0</v>
      </c>
      <c r="N1868">
        <v>0</v>
      </c>
      <c r="O1868">
        <v>33000</v>
      </c>
      <c r="P1868">
        <v>0</v>
      </c>
      <c r="Q1868" t="str">
        <f>INDEX('Partner data'!A:DH,MATCH(C1868,'Partner data'!DG:DG,0),83)</f>
        <v>Soggetto pubblico</v>
      </c>
      <c r="R1868" t="b">
        <f>IF(E1868="staff",IF(INDEX('Partner data'!A:DH,MATCH(C1868,'Partner data'!DG:DG,0),112)="BL1 non presente","FALSO",INDEX('Partner data'!A:DH,MATCH(C1868,'Partner data'!DG:DG,0),112)))</f>
        <v>0</v>
      </c>
      <c r="S1868" t="b">
        <f t="shared" si="58"/>
        <v>0</v>
      </c>
      <c r="T1868" t="b">
        <f t="shared" si="59"/>
        <v>1</v>
      </c>
      <c r="U1868" s="154">
        <f>IFERROR(IF(R1868&lt;&gt;FALSE,IF(S1868=TRUE,INDEX('SummaryNOT_VALIDATED-BL'!$A$1:$F$16,MATCH(R1868,'SummaryNOT_VALIDATED-BL'!$A$1:$A$16,0),6),0),IF(S1868=TRUE,INDEX('SummaryNOT_VALIDATED-BL'!$A$1:$F$16,MATCH(E1868,'SummaryNOT_VALIDATED-BL'!$A$1:$A$16,0),6),0)),0)</f>
        <v>0</v>
      </c>
      <c r="V1868" s="81" cm="1">
        <f t="array" ref="V1868">INDEX('Weight tables'!$A$24:$C$27,MATCH(1,(RendicontiTrasmessiBL__2[[#This Row],[Cut percentage on real costs + USC]]&gt;='Weight tables'!$B$24:$B$27)*(RendicontiTrasmessiBL__2[[#This Row],[Cut percentage on real costs + USC]]&lt;='Weight tables'!$C$24:$C$27),0),1)</f>
        <v>0</v>
      </c>
      <c r="W1868" s="2">
        <f>RendicontiTrasmessiBL__2[[#This Row],[Weight real costs  + USC ]]</f>
        <v>0</v>
      </c>
    </row>
    <row r="1869" spans="1:23" x14ac:dyDescent="0.25">
      <c r="A1869" s="1" t="s">
        <v>310</v>
      </c>
      <c r="B1869" s="1" t="s">
        <v>32</v>
      </c>
      <c r="C1869" s="2">
        <v>80</v>
      </c>
      <c r="D1869" s="2">
        <v>86</v>
      </c>
      <c r="E1869" s="1" t="s">
        <v>232</v>
      </c>
      <c r="G1869">
        <v>7000</v>
      </c>
      <c r="H1869">
        <v>0</v>
      </c>
      <c r="I1869">
        <v>0</v>
      </c>
      <c r="J1869">
        <v>0</v>
      </c>
      <c r="K1869">
        <v>0</v>
      </c>
      <c r="L1869">
        <v>0</v>
      </c>
      <c r="M1869">
        <v>0</v>
      </c>
      <c r="N1869">
        <v>0</v>
      </c>
      <c r="O1869">
        <v>7000</v>
      </c>
      <c r="P1869">
        <v>0</v>
      </c>
      <c r="Q1869" t="str">
        <f>INDEX('Partner data'!A:DH,MATCH(C1869,'Partner data'!DG:DG,0),83)</f>
        <v>Soggetto pubblico</v>
      </c>
      <c r="R1869" t="b">
        <f>IF(E1869="staff",IF(INDEX('Partner data'!A:DH,MATCH(C1869,'Partner data'!DG:DG,0),112)="BL1 non presente","FALSO",INDEX('Partner data'!A:DH,MATCH(C1869,'Partner data'!DG:DG,0),112)))</f>
        <v>0</v>
      </c>
      <c r="S1869" t="b">
        <f t="shared" si="58"/>
        <v>0</v>
      </c>
      <c r="T1869" t="b">
        <f t="shared" si="59"/>
        <v>1</v>
      </c>
      <c r="U1869" s="154">
        <f>IFERROR(IF(R1869&lt;&gt;FALSE,IF(S1869=TRUE,INDEX('SummaryNOT_VALIDATED-BL'!$A$1:$F$16,MATCH(R1869,'SummaryNOT_VALIDATED-BL'!$A$1:$A$16,0),6),0),IF(S1869=TRUE,INDEX('SummaryNOT_VALIDATED-BL'!$A$1:$F$16,MATCH(E1869,'SummaryNOT_VALIDATED-BL'!$A$1:$A$16,0),6),0)),0)</f>
        <v>0</v>
      </c>
      <c r="V1869" s="81" cm="1">
        <f t="array" ref="V1869">INDEX('Weight tables'!$A$24:$C$27,MATCH(1,(RendicontiTrasmessiBL__2[[#This Row],[Cut percentage on real costs + USC]]&gt;='Weight tables'!$B$24:$B$27)*(RendicontiTrasmessiBL__2[[#This Row],[Cut percentage on real costs + USC]]&lt;='Weight tables'!$C$24:$C$27),0),1)</f>
        <v>0</v>
      </c>
      <c r="W1869" s="2">
        <f>RendicontiTrasmessiBL__2[[#This Row],[Weight real costs  + USC ]]</f>
        <v>0</v>
      </c>
    </row>
    <row r="1870" spans="1:23" x14ac:dyDescent="0.25">
      <c r="A1870" s="1" t="s">
        <v>310</v>
      </c>
      <c r="B1870" s="1" t="s">
        <v>32</v>
      </c>
      <c r="C1870" s="2">
        <v>80</v>
      </c>
      <c r="D1870" s="2">
        <v>86</v>
      </c>
      <c r="E1870" s="1" t="s">
        <v>233</v>
      </c>
      <c r="G1870">
        <v>0</v>
      </c>
      <c r="H1870">
        <v>0</v>
      </c>
      <c r="I1870">
        <v>0</v>
      </c>
      <c r="J1870">
        <v>0</v>
      </c>
      <c r="K1870">
        <v>0</v>
      </c>
      <c r="L1870">
        <v>0</v>
      </c>
      <c r="M1870">
        <v>0</v>
      </c>
      <c r="N1870">
        <v>0</v>
      </c>
      <c r="O1870">
        <v>0</v>
      </c>
      <c r="P1870">
        <v>0</v>
      </c>
      <c r="Q1870" t="str">
        <f>INDEX('Partner data'!A:DH,MATCH(C1870,'Partner data'!DG:DG,0),83)</f>
        <v>Soggetto pubblico</v>
      </c>
      <c r="R1870" t="b">
        <f>IF(E1870="staff",IF(INDEX('Partner data'!A:DH,MATCH(C1870,'Partner data'!DG:DG,0),112)="BL1 non presente","FALSO",INDEX('Partner data'!A:DH,MATCH(C1870,'Partner data'!DG:DG,0),112)))</f>
        <v>0</v>
      </c>
      <c r="S1870" t="b">
        <f t="shared" si="58"/>
        <v>0</v>
      </c>
      <c r="T1870" t="b">
        <f t="shared" si="59"/>
        <v>1</v>
      </c>
      <c r="U1870" s="154">
        <f>IFERROR(IF(R1870&lt;&gt;FALSE,IF(S1870=TRUE,INDEX('SummaryNOT_VALIDATED-BL'!$A$1:$F$16,MATCH(R1870,'SummaryNOT_VALIDATED-BL'!$A$1:$A$16,0),6),0),IF(S1870=TRUE,INDEX('SummaryNOT_VALIDATED-BL'!$A$1:$F$16,MATCH(E1870,'SummaryNOT_VALIDATED-BL'!$A$1:$A$16,0),6),0)),0)</f>
        <v>0</v>
      </c>
      <c r="V1870" s="81" cm="1">
        <f t="array" ref="V1870">INDEX('Weight tables'!$A$24:$C$27,MATCH(1,(RendicontiTrasmessiBL__2[[#This Row],[Cut percentage on real costs + USC]]&gt;='Weight tables'!$B$24:$B$27)*(RendicontiTrasmessiBL__2[[#This Row],[Cut percentage on real costs + USC]]&lt;='Weight tables'!$C$24:$C$27),0),1)</f>
        <v>0</v>
      </c>
      <c r="W1870" s="2">
        <f>RendicontiTrasmessiBL__2[[#This Row],[Weight real costs  + USC ]]</f>
        <v>0</v>
      </c>
    </row>
    <row r="1871" spans="1:23" x14ac:dyDescent="0.25">
      <c r="A1871" s="1" t="s">
        <v>310</v>
      </c>
      <c r="B1871" s="1" t="s">
        <v>32</v>
      </c>
      <c r="C1871" s="2">
        <v>80</v>
      </c>
      <c r="D1871" s="2">
        <v>86</v>
      </c>
      <c r="E1871" s="1" t="s">
        <v>234</v>
      </c>
      <c r="G1871">
        <v>0</v>
      </c>
      <c r="H1871">
        <v>0</v>
      </c>
      <c r="I1871">
        <v>0</v>
      </c>
      <c r="J1871">
        <v>0</v>
      </c>
      <c r="K1871">
        <v>0</v>
      </c>
      <c r="L1871">
        <v>0</v>
      </c>
      <c r="M1871">
        <v>0</v>
      </c>
      <c r="N1871">
        <v>0</v>
      </c>
      <c r="O1871">
        <v>0</v>
      </c>
      <c r="P1871">
        <v>0</v>
      </c>
      <c r="Q1871" t="str">
        <f>INDEX('Partner data'!A:DH,MATCH(C1871,'Partner data'!DG:DG,0),83)</f>
        <v>Soggetto pubblico</v>
      </c>
      <c r="R1871" t="b">
        <f>IF(E1871="staff",IF(INDEX('Partner data'!A:DH,MATCH(C1871,'Partner data'!DG:DG,0),112)="BL1 non presente","FALSO",INDEX('Partner data'!A:DH,MATCH(C1871,'Partner data'!DG:DG,0),112)))</f>
        <v>0</v>
      </c>
      <c r="S1871" t="b">
        <f t="shared" si="58"/>
        <v>0</v>
      </c>
      <c r="T1871" t="b">
        <f t="shared" si="59"/>
        <v>1</v>
      </c>
      <c r="U1871" s="154">
        <f>IFERROR(IF(R1871&lt;&gt;FALSE,IF(S1871=TRUE,INDEX('SummaryNOT_VALIDATED-BL'!$A$1:$F$16,MATCH(R1871,'SummaryNOT_VALIDATED-BL'!$A$1:$A$16,0),6),0),IF(S1871=TRUE,INDEX('SummaryNOT_VALIDATED-BL'!$A$1:$F$16,MATCH(E1871,'SummaryNOT_VALIDATED-BL'!$A$1:$A$16,0),6),0)),0)</f>
        <v>0</v>
      </c>
      <c r="V1871" s="81" cm="1">
        <f t="array" ref="V1871">INDEX('Weight tables'!$A$24:$C$27,MATCH(1,(RendicontiTrasmessiBL__2[[#This Row],[Cut percentage on real costs + USC]]&gt;='Weight tables'!$B$24:$B$27)*(RendicontiTrasmessiBL__2[[#This Row],[Cut percentage on real costs + USC]]&lt;='Weight tables'!$C$24:$C$27),0),1)</f>
        <v>0</v>
      </c>
      <c r="W1871" s="2">
        <f>RendicontiTrasmessiBL__2[[#This Row],[Weight real costs  + USC ]]</f>
        <v>0</v>
      </c>
    </row>
    <row r="1872" spans="1:23" x14ac:dyDescent="0.25">
      <c r="A1872" s="1" t="s">
        <v>310</v>
      </c>
      <c r="B1872" s="1" t="s">
        <v>32</v>
      </c>
      <c r="C1872" s="2">
        <v>80</v>
      </c>
      <c r="D1872" s="2">
        <v>86</v>
      </c>
      <c r="E1872" s="1" t="s">
        <v>236</v>
      </c>
      <c r="G1872">
        <v>0</v>
      </c>
      <c r="H1872">
        <v>0</v>
      </c>
      <c r="I1872">
        <v>0</v>
      </c>
      <c r="J1872">
        <v>0</v>
      </c>
      <c r="K1872">
        <v>0</v>
      </c>
      <c r="L1872">
        <v>0</v>
      </c>
      <c r="M1872">
        <v>0</v>
      </c>
      <c r="N1872">
        <v>0</v>
      </c>
      <c r="O1872">
        <v>0</v>
      </c>
      <c r="P1872">
        <v>0</v>
      </c>
      <c r="Q1872" t="str">
        <f>INDEX('Partner data'!A:DH,MATCH(C1872,'Partner data'!DG:DG,0),83)</f>
        <v>Soggetto pubblico</v>
      </c>
      <c r="R1872" t="b">
        <f>IF(E1872="staff",IF(INDEX('Partner data'!A:DH,MATCH(C1872,'Partner data'!DG:DG,0),112)="BL1 non presente","FALSO",INDEX('Partner data'!A:DH,MATCH(C1872,'Partner data'!DG:DG,0),112)))</f>
        <v>0</v>
      </c>
      <c r="S1872" t="b">
        <f t="shared" si="58"/>
        <v>0</v>
      </c>
      <c r="T1872" t="b">
        <f t="shared" si="59"/>
        <v>1</v>
      </c>
      <c r="U1872" s="154">
        <f>IFERROR(IF(R1872&lt;&gt;FALSE,IF(S1872=TRUE,INDEX('SummaryNOT_VALIDATED-BL'!$A$1:$F$16,MATCH(R1872,'SummaryNOT_VALIDATED-BL'!$A$1:$A$16,0),6),0),IF(S1872=TRUE,INDEX('SummaryNOT_VALIDATED-BL'!$A$1:$F$16,MATCH(E1872,'SummaryNOT_VALIDATED-BL'!$A$1:$A$16,0),6),0)),0)</f>
        <v>0</v>
      </c>
      <c r="V1872" s="81" cm="1">
        <f t="array" ref="V1872">INDEX('Weight tables'!$A$24:$C$27,MATCH(1,(RendicontiTrasmessiBL__2[[#This Row],[Cut percentage on real costs + USC]]&gt;='Weight tables'!$B$24:$B$27)*(RendicontiTrasmessiBL__2[[#This Row],[Cut percentage on real costs + USC]]&lt;='Weight tables'!$C$24:$C$27),0),1)</f>
        <v>0</v>
      </c>
      <c r="W1872" s="2">
        <f>RendicontiTrasmessiBL__2[[#This Row],[Weight real costs  + USC ]]</f>
        <v>0</v>
      </c>
    </row>
    <row r="1873" spans="1:23" x14ac:dyDescent="0.25">
      <c r="A1873" s="1" t="s">
        <v>310</v>
      </c>
      <c r="B1873" s="1" t="s">
        <v>32</v>
      </c>
      <c r="C1873" s="2">
        <v>80</v>
      </c>
      <c r="D1873" s="2">
        <v>86</v>
      </c>
      <c r="E1873" s="1" t="s">
        <v>237</v>
      </c>
      <c r="G1873">
        <v>0</v>
      </c>
      <c r="H1873">
        <v>0</v>
      </c>
      <c r="I1873">
        <v>0</v>
      </c>
      <c r="J1873">
        <v>0</v>
      </c>
      <c r="K1873">
        <v>0</v>
      </c>
      <c r="L1873">
        <v>0</v>
      </c>
      <c r="M1873">
        <v>0</v>
      </c>
      <c r="N1873">
        <v>0</v>
      </c>
      <c r="O1873">
        <v>0</v>
      </c>
      <c r="P1873">
        <v>0</v>
      </c>
      <c r="Q1873" t="str">
        <f>INDEX('Partner data'!A:DH,MATCH(C1873,'Partner data'!DG:DG,0),83)</f>
        <v>Soggetto pubblico</v>
      </c>
      <c r="R1873" t="b">
        <f>IF(E1873="staff",IF(INDEX('Partner data'!A:DH,MATCH(C1873,'Partner data'!DG:DG,0),112)="BL1 non presente","FALSO",INDEX('Partner data'!A:DH,MATCH(C1873,'Partner data'!DG:DG,0),112)))</f>
        <v>0</v>
      </c>
      <c r="S1873" t="b">
        <f t="shared" si="58"/>
        <v>0</v>
      </c>
      <c r="T1873" t="b">
        <f t="shared" si="59"/>
        <v>1</v>
      </c>
      <c r="U1873" s="154">
        <f>IFERROR(IF(R1873&lt;&gt;FALSE,IF(S1873=TRUE,INDEX('SummaryNOT_VALIDATED-BL'!$A$1:$F$16,MATCH(R1873,'SummaryNOT_VALIDATED-BL'!$A$1:$A$16,0),6),0),IF(S1873=TRUE,INDEX('SummaryNOT_VALIDATED-BL'!$A$1:$F$16,MATCH(E1873,'SummaryNOT_VALIDATED-BL'!$A$1:$A$16,0),6),0)),0)</f>
        <v>0</v>
      </c>
      <c r="V1873" s="81" cm="1">
        <f t="array" ref="V1873">INDEX('Weight tables'!$A$24:$C$27,MATCH(1,(RendicontiTrasmessiBL__2[[#This Row],[Cut percentage on real costs + USC]]&gt;='Weight tables'!$B$24:$B$27)*(RendicontiTrasmessiBL__2[[#This Row],[Cut percentage on real costs + USC]]&lt;='Weight tables'!$C$24:$C$27),0),1)</f>
        <v>0</v>
      </c>
      <c r="W1873" s="2">
        <f>RendicontiTrasmessiBL__2[[#This Row],[Weight real costs  + USC ]]</f>
        <v>0</v>
      </c>
    </row>
    <row r="1874" spans="1:23" x14ac:dyDescent="0.25">
      <c r="A1874" s="1" t="s">
        <v>310</v>
      </c>
      <c r="B1874" s="1" t="s">
        <v>38</v>
      </c>
      <c r="C1874" s="2">
        <v>182</v>
      </c>
      <c r="D1874" s="2">
        <v>154</v>
      </c>
      <c r="E1874" s="1" t="s">
        <v>228</v>
      </c>
      <c r="G1874">
        <v>99289.77</v>
      </c>
      <c r="H1874">
        <v>12777.24</v>
      </c>
      <c r="I1874">
        <v>0</v>
      </c>
      <c r="J1874">
        <v>23762.69</v>
      </c>
      <c r="K1874">
        <v>0</v>
      </c>
      <c r="L1874">
        <v>23111.98</v>
      </c>
      <c r="M1874">
        <v>36539.93</v>
      </c>
      <c r="N1874">
        <v>36.799999999999997</v>
      </c>
      <c r="O1874">
        <v>62749.84</v>
      </c>
      <c r="P1874">
        <v>0</v>
      </c>
      <c r="Q1874" t="str">
        <f>INDEX('Partner data'!A:DH,MATCH(C1874,'Partner data'!DG:DG,0),83)</f>
        <v>Soggetto pubblico</v>
      </c>
      <c r="R1874" t="str">
        <f>IF(E1874="staff",IF(INDEX('Partner data'!A:DH,MATCH(C1874,'Partner data'!DG:DG,0),112)="BL1 non presente","FALSO",INDEX('Partner data'!A:DH,MATCH(C1874,'Partner data'!DG:DG,0),112)))</f>
        <v>COSTO REALE</v>
      </c>
      <c r="S1874" t="b">
        <f t="shared" si="58"/>
        <v>1</v>
      </c>
      <c r="T1874" t="b">
        <f t="shared" si="59"/>
        <v>1</v>
      </c>
      <c r="U1874" s="154">
        <f>IFERROR(IF(R1874&lt;&gt;FALSE,IF(S1874=TRUE,INDEX('SummaryNOT_VALIDATED-BL'!$A$1:$F$16,MATCH(R1874,'SummaryNOT_VALIDATED-BL'!$A$1:$A$16,0),6),0),IF(S1874=TRUE,INDEX('SummaryNOT_VALIDATED-BL'!$A$1:$F$16,MATCH(E1874,'SummaryNOT_VALIDATED-BL'!$A$1:$A$16,0),6),0)),0)</f>
        <v>9.1604133276901048E-2</v>
      </c>
      <c r="V1874" s="81" cm="1">
        <f t="array" ref="V1874">INDEX('Weight tables'!$A$24:$C$27,MATCH(1,(RendicontiTrasmessiBL__2[[#This Row],[Cut percentage on real costs + USC]]&gt;='Weight tables'!$B$24:$B$27)*(RendicontiTrasmessiBL__2[[#This Row],[Cut percentage on real costs + USC]]&lt;='Weight tables'!$C$24:$C$27),0),1)</f>
        <v>4</v>
      </c>
      <c r="W1874" s="2">
        <f>RendicontiTrasmessiBL__2[[#This Row],[Weight real costs  + USC ]]</f>
        <v>4</v>
      </c>
    </row>
    <row r="1875" spans="1:23" x14ac:dyDescent="0.25">
      <c r="A1875" s="1" t="s">
        <v>310</v>
      </c>
      <c r="B1875" s="1" t="s">
        <v>38</v>
      </c>
      <c r="C1875" s="2">
        <v>182</v>
      </c>
      <c r="D1875" s="2">
        <v>154</v>
      </c>
      <c r="E1875" s="1" t="s">
        <v>229</v>
      </c>
      <c r="F1875">
        <v>15</v>
      </c>
      <c r="G1875">
        <v>14893.46</v>
      </c>
      <c r="H1875">
        <v>1916.58</v>
      </c>
      <c r="I1875">
        <v>0</v>
      </c>
      <c r="J1875">
        <v>3564.4</v>
      </c>
      <c r="K1875">
        <v>0</v>
      </c>
      <c r="L1875">
        <v>3466.79</v>
      </c>
      <c r="M1875">
        <v>5480.98</v>
      </c>
      <c r="N1875">
        <v>36.799999999999997</v>
      </c>
      <c r="O1875">
        <v>9412.48</v>
      </c>
      <c r="P1875">
        <v>0</v>
      </c>
      <c r="Q1875" t="str">
        <f>INDEX('Partner data'!A:DH,MATCH(C1875,'Partner data'!DG:DG,0),83)</f>
        <v>Soggetto pubblico</v>
      </c>
      <c r="R1875" t="b">
        <f>IF(E1875="staff",IF(INDEX('Partner data'!A:DH,MATCH(C1875,'Partner data'!DG:DG,0),112)="BL1 non presente","FALSO",INDEX('Partner data'!A:DH,MATCH(C1875,'Partner data'!DG:DG,0),112)))</f>
        <v>0</v>
      </c>
      <c r="S1875" t="b">
        <f t="shared" si="58"/>
        <v>1</v>
      </c>
      <c r="T1875" t="b">
        <f t="shared" si="59"/>
        <v>1</v>
      </c>
      <c r="U1875" s="154">
        <f>IFERROR(IF(R1875&lt;&gt;FALSE,IF(S1875=TRUE,INDEX('SummaryNOT_VALIDATED-BL'!$A$1:$F$16,MATCH(R1875,'SummaryNOT_VALIDATED-BL'!$A$1:$A$16,0),6),0),IF(S1875=TRUE,INDEX('SummaryNOT_VALIDATED-BL'!$A$1:$F$16,MATCH(E1875,'SummaryNOT_VALIDATED-BL'!$A$1:$A$16,0),6),0)),0)</f>
        <v>6.6460469504890221E-2</v>
      </c>
      <c r="V1875" s="81" cm="1">
        <f t="array" ref="V1875">INDEX('Weight tables'!$A$24:$C$27,MATCH(1,(RendicontiTrasmessiBL__2[[#This Row],[Cut percentage on real costs + USC]]&gt;='Weight tables'!$B$24:$B$27)*(RendicontiTrasmessiBL__2[[#This Row],[Cut percentage on real costs + USC]]&lt;='Weight tables'!$C$24:$C$27),0),1)</f>
        <v>4</v>
      </c>
      <c r="W1875" s="2">
        <f>RendicontiTrasmessiBL__2[[#This Row],[Weight real costs  + USC ]]</f>
        <v>4</v>
      </c>
    </row>
    <row r="1876" spans="1:23" x14ac:dyDescent="0.25">
      <c r="A1876" s="1" t="s">
        <v>310</v>
      </c>
      <c r="B1876" s="1" t="s">
        <v>38</v>
      </c>
      <c r="C1876" s="2">
        <v>182</v>
      </c>
      <c r="D1876" s="2">
        <v>154</v>
      </c>
      <c r="E1876" s="1" t="s">
        <v>230</v>
      </c>
      <c r="F1876">
        <v>4</v>
      </c>
      <c r="G1876">
        <v>3971.59</v>
      </c>
      <c r="H1876">
        <v>511.08</v>
      </c>
      <c r="I1876">
        <v>0</v>
      </c>
      <c r="J1876">
        <v>950.5</v>
      </c>
      <c r="K1876">
        <v>0</v>
      </c>
      <c r="L1876">
        <v>924.47</v>
      </c>
      <c r="M1876">
        <v>1461.58</v>
      </c>
      <c r="N1876">
        <v>36.799999999999997</v>
      </c>
      <c r="O1876">
        <v>2510.0100000000002</v>
      </c>
      <c r="P1876">
        <v>0</v>
      </c>
      <c r="Q1876" t="str">
        <f>INDEX('Partner data'!A:DH,MATCH(C1876,'Partner data'!DG:DG,0),83)</f>
        <v>Soggetto pubblico</v>
      </c>
      <c r="R1876" t="b">
        <f>IF(E1876="staff",IF(INDEX('Partner data'!A:DH,MATCH(C1876,'Partner data'!DG:DG,0),112)="BL1 non presente","FALSO",INDEX('Partner data'!A:DH,MATCH(C1876,'Partner data'!DG:DG,0),112)))</f>
        <v>0</v>
      </c>
      <c r="S1876" t="b">
        <f t="shared" si="58"/>
        <v>1</v>
      </c>
      <c r="T1876" t="b">
        <f t="shared" si="59"/>
        <v>1</v>
      </c>
      <c r="U1876" s="154">
        <f>IFERROR(IF(R1876&lt;&gt;FALSE,IF(S1876=TRUE,INDEX('SummaryNOT_VALIDATED-BL'!$A$1:$F$16,MATCH(R1876,'SummaryNOT_VALIDATED-BL'!$A$1:$A$16,0),6),0),IF(S1876=TRUE,INDEX('SummaryNOT_VALIDATED-BL'!$A$1:$F$16,MATCH(E1876,'SummaryNOT_VALIDATED-BL'!$A$1:$A$16,0),6),0)),0)</f>
        <v>6.3112622236488891E-2</v>
      </c>
      <c r="V1876" s="81" cm="1">
        <f t="array" ref="V1876">INDEX('Weight tables'!$A$24:$C$27,MATCH(1,(RendicontiTrasmessiBL__2[[#This Row],[Cut percentage on real costs + USC]]&gt;='Weight tables'!$B$24:$B$27)*(RendicontiTrasmessiBL__2[[#This Row],[Cut percentage on real costs + USC]]&lt;='Weight tables'!$C$24:$C$27),0),1)</f>
        <v>4</v>
      </c>
      <c r="W1876" s="2">
        <f>RendicontiTrasmessiBL__2[[#This Row],[Weight real costs  + USC ]]</f>
        <v>4</v>
      </c>
    </row>
    <row r="1877" spans="1:23" x14ac:dyDescent="0.25">
      <c r="A1877" s="1" t="s">
        <v>310</v>
      </c>
      <c r="B1877" s="1" t="s">
        <v>38</v>
      </c>
      <c r="C1877" s="2">
        <v>182</v>
      </c>
      <c r="D1877" s="2">
        <v>154</v>
      </c>
      <c r="E1877" s="1" t="s">
        <v>231</v>
      </c>
      <c r="G1877">
        <v>3500</v>
      </c>
      <c r="H1877">
        <v>0</v>
      </c>
      <c r="I1877">
        <v>0</v>
      </c>
      <c r="J1877">
        <v>42.19</v>
      </c>
      <c r="K1877">
        <v>0</v>
      </c>
      <c r="L1877">
        <v>42.19</v>
      </c>
      <c r="M1877">
        <v>42.19</v>
      </c>
      <c r="N1877">
        <v>1.21</v>
      </c>
      <c r="O1877">
        <v>3457.81</v>
      </c>
      <c r="P1877">
        <v>0</v>
      </c>
      <c r="Q1877" t="str">
        <f>INDEX('Partner data'!A:DH,MATCH(C1877,'Partner data'!DG:DG,0),83)</f>
        <v>Soggetto pubblico</v>
      </c>
      <c r="R1877" t="b">
        <f>IF(E1877="staff",IF(INDEX('Partner data'!A:DH,MATCH(C1877,'Partner data'!DG:DG,0),112)="BL1 non presente","FALSO",INDEX('Partner data'!A:DH,MATCH(C1877,'Partner data'!DG:DG,0),112)))</f>
        <v>0</v>
      </c>
      <c r="S1877" t="b">
        <f t="shared" si="58"/>
        <v>1</v>
      </c>
      <c r="T1877" t="b">
        <f t="shared" si="59"/>
        <v>1</v>
      </c>
      <c r="U1877" s="154">
        <f>IFERROR(IF(R1877&lt;&gt;FALSE,IF(S1877=TRUE,INDEX('SummaryNOT_VALIDATED-BL'!$A$1:$F$16,MATCH(R1877,'SummaryNOT_VALIDATED-BL'!$A$1:$A$16,0),6),0),IF(S1877=TRUE,INDEX('SummaryNOT_VALIDATED-BL'!$A$1:$F$16,MATCH(E1877,'SummaryNOT_VALIDATED-BL'!$A$1:$A$16,0),6),0)),0)</f>
        <v>5.577594442215475E-2</v>
      </c>
      <c r="V1877" s="81" cm="1">
        <f t="array" ref="V1877">INDEX('Weight tables'!$A$24:$C$27,MATCH(1,(RendicontiTrasmessiBL__2[[#This Row],[Cut percentage on real costs + USC]]&gt;='Weight tables'!$B$24:$B$27)*(RendicontiTrasmessiBL__2[[#This Row],[Cut percentage on real costs + USC]]&lt;='Weight tables'!$C$24:$C$27),0),1)</f>
        <v>4</v>
      </c>
      <c r="W1877" s="2">
        <f>RendicontiTrasmessiBL__2[[#This Row],[Weight real costs  + USC ]]</f>
        <v>4</v>
      </c>
    </row>
    <row r="1878" spans="1:23" x14ac:dyDescent="0.25">
      <c r="A1878" s="1" t="s">
        <v>310</v>
      </c>
      <c r="B1878" s="1" t="s">
        <v>38</v>
      </c>
      <c r="C1878" s="2">
        <v>182</v>
      </c>
      <c r="D1878" s="2">
        <v>154</v>
      </c>
      <c r="E1878" s="1" t="s">
        <v>232</v>
      </c>
      <c r="G1878">
        <v>108345.18</v>
      </c>
      <c r="H1878">
        <v>0</v>
      </c>
      <c r="I1878">
        <v>0</v>
      </c>
      <c r="J1878">
        <v>32884.6</v>
      </c>
      <c r="K1878">
        <v>0</v>
      </c>
      <c r="L1878">
        <v>32614.2</v>
      </c>
      <c r="M1878">
        <v>32884.6</v>
      </c>
      <c r="N1878">
        <v>30.35</v>
      </c>
      <c r="O1878">
        <v>75460.58</v>
      </c>
      <c r="P1878">
        <v>0</v>
      </c>
      <c r="Q1878" t="str">
        <f>INDEX('Partner data'!A:DH,MATCH(C1878,'Partner data'!DG:DG,0),83)</f>
        <v>Soggetto pubblico</v>
      </c>
      <c r="R1878" t="b">
        <f>IF(E1878="staff",IF(INDEX('Partner data'!A:DH,MATCH(C1878,'Partner data'!DG:DG,0),112)="BL1 non presente","FALSO",INDEX('Partner data'!A:DH,MATCH(C1878,'Partner data'!DG:DG,0),112)))</f>
        <v>0</v>
      </c>
      <c r="S1878" t="b">
        <f t="shared" si="58"/>
        <v>1</v>
      </c>
      <c r="T1878" t="b">
        <f t="shared" si="59"/>
        <v>1</v>
      </c>
      <c r="U1878" s="154">
        <f>IFERROR(IF(R1878&lt;&gt;FALSE,IF(S1878=TRUE,INDEX('SummaryNOT_VALIDATED-BL'!$A$1:$F$16,MATCH(R1878,'SummaryNOT_VALIDATED-BL'!$A$1:$A$16,0),6),0),IF(S1878=TRUE,INDEX('SummaryNOT_VALIDATED-BL'!$A$1:$F$16,MATCH(E1878,'SummaryNOT_VALIDATED-BL'!$A$1:$A$16,0),6),0)),0)</f>
        <v>1.102169095281242E-2</v>
      </c>
      <c r="V1878" s="81" cm="1">
        <f t="array" ref="V1878">INDEX('Weight tables'!$A$24:$C$27,MATCH(1,(RendicontiTrasmessiBL__2[[#This Row],[Cut percentage on real costs + USC]]&gt;='Weight tables'!$B$24:$B$27)*(RendicontiTrasmessiBL__2[[#This Row],[Cut percentage on real costs + USC]]&lt;='Weight tables'!$C$24:$C$27),0),1)</f>
        <v>0</v>
      </c>
      <c r="W1878" s="2">
        <f>RendicontiTrasmessiBL__2[[#This Row],[Weight real costs  + USC ]]</f>
        <v>0</v>
      </c>
    </row>
    <row r="1879" spans="1:23" x14ac:dyDescent="0.25">
      <c r="A1879" s="1" t="s">
        <v>310</v>
      </c>
      <c r="B1879" s="1" t="s">
        <v>38</v>
      </c>
      <c r="C1879" s="2">
        <v>182</v>
      </c>
      <c r="D1879" s="2">
        <v>154</v>
      </c>
      <c r="E1879" s="1" t="s">
        <v>233</v>
      </c>
      <c r="G1879">
        <v>0</v>
      </c>
      <c r="H1879">
        <v>0</v>
      </c>
      <c r="I1879">
        <v>0</v>
      </c>
      <c r="J1879">
        <v>0</v>
      </c>
      <c r="K1879">
        <v>0</v>
      </c>
      <c r="L1879">
        <v>0</v>
      </c>
      <c r="M1879">
        <v>0</v>
      </c>
      <c r="N1879">
        <v>0</v>
      </c>
      <c r="O1879">
        <v>0</v>
      </c>
      <c r="P1879">
        <v>0</v>
      </c>
      <c r="Q1879" t="str">
        <f>INDEX('Partner data'!A:DH,MATCH(C1879,'Partner data'!DG:DG,0),83)</f>
        <v>Soggetto pubblico</v>
      </c>
      <c r="R1879" t="b">
        <f>IF(E1879="staff",IF(INDEX('Partner data'!A:DH,MATCH(C1879,'Partner data'!DG:DG,0),112)="BL1 non presente","FALSO",INDEX('Partner data'!A:DH,MATCH(C1879,'Partner data'!DG:DG,0),112)))</f>
        <v>0</v>
      </c>
      <c r="S1879" t="b">
        <f t="shared" si="58"/>
        <v>0</v>
      </c>
      <c r="T1879" t="b">
        <f t="shared" si="59"/>
        <v>1</v>
      </c>
      <c r="U1879" s="154">
        <f>IFERROR(IF(R1879&lt;&gt;FALSE,IF(S1879=TRUE,INDEX('SummaryNOT_VALIDATED-BL'!$A$1:$F$16,MATCH(R1879,'SummaryNOT_VALIDATED-BL'!$A$1:$A$16,0),6),0),IF(S1879=TRUE,INDEX('SummaryNOT_VALIDATED-BL'!$A$1:$F$16,MATCH(E1879,'SummaryNOT_VALIDATED-BL'!$A$1:$A$16,0),6),0)),0)</f>
        <v>0</v>
      </c>
      <c r="V1879" s="81" cm="1">
        <f t="array" ref="V1879">INDEX('Weight tables'!$A$24:$C$27,MATCH(1,(RendicontiTrasmessiBL__2[[#This Row],[Cut percentage on real costs + USC]]&gt;='Weight tables'!$B$24:$B$27)*(RendicontiTrasmessiBL__2[[#This Row],[Cut percentage on real costs + USC]]&lt;='Weight tables'!$C$24:$C$27),0),1)</f>
        <v>0</v>
      </c>
      <c r="W1879" s="2">
        <f>RendicontiTrasmessiBL__2[[#This Row],[Weight real costs  + USC ]]</f>
        <v>0</v>
      </c>
    </row>
    <row r="1880" spans="1:23" x14ac:dyDescent="0.25">
      <c r="A1880" s="1" t="s">
        <v>310</v>
      </c>
      <c r="B1880" s="1" t="s">
        <v>38</v>
      </c>
      <c r="C1880" s="2">
        <v>182</v>
      </c>
      <c r="D1880" s="2">
        <v>154</v>
      </c>
      <c r="E1880" s="1" t="s">
        <v>234</v>
      </c>
      <c r="G1880">
        <v>0</v>
      </c>
      <c r="H1880">
        <v>0</v>
      </c>
      <c r="I1880">
        <v>0</v>
      </c>
      <c r="J1880">
        <v>0</v>
      </c>
      <c r="K1880">
        <v>0</v>
      </c>
      <c r="L1880">
        <v>0</v>
      </c>
      <c r="M1880">
        <v>0</v>
      </c>
      <c r="N1880">
        <v>0</v>
      </c>
      <c r="O1880">
        <v>0</v>
      </c>
      <c r="P1880">
        <v>0</v>
      </c>
      <c r="Q1880" t="str">
        <f>INDEX('Partner data'!A:DH,MATCH(C1880,'Partner data'!DG:DG,0),83)</f>
        <v>Soggetto pubblico</v>
      </c>
      <c r="R1880" t="b">
        <f>IF(E1880="staff",IF(INDEX('Partner data'!A:DH,MATCH(C1880,'Partner data'!DG:DG,0),112)="BL1 non presente","FALSO",INDEX('Partner data'!A:DH,MATCH(C1880,'Partner data'!DG:DG,0),112)))</f>
        <v>0</v>
      </c>
      <c r="S1880" t="b">
        <f t="shared" si="58"/>
        <v>0</v>
      </c>
      <c r="T1880" t="b">
        <f t="shared" si="59"/>
        <v>1</v>
      </c>
      <c r="U1880" s="154">
        <f>IFERROR(IF(R1880&lt;&gt;FALSE,IF(S1880=TRUE,INDEX('SummaryNOT_VALIDATED-BL'!$A$1:$F$16,MATCH(R1880,'SummaryNOT_VALIDATED-BL'!$A$1:$A$16,0),6),0),IF(S1880=TRUE,INDEX('SummaryNOT_VALIDATED-BL'!$A$1:$F$16,MATCH(E1880,'SummaryNOT_VALIDATED-BL'!$A$1:$A$16,0),6),0)),0)</f>
        <v>0</v>
      </c>
      <c r="V1880" s="81" cm="1">
        <f t="array" ref="V1880">INDEX('Weight tables'!$A$24:$C$27,MATCH(1,(RendicontiTrasmessiBL__2[[#This Row],[Cut percentage on real costs + USC]]&gt;='Weight tables'!$B$24:$B$27)*(RendicontiTrasmessiBL__2[[#This Row],[Cut percentage on real costs + USC]]&lt;='Weight tables'!$C$24:$C$27),0),1)</f>
        <v>0</v>
      </c>
      <c r="W1880" s="2">
        <f>RendicontiTrasmessiBL__2[[#This Row],[Weight real costs  + USC ]]</f>
        <v>0</v>
      </c>
    </row>
    <row r="1881" spans="1:23" x14ac:dyDescent="0.25">
      <c r="A1881" s="1" t="s">
        <v>310</v>
      </c>
      <c r="B1881" s="1" t="s">
        <v>38</v>
      </c>
      <c r="C1881" s="2">
        <v>182</v>
      </c>
      <c r="D1881" s="2">
        <v>154</v>
      </c>
      <c r="E1881" s="1" t="s">
        <v>236</v>
      </c>
      <c r="G1881">
        <v>0</v>
      </c>
      <c r="H1881">
        <v>0</v>
      </c>
      <c r="I1881">
        <v>0</v>
      </c>
      <c r="J1881">
        <v>0</v>
      </c>
      <c r="K1881">
        <v>0</v>
      </c>
      <c r="L1881">
        <v>0</v>
      </c>
      <c r="M1881">
        <v>0</v>
      </c>
      <c r="N1881">
        <v>0</v>
      </c>
      <c r="O1881">
        <v>0</v>
      </c>
      <c r="P1881">
        <v>0</v>
      </c>
      <c r="Q1881" t="str">
        <f>INDEX('Partner data'!A:DH,MATCH(C1881,'Partner data'!DG:DG,0),83)</f>
        <v>Soggetto pubblico</v>
      </c>
      <c r="R1881" t="b">
        <f>IF(E1881="staff",IF(INDEX('Partner data'!A:DH,MATCH(C1881,'Partner data'!DG:DG,0),112)="BL1 non presente","FALSO",INDEX('Partner data'!A:DH,MATCH(C1881,'Partner data'!DG:DG,0),112)))</f>
        <v>0</v>
      </c>
      <c r="S1881" t="b">
        <f t="shared" si="58"/>
        <v>0</v>
      </c>
      <c r="T1881" t="b">
        <f t="shared" si="59"/>
        <v>1</v>
      </c>
      <c r="U1881" s="154">
        <f>IFERROR(IF(R1881&lt;&gt;FALSE,IF(S1881=TRUE,INDEX('SummaryNOT_VALIDATED-BL'!$A$1:$F$16,MATCH(R1881,'SummaryNOT_VALIDATED-BL'!$A$1:$A$16,0),6),0),IF(S1881=TRUE,INDEX('SummaryNOT_VALIDATED-BL'!$A$1:$F$16,MATCH(E1881,'SummaryNOT_VALIDATED-BL'!$A$1:$A$16,0),6),0)),0)</f>
        <v>0</v>
      </c>
      <c r="V1881" s="81" cm="1">
        <f t="array" ref="V1881">INDEX('Weight tables'!$A$24:$C$27,MATCH(1,(RendicontiTrasmessiBL__2[[#This Row],[Cut percentage on real costs + USC]]&gt;='Weight tables'!$B$24:$B$27)*(RendicontiTrasmessiBL__2[[#This Row],[Cut percentage on real costs + USC]]&lt;='Weight tables'!$C$24:$C$27),0),1)</f>
        <v>0</v>
      </c>
      <c r="W1881" s="2">
        <f>RendicontiTrasmessiBL__2[[#This Row],[Weight real costs  + USC ]]</f>
        <v>0</v>
      </c>
    </row>
    <row r="1882" spans="1:23" x14ac:dyDescent="0.25">
      <c r="A1882" s="1" t="s">
        <v>310</v>
      </c>
      <c r="B1882" s="1" t="s">
        <v>38</v>
      </c>
      <c r="C1882" s="2">
        <v>182</v>
      </c>
      <c r="D1882" s="2">
        <v>154</v>
      </c>
      <c r="E1882" s="1" t="s">
        <v>237</v>
      </c>
      <c r="G1882">
        <v>0</v>
      </c>
      <c r="H1882">
        <v>0</v>
      </c>
      <c r="I1882">
        <v>0</v>
      </c>
      <c r="J1882">
        <v>0</v>
      </c>
      <c r="K1882">
        <v>0</v>
      </c>
      <c r="L1882">
        <v>0</v>
      </c>
      <c r="M1882">
        <v>0</v>
      </c>
      <c r="N1882">
        <v>0</v>
      </c>
      <c r="O1882">
        <v>0</v>
      </c>
      <c r="P1882">
        <v>0</v>
      </c>
      <c r="Q1882" t="str">
        <f>INDEX('Partner data'!A:DH,MATCH(C1882,'Partner data'!DG:DG,0),83)</f>
        <v>Soggetto pubblico</v>
      </c>
      <c r="R1882" t="b">
        <f>IF(E1882="staff",IF(INDEX('Partner data'!A:DH,MATCH(C1882,'Partner data'!DG:DG,0),112)="BL1 non presente","FALSO",INDEX('Partner data'!A:DH,MATCH(C1882,'Partner data'!DG:DG,0),112)))</f>
        <v>0</v>
      </c>
      <c r="S1882" t="b">
        <f t="shared" si="58"/>
        <v>0</v>
      </c>
      <c r="T1882" t="b">
        <f t="shared" si="59"/>
        <v>1</v>
      </c>
      <c r="U1882" s="154">
        <f>IFERROR(IF(R1882&lt;&gt;FALSE,IF(S1882=TRUE,INDEX('SummaryNOT_VALIDATED-BL'!$A$1:$F$16,MATCH(R1882,'SummaryNOT_VALIDATED-BL'!$A$1:$A$16,0),6),0),IF(S1882=TRUE,INDEX('SummaryNOT_VALIDATED-BL'!$A$1:$F$16,MATCH(E1882,'SummaryNOT_VALIDATED-BL'!$A$1:$A$16,0),6),0)),0)</f>
        <v>0</v>
      </c>
      <c r="V1882" s="81" cm="1">
        <f t="array" ref="V1882">INDEX('Weight tables'!$A$24:$C$27,MATCH(1,(RendicontiTrasmessiBL__2[[#This Row],[Cut percentage on real costs + USC]]&gt;='Weight tables'!$B$24:$B$27)*(RendicontiTrasmessiBL__2[[#This Row],[Cut percentage on real costs + USC]]&lt;='Weight tables'!$C$24:$C$27),0),1)</f>
        <v>0</v>
      </c>
      <c r="W1882" s="2">
        <f>RendicontiTrasmessiBL__2[[#This Row],[Weight real costs  + USC ]]</f>
        <v>0</v>
      </c>
    </row>
    <row r="1883" spans="1:23" x14ac:dyDescent="0.25">
      <c r="A1883" s="1" t="s">
        <v>310</v>
      </c>
      <c r="B1883" s="1" t="s">
        <v>38</v>
      </c>
      <c r="C1883" s="2">
        <v>182</v>
      </c>
      <c r="D1883" s="2">
        <v>44</v>
      </c>
      <c r="E1883" s="1" t="s">
        <v>228</v>
      </c>
      <c r="G1883">
        <v>99289.77</v>
      </c>
      <c r="H1883">
        <v>0</v>
      </c>
      <c r="I1883">
        <v>0</v>
      </c>
      <c r="J1883">
        <v>12777.24</v>
      </c>
      <c r="K1883">
        <v>0</v>
      </c>
      <c r="L1883">
        <v>12015.49</v>
      </c>
      <c r="M1883">
        <v>12777.24</v>
      </c>
      <c r="N1883">
        <v>12.87</v>
      </c>
      <c r="O1883">
        <v>86512.53</v>
      </c>
      <c r="P1883">
        <v>0</v>
      </c>
      <c r="Q1883" t="str">
        <f>INDEX('Partner data'!A:DH,MATCH(C1883,'Partner data'!DG:DG,0),83)</f>
        <v>Soggetto pubblico</v>
      </c>
      <c r="R1883" t="str">
        <f>IF(E1883="staff",IF(INDEX('Partner data'!A:DH,MATCH(C1883,'Partner data'!DG:DG,0),112)="BL1 non presente","FALSO",INDEX('Partner data'!A:DH,MATCH(C1883,'Partner data'!DG:DG,0),112)))</f>
        <v>COSTO REALE</v>
      </c>
      <c r="S1883" t="b">
        <f t="shared" si="58"/>
        <v>1</v>
      </c>
      <c r="T1883" t="b">
        <f t="shared" si="59"/>
        <v>1</v>
      </c>
      <c r="U1883" s="154">
        <f>IFERROR(IF(R1883&lt;&gt;FALSE,IF(S1883=TRUE,INDEX('SummaryNOT_VALIDATED-BL'!$A$1:$F$16,MATCH(R1883,'SummaryNOT_VALIDATED-BL'!$A$1:$A$16,0),6),0),IF(S1883=TRUE,INDEX('SummaryNOT_VALIDATED-BL'!$A$1:$F$16,MATCH(E1883,'SummaryNOT_VALIDATED-BL'!$A$1:$A$16,0),6),0)),0)</f>
        <v>9.1604133276901048E-2</v>
      </c>
      <c r="V1883" s="81" cm="1">
        <f t="array" ref="V1883">INDEX('Weight tables'!$A$24:$C$27,MATCH(1,(RendicontiTrasmessiBL__2[[#This Row],[Cut percentage on real costs + USC]]&gt;='Weight tables'!$B$24:$B$27)*(RendicontiTrasmessiBL__2[[#This Row],[Cut percentage on real costs + USC]]&lt;='Weight tables'!$C$24:$C$27),0),1)</f>
        <v>4</v>
      </c>
      <c r="W1883" s="2">
        <f>RendicontiTrasmessiBL__2[[#This Row],[Weight real costs  + USC ]]</f>
        <v>4</v>
      </c>
    </row>
    <row r="1884" spans="1:23" x14ac:dyDescent="0.25">
      <c r="A1884" s="1" t="s">
        <v>310</v>
      </c>
      <c r="B1884" s="1" t="s">
        <v>38</v>
      </c>
      <c r="C1884" s="2">
        <v>182</v>
      </c>
      <c r="D1884" s="2">
        <v>44</v>
      </c>
      <c r="E1884" s="1" t="s">
        <v>229</v>
      </c>
      <c r="F1884">
        <v>15</v>
      </c>
      <c r="G1884">
        <v>14893.46</v>
      </c>
      <c r="H1884">
        <v>0</v>
      </c>
      <c r="I1884">
        <v>0</v>
      </c>
      <c r="J1884">
        <v>1916.58</v>
      </c>
      <c r="K1884">
        <v>0</v>
      </c>
      <c r="L1884">
        <v>1802.32</v>
      </c>
      <c r="M1884">
        <v>1916.58</v>
      </c>
      <c r="N1884">
        <v>12.87</v>
      </c>
      <c r="O1884">
        <v>12976.88</v>
      </c>
      <c r="P1884">
        <v>0</v>
      </c>
      <c r="Q1884" t="str">
        <f>INDEX('Partner data'!A:DH,MATCH(C1884,'Partner data'!DG:DG,0),83)</f>
        <v>Soggetto pubblico</v>
      </c>
      <c r="R1884" t="b">
        <f>IF(E1884="staff",IF(INDEX('Partner data'!A:DH,MATCH(C1884,'Partner data'!DG:DG,0),112)="BL1 non presente","FALSO",INDEX('Partner data'!A:DH,MATCH(C1884,'Partner data'!DG:DG,0),112)))</f>
        <v>0</v>
      </c>
      <c r="S1884" t="b">
        <f t="shared" si="58"/>
        <v>1</v>
      </c>
      <c r="T1884" t="b">
        <f t="shared" si="59"/>
        <v>1</v>
      </c>
      <c r="U1884" s="154">
        <f>IFERROR(IF(R1884&lt;&gt;FALSE,IF(S1884=TRUE,INDEX('SummaryNOT_VALIDATED-BL'!$A$1:$F$16,MATCH(R1884,'SummaryNOT_VALIDATED-BL'!$A$1:$A$16,0),6),0),IF(S1884=TRUE,INDEX('SummaryNOT_VALIDATED-BL'!$A$1:$F$16,MATCH(E1884,'SummaryNOT_VALIDATED-BL'!$A$1:$A$16,0),6),0)),0)</f>
        <v>6.6460469504890221E-2</v>
      </c>
      <c r="V1884" s="81" cm="1">
        <f t="array" ref="V1884">INDEX('Weight tables'!$A$24:$C$27,MATCH(1,(RendicontiTrasmessiBL__2[[#This Row],[Cut percentage on real costs + USC]]&gt;='Weight tables'!$B$24:$B$27)*(RendicontiTrasmessiBL__2[[#This Row],[Cut percentage on real costs + USC]]&lt;='Weight tables'!$C$24:$C$27),0),1)</f>
        <v>4</v>
      </c>
      <c r="W1884" s="2">
        <f>RendicontiTrasmessiBL__2[[#This Row],[Weight real costs  + USC ]]</f>
        <v>4</v>
      </c>
    </row>
    <row r="1885" spans="1:23" x14ac:dyDescent="0.25">
      <c r="A1885" s="1" t="s">
        <v>310</v>
      </c>
      <c r="B1885" s="1" t="s">
        <v>38</v>
      </c>
      <c r="C1885" s="2">
        <v>182</v>
      </c>
      <c r="D1885" s="2">
        <v>44</v>
      </c>
      <c r="E1885" s="1" t="s">
        <v>230</v>
      </c>
      <c r="F1885">
        <v>4</v>
      </c>
      <c r="G1885">
        <v>3971.59</v>
      </c>
      <c r="H1885">
        <v>0</v>
      </c>
      <c r="I1885">
        <v>0</v>
      </c>
      <c r="J1885">
        <v>511.08</v>
      </c>
      <c r="K1885">
        <v>0</v>
      </c>
      <c r="L1885">
        <v>480.61</v>
      </c>
      <c r="M1885">
        <v>511.08</v>
      </c>
      <c r="N1885">
        <v>12.87</v>
      </c>
      <c r="O1885">
        <v>3460.51</v>
      </c>
      <c r="P1885">
        <v>0</v>
      </c>
      <c r="Q1885" t="str">
        <f>INDEX('Partner data'!A:DH,MATCH(C1885,'Partner data'!DG:DG,0),83)</f>
        <v>Soggetto pubblico</v>
      </c>
      <c r="R1885" t="b">
        <f>IF(E1885="staff",IF(INDEX('Partner data'!A:DH,MATCH(C1885,'Partner data'!DG:DG,0),112)="BL1 non presente","FALSO",INDEX('Partner data'!A:DH,MATCH(C1885,'Partner data'!DG:DG,0),112)))</f>
        <v>0</v>
      </c>
      <c r="S1885" t="b">
        <f t="shared" si="58"/>
        <v>1</v>
      </c>
      <c r="T1885" t="b">
        <f t="shared" si="59"/>
        <v>1</v>
      </c>
      <c r="U1885" s="154">
        <f>IFERROR(IF(R1885&lt;&gt;FALSE,IF(S1885=TRUE,INDEX('SummaryNOT_VALIDATED-BL'!$A$1:$F$16,MATCH(R1885,'SummaryNOT_VALIDATED-BL'!$A$1:$A$16,0),6),0),IF(S1885=TRUE,INDEX('SummaryNOT_VALIDATED-BL'!$A$1:$F$16,MATCH(E1885,'SummaryNOT_VALIDATED-BL'!$A$1:$A$16,0),6),0)),0)</f>
        <v>6.3112622236488891E-2</v>
      </c>
      <c r="V1885" s="81" cm="1">
        <f t="array" ref="V1885">INDEX('Weight tables'!$A$24:$C$27,MATCH(1,(RendicontiTrasmessiBL__2[[#This Row],[Cut percentage on real costs + USC]]&gt;='Weight tables'!$B$24:$B$27)*(RendicontiTrasmessiBL__2[[#This Row],[Cut percentage on real costs + USC]]&lt;='Weight tables'!$C$24:$C$27),0),1)</f>
        <v>4</v>
      </c>
      <c r="W1885" s="2">
        <f>RendicontiTrasmessiBL__2[[#This Row],[Weight real costs  + USC ]]</f>
        <v>4</v>
      </c>
    </row>
    <row r="1886" spans="1:23" x14ac:dyDescent="0.25">
      <c r="A1886" s="1" t="s">
        <v>310</v>
      </c>
      <c r="B1886" s="1" t="s">
        <v>38</v>
      </c>
      <c r="C1886" s="2">
        <v>182</v>
      </c>
      <c r="D1886" s="2">
        <v>44</v>
      </c>
      <c r="E1886" s="1" t="s">
        <v>231</v>
      </c>
      <c r="G1886">
        <v>3500</v>
      </c>
      <c r="H1886">
        <v>0</v>
      </c>
      <c r="I1886">
        <v>0</v>
      </c>
      <c r="J1886">
        <v>0</v>
      </c>
      <c r="K1886">
        <v>0</v>
      </c>
      <c r="L1886">
        <v>0</v>
      </c>
      <c r="M1886">
        <v>0</v>
      </c>
      <c r="N1886">
        <v>0</v>
      </c>
      <c r="O1886">
        <v>3500</v>
      </c>
      <c r="P1886">
        <v>0</v>
      </c>
      <c r="Q1886" t="str">
        <f>INDEX('Partner data'!A:DH,MATCH(C1886,'Partner data'!DG:DG,0),83)</f>
        <v>Soggetto pubblico</v>
      </c>
      <c r="R1886" t="b">
        <f>IF(E1886="staff",IF(INDEX('Partner data'!A:DH,MATCH(C1886,'Partner data'!DG:DG,0),112)="BL1 non presente","FALSO",INDEX('Partner data'!A:DH,MATCH(C1886,'Partner data'!DG:DG,0),112)))</f>
        <v>0</v>
      </c>
      <c r="S1886" t="b">
        <f t="shared" si="58"/>
        <v>0</v>
      </c>
      <c r="T1886" t="b">
        <f t="shared" si="59"/>
        <v>1</v>
      </c>
      <c r="U1886" s="154">
        <f>IFERROR(IF(R1886&lt;&gt;FALSE,IF(S1886=TRUE,INDEX('SummaryNOT_VALIDATED-BL'!$A$1:$F$16,MATCH(R1886,'SummaryNOT_VALIDATED-BL'!$A$1:$A$16,0),6),0),IF(S1886=TRUE,INDEX('SummaryNOT_VALIDATED-BL'!$A$1:$F$16,MATCH(E1886,'SummaryNOT_VALIDATED-BL'!$A$1:$A$16,0),6),0)),0)</f>
        <v>0</v>
      </c>
      <c r="V1886" s="81" cm="1">
        <f t="array" ref="V1886">INDEX('Weight tables'!$A$24:$C$27,MATCH(1,(RendicontiTrasmessiBL__2[[#This Row],[Cut percentage on real costs + USC]]&gt;='Weight tables'!$B$24:$B$27)*(RendicontiTrasmessiBL__2[[#This Row],[Cut percentage on real costs + USC]]&lt;='Weight tables'!$C$24:$C$27),0),1)</f>
        <v>0</v>
      </c>
      <c r="W1886" s="2">
        <f>RendicontiTrasmessiBL__2[[#This Row],[Weight real costs  + USC ]]</f>
        <v>0</v>
      </c>
    </row>
    <row r="1887" spans="1:23" x14ac:dyDescent="0.25">
      <c r="A1887" s="1" t="s">
        <v>310</v>
      </c>
      <c r="B1887" s="1" t="s">
        <v>38</v>
      </c>
      <c r="C1887" s="2">
        <v>182</v>
      </c>
      <c r="D1887" s="2">
        <v>44</v>
      </c>
      <c r="E1887" s="1" t="s">
        <v>232</v>
      </c>
      <c r="G1887">
        <v>108345.18</v>
      </c>
      <c r="H1887">
        <v>0</v>
      </c>
      <c r="I1887">
        <v>0</v>
      </c>
      <c r="J1887">
        <v>0</v>
      </c>
      <c r="K1887">
        <v>0</v>
      </c>
      <c r="L1887">
        <v>0</v>
      </c>
      <c r="M1887">
        <v>0</v>
      </c>
      <c r="N1887">
        <v>0</v>
      </c>
      <c r="O1887">
        <v>108345.18</v>
      </c>
      <c r="P1887">
        <v>0</v>
      </c>
      <c r="Q1887" t="str">
        <f>INDEX('Partner data'!A:DH,MATCH(C1887,'Partner data'!DG:DG,0),83)</f>
        <v>Soggetto pubblico</v>
      </c>
      <c r="R1887" t="b">
        <f>IF(E1887="staff",IF(INDEX('Partner data'!A:DH,MATCH(C1887,'Partner data'!DG:DG,0),112)="BL1 non presente","FALSO",INDEX('Partner data'!A:DH,MATCH(C1887,'Partner data'!DG:DG,0),112)))</f>
        <v>0</v>
      </c>
      <c r="S1887" t="b">
        <f t="shared" si="58"/>
        <v>0</v>
      </c>
      <c r="T1887" t="b">
        <f t="shared" si="59"/>
        <v>1</v>
      </c>
      <c r="U1887" s="154">
        <f>IFERROR(IF(R1887&lt;&gt;FALSE,IF(S1887=TRUE,INDEX('SummaryNOT_VALIDATED-BL'!$A$1:$F$16,MATCH(R1887,'SummaryNOT_VALIDATED-BL'!$A$1:$A$16,0),6),0),IF(S1887=TRUE,INDEX('SummaryNOT_VALIDATED-BL'!$A$1:$F$16,MATCH(E1887,'SummaryNOT_VALIDATED-BL'!$A$1:$A$16,0),6),0)),0)</f>
        <v>0</v>
      </c>
      <c r="V1887" s="81" cm="1">
        <f t="array" ref="V1887">INDEX('Weight tables'!$A$24:$C$27,MATCH(1,(RendicontiTrasmessiBL__2[[#This Row],[Cut percentage on real costs + USC]]&gt;='Weight tables'!$B$24:$B$27)*(RendicontiTrasmessiBL__2[[#This Row],[Cut percentage on real costs + USC]]&lt;='Weight tables'!$C$24:$C$27),0),1)</f>
        <v>0</v>
      </c>
      <c r="W1887" s="2">
        <f>RendicontiTrasmessiBL__2[[#This Row],[Weight real costs  + USC ]]</f>
        <v>0</v>
      </c>
    </row>
    <row r="1888" spans="1:23" x14ac:dyDescent="0.25">
      <c r="A1888" s="1" t="s">
        <v>310</v>
      </c>
      <c r="B1888" s="1" t="s">
        <v>38</v>
      </c>
      <c r="C1888" s="2">
        <v>182</v>
      </c>
      <c r="D1888" s="2">
        <v>44</v>
      </c>
      <c r="E1888" s="1" t="s">
        <v>233</v>
      </c>
      <c r="G1888">
        <v>0</v>
      </c>
      <c r="H1888">
        <v>0</v>
      </c>
      <c r="I1888">
        <v>0</v>
      </c>
      <c r="J1888">
        <v>0</v>
      </c>
      <c r="K1888">
        <v>0</v>
      </c>
      <c r="L1888">
        <v>0</v>
      </c>
      <c r="M1888">
        <v>0</v>
      </c>
      <c r="N1888">
        <v>0</v>
      </c>
      <c r="O1888">
        <v>0</v>
      </c>
      <c r="P1888">
        <v>0</v>
      </c>
      <c r="Q1888" t="str">
        <f>INDEX('Partner data'!A:DH,MATCH(C1888,'Partner data'!DG:DG,0),83)</f>
        <v>Soggetto pubblico</v>
      </c>
      <c r="R1888" t="b">
        <f>IF(E1888="staff",IF(INDEX('Partner data'!A:DH,MATCH(C1888,'Partner data'!DG:DG,0),112)="BL1 non presente","FALSO",INDEX('Partner data'!A:DH,MATCH(C1888,'Partner data'!DG:DG,0),112)))</f>
        <v>0</v>
      </c>
      <c r="S1888" t="b">
        <f t="shared" si="58"/>
        <v>0</v>
      </c>
      <c r="T1888" t="b">
        <f t="shared" si="59"/>
        <v>1</v>
      </c>
      <c r="U1888" s="154">
        <f>IFERROR(IF(R1888&lt;&gt;FALSE,IF(S1888=TRUE,INDEX('SummaryNOT_VALIDATED-BL'!$A$1:$F$16,MATCH(R1888,'SummaryNOT_VALIDATED-BL'!$A$1:$A$16,0),6),0),IF(S1888=TRUE,INDEX('SummaryNOT_VALIDATED-BL'!$A$1:$F$16,MATCH(E1888,'SummaryNOT_VALIDATED-BL'!$A$1:$A$16,0),6),0)),0)</f>
        <v>0</v>
      </c>
      <c r="V1888" s="81" cm="1">
        <f t="array" ref="V1888">INDEX('Weight tables'!$A$24:$C$27,MATCH(1,(RendicontiTrasmessiBL__2[[#This Row],[Cut percentage on real costs + USC]]&gt;='Weight tables'!$B$24:$B$27)*(RendicontiTrasmessiBL__2[[#This Row],[Cut percentage on real costs + USC]]&lt;='Weight tables'!$C$24:$C$27),0),1)</f>
        <v>0</v>
      </c>
      <c r="W1888" s="2">
        <f>RendicontiTrasmessiBL__2[[#This Row],[Weight real costs  + USC ]]</f>
        <v>0</v>
      </c>
    </row>
    <row r="1889" spans="1:23" x14ac:dyDescent="0.25">
      <c r="A1889" s="1" t="s">
        <v>310</v>
      </c>
      <c r="B1889" s="1" t="s">
        <v>38</v>
      </c>
      <c r="C1889" s="2">
        <v>182</v>
      </c>
      <c r="D1889" s="2">
        <v>44</v>
      </c>
      <c r="E1889" s="1" t="s">
        <v>234</v>
      </c>
      <c r="G1889">
        <v>0</v>
      </c>
      <c r="H1889">
        <v>0</v>
      </c>
      <c r="I1889">
        <v>0</v>
      </c>
      <c r="J1889">
        <v>0</v>
      </c>
      <c r="K1889">
        <v>0</v>
      </c>
      <c r="L1889">
        <v>0</v>
      </c>
      <c r="M1889">
        <v>0</v>
      </c>
      <c r="N1889">
        <v>0</v>
      </c>
      <c r="O1889">
        <v>0</v>
      </c>
      <c r="P1889">
        <v>0</v>
      </c>
      <c r="Q1889" t="str">
        <f>INDEX('Partner data'!A:DH,MATCH(C1889,'Partner data'!DG:DG,0),83)</f>
        <v>Soggetto pubblico</v>
      </c>
      <c r="R1889" t="b">
        <f>IF(E1889="staff",IF(INDEX('Partner data'!A:DH,MATCH(C1889,'Partner data'!DG:DG,0),112)="BL1 non presente","FALSO",INDEX('Partner data'!A:DH,MATCH(C1889,'Partner data'!DG:DG,0),112)))</f>
        <v>0</v>
      </c>
      <c r="S1889" t="b">
        <f t="shared" si="58"/>
        <v>0</v>
      </c>
      <c r="T1889" t="b">
        <f t="shared" si="59"/>
        <v>1</v>
      </c>
      <c r="U1889" s="154">
        <f>IFERROR(IF(R1889&lt;&gt;FALSE,IF(S1889=TRUE,INDEX('SummaryNOT_VALIDATED-BL'!$A$1:$F$16,MATCH(R1889,'SummaryNOT_VALIDATED-BL'!$A$1:$A$16,0),6),0),IF(S1889=TRUE,INDEX('SummaryNOT_VALIDATED-BL'!$A$1:$F$16,MATCH(E1889,'SummaryNOT_VALIDATED-BL'!$A$1:$A$16,0),6),0)),0)</f>
        <v>0</v>
      </c>
      <c r="V1889" s="81" cm="1">
        <f t="array" ref="V1889">INDEX('Weight tables'!$A$24:$C$27,MATCH(1,(RendicontiTrasmessiBL__2[[#This Row],[Cut percentage on real costs + USC]]&gt;='Weight tables'!$B$24:$B$27)*(RendicontiTrasmessiBL__2[[#This Row],[Cut percentage on real costs + USC]]&lt;='Weight tables'!$C$24:$C$27),0),1)</f>
        <v>0</v>
      </c>
      <c r="W1889" s="2">
        <f>RendicontiTrasmessiBL__2[[#This Row],[Weight real costs  + USC ]]</f>
        <v>0</v>
      </c>
    </row>
    <row r="1890" spans="1:23" x14ac:dyDescent="0.25">
      <c r="A1890" s="1" t="s">
        <v>310</v>
      </c>
      <c r="B1890" s="1" t="s">
        <v>38</v>
      </c>
      <c r="C1890" s="2">
        <v>182</v>
      </c>
      <c r="D1890" s="2">
        <v>44</v>
      </c>
      <c r="E1890" s="1" t="s">
        <v>236</v>
      </c>
      <c r="G1890">
        <v>0</v>
      </c>
      <c r="H1890">
        <v>0</v>
      </c>
      <c r="I1890">
        <v>0</v>
      </c>
      <c r="J1890">
        <v>0</v>
      </c>
      <c r="K1890">
        <v>0</v>
      </c>
      <c r="L1890">
        <v>0</v>
      </c>
      <c r="M1890">
        <v>0</v>
      </c>
      <c r="N1890">
        <v>0</v>
      </c>
      <c r="O1890">
        <v>0</v>
      </c>
      <c r="P1890">
        <v>0</v>
      </c>
      <c r="Q1890" t="str">
        <f>INDEX('Partner data'!A:DH,MATCH(C1890,'Partner data'!DG:DG,0),83)</f>
        <v>Soggetto pubblico</v>
      </c>
      <c r="R1890" t="b">
        <f>IF(E1890="staff",IF(INDEX('Partner data'!A:DH,MATCH(C1890,'Partner data'!DG:DG,0),112)="BL1 non presente","FALSO",INDEX('Partner data'!A:DH,MATCH(C1890,'Partner data'!DG:DG,0),112)))</f>
        <v>0</v>
      </c>
      <c r="S1890" t="b">
        <f t="shared" si="58"/>
        <v>0</v>
      </c>
      <c r="T1890" t="b">
        <f t="shared" si="59"/>
        <v>1</v>
      </c>
      <c r="U1890" s="154">
        <f>IFERROR(IF(R1890&lt;&gt;FALSE,IF(S1890=TRUE,INDEX('SummaryNOT_VALIDATED-BL'!$A$1:$F$16,MATCH(R1890,'SummaryNOT_VALIDATED-BL'!$A$1:$A$16,0),6),0),IF(S1890=TRUE,INDEX('SummaryNOT_VALIDATED-BL'!$A$1:$F$16,MATCH(E1890,'SummaryNOT_VALIDATED-BL'!$A$1:$A$16,0),6),0)),0)</f>
        <v>0</v>
      </c>
      <c r="V1890" s="81" cm="1">
        <f t="array" ref="V1890">INDEX('Weight tables'!$A$24:$C$27,MATCH(1,(RendicontiTrasmessiBL__2[[#This Row],[Cut percentage on real costs + USC]]&gt;='Weight tables'!$B$24:$B$27)*(RendicontiTrasmessiBL__2[[#This Row],[Cut percentage on real costs + USC]]&lt;='Weight tables'!$C$24:$C$27),0),1)</f>
        <v>0</v>
      </c>
      <c r="W1890" s="2">
        <f>RendicontiTrasmessiBL__2[[#This Row],[Weight real costs  + USC ]]</f>
        <v>0</v>
      </c>
    </row>
    <row r="1891" spans="1:23" x14ac:dyDescent="0.25">
      <c r="A1891" s="1" t="s">
        <v>310</v>
      </c>
      <c r="B1891" s="1" t="s">
        <v>38</v>
      </c>
      <c r="C1891" s="2">
        <v>182</v>
      </c>
      <c r="D1891" s="2">
        <v>44</v>
      </c>
      <c r="E1891" s="1" t="s">
        <v>237</v>
      </c>
      <c r="G1891">
        <v>0</v>
      </c>
      <c r="H1891">
        <v>0</v>
      </c>
      <c r="I1891">
        <v>0</v>
      </c>
      <c r="J1891">
        <v>0</v>
      </c>
      <c r="K1891">
        <v>0</v>
      </c>
      <c r="L1891">
        <v>0</v>
      </c>
      <c r="M1891">
        <v>0</v>
      </c>
      <c r="N1891">
        <v>0</v>
      </c>
      <c r="O1891">
        <v>0</v>
      </c>
      <c r="P1891">
        <v>0</v>
      </c>
      <c r="Q1891" t="str">
        <f>INDEX('Partner data'!A:DH,MATCH(C1891,'Partner data'!DG:DG,0),83)</f>
        <v>Soggetto pubblico</v>
      </c>
      <c r="R1891" t="b">
        <f>IF(E1891="staff",IF(INDEX('Partner data'!A:DH,MATCH(C1891,'Partner data'!DG:DG,0),112)="BL1 non presente","FALSO",INDEX('Partner data'!A:DH,MATCH(C1891,'Partner data'!DG:DG,0),112)))</f>
        <v>0</v>
      </c>
      <c r="S1891" t="b">
        <f t="shared" si="58"/>
        <v>0</v>
      </c>
      <c r="T1891" t="b">
        <f t="shared" si="59"/>
        <v>1</v>
      </c>
      <c r="U1891" s="154">
        <f>IFERROR(IF(R1891&lt;&gt;FALSE,IF(S1891=TRUE,INDEX('SummaryNOT_VALIDATED-BL'!$A$1:$F$16,MATCH(R1891,'SummaryNOT_VALIDATED-BL'!$A$1:$A$16,0),6),0),IF(S1891=TRUE,INDEX('SummaryNOT_VALIDATED-BL'!$A$1:$F$16,MATCH(E1891,'SummaryNOT_VALIDATED-BL'!$A$1:$A$16,0),6),0)),0)</f>
        <v>0</v>
      </c>
      <c r="V1891" s="81" cm="1">
        <f t="array" ref="V1891">INDEX('Weight tables'!$A$24:$C$27,MATCH(1,(RendicontiTrasmessiBL__2[[#This Row],[Cut percentage on real costs + USC]]&gt;='Weight tables'!$B$24:$B$27)*(RendicontiTrasmessiBL__2[[#This Row],[Cut percentage on real costs + USC]]&lt;='Weight tables'!$C$24:$C$27),0),1)</f>
        <v>0</v>
      </c>
      <c r="W1891" s="2">
        <f>RendicontiTrasmessiBL__2[[#This Row],[Weight real costs  + USC ]]</f>
        <v>0</v>
      </c>
    </row>
    <row r="1892" spans="1:23" x14ac:dyDescent="0.25">
      <c r="A1892" s="1" t="s">
        <v>310</v>
      </c>
      <c r="B1892" s="1" t="s">
        <v>46</v>
      </c>
      <c r="C1892" s="2">
        <v>86</v>
      </c>
      <c r="D1892" s="2">
        <v>213</v>
      </c>
      <c r="E1892" s="1" t="s">
        <v>228</v>
      </c>
      <c r="G1892">
        <v>134382.5</v>
      </c>
      <c r="H1892">
        <v>21253.22</v>
      </c>
      <c r="I1892">
        <v>6016.33</v>
      </c>
      <c r="J1892">
        <v>28281.13</v>
      </c>
      <c r="K1892">
        <v>4492.0200000000004</v>
      </c>
      <c r="L1892">
        <v>28128.04</v>
      </c>
      <c r="M1892">
        <v>49534.35</v>
      </c>
      <c r="N1892">
        <v>36.86</v>
      </c>
      <c r="O1892">
        <v>84848.15</v>
      </c>
      <c r="P1892">
        <v>13597.07</v>
      </c>
      <c r="Q1892" t="str">
        <f>INDEX('Partner data'!A:DH,MATCH(C1892,'Partner data'!DG:DG,0),83)</f>
        <v>Soggetto pubblico</v>
      </c>
      <c r="R1892" t="str">
        <f>IF(E1892="staff",IF(INDEX('Partner data'!A:DH,MATCH(C1892,'Partner data'!DG:DG,0),112)="BL1 non presente","FALSO",INDEX('Partner data'!A:DH,MATCH(C1892,'Partner data'!DG:DG,0),112)))</f>
        <v>COSTO REALE</v>
      </c>
      <c r="S1892" t="b">
        <f t="shared" si="58"/>
        <v>1</v>
      </c>
      <c r="T1892" t="b">
        <f t="shared" si="59"/>
        <v>1</v>
      </c>
      <c r="U1892" s="154">
        <f>IFERROR(IF(R1892&lt;&gt;FALSE,IF(S1892=TRUE,INDEX('SummaryNOT_VALIDATED-BL'!$A$1:$F$16,MATCH(R1892,'SummaryNOT_VALIDATED-BL'!$A$1:$A$16,0),6),0),IF(S1892=TRUE,INDEX('SummaryNOT_VALIDATED-BL'!$A$1:$F$16,MATCH(E1892,'SummaryNOT_VALIDATED-BL'!$A$1:$A$16,0),6),0)),0)</f>
        <v>9.1604133276901048E-2</v>
      </c>
      <c r="V1892" s="81" cm="1">
        <f t="array" ref="V1892">INDEX('Weight tables'!$A$24:$C$27,MATCH(1,(RendicontiTrasmessiBL__2[[#This Row],[Cut percentage on real costs + USC]]&gt;='Weight tables'!$B$24:$B$27)*(RendicontiTrasmessiBL__2[[#This Row],[Cut percentage on real costs + USC]]&lt;='Weight tables'!$C$24:$C$27),0),1)</f>
        <v>4</v>
      </c>
      <c r="W1892" s="2">
        <f>RendicontiTrasmessiBL__2[[#This Row],[Weight real costs  + USC ]]</f>
        <v>4</v>
      </c>
    </row>
    <row r="1893" spans="1:23" x14ac:dyDescent="0.25">
      <c r="A1893" s="1" t="s">
        <v>310</v>
      </c>
      <c r="B1893" s="1" t="s">
        <v>46</v>
      </c>
      <c r="C1893" s="2">
        <v>86</v>
      </c>
      <c r="D1893" s="2">
        <v>213</v>
      </c>
      <c r="E1893" s="1" t="s">
        <v>229</v>
      </c>
      <c r="F1893">
        <v>15</v>
      </c>
      <c r="G1893">
        <v>20157.37</v>
      </c>
      <c r="H1893">
        <v>3187.98</v>
      </c>
      <c r="I1893">
        <v>902.44</v>
      </c>
      <c r="J1893">
        <v>4242.16</v>
      </c>
      <c r="K1893">
        <v>673.8</v>
      </c>
      <c r="L1893">
        <v>4219.2</v>
      </c>
      <c r="M1893">
        <v>7430.14</v>
      </c>
      <c r="N1893">
        <v>36.86</v>
      </c>
      <c r="O1893">
        <v>12727.23</v>
      </c>
      <c r="P1893">
        <v>2039.56</v>
      </c>
      <c r="Q1893" t="str">
        <f>INDEX('Partner data'!A:DH,MATCH(C1893,'Partner data'!DG:DG,0),83)</f>
        <v>Soggetto pubblico</v>
      </c>
      <c r="R1893" t="b">
        <f>IF(E1893="staff",IF(INDEX('Partner data'!A:DH,MATCH(C1893,'Partner data'!DG:DG,0),112)="BL1 non presente","FALSO",INDEX('Partner data'!A:DH,MATCH(C1893,'Partner data'!DG:DG,0),112)))</f>
        <v>0</v>
      </c>
      <c r="S1893" t="b">
        <f t="shared" si="58"/>
        <v>1</v>
      </c>
      <c r="T1893" t="b">
        <f t="shared" si="59"/>
        <v>1</v>
      </c>
      <c r="U1893" s="154">
        <f>IFERROR(IF(R1893&lt;&gt;FALSE,IF(S1893=TRUE,INDEX('SummaryNOT_VALIDATED-BL'!$A$1:$F$16,MATCH(R1893,'SummaryNOT_VALIDATED-BL'!$A$1:$A$16,0),6),0),IF(S1893=TRUE,INDEX('SummaryNOT_VALIDATED-BL'!$A$1:$F$16,MATCH(E1893,'SummaryNOT_VALIDATED-BL'!$A$1:$A$16,0),6),0)),0)</f>
        <v>6.6460469504890221E-2</v>
      </c>
      <c r="V1893" s="81" cm="1">
        <f t="array" ref="V1893">INDEX('Weight tables'!$A$24:$C$27,MATCH(1,(RendicontiTrasmessiBL__2[[#This Row],[Cut percentage on real costs + USC]]&gt;='Weight tables'!$B$24:$B$27)*(RendicontiTrasmessiBL__2[[#This Row],[Cut percentage on real costs + USC]]&lt;='Weight tables'!$C$24:$C$27),0),1)</f>
        <v>4</v>
      </c>
      <c r="W1893" s="2">
        <f>RendicontiTrasmessiBL__2[[#This Row],[Weight real costs  + USC ]]</f>
        <v>4</v>
      </c>
    </row>
    <row r="1894" spans="1:23" x14ac:dyDescent="0.25">
      <c r="A1894" s="1" t="s">
        <v>310</v>
      </c>
      <c r="B1894" s="1" t="s">
        <v>46</v>
      </c>
      <c r="C1894" s="2">
        <v>86</v>
      </c>
      <c r="D1894" s="2">
        <v>213</v>
      </c>
      <c r="E1894" s="1" t="s">
        <v>230</v>
      </c>
      <c r="F1894">
        <v>4</v>
      </c>
      <c r="G1894">
        <v>5375.3</v>
      </c>
      <c r="H1894">
        <v>850.12</v>
      </c>
      <c r="I1894">
        <v>240.65</v>
      </c>
      <c r="J1894">
        <v>1131.24</v>
      </c>
      <c r="K1894">
        <v>179.68</v>
      </c>
      <c r="L1894">
        <v>1125.1199999999999</v>
      </c>
      <c r="M1894">
        <v>1981.36</v>
      </c>
      <c r="N1894">
        <v>36.86</v>
      </c>
      <c r="O1894">
        <v>3393.94</v>
      </c>
      <c r="P1894">
        <v>543.88</v>
      </c>
      <c r="Q1894" t="str">
        <f>INDEX('Partner data'!A:DH,MATCH(C1894,'Partner data'!DG:DG,0),83)</f>
        <v>Soggetto pubblico</v>
      </c>
      <c r="R1894" t="b">
        <f>IF(E1894="staff",IF(INDEX('Partner data'!A:DH,MATCH(C1894,'Partner data'!DG:DG,0),112)="BL1 non presente","FALSO",INDEX('Partner data'!A:DH,MATCH(C1894,'Partner data'!DG:DG,0),112)))</f>
        <v>0</v>
      </c>
      <c r="S1894" t="b">
        <f t="shared" si="58"/>
        <v>1</v>
      </c>
      <c r="T1894" t="b">
        <f t="shared" si="59"/>
        <v>1</v>
      </c>
      <c r="U1894" s="154">
        <f>IFERROR(IF(R1894&lt;&gt;FALSE,IF(S1894=TRUE,INDEX('SummaryNOT_VALIDATED-BL'!$A$1:$F$16,MATCH(R1894,'SummaryNOT_VALIDATED-BL'!$A$1:$A$16,0),6),0),IF(S1894=TRUE,INDEX('SummaryNOT_VALIDATED-BL'!$A$1:$F$16,MATCH(E1894,'SummaryNOT_VALIDATED-BL'!$A$1:$A$16,0),6),0)),0)</f>
        <v>6.3112622236488891E-2</v>
      </c>
      <c r="V1894" s="81" cm="1">
        <f t="array" ref="V1894">INDEX('Weight tables'!$A$24:$C$27,MATCH(1,(RendicontiTrasmessiBL__2[[#This Row],[Cut percentage on real costs + USC]]&gt;='Weight tables'!$B$24:$B$27)*(RendicontiTrasmessiBL__2[[#This Row],[Cut percentage on real costs + USC]]&lt;='Weight tables'!$C$24:$C$27),0),1)</f>
        <v>4</v>
      </c>
      <c r="W1894" s="2">
        <f>RendicontiTrasmessiBL__2[[#This Row],[Weight real costs  + USC ]]</f>
        <v>4</v>
      </c>
    </row>
    <row r="1895" spans="1:23" x14ac:dyDescent="0.25">
      <c r="A1895" s="1" t="s">
        <v>310</v>
      </c>
      <c r="B1895" s="1" t="s">
        <v>46</v>
      </c>
      <c r="C1895" s="2">
        <v>86</v>
      </c>
      <c r="D1895" s="2">
        <v>213</v>
      </c>
      <c r="E1895" s="1" t="s">
        <v>231</v>
      </c>
      <c r="G1895">
        <v>42500</v>
      </c>
      <c r="H1895">
        <v>694</v>
      </c>
      <c r="I1895">
        <v>0</v>
      </c>
      <c r="J1895">
        <v>22457.89</v>
      </c>
      <c r="K1895">
        <v>0</v>
      </c>
      <c r="L1895">
        <v>22457.89</v>
      </c>
      <c r="M1895">
        <v>23151.89</v>
      </c>
      <c r="N1895">
        <v>54.48</v>
      </c>
      <c r="O1895">
        <v>19348.11</v>
      </c>
      <c r="P1895">
        <v>694</v>
      </c>
      <c r="Q1895" t="str">
        <f>INDEX('Partner data'!A:DH,MATCH(C1895,'Partner data'!DG:DG,0),83)</f>
        <v>Soggetto pubblico</v>
      </c>
      <c r="R1895" t="b">
        <f>IF(E1895="staff",IF(INDEX('Partner data'!A:DH,MATCH(C1895,'Partner data'!DG:DG,0),112)="BL1 non presente","FALSO",INDEX('Partner data'!A:DH,MATCH(C1895,'Partner data'!DG:DG,0),112)))</f>
        <v>0</v>
      </c>
      <c r="S1895" t="b">
        <f t="shared" si="58"/>
        <v>1</v>
      </c>
      <c r="T1895" t="b">
        <f t="shared" si="59"/>
        <v>1</v>
      </c>
      <c r="U1895" s="154">
        <f>IFERROR(IF(R1895&lt;&gt;FALSE,IF(S1895=TRUE,INDEX('SummaryNOT_VALIDATED-BL'!$A$1:$F$16,MATCH(R1895,'SummaryNOT_VALIDATED-BL'!$A$1:$A$16,0),6),0),IF(S1895=TRUE,INDEX('SummaryNOT_VALIDATED-BL'!$A$1:$F$16,MATCH(E1895,'SummaryNOT_VALIDATED-BL'!$A$1:$A$16,0),6),0)),0)</f>
        <v>5.577594442215475E-2</v>
      </c>
      <c r="V1895" s="81" cm="1">
        <f t="array" ref="V1895">INDEX('Weight tables'!$A$24:$C$27,MATCH(1,(RendicontiTrasmessiBL__2[[#This Row],[Cut percentage on real costs + USC]]&gt;='Weight tables'!$B$24:$B$27)*(RendicontiTrasmessiBL__2[[#This Row],[Cut percentage on real costs + USC]]&lt;='Weight tables'!$C$24:$C$27),0),1)</f>
        <v>4</v>
      </c>
      <c r="W1895" s="2">
        <f>RendicontiTrasmessiBL__2[[#This Row],[Weight real costs  + USC ]]</f>
        <v>4</v>
      </c>
    </row>
    <row r="1896" spans="1:23" x14ac:dyDescent="0.25">
      <c r="A1896" s="1" t="s">
        <v>310</v>
      </c>
      <c r="B1896" s="1" t="s">
        <v>46</v>
      </c>
      <c r="C1896" s="2">
        <v>86</v>
      </c>
      <c r="D1896" s="2">
        <v>213</v>
      </c>
      <c r="E1896" s="1" t="s">
        <v>232</v>
      </c>
      <c r="G1896">
        <v>22550</v>
      </c>
      <c r="H1896">
        <v>2641</v>
      </c>
      <c r="I1896">
        <v>0</v>
      </c>
      <c r="J1896">
        <v>0</v>
      </c>
      <c r="K1896">
        <v>0</v>
      </c>
      <c r="L1896">
        <v>0</v>
      </c>
      <c r="M1896">
        <v>2641</v>
      </c>
      <c r="N1896">
        <v>11.71</v>
      </c>
      <c r="O1896">
        <v>19909</v>
      </c>
      <c r="P1896">
        <v>2641</v>
      </c>
      <c r="Q1896" t="str">
        <f>INDEX('Partner data'!A:DH,MATCH(C1896,'Partner data'!DG:DG,0),83)</f>
        <v>Soggetto pubblico</v>
      </c>
      <c r="R1896" t="b">
        <f>IF(E1896="staff",IF(INDEX('Partner data'!A:DH,MATCH(C1896,'Partner data'!DG:DG,0),112)="BL1 non presente","FALSO",INDEX('Partner data'!A:DH,MATCH(C1896,'Partner data'!DG:DG,0),112)))</f>
        <v>0</v>
      </c>
      <c r="S1896" t="b">
        <f t="shared" si="58"/>
        <v>0</v>
      </c>
      <c r="T1896" t="b">
        <f t="shared" si="59"/>
        <v>1</v>
      </c>
      <c r="U1896" s="154">
        <f>IFERROR(IF(R1896&lt;&gt;FALSE,IF(S1896=TRUE,INDEX('SummaryNOT_VALIDATED-BL'!$A$1:$F$16,MATCH(R1896,'SummaryNOT_VALIDATED-BL'!$A$1:$A$16,0),6),0),IF(S1896=TRUE,INDEX('SummaryNOT_VALIDATED-BL'!$A$1:$F$16,MATCH(E1896,'SummaryNOT_VALIDATED-BL'!$A$1:$A$16,0),6),0)),0)</f>
        <v>0</v>
      </c>
      <c r="V1896" s="81" cm="1">
        <f t="array" ref="V1896">INDEX('Weight tables'!$A$24:$C$27,MATCH(1,(RendicontiTrasmessiBL__2[[#This Row],[Cut percentage on real costs + USC]]&gt;='Weight tables'!$B$24:$B$27)*(RendicontiTrasmessiBL__2[[#This Row],[Cut percentage on real costs + USC]]&lt;='Weight tables'!$C$24:$C$27),0),1)</f>
        <v>0</v>
      </c>
      <c r="W1896" s="2">
        <f>RendicontiTrasmessiBL__2[[#This Row],[Weight real costs  + USC ]]</f>
        <v>0</v>
      </c>
    </row>
    <row r="1897" spans="1:23" x14ac:dyDescent="0.25">
      <c r="A1897" s="1" t="s">
        <v>310</v>
      </c>
      <c r="B1897" s="1" t="s">
        <v>46</v>
      </c>
      <c r="C1897" s="2">
        <v>86</v>
      </c>
      <c r="D1897" s="2">
        <v>213</v>
      </c>
      <c r="E1897" s="1" t="s">
        <v>233</v>
      </c>
      <c r="G1897">
        <v>0</v>
      </c>
      <c r="H1897">
        <v>0</v>
      </c>
      <c r="I1897">
        <v>0</v>
      </c>
      <c r="J1897">
        <v>0</v>
      </c>
      <c r="K1897">
        <v>0</v>
      </c>
      <c r="L1897">
        <v>0</v>
      </c>
      <c r="M1897">
        <v>0</v>
      </c>
      <c r="N1897">
        <v>0</v>
      </c>
      <c r="O1897">
        <v>0</v>
      </c>
      <c r="P1897">
        <v>0</v>
      </c>
      <c r="Q1897" t="str">
        <f>INDEX('Partner data'!A:DH,MATCH(C1897,'Partner data'!DG:DG,0),83)</f>
        <v>Soggetto pubblico</v>
      </c>
      <c r="R1897" t="b">
        <f>IF(E1897="staff",IF(INDEX('Partner data'!A:DH,MATCH(C1897,'Partner data'!DG:DG,0),112)="BL1 non presente","FALSO",INDEX('Partner data'!A:DH,MATCH(C1897,'Partner data'!DG:DG,0),112)))</f>
        <v>0</v>
      </c>
      <c r="S1897" t="b">
        <f t="shared" si="58"/>
        <v>0</v>
      </c>
      <c r="T1897" t="b">
        <f t="shared" si="59"/>
        <v>1</v>
      </c>
      <c r="U1897" s="154">
        <f>IFERROR(IF(R1897&lt;&gt;FALSE,IF(S1897=TRUE,INDEX('SummaryNOT_VALIDATED-BL'!$A$1:$F$16,MATCH(R1897,'SummaryNOT_VALIDATED-BL'!$A$1:$A$16,0),6),0),IF(S1897=TRUE,INDEX('SummaryNOT_VALIDATED-BL'!$A$1:$F$16,MATCH(E1897,'SummaryNOT_VALIDATED-BL'!$A$1:$A$16,0),6),0)),0)</f>
        <v>0</v>
      </c>
      <c r="V1897" s="81" cm="1">
        <f t="array" ref="V1897">INDEX('Weight tables'!$A$24:$C$27,MATCH(1,(RendicontiTrasmessiBL__2[[#This Row],[Cut percentage on real costs + USC]]&gt;='Weight tables'!$B$24:$B$27)*(RendicontiTrasmessiBL__2[[#This Row],[Cut percentage on real costs + USC]]&lt;='Weight tables'!$C$24:$C$27),0),1)</f>
        <v>0</v>
      </c>
      <c r="W1897" s="2">
        <f>RendicontiTrasmessiBL__2[[#This Row],[Weight real costs  + USC ]]</f>
        <v>0</v>
      </c>
    </row>
    <row r="1898" spans="1:23" x14ac:dyDescent="0.25">
      <c r="A1898" s="1" t="s">
        <v>310</v>
      </c>
      <c r="B1898" s="1" t="s">
        <v>46</v>
      </c>
      <c r="C1898" s="2">
        <v>86</v>
      </c>
      <c r="D1898" s="2">
        <v>213</v>
      </c>
      <c r="E1898" s="1" t="s">
        <v>234</v>
      </c>
      <c r="G1898">
        <v>0</v>
      </c>
      <c r="H1898">
        <v>0</v>
      </c>
      <c r="I1898">
        <v>0</v>
      </c>
      <c r="J1898">
        <v>0</v>
      </c>
      <c r="K1898">
        <v>0</v>
      </c>
      <c r="L1898">
        <v>0</v>
      </c>
      <c r="M1898">
        <v>0</v>
      </c>
      <c r="N1898">
        <v>0</v>
      </c>
      <c r="O1898">
        <v>0</v>
      </c>
      <c r="P1898">
        <v>0</v>
      </c>
      <c r="Q1898" t="str">
        <f>INDEX('Partner data'!A:DH,MATCH(C1898,'Partner data'!DG:DG,0),83)</f>
        <v>Soggetto pubblico</v>
      </c>
      <c r="R1898" t="b">
        <f>IF(E1898="staff",IF(INDEX('Partner data'!A:DH,MATCH(C1898,'Partner data'!DG:DG,0),112)="BL1 non presente","FALSO",INDEX('Partner data'!A:DH,MATCH(C1898,'Partner data'!DG:DG,0),112)))</f>
        <v>0</v>
      </c>
      <c r="S1898" t="b">
        <f t="shared" si="58"/>
        <v>0</v>
      </c>
      <c r="T1898" t="b">
        <f t="shared" si="59"/>
        <v>1</v>
      </c>
      <c r="U1898" s="154">
        <f>IFERROR(IF(R1898&lt;&gt;FALSE,IF(S1898=TRUE,INDEX('SummaryNOT_VALIDATED-BL'!$A$1:$F$16,MATCH(R1898,'SummaryNOT_VALIDATED-BL'!$A$1:$A$16,0),6),0),IF(S1898=TRUE,INDEX('SummaryNOT_VALIDATED-BL'!$A$1:$F$16,MATCH(E1898,'SummaryNOT_VALIDATED-BL'!$A$1:$A$16,0),6),0)),0)</f>
        <v>0</v>
      </c>
      <c r="V1898" s="81" cm="1">
        <f t="array" ref="V1898">INDEX('Weight tables'!$A$24:$C$27,MATCH(1,(RendicontiTrasmessiBL__2[[#This Row],[Cut percentage on real costs + USC]]&gt;='Weight tables'!$B$24:$B$27)*(RendicontiTrasmessiBL__2[[#This Row],[Cut percentage on real costs + USC]]&lt;='Weight tables'!$C$24:$C$27),0),1)</f>
        <v>0</v>
      </c>
      <c r="W1898" s="2">
        <f>RendicontiTrasmessiBL__2[[#This Row],[Weight real costs  + USC ]]</f>
        <v>0</v>
      </c>
    </row>
    <row r="1899" spans="1:23" x14ac:dyDescent="0.25">
      <c r="A1899" s="1" t="s">
        <v>310</v>
      </c>
      <c r="B1899" s="1" t="s">
        <v>46</v>
      </c>
      <c r="C1899" s="2">
        <v>86</v>
      </c>
      <c r="D1899" s="2">
        <v>213</v>
      </c>
      <c r="E1899" s="1" t="s">
        <v>236</v>
      </c>
      <c r="G1899">
        <v>0</v>
      </c>
      <c r="H1899">
        <v>0</v>
      </c>
      <c r="I1899">
        <v>0</v>
      </c>
      <c r="J1899">
        <v>0</v>
      </c>
      <c r="K1899">
        <v>0</v>
      </c>
      <c r="L1899">
        <v>0</v>
      </c>
      <c r="M1899">
        <v>0</v>
      </c>
      <c r="N1899">
        <v>0</v>
      </c>
      <c r="O1899">
        <v>0</v>
      </c>
      <c r="P1899">
        <v>0</v>
      </c>
      <c r="Q1899" t="str">
        <f>INDEX('Partner data'!A:DH,MATCH(C1899,'Partner data'!DG:DG,0),83)</f>
        <v>Soggetto pubblico</v>
      </c>
      <c r="R1899" t="b">
        <f>IF(E1899="staff",IF(INDEX('Partner data'!A:DH,MATCH(C1899,'Partner data'!DG:DG,0),112)="BL1 non presente","FALSO",INDEX('Partner data'!A:DH,MATCH(C1899,'Partner data'!DG:DG,0),112)))</f>
        <v>0</v>
      </c>
      <c r="S1899" t="b">
        <f t="shared" si="58"/>
        <v>0</v>
      </c>
      <c r="T1899" t="b">
        <f t="shared" si="59"/>
        <v>1</v>
      </c>
      <c r="U1899" s="154">
        <f>IFERROR(IF(R1899&lt;&gt;FALSE,IF(S1899=TRUE,INDEX('SummaryNOT_VALIDATED-BL'!$A$1:$F$16,MATCH(R1899,'SummaryNOT_VALIDATED-BL'!$A$1:$A$16,0),6),0),IF(S1899=TRUE,INDEX('SummaryNOT_VALIDATED-BL'!$A$1:$F$16,MATCH(E1899,'SummaryNOT_VALIDATED-BL'!$A$1:$A$16,0),6),0)),0)</f>
        <v>0</v>
      </c>
      <c r="V1899" s="81" cm="1">
        <f t="array" ref="V1899">INDEX('Weight tables'!$A$24:$C$27,MATCH(1,(RendicontiTrasmessiBL__2[[#This Row],[Cut percentage on real costs + USC]]&gt;='Weight tables'!$B$24:$B$27)*(RendicontiTrasmessiBL__2[[#This Row],[Cut percentage on real costs + USC]]&lt;='Weight tables'!$C$24:$C$27),0),1)</f>
        <v>0</v>
      </c>
      <c r="W1899" s="2">
        <f>RendicontiTrasmessiBL__2[[#This Row],[Weight real costs  + USC ]]</f>
        <v>0</v>
      </c>
    </row>
    <row r="1900" spans="1:23" x14ac:dyDescent="0.25">
      <c r="A1900" s="1" t="s">
        <v>310</v>
      </c>
      <c r="B1900" s="1" t="s">
        <v>46</v>
      </c>
      <c r="C1900" s="2">
        <v>86</v>
      </c>
      <c r="D1900" s="2">
        <v>213</v>
      </c>
      <c r="E1900" s="1" t="s">
        <v>237</v>
      </c>
      <c r="G1900">
        <v>0</v>
      </c>
      <c r="H1900">
        <v>0</v>
      </c>
      <c r="I1900">
        <v>0</v>
      </c>
      <c r="J1900">
        <v>0</v>
      </c>
      <c r="K1900">
        <v>0</v>
      </c>
      <c r="L1900">
        <v>0</v>
      </c>
      <c r="M1900">
        <v>0</v>
      </c>
      <c r="N1900">
        <v>0</v>
      </c>
      <c r="O1900">
        <v>0</v>
      </c>
      <c r="P1900">
        <v>0</v>
      </c>
      <c r="Q1900" t="str">
        <f>INDEX('Partner data'!A:DH,MATCH(C1900,'Partner data'!DG:DG,0),83)</f>
        <v>Soggetto pubblico</v>
      </c>
      <c r="R1900" t="b">
        <f>IF(E1900="staff",IF(INDEX('Partner data'!A:DH,MATCH(C1900,'Partner data'!DG:DG,0),112)="BL1 non presente","FALSO",INDEX('Partner data'!A:DH,MATCH(C1900,'Partner data'!DG:DG,0),112)))</f>
        <v>0</v>
      </c>
      <c r="S1900" t="b">
        <f t="shared" si="58"/>
        <v>0</v>
      </c>
      <c r="T1900" t="b">
        <f t="shared" si="59"/>
        <v>1</v>
      </c>
      <c r="U1900" s="154">
        <f>IFERROR(IF(R1900&lt;&gt;FALSE,IF(S1900=TRUE,INDEX('SummaryNOT_VALIDATED-BL'!$A$1:$F$16,MATCH(R1900,'SummaryNOT_VALIDATED-BL'!$A$1:$A$16,0),6),0),IF(S1900=TRUE,INDEX('SummaryNOT_VALIDATED-BL'!$A$1:$F$16,MATCH(E1900,'SummaryNOT_VALIDATED-BL'!$A$1:$A$16,0),6),0)),0)</f>
        <v>0</v>
      </c>
      <c r="V1900" s="81" cm="1">
        <f t="array" ref="V1900">INDEX('Weight tables'!$A$24:$C$27,MATCH(1,(RendicontiTrasmessiBL__2[[#This Row],[Cut percentage on real costs + USC]]&gt;='Weight tables'!$B$24:$B$27)*(RendicontiTrasmessiBL__2[[#This Row],[Cut percentage on real costs + USC]]&lt;='Weight tables'!$C$24:$C$27),0),1)</f>
        <v>0</v>
      </c>
      <c r="W1900" s="2">
        <f>RendicontiTrasmessiBL__2[[#This Row],[Weight real costs  + USC ]]</f>
        <v>0</v>
      </c>
    </row>
    <row r="1901" spans="1:23" x14ac:dyDescent="0.25">
      <c r="A1901" s="1" t="s">
        <v>310</v>
      </c>
      <c r="B1901" s="1" t="s">
        <v>46</v>
      </c>
      <c r="C1901" s="2">
        <v>86</v>
      </c>
      <c r="D1901" s="2">
        <v>33</v>
      </c>
      <c r="E1901" s="1" t="s">
        <v>228</v>
      </c>
      <c r="G1901">
        <v>134382.5</v>
      </c>
      <c r="H1901">
        <v>0</v>
      </c>
      <c r="I1901">
        <v>0</v>
      </c>
      <c r="J1901">
        <v>21253.22</v>
      </c>
      <c r="K1901">
        <v>0</v>
      </c>
      <c r="L1901">
        <v>13597.07</v>
      </c>
      <c r="M1901">
        <v>21253.22</v>
      </c>
      <c r="N1901">
        <v>15.82</v>
      </c>
      <c r="O1901">
        <v>113129.28</v>
      </c>
      <c r="P1901">
        <v>0</v>
      </c>
      <c r="Q1901" t="str">
        <f>INDEX('Partner data'!A:DH,MATCH(C1901,'Partner data'!DG:DG,0),83)</f>
        <v>Soggetto pubblico</v>
      </c>
      <c r="R1901" t="str">
        <f>IF(E1901="staff",IF(INDEX('Partner data'!A:DH,MATCH(C1901,'Partner data'!DG:DG,0),112)="BL1 non presente","FALSO",INDEX('Partner data'!A:DH,MATCH(C1901,'Partner data'!DG:DG,0),112)))</f>
        <v>COSTO REALE</v>
      </c>
      <c r="S1901" t="b">
        <f t="shared" si="58"/>
        <v>1</v>
      </c>
      <c r="T1901" t="b">
        <f t="shared" si="59"/>
        <v>1</v>
      </c>
      <c r="U1901" s="154">
        <f>IFERROR(IF(R1901&lt;&gt;FALSE,IF(S1901=TRUE,INDEX('SummaryNOT_VALIDATED-BL'!$A$1:$F$16,MATCH(R1901,'SummaryNOT_VALIDATED-BL'!$A$1:$A$16,0),6),0),IF(S1901=TRUE,INDEX('SummaryNOT_VALIDATED-BL'!$A$1:$F$16,MATCH(E1901,'SummaryNOT_VALIDATED-BL'!$A$1:$A$16,0),6),0)),0)</f>
        <v>9.1604133276901048E-2</v>
      </c>
      <c r="V1901" s="81" cm="1">
        <f t="array" ref="V1901">INDEX('Weight tables'!$A$24:$C$27,MATCH(1,(RendicontiTrasmessiBL__2[[#This Row],[Cut percentage on real costs + USC]]&gt;='Weight tables'!$B$24:$B$27)*(RendicontiTrasmessiBL__2[[#This Row],[Cut percentage on real costs + USC]]&lt;='Weight tables'!$C$24:$C$27),0),1)</f>
        <v>4</v>
      </c>
      <c r="W1901" s="2">
        <f>RendicontiTrasmessiBL__2[[#This Row],[Weight real costs  + USC ]]</f>
        <v>4</v>
      </c>
    </row>
    <row r="1902" spans="1:23" x14ac:dyDescent="0.25">
      <c r="A1902" s="1" t="s">
        <v>310</v>
      </c>
      <c r="B1902" s="1" t="s">
        <v>46</v>
      </c>
      <c r="C1902" s="2">
        <v>86</v>
      </c>
      <c r="D1902" s="2">
        <v>33</v>
      </c>
      <c r="E1902" s="1" t="s">
        <v>229</v>
      </c>
      <c r="F1902">
        <v>15</v>
      </c>
      <c r="G1902">
        <v>20157.37</v>
      </c>
      <c r="H1902">
        <v>0</v>
      </c>
      <c r="I1902">
        <v>0</v>
      </c>
      <c r="J1902">
        <v>3187.98</v>
      </c>
      <c r="K1902">
        <v>0</v>
      </c>
      <c r="L1902">
        <v>2039.56</v>
      </c>
      <c r="M1902">
        <v>3187.98</v>
      </c>
      <c r="N1902">
        <v>15.82</v>
      </c>
      <c r="O1902">
        <v>16969.39</v>
      </c>
      <c r="P1902">
        <v>0</v>
      </c>
      <c r="Q1902" t="str">
        <f>INDEX('Partner data'!A:DH,MATCH(C1902,'Partner data'!DG:DG,0),83)</f>
        <v>Soggetto pubblico</v>
      </c>
      <c r="R1902" t="b">
        <f>IF(E1902="staff",IF(INDEX('Partner data'!A:DH,MATCH(C1902,'Partner data'!DG:DG,0),112)="BL1 non presente","FALSO",INDEX('Partner data'!A:DH,MATCH(C1902,'Partner data'!DG:DG,0),112)))</f>
        <v>0</v>
      </c>
      <c r="S1902" t="b">
        <f t="shared" si="58"/>
        <v>1</v>
      </c>
      <c r="T1902" t="b">
        <f t="shared" si="59"/>
        <v>1</v>
      </c>
      <c r="U1902" s="154">
        <f>IFERROR(IF(R1902&lt;&gt;FALSE,IF(S1902=TRUE,INDEX('SummaryNOT_VALIDATED-BL'!$A$1:$F$16,MATCH(R1902,'SummaryNOT_VALIDATED-BL'!$A$1:$A$16,0),6),0),IF(S1902=TRUE,INDEX('SummaryNOT_VALIDATED-BL'!$A$1:$F$16,MATCH(E1902,'SummaryNOT_VALIDATED-BL'!$A$1:$A$16,0),6),0)),0)</f>
        <v>6.6460469504890221E-2</v>
      </c>
      <c r="V1902" s="81" cm="1">
        <f t="array" ref="V1902">INDEX('Weight tables'!$A$24:$C$27,MATCH(1,(RendicontiTrasmessiBL__2[[#This Row],[Cut percentage on real costs + USC]]&gt;='Weight tables'!$B$24:$B$27)*(RendicontiTrasmessiBL__2[[#This Row],[Cut percentage on real costs + USC]]&lt;='Weight tables'!$C$24:$C$27),0),1)</f>
        <v>4</v>
      </c>
      <c r="W1902" s="2">
        <f>RendicontiTrasmessiBL__2[[#This Row],[Weight real costs  + USC ]]</f>
        <v>4</v>
      </c>
    </row>
    <row r="1903" spans="1:23" x14ac:dyDescent="0.25">
      <c r="A1903" s="1" t="s">
        <v>310</v>
      </c>
      <c r="B1903" s="1" t="s">
        <v>46</v>
      </c>
      <c r="C1903" s="2">
        <v>86</v>
      </c>
      <c r="D1903" s="2">
        <v>33</v>
      </c>
      <c r="E1903" s="1" t="s">
        <v>230</v>
      </c>
      <c r="F1903">
        <v>4</v>
      </c>
      <c r="G1903">
        <v>5375.3</v>
      </c>
      <c r="H1903">
        <v>0</v>
      </c>
      <c r="I1903">
        <v>0</v>
      </c>
      <c r="J1903">
        <v>850.12</v>
      </c>
      <c r="K1903">
        <v>0</v>
      </c>
      <c r="L1903">
        <v>543.88</v>
      </c>
      <c r="M1903">
        <v>850.12</v>
      </c>
      <c r="N1903">
        <v>15.82</v>
      </c>
      <c r="O1903">
        <v>4525.18</v>
      </c>
      <c r="P1903">
        <v>0</v>
      </c>
      <c r="Q1903" t="str">
        <f>INDEX('Partner data'!A:DH,MATCH(C1903,'Partner data'!DG:DG,0),83)</f>
        <v>Soggetto pubblico</v>
      </c>
      <c r="R1903" t="b">
        <f>IF(E1903="staff",IF(INDEX('Partner data'!A:DH,MATCH(C1903,'Partner data'!DG:DG,0),112)="BL1 non presente","FALSO",INDEX('Partner data'!A:DH,MATCH(C1903,'Partner data'!DG:DG,0),112)))</f>
        <v>0</v>
      </c>
      <c r="S1903" t="b">
        <f t="shared" si="58"/>
        <v>1</v>
      </c>
      <c r="T1903" t="b">
        <f t="shared" si="59"/>
        <v>1</v>
      </c>
      <c r="U1903" s="154">
        <f>IFERROR(IF(R1903&lt;&gt;FALSE,IF(S1903=TRUE,INDEX('SummaryNOT_VALIDATED-BL'!$A$1:$F$16,MATCH(R1903,'SummaryNOT_VALIDATED-BL'!$A$1:$A$16,0),6),0),IF(S1903=TRUE,INDEX('SummaryNOT_VALIDATED-BL'!$A$1:$F$16,MATCH(E1903,'SummaryNOT_VALIDATED-BL'!$A$1:$A$16,0),6),0)),0)</f>
        <v>6.3112622236488891E-2</v>
      </c>
      <c r="V1903" s="81" cm="1">
        <f t="array" ref="V1903">INDEX('Weight tables'!$A$24:$C$27,MATCH(1,(RendicontiTrasmessiBL__2[[#This Row],[Cut percentage on real costs + USC]]&gt;='Weight tables'!$B$24:$B$27)*(RendicontiTrasmessiBL__2[[#This Row],[Cut percentage on real costs + USC]]&lt;='Weight tables'!$C$24:$C$27),0),1)</f>
        <v>4</v>
      </c>
      <c r="W1903" s="2">
        <f>RendicontiTrasmessiBL__2[[#This Row],[Weight real costs  + USC ]]</f>
        <v>4</v>
      </c>
    </row>
    <row r="1904" spans="1:23" x14ac:dyDescent="0.25">
      <c r="A1904" s="1" t="s">
        <v>310</v>
      </c>
      <c r="B1904" s="1" t="s">
        <v>46</v>
      </c>
      <c r="C1904" s="2">
        <v>86</v>
      </c>
      <c r="D1904" s="2">
        <v>33</v>
      </c>
      <c r="E1904" s="1" t="s">
        <v>231</v>
      </c>
      <c r="G1904">
        <v>42500</v>
      </c>
      <c r="H1904">
        <v>0</v>
      </c>
      <c r="I1904">
        <v>0</v>
      </c>
      <c r="J1904">
        <v>694</v>
      </c>
      <c r="K1904">
        <v>0</v>
      </c>
      <c r="L1904">
        <v>694</v>
      </c>
      <c r="M1904">
        <v>694</v>
      </c>
      <c r="N1904">
        <v>1.63</v>
      </c>
      <c r="O1904">
        <v>41806</v>
      </c>
      <c r="P1904">
        <v>0</v>
      </c>
      <c r="Q1904" t="str">
        <f>INDEX('Partner data'!A:DH,MATCH(C1904,'Partner data'!DG:DG,0),83)</f>
        <v>Soggetto pubblico</v>
      </c>
      <c r="R1904" t="b">
        <f>IF(E1904="staff",IF(INDEX('Partner data'!A:DH,MATCH(C1904,'Partner data'!DG:DG,0),112)="BL1 non presente","FALSO",INDEX('Partner data'!A:DH,MATCH(C1904,'Partner data'!DG:DG,0),112)))</f>
        <v>0</v>
      </c>
      <c r="S1904" t="b">
        <f t="shared" si="58"/>
        <v>1</v>
      </c>
      <c r="T1904" t="b">
        <f t="shared" si="59"/>
        <v>1</v>
      </c>
      <c r="U1904" s="154">
        <f>IFERROR(IF(R1904&lt;&gt;FALSE,IF(S1904=TRUE,INDEX('SummaryNOT_VALIDATED-BL'!$A$1:$F$16,MATCH(R1904,'SummaryNOT_VALIDATED-BL'!$A$1:$A$16,0),6),0),IF(S1904=TRUE,INDEX('SummaryNOT_VALIDATED-BL'!$A$1:$F$16,MATCH(E1904,'SummaryNOT_VALIDATED-BL'!$A$1:$A$16,0),6),0)),0)</f>
        <v>5.577594442215475E-2</v>
      </c>
      <c r="V1904" s="81" cm="1">
        <f t="array" ref="V1904">INDEX('Weight tables'!$A$24:$C$27,MATCH(1,(RendicontiTrasmessiBL__2[[#This Row],[Cut percentage on real costs + USC]]&gt;='Weight tables'!$B$24:$B$27)*(RendicontiTrasmessiBL__2[[#This Row],[Cut percentage on real costs + USC]]&lt;='Weight tables'!$C$24:$C$27),0),1)</f>
        <v>4</v>
      </c>
      <c r="W1904" s="2">
        <f>RendicontiTrasmessiBL__2[[#This Row],[Weight real costs  + USC ]]</f>
        <v>4</v>
      </c>
    </row>
    <row r="1905" spans="1:23" x14ac:dyDescent="0.25">
      <c r="A1905" s="1" t="s">
        <v>310</v>
      </c>
      <c r="B1905" s="1" t="s">
        <v>46</v>
      </c>
      <c r="C1905" s="2">
        <v>86</v>
      </c>
      <c r="D1905" s="2">
        <v>33</v>
      </c>
      <c r="E1905" s="1" t="s">
        <v>232</v>
      </c>
      <c r="G1905">
        <v>22550</v>
      </c>
      <c r="H1905">
        <v>0</v>
      </c>
      <c r="I1905">
        <v>0</v>
      </c>
      <c r="J1905">
        <v>2641</v>
      </c>
      <c r="K1905">
        <v>0</v>
      </c>
      <c r="L1905">
        <v>2641</v>
      </c>
      <c r="M1905">
        <v>2641</v>
      </c>
      <c r="N1905">
        <v>11.71</v>
      </c>
      <c r="O1905">
        <v>19909</v>
      </c>
      <c r="P1905">
        <v>0</v>
      </c>
      <c r="Q1905" t="str">
        <f>INDEX('Partner data'!A:DH,MATCH(C1905,'Partner data'!DG:DG,0),83)</f>
        <v>Soggetto pubblico</v>
      </c>
      <c r="R1905" t="b">
        <f>IF(E1905="staff",IF(INDEX('Partner data'!A:DH,MATCH(C1905,'Partner data'!DG:DG,0),112)="BL1 non presente","FALSO",INDEX('Partner data'!A:DH,MATCH(C1905,'Partner data'!DG:DG,0),112)))</f>
        <v>0</v>
      </c>
      <c r="S1905" t="b">
        <f t="shared" si="58"/>
        <v>1</v>
      </c>
      <c r="T1905" t="b">
        <f t="shared" si="59"/>
        <v>1</v>
      </c>
      <c r="U1905" s="154">
        <f>IFERROR(IF(R1905&lt;&gt;FALSE,IF(S1905=TRUE,INDEX('SummaryNOT_VALIDATED-BL'!$A$1:$F$16,MATCH(R1905,'SummaryNOT_VALIDATED-BL'!$A$1:$A$16,0),6),0),IF(S1905=TRUE,INDEX('SummaryNOT_VALIDATED-BL'!$A$1:$F$16,MATCH(E1905,'SummaryNOT_VALIDATED-BL'!$A$1:$A$16,0),6),0)),0)</f>
        <v>1.102169095281242E-2</v>
      </c>
      <c r="V1905" s="81" cm="1">
        <f t="array" ref="V1905">INDEX('Weight tables'!$A$24:$C$27,MATCH(1,(RendicontiTrasmessiBL__2[[#This Row],[Cut percentage on real costs + USC]]&gt;='Weight tables'!$B$24:$B$27)*(RendicontiTrasmessiBL__2[[#This Row],[Cut percentage on real costs + USC]]&lt;='Weight tables'!$C$24:$C$27),0),1)</f>
        <v>0</v>
      </c>
      <c r="W1905" s="2">
        <f>RendicontiTrasmessiBL__2[[#This Row],[Weight real costs  + USC ]]</f>
        <v>0</v>
      </c>
    </row>
    <row r="1906" spans="1:23" x14ac:dyDescent="0.25">
      <c r="A1906" s="1" t="s">
        <v>310</v>
      </c>
      <c r="B1906" s="1" t="s">
        <v>46</v>
      </c>
      <c r="C1906" s="2">
        <v>86</v>
      </c>
      <c r="D1906" s="2">
        <v>33</v>
      </c>
      <c r="E1906" s="1" t="s">
        <v>233</v>
      </c>
      <c r="G1906">
        <v>0</v>
      </c>
      <c r="H1906">
        <v>0</v>
      </c>
      <c r="I1906">
        <v>0</v>
      </c>
      <c r="J1906">
        <v>0</v>
      </c>
      <c r="K1906">
        <v>0</v>
      </c>
      <c r="L1906">
        <v>0</v>
      </c>
      <c r="M1906">
        <v>0</v>
      </c>
      <c r="N1906">
        <v>0</v>
      </c>
      <c r="O1906">
        <v>0</v>
      </c>
      <c r="P1906">
        <v>0</v>
      </c>
      <c r="Q1906" t="str">
        <f>INDEX('Partner data'!A:DH,MATCH(C1906,'Partner data'!DG:DG,0),83)</f>
        <v>Soggetto pubblico</v>
      </c>
      <c r="R1906" t="b">
        <f>IF(E1906="staff",IF(INDEX('Partner data'!A:DH,MATCH(C1906,'Partner data'!DG:DG,0),112)="BL1 non presente","FALSO",INDEX('Partner data'!A:DH,MATCH(C1906,'Partner data'!DG:DG,0),112)))</f>
        <v>0</v>
      </c>
      <c r="S1906" t="b">
        <f t="shared" si="58"/>
        <v>0</v>
      </c>
      <c r="T1906" t="b">
        <f t="shared" si="59"/>
        <v>1</v>
      </c>
      <c r="U1906" s="154">
        <f>IFERROR(IF(R1906&lt;&gt;FALSE,IF(S1906=TRUE,INDEX('SummaryNOT_VALIDATED-BL'!$A$1:$F$16,MATCH(R1906,'SummaryNOT_VALIDATED-BL'!$A$1:$A$16,0),6),0),IF(S1906=TRUE,INDEX('SummaryNOT_VALIDATED-BL'!$A$1:$F$16,MATCH(E1906,'SummaryNOT_VALIDATED-BL'!$A$1:$A$16,0),6),0)),0)</f>
        <v>0</v>
      </c>
      <c r="V1906" s="81" cm="1">
        <f t="array" ref="V1906">INDEX('Weight tables'!$A$24:$C$27,MATCH(1,(RendicontiTrasmessiBL__2[[#This Row],[Cut percentage on real costs + USC]]&gt;='Weight tables'!$B$24:$B$27)*(RendicontiTrasmessiBL__2[[#This Row],[Cut percentage on real costs + USC]]&lt;='Weight tables'!$C$24:$C$27),0),1)</f>
        <v>0</v>
      </c>
      <c r="W1906" s="2">
        <f>RendicontiTrasmessiBL__2[[#This Row],[Weight real costs  + USC ]]</f>
        <v>0</v>
      </c>
    </row>
    <row r="1907" spans="1:23" x14ac:dyDescent="0.25">
      <c r="A1907" s="1" t="s">
        <v>310</v>
      </c>
      <c r="B1907" s="1" t="s">
        <v>46</v>
      </c>
      <c r="C1907" s="2">
        <v>86</v>
      </c>
      <c r="D1907" s="2">
        <v>33</v>
      </c>
      <c r="E1907" s="1" t="s">
        <v>234</v>
      </c>
      <c r="G1907">
        <v>0</v>
      </c>
      <c r="H1907">
        <v>0</v>
      </c>
      <c r="I1907">
        <v>0</v>
      </c>
      <c r="J1907">
        <v>0</v>
      </c>
      <c r="K1907">
        <v>0</v>
      </c>
      <c r="L1907">
        <v>0</v>
      </c>
      <c r="M1907">
        <v>0</v>
      </c>
      <c r="N1907">
        <v>0</v>
      </c>
      <c r="O1907">
        <v>0</v>
      </c>
      <c r="P1907">
        <v>0</v>
      </c>
      <c r="Q1907" t="str">
        <f>INDEX('Partner data'!A:DH,MATCH(C1907,'Partner data'!DG:DG,0),83)</f>
        <v>Soggetto pubblico</v>
      </c>
      <c r="R1907" t="b">
        <f>IF(E1907="staff",IF(INDEX('Partner data'!A:DH,MATCH(C1907,'Partner data'!DG:DG,0),112)="BL1 non presente","FALSO",INDEX('Partner data'!A:DH,MATCH(C1907,'Partner data'!DG:DG,0),112)))</f>
        <v>0</v>
      </c>
      <c r="S1907" t="b">
        <f t="shared" si="58"/>
        <v>0</v>
      </c>
      <c r="T1907" t="b">
        <f t="shared" si="59"/>
        <v>1</v>
      </c>
      <c r="U1907" s="154">
        <f>IFERROR(IF(R1907&lt;&gt;FALSE,IF(S1907=TRUE,INDEX('SummaryNOT_VALIDATED-BL'!$A$1:$F$16,MATCH(R1907,'SummaryNOT_VALIDATED-BL'!$A$1:$A$16,0),6),0),IF(S1907=TRUE,INDEX('SummaryNOT_VALIDATED-BL'!$A$1:$F$16,MATCH(E1907,'SummaryNOT_VALIDATED-BL'!$A$1:$A$16,0),6),0)),0)</f>
        <v>0</v>
      </c>
      <c r="V1907" s="81" cm="1">
        <f t="array" ref="V1907">INDEX('Weight tables'!$A$24:$C$27,MATCH(1,(RendicontiTrasmessiBL__2[[#This Row],[Cut percentage on real costs + USC]]&gt;='Weight tables'!$B$24:$B$27)*(RendicontiTrasmessiBL__2[[#This Row],[Cut percentage on real costs + USC]]&lt;='Weight tables'!$C$24:$C$27),0),1)</f>
        <v>0</v>
      </c>
      <c r="W1907" s="2">
        <f>RendicontiTrasmessiBL__2[[#This Row],[Weight real costs  + USC ]]</f>
        <v>0</v>
      </c>
    </row>
    <row r="1908" spans="1:23" x14ac:dyDescent="0.25">
      <c r="A1908" s="1" t="s">
        <v>310</v>
      </c>
      <c r="B1908" s="1" t="s">
        <v>46</v>
      </c>
      <c r="C1908" s="2">
        <v>86</v>
      </c>
      <c r="D1908" s="2">
        <v>33</v>
      </c>
      <c r="E1908" s="1" t="s">
        <v>236</v>
      </c>
      <c r="G1908">
        <v>0</v>
      </c>
      <c r="H1908">
        <v>0</v>
      </c>
      <c r="I1908">
        <v>0</v>
      </c>
      <c r="J1908">
        <v>0</v>
      </c>
      <c r="K1908">
        <v>0</v>
      </c>
      <c r="L1908">
        <v>0</v>
      </c>
      <c r="M1908">
        <v>0</v>
      </c>
      <c r="N1908">
        <v>0</v>
      </c>
      <c r="O1908">
        <v>0</v>
      </c>
      <c r="P1908">
        <v>0</v>
      </c>
      <c r="Q1908" t="str">
        <f>INDEX('Partner data'!A:DH,MATCH(C1908,'Partner data'!DG:DG,0),83)</f>
        <v>Soggetto pubblico</v>
      </c>
      <c r="R1908" t="b">
        <f>IF(E1908="staff",IF(INDEX('Partner data'!A:DH,MATCH(C1908,'Partner data'!DG:DG,0),112)="BL1 non presente","FALSO",INDEX('Partner data'!A:DH,MATCH(C1908,'Partner data'!DG:DG,0),112)))</f>
        <v>0</v>
      </c>
      <c r="S1908" t="b">
        <f t="shared" si="58"/>
        <v>0</v>
      </c>
      <c r="T1908" t="b">
        <f t="shared" si="59"/>
        <v>1</v>
      </c>
      <c r="U1908" s="154">
        <f>IFERROR(IF(R1908&lt;&gt;FALSE,IF(S1908=TRUE,INDEX('SummaryNOT_VALIDATED-BL'!$A$1:$F$16,MATCH(R1908,'SummaryNOT_VALIDATED-BL'!$A$1:$A$16,0),6),0),IF(S1908=TRUE,INDEX('SummaryNOT_VALIDATED-BL'!$A$1:$F$16,MATCH(E1908,'SummaryNOT_VALIDATED-BL'!$A$1:$A$16,0),6),0)),0)</f>
        <v>0</v>
      </c>
      <c r="V1908" s="81" cm="1">
        <f t="array" ref="V1908">INDEX('Weight tables'!$A$24:$C$27,MATCH(1,(RendicontiTrasmessiBL__2[[#This Row],[Cut percentage on real costs + USC]]&gt;='Weight tables'!$B$24:$B$27)*(RendicontiTrasmessiBL__2[[#This Row],[Cut percentage on real costs + USC]]&lt;='Weight tables'!$C$24:$C$27),0),1)</f>
        <v>0</v>
      </c>
      <c r="W1908" s="2">
        <f>RendicontiTrasmessiBL__2[[#This Row],[Weight real costs  + USC ]]</f>
        <v>0</v>
      </c>
    </row>
    <row r="1909" spans="1:23" x14ac:dyDescent="0.25">
      <c r="A1909" s="1" t="s">
        <v>310</v>
      </c>
      <c r="B1909" s="1" t="s">
        <v>46</v>
      </c>
      <c r="C1909" s="2">
        <v>86</v>
      </c>
      <c r="D1909" s="2">
        <v>33</v>
      </c>
      <c r="E1909" s="1" t="s">
        <v>237</v>
      </c>
      <c r="G1909">
        <v>0</v>
      </c>
      <c r="H1909">
        <v>0</v>
      </c>
      <c r="I1909">
        <v>0</v>
      </c>
      <c r="J1909">
        <v>0</v>
      </c>
      <c r="K1909">
        <v>0</v>
      </c>
      <c r="L1909">
        <v>0</v>
      </c>
      <c r="M1909">
        <v>0</v>
      </c>
      <c r="N1909">
        <v>0</v>
      </c>
      <c r="O1909">
        <v>0</v>
      </c>
      <c r="P1909">
        <v>0</v>
      </c>
      <c r="Q1909" t="str">
        <f>INDEX('Partner data'!A:DH,MATCH(C1909,'Partner data'!DG:DG,0),83)</f>
        <v>Soggetto pubblico</v>
      </c>
      <c r="R1909" t="b">
        <f>IF(E1909="staff",IF(INDEX('Partner data'!A:DH,MATCH(C1909,'Partner data'!DG:DG,0),112)="BL1 non presente","FALSO",INDEX('Partner data'!A:DH,MATCH(C1909,'Partner data'!DG:DG,0),112)))</f>
        <v>0</v>
      </c>
      <c r="S1909" t="b">
        <f t="shared" si="58"/>
        <v>0</v>
      </c>
      <c r="T1909" t="b">
        <f t="shared" si="59"/>
        <v>1</v>
      </c>
      <c r="U1909" s="154">
        <f>IFERROR(IF(R1909&lt;&gt;FALSE,IF(S1909=TRUE,INDEX('SummaryNOT_VALIDATED-BL'!$A$1:$F$16,MATCH(R1909,'SummaryNOT_VALIDATED-BL'!$A$1:$A$16,0),6),0),IF(S1909=TRUE,INDEX('SummaryNOT_VALIDATED-BL'!$A$1:$F$16,MATCH(E1909,'SummaryNOT_VALIDATED-BL'!$A$1:$A$16,0),6),0)),0)</f>
        <v>0</v>
      </c>
      <c r="V1909" s="81" cm="1">
        <f t="array" ref="V1909">INDEX('Weight tables'!$A$24:$C$27,MATCH(1,(RendicontiTrasmessiBL__2[[#This Row],[Cut percentage on real costs + USC]]&gt;='Weight tables'!$B$24:$B$27)*(RendicontiTrasmessiBL__2[[#This Row],[Cut percentage on real costs + USC]]&lt;='Weight tables'!$C$24:$C$27),0),1)</f>
        <v>0</v>
      </c>
      <c r="W1909" s="2">
        <f>RendicontiTrasmessiBL__2[[#This Row],[Weight real costs  + USC ]]</f>
        <v>0</v>
      </c>
    </row>
    <row r="1910" spans="1:23" x14ac:dyDescent="0.25">
      <c r="A1910" s="1" t="s">
        <v>58</v>
      </c>
      <c r="B1910" s="202" t="s">
        <v>25</v>
      </c>
      <c r="C1910" s="2">
        <v>10</v>
      </c>
      <c r="D1910" s="2">
        <v>350</v>
      </c>
      <c r="E1910" s="1" t="s">
        <v>228</v>
      </c>
      <c r="J1910" s="201">
        <v>10896</v>
      </c>
      <c r="Q1910" t="str">
        <f>INDEX('Partner data'!A:DH,MATCH(C1910,'Partner data'!DG:DG,0),83)</f>
        <v>Soggetto pubblico</v>
      </c>
      <c r="R1910" t="str">
        <f>IF(E1910="staff",IF(INDEX('Partner data'!A:DH,MATCH(C1910,'Partner data'!DG:DG,0),112)="BL1 non presente","FALSO",INDEX('Partner data'!A:DH,MATCH(C1910,'Partner data'!DG:DG,0),112)))</f>
        <v>Costo Unitario Standard</v>
      </c>
      <c r="S1910" s="86" t="b">
        <f t="shared" ref="S1910:S1941" si="60">IF(J1910&lt;&gt;0,TRUE,FALSE)</f>
        <v>1</v>
      </c>
      <c r="T1910" t="b">
        <f t="shared" ref="T1910:T1941" si="61">OR(Q1910="Soggetto pubblico",Q1910="Organismo di diritto pubblico ")</f>
        <v>1</v>
      </c>
      <c r="U1910" s="154">
        <f>IFERROR(IF(R1910&lt;&gt;FALSE,IF(S1910=TRUE,INDEX('SummaryNOT_VALIDATED-BL'!$A$1:$F$16,MATCH(R1910,'SummaryNOT_VALIDATED-BL'!$A$1:$A$16,0),6),0),IF(S1910=TRUE,INDEX('SummaryNOT_VALIDATED-BL'!$A$1:$F$16,MATCH(E1910,'SummaryNOT_VALIDATED-BL'!$A$1:$A$16,0),6),0)),0)</f>
        <v>3.2052879635441428E-2</v>
      </c>
      <c r="V1910" s="81" cm="1">
        <f t="array" ref="V1910">INDEX('Weight tables'!$A$24:$C$27,MATCH(1,(RendicontiTrasmessiBL__2[[#This Row],[Cut percentage on real costs + USC]]&gt;='Weight tables'!$B$24:$B$27)*(RendicontiTrasmessiBL__2[[#This Row],[Cut percentage on real costs + USC]]&lt;='Weight tables'!$C$24:$C$27),0),1)</f>
        <v>2</v>
      </c>
      <c r="W1910" s="2">
        <f>RendicontiTrasmessiBL__2[[#This Row],[Weight real costs  + USC ]]</f>
        <v>2</v>
      </c>
    </row>
    <row r="1911" spans="1:23" x14ac:dyDescent="0.25">
      <c r="A1911" s="1" t="s">
        <v>58</v>
      </c>
      <c r="B1911" s="202" t="s">
        <v>25</v>
      </c>
      <c r="C1911" s="2">
        <v>10</v>
      </c>
      <c r="D1911" s="2">
        <v>350</v>
      </c>
      <c r="E1911" s="1" t="s">
        <v>229</v>
      </c>
      <c r="J1911" s="42">
        <f>J1910*0.15</f>
        <v>1634.3999999999999</v>
      </c>
      <c r="Q1911" t="str">
        <f>INDEX('Partner data'!A:DH,MATCH(C1911,'Partner data'!DG:DG,0),83)</f>
        <v>Soggetto pubblico</v>
      </c>
      <c r="R1911" t="b">
        <f>IF(E1911="staff",IF(INDEX('Partner data'!A:DH,MATCH(C1911,'Partner data'!DG:DG,0),112)="BL1 non presente","FALSO",INDEX('Partner data'!A:DH,MATCH(C1911,'Partner data'!DG:DG,0),112)))</f>
        <v>0</v>
      </c>
      <c r="S1911" s="86" t="b">
        <f t="shared" si="60"/>
        <v>1</v>
      </c>
      <c r="T1911" t="b">
        <f t="shared" si="61"/>
        <v>1</v>
      </c>
      <c r="U1911" s="154">
        <f>IFERROR(IF(R1911&lt;&gt;FALSE,IF(S1911=TRUE,INDEX('SummaryNOT_VALIDATED-BL'!$A$1:$F$16,MATCH(R1911,'SummaryNOT_VALIDATED-BL'!$A$1:$A$16,0),6),0),IF(S1911=TRUE,INDEX('SummaryNOT_VALIDATED-BL'!$A$1:$F$16,MATCH(E1911,'SummaryNOT_VALIDATED-BL'!$A$1:$A$16,0),6),0)),0)</f>
        <v>6.6460469504890221E-2</v>
      </c>
      <c r="V1911" s="81" cm="1">
        <f t="array" ref="V1911">INDEX('Weight tables'!$A$24:$C$27,MATCH(1,(RendicontiTrasmessiBL__2[[#This Row],[Cut percentage on real costs + USC]]&gt;='Weight tables'!$B$24:$B$27)*(RendicontiTrasmessiBL__2[[#This Row],[Cut percentage on real costs + USC]]&lt;='Weight tables'!$C$24:$C$27),0),1)</f>
        <v>4</v>
      </c>
      <c r="W1911" s="2">
        <f>RendicontiTrasmessiBL__2[[#This Row],[Weight real costs  + USC ]]</f>
        <v>4</v>
      </c>
    </row>
    <row r="1912" spans="1:23" x14ac:dyDescent="0.25">
      <c r="A1912" s="1" t="s">
        <v>58</v>
      </c>
      <c r="B1912" s="202" t="s">
        <v>25</v>
      </c>
      <c r="C1912" s="2">
        <v>10</v>
      </c>
      <c r="D1912" s="2">
        <v>350</v>
      </c>
      <c r="E1912" s="1" t="s">
        <v>230</v>
      </c>
      <c r="J1912" s="42">
        <f>J1910*0.04</f>
        <v>435.84000000000003</v>
      </c>
      <c r="Q1912" t="str">
        <f>INDEX('Partner data'!A:DH,MATCH(C1912,'Partner data'!DG:DG,0),83)</f>
        <v>Soggetto pubblico</v>
      </c>
      <c r="R1912" t="b">
        <f>IF(E1912="staff",IF(INDEX('Partner data'!A:DH,MATCH(C1912,'Partner data'!DG:DG,0),112)="BL1 non presente","FALSO",INDEX('Partner data'!A:DH,MATCH(C1912,'Partner data'!DG:DG,0),112)))</f>
        <v>0</v>
      </c>
      <c r="S1912" s="86" t="b">
        <f t="shared" si="60"/>
        <v>1</v>
      </c>
      <c r="T1912" t="b">
        <f t="shared" si="61"/>
        <v>1</v>
      </c>
      <c r="U1912" s="154">
        <f>IFERROR(IF(R1912&lt;&gt;FALSE,IF(S1912=TRUE,INDEX('SummaryNOT_VALIDATED-BL'!$A$1:$F$16,MATCH(R1912,'SummaryNOT_VALIDATED-BL'!$A$1:$A$16,0),6),0),IF(S1912=TRUE,INDEX('SummaryNOT_VALIDATED-BL'!$A$1:$F$16,MATCH(E1912,'SummaryNOT_VALIDATED-BL'!$A$1:$A$16,0),6),0)),0)</f>
        <v>6.3112622236488891E-2</v>
      </c>
      <c r="V1912" s="81" cm="1">
        <f t="array" ref="V1912">INDEX('Weight tables'!$A$24:$C$27,MATCH(1,(RendicontiTrasmessiBL__2[[#This Row],[Cut percentage on real costs + USC]]&gt;='Weight tables'!$B$24:$B$27)*(RendicontiTrasmessiBL__2[[#This Row],[Cut percentage on real costs + USC]]&lt;='Weight tables'!$C$24:$C$27),0),1)</f>
        <v>4</v>
      </c>
      <c r="W1912" s="2">
        <f>RendicontiTrasmessiBL__2[[#This Row],[Weight real costs  + USC ]]</f>
        <v>4</v>
      </c>
    </row>
    <row r="1913" spans="1:23" x14ac:dyDescent="0.25">
      <c r="A1913" s="1" t="s">
        <v>58</v>
      </c>
      <c r="B1913" s="202" t="s">
        <v>25</v>
      </c>
      <c r="C1913" s="2">
        <v>10</v>
      </c>
      <c r="D1913" s="2">
        <v>350</v>
      </c>
      <c r="E1913" s="1" t="s">
        <v>231</v>
      </c>
      <c r="J1913" s="42">
        <v>20000</v>
      </c>
      <c r="Q1913" t="str">
        <f>INDEX('Partner data'!A:DH,MATCH(C1913,'Partner data'!DG:DG,0),83)</f>
        <v>Soggetto pubblico</v>
      </c>
      <c r="R1913" t="b">
        <f>IF(E1913="staff",IF(INDEX('Partner data'!A:DH,MATCH(C1913,'Partner data'!DG:DG,0),112)="BL1 non presente","FALSO",INDEX('Partner data'!A:DH,MATCH(C1913,'Partner data'!DG:DG,0),112)))</f>
        <v>0</v>
      </c>
      <c r="S1913" s="86" t="b">
        <f t="shared" si="60"/>
        <v>1</v>
      </c>
      <c r="T1913" t="b">
        <f t="shared" si="61"/>
        <v>1</v>
      </c>
      <c r="U1913" s="154">
        <f>IFERROR(IF(R1913&lt;&gt;FALSE,IF(S1913=TRUE,INDEX('SummaryNOT_VALIDATED-BL'!$A$1:$F$16,MATCH(R1913,'SummaryNOT_VALIDATED-BL'!$A$1:$A$16,0),6),0),IF(S1913=TRUE,INDEX('SummaryNOT_VALIDATED-BL'!$A$1:$F$16,MATCH(E1913,'SummaryNOT_VALIDATED-BL'!$A$1:$A$16,0),6),0)),0)</f>
        <v>5.577594442215475E-2</v>
      </c>
      <c r="V1913" s="81" cm="1">
        <f t="array" ref="V1913">INDEX('Weight tables'!$A$24:$C$27,MATCH(1,(RendicontiTrasmessiBL__2[[#This Row],[Cut percentage on real costs + USC]]&gt;='Weight tables'!$B$24:$B$27)*(RendicontiTrasmessiBL__2[[#This Row],[Cut percentage on real costs + USC]]&lt;='Weight tables'!$C$24:$C$27),0),1)</f>
        <v>4</v>
      </c>
      <c r="W1913" s="2">
        <f>RendicontiTrasmessiBL__2[[#This Row],[Weight real costs  + USC ]]</f>
        <v>4</v>
      </c>
    </row>
    <row r="1914" spans="1:23" x14ac:dyDescent="0.25">
      <c r="A1914" s="1" t="s">
        <v>58</v>
      </c>
      <c r="B1914" s="202" t="s">
        <v>25</v>
      </c>
      <c r="C1914" s="2">
        <v>10</v>
      </c>
      <c r="D1914" s="2">
        <v>350</v>
      </c>
      <c r="E1914" s="1" t="s">
        <v>232</v>
      </c>
      <c r="J1914">
        <v>0</v>
      </c>
      <c r="Q1914" t="str">
        <f>INDEX('Partner data'!A:DH,MATCH(C1914,'Partner data'!DG:DG,0),83)</f>
        <v>Soggetto pubblico</v>
      </c>
      <c r="R1914" t="b">
        <f>IF(E1914="staff",IF(INDEX('Partner data'!A:DH,MATCH(C1914,'Partner data'!DG:DG,0),112)="BL1 non presente","FALSO",INDEX('Partner data'!A:DH,MATCH(C1914,'Partner data'!DG:DG,0),112)))</f>
        <v>0</v>
      </c>
      <c r="S1914" s="86" t="b">
        <f t="shared" si="60"/>
        <v>0</v>
      </c>
      <c r="T1914" t="b">
        <f t="shared" si="61"/>
        <v>1</v>
      </c>
      <c r="U1914" s="154">
        <f>IFERROR(IF(R1914&lt;&gt;FALSE,IF(S1914=TRUE,INDEX('SummaryNOT_VALIDATED-BL'!$A$1:$F$16,MATCH(R1914,'SummaryNOT_VALIDATED-BL'!$A$1:$A$16,0),6),0),IF(S1914=TRUE,INDEX('SummaryNOT_VALIDATED-BL'!$A$1:$F$16,MATCH(E1914,'SummaryNOT_VALIDATED-BL'!$A$1:$A$16,0),6),0)),0)</f>
        <v>0</v>
      </c>
      <c r="V1914" s="81" cm="1">
        <f t="array" ref="V1914">INDEX('Weight tables'!$A$24:$C$27,MATCH(1,(RendicontiTrasmessiBL__2[[#This Row],[Cut percentage on real costs + USC]]&gt;='Weight tables'!$B$24:$B$27)*(RendicontiTrasmessiBL__2[[#This Row],[Cut percentage on real costs + USC]]&lt;='Weight tables'!$C$24:$C$27),0),1)</f>
        <v>0</v>
      </c>
      <c r="W1914" s="2">
        <f>RendicontiTrasmessiBL__2[[#This Row],[Weight real costs  + USC ]]</f>
        <v>0</v>
      </c>
    </row>
    <row r="1915" spans="1:23" x14ac:dyDescent="0.25">
      <c r="A1915" s="1" t="s">
        <v>58</v>
      </c>
      <c r="B1915" s="202" t="s">
        <v>25</v>
      </c>
      <c r="C1915" s="2">
        <v>10</v>
      </c>
      <c r="D1915" s="2">
        <v>350</v>
      </c>
      <c r="E1915" s="1" t="s">
        <v>233</v>
      </c>
      <c r="J1915">
        <v>0</v>
      </c>
      <c r="Q1915" t="str">
        <f>INDEX('Partner data'!A:DH,MATCH(C1915,'Partner data'!DG:DG,0),83)</f>
        <v>Soggetto pubblico</v>
      </c>
      <c r="R1915" t="b">
        <f>IF(E1915="staff",IF(INDEX('Partner data'!A:DH,MATCH(C1915,'Partner data'!DG:DG,0),112)="BL1 non presente","FALSO",INDEX('Partner data'!A:DH,MATCH(C1915,'Partner data'!DG:DG,0),112)))</f>
        <v>0</v>
      </c>
      <c r="S1915" s="86" t="b">
        <f t="shared" si="60"/>
        <v>0</v>
      </c>
      <c r="T1915" t="b">
        <f t="shared" si="61"/>
        <v>1</v>
      </c>
      <c r="U1915" s="154">
        <f>IFERROR(IF(R1915&lt;&gt;FALSE,IF(S1915=TRUE,INDEX('SummaryNOT_VALIDATED-BL'!$A$1:$F$16,MATCH(R1915,'SummaryNOT_VALIDATED-BL'!$A$1:$A$16,0),6),0),IF(S1915=TRUE,INDEX('SummaryNOT_VALIDATED-BL'!$A$1:$F$16,MATCH(E1915,'SummaryNOT_VALIDATED-BL'!$A$1:$A$16,0),6),0)),0)</f>
        <v>0</v>
      </c>
      <c r="V1915" s="81" cm="1">
        <f t="array" ref="V1915">INDEX('Weight tables'!$A$24:$C$27,MATCH(1,(RendicontiTrasmessiBL__2[[#This Row],[Cut percentage on real costs + USC]]&gt;='Weight tables'!$B$24:$B$27)*(RendicontiTrasmessiBL__2[[#This Row],[Cut percentage on real costs + USC]]&lt;='Weight tables'!$C$24:$C$27),0),1)</f>
        <v>0</v>
      </c>
      <c r="W1915" s="2">
        <f>RendicontiTrasmessiBL__2[[#This Row],[Weight real costs  + USC ]]</f>
        <v>0</v>
      </c>
    </row>
    <row r="1916" spans="1:23" x14ac:dyDescent="0.25">
      <c r="A1916" s="1" t="s">
        <v>58</v>
      </c>
      <c r="B1916" s="202" t="s">
        <v>25</v>
      </c>
      <c r="C1916" s="2">
        <v>10</v>
      </c>
      <c r="D1916" s="2">
        <v>350</v>
      </c>
      <c r="E1916" s="1" t="s">
        <v>234</v>
      </c>
      <c r="J1916">
        <v>0</v>
      </c>
      <c r="Q1916" t="str">
        <f>INDEX('Partner data'!A:DH,MATCH(C1916,'Partner data'!DG:DG,0),83)</f>
        <v>Soggetto pubblico</v>
      </c>
      <c r="R1916" t="b">
        <f>IF(E1916="staff",IF(INDEX('Partner data'!A:DH,MATCH(C1916,'Partner data'!DG:DG,0),112)="BL1 non presente","FALSO",INDEX('Partner data'!A:DH,MATCH(C1916,'Partner data'!DG:DG,0),112)))</f>
        <v>0</v>
      </c>
      <c r="S1916" s="86" t="b">
        <f t="shared" si="60"/>
        <v>0</v>
      </c>
      <c r="T1916" t="b">
        <f t="shared" si="61"/>
        <v>1</v>
      </c>
      <c r="U1916" s="154">
        <f>IFERROR(IF(R1916&lt;&gt;FALSE,IF(S1916=TRUE,INDEX('SummaryNOT_VALIDATED-BL'!$A$1:$F$16,MATCH(R1916,'SummaryNOT_VALIDATED-BL'!$A$1:$A$16,0),6),0),IF(S1916=TRUE,INDEX('SummaryNOT_VALIDATED-BL'!$A$1:$F$16,MATCH(E1916,'SummaryNOT_VALIDATED-BL'!$A$1:$A$16,0),6),0)),0)</f>
        <v>0</v>
      </c>
      <c r="V1916" s="81" cm="1">
        <f t="array" ref="V1916">INDEX('Weight tables'!$A$24:$C$27,MATCH(1,(RendicontiTrasmessiBL__2[[#This Row],[Cut percentage on real costs + USC]]&gt;='Weight tables'!$B$24:$B$27)*(RendicontiTrasmessiBL__2[[#This Row],[Cut percentage on real costs + USC]]&lt;='Weight tables'!$C$24:$C$27),0),1)</f>
        <v>0</v>
      </c>
      <c r="W1916" s="2">
        <f>RendicontiTrasmessiBL__2[[#This Row],[Weight real costs  + USC ]]</f>
        <v>0</v>
      </c>
    </row>
    <row r="1917" spans="1:23" x14ac:dyDescent="0.25">
      <c r="A1917" s="1" t="s">
        <v>58</v>
      </c>
      <c r="B1917" s="202" t="s">
        <v>25</v>
      </c>
      <c r="C1917" s="2">
        <v>10</v>
      </c>
      <c r="D1917" s="2">
        <v>350</v>
      </c>
      <c r="E1917" s="1" t="s">
        <v>235</v>
      </c>
      <c r="J1917">
        <v>0</v>
      </c>
      <c r="Q1917" t="str">
        <f>INDEX('Partner data'!A:DH,MATCH(C1917,'Partner data'!DG:DG,0),83)</f>
        <v>Soggetto pubblico</v>
      </c>
      <c r="R1917" t="b">
        <f>IF(E1917="staff",IF(INDEX('Partner data'!A:DH,MATCH(C1917,'Partner data'!DG:DG,0),112)="BL1 non presente","FALSO",INDEX('Partner data'!A:DH,MATCH(C1917,'Partner data'!DG:DG,0),112)))</f>
        <v>0</v>
      </c>
      <c r="S1917" s="86" t="b">
        <f t="shared" si="60"/>
        <v>0</v>
      </c>
      <c r="T1917" t="b">
        <f t="shared" si="61"/>
        <v>1</v>
      </c>
      <c r="U1917" s="154">
        <f>IFERROR(IF(R1917&lt;&gt;FALSE,IF(S1917=TRUE,INDEX('SummaryNOT_VALIDATED-BL'!$A$1:$F$16,MATCH(R1917,'SummaryNOT_VALIDATED-BL'!$A$1:$A$16,0),6),0),IF(S1917=TRUE,INDEX('SummaryNOT_VALIDATED-BL'!$A$1:$F$16,MATCH(E1917,'SummaryNOT_VALIDATED-BL'!$A$1:$A$16,0),6),0)),0)</f>
        <v>0</v>
      </c>
      <c r="V1917" s="81" cm="1">
        <f t="array" ref="V1917">INDEX('Weight tables'!$A$24:$C$27,MATCH(1,(RendicontiTrasmessiBL__2[[#This Row],[Cut percentage on real costs + USC]]&gt;='Weight tables'!$B$24:$B$27)*(RendicontiTrasmessiBL__2[[#This Row],[Cut percentage on real costs + USC]]&lt;='Weight tables'!$C$24:$C$27),0),1)</f>
        <v>0</v>
      </c>
      <c r="W1917" s="2">
        <f>RendicontiTrasmessiBL__2[[#This Row],[Weight real costs  + USC ]]</f>
        <v>0</v>
      </c>
    </row>
    <row r="1918" spans="1:23" x14ac:dyDescent="0.25">
      <c r="A1918" s="1" t="s">
        <v>58</v>
      </c>
      <c r="B1918" s="202" t="s">
        <v>25</v>
      </c>
      <c r="C1918" s="2">
        <v>10</v>
      </c>
      <c r="D1918" s="2">
        <v>350</v>
      </c>
      <c r="E1918" s="1" t="s">
        <v>236</v>
      </c>
      <c r="J1918">
        <v>0</v>
      </c>
      <c r="Q1918" t="str">
        <f>INDEX('Partner data'!A:DH,MATCH(C1918,'Partner data'!DG:DG,0),83)</f>
        <v>Soggetto pubblico</v>
      </c>
      <c r="R1918" t="b">
        <f>IF(E1918="staff",IF(INDEX('Partner data'!A:DH,MATCH(C1918,'Partner data'!DG:DG,0),112)="BL1 non presente","FALSO",INDEX('Partner data'!A:DH,MATCH(C1918,'Partner data'!DG:DG,0),112)))</f>
        <v>0</v>
      </c>
      <c r="S1918" s="86" t="b">
        <f t="shared" si="60"/>
        <v>0</v>
      </c>
      <c r="T1918" t="b">
        <f t="shared" si="61"/>
        <v>1</v>
      </c>
      <c r="U1918" s="154">
        <f>IFERROR(IF(R1918&lt;&gt;FALSE,IF(S1918=TRUE,INDEX('SummaryNOT_VALIDATED-BL'!$A$1:$F$16,MATCH(R1918,'SummaryNOT_VALIDATED-BL'!$A$1:$A$16,0),6),0),IF(S1918=TRUE,INDEX('SummaryNOT_VALIDATED-BL'!$A$1:$F$16,MATCH(E1918,'SummaryNOT_VALIDATED-BL'!$A$1:$A$16,0),6),0)),0)</f>
        <v>0</v>
      </c>
      <c r="V1918" s="81" cm="1">
        <f t="array" ref="V1918">INDEX('Weight tables'!$A$24:$C$27,MATCH(1,(RendicontiTrasmessiBL__2[[#This Row],[Cut percentage on real costs + USC]]&gt;='Weight tables'!$B$24:$B$27)*(RendicontiTrasmessiBL__2[[#This Row],[Cut percentage on real costs + USC]]&lt;='Weight tables'!$C$24:$C$27),0),1)</f>
        <v>0</v>
      </c>
      <c r="W1918" s="2">
        <f>RendicontiTrasmessiBL__2[[#This Row],[Weight real costs  + USC ]]</f>
        <v>0</v>
      </c>
    </row>
    <row r="1919" spans="1:23" x14ac:dyDescent="0.25">
      <c r="A1919" s="1" t="s">
        <v>58</v>
      </c>
      <c r="B1919" s="1" t="s">
        <v>30</v>
      </c>
      <c r="C1919" s="2">
        <v>12</v>
      </c>
      <c r="D1919" s="2">
        <v>351</v>
      </c>
      <c r="E1919" s="1" t="s">
        <v>228</v>
      </c>
      <c r="J1919" s="14">
        <v>26000</v>
      </c>
      <c r="Q1919" t="str">
        <f>INDEX('Partner data'!A:DH,MATCH(C1919,'Partner data'!DG:DG,0),83)</f>
        <v xml:space="preserve">Organismo di diritto pubblico </v>
      </c>
      <c r="R1919" t="str">
        <f>IF(E1919="staff",IF(INDEX('Partner data'!A:DH,MATCH(C1919,'Partner data'!DG:DG,0),112)="BL1 non presente","FALSO",INDEX('Partner data'!A:DH,MATCH(C1919,'Partner data'!DG:DG,0),112)))</f>
        <v>Costo Unitario Standard</v>
      </c>
      <c r="S1919" s="86" t="b">
        <f t="shared" si="60"/>
        <v>1</v>
      </c>
      <c r="T1919" t="b">
        <f t="shared" si="61"/>
        <v>1</v>
      </c>
      <c r="U1919" s="154">
        <f>IFERROR(IF(R1919&lt;&gt;FALSE,IF(S1919=TRUE,INDEX('SummaryNOT_VALIDATED-BL'!$A$1:$F$16,MATCH(R1919,'SummaryNOT_VALIDATED-BL'!$A$1:$A$16,0),6),0),IF(S1919=TRUE,INDEX('SummaryNOT_VALIDATED-BL'!$A$1:$F$16,MATCH(E1919,'SummaryNOT_VALIDATED-BL'!$A$1:$A$16,0),6),0)),0)</f>
        <v>3.2052879635441428E-2</v>
      </c>
      <c r="V1919" s="81" cm="1">
        <f t="array" ref="V1919">INDEX('Weight tables'!$A$24:$C$27,MATCH(1,(RendicontiTrasmessiBL__2[[#This Row],[Cut percentage on real costs + USC]]&gt;='Weight tables'!$B$24:$B$27)*(RendicontiTrasmessiBL__2[[#This Row],[Cut percentage on real costs + USC]]&lt;='Weight tables'!$C$24:$C$27),0),1)</f>
        <v>2</v>
      </c>
      <c r="W1919" s="2">
        <f>RendicontiTrasmessiBL__2[[#This Row],[Weight real costs  + USC ]]</f>
        <v>2</v>
      </c>
    </row>
    <row r="1920" spans="1:23" x14ac:dyDescent="0.25">
      <c r="A1920" s="1" t="s">
        <v>58</v>
      </c>
      <c r="B1920" s="1" t="s">
        <v>30</v>
      </c>
      <c r="C1920" s="2">
        <v>12</v>
      </c>
      <c r="D1920" s="2">
        <v>351</v>
      </c>
      <c r="E1920" s="1" t="s">
        <v>229</v>
      </c>
      <c r="J1920" s="14">
        <f>J1919*0.15</f>
        <v>3900</v>
      </c>
      <c r="Q1920" t="str">
        <f>INDEX('Partner data'!A:DH,MATCH(C1920,'Partner data'!DG:DG,0),83)</f>
        <v xml:space="preserve">Organismo di diritto pubblico </v>
      </c>
      <c r="R1920" t="b">
        <f>IF(E1920="staff",IF(INDEX('Partner data'!A:DH,MATCH(C1920,'Partner data'!DG:DG,0),112)="BL1 non presente","FALSO",INDEX('Partner data'!A:DH,MATCH(C1920,'Partner data'!DG:DG,0),112)))</f>
        <v>0</v>
      </c>
      <c r="S1920" s="86" t="b">
        <f t="shared" si="60"/>
        <v>1</v>
      </c>
      <c r="T1920" t="b">
        <f t="shared" si="61"/>
        <v>1</v>
      </c>
      <c r="U1920" s="154">
        <f>IFERROR(IF(R1920&lt;&gt;FALSE,IF(S1920=TRUE,INDEX('SummaryNOT_VALIDATED-BL'!$A$1:$F$16,MATCH(R1920,'SummaryNOT_VALIDATED-BL'!$A$1:$A$16,0),6),0),IF(S1920=TRUE,INDEX('SummaryNOT_VALIDATED-BL'!$A$1:$F$16,MATCH(E1920,'SummaryNOT_VALIDATED-BL'!$A$1:$A$16,0),6),0)),0)</f>
        <v>6.6460469504890221E-2</v>
      </c>
      <c r="V1920" s="81" cm="1">
        <f t="array" ref="V1920">INDEX('Weight tables'!$A$24:$C$27,MATCH(1,(RendicontiTrasmessiBL__2[[#This Row],[Cut percentage on real costs + USC]]&gt;='Weight tables'!$B$24:$B$27)*(RendicontiTrasmessiBL__2[[#This Row],[Cut percentage on real costs + USC]]&lt;='Weight tables'!$C$24:$C$27),0),1)</f>
        <v>4</v>
      </c>
      <c r="W1920" s="2">
        <f>RendicontiTrasmessiBL__2[[#This Row],[Weight real costs  + USC ]]</f>
        <v>4</v>
      </c>
    </row>
    <row r="1921" spans="1:23" x14ac:dyDescent="0.25">
      <c r="A1921" s="1" t="s">
        <v>58</v>
      </c>
      <c r="B1921" s="1" t="s">
        <v>30</v>
      </c>
      <c r="C1921" s="2">
        <v>12</v>
      </c>
      <c r="D1921" s="2">
        <v>351</v>
      </c>
      <c r="E1921" s="1" t="s">
        <v>230</v>
      </c>
      <c r="J1921" s="14">
        <f>J1919*0.04</f>
        <v>1040</v>
      </c>
      <c r="Q1921" t="str">
        <f>INDEX('Partner data'!A:DH,MATCH(C1921,'Partner data'!DG:DG,0),83)</f>
        <v xml:space="preserve">Organismo di diritto pubblico </v>
      </c>
      <c r="R1921" t="b">
        <f>IF(E1921="staff",IF(INDEX('Partner data'!A:DH,MATCH(C1921,'Partner data'!DG:DG,0),112)="BL1 non presente","FALSO",INDEX('Partner data'!A:DH,MATCH(C1921,'Partner data'!DG:DG,0),112)))</f>
        <v>0</v>
      </c>
      <c r="S1921" s="86" t="b">
        <f t="shared" si="60"/>
        <v>1</v>
      </c>
      <c r="T1921" t="b">
        <f t="shared" si="61"/>
        <v>1</v>
      </c>
      <c r="U1921" s="154">
        <f>IFERROR(IF(R1921&lt;&gt;FALSE,IF(S1921=TRUE,INDEX('SummaryNOT_VALIDATED-BL'!$A$1:$F$16,MATCH(R1921,'SummaryNOT_VALIDATED-BL'!$A$1:$A$16,0),6),0),IF(S1921=TRUE,INDEX('SummaryNOT_VALIDATED-BL'!$A$1:$F$16,MATCH(E1921,'SummaryNOT_VALIDATED-BL'!$A$1:$A$16,0),6),0)),0)</f>
        <v>6.3112622236488891E-2</v>
      </c>
      <c r="V1921" s="81" cm="1">
        <f t="array" ref="V1921">INDEX('Weight tables'!$A$24:$C$27,MATCH(1,(RendicontiTrasmessiBL__2[[#This Row],[Cut percentage on real costs + USC]]&gt;='Weight tables'!$B$24:$B$27)*(RendicontiTrasmessiBL__2[[#This Row],[Cut percentage on real costs + USC]]&lt;='Weight tables'!$C$24:$C$27),0),1)</f>
        <v>4</v>
      </c>
      <c r="W1921" s="2">
        <f>RendicontiTrasmessiBL__2[[#This Row],[Weight real costs  + USC ]]</f>
        <v>4</v>
      </c>
    </row>
    <row r="1922" spans="1:23" x14ac:dyDescent="0.25">
      <c r="A1922" s="1" t="s">
        <v>58</v>
      </c>
      <c r="B1922" s="1" t="s">
        <v>30</v>
      </c>
      <c r="C1922" s="2">
        <v>12</v>
      </c>
      <c r="D1922" s="2">
        <v>351</v>
      </c>
      <c r="E1922" s="1" t="s">
        <v>231</v>
      </c>
      <c r="J1922" s="14">
        <v>20000</v>
      </c>
      <c r="Q1922" t="str">
        <f>INDEX('Partner data'!A:DH,MATCH(C1922,'Partner data'!DG:DG,0),83)</f>
        <v xml:space="preserve">Organismo di diritto pubblico </v>
      </c>
      <c r="R1922" t="b">
        <f>IF(E1922="staff",IF(INDEX('Partner data'!A:DH,MATCH(C1922,'Partner data'!DG:DG,0),112)="BL1 non presente","FALSO",INDEX('Partner data'!A:DH,MATCH(C1922,'Partner data'!DG:DG,0),112)))</f>
        <v>0</v>
      </c>
      <c r="S1922" s="86" t="b">
        <f t="shared" si="60"/>
        <v>1</v>
      </c>
      <c r="T1922" t="b">
        <f t="shared" si="61"/>
        <v>1</v>
      </c>
      <c r="U1922" s="154">
        <f>IFERROR(IF(R1922&lt;&gt;FALSE,IF(S1922=TRUE,INDEX('SummaryNOT_VALIDATED-BL'!$A$1:$F$16,MATCH(R1922,'SummaryNOT_VALIDATED-BL'!$A$1:$A$16,0),6),0),IF(S1922=TRUE,INDEX('SummaryNOT_VALIDATED-BL'!$A$1:$F$16,MATCH(E1922,'SummaryNOT_VALIDATED-BL'!$A$1:$A$16,0),6),0)),0)</f>
        <v>5.577594442215475E-2</v>
      </c>
      <c r="V1922" s="81" cm="1">
        <f t="array" ref="V1922">INDEX('Weight tables'!$A$24:$C$27,MATCH(1,(RendicontiTrasmessiBL__2[[#This Row],[Cut percentage on real costs + USC]]&gt;='Weight tables'!$B$24:$B$27)*(RendicontiTrasmessiBL__2[[#This Row],[Cut percentage on real costs + USC]]&lt;='Weight tables'!$C$24:$C$27),0),1)</f>
        <v>4</v>
      </c>
      <c r="W1922" s="2">
        <f>RendicontiTrasmessiBL__2[[#This Row],[Weight real costs  + USC ]]</f>
        <v>4</v>
      </c>
    </row>
    <row r="1923" spans="1:23" x14ac:dyDescent="0.25">
      <c r="A1923" s="1" t="s">
        <v>58</v>
      </c>
      <c r="B1923" s="1" t="s">
        <v>30</v>
      </c>
      <c r="C1923" s="2">
        <v>12</v>
      </c>
      <c r="D1923" s="2">
        <v>351</v>
      </c>
      <c r="E1923" s="1" t="s">
        <v>232</v>
      </c>
      <c r="J1923">
        <v>0</v>
      </c>
      <c r="Q1923" t="str">
        <f>INDEX('Partner data'!A:DH,MATCH(C1923,'Partner data'!DG:DG,0),83)</f>
        <v xml:space="preserve">Organismo di diritto pubblico </v>
      </c>
      <c r="R1923" t="b">
        <f>IF(E1923="staff",IF(INDEX('Partner data'!A:DH,MATCH(C1923,'Partner data'!DG:DG,0),112)="BL1 non presente","FALSO",INDEX('Partner data'!A:DH,MATCH(C1923,'Partner data'!DG:DG,0),112)))</f>
        <v>0</v>
      </c>
      <c r="S1923" s="86" t="b">
        <f t="shared" si="60"/>
        <v>0</v>
      </c>
      <c r="T1923" t="b">
        <f t="shared" si="61"/>
        <v>1</v>
      </c>
      <c r="U1923" s="154">
        <f>IFERROR(IF(R1923&lt;&gt;FALSE,IF(S1923=TRUE,INDEX('SummaryNOT_VALIDATED-BL'!$A$1:$F$16,MATCH(R1923,'SummaryNOT_VALIDATED-BL'!$A$1:$A$16,0),6),0),IF(S1923=TRUE,INDEX('SummaryNOT_VALIDATED-BL'!$A$1:$F$16,MATCH(E1923,'SummaryNOT_VALIDATED-BL'!$A$1:$A$16,0),6),0)),0)</f>
        <v>0</v>
      </c>
      <c r="V1923" s="81" cm="1">
        <f t="array" ref="V1923">INDEX('Weight tables'!$A$24:$C$27,MATCH(1,(RendicontiTrasmessiBL__2[[#This Row],[Cut percentage on real costs + USC]]&gt;='Weight tables'!$B$24:$B$27)*(RendicontiTrasmessiBL__2[[#This Row],[Cut percentage on real costs + USC]]&lt;='Weight tables'!$C$24:$C$27),0),1)</f>
        <v>0</v>
      </c>
      <c r="W1923" s="2">
        <f>RendicontiTrasmessiBL__2[[#This Row],[Weight real costs  + USC ]]</f>
        <v>0</v>
      </c>
    </row>
    <row r="1924" spans="1:23" x14ac:dyDescent="0.25">
      <c r="A1924" s="1" t="s">
        <v>58</v>
      </c>
      <c r="B1924" s="1" t="s">
        <v>30</v>
      </c>
      <c r="C1924" s="2">
        <v>12</v>
      </c>
      <c r="D1924" s="2">
        <v>351</v>
      </c>
      <c r="E1924" s="1" t="s">
        <v>233</v>
      </c>
      <c r="J1924">
        <v>0</v>
      </c>
      <c r="Q1924" t="str">
        <f>INDEX('Partner data'!A:DH,MATCH(C1924,'Partner data'!DG:DG,0),83)</f>
        <v xml:space="preserve">Organismo di diritto pubblico </v>
      </c>
      <c r="R1924" t="b">
        <f>IF(E1924="staff",IF(INDEX('Partner data'!A:DH,MATCH(C1924,'Partner data'!DG:DG,0),112)="BL1 non presente","FALSO",INDEX('Partner data'!A:DH,MATCH(C1924,'Partner data'!DG:DG,0),112)))</f>
        <v>0</v>
      </c>
      <c r="S1924" s="86" t="b">
        <f t="shared" si="60"/>
        <v>0</v>
      </c>
      <c r="T1924" t="b">
        <f t="shared" si="61"/>
        <v>1</v>
      </c>
      <c r="U1924" s="154">
        <f>IFERROR(IF(R1924&lt;&gt;FALSE,IF(S1924=TRUE,INDEX('SummaryNOT_VALIDATED-BL'!$A$1:$F$16,MATCH(R1924,'SummaryNOT_VALIDATED-BL'!$A$1:$A$16,0),6),0),IF(S1924=TRUE,INDEX('SummaryNOT_VALIDATED-BL'!$A$1:$F$16,MATCH(E1924,'SummaryNOT_VALIDATED-BL'!$A$1:$A$16,0),6),0)),0)</f>
        <v>0</v>
      </c>
      <c r="V1924" s="81" cm="1">
        <f t="array" ref="V1924">INDEX('Weight tables'!$A$24:$C$27,MATCH(1,(RendicontiTrasmessiBL__2[[#This Row],[Cut percentage on real costs + USC]]&gt;='Weight tables'!$B$24:$B$27)*(RendicontiTrasmessiBL__2[[#This Row],[Cut percentage on real costs + USC]]&lt;='Weight tables'!$C$24:$C$27),0),1)</f>
        <v>0</v>
      </c>
      <c r="W1924" s="2">
        <f>RendicontiTrasmessiBL__2[[#This Row],[Weight real costs  + USC ]]</f>
        <v>0</v>
      </c>
    </row>
    <row r="1925" spans="1:23" x14ac:dyDescent="0.25">
      <c r="A1925" s="1" t="s">
        <v>58</v>
      </c>
      <c r="B1925" s="1" t="s">
        <v>30</v>
      </c>
      <c r="C1925" s="2">
        <v>12</v>
      </c>
      <c r="D1925" s="2">
        <v>351</v>
      </c>
      <c r="E1925" s="1" t="s">
        <v>234</v>
      </c>
      <c r="J1925">
        <v>0</v>
      </c>
      <c r="Q1925" t="str">
        <f>INDEX('Partner data'!A:DH,MATCH(C1925,'Partner data'!DG:DG,0),83)</f>
        <v xml:space="preserve">Organismo di diritto pubblico </v>
      </c>
      <c r="R1925" t="b">
        <f>IF(E1925="staff",IF(INDEX('Partner data'!A:DH,MATCH(C1925,'Partner data'!DG:DG,0),112)="BL1 non presente","FALSO",INDEX('Partner data'!A:DH,MATCH(C1925,'Partner data'!DG:DG,0),112)))</f>
        <v>0</v>
      </c>
      <c r="S1925" s="86" t="b">
        <f t="shared" si="60"/>
        <v>0</v>
      </c>
      <c r="T1925" t="b">
        <f t="shared" si="61"/>
        <v>1</v>
      </c>
      <c r="U1925" s="154">
        <f>IFERROR(IF(R1925&lt;&gt;FALSE,IF(S1925=TRUE,INDEX('SummaryNOT_VALIDATED-BL'!$A$1:$F$16,MATCH(R1925,'SummaryNOT_VALIDATED-BL'!$A$1:$A$16,0),6),0),IF(S1925=TRUE,INDEX('SummaryNOT_VALIDATED-BL'!$A$1:$F$16,MATCH(E1925,'SummaryNOT_VALIDATED-BL'!$A$1:$A$16,0),6),0)),0)</f>
        <v>0</v>
      </c>
      <c r="V1925" s="81" cm="1">
        <f t="array" ref="V1925">INDEX('Weight tables'!$A$24:$C$27,MATCH(1,(RendicontiTrasmessiBL__2[[#This Row],[Cut percentage on real costs + USC]]&gt;='Weight tables'!$B$24:$B$27)*(RendicontiTrasmessiBL__2[[#This Row],[Cut percentage on real costs + USC]]&lt;='Weight tables'!$C$24:$C$27),0),1)</f>
        <v>0</v>
      </c>
      <c r="W1925" s="2">
        <f>RendicontiTrasmessiBL__2[[#This Row],[Weight real costs  + USC ]]</f>
        <v>0</v>
      </c>
    </row>
    <row r="1926" spans="1:23" x14ac:dyDescent="0.25">
      <c r="A1926" s="1" t="s">
        <v>58</v>
      </c>
      <c r="B1926" s="1" t="s">
        <v>30</v>
      </c>
      <c r="C1926" s="2">
        <v>12</v>
      </c>
      <c r="D1926" s="2">
        <v>351</v>
      </c>
      <c r="E1926" s="1" t="s">
        <v>235</v>
      </c>
      <c r="J1926">
        <v>0</v>
      </c>
      <c r="Q1926" t="str">
        <f>INDEX('Partner data'!A:DH,MATCH(C1926,'Partner data'!DG:DG,0),83)</f>
        <v xml:space="preserve">Organismo di diritto pubblico </v>
      </c>
      <c r="R1926" t="b">
        <f>IF(E1926="staff",IF(INDEX('Partner data'!A:DH,MATCH(C1926,'Partner data'!DG:DG,0),112)="BL1 non presente","FALSO",INDEX('Partner data'!A:DH,MATCH(C1926,'Partner data'!DG:DG,0),112)))</f>
        <v>0</v>
      </c>
      <c r="S1926" s="86" t="b">
        <f t="shared" si="60"/>
        <v>0</v>
      </c>
      <c r="T1926" t="b">
        <f t="shared" si="61"/>
        <v>1</v>
      </c>
      <c r="U1926" s="154">
        <f>IFERROR(IF(R1926&lt;&gt;FALSE,IF(S1926=TRUE,INDEX('SummaryNOT_VALIDATED-BL'!$A$1:$F$16,MATCH(R1926,'SummaryNOT_VALIDATED-BL'!$A$1:$A$16,0),6),0),IF(S1926=TRUE,INDEX('SummaryNOT_VALIDATED-BL'!$A$1:$F$16,MATCH(E1926,'SummaryNOT_VALIDATED-BL'!$A$1:$A$16,0),6),0)),0)</f>
        <v>0</v>
      </c>
      <c r="V1926" s="81" cm="1">
        <f t="array" ref="V1926">INDEX('Weight tables'!$A$24:$C$27,MATCH(1,(RendicontiTrasmessiBL__2[[#This Row],[Cut percentage on real costs + USC]]&gt;='Weight tables'!$B$24:$B$27)*(RendicontiTrasmessiBL__2[[#This Row],[Cut percentage on real costs + USC]]&lt;='Weight tables'!$C$24:$C$27),0),1)</f>
        <v>0</v>
      </c>
      <c r="W1926" s="2">
        <f>RendicontiTrasmessiBL__2[[#This Row],[Weight real costs  + USC ]]</f>
        <v>0</v>
      </c>
    </row>
    <row r="1927" spans="1:23" x14ac:dyDescent="0.25">
      <c r="A1927" s="1" t="s">
        <v>58</v>
      </c>
      <c r="B1927" s="1" t="s">
        <v>30</v>
      </c>
      <c r="C1927" s="2">
        <v>12</v>
      </c>
      <c r="D1927" s="2">
        <v>351</v>
      </c>
      <c r="E1927" s="1" t="s">
        <v>236</v>
      </c>
      <c r="J1927">
        <v>0</v>
      </c>
      <c r="Q1927" t="str">
        <f>INDEX('Partner data'!A:DH,MATCH(C1927,'Partner data'!DG:DG,0),83)</f>
        <v xml:space="preserve">Organismo di diritto pubblico </v>
      </c>
      <c r="R1927" t="b">
        <f>IF(E1927="staff",IF(INDEX('Partner data'!A:DH,MATCH(C1927,'Partner data'!DG:DG,0),112)="BL1 non presente","FALSO",INDEX('Partner data'!A:DH,MATCH(C1927,'Partner data'!DG:DG,0),112)))</f>
        <v>0</v>
      </c>
      <c r="S1927" s="86" t="b">
        <f t="shared" si="60"/>
        <v>0</v>
      </c>
      <c r="T1927" t="b">
        <f t="shared" si="61"/>
        <v>1</v>
      </c>
      <c r="U1927" s="154">
        <f>IFERROR(IF(R1927&lt;&gt;FALSE,IF(S1927=TRUE,INDEX('SummaryNOT_VALIDATED-BL'!$A$1:$F$16,MATCH(R1927,'SummaryNOT_VALIDATED-BL'!$A$1:$A$16,0),6),0),IF(S1927=TRUE,INDEX('SummaryNOT_VALIDATED-BL'!$A$1:$F$16,MATCH(E1927,'SummaryNOT_VALIDATED-BL'!$A$1:$A$16,0),6),0)),0)</f>
        <v>0</v>
      </c>
      <c r="V1927" s="81" cm="1">
        <f t="array" ref="V1927">INDEX('Weight tables'!$A$24:$C$27,MATCH(1,(RendicontiTrasmessiBL__2[[#This Row],[Cut percentage on real costs + USC]]&gt;='Weight tables'!$B$24:$B$27)*(RendicontiTrasmessiBL__2[[#This Row],[Cut percentage on real costs + USC]]&lt;='Weight tables'!$C$24:$C$27),0),1)</f>
        <v>0</v>
      </c>
      <c r="W1927" s="2">
        <f>RendicontiTrasmessiBL__2[[#This Row],[Weight real costs  + USC ]]</f>
        <v>0</v>
      </c>
    </row>
    <row r="1928" spans="1:23" x14ac:dyDescent="0.25">
      <c r="A1928" s="1" t="s">
        <v>58</v>
      </c>
      <c r="B1928" s="1" t="s">
        <v>21</v>
      </c>
      <c r="C1928" s="2">
        <v>13</v>
      </c>
      <c r="D1928" s="2">
        <v>352</v>
      </c>
      <c r="E1928" s="1" t="s">
        <v>228</v>
      </c>
      <c r="J1928">
        <f>J1931*0.2</f>
        <v>5100</v>
      </c>
      <c r="Q1928" t="str">
        <f>INDEX('Partner data'!A:DH,MATCH(C1928,'Partner data'!DG:DG,0),83)</f>
        <v xml:space="preserve">Organismo di diritto pubblico </v>
      </c>
      <c r="R1928" t="str">
        <f>IF(E1928="staff",IF(INDEX('Partner data'!A:DH,MATCH(C1928,'Partner data'!DG:DG,0),112)="BL1 non presente","FALSO",INDEX('Partner data'!A:DH,MATCH(C1928,'Partner data'!DG:DG,0),112)))</f>
        <v>Tasso Forfettario 20%</v>
      </c>
      <c r="S1928" s="86" t="b">
        <f t="shared" si="60"/>
        <v>1</v>
      </c>
      <c r="T1928" t="b">
        <f t="shared" si="61"/>
        <v>1</v>
      </c>
      <c r="U1928" s="154">
        <f>IFERROR(IF(R1928&lt;&gt;FALSE,IF(S1928=TRUE,INDEX('SummaryNOT_VALIDATED-BL'!$A$1:$F$16,MATCH(R1928,'SummaryNOT_VALIDATED-BL'!$A$1:$A$16,0),6),0),IF(S1928=TRUE,INDEX('SummaryNOT_VALIDATED-BL'!$A$1:$F$16,MATCH(E1928,'SummaryNOT_VALIDATED-BL'!$A$1:$A$16,0),6),0)),0)</f>
        <v>1.2653355650533233E-2</v>
      </c>
      <c r="V1928" s="81" cm="1">
        <f t="array" ref="V1928">INDEX('Weight tables'!$A$24:$C$27,MATCH(1,(RendicontiTrasmessiBL__2[[#This Row],[Cut percentage on real costs + USC]]&gt;='Weight tables'!$B$24:$B$27)*(RendicontiTrasmessiBL__2[[#This Row],[Cut percentage on real costs + USC]]&lt;='Weight tables'!$C$24:$C$27),0),1)</f>
        <v>0</v>
      </c>
      <c r="W1928" s="2">
        <f>RendicontiTrasmessiBL__2[[#This Row],[Weight real costs  + USC ]]</f>
        <v>0</v>
      </c>
    </row>
    <row r="1929" spans="1:23" x14ac:dyDescent="0.25">
      <c r="A1929" s="1" t="s">
        <v>58</v>
      </c>
      <c r="B1929" s="1" t="s">
        <v>21</v>
      </c>
      <c r="C1929" s="2">
        <v>13</v>
      </c>
      <c r="D1929" s="2">
        <v>352</v>
      </c>
      <c r="E1929" s="1" t="s">
        <v>229</v>
      </c>
      <c r="J1929">
        <f>J1928*0.15</f>
        <v>765</v>
      </c>
      <c r="Q1929" t="str">
        <f>INDEX('Partner data'!A:DH,MATCH(C1929,'Partner data'!DG:DG,0),83)</f>
        <v xml:space="preserve">Organismo di diritto pubblico </v>
      </c>
      <c r="R1929" t="b">
        <f>IF(E1929="staff",IF(INDEX('Partner data'!A:DH,MATCH(C1929,'Partner data'!DG:DG,0),112)="BL1 non presente","FALSO",INDEX('Partner data'!A:DH,MATCH(C1929,'Partner data'!DG:DG,0),112)))</f>
        <v>0</v>
      </c>
      <c r="S1929" s="86" t="b">
        <f t="shared" si="60"/>
        <v>1</v>
      </c>
      <c r="T1929" t="b">
        <f t="shared" si="61"/>
        <v>1</v>
      </c>
      <c r="U1929" s="154">
        <f>IFERROR(IF(R1929&lt;&gt;FALSE,IF(S1929=TRUE,INDEX('SummaryNOT_VALIDATED-BL'!$A$1:$F$16,MATCH(R1929,'SummaryNOT_VALIDATED-BL'!$A$1:$A$16,0),6),0),IF(S1929=TRUE,INDEX('SummaryNOT_VALIDATED-BL'!$A$1:$F$16,MATCH(E1929,'SummaryNOT_VALIDATED-BL'!$A$1:$A$16,0),6),0)),0)</f>
        <v>6.6460469504890221E-2</v>
      </c>
      <c r="V1929" s="81" cm="1">
        <f t="array" ref="V1929">INDEX('Weight tables'!$A$24:$C$27,MATCH(1,(RendicontiTrasmessiBL__2[[#This Row],[Cut percentage on real costs + USC]]&gt;='Weight tables'!$B$24:$B$27)*(RendicontiTrasmessiBL__2[[#This Row],[Cut percentage on real costs + USC]]&lt;='Weight tables'!$C$24:$C$27),0),1)</f>
        <v>4</v>
      </c>
      <c r="W1929" s="2">
        <f>RendicontiTrasmessiBL__2[[#This Row],[Weight real costs  + USC ]]</f>
        <v>4</v>
      </c>
    </row>
    <row r="1930" spans="1:23" x14ac:dyDescent="0.25">
      <c r="A1930" s="1" t="s">
        <v>58</v>
      </c>
      <c r="B1930" s="1" t="s">
        <v>21</v>
      </c>
      <c r="C1930" s="2">
        <v>13</v>
      </c>
      <c r="D1930" s="2">
        <v>352</v>
      </c>
      <c r="E1930" s="1" t="s">
        <v>230</v>
      </c>
      <c r="J1930">
        <f>J1928*0.04</f>
        <v>204</v>
      </c>
      <c r="Q1930" t="str">
        <f>INDEX('Partner data'!A:DH,MATCH(C1930,'Partner data'!DG:DG,0),83)</f>
        <v xml:space="preserve">Organismo di diritto pubblico </v>
      </c>
      <c r="R1930" t="b">
        <f>IF(E1930="staff",IF(INDEX('Partner data'!A:DH,MATCH(C1930,'Partner data'!DG:DG,0),112)="BL1 non presente","FALSO",INDEX('Partner data'!A:DH,MATCH(C1930,'Partner data'!DG:DG,0),112)))</f>
        <v>0</v>
      </c>
      <c r="S1930" s="86" t="b">
        <f t="shared" si="60"/>
        <v>1</v>
      </c>
      <c r="T1930" t="b">
        <f t="shared" si="61"/>
        <v>1</v>
      </c>
      <c r="U1930" s="154">
        <f>IFERROR(IF(R1930&lt;&gt;FALSE,IF(S1930=TRUE,INDEX('SummaryNOT_VALIDATED-BL'!$A$1:$F$16,MATCH(R1930,'SummaryNOT_VALIDATED-BL'!$A$1:$A$16,0),6),0),IF(S1930=TRUE,INDEX('SummaryNOT_VALIDATED-BL'!$A$1:$F$16,MATCH(E1930,'SummaryNOT_VALIDATED-BL'!$A$1:$A$16,0),6),0)),0)</f>
        <v>6.3112622236488891E-2</v>
      </c>
      <c r="V1930" s="81" cm="1">
        <f t="array" ref="V1930">INDEX('Weight tables'!$A$24:$C$27,MATCH(1,(RendicontiTrasmessiBL__2[[#This Row],[Cut percentage on real costs + USC]]&gt;='Weight tables'!$B$24:$B$27)*(RendicontiTrasmessiBL__2[[#This Row],[Cut percentage on real costs + USC]]&lt;='Weight tables'!$C$24:$C$27),0),1)</f>
        <v>4</v>
      </c>
      <c r="W1930" s="2">
        <f>RendicontiTrasmessiBL__2[[#This Row],[Weight real costs  + USC ]]</f>
        <v>4</v>
      </c>
    </row>
    <row r="1931" spans="1:23" x14ac:dyDescent="0.25">
      <c r="A1931" s="1" t="s">
        <v>58</v>
      </c>
      <c r="B1931" s="1" t="s">
        <v>21</v>
      </c>
      <c r="C1931" s="2">
        <v>13</v>
      </c>
      <c r="D1931" s="2">
        <v>352</v>
      </c>
      <c r="E1931" s="1" t="s">
        <v>231</v>
      </c>
      <c r="J1931">
        <v>25500</v>
      </c>
      <c r="Q1931" t="str">
        <f>INDEX('Partner data'!A:DH,MATCH(C1931,'Partner data'!DG:DG,0),83)</f>
        <v xml:space="preserve">Organismo di diritto pubblico </v>
      </c>
      <c r="R1931" t="b">
        <f>IF(E1931="staff",IF(INDEX('Partner data'!A:DH,MATCH(C1931,'Partner data'!DG:DG,0),112)="BL1 non presente","FALSO",INDEX('Partner data'!A:DH,MATCH(C1931,'Partner data'!DG:DG,0),112)))</f>
        <v>0</v>
      </c>
      <c r="S1931" s="86" t="b">
        <f t="shared" si="60"/>
        <v>1</v>
      </c>
      <c r="T1931" t="b">
        <f t="shared" si="61"/>
        <v>1</v>
      </c>
      <c r="U1931" s="154">
        <f>IFERROR(IF(R1931&lt;&gt;FALSE,IF(S1931=TRUE,INDEX('SummaryNOT_VALIDATED-BL'!$A$1:$F$16,MATCH(R1931,'SummaryNOT_VALIDATED-BL'!$A$1:$A$16,0),6),0),IF(S1931=TRUE,INDEX('SummaryNOT_VALIDATED-BL'!$A$1:$F$16,MATCH(E1931,'SummaryNOT_VALIDATED-BL'!$A$1:$A$16,0),6),0)),0)</f>
        <v>5.577594442215475E-2</v>
      </c>
      <c r="V1931" s="81" cm="1">
        <f t="array" ref="V1931">INDEX('Weight tables'!$A$24:$C$27,MATCH(1,(RendicontiTrasmessiBL__2[[#This Row],[Cut percentage on real costs + USC]]&gt;='Weight tables'!$B$24:$B$27)*(RendicontiTrasmessiBL__2[[#This Row],[Cut percentage on real costs + USC]]&lt;='Weight tables'!$C$24:$C$27),0),1)</f>
        <v>4</v>
      </c>
      <c r="W1931" s="2">
        <f>RendicontiTrasmessiBL__2[[#This Row],[Weight real costs  + USC ]]</f>
        <v>4</v>
      </c>
    </row>
    <row r="1932" spans="1:23" x14ac:dyDescent="0.25">
      <c r="A1932" s="1" t="s">
        <v>58</v>
      </c>
      <c r="B1932" s="1" t="s">
        <v>21</v>
      </c>
      <c r="C1932" s="2">
        <v>13</v>
      </c>
      <c r="D1932" s="2">
        <v>352</v>
      </c>
      <c r="E1932" s="1" t="s">
        <v>232</v>
      </c>
      <c r="J1932">
        <v>0</v>
      </c>
      <c r="Q1932" t="str">
        <f>INDEX('Partner data'!A:DH,MATCH(C1932,'Partner data'!DG:DG,0),83)</f>
        <v xml:space="preserve">Organismo di diritto pubblico </v>
      </c>
      <c r="R1932" t="b">
        <f>IF(E1932="staff",IF(INDEX('Partner data'!A:DH,MATCH(C1932,'Partner data'!DG:DG,0),112)="BL1 non presente","FALSO",INDEX('Partner data'!A:DH,MATCH(C1932,'Partner data'!DG:DG,0),112)))</f>
        <v>0</v>
      </c>
      <c r="S1932" s="86" t="b">
        <f t="shared" si="60"/>
        <v>0</v>
      </c>
      <c r="T1932" t="b">
        <f t="shared" si="61"/>
        <v>1</v>
      </c>
      <c r="U1932" s="154">
        <f>IFERROR(IF(R1932&lt;&gt;FALSE,IF(S1932=TRUE,INDEX('SummaryNOT_VALIDATED-BL'!$A$1:$F$16,MATCH(R1932,'SummaryNOT_VALIDATED-BL'!$A$1:$A$16,0),6),0),IF(S1932=TRUE,INDEX('SummaryNOT_VALIDATED-BL'!$A$1:$F$16,MATCH(E1932,'SummaryNOT_VALIDATED-BL'!$A$1:$A$16,0),6),0)),0)</f>
        <v>0</v>
      </c>
      <c r="V1932" s="81" cm="1">
        <f t="array" ref="V1932">INDEX('Weight tables'!$A$24:$C$27,MATCH(1,(RendicontiTrasmessiBL__2[[#This Row],[Cut percentage on real costs + USC]]&gt;='Weight tables'!$B$24:$B$27)*(RendicontiTrasmessiBL__2[[#This Row],[Cut percentage on real costs + USC]]&lt;='Weight tables'!$C$24:$C$27),0),1)</f>
        <v>0</v>
      </c>
      <c r="W1932" s="2">
        <f>RendicontiTrasmessiBL__2[[#This Row],[Weight real costs  + USC ]]</f>
        <v>0</v>
      </c>
    </row>
    <row r="1933" spans="1:23" x14ac:dyDescent="0.25">
      <c r="A1933" s="1" t="s">
        <v>58</v>
      </c>
      <c r="B1933" s="1" t="s">
        <v>21</v>
      </c>
      <c r="C1933" s="2">
        <v>13</v>
      </c>
      <c r="D1933" s="2">
        <v>352</v>
      </c>
      <c r="E1933" s="1" t="s">
        <v>233</v>
      </c>
      <c r="J1933">
        <v>0</v>
      </c>
      <c r="Q1933" t="str">
        <f>INDEX('Partner data'!A:DH,MATCH(C1933,'Partner data'!DG:DG,0),83)</f>
        <v xml:space="preserve">Organismo di diritto pubblico </v>
      </c>
      <c r="R1933" t="b">
        <f>IF(E1933="staff",IF(INDEX('Partner data'!A:DH,MATCH(C1933,'Partner data'!DG:DG,0),112)="BL1 non presente","FALSO",INDEX('Partner data'!A:DH,MATCH(C1933,'Partner data'!DG:DG,0),112)))</f>
        <v>0</v>
      </c>
      <c r="S1933" s="86" t="b">
        <f t="shared" si="60"/>
        <v>0</v>
      </c>
      <c r="T1933" t="b">
        <f t="shared" si="61"/>
        <v>1</v>
      </c>
      <c r="U1933" s="154">
        <f>IFERROR(IF(R1933&lt;&gt;FALSE,IF(S1933=TRUE,INDEX('SummaryNOT_VALIDATED-BL'!$A$1:$F$16,MATCH(R1933,'SummaryNOT_VALIDATED-BL'!$A$1:$A$16,0),6),0),IF(S1933=TRUE,INDEX('SummaryNOT_VALIDATED-BL'!$A$1:$F$16,MATCH(E1933,'SummaryNOT_VALIDATED-BL'!$A$1:$A$16,0),6),0)),0)</f>
        <v>0</v>
      </c>
      <c r="V1933" s="81" cm="1">
        <f t="array" ref="V1933">INDEX('Weight tables'!$A$24:$C$27,MATCH(1,(RendicontiTrasmessiBL__2[[#This Row],[Cut percentage on real costs + USC]]&gt;='Weight tables'!$B$24:$B$27)*(RendicontiTrasmessiBL__2[[#This Row],[Cut percentage on real costs + USC]]&lt;='Weight tables'!$C$24:$C$27),0),1)</f>
        <v>0</v>
      </c>
      <c r="W1933" s="2">
        <f>RendicontiTrasmessiBL__2[[#This Row],[Weight real costs  + USC ]]</f>
        <v>0</v>
      </c>
    </row>
    <row r="1934" spans="1:23" x14ac:dyDescent="0.25">
      <c r="A1934" s="1" t="s">
        <v>58</v>
      </c>
      <c r="B1934" s="1" t="s">
        <v>21</v>
      </c>
      <c r="C1934" s="2">
        <v>13</v>
      </c>
      <c r="D1934" s="2">
        <v>352</v>
      </c>
      <c r="E1934" s="1" t="s">
        <v>234</v>
      </c>
      <c r="J1934">
        <v>0</v>
      </c>
      <c r="Q1934" t="str">
        <f>INDEX('Partner data'!A:DH,MATCH(C1934,'Partner data'!DG:DG,0),83)</f>
        <v xml:space="preserve">Organismo di diritto pubblico </v>
      </c>
      <c r="R1934" t="b">
        <f>IF(E1934="staff",IF(INDEX('Partner data'!A:DH,MATCH(C1934,'Partner data'!DG:DG,0),112)="BL1 non presente","FALSO",INDEX('Partner data'!A:DH,MATCH(C1934,'Partner data'!DG:DG,0),112)))</f>
        <v>0</v>
      </c>
      <c r="S1934" s="86" t="b">
        <f t="shared" si="60"/>
        <v>0</v>
      </c>
      <c r="T1934" t="b">
        <f t="shared" si="61"/>
        <v>1</v>
      </c>
      <c r="U1934" s="154">
        <f>IFERROR(IF(R1934&lt;&gt;FALSE,IF(S1934=TRUE,INDEX('SummaryNOT_VALIDATED-BL'!$A$1:$F$16,MATCH(R1934,'SummaryNOT_VALIDATED-BL'!$A$1:$A$16,0),6),0),IF(S1934=TRUE,INDEX('SummaryNOT_VALIDATED-BL'!$A$1:$F$16,MATCH(E1934,'SummaryNOT_VALIDATED-BL'!$A$1:$A$16,0),6),0)),0)</f>
        <v>0</v>
      </c>
      <c r="V1934" s="81" cm="1">
        <f t="array" ref="V1934">INDEX('Weight tables'!$A$24:$C$27,MATCH(1,(RendicontiTrasmessiBL__2[[#This Row],[Cut percentage on real costs + USC]]&gt;='Weight tables'!$B$24:$B$27)*(RendicontiTrasmessiBL__2[[#This Row],[Cut percentage on real costs + USC]]&lt;='Weight tables'!$C$24:$C$27),0),1)</f>
        <v>0</v>
      </c>
      <c r="W1934" s="2">
        <f>RendicontiTrasmessiBL__2[[#This Row],[Weight real costs  + USC ]]</f>
        <v>0</v>
      </c>
    </row>
    <row r="1935" spans="1:23" x14ac:dyDescent="0.25">
      <c r="A1935" s="1" t="s">
        <v>58</v>
      </c>
      <c r="B1935" s="1" t="s">
        <v>21</v>
      </c>
      <c r="C1935" s="2">
        <v>13</v>
      </c>
      <c r="D1935" s="2">
        <v>352</v>
      </c>
      <c r="E1935" s="1" t="s">
        <v>235</v>
      </c>
      <c r="J1935">
        <v>0</v>
      </c>
      <c r="Q1935" t="str">
        <f>INDEX('Partner data'!A:DH,MATCH(C1935,'Partner data'!DG:DG,0),83)</f>
        <v xml:space="preserve">Organismo di diritto pubblico </v>
      </c>
      <c r="R1935" t="b">
        <f>IF(E1935="staff",IF(INDEX('Partner data'!A:DH,MATCH(C1935,'Partner data'!DG:DG,0),112)="BL1 non presente","FALSO",INDEX('Partner data'!A:DH,MATCH(C1935,'Partner data'!DG:DG,0),112)))</f>
        <v>0</v>
      </c>
      <c r="S1935" s="86" t="b">
        <f t="shared" si="60"/>
        <v>0</v>
      </c>
      <c r="T1935" t="b">
        <f t="shared" si="61"/>
        <v>1</v>
      </c>
      <c r="U1935" s="154">
        <f>IFERROR(IF(R1935&lt;&gt;FALSE,IF(S1935=TRUE,INDEX('SummaryNOT_VALIDATED-BL'!$A$1:$F$16,MATCH(R1935,'SummaryNOT_VALIDATED-BL'!$A$1:$A$16,0),6),0),IF(S1935=TRUE,INDEX('SummaryNOT_VALIDATED-BL'!$A$1:$F$16,MATCH(E1935,'SummaryNOT_VALIDATED-BL'!$A$1:$A$16,0),6),0)),0)</f>
        <v>0</v>
      </c>
      <c r="V1935" s="81" cm="1">
        <f t="array" ref="V1935">INDEX('Weight tables'!$A$24:$C$27,MATCH(1,(RendicontiTrasmessiBL__2[[#This Row],[Cut percentage on real costs + USC]]&gt;='Weight tables'!$B$24:$B$27)*(RendicontiTrasmessiBL__2[[#This Row],[Cut percentage on real costs + USC]]&lt;='Weight tables'!$C$24:$C$27),0),1)</f>
        <v>0</v>
      </c>
      <c r="W1935" s="2">
        <f>RendicontiTrasmessiBL__2[[#This Row],[Weight real costs  + USC ]]</f>
        <v>0</v>
      </c>
    </row>
    <row r="1936" spans="1:23" x14ac:dyDescent="0.25">
      <c r="A1936" s="1" t="s">
        <v>58</v>
      </c>
      <c r="B1936" s="1" t="s">
        <v>21</v>
      </c>
      <c r="C1936" s="2">
        <v>13</v>
      </c>
      <c r="D1936" s="2">
        <v>352</v>
      </c>
      <c r="E1936" s="1" t="s">
        <v>236</v>
      </c>
      <c r="J1936">
        <v>0</v>
      </c>
      <c r="Q1936" t="str">
        <f>INDEX('Partner data'!A:DH,MATCH(C1936,'Partner data'!DG:DG,0),83)</f>
        <v xml:space="preserve">Organismo di diritto pubblico </v>
      </c>
      <c r="R1936" t="b">
        <f>IF(E1936="staff",IF(INDEX('Partner data'!A:DH,MATCH(C1936,'Partner data'!DG:DG,0),112)="BL1 non presente","FALSO",INDEX('Partner data'!A:DH,MATCH(C1936,'Partner data'!DG:DG,0),112)))</f>
        <v>0</v>
      </c>
      <c r="S1936" s="86" t="b">
        <f t="shared" si="60"/>
        <v>0</v>
      </c>
      <c r="T1936" t="b">
        <f t="shared" si="61"/>
        <v>1</v>
      </c>
      <c r="U1936" s="154">
        <f>IFERROR(IF(R1936&lt;&gt;FALSE,IF(S1936=TRUE,INDEX('SummaryNOT_VALIDATED-BL'!$A$1:$F$16,MATCH(R1936,'SummaryNOT_VALIDATED-BL'!$A$1:$A$16,0),6),0),IF(S1936=TRUE,INDEX('SummaryNOT_VALIDATED-BL'!$A$1:$F$16,MATCH(E1936,'SummaryNOT_VALIDATED-BL'!$A$1:$A$16,0),6),0)),0)</f>
        <v>0</v>
      </c>
      <c r="V1936" s="81" cm="1">
        <f t="array" ref="V1936">INDEX('Weight tables'!$A$24:$C$27,MATCH(1,(RendicontiTrasmessiBL__2[[#This Row],[Cut percentage on real costs + USC]]&gt;='Weight tables'!$B$24:$B$27)*(RendicontiTrasmessiBL__2[[#This Row],[Cut percentage on real costs + USC]]&lt;='Weight tables'!$C$24:$C$27),0),1)</f>
        <v>0</v>
      </c>
      <c r="W1936" s="2">
        <f>RendicontiTrasmessiBL__2[[#This Row],[Weight real costs  + USC ]]</f>
        <v>0</v>
      </c>
    </row>
    <row r="1937" spans="1:23" x14ac:dyDescent="0.25">
      <c r="A1937" s="1" t="s">
        <v>58</v>
      </c>
      <c r="B1937" s="1" t="s">
        <v>40</v>
      </c>
      <c r="C1937" s="2">
        <v>14</v>
      </c>
      <c r="D1937" s="2">
        <v>353</v>
      </c>
      <c r="E1937" s="1" t="s">
        <v>228</v>
      </c>
      <c r="J1937">
        <v>26000</v>
      </c>
      <c r="Q1937" t="str">
        <f>INDEX('Partner data'!A:DH,MATCH(C1937,'Partner data'!DG:DG,0),83)</f>
        <v>Soggetto pubblico</v>
      </c>
      <c r="R1937" t="str">
        <f>IF(E1937="staff",IF(INDEX('Partner data'!A:DH,MATCH(C1937,'Partner data'!DG:DG,0),112)="BL1 non presente","FALSO",INDEX('Partner data'!A:DH,MATCH(C1937,'Partner data'!DG:DG,0),112)))</f>
        <v>COSTO REALE</v>
      </c>
      <c r="S1937" s="86" t="b">
        <f t="shared" si="60"/>
        <v>1</v>
      </c>
      <c r="T1937" t="b">
        <f t="shared" si="61"/>
        <v>1</v>
      </c>
      <c r="U1937" s="154">
        <f>IFERROR(IF(R1937&lt;&gt;FALSE,IF(S1937=TRUE,INDEX('SummaryNOT_VALIDATED-BL'!$A$1:$F$16,MATCH(R1937,'SummaryNOT_VALIDATED-BL'!$A$1:$A$16,0),6),0),IF(S1937=TRUE,INDEX('SummaryNOT_VALIDATED-BL'!$A$1:$F$16,MATCH(E1937,'SummaryNOT_VALIDATED-BL'!$A$1:$A$16,0),6),0)),0)</f>
        <v>9.1604133276901048E-2</v>
      </c>
      <c r="V1937" s="81" cm="1">
        <f t="array" ref="V1937">INDEX('Weight tables'!$A$24:$C$27,MATCH(1,(RendicontiTrasmessiBL__2[[#This Row],[Cut percentage on real costs + USC]]&gt;='Weight tables'!$B$24:$B$27)*(RendicontiTrasmessiBL__2[[#This Row],[Cut percentage on real costs + USC]]&lt;='Weight tables'!$C$24:$C$27),0),1)</f>
        <v>4</v>
      </c>
      <c r="W1937" s="2">
        <f>RendicontiTrasmessiBL__2[[#This Row],[Weight real costs  + USC ]]</f>
        <v>4</v>
      </c>
    </row>
    <row r="1938" spans="1:23" x14ac:dyDescent="0.25">
      <c r="A1938" s="1" t="s">
        <v>58</v>
      </c>
      <c r="B1938" s="1" t="s">
        <v>40</v>
      </c>
      <c r="C1938" s="2">
        <v>14</v>
      </c>
      <c r="D1938" s="2">
        <v>353</v>
      </c>
      <c r="E1938" s="1" t="s">
        <v>229</v>
      </c>
      <c r="J1938">
        <f>J1937*0.15</f>
        <v>3900</v>
      </c>
      <c r="Q1938" t="str">
        <f>INDEX('Partner data'!A:DH,MATCH(C1938,'Partner data'!DG:DG,0),83)</f>
        <v>Soggetto pubblico</v>
      </c>
      <c r="R1938" t="b">
        <f>IF(E1938="staff",IF(INDEX('Partner data'!A:DH,MATCH(C1938,'Partner data'!DG:DG,0),112)="BL1 non presente","FALSO",INDEX('Partner data'!A:DH,MATCH(C1938,'Partner data'!DG:DG,0),112)))</f>
        <v>0</v>
      </c>
      <c r="S1938" s="86" t="b">
        <f t="shared" si="60"/>
        <v>1</v>
      </c>
      <c r="T1938" t="b">
        <f t="shared" si="61"/>
        <v>1</v>
      </c>
      <c r="U1938" s="154">
        <f>IFERROR(IF(R1938&lt;&gt;FALSE,IF(S1938=TRUE,INDEX('SummaryNOT_VALIDATED-BL'!$A$1:$F$16,MATCH(R1938,'SummaryNOT_VALIDATED-BL'!$A$1:$A$16,0),6),0),IF(S1938=TRUE,INDEX('SummaryNOT_VALIDATED-BL'!$A$1:$F$16,MATCH(E1938,'SummaryNOT_VALIDATED-BL'!$A$1:$A$16,0),6),0)),0)</f>
        <v>6.6460469504890221E-2</v>
      </c>
      <c r="V1938" s="81" cm="1">
        <f t="array" ref="V1938">INDEX('Weight tables'!$A$24:$C$27,MATCH(1,(RendicontiTrasmessiBL__2[[#This Row],[Cut percentage on real costs + USC]]&gt;='Weight tables'!$B$24:$B$27)*(RendicontiTrasmessiBL__2[[#This Row],[Cut percentage on real costs + USC]]&lt;='Weight tables'!$C$24:$C$27),0),1)</f>
        <v>4</v>
      </c>
      <c r="W1938" s="2">
        <f>RendicontiTrasmessiBL__2[[#This Row],[Weight real costs  + USC ]]</f>
        <v>4</v>
      </c>
    </row>
    <row r="1939" spans="1:23" x14ac:dyDescent="0.25">
      <c r="A1939" s="1" t="s">
        <v>58</v>
      </c>
      <c r="B1939" s="1" t="s">
        <v>40</v>
      </c>
      <c r="C1939" s="2">
        <v>14</v>
      </c>
      <c r="D1939" s="2">
        <v>353</v>
      </c>
      <c r="E1939" s="1" t="s">
        <v>230</v>
      </c>
      <c r="J1939">
        <f>J1937*0.04</f>
        <v>1040</v>
      </c>
      <c r="Q1939" t="str">
        <f>INDEX('Partner data'!A:DH,MATCH(C1939,'Partner data'!DG:DG,0),83)</f>
        <v>Soggetto pubblico</v>
      </c>
      <c r="R1939" t="b">
        <f>IF(E1939="staff",IF(INDEX('Partner data'!A:DH,MATCH(C1939,'Partner data'!DG:DG,0),112)="BL1 non presente","FALSO",INDEX('Partner data'!A:DH,MATCH(C1939,'Partner data'!DG:DG,0),112)))</f>
        <v>0</v>
      </c>
      <c r="S1939" s="86" t="b">
        <f t="shared" si="60"/>
        <v>1</v>
      </c>
      <c r="T1939" t="b">
        <f t="shared" si="61"/>
        <v>1</v>
      </c>
      <c r="U1939" s="154">
        <f>IFERROR(IF(R1939&lt;&gt;FALSE,IF(S1939=TRUE,INDEX('SummaryNOT_VALIDATED-BL'!$A$1:$F$16,MATCH(R1939,'SummaryNOT_VALIDATED-BL'!$A$1:$A$16,0),6),0),IF(S1939=TRUE,INDEX('SummaryNOT_VALIDATED-BL'!$A$1:$F$16,MATCH(E1939,'SummaryNOT_VALIDATED-BL'!$A$1:$A$16,0),6),0)),0)</f>
        <v>6.3112622236488891E-2</v>
      </c>
      <c r="V1939" s="81" cm="1">
        <f t="array" ref="V1939">INDEX('Weight tables'!$A$24:$C$27,MATCH(1,(RendicontiTrasmessiBL__2[[#This Row],[Cut percentage on real costs + USC]]&gt;='Weight tables'!$B$24:$B$27)*(RendicontiTrasmessiBL__2[[#This Row],[Cut percentage on real costs + USC]]&lt;='Weight tables'!$C$24:$C$27),0),1)</f>
        <v>4</v>
      </c>
      <c r="W1939" s="2">
        <f>RendicontiTrasmessiBL__2[[#This Row],[Weight real costs  + USC ]]</f>
        <v>4</v>
      </c>
    </row>
    <row r="1940" spans="1:23" x14ac:dyDescent="0.25">
      <c r="A1940" s="1" t="s">
        <v>58</v>
      </c>
      <c r="B1940" s="1" t="s">
        <v>40</v>
      </c>
      <c r="C1940" s="2">
        <v>14</v>
      </c>
      <c r="D1940" s="2">
        <v>353</v>
      </c>
      <c r="E1940" s="1" t="s">
        <v>231</v>
      </c>
      <c r="J1940">
        <v>12000</v>
      </c>
      <c r="Q1940" t="str">
        <f>INDEX('Partner data'!A:DH,MATCH(C1940,'Partner data'!DG:DG,0),83)</f>
        <v>Soggetto pubblico</v>
      </c>
      <c r="R1940" t="b">
        <f>IF(E1940="staff",IF(INDEX('Partner data'!A:DH,MATCH(C1940,'Partner data'!DG:DG,0),112)="BL1 non presente","FALSO",INDEX('Partner data'!A:DH,MATCH(C1940,'Partner data'!DG:DG,0),112)))</f>
        <v>0</v>
      </c>
      <c r="S1940" s="86" t="b">
        <f t="shared" si="60"/>
        <v>1</v>
      </c>
      <c r="T1940" t="b">
        <f t="shared" si="61"/>
        <v>1</v>
      </c>
      <c r="U1940" s="154">
        <f>IFERROR(IF(R1940&lt;&gt;FALSE,IF(S1940=TRUE,INDEX('SummaryNOT_VALIDATED-BL'!$A$1:$F$16,MATCH(R1940,'SummaryNOT_VALIDATED-BL'!$A$1:$A$16,0),6),0),IF(S1940=TRUE,INDEX('SummaryNOT_VALIDATED-BL'!$A$1:$F$16,MATCH(E1940,'SummaryNOT_VALIDATED-BL'!$A$1:$A$16,0),6),0)),0)</f>
        <v>5.577594442215475E-2</v>
      </c>
      <c r="V1940" s="81" cm="1">
        <f t="array" ref="V1940">INDEX('Weight tables'!$A$24:$C$27,MATCH(1,(RendicontiTrasmessiBL__2[[#This Row],[Cut percentage on real costs + USC]]&gt;='Weight tables'!$B$24:$B$27)*(RendicontiTrasmessiBL__2[[#This Row],[Cut percentage on real costs + USC]]&lt;='Weight tables'!$C$24:$C$27),0),1)</f>
        <v>4</v>
      </c>
      <c r="W1940" s="2">
        <f>RendicontiTrasmessiBL__2[[#This Row],[Weight real costs  + USC ]]</f>
        <v>4</v>
      </c>
    </row>
    <row r="1941" spans="1:23" x14ac:dyDescent="0.25">
      <c r="A1941" s="1" t="s">
        <v>58</v>
      </c>
      <c r="B1941" s="1" t="s">
        <v>40</v>
      </c>
      <c r="C1941" s="2">
        <v>14</v>
      </c>
      <c r="D1941" s="2">
        <v>353</v>
      </c>
      <c r="E1941" s="1" t="s">
        <v>232</v>
      </c>
      <c r="J1941">
        <v>10000</v>
      </c>
      <c r="Q1941" t="str">
        <f>INDEX('Partner data'!A:DH,MATCH(C1941,'Partner data'!DG:DG,0),83)</f>
        <v>Soggetto pubblico</v>
      </c>
      <c r="R1941" t="b">
        <f>IF(E1941="staff",IF(INDEX('Partner data'!A:DH,MATCH(C1941,'Partner data'!DG:DG,0),112)="BL1 non presente","FALSO",INDEX('Partner data'!A:DH,MATCH(C1941,'Partner data'!DG:DG,0),112)))</f>
        <v>0</v>
      </c>
      <c r="S1941" s="86" t="b">
        <f t="shared" si="60"/>
        <v>1</v>
      </c>
      <c r="T1941" t="b">
        <f t="shared" si="61"/>
        <v>1</v>
      </c>
      <c r="U1941" s="154">
        <f>IFERROR(IF(R1941&lt;&gt;FALSE,IF(S1941=TRUE,INDEX('SummaryNOT_VALIDATED-BL'!$A$1:$F$16,MATCH(R1941,'SummaryNOT_VALIDATED-BL'!$A$1:$A$16,0),6),0),IF(S1941=TRUE,INDEX('SummaryNOT_VALIDATED-BL'!$A$1:$F$16,MATCH(E1941,'SummaryNOT_VALIDATED-BL'!$A$1:$A$16,0),6),0)),0)</f>
        <v>1.102169095281242E-2</v>
      </c>
      <c r="V1941" s="81" cm="1">
        <f t="array" ref="V1941">INDEX('Weight tables'!$A$24:$C$27,MATCH(1,(RendicontiTrasmessiBL__2[[#This Row],[Cut percentage on real costs + USC]]&gt;='Weight tables'!$B$24:$B$27)*(RendicontiTrasmessiBL__2[[#This Row],[Cut percentage on real costs + USC]]&lt;='Weight tables'!$C$24:$C$27),0),1)</f>
        <v>0</v>
      </c>
      <c r="W1941" s="2">
        <f>RendicontiTrasmessiBL__2[[#This Row],[Weight real costs  + USC ]]</f>
        <v>0</v>
      </c>
    </row>
    <row r="1942" spans="1:23" x14ac:dyDescent="0.25">
      <c r="A1942" s="1" t="s">
        <v>58</v>
      </c>
      <c r="B1942" s="1" t="s">
        <v>40</v>
      </c>
      <c r="C1942" s="2">
        <v>14</v>
      </c>
      <c r="D1942" s="2">
        <v>353</v>
      </c>
      <c r="E1942" s="1" t="s">
        <v>233</v>
      </c>
      <c r="J1942">
        <v>0</v>
      </c>
      <c r="Q1942" t="str">
        <f>INDEX('Partner data'!A:DH,MATCH(C1942,'Partner data'!DG:DG,0),83)</f>
        <v>Soggetto pubblico</v>
      </c>
      <c r="R1942" t="b">
        <f>IF(E1942="staff",IF(INDEX('Partner data'!A:DH,MATCH(C1942,'Partner data'!DG:DG,0),112)="BL1 non presente","FALSO",INDEX('Partner data'!A:DH,MATCH(C1942,'Partner data'!DG:DG,0),112)))</f>
        <v>0</v>
      </c>
      <c r="S1942" s="86" t="b">
        <f t="shared" ref="S1942:S1973" si="62">IF(J1942&lt;&gt;0,TRUE,FALSE)</f>
        <v>0</v>
      </c>
      <c r="T1942" t="b">
        <f t="shared" ref="T1942:T1973" si="63">OR(Q1942="Soggetto pubblico",Q1942="Organismo di diritto pubblico ")</f>
        <v>1</v>
      </c>
      <c r="U1942" s="154">
        <f>IFERROR(IF(R1942&lt;&gt;FALSE,IF(S1942=TRUE,INDEX('SummaryNOT_VALIDATED-BL'!$A$1:$F$16,MATCH(R1942,'SummaryNOT_VALIDATED-BL'!$A$1:$A$16,0),6),0),IF(S1942=TRUE,INDEX('SummaryNOT_VALIDATED-BL'!$A$1:$F$16,MATCH(E1942,'SummaryNOT_VALIDATED-BL'!$A$1:$A$16,0),6),0)),0)</f>
        <v>0</v>
      </c>
      <c r="V1942" s="81" cm="1">
        <f t="array" ref="V1942">INDEX('Weight tables'!$A$24:$C$27,MATCH(1,(RendicontiTrasmessiBL__2[[#This Row],[Cut percentage on real costs + USC]]&gt;='Weight tables'!$B$24:$B$27)*(RendicontiTrasmessiBL__2[[#This Row],[Cut percentage on real costs + USC]]&lt;='Weight tables'!$C$24:$C$27),0),1)</f>
        <v>0</v>
      </c>
      <c r="W1942" s="2">
        <f>RendicontiTrasmessiBL__2[[#This Row],[Weight real costs  + USC ]]</f>
        <v>0</v>
      </c>
    </row>
    <row r="1943" spans="1:23" x14ac:dyDescent="0.25">
      <c r="A1943" s="1" t="s">
        <v>58</v>
      </c>
      <c r="B1943" s="1" t="s">
        <v>40</v>
      </c>
      <c r="C1943" s="2">
        <v>14</v>
      </c>
      <c r="D1943" s="2">
        <v>353</v>
      </c>
      <c r="E1943" s="1" t="s">
        <v>234</v>
      </c>
      <c r="J1943">
        <v>0</v>
      </c>
      <c r="Q1943" t="str">
        <f>INDEX('Partner data'!A:DH,MATCH(C1943,'Partner data'!DG:DG,0),83)</f>
        <v>Soggetto pubblico</v>
      </c>
      <c r="R1943" t="b">
        <f>IF(E1943="staff",IF(INDEX('Partner data'!A:DH,MATCH(C1943,'Partner data'!DG:DG,0),112)="BL1 non presente","FALSO",INDEX('Partner data'!A:DH,MATCH(C1943,'Partner data'!DG:DG,0),112)))</f>
        <v>0</v>
      </c>
      <c r="S1943" s="86" t="b">
        <f t="shared" si="62"/>
        <v>0</v>
      </c>
      <c r="T1943" t="b">
        <f t="shared" si="63"/>
        <v>1</v>
      </c>
      <c r="U1943" s="154">
        <f>IFERROR(IF(R1943&lt;&gt;FALSE,IF(S1943=TRUE,INDEX('SummaryNOT_VALIDATED-BL'!$A$1:$F$16,MATCH(R1943,'SummaryNOT_VALIDATED-BL'!$A$1:$A$16,0),6),0),IF(S1943=TRUE,INDEX('SummaryNOT_VALIDATED-BL'!$A$1:$F$16,MATCH(E1943,'SummaryNOT_VALIDATED-BL'!$A$1:$A$16,0),6),0)),0)</f>
        <v>0</v>
      </c>
      <c r="V1943" s="81" cm="1">
        <f t="array" ref="V1943">INDEX('Weight tables'!$A$24:$C$27,MATCH(1,(RendicontiTrasmessiBL__2[[#This Row],[Cut percentage on real costs + USC]]&gt;='Weight tables'!$B$24:$B$27)*(RendicontiTrasmessiBL__2[[#This Row],[Cut percentage on real costs + USC]]&lt;='Weight tables'!$C$24:$C$27),0),1)</f>
        <v>0</v>
      </c>
      <c r="W1943" s="2">
        <f>RendicontiTrasmessiBL__2[[#This Row],[Weight real costs  + USC ]]</f>
        <v>0</v>
      </c>
    </row>
    <row r="1944" spans="1:23" x14ac:dyDescent="0.25">
      <c r="A1944" s="1" t="s">
        <v>58</v>
      </c>
      <c r="B1944" s="1" t="s">
        <v>40</v>
      </c>
      <c r="C1944" s="2">
        <v>14</v>
      </c>
      <c r="D1944" s="2">
        <v>353</v>
      </c>
      <c r="E1944" s="1" t="s">
        <v>235</v>
      </c>
      <c r="J1944">
        <v>0</v>
      </c>
      <c r="Q1944" t="str">
        <f>INDEX('Partner data'!A:DH,MATCH(C1944,'Partner data'!DG:DG,0),83)</f>
        <v>Soggetto pubblico</v>
      </c>
      <c r="R1944" t="b">
        <f>IF(E1944="staff",IF(INDEX('Partner data'!A:DH,MATCH(C1944,'Partner data'!DG:DG,0),112)="BL1 non presente","FALSO",INDEX('Partner data'!A:DH,MATCH(C1944,'Partner data'!DG:DG,0),112)))</f>
        <v>0</v>
      </c>
      <c r="S1944" s="86" t="b">
        <f t="shared" si="62"/>
        <v>0</v>
      </c>
      <c r="T1944" t="b">
        <f t="shared" si="63"/>
        <v>1</v>
      </c>
      <c r="U1944" s="154">
        <f>IFERROR(IF(R1944&lt;&gt;FALSE,IF(S1944=TRUE,INDEX('SummaryNOT_VALIDATED-BL'!$A$1:$F$16,MATCH(R1944,'SummaryNOT_VALIDATED-BL'!$A$1:$A$16,0),6),0),IF(S1944=TRUE,INDEX('SummaryNOT_VALIDATED-BL'!$A$1:$F$16,MATCH(E1944,'SummaryNOT_VALIDATED-BL'!$A$1:$A$16,0),6),0)),0)</f>
        <v>0</v>
      </c>
      <c r="V1944" s="81" cm="1">
        <f t="array" ref="V1944">INDEX('Weight tables'!$A$24:$C$27,MATCH(1,(RendicontiTrasmessiBL__2[[#This Row],[Cut percentage on real costs + USC]]&gt;='Weight tables'!$B$24:$B$27)*(RendicontiTrasmessiBL__2[[#This Row],[Cut percentage on real costs + USC]]&lt;='Weight tables'!$C$24:$C$27),0),1)</f>
        <v>0</v>
      </c>
      <c r="W1944" s="2">
        <f>RendicontiTrasmessiBL__2[[#This Row],[Weight real costs  + USC ]]</f>
        <v>0</v>
      </c>
    </row>
    <row r="1945" spans="1:23" x14ac:dyDescent="0.25">
      <c r="A1945" s="1" t="s">
        <v>58</v>
      </c>
      <c r="B1945" s="1" t="s">
        <v>40</v>
      </c>
      <c r="C1945" s="2">
        <v>14</v>
      </c>
      <c r="D1945" s="2">
        <v>353</v>
      </c>
      <c r="E1945" s="1" t="s">
        <v>236</v>
      </c>
      <c r="J1945">
        <v>0</v>
      </c>
      <c r="Q1945" t="str">
        <f>INDEX('Partner data'!A:DH,MATCH(C1945,'Partner data'!DG:DG,0),83)</f>
        <v>Soggetto pubblico</v>
      </c>
      <c r="R1945" t="b">
        <f>IF(E1945="staff",IF(INDEX('Partner data'!A:DH,MATCH(C1945,'Partner data'!DG:DG,0),112)="BL1 non presente","FALSO",INDEX('Partner data'!A:DH,MATCH(C1945,'Partner data'!DG:DG,0),112)))</f>
        <v>0</v>
      </c>
      <c r="S1945" s="86" t="b">
        <f t="shared" si="62"/>
        <v>0</v>
      </c>
      <c r="T1945" t="b">
        <f t="shared" si="63"/>
        <v>1</v>
      </c>
      <c r="U1945" s="154">
        <f>IFERROR(IF(R1945&lt;&gt;FALSE,IF(S1945=TRUE,INDEX('SummaryNOT_VALIDATED-BL'!$A$1:$F$16,MATCH(R1945,'SummaryNOT_VALIDATED-BL'!$A$1:$A$16,0),6),0),IF(S1945=TRUE,INDEX('SummaryNOT_VALIDATED-BL'!$A$1:$F$16,MATCH(E1945,'SummaryNOT_VALIDATED-BL'!$A$1:$A$16,0),6),0)),0)</f>
        <v>0</v>
      </c>
      <c r="V1945" s="81" cm="1">
        <f t="array" ref="V1945">INDEX('Weight tables'!$A$24:$C$27,MATCH(1,(RendicontiTrasmessiBL__2[[#This Row],[Cut percentage on real costs + USC]]&gt;='Weight tables'!$B$24:$B$27)*(RendicontiTrasmessiBL__2[[#This Row],[Cut percentage on real costs + USC]]&lt;='Weight tables'!$C$24:$C$27),0),1)</f>
        <v>0</v>
      </c>
      <c r="W1945" s="2">
        <f>RendicontiTrasmessiBL__2[[#This Row],[Weight real costs  + USC ]]</f>
        <v>0</v>
      </c>
    </row>
    <row r="1946" spans="1:23" x14ac:dyDescent="0.25">
      <c r="A1946" s="1" t="s">
        <v>58</v>
      </c>
      <c r="B1946" s="1" t="s">
        <v>33</v>
      </c>
      <c r="C1946" s="2">
        <v>15</v>
      </c>
      <c r="D1946" s="2">
        <v>354</v>
      </c>
      <c r="E1946" s="1" t="s">
        <v>228</v>
      </c>
      <c r="J1946" s="199">
        <v>21933</v>
      </c>
      <c r="Q1946" t="str">
        <f>INDEX('Partner data'!A:DH,MATCH(C1946,'Partner data'!DG:DG,0),83)</f>
        <v xml:space="preserve">Organismo di diritto pubblico </v>
      </c>
      <c r="R1946" t="str">
        <f>IF(E1946="staff",IF(INDEX('Partner data'!A:DH,MATCH(C1946,'Partner data'!DG:DG,0),112)="BL1 non presente","FALSO",INDEX('Partner data'!A:DH,MATCH(C1946,'Partner data'!DG:DG,0),112)))</f>
        <v>COSTO REALE</v>
      </c>
      <c r="S1946" s="86" t="b">
        <f t="shared" si="62"/>
        <v>1</v>
      </c>
      <c r="T1946" t="b">
        <f t="shared" si="63"/>
        <v>1</v>
      </c>
      <c r="U1946" s="154">
        <f>IFERROR(IF(R1946&lt;&gt;FALSE,IF(S1946=TRUE,INDEX('SummaryNOT_VALIDATED-BL'!$A$1:$F$16,MATCH(R1946,'SummaryNOT_VALIDATED-BL'!$A$1:$A$16,0),6),0),IF(S1946=TRUE,INDEX('SummaryNOT_VALIDATED-BL'!$A$1:$F$16,MATCH(E1946,'SummaryNOT_VALIDATED-BL'!$A$1:$A$16,0),6),0)),0)</f>
        <v>9.1604133276901048E-2</v>
      </c>
      <c r="V1946" s="81" cm="1">
        <f t="array" ref="V1946">INDEX('Weight tables'!$A$24:$C$27,MATCH(1,(RendicontiTrasmessiBL__2[[#This Row],[Cut percentage on real costs + USC]]&gt;='Weight tables'!$B$24:$B$27)*(RendicontiTrasmessiBL__2[[#This Row],[Cut percentage on real costs + USC]]&lt;='Weight tables'!$C$24:$C$27),0),1)</f>
        <v>4</v>
      </c>
      <c r="W1946" s="2">
        <f>RendicontiTrasmessiBL__2[[#This Row],[Weight real costs  + USC ]]</f>
        <v>4</v>
      </c>
    </row>
    <row r="1947" spans="1:23" x14ac:dyDescent="0.25">
      <c r="A1947" s="1" t="s">
        <v>58</v>
      </c>
      <c r="B1947" s="1" t="s">
        <v>33</v>
      </c>
      <c r="C1947" s="2">
        <v>15</v>
      </c>
      <c r="D1947" s="2">
        <v>354</v>
      </c>
      <c r="E1947" s="1" t="s">
        <v>229</v>
      </c>
      <c r="J1947">
        <f>J1946*0.15</f>
        <v>3289.95</v>
      </c>
      <c r="Q1947" t="str">
        <f>INDEX('Partner data'!A:DH,MATCH(C1947,'Partner data'!DG:DG,0),83)</f>
        <v xml:space="preserve">Organismo di diritto pubblico </v>
      </c>
      <c r="R1947" t="b">
        <f>IF(E1947="staff",IF(INDEX('Partner data'!A:DH,MATCH(C1947,'Partner data'!DG:DG,0),112)="BL1 non presente","FALSO",INDEX('Partner data'!A:DH,MATCH(C1947,'Partner data'!DG:DG,0),112)))</f>
        <v>0</v>
      </c>
      <c r="S1947" s="86" t="b">
        <f t="shared" si="62"/>
        <v>1</v>
      </c>
      <c r="T1947" t="b">
        <f t="shared" si="63"/>
        <v>1</v>
      </c>
      <c r="U1947" s="154">
        <f>IFERROR(IF(R1947&lt;&gt;FALSE,IF(S1947=TRUE,INDEX('SummaryNOT_VALIDATED-BL'!$A$1:$F$16,MATCH(R1947,'SummaryNOT_VALIDATED-BL'!$A$1:$A$16,0),6),0),IF(S1947=TRUE,INDEX('SummaryNOT_VALIDATED-BL'!$A$1:$F$16,MATCH(E1947,'SummaryNOT_VALIDATED-BL'!$A$1:$A$16,0),6),0)),0)</f>
        <v>6.6460469504890221E-2</v>
      </c>
      <c r="V1947" s="81" cm="1">
        <f t="array" ref="V1947">INDEX('Weight tables'!$A$24:$C$27,MATCH(1,(RendicontiTrasmessiBL__2[[#This Row],[Cut percentage on real costs + USC]]&gt;='Weight tables'!$B$24:$B$27)*(RendicontiTrasmessiBL__2[[#This Row],[Cut percentage on real costs + USC]]&lt;='Weight tables'!$C$24:$C$27),0),1)</f>
        <v>4</v>
      </c>
      <c r="W1947" s="2">
        <f>RendicontiTrasmessiBL__2[[#This Row],[Weight real costs  + USC ]]</f>
        <v>4</v>
      </c>
    </row>
    <row r="1948" spans="1:23" x14ac:dyDescent="0.25">
      <c r="A1948" s="1" t="s">
        <v>58</v>
      </c>
      <c r="B1948" s="1" t="s">
        <v>33</v>
      </c>
      <c r="C1948" s="2">
        <v>15</v>
      </c>
      <c r="D1948" s="2">
        <v>354</v>
      </c>
      <c r="E1948" s="1" t="s">
        <v>230</v>
      </c>
      <c r="J1948">
        <f>J1946*0.04</f>
        <v>877.32</v>
      </c>
      <c r="Q1948" t="str">
        <f>INDEX('Partner data'!A:DH,MATCH(C1948,'Partner data'!DG:DG,0),83)</f>
        <v xml:space="preserve">Organismo di diritto pubblico </v>
      </c>
      <c r="R1948" t="b">
        <f>IF(E1948="staff",IF(INDEX('Partner data'!A:DH,MATCH(C1948,'Partner data'!DG:DG,0),112)="BL1 non presente","FALSO",INDEX('Partner data'!A:DH,MATCH(C1948,'Partner data'!DG:DG,0),112)))</f>
        <v>0</v>
      </c>
      <c r="S1948" s="86" t="b">
        <f t="shared" si="62"/>
        <v>1</v>
      </c>
      <c r="T1948" t="b">
        <f t="shared" si="63"/>
        <v>1</v>
      </c>
      <c r="U1948" s="154">
        <f>IFERROR(IF(R1948&lt;&gt;FALSE,IF(S1948=TRUE,INDEX('SummaryNOT_VALIDATED-BL'!$A$1:$F$16,MATCH(R1948,'SummaryNOT_VALIDATED-BL'!$A$1:$A$16,0),6),0),IF(S1948=TRUE,INDEX('SummaryNOT_VALIDATED-BL'!$A$1:$F$16,MATCH(E1948,'SummaryNOT_VALIDATED-BL'!$A$1:$A$16,0),6),0)),0)</f>
        <v>6.3112622236488891E-2</v>
      </c>
      <c r="V1948" s="81" cm="1">
        <f t="array" ref="V1948">INDEX('Weight tables'!$A$24:$C$27,MATCH(1,(RendicontiTrasmessiBL__2[[#This Row],[Cut percentage on real costs + USC]]&gt;='Weight tables'!$B$24:$B$27)*(RendicontiTrasmessiBL__2[[#This Row],[Cut percentage on real costs + USC]]&lt;='Weight tables'!$C$24:$C$27),0),1)</f>
        <v>4</v>
      </c>
      <c r="W1948" s="2">
        <f>RendicontiTrasmessiBL__2[[#This Row],[Weight real costs  + USC ]]</f>
        <v>4</v>
      </c>
    </row>
    <row r="1949" spans="1:23" x14ac:dyDescent="0.25">
      <c r="A1949" s="1" t="s">
        <v>58</v>
      </c>
      <c r="B1949" s="1" t="s">
        <v>33</v>
      </c>
      <c r="C1949" s="2">
        <v>15</v>
      </c>
      <c r="D1949" s="2">
        <v>354</v>
      </c>
      <c r="E1949" s="1" t="s">
        <v>231</v>
      </c>
      <c r="J1949" s="199">
        <v>77100</v>
      </c>
      <c r="Q1949" t="str">
        <f>INDEX('Partner data'!A:DH,MATCH(C1949,'Partner data'!DG:DG,0),83)</f>
        <v xml:space="preserve">Organismo di diritto pubblico </v>
      </c>
      <c r="R1949" t="b">
        <f>IF(E1949="staff",IF(INDEX('Partner data'!A:DH,MATCH(C1949,'Partner data'!DG:DG,0),112)="BL1 non presente","FALSO",INDEX('Partner data'!A:DH,MATCH(C1949,'Partner data'!DG:DG,0),112)))</f>
        <v>0</v>
      </c>
      <c r="S1949" s="86" t="b">
        <f t="shared" si="62"/>
        <v>1</v>
      </c>
      <c r="T1949" t="b">
        <f t="shared" si="63"/>
        <v>1</v>
      </c>
      <c r="U1949" s="154">
        <f>IFERROR(IF(R1949&lt;&gt;FALSE,IF(S1949=TRUE,INDEX('SummaryNOT_VALIDATED-BL'!$A$1:$F$16,MATCH(R1949,'SummaryNOT_VALIDATED-BL'!$A$1:$A$16,0),6),0),IF(S1949=TRUE,INDEX('SummaryNOT_VALIDATED-BL'!$A$1:$F$16,MATCH(E1949,'SummaryNOT_VALIDATED-BL'!$A$1:$A$16,0),6),0)),0)</f>
        <v>5.577594442215475E-2</v>
      </c>
      <c r="V1949" s="81" cm="1">
        <f t="array" ref="V1949">INDEX('Weight tables'!$A$24:$C$27,MATCH(1,(RendicontiTrasmessiBL__2[[#This Row],[Cut percentage on real costs + USC]]&gt;='Weight tables'!$B$24:$B$27)*(RendicontiTrasmessiBL__2[[#This Row],[Cut percentage on real costs + USC]]&lt;='Weight tables'!$C$24:$C$27),0),1)</f>
        <v>4</v>
      </c>
      <c r="W1949" s="2">
        <f>RendicontiTrasmessiBL__2[[#This Row],[Weight real costs  + USC ]]</f>
        <v>4</v>
      </c>
    </row>
    <row r="1950" spans="1:23" x14ac:dyDescent="0.25">
      <c r="A1950" s="1" t="s">
        <v>58</v>
      </c>
      <c r="B1950" s="1" t="s">
        <v>33</v>
      </c>
      <c r="C1950" s="2">
        <v>15</v>
      </c>
      <c r="D1950" s="2">
        <v>354</v>
      </c>
      <c r="E1950" s="1" t="s">
        <v>232</v>
      </c>
      <c r="J1950">
        <v>0</v>
      </c>
      <c r="Q1950" t="str">
        <f>INDEX('Partner data'!A:DH,MATCH(C1950,'Partner data'!DG:DG,0),83)</f>
        <v xml:space="preserve">Organismo di diritto pubblico </v>
      </c>
      <c r="R1950" t="b">
        <f>IF(E1950="staff",IF(INDEX('Partner data'!A:DH,MATCH(C1950,'Partner data'!DG:DG,0),112)="BL1 non presente","FALSO",INDEX('Partner data'!A:DH,MATCH(C1950,'Partner data'!DG:DG,0),112)))</f>
        <v>0</v>
      </c>
      <c r="S1950" s="86" t="b">
        <f t="shared" si="62"/>
        <v>0</v>
      </c>
      <c r="T1950" t="b">
        <f t="shared" si="63"/>
        <v>1</v>
      </c>
      <c r="U1950" s="154">
        <f>IFERROR(IF(R1950&lt;&gt;FALSE,IF(S1950=TRUE,INDEX('SummaryNOT_VALIDATED-BL'!$A$1:$F$16,MATCH(R1950,'SummaryNOT_VALIDATED-BL'!$A$1:$A$16,0),6),0),IF(S1950=TRUE,INDEX('SummaryNOT_VALIDATED-BL'!$A$1:$F$16,MATCH(E1950,'SummaryNOT_VALIDATED-BL'!$A$1:$A$16,0),6),0)),0)</f>
        <v>0</v>
      </c>
      <c r="V1950" s="81" cm="1">
        <f t="array" ref="V1950">INDEX('Weight tables'!$A$24:$C$27,MATCH(1,(RendicontiTrasmessiBL__2[[#This Row],[Cut percentage on real costs + USC]]&gt;='Weight tables'!$B$24:$B$27)*(RendicontiTrasmessiBL__2[[#This Row],[Cut percentage on real costs + USC]]&lt;='Weight tables'!$C$24:$C$27),0),1)</f>
        <v>0</v>
      </c>
      <c r="W1950" s="2">
        <f>RendicontiTrasmessiBL__2[[#This Row],[Weight real costs  + USC ]]</f>
        <v>0</v>
      </c>
    </row>
    <row r="1951" spans="1:23" x14ac:dyDescent="0.25">
      <c r="A1951" s="1" t="s">
        <v>58</v>
      </c>
      <c r="B1951" s="1" t="s">
        <v>33</v>
      </c>
      <c r="C1951" s="2">
        <v>15</v>
      </c>
      <c r="D1951" s="2">
        <v>354</v>
      </c>
      <c r="E1951" s="1" t="s">
        <v>233</v>
      </c>
      <c r="J1951">
        <v>0</v>
      </c>
      <c r="Q1951" t="str">
        <f>INDEX('Partner data'!A:DH,MATCH(C1951,'Partner data'!DG:DG,0),83)</f>
        <v xml:space="preserve">Organismo di diritto pubblico </v>
      </c>
      <c r="R1951" t="b">
        <f>IF(E1951="staff",IF(INDEX('Partner data'!A:DH,MATCH(C1951,'Partner data'!DG:DG,0),112)="BL1 non presente","FALSO",INDEX('Partner data'!A:DH,MATCH(C1951,'Partner data'!DG:DG,0),112)))</f>
        <v>0</v>
      </c>
      <c r="S1951" s="86" t="b">
        <f t="shared" si="62"/>
        <v>0</v>
      </c>
      <c r="T1951" t="b">
        <f t="shared" si="63"/>
        <v>1</v>
      </c>
      <c r="U1951" s="154">
        <f>IFERROR(IF(R1951&lt;&gt;FALSE,IF(S1951=TRUE,INDEX('SummaryNOT_VALIDATED-BL'!$A$1:$F$16,MATCH(R1951,'SummaryNOT_VALIDATED-BL'!$A$1:$A$16,0),6),0),IF(S1951=TRUE,INDEX('SummaryNOT_VALIDATED-BL'!$A$1:$F$16,MATCH(E1951,'SummaryNOT_VALIDATED-BL'!$A$1:$A$16,0),6),0)),0)</f>
        <v>0</v>
      </c>
      <c r="V1951" s="81" cm="1">
        <f t="array" ref="V1951">INDEX('Weight tables'!$A$24:$C$27,MATCH(1,(RendicontiTrasmessiBL__2[[#This Row],[Cut percentage on real costs + USC]]&gt;='Weight tables'!$B$24:$B$27)*(RendicontiTrasmessiBL__2[[#This Row],[Cut percentage on real costs + USC]]&lt;='Weight tables'!$C$24:$C$27),0),1)</f>
        <v>0</v>
      </c>
      <c r="W1951" s="2">
        <f>RendicontiTrasmessiBL__2[[#This Row],[Weight real costs  + USC ]]</f>
        <v>0</v>
      </c>
    </row>
    <row r="1952" spans="1:23" x14ac:dyDescent="0.25">
      <c r="A1952" s="1" t="s">
        <v>58</v>
      </c>
      <c r="B1952" s="1" t="s">
        <v>33</v>
      </c>
      <c r="C1952" s="2">
        <v>15</v>
      </c>
      <c r="D1952" s="2">
        <v>354</v>
      </c>
      <c r="E1952" s="1" t="s">
        <v>234</v>
      </c>
      <c r="J1952">
        <v>0</v>
      </c>
      <c r="Q1952" t="str">
        <f>INDEX('Partner data'!A:DH,MATCH(C1952,'Partner data'!DG:DG,0),83)</f>
        <v xml:space="preserve">Organismo di diritto pubblico </v>
      </c>
      <c r="R1952" t="b">
        <f>IF(E1952="staff",IF(INDEX('Partner data'!A:DH,MATCH(C1952,'Partner data'!DG:DG,0),112)="BL1 non presente","FALSO",INDEX('Partner data'!A:DH,MATCH(C1952,'Partner data'!DG:DG,0),112)))</f>
        <v>0</v>
      </c>
      <c r="S1952" s="86" t="b">
        <f t="shared" si="62"/>
        <v>0</v>
      </c>
      <c r="T1952" t="b">
        <f t="shared" si="63"/>
        <v>1</v>
      </c>
      <c r="U1952" s="154">
        <f>IFERROR(IF(R1952&lt;&gt;FALSE,IF(S1952=TRUE,INDEX('SummaryNOT_VALIDATED-BL'!$A$1:$F$16,MATCH(R1952,'SummaryNOT_VALIDATED-BL'!$A$1:$A$16,0),6),0),IF(S1952=TRUE,INDEX('SummaryNOT_VALIDATED-BL'!$A$1:$F$16,MATCH(E1952,'SummaryNOT_VALIDATED-BL'!$A$1:$A$16,0),6),0)),0)</f>
        <v>0</v>
      </c>
      <c r="V1952" s="81" cm="1">
        <f t="array" ref="V1952">INDEX('Weight tables'!$A$24:$C$27,MATCH(1,(RendicontiTrasmessiBL__2[[#This Row],[Cut percentage on real costs + USC]]&gt;='Weight tables'!$B$24:$B$27)*(RendicontiTrasmessiBL__2[[#This Row],[Cut percentage on real costs + USC]]&lt;='Weight tables'!$C$24:$C$27),0),1)</f>
        <v>0</v>
      </c>
      <c r="W1952" s="2">
        <f>RendicontiTrasmessiBL__2[[#This Row],[Weight real costs  + USC ]]</f>
        <v>0</v>
      </c>
    </row>
    <row r="1953" spans="1:23" x14ac:dyDescent="0.25">
      <c r="A1953" s="1" t="s">
        <v>58</v>
      </c>
      <c r="B1953" s="1" t="s">
        <v>33</v>
      </c>
      <c r="C1953" s="2">
        <v>15</v>
      </c>
      <c r="D1953" s="2">
        <v>354</v>
      </c>
      <c r="E1953" s="1" t="s">
        <v>235</v>
      </c>
      <c r="J1953">
        <v>0</v>
      </c>
      <c r="Q1953" t="str">
        <f>INDEX('Partner data'!A:DH,MATCH(C1953,'Partner data'!DG:DG,0),83)</f>
        <v xml:space="preserve">Organismo di diritto pubblico </v>
      </c>
      <c r="R1953" t="b">
        <f>IF(E1953="staff",IF(INDEX('Partner data'!A:DH,MATCH(C1953,'Partner data'!DG:DG,0),112)="BL1 non presente","FALSO",INDEX('Partner data'!A:DH,MATCH(C1953,'Partner data'!DG:DG,0),112)))</f>
        <v>0</v>
      </c>
      <c r="S1953" s="86" t="b">
        <f t="shared" si="62"/>
        <v>0</v>
      </c>
      <c r="T1953" t="b">
        <f t="shared" si="63"/>
        <v>1</v>
      </c>
      <c r="U1953" s="154">
        <f>IFERROR(IF(R1953&lt;&gt;FALSE,IF(S1953=TRUE,INDEX('SummaryNOT_VALIDATED-BL'!$A$1:$F$16,MATCH(R1953,'SummaryNOT_VALIDATED-BL'!$A$1:$A$16,0),6),0),IF(S1953=TRUE,INDEX('SummaryNOT_VALIDATED-BL'!$A$1:$F$16,MATCH(E1953,'SummaryNOT_VALIDATED-BL'!$A$1:$A$16,0),6),0)),0)</f>
        <v>0</v>
      </c>
      <c r="V1953" s="81" cm="1">
        <f t="array" ref="V1953">INDEX('Weight tables'!$A$24:$C$27,MATCH(1,(RendicontiTrasmessiBL__2[[#This Row],[Cut percentage on real costs + USC]]&gt;='Weight tables'!$B$24:$B$27)*(RendicontiTrasmessiBL__2[[#This Row],[Cut percentage on real costs + USC]]&lt;='Weight tables'!$C$24:$C$27),0),1)</f>
        <v>0</v>
      </c>
      <c r="W1953" s="2">
        <f>RendicontiTrasmessiBL__2[[#This Row],[Weight real costs  + USC ]]</f>
        <v>0</v>
      </c>
    </row>
    <row r="1954" spans="1:23" x14ac:dyDescent="0.25">
      <c r="A1954" s="1" t="s">
        <v>58</v>
      </c>
      <c r="B1954" s="1" t="s">
        <v>33</v>
      </c>
      <c r="C1954" s="2">
        <v>15</v>
      </c>
      <c r="D1954" s="2">
        <v>354</v>
      </c>
      <c r="E1954" s="1" t="s">
        <v>236</v>
      </c>
      <c r="J1954">
        <v>0</v>
      </c>
      <c r="Q1954" t="str">
        <f>INDEX('Partner data'!A:DH,MATCH(C1954,'Partner data'!DG:DG,0),83)</f>
        <v xml:space="preserve">Organismo di diritto pubblico </v>
      </c>
      <c r="R1954" t="b">
        <f>IF(E1954="staff",IF(INDEX('Partner data'!A:DH,MATCH(C1954,'Partner data'!DG:DG,0),112)="BL1 non presente","FALSO",INDEX('Partner data'!A:DH,MATCH(C1954,'Partner data'!DG:DG,0),112)))</f>
        <v>0</v>
      </c>
      <c r="S1954" s="86" t="b">
        <f t="shared" si="62"/>
        <v>0</v>
      </c>
      <c r="T1954" t="b">
        <f t="shared" si="63"/>
        <v>1</v>
      </c>
      <c r="U1954" s="154">
        <f>IFERROR(IF(R1954&lt;&gt;FALSE,IF(S1954=TRUE,INDEX('SummaryNOT_VALIDATED-BL'!$A$1:$F$16,MATCH(R1954,'SummaryNOT_VALIDATED-BL'!$A$1:$A$16,0),6),0),IF(S1954=TRUE,INDEX('SummaryNOT_VALIDATED-BL'!$A$1:$F$16,MATCH(E1954,'SummaryNOT_VALIDATED-BL'!$A$1:$A$16,0),6),0)),0)</f>
        <v>0</v>
      </c>
      <c r="V1954" s="81" cm="1">
        <f t="array" ref="V1954">INDEX('Weight tables'!$A$24:$C$27,MATCH(1,(RendicontiTrasmessiBL__2[[#This Row],[Cut percentage on real costs + USC]]&gt;='Weight tables'!$B$24:$B$27)*(RendicontiTrasmessiBL__2[[#This Row],[Cut percentage on real costs + USC]]&lt;='Weight tables'!$C$24:$C$27),0),1)</f>
        <v>0</v>
      </c>
      <c r="W1954" s="2">
        <f>RendicontiTrasmessiBL__2[[#This Row],[Weight real costs  + USC ]]</f>
        <v>0</v>
      </c>
    </row>
    <row r="1955" spans="1:23" x14ac:dyDescent="0.25">
      <c r="A1955" s="1" t="s">
        <v>58</v>
      </c>
      <c r="B1955" s="203" t="s">
        <v>36</v>
      </c>
      <c r="C1955" s="2">
        <v>16</v>
      </c>
      <c r="D1955" s="2">
        <v>355</v>
      </c>
      <c r="E1955" s="1" t="s">
        <v>228</v>
      </c>
      <c r="J1955" s="199">
        <v>18900</v>
      </c>
      <c r="Q1955" t="str">
        <f>INDEX('Partner data'!A:DH,MATCH(C1955,'Partner data'!DG:DG,0),83)</f>
        <v>Soggetto pubblico</v>
      </c>
      <c r="R1955" t="str">
        <f>IF(E1955="staff",IF(INDEX('Partner data'!A:DH,MATCH(C1955,'Partner data'!DG:DG,0),112)="BL1 non presente","FALSO",INDEX('Partner data'!A:DH,MATCH(C1955,'Partner data'!DG:DG,0),112)))</f>
        <v>COSTO REALE</v>
      </c>
      <c r="S1955" s="86" t="b">
        <f t="shared" si="62"/>
        <v>1</v>
      </c>
      <c r="T1955" t="b">
        <f t="shared" si="63"/>
        <v>1</v>
      </c>
      <c r="U1955" s="154">
        <f>IFERROR(IF(R1955&lt;&gt;FALSE,IF(S1955=TRUE,INDEX('SummaryNOT_VALIDATED-BL'!$A$1:$F$16,MATCH(R1955,'SummaryNOT_VALIDATED-BL'!$A$1:$A$16,0),6),0),IF(S1955=TRUE,INDEX('SummaryNOT_VALIDATED-BL'!$A$1:$F$16,MATCH(E1955,'SummaryNOT_VALIDATED-BL'!$A$1:$A$16,0),6),0)),0)</f>
        <v>9.1604133276901048E-2</v>
      </c>
      <c r="V1955" s="81" cm="1">
        <f t="array" ref="V1955">INDEX('Weight tables'!$A$24:$C$27,MATCH(1,(RendicontiTrasmessiBL__2[[#This Row],[Cut percentage on real costs + USC]]&gt;='Weight tables'!$B$24:$B$27)*(RendicontiTrasmessiBL__2[[#This Row],[Cut percentage on real costs + USC]]&lt;='Weight tables'!$C$24:$C$27),0),1)</f>
        <v>4</v>
      </c>
      <c r="W1955" s="2">
        <f>RendicontiTrasmessiBL__2[[#This Row],[Weight real costs  + USC ]]</f>
        <v>4</v>
      </c>
    </row>
    <row r="1956" spans="1:23" x14ac:dyDescent="0.25">
      <c r="A1956" s="1" t="s">
        <v>58</v>
      </c>
      <c r="B1956" s="203" t="s">
        <v>36</v>
      </c>
      <c r="C1956" s="2">
        <v>16</v>
      </c>
      <c r="D1956" s="2">
        <v>355</v>
      </c>
      <c r="E1956" s="1" t="s">
        <v>229</v>
      </c>
      <c r="J1956">
        <f>J1955*0.15</f>
        <v>2835</v>
      </c>
      <c r="Q1956" t="str">
        <f>INDEX('Partner data'!A:DH,MATCH(C1956,'Partner data'!DG:DG,0),83)</f>
        <v>Soggetto pubblico</v>
      </c>
      <c r="R1956" t="b">
        <f>IF(E1956="staff",IF(INDEX('Partner data'!A:DH,MATCH(C1956,'Partner data'!DG:DG,0),112)="BL1 non presente","FALSO",INDEX('Partner data'!A:DH,MATCH(C1956,'Partner data'!DG:DG,0),112)))</f>
        <v>0</v>
      </c>
      <c r="S1956" s="86" t="b">
        <f t="shared" si="62"/>
        <v>1</v>
      </c>
      <c r="T1956" t="b">
        <f t="shared" si="63"/>
        <v>1</v>
      </c>
      <c r="U1956" s="154">
        <f>IFERROR(IF(R1956&lt;&gt;FALSE,IF(S1956=TRUE,INDEX('SummaryNOT_VALIDATED-BL'!$A$1:$F$16,MATCH(R1956,'SummaryNOT_VALIDATED-BL'!$A$1:$A$16,0),6),0),IF(S1956=TRUE,INDEX('SummaryNOT_VALIDATED-BL'!$A$1:$F$16,MATCH(E1956,'SummaryNOT_VALIDATED-BL'!$A$1:$A$16,0),6),0)),0)</f>
        <v>6.6460469504890221E-2</v>
      </c>
      <c r="V1956" s="81" cm="1">
        <f t="array" ref="V1956">INDEX('Weight tables'!$A$24:$C$27,MATCH(1,(RendicontiTrasmessiBL__2[[#This Row],[Cut percentage on real costs + USC]]&gt;='Weight tables'!$B$24:$B$27)*(RendicontiTrasmessiBL__2[[#This Row],[Cut percentage on real costs + USC]]&lt;='Weight tables'!$C$24:$C$27),0),1)</f>
        <v>4</v>
      </c>
      <c r="W1956" s="2">
        <f>RendicontiTrasmessiBL__2[[#This Row],[Weight real costs  + USC ]]</f>
        <v>4</v>
      </c>
    </row>
    <row r="1957" spans="1:23" x14ac:dyDescent="0.25">
      <c r="A1957" s="1" t="s">
        <v>58</v>
      </c>
      <c r="B1957" s="203" t="s">
        <v>36</v>
      </c>
      <c r="C1957" s="2">
        <v>16</v>
      </c>
      <c r="D1957" s="2">
        <v>355</v>
      </c>
      <c r="E1957" s="1" t="s">
        <v>230</v>
      </c>
      <c r="J1957">
        <f>J1955*0.04</f>
        <v>756</v>
      </c>
      <c r="Q1957" t="str">
        <f>INDEX('Partner data'!A:DH,MATCH(C1957,'Partner data'!DG:DG,0),83)</f>
        <v>Soggetto pubblico</v>
      </c>
      <c r="R1957" t="b">
        <f>IF(E1957="staff",IF(INDEX('Partner data'!A:DH,MATCH(C1957,'Partner data'!DG:DG,0),112)="BL1 non presente","FALSO",INDEX('Partner data'!A:DH,MATCH(C1957,'Partner data'!DG:DG,0),112)))</f>
        <v>0</v>
      </c>
      <c r="S1957" s="86" t="b">
        <f t="shared" si="62"/>
        <v>1</v>
      </c>
      <c r="T1957" t="b">
        <f t="shared" si="63"/>
        <v>1</v>
      </c>
      <c r="U1957" s="154">
        <f>IFERROR(IF(R1957&lt;&gt;FALSE,IF(S1957=TRUE,INDEX('SummaryNOT_VALIDATED-BL'!$A$1:$F$16,MATCH(R1957,'SummaryNOT_VALIDATED-BL'!$A$1:$A$16,0),6),0),IF(S1957=TRUE,INDEX('SummaryNOT_VALIDATED-BL'!$A$1:$F$16,MATCH(E1957,'SummaryNOT_VALIDATED-BL'!$A$1:$A$16,0),6),0)),0)</f>
        <v>6.3112622236488891E-2</v>
      </c>
      <c r="V1957" s="81" cm="1">
        <f t="array" ref="V1957">INDEX('Weight tables'!$A$24:$C$27,MATCH(1,(RendicontiTrasmessiBL__2[[#This Row],[Cut percentage on real costs + USC]]&gt;='Weight tables'!$B$24:$B$27)*(RendicontiTrasmessiBL__2[[#This Row],[Cut percentage on real costs + USC]]&lt;='Weight tables'!$C$24:$C$27),0),1)</f>
        <v>4</v>
      </c>
      <c r="W1957" s="2">
        <f>RendicontiTrasmessiBL__2[[#This Row],[Weight real costs  + USC ]]</f>
        <v>4</v>
      </c>
    </row>
    <row r="1958" spans="1:23" x14ac:dyDescent="0.25">
      <c r="A1958" s="1" t="s">
        <v>58</v>
      </c>
      <c r="B1958" s="203" t="s">
        <v>36</v>
      </c>
      <c r="C1958" s="2">
        <v>16</v>
      </c>
      <c r="D1958" s="2">
        <v>355</v>
      </c>
      <c r="E1958" s="1" t="s">
        <v>231</v>
      </c>
      <c r="J1958" s="200">
        <v>33000</v>
      </c>
      <c r="Q1958" t="str">
        <f>INDEX('Partner data'!A:DH,MATCH(C1958,'Partner data'!DG:DG,0),83)</f>
        <v>Soggetto pubblico</v>
      </c>
      <c r="R1958" t="b">
        <f>IF(E1958="staff",IF(INDEX('Partner data'!A:DH,MATCH(C1958,'Partner data'!DG:DG,0),112)="BL1 non presente","FALSO",INDEX('Partner data'!A:DH,MATCH(C1958,'Partner data'!DG:DG,0),112)))</f>
        <v>0</v>
      </c>
      <c r="S1958" s="86" t="b">
        <f t="shared" si="62"/>
        <v>1</v>
      </c>
      <c r="T1958" t="b">
        <f t="shared" si="63"/>
        <v>1</v>
      </c>
      <c r="U1958" s="154">
        <f>IFERROR(IF(R1958&lt;&gt;FALSE,IF(S1958=TRUE,INDEX('SummaryNOT_VALIDATED-BL'!$A$1:$F$16,MATCH(R1958,'SummaryNOT_VALIDATED-BL'!$A$1:$A$16,0),6),0),IF(S1958=TRUE,INDEX('SummaryNOT_VALIDATED-BL'!$A$1:$F$16,MATCH(E1958,'SummaryNOT_VALIDATED-BL'!$A$1:$A$16,0),6),0)),0)</f>
        <v>5.577594442215475E-2</v>
      </c>
      <c r="V1958" s="81" cm="1">
        <f t="array" ref="V1958">INDEX('Weight tables'!$A$24:$C$27,MATCH(1,(RendicontiTrasmessiBL__2[[#This Row],[Cut percentage on real costs + USC]]&gt;='Weight tables'!$B$24:$B$27)*(RendicontiTrasmessiBL__2[[#This Row],[Cut percentage on real costs + USC]]&lt;='Weight tables'!$C$24:$C$27),0),1)</f>
        <v>4</v>
      </c>
      <c r="W1958" s="2">
        <f>RendicontiTrasmessiBL__2[[#This Row],[Weight real costs  + USC ]]</f>
        <v>4</v>
      </c>
    </row>
    <row r="1959" spans="1:23" x14ac:dyDescent="0.25">
      <c r="A1959" s="1" t="s">
        <v>58</v>
      </c>
      <c r="B1959" s="203" t="s">
        <v>36</v>
      </c>
      <c r="C1959" s="2">
        <v>16</v>
      </c>
      <c r="D1959" s="2">
        <v>355</v>
      </c>
      <c r="E1959" s="1" t="s">
        <v>232</v>
      </c>
      <c r="J1959" s="200">
        <v>15000</v>
      </c>
      <c r="Q1959" t="str">
        <f>INDEX('Partner data'!A:DH,MATCH(C1959,'Partner data'!DG:DG,0),83)</f>
        <v>Soggetto pubblico</v>
      </c>
      <c r="R1959" t="b">
        <f>IF(E1959="staff",IF(INDEX('Partner data'!A:DH,MATCH(C1959,'Partner data'!DG:DG,0),112)="BL1 non presente","FALSO",INDEX('Partner data'!A:DH,MATCH(C1959,'Partner data'!DG:DG,0),112)))</f>
        <v>0</v>
      </c>
      <c r="S1959" s="86" t="b">
        <f t="shared" si="62"/>
        <v>1</v>
      </c>
      <c r="T1959" t="b">
        <f t="shared" si="63"/>
        <v>1</v>
      </c>
      <c r="U1959" s="154">
        <f>IFERROR(IF(R1959&lt;&gt;FALSE,IF(S1959=TRUE,INDEX('SummaryNOT_VALIDATED-BL'!$A$1:$F$16,MATCH(R1959,'SummaryNOT_VALIDATED-BL'!$A$1:$A$16,0),6),0),IF(S1959=TRUE,INDEX('SummaryNOT_VALIDATED-BL'!$A$1:$F$16,MATCH(E1959,'SummaryNOT_VALIDATED-BL'!$A$1:$A$16,0),6),0)),0)</f>
        <v>1.102169095281242E-2</v>
      </c>
      <c r="V1959" s="81" cm="1">
        <f t="array" ref="V1959">INDEX('Weight tables'!$A$24:$C$27,MATCH(1,(RendicontiTrasmessiBL__2[[#This Row],[Cut percentage on real costs + USC]]&gt;='Weight tables'!$B$24:$B$27)*(RendicontiTrasmessiBL__2[[#This Row],[Cut percentage on real costs + USC]]&lt;='Weight tables'!$C$24:$C$27),0),1)</f>
        <v>0</v>
      </c>
      <c r="W1959" s="2">
        <f>RendicontiTrasmessiBL__2[[#This Row],[Weight real costs  + USC ]]</f>
        <v>0</v>
      </c>
    </row>
    <row r="1960" spans="1:23" x14ac:dyDescent="0.25">
      <c r="A1960" s="1" t="s">
        <v>58</v>
      </c>
      <c r="B1960" s="203" t="s">
        <v>36</v>
      </c>
      <c r="C1960" s="2">
        <v>16</v>
      </c>
      <c r="D1960" s="2">
        <v>355</v>
      </c>
      <c r="E1960" s="1" t="s">
        <v>233</v>
      </c>
      <c r="J1960">
        <v>0</v>
      </c>
      <c r="Q1960" t="str">
        <f>INDEX('Partner data'!A:DH,MATCH(C1960,'Partner data'!DG:DG,0),83)</f>
        <v>Soggetto pubblico</v>
      </c>
      <c r="R1960" t="b">
        <f>IF(E1960="staff",IF(INDEX('Partner data'!A:DH,MATCH(C1960,'Partner data'!DG:DG,0),112)="BL1 non presente","FALSO",INDEX('Partner data'!A:DH,MATCH(C1960,'Partner data'!DG:DG,0),112)))</f>
        <v>0</v>
      </c>
      <c r="S1960" s="86" t="b">
        <f t="shared" si="62"/>
        <v>0</v>
      </c>
      <c r="T1960" t="b">
        <f t="shared" si="63"/>
        <v>1</v>
      </c>
      <c r="U1960" s="154">
        <f>IFERROR(IF(R1960&lt;&gt;FALSE,IF(S1960=TRUE,INDEX('SummaryNOT_VALIDATED-BL'!$A$1:$F$16,MATCH(R1960,'SummaryNOT_VALIDATED-BL'!$A$1:$A$16,0),6),0),IF(S1960=TRUE,INDEX('SummaryNOT_VALIDATED-BL'!$A$1:$F$16,MATCH(E1960,'SummaryNOT_VALIDATED-BL'!$A$1:$A$16,0),6),0)),0)</f>
        <v>0</v>
      </c>
      <c r="V1960" s="81" cm="1">
        <f t="array" ref="V1960">INDEX('Weight tables'!$A$24:$C$27,MATCH(1,(RendicontiTrasmessiBL__2[[#This Row],[Cut percentage on real costs + USC]]&gt;='Weight tables'!$B$24:$B$27)*(RendicontiTrasmessiBL__2[[#This Row],[Cut percentage on real costs + USC]]&lt;='Weight tables'!$C$24:$C$27),0),1)</f>
        <v>0</v>
      </c>
      <c r="W1960" s="2">
        <f>RendicontiTrasmessiBL__2[[#This Row],[Weight real costs  + USC ]]</f>
        <v>0</v>
      </c>
    </row>
    <row r="1961" spans="1:23" x14ac:dyDescent="0.25">
      <c r="A1961" s="1" t="s">
        <v>58</v>
      </c>
      <c r="B1961" s="203" t="s">
        <v>36</v>
      </c>
      <c r="C1961" s="2">
        <v>16</v>
      </c>
      <c r="D1961" s="2">
        <v>355</v>
      </c>
      <c r="E1961" s="1" t="s">
        <v>234</v>
      </c>
      <c r="J1961">
        <v>0</v>
      </c>
      <c r="Q1961" t="str">
        <f>INDEX('Partner data'!A:DH,MATCH(C1961,'Partner data'!DG:DG,0),83)</f>
        <v>Soggetto pubblico</v>
      </c>
      <c r="R1961" t="b">
        <f>IF(E1961="staff",IF(INDEX('Partner data'!A:DH,MATCH(C1961,'Partner data'!DG:DG,0),112)="BL1 non presente","FALSO",INDEX('Partner data'!A:DH,MATCH(C1961,'Partner data'!DG:DG,0),112)))</f>
        <v>0</v>
      </c>
      <c r="S1961" s="86" t="b">
        <f t="shared" si="62"/>
        <v>0</v>
      </c>
      <c r="T1961" t="b">
        <f t="shared" si="63"/>
        <v>1</v>
      </c>
      <c r="U1961" s="154">
        <f>IFERROR(IF(R1961&lt;&gt;FALSE,IF(S1961=TRUE,INDEX('SummaryNOT_VALIDATED-BL'!$A$1:$F$16,MATCH(R1961,'SummaryNOT_VALIDATED-BL'!$A$1:$A$16,0),6),0),IF(S1961=TRUE,INDEX('SummaryNOT_VALIDATED-BL'!$A$1:$F$16,MATCH(E1961,'SummaryNOT_VALIDATED-BL'!$A$1:$A$16,0),6),0)),0)</f>
        <v>0</v>
      </c>
      <c r="V1961" s="81" cm="1">
        <f t="array" ref="V1961">INDEX('Weight tables'!$A$24:$C$27,MATCH(1,(RendicontiTrasmessiBL__2[[#This Row],[Cut percentage on real costs + USC]]&gt;='Weight tables'!$B$24:$B$27)*(RendicontiTrasmessiBL__2[[#This Row],[Cut percentage on real costs + USC]]&lt;='Weight tables'!$C$24:$C$27),0),1)</f>
        <v>0</v>
      </c>
      <c r="W1961" s="2">
        <f>RendicontiTrasmessiBL__2[[#This Row],[Weight real costs  + USC ]]</f>
        <v>0</v>
      </c>
    </row>
    <row r="1962" spans="1:23" x14ac:dyDescent="0.25">
      <c r="A1962" s="1" t="s">
        <v>58</v>
      </c>
      <c r="B1962" s="203" t="s">
        <v>36</v>
      </c>
      <c r="C1962" s="2">
        <v>16</v>
      </c>
      <c r="D1962" s="2">
        <v>355</v>
      </c>
      <c r="E1962" s="1" t="s">
        <v>235</v>
      </c>
      <c r="J1962">
        <v>0</v>
      </c>
      <c r="Q1962" t="str">
        <f>INDEX('Partner data'!A:DH,MATCH(C1962,'Partner data'!DG:DG,0),83)</f>
        <v>Soggetto pubblico</v>
      </c>
      <c r="R1962" t="b">
        <f>IF(E1962="staff",IF(INDEX('Partner data'!A:DH,MATCH(C1962,'Partner data'!DG:DG,0),112)="BL1 non presente","FALSO",INDEX('Partner data'!A:DH,MATCH(C1962,'Partner data'!DG:DG,0),112)))</f>
        <v>0</v>
      </c>
      <c r="S1962" s="86" t="b">
        <f t="shared" si="62"/>
        <v>0</v>
      </c>
      <c r="T1962" t="b">
        <f t="shared" si="63"/>
        <v>1</v>
      </c>
      <c r="U1962" s="154">
        <f>IFERROR(IF(R1962&lt;&gt;FALSE,IF(S1962=TRUE,INDEX('SummaryNOT_VALIDATED-BL'!$A$1:$F$16,MATCH(R1962,'SummaryNOT_VALIDATED-BL'!$A$1:$A$16,0),6),0),IF(S1962=TRUE,INDEX('SummaryNOT_VALIDATED-BL'!$A$1:$F$16,MATCH(E1962,'SummaryNOT_VALIDATED-BL'!$A$1:$A$16,0),6),0)),0)</f>
        <v>0</v>
      </c>
      <c r="V1962" s="81" cm="1">
        <f t="array" ref="V1962">INDEX('Weight tables'!$A$24:$C$27,MATCH(1,(RendicontiTrasmessiBL__2[[#This Row],[Cut percentage on real costs + USC]]&gt;='Weight tables'!$B$24:$B$27)*(RendicontiTrasmessiBL__2[[#This Row],[Cut percentage on real costs + USC]]&lt;='Weight tables'!$C$24:$C$27),0),1)</f>
        <v>0</v>
      </c>
      <c r="W1962" s="2">
        <f>RendicontiTrasmessiBL__2[[#This Row],[Weight real costs  + USC ]]</f>
        <v>0</v>
      </c>
    </row>
    <row r="1963" spans="1:23" x14ac:dyDescent="0.25">
      <c r="A1963" s="1" t="s">
        <v>58</v>
      </c>
      <c r="B1963" s="203" t="s">
        <v>36</v>
      </c>
      <c r="C1963" s="2">
        <v>16</v>
      </c>
      <c r="D1963" s="2">
        <v>355</v>
      </c>
      <c r="E1963" s="1" t="s">
        <v>236</v>
      </c>
      <c r="J1963">
        <v>0</v>
      </c>
      <c r="Q1963" t="str">
        <f>INDEX('Partner data'!A:DH,MATCH(C1963,'Partner data'!DG:DG,0),83)</f>
        <v>Soggetto pubblico</v>
      </c>
      <c r="R1963" t="b">
        <f>IF(E1963="staff",IF(INDEX('Partner data'!A:DH,MATCH(C1963,'Partner data'!DG:DG,0),112)="BL1 non presente","FALSO",INDEX('Partner data'!A:DH,MATCH(C1963,'Partner data'!DG:DG,0),112)))</f>
        <v>0</v>
      </c>
      <c r="S1963" s="86" t="b">
        <f t="shared" si="62"/>
        <v>0</v>
      </c>
      <c r="T1963" t="b">
        <f t="shared" si="63"/>
        <v>1</v>
      </c>
      <c r="U1963" s="154">
        <f>IFERROR(IF(R1963&lt;&gt;FALSE,IF(S1963=TRUE,INDEX('SummaryNOT_VALIDATED-BL'!$A$1:$F$16,MATCH(R1963,'SummaryNOT_VALIDATED-BL'!$A$1:$A$16,0),6),0),IF(S1963=TRUE,INDEX('SummaryNOT_VALIDATED-BL'!$A$1:$F$16,MATCH(E1963,'SummaryNOT_VALIDATED-BL'!$A$1:$A$16,0),6),0)),0)</f>
        <v>0</v>
      </c>
      <c r="V1963" s="81" cm="1">
        <f t="array" ref="V1963">INDEX('Weight tables'!$A$24:$C$27,MATCH(1,(RendicontiTrasmessiBL__2[[#This Row],[Cut percentage on real costs + USC]]&gt;='Weight tables'!$B$24:$B$27)*(RendicontiTrasmessiBL__2[[#This Row],[Cut percentage on real costs + USC]]&lt;='Weight tables'!$C$24:$C$27),0),1)</f>
        <v>0</v>
      </c>
      <c r="W1963" s="2">
        <f>RendicontiTrasmessiBL__2[[#This Row],[Weight real costs  + USC ]]</f>
        <v>0</v>
      </c>
    </row>
    <row r="1964" spans="1:23" x14ac:dyDescent="0.25">
      <c r="A1964" s="1" t="s">
        <v>58</v>
      </c>
      <c r="B1964" s="1" t="s">
        <v>268</v>
      </c>
      <c r="C1964" s="2">
        <v>17</v>
      </c>
      <c r="D1964" s="2">
        <v>356</v>
      </c>
      <c r="E1964" s="1" t="s">
        <v>228</v>
      </c>
      <c r="J1964">
        <v>0</v>
      </c>
      <c r="Q1964" t="str">
        <f>INDEX('Partner data'!A:DH,MATCH(C1964,'Partner data'!DG:DG,0),83)</f>
        <v>Soggetto pubblico</v>
      </c>
      <c r="R1964" t="str">
        <f>IF(E1964="staff",IF(INDEX('Partner data'!A:DH,MATCH(C1964,'Partner data'!DG:DG,0),112)="BL1 non presente","FALSO",INDEX('Partner data'!A:DH,MATCH(C1964,'Partner data'!DG:DG,0),112)))</f>
        <v>FALSO</v>
      </c>
      <c r="S1964" s="86" t="b">
        <f t="shared" si="62"/>
        <v>0</v>
      </c>
      <c r="T1964" t="b">
        <f t="shared" si="63"/>
        <v>1</v>
      </c>
      <c r="U1964" s="154">
        <f>IFERROR(IF(R1964&lt;&gt;FALSE,IF(S1964=TRUE,INDEX('SummaryNOT_VALIDATED-BL'!$A$1:$F$16,MATCH(R1964,'SummaryNOT_VALIDATED-BL'!$A$1:$A$16,0),6),0),IF(S1964=TRUE,INDEX('SummaryNOT_VALIDATED-BL'!$A$1:$F$16,MATCH(E1964,'SummaryNOT_VALIDATED-BL'!$A$1:$A$16,0),6),0)),0)</f>
        <v>0</v>
      </c>
      <c r="V1964" s="81" cm="1">
        <f t="array" ref="V1964">INDEX('Weight tables'!$A$24:$C$27,MATCH(1,(RendicontiTrasmessiBL__2[[#This Row],[Cut percentage on real costs + USC]]&gt;='Weight tables'!$B$24:$B$27)*(RendicontiTrasmessiBL__2[[#This Row],[Cut percentage on real costs + USC]]&lt;='Weight tables'!$C$24:$C$27),0),1)</f>
        <v>0</v>
      </c>
      <c r="W1964" s="2">
        <f>RendicontiTrasmessiBL__2[[#This Row],[Weight real costs  + USC ]]</f>
        <v>0</v>
      </c>
    </row>
    <row r="1965" spans="1:23" x14ac:dyDescent="0.25">
      <c r="A1965" s="1" t="s">
        <v>58</v>
      </c>
      <c r="B1965" s="1" t="s">
        <v>268</v>
      </c>
      <c r="C1965" s="2">
        <v>17</v>
      </c>
      <c r="D1965" s="2">
        <v>356</v>
      </c>
      <c r="E1965" s="1" t="s">
        <v>229</v>
      </c>
      <c r="J1965">
        <v>0</v>
      </c>
      <c r="Q1965" t="str">
        <f>INDEX('Partner data'!A:DH,MATCH(C1965,'Partner data'!DG:DG,0),83)</f>
        <v>Soggetto pubblico</v>
      </c>
      <c r="R1965" t="b">
        <f>IF(E1965="staff",IF(INDEX('Partner data'!A:DH,MATCH(C1965,'Partner data'!DG:DG,0),112)="BL1 non presente","FALSO",INDEX('Partner data'!A:DH,MATCH(C1965,'Partner data'!DG:DG,0),112)))</f>
        <v>0</v>
      </c>
      <c r="S1965" s="86" t="b">
        <f t="shared" si="62"/>
        <v>0</v>
      </c>
      <c r="T1965" t="b">
        <f t="shared" si="63"/>
        <v>1</v>
      </c>
      <c r="U1965" s="154">
        <f>IFERROR(IF(R1965&lt;&gt;FALSE,IF(S1965=TRUE,INDEX('SummaryNOT_VALIDATED-BL'!$A$1:$F$16,MATCH(R1965,'SummaryNOT_VALIDATED-BL'!$A$1:$A$16,0),6),0),IF(S1965=TRUE,INDEX('SummaryNOT_VALIDATED-BL'!$A$1:$F$16,MATCH(E1965,'SummaryNOT_VALIDATED-BL'!$A$1:$A$16,0),6),0)),0)</f>
        <v>0</v>
      </c>
      <c r="V1965" s="81" cm="1">
        <f t="array" ref="V1965">INDEX('Weight tables'!$A$24:$C$27,MATCH(1,(RendicontiTrasmessiBL__2[[#This Row],[Cut percentage on real costs + USC]]&gt;='Weight tables'!$B$24:$B$27)*(RendicontiTrasmessiBL__2[[#This Row],[Cut percentage on real costs + USC]]&lt;='Weight tables'!$C$24:$C$27),0),1)</f>
        <v>0</v>
      </c>
      <c r="W1965" s="2">
        <f>RendicontiTrasmessiBL__2[[#This Row],[Weight real costs  + USC ]]</f>
        <v>0</v>
      </c>
    </row>
    <row r="1966" spans="1:23" x14ac:dyDescent="0.25">
      <c r="A1966" s="1" t="s">
        <v>58</v>
      </c>
      <c r="B1966" s="1" t="s">
        <v>268</v>
      </c>
      <c r="C1966" s="2">
        <v>17</v>
      </c>
      <c r="D1966" s="2">
        <v>356</v>
      </c>
      <c r="E1966" s="1" t="s">
        <v>230</v>
      </c>
      <c r="J1966">
        <v>5000</v>
      </c>
      <c r="Q1966" t="str">
        <f>INDEX('Partner data'!A:DH,MATCH(C1966,'Partner data'!DG:DG,0),83)</f>
        <v>Soggetto pubblico</v>
      </c>
      <c r="R1966" t="b">
        <f>IF(E1966="staff",IF(INDEX('Partner data'!A:DH,MATCH(C1966,'Partner data'!DG:DG,0),112)="BL1 non presente","FALSO",INDEX('Partner data'!A:DH,MATCH(C1966,'Partner data'!DG:DG,0),112)))</f>
        <v>0</v>
      </c>
      <c r="S1966" s="86" t="b">
        <f t="shared" si="62"/>
        <v>1</v>
      </c>
      <c r="T1966" t="b">
        <f t="shared" si="63"/>
        <v>1</v>
      </c>
      <c r="U1966" s="154">
        <f>IFERROR(IF(R1966&lt;&gt;FALSE,IF(S1966=TRUE,INDEX('SummaryNOT_VALIDATED-BL'!$A$1:$F$16,MATCH(R1966,'SummaryNOT_VALIDATED-BL'!$A$1:$A$16,0),6),0),IF(S1966=TRUE,INDEX('SummaryNOT_VALIDATED-BL'!$A$1:$F$16,MATCH(E1966,'SummaryNOT_VALIDATED-BL'!$A$1:$A$16,0),6),0)),0)</f>
        <v>6.3112622236488891E-2</v>
      </c>
      <c r="V1966" s="81" cm="1">
        <f t="array" ref="V1966">INDEX('Weight tables'!$A$24:$C$27,MATCH(1,(RendicontiTrasmessiBL__2[[#This Row],[Cut percentage on real costs + USC]]&gt;='Weight tables'!$B$24:$B$27)*(RendicontiTrasmessiBL__2[[#This Row],[Cut percentage on real costs + USC]]&lt;='Weight tables'!$C$24:$C$27),0),1)</f>
        <v>4</v>
      </c>
      <c r="W1966" s="2">
        <f>RendicontiTrasmessiBL__2[[#This Row],[Weight real costs  + USC ]]</f>
        <v>4</v>
      </c>
    </row>
    <row r="1967" spans="1:23" x14ac:dyDescent="0.25">
      <c r="A1967" s="1" t="s">
        <v>58</v>
      </c>
      <c r="B1967" s="1" t="s">
        <v>268</v>
      </c>
      <c r="C1967" s="2">
        <v>17</v>
      </c>
      <c r="D1967" s="2">
        <v>356</v>
      </c>
      <c r="E1967" s="1" t="s">
        <v>231</v>
      </c>
      <c r="J1967">
        <v>0</v>
      </c>
      <c r="Q1967" t="str">
        <f>INDEX('Partner data'!A:DH,MATCH(C1967,'Partner data'!DG:DG,0),83)</f>
        <v>Soggetto pubblico</v>
      </c>
      <c r="R1967" t="b">
        <f>IF(E1967="staff",IF(INDEX('Partner data'!A:DH,MATCH(C1967,'Partner data'!DG:DG,0),112)="BL1 non presente","FALSO",INDEX('Partner data'!A:DH,MATCH(C1967,'Partner data'!DG:DG,0),112)))</f>
        <v>0</v>
      </c>
      <c r="S1967" s="86" t="b">
        <f t="shared" si="62"/>
        <v>0</v>
      </c>
      <c r="T1967" t="b">
        <f t="shared" si="63"/>
        <v>1</v>
      </c>
      <c r="U1967" s="154">
        <f>IFERROR(IF(R1967&lt;&gt;FALSE,IF(S1967=TRUE,INDEX('SummaryNOT_VALIDATED-BL'!$A$1:$F$16,MATCH(R1967,'SummaryNOT_VALIDATED-BL'!$A$1:$A$16,0),6),0),IF(S1967=TRUE,INDEX('SummaryNOT_VALIDATED-BL'!$A$1:$F$16,MATCH(E1967,'SummaryNOT_VALIDATED-BL'!$A$1:$A$16,0),6),0)),0)</f>
        <v>0</v>
      </c>
      <c r="V1967" s="81" cm="1">
        <f t="array" ref="V1967">INDEX('Weight tables'!$A$24:$C$27,MATCH(1,(RendicontiTrasmessiBL__2[[#This Row],[Cut percentage on real costs + USC]]&gt;='Weight tables'!$B$24:$B$27)*(RendicontiTrasmessiBL__2[[#This Row],[Cut percentage on real costs + USC]]&lt;='Weight tables'!$C$24:$C$27),0),1)</f>
        <v>0</v>
      </c>
      <c r="W1967" s="2">
        <f>RendicontiTrasmessiBL__2[[#This Row],[Weight real costs  + USC ]]</f>
        <v>0</v>
      </c>
    </row>
    <row r="1968" spans="1:23" x14ac:dyDescent="0.25">
      <c r="A1968" s="1" t="s">
        <v>58</v>
      </c>
      <c r="B1968" s="1" t="s">
        <v>268</v>
      </c>
      <c r="C1968" s="2">
        <v>17</v>
      </c>
      <c r="D1968" s="2">
        <v>356</v>
      </c>
      <c r="E1968" s="1" t="s">
        <v>232</v>
      </c>
      <c r="J1968">
        <v>0</v>
      </c>
      <c r="Q1968" t="str">
        <f>INDEX('Partner data'!A:DH,MATCH(C1968,'Partner data'!DG:DG,0),83)</f>
        <v>Soggetto pubblico</v>
      </c>
      <c r="R1968" t="b">
        <f>IF(E1968="staff",IF(INDEX('Partner data'!A:DH,MATCH(C1968,'Partner data'!DG:DG,0),112)="BL1 non presente","FALSO",INDEX('Partner data'!A:DH,MATCH(C1968,'Partner data'!DG:DG,0),112)))</f>
        <v>0</v>
      </c>
      <c r="S1968" s="86" t="b">
        <f t="shared" si="62"/>
        <v>0</v>
      </c>
      <c r="T1968" t="b">
        <f t="shared" si="63"/>
        <v>1</v>
      </c>
      <c r="U1968" s="154">
        <f>IFERROR(IF(R1968&lt;&gt;FALSE,IF(S1968=TRUE,INDEX('SummaryNOT_VALIDATED-BL'!$A$1:$F$16,MATCH(R1968,'SummaryNOT_VALIDATED-BL'!$A$1:$A$16,0),6),0),IF(S1968=TRUE,INDEX('SummaryNOT_VALIDATED-BL'!$A$1:$F$16,MATCH(E1968,'SummaryNOT_VALIDATED-BL'!$A$1:$A$16,0),6),0)),0)</f>
        <v>0</v>
      </c>
      <c r="V1968" s="81" cm="1">
        <f t="array" ref="V1968">INDEX('Weight tables'!$A$24:$C$27,MATCH(1,(RendicontiTrasmessiBL__2[[#This Row],[Cut percentage on real costs + USC]]&gt;='Weight tables'!$B$24:$B$27)*(RendicontiTrasmessiBL__2[[#This Row],[Cut percentage on real costs + USC]]&lt;='Weight tables'!$C$24:$C$27),0),1)</f>
        <v>0</v>
      </c>
      <c r="W1968" s="2">
        <f>RendicontiTrasmessiBL__2[[#This Row],[Weight real costs  + USC ]]</f>
        <v>0</v>
      </c>
    </row>
    <row r="1969" spans="1:23" x14ac:dyDescent="0.25">
      <c r="A1969" s="1" t="s">
        <v>58</v>
      </c>
      <c r="B1969" s="1" t="s">
        <v>268</v>
      </c>
      <c r="C1969" s="2">
        <v>17</v>
      </c>
      <c r="D1969" s="2">
        <v>356</v>
      </c>
      <c r="E1969" s="1" t="s">
        <v>233</v>
      </c>
      <c r="J1969">
        <v>0</v>
      </c>
      <c r="Q1969" t="str">
        <f>INDEX('Partner data'!A:DH,MATCH(C1969,'Partner data'!DG:DG,0),83)</f>
        <v>Soggetto pubblico</v>
      </c>
      <c r="R1969" t="b">
        <f>IF(E1969="staff",IF(INDEX('Partner data'!A:DH,MATCH(C1969,'Partner data'!DG:DG,0),112)="BL1 non presente","FALSO",INDEX('Partner data'!A:DH,MATCH(C1969,'Partner data'!DG:DG,0),112)))</f>
        <v>0</v>
      </c>
      <c r="S1969" s="86" t="b">
        <f t="shared" si="62"/>
        <v>0</v>
      </c>
      <c r="T1969" t="b">
        <f t="shared" si="63"/>
        <v>1</v>
      </c>
      <c r="U1969" s="154">
        <f>IFERROR(IF(R1969&lt;&gt;FALSE,IF(S1969=TRUE,INDEX('SummaryNOT_VALIDATED-BL'!$A$1:$F$16,MATCH(R1969,'SummaryNOT_VALIDATED-BL'!$A$1:$A$16,0),6),0),IF(S1969=TRUE,INDEX('SummaryNOT_VALIDATED-BL'!$A$1:$F$16,MATCH(E1969,'SummaryNOT_VALIDATED-BL'!$A$1:$A$16,0),6),0)),0)</f>
        <v>0</v>
      </c>
      <c r="V1969" s="81" cm="1">
        <f t="array" ref="V1969">INDEX('Weight tables'!$A$24:$C$27,MATCH(1,(RendicontiTrasmessiBL__2[[#This Row],[Cut percentage on real costs + USC]]&gt;='Weight tables'!$B$24:$B$27)*(RendicontiTrasmessiBL__2[[#This Row],[Cut percentage on real costs + USC]]&lt;='Weight tables'!$C$24:$C$27),0),1)</f>
        <v>0</v>
      </c>
      <c r="W1969" s="2">
        <f>RendicontiTrasmessiBL__2[[#This Row],[Weight real costs  + USC ]]</f>
        <v>0</v>
      </c>
    </row>
    <row r="1970" spans="1:23" x14ac:dyDescent="0.25">
      <c r="A1970" s="1" t="s">
        <v>58</v>
      </c>
      <c r="B1970" s="1" t="s">
        <v>268</v>
      </c>
      <c r="C1970" s="2">
        <v>17</v>
      </c>
      <c r="D1970" s="2">
        <v>356</v>
      </c>
      <c r="E1970" s="1" t="s">
        <v>234</v>
      </c>
      <c r="J1970">
        <v>0</v>
      </c>
      <c r="Q1970" t="str">
        <f>INDEX('Partner data'!A:DH,MATCH(C1970,'Partner data'!DG:DG,0),83)</f>
        <v>Soggetto pubblico</v>
      </c>
      <c r="R1970" t="b">
        <f>IF(E1970="staff",IF(INDEX('Partner data'!A:DH,MATCH(C1970,'Partner data'!DG:DG,0),112)="BL1 non presente","FALSO",INDEX('Partner data'!A:DH,MATCH(C1970,'Partner data'!DG:DG,0),112)))</f>
        <v>0</v>
      </c>
      <c r="S1970" s="86" t="b">
        <f t="shared" si="62"/>
        <v>0</v>
      </c>
      <c r="T1970" t="b">
        <f t="shared" si="63"/>
        <v>1</v>
      </c>
      <c r="U1970" s="154">
        <f>IFERROR(IF(R1970&lt;&gt;FALSE,IF(S1970=TRUE,INDEX('SummaryNOT_VALIDATED-BL'!$A$1:$F$16,MATCH(R1970,'SummaryNOT_VALIDATED-BL'!$A$1:$A$16,0),6),0),IF(S1970=TRUE,INDEX('SummaryNOT_VALIDATED-BL'!$A$1:$F$16,MATCH(E1970,'SummaryNOT_VALIDATED-BL'!$A$1:$A$16,0),6),0)),0)</f>
        <v>0</v>
      </c>
      <c r="V1970" s="81" cm="1">
        <f t="array" ref="V1970">INDEX('Weight tables'!$A$24:$C$27,MATCH(1,(RendicontiTrasmessiBL__2[[#This Row],[Cut percentage on real costs + USC]]&gt;='Weight tables'!$B$24:$B$27)*(RendicontiTrasmessiBL__2[[#This Row],[Cut percentage on real costs + USC]]&lt;='Weight tables'!$C$24:$C$27),0),1)</f>
        <v>0</v>
      </c>
      <c r="W1970" s="2">
        <f>RendicontiTrasmessiBL__2[[#This Row],[Weight real costs  + USC ]]</f>
        <v>0</v>
      </c>
    </row>
    <row r="1971" spans="1:23" x14ac:dyDescent="0.25">
      <c r="A1971" s="1" t="s">
        <v>58</v>
      </c>
      <c r="B1971" s="1" t="s">
        <v>268</v>
      </c>
      <c r="C1971" s="2">
        <v>17</v>
      </c>
      <c r="D1971" s="2">
        <v>356</v>
      </c>
      <c r="E1971" s="1" t="s">
        <v>235</v>
      </c>
      <c r="J1971">
        <v>0</v>
      </c>
      <c r="Q1971" t="str">
        <f>INDEX('Partner data'!A:DH,MATCH(C1971,'Partner data'!DG:DG,0),83)</f>
        <v>Soggetto pubblico</v>
      </c>
      <c r="R1971" t="b">
        <f>IF(E1971="staff",IF(INDEX('Partner data'!A:DH,MATCH(C1971,'Partner data'!DG:DG,0),112)="BL1 non presente","FALSO",INDEX('Partner data'!A:DH,MATCH(C1971,'Partner data'!DG:DG,0),112)))</f>
        <v>0</v>
      </c>
      <c r="S1971" s="86" t="b">
        <f t="shared" si="62"/>
        <v>0</v>
      </c>
      <c r="T1971" t="b">
        <f t="shared" si="63"/>
        <v>1</v>
      </c>
      <c r="U1971" s="154">
        <f>IFERROR(IF(R1971&lt;&gt;FALSE,IF(S1971=TRUE,INDEX('SummaryNOT_VALIDATED-BL'!$A$1:$F$16,MATCH(R1971,'SummaryNOT_VALIDATED-BL'!$A$1:$A$16,0),6),0),IF(S1971=TRUE,INDEX('SummaryNOT_VALIDATED-BL'!$A$1:$F$16,MATCH(E1971,'SummaryNOT_VALIDATED-BL'!$A$1:$A$16,0),6),0)),0)</f>
        <v>0</v>
      </c>
      <c r="V1971" s="81" cm="1">
        <f t="array" ref="V1971">INDEX('Weight tables'!$A$24:$C$27,MATCH(1,(RendicontiTrasmessiBL__2[[#This Row],[Cut percentage on real costs + USC]]&gt;='Weight tables'!$B$24:$B$27)*(RendicontiTrasmessiBL__2[[#This Row],[Cut percentage on real costs + USC]]&lt;='Weight tables'!$C$24:$C$27),0),1)</f>
        <v>0</v>
      </c>
      <c r="W1971" s="2">
        <f>RendicontiTrasmessiBL__2[[#This Row],[Weight real costs  + USC ]]</f>
        <v>0</v>
      </c>
    </row>
    <row r="1972" spans="1:23" x14ac:dyDescent="0.25">
      <c r="A1972" s="1" t="s">
        <v>58</v>
      </c>
      <c r="B1972" s="1" t="s">
        <v>268</v>
      </c>
      <c r="C1972" s="2">
        <v>17</v>
      </c>
      <c r="D1972" s="2">
        <v>356</v>
      </c>
      <c r="E1972" s="1" t="s">
        <v>236</v>
      </c>
      <c r="J1972">
        <v>0</v>
      </c>
      <c r="Q1972" t="str">
        <f>INDEX('Partner data'!A:DH,MATCH(C1972,'Partner data'!DG:DG,0),83)</f>
        <v>Soggetto pubblico</v>
      </c>
      <c r="R1972" t="b">
        <f>IF(E1972="staff",IF(INDEX('Partner data'!A:DH,MATCH(C1972,'Partner data'!DG:DG,0),112)="BL1 non presente","FALSO",INDEX('Partner data'!A:DH,MATCH(C1972,'Partner data'!DG:DG,0),112)))</f>
        <v>0</v>
      </c>
      <c r="S1972" s="86" t="b">
        <f t="shared" si="62"/>
        <v>0</v>
      </c>
      <c r="T1972" t="b">
        <f t="shared" si="63"/>
        <v>1</v>
      </c>
      <c r="U1972" s="154">
        <f>IFERROR(IF(R1972&lt;&gt;FALSE,IF(S1972=TRUE,INDEX('SummaryNOT_VALIDATED-BL'!$A$1:$F$16,MATCH(R1972,'SummaryNOT_VALIDATED-BL'!$A$1:$A$16,0),6),0),IF(S1972=TRUE,INDEX('SummaryNOT_VALIDATED-BL'!$A$1:$F$16,MATCH(E1972,'SummaryNOT_VALIDATED-BL'!$A$1:$A$16,0),6),0)),0)</f>
        <v>0</v>
      </c>
      <c r="V1972" s="81" cm="1">
        <f t="array" ref="V1972">INDEX('Weight tables'!$A$24:$C$27,MATCH(1,(RendicontiTrasmessiBL__2[[#This Row],[Cut percentage on real costs + USC]]&gt;='Weight tables'!$B$24:$B$27)*(RendicontiTrasmessiBL__2[[#This Row],[Cut percentage on real costs + USC]]&lt;='Weight tables'!$C$24:$C$27),0),1)</f>
        <v>0</v>
      </c>
      <c r="W1972" s="2">
        <f>RendicontiTrasmessiBL__2[[#This Row],[Weight real costs  + USC ]]</f>
        <v>0</v>
      </c>
    </row>
    <row r="1973" spans="1:23" x14ac:dyDescent="0.25">
      <c r="A1973" t="s">
        <v>317</v>
      </c>
      <c r="B1973" s="1" t="s">
        <v>320</v>
      </c>
      <c r="C1973" s="2">
        <v>87</v>
      </c>
      <c r="D1973" s="2">
        <v>357</v>
      </c>
      <c r="E1973" s="1" t="s">
        <v>228</v>
      </c>
      <c r="J1973" s="200">
        <v>19000</v>
      </c>
      <c r="Q1973" t="str">
        <f>INDEX('Partner data'!A:DH,MATCH(C1973,'Partner data'!DG:DG,0),83)</f>
        <v>Soggetto pubblico</v>
      </c>
      <c r="R1973" t="str">
        <f>IF(E1973="staff",IF(INDEX('Partner data'!A:DH,MATCH(C1973,'Partner data'!DG:DG,0),112)="BL1 non presente","FALSO",INDEX('Partner data'!A:DH,MATCH(C1973,'Partner data'!DG:DG,0),112)))</f>
        <v>COSTO REALE</v>
      </c>
      <c r="S1973" s="86" t="b">
        <f t="shared" si="62"/>
        <v>1</v>
      </c>
      <c r="T1973" t="b">
        <f t="shared" si="63"/>
        <v>1</v>
      </c>
      <c r="U1973" s="154">
        <f>IFERROR(IF(R1973&lt;&gt;FALSE,IF(S1973=TRUE,INDEX('SummaryNOT_VALIDATED-BL'!$A$1:$F$16,MATCH(R1973,'SummaryNOT_VALIDATED-BL'!$A$1:$A$16,0),6),0),IF(S1973=TRUE,INDEX('SummaryNOT_VALIDATED-BL'!$A$1:$F$16,MATCH(E1973,'SummaryNOT_VALIDATED-BL'!$A$1:$A$16,0),6),0)),0)</f>
        <v>9.1604133276901048E-2</v>
      </c>
      <c r="V1973" s="81" cm="1">
        <f t="array" ref="V1973">INDEX('Weight tables'!$A$24:$C$27,MATCH(1,(RendicontiTrasmessiBL__2[[#This Row],[Cut percentage on real costs + USC]]&gt;='Weight tables'!$B$24:$B$27)*(RendicontiTrasmessiBL__2[[#This Row],[Cut percentage on real costs + USC]]&lt;='Weight tables'!$C$24:$C$27),0),1)</f>
        <v>4</v>
      </c>
      <c r="W1973" s="2">
        <f>RendicontiTrasmessiBL__2[[#This Row],[Weight real costs  + USC ]]</f>
        <v>4</v>
      </c>
    </row>
    <row r="1974" spans="1:23" x14ac:dyDescent="0.25">
      <c r="A1974" t="s">
        <v>317</v>
      </c>
      <c r="B1974" s="1" t="s">
        <v>320</v>
      </c>
      <c r="C1974" s="2">
        <v>87</v>
      </c>
      <c r="D1974" s="2">
        <v>357</v>
      </c>
      <c r="E1974" s="1" t="s">
        <v>229</v>
      </c>
      <c r="J1974">
        <f>J1973*0.15</f>
        <v>2850</v>
      </c>
      <c r="Q1974" t="str">
        <f>INDEX('Partner data'!A:DH,MATCH(C1974,'Partner data'!DG:DG,0),83)</f>
        <v>Soggetto pubblico</v>
      </c>
      <c r="R1974" t="b">
        <f>IF(E1974="staff",IF(INDEX('Partner data'!A:DH,MATCH(C1974,'Partner data'!DG:DG,0),112)="BL1 non presente","FALSO",INDEX('Partner data'!A:DH,MATCH(C1974,'Partner data'!DG:DG,0),112)))</f>
        <v>0</v>
      </c>
      <c r="S1974" s="86" t="b">
        <f t="shared" ref="S1974:S2005" si="64">IF(J1974&lt;&gt;0,TRUE,FALSE)</f>
        <v>1</v>
      </c>
      <c r="T1974" t="b">
        <f t="shared" ref="T1974:T2005" si="65">OR(Q1974="Soggetto pubblico",Q1974="Organismo di diritto pubblico ")</f>
        <v>1</v>
      </c>
      <c r="U1974" s="154">
        <f>IFERROR(IF(R1974&lt;&gt;FALSE,IF(S1974=TRUE,INDEX('SummaryNOT_VALIDATED-BL'!$A$1:$F$16,MATCH(R1974,'SummaryNOT_VALIDATED-BL'!$A$1:$A$16,0),6),0),IF(S1974=TRUE,INDEX('SummaryNOT_VALIDATED-BL'!$A$1:$F$16,MATCH(E1974,'SummaryNOT_VALIDATED-BL'!$A$1:$A$16,0),6),0)),0)</f>
        <v>6.6460469504890221E-2</v>
      </c>
      <c r="V1974" s="81" cm="1">
        <f t="array" ref="V1974">INDEX('Weight tables'!$A$24:$C$27,MATCH(1,(RendicontiTrasmessiBL__2[[#This Row],[Cut percentage on real costs + USC]]&gt;='Weight tables'!$B$24:$B$27)*(RendicontiTrasmessiBL__2[[#This Row],[Cut percentage on real costs + USC]]&lt;='Weight tables'!$C$24:$C$27),0),1)</f>
        <v>4</v>
      </c>
      <c r="W1974" s="2">
        <f>RendicontiTrasmessiBL__2[[#This Row],[Weight real costs  + USC ]]</f>
        <v>4</v>
      </c>
    </row>
    <row r="1975" spans="1:23" x14ac:dyDescent="0.25">
      <c r="A1975" t="s">
        <v>317</v>
      </c>
      <c r="B1975" s="1" t="s">
        <v>320</v>
      </c>
      <c r="C1975" s="2">
        <v>87</v>
      </c>
      <c r="D1975" s="2">
        <v>357</v>
      </c>
      <c r="E1975" s="1" t="s">
        <v>230</v>
      </c>
      <c r="J1975">
        <f>J1973*0.4</f>
        <v>7600</v>
      </c>
      <c r="Q1975" t="str">
        <f>INDEX('Partner data'!A:DH,MATCH(C1975,'Partner data'!DG:DG,0),83)</f>
        <v>Soggetto pubblico</v>
      </c>
      <c r="R1975" t="b">
        <f>IF(E1975="staff",IF(INDEX('Partner data'!A:DH,MATCH(C1975,'Partner data'!DG:DG,0),112)="BL1 non presente","FALSO",INDEX('Partner data'!A:DH,MATCH(C1975,'Partner data'!DG:DG,0),112)))</f>
        <v>0</v>
      </c>
      <c r="S1975" s="86" t="b">
        <f t="shared" si="64"/>
        <v>1</v>
      </c>
      <c r="T1975" t="b">
        <f t="shared" si="65"/>
        <v>1</v>
      </c>
      <c r="U1975" s="154">
        <f>IFERROR(IF(R1975&lt;&gt;FALSE,IF(S1975=TRUE,INDEX('SummaryNOT_VALIDATED-BL'!$A$1:$F$16,MATCH(R1975,'SummaryNOT_VALIDATED-BL'!$A$1:$A$16,0),6),0),IF(S1975=TRUE,INDEX('SummaryNOT_VALIDATED-BL'!$A$1:$F$16,MATCH(E1975,'SummaryNOT_VALIDATED-BL'!$A$1:$A$16,0),6),0)),0)</f>
        <v>6.3112622236488891E-2</v>
      </c>
      <c r="V1975" s="81" cm="1">
        <f t="array" ref="V1975">INDEX('Weight tables'!$A$24:$C$27,MATCH(1,(RendicontiTrasmessiBL__2[[#This Row],[Cut percentage on real costs + USC]]&gt;='Weight tables'!$B$24:$B$27)*(RendicontiTrasmessiBL__2[[#This Row],[Cut percentage on real costs + USC]]&lt;='Weight tables'!$C$24:$C$27),0),1)</f>
        <v>4</v>
      </c>
      <c r="W1975" s="2">
        <f>RendicontiTrasmessiBL__2[[#This Row],[Weight real costs  + USC ]]</f>
        <v>4</v>
      </c>
    </row>
    <row r="1976" spans="1:23" x14ac:dyDescent="0.25">
      <c r="A1976" t="s">
        <v>317</v>
      </c>
      <c r="B1976" s="1" t="s">
        <v>320</v>
      </c>
      <c r="C1976" s="2">
        <v>87</v>
      </c>
      <c r="D1976" s="2">
        <v>357</v>
      </c>
      <c r="E1976" s="1" t="s">
        <v>231</v>
      </c>
      <c r="J1976" s="200">
        <v>7500</v>
      </c>
      <c r="Q1976" t="str">
        <f>INDEX('Partner data'!A:DH,MATCH(C1976,'Partner data'!DG:DG,0),83)</f>
        <v>Soggetto pubblico</v>
      </c>
      <c r="R1976" t="b">
        <f>IF(E1976="staff",IF(INDEX('Partner data'!A:DH,MATCH(C1976,'Partner data'!DG:DG,0),112)="BL1 non presente","FALSO",INDEX('Partner data'!A:DH,MATCH(C1976,'Partner data'!DG:DG,0),112)))</f>
        <v>0</v>
      </c>
      <c r="S1976" s="86" t="b">
        <f t="shared" si="64"/>
        <v>1</v>
      </c>
      <c r="T1976" t="b">
        <f t="shared" si="65"/>
        <v>1</v>
      </c>
      <c r="U1976" s="154">
        <f>IFERROR(IF(R1976&lt;&gt;FALSE,IF(S1976=TRUE,INDEX('SummaryNOT_VALIDATED-BL'!$A$1:$F$16,MATCH(R1976,'SummaryNOT_VALIDATED-BL'!$A$1:$A$16,0),6),0),IF(S1976=TRUE,INDEX('SummaryNOT_VALIDATED-BL'!$A$1:$F$16,MATCH(E1976,'SummaryNOT_VALIDATED-BL'!$A$1:$A$16,0),6),0)),0)</f>
        <v>5.577594442215475E-2</v>
      </c>
      <c r="V1976" s="81" cm="1">
        <f t="array" ref="V1976">INDEX('Weight tables'!$A$24:$C$27,MATCH(1,(RendicontiTrasmessiBL__2[[#This Row],[Cut percentage on real costs + USC]]&gt;='Weight tables'!$B$24:$B$27)*(RendicontiTrasmessiBL__2[[#This Row],[Cut percentage on real costs + USC]]&lt;='Weight tables'!$C$24:$C$27),0),1)</f>
        <v>4</v>
      </c>
      <c r="W1976" s="2">
        <f>RendicontiTrasmessiBL__2[[#This Row],[Weight real costs  + USC ]]</f>
        <v>4</v>
      </c>
    </row>
    <row r="1977" spans="1:23" x14ac:dyDescent="0.25">
      <c r="A1977" t="s">
        <v>317</v>
      </c>
      <c r="B1977" s="1" t="s">
        <v>320</v>
      </c>
      <c r="C1977" s="2">
        <v>87</v>
      </c>
      <c r="D1977" s="2">
        <v>357</v>
      </c>
      <c r="E1977" s="1" t="s">
        <v>232</v>
      </c>
      <c r="J1977">
        <v>0</v>
      </c>
      <c r="Q1977" t="str">
        <f>INDEX('Partner data'!A:DH,MATCH(C1977,'Partner data'!DG:DG,0),83)</f>
        <v>Soggetto pubblico</v>
      </c>
      <c r="R1977" t="b">
        <f>IF(E1977="staff",IF(INDEX('Partner data'!A:DH,MATCH(C1977,'Partner data'!DG:DG,0),112)="BL1 non presente","FALSO",INDEX('Partner data'!A:DH,MATCH(C1977,'Partner data'!DG:DG,0),112)))</f>
        <v>0</v>
      </c>
      <c r="S1977" s="86" t="b">
        <f t="shared" si="64"/>
        <v>0</v>
      </c>
      <c r="T1977" t="b">
        <f t="shared" si="65"/>
        <v>1</v>
      </c>
      <c r="U1977" s="154">
        <f>IFERROR(IF(R1977&lt;&gt;FALSE,IF(S1977=TRUE,INDEX('SummaryNOT_VALIDATED-BL'!$A$1:$F$16,MATCH(R1977,'SummaryNOT_VALIDATED-BL'!$A$1:$A$16,0),6),0),IF(S1977=TRUE,INDEX('SummaryNOT_VALIDATED-BL'!$A$1:$F$16,MATCH(E1977,'SummaryNOT_VALIDATED-BL'!$A$1:$A$16,0),6),0)),0)</f>
        <v>0</v>
      </c>
      <c r="V1977" s="81" cm="1">
        <f t="array" ref="V1977">INDEX('Weight tables'!$A$24:$C$27,MATCH(1,(RendicontiTrasmessiBL__2[[#This Row],[Cut percentage on real costs + USC]]&gt;='Weight tables'!$B$24:$B$27)*(RendicontiTrasmessiBL__2[[#This Row],[Cut percentage on real costs + USC]]&lt;='Weight tables'!$C$24:$C$27),0),1)</f>
        <v>0</v>
      </c>
      <c r="W1977" s="2">
        <f>RendicontiTrasmessiBL__2[[#This Row],[Weight real costs  + USC ]]</f>
        <v>0</v>
      </c>
    </row>
    <row r="1978" spans="1:23" x14ac:dyDescent="0.25">
      <c r="A1978" t="s">
        <v>317</v>
      </c>
      <c r="B1978" s="1" t="s">
        <v>320</v>
      </c>
      <c r="C1978" s="2">
        <v>87</v>
      </c>
      <c r="D1978" s="2">
        <v>357</v>
      </c>
      <c r="E1978" s="1" t="s">
        <v>233</v>
      </c>
      <c r="J1978">
        <v>0</v>
      </c>
      <c r="Q1978" t="str">
        <f>INDEX('Partner data'!A:DH,MATCH(C1978,'Partner data'!DG:DG,0),83)</f>
        <v>Soggetto pubblico</v>
      </c>
      <c r="R1978" t="b">
        <f>IF(E1978="staff",IF(INDEX('Partner data'!A:DH,MATCH(C1978,'Partner data'!DG:DG,0),112)="BL1 non presente","FALSO",INDEX('Partner data'!A:DH,MATCH(C1978,'Partner data'!DG:DG,0),112)))</f>
        <v>0</v>
      </c>
      <c r="S1978" s="86" t="b">
        <f t="shared" si="64"/>
        <v>0</v>
      </c>
      <c r="T1978" t="b">
        <f t="shared" si="65"/>
        <v>1</v>
      </c>
      <c r="U1978" s="154">
        <f>IFERROR(IF(R1978&lt;&gt;FALSE,IF(S1978=TRUE,INDEX('SummaryNOT_VALIDATED-BL'!$A$1:$F$16,MATCH(R1978,'SummaryNOT_VALIDATED-BL'!$A$1:$A$16,0),6),0),IF(S1978=TRUE,INDEX('SummaryNOT_VALIDATED-BL'!$A$1:$F$16,MATCH(E1978,'SummaryNOT_VALIDATED-BL'!$A$1:$A$16,0),6),0)),0)</f>
        <v>0</v>
      </c>
      <c r="V1978" s="81" cm="1">
        <f t="array" ref="V1978">INDEX('Weight tables'!$A$24:$C$27,MATCH(1,(RendicontiTrasmessiBL__2[[#This Row],[Cut percentage on real costs + USC]]&gt;='Weight tables'!$B$24:$B$27)*(RendicontiTrasmessiBL__2[[#This Row],[Cut percentage on real costs + USC]]&lt;='Weight tables'!$C$24:$C$27),0),1)</f>
        <v>0</v>
      </c>
      <c r="W1978" s="2">
        <f>RendicontiTrasmessiBL__2[[#This Row],[Weight real costs  + USC ]]</f>
        <v>0</v>
      </c>
    </row>
    <row r="1979" spans="1:23" x14ac:dyDescent="0.25">
      <c r="A1979" t="s">
        <v>317</v>
      </c>
      <c r="B1979" s="1" t="s">
        <v>320</v>
      </c>
      <c r="C1979" s="2">
        <v>87</v>
      </c>
      <c r="D1979" s="2">
        <v>357</v>
      </c>
      <c r="E1979" s="1" t="s">
        <v>234</v>
      </c>
      <c r="J1979">
        <v>0</v>
      </c>
      <c r="Q1979" t="str">
        <f>INDEX('Partner data'!A:DH,MATCH(C1979,'Partner data'!DG:DG,0),83)</f>
        <v>Soggetto pubblico</v>
      </c>
      <c r="R1979" t="b">
        <f>IF(E1979="staff",IF(INDEX('Partner data'!A:DH,MATCH(C1979,'Partner data'!DG:DG,0),112)="BL1 non presente","FALSO",INDEX('Partner data'!A:DH,MATCH(C1979,'Partner data'!DG:DG,0),112)))</f>
        <v>0</v>
      </c>
      <c r="S1979" s="86" t="b">
        <f t="shared" si="64"/>
        <v>0</v>
      </c>
      <c r="T1979" t="b">
        <f t="shared" si="65"/>
        <v>1</v>
      </c>
      <c r="U1979" s="154">
        <f>IFERROR(IF(R1979&lt;&gt;FALSE,IF(S1979=TRUE,INDEX('SummaryNOT_VALIDATED-BL'!$A$1:$F$16,MATCH(R1979,'SummaryNOT_VALIDATED-BL'!$A$1:$A$16,0),6),0),IF(S1979=TRUE,INDEX('SummaryNOT_VALIDATED-BL'!$A$1:$F$16,MATCH(E1979,'SummaryNOT_VALIDATED-BL'!$A$1:$A$16,0),6),0)),0)</f>
        <v>0</v>
      </c>
      <c r="V1979" s="81" cm="1">
        <f t="array" ref="V1979">INDEX('Weight tables'!$A$24:$C$27,MATCH(1,(RendicontiTrasmessiBL__2[[#This Row],[Cut percentage on real costs + USC]]&gt;='Weight tables'!$B$24:$B$27)*(RendicontiTrasmessiBL__2[[#This Row],[Cut percentage on real costs + USC]]&lt;='Weight tables'!$C$24:$C$27),0),1)</f>
        <v>0</v>
      </c>
      <c r="W1979" s="2">
        <f>RendicontiTrasmessiBL__2[[#This Row],[Weight real costs  + USC ]]</f>
        <v>0</v>
      </c>
    </row>
    <row r="1980" spans="1:23" x14ac:dyDescent="0.25">
      <c r="A1980" t="s">
        <v>317</v>
      </c>
      <c r="B1980" s="1" t="s">
        <v>320</v>
      </c>
      <c r="C1980" s="2">
        <v>87</v>
      </c>
      <c r="D1980" s="2">
        <v>357</v>
      </c>
      <c r="E1980" s="1" t="s">
        <v>235</v>
      </c>
      <c r="J1980">
        <v>0</v>
      </c>
      <c r="Q1980" t="str">
        <f>INDEX('Partner data'!A:DH,MATCH(C1980,'Partner data'!DG:DG,0),83)</f>
        <v>Soggetto pubblico</v>
      </c>
      <c r="R1980" t="b">
        <f>IF(E1980="staff",IF(INDEX('Partner data'!A:DH,MATCH(C1980,'Partner data'!DG:DG,0),112)="BL1 non presente","FALSO",INDEX('Partner data'!A:DH,MATCH(C1980,'Partner data'!DG:DG,0),112)))</f>
        <v>0</v>
      </c>
      <c r="S1980" s="86" t="b">
        <f t="shared" si="64"/>
        <v>0</v>
      </c>
      <c r="T1980" t="b">
        <f t="shared" si="65"/>
        <v>1</v>
      </c>
      <c r="U1980" s="154">
        <f>IFERROR(IF(R1980&lt;&gt;FALSE,IF(S1980=TRUE,INDEX('SummaryNOT_VALIDATED-BL'!$A$1:$F$16,MATCH(R1980,'SummaryNOT_VALIDATED-BL'!$A$1:$A$16,0),6),0),IF(S1980=TRUE,INDEX('SummaryNOT_VALIDATED-BL'!$A$1:$F$16,MATCH(E1980,'SummaryNOT_VALIDATED-BL'!$A$1:$A$16,0),6),0)),0)</f>
        <v>0</v>
      </c>
      <c r="V1980" s="81" cm="1">
        <f t="array" ref="V1980">INDEX('Weight tables'!$A$24:$C$27,MATCH(1,(RendicontiTrasmessiBL__2[[#This Row],[Cut percentage on real costs + USC]]&gt;='Weight tables'!$B$24:$B$27)*(RendicontiTrasmessiBL__2[[#This Row],[Cut percentage on real costs + USC]]&lt;='Weight tables'!$C$24:$C$27),0),1)</f>
        <v>0</v>
      </c>
      <c r="W1980" s="2">
        <f>RendicontiTrasmessiBL__2[[#This Row],[Weight real costs  + USC ]]</f>
        <v>0</v>
      </c>
    </row>
    <row r="1981" spans="1:23" x14ac:dyDescent="0.25">
      <c r="A1981" t="s">
        <v>317</v>
      </c>
      <c r="B1981" s="1" t="s">
        <v>320</v>
      </c>
      <c r="C1981" s="2">
        <v>87</v>
      </c>
      <c r="D1981" s="2">
        <v>357</v>
      </c>
      <c r="E1981" s="1" t="s">
        <v>236</v>
      </c>
      <c r="J1981">
        <v>0</v>
      </c>
      <c r="Q1981" t="str">
        <f>INDEX('Partner data'!A:DH,MATCH(C1981,'Partner data'!DG:DG,0),83)</f>
        <v>Soggetto pubblico</v>
      </c>
      <c r="R1981" t="b">
        <f>IF(E1981="staff",IF(INDEX('Partner data'!A:DH,MATCH(C1981,'Partner data'!DG:DG,0),112)="BL1 non presente","FALSO",INDEX('Partner data'!A:DH,MATCH(C1981,'Partner data'!DG:DG,0),112)))</f>
        <v>0</v>
      </c>
      <c r="S1981" s="86" t="b">
        <f t="shared" si="64"/>
        <v>0</v>
      </c>
      <c r="T1981" t="b">
        <f t="shared" si="65"/>
        <v>1</v>
      </c>
      <c r="U1981" s="154">
        <f>IFERROR(IF(R1981&lt;&gt;FALSE,IF(S1981=TRUE,INDEX('SummaryNOT_VALIDATED-BL'!$A$1:$F$16,MATCH(R1981,'SummaryNOT_VALIDATED-BL'!$A$1:$A$16,0),6),0),IF(S1981=TRUE,INDEX('SummaryNOT_VALIDATED-BL'!$A$1:$F$16,MATCH(E1981,'SummaryNOT_VALIDATED-BL'!$A$1:$A$16,0),6),0)),0)</f>
        <v>0</v>
      </c>
      <c r="V1981" s="81" cm="1">
        <f t="array" ref="V1981">INDEX('Weight tables'!$A$24:$C$27,MATCH(1,(RendicontiTrasmessiBL__2[[#This Row],[Cut percentage on real costs + USC]]&gt;='Weight tables'!$B$24:$B$27)*(RendicontiTrasmessiBL__2[[#This Row],[Cut percentage on real costs + USC]]&lt;='Weight tables'!$C$24:$C$27),0),1)</f>
        <v>0</v>
      </c>
      <c r="W1981" s="2">
        <f>RendicontiTrasmessiBL__2[[#This Row],[Weight real costs  + USC ]]</f>
        <v>0</v>
      </c>
    </row>
    <row r="1982" spans="1:23" x14ac:dyDescent="0.25">
      <c r="A1982" t="s">
        <v>317</v>
      </c>
      <c r="B1982" s="1" t="s">
        <v>321</v>
      </c>
      <c r="C1982" s="2">
        <v>117</v>
      </c>
      <c r="D1982" s="2">
        <v>358</v>
      </c>
      <c r="E1982" s="1" t="s">
        <v>228</v>
      </c>
      <c r="J1982" s="14">
        <v>9145</v>
      </c>
      <c r="Q1982" t="str">
        <f>INDEX('Partner data'!A:DH,MATCH(C1982,'Partner data'!DG:DG,0),83)</f>
        <v xml:space="preserve">Organismo di diritto pubblico </v>
      </c>
      <c r="R1982" t="str">
        <f>IF(E1982="staff",IF(INDEX('Partner data'!A:DH,MATCH(C1982,'Partner data'!DG:DG,0),112)="BL1 non presente","FALSO",INDEX('Partner data'!A:DH,MATCH(C1982,'Partner data'!DG:DG,0),112)))</f>
        <v>COSTO REALE</v>
      </c>
      <c r="S1982" s="86" t="b">
        <f t="shared" si="64"/>
        <v>1</v>
      </c>
      <c r="T1982" t="b">
        <f t="shared" si="65"/>
        <v>1</v>
      </c>
      <c r="U1982" s="154">
        <f>IFERROR(IF(R1982&lt;&gt;FALSE,IF(S1982=TRUE,INDEX('SummaryNOT_VALIDATED-BL'!$A$1:$F$16,MATCH(R1982,'SummaryNOT_VALIDATED-BL'!$A$1:$A$16,0),6),0),IF(S1982=TRUE,INDEX('SummaryNOT_VALIDATED-BL'!$A$1:$F$16,MATCH(E1982,'SummaryNOT_VALIDATED-BL'!$A$1:$A$16,0),6),0)),0)</f>
        <v>9.1604133276901048E-2</v>
      </c>
      <c r="V1982" s="81" cm="1">
        <f t="array" ref="V1982">INDEX('Weight tables'!$A$24:$C$27,MATCH(1,(RendicontiTrasmessiBL__2[[#This Row],[Cut percentage on real costs + USC]]&gt;='Weight tables'!$B$24:$B$27)*(RendicontiTrasmessiBL__2[[#This Row],[Cut percentage on real costs + USC]]&lt;='Weight tables'!$C$24:$C$27),0),1)</f>
        <v>4</v>
      </c>
      <c r="W1982" s="2">
        <f>RendicontiTrasmessiBL__2[[#This Row],[Weight real costs  + USC ]]</f>
        <v>4</v>
      </c>
    </row>
    <row r="1983" spans="1:23" x14ac:dyDescent="0.25">
      <c r="A1983" t="s">
        <v>317</v>
      </c>
      <c r="B1983" s="1" t="s">
        <v>321</v>
      </c>
      <c r="C1983" s="2">
        <v>117</v>
      </c>
      <c r="D1983" s="2">
        <v>358</v>
      </c>
      <c r="E1983" s="1" t="s">
        <v>229</v>
      </c>
      <c r="J1983" s="14">
        <f>J1982*0.04</f>
        <v>365.8</v>
      </c>
      <c r="Q1983" t="str">
        <f>INDEX('Partner data'!A:DH,MATCH(C1983,'Partner data'!DG:DG,0),83)</f>
        <v xml:space="preserve">Organismo di diritto pubblico </v>
      </c>
      <c r="R1983" t="b">
        <f>IF(E1983="staff",IF(INDEX('Partner data'!A:DH,MATCH(C1983,'Partner data'!DG:DG,0),112)="BL1 non presente","FALSO",INDEX('Partner data'!A:DH,MATCH(C1983,'Partner data'!DG:DG,0),112)))</f>
        <v>0</v>
      </c>
      <c r="S1983" s="86" t="b">
        <f t="shared" si="64"/>
        <v>1</v>
      </c>
      <c r="T1983" t="b">
        <f t="shared" si="65"/>
        <v>1</v>
      </c>
      <c r="U1983" s="154">
        <f>IFERROR(IF(R1983&lt;&gt;FALSE,IF(S1983=TRUE,INDEX('SummaryNOT_VALIDATED-BL'!$A$1:$F$16,MATCH(R1983,'SummaryNOT_VALIDATED-BL'!$A$1:$A$16,0),6),0),IF(S1983=TRUE,INDEX('SummaryNOT_VALIDATED-BL'!$A$1:$F$16,MATCH(E1983,'SummaryNOT_VALIDATED-BL'!$A$1:$A$16,0),6),0)),0)</f>
        <v>6.6460469504890221E-2</v>
      </c>
      <c r="V1983" s="81" cm="1">
        <f t="array" ref="V1983">INDEX('Weight tables'!$A$24:$C$27,MATCH(1,(RendicontiTrasmessiBL__2[[#This Row],[Cut percentage on real costs + USC]]&gt;='Weight tables'!$B$24:$B$27)*(RendicontiTrasmessiBL__2[[#This Row],[Cut percentage on real costs + USC]]&lt;='Weight tables'!$C$24:$C$27),0),1)</f>
        <v>4</v>
      </c>
      <c r="W1983" s="2">
        <f>RendicontiTrasmessiBL__2[[#This Row],[Weight real costs  + USC ]]</f>
        <v>4</v>
      </c>
    </row>
    <row r="1984" spans="1:23" x14ac:dyDescent="0.25">
      <c r="A1984" t="s">
        <v>317</v>
      </c>
      <c r="B1984" s="1" t="s">
        <v>321</v>
      </c>
      <c r="C1984" s="2">
        <v>117</v>
      </c>
      <c r="D1984" s="2">
        <v>358</v>
      </c>
      <c r="E1984" s="1" t="s">
        <v>230</v>
      </c>
      <c r="J1984" s="14">
        <f>J1982*0.15</f>
        <v>1371.75</v>
      </c>
      <c r="Q1984" t="str">
        <f>INDEX('Partner data'!A:DH,MATCH(C1984,'Partner data'!DG:DG,0),83)</f>
        <v xml:space="preserve">Organismo di diritto pubblico </v>
      </c>
      <c r="R1984" t="b">
        <f>IF(E1984="staff",IF(INDEX('Partner data'!A:DH,MATCH(C1984,'Partner data'!DG:DG,0),112)="BL1 non presente","FALSO",INDEX('Partner data'!A:DH,MATCH(C1984,'Partner data'!DG:DG,0),112)))</f>
        <v>0</v>
      </c>
      <c r="S1984" s="86" t="b">
        <f t="shared" si="64"/>
        <v>1</v>
      </c>
      <c r="T1984" t="b">
        <f t="shared" si="65"/>
        <v>1</v>
      </c>
      <c r="U1984" s="154">
        <f>IFERROR(IF(R1984&lt;&gt;FALSE,IF(S1984=TRUE,INDEX('SummaryNOT_VALIDATED-BL'!$A$1:$F$16,MATCH(R1984,'SummaryNOT_VALIDATED-BL'!$A$1:$A$16,0),6),0),IF(S1984=TRUE,INDEX('SummaryNOT_VALIDATED-BL'!$A$1:$F$16,MATCH(E1984,'SummaryNOT_VALIDATED-BL'!$A$1:$A$16,0),6),0)),0)</f>
        <v>6.3112622236488891E-2</v>
      </c>
      <c r="V1984" s="81" cm="1">
        <f t="array" ref="V1984">INDEX('Weight tables'!$A$24:$C$27,MATCH(1,(RendicontiTrasmessiBL__2[[#This Row],[Cut percentage on real costs + USC]]&gt;='Weight tables'!$B$24:$B$27)*(RendicontiTrasmessiBL__2[[#This Row],[Cut percentage on real costs + USC]]&lt;='Weight tables'!$C$24:$C$27),0),1)</f>
        <v>4</v>
      </c>
      <c r="W1984" s="2">
        <f>RendicontiTrasmessiBL__2[[#This Row],[Weight real costs  + USC ]]</f>
        <v>4</v>
      </c>
    </row>
    <row r="1985" spans="1:23" x14ac:dyDescent="0.25">
      <c r="A1985" t="s">
        <v>317</v>
      </c>
      <c r="B1985" s="1" t="s">
        <v>321</v>
      </c>
      <c r="C1985" s="2">
        <v>117</v>
      </c>
      <c r="D1985" s="2">
        <v>358</v>
      </c>
      <c r="E1985" s="1" t="s">
        <v>231</v>
      </c>
      <c r="J1985" s="14">
        <v>500</v>
      </c>
      <c r="Q1985" t="str">
        <f>INDEX('Partner data'!A:DH,MATCH(C1985,'Partner data'!DG:DG,0),83)</f>
        <v xml:space="preserve">Organismo di diritto pubblico </v>
      </c>
      <c r="R1985" t="b">
        <f>IF(E1985="staff",IF(INDEX('Partner data'!A:DH,MATCH(C1985,'Partner data'!DG:DG,0),112)="BL1 non presente","FALSO",INDEX('Partner data'!A:DH,MATCH(C1985,'Partner data'!DG:DG,0),112)))</f>
        <v>0</v>
      </c>
      <c r="S1985" s="86" t="b">
        <f t="shared" si="64"/>
        <v>1</v>
      </c>
      <c r="T1985" t="b">
        <f t="shared" si="65"/>
        <v>1</v>
      </c>
      <c r="U1985" s="154">
        <f>IFERROR(IF(R1985&lt;&gt;FALSE,IF(S1985=TRUE,INDEX('SummaryNOT_VALIDATED-BL'!$A$1:$F$16,MATCH(R1985,'SummaryNOT_VALIDATED-BL'!$A$1:$A$16,0),6),0),IF(S1985=TRUE,INDEX('SummaryNOT_VALIDATED-BL'!$A$1:$F$16,MATCH(E1985,'SummaryNOT_VALIDATED-BL'!$A$1:$A$16,0),6),0)),0)</f>
        <v>5.577594442215475E-2</v>
      </c>
      <c r="V1985" s="81" cm="1">
        <f t="array" ref="V1985">INDEX('Weight tables'!$A$24:$C$27,MATCH(1,(RendicontiTrasmessiBL__2[[#This Row],[Cut percentage on real costs + USC]]&gt;='Weight tables'!$B$24:$B$27)*(RendicontiTrasmessiBL__2[[#This Row],[Cut percentage on real costs + USC]]&lt;='Weight tables'!$C$24:$C$27),0),1)</f>
        <v>4</v>
      </c>
      <c r="W1985" s="2">
        <f>RendicontiTrasmessiBL__2[[#This Row],[Weight real costs  + USC ]]</f>
        <v>4</v>
      </c>
    </row>
    <row r="1986" spans="1:23" x14ac:dyDescent="0.25">
      <c r="A1986" t="s">
        <v>317</v>
      </c>
      <c r="B1986" s="1" t="s">
        <v>321</v>
      </c>
      <c r="C1986" s="2">
        <v>117</v>
      </c>
      <c r="D1986" s="2">
        <v>358</v>
      </c>
      <c r="E1986" s="1" t="s">
        <v>232</v>
      </c>
      <c r="J1986">
        <v>0</v>
      </c>
      <c r="Q1986" t="str">
        <f>INDEX('Partner data'!A:DH,MATCH(C1986,'Partner data'!DG:DG,0),83)</f>
        <v xml:space="preserve">Organismo di diritto pubblico </v>
      </c>
      <c r="R1986" t="b">
        <f>IF(E1986="staff",IF(INDEX('Partner data'!A:DH,MATCH(C1986,'Partner data'!DG:DG,0),112)="BL1 non presente","FALSO",INDEX('Partner data'!A:DH,MATCH(C1986,'Partner data'!DG:DG,0),112)))</f>
        <v>0</v>
      </c>
      <c r="S1986" s="86" t="b">
        <f t="shared" si="64"/>
        <v>0</v>
      </c>
      <c r="T1986" t="b">
        <f t="shared" si="65"/>
        <v>1</v>
      </c>
      <c r="U1986" s="154">
        <f>IFERROR(IF(R1986&lt;&gt;FALSE,IF(S1986=TRUE,INDEX('SummaryNOT_VALIDATED-BL'!$A$1:$F$16,MATCH(R1986,'SummaryNOT_VALIDATED-BL'!$A$1:$A$16,0),6),0),IF(S1986=TRUE,INDEX('SummaryNOT_VALIDATED-BL'!$A$1:$F$16,MATCH(E1986,'SummaryNOT_VALIDATED-BL'!$A$1:$A$16,0),6),0)),0)</f>
        <v>0</v>
      </c>
      <c r="V1986" s="81" cm="1">
        <f t="array" ref="V1986">INDEX('Weight tables'!$A$24:$C$27,MATCH(1,(RendicontiTrasmessiBL__2[[#This Row],[Cut percentage on real costs + USC]]&gt;='Weight tables'!$B$24:$B$27)*(RendicontiTrasmessiBL__2[[#This Row],[Cut percentage on real costs + USC]]&lt;='Weight tables'!$C$24:$C$27),0),1)</f>
        <v>0</v>
      </c>
      <c r="W1986" s="2">
        <f>RendicontiTrasmessiBL__2[[#This Row],[Weight real costs  + USC ]]</f>
        <v>0</v>
      </c>
    </row>
    <row r="1987" spans="1:23" x14ac:dyDescent="0.25">
      <c r="A1987" t="s">
        <v>317</v>
      </c>
      <c r="B1987" s="1" t="s">
        <v>321</v>
      </c>
      <c r="C1987" s="2">
        <v>117</v>
      </c>
      <c r="D1987" s="2">
        <v>358</v>
      </c>
      <c r="E1987" s="1" t="s">
        <v>233</v>
      </c>
      <c r="J1987">
        <v>0</v>
      </c>
      <c r="Q1987" t="str">
        <f>INDEX('Partner data'!A:DH,MATCH(C1987,'Partner data'!DG:DG,0),83)</f>
        <v xml:space="preserve">Organismo di diritto pubblico </v>
      </c>
      <c r="R1987" t="b">
        <f>IF(E1987="staff",IF(INDEX('Partner data'!A:DH,MATCH(C1987,'Partner data'!DG:DG,0),112)="BL1 non presente","FALSO",INDEX('Partner data'!A:DH,MATCH(C1987,'Partner data'!DG:DG,0),112)))</f>
        <v>0</v>
      </c>
      <c r="S1987" s="86" t="b">
        <f t="shared" si="64"/>
        <v>0</v>
      </c>
      <c r="T1987" t="b">
        <f t="shared" si="65"/>
        <v>1</v>
      </c>
      <c r="U1987" s="154">
        <f>IFERROR(IF(R1987&lt;&gt;FALSE,IF(S1987=TRUE,INDEX('SummaryNOT_VALIDATED-BL'!$A$1:$F$16,MATCH(R1987,'SummaryNOT_VALIDATED-BL'!$A$1:$A$16,0),6),0),IF(S1987=TRUE,INDEX('SummaryNOT_VALIDATED-BL'!$A$1:$F$16,MATCH(E1987,'SummaryNOT_VALIDATED-BL'!$A$1:$A$16,0),6),0)),0)</f>
        <v>0</v>
      </c>
      <c r="V1987" s="81" cm="1">
        <f t="array" ref="V1987">INDEX('Weight tables'!$A$24:$C$27,MATCH(1,(RendicontiTrasmessiBL__2[[#This Row],[Cut percentage on real costs + USC]]&gt;='Weight tables'!$B$24:$B$27)*(RendicontiTrasmessiBL__2[[#This Row],[Cut percentage on real costs + USC]]&lt;='Weight tables'!$C$24:$C$27),0),1)</f>
        <v>0</v>
      </c>
      <c r="W1987" s="2">
        <f>RendicontiTrasmessiBL__2[[#This Row],[Weight real costs  + USC ]]</f>
        <v>0</v>
      </c>
    </row>
    <row r="1988" spans="1:23" x14ac:dyDescent="0.25">
      <c r="A1988" t="s">
        <v>317</v>
      </c>
      <c r="B1988" s="1" t="s">
        <v>321</v>
      </c>
      <c r="C1988" s="2">
        <v>117</v>
      </c>
      <c r="D1988" s="2">
        <v>358</v>
      </c>
      <c r="E1988" s="1" t="s">
        <v>234</v>
      </c>
      <c r="J1988">
        <v>0</v>
      </c>
      <c r="Q1988" t="str">
        <f>INDEX('Partner data'!A:DH,MATCH(C1988,'Partner data'!DG:DG,0),83)</f>
        <v xml:space="preserve">Organismo di diritto pubblico </v>
      </c>
      <c r="R1988" t="b">
        <f>IF(E1988="staff",IF(INDEX('Partner data'!A:DH,MATCH(C1988,'Partner data'!DG:DG,0),112)="BL1 non presente","FALSO",INDEX('Partner data'!A:DH,MATCH(C1988,'Partner data'!DG:DG,0),112)))</f>
        <v>0</v>
      </c>
      <c r="S1988" s="86" t="b">
        <f t="shared" si="64"/>
        <v>0</v>
      </c>
      <c r="T1988" t="b">
        <f t="shared" si="65"/>
        <v>1</v>
      </c>
      <c r="U1988" s="154">
        <f>IFERROR(IF(R1988&lt;&gt;FALSE,IF(S1988=TRUE,INDEX('SummaryNOT_VALIDATED-BL'!$A$1:$F$16,MATCH(R1988,'SummaryNOT_VALIDATED-BL'!$A$1:$A$16,0),6),0),IF(S1988=TRUE,INDEX('SummaryNOT_VALIDATED-BL'!$A$1:$F$16,MATCH(E1988,'SummaryNOT_VALIDATED-BL'!$A$1:$A$16,0),6),0)),0)</f>
        <v>0</v>
      </c>
      <c r="V1988" s="81" cm="1">
        <f t="array" ref="V1988">INDEX('Weight tables'!$A$24:$C$27,MATCH(1,(RendicontiTrasmessiBL__2[[#This Row],[Cut percentage on real costs + USC]]&gt;='Weight tables'!$B$24:$B$27)*(RendicontiTrasmessiBL__2[[#This Row],[Cut percentage on real costs + USC]]&lt;='Weight tables'!$C$24:$C$27),0),1)</f>
        <v>0</v>
      </c>
      <c r="W1988" s="2">
        <f>RendicontiTrasmessiBL__2[[#This Row],[Weight real costs  + USC ]]</f>
        <v>0</v>
      </c>
    </row>
    <row r="1989" spans="1:23" x14ac:dyDescent="0.25">
      <c r="A1989" t="s">
        <v>317</v>
      </c>
      <c r="B1989" s="1" t="s">
        <v>321</v>
      </c>
      <c r="C1989" s="2">
        <v>117</v>
      </c>
      <c r="D1989" s="2">
        <v>358</v>
      </c>
      <c r="E1989" s="1" t="s">
        <v>235</v>
      </c>
      <c r="J1989">
        <v>0</v>
      </c>
      <c r="Q1989" t="str">
        <f>INDEX('Partner data'!A:DH,MATCH(C1989,'Partner data'!DG:DG,0),83)</f>
        <v xml:space="preserve">Organismo di diritto pubblico </v>
      </c>
      <c r="R1989" t="b">
        <f>IF(E1989="staff",IF(INDEX('Partner data'!A:DH,MATCH(C1989,'Partner data'!DG:DG,0),112)="BL1 non presente","FALSO",INDEX('Partner data'!A:DH,MATCH(C1989,'Partner data'!DG:DG,0),112)))</f>
        <v>0</v>
      </c>
      <c r="S1989" s="86" t="b">
        <f t="shared" si="64"/>
        <v>0</v>
      </c>
      <c r="T1989" t="b">
        <f t="shared" si="65"/>
        <v>1</v>
      </c>
      <c r="U1989" s="154">
        <f>IFERROR(IF(R1989&lt;&gt;FALSE,IF(S1989=TRUE,INDEX('SummaryNOT_VALIDATED-BL'!$A$1:$F$16,MATCH(R1989,'SummaryNOT_VALIDATED-BL'!$A$1:$A$16,0),6),0),IF(S1989=TRUE,INDEX('SummaryNOT_VALIDATED-BL'!$A$1:$F$16,MATCH(E1989,'SummaryNOT_VALIDATED-BL'!$A$1:$A$16,0),6),0)),0)</f>
        <v>0</v>
      </c>
      <c r="V1989" s="81" cm="1">
        <f t="array" ref="V1989">INDEX('Weight tables'!$A$24:$C$27,MATCH(1,(RendicontiTrasmessiBL__2[[#This Row],[Cut percentage on real costs + USC]]&gt;='Weight tables'!$B$24:$B$27)*(RendicontiTrasmessiBL__2[[#This Row],[Cut percentage on real costs + USC]]&lt;='Weight tables'!$C$24:$C$27),0),1)</f>
        <v>0</v>
      </c>
      <c r="W1989" s="2">
        <f>RendicontiTrasmessiBL__2[[#This Row],[Weight real costs  + USC ]]</f>
        <v>0</v>
      </c>
    </row>
    <row r="1990" spans="1:23" x14ac:dyDescent="0.25">
      <c r="A1990" t="s">
        <v>317</v>
      </c>
      <c r="B1990" s="1" t="s">
        <v>321</v>
      </c>
      <c r="C1990" s="2">
        <v>117</v>
      </c>
      <c r="D1990" s="2">
        <v>358</v>
      </c>
      <c r="E1990" s="1" t="s">
        <v>236</v>
      </c>
      <c r="J1990">
        <v>0</v>
      </c>
      <c r="Q1990" t="str">
        <f>INDEX('Partner data'!A:DH,MATCH(C1990,'Partner data'!DG:DG,0),83)</f>
        <v xml:space="preserve">Organismo di diritto pubblico </v>
      </c>
      <c r="R1990" t="b">
        <f>IF(E1990="staff",IF(INDEX('Partner data'!A:DH,MATCH(C1990,'Partner data'!DG:DG,0),112)="BL1 non presente","FALSO",INDEX('Partner data'!A:DH,MATCH(C1990,'Partner data'!DG:DG,0),112)))</f>
        <v>0</v>
      </c>
      <c r="S1990" s="86" t="b">
        <f t="shared" si="64"/>
        <v>0</v>
      </c>
      <c r="T1990" t="b">
        <f t="shared" si="65"/>
        <v>1</v>
      </c>
      <c r="U1990" s="154">
        <f>IFERROR(IF(R1990&lt;&gt;FALSE,IF(S1990=TRUE,INDEX('SummaryNOT_VALIDATED-BL'!$A$1:$F$16,MATCH(R1990,'SummaryNOT_VALIDATED-BL'!$A$1:$A$16,0),6),0),IF(S1990=TRUE,INDEX('SummaryNOT_VALIDATED-BL'!$A$1:$F$16,MATCH(E1990,'SummaryNOT_VALIDATED-BL'!$A$1:$A$16,0),6),0)),0)</f>
        <v>0</v>
      </c>
      <c r="V1990" s="81" cm="1">
        <f t="array" ref="V1990">INDEX('Weight tables'!$A$24:$C$27,MATCH(1,(RendicontiTrasmessiBL__2[[#This Row],[Cut percentage on real costs + USC]]&gt;='Weight tables'!$B$24:$B$27)*(RendicontiTrasmessiBL__2[[#This Row],[Cut percentage on real costs + USC]]&lt;='Weight tables'!$C$24:$C$27),0),1)</f>
        <v>0</v>
      </c>
      <c r="W1990" s="2">
        <f>RendicontiTrasmessiBL__2[[#This Row],[Weight real costs  + USC ]]</f>
        <v>0</v>
      </c>
    </row>
    <row r="1991" spans="1:23" x14ac:dyDescent="0.25">
      <c r="A1991" t="s">
        <v>317</v>
      </c>
      <c r="B1991" s="1" t="s">
        <v>39</v>
      </c>
      <c r="C1991" s="2">
        <v>220</v>
      </c>
      <c r="D1991" s="2">
        <v>359</v>
      </c>
      <c r="E1991" s="1" t="s">
        <v>228</v>
      </c>
      <c r="J1991" s="14">
        <v>11637</v>
      </c>
      <c r="Q1991" t="str">
        <f>INDEX('Partner data'!A:DH,MATCH(C1991,'Partner data'!DG:DG,0),83)</f>
        <v xml:space="preserve">Organismo di diritto pubblico </v>
      </c>
      <c r="R1991" t="str">
        <f>IF(E1991="staff",IF(INDEX('Partner data'!A:DH,MATCH(C1991,'Partner data'!DG:DG,0),112)="BL1 non presente","FALSO",INDEX('Partner data'!A:DH,MATCH(C1991,'Partner data'!DG:DG,0),112)))</f>
        <v>COSTO REALE</v>
      </c>
      <c r="S1991" s="86" t="b">
        <f t="shared" si="64"/>
        <v>1</v>
      </c>
      <c r="T1991" t="b">
        <f t="shared" si="65"/>
        <v>1</v>
      </c>
      <c r="U1991" s="154">
        <f>IFERROR(IF(R1991&lt;&gt;FALSE,IF(S1991=TRUE,INDEX('SummaryNOT_VALIDATED-BL'!$A$1:$F$16,MATCH(R1991,'SummaryNOT_VALIDATED-BL'!$A$1:$A$16,0),6),0),IF(S1991=TRUE,INDEX('SummaryNOT_VALIDATED-BL'!$A$1:$F$16,MATCH(E1991,'SummaryNOT_VALIDATED-BL'!$A$1:$A$16,0),6),0)),0)</f>
        <v>9.1604133276901048E-2</v>
      </c>
      <c r="V1991" s="81" cm="1">
        <f t="array" ref="V1991">INDEX('Weight tables'!$A$24:$C$27,MATCH(1,(RendicontiTrasmessiBL__2[[#This Row],[Cut percentage on real costs + USC]]&gt;='Weight tables'!$B$24:$B$27)*(RendicontiTrasmessiBL__2[[#This Row],[Cut percentage on real costs + USC]]&lt;='Weight tables'!$C$24:$C$27),0),1)</f>
        <v>4</v>
      </c>
      <c r="W1991" s="2">
        <f>RendicontiTrasmessiBL__2[[#This Row],[Weight real costs  + USC ]]</f>
        <v>4</v>
      </c>
    </row>
    <row r="1992" spans="1:23" x14ac:dyDescent="0.25">
      <c r="A1992" t="s">
        <v>317</v>
      </c>
      <c r="B1992" s="1" t="s">
        <v>39</v>
      </c>
      <c r="C1992" s="2">
        <v>220</v>
      </c>
      <c r="D1992" s="2">
        <v>359</v>
      </c>
      <c r="E1992" s="1" t="s">
        <v>229</v>
      </c>
      <c r="J1992" s="14">
        <f>J1991*0.15</f>
        <v>1745.55</v>
      </c>
      <c r="Q1992" t="str">
        <f>INDEX('Partner data'!A:DH,MATCH(C1992,'Partner data'!DG:DG,0),83)</f>
        <v xml:space="preserve">Organismo di diritto pubblico </v>
      </c>
      <c r="R1992" t="b">
        <f>IF(E1992="staff",IF(INDEX('Partner data'!A:DH,MATCH(C1992,'Partner data'!DG:DG,0),112)="BL1 non presente","FALSO",INDEX('Partner data'!A:DH,MATCH(C1992,'Partner data'!DG:DG,0),112)))</f>
        <v>0</v>
      </c>
      <c r="S1992" s="86" t="b">
        <f t="shared" si="64"/>
        <v>1</v>
      </c>
      <c r="T1992" t="b">
        <f t="shared" si="65"/>
        <v>1</v>
      </c>
      <c r="U1992" s="154">
        <f>IFERROR(IF(R1992&lt;&gt;FALSE,IF(S1992=TRUE,INDEX('SummaryNOT_VALIDATED-BL'!$A$1:$F$16,MATCH(R1992,'SummaryNOT_VALIDATED-BL'!$A$1:$A$16,0),6),0),IF(S1992=TRUE,INDEX('SummaryNOT_VALIDATED-BL'!$A$1:$F$16,MATCH(E1992,'SummaryNOT_VALIDATED-BL'!$A$1:$A$16,0),6),0)),0)</f>
        <v>6.6460469504890221E-2</v>
      </c>
      <c r="V1992" s="81" cm="1">
        <f t="array" ref="V1992">INDEX('Weight tables'!$A$24:$C$27,MATCH(1,(RendicontiTrasmessiBL__2[[#This Row],[Cut percentage on real costs + USC]]&gt;='Weight tables'!$B$24:$B$27)*(RendicontiTrasmessiBL__2[[#This Row],[Cut percentage on real costs + USC]]&lt;='Weight tables'!$C$24:$C$27),0),1)</f>
        <v>4</v>
      </c>
      <c r="W1992" s="2">
        <f>RendicontiTrasmessiBL__2[[#This Row],[Weight real costs  + USC ]]</f>
        <v>4</v>
      </c>
    </row>
    <row r="1993" spans="1:23" x14ac:dyDescent="0.25">
      <c r="A1993" t="s">
        <v>317</v>
      </c>
      <c r="B1993" s="1" t="s">
        <v>39</v>
      </c>
      <c r="C1993" s="2">
        <v>220</v>
      </c>
      <c r="D1993" s="2">
        <v>359</v>
      </c>
      <c r="E1993" s="1" t="s">
        <v>230</v>
      </c>
      <c r="J1993" s="14">
        <f>J1991*0.04</f>
        <v>465.48</v>
      </c>
      <c r="Q1993" t="str">
        <f>INDEX('Partner data'!A:DH,MATCH(C1993,'Partner data'!DG:DG,0),83)</f>
        <v xml:space="preserve">Organismo di diritto pubblico </v>
      </c>
      <c r="R1993" t="b">
        <f>IF(E1993="staff",IF(INDEX('Partner data'!A:DH,MATCH(C1993,'Partner data'!DG:DG,0),112)="BL1 non presente","FALSO",INDEX('Partner data'!A:DH,MATCH(C1993,'Partner data'!DG:DG,0),112)))</f>
        <v>0</v>
      </c>
      <c r="S1993" s="86" t="b">
        <f t="shared" si="64"/>
        <v>1</v>
      </c>
      <c r="T1993" t="b">
        <f t="shared" si="65"/>
        <v>1</v>
      </c>
      <c r="U1993" s="154">
        <f>IFERROR(IF(R1993&lt;&gt;FALSE,IF(S1993=TRUE,INDEX('SummaryNOT_VALIDATED-BL'!$A$1:$F$16,MATCH(R1993,'SummaryNOT_VALIDATED-BL'!$A$1:$A$16,0),6),0),IF(S1993=TRUE,INDEX('SummaryNOT_VALIDATED-BL'!$A$1:$F$16,MATCH(E1993,'SummaryNOT_VALIDATED-BL'!$A$1:$A$16,0),6),0)),0)</f>
        <v>6.3112622236488891E-2</v>
      </c>
      <c r="V1993" s="81" cm="1">
        <f t="array" ref="V1993">INDEX('Weight tables'!$A$24:$C$27,MATCH(1,(RendicontiTrasmessiBL__2[[#This Row],[Cut percentage on real costs + USC]]&gt;='Weight tables'!$B$24:$B$27)*(RendicontiTrasmessiBL__2[[#This Row],[Cut percentage on real costs + USC]]&lt;='Weight tables'!$C$24:$C$27),0),1)</f>
        <v>4</v>
      </c>
      <c r="W1993" s="2">
        <f>RendicontiTrasmessiBL__2[[#This Row],[Weight real costs  + USC ]]</f>
        <v>4</v>
      </c>
    </row>
    <row r="1994" spans="1:23" x14ac:dyDescent="0.25">
      <c r="A1994" t="s">
        <v>317</v>
      </c>
      <c r="B1994" s="1" t="s">
        <v>39</v>
      </c>
      <c r="C1994" s="2">
        <v>220</v>
      </c>
      <c r="D1994" s="2">
        <v>359</v>
      </c>
      <c r="E1994" s="1" t="s">
        <v>231</v>
      </c>
      <c r="J1994" s="14">
        <v>18500</v>
      </c>
      <c r="Q1994" t="str">
        <f>INDEX('Partner data'!A:DH,MATCH(C1994,'Partner data'!DG:DG,0),83)</f>
        <v xml:space="preserve">Organismo di diritto pubblico </v>
      </c>
      <c r="R1994" t="b">
        <f>IF(E1994="staff",IF(INDEX('Partner data'!A:DH,MATCH(C1994,'Partner data'!DG:DG,0),112)="BL1 non presente","FALSO",INDEX('Partner data'!A:DH,MATCH(C1994,'Partner data'!DG:DG,0),112)))</f>
        <v>0</v>
      </c>
      <c r="S1994" s="86" t="b">
        <f t="shared" si="64"/>
        <v>1</v>
      </c>
      <c r="T1994" t="b">
        <f t="shared" si="65"/>
        <v>1</v>
      </c>
      <c r="U1994" s="154">
        <f>IFERROR(IF(R1994&lt;&gt;FALSE,IF(S1994=TRUE,INDEX('SummaryNOT_VALIDATED-BL'!$A$1:$F$16,MATCH(R1994,'SummaryNOT_VALIDATED-BL'!$A$1:$A$16,0),6),0),IF(S1994=TRUE,INDEX('SummaryNOT_VALIDATED-BL'!$A$1:$F$16,MATCH(E1994,'SummaryNOT_VALIDATED-BL'!$A$1:$A$16,0),6),0)),0)</f>
        <v>5.577594442215475E-2</v>
      </c>
      <c r="V1994" s="81" cm="1">
        <f t="array" ref="V1994">INDEX('Weight tables'!$A$24:$C$27,MATCH(1,(RendicontiTrasmessiBL__2[[#This Row],[Cut percentage on real costs + USC]]&gt;='Weight tables'!$B$24:$B$27)*(RendicontiTrasmessiBL__2[[#This Row],[Cut percentage on real costs + USC]]&lt;='Weight tables'!$C$24:$C$27),0),1)</f>
        <v>4</v>
      </c>
      <c r="W1994" s="2">
        <f>RendicontiTrasmessiBL__2[[#This Row],[Weight real costs  + USC ]]</f>
        <v>4</v>
      </c>
    </row>
    <row r="1995" spans="1:23" x14ac:dyDescent="0.25">
      <c r="A1995" t="s">
        <v>317</v>
      </c>
      <c r="B1995" s="1" t="s">
        <v>39</v>
      </c>
      <c r="C1995" s="2">
        <v>220</v>
      </c>
      <c r="D1995" s="2">
        <v>359</v>
      </c>
      <c r="E1995" s="1" t="s">
        <v>232</v>
      </c>
      <c r="J1995" s="14">
        <v>0</v>
      </c>
      <c r="Q1995" t="str">
        <f>INDEX('Partner data'!A:DH,MATCH(C1995,'Partner data'!DG:DG,0),83)</f>
        <v xml:space="preserve">Organismo di diritto pubblico </v>
      </c>
      <c r="R1995" t="b">
        <f>IF(E1995="staff",IF(INDEX('Partner data'!A:DH,MATCH(C1995,'Partner data'!DG:DG,0),112)="BL1 non presente","FALSO",INDEX('Partner data'!A:DH,MATCH(C1995,'Partner data'!DG:DG,0),112)))</f>
        <v>0</v>
      </c>
      <c r="S1995" s="86" t="b">
        <f t="shared" si="64"/>
        <v>0</v>
      </c>
      <c r="T1995" t="b">
        <f t="shared" si="65"/>
        <v>1</v>
      </c>
      <c r="U1995" s="154">
        <f>IFERROR(IF(R1995&lt;&gt;FALSE,IF(S1995=TRUE,INDEX('SummaryNOT_VALIDATED-BL'!$A$1:$F$16,MATCH(R1995,'SummaryNOT_VALIDATED-BL'!$A$1:$A$16,0),6),0),IF(S1995=TRUE,INDEX('SummaryNOT_VALIDATED-BL'!$A$1:$F$16,MATCH(E1995,'SummaryNOT_VALIDATED-BL'!$A$1:$A$16,0),6),0)),0)</f>
        <v>0</v>
      </c>
      <c r="V1995" s="81" cm="1">
        <f t="array" ref="V1995">INDEX('Weight tables'!$A$24:$C$27,MATCH(1,(RendicontiTrasmessiBL__2[[#This Row],[Cut percentage on real costs + USC]]&gt;='Weight tables'!$B$24:$B$27)*(RendicontiTrasmessiBL__2[[#This Row],[Cut percentage on real costs + USC]]&lt;='Weight tables'!$C$24:$C$27),0),1)</f>
        <v>0</v>
      </c>
      <c r="W1995" s="2">
        <f>RendicontiTrasmessiBL__2[[#This Row],[Weight real costs  + USC ]]</f>
        <v>0</v>
      </c>
    </row>
    <row r="1996" spans="1:23" x14ac:dyDescent="0.25">
      <c r="A1996" t="s">
        <v>317</v>
      </c>
      <c r="B1996" s="1" t="s">
        <v>39</v>
      </c>
      <c r="C1996" s="2">
        <v>220</v>
      </c>
      <c r="D1996" s="2">
        <v>359</v>
      </c>
      <c r="E1996" s="1" t="s">
        <v>233</v>
      </c>
      <c r="J1996" s="14">
        <v>0</v>
      </c>
      <c r="Q1996" t="str">
        <f>INDEX('Partner data'!A:DH,MATCH(C1996,'Partner data'!DG:DG,0),83)</f>
        <v xml:space="preserve">Organismo di diritto pubblico </v>
      </c>
      <c r="R1996" t="b">
        <f>IF(E1996="staff",IF(INDEX('Partner data'!A:DH,MATCH(C1996,'Partner data'!DG:DG,0),112)="BL1 non presente","FALSO",INDEX('Partner data'!A:DH,MATCH(C1996,'Partner data'!DG:DG,0),112)))</f>
        <v>0</v>
      </c>
      <c r="S1996" s="86" t="b">
        <f t="shared" si="64"/>
        <v>0</v>
      </c>
      <c r="T1996" t="b">
        <f t="shared" si="65"/>
        <v>1</v>
      </c>
      <c r="U1996" s="154">
        <f>IFERROR(IF(R1996&lt;&gt;FALSE,IF(S1996=TRUE,INDEX('SummaryNOT_VALIDATED-BL'!$A$1:$F$16,MATCH(R1996,'SummaryNOT_VALIDATED-BL'!$A$1:$A$16,0),6),0),IF(S1996=TRUE,INDEX('SummaryNOT_VALIDATED-BL'!$A$1:$F$16,MATCH(E1996,'SummaryNOT_VALIDATED-BL'!$A$1:$A$16,0),6),0)),0)</f>
        <v>0</v>
      </c>
      <c r="V1996" s="81" cm="1">
        <f t="array" ref="V1996">INDEX('Weight tables'!$A$24:$C$27,MATCH(1,(RendicontiTrasmessiBL__2[[#This Row],[Cut percentage on real costs + USC]]&gt;='Weight tables'!$B$24:$B$27)*(RendicontiTrasmessiBL__2[[#This Row],[Cut percentage on real costs + USC]]&lt;='Weight tables'!$C$24:$C$27),0),1)</f>
        <v>0</v>
      </c>
      <c r="W1996" s="2">
        <f>RendicontiTrasmessiBL__2[[#This Row],[Weight real costs  + USC ]]</f>
        <v>0</v>
      </c>
    </row>
    <row r="1997" spans="1:23" x14ac:dyDescent="0.25">
      <c r="A1997" t="s">
        <v>317</v>
      </c>
      <c r="B1997" s="1" t="s">
        <v>39</v>
      </c>
      <c r="C1997" s="2">
        <v>220</v>
      </c>
      <c r="D1997" s="2">
        <v>359</v>
      </c>
      <c r="E1997" s="1" t="s">
        <v>234</v>
      </c>
      <c r="J1997" s="14">
        <v>0</v>
      </c>
      <c r="Q1997" t="str">
        <f>INDEX('Partner data'!A:DH,MATCH(C1997,'Partner data'!DG:DG,0),83)</f>
        <v xml:space="preserve">Organismo di diritto pubblico </v>
      </c>
      <c r="R1997" t="b">
        <f>IF(E1997="staff",IF(INDEX('Partner data'!A:DH,MATCH(C1997,'Partner data'!DG:DG,0),112)="BL1 non presente","FALSO",INDEX('Partner data'!A:DH,MATCH(C1997,'Partner data'!DG:DG,0),112)))</f>
        <v>0</v>
      </c>
      <c r="S1997" s="86" t="b">
        <f t="shared" si="64"/>
        <v>0</v>
      </c>
      <c r="T1997" t="b">
        <f t="shared" si="65"/>
        <v>1</v>
      </c>
      <c r="U1997" s="154">
        <f>IFERROR(IF(R1997&lt;&gt;FALSE,IF(S1997=TRUE,INDEX('SummaryNOT_VALIDATED-BL'!$A$1:$F$16,MATCH(R1997,'SummaryNOT_VALIDATED-BL'!$A$1:$A$16,0),6),0),IF(S1997=TRUE,INDEX('SummaryNOT_VALIDATED-BL'!$A$1:$F$16,MATCH(E1997,'SummaryNOT_VALIDATED-BL'!$A$1:$A$16,0),6),0)),0)</f>
        <v>0</v>
      </c>
      <c r="V1997" s="81" cm="1">
        <f t="array" ref="V1997">INDEX('Weight tables'!$A$24:$C$27,MATCH(1,(RendicontiTrasmessiBL__2[[#This Row],[Cut percentage on real costs + USC]]&gt;='Weight tables'!$B$24:$B$27)*(RendicontiTrasmessiBL__2[[#This Row],[Cut percentage on real costs + USC]]&lt;='Weight tables'!$C$24:$C$27),0),1)</f>
        <v>0</v>
      </c>
      <c r="W1997" s="2">
        <f>RendicontiTrasmessiBL__2[[#This Row],[Weight real costs  + USC ]]</f>
        <v>0</v>
      </c>
    </row>
    <row r="1998" spans="1:23" x14ac:dyDescent="0.25">
      <c r="A1998" t="s">
        <v>317</v>
      </c>
      <c r="B1998" s="1" t="s">
        <v>39</v>
      </c>
      <c r="C1998" s="2">
        <v>220</v>
      </c>
      <c r="D1998" s="2">
        <v>359</v>
      </c>
      <c r="E1998" s="1" t="s">
        <v>235</v>
      </c>
      <c r="J1998" s="14">
        <v>0</v>
      </c>
      <c r="Q1998" t="str">
        <f>INDEX('Partner data'!A:DH,MATCH(C1998,'Partner data'!DG:DG,0),83)</f>
        <v xml:space="preserve">Organismo di diritto pubblico </v>
      </c>
      <c r="R1998" t="b">
        <f>IF(E1998="staff",IF(INDEX('Partner data'!A:DH,MATCH(C1998,'Partner data'!DG:DG,0),112)="BL1 non presente","FALSO",INDEX('Partner data'!A:DH,MATCH(C1998,'Partner data'!DG:DG,0),112)))</f>
        <v>0</v>
      </c>
      <c r="S1998" s="86" t="b">
        <f t="shared" si="64"/>
        <v>0</v>
      </c>
      <c r="T1998" t="b">
        <f t="shared" si="65"/>
        <v>1</v>
      </c>
      <c r="U1998" s="154">
        <f>IFERROR(IF(R1998&lt;&gt;FALSE,IF(S1998=TRUE,INDEX('SummaryNOT_VALIDATED-BL'!$A$1:$F$16,MATCH(R1998,'SummaryNOT_VALIDATED-BL'!$A$1:$A$16,0),6),0),IF(S1998=TRUE,INDEX('SummaryNOT_VALIDATED-BL'!$A$1:$F$16,MATCH(E1998,'SummaryNOT_VALIDATED-BL'!$A$1:$A$16,0),6),0)),0)</f>
        <v>0</v>
      </c>
      <c r="V1998" s="81" cm="1">
        <f t="array" ref="V1998">INDEX('Weight tables'!$A$24:$C$27,MATCH(1,(RendicontiTrasmessiBL__2[[#This Row],[Cut percentage on real costs + USC]]&gt;='Weight tables'!$B$24:$B$27)*(RendicontiTrasmessiBL__2[[#This Row],[Cut percentage on real costs + USC]]&lt;='Weight tables'!$C$24:$C$27),0),1)</f>
        <v>0</v>
      </c>
      <c r="W1998" s="2">
        <f>RendicontiTrasmessiBL__2[[#This Row],[Weight real costs  + USC ]]</f>
        <v>0</v>
      </c>
    </row>
    <row r="1999" spans="1:23" x14ac:dyDescent="0.25">
      <c r="A1999" t="s">
        <v>317</v>
      </c>
      <c r="B1999" s="1" t="s">
        <v>39</v>
      </c>
      <c r="C1999" s="2">
        <v>220</v>
      </c>
      <c r="D1999" s="2">
        <v>359</v>
      </c>
      <c r="E1999" s="1" t="s">
        <v>236</v>
      </c>
      <c r="J1999" s="14">
        <v>0</v>
      </c>
      <c r="Q1999" t="str">
        <f>INDEX('Partner data'!A:DH,MATCH(C1999,'Partner data'!DG:DG,0),83)</f>
        <v xml:space="preserve">Organismo di diritto pubblico </v>
      </c>
      <c r="R1999" t="b">
        <f>IF(E1999="staff",IF(INDEX('Partner data'!A:DH,MATCH(C1999,'Partner data'!DG:DG,0),112)="BL1 non presente","FALSO",INDEX('Partner data'!A:DH,MATCH(C1999,'Partner data'!DG:DG,0),112)))</f>
        <v>0</v>
      </c>
      <c r="S1999" s="86" t="b">
        <f t="shared" si="64"/>
        <v>0</v>
      </c>
      <c r="T1999" t="b">
        <f t="shared" si="65"/>
        <v>1</v>
      </c>
      <c r="U1999" s="154">
        <f>IFERROR(IF(R1999&lt;&gt;FALSE,IF(S1999=TRUE,INDEX('SummaryNOT_VALIDATED-BL'!$A$1:$F$16,MATCH(R1999,'SummaryNOT_VALIDATED-BL'!$A$1:$A$16,0),6),0),IF(S1999=TRUE,INDEX('SummaryNOT_VALIDATED-BL'!$A$1:$F$16,MATCH(E1999,'SummaryNOT_VALIDATED-BL'!$A$1:$A$16,0),6),0)),0)</f>
        <v>0</v>
      </c>
      <c r="V1999" s="81" cm="1">
        <f t="array" ref="V1999">INDEX('Weight tables'!$A$24:$C$27,MATCH(1,(RendicontiTrasmessiBL__2[[#This Row],[Cut percentage on real costs + USC]]&gt;='Weight tables'!$B$24:$B$27)*(RendicontiTrasmessiBL__2[[#This Row],[Cut percentage on real costs + USC]]&lt;='Weight tables'!$C$24:$C$27),0),1)</f>
        <v>0</v>
      </c>
      <c r="W1999" s="2">
        <f>RendicontiTrasmessiBL__2[[#This Row],[Weight real costs  + USC ]]</f>
        <v>0</v>
      </c>
    </row>
    <row r="2000" spans="1:23" x14ac:dyDescent="0.25">
      <c r="A2000" t="s">
        <v>317</v>
      </c>
      <c r="B2000" s="1" t="s">
        <v>319</v>
      </c>
      <c r="C2000" s="2">
        <v>222</v>
      </c>
      <c r="D2000" s="2">
        <v>360</v>
      </c>
      <c r="E2000" s="1" t="s">
        <v>228</v>
      </c>
      <c r="J2000" s="199">
        <v>6550</v>
      </c>
      <c r="Q2000" t="str">
        <f>INDEX('Partner data'!A:DH,MATCH(C2000,'Partner data'!DG:DG,0),83)</f>
        <v>Soggetto pubblico</v>
      </c>
      <c r="R2000" t="str">
        <f>IF(E2000="staff",IF(INDEX('Partner data'!A:DH,MATCH(C2000,'Partner data'!DG:DG,0),112)="BL1 non presente","FALSO",INDEX('Partner data'!A:DH,MATCH(C2000,'Partner data'!DG:DG,0),112)))</f>
        <v>COSTO REALE</v>
      </c>
      <c r="S2000" s="86" t="b">
        <f t="shared" si="64"/>
        <v>1</v>
      </c>
      <c r="T2000" t="b">
        <f t="shared" si="65"/>
        <v>1</v>
      </c>
      <c r="U2000" s="154">
        <f>IFERROR(IF(R2000&lt;&gt;FALSE,IF(S2000=TRUE,INDEX('SummaryNOT_VALIDATED-BL'!$A$1:$F$16,MATCH(R2000,'SummaryNOT_VALIDATED-BL'!$A$1:$A$16,0),6),0),IF(S2000=TRUE,INDEX('SummaryNOT_VALIDATED-BL'!$A$1:$F$16,MATCH(E2000,'SummaryNOT_VALIDATED-BL'!$A$1:$A$16,0),6),0)),0)</f>
        <v>9.1604133276901048E-2</v>
      </c>
      <c r="V2000" s="81" cm="1">
        <f t="array" ref="V2000">INDEX('Weight tables'!$A$24:$C$27,MATCH(1,(RendicontiTrasmessiBL__2[[#This Row],[Cut percentage on real costs + USC]]&gt;='Weight tables'!$B$24:$B$27)*(RendicontiTrasmessiBL__2[[#This Row],[Cut percentage on real costs + USC]]&lt;='Weight tables'!$C$24:$C$27),0),1)</f>
        <v>4</v>
      </c>
      <c r="W2000" s="2">
        <f>RendicontiTrasmessiBL__2[[#This Row],[Weight real costs  + USC ]]</f>
        <v>4</v>
      </c>
    </row>
    <row r="2001" spans="1:23" x14ac:dyDescent="0.25">
      <c r="A2001" t="s">
        <v>317</v>
      </c>
      <c r="B2001" s="1" t="s">
        <v>319</v>
      </c>
      <c r="C2001" s="2">
        <v>222</v>
      </c>
      <c r="D2001" s="2">
        <v>360</v>
      </c>
      <c r="E2001" s="1" t="s">
        <v>229</v>
      </c>
      <c r="J2001">
        <f>J2000*0.15</f>
        <v>982.5</v>
      </c>
      <c r="Q2001" t="str">
        <f>INDEX('Partner data'!A:DH,MATCH(C2001,'Partner data'!DG:DG,0),83)</f>
        <v>Soggetto pubblico</v>
      </c>
      <c r="R2001" t="b">
        <f>IF(E2001="staff",IF(INDEX('Partner data'!A:DH,MATCH(C2001,'Partner data'!DG:DG,0),112)="BL1 non presente","FALSO",INDEX('Partner data'!A:DH,MATCH(C2001,'Partner data'!DG:DG,0),112)))</f>
        <v>0</v>
      </c>
      <c r="S2001" s="86" t="b">
        <f t="shared" si="64"/>
        <v>1</v>
      </c>
      <c r="T2001" t="b">
        <f t="shared" si="65"/>
        <v>1</v>
      </c>
      <c r="U2001" s="154">
        <f>IFERROR(IF(R2001&lt;&gt;FALSE,IF(S2001=TRUE,INDEX('SummaryNOT_VALIDATED-BL'!$A$1:$F$16,MATCH(R2001,'SummaryNOT_VALIDATED-BL'!$A$1:$A$16,0),6),0),IF(S2001=TRUE,INDEX('SummaryNOT_VALIDATED-BL'!$A$1:$F$16,MATCH(E2001,'SummaryNOT_VALIDATED-BL'!$A$1:$A$16,0),6),0)),0)</f>
        <v>6.6460469504890221E-2</v>
      </c>
      <c r="V2001" s="81" cm="1">
        <f t="array" ref="V2001">INDEX('Weight tables'!$A$24:$C$27,MATCH(1,(RendicontiTrasmessiBL__2[[#This Row],[Cut percentage on real costs + USC]]&gt;='Weight tables'!$B$24:$B$27)*(RendicontiTrasmessiBL__2[[#This Row],[Cut percentage on real costs + USC]]&lt;='Weight tables'!$C$24:$C$27),0),1)</f>
        <v>4</v>
      </c>
      <c r="W2001" s="2">
        <f>RendicontiTrasmessiBL__2[[#This Row],[Weight real costs  + USC ]]</f>
        <v>4</v>
      </c>
    </row>
    <row r="2002" spans="1:23" x14ac:dyDescent="0.25">
      <c r="A2002" t="s">
        <v>317</v>
      </c>
      <c r="B2002" s="1" t="s">
        <v>319</v>
      </c>
      <c r="C2002" s="2">
        <v>222</v>
      </c>
      <c r="D2002" s="2">
        <v>360</v>
      </c>
      <c r="E2002" s="1" t="s">
        <v>230</v>
      </c>
      <c r="J2002">
        <f>J2000*0.04</f>
        <v>262</v>
      </c>
      <c r="Q2002" t="str">
        <f>INDEX('Partner data'!A:DH,MATCH(C2002,'Partner data'!DG:DG,0),83)</f>
        <v>Soggetto pubblico</v>
      </c>
      <c r="R2002" t="b">
        <f>IF(E2002="staff",IF(INDEX('Partner data'!A:DH,MATCH(C2002,'Partner data'!DG:DG,0),112)="BL1 non presente","FALSO",INDEX('Partner data'!A:DH,MATCH(C2002,'Partner data'!DG:DG,0),112)))</f>
        <v>0</v>
      </c>
      <c r="S2002" s="86" t="b">
        <f t="shared" si="64"/>
        <v>1</v>
      </c>
      <c r="T2002" t="b">
        <f t="shared" si="65"/>
        <v>1</v>
      </c>
      <c r="U2002" s="154">
        <f>IFERROR(IF(R2002&lt;&gt;FALSE,IF(S2002=TRUE,INDEX('SummaryNOT_VALIDATED-BL'!$A$1:$F$16,MATCH(R2002,'SummaryNOT_VALIDATED-BL'!$A$1:$A$16,0),6),0),IF(S2002=TRUE,INDEX('SummaryNOT_VALIDATED-BL'!$A$1:$F$16,MATCH(E2002,'SummaryNOT_VALIDATED-BL'!$A$1:$A$16,0),6),0)),0)</f>
        <v>6.3112622236488891E-2</v>
      </c>
      <c r="V2002" s="81" cm="1">
        <f t="array" ref="V2002">INDEX('Weight tables'!$A$24:$C$27,MATCH(1,(RendicontiTrasmessiBL__2[[#This Row],[Cut percentage on real costs + USC]]&gt;='Weight tables'!$B$24:$B$27)*(RendicontiTrasmessiBL__2[[#This Row],[Cut percentage on real costs + USC]]&lt;='Weight tables'!$C$24:$C$27),0),1)</f>
        <v>4</v>
      </c>
      <c r="W2002" s="2">
        <f>RendicontiTrasmessiBL__2[[#This Row],[Weight real costs  + USC ]]</f>
        <v>4</v>
      </c>
    </row>
    <row r="2003" spans="1:23" x14ac:dyDescent="0.25">
      <c r="A2003" t="s">
        <v>317</v>
      </c>
      <c r="B2003" s="1" t="s">
        <v>319</v>
      </c>
      <c r="C2003" s="2">
        <v>222</v>
      </c>
      <c r="D2003" s="2">
        <v>360</v>
      </c>
      <c r="E2003" s="1" t="s">
        <v>231</v>
      </c>
      <c r="J2003">
        <v>25080</v>
      </c>
      <c r="Q2003" t="str">
        <f>INDEX('Partner data'!A:DH,MATCH(C2003,'Partner data'!DG:DG,0),83)</f>
        <v>Soggetto pubblico</v>
      </c>
      <c r="R2003" t="b">
        <f>IF(E2003="staff",IF(INDEX('Partner data'!A:DH,MATCH(C2003,'Partner data'!DG:DG,0),112)="BL1 non presente","FALSO",INDEX('Partner data'!A:DH,MATCH(C2003,'Partner data'!DG:DG,0),112)))</f>
        <v>0</v>
      </c>
      <c r="S2003" s="86" t="b">
        <f t="shared" si="64"/>
        <v>1</v>
      </c>
      <c r="T2003" t="b">
        <f t="shared" si="65"/>
        <v>1</v>
      </c>
      <c r="U2003" s="154">
        <f>IFERROR(IF(R2003&lt;&gt;FALSE,IF(S2003=TRUE,INDEX('SummaryNOT_VALIDATED-BL'!$A$1:$F$16,MATCH(R2003,'SummaryNOT_VALIDATED-BL'!$A$1:$A$16,0),6),0),IF(S2003=TRUE,INDEX('SummaryNOT_VALIDATED-BL'!$A$1:$F$16,MATCH(E2003,'SummaryNOT_VALIDATED-BL'!$A$1:$A$16,0),6),0)),0)</f>
        <v>5.577594442215475E-2</v>
      </c>
      <c r="V2003" s="81" cm="1">
        <f t="array" ref="V2003">INDEX('Weight tables'!$A$24:$C$27,MATCH(1,(RendicontiTrasmessiBL__2[[#This Row],[Cut percentage on real costs + USC]]&gt;='Weight tables'!$B$24:$B$27)*(RendicontiTrasmessiBL__2[[#This Row],[Cut percentage on real costs + USC]]&lt;='Weight tables'!$C$24:$C$27),0),1)</f>
        <v>4</v>
      </c>
      <c r="W2003" s="2">
        <f>RendicontiTrasmessiBL__2[[#This Row],[Weight real costs  + USC ]]</f>
        <v>4</v>
      </c>
    </row>
    <row r="2004" spans="1:23" x14ac:dyDescent="0.25">
      <c r="A2004" t="s">
        <v>317</v>
      </c>
      <c r="B2004" s="1" t="s">
        <v>319</v>
      </c>
      <c r="C2004" s="2">
        <v>222</v>
      </c>
      <c r="D2004" s="2">
        <v>360</v>
      </c>
      <c r="E2004" s="1" t="s">
        <v>232</v>
      </c>
      <c r="J2004">
        <v>12000</v>
      </c>
      <c r="Q2004" t="str">
        <f>INDEX('Partner data'!A:DH,MATCH(C2004,'Partner data'!DG:DG,0),83)</f>
        <v>Soggetto pubblico</v>
      </c>
      <c r="R2004" t="b">
        <f>IF(E2004="staff",IF(INDEX('Partner data'!A:DH,MATCH(C2004,'Partner data'!DG:DG,0),112)="BL1 non presente","FALSO",INDEX('Partner data'!A:DH,MATCH(C2004,'Partner data'!DG:DG,0),112)))</f>
        <v>0</v>
      </c>
      <c r="S2004" s="86" t="b">
        <f t="shared" si="64"/>
        <v>1</v>
      </c>
      <c r="T2004" t="b">
        <f t="shared" si="65"/>
        <v>1</v>
      </c>
      <c r="U2004" s="154">
        <f>IFERROR(IF(R2004&lt;&gt;FALSE,IF(S2004=TRUE,INDEX('SummaryNOT_VALIDATED-BL'!$A$1:$F$16,MATCH(R2004,'SummaryNOT_VALIDATED-BL'!$A$1:$A$16,0),6),0),IF(S2004=TRUE,INDEX('SummaryNOT_VALIDATED-BL'!$A$1:$F$16,MATCH(E2004,'SummaryNOT_VALIDATED-BL'!$A$1:$A$16,0),6),0)),0)</f>
        <v>1.102169095281242E-2</v>
      </c>
      <c r="V2004" s="81" cm="1">
        <f t="array" ref="V2004">INDEX('Weight tables'!$A$24:$C$27,MATCH(1,(RendicontiTrasmessiBL__2[[#This Row],[Cut percentage on real costs + USC]]&gt;='Weight tables'!$B$24:$B$27)*(RendicontiTrasmessiBL__2[[#This Row],[Cut percentage on real costs + USC]]&lt;='Weight tables'!$C$24:$C$27),0),1)</f>
        <v>0</v>
      </c>
      <c r="W2004" s="2">
        <f>RendicontiTrasmessiBL__2[[#This Row],[Weight real costs  + USC ]]</f>
        <v>0</v>
      </c>
    </row>
    <row r="2005" spans="1:23" x14ac:dyDescent="0.25">
      <c r="A2005" t="s">
        <v>317</v>
      </c>
      <c r="B2005" s="1" t="s">
        <v>319</v>
      </c>
      <c r="C2005" s="2">
        <v>222</v>
      </c>
      <c r="D2005" s="2">
        <v>360</v>
      </c>
      <c r="E2005" s="1" t="s">
        <v>233</v>
      </c>
      <c r="J2005">
        <v>0</v>
      </c>
      <c r="Q2005" t="str">
        <f>INDEX('Partner data'!A:DH,MATCH(C2005,'Partner data'!DG:DG,0),83)</f>
        <v>Soggetto pubblico</v>
      </c>
      <c r="R2005" t="b">
        <f>IF(E2005="staff",IF(INDEX('Partner data'!A:DH,MATCH(C2005,'Partner data'!DG:DG,0),112)="BL1 non presente","FALSO",INDEX('Partner data'!A:DH,MATCH(C2005,'Partner data'!DG:DG,0),112)))</f>
        <v>0</v>
      </c>
      <c r="S2005" s="86" t="b">
        <f t="shared" si="64"/>
        <v>0</v>
      </c>
      <c r="T2005" t="b">
        <f t="shared" si="65"/>
        <v>1</v>
      </c>
      <c r="U2005" s="154">
        <f>IFERROR(IF(R2005&lt;&gt;FALSE,IF(S2005=TRUE,INDEX('SummaryNOT_VALIDATED-BL'!$A$1:$F$16,MATCH(R2005,'SummaryNOT_VALIDATED-BL'!$A$1:$A$16,0),6),0),IF(S2005=TRUE,INDEX('SummaryNOT_VALIDATED-BL'!$A$1:$F$16,MATCH(E2005,'SummaryNOT_VALIDATED-BL'!$A$1:$A$16,0),6),0)),0)</f>
        <v>0</v>
      </c>
      <c r="V2005" s="81" cm="1">
        <f t="array" ref="V2005">INDEX('Weight tables'!$A$24:$C$27,MATCH(1,(RendicontiTrasmessiBL__2[[#This Row],[Cut percentage on real costs + USC]]&gt;='Weight tables'!$B$24:$B$27)*(RendicontiTrasmessiBL__2[[#This Row],[Cut percentage on real costs + USC]]&lt;='Weight tables'!$C$24:$C$27),0),1)</f>
        <v>0</v>
      </c>
      <c r="W2005" s="2">
        <f>RendicontiTrasmessiBL__2[[#This Row],[Weight real costs  + USC ]]</f>
        <v>0</v>
      </c>
    </row>
    <row r="2006" spans="1:23" x14ac:dyDescent="0.25">
      <c r="A2006" t="s">
        <v>317</v>
      </c>
      <c r="B2006" s="1" t="s">
        <v>319</v>
      </c>
      <c r="C2006" s="2">
        <v>222</v>
      </c>
      <c r="D2006" s="2">
        <v>360</v>
      </c>
      <c r="E2006" s="1" t="s">
        <v>234</v>
      </c>
      <c r="J2006">
        <v>0</v>
      </c>
      <c r="Q2006" t="str">
        <f>INDEX('Partner data'!A:DH,MATCH(C2006,'Partner data'!DG:DG,0),83)</f>
        <v>Soggetto pubblico</v>
      </c>
      <c r="R2006" t="b">
        <f>IF(E2006="staff",IF(INDEX('Partner data'!A:DH,MATCH(C2006,'Partner data'!DG:DG,0),112)="BL1 non presente","FALSO",INDEX('Partner data'!A:DH,MATCH(C2006,'Partner data'!DG:DG,0),112)))</f>
        <v>0</v>
      </c>
      <c r="S2006" s="86" t="b">
        <f t="shared" ref="S2006:S2037" si="66">IF(J2006&lt;&gt;0,TRUE,FALSE)</f>
        <v>0</v>
      </c>
      <c r="T2006" t="b">
        <f t="shared" ref="T2006:T2037" si="67">OR(Q2006="Soggetto pubblico",Q2006="Organismo di diritto pubblico ")</f>
        <v>1</v>
      </c>
      <c r="U2006" s="154">
        <f>IFERROR(IF(R2006&lt;&gt;FALSE,IF(S2006=TRUE,INDEX('SummaryNOT_VALIDATED-BL'!$A$1:$F$16,MATCH(R2006,'SummaryNOT_VALIDATED-BL'!$A$1:$A$16,0),6),0),IF(S2006=TRUE,INDEX('SummaryNOT_VALIDATED-BL'!$A$1:$F$16,MATCH(E2006,'SummaryNOT_VALIDATED-BL'!$A$1:$A$16,0),6),0)),0)</f>
        <v>0</v>
      </c>
      <c r="V2006" s="81" cm="1">
        <f t="array" ref="V2006">INDEX('Weight tables'!$A$24:$C$27,MATCH(1,(RendicontiTrasmessiBL__2[[#This Row],[Cut percentage on real costs + USC]]&gt;='Weight tables'!$B$24:$B$27)*(RendicontiTrasmessiBL__2[[#This Row],[Cut percentage on real costs + USC]]&lt;='Weight tables'!$C$24:$C$27),0),1)</f>
        <v>0</v>
      </c>
      <c r="W2006" s="2">
        <f>RendicontiTrasmessiBL__2[[#This Row],[Weight real costs  + USC ]]</f>
        <v>0</v>
      </c>
    </row>
    <row r="2007" spans="1:23" x14ac:dyDescent="0.25">
      <c r="A2007" t="s">
        <v>317</v>
      </c>
      <c r="B2007" s="1" t="s">
        <v>319</v>
      </c>
      <c r="C2007" s="2">
        <v>222</v>
      </c>
      <c r="D2007" s="2">
        <v>360</v>
      </c>
      <c r="E2007" s="1" t="s">
        <v>235</v>
      </c>
      <c r="J2007">
        <v>0</v>
      </c>
      <c r="Q2007" t="str">
        <f>INDEX('Partner data'!A:DH,MATCH(C2007,'Partner data'!DG:DG,0),83)</f>
        <v>Soggetto pubblico</v>
      </c>
      <c r="R2007" t="b">
        <f>IF(E2007="staff",IF(INDEX('Partner data'!A:DH,MATCH(C2007,'Partner data'!DG:DG,0),112)="BL1 non presente","FALSO",INDEX('Partner data'!A:DH,MATCH(C2007,'Partner data'!DG:DG,0),112)))</f>
        <v>0</v>
      </c>
      <c r="S2007" s="86" t="b">
        <f t="shared" si="66"/>
        <v>0</v>
      </c>
      <c r="T2007" t="b">
        <f t="shared" si="67"/>
        <v>1</v>
      </c>
      <c r="U2007" s="154">
        <f>IFERROR(IF(R2007&lt;&gt;FALSE,IF(S2007=TRUE,INDEX('SummaryNOT_VALIDATED-BL'!$A$1:$F$16,MATCH(R2007,'SummaryNOT_VALIDATED-BL'!$A$1:$A$16,0),6),0),IF(S2007=TRUE,INDEX('SummaryNOT_VALIDATED-BL'!$A$1:$F$16,MATCH(E2007,'SummaryNOT_VALIDATED-BL'!$A$1:$A$16,0),6),0)),0)</f>
        <v>0</v>
      </c>
      <c r="V2007" s="81" cm="1">
        <f t="array" ref="V2007">INDEX('Weight tables'!$A$24:$C$27,MATCH(1,(RendicontiTrasmessiBL__2[[#This Row],[Cut percentage on real costs + USC]]&gt;='Weight tables'!$B$24:$B$27)*(RendicontiTrasmessiBL__2[[#This Row],[Cut percentage on real costs + USC]]&lt;='Weight tables'!$C$24:$C$27),0),1)</f>
        <v>0</v>
      </c>
      <c r="W2007" s="2">
        <f>RendicontiTrasmessiBL__2[[#This Row],[Weight real costs  + USC ]]</f>
        <v>0</v>
      </c>
    </row>
    <row r="2008" spans="1:23" x14ac:dyDescent="0.25">
      <c r="A2008" t="s">
        <v>317</v>
      </c>
      <c r="B2008" s="1" t="s">
        <v>319</v>
      </c>
      <c r="C2008" s="2">
        <v>222</v>
      </c>
      <c r="D2008" s="2">
        <v>360</v>
      </c>
      <c r="E2008" s="1" t="s">
        <v>236</v>
      </c>
      <c r="J2008">
        <v>0</v>
      </c>
      <c r="Q2008" t="str">
        <f>INDEX('Partner data'!A:DH,MATCH(C2008,'Partner data'!DG:DG,0),83)</f>
        <v>Soggetto pubblico</v>
      </c>
      <c r="R2008" t="b">
        <f>IF(E2008="staff",IF(INDEX('Partner data'!A:DH,MATCH(C2008,'Partner data'!DG:DG,0),112)="BL1 non presente","FALSO",INDEX('Partner data'!A:DH,MATCH(C2008,'Partner data'!DG:DG,0),112)))</f>
        <v>0</v>
      </c>
      <c r="S2008" s="86" t="b">
        <f t="shared" si="66"/>
        <v>0</v>
      </c>
      <c r="T2008" t="b">
        <f t="shared" si="67"/>
        <v>1</v>
      </c>
      <c r="U2008" s="154">
        <f>IFERROR(IF(R2008&lt;&gt;FALSE,IF(S2008=TRUE,INDEX('SummaryNOT_VALIDATED-BL'!$A$1:$F$16,MATCH(R2008,'SummaryNOT_VALIDATED-BL'!$A$1:$A$16,0),6),0),IF(S2008=TRUE,INDEX('SummaryNOT_VALIDATED-BL'!$A$1:$F$16,MATCH(E2008,'SummaryNOT_VALIDATED-BL'!$A$1:$A$16,0),6),0)),0)</f>
        <v>0</v>
      </c>
      <c r="V2008" s="81" cm="1">
        <f t="array" ref="V2008">INDEX('Weight tables'!$A$24:$C$27,MATCH(1,(RendicontiTrasmessiBL__2[[#This Row],[Cut percentage on real costs + USC]]&gt;='Weight tables'!$B$24:$B$27)*(RendicontiTrasmessiBL__2[[#This Row],[Cut percentage on real costs + USC]]&lt;='Weight tables'!$C$24:$C$27),0),1)</f>
        <v>0</v>
      </c>
      <c r="W2008" s="2">
        <f>RendicontiTrasmessiBL__2[[#This Row],[Weight real costs  + USC ]]</f>
        <v>0</v>
      </c>
    </row>
    <row r="2009" spans="1:23" x14ac:dyDescent="0.25">
      <c r="A2009" t="s">
        <v>317</v>
      </c>
      <c r="B2009" s="1" t="s">
        <v>318</v>
      </c>
      <c r="C2009" s="2">
        <v>267</v>
      </c>
      <c r="D2009" s="2">
        <v>361</v>
      </c>
      <c r="E2009" s="1" t="s">
        <v>228</v>
      </c>
      <c r="J2009">
        <f>(J2012+J2013)*0.2</f>
        <v>4850</v>
      </c>
      <c r="Q2009" t="str">
        <f>INDEX('Partner data'!A:DH,MATCH(C2009,'Partner data'!DG:DG,0),83)</f>
        <v>Soggetto privato</v>
      </c>
      <c r="R2009" t="str">
        <f>IF(E2009="staff",IF(INDEX('Partner data'!A:DH,MATCH(C2009,'Partner data'!DG:DG,0),112)="BL1 non presente","FALSO",INDEX('Partner data'!A:DH,MATCH(C2009,'Partner data'!DG:DG,0),112)))</f>
        <v>Tasso Forfettario 20%</v>
      </c>
      <c r="S2009" s="86" t="b">
        <f t="shared" si="66"/>
        <v>1</v>
      </c>
      <c r="T2009" t="b">
        <f t="shared" si="67"/>
        <v>0</v>
      </c>
      <c r="U2009" s="154">
        <f>IFERROR(IF(R2009&lt;&gt;FALSE,IF(S2009=TRUE,INDEX('SummaryNOT_VALIDATED-BL'!$A$1:$F$16,MATCH(R2009,'SummaryNOT_VALIDATED-BL'!$A$1:$A$16,0),6),0),IF(S2009=TRUE,INDEX('SummaryNOT_VALIDATED-BL'!$A$1:$F$16,MATCH(E2009,'SummaryNOT_VALIDATED-BL'!$A$1:$A$16,0),6),0)),0)</f>
        <v>1.2653355650533233E-2</v>
      </c>
      <c r="V2009" s="81" cm="1">
        <f t="array" ref="V2009">INDEX('Weight tables'!$A$24:$C$27,MATCH(1,(RendicontiTrasmessiBL__2[[#This Row],[Cut percentage on real costs + USC]]&gt;='Weight tables'!$B$24:$B$27)*(RendicontiTrasmessiBL__2[[#This Row],[Cut percentage on real costs + USC]]&lt;='Weight tables'!$C$24:$C$27),0),1)</f>
        <v>0</v>
      </c>
      <c r="W2009" s="2">
        <f>RendicontiTrasmessiBL__2[[#This Row],[Weight real costs  + USC ]]</f>
        <v>0</v>
      </c>
    </row>
    <row r="2010" spans="1:23" x14ac:dyDescent="0.25">
      <c r="A2010" t="s">
        <v>317</v>
      </c>
      <c r="B2010" s="1" t="s">
        <v>318</v>
      </c>
      <c r="C2010" s="2">
        <v>267</v>
      </c>
      <c r="D2010" s="2">
        <v>361</v>
      </c>
      <c r="E2010" s="1" t="s">
        <v>229</v>
      </c>
      <c r="J2010">
        <f>J2009*0.15</f>
        <v>727.5</v>
      </c>
      <c r="Q2010" t="str">
        <f>INDEX('Partner data'!A:DH,MATCH(C2010,'Partner data'!DG:DG,0),83)</f>
        <v>Soggetto privato</v>
      </c>
      <c r="R2010" t="b">
        <f>IF(E2010="staff",IF(INDEX('Partner data'!A:DH,MATCH(C2010,'Partner data'!DG:DG,0),112)="BL1 non presente","FALSO",INDEX('Partner data'!A:DH,MATCH(C2010,'Partner data'!DG:DG,0),112)))</f>
        <v>0</v>
      </c>
      <c r="S2010" s="86" t="b">
        <f t="shared" si="66"/>
        <v>1</v>
      </c>
      <c r="T2010" t="b">
        <f t="shared" si="67"/>
        <v>0</v>
      </c>
      <c r="U2010" s="154">
        <f>IFERROR(IF(R2010&lt;&gt;FALSE,IF(S2010=TRUE,INDEX('SummaryNOT_VALIDATED-BL'!$A$1:$F$16,MATCH(R2010,'SummaryNOT_VALIDATED-BL'!$A$1:$A$16,0),6),0),IF(S2010=TRUE,INDEX('SummaryNOT_VALIDATED-BL'!$A$1:$F$16,MATCH(E2010,'SummaryNOT_VALIDATED-BL'!$A$1:$A$16,0),6),0)),0)</f>
        <v>6.6460469504890221E-2</v>
      </c>
      <c r="V2010" s="81" cm="1">
        <f t="array" ref="V2010">INDEX('Weight tables'!$A$24:$C$27,MATCH(1,(RendicontiTrasmessiBL__2[[#This Row],[Cut percentage on real costs + USC]]&gt;='Weight tables'!$B$24:$B$27)*(RendicontiTrasmessiBL__2[[#This Row],[Cut percentage on real costs + USC]]&lt;='Weight tables'!$C$24:$C$27),0),1)</f>
        <v>4</v>
      </c>
      <c r="W2010" s="2">
        <f>RendicontiTrasmessiBL__2[[#This Row],[Weight real costs  + USC ]]</f>
        <v>4</v>
      </c>
    </row>
    <row r="2011" spans="1:23" x14ac:dyDescent="0.25">
      <c r="A2011" t="s">
        <v>317</v>
      </c>
      <c r="B2011" s="1" t="s">
        <v>318</v>
      </c>
      <c r="C2011" s="2">
        <v>267</v>
      </c>
      <c r="D2011" s="2">
        <v>361</v>
      </c>
      <c r="E2011" s="1" t="s">
        <v>230</v>
      </c>
      <c r="J2011">
        <f>J2009*0.04</f>
        <v>194</v>
      </c>
      <c r="Q2011" t="str">
        <f>INDEX('Partner data'!A:DH,MATCH(C2011,'Partner data'!DG:DG,0),83)</f>
        <v>Soggetto privato</v>
      </c>
      <c r="R2011" t="b">
        <f>IF(E2011="staff",IF(INDEX('Partner data'!A:DH,MATCH(C2011,'Partner data'!DG:DG,0),112)="BL1 non presente","FALSO",INDEX('Partner data'!A:DH,MATCH(C2011,'Partner data'!DG:DG,0),112)))</f>
        <v>0</v>
      </c>
      <c r="S2011" s="86" t="b">
        <f t="shared" si="66"/>
        <v>1</v>
      </c>
      <c r="T2011" t="b">
        <f t="shared" si="67"/>
        <v>0</v>
      </c>
      <c r="U2011" s="154">
        <f>IFERROR(IF(R2011&lt;&gt;FALSE,IF(S2011=TRUE,INDEX('SummaryNOT_VALIDATED-BL'!$A$1:$F$16,MATCH(R2011,'SummaryNOT_VALIDATED-BL'!$A$1:$A$16,0),6),0),IF(S2011=TRUE,INDEX('SummaryNOT_VALIDATED-BL'!$A$1:$F$16,MATCH(E2011,'SummaryNOT_VALIDATED-BL'!$A$1:$A$16,0),6),0)),0)</f>
        <v>6.3112622236488891E-2</v>
      </c>
      <c r="V2011" s="81" cm="1">
        <f t="array" ref="V2011">INDEX('Weight tables'!$A$24:$C$27,MATCH(1,(RendicontiTrasmessiBL__2[[#This Row],[Cut percentage on real costs + USC]]&gt;='Weight tables'!$B$24:$B$27)*(RendicontiTrasmessiBL__2[[#This Row],[Cut percentage on real costs + USC]]&lt;='Weight tables'!$C$24:$C$27),0),1)</f>
        <v>4</v>
      </c>
      <c r="W2011" s="2">
        <f>RendicontiTrasmessiBL__2[[#This Row],[Weight real costs  + USC ]]</f>
        <v>4</v>
      </c>
    </row>
    <row r="2012" spans="1:23" x14ac:dyDescent="0.25">
      <c r="A2012" t="s">
        <v>317</v>
      </c>
      <c r="B2012" s="1" t="s">
        <v>318</v>
      </c>
      <c r="C2012" s="2">
        <v>267</v>
      </c>
      <c r="D2012" s="2">
        <v>361</v>
      </c>
      <c r="E2012" s="1" t="s">
        <v>231</v>
      </c>
      <c r="J2012">
        <v>3000</v>
      </c>
      <c r="Q2012" t="str">
        <f>INDEX('Partner data'!A:DH,MATCH(C2012,'Partner data'!DG:DG,0),83)</f>
        <v>Soggetto privato</v>
      </c>
      <c r="R2012" t="b">
        <f>IF(E2012="staff",IF(INDEX('Partner data'!A:DH,MATCH(C2012,'Partner data'!DG:DG,0),112)="BL1 non presente","FALSO",INDEX('Partner data'!A:DH,MATCH(C2012,'Partner data'!DG:DG,0),112)))</f>
        <v>0</v>
      </c>
      <c r="S2012" s="86" t="b">
        <f t="shared" si="66"/>
        <v>1</v>
      </c>
      <c r="T2012" t="b">
        <f t="shared" si="67"/>
        <v>0</v>
      </c>
      <c r="U2012" s="154">
        <f>IFERROR(IF(R2012&lt;&gt;FALSE,IF(S2012=TRUE,INDEX('SummaryNOT_VALIDATED-BL'!$A$1:$F$16,MATCH(R2012,'SummaryNOT_VALIDATED-BL'!$A$1:$A$16,0),6),0),IF(S2012=TRUE,INDEX('SummaryNOT_VALIDATED-BL'!$A$1:$F$16,MATCH(E2012,'SummaryNOT_VALIDATED-BL'!$A$1:$A$16,0),6),0)),0)</f>
        <v>5.577594442215475E-2</v>
      </c>
      <c r="V2012" s="81" cm="1">
        <f t="array" ref="V2012">INDEX('Weight tables'!$A$24:$C$27,MATCH(1,(RendicontiTrasmessiBL__2[[#This Row],[Cut percentage on real costs + USC]]&gt;='Weight tables'!$B$24:$B$27)*(RendicontiTrasmessiBL__2[[#This Row],[Cut percentage on real costs + USC]]&lt;='Weight tables'!$C$24:$C$27),0),1)</f>
        <v>4</v>
      </c>
      <c r="W2012" s="2">
        <f>RendicontiTrasmessiBL__2[[#This Row],[Weight real costs  + USC ]]</f>
        <v>4</v>
      </c>
    </row>
    <row r="2013" spans="1:23" x14ac:dyDescent="0.25">
      <c r="A2013" t="s">
        <v>317</v>
      </c>
      <c r="B2013" s="1" t="s">
        <v>318</v>
      </c>
      <c r="C2013" s="2">
        <v>267</v>
      </c>
      <c r="D2013" s="2">
        <v>361</v>
      </c>
      <c r="E2013" s="1" t="s">
        <v>232</v>
      </c>
      <c r="J2013">
        <v>21250</v>
      </c>
      <c r="Q2013" t="str">
        <f>INDEX('Partner data'!A:DH,MATCH(C2013,'Partner data'!DG:DG,0),83)</f>
        <v>Soggetto privato</v>
      </c>
      <c r="R2013" t="b">
        <f>IF(E2013="staff",IF(INDEX('Partner data'!A:DH,MATCH(C2013,'Partner data'!DG:DG,0),112)="BL1 non presente","FALSO",INDEX('Partner data'!A:DH,MATCH(C2013,'Partner data'!DG:DG,0),112)))</f>
        <v>0</v>
      </c>
      <c r="S2013" s="86" t="b">
        <f t="shared" si="66"/>
        <v>1</v>
      </c>
      <c r="T2013" t="b">
        <f t="shared" si="67"/>
        <v>0</v>
      </c>
      <c r="U2013" s="154">
        <f>IFERROR(IF(R2013&lt;&gt;FALSE,IF(S2013=TRUE,INDEX('SummaryNOT_VALIDATED-BL'!$A$1:$F$16,MATCH(R2013,'SummaryNOT_VALIDATED-BL'!$A$1:$A$16,0),6),0),IF(S2013=TRUE,INDEX('SummaryNOT_VALIDATED-BL'!$A$1:$F$16,MATCH(E2013,'SummaryNOT_VALIDATED-BL'!$A$1:$A$16,0),6),0)),0)</f>
        <v>1.102169095281242E-2</v>
      </c>
      <c r="V2013" s="81" cm="1">
        <f t="array" ref="V2013">INDEX('Weight tables'!$A$24:$C$27,MATCH(1,(RendicontiTrasmessiBL__2[[#This Row],[Cut percentage on real costs + USC]]&gt;='Weight tables'!$B$24:$B$27)*(RendicontiTrasmessiBL__2[[#This Row],[Cut percentage on real costs + USC]]&lt;='Weight tables'!$C$24:$C$27),0),1)</f>
        <v>0</v>
      </c>
      <c r="W2013" s="2">
        <f>RendicontiTrasmessiBL__2[[#This Row],[Weight real costs  + USC ]]</f>
        <v>0</v>
      </c>
    </row>
    <row r="2014" spans="1:23" x14ac:dyDescent="0.25">
      <c r="A2014" t="s">
        <v>317</v>
      </c>
      <c r="B2014" s="1" t="s">
        <v>318</v>
      </c>
      <c r="C2014" s="2">
        <v>267</v>
      </c>
      <c r="D2014" s="2">
        <v>361</v>
      </c>
      <c r="E2014" s="1" t="s">
        <v>233</v>
      </c>
      <c r="J2014">
        <v>0</v>
      </c>
      <c r="Q2014" t="str">
        <f>INDEX('Partner data'!A:DH,MATCH(C2014,'Partner data'!DG:DG,0),83)</f>
        <v>Soggetto privato</v>
      </c>
      <c r="R2014" t="b">
        <f>IF(E2014="staff",IF(INDEX('Partner data'!A:DH,MATCH(C2014,'Partner data'!DG:DG,0),112)="BL1 non presente","FALSO",INDEX('Partner data'!A:DH,MATCH(C2014,'Partner data'!DG:DG,0),112)))</f>
        <v>0</v>
      </c>
      <c r="S2014" s="86" t="b">
        <f t="shared" si="66"/>
        <v>0</v>
      </c>
      <c r="T2014" t="b">
        <f t="shared" si="67"/>
        <v>0</v>
      </c>
      <c r="U2014" s="154">
        <f>IFERROR(IF(R2014&lt;&gt;FALSE,IF(S2014=TRUE,INDEX('SummaryNOT_VALIDATED-BL'!$A$1:$F$16,MATCH(R2014,'SummaryNOT_VALIDATED-BL'!$A$1:$A$16,0),6),0),IF(S2014=TRUE,INDEX('SummaryNOT_VALIDATED-BL'!$A$1:$F$16,MATCH(E2014,'SummaryNOT_VALIDATED-BL'!$A$1:$A$16,0),6),0)),0)</f>
        <v>0</v>
      </c>
      <c r="V2014" s="81" cm="1">
        <f t="array" ref="V2014">INDEX('Weight tables'!$A$24:$C$27,MATCH(1,(RendicontiTrasmessiBL__2[[#This Row],[Cut percentage on real costs + USC]]&gt;='Weight tables'!$B$24:$B$27)*(RendicontiTrasmessiBL__2[[#This Row],[Cut percentage on real costs + USC]]&lt;='Weight tables'!$C$24:$C$27),0),1)</f>
        <v>0</v>
      </c>
      <c r="W2014" s="2">
        <f>RendicontiTrasmessiBL__2[[#This Row],[Weight real costs  + USC ]]</f>
        <v>0</v>
      </c>
    </row>
    <row r="2015" spans="1:23" x14ac:dyDescent="0.25">
      <c r="A2015" t="s">
        <v>317</v>
      </c>
      <c r="B2015" s="1" t="s">
        <v>318</v>
      </c>
      <c r="C2015" s="2">
        <v>267</v>
      </c>
      <c r="D2015" s="2">
        <v>361</v>
      </c>
      <c r="E2015" s="1" t="s">
        <v>234</v>
      </c>
      <c r="J2015">
        <v>0</v>
      </c>
      <c r="Q2015" t="str">
        <f>INDEX('Partner data'!A:DH,MATCH(C2015,'Partner data'!DG:DG,0),83)</f>
        <v>Soggetto privato</v>
      </c>
      <c r="R2015" t="b">
        <f>IF(E2015="staff",IF(INDEX('Partner data'!A:DH,MATCH(C2015,'Partner data'!DG:DG,0),112)="BL1 non presente","FALSO",INDEX('Partner data'!A:DH,MATCH(C2015,'Partner data'!DG:DG,0),112)))</f>
        <v>0</v>
      </c>
      <c r="S2015" s="86" t="b">
        <f t="shared" si="66"/>
        <v>0</v>
      </c>
      <c r="T2015" t="b">
        <f t="shared" si="67"/>
        <v>0</v>
      </c>
      <c r="U2015" s="154">
        <f>IFERROR(IF(R2015&lt;&gt;FALSE,IF(S2015=TRUE,INDEX('SummaryNOT_VALIDATED-BL'!$A$1:$F$16,MATCH(R2015,'SummaryNOT_VALIDATED-BL'!$A$1:$A$16,0),6),0),IF(S2015=TRUE,INDEX('SummaryNOT_VALIDATED-BL'!$A$1:$F$16,MATCH(E2015,'SummaryNOT_VALIDATED-BL'!$A$1:$A$16,0),6),0)),0)</f>
        <v>0</v>
      </c>
      <c r="V2015" s="81" cm="1">
        <f t="array" ref="V2015">INDEX('Weight tables'!$A$24:$C$27,MATCH(1,(RendicontiTrasmessiBL__2[[#This Row],[Cut percentage on real costs + USC]]&gt;='Weight tables'!$B$24:$B$27)*(RendicontiTrasmessiBL__2[[#This Row],[Cut percentage on real costs + USC]]&lt;='Weight tables'!$C$24:$C$27),0),1)</f>
        <v>0</v>
      </c>
      <c r="W2015" s="2">
        <f>RendicontiTrasmessiBL__2[[#This Row],[Weight real costs  + USC ]]</f>
        <v>0</v>
      </c>
    </row>
    <row r="2016" spans="1:23" x14ac:dyDescent="0.25">
      <c r="A2016" t="s">
        <v>317</v>
      </c>
      <c r="B2016" s="1" t="s">
        <v>318</v>
      </c>
      <c r="C2016" s="2">
        <v>267</v>
      </c>
      <c r="D2016" s="2">
        <v>361</v>
      </c>
      <c r="E2016" s="1" t="s">
        <v>235</v>
      </c>
      <c r="J2016">
        <v>0</v>
      </c>
      <c r="Q2016" t="str">
        <f>INDEX('Partner data'!A:DH,MATCH(C2016,'Partner data'!DG:DG,0),83)</f>
        <v>Soggetto privato</v>
      </c>
      <c r="R2016" t="b">
        <f>IF(E2016="staff",IF(INDEX('Partner data'!A:DH,MATCH(C2016,'Partner data'!DG:DG,0),112)="BL1 non presente","FALSO",INDEX('Partner data'!A:DH,MATCH(C2016,'Partner data'!DG:DG,0),112)))</f>
        <v>0</v>
      </c>
      <c r="S2016" s="86" t="b">
        <f t="shared" si="66"/>
        <v>0</v>
      </c>
      <c r="T2016" t="b">
        <f t="shared" si="67"/>
        <v>0</v>
      </c>
      <c r="U2016" s="154">
        <f>IFERROR(IF(R2016&lt;&gt;FALSE,IF(S2016=TRUE,INDEX('SummaryNOT_VALIDATED-BL'!$A$1:$F$16,MATCH(R2016,'SummaryNOT_VALIDATED-BL'!$A$1:$A$16,0),6),0),IF(S2016=TRUE,INDEX('SummaryNOT_VALIDATED-BL'!$A$1:$F$16,MATCH(E2016,'SummaryNOT_VALIDATED-BL'!$A$1:$A$16,0),6),0)),0)</f>
        <v>0</v>
      </c>
      <c r="V2016" s="81" cm="1">
        <f t="array" ref="V2016">INDEX('Weight tables'!$A$24:$C$27,MATCH(1,(RendicontiTrasmessiBL__2[[#This Row],[Cut percentage on real costs + USC]]&gt;='Weight tables'!$B$24:$B$27)*(RendicontiTrasmessiBL__2[[#This Row],[Cut percentage on real costs + USC]]&lt;='Weight tables'!$C$24:$C$27),0),1)</f>
        <v>0</v>
      </c>
      <c r="W2016" s="2">
        <f>RendicontiTrasmessiBL__2[[#This Row],[Weight real costs  + USC ]]</f>
        <v>0</v>
      </c>
    </row>
    <row r="2017" spans="1:23" x14ac:dyDescent="0.25">
      <c r="A2017" t="s">
        <v>317</v>
      </c>
      <c r="B2017" s="1" t="s">
        <v>318</v>
      </c>
      <c r="C2017" s="2">
        <v>267</v>
      </c>
      <c r="D2017" s="2">
        <v>361</v>
      </c>
      <c r="E2017" s="1" t="s">
        <v>236</v>
      </c>
      <c r="J2017">
        <v>0</v>
      </c>
      <c r="Q2017" t="str">
        <f>INDEX('Partner data'!A:DH,MATCH(C2017,'Partner data'!DG:DG,0),83)</f>
        <v>Soggetto privato</v>
      </c>
      <c r="R2017" t="b">
        <f>IF(E2017="staff",IF(INDEX('Partner data'!A:DH,MATCH(C2017,'Partner data'!DG:DG,0),112)="BL1 non presente","FALSO",INDEX('Partner data'!A:DH,MATCH(C2017,'Partner data'!DG:DG,0),112)))</f>
        <v>0</v>
      </c>
      <c r="S2017" s="86" t="b">
        <f t="shared" si="66"/>
        <v>0</v>
      </c>
      <c r="T2017" t="b">
        <f t="shared" si="67"/>
        <v>0</v>
      </c>
      <c r="U2017" s="154">
        <f>IFERROR(IF(R2017&lt;&gt;FALSE,IF(S2017=TRUE,INDEX('SummaryNOT_VALIDATED-BL'!$A$1:$F$16,MATCH(R2017,'SummaryNOT_VALIDATED-BL'!$A$1:$A$16,0),6),0),IF(S2017=TRUE,INDEX('SummaryNOT_VALIDATED-BL'!$A$1:$F$16,MATCH(E2017,'SummaryNOT_VALIDATED-BL'!$A$1:$A$16,0),6),0)),0)</f>
        <v>0</v>
      </c>
      <c r="V2017" s="81" cm="1">
        <f t="array" ref="V2017">INDEX('Weight tables'!$A$24:$C$27,MATCH(1,(RendicontiTrasmessiBL__2[[#This Row],[Cut percentage on real costs + USC]]&gt;='Weight tables'!$B$24:$B$27)*(RendicontiTrasmessiBL__2[[#This Row],[Cut percentage on real costs + USC]]&lt;='Weight tables'!$C$24:$C$27),0),1)</f>
        <v>0</v>
      </c>
      <c r="W2017" s="2">
        <f>RendicontiTrasmessiBL__2[[#This Row],[Weight real costs  + USC ]]</f>
        <v>0</v>
      </c>
    </row>
    <row r="2018" spans="1:23" x14ac:dyDescent="0.25">
      <c r="A2018" t="s">
        <v>317</v>
      </c>
      <c r="B2018" s="1" t="s">
        <v>322</v>
      </c>
      <c r="C2018" s="2">
        <v>285</v>
      </c>
      <c r="D2018" s="2">
        <v>362</v>
      </c>
      <c r="E2018" s="1" t="s">
        <v>228</v>
      </c>
      <c r="J2018" s="199">
        <v>11522</v>
      </c>
      <c r="Q2018" t="str">
        <f>INDEX('Partner data'!A:DH,MATCH(C2018,'Partner data'!DG:DG,0),83)</f>
        <v xml:space="preserve">Organismo di diritto pubblico </v>
      </c>
      <c r="R2018" t="str">
        <f>IF(E2018="staff",IF(INDEX('Partner data'!A:DH,MATCH(C2018,'Partner data'!DG:DG,0),112)="BL1 non presente","FALSO",INDEX('Partner data'!A:DH,MATCH(C2018,'Partner data'!DG:DG,0),112)))</f>
        <v>Costo Unitario Standard</v>
      </c>
      <c r="S2018" s="86" t="b">
        <f t="shared" si="66"/>
        <v>1</v>
      </c>
      <c r="T2018" t="b">
        <f t="shared" si="67"/>
        <v>1</v>
      </c>
      <c r="U2018" s="154">
        <f>IFERROR(IF(R2018&lt;&gt;FALSE,IF(S2018=TRUE,INDEX('SummaryNOT_VALIDATED-BL'!$A$1:$F$16,MATCH(R2018,'SummaryNOT_VALIDATED-BL'!$A$1:$A$16,0),6),0),IF(S2018=TRUE,INDEX('SummaryNOT_VALIDATED-BL'!$A$1:$F$16,MATCH(E2018,'SummaryNOT_VALIDATED-BL'!$A$1:$A$16,0),6),0)),0)</f>
        <v>3.2052879635441428E-2</v>
      </c>
      <c r="V2018" s="81" cm="1">
        <f t="array" ref="V2018">INDEX('Weight tables'!$A$24:$C$27,MATCH(1,(RendicontiTrasmessiBL__2[[#This Row],[Cut percentage on real costs + USC]]&gt;='Weight tables'!$B$24:$B$27)*(RendicontiTrasmessiBL__2[[#This Row],[Cut percentage on real costs + USC]]&lt;='Weight tables'!$C$24:$C$27),0),1)</f>
        <v>2</v>
      </c>
      <c r="W2018" s="2">
        <f>RendicontiTrasmessiBL__2[[#This Row],[Weight real costs  + USC ]]</f>
        <v>2</v>
      </c>
    </row>
    <row r="2019" spans="1:23" x14ac:dyDescent="0.25">
      <c r="A2019" t="s">
        <v>317</v>
      </c>
      <c r="B2019" s="1" t="s">
        <v>322</v>
      </c>
      <c r="C2019" s="2">
        <v>285</v>
      </c>
      <c r="D2019" s="2">
        <v>362</v>
      </c>
      <c r="E2019" s="1" t="s">
        <v>229</v>
      </c>
      <c r="J2019">
        <f>J2018*0.15</f>
        <v>1728.3</v>
      </c>
      <c r="Q2019" t="str">
        <f>INDEX('Partner data'!A:DH,MATCH(C2019,'Partner data'!DG:DG,0),83)</f>
        <v xml:space="preserve">Organismo di diritto pubblico </v>
      </c>
      <c r="R2019" t="b">
        <f>IF(E2019="staff",IF(INDEX('Partner data'!A:DH,MATCH(C2019,'Partner data'!DG:DG,0),112)="BL1 non presente","FALSO",INDEX('Partner data'!A:DH,MATCH(C2019,'Partner data'!DG:DG,0),112)))</f>
        <v>0</v>
      </c>
      <c r="S2019" s="86" t="b">
        <f t="shared" si="66"/>
        <v>1</v>
      </c>
      <c r="T2019" t="b">
        <f t="shared" si="67"/>
        <v>1</v>
      </c>
      <c r="U2019" s="154">
        <f>IFERROR(IF(R2019&lt;&gt;FALSE,IF(S2019=TRUE,INDEX('SummaryNOT_VALIDATED-BL'!$A$1:$F$16,MATCH(R2019,'SummaryNOT_VALIDATED-BL'!$A$1:$A$16,0),6),0),IF(S2019=TRUE,INDEX('SummaryNOT_VALIDATED-BL'!$A$1:$F$16,MATCH(E2019,'SummaryNOT_VALIDATED-BL'!$A$1:$A$16,0),6),0)),0)</f>
        <v>6.6460469504890221E-2</v>
      </c>
      <c r="V2019" s="81" cm="1">
        <f t="array" ref="V2019">INDEX('Weight tables'!$A$24:$C$27,MATCH(1,(RendicontiTrasmessiBL__2[[#This Row],[Cut percentage on real costs + USC]]&gt;='Weight tables'!$B$24:$B$27)*(RendicontiTrasmessiBL__2[[#This Row],[Cut percentage on real costs + USC]]&lt;='Weight tables'!$C$24:$C$27),0),1)</f>
        <v>4</v>
      </c>
      <c r="W2019" s="2">
        <f>RendicontiTrasmessiBL__2[[#This Row],[Weight real costs  + USC ]]</f>
        <v>4</v>
      </c>
    </row>
    <row r="2020" spans="1:23" x14ac:dyDescent="0.25">
      <c r="A2020" t="s">
        <v>317</v>
      </c>
      <c r="B2020" s="1" t="s">
        <v>322</v>
      </c>
      <c r="C2020" s="2">
        <v>285</v>
      </c>
      <c r="D2020" s="2">
        <v>362</v>
      </c>
      <c r="E2020" s="1" t="s">
        <v>230</v>
      </c>
      <c r="J2020">
        <f>J2018*0.04</f>
        <v>460.88</v>
      </c>
      <c r="Q2020" t="str">
        <f>INDEX('Partner data'!A:DH,MATCH(C2020,'Partner data'!DG:DG,0),83)</f>
        <v xml:space="preserve">Organismo di diritto pubblico </v>
      </c>
      <c r="R2020" t="b">
        <f>IF(E2020="staff",IF(INDEX('Partner data'!A:DH,MATCH(C2020,'Partner data'!DG:DG,0),112)="BL1 non presente","FALSO",INDEX('Partner data'!A:DH,MATCH(C2020,'Partner data'!DG:DG,0),112)))</f>
        <v>0</v>
      </c>
      <c r="S2020" s="86" t="b">
        <f t="shared" si="66"/>
        <v>1</v>
      </c>
      <c r="T2020" t="b">
        <f t="shared" si="67"/>
        <v>1</v>
      </c>
      <c r="U2020" s="154">
        <f>IFERROR(IF(R2020&lt;&gt;FALSE,IF(S2020=TRUE,INDEX('SummaryNOT_VALIDATED-BL'!$A$1:$F$16,MATCH(R2020,'SummaryNOT_VALIDATED-BL'!$A$1:$A$16,0),6),0),IF(S2020=TRUE,INDEX('SummaryNOT_VALIDATED-BL'!$A$1:$F$16,MATCH(E2020,'SummaryNOT_VALIDATED-BL'!$A$1:$A$16,0),6),0)),0)</f>
        <v>6.3112622236488891E-2</v>
      </c>
      <c r="V2020" s="81" cm="1">
        <f t="array" ref="V2020">INDEX('Weight tables'!$A$24:$C$27,MATCH(1,(RendicontiTrasmessiBL__2[[#This Row],[Cut percentage on real costs + USC]]&gt;='Weight tables'!$B$24:$B$27)*(RendicontiTrasmessiBL__2[[#This Row],[Cut percentage on real costs + USC]]&lt;='Weight tables'!$C$24:$C$27),0),1)</f>
        <v>4</v>
      </c>
      <c r="W2020" s="2">
        <f>RendicontiTrasmessiBL__2[[#This Row],[Weight real costs  + USC ]]</f>
        <v>4</v>
      </c>
    </row>
    <row r="2021" spans="1:23" x14ac:dyDescent="0.25">
      <c r="A2021" t="s">
        <v>317</v>
      </c>
      <c r="B2021" s="1" t="s">
        <v>322</v>
      </c>
      <c r="C2021" s="2">
        <v>285</v>
      </c>
      <c r="D2021" s="2">
        <v>362</v>
      </c>
      <c r="E2021" s="1" t="s">
        <v>231</v>
      </c>
      <c r="J2021">
        <v>0</v>
      </c>
      <c r="Q2021" t="str">
        <f>INDEX('Partner data'!A:DH,MATCH(C2021,'Partner data'!DG:DG,0),83)</f>
        <v xml:space="preserve">Organismo di diritto pubblico </v>
      </c>
      <c r="R2021" t="b">
        <f>IF(E2021="staff",IF(INDEX('Partner data'!A:DH,MATCH(C2021,'Partner data'!DG:DG,0),112)="BL1 non presente","FALSO",INDEX('Partner data'!A:DH,MATCH(C2021,'Partner data'!DG:DG,0),112)))</f>
        <v>0</v>
      </c>
      <c r="S2021" s="86" t="b">
        <f t="shared" si="66"/>
        <v>0</v>
      </c>
      <c r="T2021" t="b">
        <f t="shared" si="67"/>
        <v>1</v>
      </c>
      <c r="U2021" s="154">
        <f>IFERROR(IF(R2021&lt;&gt;FALSE,IF(S2021=TRUE,INDEX('SummaryNOT_VALIDATED-BL'!$A$1:$F$16,MATCH(R2021,'SummaryNOT_VALIDATED-BL'!$A$1:$A$16,0),6),0),IF(S2021=TRUE,INDEX('SummaryNOT_VALIDATED-BL'!$A$1:$F$16,MATCH(E2021,'SummaryNOT_VALIDATED-BL'!$A$1:$A$16,0),6),0)),0)</f>
        <v>0</v>
      </c>
      <c r="V2021" s="81" cm="1">
        <f t="array" ref="V2021">INDEX('Weight tables'!$A$24:$C$27,MATCH(1,(RendicontiTrasmessiBL__2[[#This Row],[Cut percentage on real costs + USC]]&gt;='Weight tables'!$B$24:$B$27)*(RendicontiTrasmessiBL__2[[#This Row],[Cut percentage on real costs + USC]]&lt;='Weight tables'!$C$24:$C$27),0),1)</f>
        <v>0</v>
      </c>
      <c r="W2021" s="2">
        <f>RendicontiTrasmessiBL__2[[#This Row],[Weight real costs  + USC ]]</f>
        <v>0</v>
      </c>
    </row>
    <row r="2022" spans="1:23" x14ac:dyDescent="0.25">
      <c r="A2022" t="s">
        <v>317</v>
      </c>
      <c r="B2022" s="1" t="s">
        <v>322</v>
      </c>
      <c r="C2022" s="2">
        <v>285</v>
      </c>
      <c r="D2022" s="2">
        <v>362</v>
      </c>
      <c r="E2022" s="1" t="s">
        <v>232</v>
      </c>
      <c r="J2022">
        <v>0</v>
      </c>
      <c r="Q2022" t="str">
        <f>INDEX('Partner data'!A:DH,MATCH(C2022,'Partner data'!DG:DG,0),83)</f>
        <v xml:space="preserve">Organismo di diritto pubblico </v>
      </c>
      <c r="R2022" t="b">
        <f>IF(E2022="staff",IF(INDEX('Partner data'!A:DH,MATCH(C2022,'Partner data'!DG:DG,0),112)="BL1 non presente","FALSO",INDEX('Partner data'!A:DH,MATCH(C2022,'Partner data'!DG:DG,0),112)))</f>
        <v>0</v>
      </c>
      <c r="S2022" s="86" t="b">
        <f t="shared" si="66"/>
        <v>0</v>
      </c>
      <c r="T2022" t="b">
        <f t="shared" si="67"/>
        <v>1</v>
      </c>
      <c r="U2022" s="154">
        <f>IFERROR(IF(R2022&lt;&gt;FALSE,IF(S2022=TRUE,INDEX('SummaryNOT_VALIDATED-BL'!$A$1:$F$16,MATCH(R2022,'SummaryNOT_VALIDATED-BL'!$A$1:$A$16,0),6),0),IF(S2022=TRUE,INDEX('SummaryNOT_VALIDATED-BL'!$A$1:$F$16,MATCH(E2022,'SummaryNOT_VALIDATED-BL'!$A$1:$A$16,0),6),0)),0)</f>
        <v>0</v>
      </c>
      <c r="V2022" s="81" cm="1">
        <f t="array" ref="V2022">INDEX('Weight tables'!$A$24:$C$27,MATCH(1,(RendicontiTrasmessiBL__2[[#This Row],[Cut percentage on real costs + USC]]&gt;='Weight tables'!$B$24:$B$27)*(RendicontiTrasmessiBL__2[[#This Row],[Cut percentage on real costs + USC]]&lt;='Weight tables'!$C$24:$C$27),0),1)</f>
        <v>0</v>
      </c>
      <c r="W2022" s="2">
        <f>RendicontiTrasmessiBL__2[[#This Row],[Weight real costs  + USC ]]</f>
        <v>0</v>
      </c>
    </row>
    <row r="2023" spans="1:23" x14ac:dyDescent="0.25">
      <c r="A2023" t="s">
        <v>317</v>
      </c>
      <c r="B2023" s="1" t="s">
        <v>322</v>
      </c>
      <c r="C2023" s="2">
        <v>285</v>
      </c>
      <c r="D2023" s="2">
        <v>362</v>
      </c>
      <c r="E2023" s="1" t="s">
        <v>233</v>
      </c>
      <c r="J2023">
        <v>0</v>
      </c>
      <c r="Q2023" t="str">
        <f>INDEX('Partner data'!A:DH,MATCH(C2023,'Partner data'!DG:DG,0),83)</f>
        <v xml:space="preserve">Organismo di diritto pubblico </v>
      </c>
      <c r="R2023" t="b">
        <f>IF(E2023="staff",IF(INDEX('Partner data'!A:DH,MATCH(C2023,'Partner data'!DG:DG,0),112)="BL1 non presente","FALSO",INDEX('Partner data'!A:DH,MATCH(C2023,'Partner data'!DG:DG,0),112)))</f>
        <v>0</v>
      </c>
      <c r="S2023" s="86" t="b">
        <f t="shared" si="66"/>
        <v>0</v>
      </c>
      <c r="T2023" t="b">
        <f t="shared" si="67"/>
        <v>1</v>
      </c>
      <c r="U2023" s="154">
        <f>IFERROR(IF(R2023&lt;&gt;FALSE,IF(S2023=TRUE,INDEX('SummaryNOT_VALIDATED-BL'!$A$1:$F$16,MATCH(R2023,'SummaryNOT_VALIDATED-BL'!$A$1:$A$16,0),6),0),IF(S2023=TRUE,INDEX('SummaryNOT_VALIDATED-BL'!$A$1:$F$16,MATCH(E2023,'SummaryNOT_VALIDATED-BL'!$A$1:$A$16,0),6),0)),0)</f>
        <v>0</v>
      </c>
      <c r="V2023" s="81" cm="1">
        <f t="array" ref="V2023">INDEX('Weight tables'!$A$24:$C$27,MATCH(1,(RendicontiTrasmessiBL__2[[#This Row],[Cut percentage on real costs + USC]]&gt;='Weight tables'!$B$24:$B$27)*(RendicontiTrasmessiBL__2[[#This Row],[Cut percentage on real costs + USC]]&lt;='Weight tables'!$C$24:$C$27),0),1)</f>
        <v>0</v>
      </c>
      <c r="W2023" s="2">
        <f>RendicontiTrasmessiBL__2[[#This Row],[Weight real costs  + USC ]]</f>
        <v>0</v>
      </c>
    </row>
    <row r="2024" spans="1:23" x14ac:dyDescent="0.25">
      <c r="A2024" t="s">
        <v>317</v>
      </c>
      <c r="B2024" s="1" t="s">
        <v>322</v>
      </c>
      <c r="C2024" s="2">
        <v>285</v>
      </c>
      <c r="D2024" s="2">
        <v>362</v>
      </c>
      <c r="E2024" s="1" t="s">
        <v>234</v>
      </c>
      <c r="J2024">
        <v>0</v>
      </c>
      <c r="Q2024" t="str">
        <f>INDEX('Partner data'!A:DH,MATCH(C2024,'Partner data'!DG:DG,0),83)</f>
        <v xml:space="preserve">Organismo di diritto pubblico </v>
      </c>
      <c r="R2024" t="b">
        <f>IF(E2024="staff",IF(INDEX('Partner data'!A:DH,MATCH(C2024,'Partner data'!DG:DG,0),112)="BL1 non presente","FALSO",INDEX('Partner data'!A:DH,MATCH(C2024,'Partner data'!DG:DG,0),112)))</f>
        <v>0</v>
      </c>
      <c r="S2024" s="86" t="b">
        <f t="shared" si="66"/>
        <v>0</v>
      </c>
      <c r="T2024" t="b">
        <f t="shared" si="67"/>
        <v>1</v>
      </c>
      <c r="U2024" s="154">
        <f>IFERROR(IF(R2024&lt;&gt;FALSE,IF(S2024=TRUE,INDEX('SummaryNOT_VALIDATED-BL'!$A$1:$F$16,MATCH(R2024,'SummaryNOT_VALIDATED-BL'!$A$1:$A$16,0),6),0),IF(S2024=TRUE,INDEX('SummaryNOT_VALIDATED-BL'!$A$1:$F$16,MATCH(E2024,'SummaryNOT_VALIDATED-BL'!$A$1:$A$16,0),6),0)),0)</f>
        <v>0</v>
      </c>
      <c r="V2024" s="81" cm="1">
        <f t="array" ref="V2024">INDEX('Weight tables'!$A$24:$C$27,MATCH(1,(RendicontiTrasmessiBL__2[[#This Row],[Cut percentage on real costs + USC]]&gt;='Weight tables'!$B$24:$B$27)*(RendicontiTrasmessiBL__2[[#This Row],[Cut percentage on real costs + USC]]&lt;='Weight tables'!$C$24:$C$27),0),1)</f>
        <v>0</v>
      </c>
      <c r="W2024" s="2">
        <f>RendicontiTrasmessiBL__2[[#This Row],[Weight real costs  + USC ]]</f>
        <v>0</v>
      </c>
    </row>
    <row r="2025" spans="1:23" x14ac:dyDescent="0.25">
      <c r="A2025" t="s">
        <v>317</v>
      </c>
      <c r="B2025" s="1" t="s">
        <v>322</v>
      </c>
      <c r="C2025" s="2">
        <v>285</v>
      </c>
      <c r="D2025" s="2">
        <v>362</v>
      </c>
      <c r="E2025" s="1" t="s">
        <v>235</v>
      </c>
      <c r="J2025">
        <v>0</v>
      </c>
      <c r="Q2025" t="str">
        <f>INDEX('Partner data'!A:DH,MATCH(C2025,'Partner data'!DG:DG,0),83)</f>
        <v xml:space="preserve">Organismo di diritto pubblico </v>
      </c>
      <c r="R2025" t="b">
        <f>IF(E2025="staff",IF(INDEX('Partner data'!A:DH,MATCH(C2025,'Partner data'!DG:DG,0),112)="BL1 non presente","FALSO",INDEX('Partner data'!A:DH,MATCH(C2025,'Partner data'!DG:DG,0),112)))</f>
        <v>0</v>
      </c>
      <c r="S2025" s="86" t="b">
        <f t="shared" si="66"/>
        <v>0</v>
      </c>
      <c r="T2025" t="b">
        <f t="shared" si="67"/>
        <v>1</v>
      </c>
      <c r="U2025" s="154">
        <f>IFERROR(IF(R2025&lt;&gt;FALSE,IF(S2025=TRUE,INDEX('SummaryNOT_VALIDATED-BL'!$A$1:$F$16,MATCH(R2025,'SummaryNOT_VALIDATED-BL'!$A$1:$A$16,0),6),0),IF(S2025=TRUE,INDEX('SummaryNOT_VALIDATED-BL'!$A$1:$F$16,MATCH(E2025,'SummaryNOT_VALIDATED-BL'!$A$1:$A$16,0),6),0)),0)</f>
        <v>0</v>
      </c>
      <c r="V2025" s="81" cm="1">
        <f t="array" ref="V2025">INDEX('Weight tables'!$A$24:$C$27,MATCH(1,(RendicontiTrasmessiBL__2[[#This Row],[Cut percentage on real costs + USC]]&gt;='Weight tables'!$B$24:$B$27)*(RendicontiTrasmessiBL__2[[#This Row],[Cut percentage on real costs + USC]]&lt;='Weight tables'!$C$24:$C$27),0),1)</f>
        <v>0</v>
      </c>
      <c r="W2025" s="2">
        <f>RendicontiTrasmessiBL__2[[#This Row],[Weight real costs  + USC ]]</f>
        <v>0</v>
      </c>
    </row>
    <row r="2026" spans="1:23" x14ac:dyDescent="0.25">
      <c r="A2026" t="s">
        <v>317</v>
      </c>
      <c r="B2026" s="1" t="s">
        <v>322</v>
      </c>
      <c r="C2026" s="2">
        <v>285</v>
      </c>
      <c r="D2026" s="2">
        <v>362</v>
      </c>
      <c r="E2026" s="1" t="s">
        <v>236</v>
      </c>
      <c r="J2026">
        <v>0</v>
      </c>
      <c r="Q2026" t="str">
        <f>INDEX('Partner data'!A:DH,MATCH(C2026,'Partner data'!DG:DG,0),83)</f>
        <v xml:space="preserve">Organismo di diritto pubblico </v>
      </c>
      <c r="R2026" t="b">
        <f>IF(E2026="staff",IF(INDEX('Partner data'!A:DH,MATCH(C2026,'Partner data'!DG:DG,0),112)="BL1 non presente","FALSO",INDEX('Partner data'!A:DH,MATCH(C2026,'Partner data'!DG:DG,0),112)))</f>
        <v>0</v>
      </c>
      <c r="S2026" s="86" t="b">
        <f t="shared" si="66"/>
        <v>0</v>
      </c>
      <c r="T2026" t="b">
        <f t="shared" si="67"/>
        <v>1</v>
      </c>
      <c r="U2026" s="154">
        <f>IFERROR(IF(R2026&lt;&gt;FALSE,IF(S2026=TRUE,INDEX('SummaryNOT_VALIDATED-BL'!$A$1:$F$16,MATCH(R2026,'SummaryNOT_VALIDATED-BL'!$A$1:$A$16,0),6),0),IF(S2026=TRUE,INDEX('SummaryNOT_VALIDATED-BL'!$A$1:$F$16,MATCH(E2026,'SummaryNOT_VALIDATED-BL'!$A$1:$A$16,0),6),0)),0)</f>
        <v>0</v>
      </c>
      <c r="V2026" s="81" cm="1">
        <f t="array" ref="V2026">INDEX('Weight tables'!$A$24:$C$27,MATCH(1,(RendicontiTrasmessiBL__2[[#This Row],[Cut percentage on real costs + USC]]&gt;='Weight tables'!$B$24:$B$27)*(RendicontiTrasmessiBL__2[[#This Row],[Cut percentage on real costs + USC]]&lt;='Weight tables'!$C$24:$C$27),0),1)</f>
        <v>0</v>
      </c>
      <c r="W2026" s="2">
        <f>RendicontiTrasmessiBL__2[[#This Row],[Weight real costs  + USC ]]</f>
        <v>0</v>
      </c>
    </row>
    <row r="2027" spans="1:23" x14ac:dyDescent="0.25">
      <c r="A2027" s="1" t="s">
        <v>3305</v>
      </c>
      <c r="B2027" s="1" t="s">
        <v>3307</v>
      </c>
      <c r="C2027" s="2">
        <v>385</v>
      </c>
      <c r="D2027" s="2">
        <v>363</v>
      </c>
      <c r="E2027" s="1" t="s">
        <v>228</v>
      </c>
      <c r="J2027">
        <f>J2030*0.2</f>
        <v>1400</v>
      </c>
      <c r="Q2027" t="str">
        <f>INDEX('Partner data'!A:DH,MATCH(C2027,'Partner data'!DG:DG,0),83)</f>
        <v>Soggetto privato</v>
      </c>
      <c r="R2027" t="str">
        <f>IF(E2027="staff",IF(INDEX('Partner data'!A:DH,MATCH(C2027,'Partner data'!DG:DG,0),112)="BL1 non presente","FALSO",INDEX('Partner data'!A:DH,MATCH(C2027,'Partner data'!DG:DG,0),112)))</f>
        <v>Tasso Forfettario 20%</v>
      </c>
      <c r="S2027" s="86" t="b">
        <f t="shared" si="66"/>
        <v>1</v>
      </c>
      <c r="T2027" t="b">
        <f t="shared" si="67"/>
        <v>0</v>
      </c>
      <c r="U2027" s="154">
        <f>IFERROR(IF(R2027&lt;&gt;FALSE,IF(S2027=TRUE,INDEX('SummaryNOT_VALIDATED-BL'!$A$1:$F$16,MATCH(R2027,'SummaryNOT_VALIDATED-BL'!$A$1:$A$16,0),6),0),IF(S2027=TRUE,INDEX('SummaryNOT_VALIDATED-BL'!$A$1:$F$16,MATCH(E2027,'SummaryNOT_VALIDATED-BL'!$A$1:$A$16,0),6),0)),0)</f>
        <v>1.2653355650533233E-2</v>
      </c>
      <c r="V2027" s="81" cm="1">
        <f t="array" ref="V2027">INDEX('Weight tables'!$A$24:$C$27,MATCH(1,(RendicontiTrasmessiBL__2[[#This Row],[Cut percentage on real costs + USC]]&gt;='Weight tables'!$B$24:$B$27)*(RendicontiTrasmessiBL__2[[#This Row],[Cut percentage on real costs + USC]]&lt;='Weight tables'!$C$24:$C$27),0),1)</f>
        <v>0</v>
      </c>
      <c r="W2027" s="2">
        <f>RendicontiTrasmessiBL__2[[#This Row],[Weight real costs  + USC ]]</f>
        <v>0</v>
      </c>
    </row>
    <row r="2028" spans="1:23" x14ac:dyDescent="0.25">
      <c r="A2028" s="204" t="s">
        <v>3305</v>
      </c>
      <c r="B2028" s="204" t="s">
        <v>3307</v>
      </c>
      <c r="C2028" s="2">
        <v>385</v>
      </c>
      <c r="D2028" s="2">
        <v>363</v>
      </c>
      <c r="E2028" s="1" t="s">
        <v>229</v>
      </c>
      <c r="J2028">
        <f>J2027*0.15</f>
        <v>210</v>
      </c>
      <c r="Q2028" t="str">
        <f>INDEX('Partner data'!A:DH,MATCH(C2028,'Partner data'!DG:DG,0),83)</f>
        <v>Soggetto privato</v>
      </c>
      <c r="R2028" t="b">
        <f>IF(E2028="staff",IF(INDEX('Partner data'!A:DH,MATCH(C2028,'Partner data'!DG:DG,0),112)="BL1 non presente","FALSO",INDEX('Partner data'!A:DH,MATCH(C2028,'Partner data'!DG:DG,0),112)))</f>
        <v>0</v>
      </c>
      <c r="S2028" s="86" t="b">
        <f t="shared" si="66"/>
        <v>1</v>
      </c>
      <c r="T2028" t="b">
        <f t="shared" si="67"/>
        <v>0</v>
      </c>
      <c r="U2028" s="154">
        <f>IFERROR(IF(R2028&lt;&gt;FALSE,IF(S2028=TRUE,INDEX('SummaryNOT_VALIDATED-BL'!$A$1:$F$16,MATCH(R2028,'SummaryNOT_VALIDATED-BL'!$A$1:$A$16,0),6),0),IF(S2028=TRUE,INDEX('SummaryNOT_VALIDATED-BL'!$A$1:$F$16,MATCH(E2028,'SummaryNOT_VALIDATED-BL'!$A$1:$A$16,0),6),0)),0)</f>
        <v>6.6460469504890221E-2</v>
      </c>
      <c r="V2028" s="81" cm="1">
        <f t="array" ref="V2028">INDEX('Weight tables'!$A$24:$C$27,MATCH(1,(RendicontiTrasmessiBL__2[[#This Row],[Cut percentage on real costs + USC]]&gt;='Weight tables'!$B$24:$B$27)*(RendicontiTrasmessiBL__2[[#This Row],[Cut percentage on real costs + USC]]&lt;='Weight tables'!$C$24:$C$27),0),1)</f>
        <v>4</v>
      </c>
      <c r="W2028" s="2">
        <f>RendicontiTrasmessiBL__2[[#This Row],[Weight real costs  + USC ]]</f>
        <v>4</v>
      </c>
    </row>
    <row r="2029" spans="1:23" x14ac:dyDescent="0.25">
      <c r="A2029" s="204" t="s">
        <v>3305</v>
      </c>
      <c r="B2029" s="204" t="s">
        <v>3307</v>
      </c>
      <c r="C2029" s="2">
        <v>385</v>
      </c>
      <c r="D2029" s="2">
        <v>363</v>
      </c>
      <c r="E2029" s="1" t="s">
        <v>230</v>
      </c>
      <c r="J2029">
        <f>J2027*0.04</f>
        <v>56</v>
      </c>
      <c r="Q2029" t="str">
        <f>INDEX('Partner data'!A:DH,MATCH(C2029,'Partner data'!DG:DG,0),83)</f>
        <v>Soggetto privato</v>
      </c>
      <c r="R2029" t="b">
        <f>IF(E2029="staff",IF(INDEX('Partner data'!A:DH,MATCH(C2029,'Partner data'!DG:DG,0),112)="BL1 non presente","FALSO",INDEX('Partner data'!A:DH,MATCH(C2029,'Partner data'!DG:DG,0),112)))</f>
        <v>0</v>
      </c>
      <c r="S2029" s="86" t="b">
        <f t="shared" si="66"/>
        <v>1</v>
      </c>
      <c r="T2029" t="b">
        <f t="shared" si="67"/>
        <v>0</v>
      </c>
      <c r="U2029" s="154">
        <f>IFERROR(IF(R2029&lt;&gt;FALSE,IF(S2029=TRUE,INDEX('SummaryNOT_VALIDATED-BL'!$A$1:$F$16,MATCH(R2029,'SummaryNOT_VALIDATED-BL'!$A$1:$A$16,0),6),0),IF(S2029=TRUE,INDEX('SummaryNOT_VALIDATED-BL'!$A$1:$F$16,MATCH(E2029,'SummaryNOT_VALIDATED-BL'!$A$1:$A$16,0),6),0)),0)</f>
        <v>6.3112622236488891E-2</v>
      </c>
      <c r="V2029" s="81" cm="1">
        <f t="array" ref="V2029">INDEX('Weight tables'!$A$24:$C$27,MATCH(1,(RendicontiTrasmessiBL__2[[#This Row],[Cut percentage on real costs + USC]]&gt;='Weight tables'!$B$24:$B$27)*(RendicontiTrasmessiBL__2[[#This Row],[Cut percentage on real costs + USC]]&lt;='Weight tables'!$C$24:$C$27),0),1)</f>
        <v>4</v>
      </c>
      <c r="W2029" s="2">
        <f>RendicontiTrasmessiBL__2[[#This Row],[Weight real costs  + USC ]]</f>
        <v>4</v>
      </c>
    </row>
    <row r="2030" spans="1:23" x14ac:dyDescent="0.25">
      <c r="A2030" s="204" t="s">
        <v>3305</v>
      </c>
      <c r="B2030" s="204" t="s">
        <v>3307</v>
      </c>
      <c r="C2030" s="2">
        <v>385</v>
      </c>
      <c r="D2030" s="2">
        <v>363</v>
      </c>
      <c r="E2030" s="1" t="s">
        <v>231</v>
      </c>
      <c r="J2030" s="200">
        <v>7000</v>
      </c>
      <c r="Q2030" t="str">
        <f>INDEX('Partner data'!A:DH,MATCH(C2030,'Partner data'!DG:DG,0),83)</f>
        <v>Soggetto privato</v>
      </c>
      <c r="R2030" t="b">
        <f>IF(E2030="staff",IF(INDEX('Partner data'!A:DH,MATCH(C2030,'Partner data'!DG:DG,0),112)="BL1 non presente","FALSO",INDEX('Partner data'!A:DH,MATCH(C2030,'Partner data'!DG:DG,0),112)))</f>
        <v>0</v>
      </c>
      <c r="S2030" s="86" t="b">
        <f t="shared" si="66"/>
        <v>1</v>
      </c>
      <c r="T2030" t="b">
        <f t="shared" si="67"/>
        <v>0</v>
      </c>
      <c r="U2030" s="154">
        <f>IFERROR(IF(R2030&lt;&gt;FALSE,IF(S2030=TRUE,INDEX('SummaryNOT_VALIDATED-BL'!$A$1:$F$16,MATCH(R2030,'SummaryNOT_VALIDATED-BL'!$A$1:$A$16,0),6),0),IF(S2030=TRUE,INDEX('SummaryNOT_VALIDATED-BL'!$A$1:$F$16,MATCH(E2030,'SummaryNOT_VALIDATED-BL'!$A$1:$A$16,0),6),0)),0)</f>
        <v>5.577594442215475E-2</v>
      </c>
      <c r="V2030" s="81" cm="1">
        <f t="array" ref="V2030">INDEX('Weight tables'!$A$24:$C$27,MATCH(1,(RendicontiTrasmessiBL__2[[#This Row],[Cut percentage on real costs + USC]]&gt;='Weight tables'!$B$24:$B$27)*(RendicontiTrasmessiBL__2[[#This Row],[Cut percentage on real costs + USC]]&lt;='Weight tables'!$C$24:$C$27),0),1)</f>
        <v>4</v>
      </c>
      <c r="W2030" s="2">
        <f>RendicontiTrasmessiBL__2[[#This Row],[Weight real costs  + USC ]]</f>
        <v>4</v>
      </c>
    </row>
    <row r="2031" spans="1:23" x14ac:dyDescent="0.25">
      <c r="A2031" s="204" t="s">
        <v>3305</v>
      </c>
      <c r="B2031" s="204" t="s">
        <v>3307</v>
      </c>
      <c r="C2031" s="2">
        <v>385</v>
      </c>
      <c r="D2031" s="2">
        <v>363</v>
      </c>
      <c r="E2031" s="1" t="s">
        <v>232</v>
      </c>
      <c r="J2031">
        <v>0</v>
      </c>
      <c r="Q2031" t="str">
        <f>INDEX('Partner data'!A:DH,MATCH(C2031,'Partner data'!DG:DG,0),83)</f>
        <v>Soggetto privato</v>
      </c>
      <c r="R2031" t="b">
        <f>IF(E2031="staff",IF(INDEX('Partner data'!A:DH,MATCH(C2031,'Partner data'!DG:DG,0),112)="BL1 non presente","FALSO",INDEX('Partner data'!A:DH,MATCH(C2031,'Partner data'!DG:DG,0),112)))</f>
        <v>0</v>
      </c>
      <c r="S2031" s="86" t="b">
        <f t="shared" si="66"/>
        <v>0</v>
      </c>
      <c r="T2031" t="b">
        <f t="shared" si="67"/>
        <v>0</v>
      </c>
      <c r="U2031" s="154">
        <f>IFERROR(IF(R2031&lt;&gt;FALSE,IF(S2031=TRUE,INDEX('SummaryNOT_VALIDATED-BL'!$A$1:$F$16,MATCH(R2031,'SummaryNOT_VALIDATED-BL'!$A$1:$A$16,0),6),0),IF(S2031=TRUE,INDEX('SummaryNOT_VALIDATED-BL'!$A$1:$F$16,MATCH(E2031,'SummaryNOT_VALIDATED-BL'!$A$1:$A$16,0),6),0)),0)</f>
        <v>0</v>
      </c>
      <c r="V2031" s="81" cm="1">
        <f t="array" ref="V2031">INDEX('Weight tables'!$A$24:$C$27,MATCH(1,(RendicontiTrasmessiBL__2[[#This Row],[Cut percentage on real costs + USC]]&gt;='Weight tables'!$B$24:$B$27)*(RendicontiTrasmessiBL__2[[#This Row],[Cut percentage on real costs + USC]]&lt;='Weight tables'!$C$24:$C$27),0),1)</f>
        <v>0</v>
      </c>
      <c r="W2031" s="2">
        <f>RendicontiTrasmessiBL__2[[#This Row],[Weight real costs  + USC ]]</f>
        <v>0</v>
      </c>
    </row>
    <row r="2032" spans="1:23" x14ac:dyDescent="0.25">
      <c r="A2032" s="204" t="s">
        <v>3305</v>
      </c>
      <c r="B2032" s="204" t="s">
        <v>3307</v>
      </c>
      <c r="C2032" s="2">
        <v>385</v>
      </c>
      <c r="D2032" s="2">
        <v>363</v>
      </c>
      <c r="E2032" s="1" t="s">
        <v>233</v>
      </c>
      <c r="J2032">
        <v>0</v>
      </c>
      <c r="Q2032" t="str">
        <f>INDEX('Partner data'!A:DH,MATCH(C2032,'Partner data'!DG:DG,0),83)</f>
        <v>Soggetto privato</v>
      </c>
      <c r="R2032" t="b">
        <f>IF(E2032="staff",IF(INDEX('Partner data'!A:DH,MATCH(C2032,'Partner data'!DG:DG,0),112)="BL1 non presente","FALSO",INDEX('Partner data'!A:DH,MATCH(C2032,'Partner data'!DG:DG,0),112)))</f>
        <v>0</v>
      </c>
      <c r="S2032" s="86" t="b">
        <f t="shared" si="66"/>
        <v>0</v>
      </c>
      <c r="T2032" t="b">
        <f t="shared" si="67"/>
        <v>0</v>
      </c>
      <c r="U2032" s="154">
        <f>IFERROR(IF(R2032&lt;&gt;FALSE,IF(S2032=TRUE,INDEX('SummaryNOT_VALIDATED-BL'!$A$1:$F$16,MATCH(R2032,'SummaryNOT_VALIDATED-BL'!$A$1:$A$16,0),6),0),IF(S2032=TRUE,INDEX('SummaryNOT_VALIDATED-BL'!$A$1:$F$16,MATCH(E2032,'SummaryNOT_VALIDATED-BL'!$A$1:$A$16,0),6),0)),0)</f>
        <v>0</v>
      </c>
      <c r="V2032" s="81" cm="1">
        <f t="array" ref="V2032">INDEX('Weight tables'!$A$24:$C$27,MATCH(1,(RendicontiTrasmessiBL__2[[#This Row],[Cut percentage on real costs + USC]]&gt;='Weight tables'!$B$24:$B$27)*(RendicontiTrasmessiBL__2[[#This Row],[Cut percentage on real costs + USC]]&lt;='Weight tables'!$C$24:$C$27),0),1)</f>
        <v>0</v>
      </c>
      <c r="W2032" s="2">
        <f>RendicontiTrasmessiBL__2[[#This Row],[Weight real costs  + USC ]]</f>
        <v>0</v>
      </c>
    </row>
    <row r="2033" spans="1:23" x14ac:dyDescent="0.25">
      <c r="A2033" s="204" t="s">
        <v>3305</v>
      </c>
      <c r="B2033" s="204" t="s">
        <v>3307</v>
      </c>
      <c r="C2033" s="2">
        <v>385</v>
      </c>
      <c r="D2033" s="2">
        <v>363</v>
      </c>
      <c r="E2033" s="1" t="s">
        <v>234</v>
      </c>
      <c r="J2033">
        <v>0</v>
      </c>
      <c r="Q2033" t="str">
        <f>INDEX('Partner data'!A:DH,MATCH(C2033,'Partner data'!DG:DG,0),83)</f>
        <v>Soggetto privato</v>
      </c>
      <c r="R2033" t="b">
        <f>IF(E2033="staff",IF(INDEX('Partner data'!A:DH,MATCH(C2033,'Partner data'!DG:DG,0),112)="BL1 non presente","FALSO",INDEX('Partner data'!A:DH,MATCH(C2033,'Partner data'!DG:DG,0),112)))</f>
        <v>0</v>
      </c>
      <c r="S2033" s="86" t="b">
        <f t="shared" si="66"/>
        <v>0</v>
      </c>
      <c r="T2033" t="b">
        <f t="shared" si="67"/>
        <v>0</v>
      </c>
      <c r="U2033" s="154">
        <f>IFERROR(IF(R2033&lt;&gt;FALSE,IF(S2033=TRUE,INDEX('SummaryNOT_VALIDATED-BL'!$A$1:$F$16,MATCH(R2033,'SummaryNOT_VALIDATED-BL'!$A$1:$A$16,0),6),0),IF(S2033=TRUE,INDEX('SummaryNOT_VALIDATED-BL'!$A$1:$F$16,MATCH(E2033,'SummaryNOT_VALIDATED-BL'!$A$1:$A$16,0),6),0)),0)</f>
        <v>0</v>
      </c>
      <c r="V2033" s="81" cm="1">
        <f t="array" ref="V2033">INDEX('Weight tables'!$A$24:$C$27,MATCH(1,(RendicontiTrasmessiBL__2[[#This Row],[Cut percentage on real costs + USC]]&gt;='Weight tables'!$B$24:$B$27)*(RendicontiTrasmessiBL__2[[#This Row],[Cut percentage on real costs + USC]]&lt;='Weight tables'!$C$24:$C$27),0),1)</f>
        <v>0</v>
      </c>
      <c r="W2033" s="2">
        <f>RendicontiTrasmessiBL__2[[#This Row],[Weight real costs  + USC ]]</f>
        <v>0</v>
      </c>
    </row>
    <row r="2034" spans="1:23" x14ac:dyDescent="0.25">
      <c r="A2034" s="204" t="s">
        <v>3305</v>
      </c>
      <c r="B2034" s="204" t="s">
        <v>3307</v>
      </c>
      <c r="C2034" s="2">
        <v>385</v>
      </c>
      <c r="D2034" s="2">
        <v>363</v>
      </c>
      <c r="E2034" s="1" t="s">
        <v>235</v>
      </c>
      <c r="J2034">
        <v>0</v>
      </c>
      <c r="Q2034" t="str">
        <f>INDEX('Partner data'!A:DH,MATCH(C2034,'Partner data'!DG:DG,0),83)</f>
        <v>Soggetto privato</v>
      </c>
      <c r="R2034" t="b">
        <f>IF(E2034="staff",IF(INDEX('Partner data'!A:DH,MATCH(C2034,'Partner data'!DG:DG,0),112)="BL1 non presente","FALSO",INDEX('Partner data'!A:DH,MATCH(C2034,'Partner data'!DG:DG,0),112)))</f>
        <v>0</v>
      </c>
      <c r="S2034" s="86" t="b">
        <f t="shared" si="66"/>
        <v>0</v>
      </c>
      <c r="T2034" t="b">
        <f t="shared" si="67"/>
        <v>0</v>
      </c>
      <c r="U2034" s="154">
        <f>IFERROR(IF(R2034&lt;&gt;FALSE,IF(S2034=TRUE,INDEX('SummaryNOT_VALIDATED-BL'!$A$1:$F$16,MATCH(R2034,'SummaryNOT_VALIDATED-BL'!$A$1:$A$16,0),6),0),IF(S2034=TRUE,INDEX('SummaryNOT_VALIDATED-BL'!$A$1:$F$16,MATCH(E2034,'SummaryNOT_VALIDATED-BL'!$A$1:$A$16,0),6),0)),0)</f>
        <v>0</v>
      </c>
      <c r="V2034" s="81" cm="1">
        <f t="array" ref="V2034">INDEX('Weight tables'!$A$24:$C$27,MATCH(1,(RendicontiTrasmessiBL__2[[#This Row],[Cut percentage on real costs + USC]]&gt;='Weight tables'!$B$24:$B$27)*(RendicontiTrasmessiBL__2[[#This Row],[Cut percentage on real costs + USC]]&lt;='Weight tables'!$C$24:$C$27),0),1)</f>
        <v>0</v>
      </c>
      <c r="W2034" s="2">
        <f>RendicontiTrasmessiBL__2[[#This Row],[Weight real costs  + USC ]]</f>
        <v>0</v>
      </c>
    </row>
    <row r="2035" spans="1:23" x14ac:dyDescent="0.25">
      <c r="A2035" s="204" t="s">
        <v>3305</v>
      </c>
      <c r="B2035" s="204" t="s">
        <v>3307</v>
      </c>
      <c r="C2035" s="2">
        <v>385</v>
      </c>
      <c r="D2035" s="2">
        <v>363</v>
      </c>
      <c r="E2035" s="1" t="s">
        <v>236</v>
      </c>
      <c r="J2035">
        <v>0</v>
      </c>
      <c r="Q2035" t="str">
        <f>INDEX('Partner data'!A:DH,MATCH(C2035,'Partner data'!DG:DG,0),83)</f>
        <v>Soggetto privato</v>
      </c>
      <c r="R2035" t="b">
        <f>IF(E2035="staff",IF(INDEX('Partner data'!A:DH,MATCH(C2035,'Partner data'!DG:DG,0),112)="BL1 non presente","FALSO",INDEX('Partner data'!A:DH,MATCH(C2035,'Partner data'!DG:DG,0),112)))</f>
        <v>0</v>
      </c>
      <c r="S2035" s="86" t="b">
        <f t="shared" si="66"/>
        <v>0</v>
      </c>
      <c r="T2035" t="b">
        <f t="shared" si="67"/>
        <v>0</v>
      </c>
      <c r="U2035" s="154">
        <f>IFERROR(IF(R2035&lt;&gt;FALSE,IF(S2035=TRUE,INDEX('SummaryNOT_VALIDATED-BL'!$A$1:$F$16,MATCH(R2035,'SummaryNOT_VALIDATED-BL'!$A$1:$A$16,0),6),0),IF(S2035=TRUE,INDEX('SummaryNOT_VALIDATED-BL'!$A$1:$F$16,MATCH(E2035,'SummaryNOT_VALIDATED-BL'!$A$1:$A$16,0),6),0)),0)</f>
        <v>0</v>
      </c>
      <c r="V2035" s="81" cm="1">
        <f t="array" ref="V2035">INDEX('Weight tables'!$A$24:$C$27,MATCH(1,(RendicontiTrasmessiBL__2[[#This Row],[Cut percentage on real costs + USC]]&gt;='Weight tables'!$B$24:$B$27)*(RendicontiTrasmessiBL__2[[#This Row],[Cut percentage on real costs + USC]]&lt;='Weight tables'!$C$24:$C$27),0),1)</f>
        <v>0</v>
      </c>
      <c r="W2035" s="2">
        <f>RendicontiTrasmessiBL__2[[#This Row],[Weight real costs  + USC ]]</f>
        <v>0</v>
      </c>
    </row>
    <row r="2036" spans="1:23" x14ac:dyDescent="0.25">
      <c r="A2036" s="1" t="s">
        <v>3305</v>
      </c>
      <c r="B2036" s="1" t="s">
        <v>3320</v>
      </c>
      <c r="C2036" s="2">
        <v>551</v>
      </c>
      <c r="D2036" s="2">
        <v>364</v>
      </c>
      <c r="E2036" s="1" t="s">
        <v>228</v>
      </c>
      <c r="J2036">
        <v>15600</v>
      </c>
      <c r="Q2036" t="str">
        <f>INDEX('Partner data'!A:DH,MATCH(C2036,'Partner data'!DG:DG,0),83)</f>
        <v>Soggetto pubblico</v>
      </c>
      <c r="R2036" t="str">
        <f>IF(E2036="staff",IF(INDEX('Partner data'!A:DH,MATCH(C2036,'Partner data'!DG:DG,0),112)="BL1 non presente","FALSO",INDEX('Partner data'!A:DH,MATCH(C2036,'Partner data'!DG:DG,0),112)))</f>
        <v>COSTO REALE</v>
      </c>
      <c r="S2036" s="86" t="b">
        <f t="shared" si="66"/>
        <v>1</v>
      </c>
      <c r="T2036" t="b">
        <f t="shared" si="67"/>
        <v>1</v>
      </c>
      <c r="U2036" s="154">
        <f>IFERROR(IF(R2036&lt;&gt;FALSE,IF(S2036=TRUE,INDEX('SummaryNOT_VALIDATED-BL'!$A$1:$F$16,MATCH(R2036,'SummaryNOT_VALIDATED-BL'!$A$1:$A$16,0),6),0),IF(S2036=TRUE,INDEX('SummaryNOT_VALIDATED-BL'!$A$1:$F$16,MATCH(E2036,'SummaryNOT_VALIDATED-BL'!$A$1:$A$16,0),6),0)),0)</f>
        <v>9.1604133276901048E-2</v>
      </c>
      <c r="V2036" s="81" cm="1">
        <f t="array" ref="V2036">INDEX('Weight tables'!$A$24:$C$27,MATCH(1,(RendicontiTrasmessiBL__2[[#This Row],[Cut percentage on real costs + USC]]&gt;='Weight tables'!$B$24:$B$27)*(RendicontiTrasmessiBL__2[[#This Row],[Cut percentage on real costs + USC]]&lt;='Weight tables'!$C$24:$C$27),0),1)</f>
        <v>4</v>
      </c>
      <c r="W2036" s="2">
        <f>RendicontiTrasmessiBL__2[[#This Row],[Weight real costs  + USC ]]</f>
        <v>4</v>
      </c>
    </row>
    <row r="2037" spans="1:23" x14ac:dyDescent="0.25">
      <c r="A2037" s="204" t="s">
        <v>3305</v>
      </c>
      <c r="B2037" s="1" t="s">
        <v>3320</v>
      </c>
      <c r="C2037" s="2">
        <v>551</v>
      </c>
      <c r="D2037" s="2">
        <v>364</v>
      </c>
      <c r="E2037" s="1" t="s">
        <v>229</v>
      </c>
      <c r="J2037">
        <f>J2036*0.15</f>
        <v>2340</v>
      </c>
      <c r="Q2037" t="str">
        <f>INDEX('Partner data'!A:DH,MATCH(C2037,'Partner data'!DG:DG,0),83)</f>
        <v>Soggetto pubblico</v>
      </c>
      <c r="R2037" t="b">
        <f>IF(E2037="staff",IF(INDEX('Partner data'!A:DH,MATCH(C2037,'Partner data'!DG:DG,0),112)="BL1 non presente","FALSO",INDEX('Partner data'!A:DH,MATCH(C2037,'Partner data'!DG:DG,0),112)))</f>
        <v>0</v>
      </c>
      <c r="S2037" s="86" t="b">
        <f t="shared" si="66"/>
        <v>1</v>
      </c>
      <c r="T2037" t="b">
        <f t="shared" si="67"/>
        <v>1</v>
      </c>
      <c r="U2037" s="154">
        <f>IFERROR(IF(R2037&lt;&gt;FALSE,IF(S2037=TRUE,INDEX('SummaryNOT_VALIDATED-BL'!$A$1:$F$16,MATCH(R2037,'SummaryNOT_VALIDATED-BL'!$A$1:$A$16,0),6),0),IF(S2037=TRUE,INDEX('SummaryNOT_VALIDATED-BL'!$A$1:$F$16,MATCH(E2037,'SummaryNOT_VALIDATED-BL'!$A$1:$A$16,0),6),0)),0)</f>
        <v>6.6460469504890221E-2</v>
      </c>
      <c r="V2037" s="81" cm="1">
        <f t="array" ref="V2037">INDEX('Weight tables'!$A$24:$C$27,MATCH(1,(RendicontiTrasmessiBL__2[[#This Row],[Cut percentage on real costs + USC]]&gt;='Weight tables'!$B$24:$B$27)*(RendicontiTrasmessiBL__2[[#This Row],[Cut percentage on real costs + USC]]&lt;='Weight tables'!$C$24:$C$27),0),1)</f>
        <v>4</v>
      </c>
      <c r="W2037" s="2">
        <f>RendicontiTrasmessiBL__2[[#This Row],[Weight real costs  + USC ]]</f>
        <v>4</v>
      </c>
    </row>
    <row r="2038" spans="1:23" x14ac:dyDescent="0.25">
      <c r="A2038" s="204" t="s">
        <v>3305</v>
      </c>
      <c r="B2038" s="1" t="s">
        <v>3320</v>
      </c>
      <c r="C2038" s="2">
        <v>551</v>
      </c>
      <c r="D2038" s="2">
        <v>364</v>
      </c>
      <c r="E2038" s="1" t="s">
        <v>230</v>
      </c>
      <c r="J2038">
        <f>J2036*0.04</f>
        <v>624</v>
      </c>
      <c r="Q2038" t="str">
        <f>INDEX('Partner data'!A:DH,MATCH(C2038,'Partner data'!DG:DG,0),83)</f>
        <v>Soggetto pubblico</v>
      </c>
      <c r="R2038" t="b">
        <f>IF(E2038="staff",IF(INDEX('Partner data'!A:DH,MATCH(C2038,'Partner data'!DG:DG,0),112)="BL1 non presente","FALSO",INDEX('Partner data'!A:DH,MATCH(C2038,'Partner data'!DG:DG,0),112)))</f>
        <v>0</v>
      </c>
      <c r="S2038" s="86" t="b">
        <f t="shared" ref="S2038:S2071" si="68">IF(J2038&lt;&gt;0,TRUE,FALSE)</f>
        <v>1</v>
      </c>
      <c r="T2038" t="b">
        <f t="shared" ref="T2038:T2071" si="69">OR(Q2038="Soggetto pubblico",Q2038="Organismo di diritto pubblico ")</f>
        <v>1</v>
      </c>
      <c r="U2038" s="154">
        <f>IFERROR(IF(R2038&lt;&gt;FALSE,IF(S2038=TRUE,INDEX('SummaryNOT_VALIDATED-BL'!$A$1:$F$16,MATCH(R2038,'SummaryNOT_VALIDATED-BL'!$A$1:$A$16,0),6),0),IF(S2038=TRUE,INDEX('SummaryNOT_VALIDATED-BL'!$A$1:$F$16,MATCH(E2038,'SummaryNOT_VALIDATED-BL'!$A$1:$A$16,0),6),0)),0)</f>
        <v>6.3112622236488891E-2</v>
      </c>
      <c r="V2038" s="81" cm="1">
        <f t="array" ref="V2038">INDEX('Weight tables'!$A$24:$C$27,MATCH(1,(RendicontiTrasmessiBL__2[[#This Row],[Cut percentage on real costs + USC]]&gt;='Weight tables'!$B$24:$B$27)*(RendicontiTrasmessiBL__2[[#This Row],[Cut percentage on real costs + USC]]&lt;='Weight tables'!$C$24:$C$27),0),1)</f>
        <v>4</v>
      </c>
      <c r="W2038" s="2">
        <f>RendicontiTrasmessiBL__2[[#This Row],[Weight real costs  + USC ]]</f>
        <v>4</v>
      </c>
    </row>
    <row r="2039" spans="1:23" x14ac:dyDescent="0.25">
      <c r="A2039" s="204" t="s">
        <v>3305</v>
      </c>
      <c r="B2039" s="1" t="s">
        <v>3320</v>
      </c>
      <c r="C2039" s="2">
        <v>551</v>
      </c>
      <c r="D2039" s="2">
        <v>364</v>
      </c>
      <c r="E2039" s="1" t="s">
        <v>231</v>
      </c>
      <c r="J2039">
        <v>2200</v>
      </c>
      <c r="Q2039" t="str">
        <f>INDEX('Partner data'!A:DH,MATCH(C2039,'Partner data'!DG:DG,0),83)</f>
        <v>Soggetto pubblico</v>
      </c>
      <c r="R2039" t="b">
        <f>IF(E2039="staff",IF(INDEX('Partner data'!A:DH,MATCH(C2039,'Partner data'!DG:DG,0),112)="BL1 non presente","FALSO",INDEX('Partner data'!A:DH,MATCH(C2039,'Partner data'!DG:DG,0),112)))</f>
        <v>0</v>
      </c>
      <c r="S2039" s="86" t="b">
        <f t="shared" si="68"/>
        <v>1</v>
      </c>
      <c r="T2039" t="b">
        <f t="shared" si="69"/>
        <v>1</v>
      </c>
      <c r="U2039" s="154">
        <f>IFERROR(IF(R2039&lt;&gt;FALSE,IF(S2039=TRUE,INDEX('SummaryNOT_VALIDATED-BL'!$A$1:$F$16,MATCH(R2039,'SummaryNOT_VALIDATED-BL'!$A$1:$A$16,0),6),0),IF(S2039=TRUE,INDEX('SummaryNOT_VALIDATED-BL'!$A$1:$F$16,MATCH(E2039,'SummaryNOT_VALIDATED-BL'!$A$1:$A$16,0),6),0)),0)</f>
        <v>5.577594442215475E-2</v>
      </c>
      <c r="V2039" s="81" cm="1">
        <f t="array" ref="V2039">INDEX('Weight tables'!$A$24:$C$27,MATCH(1,(RendicontiTrasmessiBL__2[[#This Row],[Cut percentage on real costs + USC]]&gt;='Weight tables'!$B$24:$B$27)*(RendicontiTrasmessiBL__2[[#This Row],[Cut percentage on real costs + USC]]&lt;='Weight tables'!$C$24:$C$27),0),1)</f>
        <v>4</v>
      </c>
      <c r="W2039" s="2">
        <f>RendicontiTrasmessiBL__2[[#This Row],[Weight real costs  + USC ]]</f>
        <v>4</v>
      </c>
    </row>
    <row r="2040" spans="1:23" x14ac:dyDescent="0.25">
      <c r="A2040" s="204" t="s">
        <v>3305</v>
      </c>
      <c r="B2040" s="1" t="s">
        <v>3320</v>
      </c>
      <c r="C2040" s="2">
        <v>551</v>
      </c>
      <c r="D2040" s="2">
        <v>364</v>
      </c>
      <c r="E2040" s="1" t="s">
        <v>232</v>
      </c>
      <c r="J2040">
        <v>0</v>
      </c>
      <c r="Q2040" t="str">
        <f>INDEX('Partner data'!A:DH,MATCH(C2040,'Partner data'!DG:DG,0),83)</f>
        <v>Soggetto pubblico</v>
      </c>
      <c r="R2040" t="b">
        <f>IF(E2040="staff",IF(INDEX('Partner data'!A:DH,MATCH(C2040,'Partner data'!DG:DG,0),112)="BL1 non presente","FALSO",INDEX('Partner data'!A:DH,MATCH(C2040,'Partner data'!DG:DG,0),112)))</f>
        <v>0</v>
      </c>
      <c r="S2040" s="86" t="b">
        <f t="shared" si="68"/>
        <v>0</v>
      </c>
      <c r="T2040" t="b">
        <f t="shared" si="69"/>
        <v>1</v>
      </c>
      <c r="U2040" s="154">
        <f>IFERROR(IF(R2040&lt;&gt;FALSE,IF(S2040=TRUE,INDEX('SummaryNOT_VALIDATED-BL'!$A$1:$F$16,MATCH(R2040,'SummaryNOT_VALIDATED-BL'!$A$1:$A$16,0),6),0),IF(S2040=TRUE,INDEX('SummaryNOT_VALIDATED-BL'!$A$1:$F$16,MATCH(E2040,'SummaryNOT_VALIDATED-BL'!$A$1:$A$16,0),6),0)),0)</f>
        <v>0</v>
      </c>
      <c r="V2040" s="81" cm="1">
        <f t="array" ref="V2040">INDEX('Weight tables'!$A$24:$C$27,MATCH(1,(RendicontiTrasmessiBL__2[[#This Row],[Cut percentage on real costs + USC]]&gt;='Weight tables'!$B$24:$B$27)*(RendicontiTrasmessiBL__2[[#This Row],[Cut percentage on real costs + USC]]&lt;='Weight tables'!$C$24:$C$27),0),1)</f>
        <v>0</v>
      </c>
      <c r="W2040" s="2">
        <f>RendicontiTrasmessiBL__2[[#This Row],[Weight real costs  + USC ]]</f>
        <v>0</v>
      </c>
    </row>
    <row r="2041" spans="1:23" x14ac:dyDescent="0.25">
      <c r="A2041" s="204" t="s">
        <v>3305</v>
      </c>
      <c r="B2041" s="1" t="s">
        <v>3320</v>
      </c>
      <c r="C2041" s="2">
        <v>551</v>
      </c>
      <c r="D2041" s="2">
        <v>364</v>
      </c>
      <c r="E2041" s="1" t="s">
        <v>233</v>
      </c>
      <c r="J2041">
        <v>0</v>
      </c>
      <c r="Q2041" t="str">
        <f>INDEX('Partner data'!A:DH,MATCH(C2041,'Partner data'!DG:DG,0),83)</f>
        <v>Soggetto pubblico</v>
      </c>
      <c r="R2041" t="b">
        <f>IF(E2041="staff",IF(INDEX('Partner data'!A:DH,MATCH(C2041,'Partner data'!DG:DG,0),112)="BL1 non presente","FALSO",INDEX('Partner data'!A:DH,MATCH(C2041,'Partner data'!DG:DG,0),112)))</f>
        <v>0</v>
      </c>
      <c r="S2041" s="86" t="b">
        <f t="shared" si="68"/>
        <v>0</v>
      </c>
      <c r="T2041" t="b">
        <f t="shared" si="69"/>
        <v>1</v>
      </c>
      <c r="U2041" s="154">
        <f>IFERROR(IF(R2041&lt;&gt;FALSE,IF(S2041=TRUE,INDEX('SummaryNOT_VALIDATED-BL'!$A$1:$F$16,MATCH(R2041,'SummaryNOT_VALIDATED-BL'!$A$1:$A$16,0),6),0),IF(S2041=TRUE,INDEX('SummaryNOT_VALIDATED-BL'!$A$1:$F$16,MATCH(E2041,'SummaryNOT_VALIDATED-BL'!$A$1:$A$16,0),6),0)),0)</f>
        <v>0</v>
      </c>
      <c r="V2041" s="81" cm="1">
        <f t="array" ref="V2041">INDEX('Weight tables'!$A$24:$C$27,MATCH(1,(RendicontiTrasmessiBL__2[[#This Row],[Cut percentage on real costs + USC]]&gt;='Weight tables'!$B$24:$B$27)*(RendicontiTrasmessiBL__2[[#This Row],[Cut percentage on real costs + USC]]&lt;='Weight tables'!$C$24:$C$27),0),1)</f>
        <v>0</v>
      </c>
      <c r="W2041" s="2">
        <f>RendicontiTrasmessiBL__2[[#This Row],[Weight real costs  + USC ]]</f>
        <v>0</v>
      </c>
    </row>
    <row r="2042" spans="1:23" x14ac:dyDescent="0.25">
      <c r="A2042" s="204" t="s">
        <v>3305</v>
      </c>
      <c r="B2042" s="1" t="s">
        <v>3320</v>
      </c>
      <c r="C2042" s="2">
        <v>551</v>
      </c>
      <c r="D2042" s="2">
        <v>364</v>
      </c>
      <c r="E2042" s="1" t="s">
        <v>234</v>
      </c>
      <c r="J2042">
        <v>0</v>
      </c>
      <c r="Q2042" t="str">
        <f>INDEX('Partner data'!A:DH,MATCH(C2042,'Partner data'!DG:DG,0),83)</f>
        <v>Soggetto pubblico</v>
      </c>
      <c r="R2042" t="b">
        <f>IF(E2042="staff",IF(INDEX('Partner data'!A:DH,MATCH(C2042,'Partner data'!DG:DG,0),112)="BL1 non presente","FALSO",INDEX('Partner data'!A:DH,MATCH(C2042,'Partner data'!DG:DG,0),112)))</f>
        <v>0</v>
      </c>
      <c r="S2042" s="86" t="b">
        <f t="shared" si="68"/>
        <v>0</v>
      </c>
      <c r="T2042" t="b">
        <f t="shared" si="69"/>
        <v>1</v>
      </c>
      <c r="U2042" s="154">
        <f>IFERROR(IF(R2042&lt;&gt;FALSE,IF(S2042=TRUE,INDEX('SummaryNOT_VALIDATED-BL'!$A$1:$F$16,MATCH(R2042,'SummaryNOT_VALIDATED-BL'!$A$1:$A$16,0),6),0),IF(S2042=TRUE,INDEX('SummaryNOT_VALIDATED-BL'!$A$1:$F$16,MATCH(E2042,'SummaryNOT_VALIDATED-BL'!$A$1:$A$16,0),6),0)),0)</f>
        <v>0</v>
      </c>
      <c r="V2042" s="81" cm="1">
        <f t="array" ref="V2042">INDEX('Weight tables'!$A$24:$C$27,MATCH(1,(RendicontiTrasmessiBL__2[[#This Row],[Cut percentage on real costs + USC]]&gt;='Weight tables'!$B$24:$B$27)*(RendicontiTrasmessiBL__2[[#This Row],[Cut percentage on real costs + USC]]&lt;='Weight tables'!$C$24:$C$27),0),1)</f>
        <v>0</v>
      </c>
      <c r="W2042" s="2">
        <f>RendicontiTrasmessiBL__2[[#This Row],[Weight real costs  + USC ]]</f>
        <v>0</v>
      </c>
    </row>
    <row r="2043" spans="1:23" x14ac:dyDescent="0.25">
      <c r="A2043" s="204" t="s">
        <v>3305</v>
      </c>
      <c r="B2043" s="1" t="s">
        <v>3320</v>
      </c>
      <c r="C2043" s="2">
        <v>551</v>
      </c>
      <c r="D2043" s="2">
        <v>364</v>
      </c>
      <c r="E2043" s="1" t="s">
        <v>235</v>
      </c>
      <c r="J2043">
        <v>0</v>
      </c>
      <c r="Q2043" t="str">
        <f>INDEX('Partner data'!A:DH,MATCH(C2043,'Partner data'!DG:DG,0),83)</f>
        <v>Soggetto pubblico</v>
      </c>
      <c r="R2043" t="b">
        <f>IF(E2043="staff",IF(INDEX('Partner data'!A:DH,MATCH(C2043,'Partner data'!DG:DG,0),112)="BL1 non presente","FALSO",INDEX('Partner data'!A:DH,MATCH(C2043,'Partner data'!DG:DG,0),112)))</f>
        <v>0</v>
      </c>
      <c r="S2043" s="86" t="b">
        <f t="shared" si="68"/>
        <v>0</v>
      </c>
      <c r="T2043" t="b">
        <f t="shared" si="69"/>
        <v>1</v>
      </c>
      <c r="U2043" s="154">
        <f>IFERROR(IF(R2043&lt;&gt;FALSE,IF(S2043=TRUE,INDEX('SummaryNOT_VALIDATED-BL'!$A$1:$F$16,MATCH(R2043,'SummaryNOT_VALIDATED-BL'!$A$1:$A$16,0),6),0),IF(S2043=TRUE,INDEX('SummaryNOT_VALIDATED-BL'!$A$1:$F$16,MATCH(E2043,'SummaryNOT_VALIDATED-BL'!$A$1:$A$16,0),6),0)),0)</f>
        <v>0</v>
      </c>
      <c r="V2043" s="81" cm="1">
        <f t="array" ref="V2043">INDEX('Weight tables'!$A$24:$C$27,MATCH(1,(RendicontiTrasmessiBL__2[[#This Row],[Cut percentage on real costs + USC]]&gt;='Weight tables'!$B$24:$B$27)*(RendicontiTrasmessiBL__2[[#This Row],[Cut percentage on real costs + USC]]&lt;='Weight tables'!$C$24:$C$27),0),1)</f>
        <v>0</v>
      </c>
      <c r="W2043" s="2">
        <f>RendicontiTrasmessiBL__2[[#This Row],[Weight real costs  + USC ]]</f>
        <v>0</v>
      </c>
    </row>
    <row r="2044" spans="1:23" x14ac:dyDescent="0.25">
      <c r="A2044" s="204" t="s">
        <v>3305</v>
      </c>
      <c r="B2044" s="1" t="s">
        <v>3320</v>
      </c>
      <c r="C2044" s="2">
        <v>551</v>
      </c>
      <c r="D2044" s="2">
        <v>364</v>
      </c>
      <c r="E2044" s="1" t="s">
        <v>236</v>
      </c>
      <c r="J2044">
        <v>0</v>
      </c>
      <c r="Q2044" t="str">
        <f>INDEX('Partner data'!A:DH,MATCH(C2044,'Partner data'!DG:DG,0),83)</f>
        <v>Soggetto pubblico</v>
      </c>
      <c r="R2044" t="b">
        <f>IF(E2044="staff",IF(INDEX('Partner data'!A:DH,MATCH(C2044,'Partner data'!DG:DG,0),112)="BL1 non presente","FALSO",INDEX('Partner data'!A:DH,MATCH(C2044,'Partner data'!DG:DG,0),112)))</f>
        <v>0</v>
      </c>
      <c r="S2044" s="86" t="b">
        <f t="shared" si="68"/>
        <v>0</v>
      </c>
      <c r="T2044" t="b">
        <f t="shared" si="69"/>
        <v>1</v>
      </c>
      <c r="U2044" s="154">
        <f>IFERROR(IF(R2044&lt;&gt;FALSE,IF(S2044=TRUE,INDEX('SummaryNOT_VALIDATED-BL'!$A$1:$F$16,MATCH(R2044,'SummaryNOT_VALIDATED-BL'!$A$1:$A$16,0),6),0),IF(S2044=TRUE,INDEX('SummaryNOT_VALIDATED-BL'!$A$1:$F$16,MATCH(E2044,'SummaryNOT_VALIDATED-BL'!$A$1:$A$16,0),6),0)),0)</f>
        <v>0</v>
      </c>
      <c r="V2044" s="81" cm="1">
        <f t="array" ref="V2044">INDEX('Weight tables'!$A$24:$C$27,MATCH(1,(RendicontiTrasmessiBL__2[[#This Row],[Cut percentage on real costs + USC]]&gt;='Weight tables'!$B$24:$B$27)*(RendicontiTrasmessiBL__2[[#This Row],[Cut percentage on real costs + USC]]&lt;='Weight tables'!$C$24:$C$27),0),1)</f>
        <v>0</v>
      </c>
      <c r="W2044" s="2">
        <f>RendicontiTrasmessiBL__2[[#This Row],[Weight real costs  + USC ]]</f>
        <v>0</v>
      </c>
    </row>
    <row r="2045" spans="1:23" x14ac:dyDescent="0.25">
      <c r="A2045" s="204" t="s">
        <v>3305</v>
      </c>
      <c r="B2045" s="1" t="s">
        <v>279</v>
      </c>
      <c r="C2045" s="2">
        <v>602</v>
      </c>
      <c r="D2045" s="2">
        <v>365</v>
      </c>
      <c r="E2045" s="1" t="s">
        <v>228</v>
      </c>
      <c r="J2045" s="199">
        <v>28500</v>
      </c>
      <c r="Q2045" t="str">
        <f>INDEX('Partner data'!A:DH,MATCH(C2045,'Partner data'!DG:DG,0),83)</f>
        <v>Soggetto pubblico</v>
      </c>
      <c r="R2045" t="str">
        <f>IF(E2045="staff",IF(INDEX('Partner data'!A:DH,MATCH(C2045,'Partner data'!DG:DG,0),112)="BL1 non presente","FALSO",INDEX('Partner data'!A:DH,MATCH(C2045,'Partner data'!DG:DG,0),112)))</f>
        <v>COSTO REALE</v>
      </c>
      <c r="S2045" s="86" t="b">
        <f t="shared" si="68"/>
        <v>1</v>
      </c>
      <c r="T2045" t="b">
        <f t="shared" si="69"/>
        <v>1</v>
      </c>
      <c r="U2045" s="154">
        <f>IFERROR(IF(R2045&lt;&gt;FALSE,IF(S2045=TRUE,INDEX('SummaryNOT_VALIDATED-BL'!$A$1:$F$16,MATCH(R2045,'SummaryNOT_VALIDATED-BL'!$A$1:$A$16,0),6),0),IF(S2045=TRUE,INDEX('SummaryNOT_VALIDATED-BL'!$A$1:$F$16,MATCH(E2045,'SummaryNOT_VALIDATED-BL'!$A$1:$A$16,0),6),0)),0)</f>
        <v>9.1604133276901048E-2</v>
      </c>
      <c r="V2045" s="81" cm="1">
        <f t="array" ref="V2045">INDEX('Weight tables'!$A$24:$C$27,MATCH(1,(RendicontiTrasmessiBL__2[[#This Row],[Cut percentage on real costs + USC]]&gt;='Weight tables'!$B$24:$B$27)*(RendicontiTrasmessiBL__2[[#This Row],[Cut percentage on real costs + USC]]&lt;='Weight tables'!$C$24:$C$27),0),1)</f>
        <v>4</v>
      </c>
      <c r="W2045" s="2">
        <f>RendicontiTrasmessiBL__2[[#This Row],[Weight real costs  + USC ]]</f>
        <v>4</v>
      </c>
    </row>
    <row r="2046" spans="1:23" x14ac:dyDescent="0.25">
      <c r="A2046" s="204" t="s">
        <v>3305</v>
      </c>
      <c r="B2046" s="1" t="s">
        <v>279</v>
      </c>
      <c r="C2046" s="2">
        <v>602</v>
      </c>
      <c r="D2046" s="2">
        <v>365</v>
      </c>
      <c r="E2046" s="1" t="s">
        <v>229</v>
      </c>
      <c r="J2046">
        <v>0</v>
      </c>
      <c r="Q2046" t="str">
        <f>INDEX('Partner data'!A:DH,MATCH(C2046,'Partner data'!DG:DG,0),83)</f>
        <v>Soggetto pubblico</v>
      </c>
      <c r="R2046" t="b">
        <f>IF(E2046="staff",IF(INDEX('Partner data'!A:DH,MATCH(C2046,'Partner data'!DG:DG,0),112)="BL1 non presente","FALSO",INDEX('Partner data'!A:DH,MATCH(C2046,'Partner data'!DG:DG,0),112)))</f>
        <v>0</v>
      </c>
      <c r="S2046" s="86" t="b">
        <f t="shared" si="68"/>
        <v>0</v>
      </c>
      <c r="T2046" t="b">
        <f t="shared" si="69"/>
        <v>1</v>
      </c>
      <c r="U2046" s="154">
        <f>IFERROR(IF(R2046&lt;&gt;FALSE,IF(S2046=TRUE,INDEX('SummaryNOT_VALIDATED-BL'!$A$1:$F$16,MATCH(R2046,'SummaryNOT_VALIDATED-BL'!$A$1:$A$16,0),6),0),IF(S2046=TRUE,INDEX('SummaryNOT_VALIDATED-BL'!$A$1:$F$16,MATCH(E2046,'SummaryNOT_VALIDATED-BL'!$A$1:$A$16,0),6),0)),0)</f>
        <v>0</v>
      </c>
      <c r="V2046" s="81" cm="1">
        <f t="array" ref="V2046">INDEX('Weight tables'!$A$24:$C$27,MATCH(1,(RendicontiTrasmessiBL__2[[#This Row],[Cut percentage on real costs + USC]]&gt;='Weight tables'!$B$24:$B$27)*(RendicontiTrasmessiBL__2[[#This Row],[Cut percentage on real costs + USC]]&lt;='Weight tables'!$C$24:$C$27),0),1)</f>
        <v>0</v>
      </c>
      <c r="W2046" s="2">
        <f>RendicontiTrasmessiBL__2[[#This Row],[Weight real costs  + USC ]]</f>
        <v>0</v>
      </c>
    </row>
    <row r="2047" spans="1:23" x14ac:dyDescent="0.25">
      <c r="A2047" s="204" t="s">
        <v>3305</v>
      </c>
      <c r="B2047" s="1" t="s">
        <v>279</v>
      </c>
      <c r="C2047" s="2">
        <v>602</v>
      </c>
      <c r="D2047" s="2">
        <v>365</v>
      </c>
      <c r="E2047" s="1" t="s">
        <v>230</v>
      </c>
      <c r="J2047">
        <v>0</v>
      </c>
      <c r="Q2047" t="str">
        <f>INDEX('Partner data'!A:DH,MATCH(C2047,'Partner data'!DG:DG,0),83)</f>
        <v>Soggetto pubblico</v>
      </c>
      <c r="R2047" t="b">
        <f>IF(E2047="staff",IF(INDEX('Partner data'!A:DH,MATCH(C2047,'Partner data'!DG:DG,0),112)="BL1 non presente","FALSO",INDEX('Partner data'!A:DH,MATCH(C2047,'Partner data'!DG:DG,0),112)))</f>
        <v>0</v>
      </c>
      <c r="S2047" s="86" t="b">
        <f t="shared" si="68"/>
        <v>0</v>
      </c>
      <c r="T2047" t="b">
        <f t="shared" si="69"/>
        <v>1</v>
      </c>
      <c r="U2047" s="154">
        <f>IFERROR(IF(R2047&lt;&gt;FALSE,IF(S2047=TRUE,INDEX('SummaryNOT_VALIDATED-BL'!$A$1:$F$16,MATCH(R2047,'SummaryNOT_VALIDATED-BL'!$A$1:$A$16,0),6),0),IF(S2047=TRUE,INDEX('SummaryNOT_VALIDATED-BL'!$A$1:$F$16,MATCH(E2047,'SummaryNOT_VALIDATED-BL'!$A$1:$A$16,0),6),0)),0)</f>
        <v>0</v>
      </c>
      <c r="V2047" s="81" cm="1">
        <f t="array" ref="V2047">INDEX('Weight tables'!$A$24:$C$27,MATCH(1,(RendicontiTrasmessiBL__2[[#This Row],[Cut percentage on real costs + USC]]&gt;='Weight tables'!$B$24:$B$27)*(RendicontiTrasmessiBL__2[[#This Row],[Cut percentage on real costs + USC]]&lt;='Weight tables'!$C$24:$C$27),0),1)</f>
        <v>0</v>
      </c>
      <c r="W2047" s="2">
        <f>RendicontiTrasmessiBL__2[[#This Row],[Weight real costs  + USC ]]</f>
        <v>0</v>
      </c>
    </row>
    <row r="2048" spans="1:23" x14ac:dyDescent="0.25">
      <c r="A2048" s="204" t="s">
        <v>3305</v>
      </c>
      <c r="B2048" s="1" t="s">
        <v>279</v>
      </c>
      <c r="C2048" s="2">
        <v>602</v>
      </c>
      <c r="D2048" s="2">
        <v>365</v>
      </c>
      <c r="E2048" s="1" t="s">
        <v>231</v>
      </c>
      <c r="J2048">
        <v>0</v>
      </c>
      <c r="Q2048" t="str">
        <f>INDEX('Partner data'!A:DH,MATCH(C2048,'Partner data'!DG:DG,0),83)</f>
        <v>Soggetto pubblico</v>
      </c>
      <c r="R2048" t="b">
        <f>IF(E2048="staff",IF(INDEX('Partner data'!A:DH,MATCH(C2048,'Partner data'!DG:DG,0),112)="BL1 non presente","FALSO",INDEX('Partner data'!A:DH,MATCH(C2048,'Partner data'!DG:DG,0),112)))</f>
        <v>0</v>
      </c>
      <c r="S2048" s="86" t="b">
        <f t="shared" si="68"/>
        <v>0</v>
      </c>
      <c r="T2048" t="b">
        <f t="shared" si="69"/>
        <v>1</v>
      </c>
      <c r="U2048" s="154">
        <f>IFERROR(IF(R2048&lt;&gt;FALSE,IF(S2048=TRUE,INDEX('SummaryNOT_VALIDATED-BL'!$A$1:$F$16,MATCH(R2048,'SummaryNOT_VALIDATED-BL'!$A$1:$A$16,0),6),0),IF(S2048=TRUE,INDEX('SummaryNOT_VALIDATED-BL'!$A$1:$F$16,MATCH(E2048,'SummaryNOT_VALIDATED-BL'!$A$1:$A$16,0),6),0)),0)</f>
        <v>0</v>
      </c>
      <c r="V2048" s="81" cm="1">
        <f t="array" ref="V2048">INDEX('Weight tables'!$A$24:$C$27,MATCH(1,(RendicontiTrasmessiBL__2[[#This Row],[Cut percentage on real costs + USC]]&gt;='Weight tables'!$B$24:$B$27)*(RendicontiTrasmessiBL__2[[#This Row],[Cut percentage on real costs + USC]]&lt;='Weight tables'!$C$24:$C$27),0),1)</f>
        <v>0</v>
      </c>
      <c r="W2048" s="2">
        <f>RendicontiTrasmessiBL__2[[#This Row],[Weight real costs  + USC ]]</f>
        <v>0</v>
      </c>
    </row>
    <row r="2049" spans="1:23" x14ac:dyDescent="0.25">
      <c r="A2049" s="204" t="s">
        <v>3305</v>
      </c>
      <c r="B2049" s="1" t="s">
        <v>279</v>
      </c>
      <c r="C2049" s="2">
        <v>602</v>
      </c>
      <c r="D2049" s="2">
        <v>365</v>
      </c>
      <c r="E2049" s="1" t="s">
        <v>232</v>
      </c>
      <c r="J2049">
        <v>0</v>
      </c>
      <c r="Q2049" t="str">
        <f>INDEX('Partner data'!A:DH,MATCH(C2049,'Partner data'!DG:DG,0),83)</f>
        <v>Soggetto pubblico</v>
      </c>
      <c r="R2049" t="b">
        <f>IF(E2049="staff",IF(INDEX('Partner data'!A:DH,MATCH(C2049,'Partner data'!DG:DG,0),112)="BL1 non presente","FALSO",INDEX('Partner data'!A:DH,MATCH(C2049,'Partner data'!DG:DG,0),112)))</f>
        <v>0</v>
      </c>
      <c r="S2049" s="86" t="b">
        <f t="shared" si="68"/>
        <v>0</v>
      </c>
      <c r="T2049" t="b">
        <f t="shared" si="69"/>
        <v>1</v>
      </c>
      <c r="U2049" s="154">
        <f>IFERROR(IF(R2049&lt;&gt;FALSE,IF(S2049=TRUE,INDEX('SummaryNOT_VALIDATED-BL'!$A$1:$F$16,MATCH(R2049,'SummaryNOT_VALIDATED-BL'!$A$1:$A$16,0),6),0),IF(S2049=TRUE,INDEX('SummaryNOT_VALIDATED-BL'!$A$1:$F$16,MATCH(E2049,'SummaryNOT_VALIDATED-BL'!$A$1:$A$16,0),6),0)),0)</f>
        <v>0</v>
      </c>
      <c r="V2049" s="81" cm="1">
        <f t="array" ref="V2049">INDEX('Weight tables'!$A$24:$C$27,MATCH(1,(RendicontiTrasmessiBL__2[[#This Row],[Cut percentage on real costs + USC]]&gt;='Weight tables'!$B$24:$B$27)*(RendicontiTrasmessiBL__2[[#This Row],[Cut percentage on real costs + USC]]&lt;='Weight tables'!$C$24:$C$27),0),1)</f>
        <v>0</v>
      </c>
      <c r="W2049" s="2">
        <f>RendicontiTrasmessiBL__2[[#This Row],[Weight real costs  + USC ]]</f>
        <v>0</v>
      </c>
    </row>
    <row r="2050" spans="1:23" x14ac:dyDescent="0.25">
      <c r="A2050" s="204" t="s">
        <v>3305</v>
      </c>
      <c r="B2050" s="1" t="s">
        <v>279</v>
      </c>
      <c r="C2050" s="2">
        <v>602</v>
      </c>
      <c r="D2050" s="2">
        <v>365</v>
      </c>
      <c r="E2050" s="1" t="s">
        <v>233</v>
      </c>
      <c r="J2050">
        <v>0</v>
      </c>
      <c r="Q2050" t="str">
        <f>INDEX('Partner data'!A:DH,MATCH(C2050,'Partner data'!DG:DG,0),83)</f>
        <v>Soggetto pubblico</v>
      </c>
      <c r="R2050" t="b">
        <f>IF(E2050="staff",IF(INDEX('Partner data'!A:DH,MATCH(C2050,'Partner data'!DG:DG,0),112)="BL1 non presente","FALSO",INDEX('Partner data'!A:DH,MATCH(C2050,'Partner data'!DG:DG,0),112)))</f>
        <v>0</v>
      </c>
      <c r="S2050" s="86" t="b">
        <f t="shared" si="68"/>
        <v>0</v>
      </c>
      <c r="T2050" t="b">
        <f t="shared" si="69"/>
        <v>1</v>
      </c>
      <c r="U2050" s="154">
        <f>IFERROR(IF(R2050&lt;&gt;FALSE,IF(S2050=TRUE,INDEX('SummaryNOT_VALIDATED-BL'!$A$1:$F$16,MATCH(R2050,'SummaryNOT_VALIDATED-BL'!$A$1:$A$16,0),6),0),IF(S2050=TRUE,INDEX('SummaryNOT_VALIDATED-BL'!$A$1:$F$16,MATCH(E2050,'SummaryNOT_VALIDATED-BL'!$A$1:$A$16,0),6),0)),0)</f>
        <v>0</v>
      </c>
      <c r="V2050" s="81" cm="1">
        <f t="array" ref="V2050">INDEX('Weight tables'!$A$24:$C$27,MATCH(1,(RendicontiTrasmessiBL__2[[#This Row],[Cut percentage on real costs + USC]]&gt;='Weight tables'!$B$24:$B$27)*(RendicontiTrasmessiBL__2[[#This Row],[Cut percentage on real costs + USC]]&lt;='Weight tables'!$C$24:$C$27),0),1)</f>
        <v>0</v>
      </c>
      <c r="W2050" s="2">
        <f>RendicontiTrasmessiBL__2[[#This Row],[Weight real costs  + USC ]]</f>
        <v>0</v>
      </c>
    </row>
    <row r="2051" spans="1:23" x14ac:dyDescent="0.25">
      <c r="A2051" s="204" t="s">
        <v>3305</v>
      </c>
      <c r="B2051" s="1" t="s">
        <v>279</v>
      </c>
      <c r="C2051" s="2">
        <v>602</v>
      </c>
      <c r="D2051" s="2">
        <v>365</v>
      </c>
      <c r="E2051" s="1" t="s">
        <v>234</v>
      </c>
      <c r="J2051">
        <f>J2045*0.4</f>
        <v>11400</v>
      </c>
      <c r="Q2051" t="str">
        <f>INDEX('Partner data'!A:DH,MATCH(C2051,'Partner data'!DG:DG,0),83)</f>
        <v>Soggetto pubblico</v>
      </c>
      <c r="R2051" t="b">
        <f>IF(E2051="staff",IF(INDEX('Partner data'!A:DH,MATCH(C2051,'Partner data'!DG:DG,0),112)="BL1 non presente","FALSO",INDEX('Partner data'!A:DH,MATCH(C2051,'Partner data'!DG:DG,0),112)))</f>
        <v>0</v>
      </c>
      <c r="S2051" s="86" t="b">
        <f t="shared" si="68"/>
        <v>1</v>
      </c>
      <c r="T2051" t="b">
        <f t="shared" si="69"/>
        <v>1</v>
      </c>
      <c r="U2051" s="154">
        <f>IFERROR(IF(R2051&lt;&gt;FALSE,IF(S2051=TRUE,INDEX('SummaryNOT_VALIDATED-BL'!$A$1:$F$16,MATCH(R2051,'SummaryNOT_VALIDATED-BL'!$A$1:$A$16,0),6),0),IF(S2051=TRUE,INDEX('SummaryNOT_VALIDATED-BL'!$A$1:$F$16,MATCH(E2051,'SummaryNOT_VALIDATED-BL'!$A$1:$A$16,0),6),0)),0)</f>
        <v>8.7645339819521315E-2</v>
      </c>
      <c r="V2051" s="81" cm="1">
        <f t="array" ref="V2051">INDEX('Weight tables'!$A$24:$C$27,MATCH(1,(RendicontiTrasmessiBL__2[[#This Row],[Cut percentage on real costs + USC]]&gt;='Weight tables'!$B$24:$B$27)*(RendicontiTrasmessiBL__2[[#This Row],[Cut percentage on real costs + USC]]&lt;='Weight tables'!$C$24:$C$27),0),1)</f>
        <v>4</v>
      </c>
      <c r="W2051" s="2">
        <f>RendicontiTrasmessiBL__2[[#This Row],[Weight real costs  + USC ]]</f>
        <v>4</v>
      </c>
    </row>
    <row r="2052" spans="1:23" x14ac:dyDescent="0.25">
      <c r="A2052" s="204" t="s">
        <v>3305</v>
      </c>
      <c r="B2052" s="1" t="s">
        <v>279</v>
      </c>
      <c r="C2052" s="2">
        <v>602</v>
      </c>
      <c r="D2052" s="2">
        <v>365</v>
      </c>
      <c r="E2052" s="1" t="s">
        <v>235</v>
      </c>
      <c r="J2052">
        <v>0</v>
      </c>
      <c r="Q2052" t="str">
        <f>INDEX('Partner data'!A:DH,MATCH(C2052,'Partner data'!DG:DG,0),83)</f>
        <v>Soggetto pubblico</v>
      </c>
      <c r="R2052" t="b">
        <f>IF(E2052="staff",IF(INDEX('Partner data'!A:DH,MATCH(C2052,'Partner data'!DG:DG,0),112)="BL1 non presente","FALSO",INDEX('Partner data'!A:DH,MATCH(C2052,'Partner data'!DG:DG,0),112)))</f>
        <v>0</v>
      </c>
      <c r="S2052" s="86" t="b">
        <f t="shared" si="68"/>
        <v>0</v>
      </c>
      <c r="T2052" t="b">
        <f t="shared" si="69"/>
        <v>1</v>
      </c>
      <c r="U2052" s="154">
        <f>IFERROR(IF(R2052&lt;&gt;FALSE,IF(S2052=TRUE,INDEX('SummaryNOT_VALIDATED-BL'!$A$1:$F$16,MATCH(R2052,'SummaryNOT_VALIDATED-BL'!$A$1:$A$16,0),6),0),IF(S2052=TRUE,INDEX('SummaryNOT_VALIDATED-BL'!$A$1:$F$16,MATCH(E2052,'SummaryNOT_VALIDATED-BL'!$A$1:$A$16,0),6),0)),0)</f>
        <v>0</v>
      </c>
      <c r="V2052" s="81" cm="1">
        <f t="array" ref="V2052">INDEX('Weight tables'!$A$24:$C$27,MATCH(1,(RendicontiTrasmessiBL__2[[#This Row],[Cut percentage on real costs + USC]]&gt;='Weight tables'!$B$24:$B$27)*(RendicontiTrasmessiBL__2[[#This Row],[Cut percentage on real costs + USC]]&lt;='Weight tables'!$C$24:$C$27),0),1)</f>
        <v>0</v>
      </c>
      <c r="W2052" s="2">
        <f>RendicontiTrasmessiBL__2[[#This Row],[Weight real costs  + USC ]]</f>
        <v>0</v>
      </c>
    </row>
    <row r="2053" spans="1:23" x14ac:dyDescent="0.25">
      <c r="A2053" s="204" t="s">
        <v>3305</v>
      </c>
      <c r="B2053" s="1" t="s">
        <v>279</v>
      </c>
      <c r="C2053" s="2">
        <v>602</v>
      </c>
      <c r="D2053" s="2">
        <v>365</v>
      </c>
      <c r="E2053" s="1" t="s">
        <v>236</v>
      </c>
      <c r="J2053">
        <v>0</v>
      </c>
      <c r="Q2053" t="str">
        <f>INDEX('Partner data'!A:DH,MATCH(C2053,'Partner data'!DG:DG,0),83)</f>
        <v>Soggetto pubblico</v>
      </c>
      <c r="R2053" t="b">
        <f>IF(E2053="staff",IF(INDEX('Partner data'!A:DH,MATCH(C2053,'Partner data'!DG:DG,0),112)="BL1 non presente","FALSO",INDEX('Partner data'!A:DH,MATCH(C2053,'Partner data'!DG:DG,0),112)))</f>
        <v>0</v>
      </c>
      <c r="S2053" s="86" t="b">
        <f t="shared" si="68"/>
        <v>0</v>
      </c>
      <c r="T2053" t="b">
        <f t="shared" si="69"/>
        <v>1</v>
      </c>
      <c r="U2053" s="154">
        <f>IFERROR(IF(R2053&lt;&gt;FALSE,IF(S2053=TRUE,INDEX('SummaryNOT_VALIDATED-BL'!$A$1:$F$16,MATCH(R2053,'SummaryNOT_VALIDATED-BL'!$A$1:$A$16,0),6),0),IF(S2053=TRUE,INDEX('SummaryNOT_VALIDATED-BL'!$A$1:$F$16,MATCH(E2053,'SummaryNOT_VALIDATED-BL'!$A$1:$A$16,0),6),0)),0)</f>
        <v>0</v>
      </c>
      <c r="V2053" s="81" cm="1">
        <f t="array" ref="V2053">INDEX('Weight tables'!$A$24:$C$27,MATCH(1,(RendicontiTrasmessiBL__2[[#This Row],[Cut percentage on real costs + USC]]&gt;='Weight tables'!$B$24:$B$27)*(RendicontiTrasmessiBL__2[[#This Row],[Cut percentage on real costs + USC]]&lt;='Weight tables'!$C$24:$C$27),0),1)</f>
        <v>0</v>
      </c>
      <c r="W2053" s="2">
        <f>RendicontiTrasmessiBL__2[[#This Row],[Weight real costs  + USC ]]</f>
        <v>0</v>
      </c>
    </row>
    <row r="2054" spans="1:23" x14ac:dyDescent="0.25">
      <c r="A2054" s="204" t="s">
        <v>3305</v>
      </c>
      <c r="B2054" s="1" t="s">
        <v>2791</v>
      </c>
      <c r="C2054" s="2">
        <v>603</v>
      </c>
      <c r="D2054" s="2">
        <v>366</v>
      </c>
      <c r="E2054" s="1" t="s">
        <v>228</v>
      </c>
      <c r="J2054">
        <v>26000</v>
      </c>
      <c r="Q2054" t="str">
        <f>INDEX('Partner data'!A:DH,MATCH(C2054,'Partner data'!DG:DG,0),83)</f>
        <v>Soggetto pubblico</v>
      </c>
      <c r="R2054" t="str">
        <f>IF(E2054="staff",IF(INDEX('Partner data'!A:DH,MATCH(C2054,'Partner data'!DG:DG,0),112)="BL1 non presente","FALSO",INDEX('Partner data'!A:DH,MATCH(C2054,'Partner data'!DG:DG,0),112)))</f>
        <v>COSTO REALE</v>
      </c>
      <c r="S2054" s="86" t="b">
        <f t="shared" si="68"/>
        <v>1</v>
      </c>
      <c r="T2054" t="b">
        <f t="shared" si="69"/>
        <v>1</v>
      </c>
      <c r="U2054" s="154">
        <f>IFERROR(IF(R2054&lt;&gt;FALSE,IF(S2054=TRUE,INDEX('SummaryNOT_VALIDATED-BL'!$A$1:$F$16,MATCH(R2054,'SummaryNOT_VALIDATED-BL'!$A$1:$A$16,0),6),0),IF(S2054=TRUE,INDEX('SummaryNOT_VALIDATED-BL'!$A$1:$F$16,MATCH(E2054,'SummaryNOT_VALIDATED-BL'!$A$1:$A$16,0),6),0)),0)</f>
        <v>9.1604133276901048E-2</v>
      </c>
      <c r="V2054" s="81" cm="1">
        <f t="array" ref="V2054">INDEX('Weight tables'!$A$24:$C$27,MATCH(1,(RendicontiTrasmessiBL__2[[#This Row],[Cut percentage on real costs + USC]]&gt;='Weight tables'!$B$24:$B$27)*(RendicontiTrasmessiBL__2[[#This Row],[Cut percentage on real costs + USC]]&lt;='Weight tables'!$C$24:$C$27),0),1)</f>
        <v>4</v>
      </c>
      <c r="W2054" s="2">
        <f>RendicontiTrasmessiBL__2[[#This Row],[Weight real costs  + USC ]]</f>
        <v>4</v>
      </c>
    </row>
    <row r="2055" spans="1:23" x14ac:dyDescent="0.25">
      <c r="A2055" s="204" t="s">
        <v>3305</v>
      </c>
      <c r="B2055" s="1" t="s">
        <v>2791</v>
      </c>
      <c r="C2055" s="2">
        <v>603</v>
      </c>
      <c r="D2055" s="2">
        <v>366</v>
      </c>
      <c r="E2055" s="1" t="s">
        <v>229</v>
      </c>
      <c r="J2055">
        <f>J2054*0.15</f>
        <v>3900</v>
      </c>
      <c r="Q2055" t="str">
        <f>INDEX('Partner data'!A:DH,MATCH(C2055,'Partner data'!DG:DG,0),83)</f>
        <v>Soggetto pubblico</v>
      </c>
      <c r="R2055" t="b">
        <f>IF(E2055="staff",IF(INDEX('Partner data'!A:DH,MATCH(C2055,'Partner data'!DG:DG,0),112)="BL1 non presente","FALSO",INDEX('Partner data'!A:DH,MATCH(C2055,'Partner data'!DG:DG,0),112)))</f>
        <v>0</v>
      </c>
      <c r="S2055" s="86" t="b">
        <f t="shared" si="68"/>
        <v>1</v>
      </c>
      <c r="T2055" t="b">
        <f t="shared" si="69"/>
        <v>1</v>
      </c>
      <c r="U2055" s="154">
        <f>IFERROR(IF(R2055&lt;&gt;FALSE,IF(S2055=TRUE,INDEX('SummaryNOT_VALIDATED-BL'!$A$1:$F$16,MATCH(R2055,'SummaryNOT_VALIDATED-BL'!$A$1:$A$16,0),6),0),IF(S2055=TRUE,INDEX('SummaryNOT_VALIDATED-BL'!$A$1:$F$16,MATCH(E2055,'SummaryNOT_VALIDATED-BL'!$A$1:$A$16,0),6),0)),0)</f>
        <v>6.6460469504890221E-2</v>
      </c>
      <c r="V2055" s="81" cm="1">
        <f t="array" ref="V2055">INDEX('Weight tables'!$A$24:$C$27,MATCH(1,(RendicontiTrasmessiBL__2[[#This Row],[Cut percentage on real costs + USC]]&gt;='Weight tables'!$B$24:$B$27)*(RendicontiTrasmessiBL__2[[#This Row],[Cut percentage on real costs + USC]]&lt;='Weight tables'!$C$24:$C$27),0),1)</f>
        <v>4</v>
      </c>
      <c r="W2055" s="2">
        <f>RendicontiTrasmessiBL__2[[#This Row],[Weight real costs  + USC ]]</f>
        <v>4</v>
      </c>
    </row>
    <row r="2056" spans="1:23" x14ac:dyDescent="0.25">
      <c r="A2056" s="204" t="s">
        <v>3305</v>
      </c>
      <c r="B2056" s="1" t="s">
        <v>2791</v>
      </c>
      <c r="C2056" s="2">
        <v>603</v>
      </c>
      <c r="D2056" s="2">
        <v>366</v>
      </c>
      <c r="E2056" s="1" t="s">
        <v>230</v>
      </c>
      <c r="J2056">
        <f>J2054*0.04</f>
        <v>1040</v>
      </c>
      <c r="Q2056" t="str">
        <f>INDEX('Partner data'!A:DH,MATCH(C2056,'Partner data'!DG:DG,0),83)</f>
        <v>Soggetto pubblico</v>
      </c>
      <c r="R2056" t="b">
        <f>IF(E2056="staff",IF(INDEX('Partner data'!A:DH,MATCH(C2056,'Partner data'!DG:DG,0),112)="BL1 non presente","FALSO",INDEX('Partner data'!A:DH,MATCH(C2056,'Partner data'!DG:DG,0),112)))</f>
        <v>0</v>
      </c>
      <c r="S2056" s="86" t="b">
        <f t="shared" si="68"/>
        <v>1</v>
      </c>
      <c r="T2056" t="b">
        <f t="shared" si="69"/>
        <v>1</v>
      </c>
      <c r="U2056" s="154">
        <f>IFERROR(IF(R2056&lt;&gt;FALSE,IF(S2056=TRUE,INDEX('SummaryNOT_VALIDATED-BL'!$A$1:$F$16,MATCH(R2056,'SummaryNOT_VALIDATED-BL'!$A$1:$A$16,0),6),0),IF(S2056=TRUE,INDEX('SummaryNOT_VALIDATED-BL'!$A$1:$F$16,MATCH(E2056,'SummaryNOT_VALIDATED-BL'!$A$1:$A$16,0),6),0)),0)</f>
        <v>6.3112622236488891E-2</v>
      </c>
      <c r="V2056" s="81" cm="1">
        <f t="array" ref="V2056">INDEX('Weight tables'!$A$24:$C$27,MATCH(1,(RendicontiTrasmessiBL__2[[#This Row],[Cut percentage on real costs + USC]]&gt;='Weight tables'!$B$24:$B$27)*(RendicontiTrasmessiBL__2[[#This Row],[Cut percentage on real costs + USC]]&lt;='Weight tables'!$C$24:$C$27),0),1)</f>
        <v>4</v>
      </c>
      <c r="W2056" s="2">
        <f>RendicontiTrasmessiBL__2[[#This Row],[Weight real costs  + USC ]]</f>
        <v>4</v>
      </c>
    </row>
    <row r="2057" spans="1:23" x14ac:dyDescent="0.25">
      <c r="A2057" s="204" t="s">
        <v>3305</v>
      </c>
      <c r="B2057" s="1" t="s">
        <v>2791</v>
      </c>
      <c r="C2057" s="2">
        <v>603</v>
      </c>
      <c r="D2057" s="2">
        <v>366</v>
      </c>
      <c r="E2057" s="1" t="s">
        <v>231</v>
      </c>
      <c r="J2057">
        <v>4000</v>
      </c>
      <c r="Q2057" t="str">
        <f>INDEX('Partner data'!A:DH,MATCH(C2057,'Partner data'!DG:DG,0),83)</f>
        <v>Soggetto pubblico</v>
      </c>
      <c r="R2057" t="b">
        <f>IF(E2057="staff",IF(INDEX('Partner data'!A:DH,MATCH(C2057,'Partner data'!DG:DG,0),112)="BL1 non presente","FALSO",INDEX('Partner data'!A:DH,MATCH(C2057,'Partner data'!DG:DG,0),112)))</f>
        <v>0</v>
      </c>
      <c r="S2057" s="86" t="b">
        <f t="shared" si="68"/>
        <v>1</v>
      </c>
      <c r="T2057" t="b">
        <f t="shared" si="69"/>
        <v>1</v>
      </c>
      <c r="U2057" s="154">
        <f>IFERROR(IF(R2057&lt;&gt;FALSE,IF(S2057=TRUE,INDEX('SummaryNOT_VALIDATED-BL'!$A$1:$F$16,MATCH(R2057,'SummaryNOT_VALIDATED-BL'!$A$1:$A$16,0),6),0),IF(S2057=TRUE,INDEX('SummaryNOT_VALIDATED-BL'!$A$1:$F$16,MATCH(E2057,'SummaryNOT_VALIDATED-BL'!$A$1:$A$16,0),6),0)),0)</f>
        <v>5.577594442215475E-2</v>
      </c>
      <c r="V2057" s="81" cm="1">
        <f t="array" ref="V2057">INDEX('Weight tables'!$A$24:$C$27,MATCH(1,(RendicontiTrasmessiBL__2[[#This Row],[Cut percentage on real costs + USC]]&gt;='Weight tables'!$B$24:$B$27)*(RendicontiTrasmessiBL__2[[#This Row],[Cut percentage on real costs + USC]]&lt;='Weight tables'!$C$24:$C$27),0),1)</f>
        <v>4</v>
      </c>
      <c r="W2057" s="2">
        <f>RendicontiTrasmessiBL__2[[#This Row],[Weight real costs  + USC ]]</f>
        <v>4</v>
      </c>
    </row>
    <row r="2058" spans="1:23" x14ac:dyDescent="0.25">
      <c r="A2058" s="204" t="s">
        <v>3305</v>
      </c>
      <c r="B2058" s="1" t="s">
        <v>2791</v>
      </c>
      <c r="C2058" s="2">
        <v>603</v>
      </c>
      <c r="D2058" s="2">
        <v>366</v>
      </c>
      <c r="E2058" s="1" t="s">
        <v>232</v>
      </c>
      <c r="J2058">
        <v>5000</v>
      </c>
      <c r="Q2058" t="str">
        <f>INDEX('Partner data'!A:DH,MATCH(C2058,'Partner data'!DG:DG,0),83)</f>
        <v>Soggetto pubblico</v>
      </c>
      <c r="R2058" t="b">
        <f>IF(E2058="staff",IF(INDEX('Partner data'!A:DH,MATCH(C2058,'Partner data'!DG:DG,0),112)="BL1 non presente","FALSO",INDEX('Partner data'!A:DH,MATCH(C2058,'Partner data'!DG:DG,0),112)))</f>
        <v>0</v>
      </c>
      <c r="S2058" s="86" t="b">
        <f t="shared" si="68"/>
        <v>1</v>
      </c>
      <c r="T2058" t="b">
        <f t="shared" si="69"/>
        <v>1</v>
      </c>
      <c r="U2058" s="154">
        <f>IFERROR(IF(R2058&lt;&gt;FALSE,IF(S2058=TRUE,INDEX('SummaryNOT_VALIDATED-BL'!$A$1:$F$16,MATCH(R2058,'SummaryNOT_VALIDATED-BL'!$A$1:$A$16,0),6),0),IF(S2058=TRUE,INDEX('SummaryNOT_VALIDATED-BL'!$A$1:$F$16,MATCH(E2058,'SummaryNOT_VALIDATED-BL'!$A$1:$A$16,0),6),0)),0)</f>
        <v>1.102169095281242E-2</v>
      </c>
      <c r="V2058" s="81" cm="1">
        <f t="array" ref="V2058">INDEX('Weight tables'!$A$24:$C$27,MATCH(1,(RendicontiTrasmessiBL__2[[#This Row],[Cut percentage on real costs + USC]]&gt;='Weight tables'!$B$24:$B$27)*(RendicontiTrasmessiBL__2[[#This Row],[Cut percentage on real costs + USC]]&lt;='Weight tables'!$C$24:$C$27),0),1)</f>
        <v>0</v>
      </c>
      <c r="W2058" s="2">
        <f>RendicontiTrasmessiBL__2[[#This Row],[Weight real costs  + USC ]]</f>
        <v>0</v>
      </c>
    </row>
    <row r="2059" spans="1:23" x14ac:dyDescent="0.25">
      <c r="A2059" s="204" t="s">
        <v>3305</v>
      </c>
      <c r="B2059" s="1" t="s">
        <v>2791</v>
      </c>
      <c r="C2059" s="2">
        <v>603</v>
      </c>
      <c r="D2059" s="2">
        <v>366</v>
      </c>
      <c r="E2059" s="1" t="s">
        <v>233</v>
      </c>
      <c r="J2059">
        <v>0</v>
      </c>
      <c r="Q2059" t="str">
        <f>INDEX('Partner data'!A:DH,MATCH(C2059,'Partner data'!DG:DG,0),83)</f>
        <v>Soggetto pubblico</v>
      </c>
      <c r="R2059" t="b">
        <f>IF(E2059="staff",IF(INDEX('Partner data'!A:DH,MATCH(C2059,'Partner data'!DG:DG,0),112)="BL1 non presente","FALSO",INDEX('Partner data'!A:DH,MATCH(C2059,'Partner data'!DG:DG,0),112)))</f>
        <v>0</v>
      </c>
      <c r="S2059" s="86" t="b">
        <f t="shared" si="68"/>
        <v>0</v>
      </c>
      <c r="T2059" t="b">
        <f t="shared" si="69"/>
        <v>1</v>
      </c>
      <c r="U2059" s="154">
        <f>IFERROR(IF(R2059&lt;&gt;FALSE,IF(S2059=TRUE,INDEX('SummaryNOT_VALIDATED-BL'!$A$1:$F$16,MATCH(R2059,'SummaryNOT_VALIDATED-BL'!$A$1:$A$16,0),6),0),IF(S2059=TRUE,INDEX('SummaryNOT_VALIDATED-BL'!$A$1:$F$16,MATCH(E2059,'SummaryNOT_VALIDATED-BL'!$A$1:$A$16,0),6),0)),0)</f>
        <v>0</v>
      </c>
      <c r="V2059" s="81" cm="1">
        <f t="array" ref="V2059">INDEX('Weight tables'!$A$24:$C$27,MATCH(1,(RendicontiTrasmessiBL__2[[#This Row],[Cut percentage on real costs + USC]]&gt;='Weight tables'!$B$24:$B$27)*(RendicontiTrasmessiBL__2[[#This Row],[Cut percentage on real costs + USC]]&lt;='Weight tables'!$C$24:$C$27),0),1)</f>
        <v>0</v>
      </c>
      <c r="W2059" s="2">
        <f>RendicontiTrasmessiBL__2[[#This Row],[Weight real costs  + USC ]]</f>
        <v>0</v>
      </c>
    </row>
    <row r="2060" spans="1:23" x14ac:dyDescent="0.25">
      <c r="A2060" s="204" t="s">
        <v>3305</v>
      </c>
      <c r="B2060" s="1" t="s">
        <v>2791</v>
      </c>
      <c r="C2060" s="2">
        <v>603</v>
      </c>
      <c r="D2060" s="2">
        <v>366</v>
      </c>
      <c r="E2060" s="1" t="s">
        <v>234</v>
      </c>
      <c r="J2060">
        <v>0</v>
      </c>
      <c r="Q2060" t="str">
        <f>INDEX('Partner data'!A:DH,MATCH(C2060,'Partner data'!DG:DG,0),83)</f>
        <v>Soggetto pubblico</v>
      </c>
      <c r="R2060" t="b">
        <f>IF(E2060="staff",IF(INDEX('Partner data'!A:DH,MATCH(C2060,'Partner data'!DG:DG,0),112)="BL1 non presente","FALSO",INDEX('Partner data'!A:DH,MATCH(C2060,'Partner data'!DG:DG,0),112)))</f>
        <v>0</v>
      </c>
      <c r="S2060" s="86" t="b">
        <f t="shared" si="68"/>
        <v>0</v>
      </c>
      <c r="T2060" t="b">
        <f t="shared" si="69"/>
        <v>1</v>
      </c>
      <c r="U2060" s="154">
        <f>IFERROR(IF(R2060&lt;&gt;FALSE,IF(S2060=TRUE,INDEX('SummaryNOT_VALIDATED-BL'!$A$1:$F$16,MATCH(R2060,'SummaryNOT_VALIDATED-BL'!$A$1:$A$16,0),6),0),IF(S2060=TRUE,INDEX('SummaryNOT_VALIDATED-BL'!$A$1:$F$16,MATCH(E2060,'SummaryNOT_VALIDATED-BL'!$A$1:$A$16,0),6),0)),0)</f>
        <v>0</v>
      </c>
      <c r="V2060" s="81" cm="1">
        <f t="array" ref="V2060">INDEX('Weight tables'!$A$24:$C$27,MATCH(1,(RendicontiTrasmessiBL__2[[#This Row],[Cut percentage on real costs + USC]]&gt;='Weight tables'!$B$24:$B$27)*(RendicontiTrasmessiBL__2[[#This Row],[Cut percentage on real costs + USC]]&lt;='Weight tables'!$C$24:$C$27),0),1)</f>
        <v>0</v>
      </c>
      <c r="W2060" s="2">
        <f>RendicontiTrasmessiBL__2[[#This Row],[Weight real costs  + USC ]]</f>
        <v>0</v>
      </c>
    </row>
    <row r="2061" spans="1:23" x14ac:dyDescent="0.25">
      <c r="A2061" s="204" t="s">
        <v>3305</v>
      </c>
      <c r="B2061" s="1" t="s">
        <v>2791</v>
      </c>
      <c r="C2061" s="2">
        <v>603</v>
      </c>
      <c r="D2061" s="2">
        <v>366</v>
      </c>
      <c r="E2061" s="1" t="s">
        <v>235</v>
      </c>
      <c r="J2061">
        <v>0</v>
      </c>
      <c r="Q2061" t="str">
        <f>INDEX('Partner data'!A:DH,MATCH(C2061,'Partner data'!DG:DG,0),83)</f>
        <v>Soggetto pubblico</v>
      </c>
      <c r="R2061" t="b">
        <f>IF(E2061="staff",IF(INDEX('Partner data'!A:DH,MATCH(C2061,'Partner data'!DG:DG,0),112)="BL1 non presente","FALSO",INDEX('Partner data'!A:DH,MATCH(C2061,'Partner data'!DG:DG,0),112)))</f>
        <v>0</v>
      </c>
      <c r="S2061" s="86" t="b">
        <f t="shared" si="68"/>
        <v>0</v>
      </c>
      <c r="T2061" t="b">
        <f t="shared" si="69"/>
        <v>1</v>
      </c>
      <c r="U2061" s="154">
        <f>IFERROR(IF(R2061&lt;&gt;FALSE,IF(S2061=TRUE,INDEX('SummaryNOT_VALIDATED-BL'!$A$1:$F$16,MATCH(R2061,'SummaryNOT_VALIDATED-BL'!$A$1:$A$16,0),6),0),IF(S2061=TRUE,INDEX('SummaryNOT_VALIDATED-BL'!$A$1:$F$16,MATCH(E2061,'SummaryNOT_VALIDATED-BL'!$A$1:$A$16,0),6),0)),0)</f>
        <v>0</v>
      </c>
      <c r="V2061" s="81" cm="1">
        <f t="array" ref="V2061">INDEX('Weight tables'!$A$24:$C$27,MATCH(1,(RendicontiTrasmessiBL__2[[#This Row],[Cut percentage on real costs + USC]]&gt;='Weight tables'!$B$24:$B$27)*(RendicontiTrasmessiBL__2[[#This Row],[Cut percentage on real costs + USC]]&lt;='Weight tables'!$C$24:$C$27),0),1)</f>
        <v>0</v>
      </c>
      <c r="W2061" s="2">
        <f>RendicontiTrasmessiBL__2[[#This Row],[Weight real costs  + USC ]]</f>
        <v>0</v>
      </c>
    </row>
    <row r="2062" spans="1:23" x14ac:dyDescent="0.25">
      <c r="A2062" s="204" t="s">
        <v>3305</v>
      </c>
      <c r="B2062" s="1" t="s">
        <v>2791</v>
      </c>
      <c r="C2062" s="2">
        <v>603</v>
      </c>
      <c r="D2062" s="2">
        <v>366</v>
      </c>
      <c r="E2062" s="1" t="s">
        <v>236</v>
      </c>
      <c r="J2062">
        <v>0</v>
      </c>
      <c r="Q2062" t="str">
        <f>INDEX('Partner data'!A:DH,MATCH(C2062,'Partner data'!DG:DG,0),83)</f>
        <v>Soggetto pubblico</v>
      </c>
      <c r="R2062" t="b">
        <f>IF(E2062="staff",IF(INDEX('Partner data'!A:DH,MATCH(C2062,'Partner data'!DG:DG,0),112)="BL1 non presente","FALSO",INDEX('Partner data'!A:DH,MATCH(C2062,'Partner data'!DG:DG,0),112)))</f>
        <v>0</v>
      </c>
      <c r="S2062" s="86" t="b">
        <f t="shared" si="68"/>
        <v>0</v>
      </c>
      <c r="T2062" t="b">
        <f t="shared" si="69"/>
        <v>1</v>
      </c>
      <c r="U2062" s="154">
        <f>IFERROR(IF(R2062&lt;&gt;FALSE,IF(S2062=TRUE,INDEX('SummaryNOT_VALIDATED-BL'!$A$1:$F$16,MATCH(R2062,'SummaryNOT_VALIDATED-BL'!$A$1:$A$16,0),6),0),IF(S2062=TRUE,INDEX('SummaryNOT_VALIDATED-BL'!$A$1:$F$16,MATCH(E2062,'SummaryNOT_VALIDATED-BL'!$A$1:$A$16,0),6),0)),0)</f>
        <v>0</v>
      </c>
      <c r="V2062" s="81" cm="1">
        <f t="array" ref="V2062">INDEX('Weight tables'!$A$24:$C$27,MATCH(1,(RendicontiTrasmessiBL__2[[#This Row],[Cut percentage on real costs + USC]]&gt;='Weight tables'!$B$24:$B$27)*(RendicontiTrasmessiBL__2[[#This Row],[Cut percentage on real costs + USC]]&lt;='Weight tables'!$C$24:$C$27),0),1)</f>
        <v>0</v>
      </c>
      <c r="W2062" s="2">
        <f>RendicontiTrasmessiBL__2[[#This Row],[Weight real costs  + USC ]]</f>
        <v>0</v>
      </c>
    </row>
    <row r="2063" spans="1:23" x14ac:dyDescent="0.25">
      <c r="A2063" s="204" t="s">
        <v>3305</v>
      </c>
      <c r="B2063" s="1" t="s">
        <v>3350</v>
      </c>
      <c r="C2063" s="2">
        <v>604</v>
      </c>
      <c r="D2063" s="2">
        <v>367</v>
      </c>
      <c r="E2063" s="1" t="s">
        <v>228</v>
      </c>
      <c r="J2063">
        <f>J2066*0.2</f>
        <v>600</v>
      </c>
      <c r="Q2063" t="str">
        <f>INDEX('Partner data'!A:DH,MATCH(C2063,'Partner data'!DG:DG,0),83)</f>
        <v>Soggetto pubblico</v>
      </c>
      <c r="R2063" t="str">
        <f>IF(E2063="staff",IF(INDEX('Partner data'!A:DH,MATCH(C2063,'Partner data'!DG:DG,0),112)="BL1 non presente","FALSO",INDEX('Partner data'!A:DH,MATCH(C2063,'Partner data'!DG:DG,0),112)))</f>
        <v>Tasso Forfettario 20%</v>
      </c>
      <c r="S2063" s="86" t="b">
        <f t="shared" si="68"/>
        <v>1</v>
      </c>
      <c r="T2063" t="b">
        <f t="shared" si="69"/>
        <v>1</v>
      </c>
      <c r="U2063" s="154">
        <f>IFERROR(IF(R2063&lt;&gt;FALSE,IF(S2063=TRUE,INDEX('SummaryNOT_VALIDATED-BL'!$A$1:$F$16,MATCH(R2063,'SummaryNOT_VALIDATED-BL'!$A$1:$A$16,0),6),0),IF(S2063=TRUE,INDEX('SummaryNOT_VALIDATED-BL'!$A$1:$F$16,MATCH(E2063,'SummaryNOT_VALIDATED-BL'!$A$1:$A$16,0),6),0)),0)</f>
        <v>1.2653355650533233E-2</v>
      </c>
      <c r="V2063" s="81" cm="1">
        <f t="array" ref="V2063">INDEX('Weight tables'!$A$24:$C$27,MATCH(1,(RendicontiTrasmessiBL__2[[#This Row],[Cut percentage on real costs + USC]]&gt;='Weight tables'!$B$24:$B$27)*(RendicontiTrasmessiBL__2[[#This Row],[Cut percentage on real costs + USC]]&lt;='Weight tables'!$C$24:$C$27),0),1)</f>
        <v>0</v>
      </c>
      <c r="W2063" s="2">
        <f>RendicontiTrasmessiBL__2[[#This Row],[Weight real costs  + USC ]]</f>
        <v>0</v>
      </c>
    </row>
    <row r="2064" spans="1:23" x14ac:dyDescent="0.25">
      <c r="A2064" s="204" t="s">
        <v>3305</v>
      </c>
      <c r="B2064" s="1" t="s">
        <v>3350</v>
      </c>
      <c r="C2064" s="2">
        <v>604</v>
      </c>
      <c r="D2064" s="2">
        <v>367</v>
      </c>
      <c r="E2064" s="1" t="s">
        <v>229</v>
      </c>
      <c r="J2064">
        <f>J2063*0.15</f>
        <v>90</v>
      </c>
      <c r="Q2064" t="str">
        <f>INDEX('Partner data'!A:DH,MATCH(C2064,'Partner data'!DG:DG,0),83)</f>
        <v>Soggetto pubblico</v>
      </c>
      <c r="R2064" t="b">
        <f>IF(E2064="staff",IF(INDEX('Partner data'!A:DH,MATCH(C2064,'Partner data'!DG:DG,0),112)="BL1 non presente","FALSO",INDEX('Partner data'!A:DH,MATCH(C2064,'Partner data'!DG:DG,0),112)))</f>
        <v>0</v>
      </c>
      <c r="S2064" s="86" t="b">
        <f t="shared" si="68"/>
        <v>1</v>
      </c>
      <c r="T2064" t="b">
        <f t="shared" si="69"/>
        <v>1</v>
      </c>
      <c r="U2064" s="154">
        <f>IFERROR(IF(R2064&lt;&gt;FALSE,IF(S2064=TRUE,INDEX('SummaryNOT_VALIDATED-BL'!$A$1:$F$16,MATCH(R2064,'SummaryNOT_VALIDATED-BL'!$A$1:$A$16,0),6),0),IF(S2064=TRUE,INDEX('SummaryNOT_VALIDATED-BL'!$A$1:$F$16,MATCH(E2064,'SummaryNOT_VALIDATED-BL'!$A$1:$A$16,0),6),0)),0)</f>
        <v>6.6460469504890221E-2</v>
      </c>
      <c r="V2064" s="81" cm="1">
        <f t="array" ref="V2064">INDEX('Weight tables'!$A$24:$C$27,MATCH(1,(RendicontiTrasmessiBL__2[[#This Row],[Cut percentage on real costs + USC]]&gt;='Weight tables'!$B$24:$B$27)*(RendicontiTrasmessiBL__2[[#This Row],[Cut percentage on real costs + USC]]&lt;='Weight tables'!$C$24:$C$27),0),1)</f>
        <v>4</v>
      </c>
      <c r="W2064" s="2">
        <f>RendicontiTrasmessiBL__2[[#This Row],[Weight real costs  + USC ]]</f>
        <v>4</v>
      </c>
    </row>
    <row r="2065" spans="1:23" x14ac:dyDescent="0.25">
      <c r="A2065" s="204" t="s">
        <v>3305</v>
      </c>
      <c r="B2065" s="1" t="s">
        <v>3350</v>
      </c>
      <c r="C2065" s="2">
        <v>604</v>
      </c>
      <c r="D2065" s="2">
        <v>367</v>
      </c>
      <c r="E2065" s="1" t="s">
        <v>230</v>
      </c>
      <c r="J2065">
        <f>J2063*0.04</f>
        <v>24</v>
      </c>
      <c r="Q2065" t="str">
        <f>INDEX('Partner data'!A:DH,MATCH(C2065,'Partner data'!DG:DG,0),83)</f>
        <v>Soggetto pubblico</v>
      </c>
      <c r="R2065" t="b">
        <f>IF(E2065="staff",IF(INDEX('Partner data'!A:DH,MATCH(C2065,'Partner data'!DG:DG,0),112)="BL1 non presente","FALSO",INDEX('Partner data'!A:DH,MATCH(C2065,'Partner data'!DG:DG,0),112)))</f>
        <v>0</v>
      </c>
      <c r="S2065" s="86" t="b">
        <f t="shared" si="68"/>
        <v>1</v>
      </c>
      <c r="T2065" t="b">
        <f t="shared" si="69"/>
        <v>1</v>
      </c>
      <c r="U2065" s="154">
        <f>IFERROR(IF(R2065&lt;&gt;FALSE,IF(S2065=TRUE,INDEX('SummaryNOT_VALIDATED-BL'!$A$1:$F$16,MATCH(R2065,'SummaryNOT_VALIDATED-BL'!$A$1:$A$16,0),6),0),IF(S2065=TRUE,INDEX('SummaryNOT_VALIDATED-BL'!$A$1:$F$16,MATCH(E2065,'SummaryNOT_VALIDATED-BL'!$A$1:$A$16,0),6),0)),0)</f>
        <v>6.3112622236488891E-2</v>
      </c>
      <c r="V2065" s="81" cm="1">
        <f t="array" ref="V2065">INDEX('Weight tables'!$A$24:$C$27,MATCH(1,(RendicontiTrasmessiBL__2[[#This Row],[Cut percentage on real costs + USC]]&gt;='Weight tables'!$B$24:$B$27)*(RendicontiTrasmessiBL__2[[#This Row],[Cut percentage on real costs + USC]]&lt;='Weight tables'!$C$24:$C$27),0),1)</f>
        <v>4</v>
      </c>
      <c r="W2065" s="2">
        <f>RendicontiTrasmessiBL__2[[#This Row],[Weight real costs  + USC ]]</f>
        <v>4</v>
      </c>
    </row>
    <row r="2066" spans="1:23" x14ac:dyDescent="0.25">
      <c r="A2066" s="204" t="s">
        <v>3305</v>
      </c>
      <c r="B2066" s="1" t="s">
        <v>3350</v>
      </c>
      <c r="C2066" s="2">
        <v>604</v>
      </c>
      <c r="D2066" s="2">
        <v>367</v>
      </c>
      <c r="E2066" s="1" t="s">
        <v>231</v>
      </c>
      <c r="J2066">
        <v>3000</v>
      </c>
      <c r="Q2066" t="str">
        <f>INDEX('Partner data'!A:DH,MATCH(C2066,'Partner data'!DG:DG,0),83)</f>
        <v>Soggetto pubblico</v>
      </c>
      <c r="R2066" t="b">
        <f>IF(E2066="staff",IF(INDEX('Partner data'!A:DH,MATCH(C2066,'Partner data'!DG:DG,0),112)="BL1 non presente","FALSO",INDEX('Partner data'!A:DH,MATCH(C2066,'Partner data'!DG:DG,0),112)))</f>
        <v>0</v>
      </c>
      <c r="S2066" s="86" t="b">
        <f t="shared" si="68"/>
        <v>1</v>
      </c>
      <c r="T2066" t="b">
        <f t="shared" si="69"/>
        <v>1</v>
      </c>
      <c r="U2066" s="154">
        <f>IFERROR(IF(R2066&lt;&gt;FALSE,IF(S2066=TRUE,INDEX('SummaryNOT_VALIDATED-BL'!$A$1:$F$16,MATCH(R2066,'SummaryNOT_VALIDATED-BL'!$A$1:$A$16,0),6),0),IF(S2066=TRUE,INDEX('SummaryNOT_VALIDATED-BL'!$A$1:$F$16,MATCH(E2066,'SummaryNOT_VALIDATED-BL'!$A$1:$A$16,0),6),0)),0)</f>
        <v>5.577594442215475E-2</v>
      </c>
      <c r="V2066" s="81" cm="1">
        <f t="array" ref="V2066">INDEX('Weight tables'!$A$24:$C$27,MATCH(1,(RendicontiTrasmessiBL__2[[#This Row],[Cut percentage on real costs + USC]]&gt;='Weight tables'!$B$24:$B$27)*(RendicontiTrasmessiBL__2[[#This Row],[Cut percentage on real costs + USC]]&lt;='Weight tables'!$C$24:$C$27),0),1)</f>
        <v>4</v>
      </c>
      <c r="W2066" s="2">
        <f>RendicontiTrasmessiBL__2[[#This Row],[Weight real costs  + USC ]]</f>
        <v>4</v>
      </c>
    </row>
    <row r="2067" spans="1:23" x14ac:dyDescent="0.25">
      <c r="A2067" s="204" t="s">
        <v>3305</v>
      </c>
      <c r="B2067" s="1" t="s">
        <v>3350</v>
      </c>
      <c r="C2067" s="2">
        <v>604</v>
      </c>
      <c r="D2067" s="2">
        <v>367</v>
      </c>
      <c r="E2067" s="1" t="s">
        <v>232</v>
      </c>
      <c r="J2067">
        <v>0</v>
      </c>
      <c r="Q2067" t="str">
        <f>INDEX('Partner data'!A:DH,MATCH(C2067,'Partner data'!DG:DG,0),83)</f>
        <v>Soggetto pubblico</v>
      </c>
      <c r="R2067" t="b">
        <f>IF(E2067="staff",IF(INDEX('Partner data'!A:DH,MATCH(C2067,'Partner data'!DG:DG,0),112)="BL1 non presente","FALSO",INDEX('Partner data'!A:DH,MATCH(C2067,'Partner data'!DG:DG,0),112)))</f>
        <v>0</v>
      </c>
      <c r="S2067" s="86" t="b">
        <f t="shared" si="68"/>
        <v>0</v>
      </c>
      <c r="T2067" t="b">
        <f t="shared" si="69"/>
        <v>1</v>
      </c>
      <c r="U2067" s="154">
        <f>IFERROR(IF(R2067&lt;&gt;FALSE,IF(S2067=TRUE,INDEX('SummaryNOT_VALIDATED-BL'!$A$1:$F$16,MATCH(R2067,'SummaryNOT_VALIDATED-BL'!$A$1:$A$16,0),6),0),IF(S2067=TRUE,INDEX('SummaryNOT_VALIDATED-BL'!$A$1:$F$16,MATCH(E2067,'SummaryNOT_VALIDATED-BL'!$A$1:$A$16,0),6),0)),0)</f>
        <v>0</v>
      </c>
      <c r="V2067" s="81" cm="1">
        <f t="array" ref="V2067">INDEX('Weight tables'!$A$24:$C$27,MATCH(1,(RendicontiTrasmessiBL__2[[#This Row],[Cut percentage on real costs + USC]]&gt;='Weight tables'!$B$24:$B$27)*(RendicontiTrasmessiBL__2[[#This Row],[Cut percentage on real costs + USC]]&lt;='Weight tables'!$C$24:$C$27),0),1)</f>
        <v>0</v>
      </c>
      <c r="W2067" s="2">
        <f>RendicontiTrasmessiBL__2[[#This Row],[Weight real costs  + USC ]]</f>
        <v>0</v>
      </c>
    </row>
    <row r="2068" spans="1:23" x14ac:dyDescent="0.25">
      <c r="A2068" s="204" t="s">
        <v>3305</v>
      </c>
      <c r="B2068" s="1" t="s">
        <v>3350</v>
      </c>
      <c r="C2068" s="2">
        <v>604</v>
      </c>
      <c r="D2068" s="2">
        <v>367</v>
      </c>
      <c r="E2068" s="1" t="s">
        <v>233</v>
      </c>
      <c r="J2068">
        <v>0</v>
      </c>
      <c r="Q2068" t="str">
        <f>INDEX('Partner data'!A:DH,MATCH(C2068,'Partner data'!DG:DG,0),83)</f>
        <v>Soggetto pubblico</v>
      </c>
      <c r="R2068" t="b">
        <f>IF(E2068="staff",IF(INDEX('Partner data'!A:DH,MATCH(C2068,'Partner data'!DG:DG,0),112)="BL1 non presente","FALSO",INDEX('Partner data'!A:DH,MATCH(C2068,'Partner data'!DG:DG,0),112)))</f>
        <v>0</v>
      </c>
      <c r="S2068" s="86" t="b">
        <f t="shared" si="68"/>
        <v>0</v>
      </c>
      <c r="T2068" t="b">
        <f t="shared" si="69"/>
        <v>1</v>
      </c>
      <c r="U2068" s="154">
        <f>IFERROR(IF(R2068&lt;&gt;FALSE,IF(S2068=TRUE,INDEX('SummaryNOT_VALIDATED-BL'!$A$1:$F$16,MATCH(R2068,'SummaryNOT_VALIDATED-BL'!$A$1:$A$16,0),6),0),IF(S2068=TRUE,INDEX('SummaryNOT_VALIDATED-BL'!$A$1:$F$16,MATCH(E2068,'SummaryNOT_VALIDATED-BL'!$A$1:$A$16,0),6),0)),0)</f>
        <v>0</v>
      </c>
      <c r="V2068" s="81" cm="1">
        <f t="array" ref="V2068">INDEX('Weight tables'!$A$24:$C$27,MATCH(1,(RendicontiTrasmessiBL__2[[#This Row],[Cut percentage on real costs + USC]]&gt;='Weight tables'!$B$24:$B$27)*(RendicontiTrasmessiBL__2[[#This Row],[Cut percentage on real costs + USC]]&lt;='Weight tables'!$C$24:$C$27),0),1)</f>
        <v>0</v>
      </c>
      <c r="W2068" s="2">
        <f>RendicontiTrasmessiBL__2[[#This Row],[Weight real costs  + USC ]]</f>
        <v>0</v>
      </c>
    </row>
    <row r="2069" spans="1:23" x14ac:dyDescent="0.25">
      <c r="A2069" s="204" t="s">
        <v>3305</v>
      </c>
      <c r="B2069" s="1" t="s">
        <v>3350</v>
      </c>
      <c r="C2069" s="2">
        <v>604</v>
      </c>
      <c r="D2069" s="2">
        <v>367</v>
      </c>
      <c r="E2069" s="1" t="s">
        <v>234</v>
      </c>
      <c r="J2069">
        <v>0</v>
      </c>
      <c r="Q2069" t="str">
        <f>INDEX('Partner data'!A:DH,MATCH(C2069,'Partner data'!DG:DG,0),83)</f>
        <v>Soggetto pubblico</v>
      </c>
      <c r="R2069" t="b">
        <f>IF(E2069="staff",IF(INDEX('Partner data'!A:DH,MATCH(C2069,'Partner data'!DG:DG,0),112)="BL1 non presente","FALSO",INDEX('Partner data'!A:DH,MATCH(C2069,'Partner data'!DG:DG,0),112)))</f>
        <v>0</v>
      </c>
      <c r="S2069" s="86" t="b">
        <f t="shared" si="68"/>
        <v>0</v>
      </c>
      <c r="T2069" t="b">
        <f t="shared" si="69"/>
        <v>1</v>
      </c>
      <c r="U2069" s="154">
        <f>IFERROR(IF(R2069&lt;&gt;FALSE,IF(S2069=TRUE,INDEX('SummaryNOT_VALIDATED-BL'!$A$1:$F$16,MATCH(R2069,'SummaryNOT_VALIDATED-BL'!$A$1:$A$16,0),6),0),IF(S2069=TRUE,INDEX('SummaryNOT_VALIDATED-BL'!$A$1:$F$16,MATCH(E2069,'SummaryNOT_VALIDATED-BL'!$A$1:$A$16,0),6),0)),0)</f>
        <v>0</v>
      </c>
      <c r="V2069" s="81" cm="1">
        <f t="array" ref="V2069">INDEX('Weight tables'!$A$24:$C$27,MATCH(1,(RendicontiTrasmessiBL__2[[#This Row],[Cut percentage on real costs + USC]]&gt;='Weight tables'!$B$24:$B$27)*(RendicontiTrasmessiBL__2[[#This Row],[Cut percentage on real costs + USC]]&lt;='Weight tables'!$C$24:$C$27),0),1)</f>
        <v>0</v>
      </c>
      <c r="W2069" s="2">
        <f>RendicontiTrasmessiBL__2[[#This Row],[Weight real costs  + USC ]]</f>
        <v>0</v>
      </c>
    </row>
    <row r="2070" spans="1:23" x14ac:dyDescent="0.25">
      <c r="A2070" s="204" t="s">
        <v>3305</v>
      </c>
      <c r="B2070" s="1" t="s">
        <v>3350</v>
      </c>
      <c r="C2070" s="2">
        <v>604</v>
      </c>
      <c r="D2070" s="2">
        <v>367</v>
      </c>
      <c r="E2070" s="1" t="s">
        <v>235</v>
      </c>
      <c r="J2070">
        <v>0</v>
      </c>
      <c r="Q2070" t="str">
        <f>INDEX('Partner data'!A:DH,MATCH(C2070,'Partner data'!DG:DG,0),83)</f>
        <v>Soggetto pubblico</v>
      </c>
      <c r="R2070" t="b">
        <f>IF(E2070="staff",IF(INDEX('Partner data'!A:DH,MATCH(C2070,'Partner data'!DG:DG,0),112)="BL1 non presente","FALSO",INDEX('Partner data'!A:DH,MATCH(C2070,'Partner data'!DG:DG,0),112)))</f>
        <v>0</v>
      </c>
      <c r="S2070" s="86" t="b">
        <f t="shared" si="68"/>
        <v>0</v>
      </c>
      <c r="T2070" t="b">
        <f t="shared" si="69"/>
        <v>1</v>
      </c>
      <c r="U2070" s="154">
        <f>IFERROR(IF(R2070&lt;&gt;FALSE,IF(S2070=TRUE,INDEX('SummaryNOT_VALIDATED-BL'!$A$1:$F$16,MATCH(R2070,'SummaryNOT_VALIDATED-BL'!$A$1:$A$16,0),6),0),IF(S2070=TRUE,INDEX('SummaryNOT_VALIDATED-BL'!$A$1:$F$16,MATCH(E2070,'SummaryNOT_VALIDATED-BL'!$A$1:$A$16,0),6),0)),0)</f>
        <v>0</v>
      </c>
      <c r="V2070" s="81" cm="1">
        <f t="array" ref="V2070">INDEX('Weight tables'!$A$24:$C$27,MATCH(1,(RendicontiTrasmessiBL__2[[#This Row],[Cut percentage on real costs + USC]]&gt;='Weight tables'!$B$24:$B$27)*(RendicontiTrasmessiBL__2[[#This Row],[Cut percentage on real costs + USC]]&lt;='Weight tables'!$C$24:$C$27),0),1)</f>
        <v>0</v>
      </c>
      <c r="W2070" s="2">
        <f>RendicontiTrasmessiBL__2[[#This Row],[Weight real costs  + USC ]]</f>
        <v>0</v>
      </c>
    </row>
    <row r="2071" spans="1:23" x14ac:dyDescent="0.25">
      <c r="A2071" s="204" t="s">
        <v>3305</v>
      </c>
      <c r="B2071" s="1" t="s">
        <v>3350</v>
      </c>
      <c r="C2071" s="2">
        <v>604</v>
      </c>
      <c r="D2071" s="2">
        <v>367</v>
      </c>
      <c r="E2071" s="1" t="s">
        <v>236</v>
      </c>
      <c r="J2071">
        <v>0</v>
      </c>
      <c r="Q2071" t="str">
        <f>INDEX('Partner data'!A:DH,MATCH(C2071,'Partner data'!DG:DG,0),83)</f>
        <v>Soggetto pubblico</v>
      </c>
      <c r="R2071" t="b">
        <f>IF(E2071="staff",IF(INDEX('Partner data'!A:DH,MATCH(C2071,'Partner data'!DG:DG,0),112)="BL1 non presente","FALSO",INDEX('Partner data'!A:DH,MATCH(C2071,'Partner data'!DG:DG,0),112)))</f>
        <v>0</v>
      </c>
      <c r="S2071" s="86" t="b">
        <f t="shared" si="68"/>
        <v>0</v>
      </c>
      <c r="T2071" t="b">
        <f t="shared" si="69"/>
        <v>1</v>
      </c>
      <c r="U2071" s="154">
        <f>IFERROR(IF(R2071&lt;&gt;FALSE,IF(S2071=TRUE,INDEX('SummaryNOT_VALIDATED-BL'!$A$1:$F$16,MATCH(R2071,'SummaryNOT_VALIDATED-BL'!$A$1:$A$16,0),6),0),IF(S2071=TRUE,INDEX('SummaryNOT_VALIDATED-BL'!$A$1:$F$16,MATCH(E2071,'SummaryNOT_VALIDATED-BL'!$A$1:$A$16,0),6),0)),0)</f>
        <v>0</v>
      </c>
      <c r="V2071" s="81" cm="1">
        <f t="array" ref="V2071">INDEX('Weight tables'!$A$24:$C$27,MATCH(1,(RendicontiTrasmessiBL__2[[#This Row],[Cut percentage on real costs + USC]]&gt;='Weight tables'!$B$24:$B$27)*(RendicontiTrasmessiBL__2[[#This Row],[Cut percentage on real costs + USC]]&lt;='Weight tables'!$C$24:$C$27),0),1)</f>
        <v>0</v>
      </c>
      <c r="W2071" s="2">
        <f>RendicontiTrasmessiBL__2[[#This Row],[Weight real costs  + USC ]]</f>
        <v>0</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2"/>
  <dimension ref="A1:S2333"/>
  <sheetViews>
    <sheetView topLeftCell="A61" workbookViewId="0">
      <selection activeCell="J90" sqref="J90"/>
    </sheetView>
  </sheetViews>
  <sheetFormatPr defaultRowHeight="15" x14ac:dyDescent="0.25"/>
  <cols>
    <col min="1" max="1" width="20.42578125" bestFit="1" customWidth="1"/>
    <col min="2" max="2" width="18.85546875" bestFit="1" customWidth="1"/>
    <col min="3" max="3" width="12" bestFit="1" customWidth="1"/>
    <col min="4" max="4" width="15.7109375" bestFit="1" customWidth="1"/>
    <col min="5" max="5" width="13.28515625" bestFit="1" customWidth="1"/>
    <col min="6" max="6" width="16.140625" bestFit="1" customWidth="1"/>
    <col min="7" max="7" width="26.42578125" bestFit="1" customWidth="1"/>
    <col min="8" max="8" width="27" bestFit="1" customWidth="1"/>
    <col min="9" max="9" width="33.42578125" bestFit="1" customWidth="1"/>
    <col min="10" max="10" width="21.7109375" bestFit="1" customWidth="1"/>
    <col min="11" max="11" width="32.140625" bestFit="1" customWidth="1"/>
    <col min="12" max="12" width="31.42578125" bestFit="1" customWidth="1"/>
    <col min="13" max="13" width="26.7109375" bestFit="1" customWidth="1"/>
    <col min="14" max="14" width="37.140625" bestFit="1" customWidth="1"/>
    <col min="15" max="15" width="24.7109375" bestFit="1" customWidth="1"/>
    <col min="16" max="16" width="27.28515625" bestFit="1" customWidth="1"/>
    <col min="17" max="17" width="12.5703125" bestFit="1" customWidth="1"/>
    <col min="18" max="18" width="27.85546875" bestFit="1" customWidth="1"/>
    <col min="19" max="19" width="22.28515625" style="86" bestFit="1" customWidth="1"/>
  </cols>
  <sheetData>
    <row r="1" spans="1:19" x14ac:dyDescent="0.25">
      <c r="A1" s="1" t="s">
        <v>7426</v>
      </c>
      <c r="B1" s="1" t="s">
        <v>7427</v>
      </c>
      <c r="C1" s="1" t="s">
        <v>216</v>
      </c>
      <c r="D1" s="1" t="s">
        <v>7428</v>
      </c>
      <c r="E1" s="1" t="s">
        <v>3</v>
      </c>
      <c r="F1" s="1" t="s">
        <v>217</v>
      </c>
      <c r="G1" s="1" t="s">
        <v>218</v>
      </c>
      <c r="H1" s="1" t="s">
        <v>219</v>
      </c>
      <c r="I1" s="1" t="s">
        <v>220</v>
      </c>
      <c r="J1" s="1" t="s">
        <v>221</v>
      </c>
      <c r="K1" s="1" t="s">
        <v>222</v>
      </c>
      <c r="L1" s="1" t="s">
        <v>223</v>
      </c>
      <c r="M1" s="1" t="s">
        <v>224</v>
      </c>
      <c r="N1" s="1" t="s">
        <v>225</v>
      </c>
      <c r="O1" s="1" t="s">
        <v>226</v>
      </c>
      <c r="P1" s="1" t="s">
        <v>227</v>
      </c>
      <c r="Q1" t="s">
        <v>4312</v>
      </c>
      <c r="R1" t="s">
        <v>7429</v>
      </c>
      <c r="S1" s="86" t="s">
        <v>7430</v>
      </c>
    </row>
    <row r="2" spans="1:19" x14ac:dyDescent="0.25">
      <c r="A2" s="1" t="s">
        <v>58</v>
      </c>
      <c r="B2" s="1" t="s">
        <v>40</v>
      </c>
      <c r="C2" s="13">
        <v>14</v>
      </c>
      <c r="D2" s="13">
        <v>101</v>
      </c>
      <c r="E2" s="1" t="s">
        <v>228</v>
      </c>
      <c r="F2" s="1"/>
      <c r="G2" s="1">
        <v>144000</v>
      </c>
      <c r="H2" s="1">
        <v>0</v>
      </c>
      <c r="I2" s="1">
        <v>0</v>
      </c>
      <c r="J2" s="1">
        <v>34898.879999999997</v>
      </c>
      <c r="K2" s="1">
        <v>0</v>
      </c>
      <c r="L2" s="1">
        <v>34765.550000000003</v>
      </c>
      <c r="M2" s="1">
        <v>34898.879999999997</v>
      </c>
      <c r="N2" s="1">
        <v>24.24</v>
      </c>
      <c r="O2" s="1">
        <v>109101.12</v>
      </c>
      <c r="P2" s="1">
        <v>0</v>
      </c>
      <c r="Q2" t="str">
        <f>INDEX(pARTNER[#All],MATCH(#REF!,pARTNER[[#All],[Value.partnerSummary.id]],0),10)</f>
        <v>Slovenija (SI)</v>
      </c>
      <c r="R2" t="str">
        <f>INDEX('Partner data'!$A$2:$DG$171,MATCH(#REF!,'Partner data'!$DG$2:$DG$171,0),83)</f>
        <v>Soggetto pubblico</v>
      </c>
      <c r="S2" s="86" t="str">
        <f>IF(#REF!="staff",INDEX('Partner data'!$DG$2:$DH$171,MATCH(#REF!,'Partner data'!$DG$2:$DG$171,0),2))</f>
        <v>COSTO REALE</v>
      </c>
    </row>
    <row r="3" spans="1:19" x14ac:dyDescent="0.25">
      <c r="A3" s="1" t="s">
        <v>58</v>
      </c>
      <c r="B3" s="1" t="s">
        <v>40</v>
      </c>
      <c r="C3" s="13">
        <v>14</v>
      </c>
      <c r="D3" s="13">
        <v>101</v>
      </c>
      <c r="E3" s="1" t="s">
        <v>229</v>
      </c>
      <c r="F3" s="1">
        <v>15</v>
      </c>
      <c r="G3" s="1">
        <v>21600</v>
      </c>
      <c r="H3" s="1">
        <v>0</v>
      </c>
      <c r="I3" s="1">
        <v>0</v>
      </c>
      <c r="J3" s="1">
        <v>5234.83</v>
      </c>
      <c r="K3" s="1">
        <v>0</v>
      </c>
      <c r="L3" s="1">
        <v>5214.83</v>
      </c>
      <c r="M3" s="1">
        <v>5234.83</v>
      </c>
      <c r="N3" s="1">
        <v>24.24</v>
      </c>
      <c r="O3" s="1">
        <v>16365.17</v>
      </c>
      <c r="P3" s="1">
        <v>0</v>
      </c>
      <c r="Q3" t="str">
        <f>INDEX(pARTNER[#All],MATCH(#REF!,pARTNER[[#All],[Value.partnerSummary.id]],0),10)</f>
        <v>Slovenija (SI)</v>
      </c>
      <c r="R3" t="str">
        <f>INDEX('Partner data'!$A$2:$DG$171,MATCH(#REF!,'Partner data'!$DG$2:$DG$171,0),83)</f>
        <v>Soggetto pubblico</v>
      </c>
      <c r="S3" s="86" t="b">
        <f>IF(#REF!="staff",INDEX('Partner data'!$DG$2:$DH$171,MATCH(#REF!,'Partner data'!$DG$2:$DG$171,0),2))</f>
        <v>0</v>
      </c>
    </row>
    <row r="4" spans="1:19" x14ac:dyDescent="0.25">
      <c r="A4" s="1" t="s">
        <v>58</v>
      </c>
      <c r="B4" s="1" t="s">
        <v>40</v>
      </c>
      <c r="C4" s="13">
        <v>14</v>
      </c>
      <c r="D4" s="13">
        <v>101</v>
      </c>
      <c r="E4" s="1" t="s">
        <v>230</v>
      </c>
      <c r="F4" s="1">
        <v>4</v>
      </c>
      <c r="G4" s="1">
        <v>5760</v>
      </c>
      <c r="H4" s="1">
        <v>0</v>
      </c>
      <c r="I4" s="1">
        <v>0</v>
      </c>
      <c r="J4" s="1">
        <v>1395.95</v>
      </c>
      <c r="K4" s="1">
        <v>0</v>
      </c>
      <c r="L4" s="1">
        <v>1390.62</v>
      </c>
      <c r="M4" s="1">
        <v>1395.95</v>
      </c>
      <c r="N4" s="1">
        <v>24.24</v>
      </c>
      <c r="O4" s="1">
        <v>4364.05</v>
      </c>
      <c r="P4" s="1">
        <v>0</v>
      </c>
      <c r="Q4" t="str">
        <f>INDEX(pARTNER[#All],MATCH(#REF!,pARTNER[[#All],[Value.partnerSummary.id]],0),10)</f>
        <v>Slovenija (SI)</v>
      </c>
      <c r="R4" t="str">
        <f>INDEX('Partner data'!$A$2:$DG$171,MATCH(#REF!,'Partner data'!$DG$2:$DG$171,0),83)</f>
        <v>Soggetto pubblico</v>
      </c>
      <c r="S4" s="86" t="b">
        <f>IF(#REF!="staff",INDEX('Partner data'!$DG$2:$DH$171,MATCH(#REF!,'Partner data'!$DG$2:$DG$171,0),2))</f>
        <v>0</v>
      </c>
    </row>
    <row r="5" spans="1:19" x14ac:dyDescent="0.25">
      <c r="A5" s="1" t="s">
        <v>58</v>
      </c>
      <c r="B5" s="1" t="s">
        <v>40</v>
      </c>
      <c r="C5" s="13">
        <v>14</v>
      </c>
      <c r="D5" s="13">
        <v>101</v>
      </c>
      <c r="E5" s="1" t="s">
        <v>231</v>
      </c>
      <c r="F5" s="1"/>
      <c r="G5" s="1">
        <v>26448</v>
      </c>
      <c r="H5" s="1">
        <v>0</v>
      </c>
      <c r="I5" s="1">
        <v>0</v>
      </c>
      <c r="J5" s="1">
        <v>1939.4</v>
      </c>
      <c r="K5" s="1">
        <v>0</v>
      </c>
      <c r="L5" s="1">
        <v>1939.4</v>
      </c>
      <c r="M5" s="1">
        <v>1939.4</v>
      </c>
      <c r="N5" s="1">
        <v>7.33</v>
      </c>
      <c r="O5" s="1">
        <v>24508.6</v>
      </c>
      <c r="P5" s="1">
        <v>0</v>
      </c>
      <c r="Q5" t="str">
        <f>INDEX(pARTNER[#All],MATCH(#REF!,pARTNER[[#All],[Value.partnerSummary.id]],0),10)</f>
        <v>Slovenija (SI)</v>
      </c>
      <c r="R5" t="str">
        <f>INDEX('Partner data'!$A$2:$DG$171,MATCH(#REF!,'Partner data'!$DG$2:$DG$171,0),83)</f>
        <v>Soggetto pubblico</v>
      </c>
      <c r="S5" s="86" t="b">
        <f>IF(#REF!="staff",INDEX('Partner data'!$DG$2:$DH$171,MATCH(#REF!,'Partner data'!$DG$2:$DG$171,0),2))</f>
        <v>0</v>
      </c>
    </row>
    <row r="6" spans="1:19" x14ac:dyDescent="0.25">
      <c r="A6" s="1" t="s">
        <v>58</v>
      </c>
      <c r="B6" s="1" t="s">
        <v>40</v>
      </c>
      <c r="C6" s="13">
        <v>14</v>
      </c>
      <c r="D6" s="13">
        <v>101</v>
      </c>
      <c r="E6" s="1" t="s">
        <v>232</v>
      </c>
      <c r="F6" s="1"/>
      <c r="G6" s="1">
        <v>119000</v>
      </c>
      <c r="H6" s="1">
        <v>0</v>
      </c>
      <c r="I6" s="1">
        <v>0</v>
      </c>
      <c r="J6" s="1">
        <v>0</v>
      </c>
      <c r="K6" s="1">
        <v>0</v>
      </c>
      <c r="L6" s="1">
        <v>0</v>
      </c>
      <c r="M6" s="1">
        <v>0</v>
      </c>
      <c r="N6" s="1">
        <v>0</v>
      </c>
      <c r="O6" s="1">
        <v>119000</v>
      </c>
      <c r="P6" s="1">
        <v>0</v>
      </c>
      <c r="Q6" t="str">
        <f>INDEX(pARTNER[#All],MATCH(#REF!,pARTNER[[#All],[Value.partnerSummary.id]],0),10)</f>
        <v>Slovenija (SI)</v>
      </c>
      <c r="R6" t="str">
        <f>INDEX('Partner data'!$A$2:$DG$171,MATCH(#REF!,'Partner data'!$DG$2:$DG$171,0),83)</f>
        <v>Soggetto pubblico</v>
      </c>
      <c r="S6" s="86" t="b">
        <f>IF(#REF!="staff",INDEX('Partner data'!$DG$2:$DH$171,MATCH(#REF!,'Partner data'!$DG$2:$DG$171,0),2))</f>
        <v>0</v>
      </c>
    </row>
    <row r="7" spans="1:19" x14ac:dyDescent="0.25">
      <c r="A7" s="1" t="s">
        <v>58</v>
      </c>
      <c r="B7" s="1" t="s">
        <v>40</v>
      </c>
      <c r="C7" s="13">
        <v>14</v>
      </c>
      <c r="D7" s="13">
        <v>101</v>
      </c>
      <c r="E7" s="1" t="s">
        <v>233</v>
      </c>
      <c r="F7" s="1"/>
      <c r="G7" s="1">
        <v>0</v>
      </c>
      <c r="H7" s="1">
        <v>0</v>
      </c>
      <c r="I7" s="1">
        <v>0</v>
      </c>
      <c r="J7" s="1">
        <v>0</v>
      </c>
      <c r="K7" s="1">
        <v>0</v>
      </c>
      <c r="L7" s="1">
        <v>0</v>
      </c>
      <c r="M7" s="1">
        <v>0</v>
      </c>
      <c r="N7" s="1">
        <v>0</v>
      </c>
      <c r="O7" s="1">
        <v>0</v>
      </c>
      <c r="P7" s="1">
        <v>0</v>
      </c>
      <c r="Q7" t="str">
        <f>INDEX(pARTNER[#All],MATCH(#REF!,pARTNER[[#All],[Value.partnerSummary.id]],0),10)</f>
        <v>Slovenija (SI)</v>
      </c>
      <c r="R7" t="str">
        <f>INDEX('Partner data'!$A$2:$DG$171,MATCH(#REF!,'Partner data'!$DG$2:$DG$171,0),83)</f>
        <v>Soggetto pubblico</v>
      </c>
      <c r="S7" s="86" t="b">
        <f>IF(#REF!="staff",INDEX('Partner data'!$DG$2:$DH$171,MATCH(#REF!,'Partner data'!$DG$2:$DG$171,0),2))</f>
        <v>0</v>
      </c>
    </row>
    <row r="8" spans="1:19" x14ac:dyDescent="0.25">
      <c r="A8" s="1" t="s">
        <v>58</v>
      </c>
      <c r="B8" s="1" t="s">
        <v>40</v>
      </c>
      <c r="C8" s="13">
        <v>14</v>
      </c>
      <c r="D8" s="13">
        <v>101</v>
      </c>
      <c r="E8" s="1" t="s">
        <v>234</v>
      </c>
      <c r="F8" s="1"/>
      <c r="G8" s="1">
        <v>0</v>
      </c>
      <c r="H8" s="1">
        <v>0</v>
      </c>
      <c r="I8" s="1">
        <v>0</v>
      </c>
      <c r="J8" s="1">
        <v>0</v>
      </c>
      <c r="K8" s="1">
        <v>0</v>
      </c>
      <c r="L8" s="1">
        <v>0</v>
      </c>
      <c r="M8" s="1">
        <v>0</v>
      </c>
      <c r="N8" s="1">
        <v>0</v>
      </c>
      <c r="O8" s="1">
        <v>0</v>
      </c>
      <c r="P8" s="1">
        <v>0</v>
      </c>
      <c r="Q8" t="str">
        <f>INDEX(pARTNER[#All],MATCH(#REF!,pARTNER[[#All],[Value.partnerSummary.id]],0),10)</f>
        <v>Slovenija (SI)</v>
      </c>
      <c r="R8" t="str">
        <f>INDEX('Partner data'!$A$2:$DG$171,MATCH(#REF!,'Partner data'!$DG$2:$DG$171,0),83)</f>
        <v>Soggetto pubblico</v>
      </c>
      <c r="S8" s="86" t="b">
        <f>IF(#REF!="staff",INDEX('Partner data'!$DG$2:$DH$171,MATCH(#REF!,'Partner data'!$DG$2:$DG$171,0),2))</f>
        <v>0</v>
      </c>
    </row>
    <row r="9" spans="1:19" x14ac:dyDescent="0.25">
      <c r="A9" s="1" t="s">
        <v>58</v>
      </c>
      <c r="B9" s="1" t="s">
        <v>40</v>
      </c>
      <c r="C9" s="13">
        <v>14</v>
      </c>
      <c r="D9" s="13">
        <v>101</v>
      </c>
      <c r="E9" s="1" t="s">
        <v>235</v>
      </c>
      <c r="F9" s="1"/>
      <c r="G9" s="1">
        <v>0</v>
      </c>
      <c r="H9" s="1">
        <v>0</v>
      </c>
      <c r="I9" s="1">
        <v>0</v>
      </c>
      <c r="J9" s="1">
        <v>0</v>
      </c>
      <c r="K9" s="1">
        <v>0</v>
      </c>
      <c r="L9" s="1">
        <v>0</v>
      </c>
      <c r="M9" s="1">
        <v>0</v>
      </c>
      <c r="N9" s="1">
        <v>0</v>
      </c>
      <c r="O9" s="1">
        <v>0</v>
      </c>
      <c r="P9" s="1">
        <v>0</v>
      </c>
      <c r="Q9" t="str">
        <f>INDEX(pARTNER[#All],MATCH(#REF!,pARTNER[[#All],[Value.partnerSummary.id]],0),10)</f>
        <v>Slovenija (SI)</v>
      </c>
      <c r="R9" t="str">
        <f>INDEX('Partner data'!$A$2:$DG$171,MATCH(#REF!,'Partner data'!$DG$2:$DG$171,0),83)</f>
        <v>Soggetto pubblico</v>
      </c>
      <c r="S9" s="86" t="b">
        <f>IF(#REF!="staff",INDEX('Partner data'!$DG$2:$DH$171,MATCH(#REF!,'Partner data'!$DG$2:$DG$171,0),2))</f>
        <v>0</v>
      </c>
    </row>
    <row r="10" spans="1:19" x14ac:dyDescent="0.25">
      <c r="A10" s="1" t="s">
        <v>58</v>
      </c>
      <c r="B10" s="1" t="s">
        <v>40</v>
      </c>
      <c r="C10" s="13">
        <v>14</v>
      </c>
      <c r="D10" s="13">
        <v>101</v>
      </c>
      <c r="E10" s="1" t="s">
        <v>236</v>
      </c>
      <c r="F10" s="1"/>
      <c r="G10" s="1">
        <v>0</v>
      </c>
      <c r="H10" s="1">
        <v>0</v>
      </c>
      <c r="I10" s="1">
        <v>0</v>
      </c>
      <c r="J10" s="1">
        <v>0</v>
      </c>
      <c r="K10" s="1">
        <v>0</v>
      </c>
      <c r="L10" s="1">
        <v>0</v>
      </c>
      <c r="M10" s="1">
        <v>0</v>
      </c>
      <c r="N10" s="1">
        <v>0</v>
      </c>
      <c r="O10" s="1">
        <v>0</v>
      </c>
      <c r="P10" s="1">
        <v>0</v>
      </c>
      <c r="Q10" t="str">
        <f>INDEX(pARTNER[#All],MATCH(#REF!,pARTNER[[#All],[Value.partnerSummary.id]],0),10)</f>
        <v>Slovenija (SI)</v>
      </c>
      <c r="R10" t="str">
        <f>INDEX('Partner data'!$A$2:$DG$171,MATCH(#REF!,'Partner data'!$DG$2:$DG$171,0),83)</f>
        <v>Soggetto pubblico</v>
      </c>
      <c r="S10" s="86" t="b">
        <f>IF(#REF!="staff",INDEX('Partner data'!$DG$2:$DH$171,MATCH(#REF!,'Partner data'!$DG$2:$DG$171,0),2))</f>
        <v>0</v>
      </c>
    </row>
    <row r="11" spans="1:19" x14ac:dyDescent="0.25">
      <c r="A11" s="1" t="s">
        <v>58</v>
      </c>
      <c r="B11" s="1" t="s">
        <v>40</v>
      </c>
      <c r="C11" s="13">
        <v>14</v>
      </c>
      <c r="D11" s="13">
        <v>101</v>
      </c>
      <c r="E11" s="1" t="s">
        <v>237</v>
      </c>
      <c r="F11" s="1"/>
      <c r="G11" s="1">
        <v>0</v>
      </c>
      <c r="H11" s="1">
        <v>0</v>
      </c>
      <c r="I11" s="1">
        <v>0</v>
      </c>
      <c r="J11" s="1">
        <v>0</v>
      </c>
      <c r="K11" s="1">
        <v>0</v>
      </c>
      <c r="L11" s="1">
        <v>0</v>
      </c>
      <c r="M11" s="1">
        <v>0</v>
      </c>
      <c r="N11" s="1">
        <v>0</v>
      </c>
      <c r="O11" s="1">
        <v>0</v>
      </c>
      <c r="P11" s="1">
        <v>0</v>
      </c>
      <c r="Q11" t="str">
        <f>INDEX(pARTNER[#All],MATCH(#REF!,pARTNER[[#All],[Value.partnerSummary.id]],0),10)</f>
        <v>Slovenija (SI)</v>
      </c>
      <c r="R11" t="str">
        <f>INDEX('Partner data'!$A$2:$DG$171,MATCH(#REF!,'Partner data'!$DG$2:$DG$171,0),83)</f>
        <v>Soggetto pubblico</v>
      </c>
      <c r="S11" s="86" t="b">
        <f>IF(#REF!="staff",INDEX('Partner data'!$DG$2:$DH$171,MATCH(#REF!,'Partner data'!$DG$2:$DG$171,0),2))</f>
        <v>0</v>
      </c>
    </row>
    <row r="12" spans="1:19" x14ac:dyDescent="0.25">
      <c r="A12" s="1" t="s">
        <v>58</v>
      </c>
      <c r="B12" s="1" t="s">
        <v>40</v>
      </c>
      <c r="C12" s="13">
        <v>14</v>
      </c>
      <c r="D12" s="13">
        <v>101</v>
      </c>
      <c r="E12" s="1" t="s">
        <v>238</v>
      </c>
      <c r="F12" s="1"/>
      <c r="G12" s="1">
        <v>316808</v>
      </c>
      <c r="H12" s="1">
        <v>0</v>
      </c>
      <c r="I12" s="1">
        <v>0</v>
      </c>
      <c r="J12" s="1">
        <v>43469.06</v>
      </c>
      <c r="K12" s="1">
        <v>0</v>
      </c>
      <c r="L12" s="1">
        <v>43310.400000000001</v>
      </c>
      <c r="M12" s="1">
        <v>43469.06</v>
      </c>
      <c r="N12" s="1">
        <v>13.72</v>
      </c>
      <c r="O12" s="1">
        <v>273338.94</v>
      </c>
      <c r="P12" s="1">
        <v>0</v>
      </c>
      <c r="Q12" t="str">
        <f>INDEX(pARTNER[#All],MATCH(#REF!,pARTNER[[#All],[Value.partnerSummary.id]],0),10)</f>
        <v>Slovenija (SI)</v>
      </c>
      <c r="R12" t="str">
        <f>INDEX('Partner data'!$A$2:$DG$171,MATCH(#REF!,'Partner data'!$DG$2:$DG$171,0),83)</f>
        <v>Soggetto pubblico</v>
      </c>
      <c r="S12" s="86" t="b">
        <f>IF(#REF!="staff",INDEX('Partner data'!$DG$2:$DH$171,MATCH(#REF!,'Partner data'!$DG$2:$DG$171,0),2))</f>
        <v>0</v>
      </c>
    </row>
    <row r="13" spans="1:19" x14ac:dyDescent="0.25">
      <c r="A13" s="1" t="s">
        <v>58</v>
      </c>
      <c r="B13" s="1" t="s">
        <v>40</v>
      </c>
      <c r="C13" s="13">
        <v>14</v>
      </c>
      <c r="D13" s="13">
        <v>297</v>
      </c>
      <c r="E13" s="1" t="s">
        <v>228</v>
      </c>
      <c r="F13" s="1"/>
      <c r="G13" s="1">
        <v>144000</v>
      </c>
      <c r="H13" s="1">
        <v>34898.879999999997</v>
      </c>
      <c r="I13" s="1">
        <v>0</v>
      </c>
      <c r="J13" s="1">
        <v>16217.13</v>
      </c>
      <c r="K13" s="1">
        <v>0</v>
      </c>
      <c r="L13" s="1">
        <v>16217.13</v>
      </c>
      <c r="M13" s="1">
        <v>51116.01</v>
      </c>
      <c r="N13" s="1">
        <v>35.5</v>
      </c>
      <c r="O13" s="1">
        <v>92883.99</v>
      </c>
      <c r="P13" s="1">
        <v>34765.550000000003</v>
      </c>
      <c r="Q13" t="str">
        <f>INDEX(pARTNER[#All],MATCH(#REF!,pARTNER[[#All],[Value.partnerSummary.id]],0),10)</f>
        <v>Slovenija (SI)</v>
      </c>
      <c r="R13" t="str">
        <f>INDEX('Partner data'!$A$2:$DG$171,MATCH(#REF!,'Partner data'!$DG$2:$DG$171,0),83)</f>
        <v>Soggetto pubblico</v>
      </c>
      <c r="S13" s="86" t="str">
        <f>IF(#REF!="staff",INDEX('Partner data'!$DG$2:$DH$171,MATCH(#REF!,'Partner data'!$DG$2:$DG$171,0),2))</f>
        <v>COSTO REALE</v>
      </c>
    </row>
    <row r="14" spans="1:19" x14ac:dyDescent="0.25">
      <c r="A14" s="1" t="s">
        <v>58</v>
      </c>
      <c r="B14" s="1" t="s">
        <v>40</v>
      </c>
      <c r="C14" s="13">
        <v>14</v>
      </c>
      <c r="D14" s="13">
        <v>297</v>
      </c>
      <c r="E14" s="1" t="s">
        <v>229</v>
      </c>
      <c r="F14" s="1">
        <v>15</v>
      </c>
      <c r="G14" s="1">
        <v>21600</v>
      </c>
      <c r="H14" s="1">
        <v>5234.83</v>
      </c>
      <c r="I14" s="1">
        <v>0</v>
      </c>
      <c r="J14" s="1">
        <v>2432.56</v>
      </c>
      <c r="K14" s="1">
        <v>0</v>
      </c>
      <c r="L14" s="1">
        <v>2432.56</v>
      </c>
      <c r="M14" s="1">
        <v>7667.39</v>
      </c>
      <c r="N14" s="1">
        <v>35.5</v>
      </c>
      <c r="O14" s="1">
        <v>13932.61</v>
      </c>
      <c r="P14" s="1">
        <v>5214.83</v>
      </c>
      <c r="Q14" t="str">
        <f>INDEX(pARTNER[#All],MATCH(#REF!,pARTNER[[#All],[Value.partnerSummary.id]],0),10)</f>
        <v>Slovenija (SI)</v>
      </c>
      <c r="R14" t="str">
        <f>INDEX('Partner data'!$A$2:$DG$171,MATCH(#REF!,'Partner data'!$DG$2:$DG$171,0),83)</f>
        <v>Soggetto pubblico</v>
      </c>
      <c r="S14" s="86" t="b">
        <f>IF(#REF!="staff",INDEX('Partner data'!$DG$2:$DH$171,MATCH(#REF!,'Partner data'!$DG$2:$DG$171,0),2))</f>
        <v>0</v>
      </c>
    </row>
    <row r="15" spans="1:19" x14ac:dyDescent="0.25">
      <c r="A15" s="1" t="s">
        <v>58</v>
      </c>
      <c r="B15" s="1" t="s">
        <v>40</v>
      </c>
      <c r="C15" s="13">
        <v>14</v>
      </c>
      <c r="D15" s="13">
        <v>297</v>
      </c>
      <c r="E15" s="1" t="s">
        <v>230</v>
      </c>
      <c r="F15" s="1">
        <v>4</v>
      </c>
      <c r="G15" s="1">
        <v>5760</v>
      </c>
      <c r="H15" s="1">
        <v>1395.95</v>
      </c>
      <c r="I15" s="1">
        <v>0</v>
      </c>
      <c r="J15" s="1">
        <v>648.67999999999995</v>
      </c>
      <c r="K15" s="1">
        <v>0</v>
      </c>
      <c r="L15" s="1">
        <v>648.67999999999995</v>
      </c>
      <c r="M15" s="1">
        <v>2044.63</v>
      </c>
      <c r="N15" s="1">
        <v>35.5</v>
      </c>
      <c r="O15" s="1">
        <v>3715.37</v>
      </c>
      <c r="P15" s="1">
        <v>1390.62</v>
      </c>
      <c r="Q15" t="str">
        <f>INDEX(pARTNER[#All],MATCH(#REF!,pARTNER[[#All],[Value.partnerSummary.id]],0),10)</f>
        <v>Slovenija (SI)</v>
      </c>
      <c r="R15" t="str">
        <f>INDEX('Partner data'!$A$2:$DG$171,MATCH(#REF!,'Partner data'!$DG$2:$DG$171,0),83)</f>
        <v>Soggetto pubblico</v>
      </c>
      <c r="S15" s="86" t="b">
        <f>IF(#REF!="staff",INDEX('Partner data'!$DG$2:$DH$171,MATCH(#REF!,'Partner data'!$DG$2:$DG$171,0),2))</f>
        <v>0</v>
      </c>
    </row>
    <row r="16" spans="1:19" x14ac:dyDescent="0.25">
      <c r="A16" s="1" t="s">
        <v>58</v>
      </c>
      <c r="B16" s="1" t="s">
        <v>40</v>
      </c>
      <c r="C16" s="13">
        <v>14</v>
      </c>
      <c r="D16" s="13">
        <v>297</v>
      </c>
      <c r="E16" s="1" t="s">
        <v>231</v>
      </c>
      <c r="F16" s="1"/>
      <c r="G16" s="1">
        <v>26448</v>
      </c>
      <c r="H16" s="1">
        <v>1939.4</v>
      </c>
      <c r="I16" s="1">
        <v>0</v>
      </c>
      <c r="J16" s="1">
        <v>0</v>
      </c>
      <c r="K16" s="1">
        <v>0</v>
      </c>
      <c r="L16" s="1">
        <v>0</v>
      </c>
      <c r="M16" s="1">
        <v>1939.4</v>
      </c>
      <c r="N16" s="1">
        <v>7.33</v>
      </c>
      <c r="O16" s="1">
        <v>24508.6</v>
      </c>
      <c r="P16" s="1">
        <v>1939.4</v>
      </c>
      <c r="Q16" t="str">
        <f>INDEX(pARTNER[#All],MATCH(#REF!,pARTNER[[#All],[Value.partnerSummary.id]],0),10)</f>
        <v>Slovenija (SI)</v>
      </c>
      <c r="R16" t="str">
        <f>INDEX('Partner data'!$A$2:$DG$171,MATCH(#REF!,'Partner data'!$DG$2:$DG$171,0),83)</f>
        <v>Soggetto pubblico</v>
      </c>
      <c r="S16" s="86" t="b">
        <f>IF(#REF!="staff",INDEX('Partner data'!$DG$2:$DH$171,MATCH(#REF!,'Partner data'!$DG$2:$DG$171,0),2))</f>
        <v>0</v>
      </c>
    </row>
    <row r="17" spans="1:19" x14ac:dyDescent="0.25">
      <c r="A17" s="1" t="s">
        <v>58</v>
      </c>
      <c r="B17" s="1" t="s">
        <v>40</v>
      </c>
      <c r="C17" s="13">
        <v>14</v>
      </c>
      <c r="D17" s="13">
        <v>297</v>
      </c>
      <c r="E17" s="1" t="s">
        <v>232</v>
      </c>
      <c r="F17" s="1"/>
      <c r="G17" s="1">
        <v>119000</v>
      </c>
      <c r="H17" s="1">
        <v>0</v>
      </c>
      <c r="I17" s="1">
        <v>0</v>
      </c>
      <c r="J17" s="1">
        <v>0</v>
      </c>
      <c r="K17" s="1">
        <v>0</v>
      </c>
      <c r="L17" s="1">
        <v>0</v>
      </c>
      <c r="M17" s="1">
        <v>0</v>
      </c>
      <c r="N17" s="1">
        <v>0</v>
      </c>
      <c r="O17" s="1">
        <v>119000</v>
      </c>
      <c r="P17" s="1">
        <v>0</v>
      </c>
      <c r="Q17" t="str">
        <f>INDEX(pARTNER[#All],MATCH(#REF!,pARTNER[[#All],[Value.partnerSummary.id]],0),10)</f>
        <v>Slovenija (SI)</v>
      </c>
      <c r="R17" t="str">
        <f>INDEX('Partner data'!$A$2:$DG$171,MATCH(#REF!,'Partner data'!$DG$2:$DG$171,0),83)</f>
        <v>Soggetto pubblico</v>
      </c>
      <c r="S17" s="86" t="b">
        <f>IF(#REF!="staff",INDEX('Partner data'!$DG$2:$DH$171,MATCH(#REF!,'Partner data'!$DG$2:$DG$171,0),2))</f>
        <v>0</v>
      </c>
    </row>
    <row r="18" spans="1:19" x14ac:dyDescent="0.25">
      <c r="A18" s="1" t="s">
        <v>58</v>
      </c>
      <c r="B18" s="1" t="s">
        <v>40</v>
      </c>
      <c r="C18" s="13">
        <v>14</v>
      </c>
      <c r="D18" s="13">
        <v>297</v>
      </c>
      <c r="E18" s="1" t="s">
        <v>233</v>
      </c>
      <c r="F18" s="1"/>
      <c r="G18" s="1">
        <v>0</v>
      </c>
      <c r="H18" s="1">
        <v>0</v>
      </c>
      <c r="I18" s="1">
        <v>0</v>
      </c>
      <c r="J18" s="1">
        <v>0</v>
      </c>
      <c r="K18" s="1">
        <v>0</v>
      </c>
      <c r="L18" s="1">
        <v>0</v>
      </c>
      <c r="M18" s="1">
        <v>0</v>
      </c>
      <c r="N18" s="1">
        <v>0</v>
      </c>
      <c r="O18" s="1">
        <v>0</v>
      </c>
      <c r="P18" s="1">
        <v>0</v>
      </c>
      <c r="Q18" t="str">
        <f>INDEX(pARTNER[#All],MATCH(#REF!,pARTNER[[#All],[Value.partnerSummary.id]],0),10)</f>
        <v>Slovenija (SI)</v>
      </c>
      <c r="R18" t="str">
        <f>INDEX('Partner data'!$A$2:$DG$171,MATCH(#REF!,'Partner data'!$DG$2:$DG$171,0),83)</f>
        <v>Soggetto pubblico</v>
      </c>
      <c r="S18" s="86" t="b">
        <f>IF(#REF!="staff",INDEX('Partner data'!$DG$2:$DH$171,MATCH(#REF!,'Partner data'!$DG$2:$DG$171,0),2))</f>
        <v>0</v>
      </c>
    </row>
    <row r="19" spans="1:19" x14ac:dyDescent="0.25">
      <c r="A19" s="1" t="s">
        <v>58</v>
      </c>
      <c r="B19" s="1" t="s">
        <v>40</v>
      </c>
      <c r="C19" s="13">
        <v>14</v>
      </c>
      <c r="D19" s="13">
        <v>297</v>
      </c>
      <c r="E19" s="1" t="s">
        <v>234</v>
      </c>
      <c r="F19" s="1"/>
      <c r="G19" s="1">
        <v>0</v>
      </c>
      <c r="H19" s="1">
        <v>0</v>
      </c>
      <c r="I19" s="1">
        <v>0</v>
      </c>
      <c r="J19" s="1">
        <v>0</v>
      </c>
      <c r="K19" s="1">
        <v>0</v>
      </c>
      <c r="L19" s="1">
        <v>0</v>
      </c>
      <c r="M19" s="1">
        <v>0</v>
      </c>
      <c r="N19" s="1">
        <v>0</v>
      </c>
      <c r="O19" s="1">
        <v>0</v>
      </c>
      <c r="P19" s="1">
        <v>0</v>
      </c>
      <c r="Q19" t="str">
        <f>INDEX(pARTNER[#All],MATCH(#REF!,pARTNER[[#All],[Value.partnerSummary.id]],0),10)</f>
        <v>Slovenija (SI)</v>
      </c>
      <c r="R19" t="str">
        <f>INDEX('Partner data'!$A$2:$DG$171,MATCH(#REF!,'Partner data'!$DG$2:$DG$171,0),83)</f>
        <v>Soggetto pubblico</v>
      </c>
      <c r="S19" s="86" t="b">
        <f>IF(#REF!="staff",INDEX('Partner data'!$DG$2:$DH$171,MATCH(#REF!,'Partner data'!$DG$2:$DG$171,0),2))</f>
        <v>0</v>
      </c>
    </row>
    <row r="20" spans="1:19" x14ac:dyDescent="0.25">
      <c r="A20" s="1" t="s">
        <v>58</v>
      </c>
      <c r="B20" s="1" t="s">
        <v>40</v>
      </c>
      <c r="C20" s="13">
        <v>14</v>
      </c>
      <c r="D20" s="13">
        <v>297</v>
      </c>
      <c r="E20" s="1" t="s">
        <v>235</v>
      </c>
      <c r="F20" s="1"/>
      <c r="G20" s="1">
        <v>0</v>
      </c>
      <c r="H20" s="1">
        <v>0</v>
      </c>
      <c r="I20" s="1">
        <v>0</v>
      </c>
      <c r="J20" s="1">
        <v>0</v>
      </c>
      <c r="K20" s="1">
        <v>0</v>
      </c>
      <c r="L20" s="1">
        <v>0</v>
      </c>
      <c r="M20" s="1">
        <v>0</v>
      </c>
      <c r="N20" s="1">
        <v>0</v>
      </c>
      <c r="O20" s="1">
        <v>0</v>
      </c>
      <c r="P20" s="1">
        <v>0</v>
      </c>
      <c r="Q20" t="str">
        <f>INDEX(pARTNER[#All],MATCH(#REF!,pARTNER[[#All],[Value.partnerSummary.id]],0),10)</f>
        <v>Slovenija (SI)</v>
      </c>
      <c r="R20" t="str">
        <f>INDEX('Partner data'!$A$2:$DG$171,MATCH(#REF!,'Partner data'!$DG$2:$DG$171,0),83)</f>
        <v>Soggetto pubblico</v>
      </c>
      <c r="S20" s="86" t="b">
        <f>IF(#REF!="staff",INDEX('Partner data'!$DG$2:$DH$171,MATCH(#REF!,'Partner data'!$DG$2:$DG$171,0),2))</f>
        <v>0</v>
      </c>
    </row>
    <row r="21" spans="1:19" x14ac:dyDescent="0.25">
      <c r="A21" s="1" t="s">
        <v>58</v>
      </c>
      <c r="B21" s="1" t="s">
        <v>40</v>
      </c>
      <c r="C21" s="13">
        <v>14</v>
      </c>
      <c r="D21" s="13">
        <v>297</v>
      </c>
      <c r="E21" s="1" t="s">
        <v>236</v>
      </c>
      <c r="F21" s="1"/>
      <c r="G21" s="1">
        <v>0</v>
      </c>
      <c r="H21" s="1">
        <v>0</v>
      </c>
      <c r="I21" s="1">
        <v>0</v>
      </c>
      <c r="J21" s="1">
        <v>0</v>
      </c>
      <c r="K21" s="1">
        <v>0</v>
      </c>
      <c r="L21" s="1">
        <v>0</v>
      </c>
      <c r="M21" s="1">
        <v>0</v>
      </c>
      <c r="N21" s="1">
        <v>0</v>
      </c>
      <c r="O21" s="1">
        <v>0</v>
      </c>
      <c r="P21" s="1">
        <v>0</v>
      </c>
      <c r="Q21" t="str">
        <f>INDEX(pARTNER[#All],MATCH(#REF!,pARTNER[[#All],[Value.partnerSummary.id]],0),10)</f>
        <v>Slovenija (SI)</v>
      </c>
      <c r="R21" t="str">
        <f>INDEX('Partner data'!$A$2:$DG$171,MATCH(#REF!,'Partner data'!$DG$2:$DG$171,0),83)</f>
        <v>Soggetto pubblico</v>
      </c>
      <c r="S21" s="86" t="b">
        <f>IF(#REF!="staff",INDEX('Partner data'!$DG$2:$DH$171,MATCH(#REF!,'Partner data'!$DG$2:$DG$171,0),2))</f>
        <v>0</v>
      </c>
    </row>
    <row r="22" spans="1:19" x14ac:dyDescent="0.25">
      <c r="A22" s="1" t="s">
        <v>58</v>
      </c>
      <c r="B22" s="1" t="s">
        <v>40</v>
      </c>
      <c r="C22" s="13">
        <v>14</v>
      </c>
      <c r="D22" s="13">
        <v>297</v>
      </c>
      <c r="E22" s="1" t="s">
        <v>237</v>
      </c>
      <c r="F22" s="1"/>
      <c r="G22" s="1">
        <v>0</v>
      </c>
      <c r="H22" s="1">
        <v>0</v>
      </c>
      <c r="I22" s="1">
        <v>0</v>
      </c>
      <c r="J22" s="1">
        <v>0</v>
      </c>
      <c r="K22" s="1">
        <v>0</v>
      </c>
      <c r="L22" s="1">
        <v>0</v>
      </c>
      <c r="M22" s="1">
        <v>0</v>
      </c>
      <c r="N22" s="1">
        <v>0</v>
      </c>
      <c r="O22" s="1">
        <v>0</v>
      </c>
      <c r="P22" s="1">
        <v>0</v>
      </c>
      <c r="Q22" t="str">
        <f>INDEX(pARTNER[#All],MATCH(#REF!,pARTNER[[#All],[Value.partnerSummary.id]],0),10)</f>
        <v>Slovenija (SI)</v>
      </c>
      <c r="R22" t="str">
        <f>INDEX('Partner data'!$A$2:$DG$171,MATCH(#REF!,'Partner data'!$DG$2:$DG$171,0),83)</f>
        <v>Soggetto pubblico</v>
      </c>
      <c r="S22" s="86" t="b">
        <f>IF(#REF!="staff",INDEX('Partner data'!$DG$2:$DH$171,MATCH(#REF!,'Partner data'!$DG$2:$DG$171,0),2))</f>
        <v>0</v>
      </c>
    </row>
    <row r="23" spans="1:19" x14ac:dyDescent="0.25">
      <c r="A23" s="1" t="s">
        <v>58</v>
      </c>
      <c r="B23" s="1" t="s">
        <v>40</v>
      </c>
      <c r="C23" s="13">
        <v>14</v>
      </c>
      <c r="D23" s="13">
        <v>297</v>
      </c>
      <c r="E23" s="1" t="s">
        <v>238</v>
      </c>
      <c r="F23" s="1"/>
      <c r="G23" s="1">
        <v>316808</v>
      </c>
      <c r="H23" s="1">
        <v>43469.06</v>
      </c>
      <c r="I23" s="1">
        <v>0</v>
      </c>
      <c r="J23" s="1">
        <v>19298.37</v>
      </c>
      <c r="K23" s="1">
        <v>0</v>
      </c>
      <c r="L23" s="1">
        <v>19298.37</v>
      </c>
      <c r="M23" s="1">
        <v>62767.43</v>
      </c>
      <c r="N23" s="1">
        <v>19.809999999999999</v>
      </c>
      <c r="O23" s="1">
        <v>254040.57</v>
      </c>
      <c r="P23" s="1">
        <v>43310.400000000001</v>
      </c>
      <c r="Q23" t="str">
        <f>INDEX(pARTNER[#All],MATCH(#REF!,pARTNER[[#All],[Value.partnerSummary.id]],0),10)</f>
        <v>Slovenija (SI)</v>
      </c>
      <c r="R23" t="str">
        <f>INDEX('Partner data'!$A$2:$DG$171,MATCH(#REF!,'Partner data'!$DG$2:$DG$171,0),83)</f>
        <v>Soggetto pubblico</v>
      </c>
      <c r="S23" s="86" t="b">
        <f>IF(#REF!="staff",INDEX('Partner data'!$DG$2:$DH$171,MATCH(#REF!,'Partner data'!$DG$2:$DG$171,0),2))</f>
        <v>0</v>
      </c>
    </row>
    <row r="24" spans="1:19" x14ac:dyDescent="0.25">
      <c r="A24" s="1" t="s">
        <v>58</v>
      </c>
      <c r="B24" s="1" t="s">
        <v>4545</v>
      </c>
      <c r="C24" s="13">
        <v>17</v>
      </c>
      <c r="D24" s="13">
        <v>239</v>
      </c>
      <c r="E24" s="1" t="s">
        <v>228</v>
      </c>
      <c r="F24" s="1"/>
      <c r="G24" s="1">
        <v>0</v>
      </c>
      <c r="H24" s="1">
        <v>0</v>
      </c>
      <c r="I24" s="1">
        <v>0</v>
      </c>
      <c r="J24" s="1">
        <v>0</v>
      </c>
      <c r="K24" s="1">
        <v>0</v>
      </c>
      <c r="L24" s="1">
        <v>0</v>
      </c>
      <c r="M24" s="1">
        <v>0</v>
      </c>
      <c r="N24" s="1">
        <v>0</v>
      </c>
      <c r="O24" s="1">
        <v>0</v>
      </c>
      <c r="P24" s="1">
        <v>0</v>
      </c>
      <c r="Q24" t="str">
        <f>INDEX(pARTNER[#All],MATCH(#REF!,pARTNER[[#All],[Value.partnerSummary.id]],0),10)</f>
        <v>Slovenija (SI)</v>
      </c>
      <c r="R24" t="str">
        <f>INDEX('Partner data'!$A$2:$DG$171,MATCH(#REF!,'Partner data'!$DG$2:$DG$171,0),83)</f>
        <v>Soggetto pubblico</v>
      </c>
      <c r="S24" s="86" t="str">
        <f>IF(#REF!="staff",INDEX('Partner data'!$DG$2:$DH$171,MATCH(#REF!,'Partner data'!$DG$2:$DG$171,0),2))</f>
        <v>BL1 non presente</v>
      </c>
    </row>
    <row r="25" spans="1:19" x14ac:dyDescent="0.25">
      <c r="A25" s="1" t="s">
        <v>58</v>
      </c>
      <c r="B25" s="1" t="s">
        <v>4545</v>
      </c>
      <c r="C25" s="13">
        <v>17</v>
      </c>
      <c r="D25" s="13">
        <v>239</v>
      </c>
      <c r="E25" s="1" t="s">
        <v>229</v>
      </c>
      <c r="F25" s="1"/>
      <c r="G25" s="1">
        <v>0</v>
      </c>
      <c r="H25" s="1">
        <v>0</v>
      </c>
      <c r="I25" s="1">
        <v>0</v>
      </c>
      <c r="J25" s="1">
        <v>0</v>
      </c>
      <c r="K25" s="1">
        <v>0</v>
      </c>
      <c r="L25" s="1">
        <v>0</v>
      </c>
      <c r="M25" s="1">
        <v>0</v>
      </c>
      <c r="N25" s="1">
        <v>0</v>
      </c>
      <c r="O25" s="1">
        <v>0</v>
      </c>
      <c r="P25" s="1">
        <v>0</v>
      </c>
      <c r="Q25" t="str">
        <f>INDEX(pARTNER[#All],MATCH(#REF!,pARTNER[[#All],[Value.partnerSummary.id]],0),10)</f>
        <v>Slovenija (SI)</v>
      </c>
      <c r="R25" t="str">
        <f>INDEX('Partner data'!$A$2:$DG$171,MATCH(#REF!,'Partner data'!$DG$2:$DG$171,0),83)</f>
        <v>Soggetto pubblico</v>
      </c>
      <c r="S25" s="86" t="b">
        <f>IF(#REF!="staff",INDEX('Partner data'!$DG$2:$DH$171,MATCH(#REF!,'Partner data'!$DG$2:$DG$171,0),2))</f>
        <v>0</v>
      </c>
    </row>
    <row r="26" spans="1:19" x14ac:dyDescent="0.25">
      <c r="A26" s="1" t="s">
        <v>58</v>
      </c>
      <c r="B26" s="1" t="s">
        <v>4545</v>
      </c>
      <c r="C26" s="13">
        <v>17</v>
      </c>
      <c r="D26" s="13">
        <v>239</v>
      </c>
      <c r="E26" s="1" t="s">
        <v>230</v>
      </c>
      <c r="F26" s="1"/>
      <c r="G26" s="1">
        <v>0</v>
      </c>
      <c r="H26" s="1">
        <v>0</v>
      </c>
      <c r="I26" s="1">
        <v>0</v>
      </c>
      <c r="J26" s="1">
        <v>0</v>
      </c>
      <c r="K26" s="1">
        <v>0</v>
      </c>
      <c r="L26" s="1">
        <v>0</v>
      </c>
      <c r="M26" s="1">
        <v>0</v>
      </c>
      <c r="N26" s="1">
        <v>0</v>
      </c>
      <c r="O26" s="1">
        <v>0</v>
      </c>
      <c r="P26" s="1">
        <v>0</v>
      </c>
      <c r="Q26" t="str">
        <f>INDEX(pARTNER[#All],MATCH(#REF!,pARTNER[[#All],[Value.partnerSummary.id]],0),10)</f>
        <v>Slovenija (SI)</v>
      </c>
      <c r="R26" t="str">
        <f>INDEX('Partner data'!$A$2:$DG$171,MATCH(#REF!,'Partner data'!$DG$2:$DG$171,0),83)</f>
        <v>Soggetto pubblico</v>
      </c>
      <c r="S26" s="86" t="b">
        <f>IF(#REF!="staff",INDEX('Partner data'!$DG$2:$DH$171,MATCH(#REF!,'Partner data'!$DG$2:$DG$171,0),2))</f>
        <v>0</v>
      </c>
    </row>
    <row r="27" spans="1:19" x14ac:dyDescent="0.25">
      <c r="A27" s="1" t="s">
        <v>58</v>
      </c>
      <c r="B27" s="1" t="s">
        <v>4545</v>
      </c>
      <c r="C27" s="13">
        <v>17</v>
      </c>
      <c r="D27" s="13">
        <v>239</v>
      </c>
      <c r="E27" s="1" t="s">
        <v>231</v>
      </c>
      <c r="F27" s="1"/>
      <c r="G27" s="1">
        <v>73000</v>
      </c>
      <c r="H27" s="1">
        <v>0</v>
      </c>
      <c r="I27" s="1">
        <v>0</v>
      </c>
      <c r="J27" s="1">
        <v>0</v>
      </c>
      <c r="K27" s="1">
        <v>0</v>
      </c>
      <c r="L27" s="1">
        <v>0</v>
      </c>
      <c r="M27" s="1">
        <v>0</v>
      </c>
      <c r="N27" s="1">
        <v>0</v>
      </c>
      <c r="O27" s="1">
        <v>73000</v>
      </c>
      <c r="P27" s="1">
        <v>0</v>
      </c>
      <c r="Q27" t="str">
        <f>INDEX(pARTNER[#All],MATCH(#REF!,pARTNER[[#All],[Value.partnerSummary.id]],0),10)</f>
        <v>Slovenija (SI)</v>
      </c>
      <c r="R27" t="str">
        <f>INDEX('Partner data'!$A$2:$DG$171,MATCH(#REF!,'Partner data'!$DG$2:$DG$171,0),83)</f>
        <v>Soggetto pubblico</v>
      </c>
      <c r="S27" s="86" t="b">
        <f>IF(#REF!="staff",INDEX('Partner data'!$DG$2:$DH$171,MATCH(#REF!,'Partner data'!$DG$2:$DG$171,0),2))</f>
        <v>0</v>
      </c>
    </row>
    <row r="28" spans="1:19" x14ac:dyDescent="0.25">
      <c r="A28" s="1" t="s">
        <v>58</v>
      </c>
      <c r="B28" s="1" t="s">
        <v>4545</v>
      </c>
      <c r="C28" s="13">
        <v>17</v>
      </c>
      <c r="D28" s="13">
        <v>239</v>
      </c>
      <c r="E28" s="1" t="s">
        <v>232</v>
      </c>
      <c r="F28" s="1"/>
      <c r="G28" s="1">
        <v>0</v>
      </c>
      <c r="H28" s="1">
        <v>0</v>
      </c>
      <c r="I28" s="1">
        <v>0</v>
      </c>
      <c r="J28" s="1">
        <v>0</v>
      </c>
      <c r="K28" s="1">
        <v>0</v>
      </c>
      <c r="L28" s="1">
        <v>0</v>
      </c>
      <c r="M28" s="1">
        <v>0</v>
      </c>
      <c r="N28" s="1">
        <v>0</v>
      </c>
      <c r="O28" s="1">
        <v>0</v>
      </c>
      <c r="P28" s="1">
        <v>0</v>
      </c>
      <c r="Q28" t="str">
        <f>INDEX(pARTNER[#All],MATCH(#REF!,pARTNER[[#All],[Value.partnerSummary.id]],0),10)</f>
        <v>Slovenija (SI)</v>
      </c>
      <c r="R28" t="str">
        <f>INDEX('Partner data'!$A$2:$DG$171,MATCH(#REF!,'Partner data'!$DG$2:$DG$171,0),83)</f>
        <v>Soggetto pubblico</v>
      </c>
      <c r="S28" s="86" t="b">
        <f>IF(#REF!="staff",INDEX('Partner data'!$DG$2:$DH$171,MATCH(#REF!,'Partner data'!$DG$2:$DG$171,0),2))</f>
        <v>0</v>
      </c>
    </row>
    <row r="29" spans="1:19" x14ac:dyDescent="0.25">
      <c r="A29" s="1" t="s">
        <v>58</v>
      </c>
      <c r="B29" s="1" t="s">
        <v>4545</v>
      </c>
      <c r="C29" s="13">
        <v>17</v>
      </c>
      <c r="D29" s="13">
        <v>239</v>
      </c>
      <c r="E29" s="1" t="s">
        <v>233</v>
      </c>
      <c r="F29" s="1"/>
      <c r="G29" s="1">
        <v>727000</v>
      </c>
      <c r="H29" s="1">
        <v>0</v>
      </c>
      <c r="I29" s="1">
        <v>0</v>
      </c>
      <c r="J29" s="1">
        <v>0</v>
      </c>
      <c r="K29" s="1">
        <v>0</v>
      </c>
      <c r="L29" s="1">
        <v>0</v>
      </c>
      <c r="M29" s="1">
        <v>0</v>
      </c>
      <c r="N29" s="1">
        <v>0</v>
      </c>
      <c r="O29" s="1">
        <v>727000</v>
      </c>
      <c r="P29" s="1">
        <v>0</v>
      </c>
      <c r="Q29" t="str">
        <f>INDEX(pARTNER[#All],MATCH(#REF!,pARTNER[[#All],[Value.partnerSummary.id]],0),10)</f>
        <v>Slovenija (SI)</v>
      </c>
      <c r="R29" t="str">
        <f>INDEX('Partner data'!$A$2:$DG$171,MATCH(#REF!,'Partner data'!$DG$2:$DG$171,0),83)</f>
        <v>Soggetto pubblico</v>
      </c>
      <c r="S29" s="86" t="b">
        <f>IF(#REF!="staff",INDEX('Partner data'!$DG$2:$DH$171,MATCH(#REF!,'Partner data'!$DG$2:$DG$171,0),2))</f>
        <v>0</v>
      </c>
    </row>
    <row r="30" spans="1:19" x14ac:dyDescent="0.25">
      <c r="A30" s="1" t="s">
        <v>58</v>
      </c>
      <c r="B30" s="1" t="s">
        <v>4545</v>
      </c>
      <c r="C30" s="13">
        <v>17</v>
      </c>
      <c r="D30" s="13">
        <v>239</v>
      </c>
      <c r="E30" s="1" t="s">
        <v>234</v>
      </c>
      <c r="F30" s="1"/>
      <c r="G30" s="1">
        <v>0</v>
      </c>
      <c r="H30" s="1">
        <v>0</v>
      </c>
      <c r="I30" s="1">
        <v>0</v>
      </c>
      <c r="J30" s="1">
        <v>0</v>
      </c>
      <c r="K30" s="1">
        <v>0</v>
      </c>
      <c r="L30" s="1">
        <v>0</v>
      </c>
      <c r="M30" s="1">
        <v>0</v>
      </c>
      <c r="N30" s="1">
        <v>0</v>
      </c>
      <c r="O30" s="1">
        <v>0</v>
      </c>
      <c r="P30" s="1">
        <v>0</v>
      </c>
      <c r="Q30" t="str">
        <f>INDEX(pARTNER[#All],MATCH(#REF!,pARTNER[[#All],[Value.partnerSummary.id]],0),10)</f>
        <v>Slovenija (SI)</v>
      </c>
      <c r="R30" t="str">
        <f>INDEX('Partner data'!$A$2:$DG$171,MATCH(#REF!,'Partner data'!$DG$2:$DG$171,0),83)</f>
        <v>Soggetto pubblico</v>
      </c>
      <c r="S30" s="86" t="b">
        <f>IF(#REF!="staff",INDEX('Partner data'!$DG$2:$DH$171,MATCH(#REF!,'Partner data'!$DG$2:$DG$171,0),2))</f>
        <v>0</v>
      </c>
    </row>
    <row r="31" spans="1:19" x14ac:dyDescent="0.25">
      <c r="A31" s="1" t="s">
        <v>58</v>
      </c>
      <c r="B31" s="1" t="s">
        <v>4545</v>
      </c>
      <c r="C31" s="13">
        <v>17</v>
      </c>
      <c r="D31" s="13">
        <v>239</v>
      </c>
      <c r="E31" s="1" t="s">
        <v>235</v>
      </c>
      <c r="F31" s="1"/>
      <c r="G31" s="1">
        <v>0</v>
      </c>
      <c r="H31" s="1">
        <v>0</v>
      </c>
      <c r="I31" s="1">
        <v>0</v>
      </c>
      <c r="J31" s="1">
        <v>0</v>
      </c>
      <c r="K31" s="1">
        <v>0</v>
      </c>
      <c r="L31" s="1">
        <v>0</v>
      </c>
      <c r="M31" s="1">
        <v>0</v>
      </c>
      <c r="N31" s="1">
        <v>0</v>
      </c>
      <c r="O31" s="1">
        <v>0</v>
      </c>
      <c r="P31" s="1">
        <v>0</v>
      </c>
      <c r="Q31" t="str">
        <f>INDEX(pARTNER[#All],MATCH(#REF!,pARTNER[[#All],[Value.partnerSummary.id]],0),10)</f>
        <v>Slovenija (SI)</v>
      </c>
      <c r="R31" t="str">
        <f>INDEX('Partner data'!$A$2:$DG$171,MATCH(#REF!,'Partner data'!$DG$2:$DG$171,0),83)</f>
        <v>Soggetto pubblico</v>
      </c>
      <c r="S31" s="86" t="b">
        <f>IF(#REF!="staff",INDEX('Partner data'!$DG$2:$DH$171,MATCH(#REF!,'Partner data'!$DG$2:$DG$171,0),2))</f>
        <v>0</v>
      </c>
    </row>
    <row r="32" spans="1:19" x14ac:dyDescent="0.25">
      <c r="A32" s="1" t="s">
        <v>58</v>
      </c>
      <c r="B32" s="1" t="s">
        <v>4545</v>
      </c>
      <c r="C32" s="13">
        <v>17</v>
      </c>
      <c r="D32" s="13">
        <v>239</v>
      </c>
      <c r="E32" s="1" t="s">
        <v>236</v>
      </c>
      <c r="F32" s="1"/>
      <c r="G32" s="1">
        <v>0</v>
      </c>
      <c r="H32" s="1">
        <v>0</v>
      </c>
      <c r="I32" s="1">
        <v>0</v>
      </c>
      <c r="J32" s="1">
        <v>0</v>
      </c>
      <c r="K32" s="1">
        <v>0</v>
      </c>
      <c r="L32" s="1">
        <v>0</v>
      </c>
      <c r="M32" s="1">
        <v>0</v>
      </c>
      <c r="N32" s="1">
        <v>0</v>
      </c>
      <c r="O32" s="1">
        <v>0</v>
      </c>
      <c r="P32" s="1">
        <v>0</v>
      </c>
      <c r="Q32" t="str">
        <f>INDEX(pARTNER[#All],MATCH(#REF!,pARTNER[[#All],[Value.partnerSummary.id]],0),10)</f>
        <v>Slovenija (SI)</v>
      </c>
      <c r="R32" t="str">
        <f>INDEX('Partner data'!$A$2:$DG$171,MATCH(#REF!,'Partner data'!$DG$2:$DG$171,0),83)</f>
        <v>Soggetto pubblico</v>
      </c>
      <c r="S32" s="86" t="b">
        <f>IF(#REF!="staff",INDEX('Partner data'!$DG$2:$DH$171,MATCH(#REF!,'Partner data'!$DG$2:$DG$171,0),2))</f>
        <v>0</v>
      </c>
    </row>
    <row r="33" spans="1:19" x14ac:dyDescent="0.25">
      <c r="A33" s="1" t="s">
        <v>58</v>
      </c>
      <c r="B33" s="1" t="s">
        <v>4545</v>
      </c>
      <c r="C33" s="13">
        <v>17</v>
      </c>
      <c r="D33" s="13">
        <v>239</v>
      </c>
      <c r="E33" s="1" t="s">
        <v>237</v>
      </c>
      <c r="F33" s="1"/>
      <c r="G33" s="1">
        <v>0</v>
      </c>
      <c r="H33" s="1">
        <v>0</v>
      </c>
      <c r="I33" s="1">
        <v>0</v>
      </c>
      <c r="J33" s="1">
        <v>0</v>
      </c>
      <c r="K33" s="1">
        <v>0</v>
      </c>
      <c r="L33" s="1">
        <v>0</v>
      </c>
      <c r="M33" s="1">
        <v>0</v>
      </c>
      <c r="N33" s="1">
        <v>0</v>
      </c>
      <c r="O33" s="1">
        <v>0</v>
      </c>
      <c r="P33" s="1">
        <v>0</v>
      </c>
      <c r="Q33" t="str">
        <f>INDEX(pARTNER[#All],MATCH(#REF!,pARTNER[[#All],[Value.partnerSummary.id]],0),10)</f>
        <v>Slovenija (SI)</v>
      </c>
      <c r="R33" t="str">
        <f>INDEX('Partner data'!$A$2:$DG$171,MATCH(#REF!,'Partner data'!$DG$2:$DG$171,0),83)</f>
        <v>Soggetto pubblico</v>
      </c>
      <c r="S33" s="86" t="b">
        <f>IF(#REF!="staff",INDEX('Partner data'!$DG$2:$DH$171,MATCH(#REF!,'Partner data'!$DG$2:$DG$171,0),2))</f>
        <v>0</v>
      </c>
    </row>
    <row r="34" spans="1:19" x14ac:dyDescent="0.25">
      <c r="A34" s="1" t="s">
        <v>58</v>
      </c>
      <c r="B34" s="1" t="s">
        <v>4545</v>
      </c>
      <c r="C34" s="13">
        <v>17</v>
      </c>
      <c r="D34" s="13">
        <v>239</v>
      </c>
      <c r="E34" s="1" t="s">
        <v>238</v>
      </c>
      <c r="F34" s="1"/>
      <c r="G34" s="1">
        <v>800000</v>
      </c>
      <c r="H34" s="1">
        <v>0</v>
      </c>
      <c r="I34" s="1">
        <v>0</v>
      </c>
      <c r="J34" s="1">
        <v>0</v>
      </c>
      <c r="K34" s="1">
        <v>0</v>
      </c>
      <c r="L34" s="1">
        <v>0</v>
      </c>
      <c r="M34" s="1">
        <v>0</v>
      </c>
      <c r="N34" s="1">
        <v>0</v>
      </c>
      <c r="O34" s="1">
        <v>800000</v>
      </c>
      <c r="P34" s="1">
        <v>0</v>
      </c>
      <c r="Q34" t="str">
        <f>INDEX(pARTNER[#All],MATCH(#REF!,pARTNER[[#All],[Value.partnerSummary.id]],0),10)</f>
        <v>Slovenija (SI)</v>
      </c>
      <c r="R34" t="str">
        <f>INDEX('Partner data'!$A$2:$DG$171,MATCH(#REF!,'Partner data'!$DG$2:$DG$171,0),83)</f>
        <v>Soggetto pubblico</v>
      </c>
      <c r="S34" s="86" t="b">
        <f>IF(#REF!="staff",INDEX('Partner data'!$DG$2:$DH$171,MATCH(#REF!,'Partner data'!$DG$2:$DG$171,0),2))</f>
        <v>0</v>
      </c>
    </row>
    <row r="35" spans="1:19" x14ac:dyDescent="0.25">
      <c r="A35" s="1" t="s">
        <v>58</v>
      </c>
      <c r="B35" s="1" t="s">
        <v>4545</v>
      </c>
      <c r="C35" s="13">
        <v>17</v>
      </c>
      <c r="D35" s="13">
        <v>79</v>
      </c>
      <c r="E35" s="1" t="s">
        <v>228</v>
      </c>
      <c r="F35" s="1"/>
      <c r="G35" s="1">
        <v>0</v>
      </c>
      <c r="H35" s="1">
        <v>0</v>
      </c>
      <c r="I35" s="1">
        <v>0</v>
      </c>
      <c r="J35" s="1">
        <v>0</v>
      </c>
      <c r="K35" s="1">
        <v>0</v>
      </c>
      <c r="L35" s="1">
        <v>0</v>
      </c>
      <c r="M35" s="1">
        <v>0</v>
      </c>
      <c r="N35" s="1">
        <v>0</v>
      </c>
      <c r="O35" s="1">
        <v>0</v>
      </c>
      <c r="P35" s="1">
        <v>0</v>
      </c>
      <c r="Q35" t="str">
        <f>INDEX(pARTNER[#All],MATCH(#REF!,pARTNER[[#All],[Value.partnerSummary.id]],0),10)</f>
        <v>Slovenija (SI)</v>
      </c>
      <c r="R35" t="str">
        <f>INDEX('Partner data'!$A$2:$DG$171,MATCH(#REF!,'Partner data'!$DG$2:$DG$171,0),83)</f>
        <v>Soggetto pubblico</v>
      </c>
      <c r="S35" s="86" t="str">
        <f>IF(#REF!="staff",INDEX('Partner data'!$DG$2:$DH$171,MATCH(#REF!,'Partner data'!$DG$2:$DG$171,0),2))</f>
        <v>BL1 non presente</v>
      </c>
    </row>
    <row r="36" spans="1:19" x14ac:dyDescent="0.25">
      <c r="A36" s="1" t="s">
        <v>58</v>
      </c>
      <c r="B36" s="1" t="s">
        <v>4545</v>
      </c>
      <c r="C36" s="13">
        <v>17</v>
      </c>
      <c r="D36" s="13">
        <v>79</v>
      </c>
      <c r="E36" s="1" t="s">
        <v>229</v>
      </c>
      <c r="F36" s="1"/>
      <c r="G36" s="1">
        <v>0</v>
      </c>
      <c r="H36" s="1">
        <v>0</v>
      </c>
      <c r="I36" s="1">
        <v>0</v>
      </c>
      <c r="J36" s="1">
        <v>0</v>
      </c>
      <c r="K36" s="1">
        <v>0</v>
      </c>
      <c r="L36" s="1">
        <v>0</v>
      </c>
      <c r="M36" s="1">
        <v>0</v>
      </c>
      <c r="N36" s="1">
        <v>0</v>
      </c>
      <c r="O36" s="1">
        <v>0</v>
      </c>
      <c r="P36" s="1">
        <v>0</v>
      </c>
      <c r="Q36" t="str">
        <f>INDEX(pARTNER[#All],MATCH(#REF!,pARTNER[[#All],[Value.partnerSummary.id]],0),10)</f>
        <v>Slovenija (SI)</v>
      </c>
      <c r="R36" t="str">
        <f>INDEX('Partner data'!$A$2:$DG$171,MATCH(#REF!,'Partner data'!$DG$2:$DG$171,0),83)</f>
        <v>Soggetto pubblico</v>
      </c>
      <c r="S36" s="86" t="b">
        <f>IF(#REF!="staff",INDEX('Partner data'!$DG$2:$DH$171,MATCH(#REF!,'Partner data'!$DG$2:$DG$171,0),2))</f>
        <v>0</v>
      </c>
    </row>
    <row r="37" spans="1:19" x14ac:dyDescent="0.25">
      <c r="A37" s="1" t="s">
        <v>58</v>
      </c>
      <c r="B37" s="1" t="s">
        <v>4545</v>
      </c>
      <c r="C37" s="13">
        <v>17</v>
      </c>
      <c r="D37" s="13">
        <v>79</v>
      </c>
      <c r="E37" s="1" t="s">
        <v>230</v>
      </c>
      <c r="F37" s="1"/>
      <c r="G37" s="1">
        <v>0</v>
      </c>
      <c r="H37" s="1">
        <v>0</v>
      </c>
      <c r="I37" s="1">
        <v>0</v>
      </c>
      <c r="J37" s="1">
        <v>0</v>
      </c>
      <c r="K37" s="1">
        <v>0</v>
      </c>
      <c r="L37" s="1">
        <v>0</v>
      </c>
      <c r="M37" s="1">
        <v>0</v>
      </c>
      <c r="N37" s="1">
        <v>0</v>
      </c>
      <c r="O37" s="1">
        <v>0</v>
      </c>
      <c r="P37" s="1">
        <v>0</v>
      </c>
      <c r="Q37" t="str">
        <f>INDEX(pARTNER[#All],MATCH(#REF!,pARTNER[[#All],[Value.partnerSummary.id]],0),10)</f>
        <v>Slovenija (SI)</v>
      </c>
      <c r="R37" t="str">
        <f>INDEX('Partner data'!$A$2:$DG$171,MATCH(#REF!,'Partner data'!$DG$2:$DG$171,0),83)</f>
        <v>Soggetto pubblico</v>
      </c>
      <c r="S37" s="86" t="b">
        <f>IF(#REF!="staff",INDEX('Partner data'!$DG$2:$DH$171,MATCH(#REF!,'Partner data'!$DG$2:$DG$171,0),2))</f>
        <v>0</v>
      </c>
    </row>
    <row r="38" spans="1:19" x14ac:dyDescent="0.25">
      <c r="A38" s="1" t="s">
        <v>58</v>
      </c>
      <c r="B38" s="1" t="s">
        <v>4545</v>
      </c>
      <c r="C38" s="13">
        <v>17</v>
      </c>
      <c r="D38" s="13">
        <v>79</v>
      </c>
      <c r="E38" s="1" t="s">
        <v>231</v>
      </c>
      <c r="F38" s="1"/>
      <c r="G38" s="1">
        <v>0</v>
      </c>
      <c r="H38" s="1">
        <v>0</v>
      </c>
      <c r="I38" s="1">
        <v>0</v>
      </c>
      <c r="J38" s="1">
        <v>0</v>
      </c>
      <c r="K38" s="1">
        <v>0</v>
      </c>
      <c r="L38" s="1">
        <v>0</v>
      </c>
      <c r="M38" s="1">
        <v>0</v>
      </c>
      <c r="N38" s="1">
        <v>0</v>
      </c>
      <c r="O38" s="1">
        <v>0</v>
      </c>
      <c r="P38" s="1">
        <v>0</v>
      </c>
      <c r="Q38" t="str">
        <f>INDEX(pARTNER[#All],MATCH(#REF!,pARTNER[[#All],[Value.partnerSummary.id]],0),10)</f>
        <v>Slovenija (SI)</v>
      </c>
      <c r="R38" t="str">
        <f>INDEX('Partner data'!$A$2:$DG$171,MATCH(#REF!,'Partner data'!$DG$2:$DG$171,0),83)</f>
        <v>Soggetto pubblico</v>
      </c>
      <c r="S38" s="86" t="b">
        <f>IF(#REF!="staff",INDEX('Partner data'!$DG$2:$DH$171,MATCH(#REF!,'Partner data'!$DG$2:$DG$171,0),2))</f>
        <v>0</v>
      </c>
    </row>
    <row r="39" spans="1:19" x14ac:dyDescent="0.25">
      <c r="A39" s="1" t="s">
        <v>58</v>
      </c>
      <c r="B39" s="1" t="s">
        <v>4545</v>
      </c>
      <c r="C39" s="13">
        <v>17</v>
      </c>
      <c r="D39" s="13">
        <v>79</v>
      </c>
      <c r="E39" s="1" t="s">
        <v>232</v>
      </c>
      <c r="F39" s="1"/>
      <c r="G39" s="1">
        <v>0</v>
      </c>
      <c r="H39" s="1">
        <v>0</v>
      </c>
      <c r="I39" s="1">
        <v>0</v>
      </c>
      <c r="J39" s="1">
        <v>0</v>
      </c>
      <c r="K39" s="1">
        <v>0</v>
      </c>
      <c r="L39" s="1">
        <v>0</v>
      </c>
      <c r="M39" s="1">
        <v>0</v>
      </c>
      <c r="N39" s="1">
        <v>0</v>
      </c>
      <c r="O39" s="1">
        <v>0</v>
      </c>
      <c r="P39" s="1">
        <v>0</v>
      </c>
      <c r="Q39" t="str">
        <f>INDEX(pARTNER[#All],MATCH(#REF!,pARTNER[[#All],[Value.partnerSummary.id]],0),10)</f>
        <v>Slovenija (SI)</v>
      </c>
      <c r="R39" t="str">
        <f>INDEX('Partner data'!$A$2:$DG$171,MATCH(#REF!,'Partner data'!$DG$2:$DG$171,0),83)</f>
        <v>Soggetto pubblico</v>
      </c>
      <c r="S39" s="86" t="b">
        <f>IF(#REF!="staff",INDEX('Partner data'!$DG$2:$DH$171,MATCH(#REF!,'Partner data'!$DG$2:$DG$171,0),2))</f>
        <v>0</v>
      </c>
    </row>
    <row r="40" spans="1:19" x14ac:dyDescent="0.25">
      <c r="A40" s="1" t="s">
        <v>58</v>
      </c>
      <c r="B40" s="1" t="s">
        <v>4545</v>
      </c>
      <c r="C40" s="13">
        <v>17</v>
      </c>
      <c r="D40" s="13">
        <v>79</v>
      </c>
      <c r="E40" s="1" t="s">
        <v>233</v>
      </c>
      <c r="F40" s="1"/>
      <c r="G40" s="1">
        <v>800000</v>
      </c>
      <c r="H40" s="1">
        <v>0</v>
      </c>
      <c r="I40" s="1">
        <v>0</v>
      </c>
      <c r="J40" s="1">
        <v>0</v>
      </c>
      <c r="K40" s="1">
        <v>0</v>
      </c>
      <c r="L40" s="1">
        <v>0</v>
      </c>
      <c r="M40" s="1">
        <v>0</v>
      </c>
      <c r="N40" s="1">
        <v>0</v>
      </c>
      <c r="O40" s="1">
        <v>800000</v>
      </c>
      <c r="P40" s="1">
        <v>0</v>
      </c>
      <c r="Q40" t="str">
        <f>INDEX(pARTNER[#All],MATCH(#REF!,pARTNER[[#All],[Value.partnerSummary.id]],0),10)</f>
        <v>Slovenija (SI)</v>
      </c>
      <c r="R40" t="str">
        <f>INDEX('Partner data'!$A$2:$DG$171,MATCH(#REF!,'Partner data'!$DG$2:$DG$171,0),83)</f>
        <v>Soggetto pubblico</v>
      </c>
      <c r="S40" s="86" t="b">
        <f>IF(#REF!="staff",INDEX('Partner data'!$DG$2:$DH$171,MATCH(#REF!,'Partner data'!$DG$2:$DG$171,0),2))</f>
        <v>0</v>
      </c>
    </row>
    <row r="41" spans="1:19" x14ac:dyDescent="0.25">
      <c r="A41" s="1" t="s">
        <v>58</v>
      </c>
      <c r="B41" s="1" t="s">
        <v>4545</v>
      </c>
      <c r="C41" s="13">
        <v>17</v>
      </c>
      <c r="D41" s="13">
        <v>79</v>
      </c>
      <c r="E41" s="1" t="s">
        <v>234</v>
      </c>
      <c r="F41" s="1"/>
      <c r="G41" s="1">
        <v>0</v>
      </c>
      <c r="H41" s="1">
        <v>0</v>
      </c>
      <c r="I41" s="1">
        <v>0</v>
      </c>
      <c r="J41" s="1">
        <v>0</v>
      </c>
      <c r="K41" s="1">
        <v>0</v>
      </c>
      <c r="L41" s="1">
        <v>0</v>
      </c>
      <c r="M41" s="1">
        <v>0</v>
      </c>
      <c r="N41" s="1">
        <v>0</v>
      </c>
      <c r="O41" s="1">
        <v>0</v>
      </c>
      <c r="P41" s="1">
        <v>0</v>
      </c>
      <c r="Q41" t="str">
        <f>INDEX(pARTNER[#All],MATCH(#REF!,pARTNER[[#All],[Value.partnerSummary.id]],0),10)</f>
        <v>Slovenija (SI)</v>
      </c>
      <c r="R41" t="str">
        <f>INDEX('Partner data'!$A$2:$DG$171,MATCH(#REF!,'Partner data'!$DG$2:$DG$171,0),83)</f>
        <v>Soggetto pubblico</v>
      </c>
      <c r="S41" s="86" t="b">
        <f>IF(#REF!="staff",INDEX('Partner data'!$DG$2:$DH$171,MATCH(#REF!,'Partner data'!$DG$2:$DG$171,0),2))</f>
        <v>0</v>
      </c>
    </row>
    <row r="42" spans="1:19" x14ac:dyDescent="0.25">
      <c r="A42" s="1" t="s">
        <v>58</v>
      </c>
      <c r="B42" s="1" t="s">
        <v>4545</v>
      </c>
      <c r="C42" s="13">
        <v>17</v>
      </c>
      <c r="D42" s="13">
        <v>79</v>
      </c>
      <c r="E42" s="1" t="s">
        <v>235</v>
      </c>
      <c r="F42" s="1"/>
      <c r="G42" s="1">
        <v>0</v>
      </c>
      <c r="H42" s="1">
        <v>0</v>
      </c>
      <c r="I42" s="1">
        <v>0</v>
      </c>
      <c r="J42" s="1">
        <v>0</v>
      </c>
      <c r="K42" s="1">
        <v>0</v>
      </c>
      <c r="L42" s="1">
        <v>0</v>
      </c>
      <c r="M42" s="1">
        <v>0</v>
      </c>
      <c r="N42" s="1">
        <v>0</v>
      </c>
      <c r="O42" s="1">
        <v>0</v>
      </c>
      <c r="P42" s="1">
        <v>0</v>
      </c>
      <c r="Q42" t="str">
        <f>INDEX(pARTNER[#All],MATCH(#REF!,pARTNER[[#All],[Value.partnerSummary.id]],0),10)</f>
        <v>Slovenija (SI)</v>
      </c>
      <c r="R42" t="str">
        <f>INDEX('Partner data'!$A$2:$DG$171,MATCH(#REF!,'Partner data'!$DG$2:$DG$171,0),83)</f>
        <v>Soggetto pubblico</v>
      </c>
      <c r="S42" s="86" t="b">
        <f>IF(#REF!="staff",INDEX('Partner data'!$DG$2:$DH$171,MATCH(#REF!,'Partner data'!$DG$2:$DG$171,0),2))</f>
        <v>0</v>
      </c>
    </row>
    <row r="43" spans="1:19" x14ac:dyDescent="0.25">
      <c r="A43" s="1" t="s">
        <v>58</v>
      </c>
      <c r="B43" s="1" t="s">
        <v>4545</v>
      </c>
      <c r="C43" s="13">
        <v>17</v>
      </c>
      <c r="D43" s="13">
        <v>79</v>
      </c>
      <c r="E43" s="1" t="s">
        <v>236</v>
      </c>
      <c r="F43" s="1"/>
      <c r="G43" s="1">
        <v>0</v>
      </c>
      <c r="H43" s="1">
        <v>0</v>
      </c>
      <c r="I43" s="1">
        <v>0</v>
      </c>
      <c r="J43" s="1">
        <v>0</v>
      </c>
      <c r="K43" s="1">
        <v>0</v>
      </c>
      <c r="L43" s="1">
        <v>0</v>
      </c>
      <c r="M43" s="1">
        <v>0</v>
      </c>
      <c r="N43" s="1">
        <v>0</v>
      </c>
      <c r="O43" s="1">
        <v>0</v>
      </c>
      <c r="P43" s="1">
        <v>0</v>
      </c>
      <c r="Q43" t="str">
        <f>INDEX(pARTNER[#All],MATCH(#REF!,pARTNER[[#All],[Value.partnerSummary.id]],0),10)</f>
        <v>Slovenija (SI)</v>
      </c>
      <c r="R43" t="str">
        <f>INDEX('Partner data'!$A$2:$DG$171,MATCH(#REF!,'Partner data'!$DG$2:$DG$171,0),83)</f>
        <v>Soggetto pubblico</v>
      </c>
      <c r="S43" s="86" t="b">
        <f>IF(#REF!="staff",INDEX('Partner data'!$DG$2:$DH$171,MATCH(#REF!,'Partner data'!$DG$2:$DG$171,0),2))</f>
        <v>0</v>
      </c>
    </row>
    <row r="44" spans="1:19" x14ac:dyDescent="0.25">
      <c r="A44" s="1" t="s">
        <v>58</v>
      </c>
      <c r="B44" s="1" t="s">
        <v>4545</v>
      </c>
      <c r="C44" s="13">
        <v>17</v>
      </c>
      <c r="D44" s="13">
        <v>79</v>
      </c>
      <c r="E44" s="1" t="s">
        <v>237</v>
      </c>
      <c r="F44" s="1"/>
      <c r="G44" s="1">
        <v>0</v>
      </c>
      <c r="H44" s="1">
        <v>0</v>
      </c>
      <c r="I44" s="1">
        <v>0</v>
      </c>
      <c r="J44" s="1">
        <v>0</v>
      </c>
      <c r="K44" s="1">
        <v>0</v>
      </c>
      <c r="L44" s="1">
        <v>0</v>
      </c>
      <c r="M44" s="1">
        <v>0</v>
      </c>
      <c r="N44" s="1">
        <v>0</v>
      </c>
      <c r="O44" s="1">
        <v>0</v>
      </c>
      <c r="P44" s="1">
        <v>0</v>
      </c>
      <c r="Q44" t="str">
        <f>INDEX(pARTNER[#All],MATCH(#REF!,pARTNER[[#All],[Value.partnerSummary.id]],0),10)</f>
        <v>Slovenija (SI)</v>
      </c>
      <c r="R44" t="str">
        <f>INDEX('Partner data'!$A$2:$DG$171,MATCH(#REF!,'Partner data'!$DG$2:$DG$171,0),83)</f>
        <v>Soggetto pubblico</v>
      </c>
      <c r="S44" s="86" t="b">
        <f>IF(#REF!="staff",INDEX('Partner data'!$DG$2:$DH$171,MATCH(#REF!,'Partner data'!$DG$2:$DG$171,0),2))</f>
        <v>0</v>
      </c>
    </row>
    <row r="45" spans="1:19" x14ac:dyDescent="0.25">
      <c r="A45" s="1" t="s">
        <v>58</v>
      </c>
      <c r="B45" s="1" t="s">
        <v>4545</v>
      </c>
      <c r="C45" s="13">
        <v>17</v>
      </c>
      <c r="D45" s="13">
        <v>79</v>
      </c>
      <c r="E45" s="1" t="s">
        <v>238</v>
      </c>
      <c r="F45" s="1"/>
      <c r="G45" s="1">
        <v>800000</v>
      </c>
      <c r="H45" s="1">
        <v>0</v>
      </c>
      <c r="I45" s="1">
        <v>0</v>
      </c>
      <c r="J45" s="1">
        <v>0</v>
      </c>
      <c r="K45" s="1">
        <v>0</v>
      </c>
      <c r="L45" s="1">
        <v>0</v>
      </c>
      <c r="M45" s="1">
        <v>0</v>
      </c>
      <c r="N45" s="1">
        <v>0</v>
      </c>
      <c r="O45" s="1">
        <v>800000</v>
      </c>
      <c r="P45" s="1">
        <v>0</v>
      </c>
      <c r="Q45" t="str">
        <f>INDEX(pARTNER[#All],MATCH(#REF!,pARTNER[[#All],[Value.partnerSummary.id]],0),10)</f>
        <v>Slovenija (SI)</v>
      </c>
      <c r="R45" t="str">
        <f>INDEX('Partner data'!$A$2:$DG$171,MATCH(#REF!,'Partner data'!$DG$2:$DG$171,0),83)</f>
        <v>Soggetto pubblico</v>
      </c>
      <c r="S45" s="86" t="b">
        <f>IF(#REF!="staff",INDEX('Partner data'!$DG$2:$DH$171,MATCH(#REF!,'Partner data'!$DG$2:$DG$171,0),2))</f>
        <v>0</v>
      </c>
    </row>
    <row r="46" spans="1:19" x14ac:dyDescent="0.25">
      <c r="A46" s="1" t="s">
        <v>58</v>
      </c>
      <c r="B46" s="1" t="s">
        <v>36</v>
      </c>
      <c r="C46" s="13">
        <v>16</v>
      </c>
      <c r="D46" s="13">
        <v>208</v>
      </c>
      <c r="E46" s="1" t="s">
        <v>228</v>
      </c>
      <c r="F46" s="1"/>
      <c r="G46" s="1">
        <v>105000</v>
      </c>
      <c r="H46" s="1">
        <v>21690.94</v>
      </c>
      <c r="I46" s="1">
        <v>0</v>
      </c>
      <c r="J46" s="1">
        <v>8591.6200000000008</v>
      </c>
      <c r="K46" s="1">
        <v>0</v>
      </c>
      <c r="L46" s="1">
        <v>8591.6200000000008</v>
      </c>
      <c r="M46" s="1">
        <v>30282.560000000001</v>
      </c>
      <c r="N46" s="1">
        <v>28.84</v>
      </c>
      <c r="O46" s="1">
        <v>74717.440000000002</v>
      </c>
      <c r="P46" s="1">
        <v>21690.94</v>
      </c>
      <c r="Q46" t="str">
        <f>INDEX(pARTNER[#All],MATCH(#REF!,pARTNER[[#All],[Value.partnerSummary.id]],0),10)</f>
        <v>Slovenija (SI)</v>
      </c>
      <c r="R46" t="str">
        <f>INDEX('Partner data'!$A$2:$DG$171,MATCH(#REF!,'Partner data'!$DG$2:$DG$171,0),83)</f>
        <v>Soggetto pubblico</v>
      </c>
      <c r="S46" s="86" t="str">
        <f>IF(#REF!="staff",INDEX('Partner data'!$DG$2:$DH$171,MATCH(#REF!,'Partner data'!$DG$2:$DG$171,0),2))</f>
        <v>COSTO REALE</v>
      </c>
    </row>
    <row r="47" spans="1:19" x14ac:dyDescent="0.25">
      <c r="A47" s="1" t="s">
        <v>58</v>
      </c>
      <c r="B47" s="1" t="s">
        <v>36</v>
      </c>
      <c r="C47" s="13">
        <v>16</v>
      </c>
      <c r="D47" s="13">
        <v>208</v>
      </c>
      <c r="E47" s="1" t="s">
        <v>229</v>
      </c>
      <c r="F47" s="1">
        <v>15</v>
      </c>
      <c r="G47" s="1">
        <v>15750</v>
      </c>
      <c r="H47" s="1">
        <v>3253.64</v>
      </c>
      <c r="I47" s="1">
        <v>0</v>
      </c>
      <c r="J47" s="1">
        <v>1288.74</v>
      </c>
      <c r="K47" s="1">
        <v>0</v>
      </c>
      <c r="L47" s="1">
        <v>1288.74</v>
      </c>
      <c r="M47" s="1">
        <v>4542.38</v>
      </c>
      <c r="N47" s="1">
        <v>28.84</v>
      </c>
      <c r="O47" s="1">
        <v>11207.62</v>
      </c>
      <c r="P47" s="1">
        <v>3253.64</v>
      </c>
      <c r="Q47" t="str">
        <f>INDEX(pARTNER[#All],MATCH(#REF!,pARTNER[[#All],[Value.partnerSummary.id]],0),10)</f>
        <v>Slovenija (SI)</v>
      </c>
      <c r="R47" t="str">
        <f>INDEX('Partner data'!$A$2:$DG$171,MATCH(#REF!,'Partner data'!$DG$2:$DG$171,0),83)</f>
        <v>Soggetto pubblico</v>
      </c>
      <c r="S47" s="86" t="b">
        <f>IF(#REF!="staff",INDEX('Partner data'!$DG$2:$DH$171,MATCH(#REF!,'Partner data'!$DG$2:$DG$171,0),2))</f>
        <v>0</v>
      </c>
    </row>
    <row r="48" spans="1:19" x14ac:dyDescent="0.25">
      <c r="A48" s="1" t="s">
        <v>58</v>
      </c>
      <c r="B48" s="1" t="s">
        <v>36</v>
      </c>
      <c r="C48" s="13">
        <v>16</v>
      </c>
      <c r="D48" s="13">
        <v>208</v>
      </c>
      <c r="E48" s="1" t="s">
        <v>230</v>
      </c>
      <c r="F48" s="1">
        <v>4</v>
      </c>
      <c r="G48" s="1">
        <v>4200</v>
      </c>
      <c r="H48" s="1">
        <v>867.63</v>
      </c>
      <c r="I48" s="1">
        <v>0</v>
      </c>
      <c r="J48" s="1">
        <v>343.66</v>
      </c>
      <c r="K48" s="1">
        <v>0</v>
      </c>
      <c r="L48" s="1">
        <v>343.66</v>
      </c>
      <c r="M48" s="1">
        <v>1211.29</v>
      </c>
      <c r="N48" s="1">
        <v>28.84</v>
      </c>
      <c r="O48" s="1">
        <v>2988.71</v>
      </c>
      <c r="P48" s="1">
        <v>867.63</v>
      </c>
      <c r="Q48" t="str">
        <f>INDEX(pARTNER[#All],MATCH(#REF!,pARTNER[[#All],[Value.partnerSummary.id]],0),10)</f>
        <v>Slovenija (SI)</v>
      </c>
      <c r="R48" t="str">
        <f>INDEX('Partner data'!$A$2:$DG$171,MATCH(#REF!,'Partner data'!$DG$2:$DG$171,0),83)</f>
        <v>Soggetto pubblico</v>
      </c>
      <c r="S48" s="86" t="b">
        <f>IF(#REF!="staff",INDEX('Partner data'!$DG$2:$DH$171,MATCH(#REF!,'Partner data'!$DG$2:$DG$171,0),2))</f>
        <v>0</v>
      </c>
    </row>
    <row r="49" spans="1:19" x14ac:dyDescent="0.25">
      <c r="A49" s="1" t="s">
        <v>58</v>
      </c>
      <c r="B49" s="1" t="s">
        <v>36</v>
      </c>
      <c r="C49" s="13">
        <v>16</v>
      </c>
      <c r="D49" s="13">
        <v>208</v>
      </c>
      <c r="E49" s="1" t="s">
        <v>231</v>
      </c>
      <c r="F49" s="1"/>
      <c r="G49" s="1">
        <v>134738</v>
      </c>
      <c r="H49" s="1">
        <v>42207.55</v>
      </c>
      <c r="I49" s="1">
        <v>0</v>
      </c>
      <c r="J49" s="1">
        <v>41943.86</v>
      </c>
      <c r="K49" s="1">
        <v>0</v>
      </c>
      <c r="L49" s="1">
        <v>41943.86</v>
      </c>
      <c r="M49" s="1">
        <v>84151.41</v>
      </c>
      <c r="N49" s="1">
        <v>62.46</v>
      </c>
      <c r="O49" s="1">
        <v>50586.59</v>
      </c>
      <c r="P49" s="1">
        <v>42207.55</v>
      </c>
      <c r="Q49" t="str">
        <f>INDEX(pARTNER[#All],MATCH(#REF!,pARTNER[[#All],[Value.partnerSummary.id]],0),10)</f>
        <v>Slovenija (SI)</v>
      </c>
      <c r="R49" t="str">
        <f>INDEX('Partner data'!$A$2:$DG$171,MATCH(#REF!,'Partner data'!$DG$2:$DG$171,0),83)</f>
        <v>Soggetto pubblico</v>
      </c>
      <c r="S49" s="86" t="b">
        <f>IF(#REF!="staff",INDEX('Partner data'!$DG$2:$DH$171,MATCH(#REF!,'Partner data'!$DG$2:$DG$171,0),2))</f>
        <v>0</v>
      </c>
    </row>
    <row r="50" spans="1:19" x14ac:dyDescent="0.25">
      <c r="A50" s="1" t="s">
        <v>58</v>
      </c>
      <c r="B50" s="1" t="s">
        <v>36</v>
      </c>
      <c r="C50" s="13">
        <v>16</v>
      </c>
      <c r="D50" s="13">
        <v>208</v>
      </c>
      <c r="E50" s="1" t="s">
        <v>232</v>
      </c>
      <c r="F50" s="1"/>
      <c r="G50" s="1">
        <v>57000</v>
      </c>
      <c r="H50" s="1">
        <v>0</v>
      </c>
      <c r="I50" s="1">
        <v>0</v>
      </c>
      <c r="J50" s="1">
        <v>0</v>
      </c>
      <c r="K50" s="1">
        <v>0</v>
      </c>
      <c r="L50" s="1">
        <v>0</v>
      </c>
      <c r="M50" s="1">
        <v>0</v>
      </c>
      <c r="N50" s="1">
        <v>0</v>
      </c>
      <c r="O50" s="1">
        <v>57000</v>
      </c>
      <c r="P50" s="1">
        <v>0</v>
      </c>
      <c r="Q50" t="str">
        <f>INDEX(pARTNER[#All],MATCH(#REF!,pARTNER[[#All],[Value.partnerSummary.id]],0),10)</f>
        <v>Slovenija (SI)</v>
      </c>
      <c r="R50" t="str">
        <f>INDEX('Partner data'!$A$2:$DG$171,MATCH(#REF!,'Partner data'!$DG$2:$DG$171,0),83)</f>
        <v>Soggetto pubblico</v>
      </c>
      <c r="S50" s="86" t="b">
        <f>IF(#REF!="staff",INDEX('Partner data'!$DG$2:$DH$171,MATCH(#REF!,'Partner data'!$DG$2:$DG$171,0),2))</f>
        <v>0</v>
      </c>
    </row>
    <row r="51" spans="1:19" x14ac:dyDescent="0.25">
      <c r="A51" s="1" t="s">
        <v>58</v>
      </c>
      <c r="B51" s="1" t="s">
        <v>36</v>
      </c>
      <c r="C51" s="13">
        <v>16</v>
      </c>
      <c r="D51" s="13">
        <v>208</v>
      </c>
      <c r="E51" s="1" t="s">
        <v>233</v>
      </c>
      <c r="F51" s="1"/>
      <c r="G51" s="1">
        <v>0</v>
      </c>
      <c r="H51" s="1">
        <v>0</v>
      </c>
      <c r="I51" s="1">
        <v>0</v>
      </c>
      <c r="J51" s="1">
        <v>0</v>
      </c>
      <c r="K51" s="1">
        <v>0</v>
      </c>
      <c r="L51" s="1">
        <v>0</v>
      </c>
      <c r="M51" s="1">
        <v>0</v>
      </c>
      <c r="N51" s="1">
        <v>0</v>
      </c>
      <c r="O51" s="1">
        <v>0</v>
      </c>
      <c r="P51" s="1">
        <v>0</v>
      </c>
      <c r="Q51" t="str">
        <f>INDEX(pARTNER[#All],MATCH(#REF!,pARTNER[[#All],[Value.partnerSummary.id]],0),10)</f>
        <v>Slovenija (SI)</v>
      </c>
      <c r="R51" t="str">
        <f>INDEX('Partner data'!$A$2:$DG$171,MATCH(#REF!,'Partner data'!$DG$2:$DG$171,0),83)</f>
        <v>Soggetto pubblico</v>
      </c>
      <c r="S51" s="86" t="b">
        <f>IF(#REF!="staff",INDEX('Partner data'!$DG$2:$DH$171,MATCH(#REF!,'Partner data'!$DG$2:$DG$171,0),2))</f>
        <v>0</v>
      </c>
    </row>
    <row r="52" spans="1:19" x14ac:dyDescent="0.25">
      <c r="A52" s="1" t="s">
        <v>58</v>
      </c>
      <c r="B52" s="1" t="s">
        <v>36</v>
      </c>
      <c r="C52" s="13">
        <v>16</v>
      </c>
      <c r="D52" s="13">
        <v>208</v>
      </c>
      <c r="E52" s="1" t="s">
        <v>234</v>
      </c>
      <c r="F52" s="1"/>
      <c r="G52" s="1">
        <v>0</v>
      </c>
      <c r="H52" s="1">
        <v>0</v>
      </c>
      <c r="I52" s="1">
        <v>0</v>
      </c>
      <c r="J52" s="1">
        <v>0</v>
      </c>
      <c r="K52" s="1">
        <v>0</v>
      </c>
      <c r="L52" s="1">
        <v>0</v>
      </c>
      <c r="M52" s="1">
        <v>0</v>
      </c>
      <c r="N52" s="1">
        <v>0</v>
      </c>
      <c r="O52" s="1">
        <v>0</v>
      </c>
      <c r="P52" s="1">
        <v>0</v>
      </c>
      <c r="Q52" t="str">
        <f>INDEX(pARTNER[#All],MATCH(#REF!,pARTNER[[#All],[Value.partnerSummary.id]],0),10)</f>
        <v>Slovenija (SI)</v>
      </c>
      <c r="R52" t="str">
        <f>INDEX('Partner data'!$A$2:$DG$171,MATCH(#REF!,'Partner data'!$DG$2:$DG$171,0),83)</f>
        <v>Soggetto pubblico</v>
      </c>
      <c r="S52" s="86" t="b">
        <f>IF(#REF!="staff",INDEX('Partner data'!$DG$2:$DH$171,MATCH(#REF!,'Partner data'!$DG$2:$DG$171,0),2))</f>
        <v>0</v>
      </c>
    </row>
    <row r="53" spans="1:19" x14ac:dyDescent="0.25">
      <c r="A53" s="1" t="s">
        <v>58</v>
      </c>
      <c r="B53" s="1" t="s">
        <v>36</v>
      </c>
      <c r="C53" s="13">
        <v>16</v>
      </c>
      <c r="D53" s="13">
        <v>208</v>
      </c>
      <c r="E53" s="1" t="s">
        <v>235</v>
      </c>
      <c r="F53" s="1"/>
      <c r="G53" s="1">
        <v>0</v>
      </c>
      <c r="H53" s="1">
        <v>0</v>
      </c>
      <c r="I53" s="1">
        <v>0</v>
      </c>
      <c r="J53" s="1">
        <v>0</v>
      </c>
      <c r="K53" s="1">
        <v>0</v>
      </c>
      <c r="L53" s="1">
        <v>0</v>
      </c>
      <c r="M53" s="1">
        <v>0</v>
      </c>
      <c r="N53" s="1">
        <v>0</v>
      </c>
      <c r="O53" s="1">
        <v>0</v>
      </c>
      <c r="P53" s="1">
        <v>0</v>
      </c>
      <c r="Q53" t="str">
        <f>INDEX(pARTNER[#All],MATCH(#REF!,pARTNER[[#All],[Value.partnerSummary.id]],0),10)</f>
        <v>Slovenija (SI)</v>
      </c>
      <c r="R53" t="str">
        <f>INDEX('Partner data'!$A$2:$DG$171,MATCH(#REF!,'Partner data'!$DG$2:$DG$171,0),83)</f>
        <v>Soggetto pubblico</v>
      </c>
      <c r="S53" s="86" t="b">
        <f>IF(#REF!="staff",INDEX('Partner data'!$DG$2:$DH$171,MATCH(#REF!,'Partner data'!$DG$2:$DG$171,0),2))</f>
        <v>0</v>
      </c>
    </row>
    <row r="54" spans="1:19" x14ac:dyDescent="0.25">
      <c r="A54" s="1" t="s">
        <v>58</v>
      </c>
      <c r="B54" s="1" t="s">
        <v>36</v>
      </c>
      <c r="C54" s="13">
        <v>16</v>
      </c>
      <c r="D54" s="13">
        <v>208</v>
      </c>
      <c r="E54" s="1" t="s">
        <v>236</v>
      </c>
      <c r="F54" s="1"/>
      <c r="G54" s="1">
        <v>0</v>
      </c>
      <c r="H54" s="1">
        <v>0</v>
      </c>
      <c r="I54" s="1">
        <v>0</v>
      </c>
      <c r="J54" s="1">
        <v>0</v>
      </c>
      <c r="K54" s="1">
        <v>0</v>
      </c>
      <c r="L54" s="1">
        <v>0</v>
      </c>
      <c r="M54" s="1">
        <v>0</v>
      </c>
      <c r="N54" s="1">
        <v>0</v>
      </c>
      <c r="O54" s="1">
        <v>0</v>
      </c>
      <c r="P54" s="1">
        <v>0</v>
      </c>
      <c r="Q54" t="str">
        <f>INDEX(pARTNER[#All],MATCH(#REF!,pARTNER[[#All],[Value.partnerSummary.id]],0),10)</f>
        <v>Slovenija (SI)</v>
      </c>
      <c r="R54" t="str">
        <f>INDEX('Partner data'!$A$2:$DG$171,MATCH(#REF!,'Partner data'!$DG$2:$DG$171,0),83)</f>
        <v>Soggetto pubblico</v>
      </c>
      <c r="S54" s="86" t="b">
        <f>IF(#REF!="staff",INDEX('Partner data'!$DG$2:$DH$171,MATCH(#REF!,'Partner data'!$DG$2:$DG$171,0),2))</f>
        <v>0</v>
      </c>
    </row>
    <row r="55" spans="1:19" x14ac:dyDescent="0.25">
      <c r="A55" s="1" t="s">
        <v>58</v>
      </c>
      <c r="B55" s="1" t="s">
        <v>36</v>
      </c>
      <c r="C55" s="13">
        <v>16</v>
      </c>
      <c r="D55" s="13">
        <v>208</v>
      </c>
      <c r="E55" s="1" t="s">
        <v>237</v>
      </c>
      <c r="F55" s="1"/>
      <c r="G55" s="1">
        <v>0</v>
      </c>
      <c r="H55" s="1">
        <v>0</v>
      </c>
      <c r="I55" s="1">
        <v>0</v>
      </c>
      <c r="J55" s="1">
        <v>0</v>
      </c>
      <c r="K55" s="1">
        <v>0</v>
      </c>
      <c r="L55" s="1">
        <v>0</v>
      </c>
      <c r="M55" s="1">
        <v>0</v>
      </c>
      <c r="N55" s="1">
        <v>0</v>
      </c>
      <c r="O55" s="1">
        <v>0</v>
      </c>
      <c r="P55" s="1">
        <v>0</v>
      </c>
      <c r="Q55" t="str">
        <f>INDEX(pARTNER[#All],MATCH(#REF!,pARTNER[[#All],[Value.partnerSummary.id]],0),10)</f>
        <v>Slovenija (SI)</v>
      </c>
      <c r="R55" t="str">
        <f>INDEX('Partner data'!$A$2:$DG$171,MATCH(#REF!,'Partner data'!$DG$2:$DG$171,0),83)</f>
        <v>Soggetto pubblico</v>
      </c>
      <c r="S55" s="86" t="b">
        <f>IF(#REF!="staff",INDEX('Partner data'!$DG$2:$DH$171,MATCH(#REF!,'Partner data'!$DG$2:$DG$171,0),2))</f>
        <v>0</v>
      </c>
    </row>
    <row r="56" spans="1:19" x14ac:dyDescent="0.25">
      <c r="A56" s="1" t="s">
        <v>58</v>
      </c>
      <c r="B56" s="1" t="s">
        <v>36</v>
      </c>
      <c r="C56" s="13">
        <v>16</v>
      </c>
      <c r="D56" s="13">
        <v>208</v>
      </c>
      <c r="E56" s="1" t="s">
        <v>238</v>
      </c>
      <c r="F56" s="1"/>
      <c r="G56" s="1">
        <v>316688</v>
      </c>
      <c r="H56" s="1">
        <v>68019.759999999995</v>
      </c>
      <c r="I56" s="1">
        <v>0</v>
      </c>
      <c r="J56" s="1">
        <v>52167.88</v>
      </c>
      <c r="K56" s="1">
        <v>0</v>
      </c>
      <c r="L56" s="1">
        <v>52167.88</v>
      </c>
      <c r="M56" s="1">
        <v>120187.64</v>
      </c>
      <c r="N56" s="1">
        <v>37.950000000000003</v>
      </c>
      <c r="O56" s="1">
        <v>196500.36</v>
      </c>
      <c r="P56" s="1">
        <v>68019.759999999995</v>
      </c>
      <c r="Q56" t="str">
        <f>INDEX(pARTNER[#All],MATCH(#REF!,pARTNER[[#All],[Value.partnerSummary.id]],0),10)</f>
        <v>Slovenija (SI)</v>
      </c>
      <c r="R56" t="str">
        <f>INDEX('Partner data'!$A$2:$DG$171,MATCH(#REF!,'Partner data'!$DG$2:$DG$171,0),83)</f>
        <v>Soggetto pubblico</v>
      </c>
      <c r="S56" s="86" t="b">
        <f>IF(#REF!="staff",INDEX('Partner data'!$DG$2:$DH$171,MATCH(#REF!,'Partner data'!$DG$2:$DG$171,0),2))</f>
        <v>0</v>
      </c>
    </row>
    <row r="57" spans="1:19" x14ac:dyDescent="0.25">
      <c r="A57" s="1" t="s">
        <v>58</v>
      </c>
      <c r="B57" s="1" t="s">
        <v>36</v>
      </c>
      <c r="C57" s="13">
        <v>16</v>
      </c>
      <c r="D57" s="13">
        <v>83</v>
      </c>
      <c r="E57" s="1" t="s">
        <v>228</v>
      </c>
      <c r="F57" s="1"/>
      <c r="G57" s="1">
        <v>105000</v>
      </c>
      <c r="H57" s="1">
        <v>0</v>
      </c>
      <c r="I57" s="1">
        <v>0</v>
      </c>
      <c r="J57" s="1">
        <v>21690.94</v>
      </c>
      <c r="K57" s="1">
        <v>0</v>
      </c>
      <c r="L57" s="1">
        <v>21690.94</v>
      </c>
      <c r="M57" s="1">
        <v>21690.94</v>
      </c>
      <c r="N57" s="1">
        <v>20.66</v>
      </c>
      <c r="O57" s="1">
        <v>83309.06</v>
      </c>
      <c r="P57" s="1">
        <v>0</v>
      </c>
      <c r="Q57" t="str">
        <f>INDEX(pARTNER[#All],MATCH(#REF!,pARTNER[[#All],[Value.partnerSummary.id]],0),10)</f>
        <v>Slovenija (SI)</v>
      </c>
      <c r="R57" t="str">
        <f>INDEX('Partner data'!$A$2:$DG$171,MATCH(#REF!,'Partner data'!$DG$2:$DG$171,0),83)</f>
        <v>Soggetto pubblico</v>
      </c>
      <c r="S57" s="86" t="str">
        <f>IF(#REF!="staff",INDEX('Partner data'!$DG$2:$DH$171,MATCH(#REF!,'Partner data'!$DG$2:$DG$171,0),2))</f>
        <v>COSTO REALE</v>
      </c>
    </row>
    <row r="58" spans="1:19" x14ac:dyDescent="0.25">
      <c r="A58" s="1" t="s">
        <v>58</v>
      </c>
      <c r="B58" s="1" t="s">
        <v>36</v>
      </c>
      <c r="C58" s="13">
        <v>16</v>
      </c>
      <c r="D58" s="13">
        <v>83</v>
      </c>
      <c r="E58" s="1" t="s">
        <v>229</v>
      </c>
      <c r="F58" s="1">
        <v>15</v>
      </c>
      <c r="G58" s="1">
        <v>15750</v>
      </c>
      <c r="H58" s="1">
        <v>0</v>
      </c>
      <c r="I58" s="1">
        <v>0</v>
      </c>
      <c r="J58" s="1">
        <v>3253.64</v>
      </c>
      <c r="K58" s="1">
        <v>0</v>
      </c>
      <c r="L58" s="1">
        <v>3253.64</v>
      </c>
      <c r="M58" s="1">
        <v>3253.64</v>
      </c>
      <c r="N58" s="1">
        <v>20.66</v>
      </c>
      <c r="O58" s="1">
        <v>12496.36</v>
      </c>
      <c r="P58" s="1">
        <v>0</v>
      </c>
      <c r="Q58" t="str">
        <f>INDEX(pARTNER[#All],MATCH(#REF!,pARTNER[[#All],[Value.partnerSummary.id]],0),10)</f>
        <v>Slovenija (SI)</v>
      </c>
      <c r="R58" t="str">
        <f>INDEX('Partner data'!$A$2:$DG$171,MATCH(#REF!,'Partner data'!$DG$2:$DG$171,0),83)</f>
        <v>Soggetto pubblico</v>
      </c>
      <c r="S58" s="86" t="b">
        <f>IF(#REF!="staff",INDEX('Partner data'!$DG$2:$DH$171,MATCH(#REF!,'Partner data'!$DG$2:$DG$171,0),2))</f>
        <v>0</v>
      </c>
    </row>
    <row r="59" spans="1:19" x14ac:dyDescent="0.25">
      <c r="A59" s="1" t="s">
        <v>58</v>
      </c>
      <c r="B59" s="1" t="s">
        <v>36</v>
      </c>
      <c r="C59" s="13">
        <v>16</v>
      </c>
      <c r="D59" s="13">
        <v>83</v>
      </c>
      <c r="E59" s="1" t="s">
        <v>230</v>
      </c>
      <c r="F59" s="1">
        <v>4</v>
      </c>
      <c r="G59" s="1">
        <v>4200</v>
      </c>
      <c r="H59" s="1">
        <v>0</v>
      </c>
      <c r="I59" s="1">
        <v>0</v>
      </c>
      <c r="J59" s="1">
        <v>867.63</v>
      </c>
      <c r="K59" s="1">
        <v>0</v>
      </c>
      <c r="L59" s="1">
        <v>867.63</v>
      </c>
      <c r="M59" s="1">
        <v>867.63</v>
      </c>
      <c r="N59" s="1">
        <v>20.66</v>
      </c>
      <c r="O59" s="1">
        <v>3332.37</v>
      </c>
      <c r="P59" s="1">
        <v>0</v>
      </c>
      <c r="Q59" t="str">
        <f>INDEX(pARTNER[#All],MATCH(#REF!,pARTNER[[#All],[Value.partnerSummary.id]],0),10)</f>
        <v>Slovenija (SI)</v>
      </c>
      <c r="R59" t="str">
        <f>INDEX('Partner data'!$A$2:$DG$171,MATCH(#REF!,'Partner data'!$DG$2:$DG$171,0),83)</f>
        <v>Soggetto pubblico</v>
      </c>
      <c r="S59" s="86" t="b">
        <f>IF(#REF!="staff",INDEX('Partner data'!$DG$2:$DH$171,MATCH(#REF!,'Partner data'!$DG$2:$DG$171,0),2))</f>
        <v>0</v>
      </c>
    </row>
    <row r="60" spans="1:19" x14ac:dyDescent="0.25">
      <c r="A60" s="1" t="s">
        <v>58</v>
      </c>
      <c r="B60" s="1" t="s">
        <v>36</v>
      </c>
      <c r="C60" s="13">
        <v>16</v>
      </c>
      <c r="D60" s="13">
        <v>83</v>
      </c>
      <c r="E60" s="1" t="s">
        <v>231</v>
      </c>
      <c r="F60" s="1"/>
      <c r="G60" s="1">
        <v>134738</v>
      </c>
      <c r="H60" s="1">
        <v>0</v>
      </c>
      <c r="I60" s="1">
        <v>0</v>
      </c>
      <c r="J60" s="1">
        <v>42207.55</v>
      </c>
      <c r="K60" s="1">
        <v>0</v>
      </c>
      <c r="L60" s="1">
        <v>42207.55</v>
      </c>
      <c r="M60" s="1">
        <v>42207.55</v>
      </c>
      <c r="N60" s="1">
        <v>31.33</v>
      </c>
      <c r="O60" s="1">
        <v>92530.45</v>
      </c>
      <c r="P60" s="1">
        <v>0</v>
      </c>
      <c r="Q60" t="str">
        <f>INDEX(pARTNER[#All],MATCH(#REF!,pARTNER[[#All],[Value.partnerSummary.id]],0),10)</f>
        <v>Slovenija (SI)</v>
      </c>
      <c r="R60" t="str">
        <f>INDEX('Partner data'!$A$2:$DG$171,MATCH(#REF!,'Partner data'!$DG$2:$DG$171,0),83)</f>
        <v>Soggetto pubblico</v>
      </c>
      <c r="S60" s="86" t="b">
        <f>IF(#REF!="staff",INDEX('Partner data'!$DG$2:$DH$171,MATCH(#REF!,'Partner data'!$DG$2:$DG$171,0),2))</f>
        <v>0</v>
      </c>
    </row>
    <row r="61" spans="1:19" x14ac:dyDescent="0.25">
      <c r="A61" s="1" t="s">
        <v>58</v>
      </c>
      <c r="B61" s="1" t="s">
        <v>36</v>
      </c>
      <c r="C61" s="13">
        <v>16</v>
      </c>
      <c r="D61" s="13">
        <v>83</v>
      </c>
      <c r="E61" s="1" t="s">
        <v>232</v>
      </c>
      <c r="F61" s="1"/>
      <c r="G61" s="1">
        <v>57000</v>
      </c>
      <c r="H61" s="1">
        <v>0</v>
      </c>
      <c r="I61" s="1">
        <v>0</v>
      </c>
      <c r="J61" s="1">
        <v>0</v>
      </c>
      <c r="K61" s="1">
        <v>0</v>
      </c>
      <c r="L61" s="1">
        <v>0</v>
      </c>
      <c r="M61" s="1">
        <v>0</v>
      </c>
      <c r="N61" s="1">
        <v>0</v>
      </c>
      <c r="O61" s="1">
        <v>57000</v>
      </c>
      <c r="P61" s="1">
        <v>0</v>
      </c>
      <c r="Q61" t="str">
        <f>INDEX(pARTNER[#All],MATCH(#REF!,pARTNER[[#All],[Value.partnerSummary.id]],0),10)</f>
        <v>Slovenija (SI)</v>
      </c>
      <c r="R61" t="str">
        <f>INDEX('Partner data'!$A$2:$DG$171,MATCH(#REF!,'Partner data'!$DG$2:$DG$171,0),83)</f>
        <v>Soggetto pubblico</v>
      </c>
      <c r="S61" s="86" t="b">
        <f>IF(#REF!="staff",INDEX('Partner data'!$DG$2:$DH$171,MATCH(#REF!,'Partner data'!$DG$2:$DG$171,0),2))</f>
        <v>0</v>
      </c>
    </row>
    <row r="62" spans="1:19" x14ac:dyDescent="0.25">
      <c r="A62" s="1" t="s">
        <v>58</v>
      </c>
      <c r="B62" s="1" t="s">
        <v>36</v>
      </c>
      <c r="C62" s="13">
        <v>16</v>
      </c>
      <c r="D62" s="13">
        <v>83</v>
      </c>
      <c r="E62" s="1" t="s">
        <v>233</v>
      </c>
      <c r="F62" s="1"/>
      <c r="G62" s="1">
        <v>0</v>
      </c>
      <c r="H62" s="1">
        <v>0</v>
      </c>
      <c r="I62" s="1">
        <v>0</v>
      </c>
      <c r="J62" s="1">
        <v>0</v>
      </c>
      <c r="K62" s="1">
        <v>0</v>
      </c>
      <c r="L62" s="1">
        <v>0</v>
      </c>
      <c r="M62" s="1">
        <v>0</v>
      </c>
      <c r="N62" s="1">
        <v>0</v>
      </c>
      <c r="O62" s="1">
        <v>0</v>
      </c>
      <c r="P62" s="1">
        <v>0</v>
      </c>
      <c r="Q62" t="str">
        <f>INDEX(pARTNER[#All],MATCH(#REF!,pARTNER[[#All],[Value.partnerSummary.id]],0),10)</f>
        <v>Slovenija (SI)</v>
      </c>
      <c r="R62" t="str">
        <f>INDEX('Partner data'!$A$2:$DG$171,MATCH(#REF!,'Partner data'!$DG$2:$DG$171,0),83)</f>
        <v>Soggetto pubblico</v>
      </c>
      <c r="S62" s="86" t="b">
        <f>IF(#REF!="staff",INDEX('Partner data'!$DG$2:$DH$171,MATCH(#REF!,'Partner data'!$DG$2:$DG$171,0),2))</f>
        <v>0</v>
      </c>
    </row>
    <row r="63" spans="1:19" x14ac:dyDescent="0.25">
      <c r="A63" s="1" t="s">
        <v>58</v>
      </c>
      <c r="B63" s="1" t="s">
        <v>36</v>
      </c>
      <c r="C63" s="13">
        <v>16</v>
      </c>
      <c r="D63" s="13">
        <v>83</v>
      </c>
      <c r="E63" s="1" t="s">
        <v>234</v>
      </c>
      <c r="F63" s="1"/>
      <c r="G63" s="1">
        <v>0</v>
      </c>
      <c r="H63" s="1">
        <v>0</v>
      </c>
      <c r="I63" s="1">
        <v>0</v>
      </c>
      <c r="J63" s="1">
        <v>0</v>
      </c>
      <c r="K63" s="1">
        <v>0</v>
      </c>
      <c r="L63" s="1">
        <v>0</v>
      </c>
      <c r="M63" s="1">
        <v>0</v>
      </c>
      <c r="N63" s="1">
        <v>0</v>
      </c>
      <c r="O63" s="1">
        <v>0</v>
      </c>
      <c r="P63" s="1">
        <v>0</v>
      </c>
      <c r="Q63" t="str">
        <f>INDEX(pARTNER[#All],MATCH(#REF!,pARTNER[[#All],[Value.partnerSummary.id]],0),10)</f>
        <v>Slovenija (SI)</v>
      </c>
      <c r="R63" t="str">
        <f>INDEX('Partner data'!$A$2:$DG$171,MATCH(#REF!,'Partner data'!$DG$2:$DG$171,0),83)</f>
        <v>Soggetto pubblico</v>
      </c>
      <c r="S63" s="86" t="b">
        <f>IF(#REF!="staff",INDEX('Partner data'!$DG$2:$DH$171,MATCH(#REF!,'Partner data'!$DG$2:$DG$171,0),2))</f>
        <v>0</v>
      </c>
    </row>
    <row r="64" spans="1:19" x14ac:dyDescent="0.25">
      <c r="A64" s="1" t="s">
        <v>58</v>
      </c>
      <c r="B64" s="1" t="s">
        <v>36</v>
      </c>
      <c r="C64" s="13">
        <v>16</v>
      </c>
      <c r="D64" s="13">
        <v>83</v>
      </c>
      <c r="E64" s="1" t="s">
        <v>235</v>
      </c>
      <c r="F64" s="1"/>
      <c r="G64" s="1">
        <v>0</v>
      </c>
      <c r="H64" s="1">
        <v>0</v>
      </c>
      <c r="I64" s="1">
        <v>0</v>
      </c>
      <c r="J64" s="1">
        <v>0</v>
      </c>
      <c r="K64" s="1">
        <v>0</v>
      </c>
      <c r="L64" s="1">
        <v>0</v>
      </c>
      <c r="M64" s="1">
        <v>0</v>
      </c>
      <c r="N64" s="1">
        <v>0</v>
      </c>
      <c r="O64" s="1">
        <v>0</v>
      </c>
      <c r="P64" s="1">
        <v>0</v>
      </c>
      <c r="Q64" t="str">
        <f>INDEX(pARTNER[#All],MATCH(#REF!,pARTNER[[#All],[Value.partnerSummary.id]],0),10)</f>
        <v>Slovenija (SI)</v>
      </c>
      <c r="R64" t="str">
        <f>INDEX('Partner data'!$A$2:$DG$171,MATCH(#REF!,'Partner data'!$DG$2:$DG$171,0),83)</f>
        <v>Soggetto pubblico</v>
      </c>
      <c r="S64" s="86" t="b">
        <f>IF(#REF!="staff",INDEX('Partner data'!$DG$2:$DH$171,MATCH(#REF!,'Partner data'!$DG$2:$DG$171,0),2))</f>
        <v>0</v>
      </c>
    </row>
    <row r="65" spans="1:19" x14ac:dyDescent="0.25">
      <c r="A65" s="1" t="s">
        <v>58</v>
      </c>
      <c r="B65" s="1" t="s">
        <v>36</v>
      </c>
      <c r="C65" s="13">
        <v>16</v>
      </c>
      <c r="D65" s="13">
        <v>83</v>
      </c>
      <c r="E65" s="1" t="s">
        <v>236</v>
      </c>
      <c r="F65" s="1"/>
      <c r="G65" s="1">
        <v>0</v>
      </c>
      <c r="H65" s="1">
        <v>0</v>
      </c>
      <c r="I65" s="1">
        <v>0</v>
      </c>
      <c r="J65" s="1">
        <v>0</v>
      </c>
      <c r="K65" s="1">
        <v>0</v>
      </c>
      <c r="L65" s="1">
        <v>0</v>
      </c>
      <c r="M65" s="1">
        <v>0</v>
      </c>
      <c r="N65" s="1">
        <v>0</v>
      </c>
      <c r="O65" s="1">
        <v>0</v>
      </c>
      <c r="P65" s="1">
        <v>0</v>
      </c>
      <c r="Q65" t="str">
        <f>INDEX(pARTNER[#All],MATCH(#REF!,pARTNER[[#All],[Value.partnerSummary.id]],0),10)</f>
        <v>Slovenija (SI)</v>
      </c>
      <c r="R65" t="str">
        <f>INDEX('Partner data'!$A$2:$DG$171,MATCH(#REF!,'Partner data'!$DG$2:$DG$171,0),83)</f>
        <v>Soggetto pubblico</v>
      </c>
      <c r="S65" s="86" t="b">
        <f>IF(#REF!="staff",INDEX('Partner data'!$DG$2:$DH$171,MATCH(#REF!,'Partner data'!$DG$2:$DG$171,0),2))</f>
        <v>0</v>
      </c>
    </row>
    <row r="66" spans="1:19" x14ac:dyDescent="0.25">
      <c r="A66" s="1" t="s">
        <v>58</v>
      </c>
      <c r="B66" s="1" t="s">
        <v>36</v>
      </c>
      <c r="C66" s="13">
        <v>16</v>
      </c>
      <c r="D66" s="13">
        <v>83</v>
      </c>
      <c r="E66" s="1" t="s">
        <v>237</v>
      </c>
      <c r="F66" s="1"/>
      <c r="G66" s="1">
        <v>0</v>
      </c>
      <c r="H66" s="1">
        <v>0</v>
      </c>
      <c r="I66" s="1">
        <v>0</v>
      </c>
      <c r="J66" s="1">
        <v>0</v>
      </c>
      <c r="K66" s="1">
        <v>0</v>
      </c>
      <c r="L66" s="1">
        <v>0</v>
      </c>
      <c r="M66" s="1">
        <v>0</v>
      </c>
      <c r="N66" s="1">
        <v>0</v>
      </c>
      <c r="O66" s="1">
        <v>0</v>
      </c>
      <c r="P66" s="1">
        <v>0</v>
      </c>
      <c r="Q66" t="str">
        <f>INDEX(pARTNER[#All],MATCH(#REF!,pARTNER[[#All],[Value.partnerSummary.id]],0),10)</f>
        <v>Slovenija (SI)</v>
      </c>
      <c r="R66" t="str">
        <f>INDEX('Partner data'!$A$2:$DG$171,MATCH(#REF!,'Partner data'!$DG$2:$DG$171,0),83)</f>
        <v>Soggetto pubblico</v>
      </c>
      <c r="S66" s="86" t="b">
        <f>IF(#REF!="staff",INDEX('Partner data'!$DG$2:$DH$171,MATCH(#REF!,'Partner data'!$DG$2:$DG$171,0),2))</f>
        <v>0</v>
      </c>
    </row>
    <row r="67" spans="1:19" x14ac:dyDescent="0.25">
      <c r="A67" s="1" t="s">
        <v>58</v>
      </c>
      <c r="B67" s="1" t="s">
        <v>36</v>
      </c>
      <c r="C67" s="13">
        <v>16</v>
      </c>
      <c r="D67" s="13">
        <v>83</v>
      </c>
      <c r="E67" s="1" t="s">
        <v>238</v>
      </c>
      <c r="F67" s="1"/>
      <c r="G67" s="1">
        <v>316688</v>
      </c>
      <c r="H67" s="1">
        <v>0</v>
      </c>
      <c r="I67" s="1">
        <v>0</v>
      </c>
      <c r="J67" s="1">
        <v>68019.759999999995</v>
      </c>
      <c r="K67" s="1">
        <v>0</v>
      </c>
      <c r="L67" s="1">
        <v>68019.759999999995</v>
      </c>
      <c r="M67" s="1">
        <v>68019.759999999995</v>
      </c>
      <c r="N67" s="1">
        <v>21.48</v>
      </c>
      <c r="O67" s="1">
        <v>248668.24</v>
      </c>
      <c r="P67" s="1">
        <v>0</v>
      </c>
      <c r="Q67" t="str">
        <f>INDEX(pARTNER[#All],MATCH(#REF!,pARTNER[[#All],[Value.partnerSummary.id]],0),10)</f>
        <v>Slovenija (SI)</v>
      </c>
      <c r="R67" t="str">
        <f>INDEX('Partner data'!$A$2:$DG$171,MATCH(#REF!,'Partner data'!$DG$2:$DG$171,0),83)</f>
        <v>Soggetto pubblico</v>
      </c>
      <c r="S67" s="86" t="b">
        <f>IF(#REF!="staff",INDEX('Partner data'!$DG$2:$DH$171,MATCH(#REF!,'Partner data'!$DG$2:$DG$171,0),2))</f>
        <v>0</v>
      </c>
    </row>
    <row r="68" spans="1:19" x14ac:dyDescent="0.25">
      <c r="A68" s="1" t="s">
        <v>58</v>
      </c>
      <c r="B68" s="1" t="s">
        <v>21</v>
      </c>
      <c r="C68" s="13">
        <v>13</v>
      </c>
      <c r="D68" s="13">
        <v>189</v>
      </c>
      <c r="E68" s="1" t="s">
        <v>228</v>
      </c>
      <c r="F68" s="1">
        <v>20</v>
      </c>
      <c r="G68" s="1">
        <v>51696.28</v>
      </c>
      <c r="H68" s="1">
        <v>4108.91</v>
      </c>
      <c r="I68" s="1">
        <v>0</v>
      </c>
      <c r="J68" s="1">
        <v>2570.37</v>
      </c>
      <c r="K68" s="1">
        <v>0</v>
      </c>
      <c r="L68" s="1">
        <v>2570.37</v>
      </c>
      <c r="M68" s="1">
        <v>6679.28</v>
      </c>
      <c r="N68" s="1">
        <v>12.92</v>
      </c>
      <c r="O68" s="1">
        <v>45017</v>
      </c>
      <c r="P68" s="1">
        <v>4108.91</v>
      </c>
      <c r="Q68" t="str">
        <f>INDEX(pARTNER[#All],MATCH(#REF!,pARTNER[[#All],[Value.partnerSummary.id]],0),10)</f>
        <v>Italia (IT)</v>
      </c>
      <c r="R68" t="str">
        <f>INDEX('Partner data'!$A$2:$DG$171,MATCH(#REF!,'Partner data'!$DG$2:$DG$171,0),83)</f>
        <v xml:space="preserve">Organismo di diritto pubblico </v>
      </c>
      <c r="S68" s="86" t="str">
        <f>IF(#REF!="staff",INDEX('Partner data'!$DG$2:$DH$171,MATCH(#REF!,'Partner data'!$DG$2:$DG$171,0),2))</f>
        <v>Tasso Forfettario 20%</v>
      </c>
    </row>
    <row r="69" spans="1:19" x14ac:dyDescent="0.25">
      <c r="A69" s="1" t="s">
        <v>58</v>
      </c>
      <c r="B69" s="1" t="s">
        <v>21</v>
      </c>
      <c r="C69" s="13">
        <v>13</v>
      </c>
      <c r="D69" s="13">
        <v>189</v>
      </c>
      <c r="E69" s="1" t="s">
        <v>229</v>
      </c>
      <c r="F69" s="1">
        <v>15</v>
      </c>
      <c r="G69" s="1">
        <v>7754.44</v>
      </c>
      <c r="H69" s="1">
        <v>616.33000000000004</v>
      </c>
      <c r="I69" s="1">
        <v>0</v>
      </c>
      <c r="J69" s="1">
        <v>385.55</v>
      </c>
      <c r="K69" s="1">
        <v>0</v>
      </c>
      <c r="L69" s="1">
        <v>385.55</v>
      </c>
      <c r="M69" s="1">
        <v>1001.88</v>
      </c>
      <c r="N69" s="1">
        <v>12.92</v>
      </c>
      <c r="O69" s="1">
        <v>6752.56</v>
      </c>
      <c r="P69" s="1">
        <v>616.33000000000004</v>
      </c>
      <c r="Q69" t="str">
        <f>INDEX(pARTNER[#All],MATCH(#REF!,pARTNER[[#All],[Value.partnerSummary.id]],0),10)</f>
        <v>Italia (IT)</v>
      </c>
      <c r="R69" t="str">
        <f>INDEX('Partner data'!$A$2:$DG$171,MATCH(#REF!,'Partner data'!$DG$2:$DG$171,0),83)</f>
        <v xml:space="preserve">Organismo di diritto pubblico </v>
      </c>
      <c r="S69" s="86" t="b">
        <f>IF(#REF!="staff",INDEX('Partner data'!$DG$2:$DH$171,MATCH(#REF!,'Partner data'!$DG$2:$DG$171,0),2))</f>
        <v>0</v>
      </c>
    </row>
    <row r="70" spans="1:19" x14ac:dyDescent="0.25">
      <c r="A70" s="1" t="s">
        <v>58</v>
      </c>
      <c r="B70" s="1" t="s">
        <v>21</v>
      </c>
      <c r="C70" s="13">
        <v>13</v>
      </c>
      <c r="D70" s="13">
        <v>189</v>
      </c>
      <c r="E70" s="1" t="s">
        <v>230</v>
      </c>
      <c r="F70" s="1">
        <v>4</v>
      </c>
      <c r="G70" s="1">
        <v>2067.85</v>
      </c>
      <c r="H70" s="1">
        <v>164.35</v>
      </c>
      <c r="I70" s="1">
        <v>0</v>
      </c>
      <c r="J70" s="1">
        <v>102.81</v>
      </c>
      <c r="K70" s="1">
        <v>0</v>
      </c>
      <c r="L70" s="1">
        <v>102.81</v>
      </c>
      <c r="M70" s="1">
        <v>267.16000000000003</v>
      </c>
      <c r="N70" s="1">
        <v>12.92</v>
      </c>
      <c r="O70" s="1">
        <v>1800.69</v>
      </c>
      <c r="P70" s="1">
        <v>164.35</v>
      </c>
      <c r="Q70" t="str">
        <f>INDEX(pARTNER[#All],MATCH(#REF!,pARTNER[[#All],[Value.partnerSummary.id]],0),10)</f>
        <v>Italia (IT)</v>
      </c>
      <c r="R70" t="str">
        <f>INDEX('Partner data'!$A$2:$DG$171,MATCH(#REF!,'Partner data'!$DG$2:$DG$171,0),83)</f>
        <v xml:space="preserve">Organismo di diritto pubblico </v>
      </c>
      <c r="S70" s="86" t="b">
        <f>IF(#REF!="staff",INDEX('Partner data'!$DG$2:$DH$171,MATCH(#REF!,'Partner data'!$DG$2:$DG$171,0),2))</f>
        <v>0</v>
      </c>
    </row>
    <row r="71" spans="1:19" x14ac:dyDescent="0.25">
      <c r="A71" s="1" t="s">
        <v>58</v>
      </c>
      <c r="B71" s="1" t="s">
        <v>21</v>
      </c>
      <c r="C71" s="13">
        <v>13</v>
      </c>
      <c r="D71" s="13">
        <v>189</v>
      </c>
      <c r="E71" s="1" t="s">
        <v>231</v>
      </c>
      <c r="F71" s="1"/>
      <c r="G71" s="1">
        <v>258481.43</v>
      </c>
      <c r="H71" s="1">
        <v>20544.560000000001</v>
      </c>
      <c r="I71" s="1">
        <v>0</v>
      </c>
      <c r="J71" s="1">
        <v>12851.86</v>
      </c>
      <c r="K71" s="1">
        <v>0</v>
      </c>
      <c r="L71" s="1">
        <v>12851.86</v>
      </c>
      <c r="M71" s="1">
        <v>33396.42</v>
      </c>
      <c r="N71" s="1">
        <v>12.92</v>
      </c>
      <c r="O71" s="1">
        <v>225085.01</v>
      </c>
      <c r="P71" s="1">
        <v>20544.560000000001</v>
      </c>
      <c r="Q71" t="str">
        <f>INDEX(pARTNER[#All],MATCH(#REF!,pARTNER[[#All],[Value.partnerSummary.id]],0),10)</f>
        <v>Italia (IT)</v>
      </c>
      <c r="R71" t="str">
        <f>INDEX('Partner data'!$A$2:$DG$171,MATCH(#REF!,'Partner data'!$DG$2:$DG$171,0),83)</f>
        <v xml:space="preserve">Organismo di diritto pubblico </v>
      </c>
      <c r="S71" s="86" t="b">
        <f>IF(#REF!="staff",INDEX('Partner data'!$DG$2:$DH$171,MATCH(#REF!,'Partner data'!$DG$2:$DG$171,0),2))</f>
        <v>0</v>
      </c>
    </row>
    <row r="72" spans="1:19" x14ac:dyDescent="0.25">
      <c r="A72" s="1" t="s">
        <v>58</v>
      </c>
      <c r="B72" s="1" t="s">
        <v>21</v>
      </c>
      <c r="C72" s="13">
        <v>13</v>
      </c>
      <c r="D72" s="13">
        <v>189</v>
      </c>
      <c r="E72" s="1" t="s">
        <v>232</v>
      </c>
      <c r="F72" s="1"/>
      <c r="G72" s="1">
        <v>0</v>
      </c>
      <c r="H72" s="1">
        <v>0</v>
      </c>
      <c r="I72" s="1">
        <v>0</v>
      </c>
      <c r="J72" s="1">
        <v>0</v>
      </c>
      <c r="K72" s="1">
        <v>0</v>
      </c>
      <c r="L72" s="1">
        <v>0</v>
      </c>
      <c r="M72" s="1">
        <v>0</v>
      </c>
      <c r="N72" s="1">
        <v>0</v>
      </c>
      <c r="O72" s="1">
        <v>0</v>
      </c>
      <c r="P72" s="1">
        <v>0</v>
      </c>
      <c r="Q72" t="str">
        <f>INDEX(pARTNER[#All],MATCH(#REF!,pARTNER[[#All],[Value.partnerSummary.id]],0),10)</f>
        <v>Italia (IT)</v>
      </c>
      <c r="R72" t="str">
        <f>INDEX('Partner data'!$A$2:$DG$171,MATCH(#REF!,'Partner data'!$DG$2:$DG$171,0),83)</f>
        <v xml:space="preserve">Organismo di diritto pubblico </v>
      </c>
      <c r="S72" s="86" t="b">
        <f>IF(#REF!="staff",INDEX('Partner data'!$DG$2:$DH$171,MATCH(#REF!,'Partner data'!$DG$2:$DG$171,0),2))</f>
        <v>0</v>
      </c>
    </row>
    <row r="73" spans="1:19" x14ac:dyDescent="0.25">
      <c r="A73" s="1" t="s">
        <v>58</v>
      </c>
      <c r="B73" s="1" t="s">
        <v>21</v>
      </c>
      <c r="C73" s="13">
        <v>13</v>
      </c>
      <c r="D73" s="13">
        <v>189</v>
      </c>
      <c r="E73" s="1" t="s">
        <v>233</v>
      </c>
      <c r="F73" s="1"/>
      <c r="G73" s="1">
        <v>0</v>
      </c>
      <c r="H73" s="1">
        <v>0</v>
      </c>
      <c r="I73" s="1">
        <v>0</v>
      </c>
      <c r="J73" s="1">
        <v>0</v>
      </c>
      <c r="K73" s="1">
        <v>0</v>
      </c>
      <c r="L73" s="1">
        <v>0</v>
      </c>
      <c r="M73" s="1">
        <v>0</v>
      </c>
      <c r="N73" s="1">
        <v>0</v>
      </c>
      <c r="O73" s="1">
        <v>0</v>
      </c>
      <c r="P73" s="1">
        <v>0</v>
      </c>
      <c r="Q73" t="str">
        <f>INDEX(pARTNER[#All],MATCH(#REF!,pARTNER[[#All],[Value.partnerSummary.id]],0),10)</f>
        <v>Italia (IT)</v>
      </c>
      <c r="R73" t="str">
        <f>INDEX('Partner data'!$A$2:$DG$171,MATCH(#REF!,'Partner data'!$DG$2:$DG$171,0),83)</f>
        <v xml:space="preserve">Organismo di diritto pubblico </v>
      </c>
      <c r="S73" s="86" t="b">
        <f>IF(#REF!="staff",INDEX('Partner data'!$DG$2:$DH$171,MATCH(#REF!,'Partner data'!$DG$2:$DG$171,0),2))</f>
        <v>0</v>
      </c>
    </row>
    <row r="74" spans="1:19" x14ac:dyDescent="0.25">
      <c r="A74" s="1" t="s">
        <v>58</v>
      </c>
      <c r="B74" s="1" t="s">
        <v>21</v>
      </c>
      <c r="C74" s="13">
        <v>13</v>
      </c>
      <c r="D74" s="13">
        <v>189</v>
      </c>
      <c r="E74" s="1" t="s">
        <v>234</v>
      </c>
      <c r="F74" s="1"/>
      <c r="G74" s="1">
        <v>0</v>
      </c>
      <c r="H74" s="1">
        <v>0</v>
      </c>
      <c r="I74" s="1">
        <v>0</v>
      </c>
      <c r="J74" s="1">
        <v>0</v>
      </c>
      <c r="K74" s="1">
        <v>0</v>
      </c>
      <c r="L74" s="1">
        <v>0</v>
      </c>
      <c r="M74" s="1">
        <v>0</v>
      </c>
      <c r="N74" s="1">
        <v>0</v>
      </c>
      <c r="O74" s="1">
        <v>0</v>
      </c>
      <c r="P74" s="1">
        <v>0</v>
      </c>
      <c r="Q74" t="str">
        <f>INDEX(pARTNER[#All],MATCH(#REF!,pARTNER[[#All],[Value.partnerSummary.id]],0),10)</f>
        <v>Italia (IT)</v>
      </c>
      <c r="R74" t="str">
        <f>INDEX('Partner data'!$A$2:$DG$171,MATCH(#REF!,'Partner data'!$DG$2:$DG$171,0),83)</f>
        <v xml:space="preserve">Organismo di diritto pubblico </v>
      </c>
      <c r="S74" s="86" t="b">
        <f>IF(#REF!="staff",INDEX('Partner data'!$DG$2:$DH$171,MATCH(#REF!,'Partner data'!$DG$2:$DG$171,0),2))</f>
        <v>0</v>
      </c>
    </row>
    <row r="75" spans="1:19" x14ac:dyDescent="0.25">
      <c r="A75" s="1" t="s">
        <v>58</v>
      </c>
      <c r="B75" s="1" t="s">
        <v>21</v>
      </c>
      <c r="C75" s="13">
        <v>13</v>
      </c>
      <c r="D75" s="13">
        <v>189</v>
      </c>
      <c r="E75" s="1" t="s">
        <v>235</v>
      </c>
      <c r="F75" s="1"/>
      <c r="G75" s="1">
        <v>0</v>
      </c>
      <c r="H75" s="1">
        <v>0</v>
      </c>
      <c r="I75" s="1">
        <v>0</v>
      </c>
      <c r="J75" s="1">
        <v>0</v>
      </c>
      <c r="K75" s="1">
        <v>0</v>
      </c>
      <c r="L75" s="1">
        <v>0</v>
      </c>
      <c r="M75" s="1">
        <v>0</v>
      </c>
      <c r="N75" s="1">
        <v>0</v>
      </c>
      <c r="O75" s="1">
        <v>0</v>
      </c>
      <c r="P75" s="1">
        <v>0</v>
      </c>
      <c r="Q75" t="str">
        <f>INDEX(pARTNER[#All],MATCH(#REF!,pARTNER[[#All],[Value.partnerSummary.id]],0),10)</f>
        <v>Italia (IT)</v>
      </c>
      <c r="R75" t="str">
        <f>INDEX('Partner data'!$A$2:$DG$171,MATCH(#REF!,'Partner data'!$DG$2:$DG$171,0),83)</f>
        <v xml:space="preserve">Organismo di diritto pubblico </v>
      </c>
      <c r="S75" s="86" t="b">
        <f>IF(#REF!="staff",INDEX('Partner data'!$DG$2:$DH$171,MATCH(#REF!,'Partner data'!$DG$2:$DG$171,0),2))</f>
        <v>0</v>
      </c>
    </row>
    <row r="76" spans="1:19" x14ac:dyDescent="0.25">
      <c r="A76" s="1" t="s">
        <v>58</v>
      </c>
      <c r="B76" s="1" t="s">
        <v>21</v>
      </c>
      <c r="C76" s="13">
        <v>13</v>
      </c>
      <c r="D76" s="13">
        <v>189</v>
      </c>
      <c r="E76" s="1" t="s">
        <v>236</v>
      </c>
      <c r="F76" s="1"/>
      <c r="G76" s="1">
        <v>0</v>
      </c>
      <c r="H76" s="1">
        <v>0</v>
      </c>
      <c r="I76" s="1">
        <v>0</v>
      </c>
      <c r="J76" s="1">
        <v>0</v>
      </c>
      <c r="K76" s="1">
        <v>0</v>
      </c>
      <c r="L76" s="1">
        <v>0</v>
      </c>
      <c r="M76" s="1">
        <v>0</v>
      </c>
      <c r="N76" s="1">
        <v>0</v>
      </c>
      <c r="O76" s="1">
        <v>0</v>
      </c>
      <c r="P76" s="1">
        <v>0</v>
      </c>
      <c r="Q76" t="str">
        <f>INDEX(pARTNER[#All],MATCH(#REF!,pARTNER[[#All],[Value.partnerSummary.id]],0),10)</f>
        <v>Italia (IT)</v>
      </c>
      <c r="R76" t="str">
        <f>INDEX('Partner data'!$A$2:$DG$171,MATCH(#REF!,'Partner data'!$DG$2:$DG$171,0),83)</f>
        <v xml:space="preserve">Organismo di diritto pubblico </v>
      </c>
      <c r="S76" s="86" t="b">
        <f>IF(#REF!="staff",INDEX('Partner data'!$DG$2:$DH$171,MATCH(#REF!,'Partner data'!$DG$2:$DG$171,0),2))</f>
        <v>0</v>
      </c>
    </row>
    <row r="77" spans="1:19" x14ac:dyDescent="0.25">
      <c r="A77" s="1" t="s">
        <v>58</v>
      </c>
      <c r="B77" s="1" t="s">
        <v>21</v>
      </c>
      <c r="C77" s="13">
        <v>13</v>
      </c>
      <c r="D77" s="13">
        <v>189</v>
      </c>
      <c r="E77" s="1" t="s">
        <v>237</v>
      </c>
      <c r="F77" s="1"/>
      <c r="G77" s="1">
        <v>0</v>
      </c>
      <c r="H77" s="1">
        <v>0</v>
      </c>
      <c r="I77" s="1">
        <v>0</v>
      </c>
      <c r="J77" s="1">
        <v>0</v>
      </c>
      <c r="K77" s="1">
        <v>0</v>
      </c>
      <c r="L77" s="1">
        <v>0</v>
      </c>
      <c r="M77" s="1">
        <v>0</v>
      </c>
      <c r="N77" s="1">
        <v>0</v>
      </c>
      <c r="O77" s="1">
        <v>0</v>
      </c>
      <c r="P77" s="1">
        <v>0</v>
      </c>
      <c r="Q77" t="str">
        <f>INDEX(pARTNER[#All],MATCH(#REF!,pARTNER[[#All],[Value.partnerSummary.id]],0),10)</f>
        <v>Italia (IT)</v>
      </c>
      <c r="R77" t="str">
        <f>INDEX('Partner data'!$A$2:$DG$171,MATCH(#REF!,'Partner data'!$DG$2:$DG$171,0),83)</f>
        <v xml:space="preserve">Organismo di diritto pubblico </v>
      </c>
      <c r="S77" s="86" t="b">
        <f>IF(#REF!="staff",INDEX('Partner data'!$DG$2:$DH$171,MATCH(#REF!,'Partner data'!$DG$2:$DG$171,0),2))</f>
        <v>0</v>
      </c>
    </row>
    <row r="78" spans="1:19" x14ac:dyDescent="0.25">
      <c r="A78" s="1" t="s">
        <v>58</v>
      </c>
      <c r="B78" s="1" t="s">
        <v>21</v>
      </c>
      <c r="C78" s="13">
        <v>13</v>
      </c>
      <c r="D78" s="13">
        <v>189</v>
      </c>
      <c r="E78" s="1" t="s">
        <v>238</v>
      </c>
      <c r="F78" s="1"/>
      <c r="G78" s="1">
        <v>320000</v>
      </c>
      <c r="H78" s="1">
        <v>25434.15</v>
      </c>
      <c r="I78" s="1">
        <v>0</v>
      </c>
      <c r="J78" s="1">
        <v>15910.59</v>
      </c>
      <c r="K78" s="1">
        <v>0</v>
      </c>
      <c r="L78" s="1">
        <v>15910.59</v>
      </c>
      <c r="M78" s="1">
        <v>41344.74</v>
      </c>
      <c r="N78" s="1">
        <v>12.92</v>
      </c>
      <c r="O78" s="1">
        <v>278655.26</v>
      </c>
      <c r="P78" s="1">
        <v>25434.15</v>
      </c>
      <c r="Q78" t="str">
        <f>INDEX(pARTNER[#All],MATCH(#REF!,pARTNER[[#All],[Value.partnerSummary.id]],0),10)</f>
        <v>Italia (IT)</v>
      </c>
      <c r="R78" t="str">
        <f>INDEX('Partner data'!$A$2:$DG$171,MATCH(#REF!,'Partner data'!$DG$2:$DG$171,0),83)</f>
        <v xml:space="preserve">Organismo di diritto pubblico </v>
      </c>
      <c r="S78" s="86" t="b">
        <f>IF(#REF!="staff",INDEX('Partner data'!$DG$2:$DH$171,MATCH(#REF!,'Partner data'!$DG$2:$DG$171,0),2))</f>
        <v>0</v>
      </c>
    </row>
    <row r="79" spans="1:19" x14ac:dyDescent="0.25">
      <c r="A79" s="1" t="s">
        <v>58</v>
      </c>
      <c r="B79" s="1" t="s">
        <v>21</v>
      </c>
      <c r="C79" s="13">
        <v>13</v>
      </c>
      <c r="D79" s="13">
        <v>5</v>
      </c>
      <c r="E79" s="1" t="s">
        <v>228</v>
      </c>
      <c r="F79" s="1">
        <v>20</v>
      </c>
      <c r="G79" s="1">
        <v>51696.28</v>
      </c>
      <c r="H79" s="1">
        <v>0</v>
      </c>
      <c r="I79" s="1">
        <v>0</v>
      </c>
      <c r="J79" s="1">
        <v>4108.91</v>
      </c>
      <c r="K79" s="1">
        <v>0</v>
      </c>
      <c r="L79" s="1">
        <v>4108.91</v>
      </c>
      <c r="M79" s="1">
        <v>4108.91</v>
      </c>
      <c r="N79" s="1">
        <v>7.95</v>
      </c>
      <c r="O79" s="1">
        <v>47587.37</v>
      </c>
      <c r="P79" s="1">
        <v>0</v>
      </c>
      <c r="Q79" t="str">
        <f>INDEX(pARTNER[#All],MATCH(#REF!,pARTNER[[#All],[Value.partnerSummary.id]],0),10)</f>
        <v>Italia (IT)</v>
      </c>
      <c r="R79" t="str">
        <f>INDEX('Partner data'!$A$2:$DG$171,MATCH(#REF!,'Partner data'!$DG$2:$DG$171,0),83)</f>
        <v xml:space="preserve">Organismo di diritto pubblico </v>
      </c>
      <c r="S79" s="86" t="str">
        <f>IF(#REF!="staff",INDEX('Partner data'!$DG$2:$DH$171,MATCH(#REF!,'Partner data'!$DG$2:$DG$171,0),2))</f>
        <v>Tasso Forfettario 20%</v>
      </c>
    </row>
    <row r="80" spans="1:19" x14ac:dyDescent="0.25">
      <c r="A80" s="1" t="s">
        <v>58</v>
      </c>
      <c r="B80" s="1" t="s">
        <v>21</v>
      </c>
      <c r="C80" s="13">
        <v>13</v>
      </c>
      <c r="D80" s="13">
        <v>5</v>
      </c>
      <c r="E80" s="1" t="s">
        <v>229</v>
      </c>
      <c r="F80" s="1">
        <v>15</v>
      </c>
      <c r="G80" s="1">
        <v>7754.44</v>
      </c>
      <c r="H80" s="1">
        <v>0</v>
      </c>
      <c r="I80" s="1">
        <v>0</v>
      </c>
      <c r="J80" s="1">
        <v>616.33000000000004</v>
      </c>
      <c r="K80" s="1">
        <v>0</v>
      </c>
      <c r="L80" s="1">
        <v>616.33000000000004</v>
      </c>
      <c r="M80" s="1">
        <v>616.33000000000004</v>
      </c>
      <c r="N80" s="1">
        <v>7.95</v>
      </c>
      <c r="O80" s="1">
        <v>7138.11</v>
      </c>
      <c r="P80" s="1">
        <v>0</v>
      </c>
      <c r="Q80" t="str">
        <f>INDEX(pARTNER[#All],MATCH(#REF!,pARTNER[[#All],[Value.partnerSummary.id]],0),10)</f>
        <v>Italia (IT)</v>
      </c>
      <c r="R80" t="str">
        <f>INDEX('Partner data'!$A$2:$DG$171,MATCH(#REF!,'Partner data'!$DG$2:$DG$171,0),83)</f>
        <v xml:space="preserve">Organismo di diritto pubblico </v>
      </c>
      <c r="S80" s="86" t="b">
        <f>IF(#REF!="staff",INDEX('Partner data'!$DG$2:$DH$171,MATCH(#REF!,'Partner data'!$DG$2:$DG$171,0),2))</f>
        <v>0</v>
      </c>
    </row>
    <row r="81" spans="1:19" x14ac:dyDescent="0.25">
      <c r="A81" s="1" t="s">
        <v>58</v>
      </c>
      <c r="B81" s="1" t="s">
        <v>21</v>
      </c>
      <c r="C81" s="13">
        <v>13</v>
      </c>
      <c r="D81" s="13">
        <v>5</v>
      </c>
      <c r="E81" s="1" t="s">
        <v>230</v>
      </c>
      <c r="F81" s="1">
        <v>4</v>
      </c>
      <c r="G81" s="1">
        <v>2067.85</v>
      </c>
      <c r="H81" s="1">
        <v>0</v>
      </c>
      <c r="I81" s="1">
        <v>0</v>
      </c>
      <c r="J81" s="1">
        <v>164.35</v>
      </c>
      <c r="K81" s="1">
        <v>0</v>
      </c>
      <c r="L81" s="1">
        <v>164.35</v>
      </c>
      <c r="M81" s="1">
        <v>164.35</v>
      </c>
      <c r="N81" s="1">
        <v>7.95</v>
      </c>
      <c r="O81" s="1">
        <v>1903.5</v>
      </c>
      <c r="P81" s="1">
        <v>0</v>
      </c>
      <c r="Q81" t="str">
        <f>INDEX(pARTNER[#All],MATCH(#REF!,pARTNER[[#All],[Value.partnerSummary.id]],0),10)</f>
        <v>Italia (IT)</v>
      </c>
      <c r="R81" t="str">
        <f>INDEX('Partner data'!$A$2:$DG$171,MATCH(#REF!,'Partner data'!$DG$2:$DG$171,0),83)</f>
        <v xml:space="preserve">Organismo di diritto pubblico </v>
      </c>
      <c r="S81" s="86" t="b">
        <f>IF(#REF!="staff",INDEX('Partner data'!$DG$2:$DH$171,MATCH(#REF!,'Partner data'!$DG$2:$DG$171,0),2))</f>
        <v>0</v>
      </c>
    </row>
    <row r="82" spans="1:19" x14ac:dyDescent="0.25">
      <c r="A82" s="1" t="s">
        <v>58</v>
      </c>
      <c r="B82" s="1" t="s">
        <v>21</v>
      </c>
      <c r="C82" s="13">
        <v>13</v>
      </c>
      <c r="D82" s="13">
        <v>5</v>
      </c>
      <c r="E82" s="1" t="s">
        <v>231</v>
      </c>
      <c r="F82" s="1"/>
      <c r="G82" s="1">
        <v>258481.43</v>
      </c>
      <c r="H82" s="1">
        <v>0</v>
      </c>
      <c r="I82" s="1">
        <v>0</v>
      </c>
      <c r="J82" s="1">
        <v>20544.560000000001</v>
      </c>
      <c r="K82" s="1">
        <v>0</v>
      </c>
      <c r="L82" s="1">
        <v>20544.560000000001</v>
      </c>
      <c r="M82" s="1">
        <v>20544.560000000001</v>
      </c>
      <c r="N82" s="1">
        <v>7.95</v>
      </c>
      <c r="O82" s="1">
        <v>237936.87</v>
      </c>
      <c r="P82" s="1">
        <v>0</v>
      </c>
      <c r="Q82" t="str">
        <f>INDEX(pARTNER[#All],MATCH(#REF!,pARTNER[[#All],[Value.partnerSummary.id]],0),10)</f>
        <v>Italia (IT)</v>
      </c>
      <c r="R82" t="str">
        <f>INDEX('Partner data'!$A$2:$DG$171,MATCH(#REF!,'Partner data'!$DG$2:$DG$171,0),83)</f>
        <v xml:space="preserve">Organismo di diritto pubblico </v>
      </c>
      <c r="S82" s="86" t="b">
        <f>IF(#REF!="staff",INDEX('Partner data'!$DG$2:$DH$171,MATCH(#REF!,'Partner data'!$DG$2:$DG$171,0),2))</f>
        <v>0</v>
      </c>
    </row>
    <row r="83" spans="1:19" x14ac:dyDescent="0.25">
      <c r="A83" s="1" t="s">
        <v>58</v>
      </c>
      <c r="B83" s="1" t="s">
        <v>21</v>
      </c>
      <c r="C83" s="13">
        <v>13</v>
      </c>
      <c r="D83" s="13">
        <v>5</v>
      </c>
      <c r="E83" s="1" t="s">
        <v>232</v>
      </c>
      <c r="F83" s="1"/>
      <c r="G83" s="1">
        <v>0</v>
      </c>
      <c r="H83" s="1">
        <v>0</v>
      </c>
      <c r="I83" s="1">
        <v>0</v>
      </c>
      <c r="J83" s="1">
        <v>0</v>
      </c>
      <c r="K83" s="1">
        <v>0</v>
      </c>
      <c r="L83" s="1">
        <v>0</v>
      </c>
      <c r="M83" s="1">
        <v>0</v>
      </c>
      <c r="N83" s="1">
        <v>0</v>
      </c>
      <c r="O83" s="1">
        <v>0</v>
      </c>
      <c r="P83" s="1">
        <v>0</v>
      </c>
      <c r="Q83" t="str">
        <f>INDEX(pARTNER[#All],MATCH(#REF!,pARTNER[[#All],[Value.partnerSummary.id]],0),10)</f>
        <v>Italia (IT)</v>
      </c>
      <c r="R83" t="str">
        <f>INDEX('Partner data'!$A$2:$DG$171,MATCH(#REF!,'Partner data'!$DG$2:$DG$171,0),83)</f>
        <v xml:space="preserve">Organismo di diritto pubblico </v>
      </c>
      <c r="S83" s="86" t="b">
        <f>IF(#REF!="staff",INDEX('Partner data'!$DG$2:$DH$171,MATCH(#REF!,'Partner data'!$DG$2:$DG$171,0),2))</f>
        <v>0</v>
      </c>
    </row>
    <row r="84" spans="1:19" x14ac:dyDescent="0.25">
      <c r="A84" s="1" t="s">
        <v>58</v>
      </c>
      <c r="B84" s="1" t="s">
        <v>21</v>
      </c>
      <c r="C84" s="13">
        <v>13</v>
      </c>
      <c r="D84" s="13">
        <v>5</v>
      </c>
      <c r="E84" s="1" t="s">
        <v>233</v>
      </c>
      <c r="F84" s="1"/>
      <c r="G84" s="1">
        <v>0</v>
      </c>
      <c r="H84" s="1">
        <v>0</v>
      </c>
      <c r="I84" s="1">
        <v>0</v>
      </c>
      <c r="J84" s="1">
        <v>0</v>
      </c>
      <c r="K84" s="1">
        <v>0</v>
      </c>
      <c r="L84" s="1">
        <v>0</v>
      </c>
      <c r="M84" s="1">
        <v>0</v>
      </c>
      <c r="N84" s="1">
        <v>0</v>
      </c>
      <c r="O84" s="1">
        <v>0</v>
      </c>
      <c r="P84" s="1">
        <v>0</v>
      </c>
      <c r="Q84" t="str">
        <f>INDEX(pARTNER[#All],MATCH(#REF!,pARTNER[[#All],[Value.partnerSummary.id]],0),10)</f>
        <v>Italia (IT)</v>
      </c>
      <c r="R84" t="str">
        <f>INDEX('Partner data'!$A$2:$DG$171,MATCH(#REF!,'Partner data'!$DG$2:$DG$171,0),83)</f>
        <v xml:space="preserve">Organismo di diritto pubblico </v>
      </c>
      <c r="S84" s="86" t="b">
        <f>IF(#REF!="staff",INDEX('Partner data'!$DG$2:$DH$171,MATCH(#REF!,'Partner data'!$DG$2:$DG$171,0),2))</f>
        <v>0</v>
      </c>
    </row>
    <row r="85" spans="1:19" x14ac:dyDescent="0.25">
      <c r="A85" s="1" t="s">
        <v>58</v>
      </c>
      <c r="B85" s="1" t="s">
        <v>21</v>
      </c>
      <c r="C85" s="13">
        <v>13</v>
      </c>
      <c r="D85" s="13">
        <v>5</v>
      </c>
      <c r="E85" s="1" t="s">
        <v>234</v>
      </c>
      <c r="F85" s="1"/>
      <c r="G85" s="1">
        <v>0</v>
      </c>
      <c r="H85" s="1">
        <v>0</v>
      </c>
      <c r="I85" s="1">
        <v>0</v>
      </c>
      <c r="J85" s="1">
        <v>0</v>
      </c>
      <c r="K85" s="1">
        <v>0</v>
      </c>
      <c r="L85" s="1">
        <v>0</v>
      </c>
      <c r="M85" s="1">
        <v>0</v>
      </c>
      <c r="N85" s="1">
        <v>0</v>
      </c>
      <c r="O85" s="1">
        <v>0</v>
      </c>
      <c r="P85" s="1">
        <v>0</v>
      </c>
      <c r="Q85" t="str">
        <f>INDEX(pARTNER[#All],MATCH(#REF!,pARTNER[[#All],[Value.partnerSummary.id]],0),10)</f>
        <v>Italia (IT)</v>
      </c>
      <c r="R85" t="str">
        <f>INDEX('Partner data'!$A$2:$DG$171,MATCH(#REF!,'Partner data'!$DG$2:$DG$171,0),83)</f>
        <v xml:space="preserve">Organismo di diritto pubblico </v>
      </c>
      <c r="S85" s="86" t="b">
        <f>IF(#REF!="staff",INDEX('Partner data'!$DG$2:$DH$171,MATCH(#REF!,'Partner data'!$DG$2:$DG$171,0),2))</f>
        <v>0</v>
      </c>
    </row>
    <row r="86" spans="1:19" x14ac:dyDescent="0.25">
      <c r="A86" s="1" t="s">
        <v>58</v>
      </c>
      <c r="B86" s="1" t="s">
        <v>21</v>
      </c>
      <c r="C86" s="13">
        <v>13</v>
      </c>
      <c r="D86" s="13">
        <v>5</v>
      </c>
      <c r="E86" s="1" t="s">
        <v>235</v>
      </c>
      <c r="F86" s="1"/>
      <c r="G86" s="1">
        <v>0</v>
      </c>
      <c r="H86" s="1">
        <v>0</v>
      </c>
      <c r="I86" s="1">
        <v>0</v>
      </c>
      <c r="J86" s="1">
        <v>0</v>
      </c>
      <c r="K86" s="1">
        <v>0</v>
      </c>
      <c r="L86" s="1">
        <v>0</v>
      </c>
      <c r="M86" s="1">
        <v>0</v>
      </c>
      <c r="N86" s="1">
        <v>0</v>
      </c>
      <c r="O86" s="1">
        <v>0</v>
      </c>
      <c r="P86" s="1">
        <v>0</v>
      </c>
      <c r="Q86" t="str">
        <f>INDEX(pARTNER[#All],MATCH(#REF!,pARTNER[[#All],[Value.partnerSummary.id]],0),10)</f>
        <v>Italia (IT)</v>
      </c>
      <c r="R86" t="str">
        <f>INDEX('Partner data'!$A$2:$DG$171,MATCH(#REF!,'Partner data'!$DG$2:$DG$171,0),83)</f>
        <v xml:space="preserve">Organismo di diritto pubblico </v>
      </c>
      <c r="S86" s="86" t="b">
        <f>IF(#REF!="staff",INDEX('Partner data'!$DG$2:$DH$171,MATCH(#REF!,'Partner data'!$DG$2:$DG$171,0),2))</f>
        <v>0</v>
      </c>
    </row>
    <row r="87" spans="1:19" x14ac:dyDescent="0.25">
      <c r="A87" s="1" t="s">
        <v>58</v>
      </c>
      <c r="B87" s="1" t="s">
        <v>21</v>
      </c>
      <c r="C87" s="13">
        <v>13</v>
      </c>
      <c r="D87" s="13">
        <v>5</v>
      </c>
      <c r="E87" s="1" t="s">
        <v>236</v>
      </c>
      <c r="F87" s="1"/>
      <c r="G87" s="1">
        <v>0</v>
      </c>
      <c r="H87" s="1">
        <v>0</v>
      </c>
      <c r="I87" s="1">
        <v>0</v>
      </c>
      <c r="J87" s="1">
        <v>0</v>
      </c>
      <c r="K87" s="1">
        <v>0</v>
      </c>
      <c r="L87" s="1">
        <v>0</v>
      </c>
      <c r="M87" s="1">
        <v>0</v>
      </c>
      <c r="N87" s="1">
        <v>0</v>
      </c>
      <c r="O87" s="1">
        <v>0</v>
      </c>
      <c r="P87" s="1">
        <v>0</v>
      </c>
      <c r="Q87" t="str">
        <f>INDEX(pARTNER[#All],MATCH(#REF!,pARTNER[[#All],[Value.partnerSummary.id]],0),10)</f>
        <v>Italia (IT)</v>
      </c>
      <c r="R87" t="str">
        <f>INDEX('Partner data'!$A$2:$DG$171,MATCH(#REF!,'Partner data'!$DG$2:$DG$171,0),83)</f>
        <v xml:space="preserve">Organismo di diritto pubblico </v>
      </c>
      <c r="S87" s="86" t="b">
        <f>IF(#REF!="staff",INDEX('Partner data'!$DG$2:$DH$171,MATCH(#REF!,'Partner data'!$DG$2:$DG$171,0),2))</f>
        <v>0</v>
      </c>
    </row>
    <row r="88" spans="1:19" x14ac:dyDescent="0.25">
      <c r="A88" s="1" t="s">
        <v>58</v>
      </c>
      <c r="B88" s="1" t="s">
        <v>21</v>
      </c>
      <c r="C88" s="13">
        <v>13</v>
      </c>
      <c r="D88" s="13">
        <v>5</v>
      </c>
      <c r="E88" s="1" t="s">
        <v>237</v>
      </c>
      <c r="F88" s="1"/>
      <c r="G88" s="1">
        <v>0</v>
      </c>
      <c r="H88" s="1">
        <v>0</v>
      </c>
      <c r="I88" s="1">
        <v>0</v>
      </c>
      <c r="J88" s="1">
        <v>0</v>
      </c>
      <c r="K88" s="1">
        <v>0</v>
      </c>
      <c r="L88" s="1">
        <v>0</v>
      </c>
      <c r="M88" s="1">
        <v>0</v>
      </c>
      <c r="N88" s="1">
        <v>0</v>
      </c>
      <c r="O88" s="1">
        <v>0</v>
      </c>
      <c r="P88" s="1">
        <v>0</v>
      </c>
      <c r="Q88" t="str">
        <f>INDEX(pARTNER[#All],MATCH(#REF!,pARTNER[[#All],[Value.partnerSummary.id]],0),10)</f>
        <v>Italia (IT)</v>
      </c>
      <c r="R88" t="str">
        <f>INDEX('Partner data'!$A$2:$DG$171,MATCH(#REF!,'Partner data'!$DG$2:$DG$171,0),83)</f>
        <v xml:space="preserve">Organismo di diritto pubblico </v>
      </c>
      <c r="S88" s="86" t="b">
        <f>IF(#REF!="staff",INDEX('Partner data'!$DG$2:$DH$171,MATCH(#REF!,'Partner data'!$DG$2:$DG$171,0),2))</f>
        <v>0</v>
      </c>
    </row>
    <row r="89" spans="1:19" x14ac:dyDescent="0.25">
      <c r="A89" s="1" t="s">
        <v>58</v>
      </c>
      <c r="B89" s="1" t="s">
        <v>21</v>
      </c>
      <c r="C89" s="13">
        <v>13</v>
      </c>
      <c r="D89" s="13">
        <v>5</v>
      </c>
      <c r="E89" s="1" t="s">
        <v>238</v>
      </c>
      <c r="F89" s="1"/>
      <c r="G89" s="1">
        <v>320000</v>
      </c>
      <c r="H89" s="1">
        <v>0</v>
      </c>
      <c r="I89" s="1">
        <v>0</v>
      </c>
      <c r="J89" s="1">
        <v>25434.15</v>
      </c>
      <c r="K89" s="1">
        <v>0</v>
      </c>
      <c r="L89" s="1">
        <v>25434.15</v>
      </c>
      <c r="M89" s="1">
        <v>25434.15</v>
      </c>
      <c r="N89" s="1">
        <v>7.95</v>
      </c>
      <c r="O89" s="1">
        <v>294565.84999999998</v>
      </c>
      <c r="P89" s="1">
        <v>0</v>
      </c>
      <c r="Q89" t="str">
        <f>INDEX(pARTNER[#All],MATCH(#REF!,pARTNER[[#All],[Value.partnerSummary.id]],0),10)</f>
        <v>Italia (IT)</v>
      </c>
      <c r="R89" t="str">
        <f>INDEX('Partner data'!$A$2:$DG$171,MATCH(#REF!,'Partner data'!$DG$2:$DG$171,0),83)</f>
        <v xml:space="preserve">Organismo di diritto pubblico </v>
      </c>
      <c r="S89" s="86" t="b">
        <f>IF(#REF!="staff",INDEX('Partner data'!$DG$2:$DH$171,MATCH(#REF!,'Partner data'!$DG$2:$DG$171,0),2))</f>
        <v>0</v>
      </c>
    </row>
    <row r="90" spans="1:19" x14ac:dyDescent="0.25">
      <c r="A90" s="1" t="s">
        <v>58</v>
      </c>
      <c r="B90" s="1" t="s">
        <v>25</v>
      </c>
      <c r="C90" s="13">
        <v>10</v>
      </c>
      <c r="D90" s="13">
        <v>227</v>
      </c>
      <c r="E90" s="1" t="s">
        <v>228</v>
      </c>
      <c r="F90" s="1"/>
      <c r="G90" s="1">
        <v>58080</v>
      </c>
      <c r="H90" s="1">
        <v>12822</v>
      </c>
      <c r="I90" s="1">
        <v>0</v>
      </c>
      <c r="J90" s="1">
        <v>12190</v>
      </c>
      <c r="K90" s="1">
        <v>0</v>
      </c>
      <c r="L90" s="1">
        <v>12190</v>
      </c>
      <c r="M90" s="1">
        <v>25012</v>
      </c>
      <c r="N90" s="1">
        <v>43.06</v>
      </c>
      <c r="O90" s="1">
        <v>33068</v>
      </c>
      <c r="P90" s="1">
        <v>12822</v>
      </c>
      <c r="Q90" t="str">
        <f>INDEX(pARTNER[#All],MATCH(#REF!,pARTNER[[#All],[Value.partnerSummary.id]],0),10)</f>
        <v>Italia (IT)</v>
      </c>
      <c r="R90" t="str">
        <f>INDEX('Partner data'!$A$2:$DG$171,MATCH(#REF!,'Partner data'!$DG$2:$DG$171,0),83)</f>
        <v>Soggetto pubblico</v>
      </c>
      <c r="S90" s="86" t="str">
        <f>IF(#REF!="staff",INDEX('Partner data'!$DG$2:$DH$171,MATCH(#REF!,'Partner data'!$DG$2:$DG$171,0),2))</f>
        <v>Costo Unitario Standard</v>
      </c>
    </row>
    <row r="91" spans="1:19" x14ac:dyDescent="0.25">
      <c r="A91" s="1" t="s">
        <v>58</v>
      </c>
      <c r="B91" s="1" t="s">
        <v>25</v>
      </c>
      <c r="C91" s="13">
        <v>10</v>
      </c>
      <c r="D91" s="13">
        <v>227</v>
      </c>
      <c r="E91" s="1" t="s">
        <v>229</v>
      </c>
      <c r="F91" s="1">
        <v>15</v>
      </c>
      <c r="G91" s="1">
        <v>8712</v>
      </c>
      <c r="H91" s="1">
        <v>1923.3</v>
      </c>
      <c r="I91" s="1">
        <v>0</v>
      </c>
      <c r="J91" s="1">
        <v>1828.5</v>
      </c>
      <c r="K91" s="1">
        <v>0</v>
      </c>
      <c r="L91" s="1">
        <v>1828.5</v>
      </c>
      <c r="M91" s="1">
        <v>3751.8</v>
      </c>
      <c r="N91" s="1">
        <v>43.06</v>
      </c>
      <c r="O91" s="1">
        <v>4960.2</v>
      </c>
      <c r="P91" s="1">
        <v>1923.3</v>
      </c>
      <c r="Q91" t="str">
        <f>INDEX(pARTNER[#All],MATCH(#REF!,pARTNER[[#All],[Value.partnerSummary.id]],0),10)</f>
        <v>Italia (IT)</v>
      </c>
      <c r="R91" t="str">
        <f>INDEX('Partner data'!$A$2:$DG$171,MATCH(#REF!,'Partner data'!$DG$2:$DG$171,0),83)</f>
        <v>Soggetto pubblico</v>
      </c>
      <c r="S91" s="86" t="b">
        <f>IF(#REF!="staff",INDEX('Partner data'!$DG$2:$DH$171,MATCH(#REF!,'Partner data'!$DG$2:$DG$171,0),2))</f>
        <v>0</v>
      </c>
    </row>
    <row r="92" spans="1:19" x14ac:dyDescent="0.25">
      <c r="A92" s="1" t="s">
        <v>58</v>
      </c>
      <c r="B92" s="1" t="s">
        <v>25</v>
      </c>
      <c r="C92" s="13">
        <v>10</v>
      </c>
      <c r="D92" s="13">
        <v>227</v>
      </c>
      <c r="E92" s="1" t="s">
        <v>230</v>
      </c>
      <c r="F92" s="1">
        <v>4</v>
      </c>
      <c r="G92" s="1">
        <v>2323.1999999999998</v>
      </c>
      <c r="H92" s="1">
        <v>512.88</v>
      </c>
      <c r="I92" s="1">
        <v>0</v>
      </c>
      <c r="J92" s="1">
        <v>487.6</v>
      </c>
      <c r="K92" s="1">
        <v>0</v>
      </c>
      <c r="L92" s="1">
        <v>487.6</v>
      </c>
      <c r="M92" s="1">
        <v>1000.48</v>
      </c>
      <c r="N92" s="1">
        <v>43.06</v>
      </c>
      <c r="O92" s="1">
        <v>1322.72</v>
      </c>
      <c r="P92" s="1">
        <v>512.88</v>
      </c>
      <c r="Q92" t="str">
        <f>INDEX(pARTNER[#All],MATCH(#REF!,pARTNER[[#All],[Value.partnerSummary.id]],0),10)</f>
        <v>Italia (IT)</v>
      </c>
      <c r="R92" t="str">
        <f>INDEX('Partner data'!$A$2:$DG$171,MATCH(#REF!,'Partner data'!$DG$2:$DG$171,0),83)</f>
        <v>Soggetto pubblico</v>
      </c>
      <c r="S92" s="86" t="b">
        <f>IF(#REF!="staff",INDEX('Partner data'!$DG$2:$DH$171,MATCH(#REF!,'Partner data'!$DG$2:$DG$171,0),2))</f>
        <v>0</v>
      </c>
    </row>
    <row r="93" spans="1:19" x14ac:dyDescent="0.25">
      <c r="A93" s="1" t="s">
        <v>58</v>
      </c>
      <c r="B93" s="1" t="s">
        <v>25</v>
      </c>
      <c r="C93" s="13">
        <v>10</v>
      </c>
      <c r="D93" s="13">
        <v>227</v>
      </c>
      <c r="E93" s="1" t="s">
        <v>231</v>
      </c>
      <c r="F93" s="1"/>
      <c r="G93" s="1">
        <v>135884.79999999999</v>
      </c>
      <c r="H93" s="1">
        <v>0</v>
      </c>
      <c r="I93" s="1">
        <v>0</v>
      </c>
      <c r="J93" s="1">
        <v>2404.75</v>
      </c>
      <c r="K93" s="1">
        <v>0</v>
      </c>
      <c r="L93" s="1">
        <v>2404.75</v>
      </c>
      <c r="M93" s="1">
        <v>2404.75</v>
      </c>
      <c r="N93" s="1">
        <v>1.77</v>
      </c>
      <c r="O93" s="1">
        <v>133480.04999999999</v>
      </c>
      <c r="P93" s="1">
        <v>0</v>
      </c>
      <c r="Q93" t="str">
        <f>INDEX(pARTNER[#All],MATCH(#REF!,pARTNER[[#All],[Value.partnerSummary.id]],0),10)</f>
        <v>Italia (IT)</v>
      </c>
      <c r="R93" t="str">
        <f>INDEX('Partner data'!$A$2:$DG$171,MATCH(#REF!,'Partner data'!$DG$2:$DG$171,0),83)</f>
        <v>Soggetto pubblico</v>
      </c>
      <c r="S93" s="86" t="b">
        <f>IF(#REF!="staff",INDEX('Partner data'!$DG$2:$DH$171,MATCH(#REF!,'Partner data'!$DG$2:$DG$171,0),2))</f>
        <v>0</v>
      </c>
    </row>
    <row r="94" spans="1:19" x14ac:dyDescent="0.25">
      <c r="A94" s="1" t="s">
        <v>58</v>
      </c>
      <c r="B94" s="1" t="s">
        <v>25</v>
      </c>
      <c r="C94" s="13">
        <v>10</v>
      </c>
      <c r="D94" s="13">
        <v>227</v>
      </c>
      <c r="E94" s="1" t="s">
        <v>232</v>
      </c>
      <c r="F94" s="1"/>
      <c r="G94" s="1">
        <v>30000</v>
      </c>
      <c r="H94" s="1">
        <v>0</v>
      </c>
      <c r="I94" s="1">
        <v>0</v>
      </c>
      <c r="J94" s="1">
        <v>0</v>
      </c>
      <c r="K94" s="1">
        <v>0</v>
      </c>
      <c r="L94" s="1">
        <v>0</v>
      </c>
      <c r="M94" s="1">
        <v>0</v>
      </c>
      <c r="N94" s="1">
        <v>0</v>
      </c>
      <c r="O94" s="1">
        <v>30000</v>
      </c>
      <c r="P94" s="1">
        <v>0</v>
      </c>
      <c r="Q94" t="str">
        <f>INDEX(pARTNER[#All],MATCH(#REF!,pARTNER[[#All],[Value.partnerSummary.id]],0),10)</f>
        <v>Italia (IT)</v>
      </c>
      <c r="R94" t="str">
        <f>INDEX('Partner data'!$A$2:$DG$171,MATCH(#REF!,'Partner data'!$DG$2:$DG$171,0),83)</f>
        <v>Soggetto pubblico</v>
      </c>
      <c r="S94" s="86" t="b">
        <f>IF(#REF!="staff",INDEX('Partner data'!$DG$2:$DH$171,MATCH(#REF!,'Partner data'!$DG$2:$DG$171,0),2))</f>
        <v>0</v>
      </c>
    </row>
    <row r="95" spans="1:19" x14ac:dyDescent="0.25">
      <c r="A95" s="1" t="s">
        <v>58</v>
      </c>
      <c r="B95" s="1" t="s">
        <v>25</v>
      </c>
      <c r="C95" s="13">
        <v>10</v>
      </c>
      <c r="D95" s="13">
        <v>227</v>
      </c>
      <c r="E95" s="1" t="s">
        <v>233</v>
      </c>
      <c r="F95" s="1"/>
      <c r="G95" s="1">
        <v>1125000</v>
      </c>
      <c r="H95" s="1">
        <v>0</v>
      </c>
      <c r="I95" s="1">
        <v>0</v>
      </c>
      <c r="J95" s="1">
        <v>0</v>
      </c>
      <c r="K95" s="1">
        <v>0</v>
      </c>
      <c r="L95" s="1">
        <v>0</v>
      </c>
      <c r="M95" s="1">
        <v>0</v>
      </c>
      <c r="N95" s="1">
        <v>0</v>
      </c>
      <c r="O95" s="1">
        <v>1125000</v>
      </c>
      <c r="P95" s="1">
        <v>0</v>
      </c>
      <c r="Q95" t="str">
        <f>INDEX(pARTNER[#All],MATCH(#REF!,pARTNER[[#All],[Value.partnerSummary.id]],0),10)</f>
        <v>Italia (IT)</v>
      </c>
      <c r="R95" t="str">
        <f>INDEX('Partner data'!$A$2:$DG$171,MATCH(#REF!,'Partner data'!$DG$2:$DG$171,0),83)</f>
        <v>Soggetto pubblico</v>
      </c>
      <c r="S95" s="86" t="b">
        <f>IF(#REF!="staff",INDEX('Partner data'!$DG$2:$DH$171,MATCH(#REF!,'Partner data'!$DG$2:$DG$171,0),2))</f>
        <v>0</v>
      </c>
    </row>
    <row r="96" spans="1:19" x14ac:dyDescent="0.25">
      <c r="A96" s="1" t="s">
        <v>58</v>
      </c>
      <c r="B96" s="1" t="s">
        <v>25</v>
      </c>
      <c r="C96" s="13">
        <v>10</v>
      </c>
      <c r="D96" s="13">
        <v>227</v>
      </c>
      <c r="E96" s="1" t="s">
        <v>234</v>
      </c>
      <c r="F96" s="1"/>
      <c r="G96" s="1">
        <v>0</v>
      </c>
      <c r="H96" s="1">
        <v>0</v>
      </c>
      <c r="I96" s="1">
        <v>0</v>
      </c>
      <c r="J96" s="1">
        <v>0</v>
      </c>
      <c r="K96" s="1">
        <v>0</v>
      </c>
      <c r="L96" s="1">
        <v>0</v>
      </c>
      <c r="M96" s="1">
        <v>0</v>
      </c>
      <c r="N96" s="1">
        <v>0</v>
      </c>
      <c r="O96" s="1">
        <v>0</v>
      </c>
      <c r="P96" s="1">
        <v>0</v>
      </c>
      <c r="Q96" t="str">
        <f>INDEX(pARTNER[#All],MATCH(#REF!,pARTNER[[#All],[Value.partnerSummary.id]],0),10)</f>
        <v>Italia (IT)</v>
      </c>
      <c r="R96" t="str">
        <f>INDEX('Partner data'!$A$2:$DG$171,MATCH(#REF!,'Partner data'!$DG$2:$DG$171,0),83)</f>
        <v>Soggetto pubblico</v>
      </c>
      <c r="S96" s="86" t="b">
        <f>IF(#REF!="staff",INDEX('Partner data'!$DG$2:$DH$171,MATCH(#REF!,'Partner data'!$DG$2:$DG$171,0),2))</f>
        <v>0</v>
      </c>
    </row>
    <row r="97" spans="1:19" x14ac:dyDescent="0.25">
      <c r="A97" s="1" t="s">
        <v>58</v>
      </c>
      <c r="B97" s="1" t="s">
        <v>25</v>
      </c>
      <c r="C97" s="13">
        <v>10</v>
      </c>
      <c r="D97" s="13">
        <v>227</v>
      </c>
      <c r="E97" s="1" t="s">
        <v>235</v>
      </c>
      <c r="F97" s="1"/>
      <c r="G97" s="1">
        <v>0</v>
      </c>
      <c r="H97" s="1">
        <v>0</v>
      </c>
      <c r="I97" s="1">
        <v>0</v>
      </c>
      <c r="J97" s="1">
        <v>0</v>
      </c>
      <c r="K97" s="1">
        <v>0</v>
      </c>
      <c r="L97" s="1">
        <v>0</v>
      </c>
      <c r="M97" s="1">
        <v>0</v>
      </c>
      <c r="N97" s="1">
        <v>0</v>
      </c>
      <c r="O97" s="1">
        <v>0</v>
      </c>
      <c r="P97" s="1">
        <v>0</v>
      </c>
      <c r="Q97" t="str">
        <f>INDEX(pARTNER[#All],MATCH(#REF!,pARTNER[[#All],[Value.partnerSummary.id]],0),10)</f>
        <v>Italia (IT)</v>
      </c>
      <c r="R97" t="str">
        <f>INDEX('Partner data'!$A$2:$DG$171,MATCH(#REF!,'Partner data'!$DG$2:$DG$171,0),83)</f>
        <v>Soggetto pubblico</v>
      </c>
      <c r="S97" s="86" t="b">
        <f>IF(#REF!="staff",INDEX('Partner data'!$DG$2:$DH$171,MATCH(#REF!,'Partner data'!$DG$2:$DG$171,0),2))</f>
        <v>0</v>
      </c>
    </row>
    <row r="98" spans="1:19" x14ac:dyDescent="0.25">
      <c r="A98" s="1" t="s">
        <v>58</v>
      </c>
      <c r="B98" s="1" t="s">
        <v>25</v>
      </c>
      <c r="C98" s="13">
        <v>10</v>
      </c>
      <c r="D98" s="13">
        <v>227</v>
      </c>
      <c r="E98" s="1" t="s">
        <v>236</v>
      </c>
      <c r="F98" s="1"/>
      <c r="G98" s="1">
        <v>0</v>
      </c>
      <c r="H98" s="1">
        <v>0</v>
      </c>
      <c r="I98" s="1">
        <v>0</v>
      </c>
      <c r="J98" s="1">
        <v>0</v>
      </c>
      <c r="K98" s="1">
        <v>0</v>
      </c>
      <c r="L98" s="1">
        <v>0</v>
      </c>
      <c r="M98" s="1">
        <v>0</v>
      </c>
      <c r="N98" s="1">
        <v>0</v>
      </c>
      <c r="O98" s="1">
        <v>0</v>
      </c>
      <c r="P98" s="1">
        <v>0</v>
      </c>
      <c r="Q98" t="str">
        <f>INDEX(pARTNER[#All],MATCH(#REF!,pARTNER[[#All],[Value.partnerSummary.id]],0),10)</f>
        <v>Italia (IT)</v>
      </c>
      <c r="R98" t="str">
        <f>INDEX('Partner data'!$A$2:$DG$171,MATCH(#REF!,'Partner data'!$DG$2:$DG$171,0),83)</f>
        <v>Soggetto pubblico</v>
      </c>
      <c r="S98" s="86" t="b">
        <f>IF(#REF!="staff",INDEX('Partner data'!$DG$2:$DH$171,MATCH(#REF!,'Partner data'!$DG$2:$DG$171,0),2))</f>
        <v>0</v>
      </c>
    </row>
    <row r="99" spans="1:19" x14ac:dyDescent="0.25">
      <c r="A99" s="1" t="s">
        <v>58</v>
      </c>
      <c r="B99" s="1" t="s">
        <v>25</v>
      </c>
      <c r="C99" s="13">
        <v>10</v>
      </c>
      <c r="D99" s="13">
        <v>227</v>
      </c>
      <c r="E99" s="1" t="s">
        <v>237</v>
      </c>
      <c r="F99" s="1"/>
      <c r="G99" s="1">
        <v>0</v>
      </c>
      <c r="H99" s="1">
        <v>0</v>
      </c>
      <c r="I99" s="1">
        <v>0</v>
      </c>
      <c r="J99" s="1">
        <v>0</v>
      </c>
      <c r="K99" s="1">
        <v>0</v>
      </c>
      <c r="L99" s="1">
        <v>0</v>
      </c>
      <c r="M99" s="1">
        <v>0</v>
      </c>
      <c r="N99" s="1">
        <v>0</v>
      </c>
      <c r="O99" s="1">
        <v>0</v>
      </c>
      <c r="P99" s="1">
        <v>0</v>
      </c>
      <c r="Q99" t="str">
        <f>INDEX(pARTNER[#All],MATCH(#REF!,pARTNER[[#All],[Value.partnerSummary.id]],0),10)</f>
        <v>Italia (IT)</v>
      </c>
      <c r="R99" t="str">
        <f>INDEX('Partner data'!$A$2:$DG$171,MATCH(#REF!,'Partner data'!$DG$2:$DG$171,0),83)</f>
        <v>Soggetto pubblico</v>
      </c>
      <c r="S99" s="86" t="b">
        <f>IF(#REF!="staff",INDEX('Partner data'!$DG$2:$DH$171,MATCH(#REF!,'Partner data'!$DG$2:$DG$171,0),2))</f>
        <v>0</v>
      </c>
    </row>
    <row r="100" spans="1:19" x14ac:dyDescent="0.25">
      <c r="A100" s="1" t="s">
        <v>58</v>
      </c>
      <c r="B100" s="1" t="s">
        <v>25</v>
      </c>
      <c r="C100" s="13">
        <v>10</v>
      </c>
      <c r="D100" s="13">
        <v>227</v>
      </c>
      <c r="E100" s="1" t="s">
        <v>238</v>
      </c>
      <c r="F100" s="1"/>
      <c r="G100" s="1">
        <v>1360000</v>
      </c>
      <c r="H100" s="1">
        <v>15258.18</v>
      </c>
      <c r="I100" s="1">
        <v>0</v>
      </c>
      <c r="J100" s="1">
        <v>16910.849999999999</v>
      </c>
      <c r="K100" s="1">
        <v>0</v>
      </c>
      <c r="L100" s="1">
        <v>16910.849999999999</v>
      </c>
      <c r="M100" s="1">
        <v>32169.03</v>
      </c>
      <c r="N100" s="1">
        <v>2.37</v>
      </c>
      <c r="O100" s="1">
        <v>1327830.97</v>
      </c>
      <c r="P100" s="1">
        <v>15258.18</v>
      </c>
      <c r="Q100" t="str">
        <f>INDEX(pARTNER[#All],MATCH(#REF!,pARTNER[[#All],[Value.partnerSummary.id]],0),10)</f>
        <v>Italia (IT)</v>
      </c>
      <c r="R100" t="str">
        <f>INDEX('Partner data'!$A$2:$DG$171,MATCH(#REF!,'Partner data'!$DG$2:$DG$171,0),83)</f>
        <v>Soggetto pubblico</v>
      </c>
      <c r="S100" s="86" t="b">
        <f>IF(#REF!="staff",INDEX('Partner data'!$DG$2:$DH$171,MATCH(#REF!,'Partner data'!$DG$2:$DG$171,0),2))</f>
        <v>0</v>
      </c>
    </row>
    <row r="101" spans="1:19" x14ac:dyDescent="0.25">
      <c r="A101" s="1" t="s">
        <v>58</v>
      </c>
      <c r="B101" s="1" t="s">
        <v>25</v>
      </c>
      <c r="C101" s="13">
        <v>10</v>
      </c>
      <c r="D101" s="13">
        <v>27</v>
      </c>
      <c r="E101" s="1" t="s">
        <v>228</v>
      </c>
      <c r="F101" s="1"/>
      <c r="G101" s="1">
        <v>58080</v>
      </c>
      <c r="H101" s="1">
        <v>0</v>
      </c>
      <c r="I101" s="1">
        <v>0</v>
      </c>
      <c r="J101" s="1">
        <v>12822</v>
      </c>
      <c r="K101" s="1">
        <v>0</v>
      </c>
      <c r="L101" s="1">
        <v>12822</v>
      </c>
      <c r="M101" s="1">
        <v>12822</v>
      </c>
      <c r="N101" s="1">
        <v>22.08</v>
      </c>
      <c r="O101" s="1">
        <v>45258</v>
      </c>
      <c r="P101" s="1">
        <v>0</v>
      </c>
      <c r="Q101" t="str">
        <f>INDEX(pARTNER[#All],MATCH(#REF!,pARTNER[[#All],[Value.partnerSummary.id]],0),10)</f>
        <v>Italia (IT)</v>
      </c>
      <c r="R101" t="str">
        <f>INDEX('Partner data'!$A$2:$DG$171,MATCH(#REF!,'Partner data'!$DG$2:$DG$171,0),83)</f>
        <v>Soggetto pubblico</v>
      </c>
      <c r="S101" s="86" t="str">
        <f>IF(#REF!="staff",INDEX('Partner data'!$DG$2:$DH$171,MATCH(#REF!,'Partner data'!$DG$2:$DG$171,0),2))</f>
        <v>Costo Unitario Standard</v>
      </c>
    </row>
    <row r="102" spans="1:19" x14ac:dyDescent="0.25">
      <c r="A102" s="1" t="s">
        <v>58</v>
      </c>
      <c r="B102" s="1" t="s">
        <v>25</v>
      </c>
      <c r="C102" s="13">
        <v>10</v>
      </c>
      <c r="D102" s="13">
        <v>27</v>
      </c>
      <c r="E102" s="1" t="s">
        <v>229</v>
      </c>
      <c r="F102" s="1">
        <v>15</v>
      </c>
      <c r="G102" s="1">
        <v>8712</v>
      </c>
      <c r="H102" s="1">
        <v>0</v>
      </c>
      <c r="I102" s="1">
        <v>0</v>
      </c>
      <c r="J102" s="1">
        <v>1923.3</v>
      </c>
      <c r="K102" s="1">
        <v>0</v>
      </c>
      <c r="L102" s="1">
        <v>1923.3</v>
      </c>
      <c r="M102" s="1">
        <v>1923.3</v>
      </c>
      <c r="N102" s="1">
        <v>22.08</v>
      </c>
      <c r="O102" s="1">
        <v>6788.7</v>
      </c>
      <c r="P102" s="1">
        <v>0</v>
      </c>
      <c r="Q102" t="str">
        <f>INDEX(pARTNER[#All],MATCH(#REF!,pARTNER[[#All],[Value.partnerSummary.id]],0),10)</f>
        <v>Italia (IT)</v>
      </c>
      <c r="R102" t="str">
        <f>INDEX('Partner data'!$A$2:$DG$171,MATCH(#REF!,'Partner data'!$DG$2:$DG$171,0),83)</f>
        <v>Soggetto pubblico</v>
      </c>
      <c r="S102" s="86" t="b">
        <f>IF(#REF!="staff",INDEX('Partner data'!$DG$2:$DH$171,MATCH(#REF!,'Partner data'!$DG$2:$DG$171,0),2))</f>
        <v>0</v>
      </c>
    </row>
    <row r="103" spans="1:19" x14ac:dyDescent="0.25">
      <c r="A103" s="1" t="s">
        <v>58</v>
      </c>
      <c r="B103" s="1" t="s">
        <v>25</v>
      </c>
      <c r="C103" s="13">
        <v>10</v>
      </c>
      <c r="D103" s="13">
        <v>27</v>
      </c>
      <c r="E103" s="1" t="s">
        <v>230</v>
      </c>
      <c r="F103" s="1">
        <v>4</v>
      </c>
      <c r="G103" s="1">
        <v>2323.1999999999998</v>
      </c>
      <c r="H103" s="1">
        <v>0</v>
      </c>
      <c r="I103" s="1">
        <v>0</v>
      </c>
      <c r="J103" s="1">
        <v>512.88</v>
      </c>
      <c r="K103" s="1">
        <v>0</v>
      </c>
      <c r="L103" s="1">
        <v>512.88</v>
      </c>
      <c r="M103" s="1">
        <v>512.88</v>
      </c>
      <c r="N103" s="1">
        <v>22.08</v>
      </c>
      <c r="O103" s="1">
        <v>1810.32</v>
      </c>
      <c r="P103" s="1">
        <v>0</v>
      </c>
      <c r="Q103" t="str">
        <f>INDEX(pARTNER[#All],MATCH(#REF!,pARTNER[[#All],[Value.partnerSummary.id]],0),10)</f>
        <v>Italia (IT)</v>
      </c>
      <c r="R103" t="str">
        <f>INDEX('Partner data'!$A$2:$DG$171,MATCH(#REF!,'Partner data'!$DG$2:$DG$171,0),83)</f>
        <v>Soggetto pubblico</v>
      </c>
      <c r="S103" s="86" t="b">
        <f>IF(#REF!="staff",INDEX('Partner data'!$DG$2:$DH$171,MATCH(#REF!,'Partner data'!$DG$2:$DG$171,0),2))</f>
        <v>0</v>
      </c>
    </row>
    <row r="104" spans="1:19" x14ac:dyDescent="0.25">
      <c r="A104" s="1" t="s">
        <v>58</v>
      </c>
      <c r="B104" s="1" t="s">
        <v>25</v>
      </c>
      <c r="C104" s="13">
        <v>10</v>
      </c>
      <c r="D104" s="13">
        <v>27</v>
      </c>
      <c r="E104" s="1" t="s">
        <v>231</v>
      </c>
      <c r="F104" s="1"/>
      <c r="G104" s="1">
        <v>135884.79999999999</v>
      </c>
      <c r="H104" s="1">
        <v>0</v>
      </c>
      <c r="I104" s="1">
        <v>0</v>
      </c>
      <c r="J104" s="1">
        <v>0</v>
      </c>
      <c r="K104" s="1">
        <v>0</v>
      </c>
      <c r="L104" s="1">
        <v>0</v>
      </c>
      <c r="M104" s="1">
        <v>0</v>
      </c>
      <c r="N104" s="1">
        <v>0</v>
      </c>
      <c r="O104" s="1">
        <v>135884.79999999999</v>
      </c>
      <c r="P104" s="1">
        <v>0</v>
      </c>
      <c r="Q104" t="str">
        <f>INDEX(pARTNER[#All],MATCH(#REF!,pARTNER[[#All],[Value.partnerSummary.id]],0),10)</f>
        <v>Italia (IT)</v>
      </c>
      <c r="R104" t="str">
        <f>INDEX('Partner data'!$A$2:$DG$171,MATCH(#REF!,'Partner data'!$DG$2:$DG$171,0),83)</f>
        <v>Soggetto pubblico</v>
      </c>
      <c r="S104" s="86" t="b">
        <f>IF(#REF!="staff",INDEX('Partner data'!$DG$2:$DH$171,MATCH(#REF!,'Partner data'!$DG$2:$DG$171,0),2))</f>
        <v>0</v>
      </c>
    </row>
    <row r="105" spans="1:19" x14ac:dyDescent="0.25">
      <c r="A105" s="1" t="s">
        <v>58</v>
      </c>
      <c r="B105" s="1" t="s">
        <v>25</v>
      </c>
      <c r="C105" s="13">
        <v>10</v>
      </c>
      <c r="D105" s="13">
        <v>27</v>
      </c>
      <c r="E105" s="1" t="s">
        <v>232</v>
      </c>
      <c r="F105" s="1"/>
      <c r="G105" s="1">
        <v>30000</v>
      </c>
      <c r="H105" s="1">
        <v>0</v>
      </c>
      <c r="I105" s="1">
        <v>0</v>
      </c>
      <c r="J105" s="1">
        <v>0</v>
      </c>
      <c r="K105" s="1">
        <v>0</v>
      </c>
      <c r="L105" s="1">
        <v>0</v>
      </c>
      <c r="M105" s="1">
        <v>0</v>
      </c>
      <c r="N105" s="1">
        <v>0</v>
      </c>
      <c r="O105" s="1">
        <v>30000</v>
      </c>
      <c r="P105" s="1">
        <v>0</v>
      </c>
      <c r="Q105" t="str">
        <f>INDEX(pARTNER[#All],MATCH(#REF!,pARTNER[[#All],[Value.partnerSummary.id]],0),10)</f>
        <v>Italia (IT)</v>
      </c>
      <c r="R105" t="str">
        <f>INDEX('Partner data'!$A$2:$DG$171,MATCH(#REF!,'Partner data'!$DG$2:$DG$171,0),83)</f>
        <v>Soggetto pubblico</v>
      </c>
      <c r="S105" s="86" t="b">
        <f>IF(#REF!="staff",INDEX('Partner data'!$DG$2:$DH$171,MATCH(#REF!,'Partner data'!$DG$2:$DG$171,0),2))</f>
        <v>0</v>
      </c>
    </row>
    <row r="106" spans="1:19" x14ac:dyDescent="0.25">
      <c r="A106" s="1" t="s">
        <v>58</v>
      </c>
      <c r="B106" s="1" t="s">
        <v>25</v>
      </c>
      <c r="C106" s="13">
        <v>10</v>
      </c>
      <c r="D106" s="13">
        <v>27</v>
      </c>
      <c r="E106" s="1" t="s">
        <v>233</v>
      </c>
      <c r="F106" s="1"/>
      <c r="G106" s="1">
        <v>1125000</v>
      </c>
      <c r="H106" s="1">
        <v>0</v>
      </c>
      <c r="I106" s="1">
        <v>0</v>
      </c>
      <c r="J106" s="1">
        <v>0</v>
      </c>
      <c r="K106" s="1">
        <v>0</v>
      </c>
      <c r="L106" s="1">
        <v>0</v>
      </c>
      <c r="M106" s="1">
        <v>0</v>
      </c>
      <c r="N106" s="1">
        <v>0</v>
      </c>
      <c r="O106" s="1">
        <v>1125000</v>
      </c>
      <c r="P106" s="1">
        <v>0</v>
      </c>
      <c r="Q106" t="str">
        <f>INDEX(pARTNER[#All],MATCH(#REF!,pARTNER[[#All],[Value.partnerSummary.id]],0),10)</f>
        <v>Italia (IT)</v>
      </c>
      <c r="R106" t="str">
        <f>INDEX('Partner data'!$A$2:$DG$171,MATCH(#REF!,'Partner data'!$DG$2:$DG$171,0),83)</f>
        <v>Soggetto pubblico</v>
      </c>
      <c r="S106" s="86" t="b">
        <f>IF(#REF!="staff",INDEX('Partner data'!$DG$2:$DH$171,MATCH(#REF!,'Partner data'!$DG$2:$DG$171,0),2))</f>
        <v>0</v>
      </c>
    </row>
    <row r="107" spans="1:19" x14ac:dyDescent="0.25">
      <c r="A107" s="1" t="s">
        <v>58</v>
      </c>
      <c r="B107" s="1" t="s">
        <v>25</v>
      </c>
      <c r="C107" s="13">
        <v>10</v>
      </c>
      <c r="D107" s="13">
        <v>27</v>
      </c>
      <c r="E107" s="1" t="s">
        <v>234</v>
      </c>
      <c r="F107" s="1"/>
      <c r="G107" s="1">
        <v>0</v>
      </c>
      <c r="H107" s="1">
        <v>0</v>
      </c>
      <c r="I107" s="1">
        <v>0</v>
      </c>
      <c r="J107" s="1">
        <v>0</v>
      </c>
      <c r="K107" s="1">
        <v>0</v>
      </c>
      <c r="L107" s="1">
        <v>0</v>
      </c>
      <c r="M107" s="1">
        <v>0</v>
      </c>
      <c r="N107" s="1">
        <v>0</v>
      </c>
      <c r="O107" s="1">
        <v>0</v>
      </c>
      <c r="P107" s="1">
        <v>0</v>
      </c>
      <c r="Q107" t="str">
        <f>INDEX(pARTNER[#All],MATCH(#REF!,pARTNER[[#All],[Value.partnerSummary.id]],0),10)</f>
        <v>Italia (IT)</v>
      </c>
      <c r="R107" t="str">
        <f>INDEX('Partner data'!$A$2:$DG$171,MATCH(#REF!,'Partner data'!$DG$2:$DG$171,0),83)</f>
        <v>Soggetto pubblico</v>
      </c>
      <c r="S107" s="86" t="b">
        <f>IF(#REF!="staff",INDEX('Partner data'!$DG$2:$DH$171,MATCH(#REF!,'Partner data'!$DG$2:$DG$171,0),2))</f>
        <v>0</v>
      </c>
    </row>
    <row r="108" spans="1:19" x14ac:dyDescent="0.25">
      <c r="A108" s="1" t="s">
        <v>58</v>
      </c>
      <c r="B108" s="1" t="s">
        <v>25</v>
      </c>
      <c r="C108" s="13">
        <v>10</v>
      </c>
      <c r="D108" s="13">
        <v>27</v>
      </c>
      <c r="E108" s="1" t="s">
        <v>235</v>
      </c>
      <c r="F108" s="1"/>
      <c r="G108" s="1">
        <v>0</v>
      </c>
      <c r="H108" s="1">
        <v>0</v>
      </c>
      <c r="I108" s="1">
        <v>0</v>
      </c>
      <c r="J108" s="1">
        <v>0</v>
      </c>
      <c r="K108" s="1">
        <v>0</v>
      </c>
      <c r="L108" s="1">
        <v>0</v>
      </c>
      <c r="M108" s="1">
        <v>0</v>
      </c>
      <c r="N108" s="1">
        <v>0</v>
      </c>
      <c r="O108" s="1">
        <v>0</v>
      </c>
      <c r="P108" s="1">
        <v>0</v>
      </c>
      <c r="Q108" t="str">
        <f>INDEX(pARTNER[#All],MATCH(#REF!,pARTNER[[#All],[Value.partnerSummary.id]],0),10)</f>
        <v>Italia (IT)</v>
      </c>
      <c r="R108" t="str">
        <f>INDEX('Partner data'!$A$2:$DG$171,MATCH(#REF!,'Partner data'!$DG$2:$DG$171,0),83)</f>
        <v>Soggetto pubblico</v>
      </c>
      <c r="S108" s="86" t="b">
        <f>IF(#REF!="staff",INDEX('Partner data'!$DG$2:$DH$171,MATCH(#REF!,'Partner data'!$DG$2:$DG$171,0),2))</f>
        <v>0</v>
      </c>
    </row>
    <row r="109" spans="1:19" x14ac:dyDescent="0.25">
      <c r="A109" s="1" t="s">
        <v>58</v>
      </c>
      <c r="B109" s="1" t="s">
        <v>25</v>
      </c>
      <c r="C109" s="13">
        <v>10</v>
      </c>
      <c r="D109" s="13">
        <v>27</v>
      </c>
      <c r="E109" s="1" t="s">
        <v>236</v>
      </c>
      <c r="F109" s="1"/>
      <c r="G109" s="1">
        <v>0</v>
      </c>
      <c r="H109" s="1">
        <v>0</v>
      </c>
      <c r="I109" s="1">
        <v>0</v>
      </c>
      <c r="J109" s="1">
        <v>0</v>
      </c>
      <c r="K109" s="1">
        <v>0</v>
      </c>
      <c r="L109" s="1">
        <v>0</v>
      </c>
      <c r="M109" s="1">
        <v>0</v>
      </c>
      <c r="N109" s="1">
        <v>0</v>
      </c>
      <c r="O109" s="1">
        <v>0</v>
      </c>
      <c r="P109" s="1">
        <v>0</v>
      </c>
      <c r="Q109" t="str">
        <f>INDEX(pARTNER[#All],MATCH(#REF!,pARTNER[[#All],[Value.partnerSummary.id]],0),10)</f>
        <v>Italia (IT)</v>
      </c>
      <c r="R109" t="str">
        <f>INDEX('Partner data'!$A$2:$DG$171,MATCH(#REF!,'Partner data'!$DG$2:$DG$171,0),83)</f>
        <v>Soggetto pubblico</v>
      </c>
      <c r="S109" s="86" t="b">
        <f>IF(#REF!="staff",INDEX('Partner data'!$DG$2:$DH$171,MATCH(#REF!,'Partner data'!$DG$2:$DG$171,0),2))</f>
        <v>0</v>
      </c>
    </row>
    <row r="110" spans="1:19" x14ac:dyDescent="0.25">
      <c r="A110" s="1" t="s">
        <v>58</v>
      </c>
      <c r="B110" s="1" t="s">
        <v>25</v>
      </c>
      <c r="C110" s="13">
        <v>10</v>
      </c>
      <c r="D110" s="13">
        <v>27</v>
      </c>
      <c r="E110" s="1" t="s">
        <v>237</v>
      </c>
      <c r="F110" s="1"/>
      <c r="G110" s="1">
        <v>0</v>
      </c>
      <c r="H110" s="1">
        <v>0</v>
      </c>
      <c r="I110" s="1">
        <v>0</v>
      </c>
      <c r="J110" s="1">
        <v>0</v>
      </c>
      <c r="K110" s="1">
        <v>0</v>
      </c>
      <c r="L110" s="1">
        <v>0</v>
      </c>
      <c r="M110" s="1">
        <v>0</v>
      </c>
      <c r="N110" s="1">
        <v>0</v>
      </c>
      <c r="O110" s="1">
        <v>0</v>
      </c>
      <c r="P110" s="1">
        <v>0</v>
      </c>
      <c r="Q110" t="str">
        <f>INDEX(pARTNER[#All],MATCH(#REF!,pARTNER[[#All],[Value.partnerSummary.id]],0),10)</f>
        <v>Italia (IT)</v>
      </c>
      <c r="R110" t="str">
        <f>INDEX('Partner data'!$A$2:$DG$171,MATCH(#REF!,'Partner data'!$DG$2:$DG$171,0),83)</f>
        <v>Soggetto pubblico</v>
      </c>
      <c r="S110" s="86" t="b">
        <f>IF(#REF!="staff",INDEX('Partner data'!$DG$2:$DH$171,MATCH(#REF!,'Partner data'!$DG$2:$DG$171,0),2))</f>
        <v>0</v>
      </c>
    </row>
    <row r="111" spans="1:19" x14ac:dyDescent="0.25">
      <c r="A111" s="1" t="s">
        <v>58</v>
      </c>
      <c r="B111" s="1" t="s">
        <v>25</v>
      </c>
      <c r="C111" s="13">
        <v>10</v>
      </c>
      <c r="D111" s="13">
        <v>27</v>
      </c>
      <c r="E111" s="1" t="s">
        <v>238</v>
      </c>
      <c r="F111" s="1"/>
      <c r="G111" s="1">
        <v>1360000</v>
      </c>
      <c r="H111" s="1">
        <v>0</v>
      </c>
      <c r="I111" s="1">
        <v>0</v>
      </c>
      <c r="J111" s="1">
        <v>15258.18</v>
      </c>
      <c r="K111" s="1">
        <v>0</v>
      </c>
      <c r="L111" s="1">
        <v>15258.18</v>
      </c>
      <c r="M111" s="1">
        <v>15258.18</v>
      </c>
      <c r="N111" s="1">
        <v>1.1200000000000001</v>
      </c>
      <c r="O111" s="1">
        <v>1344741.82</v>
      </c>
      <c r="P111" s="1">
        <v>0</v>
      </c>
      <c r="Q111" t="str">
        <f>INDEX(pARTNER[#All],MATCH(#REF!,pARTNER[[#All],[Value.partnerSummary.id]],0),10)</f>
        <v>Italia (IT)</v>
      </c>
      <c r="R111" t="str">
        <f>INDEX('Partner data'!$A$2:$DG$171,MATCH(#REF!,'Partner data'!$DG$2:$DG$171,0),83)</f>
        <v>Soggetto pubblico</v>
      </c>
      <c r="S111" s="86" t="b">
        <f>IF(#REF!="staff",INDEX('Partner data'!$DG$2:$DH$171,MATCH(#REF!,'Partner data'!$DG$2:$DG$171,0),2))</f>
        <v>0</v>
      </c>
    </row>
    <row r="112" spans="1:19" x14ac:dyDescent="0.25">
      <c r="A112" s="1" t="s">
        <v>58</v>
      </c>
      <c r="B112" s="1" t="s">
        <v>33</v>
      </c>
      <c r="C112" s="13">
        <v>15</v>
      </c>
      <c r="D112" s="13">
        <v>264</v>
      </c>
      <c r="E112" s="1" t="s">
        <v>228</v>
      </c>
      <c r="F112" s="1"/>
      <c r="G112" s="1">
        <v>131600</v>
      </c>
      <c r="H112" s="1">
        <v>44909.36</v>
      </c>
      <c r="I112" s="1">
        <v>0</v>
      </c>
      <c r="J112" s="1">
        <v>15904.16</v>
      </c>
      <c r="K112" s="1">
        <v>0</v>
      </c>
      <c r="L112" s="1">
        <v>15904.16</v>
      </c>
      <c r="M112" s="1">
        <v>60813.52</v>
      </c>
      <c r="N112" s="1">
        <v>46.21</v>
      </c>
      <c r="O112" s="1">
        <v>70786.48</v>
      </c>
      <c r="P112" s="1">
        <v>44909.21</v>
      </c>
      <c r="Q112" t="str">
        <f>INDEX(pARTNER[#All],MATCH(#REF!,pARTNER[[#All],[Value.partnerSummary.id]],0),10)</f>
        <v>Slovenija (SI)</v>
      </c>
      <c r="R112" t="str">
        <f>INDEX('Partner data'!$A$2:$DG$171,MATCH(#REF!,'Partner data'!$DG$2:$DG$171,0),83)</f>
        <v xml:space="preserve">Organismo di diritto pubblico </v>
      </c>
      <c r="S112" s="86" t="str">
        <f>IF(#REF!="staff",INDEX('Partner data'!$DG$2:$DH$171,MATCH(#REF!,'Partner data'!$DG$2:$DG$171,0),2))</f>
        <v>COSTO REALE</v>
      </c>
    </row>
    <row r="113" spans="1:19" x14ac:dyDescent="0.25">
      <c r="A113" s="1" t="s">
        <v>58</v>
      </c>
      <c r="B113" s="1" t="s">
        <v>33</v>
      </c>
      <c r="C113" s="13">
        <v>15</v>
      </c>
      <c r="D113" s="13">
        <v>264</v>
      </c>
      <c r="E113" s="1" t="s">
        <v>229</v>
      </c>
      <c r="F113" s="1">
        <v>15</v>
      </c>
      <c r="G113" s="1">
        <v>19740</v>
      </c>
      <c r="H113" s="1">
        <v>6736.4</v>
      </c>
      <c r="I113" s="1">
        <v>0</v>
      </c>
      <c r="J113" s="1">
        <v>2385.62</v>
      </c>
      <c r="K113" s="1">
        <v>0</v>
      </c>
      <c r="L113" s="1">
        <v>2385.62</v>
      </c>
      <c r="M113" s="1">
        <v>9122.02</v>
      </c>
      <c r="N113" s="1">
        <v>46.21</v>
      </c>
      <c r="O113" s="1">
        <v>10617.98</v>
      </c>
      <c r="P113" s="1">
        <v>6736.38</v>
      </c>
      <c r="Q113" t="str">
        <f>INDEX(pARTNER[#All],MATCH(#REF!,pARTNER[[#All],[Value.partnerSummary.id]],0),10)</f>
        <v>Slovenija (SI)</v>
      </c>
      <c r="R113" t="str">
        <f>INDEX('Partner data'!$A$2:$DG$171,MATCH(#REF!,'Partner data'!$DG$2:$DG$171,0),83)</f>
        <v xml:space="preserve">Organismo di diritto pubblico </v>
      </c>
      <c r="S113" s="86" t="b">
        <f>IF(#REF!="staff",INDEX('Partner data'!$DG$2:$DH$171,MATCH(#REF!,'Partner data'!$DG$2:$DG$171,0),2))</f>
        <v>0</v>
      </c>
    </row>
    <row r="114" spans="1:19" x14ac:dyDescent="0.25">
      <c r="A114" s="1" t="s">
        <v>58</v>
      </c>
      <c r="B114" s="1" t="s">
        <v>33</v>
      </c>
      <c r="C114" s="13">
        <v>15</v>
      </c>
      <c r="D114" s="13">
        <v>264</v>
      </c>
      <c r="E114" s="1" t="s">
        <v>230</v>
      </c>
      <c r="F114" s="1">
        <v>4</v>
      </c>
      <c r="G114" s="1">
        <v>5264</v>
      </c>
      <c r="H114" s="1">
        <v>1796.37</v>
      </c>
      <c r="I114" s="1">
        <v>0</v>
      </c>
      <c r="J114" s="1">
        <v>636.16</v>
      </c>
      <c r="K114" s="1">
        <v>0</v>
      </c>
      <c r="L114" s="1">
        <v>636.16</v>
      </c>
      <c r="M114" s="1">
        <v>2432.5300000000002</v>
      </c>
      <c r="N114" s="1">
        <v>46.21</v>
      </c>
      <c r="O114" s="1">
        <v>2831.47</v>
      </c>
      <c r="P114" s="1">
        <v>1796.36</v>
      </c>
      <c r="Q114" t="str">
        <f>INDEX(pARTNER[#All],MATCH(#REF!,pARTNER[[#All],[Value.partnerSummary.id]],0),10)</f>
        <v>Slovenija (SI)</v>
      </c>
      <c r="R114" t="str">
        <f>INDEX('Partner data'!$A$2:$DG$171,MATCH(#REF!,'Partner data'!$DG$2:$DG$171,0),83)</f>
        <v xml:space="preserve">Organismo di diritto pubblico </v>
      </c>
      <c r="S114" s="86" t="b">
        <f>IF(#REF!="staff",INDEX('Partner data'!$DG$2:$DH$171,MATCH(#REF!,'Partner data'!$DG$2:$DG$171,0),2))</f>
        <v>0</v>
      </c>
    </row>
    <row r="115" spans="1:19" x14ac:dyDescent="0.25">
      <c r="A115" s="1" t="s">
        <v>58</v>
      </c>
      <c r="B115" s="1" t="s">
        <v>33</v>
      </c>
      <c r="C115" s="13">
        <v>15</v>
      </c>
      <c r="D115" s="13">
        <v>264</v>
      </c>
      <c r="E115" s="1" t="s">
        <v>231</v>
      </c>
      <c r="F115" s="1"/>
      <c r="G115" s="1">
        <v>158900</v>
      </c>
      <c r="H115" s="1">
        <v>81550.64</v>
      </c>
      <c r="I115" s="1">
        <v>0</v>
      </c>
      <c r="J115" s="1">
        <v>0</v>
      </c>
      <c r="K115" s="1">
        <v>0</v>
      </c>
      <c r="L115" s="1">
        <v>0</v>
      </c>
      <c r="M115" s="1">
        <v>81550.64</v>
      </c>
      <c r="N115" s="1">
        <v>51.32</v>
      </c>
      <c r="O115" s="1">
        <v>77349.36</v>
      </c>
      <c r="P115" s="1">
        <v>81550.64</v>
      </c>
      <c r="Q115" t="str">
        <f>INDEX(pARTNER[#All],MATCH(#REF!,pARTNER[[#All],[Value.partnerSummary.id]],0),10)</f>
        <v>Slovenija (SI)</v>
      </c>
      <c r="R115" t="str">
        <f>INDEX('Partner data'!$A$2:$DG$171,MATCH(#REF!,'Partner data'!$DG$2:$DG$171,0),83)</f>
        <v xml:space="preserve">Organismo di diritto pubblico </v>
      </c>
      <c r="S115" s="86" t="b">
        <f>IF(#REF!="staff",INDEX('Partner data'!$DG$2:$DH$171,MATCH(#REF!,'Partner data'!$DG$2:$DG$171,0),2))</f>
        <v>0</v>
      </c>
    </row>
    <row r="116" spans="1:19" x14ac:dyDescent="0.25">
      <c r="A116" s="1" t="s">
        <v>58</v>
      </c>
      <c r="B116" s="1" t="s">
        <v>33</v>
      </c>
      <c r="C116" s="13">
        <v>15</v>
      </c>
      <c r="D116" s="13">
        <v>264</v>
      </c>
      <c r="E116" s="1" t="s">
        <v>232</v>
      </c>
      <c r="F116" s="1"/>
      <c r="G116" s="1">
        <v>1000</v>
      </c>
      <c r="H116" s="1">
        <v>289.36</v>
      </c>
      <c r="I116" s="1">
        <v>0</v>
      </c>
      <c r="J116" s="1">
        <v>0</v>
      </c>
      <c r="K116" s="1">
        <v>0</v>
      </c>
      <c r="L116" s="1">
        <v>0</v>
      </c>
      <c r="M116" s="1">
        <v>289.36</v>
      </c>
      <c r="N116" s="1">
        <v>28.94</v>
      </c>
      <c r="O116" s="1">
        <v>710.64</v>
      </c>
      <c r="P116" s="1">
        <v>289.36</v>
      </c>
      <c r="Q116" t="str">
        <f>INDEX(pARTNER[#All],MATCH(#REF!,pARTNER[[#All],[Value.partnerSummary.id]],0),10)</f>
        <v>Slovenija (SI)</v>
      </c>
      <c r="R116" t="str">
        <f>INDEX('Partner data'!$A$2:$DG$171,MATCH(#REF!,'Partner data'!$DG$2:$DG$171,0),83)</f>
        <v xml:space="preserve">Organismo di diritto pubblico </v>
      </c>
      <c r="S116" s="86" t="b">
        <f>IF(#REF!="staff",INDEX('Partner data'!$DG$2:$DH$171,MATCH(#REF!,'Partner data'!$DG$2:$DG$171,0),2))</f>
        <v>0</v>
      </c>
    </row>
    <row r="117" spans="1:19" x14ac:dyDescent="0.25">
      <c r="A117" s="1" t="s">
        <v>58</v>
      </c>
      <c r="B117" s="1" t="s">
        <v>33</v>
      </c>
      <c r="C117" s="13">
        <v>15</v>
      </c>
      <c r="D117" s="13">
        <v>264</v>
      </c>
      <c r="E117" s="1" t="s">
        <v>233</v>
      </c>
      <c r="F117" s="1"/>
      <c r="G117" s="1">
        <v>0</v>
      </c>
      <c r="H117" s="1">
        <v>0</v>
      </c>
      <c r="I117" s="1">
        <v>0</v>
      </c>
      <c r="J117" s="1">
        <v>0</v>
      </c>
      <c r="K117" s="1">
        <v>0</v>
      </c>
      <c r="L117" s="1">
        <v>0</v>
      </c>
      <c r="M117" s="1">
        <v>0</v>
      </c>
      <c r="N117" s="1">
        <v>0</v>
      </c>
      <c r="O117" s="1">
        <v>0</v>
      </c>
      <c r="P117" s="1">
        <v>0</v>
      </c>
      <c r="Q117" t="str">
        <f>INDEX(pARTNER[#All],MATCH(#REF!,pARTNER[[#All],[Value.partnerSummary.id]],0),10)</f>
        <v>Slovenija (SI)</v>
      </c>
      <c r="R117" t="str">
        <f>INDEX('Partner data'!$A$2:$DG$171,MATCH(#REF!,'Partner data'!$DG$2:$DG$171,0),83)</f>
        <v xml:space="preserve">Organismo di diritto pubblico </v>
      </c>
      <c r="S117" s="86" t="b">
        <f>IF(#REF!="staff",INDEX('Partner data'!$DG$2:$DH$171,MATCH(#REF!,'Partner data'!$DG$2:$DG$171,0),2))</f>
        <v>0</v>
      </c>
    </row>
    <row r="118" spans="1:19" x14ac:dyDescent="0.25">
      <c r="A118" s="1" t="s">
        <v>58</v>
      </c>
      <c r="B118" s="1" t="s">
        <v>33</v>
      </c>
      <c r="C118" s="13">
        <v>15</v>
      </c>
      <c r="D118" s="13">
        <v>264</v>
      </c>
      <c r="E118" s="1" t="s">
        <v>234</v>
      </c>
      <c r="F118" s="1"/>
      <c r="G118" s="1">
        <v>0</v>
      </c>
      <c r="H118" s="1">
        <v>0</v>
      </c>
      <c r="I118" s="1">
        <v>0</v>
      </c>
      <c r="J118" s="1">
        <v>0</v>
      </c>
      <c r="K118" s="1">
        <v>0</v>
      </c>
      <c r="L118" s="1">
        <v>0</v>
      </c>
      <c r="M118" s="1">
        <v>0</v>
      </c>
      <c r="N118" s="1">
        <v>0</v>
      </c>
      <c r="O118" s="1">
        <v>0</v>
      </c>
      <c r="P118" s="1">
        <v>0</v>
      </c>
      <c r="Q118" t="str">
        <f>INDEX(pARTNER[#All],MATCH(#REF!,pARTNER[[#All],[Value.partnerSummary.id]],0),10)</f>
        <v>Slovenija (SI)</v>
      </c>
      <c r="R118" t="str">
        <f>INDEX('Partner data'!$A$2:$DG$171,MATCH(#REF!,'Partner data'!$DG$2:$DG$171,0),83)</f>
        <v xml:space="preserve">Organismo di diritto pubblico </v>
      </c>
      <c r="S118" s="86" t="b">
        <f>IF(#REF!="staff",INDEX('Partner data'!$DG$2:$DH$171,MATCH(#REF!,'Partner data'!$DG$2:$DG$171,0),2))</f>
        <v>0</v>
      </c>
    </row>
    <row r="119" spans="1:19" x14ac:dyDescent="0.25">
      <c r="A119" s="1" t="s">
        <v>58</v>
      </c>
      <c r="B119" s="1" t="s">
        <v>33</v>
      </c>
      <c r="C119" s="13">
        <v>15</v>
      </c>
      <c r="D119" s="13">
        <v>264</v>
      </c>
      <c r="E119" s="1" t="s">
        <v>235</v>
      </c>
      <c r="F119" s="1"/>
      <c r="G119" s="1">
        <v>0</v>
      </c>
      <c r="H119" s="1">
        <v>0</v>
      </c>
      <c r="I119" s="1">
        <v>0</v>
      </c>
      <c r="J119" s="1">
        <v>0</v>
      </c>
      <c r="K119" s="1">
        <v>0</v>
      </c>
      <c r="L119" s="1">
        <v>0</v>
      </c>
      <c r="M119" s="1">
        <v>0</v>
      </c>
      <c r="N119" s="1">
        <v>0</v>
      </c>
      <c r="O119" s="1">
        <v>0</v>
      </c>
      <c r="P119" s="1">
        <v>0</v>
      </c>
      <c r="Q119" t="str">
        <f>INDEX(pARTNER[#All],MATCH(#REF!,pARTNER[[#All],[Value.partnerSummary.id]],0),10)</f>
        <v>Slovenija (SI)</v>
      </c>
      <c r="R119" t="str">
        <f>INDEX('Partner data'!$A$2:$DG$171,MATCH(#REF!,'Partner data'!$DG$2:$DG$171,0),83)</f>
        <v xml:space="preserve">Organismo di diritto pubblico </v>
      </c>
      <c r="S119" s="86" t="b">
        <f>IF(#REF!="staff",INDEX('Partner data'!$DG$2:$DH$171,MATCH(#REF!,'Partner data'!$DG$2:$DG$171,0),2))</f>
        <v>0</v>
      </c>
    </row>
    <row r="120" spans="1:19" x14ac:dyDescent="0.25">
      <c r="A120" s="1" t="s">
        <v>58</v>
      </c>
      <c r="B120" s="1" t="s">
        <v>33</v>
      </c>
      <c r="C120" s="13">
        <v>15</v>
      </c>
      <c r="D120" s="13">
        <v>264</v>
      </c>
      <c r="E120" s="1" t="s">
        <v>236</v>
      </c>
      <c r="F120" s="1"/>
      <c r="G120" s="1">
        <v>0</v>
      </c>
      <c r="H120" s="1">
        <v>0</v>
      </c>
      <c r="I120" s="1">
        <v>0</v>
      </c>
      <c r="J120" s="1">
        <v>0</v>
      </c>
      <c r="K120" s="1">
        <v>0</v>
      </c>
      <c r="L120" s="1">
        <v>0</v>
      </c>
      <c r="M120" s="1">
        <v>0</v>
      </c>
      <c r="N120" s="1">
        <v>0</v>
      </c>
      <c r="O120" s="1">
        <v>0</v>
      </c>
      <c r="P120" s="1">
        <v>0</v>
      </c>
      <c r="Q120" t="str">
        <f>INDEX(pARTNER[#All],MATCH(#REF!,pARTNER[[#All],[Value.partnerSummary.id]],0),10)</f>
        <v>Slovenija (SI)</v>
      </c>
      <c r="R120" t="str">
        <f>INDEX('Partner data'!$A$2:$DG$171,MATCH(#REF!,'Partner data'!$DG$2:$DG$171,0),83)</f>
        <v xml:space="preserve">Organismo di diritto pubblico </v>
      </c>
      <c r="S120" s="86" t="b">
        <f>IF(#REF!="staff",INDEX('Partner data'!$DG$2:$DH$171,MATCH(#REF!,'Partner data'!$DG$2:$DG$171,0),2))</f>
        <v>0</v>
      </c>
    </row>
    <row r="121" spans="1:19" x14ac:dyDescent="0.25">
      <c r="A121" s="1" t="s">
        <v>58</v>
      </c>
      <c r="B121" s="1" t="s">
        <v>33</v>
      </c>
      <c r="C121" s="13">
        <v>15</v>
      </c>
      <c r="D121" s="13">
        <v>264</v>
      </c>
      <c r="E121" s="1" t="s">
        <v>237</v>
      </c>
      <c r="F121" s="1"/>
      <c r="G121" s="1">
        <v>0</v>
      </c>
      <c r="H121" s="1">
        <v>0</v>
      </c>
      <c r="I121" s="1">
        <v>0</v>
      </c>
      <c r="J121" s="1">
        <v>0</v>
      </c>
      <c r="K121" s="1">
        <v>0</v>
      </c>
      <c r="L121" s="1">
        <v>0</v>
      </c>
      <c r="M121" s="1">
        <v>0</v>
      </c>
      <c r="N121" s="1">
        <v>0</v>
      </c>
      <c r="O121" s="1">
        <v>0</v>
      </c>
      <c r="P121" s="1">
        <v>0</v>
      </c>
      <c r="Q121" t="str">
        <f>INDEX(pARTNER[#All],MATCH(#REF!,pARTNER[[#All],[Value.partnerSummary.id]],0),10)</f>
        <v>Slovenija (SI)</v>
      </c>
      <c r="R121" t="str">
        <f>INDEX('Partner data'!$A$2:$DG$171,MATCH(#REF!,'Partner data'!$DG$2:$DG$171,0),83)</f>
        <v xml:space="preserve">Organismo di diritto pubblico </v>
      </c>
      <c r="S121" s="86" t="b">
        <f>IF(#REF!="staff",INDEX('Partner data'!$DG$2:$DH$171,MATCH(#REF!,'Partner data'!$DG$2:$DG$171,0),2))</f>
        <v>0</v>
      </c>
    </row>
    <row r="122" spans="1:19" x14ac:dyDescent="0.25">
      <c r="A122" s="1" t="s">
        <v>58</v>
      </c>
      <c r="B122" s="1" t="s">
        <v>33</v>
      </c>
      <c r="C122" s="13">
        <v>15</v>
      </c>
      <c r="D122" s="13">
        <v>264</v>
      </c>
      <c r="E122" s="1" t="s">
        <v>238</v>
      </c>
      <c r="F122" s="1"/>
      <c r="G122" s="1">
        <v>316504</v>
      </c>
      <c r="H122" s="1">
        <v>135282.13</v>
      </c>
      <c r="I122" s="1">
        <v>0</v>
      </c>
      <c r="J122" s="1">
        <v>18925.939999999999</v>
      </c>
      <c r="K122" s="1">
        <v>0</v>
      </c>
      <c r="L122" s="1">
        <v>18925.939999999999</v>
      </c>
      <c r="M122" s="1">
        <v>154208.07</v>
      </c>
      <c r="N122" s="1">
        <v>48.72</v>
      </c>
      <c r="O122" s="1">
        <v>162295.93</v>
      </c>
      <c r="P122" s="1">
        <v>135281.95000000001</v>
      </c>
      <c r="Q122" t="str">
        <f>INDEX(pARTNER[#All],MATCH(#REF!,pARTNER[[#All],[Value.partnerSummary.id]],0),10)</f>
        <v>Slovenija (SI)</v>
      </c>
      <c r="R122" t="str">
        <f>INDEX('Partner data'!$A$2:$DG$171,MATCH(#REF!,'Partner data'!$DG$2:$DG$171,0),83)</f>
        <v xml:space="preserve">Organismo di diritto pubblico </v>
      </c>
      <c r="S122" s="86" t="b">
        <f>IF(#REF!="staff",INDEX('Partner data'!$DG$2:$DH$171,MATCH(#REF!,'Partner data'!$DG$2:$DG$171,0),2))</f>
        <v>0</v>
      </c>
    </row>
    <row r="123" spans="1:19" x14ac:dyDescent="0.25">
      <c r="A123" s="1" t="s">
        <v>58</v>
      </c>
      <c r="B123" s="1" t="s">
        <v>33</v>
      </c>
      <c r="C123" s="13">
        <v>15</v>
      </c>
      <c r="D123" s="13">
        <v>55</v>
      </c>
      <c r="E123" s="1" t="s">
        <v>228</v>
      </c>
      <c r="F123" s="1"/>
      <c r="G123" s="1">
        <v>131600</v>
      </c>
      <c r="H123" s="1">
        <v>0</v>
      </c>
      <c r="I123" s="1">
        <v>0</v>
      </c>
      <c r="J123" s="1">
        <v>44909.36</v>
      </c>
      <c r="K123" s="1">
        <v>0</v>
      </c>
      <c r="L123" s="1">
        <v>44909.21</v>
      </c>
      <c r="M123" s="1">
        <v>44909.36</v>
      </c>
      <c r="N123" s="1">
        <v>34.130000000000003</v>
      </c>
      <c r="O123" s="1">
        <v>86690.64</v>
      </c>
      <c r="P123" s="1">
        <v>0</v>
      </c>
      <c r="Q123" t="str">
        <f>INDEX(pARTNER[#All],MATCH(#REF!,pARTNER[[#All],[Value.partnerSummary.id]],0),10)</f>
        <v>Slovenija (SI)</v>
      </c>
      <c r="R123" t="str">
        <f>INDEX('Partner data'!$A$2:$DG$171,MATCH(#REF!,'Partner data'!$DG$2:$DG$171,0),83)</f>
        <v xml:space="preserve">Organismo di diritto pubblico </v>
      </c>
      <c r="S123" s="86" t="str">
        <f>IF(#REF!="staff",INDEX('Partner data'!$DG$2:$DH$171,MATCH(#REF!,'Partner data'!$DG$2:$DG$171,0),2))</f>
        <v>COSTO REALE</v>
      </c>
    </row>
    <row r="124" spans="1:19" x14ac:dyDescent="0.25">
      <c r="A124" s="1" t="s">
        <v>58</v>
      </c>
      <c r="B124" s="1" t="s">
        <v>33</v>
      </c>
      <c r="C124" s="13">
        <v>15</v>
      </c>
      <c r="D124" s="13">
        <v>55</v>
      </c>
      <c r="E124" s="1" t="s">
        <v>229</v>
      </c>
      <c r="F124" s="1">
        <v>15</v>
      </c>
      <c r="G124" s="1">
        <v>19740</v>
      </c>
      <c r="H124" s="1">
        <v>0</v>
      </c>
      <c r="I124" s="1">
        <v>0</v>
      </c>
      <c r="J124" s="1">
        <v>6736.4</v>
      </c>
      <c r="K124" s="1">
        <v>0</v>
      </c>
      <c r="L124" s="1">
        <v>6736.38</v>
      </c>
      <c r="M124" s="1">
        <v>6736.4</v>
      </c>
      <c r="N124" s="1">
        <v>34.130000000000003</v>
      </c>
      <c r="O124" s="1">
        <v>13003.6</v>
      </c>
      <c r="P124" s="1">
        <v>0</v>
      </c>
      <c r="Q124" t="str">
        <f>INDEX(pARTNER[#All],MATCH(#REF!,pARTNER[[#All],[Value.partnerSummary.id]],0),10)</f>
        <v>Slovenija (SI)</v>
      </c>
      <c r="R124" t="str">
        <f>INDEX('Partner data'!$A$2:$DG$171,MATCH(#REF!,'Partner data'!$DG$2:$DG$171,0),83)</f>
        <v xml:space="preserve">Organismo di diritto pubblico </v>
      </c>
      <c r="S124" s="86" t="b">
        <f>IF(#REF!="staff",INDEX('Partner data'!$DG$2:$DH$171,MATCH(#REF!,'Partner data'!$DG$2:$DG$171,0),2))</f>
        <v>0</v>
      </c>
    </row>
    <row r="125" spans="1:19" x14ac:dyDescent="0.25">
      <c r="A125" s="1" t="s">
        <v>58</v>
      </c>
      <c r="B125" s="1" t="s">
        <v>33</v>
      </c>
      <c r="C125" s="13">
        <v>15</v>
      </c>
      <c r="D125" s="13">
        <v>55</v>
      </c>
      <c r="E125" s="1" t="s">
        <v>230</v>
      </c>
      <c r="F125" s="1">
        <v>4</v>
      </c>
      <c r="G125" s="1">
        <v>5264</v>
      </c>
      <c r="H125" s="1">
        <v>0</v>
      </c>
      <c r="I125" s="1">
        <v>0</v>
      </c>
      <c r="J125" s="1">
        <v>1796.37</v>
      </c>
      <c r="K125" s="1">
        <v>0</v>
      </c>
      <c r="L125" s="1">
        <v>1796.36</v>
      </c>
      <c r="M125" s="1">
        <v>1796.37</v>
      </c>
      <c r="N125" s="1">
        <v>34.130000000000003</v>
      </c>
      <c r="O125" s="1">
        <v>3467.63</v>
      </c>
      <c r="P125" s="1">
        <v>0</v>
      </c>
      <c r="Q125" t="str">
        <f>INDEX(pARTNER[#All],MATCH(#REF!,pARTNER[[#All],[Value.partnerSummary.id]],0),10)</f>
        <v>Slovenija (SI)</v>
      </c>
      <c r="R125" t="str">
        <f>INDEX('Partner data'!$A$2:$DG$171,MATCH(#REF!,'Partner data'!$DG$2:$DG$171,0),83)</f>
        <v xml:space="preserve">Organismo di diritto pubblico </v>
      </c>
      <c r="S125" s="86" t="b">
        <f>IF(#REF!="staff",INDEX('Partner data'!$DG$2:$DH$171,MATCH(#REF!,'Partner data'!$DG$2:$DG$171,0),2))</f>
        <v>0</v>
      </c>
    </row>
    <row r="126" spans="1:19" x14ac:dyDescent="0.25">
      <c r="A126" s="1" t="s">
        <v>58</v>
      </c>
      <c r="B126" s="1" t="s">
        <v>33</v>
      </c>
      <c r="C126" s="13">
        <v>15</v>
      </c>
      <c r="D126" s="13">
        <v>55</v>
      </c>
      <c r="E126" s="1" t="s">
        <v>231</v>
      </c>
      <c r="F126" s="1"/>
      <c r="G126" s="1">
        <v>158900</v>
      </c>
      <c r="H126" s="1">
        <v>0</v>
      </c>
      <c r="I126" s="1">
        <v>0</v>
      </c>
      <c r="J126" s="1">
        <v>81550.64</v>
      </c>
      <c r="K126" s="1">
        <v>0</v>
      </c>
      <c r="L126" s="1">
        <v>81550.64</v>
      </c>
      <c r="M126" s="1">
        <v>81550.64</v>
      </c>
      <c r="N126" s="1">
        <v>51.32</v>
      </c>
      <c r="O126" s="1">
        <v>77349.36</v>
      </c>
      <c r="P126" s="1">
        <v>0</v>
      </c>
      <c r="Q126" t="str">
        <f>INDEX(pARTNER[#All],MATCH(#REF!,pARTNER[[#All],[Value.partnerSummary.id]],0),10)</f>
        <v>Slovenija (SI)</v>
      </c>
      <c r="R126" t="str">
        <f>INDEX('Partner data'!$A$2:$DG$171,MATCH(#REF!,'Partner data'!$DG$2:$DG$171,0),83)</f>
        <v xml:space="preserve">Organismo di diritto pubblico </v>
      </c>
      <c r="S126" s="86" t="b">
        <f>IF(#REF!="staff",INDEX('Partner data'!$DG$2:$DH$171,MATCH(#REF!,'Partner data'!$DG$2:$DG$171,0),2))</f>
        <v>0</v>
      </c>
    </row>
    <row r="127" spans="1:19" x14ac:dyDescent="0.25">
      <c r="A127" s="1" t="s">
        <v>58</v>
      </c>
      <c r="B127" s="1" t="s">
        <v>33</v>
      </c>
      <c r="C127" s="13">
        <v>15</v>
      </c>
      <c r="D127" s="13">
        <v>55</v>
      </c>
      <c r="E127" s="1" t="s">
        <v>232</v>
      </c>
      <c r="F127" s="1"/>
      <c r="G127" s="1">
        <v>1000</v>
      </c>
      <c r="H127" s="1">
        <v>0</v>
      </c>
      <c r="I127" s="1">
        <v>0</v>
      </c>
      <c r="J127" s="1">
        <v>289.36</v>
      </c>
      <c r="K127" s="1">
        <v>0</v>
      </c>
      <c r="L127" s="1">
        <v>289.36</v>
      </c>
      <c r="M127" s="1">
        <v>289.36</v>
      </c>
      <c r="N127" s="1">
        <v>28.94</v>
      </c>
      <c r="O127" s="1">
        <v>710.64</v>
      </c>
      <c r="P127" s="1">
        <v>0</v>
      </c>
      <c r="Q127" t="str">
        <f>INDEX(pARTNER[#All],MATCH(#REF!,pARTNER[[#All],[Value.partnerSummary.id]],0),10)</f>
        <v>Slovenija (SI)</v>
      </c>
      <c r="R127" t="str">
        <f>INDEX('Partner data'!$A$2:$DG$171,MATCH(#REF!,'Partner data'!$DG$2:$DG$171,0),83)</f>
        <v xml:space="preserve">Organismo di diritto pubblico </v>
      </c>
      <c r="S127" s="86" t="b">
        <f>IF(#REF!="staff",INDEX('Partner data'!$DG$2:$DH$171,MATCH(#REF!,'Partner data'!$DG$2:$DG$171,0),2))</f>
        <v>0</v>
      </c>
    </row>
    <row r="128" spans="1:19" x14ac:dyDescent="0.25">
      <c r="A128" s="1" t="s">
        <v>58</v>
      </c>
      <c r="B128" s="1" t="s">
        <v>33</v>
      </c>
      <c r="C128" s="13">
        <v>15</v>
      </c>
      <c r="D128" s="13">
        <v>55</v>
      </c>
      <c r="E128" s="1" t="s">
        <v>233</v>
      </c>
      <c r="F128" s="1"/>
      <c r="G128" s="1">
        <v>0</v>
      </c>
      <c r="H128" s="1">
        <v>0</v>
      </c>
      <c r="I128" s="1">
        <v>0</v>
      </c>
      <c r="J128" s="1">
        <v>0</v>
      </c>
      <c r="K128" s="1">
        <v>0</v>
      </c>
      <c r="L128" s="1">
        <v>0</v>
      </c>
      <c r="M128" s="1">
        <v>0</v>
      </c>
      <c r="N128" s="1">
        <v>0</v>
      </c>
      <c r="O128" s="1">
        <v>0</v>
      </c>
      <c r="P128" s="1">
        <v>0</v>
      </c>
      <c r="Q128" t="str">
        <f>INDEX(pARTNER[#All],MATCH(#REF!,pARTNER[[#All],[Value.partnerSummary.id]],0),10)</f>
        <v>Slovenija (SI)</v>
      </c>
      <c r="R128" t="str">
        <f>INDEX('Partner data'!$A$2:$DG$171,MATCH(#REF!,'Partner data'!$DG$2:$DG$171,0),83)</f>
        <v xml:space="preserve">Organismo di diritto pubblico </v>
      </c>
      <c r="S128" s="86" t="b">
        <f>IF(#REF!="staff",INDEX('Partner data'!$DG$2:$DH$171,MATCH(#REF!,'Partner data'!$DG$2:$DG$171,0),2))</f>
        <v>0</v>
      </c>
    </row>
    <row r="129" spans="1:19" x14ac:dyDescent="0.25">
      <c r="A129" s="1" t="s">
        <v>58</v>
      </c>
      <c r="B129" s="1" t="s">
        <v>33</v>
      </c>
      <c r="C129" s="13">
        <v>15</v>
      </c>
      <c r="D129" s="13">
        <v>55</v>
      </c>
      <c r="E129" s="1" t="s">
        <v>234</v>
      </c>
      <c r="F129" s="1"/>
      <c r="G129" s="1">
        <v>0</v>
      </c>
      <c r="H129" s="1">
        <v>0</v>
      </c>
      <c r="I129" s="1">
        <v>0</v>
      </c>
      <c r="J129" s="1">
        <v>0</v>
      </c>
      <c r="K129" s="1">
        <v>0</v>
      </c>
      <c r="L129" s="1">
        <v>0</v>
      </c>
      <c r="M129" s="1">
        <v>0</v>
      </c>
      <c r="N129" s="1">
        <v>0</v>
      </c>
      <c r="O129" s="1">
        <v>0</v>
      </c>
      <c r="P129" s="1">
        <v>0</v>
      </c>
      <c r="Q129" t="str">
        <f>INDEX(pARTNER[#All],MATCH(#REF!,pARTNER[[#All],[Value.partnerSummary.id]],0),10)</f>
        <v>Slovenija (SI)</v>
      </c>
      <c r="R129" t="str">
        <f>INDEX('Partner data'!$A$2:$DG$171,MATCH(#REF!,'Partner data'!$DG$2:$DG$171,0),83)</f>
        <v xml:space="preserve">Organismo di diritto pubblico </v>
      </c>
      <c r="S129" s="86" t="b">
        <f>IF(#REF!="staff",INDEX('Partner data'!$DG$2:$DH$171,MATCH(#REF!,'Partner data'!$DG$2:$DG$171,0),2))</f>
        <v>0</v>
      </c>
    </row>
    <row r="130" spans="1:19" x14ac:dyDescent="0.25">
      <c r="A130" s="1" t="s">
        <v>58</v>
      </c>
      <c r="B130" s="1" t="s">
        <v>33</v>
      </c>
      <c r="C130" s="13">
        <v>15</v>
      </c>
      <c r="D130" s="13">
        <v>55</v>
      </c>
      <c r="E130" s="1" t="s">
        <v>235</v>
      </c>
      <c r="F130" s="1"/>
      <c r="G130" s="1">
        <v>0</v>
      </c>
      <c r="H130" s="1">
        <v>0</v>
      </c>
      <c r="I130" s="1">
        <v>0</v>
      </c>
      <c r="J130" s="1">
        <v>0</v>
      </c>
      <c r="K130" s="1">
        <v>0</v>
      </c>
      <c r="L130" s="1">
        <v>0</v>
      </c>
      <c r="M130" s="1">
        <v>0</v>
      </c>
      <c r="N130" s="1">
        <v>0</v>
      </c>
      <c r="O130" s="1">
        <v>0</v>
      </c>
      <c r="P130" s="1">
        <v>0</v>
      </c>
      <c r="Q130" t="str">
        <f>INDEX(pARTNER[#All],MATCH(#REF!,pARTNER[[#All],[Value.partnerSummary.id]],0),10)</f>
        <v>Slovenija (SI)</v>
      </c>
      <c r="R130" t="str">
        <f>INDEX('Partner data'!$A$2:$DG$171,MATCH(#REF!,'Partner data'!$DG$2:$DG$171,0),83)</f>
        <v xml:space="preserve">Organismo di diritto pubblico </v>
      </c>
      <c r="S130" s="86" t="b">
        <f>IF(#REF!="staff",INDEX('Partner data'!$DG$2:$DH$171,MATCH(#REF!,'Partner data'!$DG$2:$DG$171,0),2))</f>
        <v>0</v>
      </c>
    </row>
    <row r="131" spans="1:19" x14ac:dyDescent="0.25">
      <c r="A131" s="1" t="s">
        <v>58</v>
      </c>
      <c r="B131" s="1" t="s">
        <v>33</v>
      </c>
      <c r="C131" s="13">
        <v>15</v>
      </c>
      <c r="D131" s="13">
        <v>55</v>
      </c>
      <c r="E131" s="1" t="s">
        <v>236</v>
      </c>
      <c r="F131" s="1"/>
      <c r="G131" s="1">
        <v>0</v>
      </c>
      <c r="H131" s="1">
        <v>0</v>
      </c>
      <c r="I131" s="1">
        <v>0</v>
      </c>
      <c r="J131" s="1">
        <v>0</v>
      </c>
      <c r="K131" s="1">
        <v>0</v>
      </c>
      <c r="L131" s="1">
        <v>0</v>
      </c>
      <c r="M131" s="1">
        <v>0</v>
      </c>
      <c r="N131" s="1">
        <v>0</v>
      </c>
      <c r="O131" s="1">
        <v>0</v>
      </c>
      <c r="P131" s="1">
        <v>0</v>
      </c>
      <c r="Q131" t="str">
        <f>INDEX(pARTNER[#All],MATCH(#REF!,pARTNER[[#All],[Value.partnerSummary.id]],0),10)</f>
        <v>Slovenija (SI)</v>
      </c>
      <c r="R131" t="str">
        <f>INDEX('Partner data'!$A$2:$DG$171,MATCH(#REF!,'Partner data'!$DG$2:$DG$171,0),83)</f>
        <v xml:space="preserve">Organismo di diritto pubblico </v>
      </c>
      <c r="S131" s="86" t="b">
        <f>IF(#REF!="staff",INDEX('Partner data'!$DG$2:$DH$171,MATCH(#REF!,'Partner data'!$DG$2:$DG$171,0),2))</f>
        <v>0</v>
      </c>
    </row>
    <row r="132" spans="1:19" x14ac:dyDescent="0.25">
      <c r="A132" s="1" t="s">
        <v>58</v>
      </c>
      <c r="B132" s="1" t="s">
        <v>33</v>
      </c>
      <c r="C132" s="13">
        <v>15</v>
      </c>
      <c r="D132" s="13">
        <v>55</v>
      </c>
      <c r="E132" s="1" t="s">
        <v>237</v>
      </c>
      <c r="F132" s="1"/>
      <c r="G132" s="1">
        <v>0</v>
      </c>
      <c r="H132" s="1">
        <v>0</v>
      </c>
      <c r="I132" s="1">
        <v>0</v>
      </c>
      <c r="J132" s="1">
        <v>0</v>
      </c>
      <c r="K132" s="1">
        <v>0</v>
      </c>
      <c r="L132" s="1">
        <v>0</v>
      </c>
      <c r="M132" s="1">
        <v>0</v>
      </c>
      <c r="N132" s="1">
        <v>0</v>
      </c>
      <c r="O132" s="1">
        <v>0</v>
      </c>
      <c r="P132" s="1">
        <v>0</v>
      </c>
      <c r="Q132" t="str">
        <f>INDEX(pARTNER[#All],MATCH(#REF!,pARTNER[[#All],[Value.partnerSummary.id]],0),10)</f>
        <v>Slovenija (SI)</v>
      </c>
      <c r="R132" t="str">
        <f>INDEX('Partner data'!$A$2:$DG$171,MATCH(#REF!,'Partner data'!$DG$2:$DG$171,0),83)</f>
        <v xml:space="preserve">Organismo di diritto pubblico </v>
      </c>
      <c r="S132" s="86" t="b">
        <f>IF(#REF!="staff",INDEX('Partner data'!$DG$2:$DH$171,MATCH(#REF!,'Partner data'!$DG$2:$DG$171,0),2))</f>
        <v>0</v>
      </c>
    </row>
    <row r="133" spans="1:19" x14ac:dyDescent="0.25">
      <c r="A133" s="1" t="s">
        <v>58</v>
      </c>
      <c r="B133" s="1" t="s">
        <v>33</v>
      </c>
      <c r="C133" s="13">
        <v>15</v>
      </c>
      <c r="D133" s="13">
        <v>55</v>
      </c>
      <c r="E133" s="1" t="s">
        <v>238</v>
      </c>
      <c r="F133" s="1"/>
      <c r="G133" s="1">
        <v>316504</v>
      </c>
      <c r="H133" s="1">
        <v>0</v>
      </c>
      <c r="I133" s="1">
        <v>0</v>
      </c>
      <c r="J133" s="1">
        <v>135282.13</v>
      </c>
      <c r="K133" s="1">
        <v>0</v>
      </c>
      <c r="L133" s="1">
        <v>135281.95000000001</v>
      </c>
      <c r="M133" s="1">
        <v>135282.13</v>
      </c>
      <c r="N133" s="1">
        <v>42.74</v>
      </c>
      <c r="O133" s="1">
        <v>181221.87</v>
      </c>
      <c r="P133" s="1">
        <v>0</v>
      </c>
      <c r="Q133" t="str">
        <f>INDEX(pARTNER[#All],MATCH(#REF!,pARTNER[[#All],[Value.partnerSummary.id]],0),10)</f>
        <v>Slovenija (SI)</v>
      </c>
      <c r="R133" t="str">
        <f>INDEX('Partner data'!$A$2:$DG$171,MATCH(#REF!,'Partner data'!$DG$2:$DG$171,0),83)</f>
        <v xml:space="preserve">Organismo di diritto pubblico </v>
      </c>
      <c r="S133" s="86" t="b">
        <f>IF(#REF!="staff",INDEX('Partner data'!$DG$2:$DH$171,MATCH(#REF!,'Partner data'!$DG$2:$DG$171,0),2))</f>
        <v>0</v>
      </c>
    </row>
    <row r="134" spans="1:19" x14ac:dyDescent="0.25">
      <c r="A134" s="1" t="s">
        <v>58</v>
      </c>
      <c r="B134" s="1" t="s">
        <v>30</v>
      </c>
      <c r="C134" s="13">
        <v>12</v>
      </c>
      <c r="D134" s="13">
        <v>222</v>
      </c>
      <c r="E134" s="1" t="s">
        <v>228</v>
      </c>
      <c r="F134" s="1"/>
      <c r="G134" s="1">
        <v>105057</v>
      </c>
      <c r="H134" s="1">
        <v>26406</v>
      </c>
      <c r="I134" s="1">
        <v>0</v>
      </c>
      <c r="J134" s="1">
        <v>13581</v>
      </c>
      <c r="K134" s="1">
        <v>0</v>
      </c>
      <c r="L134" s="1">
        <v>13581</v>
      </c>
      <c r="M134" s="1">
        <v>39987</v>
      </c>
      <c r="N134" s="1">
        <v>38.06</v>
      </c>
      <c r="O134" s="1">
        <v>65070</v>
      </c>
      <c r="P134" s="1">
        <v>26406</v>
      </c>
      <c r="Q134" t="str">
        <f>INDEX(pARTNER[#All],MATCH(#REF!,pARTNER[[#All],[Value.partnerSummary.id]],0),10)</f>
        <v>Italia (IT)</v>
      </c>
      <c r="R134" t="str">
        <f>INDEX('Partner data'!$A$2:$DG$171,MATCH(#REF!,'Partner data'!$DG$2:$DG$171,0),83)</f>
        <v xml:space="preserve">Organismo di diritto pubblico </v>
      </c>
      <c r="S134" s="86" t="str">
        <f>IF(#REF!="staff",INDEX('Partner data'!$DG$2:$DH$171,MATCH(#REF!,'Partner data'!$DG$2:$DG$171,0),2))</f>
        <v>Costo Unitario Standard</v>
      </c>
    </row>
    <row r="135" spans="1:19" x14ac:dyDescent="0.25">
      <c r="A135" s="1" t="s">
        <v>58</v>
      </c>
      <c r="B135" s="1" t="s">
        <v>30</v>
      </c>
      <c r="C135" s="13">
        <v>12</v>
      </c>
      <c r="D135" s="13">
        <v>222</v>
      </c>
      <c r="E135" s="1" t="s">
        <v>229</v>
      </c>
      <c r="F135" s="1">
        <v>15</v>
      </c>
      <c r="G135" s="1">
        <v>15758.55</v>
      </c>
      <c r="H135" s="1">
        <v>3960.9</v>
      </c>
      <c r="I135" s="1">
        <v>0</v>
      </c>
      <c r="J135" s="1">
        <v>2037.15</v>
      </c>
      <c r="K135" s="1">
        <v>0</v>
      </c>
      <c r="L135" s="1">
        <v>2037.15</v>
      </c>
      <c r="M135" s="1">
        <v>5998.05</v>
      </c>
      <c r="N135" s="1">
        <v>38.06</v>
      </c>
      <c r="O135" s="1">
        <v>9760.5</v>
      </c>
      <c r="P135" s="1">
        <v>3960.9</v>
      </c>
      <c r="Q135" t="str">
        <f>INDEX(pARTNER[#All],MATCH(#REF!,pARTNER[[#All],[Value.partnerSummary.id]],0),10)</f>
        <v>Italia (IT)</v>
      </c>
      <c r="R135" t="str">
        <f>INDEX('Partner data'!$A$2:$DG$171,MATCH(#REF!,'Partner data'!$DG$2:$DG$171,0),83)</f>
        <v xml:space="preserve">Organismo di diritto pubblico </v>
      </c>
      <c r="S135" s="86" t="b">
        <f>IF(#REF!="staff",INDEX('Partner data'!$DG$2:$DH$171,MATCH(#REF!,'Partner data'!$DG$2:$DG$171,0),2))</f>
        <v>0</v>
      </c>
    </row>
    <row r="136" spans="1:19" x14ac:dyDescent="0.25">
      <c r="A136" s="1" t="s">
        <v>58</v>
      </c>
      <c r="B136" s="1" t="s">
        <v>30</v>
      </c>
      <c r="C136" s="13">
        <v>12</v>
      </c>
      <c r="D136" s="13">
        <v>222</v>
      </c>
      <c r="E136" s="1" t="s">
        <v>230</v>
      </c>
      <c r="F136" s="1">
        <v>4</v>
      </c>
      <c r="G136" s="1">
        <v>4202.28</v>
      </c>
      <c r="H136" s="1">
        <v>1056.24</v>
      </c>
      <c r="I136" s="1">
        <v>0</v>
      </c>
      <c r="J136" s="1">
        <v>543.24</v>
      </c>
      <c r="K136" s="1">
        <v>0</v>
      </c>
      <c r="L136" s="1">
        <v>543.24</v>
      </c>
      <c r="M136" s="1">
        <v>1599.48</v>
      </c>
      <c r="N136" s="1">
        <v>38.06</v>
      </c>
      <c r="O136" s="1">
        <v>2602.8000000000002</v>
      </c>
      <c r="P136" s="1">
        <v>1056.24</v>
      </c>
      <c r="Q136" t="str">
        <f>INDEX(pARTNER[#All],MATCH(#REF!,pARTNER[[#All],[Value.partnerSummary.id]],0),10)</f>
        <v>Italia (IT)</v>
      </c>
      <c r="R136" t="str">
        <f>INDEX('Partner data'!$A$2:$DG$171,MATCH(#REF!,'Partner data'!$DG$2:$DG$171,0),83)</f>
        <v xml:space="preserve">Organismo di diritto pubblico </v>
      </c>
      <c r="S136" s="86" t="b">
        <f>IF(#REF!="staff",INDEX('Partner data'!$DG$2:$DH$171,MATCH(#REF!,'Partner data'!$DG$2:$DG$171,0),2))</f>
        <v>0</v>
      </c>
    </row>
    <row r="137" spans="1:19" x14ac:dyDescent="0.25">
      <c r="A137" s="1" t="s">
        <v>58</v>
      </c>
      <c r="B137" s="1" t="s">
        <v>30</v>
      </c>
      <c r="C137" s="13">
        <v>12</v>
      </c>
      <c r="D137" s="13">
        <v>222</v>
      </c>
      <c r="E137" s="1" t="s">
        <v>231</v>
      </c>
      <c r="F137" s="1"/>
      <c r="G137" s="1">
        <v>809982.17</v>
      </c>
      <c r="H137" s="1">
        <v>6833.2</v>
      </c>
      <c r="I137" s="1">
        <v>0</v>
      </c>
      <c r="J137" s="1">
        <v>11860.9</v>
      </c>
      <c r="K137" s="1">
        <v>0</v>
      </c>
      <c r="L137" s="1">
        <v>11860.9</v>
      </c>
      <c r="M137" s="1">
        <v>18694.099999999999</v>
      </c>
      <c r="N137" s="1">
        <v>2.31</v>
      </c>
      <c r="O137" s="1">
        <v>791288.07</v>
      </c>
      <c r="P137" s="1">
        <v>6833.2</v>
      </c>
      <c r="Q137" t="str">
        <f>INDEX(pARTNER[#All],MATCH(#REF!,pARTNER[[#All],[Value.partnerSummary.id]],0),10)</f>
        <v>Italia (IT)</v>
      </c>
      <c r="R137" t="str">
        <f>INDEX('Partner data'!$A$2:$DG$171,MATCH(#REF!,'Partner data'!$DG$2:$DG$171,0),83)</f>
        <v xml:space="preserve">Organismo di diritto pubblico </v>
      </c>
      <c r="S137" s="86" t="b">
        <f>IF(#REF!="staff",INDEX('Partner data'!$DG$2:$DH$171,MATCH(#REF!,'Partner data'!$DG$2:$DG$171,0),2))</f>
        <v>0</v>
      </c>
    </row>
    <row r="138" spans="1:19" x14ac:dyDescent="0.25">
      <c r="A138" s="1" t="s">
        <v>58</v>
      </c>
      <c r="B138" s="1" t="s">
        <v>30</v>
      </c>
      <c r="C138" s="13">
        <v>12</v>
      </c>
      <c r="D138" s="13">
        <v>222</v>
      </c>
      <c r="E138" s="1" t="s">
        <v>232</v>
      </c>
      <c r="F138" s="1"/>
      <c r="G138" s="1">
        <v>10000</v>
      </c>
      <c r="H138" s="1">
        <v>0</v>
      </c>
      <c r="I138" s="1">
        <v>0</v>
      </c>
      <c r="J138" s="1">
        <v>0</v>
      </c>
      <c r="K138" s="1">
        <v>0</v>
      </c>
      <c r="L138" s="1">
        <v>0</v>
      </c>
      <c r="M138" s="1">
        <v>0</v>
      </c>
      <c r="N138" s="1">
        <v>0</v>
      </c>
      <c r="O138" s="1">
        <v>10000</v>
      </c>
      <c r="P138" s="1">
        <v>0</v>
      </c>
      <c r="Q138" t="str">
        <f>INDEX(pARTNER[#All],MATCH(#REF!,pARTNER[[#All],[Value.partnerSummary.id]],0),10)</f>
        <v>Italia (IT)</v>
      </c>
      <c r="R138" t="str">
        <f>INDEX('Partner data'!$A$2:$DG$171,MATCH(#REF!,'Partner data'!$DG$2:$DG$171,0),83)</f>
        <v xml:space="preserve">Organismo di diritto pubblico </v>
      </c>
      <c r="S138" s="86" t="b">
        <f>IF(#REF!="staff",INDEX('Partner data'!$DG$2:$DH$171,MATCH(#REF!,'Partner data'!$DG$2:$DG$171,0),2))</f>
        <v>0</v>
      </c>
    </row>
    <row r="139" spans="1:19" x14ac:dyDescent="0.25">
      <c r="A139" s="1" t="s">
        <v>58</v>
      </c>
      <c r="B139" s="1" t="s">
        <v>30</v>
      </c>
      <c r="C139" s="13">
        <v>12</v>
      </c>
      <c r="D139" s="13">
        <v>222</v>
      </c>
      <c r="E139" s="1" t="s">
        <v>233</v>
      </c>
      <c r="F139" s="1"/>
      <c r="G139" s="1">
        <v>0</v>
      </c>
      <c r="H139" s="1">
        <v>0</v>
      </c>
      <c r="I139" s="1">
        <v>0</v>
      </c>
      <c r="J139" s="1">
        <v>0</v>
      </c>
      <c r="K139" s="1">
        <v>0</v>
      </c>
      <c r="L139" s="1">
        <v>0</v>
      </c>
      <c r="M139" s="1">
        <v>0</v>
      </c>
      <c r="N139" s="1">
        <v>0</v>
      </c>
      <c r="O139" s="1">
        <v>0</v>
      </c>
      <c r="P139" s="1">
        <v>0</v>
      </c>
      <c r="Q139" t="str">
        <f>INDEX(pARTNER[#All],MATCH(#REF!,pARTNER[[#All],[Value.partnerSummary.id]],0),10)</f>
        <v>Italia (IT)</v>
      </c>
      <c r="R139" t="str">
        <f>INDEX('Partner data'!$A$2:$DG$171,MATCH(#REF!,'Partner data'!$DG$2:$DG$171,0),83)</f>
        <v xml:space="preserve">Organismo di diritto pubblico </v>
      </c>
      <c r="S139" s="86" t="b">
        <f>IF(#REF!="staff",INDEX('Partner data'!$DG$2:$DH$171,MATCH(#REF!,'Partner data'!$DG$2:$DG$171,0),2))</f>
        <v>0</v>
      </c>
    </row>
    <row r="140" spans="1:19" x14ac:dyDescent="0.25">
      <c r="A140" s="1" t="s">
        <v>58</v>
      </c>
      <c r="B140" s="1" t="s">
        <v>30</v>
      </c>
      <c r="C140" s="13">
        <v>12</v>
      </c>
      <c r="D140" s="13">
        <v>222</v>
      </c>
      <c r="E140" s="1" t="s">
        <v>234</v>
      </c>
      <c r="F140" s="1"/>
      <c r="G140" s="1">
        <v>0</v>
      </c>
      <c r="H140" s="1">
        <v>0</v>
      </c>
      <c r="I140" s="1">
        <v>0</v>
      </c>
      <c r="J140" s="1">
        <v>0</v>
      </c>
      <c r="K140" s="1">
        <v>0</v>
      </c>
      <c r="L140" s="1">
        <v>0</v>
      </c>
      <c r="M140" s="1">
        <v>0</v>
      </c>
      <c r="N140" s="1">
        <v>0</v>
      </c>
      <c r="O140" s="1">
        <v>0</v>
      </c>
      <c r="P140" s="1">
        <v>0</v>
      </c>
      <c r="Q140" t="str">
        <f>INDEX(pARTNER[#All],MATCH(#REF!,pARTNER[[#All],[Value.partnerSummary.id]],0),10)</f>
        <v>Italia (IT)</v>
      </c>
      <c r="R140" t="str">
        <f>INDEX('Partner data'!$A$2:$DG$171,MATCH(#REF!,'Partner data'!$DG$2:$DG$171,0),83)</f>
        <v xml:space="preserve">Organismo di diritto pubblico </v>
      </c>
      <c r="S140" s="86" t="b">
        <f>IF(#REF!="staff",INDEX('Partner data'!$DG$2:$DH$171,MATCH(#REF!,'Partner data'!$DG$2:$DG$171,0),2))</f>
        <v>0</v>
      </c>
    </row>
    <row r="141" spans="1:19" x14ac:dyDescent="0.25">
      <c r="A141" s="1" t="s">
        <v>58</v>
      </c>
      <c r="B141" s="1" t="s">
        <v>30</v>
      </c>
      <c r="C141" s="13">
        <v>12</v>
      </c>
      <c r="D141" s="13">
        <v>222</v>
      </c>
      <c r="E141" s="1" t="s">
        <v>235</v>
      </c>
      <c r="F141" s="1"/>
      <c r="G141" s="1">
        <v>0</v>
      </c>
      <c r="H141" s="1">
        <v>0</v>
      </c>
      <c r="I141" s="1">
        <v>0</v>
      </c>
      <c r="J141" s="1">
        <v>0</v>
      </c>
      <c r="K141" s="1">
        <v>0</v>
      </c>
      <c r="L141" s="1">
        <v>0</v>
      </c>
      <c r="M141" s="1">
        <v>0</v>
      </c>
      <c r="N141" s="1">
        <v>0</v>
      </c>
      <c r="O141" s="1">
        <v>0</v>
      </c>
      <c r="P141" s="1">
        <v>0</v>
      </c>
      <c r="Q141" t="str">
        <f>INDEX(pARTNER[#All],MATCH(#REF!,pARTNER[[#All],[Value.partnerSummary.id]],0),10)</f>
        <v>Italia (IT)</v>
      </c>
      <c r="R141" t="str">
        <f>INDEX('Partner data'!$A$2:$DG$171,MATCH(#REF!,'Partner data'!$DG$2:$DG$171,0),83)</f>
        <v xml:space="preserve">Organismo di diritto pubblico </v>
      </c>
      <c r="S141" s="86" t="b">
        <f>IF(#REF!="staff",INDEX('Partner data'!$DG$2:$DH$171,MATCH(#REF!,'Partner data'!$DG$2:$DG$171,0),2))</f>
        <v>0</v>
      </c>
    </row>
    <row r="142" spans="1:19" x14ac:dyDescent="0.25">
      <c r="A142" s="1" t="s">
        <v>58</v>
      </c>
      <c r="B142" s="1" t="s">
        <v>30</v>
      </c>
      <c r="C142" s="13">
        <v>12</v>
      </c>
      <c r="D142" s="13">
        <v>222</v>
      </c>
      <c r="E142" s="1" t="s">
        <v>236</v>
      </c>
      <c r="F142" s="1"/>
      <c r="G142" s="1">
        <v>0</v>
      </c>
      <c r="H142" s="1">
        <v>0</v>
      </c>
      <c r="I142" s="1">
        <v>0</v>
      </c>
      <c r="J142" s="1">
        <v>0</v>
      </c>
      <c r="K142" s="1">
        <v>0</v>
      </c>
      <c r="L142" s="1">
        <v>0</v>
      </c>
      <c r="M142" s="1">
        <v>0</v>
      </c>
      <c r="N142" s="1">
        <v>0</v>
      </c>
      <c r="O142" s="1">
        <v>0</v>
      </c>
      <c r="P142" s="1">
        <v>0</v>
      </c>
      <c r="Q142" t="str">
        <f>INDEX(pARTNER[#All],MATCH(#REF!,pARTNER[[#All],[Value.partnerSummary.id]],0),10)</f>
        <v>Italia (IT)</v>
      </c>
      <c r="R142" t="str">
        <f>INDEX('Partner data'!$A$2:$DG$171,MATCH(#REF!,'Partner data'!$DG$2:$DG$171,0),83)</f>
        <v xml:space="preserve">Organismo di diritto pubblico </v>
      </c>
      <c r="S142" s="86" t="b">
        <f>IF(#REF!="staff",INDEX('Partner data'!$DG$2:$DH$171,MATCH(#REF!,'Partner data'!$DG$2:$DG$171,0),2))</f>
        <v>0</v>
      </c>
    </row>
    <row r="143" spans="1:19" x14ac:dyDescent="0.25">
      <c r="A143" s="1" t="s">
        <v>58</v>
      </c>
      <c r="B143" s="1" t="s">
        <v>30</v>
      </c>
      <c r="C143" s="13">
        <v>12</v>
      </c>
      <c r="D143" s="13">
        <v>222</v>
      </c>
      <c r="E143" s="1" t="s">
        <v>237</v>
      </c>
      <c r="F143" s="1"/>
      <c r="G143" s="1">
        <v>0</v>
      </c>
      <c r="H143" s="1">
        <v>0</v>
      </c>
      <c r="I143" s="1">
        <v>0</v>
      </c>
      <c r="J143" s="1">
        <v>0</v>
      </c>
      <c r="K143" s="1">
        <v>0</v>
      </c>
      <c r="L143" s="1">
        <v>0</v>
      </c>
      <c r="M143" s="1">
        <v>0</v>
      </c>
      <c r="N143" s="1">
        <v>0</v>
      </c>
      <c r="O143" s="1">
        <v>0</v>
      </c>
      <c r="P143" s="1">
        <v>0</v>
      </c>
      <c r="Q143" t="str">
        <f>INDEX(pARTNER[#All],MATCH(#REF!,pARTNER[[#All],[Value.partnerSummary.id]],0),10)</f>
        <v>Italia (IT)</v>
      </c>
      <c r="R143" t="str">
        <f>INDEX('Partner data'!$A$2:$DG$171,MATCH(#REF!,'Partner data'!$DG$2:$DG$171,0),83)</f>
        <v xml:space="preserve">Organismo di diritto pubblico </v>
      </c>
      <c r="S143" s="86" t="b">
        <f>IF(#REF!="staff",INDEX('Partner data'!$DG$2:$DH$171,MATCH(#REF!,'Partner data'!$DG$2:$DG$171,0),2))</f>
        <v>0</v>
      </c>
    </row>
    <row r="144" spans="1:19" x14ac:dyDescent="0.25">
      <c r="A144" s="1" t="s">
        <v>58</v>
      </c>
      <c r="B144" s="1" t="s">
        <v>30</v>
      </c>
      <c r="C144" s="13">
        <v>12</v>
      </c>
      <c r="D144" s="13">
        <v>222</v>
      </c>
      <c r="E144" s="1" t="s">
        <v>238</v>
      </c>
      <c r="F144" s="1"/>
      <c r="G144" s="1">
        <v>945000</v>
      </c>
      <c r="H144" s="1">
        <v>38256.339999999997</v>
      </c>
      <c r="I144" s="1">
        <v>0</v>
      </c>
      <c r="J144" s="1">
        <v>28022.29</v>
      </c>
      <c r="K144" s="1">
        <v>0</v>
      </c>
      <c r="L144" s="1">
        <v>28022.29</v>
      </c>
      <c r="M144" s="1">
        <v>66278.63</v>
      </c>
      <c r="N144" s="1">
        <v>7.01</v>
      </c>
      <c r="O144" s="1">
        <v>878721.37</v>
      </c>
      <c r="P144" s="1">
        <v>38256.339999999997</v>
      </c>
      <c r="Q144" t="str">
        <f>INDEX(pARTNER[#All],MATCH(#REF!,pARTNER[[#All],[Value.partnerSummary.id]],0),10)</f>
        <v>Italia (IT)</v>
      </c>
      <c r="R144" t="str">
        <f>INDEX('Partner data'!$A$2:$DG$171,MATCH(#REF!,'Partner data'!$DG$2:$DG$171,0),83)</f>
        <v xml:space="preserve">Organismo di diritto pubblico </v>
      </c>
      <c r="S144" s="86" t="b">
        <f>IF(#REF!="staff",INDEX('Partner data'!$DG$2:$DH$171,MATCH(#REF!,'Partner data'!$DG$2:$DG$171,0),2))</f>
        <v>0</v>
      </c>
    </row>
    <row r="145" spans="1:19" x14ac:dyDescent="0.25">
      <c r="A145" s="1" t="s">
        <v>58</v>
      </c>
      <c r="B145" s="1" t="s">
        <v>30</v>
      </c>
      <c r="C145" s="13">
        <v>12</v>
      </c>
      <c r="D145" s="13">
        <v>74</v>
      </c>
      <c r="E145" s="1" t="s">
        <v>228</v>
      </c>
      <c r="F145" s="1"/>
      <c r="G145" s="1">
        <v>105057</v>
      </c>
      <c r="H145" s="1">
        <v>0</v>
      </c>
      <c r="I145" s="1">
        <v>0</v>
      </c>
      <c r="J145" s="1">
        <v>26406</v>
      </c>
      <c r="K145" s="1">
        <v>0</v>
      </c>
      <c r="L145" s="1">
        <v>26406</v>
      </c>
      <c r="M145" s="1">
        <v>26406</v>
      </c>
      <c r="N145" s="1">
        <v>25.13</v>
      </c>
      <c r="O145" s="1">
        <v>78651</v>
      </c>
      <c r="P145" s="1">
        <v>0</v>
      </c>
      <c r="Q145" t="str">
        <f>INDEX(pARTNER[#All],MATCH(#REF!,pARTNER[[#All],[Value.partnerSummary.id]],0),10)</f>
        <v>Italia (IT)</v>
      </c>
      <c r="R145" t="str">
        <f>INDEX('Partner data'!$A$2:$DG$171,MATCH(#REF!,'Partner data'!$DG$2:$DG$171,0),83)</f>
        <v xml:space="preserve">Organismo di diritto pubblico </v>
      </c>
      <c r="S145" s="86" t="str">
        <f>IF(#REF!="staff",INDEX('Partner data'!$DG$2:$DH$171,MATCH(#REF!,'Partner data'!$DG$2:$DG$171,0),2))</f>
        <v>Costo Unitario Standard</v>
      </c>
    </row>
    <row r="146" spans="1:19" x14ac:dyDescent="0.25">
      <c r="A146" s="1" t="s">
        <v>58</v>
      </c>
      <c r="B146" s="1" t="s">
        <v>30</v>
      </c>
      <c r="C146" s="13">
        <v>12</v>
      </c>
      <c r="D146" s="13">
        <v>74</v>
      </c>
      <c r="E146" s="1" t="s">
        <v>229</v>
      </c>
      <c r="F146" s="1">
        <v>15</v>
      </c>
      <c r="G146" s="1">
        <v>15758.55</v>
      </c>
      <c r="H146" s="1">
        <v>0</v>
      </c>
      <c r="I146" s="1">
        <v>0</v>
      </c>
      <c r="J146" s="1">
        <v>3960.9</v>
      </c>
      <c r="K146" s="1">
        <v>0</v>
      </c>
      <c r="L146" s="1">
        <v>3960.9</v>
      </c>
      <c r="M146" s="1">
        <v>3960.9</v>
      </c>
      <c r="N146" s="1">
        <v>25.13</v>
      </c>
      <c r="O146" s="1">
        <v>11797.65</v>
      </c>
      <c r="P146" s="1">
        <v>0</v>
      </c>
      <c r="Q146" t="str">
        <f>INDEX(pARTNER[#All],MATCH(#REF!,pARTNER[[#All],[Value.partnerSummary.id]],0),10)</f>
        <v>Italia (IT)</v>
      </c>
      <c r="R146" t="str">
        <f>INDEX('Partner data'!$A$2:$DG$171,MATCH(#REF!,'Partner data'!$DG$2:$DG$171,0),83)</f>
        <v xml:space="preserve">Organismo di diritto pubblico </v>
      </c>
      <c r="S146" s="86" t="b">
        <f>IF(#REF!="staff",INDEX('Partner data'!$DG$2:$DH$171,MATCH(#REF!,'Partner data'!$DG$2:$DG$171,0),2))</f>
        <v>0</v>
      </c>
    </row>
    <row r="147" spans="1:19" x14ac:dyDescent="0.25">
      <c r="A147" s="1" t="s">
        <v>58</v>
      </c>
      <c r="B147" s="1" t="s">
        <v>30</v>
      </c>
      <c r="C147" s="13">
        <v>12</v>
      </c>
      <c r="D147" s="13">
        <v>74</v>
      </c>
      <c r="E147" s="1" t="s">
        <v>230</v>
      </c>
      <c r="F147" s="1">
        <v>4</v>
      </c>
      <c r="G147" s="1">
        <v>4202.28</v>
      </c>
      <c r="H147" s="1">
        <v>0</v>
      </c>
      <c r="I147" s="1">
        <v>0</v>
      </c>
      <c r="J147" s="1">
        <v>1056.24</v>
      </c>
      <c r="K147" s="1">
        <v>0</v>
      </c>
      <c r="L147" s="1">
        <v>1056.24</v>
      </c>
      <c r="M147" s="1">
        <v>1056.24</v>
      </c>
      <c r="N147" s="1">
        <v>25.13</v>
      </c>
      <c r="O147" s="1">
        <v>3146.04</v>
      </c>
      <c r="P147" s="1">
        <v>0</v>
      </c>
      <c r="Q147" t="str">
        <f>INDEX(pARTNER[#All],MATCH(#REF!,pARTNER[[#All],[Value.partnerSummary.id]],0),10)</f>
        <v>Italia (IT)</v>
      </c>
      <c r="R147" t="str">
        <f>INDEX('Partner data'!$A$2:$DG$171,MATCH(#REF!,'Partner data'!$DG$2:$DG$171,0),83)</f>
        <v xml:space="preserve">Organismo di diritto pubblico </v>
      </c>
      <c r="S147" s="86" t="b">
        <f>IF(#REF!="staff",INDEX('Partner data'!$DG$2:$DH$171,MATCH(#REF!,'Partner data'!$DG$2:$DG$171,0),2))</f>
        <v>0</v>
      </c>
    </row>
    <row r="148" spans="1:19" x14ac:dyDescent="0.25">
      <c r="A148" s="1" t="s">
        <v>58</v>
      </c>
      <c r="B148" s="1" t="s">
        <v>30</v>
      </c>
      <c r="C148" s="13">
        <v>12</v>
      </c>
      <c r="D148" s="13">
        <v>74</v>
      </c>
      <c r="E148" s="1" t="s">
        <v>231</v>
      </c>
      <c r="F148" s="1"/>
      <c r="G148" s="1">
        <v>809982.17</v>
      </c>
      <c r="H148" s="1">
        <v>0</v>
      </c>
      <c r="I148" s="1">
        <v>0</v>
      </c>
      <c r="J148" s="1">
        <v>6833.2</v>
      </c>
      <c r="K148" s="1">
        <v>0</v>
      </c>
      <c r="L148" s="1">
        <v>6833.2</v>
      </c>
      <c r="M148" s="1">
        <v>6833.2</v>
      </c>
      <c r="N148" s="1">
        <v>0.84</v>
      </c>
      <c r="O148" s="1">
        <v>803148.97</v>
      </c>
      <c r="P148" s="1">
        <v>0</v>
      </c>
      <c r="Q148" t="str">
        <f>INDEX(pARTNER[#All],MATCH(#REF!,pARTNER[[#All],[Value.partnerSummary.id]],0),10)</f>
        <v>Italia (IT)</v>
      </c>
      <c r="R148" t="str">
        <f>INDEX('Partner data'!$A$2:$DG$171,MATCH(#REF!,'Partner data'!$DG$2:$DG$171,0),83)</f>
        <v xml:space="preserve">Organismo di diritto pubblico </v>
      </c>
      <c r="S148" s="86" t="b">
        <f>IF(#REF!="staff",INDEX('Partner data'!$DG$2:$DH$171,MATCH(#REF!,'Partner data'!$DG$2:$DG$171,0),2))</f>
        <v>0</v>
      </c>
    </row>
    <row r="149" spans="1:19" x14ac:dyDescent="0.25">
      <c r="A149" s="1" t="s">
        <v>58</v>
      </c>
      <c r="B149" s="1" t="s">
        <v>30</v>
      </c>
      <c r="C149" s="13">
        <v>12</v>
      </c>
      <c r="D149" s="13">
        <v>74</v>
      </c>
      <c r="E149" s="1" t="s">
        <v>232</v>
      </c>
      <c r="F149" s="1"/>
      <c r="G149" s="1">
        <v>10000</v>
      </c>
      <c r="H149" s="1">
        <v>0</v>
      </c>
      <c r="I149" s="1">
        <v>0</v>
      </c>
      <c r="J149" s="1">
        <v>0</v>
      </c>
      <c r="K149" s="1">
        <v>0</v>
      </c>
      <c r="L149" s="1">
        <v>0</v>
      </c>
      <c r="M149" s="1">
        <v>0</v>
      </c>
      <c r="N149" s="1">
        <v>0</v>
      </c>
      <c r="O149" s="1">
        <v>10000</v>
      </c>
      <c r="P149" s="1">
        <v>0</v>
      </c>
      <c r="Q149" t="str">
        <f>INDEX(pARTNER[#All],MATCH(#REF!,pARTNER[[#All],[Value.partnerSummary.id]],0),10)</f>
        <v>Italia (IT)</v>
      </c>
      <c r="R149" t="str">
        <f>INDEX('Partner data'!$A$2:$DG$171,MATCH(#REF!,'Partner data'!$DG$2:$DG$171,0),83)</f>
        <v xml:space="preserve">Organismo di diritto pubblico </v>
      </c>
      <c r="S149" s="86" t="b">
        <f>IF(#REF!="staff",INDEX('Partner data'!$DG$2:$DH$171,MATCH(#REF!,'Partner data'!$DG$2:$DG$171,0),2))</f>
        <v>0</v>
      </c>
    </row>
    <row r="150" spans="1:19" x14ac:dyDescent="0.25">
      <c r="A150" s="1" t="s">
        <v>58</v>
      </c>
      <c r="B150" s="1" t="s">
        <v>30</v>
      </c>
      <c r="C150" s="13">
        <v>12</v>
      </c>
      <c r="D150" s="13">
        <v>74</v>
      </c>
      <c r="E150" s="1" t="s">
        <v>233</v>
      </c>
      <c r="F150" s="1"/>
      <c r="G150" s="1">
        <v>0</v>
      </c>
      <c r="H150" s="1">
        <v>0</v>
      </c>
      <c r="I150" s="1">
        <v>0</v>
      </c>
      <c r="J150" s="1">
        <v>0</v>
      </c>
      <c r="K150" s="1">
        <v>0</v>
      </c>
      <c r="L150" s="1">
        <v>0</v>
      </c>
      <c r="M150" s="1">
        <v>0</v>
      </c>
      <c r="N150" s="1">
        <v>0</v>
      </c>
      <c r="O150" s="1">
        <v>0</v>
      </c>
      <c r="P150" s="1">
        <v>0</v>
      </c>
      <c r="Q150" t="str">
        <f>INDEX(pARTNER[#All],MATCH(#REF!,pARTNER[[#All],[Value.partnerSummary.id]],0),10)</f>
        <v>Italia (IT)</v>
      </c>
      <c r="R150" t="str">
        <f>INDEX('Partner data'!$A$2:$DG$171,MATCH(#REF!,'Partner data'!$DG$2:$DG$171,0),83)</f>
        <v xml:space="preserve">Organismo di diritto pubblico </v>
      </c>
      <c r="S150" s="86" t="b">
        <f>IF(#REF!="staff",INDEX('Partner data'!$DG$2:$DH$171,MATCH(#REF!,'Partner data'!$DG$2:$DG$171,0),2))</f>
        <v>0</v>
      </c>
    </row>
    <row r="151" spans="1:19" x14ac:dyDescent="0.25">
      <c r="A151" s="1" t="s">
        <v>58</v>
      </c>
      <c r="B151" s="1" t="s">
        <v>30</v>
      </c>
      <c r="C151" s="13">
        <v>12</v>
      </c>
      <c r="D151" s="13">
        <v>74</v>
      </c>
      <c r="E151" s="1" t="s">
        <v>234</v>
      </c>
      <c r="F151" s="1"/>
      <c r="G151" s="1">
        <v>0</v>
      </c>
      <c r="H151" s="1">
        <v>0</v>
      </c>
      <c r="I151" s="1">
        <v>0</v>
      </c>
      <c r="J151" s="1">
        <v>0</v>
      </c>
      <c r="K151" s="1">
        <v>0</v>
      </c>
      <c r="L151" s="1">
        <v>0</v>
      </c>
      <c r="M151" s="1">
        <v>0</v>
      </c>
      <c r="N151" s="1">
        <v>0</v>
      </c>
      <c r="O151" s="1">
        <v>0</v>
      </c>
      <c r="P151" s="1">
        <v>0</v>
      </c>
      <c r="Q151" t="str">
        <f>INDEX(pARTNER[#All],MATCH(#REF!,pARTNER[[#All],[Value.partnerSummary.id]],0),10)</f>
        <v>Italia (IT)</v>
      </c>
      <c r="R151" t="str">
        <f>INDEX('Partner data'!$A$2:$DG$171,MATCH(#REF!,'Partner data'!$DG$2:$DG$171,0),83)</f>
        <v xml:space="preserve">Organismo di diritto pubblico </v>
      </c>
      <c r="S151" s="86" t="b">
        <f>IF(#REF!="staff",INDEX('Partner data'!$DG$2:$DH$171,MATCH(#REF!,'Partner data'!$DG$2:$DG$171,0),2))</f>
        <v>0</v>
      </c>
    </row>
    <row r="152" spans="1:19" x14ac:dyDescent="0.25">
      <c r="A152" s="1" t="s">
        <v>58</v>
      </c>
      <c r="B152" s="1" t="s">
        <v>30</v>
      </c>
      <c r="C152" s="13">
        <v>12</v>
      </c>
      <c r="D152" s="13">
        <v>74</v>
      </c>
      <c r="E152" s="1" t="s">
        <v>235</v>
      </c>
      <c r="F152" s="1"/>
      <c r="G152" s="1">
        <v>0</v>
      </c>
      <c r="H152" s="1">
        <v>0</v>
      </c>
      <c r="I152" s="1">
        <v>0</v>
      </c>
      <c r="J152" s="1">
        <v>0</v>
      </c>
      <c r="K152" s="1">
        <v>0</v>
      </c>
      <c r="L152" s="1">
        <v>0</v>
      </c>
      <c r="M152" s="1">
        <v>0</v>
      </c>
      <c r="N152" s="1">
        <v>0</v>
      </c>
      <c r="O152" s="1">
        <v>0</v>
      </c>
      <c r="P152" s="1">
        <v>0</v>
      </c>
      <c r="Q152" t="str">
        <f>INDEX(pARTNER[#All],MATCH(#REF!,pARTNER[[#All],[Value.partnerSummary.id]],0),10)</f>
        <v>Italia (IT)</v>
      </c>
      <c r="R152" t="str">
        <f>INDEX('Partner data'!$A$2:$DG$171,MATCH(#REF!,'Partner data'!$DG$2:$DG$171,0),83)</f>
        <v xml:space="preserve">Organismo di diritto pubblico </v>
      </c>
      <c r="S152" s="86" t="b">
        <f>IF(#REF!="staff",INDEX('Partner data'!$DG$2:$DH$171,MATCH(#REF!,'Partner data'!$DG$2:$DG$171,0),2))</f>
        <v>0</v>
      </c>
    </row>
    <row r="153" spans="1:19" x14ac:dyDescent="0.25">
      <c r="A153" s="1" t="s">
        <v>58</v>
      </c>
      <c r="B153" s="1" t="s">
        <v>30</v>
      </c>
      <c r="C153" s="13">
        <v>12</v>
      </c>
      <c r="D153" s="13">
        <v>74</v>
      </c>
      <c r="E153" s="1" t="s">
        <v>236</v>
      </c>
      <c r="F153" s="1"/>
      <c r="G153" s="1">
        <v>0</v>
      </c>
      <c r="H153" s="1">
        <v>0</v>
      </c>
      <c r="I153" s="1">
        <v>0</v>
      </c>
      <c r="J153" s="1">
        <v>0</v>
      </c>
      <c r="K153" s="1">
        <v>0</v>
      </c>
      <c r="L153" s="1">
        <v>0</v>
      </c>
      <c r="M153" s="1">
        <v>0</v>
      </c>
      <c r="N153" s="1">
        <v>0</v>
      </c>
      <c r="O153" s="1">
        <v>0</v>
      </c>
      <c r="P153" s="1">
        <v>0</v>
      </c>
      <c r="Q153" t="str">
        <f>INDEX(pARTNER[#All],MATCH(#REF!,pARTNER[[#All],[Value.partnerSummary.id]],0),10)</f>
        <v>Italia (IT)</v>
      </c>
      <c r="R153" t="str">
        <f>INDEX('Partner data'!$A$2:$DG$171,MATCH(#REF!,'Partner data'!$DG$2:$DG$171,0),83)</f>
        <v xml:space="preserve">Organismo di diritto pubblico </v>
      </c>
      <c r="S153" s="86" t="b">
        <f>IF(#REF!="staff",INDEX('Partner data'!$DG$2:$DH$171,MATCH(#REF!,'Partner data'!$DG$2:$DG$171,0),2))</f>
        <v>0</v>
      </c>
    </row>
    <row r="154" spans="1:19" x14ac:dyDescent="0.25">
      <c r="A154" s="1" t="s">
        <v>58</v>
      </c>
      <c r="B154" s="1" t="s">
        <v>30</v>
      </c>
      <c r="C154" s="13">
        <v>12</v>
      </c>
      <c r="D154" s="13">
        <v>74</v>
      </c>
      <c r="E154" s="1" t="s">
        <v>237</v>
      </c>
      <c r="F154" s="1"/>
      <c r="G154" s="1">
        <v>0</v>
      </c>
      <c r="H154" s="1">
        <v>0</v>
      </c>
      <c r="I154" s="1">
        <v>0</v>
      </c>
      <c r="J154" s="1">
        <v>0</v>
      </c>
      <c r="K154" s="1">
        <v>0</v>
      </c>
      <c r="L154" s="1">
        <v>0</v>
      </c>
      <c r="M154" s="1">
        <v>0</v>
      </c>
      <c r="N154" s="1">
        <v>0</v>
      </c>
      <c r="O154" s="1">
        <v>0</v>
      </c>
      <c r="P154" s="1">
        <v>0</v>
      </c>
      <c r="Q154" t="str">
        <f>INDEX(pARTNER[#All],MATCH(#REF!,pARTNER[[#All],[Value.partnerSummary.id]],0),10)</f>
        <v>Italia (IT)</v>
      </c>
      <c r="R154" t="str">
        <f>INDEX('Partner data'!$A$2:$DG$171,MATCH(#REF!,'Partner data'!$DG$2:$DG$171,0),83)</f>
        <v xml:space="preserve">Organismo di diritto pubblico </v>
      </c>
      <c r="S154" s="86" t="b">
        <f>IF(#REF!="staff",INDEX('Partner data'!$DG$2:$DH$171,MATCH(#REF!,'Partner data'!$DG$2:$DG$171,0),2))</f>
        <v>0</v>
      </c>
    </row>
    <row r="155" spans="1:19" x14ac:dyDescent="0.25">
      <c r="A155" s="1" t="s">
        <v>58</v>
      </c>
      <c r="B155" s="1" t="s">
        <v>30</v>
      </c>
      <c r="C155" s="13">
        <v>12</v>
      </c>
      <c r="D155" s="13">
        <v>74</v>
      </c>
      <c r="E155" s="1" t="s">
        <v>238</v>
      </c>
      <c r="F155" s="1"/>
      <c r="G155" s="1">
        <v>945000</v>
      </c>
      <c r="H155" s="1">
        <v>0</v>
      </c>
      <c r="I155" s="1">
        <v>0</v>
      </c>
      <c r="J155" s="1">
        <v>38256.339999999997</v>
      </c>
      <c r="K155" s="1">
        <v>0</v>
      </c>
      <c r="L155" s="1">
        <v>38256.339999999997</v>
      </c>
      <c r="M155" s="1">
        <v>38256.339999999997</v>
      </c>
      <c r="N155" s="1">
        <v>4.05</v>
      </c>
      <c r="O155" s="1">
        <v>906743.66</v>
      </c>
      <c r="P155" s="1">
        <v>0</v>
      </c>
      <c r="Q155" t="str">
        <f>INDEX(pARTNER[#All],MATCH(#REF!,pARTNER[[#All],[Value.partnerSummary.id]],0),10)</f>
        <v>Italia (IT)</v>
      </c>
      <c r="R155" t="str">
        <f>INDEX('Partner data'!$A$2:$DG$171,MATCH(#REF!,'Partner data'!$DG$2:$DG$171,0),83)</f>
        <v xml:space="preserve">Organismo di diritto pubblico </v>
      </c>
      <c r="S155" s="86" t="b">
        <f>IF(#REF!="staff",INDEX('Partner data'!$DG$2:$DH$171,MATCH(#REF!,'Partner data'!$DG$2:$DG$171,0),2))</f>
        <v>0</v>
      </c>
    </row>
    <row r="156" spans="1:19" x14ac:dyDescent="0.25">
      <c r="A156" s="1" t="s">
        <v>71</v>
      </c>
      <c r="B156" s="1" t="s">
        <v>301</v>
      </c>
      <c r="C156" s="13">
        <v>156</v>
      </c>
      <c r="D156" s="13">
        <v>169</v>
      </c>
      <c r="E156" s="1" t="s">
        <v>228</v>
      </c>
      <c r="F156" s="1"/>
      <c r="G156" s="1">
        <v>32004</v>
      </c>
      <c r="H156" s="1">
        <v>0</v>
      </c>
      <c r="I156" s="1">
        <v>0</v>
      </c>
      <c r="J156" s="1">
        <v>6080</v>
      </c>
      <c r="K156" s="1">
        <v>0</v>
      </c>
      <c r="L156" s="1">
        <v>0</v>
      </c>
      <c r="M156" s="1">
        <v>6080</v>
      </c>
      <c r="N156" s="1">
        <v>19</v>
      </c>
      <c r="O156" s="1">
        <v>25924</v>
      </c>
      <c r="P156" s="1">
        <v>0</v>
      </c>
      <c r="Q156" t="str">
        <f>INDEX(pARTNER[#All],MATCH(#REF!,pARTNER[[#All],[Value.partnerSummary.id]],0),10)</f>
        <v>Italia (IT)</v>
      </c>
      <c r="R156" t="str">
        <f>INDEX('Partner data'!$A$2:$DG$171,MATCH(#REF!,'Partner data'!$DG$2:$DG$171,0),83)</f>
        <v>Soggetto privato</v>
      </c>
      <c r="S156" s="86" t="str">
        <f>IF(#REF!="staff",INDEX('Partner data'!$DG$2:$DH$171,MATCH(#REF!,'Partner data'!$DG$2:$DG$171,0),2))</f>
        <v>Costo Unitario Standard</v>
      </c>
    </row>
    <row r="157" spans="1:19" x14ac:dyDescent="0.25">
      <c r="A157" s="1" t="s">
        <v>71</v>
      </c>
      <c r="B157" s="1" t="s">
        <v>301</v>
      </c>
      <c r="C157" s="13">
        <v>156</v>
      </c>
      <c r="D157" s="13">
        <v>169</v>
      </c>
      <c r="E157" s="1" t="s">
        <v>229</v>
      </c>
      <c r="F157" s="1">
        <v>15</v>
      </c>
      <c r="G157" s="1">
        <v>4800.6000000000004</v>
      </c>
      <c r="H157" s="1">
        <v>0</v>
      </c>
      <c r="I157" s="1">
        <v>0</v>
      </c>
      <c r="J157" s="1">
        <v>912</v>
      </c>
      <c r="K157" s="1">
        <v>0</v>
      </c>
      <c r="L157" s="1">
        <v>0</v>
      </c>
      <c r="M157" s="1">
        <v>912</v>
      </c>
      <c r="N157" s="1">
        <v>19</v>
      </c>
      <c r="O157" s="1">
        <v>3888.6</v>
      </c>
      <c r="P157" s="1">
        <v>0</v>
      </c>
      <c r="Q157" t="str">
        <f>INDEX(pARTNER[#All],MATCH(#REF!,pARTNER[[#All],[Value.partnerSummary.id]],0),10)</f>
        <v>Italia (IT)</v>
      </c>
      <c r="R157" t="str">
        <f>INDEX('Partner data'!$A$2:$DG$171,MATCH(#REF!,'Partner data'!$DG$2:$DG$171,0),83)</f>
        <v>Soggetto privato</v>
      </c>
      <c r="S157" s="86" t="b">
        <f>IF(#REF!="staff",INDEX('Partner data'!$DG$2:$DH$171,MATCH(#REF!,'Partner data'!$DG$2:$DG$171,0),2))</f>
        <v>0</v>
      </c>
    </row>
    <row r="158" spans="1:19" x14ac:dyDescent="0.25">
      <c r="A158" s="1" t="s">
        <v>71</v>
      </c>
      <c r="B158" s="1" t="s">
        <v>301</v>
      </c>
      <c r="C158" s="13">
        <v>156</v>
      </c>
      <c r="D158" s="13">
        <v>169</v>
      </c>
      <c r="E158" s="1" t="s">
        <v>230</v>
      </c>
      <c r="F158" s="1"/>
      <c r="G158" s="1">
        <v>0</v>
      </c>
      <c r="H158" s="1">
        <v>0</v>
      </c>
      <c r="I158" s="1">
        <v>0</v>
      </c>
      <c r="J158" s="1">
        <v>0</v>
      </c>
      <c r="K158" s="1">
        <v>0</v>
      </c>
      <c r="L158" s="1">
        <v>0</v>
      </c>
      <c r="M158" s="1">
        <v>0</v>
      </c>
      <c r="N158" s="1">
        <v>0</v>
      </c>
      <c r="O158" s="1">
        <v>0</v>
      </c>
      <c r="P158" s="1">
        <v>0</v>
      </c>
      <c r="Q158" t="str">
        <f>INDEX(pARTNER[#All],MATCH(#REF!,pARTNER[[#All],[Value.partnerSummary.id]],0),10)</f>
        <v>Italia (IT)</v>
      </c>
      <c r="R158" t="str">
        <f>INDEX('Partner data'!$A$2:$DG$171,MATCH(#REF!,'Partner data'!$DG$2:$DG$171,0),83)</f>
        <v>Soggetto privato</v>
      </c>
      <c r="S158" s="86" t="b">
        <f>IF(#REF!="staff",INDEX('Partner data'!$DG$2:$DH$171,MATCH(#REF!,'Partner data'!$DG$2:$DG$171,0),2))</f>
        <v>0</v>
      </c>
    </row>
    <row r="159" spans="1:19" x14ac:dyDescent="0.25">
      <c r="A159" s="1" t="s">
        <v>71</v>
      </c>
      <c r="B159" s="1" t="s">
        <v>301</v>
      </c>
      <c r="C159" s="13">
        <v>156</v>
      </c>
      <c r="D159" s="13">
        <v>169</v>
      </c>
      <c r="E159" s="1" t="s">
        <v>231</v>
      </c>
      <c r="F159" s="1"/>
      <c r="G159" s="1">
        <v>53000</v>
      </c>
      <c r="H159" s="1">
        <v>0</v>
      </c>
      <c r="I159" s="1">
        <v>0</v>
      </c>
      <c r="J159" s="1">
        <v>2474.9899999999998</v>
      </c>
      <c r="K159" s="1">
        <v>0</v>
      </c>
      <c r="L159" s="1">
        <v>0</v>
      </c>
      <c r="M159" s="1">
        <v>2474.9899999999998</v>
      </c>
      <c r="N159" s="1">
        <v>4.67</v>
      </c>
      <c r="O159" s="1">
        <v>50525.01</v>
      </c>
      <c r="P159" s="1">
        <v>0</v>
      </c>
      <c r="Q159" t="str">
        <f>INDEX(pARTNER[#All],MATCH(#REF!,pARTNER[[#All],[Value.partnerSummary.id]],0),10)</f>
        <v>Italia (IT)</v>
      </c>
      <c r="R159" t="str">
        <f>INDEX('Partner data'!$A$2:$DG$171,MATCH(#REF!,'Partner data'!$DG$2:$DG$171,0),83)</f>
        <v>Soggetto privato</v>
      </c>
      <c r="S159" s="86" t="b">
        <f>IF(#REF!="staff",INDEX('Partner data'!$DG$2:$DH$171,MATCH(#REF!,'Partner data'!$DG$2:$DG$171,0),2))</f>
        <v>0</v>
      </c>
    </row>
    <row r="160" spans="1:19" x14ac:dyDescent="0.25">
      <c r="A160" s="1" t="s">
        <v>71</v>
      </c>
      <c r="B160" s="1" t="s">
        <v>301</v>
      </c>
      <c r="C160" s="13">
        <v>156</v>
      </c>
      <c r="D160" s="13">
        <v>169</v>
      </c>
      <c r="E160" s="1" t="s">
        <v>232</v>
      </c>
      <c r="F160" s="1"/>
      <c r="G160" s="1">
        <v>0</v>
      </c>
      <c r="H160" s="1">
        <v>0</v>
      </c>
      <c r="I160" s="1">
        <v>0</v>
      </c>
      <c r="J160" s="1">
        <v>0</v>
      </c>
      <c r="K160" s="1">
        <v>0</v>
      </c>
      <c r="L160" s="1">
        <v>0</v>
      </c>
      <c r="M160" s="1">
        <v>0</v>
      </c>
      <c r="N160" s="1">
        <v>0</v>
      </c>
      <c r="O160" s="1">
        <v>0</v>
      </c>
      <c r="P160" s="1">
        <v>0</v>
      </c>
      <c r="Q160" t="str">
        <f>INDEX(pARTNER[#All],MATCH(#REF!,pARTNER[[#All],[Value.partnerSummary.id]],0),10)</f>
        <v>Italia (IT)</v>
      </c>
      <c r="R160" t="str">
        <f>INDEX('Partner data'!$A$2:$DG$171,MATCH(#REF!,'Partner data'!$DG$2:$DG$171,0),83)</f>
        <v>Soggetto privato</v>
      </c>
      <c r="S160" s="86" t="b">
        <f>IF(#REF!="staff",INDEX('Partner data'!$DG$2:$DH$171,MATCH(#REF!,'Partner data'!$DG$2:$DG$171,0),2))</f>
        <v>0</v>
      </c>
    </row>
    <row r="161" spans="1:19" x14ac:dyDescent="0.25">
      <c r="A161" s="1" t="s">
        <v>71</v>
      </c>
      <c r="B161" s="1" t="s">
        <v>301</v>
      </c>
      <c r="C161" s="13">
        <v>156</v>
      </c>
      <c r="D161" s="13">
        <v>169</v>
      </c>
      <c r="E161" s="1" t="s">
        <v>233</v>
      </c>
      <c r="F161" s="1"/>
      <c r="G161" s="1">
        <v>0</v>
      </c>
      <c r="H161" s="1">
        <v>0</v>
      </c>
      <c r="I161" s="1">
        <v>0</v>
      </c>
      <c r="J161" s="1">
        <v>0</v>
      </c>
      <c r="K161" s="1">
        <v>0</v>
      </c>
      <c r="L161" s="1">
        <v>0</v>
      </c>
      <c r="M161" s="1">
        <v>0</v>
      </c>
      <c r="N161" s="1">
        <v>0</v>
      </c>
      <c r="O161" s="1">
        <v>0</v>
      </c>
      <c r="P161" s="1">
        <v>0</v>
      </c>
      <c r="Q161" t="str">
        <f>INDEX(pARTNER[#All],MATCH(#REF!,pARTNER[[#All],[Value.partnerSummary.id]],0),10)</f>
        <v>Italia (IT)</v>
      </c>
      <c r="R161" t="str">
        <f>INDEX('Partner data'!$A$2:$DG$171,MATCH(#REF!,'Partner data'!$DG$2:$DG$171,0),83)</f>
        <v>Soggetto privato</v>
      </c>
      <c r="S161" s="86" t="b">
        <f>IF(#REF!="staff",INDEX('Partner data'!$DG$2:$DH$171,MATCH(#REF!,'Partner data'!$DG$2:$DG$171,0),2))</f>
        <v>0</v>
      </c>
    </row>
    <row r="162" spans="1:19" x14ac:dyDescent="0.25">
      <c r="A162" s="1" t="s">
        <v>71</v>
      </c>
      <c r="B162" s="1" t="s">
        <v>301</v>
      </c>
      <c r="C162" s="13">
        <v>156</v>
      </c>
      <c r="D162" s="13">
        <v>169</v>
      </c>
      <c r="E162" s="1" t="s">
        <v>234</v>
      </c>
      <c r="F162" s="1"/>
      <c r="G162" s="1">
        <v>0</v>
      </c>
      <c r="H162" s="1">
        <v>0</v>
      </c>
      <c r="I162" s="1">
        <v>0</v>
      </c>
      <c r="J162" s="1">
        <v>0</v>
      </c>
      <c r="K162" s="1">
        <v>0</v>
      </c>
      <c r="L162" s="1">
        <v>0</v>
      </c>
      <c r="M162" s="1">
        <v>0</v>
      </c>
      <c r="N162" s="1">
        <v>0</v>
      </c>
      <c r="O162" s="1">
        <v>0</v>
      </c>
      <c r="P162" s="1">
        <v>0</v>
      </c>
      <c r="Q162" t="str">
        <f>INDEX(pARTNER[#All],MATCH(#REF!,pARTNER[[#All],[Value.partnerSummary.id]],0),10)</f>
        <v>Italia (IT)</v>
      </c>
      <c r="R162" t="str">
        <f>INDEX('Partner data'!$A$2:$DG$171,MATCH(#REF!,'Partner data'!$DG$2:$DG$171,0),83)</f>
        <v>Soggetto privato</v>
      </c>
      <c r="S162" s="86" t="b">
        <f>IF(#REF!="staff",INDEX('Partner data'!$DG$2:$DH$171,MATCH(#REF!,'Partner data'!$DG$2:$DG$171,0),2))</f>
        <v>0</v>
      </c>
    </row>
    <row r="163" spans="1:19" x14ac:dyDescent="0.25">
      <c r="A163" s="1" t="s">
        <v>71</v>
      </c>
      <c r="B163" s="1" t="s">
        <v>301</v>
      </c>
      <c r="C163" s="13">
        <v>156</v>
      </c>
      <c r="D163" s="13">
        <v>169</v>
      </c>
      <c r="E163" s="1" t="s">
        <v>235</v>
      </c>
      <c r="F163" s="1"/>
      <c r="G163" s="1">
        <v>0</v>
      </c>
      <c r="H163" s="1">
        <v>0</v>
      </c>
      <c r="I163" s="1">
        <v>0</v>
      </c>
      <c r="J163" s="1">
        <v>0</v>
      </c>
      <c r="K163" s="1">
        <v>0</v>
      </c>
      <c r="L163" s="1">
        <v>0</v>
      </c>
      <c r="M163" s="1">
        <v>0</v>
      </c>
      <c r="N163" s="1">
        <v>0</v>
      </c>
      <c r="O163" s="1">
        <v>0</v>
      </c>
      <c r="P163" s="1">
        <v>0</v>
      </c>
      <c r="Q163" t="str">
        <f>INDEX(pARTNER[#All],MATCH(#REF!,pARTNER[[#All],[Value.partnerSummary.id]],0),10)</f>
        <v>Italia (IT)</v>
      </c>
      <c r="R163" t="str">
        <f>INDEX('Partner data'!$A$2:$DG$171,MATCH(#REF!,'Partner data'!$DG$2:$DG$171,0),83)</f>
        <v>Soggetto privato</v>
      </c>
      <c r="S163" s="86" t="b">
        <f>IF(#REF!="staff",INDEX('Partner data'!$DG$2:$DH$171,MATCH(#REF!,'Partner data'!$DG$2:$DG$171,0),2))</f>
        <v>0</v>
      </c>
    </row>
    <row r="164" spans="1:19" x14ac:dyDescent="0.25">
      <c r="A164" s="1" t="s">
        <v>71</v>
      </c>
      <c r="B164" s="1" t="s">
        <v>301</v>
      </c>
      <c r="C164" s="13">
        <v>156</v>
      </c>
      <c r="D164" s="13">
        <v>169</v>
      </c>
      <c r="E164" s="1" t="s">
        <v>236</v>
      </c>
      <c r="F164" s="1"/>
      <c r="G164" s="1">
        <v>0</v>
      </c>
      <c r="H164" s="1">
        <v>0</v>
      </c>
      <c r="I164" s="1">
        <v>0</v>
      </c>
      <c r="J164" s="1">
        <v>0</v>
      </c>
      <c r="K164" s="1">
        <v>0</v>
      </c>
      <c r="L164" s="1">
        <v>0</v>
      </c>
      <c r="M164" s="1">
        <v>0</v>
      </c>
      <c r="N164" s="1">
        <v>0</v>
      </c>
      <c r="O164" s="1">
        <v>0</v>
      </c>
      <c r="P164" s="1">
        <v>0</v>
      </c>
      <c r="Q164" t="str">
        <f>INDEX(pARTNER[#All],MATCH(#REF!,pARTNER[[#All],[Value.partnerSummary.id]],0),10)</f>
        <v>Italia (IT)</v>
      </c>
      <c r="R164" t="str">
        <f>INDEX('Partner data'!$A$2:$DG$171,MATCH(#REF!,'Partner data'!$DG$2:$DG$171,0),83)</f>
        <v>Soggetto privato</v>
      </c>
      <c r="S164" s="86" t="b">
        <f>IF(#REF!="staff",INDEX('Partner data'!$DG$2:$DH$171,MATCH(#REF!,'Partner data'!$DG$2:$DG$171,0),2))</f>
        <v>0</v>
      </c>
    </row>
    <row r="165" spans="1:19" x14ac:dyDescent="0.25">
      <c r="A165" s="1" t="s">
        <v>71</v>
      </c>
      <c r="B165" s="1" t="s">
        <v>301</v>
      </c>
      <c r="C165" s="13">
        <v>156</v>
      </c>
      <c r="D165" s="13">
        <v>169</v>
      </c>
      <c r="E165" s="1" t="s">
        <v>237</v>
      </c>
      <c r="F165" s="1"/>
      <c r="G165" s="1">
        <v>0</v>
      </c>
      <c r="H165" s="1">
        <v>0</v>
      </c>
      <c r="I165" s="1">
        <v>0</v>
      </c>
      <c r="J165" s="1">
        <v>0</v>
      </c>
      <c r="K165" s="1">
        <v>0</v>
      </c>
      <c r="L165" s="1">
        <v>0</v>
      </c>
      <c r="M165" s="1">
        <v>0</v>
      </c>
      <c r="N165" s="1">
        <v>0</v>
      </c>
      <c r="O165" s="1">
        <v>0</v>
      </c>
      <c r="P165" s="1">
        <v>0</v>
      </c>
      <c r="Q165" t="str">
        <f>INDEX(pARTNER[#All],MATCH(#REF!,pARTNER[[#All],[Value.partnerSummary.id]],0),10)</f>
        <v>Italia (IT)</v>
      </c>
      <c r="R165" t="str">
        <f>INDEX('Partner data'!$A$2:$DG$171,MATCH(#REF!,'Partner data'!$DG$2:$DG$171,0),83)</f>
        <v>Soggetto privato</v>
      </c>
      <c r="S165" s="86" t="b">
        <f>IF(#REF!="staff",INDEX('Partner data'!$DG$2:$DH$171,MATCH(#REF!,'Partner data'!$DG$2:$DG$171,0),2))</f>
        <v>0</v>
      </c>
    </row>
    <row r="166" spans="1:19" x14ac:dyDescent="0.25">
      <c r="A166" s="1" t="s">
        <v>71</v>
      </c>
      <c r="B166" s="1" t="s">
        <v>301</v>
      </c>
      <c r="C166" s="13">
        <v>156</v>
      </c>
      <c r="D166" s="13">
        <v>169</v>
      </c>
      <c r="E166" s="1" t="s">
        <v>238</v>
      </c>
      <c r="F166" s="1"/>
      <c r="G166" s="1">
        <v>89804.6</v>
      </c>
      <c r="H166" s="1">
        <v>0</v>
      </c>
      <c r="I166" s="1">
        <v>0</v>
      </c>
      <c r="J166" s="1">
        <v>9466.99</v>
      </c>
      <c r="K166" s="1">
        <v>0</v>
      </c>
      <c r="L166" s="1">
        <v>0</v>
      </c>
      <c r="M166" s="1">
        <v>9466.99</v>
      </c>
      <c r="N166" s="1">
        <v>10.54</v>
      </c>
      <c r="O166" s="1">
        <v>80337.61</v>
      </c>
      <c r="P166" s="1">
        <v>0</v>
      </c>
      <c r="Q166" t="str">
        <f>INDEX(pARTNER[#All],MATCH(#REF!,pARTNER[[#All],[Value.partnerSummary.id]],0),10)</f>
        <v>Italia (IT)</v>
      </c>
      <c r="R166" t="str">
        <f>INDEX('Partner data'!$A$2:$DG$171,MATCH(#REF!,'Partner data'!$DG$2:$DG$171,0),83)</f>
        <v>Soggetto privato</v>
      </c>
      <c r="S166" s="86" t="b">
        <f>IF(#REF!="staff",INDEX('Partner data'!$DG$2:$DH$171,MATCH(#REF!,'Partner data'!$DG$2:$DG$171,0),2))</f>
        <v>0</v>
      </c>
    </row>
    <row r="167" spans="1:19" x14ac:dyDescent="0.25">
      <c r="A167" s="1" t="s">
        <v>71</v>
      </c>
      <c r="B167" s="1" t="s">
        <v>47</v>
      </c>
      <c r="C167" s="13">
        <v>159</v>
      </c>
      <c r="D167" s="13">
        <v>291</v>
      </c>
      <c r="E167" s="1" t="s">
        <v>228</v>
      </c>
      <c r="F167" s="1">
        <v>20</v>
      </c>
      <c r="G167" s="1">
        <v>16558.96</v>
      </c>
      <c r="H167" s="1">
        <v>0</v>
      </c>
      <c r="I167" s="1">
        <v>0</v>
      </c>
      <c r="J167" s="1">
        <v>0</v>
      </c>
      <c r="K167" s="1">
        <v>0</v>
      </c>
      <c r="L167" s="1">
        <v>0</v>
      </c>
      <c r="M167" s="1">
        <v>0</v>
      </c>
      <c r="N167" s="1">
        <v>0</v>
      </c>
      <c r="O167" s="1">
        <v>16558.96</v>
      </c>
      <c r="P167" s="1">
        <v>0</v>
      </c>
      <c r="Q167" t="str">
        <f>INDEX(pARTNER[#All],MATCH(#REF!,pARTNER[[#All],[Value.partnerSummary.id]],0),10)</f>
        <v>Italia (IT)</v>
      </c>
      <c r="R167" t="str">
        <f>INDEX('Partner data'!$A$2:$DG$171,MATCH(#REF!,'Partner data'!$DG$2:$DG$171,0),83)</f>
        <v xml:space="preserve">Organismo di diritto pubblico </v>
      </c>
      <c r="S167" s="86" t="str">
        <f>IF(#REF!="staff",INDEX('Partner data'!$DG$2:$DH$171,MATCH(#REF!,'Partner data'!$DG$2:$DG$171,0),2))</f>
        <v>Tasso Forfettario 20%</v>
      </c>
    </row>
    <row r="168" spans="1:19" x14ac:dyDescent="0.25">
      <c r="A168" s="1" t="s">
        <v>71</v>
      </c>
      <c r="B168" s="1" t="s">
        <v>47</v>
      </c>
      <c r="C168" s="13">
        <v>159</v>
      </c>
      <c r="D168" s="13">
        <v>291</v>
      </c>
      <c r="E168" s="1" t="s">
        <v>229</v>
      </c>
      <c r="F168" s="1">
        <v>15</v>
      </c>
      <c r="G168" s="1">
        <v>2483.84</v>
      </c>
      <c r="H168" s="1">
        <v>0</v>
      </c>
      <c r="I168" s="1">
        <v>0</v>
      </c>
      <c r="J168" s="1">
        <v>0</v>
      </c>
      <c r="K168" s="1">
        <v>0</v>
      </c>
      <c r="L168" s="1">
        <v>0</v>
      </c>
      <c r="M168" s="1">
        <v>0</v>
      </c>
      <c r="N168" s="1">
        <v>0</v>
      </c>
      <c r="O168" s="1">
        <v>2483.84</v>
      </c>
      <c r="P168" s="1">
        <v>0</v>
      </c>
      <c r="Q168" t="str">
        <f>INDEX(pARTNER[#All],MATCH(#REF!,pARTNER[[#All],[Value.partnerSummary.id]],0),10)</f>
        <v>Italia (IT)</v>
      </c>
      <c r="R168" t="str">
        <f>INDEX('Partner data'!$A$2:$DG$171,MATCH(#REF!,'Partner data'!$DG$2:$DG$171,0),83)</f>
        <v xml:space="preserve">Organismo di diritto pubblico </v>
      </c>
      <c r="S168" s="86" t="b">
        <f>IF(#REF!="staff",INDEX('Partner data'!$DG$2:$DH$171,MATCH(#REF!,'Partner data'!$DG$2:$DG$171,0),2))</f>
        <v>0</v>
      </c>
    </row>
    <row r="169" spans="1:19" x14ac:dyDescent="0.25">
      <c r="A169" s="1" t="s">
        <v>71</v>
      </c>
      <c r="B169" s="1" t="s">
        <v>47</v>
      </c>
      <c r="C169" s="13">
        <v>159</v>
      </c>
      <c r="D169" s="13">
        <v>291</v>
      </c>
      <c r="E169" s="1" t="s">
        <v>230</v>
      </c>
      <c r="F169" s="1">
        <v>4</v>
      </c>
      <c r="G169" s="1">
        <v>662.35</v>
      </c>
      <c r="H169" s="1">
        <v>0</v>
      </c>
      <c r="I169" s="1">
        <v>0</v>
      </c>
      <c r="J169" s="1">
        <v>0</v>
      </c>
      <c r="K169" s="1">
        <v>0</v>
      </c>
      <c r="L169" s="1">
        <v>0</v>
      </c>
      <c r="M169" s="1">
        <v>0</v>
      </c>
      <c r="N169" s="1">
        <v>0</v>
      </c>
      <c r="O169" s="1">
        <v>662.35</v>
      </c>
      <c r="P169" s="1">
        <v>0</v>
      </c>
      <c r="Q169" t="str">
        <f>INDEX(pARTNER[#All],MATCH(#REF!,pARTNER[[#All],[Value.partnerSummary.id]],0),10)</f>
        <v>Italia (IT)</v>
      </c>
      <c r="R169" t="str">
        <f>INDEX('Partner data'!$A$2:$DG$171,MATCH(#REF!,'Partner data'!$DG$2:$DG$171,0),83)</f>
        <v xml:space="preserve">Organismo di diritto pubblico </v>
      </c>
      <c r="S169" s="86" t="b">
        <f>IF(#REF!="staff",INDEX('Partner data'!$DG$2:$DH$171,MATCH(#REF!,'Partner data'!$DG$2:$DG$171,0),2))</f>
        <v>0</v>
      </c>
    </row>
    <row r="170" spans="1:19" x14ac:dyDescent="0.25">
      <c r="A170" s="1" t="s">
        <v>71</v>
      </c>
      <c r="B170" s="1" t="s">
        <v>47</v>
      </c>
      <c r="C170" s="13">
        <v>159</v>
      </c>
      <c r="D170" s="13">
        <v>291</v>
      </c>
      <c r="E170" s="1" t="s">
        <v>231</v>
      </c>
      <c r="F170" s="1"/>
      <c r="G170" s="1">
        <v>82794.84</v>
      </c>
      <c r="H170" s="1">
        <v>0</v>
      </c>
      <c r="I170" s="1">
        <v>0</v>
      </c>
      <c r="J170" s="1">
        <v>0</v>
      </c>
      <c r="K170" s="1">
        <v>0</v>
      </c>
      <c r="L170" s="1">
        <v>0</v>
      </c>
      <c r="M170" s="1">
        <v>0</v>
      </c>
      <c r="N170" s="1">
        <v>0</v>
      </c>
      <c r="O170" s="1">
        <v>82794.84</v>
      </c>
      <c r="P170" s="1">
        <v>0</v>
      </c>
      <c r="Q170" t="str">
        <f>INDEX(pARTNER[#All],MATCH(#REF!,pARTNER[[#All],[Value.partnerSummary.id]],0),10)</f>
        <v>Italia (IT)</v>
      </c>
      <c r="R170" t="str">
        <f>INDEX('Partner data'!$A$2:$DG$171,MATCH(#REF!,'Partner data'!$DG$2:$DG$171,0),83)</f>
        <v xml:space="preserve">Organismo di diritto pubblico </v>
      </c>
      <c r="S170" s="86" t="b">
        <f>IF(#REF!="staff",INDEX('Partner data'!$DG$2:$DH$171,MATCH(#REF!,'Partner data'!$DG$2:$DG$171,0),2))</f>
        <v>0</v>
      </c>
    </row>
    <row r="171" spans="1:19" x14ac:dyDescent="0.25">
      <c r="A171" s="1" t="s">
        <v>71</v>
      </c>
      <c r="B171" s="1" t="s">
        <v>47</v>
      </c>
      <c r="C171" s="13">
        <v>159</v>
      </c>
      <c r="D171" s="13">
        <v>291</v>
      </c>
      <c r="E171" s="1" t="s">
        <v>232</v>
      </c>
      <c r="F171" s="1"/>
      <c r="G171" s="1">
        <v>0</v>
      </c>
      <c r="H171" s="1">
        <v>0</v>
      </c>
      <c r="I171" s="1">
        <v>0</v>
      </c>
      <c r="J171" s="1">
        <v>0</v>
      </c>
      <c r="K171" s="1">
        <v>0</v>
      </c>
      <c r="L171" s="1">
        <v>0</v>
      </c>
      <c r="M171" s="1">
        <v>0</v>
      </c>
      <c r="N171" s="1">
        <v>0</v>
      </c>
      <c r="O171" s="1">
        <v>0</v>
      </c>
      <c r="P171" s="1">
        <v>0</v>
      </c>
      <c r="Q171" t="str">
        <f>INDEX(pARTNER[#All],MATCH(#REF!,pARTNER[[#All],[Value.partnerSummary.id]],0),10)</f>
        <v>Italia (IT)</v>
      </c>
      <c r="R171" t="str">
        <f>INDEX('Partner data'!$A$2:$DG$171,MATCH(#REF!,'Partner data'!$DG$2:$DG$171,0),83)</f>
        <v xml:space="preserve">Organismo di diritto pubblico </v>
      </c>
      <c r="S171" s="86" t="b">
        <f>IF(#REF!="staff",INDEX('Partner data'!$DG$2:$DH$171,MATCH(#REF!,'Partner data'!$DG$2:$DG$171,0),2))</f>
        <v>0</v>
      </c>
    </row>
    <row r="172" spans="1:19" x14ac:dyDescent="0.25">
      <c r="A172" s="1" t="s">
        <v>71</v>
      </c>
      <c r="B172" s="1" t="s">
        <v>47</v>
      </c>
      <c r="C172" s="13">
        <v>159</v>
      </c>
      <c r="D172" s="13">
        <v>291</v>
      </c>
      <c r="E172" s="1" t="s">
        <v>233</v>
      </c>
      <c r="F172" s="1"/>
      <c r="G172" s="1">
        <v>0</v>
      </c>
      <c r="H172" s="1">
        <v>0</v>
      </c>
      <c r="I172" s="1">
        <v>0</v>
      </c>
      <c r="J172" s="1">
        <v>0</v>
      </c>
      <c r="K172" s="1">
        <v>0</v>
      </c>
      <c r="L172" s="1">
        <v>0</v>
      </c>
      <c r="M172" s="1">
        <v>0</v>
      </c>
      <c r="N172" s="1">
        <v>0</v>
      </c>
      <c r="O172" s="1">
        <v>0</v>
      </c>
      <c r="P172" s="1">
        <v>0</v>
      </c>
      <c r="Q172" t="str">
        <f>INDEX(pARTNER[#All],MATCH(#REF!,pARTNER[[#All],[Value.partnerSummary.id]],0),10)</f>
        <v>Italia (IT)</v>
      </c>
      <c r="R172" t="str">
        <f>INDEX('Partner data'!$A$2:$DG$171,MATCH(#REF!,'Partner data'!$DG$2:$DG$171,0),83)</f>
        <v xml:space="preserve">Organismo di diritto pubblico </v>
      </c>
      <c r="S172" s="86" t="b">
        <f>IF(#REF!="staff",INDEX('Partner data'!$DG$2:$DH$171,MATCH(#REF!,'Partner data'!$DG$2:$DG$171,0),2))</f>
        <v>0</v>
      </c>
    </row>
    <row r="173" spans="1:19" x14ac:dyDescent="0.25">
      <c r="A173" s="1" t="s">
        <v>71</v>
      </c>
      <c r="B173" s="1" t="s">
        <v>47</v>
      </c>
      <c r="C173" s="13">
        <v>159</v>
      </c>
      <c r="D173" s="13">
        <v>291</v>
      </c>
      <c r="E173" s="1" t="s">
        <v>234</v>
      </c>
      <c r="F173" s="1"/>
      <c r="G173" s="1">
        <v>0</v>
      </c>
      <c r="H173" s="1">
        <v>0</v>
      </c>
      <c r="I173" s="1">
        <v>0</v>
      </c>
      <c r="J173" s="1">
        <v>0</v>
      </c>
      <c r="K173" s="1">
        <v>0</v>
      </c>
      <c r="L173" s="1">
        <v>0</v>
      </c>
      <c r="M173" s="1">
        <v>0</v>
      </c>
      <c r="N173" s="1">
        <v>0</v>
      </c>
      <c r="O173" s="1">
        <v>0</v>
      </c>
      <c r="P173" s="1">
        <v>0</v>
      </c>
      <c r="Q173" t="str">
        <f>INDEX(pARTNER[#All],MATCH(#REF!,pARTNER[[#All],[Value.partnerSummary.id]],0),10)</f>
        <v>Italia (IT)</v>
      </c>
      <c r="R173" t="str">
        <f>INDEX('Partner data'!$A$2:$DG$171,MATCH(#REF!,'Partner data'!$DG$2:$DG$171,0),83)</f>
        <v xml:space="preserve">Organismo di diritto pubblico </v>
      </c>
      <c r="S173" s="86" t="b">
        <f>IF(#REF!="staff",INDEX('Partner data'!$DG$2:$DH$171,MATCH(#REF!,'Partner data'!$DG$2:$DG$171,0),2))</f>
        <v>0</v>
      </c>
    </row>
    <row r="174" spans="1:19" x14ac:dyDescent="0.25">
      <c r="A174" s="1" t="s">
        <v>71</v>
      </c>
      <c r="B174" s="1" t="s">
        <v>47</v>
      </c>
      <c r="C174" s="13">
        <v>159</v>
      </c>
      <c r="D174" s="13">
        <v>291</v>
      </c>
      <c r="E174" s="1" t="s">
        <v>235</v>
      </c>
      <c r="F174" s="1"/>
      <c r="G174" s="1">
        <v>0</v>
      </c>
      <c r="H174" s="1">
        <v>0</v>
      </c>
      <c r="I174" s="1">
        <v>0</v>
      </c>
      <c r="J174" s="1">
        <v>0</v>
      </c>
      <c r="K174" s="1">
        <v>0</v>
      </c>
      <c r="L174" s="1">
        <v>0</v>
      </c>
      <c r="M174" s="1">
        <v>0</v>
      </c>
      <c r="N174" s="1">
        <v>0</v>
      </c>
      <c r="O174" s="1">
        <v>0</v>
      </c>
      <c r="P174" s="1">
        <v>0</v>
      </c>
      <c r="Q174" t="str">
        <f>INDEX(pARTNER[#All],MATCH(#REF!,pARTNER[[#All],[Value.partnerSummary.id]],0),10)</f>
        <v>Italia (IT)</v>
      </c>
      <c r="R174" t="str">
        <f>INDEX('Partner data'!$A$2:$DG$171,MATCH(#REF!,'Partner data'!$DG$2:$DG$171,0),83)</f>
        <v xml:space="preserve">Organismo di diritto pubblico </v>
      </c>
      <c r="S174" s="86" t="b">
        <f>IF(#REF!="staff",INDEX('Partner data'!$DG$2:$DH$171,MATCH(#REF!,'Partner data'!$DG$2:$DG$171,0),2))</f>
        <v>0</v>
      </c>
    </row>
    <row r="175" spans="1:19" x14ac:dyDescent="0.25">
      <c r="A175" s="1" t="s">
        <v>71</v>
      </c>
      <c r="B175" s="1" t="s">
        <v>47</v>
      </c>
      <c r="C175" s="13">
        <v>159</v>
      </c>
      <c r="D175" s="13">
        <v>291</v>
      </c>
      <c r="E175" s="1" t="s">
        <v>236</v>
      </c>
      <c r="F175" s="1"/>
      <c r="G175" s="1">
        <v>0</v>
      </c>
      <c r="H175" s="1">
        <v>0</v>
      </c>
      <c r="I175" s="1">
        <v>0</v>
      </c>
      <c r="J175" s="1">
        <v>0</v>
      </c>
      <c r="K175" s="1">
        <v>0</v>
      </c>
      <c r="L175" s="1">
        <v>0</v>
      </c>
      <c r="M175" s="1">
        <v>0</v>
      </c>
      <c r="N175" s="1">
        <v>0</v>
      </c>
      <c r="O175" s="1">
        <v>0</v>
      </c>
      <c r="P175" s="1">
        <v>0</v>
      </c>
      <c r="Q175" t="str">
        <f>INDEX(pARTNER[#All],MATCH(#REF!,pARTNER[[#All],[Value.partnerSummary.id]],0),10)</f>
        <v>Italia (IT)</v>
      </c>
      <c r="R175" t="str">
        <f>INDEX('Partner data'!$A$2:$DG$171,MATCH(#REF!,'Partner data'!$DG$2:$DG$171,0),83)</f>
        <v xml:space="preserve">Organismo di diritto pubblico </v>
      </c>
      <c r="S175" s="86" t="b">
        <f>IF(#REF!="staff",INDEX('Partner data'!$DG$2:$DH$171,MATCH(#REF!,'Partner data'!$DG$2:$DG$171,0),2))</f>
        <v>0</v>
      </c>
    </row>
    <row r="176" spans="1:19" x14ac:dyDescent="0.25">
      <c r="A176" s="1" t="s">
        <v>71</v>
      </c>
      <c r="B176" s="1" t="s">
        <v>47</v>
      </c>
      <c r="C176" s="13">
        <v>159</v>
      </c>
      <c r="D176" s="13">
        <v>291</v>
      </c>
      <c r="E176" s="1" t="s">
        <v>237</v>
      </c>
      <c r="F176" s="1"/>
      <c r="G176" s="1">
        <v>0</v>
      </c>
      <c r="H176" s="1">
        <v>0</v>
      </c>
      <c r="I176" s="1">
        <v>0</v>
      </c>
      <c r="J176" s="1">
        <v>0</v>
      </c>
      <c r="K176" s="1">
        <v>0</v>
      </c>
      <c r="L176" s="1">
        <v>0</v>
      </c>
      <c r="M176" s="1">
        <v>0</v>
      </c>
      <c r="N176" s="1">
        <v>0</v>
      </c>
      <c r="O176" s="1">
        <v>0</v>
      </c>
      <c r="P176" s="1">
        <v>0</v>
      </c>
      <c r="Q176" t="str">
        <f>INDEX(pARTNER[#All],MATCH(#REF!,pARTNER[[#All],[Value.partnerSummary.id]],0),10)</f>
        <v>Italia (IT)</v>
      </c>
      <c r="R176" t="str">
        <f>INDEX('Partner data'!$A$2:$DG$171,MATCH(#REF!,'Partner data'!$DG$2:$DG$171,0),83)</f>
        <v xml:space="preserve">Organismo di diritto pubblico </v>
      </c>
      <c r="S176" s="86" t="b">
        <f>IF(#REF!="staff",INDEX('Partner data'!$DG$2:$DH$171,MATCH(#REF!,'Partner data'!$DG$2:$DG$171,0),2))</f>
        <v>0</v>
      </c>
    </row>
    <row r="177" spans="1:19" x14ac:dyDescent="0.25">
      <c r="A177" s="1" t="s">
        <v>71</v>
      </c>
      <c r="B177" s="1" t="s">
        <v>47</v>
      </c>
      <c r="C177" s="13">
        <v>159</v>
      </c>
      <c r="D177" s="13">
        <v>291</v>
      </c>
      <c r="E177" s="1" t="s">
        <v>238</v>
      </c>
      <c r="F177" s="1"/>
      <c r="G177" s="1">
        <v>102499.99</v>
      </c>
      <c r="H177" s="1">
        <v>0</v>
      </c>
      <c r="I177" s="1">
        <v>0</v>
      </c>
      <c r="J177" s="1">
        <v>0</v>
      </c>
      <c r="K177" s="1">
        <v>0</v>
      </c>
      <c r="L177" s="1">
        <v>0</v>
      </c>
      <c r="M177" s="1">
        <v>0</v>
      </c>
      <c r="N177" s="1">
        <v>0</v>
      </c>
      <c r="O177" s="1">
        <v>102499.99</v>
      </c>
      <c r="P177" s="1">
        <v>0</v>
      </c>
      <c r="Q177" t="str">
        <f>INDEX(pARTNER[#All],MATCH(#REF!,pARTNER[[#All],[Value.partnerSummary.id]],0),10)</f>
        <v>Italia (IT)</v>
      </c>
      <c r="R177" t="str">
        <f>INDEX('Partner data'!$A$2:$DG$171,MATCH(#REF!,'Partner data'!$DG$2:$DG$171,0),83)</f>
        <v xml:space="preserve">Organismo di diritto pubblico </v>
      </c>
      <c r="S177" s="86" t="b">
        <f>IF(#REF!="staff",INDEX('Partner data'!$DG$2:$DH$171,MATCH(#REF!,'Partner data'!$DG$2:$DG$171,0),2))</f>
        <v>0</v>
      </c>
    </row>
    <row r="178" spans="1:19" x14ac:dyDescent="0.25">
      <c r="A178" s="1" t="s">
        <v>71</v>
      </c>
      <c r="B178" s="1" t="s">
        <v>290</v>
      </c>
      <c r="C178" s="13">
        <v>72</v>
      </c>
      <c r="D178" s="13">
        <v>134</v>
      </c>
      <c r="E178" s="1" t="s">
        <v>228</v>
      </c>
      <c r="F178" s="1"/>
      <c r="G178" s="1">
        <v>53520.79</v>
      </c>
      <c r="H178" s="1">
        <v>0</v>
      </c>
      <c r="I178" s="1">
        <v>0</v>
      </c>
      <c r="J178" s="1">
        <v>2765.62</v>
      </c>
      <c r="K178" s="1">
        <v>0</v>
      </c>
      <c r="L178" s="1">
        <v>2706.05</v>
      </c>
      <c r="M178" s="1">
        <v>2765.62</v>
      </c>
      <c r="N178" s="1">
        <v>5.17</v>
      </c>
      <c r="O178" s="1">
        <v>50755.17</v>
      </c>
      <c r="P178" s="1">
        <v>0</v>
      </c>
      <c r="Q178" t="str">
        <f>INDEX(pARTNER[#All],MATCH(#REF!,pARTNER[[#All],[Value.partnerSummary.id]],0),10)</f>
        <v>Slovenija (SI)</v>
      </c>
      <c r="R178" t="str">
        <f>INDEX('Partner data'!$A$2:$DG$171,MATCH(#REF!,'Partner data'!$DG$2:$DG$171,0),83)</f>
        <v>Soggetto pubblico</v>
      </c>
      <c r="S178" s="86" t="str">
        <f>IF(#REF!="staff",INDEX('Partner data'!$DG$2:$DH$171,MATCH(#REF!,'Partner data'!$DG$2:$DG$171,0),2))</f>
        <v>COSTO REALE</v>
      </c>
    </row>
    <row r="179" spans="1:19" x14ac:dyDescent="0.25">
      <c r="A179" s="1" t="s">
        <v>71</v>
      </c>
      <c r="B179" s="1" t="s">
        <v>290</v>
      </c>
      <c r="C179" s="13">
        <v>72</v>
      </c>
      <c r="D179" s="13">
        <v>134</v>
      </c>
      <c r="E179" s="1" t="s">
        <v>229</v>
      </c>
      <c r="F179" s="1">
        <v>15</v>
      </c>
      <c r="G179" s="1">
        <v>8028.11</v>
      </c>
      <c r="H179" s="1">
        <v>0</v>
      </c>
      <c r="I179" s="1">
        <v>0</v>
      </c>
      <c r="J179" s="1">
        <v>414.84</v>
      </c>
      <c r="K179" s="1">
        <v>0</v>
      </c>
      <c r="L179" s="1">
        <v>405.9</v>
      </c>
      <c r="M179" s="1">
        <v>414.84</v>
      </c>
      <c r="N179" s="1">
        <v>5.17</v>
      </c>
      <c r="O179" s="1">
        <v>7613.27</v>
      </c>
      <c r="P179" s="1">
        <v>0</v>
      </c>
      <c r="Q179" t="str">
        <f>INDEX(pARTNER[#All],MATCH(#REF!,pARTNER[[#All],[Value.partnerSummary.id]],0),10)</f>
        <v>Slovenija (SI)</v>
      </c>
      <c r="R179" t="str">
        <f>INDEX('Partner data'!$A$2:$DG$171,MATCH(#REF!,'Partner data'!$DG$2:$DG$171,0),83)</f>
        <v>Soggetto pubblico</v>
      </c>
      <c r="S179" s="86" t="b">
        <f>IF(#REF!="staff",INDEX('Partner data'!$DG$2:$DH$171,MATCH(#REF!,'Partner data'!$DG$2:$DG$171,0),2))</f>
        <v>0</v>
      </c>
    </row>
    <row r="180" spans="1:19" x14ac:dyDescent="0.25">
      <c r="A180" s="1" t="s">
        <v>71</v>
      </c>
      <c r="B180" s="1" t="s">
        <v>290</v>
      </c>
      <c r="C180" s="13">
        <v>72</v>
      </c>
      <c r="D180" s="13">
        <v>134</v>
      </c>
      <c r="E180" s="1" t="s">
        <v>230</v>
      </c>
      <c r="F180" s="1">
        <v>4</v>
      </c>
      <c r="G180" s="1">
        <v>2140.83</v>
      </c>
      <c r="H180" s="1">
        <v>0</v>
      </c>
      <c r="I180" s="1">
        <v>0</v>
      </c>
      <c r="J180" s="1">
        <v>110.62</v>
      </c>
      <c r="K180" s="1">
        <v>0</v>
      </c>
      <c r="L180" s="1">
        <v>108.24</v>
      </c>
      <c r="M180" s="1">
        <v>110.62</v>
      </c>
      <c r="N180" s="1">
        <v>5.17</v>
      </c>
      <c r="O180" s="1">
        <v>2030.21</v>
      </c>
      <c r="P180" s="1">
        <v>0</v>
      </c>
      <c r="Q180" t="str">
        <f>INDEX(pARTNER[#All],MATCH(#REF!,pARTNER[[#All],[Value.partnerSummary.id]],0),10)</f>
        <v>Slovenija (SI)</v>
      </c>
      <c r="R180" t="str">
        <f>INDEX('Partner data'!$A$2:$DG$171,MATCH(#REF!,'Partner data'!$DG$2:$DG$171,0),83)</f>
        <v>Soggetto pubblico</v>
      </c>
      <c r="S180" s="86" t="b">
        <f>IF(#REF!="staff",INDEX('Partner data'!$DG$2:$DH$171,MATCH(#REF!,'Partner data'!$DG$2:$DG$171,0),2))</f>
        <v>0</v>
      </c>
    </row>
    <row r="181" spans="1:19" x14ac:dyDescent="0.25">
      <c r="A181" s="1" t="s">
        <v>71</v>
      </c>
      <c r="B181" s="1" t="s">
        <v>290</v>
      </c>
      <c r="C181" s="13">
        <v>72</v>
      </c>
      <c r="D181" s="13">
        <v>134</v>
      </c>
      <c r="E181" s="1" t="s">
        <v>231</v>
      </c>
      <c r="F181" s="1"/>
      <c r="G181" s="1">
        <v>27902.38</v>
      </c>
      <c r="H181" s="1">
        <v>0</v>
      </c>
      <c r="I181" s="1">
        <v>0</v>
      </c>
      <c r="J181" s="1">
        <v>0</v>
      </c>
      <c r="K181" s="1">
        <v>0</v>
      </c>
      <c r="L181" s="1">
        <v>0</v>
      </c>
      <c r="M181" s="1">
        <v>0</v>
      </c>
      <c r="N181" s="1">
        <v>0</v>
      </c>
      <c r="O181" s="1">
        <v>27902.38</v>
      </c>
      <c r="P181" s="1">
        <v>0</v>
      </c>
      <c r="Q181" t="str">
        <f>INDEX(pARTNER[#All],MATCH(#REF!,pARTNER[[#All],[Value.partnerSummary.id]],0),10)</f>
        <v>Slovenija (SI)</v>
      </c>
      <c r="R181" t="str">
        <f>INDEX('Partner data'!$A$2:$DG$171,MATCH(#REF!,'Partner data'!$DG$2:$DG$171,0),83)</f>
        <v>Soggetto pubblico</v>
      </c>
      <c r="S181" s="86" t="b">
        <f>IF(#REF!="staff",INDEX('Partner data'!$DG$2:$DH$171,MATCH(#REF!,'Partner data'!$DG$2:$DG$171,0),2))</f>
        <v>0</v>
      </c>
    </row>
    <row r="182" spans="1:19" x14ac:dyDescent="0.25">
      <c r="A182" s="1" t="s">
        <v>71</v>
      </c>
      <c r="B182" s="1" t="s">
        <v>290</v>
      </c>
      <c r="C182" s="13">
        <v>72</v>
      </c>
      <c r="D182" s="13">
        <v>134</v>
      </c>
      <c r="E182" s="1" t="s">
        <v>232</v>
      </c>
      <c r="F182" s="1"/>
      <c r="G182" s="1">
        <v>27097.62</v>
      </c>
      <c r="H182" s="1">
        <v>0</v>
      </c>
      <c r="I182" s="1">
        <v>0</v>
      </c>
      <c r="J182" s="1">
        <v>27097.58</v>
      </c>
      <c r="K182" s="1">
        <v>0</v>
      </c>
      <c r="L182" s="1">
        <v>27097.58</v>
      </c>
      <c r="M182" s="1">
        <v>27097.58</v>
      </c>
      <c r="N182" s="1">
        <v>100</v>
      </c>
      <c r="O182" s="1">
        <v>0.04</v>
      </c>
      <c r="P182" s="1">
        <v>0</v>
      </c>
      <c r="Q182" t="str">
        <f>INDEX(pARTNER[#All],MATCH(#REF!,pARTNER[[#All],[Value.partnerSummary.id]],0),10)</f>
        <v>Slovenija (SI)</v>
      </c>
      <c r="R182" t="str">
        <f>INDEX('Partner data'!$A$2:$DG$171,MATCH(#REF!,'Partner data'!$DG$2:$DG$171,0),83)</f>
        <v>Soggetto pubblico</v>
      </c>
      <c r="S182" s="86" t="b">
        <f>IF(#REF!="staff",INDEX('Partner data'!$DG$2:$DH$171,MATCH(#REF!,'Partner data'!$DG$2:$DG$171,0),2))</f>
        <v>0</v>
      </c>
    </row>
    <row r="183" spans="1:19" x14ac:dyDescent="0.25">
      <c r="A183" s="1" t="s">
        <v>71</v>
      </c>
      <c r="B183" s="1" t="s">
        <v>290</v>
      </c>
      <c r="C183" s="13">
        <v>72</v>
      </c>
      <c r="D183" s="13">
        <v>134</v>
      </c>
      <c r="E183" s="1" t="s">
        <v>233</v>
      </c>
      <c r="F183" s="1"/>
      <c r="G183" s="1">
        <v>0</v>
      </c>
      <c r="H183" s="1">
        <v>0</v>
      </c>
      <c r="I183" s="1">
        <v>0</v>
      </c>
      <c r="J183" s="1">
        <v>0</v>
      </c>
      <c r="K183" s="1">
        <v>0</v>
      </c>
      <c r="L183" s="1">
        <v>0</v>
      </c>
      <c r="M183" s="1">
        <v>0</v>
      </c>
      <c r="N183" s="1">
        <v>0</v>
      </c>
      <c r="O183" s="1">
        <v>0</v>
      </c>
      <c r="P183" s="1">
        <v>0</v>
      </c>
      <c r="Q183" t="str">
        <f>INDEX(pARTNER[#All],MATCH(#REF!,pARTNER[[#All],[Value.partnerSummary.id]],0),10)</f>
        <v>Slovenija (SI)</v>
      </c>
      <c r="R183" t="str">
        <f>INDEX('Partner data'!$A$2:$DG$171,MATCH(#REF!,'Partner data'!$DG$2:$DG$171,0),83)</f>
        <v>Soggetto pubblico</v>
      </c>
      <c r="S183" s="86" t="b">
        <f>IF(#REF!="staff",INDEX('Partner data'!$DG$2:$DH$171,MATCH(#REF!,'Partner data'!$DG$2:$DG$171,0),2))</f>
        <v>0</v>
      </c>
    </row>
    <row r="184" spans="1:19" x14ac:dyDescent="0.25">
      <c r="A184" s="1" t="s">
        <v>71</v>
      </c>
      <c r="B184" s="1" t="s">
        <v>290</v>
      </c>
      <c r="C184" s="13">
        <v>72</v>
      </c>
      <c r="D184" s="13">
        <v>134</v>
      </c>
      <c r="E184" s="1" t="s">
        <v>234</v>
      </c>
      <c r="F184" s="1"/>
      <c r="G184" s="1">
        <v>0</v>
      </c>
      <c r="H184" s="1">
        <v>0</v>
      </c>
      <c r="I184" s="1">
        <v>0</v>
      </c>
      <c r="J184" s="1">
        <v>0</v>
      </c>
      <c r="K184" s="1">
        <v>0</v>
      </c>
      <c r="L184" s="1">
        <v>0</v>
      </c>
      <c r="M184" s="1">
        <v>0</v>
      </c>
      <c r="N184" s="1">
        <v>0</v>
      </c>
      <c r="O184" s="1">
        <v>0</v>
      </c>
      <c r="P184" s="1">
        <v>0</v>
      </c>
      <c r="Q184" t="str">
        <f>INDEX(pARTNER[#All],MATCH(#REF!,pARTNER[[#All],[Value.partnerSummary.id]],0),10)</f>
        <v>Slovenija (SI)</v>
      </c>
      <c r="R184" t="str">
        <f>INDEX('Partner data'!$A$2:$DG$171,MATCH(#REF!,'Partner data'!$DG$2:$DG$171,0),83)</f>
        <v>Soggetto pubblico</v>
      </c>
      <c r="S184" s="86" t="b">
        <f>IF(#REF!="staff",INDEX('Partner data'!$DG$2:$DH$171,MATCH(#REF!,'Partner data'!$DG$2:$DG$171,0),2))</f>
        <v>0</v>
      </c>
    </row>
    <row r="185" spans="1:19" x14ac:dyDescent="0.25">
      <c r="A185" s="1" t="s">
        <v>71</v>
      </c>
      <c r="B185" s="1" t="s">
        <v>290</v>
      </c>
      <c r="C185" s="13">
        <v>72</v>
      </c>
      <c r="D185" s="13">
        <v>134</v>
      </c>
      <c r="E185" s="1" t="s">
        <v>235</v>
      </c>
      <c r="F185" s="1"/>
      <c r="G185" s="1">
        <v>9000</v>
      </c>
      <c r="H185" s="1">
        <v>0</v>
      </c>
      <c r="I185" s="1">
        <v>0</v>
      </c>
      <c r="J185" s="1">
        <v>9000</v>
      </c>
      <c r="K185" s="1">
        <v>0</v>
      </c>
      <c r="L185" s="1">
        <v>9000</v>
      </c>
      <c r="M185" s="1">
        <v>9000</v>
      </c>
      <c r="N185" s="1">
        <v>100</v>
      </c>
      <c r="O185" s="1">
        <v>0</v>
      </c>
      <c r="P185" s="1">
        <v>0</v>
      </c>
      <c r="Q185" t="str">
        <f>INDEX(pARTNER[#All],MATCH(#REF!,pARTNER[[#All],[Value.partnerSummary.id]],0),10)</f>
        <v>Slovenija (SI)</v>
      </c>
      <c r="R185" t="str">
        <f>INDEX('Partner data'!$A$2:$DG$171,MATCH(#REF!,'Partner data'!$DG$2:$DG$171,0),83)</f>
        <v>Soggetto pubblico</v>
      </c>
      <c r="S185" s="86" t="b">
        <f>IF(#REF!="staff",INDEX('Partner data'!$DG$2:$DH$171,MATCH(#REF!,'Partner data'!$DG$2:$DG$171,0),2))</f>
        <v>0</v>
      </c>
    </row>
    <row r="186" spans="1:19" x14ac:dyDescent="0.25">
      <c r="A186" s="1" t="s">
        <v>71</v>
      </c>
      <c r="B186" s="1" t="s">
        <v>290</v>
      </c>
      <c r="C186" s="13">
        <v>72</v>
      </c>
      <c r="D186" s="13">
        <v>134</v>
      </c>
      <c r="E186" s="1" t="s">
        <v>236</v>
      </c>
      <c r="F186" s="1"/>
      <c r="G186" s="1">
        <v>0</v>
      </c>
      <c r="H186" s="1">
        <v>0</v>
      </c>
      <c r="I186" s="1">
        <v>0</v>
      </c>
      <c r="J186" s="1">
        <v>0</v>
      </c>
      <c r="K186" s="1">
        <v>0</v>
      </c>
      <c r="L186" s="1">
        <v>0</v>
      </c>
      <c r="M186" s="1">
        <v>0</v>
      </c>
      <c r="N186" s="1">
        <v>0</v>
      </c>
      <c r="O186" s="1">
        <v>0</v>
      </c>
      <c r="P186" s="1">
        <v>0</v>
      </c>
      <c r="Q186" t="str">
        <f>INDEX(pARTNER[#All],MATCH(#REF!,pARTNER[[#All],[Value.partnerSummary.id]],0),10)</f>
        <v>Slovenija (SI)</v>
      </c>
      <c r="R186" t="str">
        <f>INDEX('Partner data'!$A$2:$DG$171,MATCH(#REF!,'Partner data'!$DG$2:$DG$171,0),83)</f>
        <v>Soggetto pubblico</v>
      </c>
      <c r="S186" s="86" t="b">
        <f>IF(#REF!="staff",INDEX('Partner data'!$DG$2:$DH$171,MATCH(#REF!,'Partner data'!$DG$2:$DG$171,0),2))</f>
        <v>0</v>
      </c>
    </row>
    <row r="187" spans="1:19" x14ac:dyDescent="0.25">
      <c r="A187" s="1" t="s">
        <v>71</v>
      </c>
      <c r="B187" s="1" t="s">
        <v>290</v>
      </c>
      <c r="C187" s="13">
        <v>72</v>
      </c>
      <c r="D187" s="13">
        <v>134</v>
      </c>
      <c r="E187" s="1" t="s">
        <v>237</v>
      </c>
      <c r="F187" s="1"/>
      <c r="G187" s="1">
        <v>0</v>
      </c>
      <c r="H187" s="1">
        <v>0</v>
      </c>
      <c r="I187" s="1">
        <v>0</v>
      </c>
      <c r="J187" s="1">
        <v>0</v>
      </c>
      <c r="K187" s="1">
        <v>0</v>
      </c>
      <c r="L187" s="1">
        <v>0</v>
      </c>
      <c r="M187" s="1">
        <v>0</v>
      </c>
      <c r="N187" s="1">
        <v>0</v>
      </c>
      <c r="O187" s="1">
        <v>0</v>
      </c>
      <c r="P187" s="1">
        <v>0</v>
      </c>
      <c r="Q187" t="str">
        <f>INDEX(pARTNER[#All],MATCH(#REF!,pARTNER[[#All],[Value.partnerSummary.id]],0),10)</f>
        <v>Slovenija (SI)</v>
      </c>
      <c r="R187" t="str">
        <f>INDEX('Partner data'!$A$2:$DG$171,MATCH(#REF!,'Partner data'!$DG$2:$DG$171,0),83)</f>
        <v>Soggetto pubblico</v>
      </c>
      <c r="S187" s="86" t="b">
        <f>IF(#REF!="staff",INDEX('Partner data'!$DG$2:$DH$171,MATCH(#REF!,'Partner data'!$DG$2:$DG$171,0),2))</f>
        <v>0</v>
      </c>
    </row>
    <row r="188" spans="1:19" x14ac:dyDescent="0.25">
      <c r="A188" s="1" t="s">
        <v>71</v>
      </c>
      <c r="B188" s="1" t="s">
        <v>290</v>
      </c>
      <c r="C188" s="13">
        <v>72</v>
      </c>
      <c r="D188" s="13">
        <v>134</v>
      </c>
      <c r="E188" s="1" t="s">
        <v>238</v>
      </c>
      <c r="F188" s="1"/>
      <c r="G188" s="1">
        <v>127689.73</v>
      </c>
      <c r="H188" s="1">
        <v>0</v>
      </c>
      <c r="I188" s="1">
        <v>0</v>
      </c>
      <c r="J188" s="1">
        <v>39388.660000000003</v>
      </c>
      <c r="K188" s="1">
        <v>0</v>
      </c>
      <c r="L188" s="1">
        <v>39317.769999999997</v>
      </c>
      <c r="M188" s="1">
        <v>39388.660000000003</v>
      </c>
      <c r="N188" s="1">
        <v>30.85</v>
      </c>
      <c r="O188" s="1">
        <v>88301.07</v>
      </c>
      <c r="P188" s="1">
        <v>0</v>
      </c>
      <c r="Q188" t="str">
        <f>INDEX(pARTNER[#All],MATCH(#REF!,pARTNER[[#All],[Value.partnerSummary.id]],0),10)</f>
        <v>Slovenija (SI)</v>
      </c>
      <c r="R188" t="str">
        <f>INDEX('Partner data'!$A$2:$DG$171,MATCH(#REF!,'Partner data'!$DG$2:$DG$171,0),83)</f>
        <v>Soggetto pubblico</v>
      </c>
      <c r="S188" s="86" t="b">
        <f>IF(#REF!="staff",INDEX('Partner data'!$DG$2:$DH$171,MATCH(#REF!,'Partner data'!$DG$2:$DG$171,0),2))</f>
        <v>0</v>
      </c>
    </row>
    <row r="189" spans="1:19" x14ac:dyDescent="0.25">
      <c r="A189" s="1" t="s">
        <v>71</v>
      </c>
      <c r="B189" s="1" t="s">
        <v>303</v>
      </c>
      <c r="C189" s="13">
        <v>157</v>
      </c>
      <c r="D189" s="13">
        <v>206</v>
      </c>
      <c r="E189" s="1" t="s">
        <v>228</v>
      </c>
      <c r="F189" s="1">
        <v>20</v>
      </c>
      <c r="G189" s="1">
        <v>16260</v>
      </c>
      <c r="H189" s="1">
        <v>0</v>
      </c>
      <c r="I189" s="1">
        <v>0</v>
      </c>
      <c r="J189" s="1">
        <v>1462.97</v>
      </c>
      <c r="K189" s="1">
        <v>0</v>
      </c>
      <c r="L189" s="1">
        <v>1449.81</v>
      </c>
      <c r="M189" s="1">
        <v>1462.97</v>
      </c>
      <c r="N189" s="1">
        <v>9</v>
      </c>
      <c r="O189" s="1">
        <v>14797.03</v>
      </c>
      <c r="P189" s="1">
        <v>0</v>
      </c>
      <c r="Q189" t="str">
        <f>INDEX(pARTNER[#All],MATCH(#REF!,pARTNER[[#All],[Value.partnerSummary.id]],0),10)</f>
        <v>Slovenija (SI)</v>
      </c>
      <c r="R189" t="str">
        <f>INDEX('Partner data'!$A$2:$DG$171,MATCH(#REF!,'Partner data'!$DG$2:$DG$171,0),83)</f>
        <v xml:space="preserve">Organismo di diritto pubblico </v>
      </c>
      <c r="S189" s="86" t="str">
        <f>IF(#REF!="staff",INDEX('Partner data'!$DG$2:$DH$171,MATCH(#REF!,'Partner data'!$DG$2:$DG$171,0),2))</f>
        <v>Tasso Forfettario 20%</v>
      </c>
    </row>
    <row r="190" spans="1:19" x14ac:dyDescent="0.25">
      <c r="A190" s="1" t="s">
        <v>71</v>
      </c>
      <c r="B190" s="1" t="s">
        <v>303</v>
      </c>
      <c r="C190" s="13">
        <v>157</v>
      </c>
      <c r="D190" s="13">
        <v>206</v>
      </c>
      <c r="E190" s="1" t="s">
        <v>229</v>
      </c>
      <c r="F190" s="1">
        <v>15</v>
      </c>
      <c r="G190" s="1">
        <v>2439</v>
      </c>
      <c r="H190" s="1">
        <v>0</v>
      </c>
      <c r="I190" s="1">
        <v>0</v>
      </c>
      <c r="J190" s="1">
        <v>219.44</v>
      </c>
      <c r="K190" s="1">
        <v>0</v>
      </c>
      <c r="L190" s="1">
        <v>217.47</v>
      </c>
      <c r="M190" s="1">
        <v>219.44</v>
      </c>
      <c r="N190" s="1">
        <v>9</v>
      </c>
      <c r="O190" s="1">
        <v>2219.56</v>
      </c>
      <c r="P190" s="1">
        <v>0</v>
      </c>
      <c r="Q190" t="str">
        <f>INDEX(pARTNER[#All],MATCH(#REF!,pARTNER[[#All],[Value.partnerSummary.id]],0),10)</f>
        <v>Slovenija (SI)</v>
      </c>
      <c r="R190" t="str">
        <f>INDEX('Partner data'!$A$2:$DG$171,MATCH(#REF!,'Partner data'!$DG$2:$DG$171,0),83)</f>
        <v xml:space="preserve">Organismo di diritto pubblico </v>
      </c>
      <c r="S190" s="86" t="b">
        <f>IF(#REF!="staff",INDEX('Partner data'!$DG$2:$DH$171,MATCH(#REF!,'Partner data'!$DG$2:$DG$171,0),2))</f>
        <v>0</v>
      </c>
    </row>
    <row r="191" spans="1:19" x14ac:dyDescent="0.25">
      <c r="A191" s="1" t="s">
        <v>71</v>
      </c>
      <c r="B191" s="1" t="s">
        <v>303</v>
      </c>
      <c r="C191" s="13">
        <v>157</v>
      </c>
      <c r="D191" s="13">
        <v>206</v>
      </c>
      <c r="E191" s="1" t="s">
        <v>230</v>
      </c>
      <c r="F191" s="1"/>
      <c r="G191" s="1">
        <v>0</v>
      </c>
      <c r="H191" s="1">
        <v>0</v>
      </c>
      <c r="I191" s="1">
        <v>0</v>
      </c>
      <c r="J191" s="1">
        <v>0</v>
      </c>
      <c r="K191" s="1">
        <v>0</v>
      </c>
      <c r="L191" s="1">
        <v>0</v>
      </c>
      <c r="M191" s="1">
        <v>0</v>
      </c>
      <c r="N191" s="1">
        <v>0</v>
      </c>
      <c r="O191" s="1">
        <v>0</v>
      </c>
      <c r="P191" s="1">
        <v>0</v>
      </c>
      <c r="Q191" t="str">
        <f>INDEX(pARTNER[#All],MATCH(#REF!,pARTNER[[#All],[Value.partnerSummary.id]],0),10)</f>
        <v>Slovenija (SI)</v>
      </c>
      <c r="R191" t="str">
        <f>INDEX('Partner data'!$A$2:$DG$171,MATCH(#REF!,'Partner data'!$DG$2:$DG$171,0),83)</f>
        <v xml:space="preserve">Organismo di diritto pubblico </v>
      </c>
      <c r="S191" s="86" t="b">
        <f>IF(#REF!="staff",INDEX('Partner data'!$DG$2:$DH$171,MATCH(#REF!,'Partner data'!$DG$2:$DG$171,0),2))</f>
        <v>0</v>
      </c>
    </row>
    <row r="192" spans="1:19" x14ac:dyDescent="0.25">
      <c r="A192" s="1" t="s">
        <v>71</v>
      </c>
      <c r="B192" s="1" t="s">
        <v>303</v>
      </c>
      <c r="C192" s="13">
        <v>157</v>
      </c>
      <c r="D192" s="13">
        <v>206</v>
      </c>
      <c r="E192" s="1" t="s">
        <v>231</v>
      </c>
      <c r="F192" s="1"/>
      <c r="G192" s="1">
        <v>52000</v>
      </c>
      <c r="H192" s="1">
        <v>0</v>
      </c>
      <c r="I192" s="1">
        <v>0</v>
      </c>
      <c r="J192" s="1">
        <v>7314.86</v>
      </c>
      <c r="K192" s="1">
        <v>0</v>
      </c>
      <c r="L192" s="1">
        <v>7249.07</v>
      </c>
      <c r="M192" s="1">
        <v>7314.86</v>
      </c>
      <c r="N192" s="1">
        <v>14.07</v>
      </c>
      <c r="O192" s="1">
        <v>44685.14</v>
      </c>
      <c r="P192" s="1">
        <v>0</v>
      </c>
      <c r="Q192" t="str">
        <f>INDEX(pARTNER[#All],MATCH(#REF!,pARTNER[[#All],[Value.partnerSummary.id]],0),10)</f>
        <v>Slovenija (SI)</v>
      </c>
      <c r="R192" t="str">
        <f>INDEX('Partner data'!$A$2:$DG$171,MATCH(#REF!,'Partner data'!$DG$2:$DG$171,0),83)</f>
        <v xml:space="preserve">Organismo di diritto pubblico </v>
      </c>
      <c r="S192" s="86" t="b">
        <f>IF(#REF!="staff",INDEX('Partner data'!$DG$2:$DH$171,MATCH(#REF!,'Partner data'!$DG$2:$DG$171,0),2))</f>
        <v>0</v>
      </c>
    </row>
    <row r="193" spans="1:19" x14ac:dyDescent="0.25">
      <c r="A193" s="1" t="s">
        <v>71</v>
      </c>
      <c r="B193" s="1" t="s">
        <v>303</v>
      </c>
      <c r="C193" s="13">
        <v>157</v>
      </c>
      <c r="D193" s="13">
        <v>206</v>
      </c>
      <c r="E193" s="1" t="s">
        <v>232</v>
      </c>
      <c r="F193" s="1"/>
      <c r="G193" s="1">
        <v>29300</v>
      </c>
      <c r="H193" s="1">
        <v>0</v>
      </c>
      <c r="I193" s="1">
        <v>0</v>
      </c>
      <c r="J193" s="1">
        <v>0</v>
      </c>
      <c r="K193" s="1">
        <v>0</v>
      </c>
      <c r="L193" s="1">
        <v>0</v>
      </c>
      <c r="M193" s="1">
        <v>0</v>
      </c>
      <c r="N193" s="1">
        <v>0</v>
      </c>
      <c r="O193" s="1">
        <v>29300</v>
      </c>
      <c r="P193" s="1">
        <v>0</v>
      </c>
      <c r="Q193" t="str">
        <f>INDEX(pARTNER[#All],MATCH(#REF!,pARTNER[[#All],[Value.partnerSummary.id]],0),10)</f>
        <v>Slovenija (SI)</v>
      </c>
      <c r="R193" t="str">
        <f>INDEX('Partner data'!$A$2:$DG$171,MATCH(#REF!,'Partner data'!$DG$2:$DG$171,0),83)</f>
        <v xml:space="preserve">Organismo di diritto pubblico </v>
      </c>
      <c r="S193" s="86" t="b">
        <f>IF(#REF!="staff",INDEX('Partner data'!$DG$2:$DH$171,MATCH(#REF!,'Partner data'!$DG$2:$DG$171,0),2))</f>
        <v>0</v>
      </c>
    </row>
    <row r="194" spans="1:19" x14ac:dyDescent="0.25">
      <c r="A194" s="1" t="s">
        <v>71</v>
      </c>
      <c r="B194" s="1" t="s">
        <v>303</v>
      </c>
      <c r="C194" s="13">
        <v>157</v>
      </c>
      <c r="D194" s="13">
        <v>206</v>
      </c>
      <c r="E194" s="1" t="s">
        <v>233</v>
      </c>
      <c r="F194" s="1"/>
      <c r="G194" s="1">
        <v>0</v>
      </c>
      <c r="H194" s="1">
        <v>0</v>
      </c>
      <c r="I194" s="1">
        <v>0</v>
      </c>
      <c r="J194" s="1">
        <v>0</v>
      </c>
      <c r="K194" s="1">
        <v>0</v>
      </c>
      <c r="L194" s="1">
        <v>0</v>
      </c>
      <c r="M194" s="1">
        <v>0</v>
      </c>
      <c r="N194" s="1">
        <v>0</v>
      </c>
      <c r="O194" s="1">
        <v>0</v>
      </c>
      <c r="P194" s="1">
        <v>0</v>
      </c>
      <c r="Q194" t="str">
        <f>INDEX(pARTNER[#All],MATCH(#REF!,pARTNER[[#All],[Value.partnerSummary.id]],0),10)</f>
        <v>Slovenija (SI)</v>
      </c>
      <c r="R194" t="str">
        <f>INDEX('Partner data'!$A$2:$DG$171,MATCH(#REF!,'Partner data'!$DG$2:$DG$171,0),83)</f>
        <v xml:space="preserve">Organismo di diritto pubblico </v>
      </c>
      <c r="S194" s="86" t="b">
        <f>IF(#REF!="staff",INDEX('Partner data'!$DG$2:$DH$171,MATCH(#REF!,'Partner data'!$DG$2:$DG$171,0),2))</f>
        <v>0</v>
      </c>
    </row>
    <row r="195" spans="1:19" x14ac:dyDescent="0.25">
      <c r="A195" s="1" t="s">
        <v>71</v>
      </c>
      <c r="B195" s="1" t="s">
        <v>303</v>
      </c>
      <c r="C195" s="13">
        <v>157</v>
      </c>
      <c r="D195" s="13">
        <v>206</v>
      </c>
      <c r="E195" s="1" t="s">
        <v>234</v>
      </c>
      <c r="F195" s="1"/>
      <c r="G195" s="1">
        <v>0</v>
      </c>
      <c r="H195" s="1">
        <v>0</v>
      </c>
      <c r="I195" s="1">
        <v>0</v>
      </c>
      <c r="J195" s="1">
        <v>0</v>
      </c>
      <c r="K195" s="1">
        <v>0</v>
      </c>
      <c r="L195" s="1">
        <v>0</v>
      </c>
      <c r="M195" s="1">
        <v>0</v>
      </c>
      <c r="N195" s="1">
        <v>0</v>
      </c>
      <c r="O195" s="1">
        <v>0</v>
      </c>
      <c r="P195" s="1">
        <v>0</v>
      </c>
      <c r="Q195" t="str">
        <f>INDEX(pARTNER[#All],MATCH(#REF!,pARTNER[[#All],[Value.partnerSummary.id]],0),10)</f>
        <v>Slovenija (SI)</v>
      </c>
      <c r="R195" t="str">
        <f>INDEX('Partner data'!$A$2:$DG$171,MATCH(#REF!,'Partner data'!$DG$2:$DG$171,0),83)</f>
        <v xml:space="preserve">Organismo di diritto pubblico </v>
      </c>
      <c r="S195" s="86" t="b">
        <f>IF(#REF!="staff",INDEX('Partner data'!$DG$2:$DH$171,MATCH(#REF!,'Partner data'!$DG$2:$DG$171,0),2))</f>
        <v>0</v>
      </c>
    </row>
    <row r="196" spans="1:19" x14ac:dyDescent="0.25">
      <c r="A196" s="1" t="s">
        <v>71</v>
      </c>
      <c r="B196" s="1" t="s">
        <v>303</v>
      </c>
      <c r="C196" s="13">
        <v>157</v>
      </c>
      <c r="D196" s="13">
        <v>206</v>
      </c>
      <c r="E196" s="1" t="s">
        <v>235</v>
      </c>
      <c r="F196" s="1"/>
      <c r="G196" s="1">
        <v>0</v>
      </c>
      <c r="H196" s="1">
        <v>0</v>
      </c>
      <c r="I196" s="1">
        <v>0</v>
      </c>
      <c r="J196" s="1">
        <v>0</v>
      </c>
      <c r="K196" s="1">
        <v>0</v>
      </c>
      <c r="L196" s="1">
        <v>0</v>
      </c>
      <c r="M196" s="1">
        <v>0</v>
      </c>
      <c r="N196" s="1">
        <v>0</v>
      </c>
      <c r="O196" s="1">
        <v>0</v>
      </c>
      <c r="P196" s="1">
        <v>0</v>
      </c>
      <c r="Q196" t="str">
        <f>INDEX(pARTNER[#All],MATCH(#REF!,pARTNER[[#All],[Value.partnerSummary.id]],0),10)</f>
        <v>Slovenija (SI)</v>
      </c>
      <c r="R196" t="str">
        <f>INDEX('Partner data'!$A$2:$DG$171,MATCH(#REF!,'Partner data'!$DG$2:$DG$171,0),83)</f>
        <v xml:space="preserve">Organismo di diritto pubblico </v>
      </c>
      <c r="S196" s="86" t="b">
        <f>IF(#REF!="staff",INDEX('Partner data'!$DG$2:$DH$171,MATCH(#REF!,'Partner data'!$DG$2:$DG$171,0),2))</f>
        <v>0</v>
      </c>
    </row>
    <row r="197" spans="1:19" x14ac:dyDescent="0.25">
      <c r="A197" s="1" t="s">
        <v>71</v>
      </c>
      <c r="B197" s="1" t="s">
        <v>303</v>
      </c>
      <c r="C197" s="13">
        <v>157</v>
      </c>
      <c r="D197" s="13">
        <v>206</v>
      </c>
      <c r="E197" s="1" t="s">
        <v>236</v>
      </c>
      <c r="F197" s="1"/>
      <c r="G197" s="1">
        <v>0</v>
      </c>
      <c r="H197" s="1">
        <v>0</v>
      </c>
      <c r="I197" s="1">
        <v>0</v>
      </c>
      <c r="J197" s="1">
        <v>0</v>
      </c>
      <c r="K197" s="1">
        <v>0</v>
      </c>
      <c r="L197" s="1">
        <v>0</v>
      </c>
      <c r="M197" s="1">
        <v>0</v>
      </c>
      <c r="N197" s="1">
        <v>0</v>
      </c>
      <c r="O197" s="1">
        <v>0</v>
      </c>
      <c r="P197" s="1">
        <v>0</v>
      </c>
      <c r="Q197" t="str">
        <f>INDEX(pARTNER[#All],MATCH(#REF!,pARTNER[[#All],[Value.partnerSummary.id]],0),10)</f>
        <v>Slovenija (SI)</v>
      </c>
      <c r="R197" t="str">
        <f>INDEX('Partner data'!$A$2:$DG$171,MATCH(#REF!,'Partner data'!$DG$2:$DG$171,0),83)</f>
        <v xml:space="preserve">Organismo di diritto pubblico </v>
      </c>
      <c r="S197" s="86" t="b">
        <f>IF(#REF!="staff",INDEX('Partner data'!$DG$2:$DH$171,MATCH(#REF!,'Partner data'!$DG$2:$DG$171,0),2))</f>
        <v>0</v>
      </c>
    </row>
    <row r="198" spans="1:19" x14ac:dyDescent="0.25">
      <c r="A198" s="1" t="s">
        <v>71</v>
      </c>
      <c r="B198" s="1" t="s">
        <v>303</v>
      </c>
      <c r="C198" s="13">
        <v>157</v>
      </c>
      <c r="D198" s="13">
        <v>206</v>
      </c>
      <c r="E198" s="1" t="s">
        <v>237</v>
      </c>
      <c r="F198" s="1"/>
      <c r="G198" s="1">
        <v>0</v>
      </c>
      <c r="H198" s="1">
        <v>0</v>
      </c>
      <c r="I198" s="1">
        <v>0</v>
      </c>
      <c r="J198" s="1">
        <v>0</v>
      </c>
      <c r="K198" s="1">
        <v>0</v>
      </c>
      <c r="L198" s="1">
        <v>0</v>
      </c>
      <c r="M198" s="1">
        <v>0</v>
      </c>
      <c r="N198" s="1">
        <v>0</v>
      </c>
      <c r="O198" s="1">
        <v>0</v>
      </c>
      <c r="P198" s="1">
        <v>0</v>
      </c>
      <c r="Q198" t="str">
        <f>INDEX(pARTNER[#All],MATCH(#REF!,pARTNER[[#All],[Value.partnerSummary.id]],0),10)</f>
        <v>Slovenija (SI)</v>
      </c>
      <c r="R198" t="str">
        <f>INDEX('Partner data'!$A$2:$DG$171,MATCH(#REF!,'Partner data'!$DG$2:$DG$171,0),83)</f>
        <v xml:space="preserve">Organismo di diritto pubblico </v>
      </c>
      <c r="S198" s="86" t="b">
        <f>IF(#REF!="staff",INDEX('Partner data'!$DG$2:$DH$171,MATCH(#REF!,'Partner data'!$DG$2:$DG$171,0),2))</f>
        <v>0</v>
      </c>
    </row>
    <row r="199" spans="1:19" x14ac:dyDescent="0.25">
      <c r="A199" s="1" t="s">
        <v>71</v>
      </c>
      <c r="B199" s="1" t="s">
        <v>303</v>
      </c>
      <c r="C199" s="13">
        <v>157</v>
      </c>
      <c r="D199" s="13">
        <v>206</v>
      </c>
      <c r="E199" s="1" t="s">
        <v>238</v>
      </c>
      <c r="F199" s="1"/>
      <c r="G199" s="1">
        <v>99999</v>
      </c>
      <c r="H199" s="1">
        <v>0</v>
      </c>
      <c r="I199" s="1">
        <v>0</v>
      </c>
      <c r="J199" s="1">
        <v>8997.27</v>
      </c>
      <c r="K199" s="1">
        <v>0</v>
      </c>
      <c r="L199" s="1">
        <v>8916.35</v>
      </c>
      <c r="M199" s="1">
        <v>8997.27</v>
      </c>
      <c r="N199" s="1">
        <v>9</v>
      </c>
      <c r="O199" s="1">
        <v>91001.73</v>
      </c>
      <c r="P199" s="1">
        <v>0</v>
      </c>
      <c r="Q199" t="str">
        <f>INDEX(pARTNER[#All],MATCH(#REF!,pARTNER[[#All],[Value.partnerSummary.id]],0),10)</f>
        <v>Slovenija (SI)</v>
      </c>
      <c r="R199" t="str">
        <f>INDEX('Partner data'!$A$2:$DG$171,MATCH(#REF!,'Partner data'!$DG$2:$DG$171,0),83)</f>
        <v xml:space="preserve">Organismo di diritto pubblico </v>
      </c>
      <c r="S199" s="86" t="b">
        <f>IF(#REF!="staff",INDEX('Partner data'!$DG$2:$DH$171,MATCH(#REF!,'Partner data'!$DG$2:$DG$171,0),2))</f>
        <v>0</v>
      </c>
    </row>
    <row r="200" spans="1:19" x14ac:dyDescent="0.25">
      <c r="A200" s="1" t="s">
        <v>71</v>
      </c>
      <c r="B200" s="1" t="s">
        <v>70</v>
      </c>
      <c r="C200" s="13">
        <v>155</v>
      </c>
      <c r="D200" s="13">
        <v>269</v>
      </c>
      <c r="E200" s="1" t="s">
        <v>228</v>
      </c>
      <c r="F200" s="1"/>
      <c r="G200" s="1">
        <v>52680</v>
      </c>
      <c r="H200" s="1">
        <v>0</v>
      </c>
      <c r="I200" s="1">
        <v>0</v>
      </c>
      <c r="J200" s="1">
        <v>3010.27</v>
      </c>
      <c r="K200" s="1">
        <v>0</v>
      </c>
      <c r="L200" s="1">
        <v>3010.27</v>
      </c>
      <c r="M200" s="1">
        <v>3010.27</v>
      </c>
      <c r="N200" s="1">
        <v>5.71</v>
      </c>
      <c r="O200" s="1">
        <v>49669.73</v>
      </c>
      <c r="P200" s="1">
        <v>0</v>
      </c>
      <c r="Q200" t="str">
        <f>INDEX(pARTNER[#All],MATCH(#REF!,pARTNER[[#All],[Value.partnerSummary.id]],0),10)</f>
        <v>Slovenija (SI)</v>
      </c>
      <c r="R200" t="str">
        <f>INDEX('Partner data'!$A$2:$DG$171,MATCH(#REF!,'Partner data'!$DG$2:$DG$171,0),83)</f>
        <v>Soggetto privato</v>
      </c>
      <c r="S200" s="86" t="str">
        <f>IF(#REF!="staff",INDEX('Partner data'!$DG$2:$DH$171,MATCH(#REF!,'Partner data'!$DG$2:$DG$171,0),2))</f>
        <v>COSTO REALE</v>
      </c>
    </row>
    <row r="201" spans="1:19" x14ac:dyDescent="0.25">
      <c r="A201" s="1" t="s">
        <v>71</v>
      </c>
      <c r="B201" s="1" t="s">
        <v>70</v>
      </c>
      <c r="C201" s="13">
        <v>155</v>
      </c>
      <c r="D201" s="13">
        <v>269</v>
      </c>
      <c r="E201" s="1" t="s">
        <v>229</v>
      </c>
      <c r="F201" s="1">
        <v>15</v>
      </c>
      <c r="G201" s="1">
        <v>7902</v>
      </c>
      <c r="H201" s="1">
        <v>0</v>
      </c>
      <c r="I201" s="1">
        <v>0</v>
      </c>
      <c r="J201" s="1">
        <v>451.54</v>
      </c>
      <c r="K201" s="1">
        <v>0</v>
      </c>
      <c r="L201" s="1">
        <v>451.54</v>
      </c>
      <c r="M201" s="1">
        <v>451.54</v>
      </c>
      <c r="N201" s="1">
        <v>5.71</v>
      </c>
      <c r="O201" s="1">
        <v>7450.46</v>
      </c>
      <c r="P201" s="1">
        <v>0</v>
      </c>
      <c r="Q201" t="str">
        <f>INDEX(pARTNER[#All],MATCH(#REF!,pARTNER[[#All],[Value.partnerSummary.id]],0),10)</f>
        <v>Slovenija (SI)</v>
      </c>
      <c r="R201" t="str">
        <f>INDEX('Partner data'!$A$2:$DG$171,MATCH(#REF!,'Partner data'!$DG$2:$DG$171,0),83)</f>
        <v>Soggetto privato</v>
      </c>
      <c r="S201" s="86" t="b">
        <f>IF(#REF!="staff",INDEX('Partner data'!$DG$2:$DH$171,MATCH(#REF!,'Partner data'!$DG$2:$DG$171,0),2))</f>
        <v>0</v>
      </c>
    </row>
    <row r="202" spans="1:19" x14ac:dyDescent="0.25">
      <c r="A202" s="1" t="s">
        <v>71</v>
      </c>
      <c r="B202" s="1" t="s">
        <v>70</v>
      </c>
      <c r="C202" s="13">
        <v>155</v>
      </c>
      <c r="D202" s="13">
        <v>269</v>
      </c>
      <c r="E202" s="1" t="s">
        <v>230</v>
      </c>
      <c r="F202" s="1">
        <v>4</v>
      </c>
      <c r="G202" s="1">
        <v>2107.1999999999998</v>
      </c>
      <c r="H202" s="1">
        <v>0</v>
      </c>
      <c r="I202" s="1">
        <v>0</v>
      </c>
      <c r="J202" s="1">
        <v>120.41</v>
      </c>
      <c r="K202" s="1">
        <v>0</v>
      </c>
      <c r="L202" s="1">
        <v>120.41</v>
      </c>
      <c r="M202" s="1">
        <v>120.41</v>
      </c>
      <c r="N202" s="1">
        <v>5.71</v>
      </c>
      <c r="O202" s="1">
        <v>1986.79</v>
      </c>
      <c r="P202" s="1">
        <v>0</v>
      </c>
      <c r="Q202" t="str">
        <f>INDEX(pARTNER[#All],MATCH(#REF!,pARTNER[[#All],[Value.partnerSummary.id]],0),10)</f>
        <v>Slovenija (SI)</v>
      </c>
      <c r="R202" t="str">
        <f>INDEX('Partner data'!$A$2:$DG$171,MATCH(#REF!,'Partner data'!$DG$2:$DG$171,0),83)</f>
        <v>Soggetto privato</v>
      </c>
      <c r="S202" s="86" t="b">
        <f>IF(#REF!="staff",INDEX('Partner data'!$DG$2:$DH$171,MATCH(#REF!,'Partner data'!$DG$2:$DG$171,0),2))</f>
        <v>0</v>
      </c>
    </row>
    <row r="203" spans="1:19" x14ac:dyDescent="0.25">
      <c r="A203" s="1" t="s">
        <v>71</v>
      </c>
      <c r="B203" s="1" t="s">
        <v>70</v>
      </c>
      <c r="C203" s="13">
        <v>155</v>
      </c>
      <c r="D203" s="13">
        <v>269</v>
      </c>
      <c r="E203" s="1" t="s">
        <v>231</v>
      </c>
      <c r="F203" s="1"/>
      <c r="G203" s="1">
        <v>22310.76</v>
      </c>
      <c r="H203" s="1">
        <v>0</v>
      </c>
      <c r="I203" s="1">
        <v>0</v>
      </c>
      <c r="J203" s="1">
        <v>2313.79</v>
      </c>
      <c r="K203" s="1">
        <v>0</v>
      </c>
      <c r="L203" s="1">
        <v>1425.84</v>
      </c>
      <c r="M203" s="1">
        <v>2313.79</v>
      </c>
      <c r="N203" s="1">
        <v>10.37</v>
      </c>
      <c r="O203" s="1">
        <v>19996.97</v>
      </c>
      <c r="P203" s="1">
        <v>0</v>
      </c>
      <c r="Q203" t="str">
        <f>INDEX(pARTNER[#All],MATCH(#REF!,pARTNER[[#All],[Value.partnerSummary.id]],0),10)</f>
        <v>Slovenija (SI)</v>
      </c>
      <c r="R203" t="str">
        <f>INDEX('Partner data'!$A$2:$DG$171,MATCH(#REF!,'Partner data'!$DG$2:$DG$171,0),83)</f>
        <v>Soggetto privato</v>
      </c>
      <c r="S203" s="86" t="b">
        <f>IF(#REF!="staff",INDEX('Partner data'!$DG$2:$DH$171,MATCH(#REF!,'Partner data'!$DG$2:$DG$171,0),2))</f>
        <v>0</v>
      </c>
    </row>
    <row r="204" spans="1:19" x14ac:dyDescent="0.25">
      <c r="A204" s="1" t="s">
        <v>71</v>
      </c>
      <c r="B204" s="1" t="s">
        <v>70</v>
      </c>
      <c r="C204" s="13">
        <v>155</v>
      </c>
      <c r="D204" s="13">
        <v>269</v>
      </c>
      <c r="E204" s="1" t="s">
        <v>232</v>
      </c>
      <c r="F204" s="1"/>
      <c r="G204" s="1">
        <v>0</v>
      </c>
      <c r="H204" s="1">
        <v>0</v>
      </c>
      <c r="I204" s="1">
        <v>0</v>
      </c>
      <c r="J204" s="1">
        <v>0</v>
      </c>
      <c r="K204" s="1">
        <v>0</v>
      </c>
      <c r="L204" s="1">
        <v>0</v>
      </c>
      <c r="M204" s="1">
        <v>0</v>
      </c>
      <c r="N204" s="1">
        <v>0</v>
      </c>
      <c r="O204" s="1">
        <v>0</v>
      </c>
      <c r="P204" s="1">
        <v>0</v>
      </c>
      <c r="Q204" t="str">
        <f>INDEX(pARTNER[#All],MATCH(#REF!,pARTNER[[#All],[Value.partnerSummary.id]],0),10)</f>
        <v>Slovenija (SI)</v>
      </c>
      <c r="R204" t="str">
        <f>INDEX('Partner data'!$A$2:$DG$171,MATCH(#REF!,'Partner data'!$DG$2:$DG$171,0),83)</f>
        <v>Soggetto privato</v>
      </c>
      <c r="S204" s="86" t="b">
        <f>IF(#REF!="staff",INDEX('Partner data'!$DG$2:$DH$171,MATCH(#REF!,'Partner data'!$DG$2:$DG$171,0),2))</f>
        <v>0</v>
      </c>
    </row>
    <row r="205" spans="1:19" x14ac:dyDescent="0.25">
      <c r="A205" s="1" t="s">
        <v>71</v>
      </c>
      <c r="B205" s="1" t="s">
        <v>70</v>
      </c>
      <c r="C205" s="13">
        <v>155</v>
      </c>
      <c r="D205" s="13">
        <v>269</v>
      </c>
      <c r="E205" s="1" t="s">
        <v>233</v>
      </c>
      <c r="F205" s="1"/>
      <c r="G205" s="1">
        <v>0</v>
      </c>
      <c r="H205" s="1">
        <v>0</v>
      </c>
      <c r="I205" s="1">
        <v>0</v>
      </c>
      <c r="J205" s="1">
        <v>0</v>
      </c>
      <c r="K205" s="1">
        <v>0</v>
      </c>
      <c r="L205" s="1">
        <v>0</v>
      </c>
      <c r="M205" s="1">
        <v>0</v>
      </c>
      <c r="N205" s="1">
        <v>0</v>
      </c>
      <c r="O205" s="1">
        <v>0</v>
      </c>
      <c r="P205" s="1">
        <v>0</v>
      </c>
      <c r="Q205" t="str">
        <f>INDEX(pARTNER[#All],MATCH(#REF!,pARTNER[[#All],[Value.partnerSummary.id]],0),10)</f>
        <v>Slovenija (SI)</v>
      </c>
      <c r="R205" t="str">
        <f>INDEX('Partner data'!$A$2:$DG$171,MATCH(#REF!,'Partner data'!$DG$2:$DG$171,0),83)</f>
        <v>Soggetto privato</v>
      </c>
      <c r="S205" s="86" t="b">
        <f>IF(#REF!="staff",INDEX('Partner data'!$DG$2:$DH$171,MATCH(#REF!,'Partner data'!$DG$2:$DG$171,0),2))</f>
        <v>0</v>
      </c>
    </row>
    <row r="206" spans="1:19" x14ac:dyDescent="0.25">
      <c r="A206" s="1" t="s">
        <v>71</v>
      </c>
      <c r="B206" s="1" t="s">
        <v>70</v>
      </c>
      <c r="C206" s="13">
        <v>155</v>
      </c>
      <c r="D206" s="13">
        <v>269</v>
      </c>
      <c r="E206" s="1" t="s">
        <v>234</v>
      </c>
      <c r="F206" s="1"/>
      <c r="G206" s="1">
        <v>0</v>
      </c>
      <c r="H206" s="1">
        <v>0</v>
      </c>
      <c r="I206" s="1">
        <v>0</v>
      </c>
      <c r="J206" s="1">
        <v>0</v>
      </c>
      <c r="K206" s="1">
        <v>0</v>
      </c>
      <c r="L206" s="1">
        <v>0</v>
      </c>
      <c r="M206" s="1">
        <v>0</v>
      </c>
      <c r="N206" s="1">
        <v>0</v>
      </c>
      <c r="O206" s="1">
        <v>0</v>
      </c>
      <c r="P206" s="1">
        <v>0</v>
      </c>
      <c r="Q206" t="str">
        <f>INDEX(pARTNER[#All],MATCH(#REF!,pARTNER[[#All],[Value.partnerSummary.id]],0),10)</f>
        <v>Slovenija (SI)</v>
      </c>
      <c r="R206" t="str">
        <f>INDEX('Partner data'!$A$2:$DG$171,MATCH(#REF!,'Partner data'!$DG$2:$DG$171,0),83)</f>
        <v>Soggetto privato</v>
      </c>
      <c r="S206" s="86" t="b">
        <f>IF(#REF!="staff",INDEX('Partner data'!$DG$2:$DH$171,MATCH(#REF!,'Partner data'!$DG$2:$DG$171,0),2))</f>
        <v>0</v>
      </c>
    </row>
    <row r="207" spans="1:19" x14ac:dyDescent="0.25">
      <c r="A207" s="1" t="s">
        <v>71</v>
      </c>
      <c r="B207" s="1" t="s">
        <v>70</v>
      </c>
      <c r="C207" s="13">
        <v>155</v>
      </c>
      <c r="D207" s="13">
        <v>269</v>
      </c>
      <c r="E207" s="1" t="s">
        <v>235</v>
      </c>
      <c r="F207" s="1"/>
      <c r="G207" s="1">
        <v>0</v>
      </c>
      <c r="H207" s="1">
        <v>0</v>
      </c>
      <c r="I207" s="1">
        <v>0</v>
      </c>
      <c r="J207" s="1">
        <v>0</v>
      </c>
      <c r="K207" s="1">
        <v>0</v>
      </c>
      <c r="L207" s="1">
        <v>0</v>
      </c>
      <c r="M207" s="1">
        <v>0</v>
      </c>
      <c r="N207" s="1">
        <v>0</v>
      </c>
      <c r="O207" s="1">
        <v>0</v>
      </c>
      <c r="P207" s="1">
        <v>0</v>
      </c>
      <c r="Q207" t="str">
        <f>INDEX(pARTNER[#All],MATCH(#REF!,pARTNER[[#All],[Value.partnerSummary.id]],0),10)</f>
        <v>Slovenija (SI)</v>
      </c>
      <c r="R207" t="str">
        <f>INDEX('Partner data'!$A$2:$DG$171,MATCH(#REF!,'Partner data'!$DG$2:$DG$171,0),83)</f>
        <v>Soggetto privato</v>
      </c>
      <c r="S207" s="86" t="b">
        <f>IF(#REF!="staff",INDEX('Partner data'!$DG$2:$DH$171,MATCH(#REF!,'Partner data'!$DG$2:$DG$171,0),2))</f>
        <v>0</v>
      </c>
    </row>
    <row r="208" spans="1:19" x14ac:dyDescent="0.25">
      <c r="A208" s="1" t="s">
        <v>71</v>
      </c>
      <c r="B208" s="1" t="s">
        <v>70</v>
      </c>
      <c r="C208" s="13">
        <v>155</v>
      </c>
      <c r="D208" s="13">
        <v>269</v>
      </c>
      <c r="E208" s="1" t="s">
        <v>236</v>
      </c>
      <c r="F208" s="1"/>
      <c r="G208" s="1">
        <v>0</v>
      </c>
      <c r="H208" s="1">
        <v>0</v>
      </c>
      <c r="I208" s="1">
        <v>0</v>
      </c>
      <c r="J208" s="1">
        <v>0</v>
      </c>
      <c r="K208" s="1">
        <v>0</v>
      </c>
      <c r="L208" s="1">
        <v>0</v>
      </c>
      <c r="M208" s="1">
        <v>0</v>
      </c>
      <c r="N208" s="1">
        <v>0</v>
      </c>
      <c r="O208" s="1">
        <v>0</v>
      </c>
      <c r="P208" s="1">
        <v>0</v>
      </c>
      <c r="Q208" t="str">
        <f>INDEX(pARTNER[#All],MATCH(#REF!,pARTNER[[#All],[Value.partnerSummary.id]],0),10)</f>
        <v>Slovenija (SI)</v>
      </c>
      <c r="R208" t="str">
        <f>INDEX('Partner data'!$A$2:$DG$171,MATCH(#REF!,'Partner data'!$DG$2:$DG$171,0),83)</f>
        <v>Soggetto privato</v>
      </c>
      <c r="S208" s="86" t="b">
        <f>IF(#REF!="staff",INDEX('Partner data'!$DG$2:$DH$171,MATCH(#REF!,'Partner data'!$DG$2:$DG$171,0),2))</f>
        <v>0</v>
      </c>
    </row>
    <row r="209" spans="1:19" x14ac:dyDescent="0.25">
      <c r="A209" s="1" t="s">
        <v>71</v>
      </c>
      <c r="B209" s="1" t="s">
        <v>70</v>
      </c>
      <c r="C209" s="13">
        <v>155</v>
      </c>
      <c r="D209" s="13">
        <v>269</v>
      </c>
      <c r="E209" s="1" t="s">
        <v>237</v>
      </c>
      <c r="F209" s="1"/>
      <c r="G209" s="1">
        <v>0</v>
      </c>
      <c r="H209" s="1">
        <v>0</v>
      </c>
      <c r="I209" s="1">
        <v>0</v>
      </c>
      <c r="J209" s="1">
        <v>0</v>
      </c>
      <c r="K209" s="1">
        <v>0</v>
      </c>
      <c r="L209" s="1">
        <v>0</v>
      </c>
      <c r="M209" s="1">
        <v>0</v>
      </c>
      <c r="N209" s="1">
        <v>0</v>
      </c>
      <c r="O209" s="1">
        <v>0</v>
      </c>
      <c r="P209" s="1">
        <v>0</v>
      </c>
      <c r="Q209" t="str">
        <f>INDEX(pARTNER[#All],MATCH(#REF!,pARTNER[[#All],[Value.partnerSummary.id]],0),10)</f>
        <v>Slovenija (SI)</v>
      </c>
      <c r="R209" t="str">
        <f>INDEX('Partner data'!$A$2:$DG$171,MATCH(#REF!,'Partner data'!$DG$2:$DG$171,0),83)</f>
        <v>Soggetto privato</v>
      </c>
      <c r="S209" s="86" t="b">
        <f>IF(#REF!="staff",INDEX('Partner data'!$DG$2:$DH$171,MATCH(#REF!,'Partner data'!$DG$2:$DG$171,0),2))</f>
        <v>0</v>
      </c>
    </row>
    <row r="210" spans="1:19" x14ac:dyDescent="0.25">
      <c r="A210" s="1" t="s">
        <v>71</v>
      </c>
      <c r="B210" s="1" t="s">
        <v>70</v>
      </c>
      <c r="C210" s="13">
        <v>155</v>
      </c>
      <c r="D210" s="13">
        <v>269</v>
      </c>
      <c r="E210" s="1" t="s">
        <v>238</v>
      </c>
      <c r="F210" s="1"/>
      <c r="G210" s="1">
        <v>84999.96</v>
      </c>
      <c r="H210" s="1">
        <v>0</v>
      </c>
      <c r="I210" s="1">
        <v>0</v>
      </c>
      <c r="J210" s="1">
        <v>5896.01</v>
      </c>
      <c r="K210" s="1">
        <v>0</v>
      </c>
      <c r="L210" s="1">
        <v>5008.0600000000004</v>
      </c>
      <c r="M210" s="1">
        <v>5896.01</v>
      </c>
      <c r="N210" s="1">
        <v>6.94</v>
      </c>
      <c r="O210" s="1">
        <v>79103.95</v>
      </c>
      <c r="P210" s="1">
        <v>0</v>
      </c>
      <c r="Q210" t="str">
        <f>INDEX(pARTNER[#All],MATCH(#REF!,pARTNER[[#All],[Value.partnerSummary.id]],0),10)</f>
        <v>Slovenija (SI)</v>
      </c>
      <c r="R210" t="str">
        <f>INDEX('Partner data'!$A$2:$DG$171,MATCH(#REF!,'Partner data'!$DG$2:$DG$171,0),83)</f>
        <v>Soggetto privato</v>
      </c>
      <c r="S210" s="86" t="b">
        <f>IF(#REF!="staff",INDEX('Partner data'!$DG$2:$DH$171,MATCH(#REF!,'Partner data'!$DG$2:$DG$171,0),2))</f>
        <v>0</v>
      </c>
    </row>
    <row r="211" spans="1:19" x14ac:dyDescent="0.25">
      <c r="A211" s="1" t="s">
        <v>71</v>
      </c>
      <c r="B211" s="1" t="s">
        <v>69</v>
      </c>
      <c r="C211" s="13">
        <v>154</v>
      </c>
      <c r="D211" s="13">
        <v>151</v>
      </c>
      <c r="E211" s="1" t="s">
        <v>228</v>
      </c>
      <c r="F211" s="1"/>
      <c r="G211" s="1">
        <v>67861.94</v>
      </c>
      <c r="H211" s="1">
        <v>0</v>
      </c>
      <c r="I211" s="1">
        <v>0</v>
      </c>
      <c r="J211" s="1">
        <v>21802.32</v>
      </c>
      <c r="K211" s="1">
        <v>0</v>
      </c>
      <c r="L211" s="1">
        <v>20862.09</v>
      </c>
      <c r="M211" s="1">
        <v>21802.32</v>
      </c>
      <c r="N211" s="1">
        <v>32.130000000000003</v>
      </c>
      <c r="O211" s="1">
        <v>46059.62</v>
      </c>
      <c r="P211" s="1">
        <v>0</v>
      </c>
      <c r="Q211" t="str">
        <f>INDEX(pARTNER[#All],MATCH(#REF!,pARTNER[[#All],[Value.partnerSummary.id]],0),10)</f>
        <v>Italia (IT)</v>
      </c>
      <c r="R211" t="str">
        <f>INDEX('Partner data'!$A$2:$DG$171,MATCH(#REF!,'Partner data'!$DG$2:$DG$171,0),83)</f>
        <v>Soggetto pubblico</v>
      </c>
      <c r="S211" s="86" t="str">
        <f>IF(#REF!="staff",INDEX('Partner data'!$DG$2:$DH$171,MATCH(#REF!,'Partner data'!$DG$2:$DG$171,0),2))</f>
        <v>COSTO REALE</v>
      </c>
    </row>
    <row r="212" spans="1:19" x14ac:dyDescent="0.25">
      <c r="A212" s="1" t="s">
        <v>71</v>
      </c>
      <c r="B212" s="1" t="s">
        <v>69</v>
      </c>
      <c r="C212" s="13">
        <v>154</v>
      </c>
      <c r="D212" s="13">
        <v>151</v>
      </c>
      <c r="E212" s="1" t="s">
        <v>229</v>
      </c>
      <c r="F212" s="1"/>
      <c r="G212" s="1">
        <v>0</v>
      </c>
      <c r="H212" s="1">
        <v>0</v>
      </c>
      <c r="I212" s="1">
        <v>0</v>
      </c>
      <c r="J212" s="1">
        <v>0</v>
      </c>
      <c r="K212" s="1">
        <v>0</v>
      </c>
      <c r="L212" s="1">
        <v>0</v>
      </c>
      <c r="M212" s="1">
        <v>0</v>
      </c>
      <c r="N212" s="1">
        <v>0</v>
      </c>
      <c r="O212" s="1">
        <v>0</v>
      </c>
      <c r="P212" s="1">
        <v>0</v>
      </c>
      <c r="Q212" t="str">
        <f>INDEX(pARTNER[#All],MATCH(#REF!,pARTNER[[#All],[Value.partnerSummary.id]],0),10)</f>
        <v>Italia (IT)</v>
      </c>
      <c r="R212" t="str">
        <f>INDEX('Partner data'!$A$2:$DG$171,MATCH(#REF!,'Partner data'!$DG$2:$DG$171,0),83)</f>
        <v>Soggetto pubblico</v>
      </c>
      <c r="S212" s="86" t="b">
        <f>IF(#REF!="staff",INDEX('Partner data'!$DG$2:$DH$171,MATCH(#REF!,'Partner data'!$DG$2:$DG$171,0),2))</f>
        <v>0</v>
      </c>
    </row>
    <row r="213" spans="1:19" x14ac:dyDescent="0.25">
      <c r="A213" s="1" t="s">
        <v>71</v>
      </c>
      <c r="B213" s="1" t="s">
        <v>69</v>
      </c>
      <c r="C213" s="13">
        <v>154</v>
      </c>
      <c r="D213" s="13">
        <v>151</v>
      </c>
      <c r="E213" s="1" t="s">
        <v>230</v>
      </c>
      <c r="F213" s="1"/>
      <c r="G213" s="1">
        <v>0</v>
      </c>
      <c r="H213" s="1">
        <v>0</v>
      </c>
      <c r="I213" s="1">
        <v>0</v>
      </c>
      <c r="J213" s="1">
        <v>0</v>
      </c>
      <c r="K213" s="1">
        <v>0</v>
      </c>
      <c r="L213" s="1">
        <v>0</v>
      </c>
      <c r="M213" s="1">
        <v>0</v>
      </c>
      <c r="N213" s="1">
        <v>0</v>
      </c>
      <c r="O213" s="1">
        <v>0</v>
      </c>
      <c r="P213" s="1">
        <v>0</v>
      </c>
      <c r="Q213" t="str">
        <f>INDEX(pARTNER[#All],MATCH(#REF!,pARTNER[[#All],[Value.partnerSummary.id]],0),10)</f>
        <v>Italia (IT)</v>
      </c>
      <c r="R213" t="str">
        <f>INDEX('Partner data'!$A$2:$DG$171,MATCH(#REF!,'Partner data'!$DG$2:$DG$171,0),83)</f>
        <v>Soggetto pubblico</v>
      </c>
      <c r="S213" s="86" t="b">
        <f>IF(#REF!="staff",INDEX('Partner data'!$DG$2:$DH$171,MATCH(#REF!,'Partner data'!$DG$2:$DG$171,0),2))</f>
        <v>0</v>
      </c>
    </row>
    <row r="214" spans="1:19" x14ac:dyDescent="0.25">
      <c r="A214" s="1" t="s">
        <v>71</v>
      </c>
      <c r="B214" s="1" t="s">
        <v>69</v>
      </c>
      <c r="C214" s="13">
        <v>154</v>
      </c>
      <c r="D214" s="13">
        <v>151</v>
      </c>
      <c r="E214" s="1" t="s">
        <v>231</v>
      </c>
      <c r="F214" s="1"/>
      <c r="G214" s="1">
        <v>0</v>
      </c>
      <c r="H214" s="1">
        <v>0</v>
      </c>
      <c r="I214" s="1">
        <v>0</v>
      </c>
      <c r="J214" s="1">
        <v>0</v>
      </c>
      <c r="K214" s="1">
        <v>0</v>
      </c>
      <c r="L214" s="1">
        <v>0</v>
      </c>
      <c r="M214" s="1">
        <v>0</v>
      </c>
      <c r="N214" s="1">
        <v>0</v>
      </c>
      <c r="O214" s="1">
        <v>0</v>
      </c>
      <c r="P214" s="1">
        <v>0</v>
      </c>
      <c r="Q214" t="str">
        <f>INDEX(pARTNER[#All],MATCH(#REF!,pARTNER[[#All],[Value.partnerSummary.id]],0),10)</f>
        <v>Italia (IT)</v>
      </c>
      <c r="R214" t="str">
        <f>INDEX('Partner data'!$A$2:$DG$171,MATCH(#REF!,'Partner data'!$DG$2:$DG$171,0),83)</f>
        <v>Soggetto pubblico</v>
      </c>
      <c r="S214" s="86" t="b">
        <f>IF(#REF!="staff",INDEX('Partner data'!$DG$2:$DH$171,MATCH(#REF!,'Partner data'!$DG$2:$DG$171,0),2))</f>
        <v>0</v>
      </c>
    </row>
    <row r="215" spans="1:19" x14ac:dyDescent="0.25">
      <c r="A215" s="1" t="s">
        <v>71</v>
      </c>
      <c r="B215" s="1" t="s">
        <v>69</v>
      </c>
      <c r="C215" s="13">
        <v>154</v>
      </c>
      <c r="D215" s="13">
        <v>151</v>
      </c>
      <c r="E215" s="1" t="s">
        <v>232</v>
      </c>
      <c r="F215" s="1"/>
      <c r="G215" s="1">
        <v>0</v>
      </c>
      <c r="H215" s="1">
        <v>0</v>
      </c>
      <c r="I215" s="1">
        <v>0</v>
      </c>
      <c r="J215" s="1">
        <v>0</v>
      </c>
      <c r="K215" s="1">
        <v>0</v>
      </c>
      <c r="L215" s="1">
        <v>0</v>
      </c>
      <c r="M215" s="1">
        <v>0</v>
      </c>
      <c r="N215" s="1">
        <v>0</v>
      </c>
      <c r="O215" s="1">
        <v>0</v>
      </c>
      <c r="P215" s="1">
        <v>0</v>
      </c>
      <c r="Q215" t="str">
        <f>INDEX(pARTNER[#All],MATCH(#REF!,pARTNER[[#All],[Value.partnerSummary.id]],0),10)</f>
        <v>Italia (IT)</v>
      </c>
      <c r="R215" t="str">
        <f>INDEX('Partner data'!$A$2:$DG$171,MATCH(#REF!,'Partner data'!$DG$2:$DG$171,0),83)</f>
        <v>Soggetto pubblico</v>
      </c>
      <c r="S215" s="86" t="b">
        <f>IF(#REF!="staff",INDEX('Partner data'!$DG$2:$DH$171,MATCH(#REF!,'Partner data'!$DG$2:$DG$171,0),2))</f>
        <v>0</v>
      </c>
    </row>
    <row r="216" spans="1:19" x14ac:dyDescent="0.25">
      <c r="A216" s="1" t="s">
        <v>71</v>
      </c>
      <c r="B216" s="1" t="s">
        <v>69</v>
      </c>
      <c r="C216" s="13">
        <v>154</v>
      </c>
      <c r="D216" s="13">
        <v>151</v>
      </c>
      <c r="E216" s="1" t="s">
        <v>233</v>
      </c>
      <c r="F216" s="1"/>
      <c r="G216" s="1">
        <v>0</v>
      </c>
      <c r="H216" s="1">
        <v>0</v>
      </c>
      <c r="I216" s="1">
        <v>0</v>
      </c>
      <c r="J216" s="1">
        <v>0</v>
      </c>
      <c r="K216" s="1">
        <v>0</v>
      </c>
      <c r="L216" s="1">
        <v>0</v>
      </c>
      <c r="M216" s="1">
        <v>0</v>
      </c>
      <c r="N216" s="1">
        <v>0</v>
      </c>
      <c r="O216" s="1">
        <v>0</v>
      </c>
      <c r="P216" s="1">
        <v>0</v>
      </c>
      <c r="Q216" t="str">
        <f>INDEX(pARTNER[#All],MATCH(#REF!,pARTNER[[#All],[Value.partnerSummary.id]],0),10)</f>
        <v>Italia (IT)</v>
      </c>
      <c r="R216" t="str">
        <f>INDEX('Partner data'!$A$2:$DG$171,MATCH(#REF!,'Partner data'!$DG$2:$DG$171,0),83)</f>
        <v>Soggetto pubblico</v>
      </c>
      <c r="S216" s="86" t="b">
        <f>IF(#REF!="staff",INDEX('Partner data'!$DG$2:$DH$171,MATCH(#REF!,'Partner data'!$DG$2:$DG$171,0),2))</f>
        <v>0</v>
      </c>
    </row>
    <row r="217" spans="1:19" x14ac:dyDescent="0.25">
      <c r="A217" s="1" t="s">
        <v>71</v>
      </c>
      <c r="B217" s="1" t="s">
        <v>69</v>
      </c>
      <c r="C217" s="13">
        <v>154</v>
      </c>
      <c r="D217" s="13">
        <v>151</v>
      </c>
      <c r="E217" s="1" t="s">
        <v>234</v>
      </c>
      <c r="F217" s="1">
        <v>40</v>
      </c>
      <c r="G217" s="1">
        <v>27144.77</v>
      </c>
      <c r="H217" s="1">
        <v>0</v>
      </c>
      <c r="I217" s="1">
        <v>0</v>
      </c>
      <c r="J217" s="1">
        <v>8720.92</v>
      </c>
      <c r="K217" s="1">
        <v>0</v>
      </c>
      <c r="L217" s="1">
        <v>8344.83</v>
      </c>
      <c r="M217" s="1">
        <v>8720.92</v>
      </c>
      <c r="N217" s="1">
        <v>32.130000000000003</v>
      </c>
      <c r="O217" s="1">
        <v>18423.849999999999</v>
      </c>
      <c r="P217" s="1">
        <v>0</v>
      </c>
      <c r="Q217" t="str">
        <f>INDEX(pARTNER[#All],MATCH(#REF!,pARTNER[[#All],[Value.partnerSummary.id]],0),10)</f>
        <v>Italia (IT)</v>
      </c>
      <c r="R217" t="str">
        <f>INDEX('Partner data'!$A$2:$DG$171,MATCH(#REF!,'Partner data'!$DG$2:$DG$171,0),83)</f>
        <v>Soggetto pubblico</v>
      </c>
      <c r="S217" s="86" t="b">
        <f>IF(#REF!="staff",INDEX('Partner data'!$DG$2:$DH$171,MATCH(#REF!,'Partner data'!$DG$2:$DG$171,0),2))</f>
        <v>0</v>
      </c>
    </row>
    <row r="218" spans="1:19" x14ac:dyDescent="0.25">
      <c r="A218" s="1" t="s">
        <v>71</v>
      </c>
      <c r="B218" s="1" t="s">
        <v>69</v>
      </c>
      <c r="C218" s="13">
        <v>154</v>
      </c>
      <c r="D218" s="13">
        <v>151</v>
      </c>
      <c r="E218" s="1" t="s">
        <v>235</v>
      </c>
      <c r="F218" s="1"/>
      <c r="G218" s="1">
        <v>0</v>
      </c>
      <c r="H218" s="1">
        <v>0</v>
      </c>
      <c r="I218" s="1">
        <v>0</v>
      </c>
      <c r="J218" s="1">
        <v>0</v>
      </c>
      <c r="K218" s="1">
        <v>0</v>
      </c>
      <c r="L218" s="1">
        <v>0</v>
      </c>
      <c r="M218" s="1">
        <v>0</v>
      </c>
      <c r="N218" s="1">
        <v>0</v>
      </c>
      <c r="O218" s="1">
        <v>0</v>
      </c>
      <c r="P218" s="1">
        <v>0</v>
      </c>
      <c r="Q218" t="str">
        <f>INDEX(pARTNER[#All],MATCH(#REF!,pARTNER[[#All],[Value.partnerSummary.id]],0),10)</f>
        <v>Italia (IT)</v>
      </c>
      <c r="R218" t="str">
        <f>INDEX('Partner data'!$A$2:$DG$171,MATCH(#REF!,'Partner data'!$DG$2:$DG$171,0),83)</f>
        <v>Soggetto pubblico</v>
      </c>
      <c r="S218" s="86" t="b">
        <f>IF(#REF!="staff",INDEX('Partner data'!$DG$2:$DH$171,MATCH(#REF!,'Partner data'!$DG$2:$DG$171,0),2))</f>
        <v>0</v>
      </c>
    </row>
    <row r="219" spans="1:19" x14ac:dyDescent="0.25">
      <c r="A219" s="1" t="s">
        <v>71</v>
      </c>
      <c r="B219" s="1" t="s">
        <v>69</v>
      </c>
      <c r="C219" s="13">
        <v>154</v>
      </c>
      <c r="D219" s="13">
        <v>151</v>
      </c>
      <c r="E219" s="1" t="s">
        <v>236</v>
      </c>
      <c r="F219" s="1"/>
      <c r="G219" s="1">
        <v>0</v>
      </c>
      <c r="H219" s="1">
        <v>0</v>
      </c>
      <c r="I219" s="1">
        <v>0</v>
      </c>
      <c r="J219" s="1">
        <v>0</v>
      </c>
      <c r="K219" s="1">
        <v>0</v>
      </c>
      <c r="L219" s="1">
        <v>0</v>
      </c>
      <c r="M219" s="1">
        <v>0</v>
      </c>
      <c r="N219" s="1">
        <v>0</v>
      </c>
      <c r="O219" s="1">
        <v>0</v>
      </c>
      <c r="P219" s="1">
        <v>0</v>
      </c>
      <c r="Q219" t="str">
        <f>INDEX(pARTNER[#All],MATCH(#REF!,pARTNER[[#All],[Value.partnerSummary.id]],0),10)</f>
        <v>Italia (IT)</v>
      </c>
      <c r="R219" t="str">
        <f>INDEX('Partner data'!$A$2:$DG$171,MATCH(#REF!,'Partner data'!$DG$2:$DG$171,0),83)</f>
        <v>Soggetto pubblico</v>
      </c>
      <c r="S219" s="86" t="b">
        <f>IF(#REF!="staff",INDEX('Partner data'!$DG$2:$DH$171,MATCH(#REF!,'Partner data'!$DG$2:$DG$171,0),2))</f>
        <v>0</v>
      </c>
    </row>
    <row r="220" spans="1:19" x14ac:dyDescent="0.25">
      <c r="A220" s="1" t="s">
        <v>71</v>
      </c>
      <c r="B220" s="1" t="s">
        <v>69</v>
      </c>
      <c r="C220" s="13">
        <v>154</v>
      </c>
      <c r="D220" s="13">
        <v>151</v>
      </c>
      <c r="E220" s="1" t="s">
        <v>237</v>
      </c>
      <c r="F220" s="1"/>
      <c r="G220" s="1">
        <v>0</v>
      </c>
      <c r="H220" s="1">
        <v>0</v>
      </c>
      <c r="I220" s="1">
        <v>0</v>
      </c>
      <c r="J220" s="1">
        <v>0</v>
      </c>
      <c r="K220" s="1">
        <v>0</v>
      </c>
      <c r="L220" s="1">
        <v>0</v>
      </c>
      <c r="M220" s="1">
        <v>0</v>
      </c>
      <c r="N220" s="1">
        <v>0</v>
      </c>
      <c r="O220" s="1">
        <v>0</v>
      </c>
      <c r="P220" s="1">
        <v>0</v>
      </c>
      <c r="Q220" t="str">
        <f>INDEX(pARTNER[#All],MATCH(#REF!,pARTNER[[#All],[Value.partnerSummary.id]],0),10)</f>
        <v>Italia (IT)</v>
      </c>
      <c r="R220" t="str">
        <f>INDEX('Partner data'!$A$2:$DG$171,MATCH(#REF!,'Partner data'!$DG$2:$DG$171,0),83)</f>
        <v>Soggetto pubblico</v>
      </c>
      <c r="S220" s="86" t="b">
        <f>IF(#REF!="staff",INDEX('Partner data'!$DG$2:$DH$171,MATCH(#REF!,'Partner data'!$DG$2:$DG$171,0),2))</f>
        <v>0</v>
      </c>
    </row>
    <row r="221" spans="1:19" x14ac:dyDescent="0.25">
      <c r="A221" s="1" t="s">
        <v>71</v>
      </c>
      <c r="B221" s="1" t="s">
        <v>69</v>
      </c>
      <c r="C221" s="13">
        <v>154</v>
      </c>
      <c r="D221" s="13">
        <v>151</v>
      </c>
      <c r="E221" s="1" t="s">
        <v>238</v>
      </c>
      <c r="F221" s="1"/>
      <c r="G221" s="1">
        <v>95006.71</v>
      </c>
      <c r="H221" s="1">
        <v>0</v>
      </c>
      <c r="I221" s="1">
        <v>0</v>
      </c>
      <c r="J221" s="1">
        <v>30523.24</v>
      </c>
      <c r="K221" s="1">
        <v>0</v>
      </c>
      <c r="L221" s="1">
        <v>29206.92</v>
      </c>
      <c r="M221" s="1">
        <v>30523.24</v>
      </c>
      <c r="N221" s="1">
        <v>32.130000000000003</v>
      </c>
      <c r="O221" s="1">
        <v>64483.47</v>
      </c>
      <c r="P221" s="1">
        <v>0</v>
      </c>
      <c r="Q221" t="str">
        <f>INDEX(pARTNER[#All],MATCH(#REF!,pARTNER[[#All],[Value.partnerSummary.id]],0),10)</f>
        <v>Italia (IT)</v>
      </c>
      <c r="R221" t="str">
        <f>INDEX('Partner data'!$A$2:$DG$171,MATCH(#REF!,'Partner data'!$DG$2:$DG$171,0),83)</f>
        <v>Soggetto pubblico</v>
      </c>
      <c r="S221" s="86" t="b">
        <f>IF(#REF!="staff",INDEX('Partner data'!$DG$2:$DH$171,MATCH(#REF!,'Partner data'!$DG$2:$DG$171,0),2))</f>
        <v>0</v>
      </c>
    </row>
    <row r="222" spans="1:19" x14ac:dyDescent="0.25">
      <c r="A222" s="1" t="s">
        <v>312</v>
      </c>
      <c r="B222" s="1" t="s">
        <v>311</v>
      </c>
      <c r="C222" s="13">
        <v>183</v>
      </c>
      <c r="D222" s="13">
        <v>220</v>
      </c>
      <c r="E222" s="1" t="s">
        <v>228</v>
      </c>
      <c r="F222" s="1">
        <v>20</v>
      </c>
      <c r="G222" s="1">
        <v>34300</v>
      </c>
      <c r="H222" s="1">
        <v>0</v>
      </c>
      <c r="I222" s="1">
        <v>0</v>
      </c>
      <c r="J222" s="1">
        <v>430.5</v>
      </c>
      <c r="K222" s="1">
        <v>0</v>
      </c>
      <c r="L222" s="1">
        <v>430.5</v>
      </c>
      <c r="M222" s="1">
        <v>430.5</v>
      </c>
      <c r="N222" s="1">
        <v>1.26</v>
      </c>
      <c r="O222" s="1">
        <v>33869.5</v>
      </c>
      <c r="P222" s="1">
        <v>0</v>
      </c>
      <c r="Q222" t="str">
        <f>INDEX(pARTNER[#All],MATCH(#REF!,pARTNER[[#All],[Value.partnerSummary.id]],0),10)</f>
        <v>Italia (IT)</v>
      </c>
      <c r="R222" t="str">
        <f>INDEX('Partner data'!$A$2:$DG$171,MATCH(#REF!,'Partner data'!$DG$2:$DG$171,0),83)</f>
        <v>Soggetto pubblico</v>
      </c>
      <c r="S222" s="86" t="str">
        <f>IF(#REF!="staff",INDEX('Partner data'!$DG$2:$DH$171,MATCH(#REF!,'Partner data'!$DG$2:$DG$171,0),2))</f>
        <v>Tasso Forfettario 20%</v>
      </c>
    </row>
    <row r="223" spans="1:19" x14ac:dyDescent="0.25">
      <c r="A223" s="1" t="s">
        <v>312</v>
      </c>
      <c r="B223" s="1" t="s">
        <v>311</v>
      </c>
      <c r="C223" s="13">
        <v>183</v>
      </c>
      <c r="D223" s="13">
        <v>220</v>
      </c>
      <c r="E223" s="1" t="s">
        <v>229</v>
      </c>
      <c r="F223" s="1">
        <v>15</v>
      </c>
      <c r="G223" s="1">
        <v>5145</v>
      </c>
      <c r="H223" s="1">
        <v>0</v>
      </c>
      <c r="I223" s="1">
        <v>0</v>
      </c>
      <c r="J223" s="1">
        <v>64.569999999999993</v>
      </c>
      <c r="K223" s="1">
        <v>0</v>
      </c>
      <c r="L223" s="1">
        <v>64.569999999999993</v>
      </c>
      <c r="M223" s="1">
        <v>64.569999999999993</v>
      </c>
      <c r="N223" s="1">
        <v>1.26</v>
      </c>
      <c r="O223" s="1">
        <v>5080.43</v>
      </c>
      <c r="P223" s="1">
        <v>0</v>
      </c>
      <c r="Q223" t="str">
        <f>INDEX(pARTNER[#All],MATCH(#REF!,pARTNER[[#All],[Value.partnerSummary.id]],0),10)</f>
        <v>Italia (IT)</v>
      </c>
      <c r="R223" t="str">
        <f>INDEX('Partner data'!$A$2:$DG$171,MATCH(#REF!,'Partner data'!$DG$2:$DG$171,0),83)</f>
        <v>Soggetto pubblico</v>
      </c>
      <c r="S223" s="86" t="b">
        <f>IF(#REF!="staff",INDEX('Partner data'!$DG$2:$DH$171,MATCH(#REF!,'Partner data'!$DG$2:$DG$171,0),2))</f>
        <v>0</v>
      </c>
    </row>
    <row r="224" spans="1:19" x14ac:dyDescent="0.25">
      <c r="A224" s="1" t="s">
        <v>312</v>
      </c>
      <c r="B224" s="1" t="s">
        <v>311</v>
      </c>
      <c r="C224" s="13">
        <v>183</v>
      </c>
      <c r="D224" s="13">
        <v>220</v>
      </c>
      <c r="E224" s="1" t="s">
        <v>230</v>
      </c>
      <c r="F224" s="1">
        <v>4</v>
      </c>
      <c r="G224" s="1">
        <v>1372</v>
      </c>
      <c r="H224" s="1">
        <v>0</v>
      </c>
      <c r="I224" s="1">
        <v>0</v>
      </c>
      <c r="J224" s="1">
        <v>17.22</v>
      </c>
      <c r="K224" s="1">
        <v>0</v>
      </c>
      <c r="L224" s="1">
        <v>17.22</v>
      </c>
      <c r="M224" s="1">
        <v>17.22</v>
      </c>
      <c r="N224" s="1">
        <v>1.26</v>
      </c>
      <c r="O224" s="1">
        <v>1354.78</v>
      </c>
      <c r="P224" s="1">
        <v>0</v>
      </c>
      <c r="Q224" t="str">
        <f>INDEX(pARTNER[#All],MATCH(#REF!,pARTNER[[#All],[Value.partnerSummary.id]],0),10)</f>
        <v>Italia (IT)</v>
      </c>
      <c r="R224" t="str">
        <f>INDEX('Partner data'!$A$2:$DG$171,MATCH(#REF!,'Partner data'!$DG$2:$DG$171,0),83)</f>
        <v>Soggetto pubblico</v>
      </c>
      <c r="S224" s="86" t="b">
        <f>IF(#REF!="staff",INDEX('Partner data'!$DG$2:$DH$171,MATCH(#REF!,'Partner data'!$DG$2:$DG$171,0),2))</f>
        <v>0</v>
      </c>
    </row>
    <row r="225" spans="1:19" x14ac:dyDescent="0.25">
      <c r="A225" s="1" t="s">
        <v>312</v>
      </c>
      <c r="B225" s="1" t="s">
        <v>311</v>
      </c>
      <c r="C225" s="13">
        <v>183</v>
      </c>
      <c r="D225" s="13">
        <v>220</v>
      </c>
      <c r="E225" s="1" t="s">
        <v>231</v>
      </c>
      <c r="F225" s="1"/>
      <c r="G225" s="1">
        <v>110500</v>
      </c>
      <c r="H225" s="1">
        <v>0</v>
      </c>
      <c r="I225" s="1">
        <v>0</v>
      </c>
      <c r="J225" s="1">
        <v>2152.5100000000002</v>
      </c>
      <c r="K225" s="1">
        <v>0</v>
      </c>
      <c r="L225" s="1">
        <v>2152.5100000000002</v>
      </c>
      <c r="M225" s="1">
        <v>2152.5100000000002</v>
      </c>
      <c r="N225" s="1">
        <v>1.95</v>
      </c>
      <c r="O225" s="1">
        <v>108347.49</v>
      </c>
      <c r="P225" s="1">
        <v>0</v>
      </c>
      <c r="Q225" t="str">
        <f>INDEX(pARTNER[#All],MATCH(#REF!,pARTNER[[#All],[Value.partnerSummary.id]],0),10)</f>
        <v>Italia (IT)</v>
      </c>
      <c r="R225" t="str">
        <f>INDEX('Partner data'!$A$2:$DG$171,MATCH(#REF!,'Partner data'!$DG$2:$DG$171,0),83)</f>
        <v>Soggetto pubblico</v>
      </c>
      <c r="S225" s="86" t="b">
        <f>IF(#REF!="staff",INDEX('Partner data'!$DG$2:$DH$171,MATCH(#REF!,'Partner data'!$DG$2:$DG$171,0),2))</f>
        <v>0</v>
      </c>
    </row>
    <row r="226" spans="1:19" x14ac:dyDescent="0.25">
      <c r="A226" s="1" t="s">
        <v>312</v>
      </c>
      <c r="B226" s="1" t="s">
        <v>311</v>
      </c>
      <c r="C226" s="13">
        <v>183</v>
      </c>
      <c r="D226" s="13">
        <v>220</v>
      </c>
      <c r="E226" s="1" t="s">
        <v>232</v>
      </c>
      <c r="F226" s="1"/>
      <c r="G226" s="1">
        <v>61000</v>
      </c>
      <c r="H226" s="1">
        <v>0</v>
      </c>
      <c r="I226" s="1">
        <v>0</v>
      </c>
      <c r="J226" s="1">
        <v>0</v>
      </c>
      <c r="K226" s="1">
        <v>0</v>
      </c>
      <c r="L226" s="1">
        <v>0</v>
      </c>
      <c r="M226" s="1">
        <v>0</v>
      </c>
      <c r="N226" s="1">
        <v>0</v>
      </c>
      <c r="O226" s="1">
        <v>61000</v>
      </c>
      <c r="P226" s="1">
        <v>0</v>
      </c>
      <c r="Q226" t="str">
        <f>INDEX(pARTNER[#All],MATCH(#REF!,pARTNER[[#All],[Value.partnerSummary.id]],0),10)</f>
        <v>Italia (IT)</v>
      </c>
      <c r="R226" t="str">
        <f>INDEX('Partner data'!$A$2:$DG$171,MATCH(#REF!,'Partner data'!$DG$2:$DG$171,0),83)</f>
        <v>Soggetto pubblico</v>
      </c>
      <c r="S226" s="86" t="b">
        <f>IF(#REF!="staff",INDEX('Partner data'!$DG$2:$DH$171,MATCH(#REF!,'Partner data'!$DG$2:$DG$171,0),2))</f>
        <v>0</v>
      </c>
    </row>
    <row r="227" spans="1:19" x14ac:dyDescent="0.25">
      <c r="A227" s="1" t="s">
        <v>312</v>
      </c>
      <c r="B227" s="1" t="s">
        <v>311</v>
      </c>
      <c r="C227" s="13">
        <v>183</v>
      </c>
      <c r="D227" s="13">
        <v>220</v>
      </c>
      <c r="E227" s="1" t="s">
        <v>233</v>
      </c>
      <c r="F227" s="1"/>
      <c r="G227" s="1">
        <v>0</v>
      </c>
      <c r="H227" s="1">
        <v>0</v>
      </c>
      <c r="I227" s="1">
        <v>0</v>
      </c>
      <c r="J227" s="1">
        <v>0</v>
      </c>
      <c r="K227" s="1">
        <v>0</v>
      </c>
      <c r="L227" s="1">
        <v>0</v>
      </c>
      <c r="M227" s="1">
        <v>0</v>
      </c>
      <c r="N227" s="1">
        <v>0</v>
      </c>
      <c r="O227" s="1">
        <v>0</v>
      </c>
      <c r="P227" s="1">
        <v>0</v>
      </c>
      <c r="Q227" t="str">
        <f>INDEX(pARTNER[#All],MATCH(#REF!,pARTNER[[#All],[Value.partnerSummary.id]],0),10)</f>
        <v>Italia (IT)</v>
      </c>
      <c r="R227" t="str">
        <f>INDEX('Partner data'!$A$2:$DG$171,MATCH(#REF!,'Partner data'!$DG$2:$DG$171,0),83)</f>
        <v>Soggetto pubblico</v>
      </c>
      <c r="S227" s="86" t="b">
        <f>IF(#REF!="staff",INDEX('Partner data'!$DG$2:$DH$171,MATCH(#REF!,'Partner data'!$DG$2:$DG$171,0),2))</f>
        <v>0</v>
      </c>
    </row>
    <row r="228" spans="1:19" x14ac:dyDescent="0.25">
      <c r="A228" s="1" t="s">
        <v>312</v>
      </c>
      <c r="B228" s="1" t="s">
        <v>311</v>
      </c>
      <c r="C228" s="13">
        <v>183</v>
      </c>
      <c r="D228" s="13">
        <v>220</v>
      </c>
      <c r="E228" s="1" t="s">
        <v>234</v>
      </c>
      <c r="F228" s="1"/>
      <c r="G228" s="1">
        <v>0</v>
      </c>
      <c r="H228" s="1">
        <v>0</v>
      </c>
      <c r="I228" s="1">
        <v>0</v>
      </c>
      <c r="J228" s="1">
        <v>0</v>
      </c>
      <c r="K228" s="1">
        <v>0</v>
      </c>
      <c r="L228" s="1">
        <v>0</v>
      </c>
      <c r="M228" s="1">
        <v>0</v>
      </c>
      <c r="N228" s="1">
        <v>0</v>
      </c>
      <c r="O228" s="1">
        <v>0</v>
      </c>
      <c r="P228" s="1">
        <v>0</v>
      </c>
      <c r="Q228" t="str">
        <f>INDEX(pARTNER[#All],MATCH(#REF!,pARTNER[[#All],[Value.partnerSummary.id]],0),10)</f>
        <v>Italia (IT)</v>
      </c>
      <c r="R228" t="str">
        <f>INDEX('Partner data'!$A$2:$DG$171,MATCH(#REF!,'Partner data'!$DG$2:$DG$171,0),83)</f>
        <v>Soggetto pubblico</v>
      </c>
      <c r="S228" s="86" t="b">
        <f>IF(#REF!="staff",INDEX('Partner data'!$DG$2:$DH$171,MATCH(#REF!,'Partner data'!$DG$2:$DG$171,0),2))</f>
        <v>0</v>
      </c>
    </row>
    <row r="229" spans="1:19" x14ac:dyDescent="0.25">
      <c r="A229" s="1" t="s">
        <v>312</v>
      </c>
      <c r="B229" s="1" t="s">
        <v>311</v>
      </c>
      <c r="C229" s="13">
        <v>183</v>
      </c>
      <c r="D229" s="13">
        <v>220</v>
      </c>
      <c r="E229" s="1" t="s">
        <v>235</v>
      </c>
      <c r="F229" s="1"/>
      <c r="G229" s="1">
        <v>9000</v>
      </c>
      <c r="H229" s="1">
        <v>0</v>
      </c>
      <c r="I229" s="1">
        <v>0</v>
      </c>
      <c r="J229" s="1">
        <v>9000</v>
      </c>
      <c r="K229" s="1">
        <v>0</v>
      </c>
      <c r="L229" s="1">
        <v>9000</v>
      </c>
      <c r="M229" s="1">
        <v>9000</v>
      </c>
      <c r="N229" s="1">
        <v>100</v>
      </c>
      <c r="O229" s="1">
        <v>0</v>
      </c>
      <c r="P229" s="1">
        <v>0</v>
      </c>
      <c r="Q229" t="str">
        <f>INDEX(pARTNER[#All],MATCH(#REF!,pARTNER[[#All],[Value.partnerSummary.id]],0),10)</f>
        <v>Italia (IT)</v>
      </c>
      <c r="R229" t="str">
        <f>INDEX('Partner data'!$A$2:$DG$171,MATCH(#REF!,'Partner data'!$DG$2:$DG$171,0),83)</f>
        <v>Soggetto pubblico</v>
      </c>
      <c r="S229" s="86" t="b">
        <f>IF(#REF!="staff",INDEX('Partner data'!$DG$2:$DH$171,MATCH(#REF!,'Partner data'!$DG$2:$DG$171,0),2))</f>
        <v>0</v>
      </c>
    </row>
    <row r="230" spans="1:19" x14ac:dyDescent="0.25">
      <c r="A230" s="1" t="s">
        <v>312</v>
      </c>
      <c r="B230" s="1" t="s">
        <v>311</v>
      </c>
      <c r="C230" s="13">
        <v>183</v>
      </c>
      <c r="D230" s="13">
        <v>220</v>
      </c>
      <c r="E230" s="1" t="s">
        <v>236</v>
      </c>
      <c r="F230" s="1"/>
      <c r="G230" s="1">
        <v>0</v>
      </c>
      <c r="H230" s="1">
        <v>0</v>
      </c>
      <c r="I230" s="1">
        <v>0</v>
      </c>
      <c r="J230" s="1">
        <v>0</v>
      </c>
      <c r="K230" s="1">
        <v>0</v>
      </c>
      <c r="L230" s="1">
        <v>0</v>
      </c>
      <c r="M230" s="1">
        <v>0</v>
      </c>
      <c r="N230" s="1">
        <v>0</v>
      </c>
      <c r="O230" s="1">
        <v>0</v>
      </c>
      <c r="P230" s="1">
        <v>0</v>
      </c>
      <c r="Q230" t="str">
        <f>INDEX(pARTNER[#All],MATCH(#REF!,pARTNER[[#All],[Value.partnerSummary.id]],0),10)</f>
        <v>Italia (IT)</v>
      </c>
      <c r="R230" t="str">
        <f>INDEX('Partner data'!$A$2:$DG$171,MATCH(#REF!,'Partner data'!$DG$2:$DG$171,0),83)</f>
        <v>Soggetto pubblico</v>
      </c>
      <c r="S230" s="86" t="b">
        <f>IF(#REF!="staff",INDEX('Partner data'!$DG$2:$DH$171,MATCH(#REF!,'Partner data'!$DG$2:$DG$171,0),2))</f>
        <v>0</v>
      </c>
    </row>
    <row r="231" spans="1:19" x14ac:dyDescent="0.25">
      <c r="A231" s="1" t="s">
        <v>312</v>
      </c>
      <c r="B231" s="1" t="s">
        <v>311</v>
      </c>
      <c r="C231" s="13">
        <v>183</v>
      </c>
      <c r="D231" s="13">
        <v>220</v>
      </c>
      <c r="E231" s="1" t="s">
        <v>237</v>
      </c>
      <c r="F231" s="1"/>
      <c r="G231" s="1">
        <v>0</v>
      </c>
      <c r="H231" s="1">
        <v>0</v>
      </c>
      <c r="I231" s="1">
        <v>0</v>
      </c>
      <c r="J231" s="1">
        <v>0</v>
      </c>
      <c r="K231" s="1">
        <v>0</v>
      </c>
      <c r="L231" s="1">
        <v>0</v>
      </c>
      <c r="M231" s="1">
        <v>0</v>
      </c>
      <c r="N231" s="1">
        <v>0</v>
      </c>
      <c r="O231" s="1">
        <v>0</v>
      </c>
      <c r="P231" s="1">
        <v>0</v>
      </c>
      <c r="Q231" t="str">
        <f>INDEX(pARTNER[#All],MATCH(#REF!,pARTNER[[#All],[Value.partnerSummary.id]],0),10)</f>
        <v>Italia (IT)</v>
      </c>
      <c r="R231" t="str">
        <f>INDEX('Partner data'!$A$2:$DG$171,MATCH(#REF!,'Partner data'!$DG$2:$DG$171,0),83)</f>
        <v>Soggetto pubblico</v>
      </c>
      <c r="S231" s="86" t="b">
        <f>IF(#REF!="staff",INDEX('Partner data'!$DG$2:$DH$171,MATCH(#REF!,'Partner data'!$DG$2:$DG$171,0),2))</f>
        <v>0</v>
      </c>
    </row>
    <row r="232" spans="1:19" x14ac:dyDescent="0.25">
      <c r="A232" s="1" t="s">
        <v>312</v>
      </c>
      <c r="B232" s="1" t="s">
        <v>311</v>
      </c>
      <c r="C232" s="13">
        <v>183</v>
      </c>
      <c r="D232" s="13">
        <v>220</v>
      </c>
      <c r="E232" s="1" t="s">
        <v>238</v>
      </c>
      <c r="F232" s="1"/>
      <c r="G232" s="1">
        <v>221317</v>
      </c>
      <c r="H232" s="1">
        <v>0</v>
      </c>
      <c r="I232" s="1">
        <v>0</v>
      </c>
      <c r="J232" s="1">
        <v>11664.8</v>
      </c>
      <c r="K232" s="1">
        <v>0</v>
      </c>
      <c r="L232" s="1">
        <v>11664.8</v>
      </c>
      <c r="M232" s="1">
        <v>11664.8</v>
      </c>
      <c r="N232" s="1">
        <v>5.27</v>
      </c>
      <c r="O232" s="1">
        <v>209652.2</v>
      </c>
      <c r="P232" s="1">
        <v>0</v>
      </c>
      <c r="Q232" t="str">
        <f>INDEX(pARTNER[#All],MATCH(#REF!,pARTNER[[#All],[Value.partnerSummary.id]],0),10)</f>
        <v>Italia (IT)</v>
      </c>
      <c r="R232" t="str">
        <f>INDEX('Partner data'!$A$2:$DG$171,MATCH(#REF!,'Partner data'!$DG$2:$DG$171,0),83)</f>
        <v>Soggetto pubblico</v>
      </c>
      <c r="S232" s="86" t="b">
        <f>IF(#REF!="staff",INDEX('Partner data'!$DG$2:$DH$171,MATCH(#REF!,'Partner data'!$DG$2:$DG$171,0),2))</f>
        <v>0</v>
      </c>
    </row>
    <row r="233" spans="1:19" x14ac:dyDescent="0.25">
      <c r="A233" s="1" t="s">
        <v>312</v>
      </c>
      <c r="B233" s="1" t="s">
        <v>313</v>
      </c>
      <c r="C233" s="13">
        <v>184</v>
      </c>
      <c r="D233" s="13">
        <v>304</v>
      </c>
      <c r="E233" s="1" t="s">
        <v>228</v>
      </c>
      <c r="F233" s="1">
        <v>20</v>
      </c>
      <c r="G233" s="1">
        <v>21200</v>
      </c>
      <c r="H233" s="1">
        <v>0</v>
      </c>
      <c r="I233" s="1">
        <v>0</v>
      </c>
      <c r="J233" s="1">
        <v>0</v>
      </c>
      <c r="K233" s="1">
        <v>0</v>
      </c>
      <c r="L233" s="1">
        <v>0</v>
      </c>
      <c r="M233" s="1">
        <v>0</v>
      </c>
      <c r="N233" s="1">
        <v>0</v>
      </c>
      <c r="O233" s="1">
        <v>21200</v>
      </c>
      <c r="P233" s="1">
        <v>0</v>
      </c>
      <c r="Q233" t="str">
        <f>INDEX(pARTNER[#All],MATCH(#REF!,pARTNER[[#All],[Value.partnerSummary.id]],0),10)</f>
        <v>Italia (IT)</v>
      </c>
      <c r="R233" t="str">
        <f>INDEX('Partner data'!$A$2:$DG$171,MATCH(#REF!,'Partner data'!$DG$2:$DG$171,0),83)</f>
        <v>Soggetto pubblico</v>
      </c>
      <c r="S233" s="86" t="str">
        <f>IF(#REF!="staff",INDEX('Partner data'!$DG$2:$DH$171,MATCH(#REF!,'Partner data'!$DG$2:$DG$171,0),2))</f>
        <v>Tasso Forfettario 20%</v>
      </c>
    </row>
    <row r="234" spans="1:19" x14ac:dyDescent="0.25">
      <c r="A234" s="1" t="s">
        <v>312</v>
      </c>
      <c r="B234" s="1" t="s">
        <v>313</v>
      </c>
      <c r="C234" s="13">
        <v>184</v>
      </c>
      <c r="D234" s="13">
        <v>304</v>
      </c>
      <c r="E234" s="1" t="s">
        <v>229</v>
      </c>
      <c r="F234" s="1">
        <v>15</v>
      </c>
      <c r="G234" s="1">
        <v>3180</v>
      </c>
      <c r="H234" s="1">
        <v>0</v>
      </c>
      <c r="I234" s="1">
        <v>0</v>
      </c>
      <c r="J234" s="1">
        <v>0</v>
      </c>
      <c r="K234" s="1">
        <v>0</v>
      </c>
      <c r="L234" s="1">
        <v>0</v>
      </c>
      <c r="M234" s="1">
        <v>0</v>
      </c>
      <c r="N234" s="1">
        <v>0</v>
      </c>
      <c r="O234" s="1">
        <v>3180</v>
      </c>
      <c r="P234" s="1">
        <v>0</v>
      </c>
      <c r="Q234" t="str">
        <f>INDEX(pARTNER[#All],MATCH(#REF!,pARTNER[[#All],[Value.partnerSummary.id]],0),10)</f>
        <v>Italia (IT)</v>
      </c>
      <c r="R234" t="str">
        <f>INDEX('Partner data'!$A$2:$DG$171,MATCH(#REF!,'Partner data'!$DG$2:$DG$171,0),83)</f>
        <v>Soggetto pubblico</v>
      </c>
      <c r="S234" s="86" t="b">
        <f>IF(#REF!="staff",INDEX('Partner data'!$DG$2:$DH$171,MATCH(#REF!,'Partner data'!$DG$2:$DG$171,0),2))</f>
        <v>0</v>
      </c>
    </row>
    <row r="235" spans="1:19" x14ac:dyDescent="0.25">
      <c r="A235" s="1" t="s">
        <v>312</v>
      </c>
      <c r="B235" s="1" t="s">
        <v>313</v>
      </c>
      <c r="C235" s="13">
        <v>184</v>
      </c>
      <c r="D235" s="13">
        <v>304</v>
      </c>
      <c r="E235" s="1" t="s">
        <v>230</v>
      </c>
      <c r="F235" s="1">
        <v>4</v>
      </c>
      <c r="G235" s="1">
        <v>848</v>
      </c>
      <c r="H235" s="1">
        <v>0</v>
      </c>
      <c r="I235" s="1">
        <v>0</v>
      </c>
      <c r="J235" s="1">
        <v>0</v>
      </c>
      <c r="K235" s="1">
        <v>0</v>
      </c>
      <c r="L235" s="1">
        <v>0</v>
      </c>
      <c r="M235" s="1">
        <v>0</v>
      </c>
      <c r="N235" s="1">
        <v>0</v>
      </c>
      <c r="O235" s="1">
        <v>848</v>
      </c>
      <c r="P235" s="1">
        <v>0</v>
      </c>
      <c r="Q235" t="str">
        <f>INDEX(pARTNER[#All],MATCH(#REF!,pARTNER[[#All],[Value.partnerSummary.id]],0),10)</f>
        <v>Italia (IT)</v>
      </c>
      <c r="R235" t="str">
        <f>INDEX('Partner data'!$A$2:$DG$171,MATCH(#REF!,'Partner data'!$DG$2:$DG$171,0),83)</f>
        <v>Soggetto pubblico</v>
      </c>
      <c r="S235" s="86" t="b">
        <f>IF(#REF!="staff",INDEX('Partner data'!$DG$2:$DH$171,MATCH(#REF!,'Partner data'!$DG$2:$DG$171,0),2))</f>
        <v>0</v>
      </c>
    </row>
    <row r="236" spans="1:19" x14ac:dyDescent="0.25">
      <c r="A236" s="1" t="s">
        <v>312</v>
      </c>
      <c r="B236" s="1" t="s">
        <v>313</v>
      </c>
      <c r="C236" s="13">
        <v>184</v>
      </c>
      <c r="D236" s="13">
        <v>304</v>
      </c>
      <c r="E236" s="1" t="s">
        <v>231</v>
      </c>
      <c r="F236" s="1"/>
      <c r="G236" s="1">
        <v>56000</v>
      </c>
      <c r="H236" s="1">
        <v>0</v>
      </c>
      <c r="I236" s="1">
        <v>0</v>
      </c>
      <c r="J236" s="1">
        <v>0</v>
      </c>
      <c r="K236" s="1">
        <v>0</v>
      </c>
      <c r="L236" s="1">
        <v>0</v>
      </c>
      <c r="M236" s="1">
        <v>0</v>
      </c>
      <c r="N236" s="1">
        <v>0</v>
      </c>
      <c r="O236" s="1">
        <v>56000</v>
      </c>
      <c r="P236" s="1">
        <v>0</v>
      </c>
      <c r="Q236" t="str">
        <f>INDEX(pARTNER[#All],MATCH(#REF!,pARTNER[[#All],[Value.partnerSummary.id]],0),10)</f>
        <v>Italia (IT)</v>
      </c>
      <c r="R236" t="str">
        <f>INDEX('Partner data'!$A$2:$DG$171,MATCH(#REF!,'Partner data'!$DG$2:$DG$171,0),83)</f>
        <v>Soggetto pubblico</v>
      </c>
      <c r="S236" s="86" t="b">
        <f>IF(#REF!="staff",INDEX('Partner data'!$DG$2:$DH$171,MATCH(#REF!,'Partner data'!$DG$2:$DG$171,0),2))</f>
        <v>0</v>
      </c>
    </row>
    <row r="237" spans="1:19" x14ac:dyDescent="0.25">
      <c r="A237" s="1" t="s">
        <v>312</v>
      </c>
      <c r="B237" s="1" t="s">
        <v>313</v>
      </c>
      <c r="C237" s="13">
        <v>184</v>
      </c>
      <c r="D237" s="13">
        <v>304</v>
      </c>
      <c r="E237" s="1" t="s">
        <v>232</v>
      </c>
      <c r="F237" s="1"/>
      <c r="G237" s="1">
        <v>50000</v>
      </c>
      <c r="H237" s="1">
        <v>0</v>
      </c>
      <c r="I237" s="1">
        <v>0</v>
      </c>
      <c r="J237" s="1">
        <v>0</v>
      </c>
      <c r="K237" s="1">
        <v>0</v>
      </c>
      <c r="L237" s="1">
        <v>0</v>
      </c>
      <c r="M237" s="1">
        <v>0</v>
      </c>
      <c r="N237" s="1">
        <v>0</v>
      </c>
      <c r="O237" s="1">
        <v>50000</v>
      </c>
      <c r="P237" s="1">
        <v>0</v>
      </c>
      <c r="Q237" t="str">
        <f>INDEX(pARTNER[#All],MATCH(#REF!,pARTNER[[#All],[Value.partnerSummary.id]],0),10)</f>
        <v>Italia (IT)</v>
      </c>
      <c r="R237" t="str">
        <f>INDEX('Partner data'!$A$2:$DG$171,MATCH(#REF!,'Partner data'!$DG$2:$DG$171,0),83)</f>
        <v>Soggetto pubblico</v>
      </c>
      <c r="S237" s="86" t="b">
        <f>IF(#REF!="staff",INDEX('Partner data'!$DG$2:$DH$171,MATCH(#REF!,'Partner data'!$DG$2:$DG$171,0),2))</f>
        <v>0</v>
      </c>
    </row>
    <row r="238" spans="1:19" x14ac:dyDescent="0.25">
      <c r="A238" s="1" t="s">
        <v>312</v>
      </c>
      <c r="B238" s="1" t="s">
        <v>313</v>
      </c>
      <c r="C238" s="13">
        <v>184</v>
      </c>
      <c r="D238" s="13">
        <v>304</v>
      </c>
      <c r="E238" s="1" t="s">
        <v>233</v>
      </c>
      <c r="F238" s="1"/>
      <c r="G238" s="1">
        <v>0</v>
      </c>
      <c r="H238" s="1">
        <v>0</v>
      </c>
      <c r="I238" s="1">
        <v>0</v>
      </c>
      <c r="J238" s="1">
        <v>0</v>
      </c>
      <c r="K238" s="1">
        <v>0</v>
      </c>
      <c r="L238" s="1">
        <v>0</v>
      </c>
      <c r="M238" s="1">
        <v>0</v>
      </c>
      <c r="N238" s="1">
        <v>0</v>
      </c>
      <c r="O238" s="1">
        <v>0</v>
      </c>
      <c r="P238" s="1">
        <v>0</v>
      </c>
      <c r="Q238" t="str">
        <f>INDEX(pARTNER[#All],MATCH(#REF!,pARTNER[[#All],[Value.partnerSummary.id]],0),10)</f>
        <v>Italia (IT)</v>
      </c>
      <c r="R238" t="str">
        <f>INDEX('Partner data'!$A$2:$DG$171,MATCH(#REF!,'Partner data'!$DG$2:$DG$171,0),83)</f>
        <v>Soggetto pubblico</v>
      </c>
      <c r="S238" s="86" t="b">
        <f>IF(#REF!="staff",INDEX('Partner data'!$DG$2:$DH$171,MATCH(#REF!,'Partner data'!$DG$2:$DG$171,0),2))</f>
        <v>0</v>
      </c>
    </row>
    <row r="239" spans="1:19" x14ac:dyDescent="0.25">
      <c r="A239" s="1" t="s">
        <v>312</v>
      </c>
      <c r="B239" s="1" t="s">
        <v>313</v>
      </c>
      <c r="C239" s="13">
        <v>184</v>
      </c>
      <c r="D239" s="13">
        <v>304</v>
      </c>
      <c r="E239" s="1" t="s">
        <v>234</v>
      </c>
      <c r="F239" s="1"/>
      <c r="G239" s="1">
        <v>0</v>
      </c>
      <c r="H239" s="1">
        <v>0</v>
      </c>
      <c r="I239" s="1">
        <v>0</v>
      </c>
      <c r="J239" s="1">
        <v>0</v>
      </c>
      <c r="K239" s="1">
        <v>0</v>
      </c>
      <c r="L239" s="1">
        <v>0</v>
      </c>
      <c r="M239" s="1">
        <v>0</v>
      </c>
      <c r="N239" s="1">
        <v>0</v>
      </c>
      <c r="O239" s="1">
        <v>0</v>
      </c>
      <c r="P239" s="1">
        <v>0</v>
      </c>
      <c r="Q239" t="str">
        <f>INDEX(pARTNER[#All],MATCH(#REF!,pARTNER[[#All],[Value.partnerSummary.id]],0),10)</f>
        <v>Italia (IT)</v>
      </c>
      <c r="R239" t="str">
        <f>INDEX('Partner data'!$A$2:$DG$171,MATCH(#REF!,'Partner data'!$DG$2:$DG$171,0),83)</f>
        <v>Soggetto pubblico</v>
      </c>
      <c r="S239" s="86" t="b">
        <f>IF(#REF!="staff",INDEX('Partner data'!$DG$2:$DH$171,MATCH(#REF!,'Partner data'!$DG$2:$DG$171,0),2))</f>
        <v>0</v>
      </c>
    </row>
    <row r="240" spans="1:19" x14ac:dyDescent="0.25">
      <c r="A240" s="1" t="s">
        <v>312</v>
      </c>
      <c r="B240" s="1" t="s">
        <v>313</v>
      </c>
      <c r="C240" s="13">
        <v>184</v>
      </c>
      <c r="D240" s="13">
        <v>304</v>
      </c>
      <c r="E240" s="1" t="s">
        <v>235</v>
      </c>
      <c r="F240" s="1"/>
      <c r="G240" s="1">
        <v>0</v>
      </c>
      <c r="H240" s="1">
        <v>0</v>
      </c>
      <c r="I240" s="1">
        <v>0</v>
      </c>
      <c r="J240" s="1">
        <v>0</v>
      </c>
      <c r="K240" s="1">
        <v>0</v>
      </c>
      <c r="L240" s="1">
        <v>0</v>
      </c>
      <c r="M240" s="1">
        <v>0</v>
      </c>
      <c r="N240" s="1">
        <v>0</v>
      </c>
      <c r="O240" s="1">
        <v>0</v>
      </c>
      <c r="P240" s="1">
        <v>0</v>
      </c>
      <c r="Q240" t="str">
        <f>INDEX(pARTNER[#All],MATCH(#REF!,pARTNER[[#All],[Value.partnerSummary.id]],0),10)</f>
        <v>Italia (IT)</v>
      </c>
      <c r="R240" t="str">
        <f>INDEX('Partner data'!$A$2:$DG$171,MATCH(#REF!,'Partner data'!$DG$2:$DG$171,0),83)</f>
        <v>Soggetto pubblico</v>
      </c>
      <c r="S240" s="86" t="b">
        <f>IF(#REF!="staff",INDEX('Partner data'!$DG$2:$DH$171,MATCH(#REF!,'Partner data'!$DG$2:$DG$171,0),2))</f>
        <v>0</v>
      </c>
    </row>
    <row r="241" spans="1:19" x14ac:dyDescent="0.25">
      <c r="A241" s="1" t="s">
        <v>312</v>
      </c>
      <c r="B241" s="1" t="s">
        <v>313</v>
      </c>
      <c r="C241" s="13">
        <v>184</v>
      </c>
      <c r="D241" s="13">
        <v>304</v>
      </c>
      <c r="E241" s="1" t="s">
        <v>236</v>
      </c>
      <c r="F241" s="1"/>
      <c r="G241" s="1">
        <v>0</v>
      </c>
      <c r="H241" s="1">
        <v>0</v>
      </c>
      <c r="I241" s="1">
        <v>0</v>
      </c>
      <c r="J241" s="1">
        <v>0</v>
      </c>
      <c r="K241" s="1">
        <v>0</v>
      </c>
      <c r="L241" s="1">
        <v>0</v>
      </c>
      <c r="M241" s="1">
        <v>0</v>
      </c>
      <c r="N241" s="1">
        <v>0</v>
      </c>
      <c r="O241" s="1">
        <v>0</v>
      </c>
      <c r="P241" s="1">
        <v>0</v>
      </c>
      <c r="Q241" t="str">
        <f>INDEX(pARTNER[#All],MATCH(#REF!,pARTNER[[#All],[Value.partnerSummary.id]],0),10)</f>
        <v>Italia (IT)</v>
      </c>
      <c r="R241" t="str">
        <f>INDEX('Partner data'!$A$2:$DG$171,MATCH(#REF!,'Partner data'!$DG$2:$DG$171,0),83)</f>
        <v>Soggetto pubblico</v>
      </c>
      <c r="S241" s="86" t="b">
        <f>IF(#REF!="staff",INDEX('Partner data'!$DG$2:$DH$171,MATCH(#REF!,'Partner data'!$DG$2:$DG$171,0),2))</f>
        <v>0</v>
      </c>
    </row>
    <row r="242" spans="1:19" x14ac:dyDescent="0.25">
      <c r="A242" s="1" t="s">
        <v>312</v>
      </c>
      <c r="B242" s="1" t="s">
        <v>313</v>
      </c>
      <c r="C242" s="13">
        <v>184</v>
      </c>
      <c r="D242" s="13">
        <v>304</v>
      </c>
      <c r="E242" s="1" t="s">
        <v>237</v>
      </c>
      <c r="F242" s="1"/>
      <c r="G242" s="1">
        <v>0</v>
      </c>
      <c r="H242" s="1">
        <v>0</v>
      </c>
      <c r="I242" s="1">
        <v>0</v>
      </c>
      <c r="J242" s="1">
        <v>0</v>
      </c>
      <c r="K242" s="1">
        <v>0</v>
      </c>
      <c r="L242" s="1">
        <v>0</v>
      </c>
      <c r="M242" s="1">
        <v>0</v>
      </c>
      <c r="N242" s="1">
        <v>0</v>
      </c>
      <c r="O242" s="1">
        <v>0</v>
      </c>
      <c r="P242" s="1">
        <v>0</v>
      </c>
      <c r="Q242" t="str">
        <f>INDEX(pARTNER[#All],MATCH(#REF!,pARTNER[[#All],[Value.partnerSummary.id]],0),10)</f>
        <v>Italia (IT)</v>
      </c>
      <c r="R242" t="str">
        <f>INDEX('Partner data'!$A$2:$DG$171,MATCH(#REF!,'Partner data'!$DG$2:$DG$171,0),83)</f>
        <v>Soggetto pubblico</v>
      </c>
      <c r="S242" s="86" t="b">
        <f>IF(#REF!="staff",INDEX('Partner data'!$DG$2:$DH$171,MATCH(#REF!,'Partner data'!$DG$2:$DG$171,0),2))</f>
        <v>0</v>
      </c>
    </row>
    <row r="243" spans="1:19" x14ac:dyDescent="0.25">
      <c r="A243" s="1" t="s">
        <v>312</v>
      </c>
      <c r="B243" s="1" t="s">
        <v>313</v>
      </c>
      <c r="C243" s="13">
        <v>184</v>
      </c>
      <c r="D243" s="13">
        <v>304</v>
      </c>
      <c r="E243" s="1" t="s">
        <v>238</v>
      </c>
      <c r="F243" s="1"/>
      <c r="G243" s="1">
        <v>131228</v>
      </c>
      <c r="H243" s="1">
        <v>0</v>
      </c>
      <c r="I243" s="1">
        <v>0</v>
      </c>
      <c r="J243" s="1">
        <v>0</v>
      </c>
      <c r="K243" s="1">
        <v>0</v>
      </c>
      <c r="L243" s="1">
        <v>0</v>
      </c>
      <c r="M243" s="1">
        <v>0</v>
      </c>
      <c r="N243" s="1">
        <v>0</v>
      </c>
      <c r="O243" s="1">
        <v>131228</v>
      </c>
      <c r="P243" s="1">
        <v>0</v>
      </c>
      <c r="Q243" t="str">
        <f>INDEX(pARTNER[#All],MATCH(#REF!,pARTNER[[#All],[Value.partnerSummary.id]],0),10)</f>
        <v>Italia (IT)</v>
      </c>
      <c r="R243" t="str">
        <f>INDEX('Partner data'!$A$2:$DG$171,MATCH(#REF!,'Partner data'!$DG$2:$DG$171,0),83)</f>
        <v>Soggetto pubblico</v>
      </c>
      <c r="S243" s="86" t="b">
        <f>IF(#REF!="staff",INDEX('Partner data'!$DG$2:$DH$171,MATCH(#REF!,'Partner data'!$DG$2:$DG$171,0),2))</f>
        <v>0</v>
      </c>
    </row>
    <row r="244" spans="1:19" x14ac:dyDescent="0.25">
      <c r="A244" s="1" t="s">
        <v>312</v>
      </c>
      <c r="B244" s="1" t="s">
        <v>314</v>
      </c>
      <c r="C244" s="13">
        <v>185</v>
      </c>
      <c r="D244" s="13">
        <v>114</v>
      </c>
      <c r="E244" s="1" t="s">
        <v>228</v>
      </c>
      <c r="F244" s="1"/>
      <c r="G244" s="1">
        <v>94991.95</v>
      </c>
      <c r="H244" s="1">
        <v>0</v>
      </c>
      <c r="I244" s="1">
        <v>0</v>
      </c>
      <c r="J244" s="1">
        <v>16300.38</v>
      </c>
      <c r="K244" s="1">
        <v>0</v>
      </c>
      <c r="L244" s="1">
        <v>16217.31</v>
      </c>
      <c r="M244" s="1">
        <v>16300.38</v>
      </c>
      <c r="N244" s="1">
        <v>17.16</v>
      </c>
      <c r="O244" s="1">
        <v>78691.570000000007</v>
      </c>
      <c r="P244" s="1">
        <v>0</v>
      </c>
      <c r="Q244" t="str">
        <f>INDEX(pARTNER[#All],MATCH(#REF!,pARTNER[[#All],[Value.partnerSummary.id]],0),10)</f>
        <v>Slovenija (SI)</v>
      </c>
      <c r="R244" t="str">
        <f>INDEX('Partner data'!$A$2:$DG$171,MATCH(#REF!,'Partner data'!$DG$2:$DG$171,0),83)</f>
        <v>Soggetto pubblico</v>
      </c>
      <c r="S244" s="86" t="str">
        <f>IF(#REF!="staff",INDEX('Partner data'!$DG$2:$DH$171,MATCH(#REF!,'Partner data'!$DG$2:$DG$171,0),2))</f>
        <v>COSTO REALE</v>
      </c>
    </row>
    <row r="245" spans="1:19" x14ac:dyDescent="0.25">
      <c r="A245" s="1" t="s">
        <v>312</v>
      </c>
      <c r="B245" s="1" t="s">
        <v>314</v>
      </c>
      <c r="C245" s="13">
        <v>185</v>
      </c>
      <c r="D245" s="13">
        <v>114</v>
      </c>
      <c r="E245" s="1" t="s">
        <v>229</v>
      </c>
      <c r="F245" s="1">
        <v>15</v>
      </c>
      <c r="G245" s="1">
        <v>14248.79</v>
      </c>
      <c r="H245" s="1">
        <v>0</v>
      </c>
      <c r="I245" s="1">
        <v>0</v>
      </c>
      <c r="J245" s="1">
        <v>2445.0500000000002</v>
      </c>
      <c r="K245" s="1">
        <v>0</v>
      </c>
      <c r="L245" s="1">
        <v>2432.59</v>
      </c>
      <c r="M245" s="1">
        <v>2445.0500000000002</v>
      </c>
      <c r="N245" s="1">
        <v>17.16</v>
      </c>
      <c r="O245" s="1">
        <v>11803.74</v>
      </c>
      <c r="P245" s="1">
        <v>0</v>
      </c>
      <c r="Q245" t="str">
        <f>INDEX(pARTNER[#All],MATCH(#REF!,pARTNER[[#All],[Value.partnerSummary.id]],0),10)</f>
        <v>Slovenija (SI)</v>
      </c>
      <c r="R245" t="str">
        <f>INDEX('Partner data'!$A$2:$DG$171,MATCH(#REF!,'Partner data'!$DG$2:$DG$171,0),83)</f>
        <v>Soggetto pubblico</v>
      </c>
      <c r="S245" s="86" t="b">
        <f>IF(#REF!="staff",INDEX('Partner data'!$DG$2:$DH$171,MATCH(#REF!,'Partner data'!$DG$2:$DG$171,0),2))</f>
        <v>0</v>
      </c>
    </row>
    <row r="246" spans="1:19" x14ac:dyDescent="0.25">
      <c r="A246" s="1" t="s">
        <v>312</v>
      </c>
      <c r="B246" s="1" t="s">
        <v>314</v>
      </c>
      <c r="C246" s="13">
        <v>185</v>
      </c>
      <c r="D246" s="13">
        <v>114</v>
      </c>
      <c r="E246" s="1" t="s">
        <v>230</v>
      </c>
      <c r="F246" s="1">
        <v>4</v>
      </c>
      <c r="G246" s="1">
        <v>3799.67</v>
      </c>
      <c r="H246" s="1">
        <v>0</v>
      </c>
      <c r="I246" s="1">
        <v>0</v>
      </c>
      <c r="J246" s="1">
        <v>652.01</v>
      </c>
      <c r="K246" s="1">
        <v>0</v>
      </c>
      <c r="L246" s="1">
        <v>648.69000000000005</v>
      </c>
      <c r="M246" s="1">
        <v>652.01</v>
      </c>
      <c r="N246" s="1">
        <v>17.16</v>
      </c>
      <c r="O246" s="1">
        <v>3147.66</v>
      </c>
      <c r="P246" s="1">
        <v>0</v>
      </c>
      <c r="Q246" t="str">
        <f>INDEX(pARTNER[#All],MATCH(#REF!,pARTNER[[#All],[Value.partnerSummary.id]],0),10)</f>
        <v>Slovenija (SI)</v>
      </c>
      <c r="R246" t="str">
        <f>INDEX('Partner data'!$A$2:$DG$171,MATCH(#REF!,'Partner data'!$DG$2:$DG$171,0),83)</f>
        <v>Soggetto pubblico</v>
      </c>
      <c r="S246" s="86" t="b">
        <f>IF(#REF!="staff",INDEX('Partner data'!$DG$2:$DH$171,MATCH(#REF!,'Partner data'!$DG$2:$DG$171,0),2))</f>
        <v>0</v>
      </c>
    </row>
    <row r="247" spans="1:19" x14ac:dyDescent="0.25">
      <c r="A247" s="1" t="s">
        <v>312</v>
      </c>
      <c r="B247" s="1" t="s">
        <v>314</v>
      </c>
      <c r="C247" s="13">
        <v>185</v>
      </c>
      <c r="D247" s="13">
        <v>114</v>
      </c>
      <c r="E247" s="1" t="s">
        <v>231</v>
      </c>
      <c r="F247" s="1"/>
      <c r="G247" s="1">
        <v>30459.57</v>
      </c>
      <c r="H247" s="1">
        <v>0</v>
      </c>
      <c r="I247" s="1">
        <v>0</v>
      </c>
      <c r="J247" s="1">
        <v>3150.17</v>
      </c>
      <c r="K247" s="1">
        <v>0</v>
      </c>
      <c r="L247" s="1">
        <v>3150.17</v>
      </c>
      <c r="M247" s="1">
        <v>3150.17</v>
      </c>
      <c r="N247" s="1">
        <v>10.34</v>
      </c>
      <c r="O247" s="1">
        <v>27309.4</v>
      </c>
      <c r="P247" s="1">
        <v>0</v>
      </c>
      <c r="Q247" t="str">
        <f>INDEX(pARTNER[#All],MATCH(#REF!,pARTNER[[#All],[Value.partnerSummary.id]],0),10)</f>
        <v>Slovenija (SI)</v>
      </c>
      <c r="R247" t="str">
        <f>INDEX('Partner data'!$A$2:$DG$171,MATCH(#REF!,'Partner data'!$DG$2:$DG$171,0),83)</f>
        <v>Soggetto pubblico</v>
      </c>
      <c r="S247" s="86" t="b">
        <f>IF(#REF!="staff",INDEX('Partner data'!$DG$2:$DH$171,MATCH(#REF!,'Partner data'!$DG$2:$DG$171,0),2))</f>
        <v>0</v>
      </c>
    </row>
    <row r="248" spans="1:19" x14ac:dyDescent="0.25">
      <c r="A248" s="1" t="s">
        <v>312</v>
      </c>
      <c r="B248" s="1" t="s">
        <v>314</v>
      </c>
      <c r="C248" s="13">
        <v>185</v>
      </c>
      <c r="D248" s="13">
        <v>114</v>
      </c>
      <c r="E248" s="1" t="s">
        <v>232</v>
      </c>
      <c r="F248" s="1"/>
      <c r="G248" s="1">
        <v>69000</v>
      </c>
      <c r="H248" s="1">
        <v>0</v>
      </c>
      <c r="I248" s="1">
        <v>0</v>
      </c>
      <c r="J248" s="1">
        <v>0</v>
      </c>
      <c r="K248" s="1">
        <v>0</v>
      </c>
      <c r="L248" s="1">
        <v>0</v>
      </c>
      <c r="M248" s="1">
        <v>0</v>
      </c>
      <c r="N248" s="1">
        <v>0</v>
      </c>
      <c r="O248" s="1">
        <v>69000</v>
      </c>
      <c r="P248" s="1">
        <v>0</v>
      </c>
      <c r="Q248" t="str">
        <f>INDEX(pARTNER[#All],MATCH(#REF!,pARTNER[[#All],[Value.partnerSummary.id]],0),10)</f>
        <v>Slovenija (SI)</v>
      </c>
      <c r="R248" t="str">
        <f>INDEX('Partner data'!$A$2:$DG$171,MATCH(#REF!,'Partner data'!$DG$2:$DG$171,0),83)</f>
        <v>Soggetto pubblico</v>
      </c>
      <c r="S248" s="86" t="b">
        <f>IF(#REF!="staff",INDEX('Partner data'!$DG$2:$DH$171,MATCH(#REF!,'Partner data'!$DG$2:$DG$171,0),2))</f>
        <v>0</v>
      </c>
    </row>
    <row r="249" spans="1:19" x14ac:dyDescent="0.25">
      <c r="A249" s="1" t="s">
        <v>312</v>
      </c>
      <c r="B249" s="1" t="s">
        <v>314</v>
      </c>
      <c r="C249" s="13">
        <v>185</v>
      </c>
      <c r="D249" s="13">
        <v>114</v>
      </c>
      <c r="E249" s="1" t="s">
        <v>233</v>
      </c>
      <c r="F249" s="1"/>
      <c r="G249" s="1">
        <v>0</v>
      </c>
      <c r="H249" s="1">
        <v>0</v>
      </c>
      <c r="I249" s="1">
        <v>0</v>
      </c>
      <c r="J249" s="1">
        <v>0</v>
      </c>
      <c r="K249" s="1">
        <v>0</v>
      </c>
      <c r="L249" s="1">
        <v>0</v>
      </c>
      <c r="M249" s="1">
        <v>0</v>
      </c>
      <c r="N249" s="1">
        <v>0</v>
      </c>
      <c r="O249" s="1">
        <v>0</v>
      </c>
      <c r="P249" s="1">
        <v>0</v>
      </c>
      <c r="Q249" t="str">
        <f>INDEX(pARTNER[#All],MATCH(#REF!,pARTNER[[#All],[Value.partnerSummary.id]],0),10)</f>
        <v>Slovenija (SI)</v>
      </c>
      <c r="R249" t="str">
        <f>INDEX('Partner data'!$A$2:$DG$171,MATCH(#REF!,'Partner data'!$DG$2:$DG$171,0),83)</f>
        <v>Soggetto pubblico</v>
      </c>
      <c r="S249" s="86" t="b">
        <f>IF(#REF!="staff",INDEX('Partner data'!$DG$2:$DH$171,MATCH(#REF!,'Partner data'!$DG$2:$DG$171,0),2))</f>
        <v>0</v>
      </c>
    </row>
    <row r="250" spans="1:19" x14ac:dyDescent="0.25">
      <c r="A250" s="1" t="s">
        <v>312</v>
      </c>
      <c r="B250" s="1" t="s">
        <v>314</v>
      </c>
      <c r="C250" s="13">
        <v>185</v>
      </c>
      <c r="D250" s="13">
        <v>114</v>
      </c>
      <c r="E250" s="1" t="s">
        <v>234</v>
      </c>
      <c r="F250" s="1"/>
      <c r="G250" s="1">
        <v>0</v>
      </c>
      <c r="H250" s="1">
        <v>0</v>
      </c>
      <c r="I250" s="1">
        <v>0</v>
      </c>
      <c r="J250" s="1">
        <v>0</v>
      </c>
      <c r="K250" s="1">
        <v>0</v>
      </c>
      <c r="L250" s="1">
        <v>0</v>
      </c>
      <c r="M250" s="1">
        <v>0</v>
      </c>
      <c r="N250" s="1">
        <v>0</v>
      </c>
      <c r="O250" s="1">
        <v>0</v>
      </c>
      <c r="P250" s="1">
        <v>0</v>
      </c>
      <c r="Q250" t="str">
        <f>INDEX(pARTNER[#All],MATCH(#REF!,pARTNER[[#All],[Value.partnerSummary.id]],0),10)</f>
        <v>Slovenija (SI)</v>
      </c>
      <c r="R250" t="str">
        <f>INDEX('Partner data'!$A$2:$DG$171,MATCH(#REF!,'Partner data'!$DG$2:$DG$171,0),83)</f>
        <v>Soggetto pubblico</v>
      </c>
      <c r="S250" s="86" t="b">
        <f>IF(#REF!="staff",INDEX('Partner data'!$DG$2:$DH$171,MATCH(#REF!,'Partner data'!$DG$2:$DG$171,0),2))</f>
        <v>0</v>
      </c>
    </row>
    <row r="251" spans="1:19" x14ac:dyDescent="0.25">
      <c r="A251" s="1" t="s">
        <v>312</v>
      </c>
      <c r="B251" s="1" t="s">
        <v>314</v>
      </c>
      <c r="C251" s="13">
        <v>185</v>
      </c>
      <c r="D251" s="13">
        <v>114</v>
      </c>
      <c r="E251" s="1" t="s">
        <v>235</v>
      </c>
      <c r="F251" s="1"/>
      <c r="G251" s="1">
        <v>0</v>
      </c>
      <c r="H251" s="1">
        <v>0</v>
      </c>
      <c r="I251" s="1">
        <v>0</v>
      </c>
      <c r="J251" s="1">
        <v>0</v>
      </c>
      <c r="K251" s="1">
        <v>0</v>
      </c>
      <c r="L251" s="1">
        <v>0</v>
      </c>
      <c r="M251" s="1">
        <v>0</v>
      </c>
      <c r="N251" s="1">
        <v>0</v>
      </c>
      <c r="O251" s="1">
        <v>0</v>
      </c>
      <c r="P251" s="1">
        <v>0</v>
      </c>
      <c r="Q251" t="str">
        <f>INDEX(pARTNER[#All],MATCH(#REF!,pARTNER[[#All],[Value.partnerSummary.id]],0),10)</f>
        <v>Slovenija (SI)</v>
      </c>
      <c r="R251" t="str">
        <f>INDEX('Partner data'!$A$2:$DG$171,MATCH(#REF!,'Partner data'!$DG$2:$DG$171,0),83)</f>
        <v>Soggetto pubblico</v>
      </c>
      <c r="S251" s="86" t="b">
        <f>IF(#REF!="staff",INDEX('Partner data'!$DG$2:$DH$171,MATCH(#REF!,'Partner data'!$DG$2:$DG$171,0),2))</f>
        <v>0</v>
      </c>
    </row>
    <row r="252" spans="1:19" x14ac:dyDescent="0.25">
      <c r="A252" s="1" t="s">
        <v>312</v>
      </c>
      <c r="B252" s="1" t="s">
        <v>314</v>
      </c>
      <c r="C252" s="13">
        <v>185</v>
      </c>
      <c r="D252" s="13">
        <v>114</v>
      </c>
      <c r="E252" s="1" t="s">
        <v>236</v>
      </c>
      <c r="F252" s="1"/>
      <c r="G252" s="1">
        <v>0</v>
      </c>
      <c r="H252" s="1">
        <v>0</v>
      </c>
      <c r="I252" s="1">
        <v>0</v>
      </c>
      <c r="J252" s="1">
        <v>0</v>
      </c>
      <c r="K252" s="1">
        <v>0</v>
      </c>
      <c r="L252" s="1">
        <v>0</v>
      </c>
      <c r="M252" s="1">
        <v>0</v>
      </c>
      <c r="N252" s="1">
        <v>0</v>
      </c>
      <c r="O252" s="1">
        <v>0</v>
      </c>
      <c r="P252" s="1">
        <v>0</v>
      </c>
      <c r="Q252" t="str">
        <f>INDEX(pARTNER[#All],MATCH(#REF!,pARTNER[[#All],[Value.partnerSummary.id]],0),10)</f>
        <v>Slovenija (SI)</v>
      </c>
      <c r="R252" t="str">
        <f>INDEX('Partner data'!$A$2:$DG$171,MATCH(#REF!,'Partner data'!$DG$2:$DG$171,0),83)</f>
        <v>Soggetto pubblico</v>
      </c>
      <c r="S252" s="86" t="b">
        <f>IF(#REF!="staff",INDEX('Partner data'!$DG$2:$DH$171,MATCH(#REF!,'Partner data'!$DG$2:$DG$171,0),2))</f>
        <v>0</v>
      </c>
    </row>
    <row r="253" spans="1:19" x14ac:dyDescent="0.25">
      <c r="A253" s="1" t="s">
        <v>312</v>
      </c>
      <c r="B253" s="1" t="s">
        <v>314</v>
      </c>
      <c r="C253" s="13">
        <v>185</v>
      </c>
      <c r="D253" s="13">
        <v>114</v>
      </c>
      <c r="E253" s="1" t="s">
        <v>237</v>
      </c>
      <c r="F253" s="1"/>
      <c r="G253" s="1">
        <v>0</v>
      </c>
      <c r="H253" s="1">
        <v>0</v>
      </c>
      <c r="I253" s="1">
        <v>0</v>
      </c>
      <c r="J253" s="1">
        <v>0</v>
      </c>
      <c r="K253" s="1">
        <v>0</v>
      </c>
      <c r="L253" s="1">
        <v>0</v>
      </c>
      <c r="M253" s="1">
        <v>0</v>
      </c>
      <c r="N253" s="1">
        <v>0</v>
      </c>
      <c r="O253" s="1">
        <v>0</v>
      </c>
      <c r="P253" s="1">
        <v>0</v>
      </c>
      <c r="Q253" t="str">
        <f>INDEX(pARTNER[#All],MATCH(#REF!,pARTNER[[#All],[Value.partnerSummary.id]],0),10)</f>
        <v>Slovenija (SI)</v>
      </c>
      <c r="R253" t="str">
        <f>INDEX('Partner data'!$A$2:$DG$171,MATCH(#REF!,'Partner data'!$DG$2:$DG$171,0),83)</f>
        <v>Soggetto pubblico</v>
      </c>
      <c r="S253" s="86" t="b">
        <f>IF(#REF!="staff",INDEX('Partner data'!$DG$2:$DH$171,MATCH(#REF!,'Partner data'!$DG$2:$DG$171,0),2))</f>
        <v>0</v>
      </c>
    </row>
    <row r="254" spans="1:19" x14ac:dyDescent="0.25">
      <c r="A254" s="1" t="s">
        <v>312</v>
      </c>
      <c r="B254" s="1" t="s">
        <v>314</v>
      </c>
      <c r="C254" s="13">
        <v>185</v>
      </c>
      <c r="D254" s="13">
        <v>114</v>
      </c>
      <c r="E254" s="1" t="s">
        <v>238</v>
      </c>
      <c r="F254" s="1"/>
      <c r="G254" s="1">
        <v>212499.98</v>
      </c>
      <c r="H254" s="1">
        <v>0</v>
      </c>
      <c r="I254" s="1">
        <v>0</v>
      </c>
      <c r="J254" s="1">
        <v>22547.61</v>
      </c>
      <c r="K254" s="1">
        <v>0</v>
      </c>
      <c r="L254" s="1">
        <v>22448.76</v>
      </c>
      <c r="M254" s="1">
        <v>22547.61</v>
      </c>
      <c r="N254" s="1">
        <v>10.61</v>
      </c>
      <c r="O254" s="1">
        <v>189952.37</v>
      </c>
      <c r="P254" s="1">
        <v>0</v>
      </c>
      <c r="Q254" t="str">
        <f>INDEX(pARTNER[#All],MATCH(#REF!,pARTNER[[#All],[Value.partnerSummary.id]],0),10)</f>
        <v>Slovenija (SI)</v>
      </c>
      <c r="R254" t="str">
        <f>INDEX('Partner data'!$A$2:$DG$171,MATCH(#REF!,'Partner data'!$DG$2:$DG$171,0),83)</f>
        <v>Soggetto pubblico</v>
      </c>
      <c r="S254" s="86" t="b">
        <f>IF(#REF!="staff",INDEX('Partner data'!$DG$2:$DH$171,MATCH(#REF!,'Partner data'!$DG$2:$DG$171,0),2))</f>
        <v>0</v>
      </c>
    </row>
    <row r="255" spans="1:19" x14ac:dyDescent="0.25">
      <c r="A255" s="1" t="s">
        <v>312</v>
      </c>
      <c r="B255" s="1" t="s">
        <v>315</v>
      </c>
      <c r="C255" s="13">
        <v>187</v>
      </c>
      <c r="D255" s="13">
        <v>319</v>
      </c>
      <c r="E255" s="1" t="s">
        <v>228</v>
      </c>
      <c r="F255" s="1">
        <v>20</v>
      </c>
      <c r="G255" s="1">
        <v>19386</v>
      </c>
      <c r="H255" s="1">
        <v>0</v>
      </c>
      <c r="I255" s="1">
        <v>0</v>
      </c>
      <c r="J255" s="1">
        <v>2139.71</v>
      </c>
      <c r="K255" s="1">
        <v>0</v>
      </c>
      <c r="L255" s="1">
        <v>2139.71</v>
      </c>
      <c r="M255" s="1">
        <v>2139.71</v>
      </c>
      <c r="N255" s="1">
        <v>11.04</v>
      </c>
      <c r="O255" s="1">
        <v>17246.29</v>
      </c>
      <c r="P255" s="1">
        <v>0</v>
      </c>
      <c r="Q255" t="str">
        <f>INDEX(pARTNER[#All],MATCH(#REF!,pARTNER[[#All],[Value.partnerSummary.id]],0),10)</f>
        <v>Slovenija (SI)</v>
      </c>
      <c r="R255" t="str">
        <f>INDEX('Partner data'!$A$2:$DG$171,MATCH(#REF!,'Partner data'!$DG$2:$DG$171,0),83)</f>
        <v>Soggetto pubblico</v>
      </c>
      <c r="S255" s="86" t="str">
        <f>IF(#REF!="staff",INDEX('Partner data'!$DG$2:$DH$171,MATCH(#REF!,'Partner data'!$DG$2:$DG$171,0),2))</f>
        <v>Tasso Forfettario 20%</v>
      </c>
    </row>
    <row r="256" spans="1:19" x14ac:dyDescent="0.25">
      <c r="A256" s="1" t="s">
        <v>312</v>
      </c>
      <c r="B256" s="1" t="s">
        <v>315</v>
      </c>
      <c r="C256" s="13">
        <v>187</v>
      </c>
      <c r="D256" s="13">
        <v>319</v>
      </c>
      <c r="E256" s="1" t="s">
        <v>229</v>
      </c>
      <c r="F256" s="1">
        <v>15</v>
      </c>
      <c r="G256" s="1">
        <v>2907.9</v>
      </c>
      <c r="H256" s="1">
        <v>0</v>
      </c>
      <c r="I256" s="1">
        <v>0</v>
      </c>
      <c r="J256" s="1">
        <v>320.95</v>
      </c>
      <c r="K256" s="1">
        <v>0</v>
      </c>
      <c r="L256" s="1">
        <v>320.95</v>
      </c>
      <c r="M256" s="1">
        <v>320.95</v>
      </c>
      <c r="N256" s="1">
        <v>11.04</v>
      </c>
      <c r="O256" s="1">
        <v>2586.9499999999998</v>
      </c>
      <c r="P256" s="1">
        <v>0</v>
      </c>
      <c r="Q256" t="str">
        <f>INDEX(pARTNER[#All],MATCH(#REF!,pARTNER[[#All],[Value.partnerSummary.id]],0),10)</f>
        <v>Slovenija (SI)</v>
      </c>
      <c r="R256" t="str">
        <f>INDEX('Partner data'!$A$2:$DG$171,MATCH(#REF!,'Partner data'!$DG$2:$DG$171,0),83)</f>
        <v>Soggetto pubblico</v>
      </c>
      <c r="S256" s="86" t="b">
        <f>IF(#REF!="staff",INDEX('Partner data'!$DG$2:$DH$171,MATCH(#REF!,'Partner data'!$DG$2:$DG$171,0),2))</f>
        <v>0</v>
      </c>
    </row>
    <row r="257" spans="1:19" x14ac:dyDescent="0.25">
      <c r="A257" s="1" t="s">
        <v>312</v>
      </c>
      <c r="B257" s="1" t="s">
        <v>315</v>
      </c>
      <c r="C257" s="13">
        <v>187</v>
      </c>
      <c r="D257" s="13">
        <v>319</v>
      </c>
      <c r="E257" s="1" t="s">
        <v>230</v>
      </c>
      <c r="F257" s="1">
        <v>4</v>
      </c>
      <c r="G257" s="1">
        <v>775.44</v>
      </c>
      <c r="H257" s="1">
        <v>0</v>
      </c>
      <c r="I257" s="1">
        <v>0</v>
      </c>
      <c r="J257" s="1">
        <v>85.58</v>
      </c>
      <c r="K257" s="1">
        <v>0</v>
      </c>
      <c r="L257" s="1">
        <v>85.58</v>
      </c>
      <c r="M257" s="1">
        <v>85.58</v>
      </c>
      <c r="N257" s="1">
        <v>11.04</v>
      </c>
      <c r="O257" s="1">
        <v>689.86</v>
      </c>
      <c r="P257" s="1">
        <v>0</v>
      </c>
      <c r="Q257" t="str">
        <f>INDEX(pARTNER[#All],MATCH(#REF!,pARTNER[[#All],[Value.partnerSummary.id]],0),10)</f>
        <v>Slovenija (SI)</v>
      </c>
      <c r="R257" t="str">
        <f>INDEX('Partner data'!$A$2:$DG$171,MATCH(#REF!,'Partner data'!$DG$2:$DG$171,0),83)</f>
        <v>Soggetto pubblico</v>
      </c>
      <c r="S257" s="86" t="b">
        <f>IF(#REF!="staff",INDEX('Partner data'!$DG$2:$DH$171,MATCH(#REF!,'Partner data'!$DG$2:$DG$171,0),2))</f>
        <v>0</v>
      </c>
    </row>
    <row r="258" spans="1:19" x14ac:dyDescent="0.25">
      <c r="A258" s="1" t="s">
        <v>312</v>
      </c>
      <c r="B258" s="1" t="s">
        <v>315</v>
      </c>
      <c r="C258" s="13">
        <v>187</v>
      </c>
      <c r="D258" s="13">
        <v>319</v>
      </c>
      <c r="E258" s="1" t="s">
        <v>231</v>
      </c>
      <c r="F258" s="1"/>
      <c r="G258" s="1">
        <v>34130</v>
      </c>
      <c r="H258" s="1">
        <v>0</v>
      </c>
      <c r="I258" s="1">
        <v>0</v>
      </c>
      <c r="J258" s="1">
        <v>1415</v>
      </c>
      <c r="K258" s="1">
        <v>0</v>
      </c>
      <c r="L258" s="1">
        <v>1415</v>
      </c>
      <c r="M258" s="1">
        <v>1415</v>
      </c>
      <c r="N258" s="1">
        <v>4.1500000000000004</v>
      </c>
      <c r="O258" s="1">
        <v>32715</v>
      </c>
      <c r="P258" s="1">
        <v>0</v>
      </c>
      <c r="Q258" t="str">
        <f>INDEX(pARTNER[#All],MATCH(#REF!,pARTNER[[#All],[Value.partnerSummary.id]],0),10)</f>
        <v>Slovenija (SI)</v>
      </c>
      <c r="R258" t="str">
        <f>INDEX('Partner data'!$A$2:$DG$171,MATCH(#REF!,'Partner data'!$DG$2:$DG$171,0),83)</f>
        <v>Soggetto pubblico</v>
      </c>
      <c r="S258" s="86" t="b">
        <f>IF(#REF!="staff",INDEX('Partner data'!$DG$2:$DH$171,MATCH(#REF!,'Partner data'!$DG$2:$DG$171,0),2))</f>
        <v>0</v>
      </c>
    </row>
    <row r="259" spans="1:19" x14ac:dyDescent="0.25">
      <c r="A259" s="1" t="s">
        <v>312</v>
      </c>
      <c r="B259" s="1" t="s">
        <v>315</v>
      </c>
      <c r="C259" s="13">
        <v>187</v>
      </c>
      <c r="D259" s="13">
        <v>319</v>
      </c>
      <c r="E259" s="1" t="s">
        <v>232</v>
      </c>
      <c r="F259" s="1"/>
      <c r="G259" s="1">
        <v>62800</v>
      </c>
      <c r="H259" s="1">
        <v>0</v>
      </c>
      <c r="I259" s="1">
        <v>0</v>
      </c>
      <c r="J259" s="1">
        <v>9283.59</v>
      </c>
      <c r="K259" s="1">
        <v>0</v>
      </c>
      <c r="L259" s="1">
        <v>9283.59</v>
      </c>
      <c r="M259" s="1">
        <v>9283.59</v>
      </c>
      <c r="N259" s="1">
        <v>14.78</v>
      </c>
      <c r="O259" s="1">
        <v>53516.41</v>
      </c>
      <c r="P259" s="1">
        <v>0</v>
      </c>
      <c r="Q259" t="str">
        <f>INDEX(pARTNER[#All],MATCH(#REF!,pARTNER[[#All],[Value.partnerSummary.id]],0),10)</f>
        <v>Slovenija (SI)</v>
      </c>
      <c r="R259" t="str">
        <f>INDEX('Partner data'!$A$2:$DG$171,MATCH(#REF!,'Partner data'!$DG$2:$DG$171,0),83)</f>
        <v>Soggetto pubblico</v>
      </c>
      <c r="S259" s="86" t="b">
        <f>IF(#REF!="staff",INDEX('Partner data'!$DG$2:$DH$171,MATCH(#REF!,'Partner data'!$DG$2:$DG$171,0),2))</f>
        <v>0</v>
      </c>
    </row>
    <row r="260" spans="1:19" x14ac:dyDescent="0.25">
      <c r="A260" s="1" t="s">
        <v>312</v>
      </c>
      <c r="B260" s="1" t="s">
        <v>315</v>
      </c>
      <c r="C260" s="13">
        <v>187</v>
      </c>
      <c r="D260" s="13">
        <v>319</v>
      </c>
      <c r="E260" s="1" t="s">
        <v>233</v>
      </c>
      <c r="F260" s="1"/>
      <c r="G260" s="1">
        <v>0</v>
      </c>
      <c r="H260" s="1">
        <v>0</v>
      </c>
      <c r="I260" s="1">
        <v>0</v>
      </c>
      <c r="J260" s="1">
        <v>0</v>
      </c>
      <c r="K260" s="1">
        <v>0</v>
      </c>
      <c r="L260" s="1">
        <v>0</v>
      </c>
      <c r="M260" s="1">
        <v>0</v>
      </c>
      <c r="N260" s="1">
        <v>0</v>
      </c>
      <c r="O260" s="1">
        <v>0</v>
      </c>
      <c r="P260" s="1">
        <v>0</v>
      </c>
      <c r="Q260" t="str">
        <f>INDEX(pARTNER[#All],MATCH(#REF!,pARTNER[[#All],[Value.partnerSummary.id]],0),10)</f>
        <v>Slovenija (SI)</v>
      </c>
      <c r="R260" t="str">
        <f>INDEX('Partner data'!$A$2:$DG$171,MATCH(#REF!,'Partner data'!$DG$2:$DG$171,0),83)</f>
        <v>Soggetto pubblico</v>
      </c>
      <c r="S260" s="86" t="b">
        <f>IF(#REF!="staff",INDEX('Partner data'!$DG$2:$DH$171,MATCH(#REF!,'Partner data'!$DG$2:$DG$171,0),2))</f>
        <v>0</v>
      </c>
    </row>
    <row r="261" spans="1:19" x14ac:dyDescent="0.25">
      <c r="A261" s="1" t="s">
        <v>312</v>
      </c>
      <c r="B261" s="1" t="s">
        <v>315</v>
      </c>
      <c r="C261" s="13">
        <v>187</v>
      </c>
      <c r="D261" s="13">
        <v>319</v>
      </c>
      <c r="E261" s="1" t="s">
        <v>234</v>
      </c>
      <c r="F261" s="1"/>
      <c r="G261" s="1">
        <v>0</v>
      </c>
      <c r="H261" s="1">
        <v>0</v>
      </c>
      <c r="I261" s="1">
        <v>0</v>
      </c>
      <c r="J261" s="1">
        <v>0</v>
      </c>
      <c r="K261" s="1">
        <v>0</v>
      </c>
      <c r="L261" s="1">
        <v>0</v>
      </c>
      <c r="M261" s="1">
        <v>0</v>
      </c>
      <c r="N261" s="1">
        <v>0</v>
      </c>
      <c r="O261" s="1">
        <v>0</v>
      </c>
      <c r="P261" s="1">
        <v>0</v>
      </c>
      <c r="Q261" t="str">
        <f>INDEX(pARTNER[#All],MATCH(#REF!,pARTNER[[#All],[Value.partnerSummary.id]],0),10)</f>
        <v>Slovenija (SI)</v>
      </c>
      <c r="R261" t="str">
        <f>INDEX('Partner data'!$A$2:$DG$171,MATCH(#REF!,'Partner data'!$DG$2:$DG$171,0),83)</f>
        <v>Soggetto pubblico</v>
      </c>
      <c r="S261" s="86" t="b">
        <f>IF(#REF!="staff",INDEX('Partner data'!$DG$2:$DH$171,MATCH(#REF!,'Partner data'!$DG$2:$DG$171,0),2))</f>
        <v>0</v>
      </c>
    </row>
    <row r="262" spans="1:19" x14ac:dyDescent="0.25">
      <c r="A262" s="1" t="s">
        <v>312</v>
      </c>
      <c r="B262" s="1" t="s">
        <v>315</v>
      </c>
      <c r="C262" s="13">
        <v>187</v>
      </c>
      <c r="D262" s="13">
        <v>319</v>
      </c>
      <c r="E262" s="1" t="s">
        <v>235</v>
      </c>
      <c r="F262" s="1"/>
      <c r="G262" s="1">
        <v>0</v>
      </c>
      <c r="H262" s="1">
        <v>0</v>
      </c>
      <c r="I262" s="1">
        <v>0</v>
      </c>
      <c r="J262" s="1">
        <v>0</v>
      </c>
      <c r="K262" s="1">
        <v>0</v>
      </c>
      <c r="L262" s="1">
        <v>0</v>
      </c>
      <c r="M262" s="1">
        <v>0</v>
      </c>
      <c r="N262" s="1">
        <v>0</v>
      </c>
      <c r="O262" s="1">
        <v>0</v>
      </c>
      <c r="P262" s="1">
        <v>0</v>
      </c>
      <c r="Q262" t="str">
        <f>INDEX(pARTNER[#All],MATCH(#REF!,pARTNER[[#All],[Value.partnerSummary.id]],0),10)</f>
        <v>Slovenija (SI)</v>
      </c>
      <c r="R262" t="str">
        <f>INDEX('Partner data'!$A$2:$DG$171,MATCH(#REF!,'Partner data'!$DG$2:$DG$171,0),83)</f>
        <v>Soggetto pubblico</v>
      </c>
      <c r="S262" s="86" t="b">
        <f>IF(#REF!="staff",INDEX('Partner data'!$DG$2:$DH$171,MATCH(#REF!,'Partner data'!$DG$2:$DG$171,0),2))</f>
        <v>0</v>
      </c>
    </row>
    <row r="263" spans="1:19" x14ac:dyDescent="0.25">
      <c r="A263" s="1" t="s">
        <v>312</v>
      </c>
      <c r="B263" s="1" t="s">
        <v>315</v>
      </c>
      <c r="C263" s="13">
        <v>187</v>
      </c>
      <c r="D263" s="13">
        <v>319</v>
      </c>
      <c r="E263" s="1" t="s">
        <v>236</v>
      </c>
      <c r="F263" s="1"/>
      <c r="G263" s="1">
        <v>0</v>
      </c>
      <c r="H263" s="1">
        <v>0</v>
      </c>
      <c r="I263" s="1">
        <v>0</v>
      </c>
      <c r="J263" s="1">
        <v>0</v>
      </c>
      <c r="K263" s="1">
        <v>0</v>
      </c>
      <c r="L263" s="1">
        <v>0</v>
      </c>
      <c r="M263" s="1">
        <v>0</v>
      </c>
      <c r="N263" s="1">
        <v>0</v>
      </c>
      <c r="O263" s="1">
        <v>0</v>
      </c>
      <c r="P263" s="1">
        <v>0</v>
      </c>
      <c r="Q263" t="str">
        <f>INDEX(pARTNER[#All],MATCH(#REF!,pARTNER[[#All],[Value.partnerSummary.id]],0),10)</f>
        <v>Slovenija (SI)</v>
      </c>
      <c r="R263" t="str">
        <f>INDEX('Partner data'!$A$2:$DG$171,MATCH(#REF!,'Partner data'!$DG$2:$DG$171,0),83)</f>
        <v>Soggetto pubblico</v>
      </c>
      <c r="S263" s="86" t="b">
        <f>IF(#REF!="staff",INDEX('Partner data'!$DG$2:$DH$171,MATCH(#REF!,'Partner data'!$DG$2:$DG$171,0),2))</f>
        <v>0</v>
      </c>
    </row>
    <row r="264" spans="1:19" x14ac:dyDescent="0.25">
      <c r="A264" s="1" t="s">
        <v>312</v>
      </c>
      <c r="B264" s="1" t="s">
        <v>315</v>
      </c>
      <c r="C264" s="13">
        <v>187</v>
      </c>
      <c r="D264" s="13">
        <v>319</v>
      </c>
      <c r="E264" s="1" t="s">
        <v>237</v>
      </c>
      <c r="F264" s="1"/>
      <c r="G264" s="1">
        <v>0</v>
      </c>
      <c r="H264" s="1">
        <v>0</v>
      </c>
      <c r="I264" s="1">
        <v>0</v>
      </c>
      <c r="J264" s="1">
        <v>0</v>
      </c>
      <c r="K264" s="1">
        <v>0</v>
      </c>
      <c r="L264" s="1">
        <v>0</v>
      </c>
      <c r="M264" s="1">
        <v>0</v>
      </c>
      <c r="N264" s="1">
        <v>0</v>
      </c>
      <c r="O264" s="1">
        <v>0</v>
      </c>
      <c r="P264" s="1">
        <v>0</v>
      </c>
      <c r="Q264" t="str">
        <f>INDEX(pARTNER[#All],MATCH(#REF!,pARTNER[[#All],[Value.partnerSummary.id]],0),10)</f>
        <v>Slovenija (SI)</v>
      </c>
      <c r="R264" t="str">
        <f>INDEX('Partner data'!$A$2:$DG$171,MATCH(#REF!,'Partner data'!$DG$2:$DG$171,0),83)</f>
        <v>Soggetto pubblico</v>
      </c>
      <c r="S264" s="86" t="b">
        <f>IF(#REF!="staff",INDEX('Partner data'!$DG$2:$DH$171,MATCH(#REF!,'Partner data'!$DG$2:$DG$171,0),2))</f>
        <v>0</v>
      </c>
    </row>
    <row r="265" spans="1:19" x14ac:dyDescent="0.25">
      <c r="A265" s="1" t="s">
        <v>312</v>
      </c>
      <c r="B265" s="1" t="s">
        <v>315</v>
      </c>
      <c r="C265" s="13">
        <v>187</v>
      </c>
      <c r="D265" s="13">
        <v>319</v>
      </c>
      <c r="E265" s="1" t="s">
        <v>238</v>
      </c>
      <c r="F265" s="1"/>
      <c r="G265" s="1">
        <v>119999.34</v>
      </c>
      <c r="H265" s="1">
        <v>0</v>
      </c>
      <c r="I265" s="1">
        <v>0</v>
      </c>
      <c r="J265" s="1">
        <v>13244.83</v>
      </c>
      <c r="K265" s="1">
        <v>0</v>
      </c>
      <c r="L265" s="1">
        <v>13244.83</v>
      </c>
      <c r="M265" s="1">
        <v>13244.83</v>
      </c>
      <c r="N265" s="1">
        <v>11.04</v>
      </c>
      <c r="O265" s="1">
        <v>106754.51</v>
      </c>
      <c r="P265" s="1">
        <v>0</v>
      </c>
      <c r="Q265" t="str">
        <f>INDEX(pARTNER[#All],MATCH(#REF!,pARTNER[[#All],[Value.partnerSummary.id]],0),10)</f>
        <v>Slovenija (SI)</v>
      </c>
      <c r="R265" t="str">
        <f>INDEX('Partner data'!$A$2:$DG$171,MATCH(#REF!,'Partner data'!$DG$2:$DG$171,0),83)</f>
        <v>Soggetto pubblico</v>
      </c>
      <c r="S265" s="86" t="b">
        <f>IF(#REF!="staff",INDEX('Partner data'!$DG$2:$DH$171,MATCH(#REF!,'Partner data'!$DG$2:$DG$171,0),2))</f>
        <v>0</v>
      </c>
    </row>
    <row r="266" spans="1:19" x14ac:dyDescent="0.25">
      <c r="A266" s="1" t="s">
        <v>312</v>
      </c>
      <c r="B266" s="1" t="s">
        <v>316</v>
      </c>
      <c r="C266" s="13">
        <v>186</v>
      </c>
      <c r="D266" s="13">
        <v>329</v>
      </c>
      <c r="E266" s="1" t="s">
        <v>228</v>
      </c>
      <c r="F266" s="1">
        <v>20</v>
      </c>
      <c r="G266" s="1">
        <v>10420</v>
      </c>
      <c r="H266" s="1">
        <v>0</v>
      </c>
      <c r="I266" s="1">
        <v>0</v>
      </c>
      <c r="J266" s="1">
        <v>0</v>
      </c>
      <c r="K266" s="1">
        <v>0</v>
      </c>
      <c r="L266" s="1">
        <v>0</v>
      </c>
      <c r="M266" s="1">
        <v>0</v>
      </c>
      <c r="N266" s="1">
        <v>0</v>
      </c>
      <c r="O266" s="1">
        <v>10420</v>
      </c>
      <c r="P266" s="1">
        <v>0</v>
      </c>
      <c r="Q266" t="str">
        <f>INDEX(pARTNER[#All],MATCH(#REF!,pARTNER[[#All],[Value.partnerSummary.id]],0),10)</f>
        <v>Slovenija (SI)</v>
      </c>
      <c r="R266" t="str">
        <f>INDEX('Partner data'!$A$2:$DG$171,MATCH(#REF!,'Partner data'!$DG$2:$DG$171,0),83)</f>
        <v>Soggetto pubblico</v>
      </c>
      <c r="S266" s="86" t="str">
        <f>IF(#REF!="staff",INDEX('Partner data'!$DG$2:$DH$171,MATCH(#REF!,'Partner data'!$DG$2:$DG$171,0),2))</f>
        <v>Tasso Forfettario 20%</v>
      </c>
    </row>
    <row r="267" spans="1:19" x14ac:dyDescent="0.25">
      <c r="A267" s="1" t="s">
        <v>312</v>
      </c>
      <c r="B267" s="1" t="s">
        <v>316</v>
      </c>
      <c r="C267" s="13">
        <v>186</v>
      </c>
      <c r="D267" s="13">
        <v>329</v>
      </c>
      <c r="E267" s="1" t="s">
        <v>229</v>
      </c>
      <c r="F267" s="1">
        <v>15</v>
      </c>
      <c r="G267" s="1">
        <v>1563</v>
      </c>
      <c r="H267" s="1">
        <v>0</v>
      </c>
      <c r="I267" s="1">
        <v>0</v>
      </c>
      <c r="J267" s="1">
        <v>0</v>
      </c>
      <c r="K267" s="1">
        <v>0</v>
      </c>
      <c r="L267" s="1">
        <v>0</v>
      </c>
      <c r="M267" s="1">
        <v>0</v>
      </c>
      <c r="N267" s="1">
        <v>0</v>
      </c>
      <c r="O267" s="1">
        <v>1563</v>
      </c>
      <c r="P267" s="1">
        <v>0</v>
      </c>
      <c r="Q267" t="str">
        <f>INDEX(pARTNER[#All],MATCH(#REF!,pARTNER[[#All],[Value.partnerSummary.id]],0),10)</f>
        <v>Slovenija (SI)</v>
      </c>
      <c r="R267" t="str">
        <f>INDEX('Partner data'!$A$2:$DG$171,MATCH(#REF!,'Partner data'!$DG$2:$DG$171,0),83)</f>
        <v>Soggetto pubblico</v>
      </c>
      <c r="S267" s="86" t="b">
        <f>IF(#REF!="staff",INDEX('Partner data'!$DG$2:$DH$171,MATCH(#REF!,'Partner data'!$DG$2:$DG$171,0),2))</f>
        <v>0</v>
      </c>
    </row>
    <row r="268" spans="1:19" x14ac:dyDescent="0.25">
      <c r="A268" s="1" t="s">
        <v>312</v>
      </c>
      <c r="B268" s="1" t="s">
        <v>316</v>
      </c>
      <c r="C268" s="13">
        <v>186</v>
      </c>
      <c r="D268" s="13">
        <v>329</v>
      </c>
      <c r="E268" s="1" t="s">
        <v>230</v>
      </c>
      <c r="F268" s="1">
        <v>4</v>
      </c>
      <c r="G268" s="1">
        <v>416.8</v>
      </c>
      <c r="H268" s="1">
        <v>0</v>
      </c>
      <c r="I268" s="1">
        <v>0</v>
      </c>
      <c r="J268" s="1">
        <v>0</v>
      </c>
      <c r="K268" s="1">
        <v>0</v>
      </c>
      <c r="L268" s="1">
        <v>0</v>
      </c>
      <c r="M268" s="1">
        <v>0</v>
      </c>
      <c r="N268" s="1">
        <v>0</v>
      </c>
      <c r="O268" s="1">
        <v>416.8</v>
      </c>
      <c r="P268" s="1">
        <v>0</v>
      </c>
      <c r="Q268" t="str">
        <f>INDEX(pARTNER[#All],MATCH(#REF!,pARTNER[[#All],[Value.partnerSummary.id]],0),10)</f>
        <v>Slovenija (SI)</v>
      </c>
      <c r="R268" t="str">
        <f>INDEX('Partner data'!$A$2:$DG$171,MATCH(#REF!,'Partner data'!$DG$2:$DG$171,0),83)</f>
        <v>Soggetto pubblico</v>
      </c>
      <c r="S268" s="86" t="b">
        <f>IF(#REF!="staff",INDEX('Partner data'!$DG$2:$DH$171,MATCH(#REF!,'Partner data'!$DG$2:$DG$171,0),2))</f>
        <v>0</v>
      </c>
    </row>
    <row r="269" spans="1:19" x14ac:dyDescent="0.25">
      <c r="A269" s="1" t="s">
        <v>312</v>
      </c>
      <c r="B269" s="1" t="s">
        <v>316</v>
      </c>
      <c r="C269" s="13">
        <v>186</v>
      </c>
      <c r="D269" s="13">
        <v>329</v>
      </c>
      <c r="E269" s="1" t="s">
        <v>231</v>
      </c>
      <c r="F269" s="1"/>
      <c r="G269" s="1">
        <v>3600</v>
      </c>
      <c r="H269" s="1">
        <v>0</v>
      </c>
      <c r="I269" s="1">
        <v>0</v>
      </c>
      <c r="J269" s="1">
        <v>0</v>
      </c>
      <c r="K269" s="1">
        <v>0</v>
      </c>
      <c r="L269" s="1">
        <v>0</v>
      </c>
      <c r="M269" s="1">
        <v>0</v>
      </c>
      <c r="N269" s="1">
        <v>0</v>
      </c>
      <c r="O269" s="1">
        <v>3600</v>
      </c>
      <c r="P269" s="1">
        <v>0</v>
      </c>
      <c r="Q269" t="str">
        <f>INDEX(pARTNER[#All],MATCH(#REF!,pARTNER[[#All],[Value.partnerSummary.id]],0),10)</f>
        <v>Slovenija (SI)</v>
      </c>
      <c r="R269" t="str">
        <f>INDEX('Partner data'!$A$2:$DG$171,MATCH(#REF!,'Partner data'!$DG$2:$DG$171,0),83)</f>
        <v>Soggetto pubblico</v>
      </c>
      <c r="S269" s="86" t="b">
        <f>IF(#REF!="staff",INDEX('Partner data'!$DG$2:$DH$171,MATCH(#REF!,'Partner data'!$DG$2:$DG$171,0),2))</f>
        <v>0</v>
      </c>
    </row>
    <row r="270" spans="1:19" x14ac:dyDescent="0.25">
      <c r="A270" s="1" t="s">
        <v>312</v>
      </c>
      <c r="B270" s="1" t="s">
        <v>316</v>
      </c>
      <c r="C270" s="13">
        <v>186</v>
      </c>
      <c r="D270" s="13">
        <v>329</v>
      </c>
      <c r="E270" s="1" t="s">
        <v>232</v>
      </c>
      <c r="F270" s="1"/>
      <c r="G270" s="1">
        <v>48500</v>
      </c>
      <c r="H270" s="1">
        <v>0</v>
      </c>
      <c r="I270" s="1">
        <v>0</v>
      </c>
      <c r="J270" s="1">
        <v>0</v>
      </c>
      <c r="K270" s="1">
        <v>0</v>
      </c>
      <c r="L270" s="1">
        <v>0</v>
      </c>
      <c r="M270" s="1">
        <v>0</v>
      </c>
      <c r="N270" s="1">
        <v>0</v>
      </c>
      <c r="O270" s="1">
        <v>48500</v>
      </c>
      <c r="P270" s="1">
        <v>0</v>
      </c>
      <c r="Q270" t="str">
        <f>INDEX(pARTNER[#All],MATCH(#REF!,pARTNER[[#All],[Value.partnerSummary.id]],0),10)</f>
        <v>Slovenija (SI)</v>
      </c>
      <c r="R270" t="str">
        <f>INDEX('Partner data'!$A$2:$DG$171,MATCH(#REF!,'Partner data'!$DG$2:$DG$171,0),83)</f>
        <v>Soggetto pubblico</v>
      </c>
      <c r="S270" s="86" t="b">
        <f>IF(#REF!="staff",INDEX('Partner data'!$DG$2:$DH$171,MATCH(#REF!,'Partner data'!$DG$2:$DG$171,0),2))</f>
        <v>0</v>
      </c>
    </row>
    <row r="271" spans="1:19" x14ac:dyDescent="0.25">
      <c r="A271" s="1" t="s">
        <v>312</v>
      </c>
      <c r="B271" s="1" t="s">
        <v>316</v>
      </c>
      <c r="C271" s="13">
        <v>186</v>
      </c>
      <c r="D271" s="13">
        <v>329</v>
      </c>
      <c r="E271" s="1" t="s">
        <v>233</v>
      </c>
      <c r="F271" s="1"/>
      <c r="G271" s="1">
        <v>0</v>
      </c>
      <c r="H271" s="1">
        <v>0</v>
      </c>
      <c r="I271" s="1">
        <v>0</v>
      </c>
      <c r="J271" s="1">
        <v>0</v>
      </c>
      <c r="K271" s="1">
        <v>0</v>
      </c>
      <c r="L271" s="1">
        <v>0</v>
      </c>
      <c r="M271" s="1">
        <v>0</v>
      </c>
      <c r="N271" s="1">
        <v>0</v>
      </c>
      <c r="O271" s="1">
        <v>0</v>
      </c>
      <c r="P271" s="1">
        <v>0</v>
      </c>
      <c r="Q271" t="str">
        <f>INDEX(pARTNER[#All],MATCH(#REF!,pARTNER[[#All],[Value.partnerSummary.id]],0),10)</f>
        <v>Slovenija (SI)</v>
      </c>
      <c r="R271" t="str">
        <f>INDEX('Partner data'!$A$2:$DG$171,MATCH(#REF!,'Partner data'!$DG$2:$DG$171,0),83)</f>
        <v>Soggetto pubblico</v>
      </c>
      <c r="S271" s="86" t="b">
        <f>IF(#REF!="staff",INDEX('Partner data'!$DG$2:$DH$171,MATCH(#REF!,'Partner data'!$DG$2:$DG$171,0),2))</f>
        <v>0</v>
      </c>
    </row>
    <row r="272" spans="1:19" x14ac:dyDescent="0.25">
      <c r="A272" s="1" t="s">
        <v>312</v>
      </c>
      <c r="B272" s="1" t="s">
        <v>316</v>
      </c>
      <c r="C272" s="13">
        <v>186</v>
      </c>
      <c r="D272" s="13">
        <v>329</v>
      </c>
      <c r="E272" s="1" t="s">
        <v>234</v>
      </c>
      <c r="F272" s="1"/>
      <c r="G272" s="1">
        <v>0</v>
      </c>
      <c r="H272" s="1">
        <v>0</v>
      </c>
      <c r="I272" s="1">
        <v>0</v>
      </c>
      <c r="J272" s="1">
        <v>0</v>
      </c>
      <c r="K272" s="1">
        <v>0</v>
      </c>
      <c r="L272" s="1">
        <v>0</v>
      </c>
      <c r="M272" s="1">
        <v>0</v>
      </c>
      <c r="N272" s="1">
        <v>0</v>
      </c>
      <c r="O272" s="1">
        <v>0</v>
      </c>
      <c r="P272" s="1">
        <v>0</v>
      </c>
      <c r="Q272" t="str">
        <f>INDEX(pARTNER[#All],MATCH(#REF!,pARTNER[[#All],[Value.partnerSummary.id]],0),10)</f>
        <v>Slovenija (SI)</v>
      </c>
      <c r="R272" t="str">
        <f>INDEX('Partner data'!$A$2:$DG$171,MATCH(#REF!,'Partner data'!$DG$2:$DG$171,0),83)</f>
        <v>Soggetto pubblico</v>
      </c>
      <c r="S272" s="86" t="b">
        <f>IF(#REF!="staff",INDEX('Partner data'!$DG$2:$DH$171,MATCH(#REF!,'Partner data'!$DG$2:$DG$171,0),2))</f>
        <v>0</v>
      </c>
    </row>
    <row r="273" spans="1:19" x14ac:dyDescent="0.25">
      <c r="A273" s="1" t="s">
        <v>312</v>
      </c>
      <c r="B273" s="1" t="s">
        <v>316</v>
      </c>
      <c r="C273" s="13">
        <v>186</v>
      </c>
      <c r="D273" s="13">
        <v>329</v>
      </c>
      <c r="E273" s="1" t="s">
        <v>235</v>
      </c>
      <c r="F273" s="1"/>
      <c r="G273" s="1">
        <v>0</v>
      </c>
      <c r="H273" s="1">
        <v>0</v>
      </c>
      <c r="I273" s="1">
        <v>0</v>
      </c>
      <c r="J273" s="1">
        <v>0</v>
      </c>
      <c r="K273" s="1">
        <v>0</v>
      </c>
      <c r="L273" s="1">
        <v>0</v>
      </c>
      <c r="M273" s="1">
        <v>0</v>
      </c>
      <c r="N273" s="1">
        <v>0</v>
      </c>
      <c r="O273" s="1">
        <v>0</v>
      </c>
      <c r="P273" s="1">
        <v>0</v>
      </c>
      <c r="Q273" t="str">
        <f>INDEX(pARTNER[#All],MATCH(#REF!,pARTNER[[#All],[Value.partnerSummary.id]],0),10)</f>
        <v>Slovenija (SI)</v>
      </c>
      <c r="R273" t="str">
        <f>INDEX('Partner data'!$A$2:$DG$171,MATCH(#REF!,'Partner data'!$DG$2:$DG$171,0),83)</f>
        <v>Soggetto pubblico</v>
      </c>
      <c r="S273" s="86" t="b">
        <f>IF(#REF!="staff",INDEX('Partner data'!$DG$2:$DH$171,MATCH(#REF!,'Partner data'!$DG$2:$DG$171,0),2))</f>
        <v>0</v>
      </c>
    </row>
    <row r="274" spans="1:19" x14ac:dyDescent="0.25">
      <c r="A274" s="1" t="s">
        <v>312</v>
      </c>
      <c r="B274" s="1" t="s">
        <v>316</v>
      </c>
      <c r="C274" s="13">
        <v>186</v>
      </c>
      <c r="D274" s="13">
        <v>329</v>
      </c>
      <c r="E274" s="1" t="s">
        <v>236</v>
      </c>
      <c r="F274" s="1"/>
      <c r="G274" s="1">
        <v>0</v>
      </c>
      <c r="H274" s="1">
        <v>0</v>
      </c>
      <c r="I274" s="1">
        <v>0</v>
      </c>
      <c r="J274" s="1">
        <v>0</v>
      </c>
      <c r="K274" s="1">
        <v>0</v>
      </c>
      <c r="L274" s="1">
        <v>0</v>
      </c>
      <c r="M274" s="1">
        <v>0</v>
      </c>
      <c r="N274" s="1">
        <v>0</v>
      </c>
      <c r="O274" s="1">
        <v>0</v>
      </c>
      <c r="P274" s="1">
        <v>0</v>
      </c>
      <c r="Q274" t="str">
        <f>INDEX(pARTNER[#All],MATCH(#REF!,pARTNER[[#All],[Value.partnerSummary.id]],0),10)</f>
        <v>Slovenija (SI)</v>
      </c>
      <c r="R274" t="str">
        <f>INDEX('Partner data'!$A$2:$DG$171,MATCH(#REF!,'Partner data'!$DG$2:$DG$171,0),83)</f>
        <v>Soggetto pubblico</v>
      </c>
      <c r="S274" s="86" t="b">
        <f>IF(#REF!="staff",INDEX('Partner data'!$DG$2:$DH$171,MATCH(#REF!,'Partner data'!$DG$2:$DG$171,0),2))</f>
        <v>0</v>
      </c>
    </row>
    <row r="275" spans="1:19" x14ac:dyDescent="0.25">
      <c r="A275" s="1" t="s">
        <v>312</v>
      </c>
      <c r="B275" s="1" t="s">
        <v>316</v>
      </c>
      <c r="C275" s="13">
        <v>186</v>
      </c>
      <c r="D275" s="13">
        <v>329</v>
      </c>
      <c r="E275" s="1" t="s">
        <v>237</v>
      </c>
      <c r="F275" s="1"/>
      <c r="G275" s="1">
        <v>0</v>
      </c>
      <c r="H275" s="1">
        <v>0</v>
      </c>
      <c r="I275" s="1">
        <v>0</v>
      </c>
      <c r="J275" s="1">
        <v>0</v>
      </c>
      <c r="K275" s="1">
        <v>0</v>
      </c>
      <c r="L275" s="1">
        <v>0</v>
      </c>
      <c r="M275" s="1">
        <v>0</v>
      </c>
      <c r="N275" s="1">
        <v>0</v>
      </c>
      <c r="O275" s="1">
        <v>0</v>
      </c>
      <c r="P275" s="1">
        <v>0</v>
      </c>
      <c r="Q275" t="str">
        <f>INDEX(pARTNER[#All],MATCH(#REF!,pARTNER[[#All],[Value.partnerSummary.id]],0),10)</f>
        <v>Slovenija (SI)</v>
      </c>
      <c r="R275" t="str">
        <f>INDEX('Partner data'!$A$2:$DG$171,MATCH(#REF!,'Partner data'!$DG$2:$DG$171,0),83)</f>
        <v>Soggetto pubblico</v>
      </c>
      <c r="S275" s="86" t="b">
        <f>IF(#REF!="staff",INDEX('Partner data'!$DG$2:$DH$171,MATCH(#REF!,'Partner data'!$DG$2:$DG$171,0),2))</f>
        <v>0</v>
      </c>
    </row>
    <row r="276" spans="1:19" x14ac:dyDescent="0.25">
      <c r="A276" s="1" t="s">
        <v>312</v>
      </c>
      <c r="B276" s="1" t="s">
        <v>316</v>
      </c>
      <c r="C276" s="13">
        <v>186</v>
      </c>
      <c r="D276" s="13">
        <v>329</v>
      </c>
      <c r="E276" s="1" t="s">
        <v>238</v>
      </c>
      <c r="F276" s="1"/>
      <c r="G276" s="1">
        <v>64499.8</v>
      </c>
      <c r="H276" s="1">
        <v>0</v>
      </c>
      <c r="I276" s="1">
        <v>0</v>
      </c>
      <c r="J276" s="1">
        <v>0</v>
      </c>
      <c r="K276" s="1">
        <v>0</v>
      </c>
      <c r="L276" s="1">
        <v>0</v>
      </c>
      <c r="M276" s="1">
        <v>0</v>
      </c>
      <c r="N276" s="1">
        <v>0</v>
      </c>
      <c r="O276" s="1">
        <v>64499.8</v>
      </c>
      <c r="P276" s="1">
        <v>0</v>
      </c>
      <c r="Q276" t="str">
        <f>INDEX(pARTNER[#All],MATCH(#REF!,pARTNER[[#All],[Value.partnerSummary.id]],0),10)</f>
        <v>Slovenija (SI)</v>
      </c>
      <c r="R276" t="str">
        <f>INDEX('Partner data'!$A$2:$DG$171,MATCH(#REF!,'Partner data'!$DG$2:$DG$171,0),83)</f>
        <v>Soggetto pubblico</v>
      </c>
      <c r="S276" s="86" t="b">
        <f>IF(#REF!="staff",INDEX('Partner data'!$DG$2:$DH$171,MATCH(#REF!,'Partner data'!$DG$2:$DG$171,0),2))</f>
        <v>0</v>
      </c>
    </row>
    <row r="277" spans="1:19" x14ac:dyDescent="0.25">
      <c r="A277" s="1" t="s">
        <v>337</v>
      </c>
      <c r="B277" s="1" t="s">
        <v>338</v>
      </c>
      <c r="C277" s="13">
        <v>124</v>
      </c>
      <c r="D277" s="13">
        <v>182</v>
      </c>
      <c r="E277" s="1" t="s">
        <v>228</v>
      </c>
      <c r="F277" s="1"/>
      <c r="G277" s="1">
        <v>43400</v>
      </c>
      <c r="H277" s="1">
        <v>0</v>
      </c>
      <c r="I277" s="1">
        <v>0</v>
      </c>
      <c r="J277" s="1">
        <v>11279.78</v>
      </c>
      <c r="K277" s="1">
        <v>0</v>
      </c>
      <c r="L277" s="1">
        <v>9962</v>
      </c>
      <c r="M277" s="1">
        <v>11279.78</v>
      </c>
      <c r="N277" s="1">
        <v>25.99</v>
      </c>
      <c r="O277" s="1">
        <v>32120.22</v>
      </c>
      <c r="P277" s="1">
        <v>0</v>
      </c>
      <c r="Q277" t="str">
        <f>INDEX(pARTNER[#All],MATCH(#REF!,pARTNER[[#All],[Value.partnerSummary.id]],0),10)</f>
        <v>Slovenija (SI)</v>
      </c>
      <c r="R277" t="str">
        <f>INDEX('Partner data'!$A$2:$DG$171,MATCH(#REF!,'Partner data'!$DG$2:$DG$171,0),83)</f>
        <v>Soggetto privato</v>
      </c>
      <c r="S277" s="86" t="str">
        <f>IF(#REF!="staff",INDEX('Partner data'!$DG$2:$DH$171,MATCH(#REF!,'Partner data'!$DG$2:$DG$171,0),2))</f>
        <v>COSTO REALE</v>
      </c>
    </row>
    <row r="278" spans="1:19" x14ac:dyDescent="0.25">
      <c r="A278" s="1" t="s">
        <v>337</v>
      </c>
      <c r="B278" s="1" t="s">
        <v>338</v>
      </c>
      <c r="C278" s="13">
        <v>124</v>
      </c>
      <c r="D278" s="13">
        <v>182</v>
      </c>
      <c r="E278" s="1" t="s">
        <v>229</v>
      </c>
      <c r="F278" s="1">
        <v>15</v>
      </c>
      <c r="G278" s="1">
        <v>6510</v>
      </c>
      <c r="H278" s="1">
        <v>0</v>
      </c>
      <c r="I278" s="1">
        <v>0</v>
      </c>
      <c r="J278" s="1">
        <v>1691.96</v>
      </c>
      <c r="K278" s="1">
        <v>0</v>
      </c>
      <c r="L278" s="1">
        <v>1494.3</v>
      </c>
      <c r="M278" s="1">
        <v>1691.96</v>
      </c>
      <c r="N278" s="1">
        <v>25.99</v>
      </c>
      <c r="O278" s="1">
        <v>4818.04</v>
      </c>
      <c r="P278" s="1">
        <v>0</v>
      </c>
      <c r="Q278" t="str">
        <f>INDEX(pARTNER[#All],MATCH(#REF!,pARTNER[[#All],[Value.partnerSummary.id]],0),10)</f>
        <v>Slovenija (SI)</v>
      </c>
      <c r="R278" t="str">
        <f>INDEX('Partner data'!$A$2:$DG$171,MATCH(#REF!,'Partner data'!$DG$2:$DG$171,0),83)</f>
        <v>Soggetto privato</v>
      </c>
      <c r="S278" s="86" t="b">
        <f>IF(#REF!="staff",INDEX('Partner data'!$DG$2:$DH$171,MATCH(#REF!,'Partner data'!$DG$2:$DG$171,0),2))</f>
        <v>0</v>
      </c>
    </row>
    <row r="279" spans="1:19" x14ac:dyDescent="0.25">
      <c r="A279" s="1" t="s">
        <v>337</v>
      </c>
      <c r="B279" s="1" t="s">
        <v>338</v>
      </c>
      <c r="C279" s="13">
        <v>124</v>
      </c>
      <c r="D279" s="13">
        <v>182</v>
      </c>
      <c r="E279" s="1" t="s">
        <v>230</v>
      </c>
      <c r="F279" s="1">
        <v>4</v>
      </c>
      <c r="G279" s="1">
        <v>1736</v>
      </c>
      <c r="H279" s="1">
        <v>0</v>
      </c>
      <c r="I279" s="1">
        <v>0</v>
      </c>
      <c r="J279" s="1">
        <v>451.19</v>
      </c>
      <c r="K279" s="1">
        <v>0</v>
      </c>
      <c r="L279" s="1">
        <v>398.48</v>
      </c>
      <c r="M279" s="1">
        <v>451.19</v>
      </c>
      <c r="N279" s="1">
        <v>25.99</v>
      </c>
      <c r="O279" s="1">
        <v>1284.81</v>
      </c>
      <c r="P279" s="1">
        <v>0</v>
      </c>
      <c r="Q279" t="str">
        <f>INDEX(pARTNER[#All],MATCH(#REF!,pARTNER[[#All],[Value.partnerSummary.id]],0),10)</f>
        <v>Slovenija (SI)</v>
      </c>
      <c r="R279" t="str">
        <f>INDEX('Partner data'!$A$2:$DG$171,MATCH(#REF!,'Partner data'!$DG$2:$DG$171,0),83)</f>
        <v>Soggetto privato</v>
      </c>
      <c r="S279" s="86" t="b">
        <f>IF(#REF!="staff",INDEX('Partner data'!$DG$2:$DH$171,MATCH(#REF!,'Partner data'!$DG$2:$DG$171,0),2))</f>
        <v>0</v>
      </c>
    </row>
    <row r="280" spans="1:19" x14ac:dyDescent="0.25">
      <c r="A280" s="1" t="s">
        <v>337</v>
      </c>
      <c r="B280" s="1" t="s">
        <v>338</v>
      </c>
      <c r="C280" s="13">
        <v>124</v>
      </c>
      <c r="D280" s="13">
        <v>182</v>
      </c>
      <c r="E280" s="1" t="s">
        <v>231</v>
      </c>
      <c r="F280" s="1"/>
      <c r="G280" s="1">
        <v>37700</v>
      </c>
      <c r="H280" s="1">
        <v>0</v>
      </c>
      <c r="I280" s="1">
        <v>0</v>
      </c>
      <c r="J280" s="1">
        <v>12950</v>
      </c>
      <c r="K280" s="1">
        <v>0</v>
      </c>
      <c r="L280" s="1">
        <v>12950</v>
      </c>
      <c r="M280" s="1">
        <v>12950</v>
      </c>
      <c r="N280" s="1">
        <v>34.35</v>
      </c>
      <c r="O280" s="1">
        <v>24750</v>
      </c>
      <c r="P280" s="1">
        <v>0</v>
      </c>
      <c r="Q280" t="str">
        <f>INDEX(pARTNER[#All],MATCH(#REF!,pARTNER[[#All],[Value.partnerSummary.id]],0),10)</f>
        <v>Slovenija (SI)</v>
      </c>
      <c r="R280" t="str">
        <f>INDEX('Partner data'!$A$2:$DG$171,MATCH(#REF!,'Partner data'!$DG$2:$DG$171,0),83)</f>
        <v>Soggetto privato</v>
      </c>
      <c r="S280" s="86" t="b">
        <f>IF(#REF!="staff",INDEX('Partner data'!$DG$2:$DH$171,MATCH(#REF!,'Partner data'!$DG$2:$DG$171,0),2))</f>
        <v>0</v>
      </c>
    </row>
    <row r="281" spans="1:19" x14ac:dyDescent="0.25">
      <c r="A281" s="1" t="s">
        <v>337</v>
      </c>
      <c r="B281" s="1" t="s">
        <v>338</v>
      </c>
      <c r="C281" s="13">
        <v>124</v>
      </c>
      <c r="D281" s="13">
        <v>182</v>
      </c>
      <c r="E281" s="1" t="s">
        <v>232</v>
      </c>
      <c r="F281" s="1"/>
      <c r="G281" s="1">
        <v>11000</v>
      </c>
      <c r="H281" s="1">
        <v>0</v>
      </c>
      <c r="I281" s="1">
        <v>0</v>
      </c>
      <c r="J281" s="1">
        <v>0</v>
      </c>
      <c r="K281" s="1">
        <v>0</v>
      </c>
      <c r="L281" s="1">
        <v>0</v>
      </c>
      <c r="M281" s="1">
        <v>0</v>
      </c>
      <c r="N281" s="1">
        <v>0</v>
      </c>
      <c r="O281" s="1">
        <v>11000</v>
      </c>
      <c r="P281" s="1">
        <v>0</v>
      </c>
      <c r="Q281" t="str">
        <f>INDEX(pARTNER[#All],MATCH(#REF!,pARTNER[[#All],[Value.partnerSummary.id]],0),10)</f>
        <v>Slovenija (SI)</v>
      </c>
      <c r="R281" t="str">
        <f>INDEX('Partner data'!$A$2:$DG$171,MATCH(#REF!,'Partner data'!$DG$2:$DG$171,0),83)</f>
        <v>Soggetto privato</v>
      </c>
      <c r="S281" s="86" t="b">
        <f>IF(#REF!="staff",INDEX('Partner data'!$DG$2:$DH$171,MATCH(#REF!,'Partner data'!$DG$2:$DG$171,0),2))</f>
        <v>0</v>
      </c>
    </row>
    <row r="282" spans="1:19" x14ac:dyDescent="0.25">
      <c r="A282" s="1" t="s">
        <v>337</v>
      </c>
      <c r="B282" s="1" t="s">
        <v>338</v>
      </c>
      <c r="C282" s="13">
        <v>124</v>
      </c>
      <c r="D282" s="13">
        <v>182</v>
      </c>
      <c r="E282" s="1" t="s">
        <v>233</v>
      </c>
      <c r="F282" s="1"/>
      <c r="G282" s="1">
        <v>0</v>
      </c>
      <c r="H282" s="1">
        <v>0</v>
      </c>
      <c r="I282" s="1">
        <v>0</v>
      </c>
      <c r="J282" s="1">
        <v>0</v>
      </c>
      <c r="K282" s="1">
        <v>0</v>
      </c>
      <c r="L282" s="1">
        <v>0</v>
      </c>
      <c r="M282" s="1">
        <v>0</v>
      </c>
      <c r="N282" s="1">
        <v>0</v>
      </c>
      <c r="O282" s="1">
        <v>0</v>
      </c>
      <c r="P282" s="1">
        <v>0</v>
      </c>
      <c r="Q282" t="str">
        <f>INDEX(pARTNER[#All],MATCH(#REF!,pARTNER[[#All],[Value.partnerSummary.id]],0),10)</f>
        <v>Slovenija (SI)</v>
      </c>
      <c r="R282" t="str">
        <f>INDEX('Partner data'!$A$2:$DG$171,MATCH(#REF!,'Partner data'!$DG$2:$DG$171,0),83)</f>
        <v>Soggetto privato</v>
      </c>
      <c r="S282" s="86" t="b">
        <f>IF(#REF!="staff",INDEX('Partner data'!$DG$2:$DH$171,MATCH(#REF!,'Partner data'!$DG$2:$DG$171,0),2))</f>
        <v>0</v>
      </c>
    </row>
    <row r="283" spans="1:19" x14ac:dyDescent="0.25">
      <c r="A283" s="1" t="s">
        <v>337</v>
      </c>
      <c r="B283" s="1" t="s">
        <v>338</v>
      </c>
      <c r="C283" s="13">
        <v>124</v>
      </c>
      <c r="D283" s="13">
        <v>182</v>
      </c>
      <c r="E283" s="1" t="s">
        <v>234</v>
      </c>
      <c r="F283" s="1"/>
      <c r="G283" s="1">
        <v>0</v>
      </c>
      <c r="H283" s="1">
        <v>0</v>
      </c>
      <c r="I283" s="1">
        <v>0</v>
      </c>
      <c r="J283" s="1">
        <v>0</v>
      </c>
      <c r="K283" s="1">
        <v>0</v>
      </c>
      <c r="L283" s="1">
        <v>0</v>
      </c>
      <c r="M283" s="1">
        <v>0</v>
      </c>
      <c r="N283" s="1">
        <v>0</v>
      </c>
      <c r="O283" s="1">
        <v>0</v>
      </c>
      <c r="P283" s="1">
        <v>0</v>
      </c>
      <c r="Q283" t="str">
        <f>INDEX(pARTNER[#All],MATCH(#REF!,pARTNER[[#All],[Value.partnerSummary.id]],0),10)</f>
        <v>Slovenija (SI)</v>
      </c>
      <c r="R283" t="str">
        <f>INDEX('Partner data'!$A$2:$DG$171,MATCH(#REF!,'Partner data'!$DG$2:$DG$171,0),83)</f>
        <v>Soggetto privato</v>
      </c>
      <c r="S283" s="86" t="b">
        <f>IF(#REF!="staff",INDEX('Partner data'!$DG$2:$DH$171,MATCH(#REF!,'Partner data'!$DG$2:$DG$171,0),2))</f>
        <v>0</v>
      </c>
    </row>
    <row r="284" spans="1:19" x14ac:dyDescent="0.25">
      <c r="A284" s="1" t="s">
        <v>337</v>
      </c>
      <c r="B284" s="1" t="s">
        <v>338</v>
      </c>
      <c r="C284" s="13">
        <v>124</v>
      </c>
      <c r="D284" s="13">
        <v>182</v>
      </c>
      <c r="E284" s="1" t="s">
        <v>235</v>
      </c>
      <c r="F284" s="1"/>
      <c r="G284" s="1">
        <v>0</v>
      </c>
      <c r="H284" s="1">
        <v>0</v>
      </c>
      <c r="I284" s="1">
        <v>0</v>
      </c>
      <c r="J284" s="1">
        <v>0</v>
      </c>
      <c r="K284" s="1">
        <v>0</v>
      </c>
      <c r="L284" s="1">
        <v>0</v>
      </c>
      <c r="M284" s="1">
        <v>0</v>
      </c>
      <c r="N284" s="1">
        <v>0</v>
      </c>
      <c r="O284" s="1">
        <v>0</v>
      </c>
      <c r="P284" s="1">
        <v>0</v>
      </c>
      <c r="Q284" t="str">
        <f>INDEX(pARTNER[#All],MATCH(#REF!,pARTNER[[#All],[Value.partnerSummary.id]],0),10)</f>
        <v>Slovenija (SI)</v>
      </c>
      <c r="R284" t="str">
        <f>INDEX('Partner data'!$A$2:$DG$171,MATCH(#REF!,'Partner data'!$DG$2:$DG$171,0),83)</f>
        <v>Soggetto privato</v>
      </c>
      <c r="S284" s="86" t="b">
        <f>IF(#REF!="staff",INDEX('Partner data'!$DG$2:$DH$171,MATCH(#REF!,'Partner data'!$DG$2:$DG$171,0),2))</f>
        <v>0</v>
      </c>
    </row>
    <row r="285" spans="1:19" x14ac:dyDescent="0.25">
      <c r="A285" s="1" t="s">
        <v>337</v>
      </c>
      <c r="B285" s="1" t="s">
        <v>338</v>
      </c>
      <c r="C285" s="13">
        <v>124</v>
      </c>
      <c r="D285" s="13">
        <v>182</v>
      </c>
      <c r="E285" s="1" t="s">
        <v>236</v>
      </c>
      <c r="F285" s="1"/>
      <c r="G285" s="1">
        <v>0</v>
      </c>
      <c r="H285" s="1">
        <v>0</v>
      </c>
      <c r="I285" s="1">
        <v>0</v>
      </c>
      <c r="J285" s="1">
        <v>0</v>
      </c>
      <c r="K285" s="1">
        <v>0</v>
      </c>
      <c r="L285" s="1">
        <v>0</v>
      </c>
      <c r="M285" s="1">
        <v>0</v>
      </c>
      <c r="N285" s="1">
        <v>0</v>
      </c>
      <c r="O285" s="1">
        <v>0</v>
      </c>
      <c r="P285" s="1">
        <v>0</v>
      </c>
      <c r="Q285" t="str">
        <f>INDEX(pARTNER[#All],MATCH(#REF!,pARTNER[[#All],[Value.partnerSummary.id]],0),10)</f>
        <v>Slovenija (SI)</v>
      </c>
      <c r="R285" t="str">
        <f>INDEX('Partner data'!$A$2:$DG$171,MATCH(#REF!,'Partner data'!$DG$2:$DG$171,0),83)</f>
        <v>Soggetto privato</v>
      </c>
      <c r="S285" s="86" t="b">
        <f>IF(#REF!="staff",INDEX('Partner data'!$DG$2:$DH$171,MATCH(#REF!,'Partner data'!$DG$2:$DG$171,0),2))</f>
        <v>0</v>
      </c>
    </row>
    <row r="286" spans="1:19" x14ac:dyDescent="0.25">
      <c r="A286" s="1" t="s">
        <v>337</v>
      </c>
      <c r="B286" s="1" t="s">
        <v>338</v>
      </c>
      <c r="C286" s="13">
        <v>124</v>
      </c>
      <c r="D286" s="13">
        <v>182</v>
      </c>
      <c r="E286" s="1" t="s">
        <v>237</v>
      </c>
      <c r="F286" s="1"/>
      <c r="G286" s="1">
        <v>0</v>
      </c>
      <c r="H286" s="1">
        <v>0</v>
      </c>
      <c r="I286" s="1">
        <v>0</v>
      </c>
      <c r="J286" s="1">
        <v>0</v>
      </c>
      <c r="K286" s="1">
        <v>0</v>
      </c>
      <c r="L286" s="1">
        <v>0</v>
      </c>
      <c r="M286" s="1">
        <v>0</v>
      </c>
      <c r="N286" s="1">
        <v>0</v>
      </c>
      <c r="O286" s="1">
        <v>0</v>
      </c>
      <c r="P286" s="1">
        <v>0</v>
      </c>
      <c r="Q286" t="str">
        <f>INDEX(pARTNER[#All],MATCH(#REF!,pARTNER[[#All],[Value.partnerSummary.id]],0),10)</f>
        <v>Slovenija (SI)</v>
      </c>
      <c r="R286" t="str">
        <f>INDEX('Partner data'!$A$2:$DG$171,MATCH(#REF!,'Partner data'!$DG$2:$DG$171,0),83)</f>
        <v>Soggetto privato</v>
      </c>
      <c r="S286" s="86" t="b">
        <f>IF(#REF!="staff",INDEX('Partner data'!$DG$2:$DH$171,MATCH(#REF!,'Partner data'!$DG$2:$DG$171,0),2))</f>
        <v>0</v>
      </c>
    </row>
    <row r="287" spans="1:19" x14ac:dyDescent="0.25">
      <c r="A287" s="1" t="s">
        <v>337</v>
      </c>
      <c r="B287" s="1" t="s">
        <v>338</v>
      </c>
      <c r="C287" s="13">
        <v>124</v>
      </c>
      <c r="D287" s="13">
        <v>182</v>
      </c>
      <c r="E287" s="1" t="s">
        <v>238</v>
      </c>
      <c r="F287" s="1"/>
      <c r="G287" s="1">
        <v>100346</v>
      </c>
      <c r="H287" s="1">
        <v>0</v>
      </c>
      <c r="I287" s="1">
        <v>0</v>
      </c>
      <c r="J287" s="1">
        <v>26372.93</v>
      </c>
      <c r="K287" s="1">
        <v>0</v>
      </c>
      <c r="L287" s="1">
        <v>24804.78</v>
      </c>
      <c r="M287" s="1">
        <v>26372.93</v>
      </c>
      <c r="N287" s="1">
        <v>26.28</v>
      </c>
      <c r="O287" s="1">
        <v>73973.070000000007</v>
      </c>
      <c r="P287" s="1">
        <v>0</v>
      </c>
      <c r="Q287" t="str">
        <f>INDEX(pARTNER[#All],MATCH(#REF!,pARTNER[[#All],[Value.partnerSummary.id]],0),10)</f>
        <v>Slovenija (SI)</v>
      </c>
      <c r="R287" t="str">
        <f>INDEX('Partner data'!$A$2:$DG$171,MATCH(#REF!,'Partner data'!$DG$2:$DG$171,0),83)</f>
        <v>Soggetto privato</v>
      </c>
      <c r="S287" s="86" t="b">
        <f>IF(#REF!="staff",INDEX('Partner data'!$DG$2:$DH$171,MATCH(#REF!,'Partner data'!$DG$2:$DG$171,0),2))</f>
        <v>0</v>
      </c>
    </row>
    <row r="288" spans="1:19" x14ac:dyDescent="0.25">
      <c r="A288" s="1" t="s">
        <v>337</v>
      </c>
      <c r="B288" s="1" t="s">
        <v>42</v>
      </c>
      <c r="C288" s="13">
        <v>126</v>
      </c>
      <c r="D288" s="13">
        <v>140</v>
      </c>
      <c r="E288" s="1" t="s">
        <v>228</v>
      </c>
      <c r="F288" s="1"/>
      <c r="G288" s="1">
        <v>52725</v>
      </c>
      <c r="H288" s="1">
        <v>0</v>
      </c>
      <c r="I288" s="1">
        <v>0</v>
      </c>
      <c r="J288" s="1">
        <v>8161.14</v>
      </c>
      <c r="K288" s="1">
        <v>0</v>
      </c>
      <c r="L288" s="1">
        <v>2620.21</v>
      </c>
      <c r="M288" s="1">
        <v>8161.14</v>
      </c>
      <c r="N288" s="1">
        <v>15.48</v>
      </c>
      <c r="O288" s="1">
        <v>44563.86</v>
      </c>
      <c r="P288" s="1">
        <v>0</v>
      </c>
      <c r="Q288" t="str">
        <f>INDEX(pARTNER[#All],MATCH(#REF!,pARTNER[[#All],[Value.partnerSummary.id]],0),10)</f>
        <v>Slovenija (SI)</v>
      </c>
      <c r="R288" t="str">
        <f>INDEX('Partner data'!$A$2:$DG$171,MATCH(#REF!,'Partner data'!$DG$2:$DG$171,0),83)</f>
        <v>Soggetto pubblico</v>
      </c>
      <c r="S288" s="86" t="str">
        <f>IF(#REF!="staff",INDEX('Partner data'!$DG$2:$DH$171,MATCH(#REF!,'Partner data'!$DG$2:$DG$171,0),2))</f>
        <v>COSTO REALE</v>
      </c>
    </row>
    <row r="289" spans="1:19" x14ac:dyDescent="0.25">
      <c r="A289" s="1" t="s">
        <v>337</v>
      </c>
      <c r="B289" s="1" t="s">
        <v>42</v>
      </c>
      <c r="C289" s="13">
        <v>126</v>
      </c>
      <c r="D289" s="13">
        <v>140</v>
      </c>
      <c r="E289" s="1" t="s">
        <v>229</v>
      </c>
      <c r="F289" s="1"/>
      <c r="G289" s="1">
        <v>0</v>
      </c>
      <c r="H289" s="1">
        <v>0</v>
      </c>
      <c r="I289" s="1">
        <v>0</v>
      </c>
      <c r="J289" s="1">
        <v>0</v>
      </c>
      <c r="K289" s="1">
        <v>0</v>
      </c>
      <c r="L289" s="1">
        <v>0</v>
      </c>
      <c r="M289" s="1">
        <v>0</v>
      </c>
      <c r="N289" s="1">
        <v>0</v>
      </c>
      <c r="O289" s="1">
        <v>0</v>
      </c>
      <c r="P289" s="1">
        <v>0</v>
      </c>
      <c r="Q289" t="str">
        <f>INDEX(pARTNER[#All],MATCH(#REF!,pARTNER[[#All],[Value.partnerSummary.id]],0),10)</f>
        <v>Slovenija (SI)</v>
      </c>
      <c r="R289" t="str">
        <f>INDEX('Partner data'!$A$2:$DG$171,MATCH(#REF!,'Partner data'!$DG$2:$DG$171,0),83)</f>
        <v>Soggetto pubblico</v>
      </c>
      <c r="S289" s="86" t="b">
        <f>IF(#REF!="staff",INDEX('Partner data'!$DG$2:$DH$171,MATCH(#REF!,'Partner data'!$DG$2:$DG$171,0),2))</f>
        <v>0</v>
      </c>
    </row>
    <row r="290" spans="1:19" x14ac:dyDescent="0.25">
      <c r="A290" s="1" t="s">
        <v>337</v>
      </c>
      <c r="B290" s="1" t="s">
        <v>42</v>
      </c>
      <c r="C290" s="13">
        <v>126</v>
      </c>
      <c r="D290" s="13">
        <v>140</v>
      </c>
      <c r="E290" s="1" t="s">
        <v>230</v>
      </c>
      <c r="F290" s="1"/>
      <c r="G290" s="1">
        <v>0</v>
      </c>
      <c r="H290" s="1">
        <v>0</v>
      </c>
      <c r="I290" s="1">
        <v>0</v>
      </c>
      <c r="J290" s="1">
        <v>0</v>
      </c>
      <c r="K290" s="1">
        <v>0</v>
      </c>
      <c r="L290" s="1">
        <v>0</v>
      </c>
      <c r="M290" s="1">
        <v>0</v>
      </c>
      <c r="N290" s="1">
        <v>0</v>
      </c>
      <c r="O290" s="1">
        <v>0</v>
      </c>
      <c r="P290" s="1">
        <v>0</v>
      </c>
      <c r="Q290" t="str">
        <f>INDEX(pARTNER[#All],MATCH(#REF!,pARTNER[[#All],[Value.partnerSummary.id]],0),10)</f>
        <v>Slovenija (SI)</v>
      </c>
      <c r="R290" t="str">
        <f>INDEX('Partner data'!$A$2:$DG$171,MATCH(#REF!,'Partner data'!$DG$2:$DG$171,0),83)</f>
        <v>Soggetto pubblico</v>
      </c>
      <c r="S290" s="86" t="b">
        <f>IF(#REF!="staff",INDEX('Partner data'!$DG$2:$DH$171,MATCH(#REF!,'Partner data'!$DG$2:$DG$171,0),2))</f>
        <v>0</v>
      </c>
    </row>
    <row r="291" spans="1:19" x14ac:dyDescent="0.25">
      <c r="A291" s="1" t="s">
        <v>337</v>
      </c>
      <c r="B291" s="1" t="s">
        <v>42</v>
      </c>
      <c r="C291" s="13">
        <v>126</v>
      </c>
      <c r="D291" s="13">
        <v>140</v>
      </c>
      <c r="E291" s="1" t="s">
        <v>231</v>
      </c>
      <c r="F291" s="1"/>
      <c r="G291" s="1">
        <v>0</v>
      </c>
      <c r="H291" s="1">
        <v>0</v>
      </c>
      <c r="I291" s="1">
        <v>0</v>
      </c>
      <c r="J291" s="1">
        <v>0</v>
      </c>
      <c r="K291" s="1">
        <v>0</v>
      </c>
      <c r="L291" s="1">
        <v>0</v>
      </c>
      <c r="M291" s="1">
        <v>0</v>
      </c>
      <c r="N291" s="1">
        <v>0</v>
      </c>
      <c r="O291" s="1">
        <v>0</v>
      </c>
      <c r="P291" s="1">
        <v>0</v>
      </c>
      <c r="Q291" t="str">
        <f>INDEX(pARTNER[#All],MATCH(#REF!,pARTNER[[#All],[Value.partnerSummary.id]],0),10)</f>
        <v>Slovenija (SI)</v>
      </c>
      <c r="R291" t="str">
        <f>INDEX('Partner data'!$A$2:$DG$171,MATCH(#REF!,'Partner data'!$DG$2:$DG$171,0),83)</f>
        <v>Soggetto pubblico</v>
      </c>
      <c r="S291" s="86" t="b">
        <f>IF(#REF!="staff",INDEX('Partner data'!$DG$2:$DH$171,MATCH(#REF!,'Partner data'!$DG$2:$DG$171,0),2))</f>
        <v>0</v>
      </c>
    </row>
    <row r="292" spans="1:19" x14ac:dyDescent="0.25">
      <c r="A292" s="1" t="s">
        <v>337</v>
      </c>
      <c r="B292" s="1" t="s">
        <v>42</v>
      </c>
      <c r="C292" s="13">
        <v>126</v>
      </c>
      <c r="D292" s="13">
        <v>140</v>
      </c>
      <c r="E292" s="1" t="s">
        <v>232</v>
      </c>
      <c r="F292" s="1"/>
      <c r="G292" s="1">
        <v>0</v>
      </c>
      <c r="H292" s="1">
        <v>0</v>
      </c>
      <c r="I292" s="1">
        <v>0</v>
      </c>
      <c r="J292" s="1">
        <v>0</v>
      </c>
      <c r="K292" s="1">
        <v>0</v>
      </c>
      <c r="L292" s="1">
        <v>0</v>
      </c>
      <c r="M292" s="1">
        <v>0</v>
      </c>
      <c r="N292" s="1">
        <v>0</v>
      </c>
      <c r="O292" s="1">
        <v>0</v>
      </c>
      <c r="P292" s="1">
        <v>0</v>
      </c>
      <c r="Q292" t="str">
        <f>INDEX(pARTNER[#All],MATCH(#REF!,pARTNER[[#All],[Value.partnerSummary.id]],0),10)</f>
        <v>Slovenija (SI)</v>
      </c>
      <c r="R292" t="str">
        <f>INDEX('Partner data'!$A$2:$DG$171,MATCH(#REF!,'Partner data'!$DG$2:$DG$171,0),83)</f>
        <v>Soggetto pubblico</v>
      </c>
      <c r="S292" s="86" t="b">
        <f>IF(#REF!="staff",INDEX('Partner data'!$DG$2:$DH$171,MATCH(#REF!,'Partner data'!$DG$2:$DG$171,0),2))</f>
        <v>0</v>
      </c>
    </row>
    <row r="293" spans="1:19" x14ac:dyDescent="0.25">
      <c r="A293" s="1" t="s">
        <v>337</v>
      </c>
      <c r="B293" s="1" t="s">
        <v>42</v>
      </c>
      <c r="C293" s="13">
        <v>126</v>
      </c>
      <c r="D293" s="13">
        <v>140</v>
      </c>
      <c r="E293" s="1" t="s">
        <v>233</v>
      </c>
      <c r="F293" s="1"/>
      <c r="G293" s="1">
        <v>0</v>
      </c>
      <c r="H293" s="1">
        <v>0</v>
      </c>
      <c r="I293" s="1">
        <v>0</v>
      </c>
      <c r="J293" s="1">
        <v>0</v>
      </c>
      <c r="K293" s="1">
        <v>0</v>
      </c>
      <c r="L293" s="1">
        <v>0</v>
      </c>
      <c r="M293" s="1">
        <v>0</v>
      </c>
      <c r="N293" s="1">
        <v>0</v>
      </c>
      <c r="O293" s="1">
        <v>0</v>
      </c>
      <c r="P293" s="1">
        <v>0</v>
      </c>
      <c r="Q293" t="str">
        <f>INDEX(pARTNER[#All],MATCH(#REF!,pARTNER[[#All],[Value.partnerSummary.id]],0),10)</f>
        <v>Slovenija (SI)</v>
      </c>
      <c r="R293" t="str">
        <f>INDEX('Partner data'!$A$2:$DG$171,MATCH(#REF!,'Partner data'!$DG$2:$DG$171,0),83)</f>
        <v>Soggetto pubblico</v>
      </c>
      <c r="S293" s="86" t="b">
        <f>IF(#REF!="staff",INDEX('Partner data'!$DG$2:$DH$171,MATCH(#REF!,'Partner data'!$DG$2:$DG$171,0),2))</f>
        <v>0</v>
      </c>
    </row>
    <row r="294" spans="1:19" x14ac:dyDescent="0.25">
      <c r="A294" s="1" t="s">
        <v>337</v>
      </c>
      <c r="B294" s="1" t="s">
        <v>42</v>
      </c>
      <c r="C294" s="13">
        <v>126</v>
      </c>
      <c r="D294" s="13">
        <v>140</v>
      </c>
      <c r="E294" s="1" t="s">
        <v>234</v>
      </c>
      <c r="F294" s="1">
        <v>40</v>
      </c>
      <c r="G294" s="1">
        <v>21090</v>
      </c>
      <c r="H294" s="1">
        <v>0</v>
      </c>
      <c r="I294" s="1">
        <v>0</v>
      </c>
      <c r="J294" s="1">
        <v>3264.45</v>
      </c>
      <c r="K294" s="1">
        <v>0</v>
      </c>
      <c r="L294" s="1">
        <v>1048.08</v>
      </c>
      <c r="M294" s="1">
        <v>3264.45</v>
      </c>
      <c r="N294" s="1">
        <v>15.48</v>
      </c>
      <c r="O294" s="1">
        <v>17825.55</v>
      </c>
      <c r="P294" s="1">
        <v>0</v>
      </c>
      <c r="Q294" t="str">
        <f>INDEX(pARTNER[#All],MATCH(#REF!,pARTNER[[#All],[Value.partnerSummary.id]],0),10)</f>
        <v>Slovenija (SI)</v>
      </c>
      <c r="R294" t="str">
        <f>INDEX('Partner data'!$A$2:$DG$171,MATCH(#REF!,'Partner data'!$DG$2:$DG$171,0),83)</f>
        <v>Soggetto pubblico</v>
      </c>
      <c r="S294" s="86" t="b">
        <f>IF(#REF!="staff",INDEX('Partner data'!$DG$2:$DH$171,MATCH(#REF!,'Partner data'!$DG$2:$DG$171,0),2))</f>
        <v>0</v>
      </c>
    </row>
    <row r="295" spans="1:19" x14ac:dyDescent="0.25">
      <c r="A295" s="1" t="s">
        <v>337</v>
      </c>
      <c r="B295" s="1" t="s">
        <v>42</v>
      </c>
      <c r="C295" s="13">
        <v>126</v>
      </c>
      <c r="D295" s="13">
        <v>140</v>
      </c>
      <c r="E295" s="1" t="s">
        <v>235</v>
      </c>
      <c r="F295" s="1"/>
      <c r="G295" s="1">
        <v>0</v>
      </c>
      <c r="H295" s="1">
        <v>0</v>
      </c>
      <c r="I295" s="1">
        <v>0</v>
      </c>
      <c r="J295" s="1">
        <v>0</v>
      </c>
      <c r="K295" s="1">
        <v>0</v>
      </c>
      <c r="L295" s="1">
        <v>0</v>
      </c>
      <c r="M295" s="1">
        <v>0</v>
      </c>
      <c r="N295" s="1">
        <v>0</v>
      </c>
      <c r="O295" s="1">
        <v>0</v>
      </c>
      <c r="P295" s="1">
        <v>0</v>
      </c>
      <c r="Q295" t="str">
        <f>INDEX(pARTNER[#All],MATCH(#REF!,pARTNER[[#All],[Value.partnerSummary.id]],0),10)</f>
        <v>Slovenija (SI)</v>
      </c>
      <c r="R295" t="str">
        <f>INDEX('Partner data'!$A$2:$DG$171,MATCH(#REF!,'Partner data'!$DG$2:$DG$171,0),83)</f>
        <v>Soggetto pubblico</v>
      </c>
      <c r="S295" s="86" t="b">
        <f>IF(#REF!="staff",INDEX('Partner data'!$DG$2:$DH$171,MATCH(#REF!,'Partner data'!$DG$2:$DG$171,0),2))</f>
        <v>0</v>
      </c>
    </row>
    <row r="296" spans="1:19" x14ac:dyDescent="0.25">
      <c r="A296" s="1" t="s">
        <v>337</v>
      </c>
      <c r="B296" s="1" t="s">
        <v>42</v>
      </c>
      <c r="C296" s="13">
        <v>126</v>
      </c>
      <c r="D296" s="13">
        <v>140</v>
      </c>
      <c r="E296" s="1" t="s">
        <v>236</v>
      </c>
      <c r="F296" s="1"/>
      <c r="G296" s="1">
        <v>0</v>
      </c>
      <c r="H296" s="1">
        <v>0</v>
      </c>
      <c r="I296" s="1">
        <v>0</v>
      </c>
      <c r="J296" s="1">
        <v>0</v>
      </c>
      <c r="K296" s="1">
        <v>0</v>
      </c>
      <c r="L296" s="1">
        <v>0</v>
      </c>
      <c r="M296" s="1">
        <v>0</v>
      </c>
      <c r="N296" s="1">
        <v>0</v>
      </c>
      <c r="O296" s="1">
        <v>0</v>
      </c>
      <c r="P296" s="1">
        <v>0</v>
      </c>
      <c r="Q296" t="str">
        <f>INDEX(pARTNER[#All],MATCH(#REF!,pARTNER[[#All],[Value.partnerSummary.id]],0),10)</f>
        <v>Slovenija (SI)</v>
      </c>
      <c r="R296" t="str">
        <f>INDEX('Partner data'!$A$2:$DG$171,MATCH(#REF!,'Partner data'!$DG$2:$DG$171,0),83)</f>
        <v>Soggetto pubblico</v>
      </c>
      <c r="S296" s="86" t="b">
        <f>IF(#REF!="staff",INDEX('Partner data'!$DG$2:$DH$171,MATCH(#REF!,'Partner data'!$DG$2:$DG$171,0),2))</f>
        <v>0</v>
      </c>
    </row>
    <row r="297" spans="1:19" x14ac:dyDescent="0.25">
      <c r="A297" s="1" t="s">
        <v>337</v>
      </c>
      <c r="B297" s="1" t="s">
        <v>42</v>
      </c>
      <c r="C297" s="13">
        <v>126</v>
      </c>
      <c r="D297" s="13">
        <v>140</v>
      </c>
      <c r="E297" s="1" t="s">
        <v>237</v>
      </c>
      <c r="F297" s="1"/>
      <c r="G297" s="1">
        <v>0</v>
      </c>
      <c r="H297" s="1">
        <v>0</v>
      </c>
      <c r="I297" s="1">
        <v>0</v>
      </c>
      <c r="J297" s="1">
        <v>0</v>
      </c>
      <c r="K297" s="1">
        <v>0</v>
      </c>
      <c r="L297" s="1">
        <v>0</v>
      </c>
      <c r="M297" s="1">
        <v>0</v>
      </c>
      <c r="N297" s="1">
        <v>0</v>
      </c>
      <c r="O297" s="1">
        <v>0</v>
      </c>
      <c r="P297" s="1">
        <v>0</v>
      </c>
      <c r="Q297" t="str">
        <f>INDEX(pARTNER[#All],MATCH(#REF!,pARTNER[[#All],[Value.partnerSummary.id]],0),10)</f>
        <v>Slovenija (SI)</v>
      </c>
      <c r="R297" t="str">
        <f>INDEX('Partner data'!$A$2:$DG$171,MATCH(#REF!,'Partner data'!$DG$2:$DG$171,0),83)</f>
        <v>Soggetto pubblico</v>
      </c>
      <c r="S297" s="86" t="b">
        <f>IF(#REF!="staff",INDEX('Partner data'!$DG$2:$DH$171,MATCH(#REF!,'Partner data'!$DG$2:$DG$171,0),2))</f>
        <v>0</v>
      </c>
    </row>
    <row r="298" spans="1:19" x14ac:dyDescent="0.25">
      <c r="A298" s="1" t="s">
        <v>337</v>
      </c>
      <c r="B298" s="1" t="s">
        <v>42</v>
      </c>
      <c r="C298" s="13">
        <v>126</v>
      </c>
      <c r="D298" s="13">
        <v>140</v>
      </c>
      <c r="E298" s="1" t="s">
        <v>238</v>
      </c>
      <c r="F298" s="1"/>
      <c r="G298" s="1">
        <v>73815</v>
      </c>
      <c r="H298" s="1">
        <v>0</v>
      </c>
      <c r="I298" s="1">
        <v>0</v>
      </c>
      <c r="J298" s="1">
        <v>11425.59</v>
      </c>
      <c r="K298" s="1">
        <v>0</v>
      </c>
      <c r="L298" s="1">
        <v>3668.29</v>
      </c>
      <c r="M298" s="1">
        <v>11425.59</v>
      </c>
      <c r="N298" s="1">
        <v>15.48</v>
      </c>
      <c r="O298" s="1">
        <v>62389.41</v>
      </c>
      <c r="P298" s="1">
        <v>0</v>
      </c>
      <c r="Q298" t="str">
        <f>INDEX(pARTNER[#All],MATCH(#REF!,pARTNER[[#All],[Value.partnerSummary.id]],0),10)</f>
        <v>Slovenija (SI)</v>
      </c>
      <c r="R298" t="str">
        <f>INDEX('Partner data'!$A$2:$DG$171,MATCH(#REF!,'Partner data'!$DG$2:$DG$171,0),83)</f>
        <v>Soggetto pubblico</v>
      </c>
      <c r="S298" s="86" t="b">
        <f>IF(#REF!="staff",INDEX('Partner data'!$DG$2:$DH$171,MATCH(#REF!,'Partner data'!$DG$2:$DG$171,0),2))</f>
        <v>0</v>
      </c>
    </row>
    <row r="299" spans="1:19" x14ac:dyDescent="0.25">
      <c r="A299" s="1" t="s">
        <v>337</v>
      </c>
      <c r="B299" s="1" t="s">
        <v>339</v>
      </c>
      <c r="C299" s="13">
        <v>127</v>
      </c>
      <c r="D299" s="13">
        <v>168</v>
      </c>
      <c r="E299" s="1" t="s">
        <v>228</v>
      </c>
      <c r="F299" s="1"/>
      <c r="G299" s="1">
        <v>23300</v>
      </c>
      <c r="H299" s="1">
        <v>0</v>
      </c>
      <c r="I299" s="1">
        <v>0</v>
      </c>
      <c r="J299" s="1">
        <v>5800</v>
      </c>
      <c r="K299" s="1">
        <v>0</v>
      </c>
      <c r="L299" s="1">
        <v>5800</v>
      </c>
      <c r="M299" s="1">
        <v>5800</v>
      </c>
      <c r="N299" s="1">
        <v>24.89</v>
      </c>
      <c r="O299" s="1">
        <v>17500</v>
      </c>
      <c r="P299" s="1">
        <v>0</v>
      </c>
      <c r="Q299" t="str">
        <f>INDEX(pARTNER[#All],MATCH(#REF!,pARTNER[[#All],[Value.partnerSummary.id]],0),10)</f>
        <v>Italia (IT)</v>
      </c>
      <c r="R299" t="str">
        <f>INDEX('Partner data'!$A$2:$DG$171,MATCH(#REF!,'Partner data'!$DG$2:$DG$171,0),83)</f>
        <v>Soggetto privato</v>
      </c>
      <c r="S299" s="86" t="str">
        <f>IF(#REF!="staff",INDEX('Partner data'!$DG$2:$DH$171,MATCH(#REF!,'Partner data'!$DG$2:$DG$171,0),2))</f>
        <v>COSTO REALE</v>
      </c>
    </row>
    <row r="300" spans="1:19" x14ac:dyDescent="0.25">
      <c r="A300" s="1" t="s">
        <v>337</v>
      </c>
      <c r="B300" s="1" t="s">
        <v>339</v>
      </c>
      <c r="C300" s="13">
        <v>127</v>
      </c>
      <c r="D300" s="13">
        <v>168</v>
      </c>
      <c r="E300" s="1" t="s">
        <v>229</v>
      </c>
      <c r="F300" s="1">
        <v>15</v>
      </c>
      <c r="G300" s="1">
        <v>3495</v>
      </c>
      <c r="H300" s="1">
        <v>0</v>
      </c>
      <c r="I300" s="1">
        <v>0</v>
      </c>
      <c r="J300" s="1">
        <v>870</v>
      </c>
      <c r="K300" s="1">
        <v>0</v>
      </c>
      <c r="L300" s="1">
        <v>870</v>
      </c>
      <c r="M300" s="1">
        <v>870</v>
      </c>
      <c r="N300" s="1">
        <v>24.89</v>
      </c>
      <c r="O300" s="1">
        <v>2625</v>
      </c>
      <c r="P300" s="1">
        <v>0</v>
      </c>
      <c r="Q300" t="str">
        <f>INDEX(pARTNER[#All],MATCH(#REF!,pARTNER[[#All],[Value.partnerSummary.id]],0),10)</f>
        <v>Italia (IT)</v>
      </c>
      <c r="R300" t="str">
        <f>INDEX('Partner data'!$A$2:$DG$171,MATCH(#REF!,'Partner data'!$DG$2:$DG$171,0),83)</f>
        <v>Soggetto privato</v>
      </c>
      <c r="S300" s="86" t="b">
        <f>IF(#REF!="staff",INDEX('Partner data'!$DG$2:$DH$171,MATCH(#REF!,'Partner data'!$DG$2:$DG$171,0),2))</f>
        <v>0</v>
      </c>
    </row>
    <row r="301" spans="1:19" x14ac:dyDescent="0.25">
      <c r="A301" s="1" t="s">
        <v>337</v>
      </c>
      <c r="B301" s="1" t="s">
        <v>339</v>
      </c>
      <c r="C301" s="13">
        <v>127</v>
      </c>
      <c r="D301" s="13">
        <v>168</v>
      </c>
      <c r="E301" s="1" t="s">
        <v>230</v>
      </c>
      <c r="F301" s="1">
        <v>4</v>
      </c>
      <c r="G301" s="1">
        <v>932</v>
      </c>
      <c r="H301" s="1">
        <v>0</v>
      </c>
      <c r="I301" s="1">
        <v>0</v>
      </c>
      <c r="J301" s="1">
        <v>232</v>
      </c>
      <c r="K301" s="1">
        <v>0</v>
      </c>
      <c r="L301" s="1">
        <v>232</v>
      </c>
      <c r="M301" s="1">
        <v>232</v>
      </c>
      <c r="N301" s="1">
        <v>24.89</v>
      </c>
      <c r="O301" s="1">
        <v>700</v>
      </c>
      <c r="P301" s="1">
        <v>0</v>
      </c>
      <c r="Q301" t="str">
        <f>INDEX(pARTNER[#All],MATCH(#REF!,pARTNER[[#All],[Value.partnerSummary.id]],0),10)</f>
        <v>Italia (IT)</v>
      </c>
      <c r="R301" t="str">
        <f>INDEX('Partner data'!$A$2:$DG$171,MATCH(#REF!,'Partner data'!$DG$2:$DG$171,0),83)</f>
        <v>Soggetto privato</v>
      </c>
      <c r="S301" s="86" t="b">
        <f>IF(#REF!="staff",INDEX('Partner data'!$DG$2:$DH$171,MATCH(#REF!,'Partner data'!$DG$2:$DG$171,0),2))</f>
        <v>0</v>
      </c>
    </row>
    <row r="302" spans="1:19" x14ac:dyDescent="0.25">
      <c r="A302" s="1" t="s">
        <v>337</v>
      </c>
      <c r="B302" s="1" t="s">
        <v>339</v>
      </c>
      <c r="C302" s="13">
        <v>127</v>
      </c>
      <c r="D302" s="13">
        <v>168</v>
      </c>
      <c r="E302" s="1" t="s">
        <v>231</v>
      </c>
      <c r="F302" s="1"/>
      <c r="G302" s="1">
        <v>48000</v>
      </c>
      <c r="H302" s="1">
        <v>0</v>
      </c>
      <c r="I302" s="1">
        <v>0</v>
      </c>
      <c r="J302" s="1">
        <v>6030.75</v>
      </c>
      <c r="K302" s="1">
        <v>0</v>
      </c>
      <c r="L302" s="1">
        <v>6030.75</v>
      </c>
      <c r="M302" s="1">
        <v>6030.75</v>
      </c>
      <c r="N302" s="1">
        <v>12.56</v>
      </c>
      <c r="O302" s="1">
        <v>41969.25</v>
      </c>
      <c r="P302" s="1">
        <v>0</v>
      </c>
      <c r="Q302" t="str">
        <f>INDEX(pARTNER[#All],MATCH(#REF!,pARTNER[[#All],[Value.partnerSummary.id]],0),10)</f>
        <v>Italia (IT)</v>
      </c>
      <c r="R302" t="str">
        <f>INDEX('Partner data'!$A$2:$DG$171,MATCH(#REF!,'Partner data'!$DG$2:$DG$171,0),83)</f>
        <v>Soggetto privato</v>
      </c>
      <c r="S302" s="86" t="b">
        <f>IF(#REF!="staff",INDEX('Partner data'!$DG$2:$DH$171,MATCH(#REF!,'Partner data'!$DG$2:$DG$171,0),2))</f>
        <v>0</v>
      </c>
    </row>
    <row r="303" spans="1:19" x14ac:dyDescent="0.25">
      <c r="A303" s="1" t="s">
        <v>337</v>
      </c>
      <c r="B303" s="1" t="s">
        <v>339</v>
      </c>
      <c r="C303" s="13">
        <v>127</v>
      </c>
      <c r="D303" s="13">
        <v>168</v>
      </c>
      <c r="E303" s="1" t="s">
        <v>232</v>
      </c>
      <c r="F303" s="1"/>
      <c r="G303" s="1">
        <v>0</v>
      </c>
      <c r="H303" s="1">
        <v>0</v>
      </c>
      <c r="I303" s="1">
        <v>0</v>
      </c>
      <c r="J303" s="1">
        <v>0</v>
      </c>
      <c r="K303" s="1">
        <v>0</v>
      </c>
      <c r="L303" s="1">
        <v>0</v>
      </c>
      <c r="M303" s="1">
        <v>0</v>
      </c>
      <c r="N303" s="1">
        <v>0</v>
      </c>
      <c r="O303" s="1">
        <v>0</v>
      </c>
      <c r="P303" s="1">
        <v>0</v>
      </c>
      <c r="Q303" t="str">
        <f>INDEX(pARTNER[#All],MATCH(#REF!,pARTNER[[#All],[Value.partnerSummary.id]],0),10)</f>
        <v>Italia (IT)</v>
      </c>
      <c r="R303" t="str">
        <f>INDEX('Partner data'!$A$2:$DG$171,MATCH(#REF!,'Partner data'!$DG$2:$DG$171,0),83)</f>
        <v>Soggetto privato</v>
      </c>
      <c r="S303" s="86" t="b">
        <f>IF(#REF!="staff",INDEX('Partner data'!$DG$2:$DH$171,MATCH(#REF!,'Partner data'!$DG$2:$DG$171,0),2))</f>
        <v>0</v>
      </c>
    </row>
    <row r="304" spans="1:19" x14ac:dyDescent="0.25">
      <c r="A304" s="1" t="s">
        <v>337</v>
      </c>
      <c r="B304" s="1" t="s">
        <v>339</v>
      </c>
      <c r="C304" s="13">
        <v>127</v>
      </c>
      <c r="D304" s="13">
        <v>168</v>
      </c>
      <c r="E304" s="1" t="s">
        <v>233</v>
      </c>
      <c r="F304" s="1"/>
      <c r="G304" s="1">
        <v>0</v>
      </c>
      <c r="H304" s="1">
        <v>0</v>
      </c>
      <c r="I304" s="1">
        <v>0</v>
      </c>
      <c r="J304" s="1">
        <v>0</v>
      </c>
      <c r="K304" s="1">
        <v>0</v>
      </c>
      <c r="L304" s="1">
        <v>0</v>
      </c>
      <c r="M304" s="1">
        <v>0</v>
      </c>
      <c r="N304" s="1">
        <v>0</v>
      </c>
      <c r="O304" s="1">
        <v>0</v>
      </c>
      <c r="P304" s="1">
        <v>0</v>
      </c>
      <c r="Q304" t="str">
        <f>INDEX(pARTNER[#All],MATCH(#REF!,pARTNER[[#All],[Value.partnerSummary.id]],0),10)</f>
        <v>Italia (IT)</v>
      </c>
      <c r="R304" t="str">
        <f>INDEX('Partner data'!$A$2:$DG$171,MATCH(#REF!,'Partner data'!$DG$2:$DG$171,0),83)</f>
        <v>Soggetto privato</v>
      </c>
      <c r="S304" s="86" t="b">
        <f>IF(#REF!="staff",INDEX('Partner data'!$DG$2:$DH$171,MATCH(#REF!,'Partner data'!$DG$2:$DG$171,0),2))</f>
        <v>0</v>
      </c>
    </row>
    <row r="305" spans="1:19" x14ac:dyDescent="0.25">
      <c r="A305" s="1" t="s">
        <v>337</v>
      </c>
      <c r="B305" s="1" t="s">
        <v>339</v>
      </c>
      <c r="C305" s="13">
        <v>127</v>
      </c>
      <c r="D305" s="13">
        <v>168</v>
      </c>
      <c r="E305" s="1" t="s">
        <v>234</v>
      </c>
      <c r="F305" s="1"/>
      <c r="G305" s="1">
        <v>0</v>
      </c>
      <c r="H305" s="1">
        <v>0</v>
      </c>
      <c r="I305" s="1">
        <v>0</v>
      </c>
      <c r="J305" s="1">
        <v>0</v>
      </c>
      <c r="K305" s="1">
        <v>0</v>
      </c>
      <c r="L305" s="1">
        <v>0</v>
      </c>
      <c r="M305" s="1">
        <v>0</v>
      </c>
      <c r="N305" s="1">
        <v>0</v>
      </c>
      <c r="O305" s="1">
        <v>0</v>
      </c>
      <c r="P305" s="1">
        <v>0</v>
      </c>
      <c r="Q305" t="str">
        <f>INDEX(pARTNER[#All],MATCH(#REF!,pARTNER[[#All],[Value.partnerSummary.id]],0),10)</f>
        <v>Italia (IT)</v>
      </c>
      <c r="R305" t="str">
        <f>INDEX('Partner data'!$A$2:$DG$171,MATCH(#REF!,'Partner data'!$DG$2:$DG$171,0),83)</f>
        <v>Soggetto privato</v>
      </c>
      <c r="S305" s="86" t="b">
        <f>IF(#REF!="staff",INDEX('Partner data'!$DG$2:$DH$171,MATCH(#REF!,'Partner data'!$DG$2:$DG$171,0),2))</f>
        <v>0</v>
      </c>
    </row>
    <row r="306" spans="1:19" x14ac:dyDescent="0.25">
      <c r="A306" s="1" t="s">
        <v>337</v>
      </c>
      <c r="B306" s="1" t="s">
        <v>339</v>
      </c>
      <c r="C306" s="13">
        <v>127</v>
      </c>
      <c r="D306" s="13">
        <v>168</v>
      </c>
      <c r="E306" s="1" t="s">
        <v>235</v>
      </c>
      <c r="F306" s="1"/>
      <c r="G306" s="1">
        <v>0</v>
      </c>
      <c r="H306" s="1">
        <v>0</v>
      </c>
      <c r="I306" s="1">
        <v>0</v>
      </c>
      <c r="J306" s="1">
        <v>0</v>
      </c>
      <c r="K306" s="1">
        <v>0</v>
      </c>
      <c r="L306" s="1">
        <v>0</v>
      </c>
      <c r="M306" s="1">
        <v>0</v>
      </c>
      <c r="N306" s="1">
        <v>0</v>
      </c>
      <c r="O306" s="1">
        <v>0</v>
      </c>
      <c r="P306" s="1">
        <v>0</v>
      </c>
      <c r="Q306" t="str">
        <f>INDEX(pARTNER[#All],MATCH(#REF!,pARTNER[[#All],[Value.partnerSummary.id]],0),10)</f>
        <v>Italia (IT)</v>
      </c>
      <c r="R306" t="str">
        <f>INDEX('Partner data'!$A$2:$DG$171,MATCH(#REF!,'Partner data'!$DG$2:$DG$171,0),83)</f>
        <v>Soggetto privato</v>
      </c>
      <c r="S306" s="86" t="b">
        <f>IF(#REF!="staff",INDEX('Partner data'!$DG$2:$DH$171,MATCH(#REF!,'Partner data'!$DG$2:$DG$171,0),2))</f>
        <v>0</v>
      </c>
    </row>
    <row r="307" spans="1:19" x14ac:dyDescent="0.25">
      <c r="A307" s="1" t="s">
        <v>337</v>
      </c>
      <c r="B307" s="1" t="s">
        <v>339</v>
      </c>
      <c r="C307" s="13">
        <v>127</v>
      </c>
      <c r="D307" s="13">
        <v>168</v>
      </c>
      <c r="E307" s="1" t="s">
        <v>236</v>
      </c>
      <c r="F307" s="1"/>
      <c r="G307" s="1">
        <v>0</v>
      </c>
      <c r="H307" s="1">
        <v>0</v>
      </c>
      <c r="I307" s="1">
        <v>0</v>
      </c>
      <c r="J307" s="1">
        <v>0</v>
      </c>
      <c r="K307" s="1">
        <v>0</v>
      </c>
      <c r="L307" s="1">
        <v>0</v>
      </c>
      <c r="M307" s="1">
        <v>0</v>
      </c>
      <c r="N307" s="1">
        <v>0</v>
      </c>
      <c r="O307" s="1">
        <v>0</v>
      </c>
      <c r="P307" s="1">
        <v>0</v>
      </c>
      <c r="Q307" t="str">
        <f>INDEX(pARTNER[#All],MATCH(#REF!,pARTNER[[#All],[Value.partnerSummary.id]],0),10)</f>
        <v>Italia (IT)</v>
      </c>
      <c r="R307" t="str">
        <f>INDEX('Partner data'!$A$2:$DG$171,MATCH(#REF!,'Partner data'!$DG$2:$DG$171,0),83)</f>
        <v>Soggetto privato</v>
      </c>
      <c r="S307" s="86" t="b">
        <f>IF(#REF!="staff",INDEX('Partner data'!$DG$2:$DH$171,MATCH(#REF!,'Partner data'!$DG$2:$DG$171,0),2))</f>
        <v>0</v>
      </c>
    </row>
    <row r="308" spans="1:19" x14ac:dyDescent="0.25">
      <c r="A308" s="1" t="s">
        <v>337</v>
      </c>
      <c r="B308" s="1" t="s">
        <v>339</v>
      </c>
      <c r="C308" s="13">
        <v>127</v>
      </c>
      <c r="D308" s="13">
        <v>168</v>
      </c>
      <c r="E308" s="1" t="s">
        <v>237</v>
      </c>
      <c r="F308" s="1"/>
      <c r="G308" s="1">
        <v>0</v>
      </c>
      <c r="H308" s="1">
        <v>0</v>
      </c>
      <c r="I308" s="1">
        <v>0</v>
      </c>
      <c r="J308" s="1">
        <v>0</v>
      </c>
      <c r="K308" s="1">
        <v>0</v>
      </c>
      <c r="L308" s="1">
        <v>0</v>
      </c>
      <c r="M308" s="1">
        <v>0</v>
      </c>
      <c r="N308" s="1">
        <v>0</v>
      </c>
      <c r="O308" s="1">
        <v>0</v>
      </c>
      <c r="P308" s="1">
        <v>0</v>
      </c>
      <c r="Q308" t="str">
        <f>INDEX(pARTNER[#All],MATCH(#REF!,pARTNER[[#All],[Value.partnerSummary.id]],0),10)</f>
        <v>Italia (IT)</v>
      </c>
      <c r="R308" t="str">
        <f>INDEX('Partner data'!$A$2:$DG$171,MATCH(#REF!,'Partner data'!$DG$2:$DG$171,0),83)</f>
        <v>Soggetto privato</v>
      </c>
      <c r="S308" s="86" t="b">
        <f>IF(#REF!="staff",INDEX('Partner data'!$DG$2:$DH$171,MATCH(#REF!,'Partner data'!$DG$2:$DG$171,0),2))</f>
        <v>0</v>
      </c>
    </row>
    <row r="309" spans="1:19" x14ac:dyDescent="0.25">
      <c r="A309" s="1" t="s">
        <v>337</v>
      </c>
      <c r="B309" s="1" t="s">
        <v>339</v>
      </c>
      <c r="C309" s="13">
        <v>127</v>
      </c>
      <c r="D309" s="13">
        <v>168</v>
      </c>
      <c r="E309" s="1" t="s">
        <v>238</v>
      </c>
      <c r="F309" s="1"/>
      <c r="G309" s="1">
        <v>75727</v>
      </c>
      <c r="H309" s="1">
        <v>0</v>
      </c>
      <c r="I309" s="1">
        <v>0</v>
      </c>
      <c r="J309" s="1">
        <v>12932.75</v>
      </c>
      <c r="K309" s="1">
        <v>0</v>
      </c>
      <c r="L309" s="1">
        <v>12932.75</v>
      </c>
      <c r="M309" s="1">
        <v>12932.75</v>
      </c>
      <c r="N309" s="1">
        <v>17.079999999999998</v>
      </c>
      <c r="O309" s="1">
        <v>62794.25</v>
      </c>
      <c r="P309" s="1">
        <v>0</v>
      </c>
      <c r="Q309" t="str">
        <f>INDEX(pARTNER[#All],MATCH(#REF!,pARTNER[[#All],[Value.partnerSummary.id]],0),10)</f>
        <v>Italia (IT)</v>
      </c>
      <c r="R309" t="str">
        <f>INDEX('Partner data'!$A$2:$DG$171,MATCH(#REF!,'Partner data'!$DG$2:$DG$171,0),83)</f>
        <v>Soggetto privato</v>
      </c>
      <c r="S309" s="86" t="b">
        <f>IF(#REF!="staff",INDEX('Partner data'!$DG$2:$DH$171,MATCH(#REF!,'Partner data'!$DG$2:$DG$171,0),2))</f>
        <v>0</v>
      </c>
    </row>
    <row r="310" spans="1:19" x14ac:dyDescent="0.25">
      <c r="A310" s="1" t="s">
        <v>337</v>
      </c>
      <c r="B310" s="1" t="s">
        <v>307</v>
      </c>
      <c r="C310" s="13">
        <v>125</v>
      </c>
      <c r="D310" s="13">
        <v>232</v>
      </c>
      <c r="E310" s="1" t="s">
        <v>228</v>
      </c>
      <c r="F310" s="1"/>
      <c r="G310" s="1">
        <v>83040</v>
      </c>
      <c r="H310" s="1">
        <v>0</v>
      </c>
      <c r="I310" s="1">
        <v>0</v>
      </c>
      <c r="J310" s="1">
        <v>16503</v>
      </c>
      <c r="K310" s="1">
        <v>0</v>
      </c>
      <c r="L310" s="1">
        <v>16476</v>
      </c>
      <c r="M310" s="1">
        <v>16503</v>
      </c>
      <c r="N310" s="1">
        <v>19.87</v>
      </c>
      <c r="O310" s="1">
        <v>66537</v>
      </c>
      <c r="P310" s="1">
        <v>0</v>
      </c>
      <c r="Q310" t="str">
        <f>INDEX(pARTNER[#All],MATCH(#REF!,pARTNER[[#All],[Value.partnerSummary.id]],0),10)</f>
        <v>Italia (IT)</v>
      </c>
      <c r="R310" t="str">
        <f>INDEX('Partner data'!$A$2:$DG$171,MATCH(#REF!,'Partner data'!$DG$2:$DG$171,0),83)</f>
        <v>Soggetto privato</v>
      </c>
      <c r="S310" s="86" t="str">
        <f>IF(#REF!="staff",INDEX('Partner data'!$DG$2:$DH$171,MATCH(#REF!,'Partner data'!$DG$2:$DG$171,0),2))</f>
        <v>Costo Unitario Standard</v>
      </c>
    </row>
    <row r="311" spans="1:19" x14ac:dyDescent="0.25">
      <c r="A311" s="1" t="s">
        <v>337</v>
      </c>
      <c r="B311" s="1" t="s">
        <v>307</v>
      </c>
      <c r="C311" s="13">
        <v>125</v>
      </c>
      <c r="D311" s="13">
        <v>232</v>
      </c>
      <c r="E311" s="1" t="s">
        <v>229</v>
      </c>
      <c r="F311" s="1"/>
      <c r="G311" s="1">
        <v>0</v>
      </c>
      <c r="H311" s="1">
        <v>0</v>
      </c>
      <c r="I311" s="1">
        <v>0</v>
      </c>
      <c r="J311" s="1">
        <v>0</v>
      </c>
      <c r="K311" s="1">
        <v>0</v>
      </c>
      <c r="L311" s="1">
        <v>0</v>
      </c>
      <c r="M311" s="1">
        <v>0</v>
      </c>
      <c r="N311" s="1">
        <v>0</v>
      </c>
      <c r="O311" s="1">
        <v>0</v>
      </c>
      <c r="P311" s="1">
        <v>0</v>
      </c>
      <c r="Q311" t="str">
        <f>INDEX(pARTNER[#All],MATCH(#REF!,pARTNER[[#All],[Value.partnerSummary.id]],0),10)</f>
        <v>Italia (IT)</v>
      </c>
      <c r="R311" t="str">
        <f>INDEX('Partner data'!$A$2:$DG$171,MATCH(#REF!,'Partner data'!$DG$2:$DG$171,0),83)</f>
        <v>Soggetto privato</v>
      </c>
      <c r="S311" s="86" t="b">
        <f>IF(#REF!="staff",INDEX('Partner data'!$DG$2:$DH$171,MATCH(#REF!,'Partner data'!$DG$2:$DG$171,0),2))</f>
        <v>0</v>
      </c>
    </row>
    <row r="312" spans="1:19" x14ac:dyDescent="0.25">
      <c r="A312" s="1" t="s">
        <v>337</v>
      </c>
      <c r="B312" s="1" t="s">
        <v>307</v>
      </c>
      <c r="C312" s="13">
        <v>125</v>
      </c>
      <c r="D312" s="13">
        <v>232</v>
      </c>
      <c r="E312" s="1" t="s">
        <v>230</v>
      </c>
      <c r="F312" s="1"/>
      <c r="G312" s="1">
        <v>0</v>
      </c>
      <c r="H312" s="1">
        <v>0</v>
      </c>
      <c r="I312" s="1">
        <v>0</v>
      </c>
      <c r="J312" s="1">
        <v>0</v>
      </c>
      <c r="K312" s="1">
        <v>0</v>
      </c>
      <c r="L312" s="1">
        <v>0</v>
      </c>
      <c r="M312" s="1">
        <v>0</v>
      </c>
      <c r="N312" s="1">
        <v>0</v>
      </c>
      <c r="O312" s="1">
        <v>0</v>
      </c>
      <c r="P312" s="1">
        <v>0</v>
      </c>
      <c r="Q312" t="str">
        <f>INDEX(pARTNER[#All],MATCH(#REF!,pARTNER[[#All],[Value.partnerSummary.id]],0),10)</f>
        <v>Italia (IT)</v>
      </c>
      <c r="R312" t="str">
        <f>INDEX('Partner data'!$A$2:$DG$171,MATCH(#REF!,'Partner data'!$DG$2:$DG$171,0),83)</f>
        <v>Soggetto privato</v>
      </c>
      <c r="S312" s="86" t="b">
        <f>IF(#REF!="staff",INDEX('Partner data'!$DG$2:$DH$171,MATCH(#REF!,'Partner data'!$DG$2:$DG$171,0),2))</f>
        <v>0</v>
      </c>
    </row>
    <row r="313" spans="1:19" x14ac:dyDescent="0.25">
      <c r="A313" s="1" t="s">
        <v>337</v>
      </c>
      <c r="B313" s="1" t="s">
        <v>307</v>
      </c>
      <c r="C313" s="13">
        <v>125</v>
      </c>
      <c r="D313" s="13">
        <v>232</v>
      </c>
      <c r="E313" s="1" t="s">
        <v>231</v>
      </c>
      <c r="F313" s="1"/>
      <c r="G313" s="1">
        <v>0</v>
      </c>
      <c r="H313" s="1">
        <v>0</v>
      </c>
      <c r="I313" s="1">
        <v>0</v>
      </c>
      <c r="J313" s="1">
        <v>0</v>
      </c>
      <c r="K313" s="1">
        <v>0</v>
      </c>
      <c r="L313" s="1">
        <v>0</v>
      </c>
      <c r="M313" s="1">
        <v>0</v>
      </c>
      <c r="N313" s="1">
        <v>0</v>
      </c>
      <c r="O313" s="1">
        <v>0</v>
      </c>
      <c r="P313" s="1">
        <v>0</v>
      </c>
      <c r="Q313" t="str">
        <f>INDEX(pARTNER[#All],MATCH(#REF!,pARTNER[[#All],[Value.partnerSummary.id]],0),10)</f>
        <v>Italia (IT)</v>
      </c>
      <c r="R313" t="str">
        <f>INDEX('Partner data'!$A$2:$DG$171,MATCH(#REF!,'Partner data'!$DG$2:$DG$171,0),83)</f>
        <v>Soggetto privato</v>
      </c>
      <c r="S313" s="86" t="b">
        <f>IF(#REF!="staff",INDEX('Partner data'!$DG$2:$DH$171,MATCH(#REF!,'Partner data'!$DG$2:$DG$171,0),2))</f>
        <v>0</v>
      </c>
    </row>
    <row r="314" spans="1:19" x14ac:dyDescent="0.25">
      <c r="A314" s="1" t="s">
        <v>337</v>
      </c>
      <c r="B314" s="1" t="s">
        <v>307</v>
      </c>
      <c r="C314" s="13">
        <v>125</v>
      </c>
      <c r="D314" s="13">
        <v>232</v>
      </c>
      <c r="E314" s="1" t="s">
        <v>232</v>
      </c>
      <c r="F314" s="1"/>
      <c r="G314" s="1">
        <v>0</v>
      </c>
      <c r="H314" s="1">
        <v>0</v>
      </c>
      <c r="I314" s="1">
        <v>0</v>
      </c>
      <c r="J314" s="1">
        <v>0</v>
      </c>
      <c r="K314" s="1">
        <v>0</v>
      </c>
      <c r="L314" s="1">
        <v>0</v>
      </c>
      <c r="M314" s="1">
        <v>0</v>
      </c>
      <c r="N314" s="1">
        <v>0</v>
      </c>
      <c r="O314" s="1">
        <v>0</v>
      </c>
      <c r="P314" s="1">
        <v>0</v>
      </c>
      <c r="Q314" t="str">
        <f>INDEX(pARTNER[#All],MATCH(#REF!,pARTNER[[#All],[Value.partnerSummary.id]],0),10)</f>
        <v>Italia (IT)</v>
      </c>
      <c r="R314" t="str">
        <f>INDEX('Partner data'!$A$2:$DG$171,MATCH(#REF!,'Partner data'!$DG$2:$DG$171,0),83)</f>
        <v>Soggetto privato</v>
      </c>
      <c r="S314" s="86" t="b">
        <f>IF(#REF!="staff",INDEX('Partner data'!$DG$2:$DH$171,MATCH(#REF!,'Partner data'!$DG$2:$DG$171,0),2))</f>
        <v>0</v>
      </c>
    </row>
    <row r="315" spans="1:19" x14ac:dyDescent="0.25">
      <c r="A315" s="1" t="s">
        <v>337</v>
      </c>
      <c r="B315" s="1" t="s">
        <v>307</v>
      </c>
      <c r="C315" s="13">
        <v>125</v>
      </c>
      <c r="D315" s="13">
        <v>232</v>
      </c>
      <c r="E315" s="1" t="s">
        <v>233</v>
      </c>
      <c r="F315" s="1"/>
      <c r="G315" s="1">
        <v>0</v>
      </c>
      <c r="H315" s="1">
        <v>0</v>
      </c>
      <c r="I315" s="1">
        <v>0</v>
      </c>
      <c r="J315" s="1">
        <v>0</v>
      </c>
      <c r="K315" s="1">
        <v>0</v>
      </c>
      <c r="L315" s="1">
        <v>0</v>
      </c>
      <c r="M315" s="1">
        <v>0</v>
      </c>
      <c r="N315" s="1">
        <v>0</v>
      </c>
      <c r="O315" s="1">
        <v>0</v>
      </c>
      <c r="P315" s="1">
        <v>0</v>
      </c>
      <c r="Q315" t="str">
        <f>INDEX(pARTNER[#All],MATCH(#REF!,pARTNER[[#All],[Value.partnerSummary.id]],0),10)</f>
        <v>Italia (IT)</v>
      </c>
      <c r="R315" t="str">
        <f>INDEX('Partner data'!$A$2:$DG$171,MATCH(#REF!,'Partner data'!$DG$2:$DG$171,0),83)</f>
        <v>Soggetto privato</v>
      </c>
      <c r="S315" s="86" t="b">
        <f>IF(#REF!="staff",INDEX('Partner data'!$DG$2:$DH$171,MATCH(#REF!,'Partner data'!$DG$2:$DG$171,0),2))</f>
        <v>0</v>
      </c>
    </row>
    <row r="316" spans="1:19" x14ac:dyDescent="0.25">
      <c r="A316" s="1" t="s">
        <v>337</v>
      </c>
      <c r="B316" s="1" t="s">
        <v>307</v>
      </c>
      <c r="C316" s="13">
        <v>125</v>
      </c>
      <c r="D316" s="13">
        <v>232</v>
      </c>
      <c r="E316" s="1" t="s">
        <v>234</v>
      </c>
      <c r="F316" s="1">
        <v>40</v>
      </c>
      <c r="G316" s="1">
        <v>33216</v>
      </c>
      <c r="H316" s="1">
        <v>0</v>
      </c>
      <c r="I316" s="1">
        <v>0</v>
      </c>
      <c r="J316" s="1">
        <v>6601.2</v>
      </c>
      <c r="K316" s="1">
        <v>0</v>
      </c>
      <c r="L316" s="1">
        <v>6590.4</v>
      </c>
      <c r="M316" s="1">
        <v>6601.2</v>
      </c>
      <c r="N316" s="1">
        <v>19.87</v>
      </c>
      <c r="O316" s="1">
        <v>26614.799999999999</v>
      </c>
      <c r="P316" s="1">
        <v>0</v>
      </c>
      <c r="Q316" t="str">
        <f>INDEX(pARTNER[#All],MATCH(#REF!,pARTNER[[#All],[Value.partnerSummary.id]],0),10)</f>
        <v>Italia (IT)</v>
      </c>
      <c r="R316" t="str">
        <f>INDEX('Partner data'!$A$2:$DG$171,MATCH(#REF!,'Partner data'!$DG$2:$DG$171,0),83)</f>
        <v>Soggetto privato</v>
      </c>
      <c r="S316" s="86" t="b">
        <f>IF(#REF!="staff",INDEX('Partner data'!$DG$2:$DH$171,MATCH(#REF!,'Partner data'!$DG$2:$DG$171,0),2))</f>
        <v>0</v>
      </c>
    </row>
    <row r="317" spans="1:19" x14ac:dyDescent="0.25">
      <c r="A317" s="1" t="s">
        <v>337</v>
      </c>
      <c r="B317" s="1" t="s">
        <v>307</v>
      </c>
      <c r="C317" s="13">
        <v>125</v>
      </c>
      <c r="D317" s="13">
        <v>232</v>
      </c>
      <c r="E317" s="1" t="s">
        <v>235</v>
      </c>
      <c r="F317" s="1"/>
      <c r="G317" s="1">
        <v>0</v>
      </c>
      <c r="H317" s="1">
        <v>0</v>
      </c>
      <c r="I317" s="1">
        <v>0</v>
      </c>
      <c r="J317" s="1">
        <v>0</v>
      </c>
      <c r="K317" s="1">
        <v>0</v>
      </c>
      <c r="L317" s="1">
        <v>0</v>
      </c>
      <c r="M317" s="1">
        <v>0</v>
      </c>
      <c r="N317" s="1">
        <v>0</v>
      </c>
      <c r="O317" s="1">
        <v>0</v>
      </c>
      <c r="P317" s="1">
        <v>0</v>
      </c>
      <c r="Q317" t="str">
        <f>INDEX(pARTNER[#All],MATCH(#REF!,pARTNER[[#All],[Value.partnerSummary.id]],0),10)</f>
        <v>Italia (IT)</v>
      </c>
      <c r="R317" t="str">
        <f>INDEX('Partner data'!$A$2:$DG$171,MATCH(#REF!,'Partner data'!$DG$2:$DG$171,0),83)</f>
        <v>Soggetto privato</v>
      </c>
      <c r="S317" s="86" t="b">
        <f>IF(#REF!="staff",INDEX('Partner data'!$DG$2:$DH$171,MATCH(#REF!,'Partner data'!$DG$2:$DG$171,0),2))</f>
        <v>0</v>
      </c>
    </row>
    <row r="318" spans="1:19" x14ac:dyDescent="0.25">
      <c r="A318" s="1" t="s">
        <v>337</v>
      </c>
      <c r="B318" s="1" t="s">
        <v>307</v>
      </c>
      <c r="C318" s="13">
        <v>125</v>
      </c>
      <c r="D318" s="13">
        <v>232</v>
      </c>
      <c r="E318" s="1" t="s">
        <v>236</v>
      </c>
      <c r="F318" s="1"/>
      <c r="G318" s="1">
        <v>0</v>
      </c>
      <c r="H318" s="1">
        <v>0</v>
      </c>
      <c r="I318" s="1">
        <v>0</v>
      </c>
      <c r="J318" s="1">
        <v>0</v>
      </c>
      <c r="K318" s="1">
        <v>0</v>
      </c>
      <c r="L318" s="1">
        <v>0</v>
      </c>
      <c r="M318" s="1">
        <v>0</v>
      </c>
      <c r="N318" s="1">
        <v>0</v>
      </c>
      <c r="O318" s="1">
        <v>0</v>
      </c>
      <c r="P318" s="1">
        <v>0</v>
      </c>
      <c r="Q318" t="str">
        <f>INDEX(pARTNER[#All],MATCH(#REF!,pARTNER[[#All],[Value.partnerSummary.id]],0),10)</f>
        <v>Italia (IT)</v>
      </c>
      <c r="R318" t="str">
        <f>INDEX('Partner data'!$A$2:$DG$171,MATCH(#REF!,'Partner data'!$DG$2:$DG$171,0),83)</f>
        <v>Soggetto privato</v>
      </c>
      <c r="S318" s="86" t="b">
        <f>IF(#REF!="staff",INDEX('Partner data'!$DG$2:$DH$171,MATCH(#REF!,'Partner data'!$DG$2:$DG$171,0),2))</f>
        <v>0</v>
      </c>
    </row>
    <row r="319" spans="1:19" x14ac:dyDescent="0.25">
      <c r="A319" s="1" t="s">
        <v>337</v>
      </c>
      <c r="B319" s="1" t="s">
        <v>307</v>
      </c>
      <c r="C319" s="13">
        <v>125</v>
      </c>
      <c r="D319" s="13">
        <v>232</v>
      </c>
      <c r="E319" s="1" t="s">
        <v>237</v>
      </c>
      <c r="F319" s="1"/>
      <c r="G319" s="1">
        <v>0</v>
      </c>
      <c r="H319" s="1">
        <v>0</v>
      </c>
      <c r="I319" s="1">
        <v>0</v>
      </c>
      <c r="J319" s="1">
        <v>0</v>
      </c>
      <c r="K319" s="1">
        <v>0</v>
      </c>
      <c r="L319" s="1">
        <v>0</v>
      </c>
      <c r="M319" s="1">
        <v>0</v>
      </c>
      <c r="N319" s="1">
        <v>0</v>
      </c>
      <c r="O319" s="1">
        <v>0</v>
      </c>
      <c r="P319" s="1">
        <v>0</v>
      </c>
      <c r="Q319" t="str">
        <f>INDEX(pARTNER[#All],MATCH(#REF!,pARTNER[[#All],[Value.partnerSummary.id]],0),10)</f>
        <v>Italia (IT)</v>
      </c>
      <c r="R319" t="str">
        <f>INDEX('Partner data'!$A$2:$DG$171,MATCH(#REF!,'Partner data'!$DG$2:$DG$171,0),83)</f>
        <v>Soggetto privato</v>
      </c>
      <c r="S319" s="86" t="b">
        <f>IF(#REF!="staff",INDEX('Partner data'!$DG$2:$DH$171,MATCH(#REF!,'Partner data'!$DG$2:$DG$171,0),2))</f>
        <v>0</v>
      </c>
    </row>
    <row r="320" spans="1:19" x14ac:dyDescent="0.25">
      <c r="A320" s="1" t="s">
        <v>337</v>
      </c>
      <c r="B320" s="1" t="s">
        <v>307</v>
      </c>
      <c r="C320" s="13">
        <v>125</v>
      </c>
      <c r="D320" s="13">
        <v>232</v>
      </c>
      <c r="E320" s="1" t="s">
        <v>238</v>
      </c>
      <c r="F320" s="1"/>
      <c r="G320" s="1">
        <v>116256</v>
      </c>
      <c r="H320" s="1">
        <v>0</v>
      </c>
      <c r="I320" s="1">
        <v>0</v>
      </c>
      <c r="J320" s="1">
        <v>23104.2</v>
      </c>
      <c r="K320" s="1">
        <v>0</v>
      </c>
      <c r="L320" s="1">
        <v>23066.400000000001</v>
      </c>
      <c r="M320" s="1">
        <v>23104.2</v>
      </c>
      <c r="N320" s="1">
        <v>19.87</v>
      </c>
      <c r="O320" s="1">
        <v>93151.8</v>
      </c>
      <c r="P320" s="1">
        <v>0</v>
      </c>
      <c r="Q320" t="str">
        <f>INDEX(pARTNER[#All],MATCH(#REF!,pARTNER[[#All],[Value.partnerSummary.id]],0),10)</f>
        <v>Italia (IT)</v>
      </c>
      <c r="R320" t="str">
        <f>INDEX('Partner data'!$A$2:$DG$171,MATCH(#REF!,'Partner data'!$DG$2:$DG$171,0),83)</f>
        <v>Soggetto privato</v>
      </c>
      <c r="S320" s="86" t="b">
        <f>IF(#REF!="staff",INDEX('Partner data'!$DG$2:$DH$171,MATCH(#REF!,'Partner data'!$DG$2:$DG$171,0),2))</f>
        <v>0</v>
      </c>
    </row>
    <row r="321" spans="1:19" x14ac:dyDescent="0.25">
      <c r="A321" s="1" t="s">
        <v>337</v>
      </c>
      <c r="B321" s="1" t="s">
        <v>340</v>
      </c>
      <c r="C321" s="13">
        <v>123</v>
      </c>
      <c r="D321" s="13">
        <v>141</v>
      </c>
      <c r="E321" s="1" t="s">
        <v>228</v>
      </c>
      <c r="F321" s="1"/>
      <c r="G321" s="1">
        <v>92750</v>
      </c>
      <c r="H321" s="1">
        <v>0</v>
      </c>
      <c r="I321" s="1">
        <v>0</v>
      </c>
      <c r="J321" s="1">
        <v>1953.58</v>
      </c>
      <c r="K321" s="1">
        <v>0</v>
      </c>
      <c r="L321" s="1">
        <v>0</v>
      </c>
      <c r="M321" s="1">
        <v>1953.58</v>
      </c>
      <c r="N321" s="1">
        <v>2.11</v>
      </c>
      <c r="O321" s="1">
        <v>90796.42</v>
      </c>
      <c r="P321" s="1">
        <v>0</v>
      </c>
      <c r="Q321" t="str">
        <f>INDEX(pARTNER[#All],MATCH(#REF!,pARTNER[[#All],[Value.partnerSummary.id]],0),10)</f>
        <v>Slovenija (SI)</v>
      </c>
      <c r="R321" t="str">
        <f>INDEX('Partner data'!$A$2:$DG$171,MATCH(#REF!,'Partner data'!$DG$2:$DG$171,0),83)</f>
        <v>Soggetto pubblico</v>
      </c>
      <c r="S321" s="86" t="str">
        <f>IF(#REF!="staff",INDEX('Partner data'!$DG$2:$DH$171,MATCH(#REF!,'Partner data'!$DG$2:$DG$171,0),2))</f>
        <v>COSTO REALE</v>
      </c>
    </row>
    <row r="322" spans="1:19" x14ac:dyDescent="0.25">
      <c r="A322" s="1" t="s">
        <v>337</v>
      </c>
      <c r="B322" s="1" t="s">
        <v>340</v>
      </c>
      <c r="C322" s="13">
        <v>123</v>
      </c>
      <c r="D322" s="13">
        <v>141</v>
      </c>
      <c r="E322" s="1" t="s">
        <v>229</v>
      </c>
      <c r="F322" s="1"/>
      <c r="G322" s="1">
        <v>0</v>
      </c>
      <c r="H322" s="1">
        <v>0</v>
      </c>
      <c r="I322" s="1">
        <v>0</v>
      </c>
      <c r="J322" s="1">
        <v>0</v>
      </c>
      <c r="K322" s="1">
        <v>0</v>
      </c>
      <c r="L322" s="1">
        <v>0</v>
      </c>
      <c r="M322" s="1">
        <v>0</v>
      </c>
      <c r="N322" s="1">
        <v>0</v>
      </c>
      <c r="O322" s="1">
        <v>0</v>
      </c>
      <c r="P322" s="1">
        <v>0</v>
      </c>
      <c r="Q322" t="str">
        <f>INDEX(pARTNER[#All],MATCH(#REF!,pARTNER[[#All],[Value.partnerSummary.id]],0),10)</f>
        <v>Slovenija (SI)</v>
      </c>
      <c r="R322" t="str">
        <f>INDEX('Partner data'!$A$2:$DG$171,MATCH(#REF!,'Partner data'!$DG$2:$DG$171,0),83)</f>
        <v>Soggetto pubblico</v>
      </c>
      <c r="S322" s="86" t="b">
        <f>IF(#REF!="staff",INDEX('Partner data'!$DG$2:$DH$171,MATCH(#REF!,'Partner data'!$DG$2:$DG$171,0),2))</f>
        <v>0</v>
      </c>
    </row>
    <row r="323" spans="1:19" x14ac:dyDescent="0.25">
      <c r="A323" s="1" t="s">
        <v>337</v>
      </c>
      <c r="B323" s="1" t="s">
        <v>340</v>
      </c>
      <c r="C323" s="13">
        <v>123</v>
      </c>
      <c r="D323" s="13">
        <v>141</v>
      </c>
      <c r="E323" s="1" t="s">
        <v>230</v>
      </c>
      <c r="F323" s="1"/>
      <c r="G323" s="1">
        <v>0</v>
      </c>
      <c r="H323" s="1">
        <v>0</v>
      </c>
      <c r="I323" s="1">
        <v>0</v>
      </c>
      <c r="J323" s="1">
        <v>0</v>
      </c>
      <c r="K323" s="1">
        <v>0</v>
      </c>
      <c r="L323" s="1">
        <v>0</v>
      </c>
      <c r="M323" s="1">
        <v>0</v>
      </c>
      <c r="N323" s="1">
        <v>0</v>
      </c>
      <c r="O323" s="1">
        <v>0</v>
      </c>
      <c r="P323" s="1">
        <v>0</v>
      </c>
      <c r="Q323" t="str">
        <f>INDEX(pARTNER[#All],MATCH(#REF!,pARTNER[[#All],[Value.partnerSummary.id]],0),10)</f>
        <v>Slovenija (SI)</v>
      </c>
      <c r="R323" t="str">
        <f>INDEX('Partner data'!$A$2:$DG$171,MATCH(#REF!,'Partner data'!$DG$2:$DG$171,0),83)</f>
        <v>Soggetto pubblico</v>
      </c>
      <c r="S323" s="86" t="b">
        <f>IF(#REF!="staff",INDEX('Partner data'!$DG$2:$DH$171,MATCH(#REF!,'Partner data'!$DG$2:$DG$171,0),2))</f>
        <v>0</v>
      </c>
    </row>
    <row r="324" spans="1:19" x14ac:dyDescent="0.25">
      <c r="A324" s="1" t="s">
        <v>337</v>
      </c>
      <c r="B324" s="1" t="s">
        <v>340</v>
      </c>
      <c r="C324" s="13">
        <v>123</v>
      </c>
      <c r="D324" s="13">
        <v>141</v>
      </c>
      <c r="E324" s="1" t="s">
        <v>231</v>
      </c>
      <c r="F324" s="1"/>
      <c r="G324" s="1">
        <v>0</v>
      </c>
      <c r="H324" s="1">
        <v>0</v>
      </c>
      <c r="I324" s="1">
        <v>0</v>
      </c>
      <c r="J324" s="1">
        <v>0</v>
      </c>
      <c r="K324" s="1">
        <v>0</v>
      </c>
      <c r="L324" s="1">
        <v>0</v>
      </c>
      <c r="M324" s="1">
        <v>0</v>
      </c>
      <c r="N324" s="1">
        <v>0</v>
      </c>
      <c r="O324" s="1">
        <v>0</v>
      </c>
      <c r="P324" s="1">
        <v>0</v>
      </c>
      <c r="Q324" t="str">
        <f>INDEX(pARTNER[#All],MATCH(#REF!,pARTNER[[#All],[Value.partnerSummary.id]],0),10)</f>
        <v>Slovenija (SI)</v>
      </c>
      <c r="R324" t="str">
        <f>INDEX('Partner data'!$A$2:$DG$171,MATCH(#REF!,'Partner data'!$DG$2:$DG$171,0),83)</f>
        <v>Soggetto pubblico</v>
      </c>
      <c r="S324" s="86" t="b">
        <f>IF(#REF!="staff",INDEX('Partner data'!$DG$2:$DH$171,MATCH(#REF!,'Partner data'!$DG$2:$DG$171,0),2))</f>
        <v>0</v>
      </c>
    </row>
    <row r="325" spans="1:19" x14ac:dyDescent="0.25">
      <c r="A325" s="1" t="s">
        <v>337</v>
      </c>
      <c r="B325" s="1" t="s">
        <v>340</v>
      </c>
      <c r="C325" s="13">
        <v>123</v>
      </c>
      <c r="D325" s="13">
        <v>141</v>
      </c>
      <c r="E325" s="1" t="s">
        <v>232</v>
      </c>
      <c r="F325" s="1"/>
      <c r="G325" s="1">
        <v>0</v>
      </c>
      <c r="H325" s="1">
        <v>0</v>
      </c>
      <c r="I325" s="1">
        <v>0</v>
      </c>
      <c r="J325" s="1">
        <v>0</v>
      </c>
      <c r="K325" s="1">
        <v>0</v>
      </c>
      <c r="L325" s="1">
        <v>0</v>
      </c>
      <c r="M325" s="1">
        <v>0</v>
      </c>
      <c r="N325" s="1">
        <v>0</v>
      </c>
      <c r="O325" s="1">
        <v>0</v>
      </c>
      <c r="P325" s="1">
        <v>0</v>
      </c>
      <c r="Q325" t="str">
        <f>INDEX(pARTNER[#All],MATCH(#REF!,pARTNER[[#All],[Value.partnerSummary.id]],0),10)</f>
        <v>Slovenija (SI)</v>
      </c>
      <c r="R325" t="str">
        <f>INDEX('Partner data'!$A$2:$DG$171,MATCH(#REF!,'Partner data'!$DG$2:$DG$171,0),83)</f>
        <v>Soggetto pubblico</v>
      </c>
      <c r="S325" s="86" t="b">
        <f>IF(#REF!="staff",INDEX('Partner data'!$DG$2:$DH$171,MATCH(#REF!,'Partner data'!$DG$2:$DG$171,0),2))</f>
        <v>0</v>
      </c>
    </row>
    <row r="326" spans="1:19" x14ac:dyDescent="0.25">
      <c r="A326" s="1" t="s">
        <v>337</v>
      </c>
      <c r="B326" s="1" t="s">
        <v>340</v>
      </c>
      <c r="C326" s="13">
        <v>123</v>
      </c>
      <c r="D326" s="13">
        <v>141</v>
      </c>
      <c r="E326" s="1" t="s">
        <v>233</v>
      </c>
      <c r="F326" s="1"/>
      <c r="G326" s="1">
        <v>0</v>
      </c>
      <c r="H326" s="1">
        <v>0</v>
      </c>
      <c r="I326" s="1">
        <v>0</v>
      </c>
      <c r="J326" s="1">
        <v>0</v>
      </c>
      <c r="K326" s="1">
        <v>0</v>
      </c>
      <c r="L326" s="1">
        <v>0</v>
      </c>
      <c r="M326" s="1">
        <v>0</v>
      </c>
      <c r="N326" s="1">
        <v>0</v>
      </c>
      <c r="O326" s="1">
        <v>0</v>
      </c>
      <c r="P326" s="1">
        <v>0</v>
      </c>
      <c r="Q326" t="str">
        <f>INDEX(pARTNER[#All],MATCH(#REF!,pARTNER[[#All],[Value.partnerSummary.id]],0),10)</f>
        <v>Slovenija (SI)</v>
      </c>
      <c r="R326" t="str">
        <f>INDEX('Partner data'!$A$2:$DG$171,MATCH(#REF!,'Partner data'!$DG$2:$DG$171,0),83)</f>
        <v>Soggetto pubblico</v>
      </c>
      <c r="S326" s="86" t="b">
        <f>IF(#REF!="staff",INDEX('Partner data'!$DG$2:$DH$171,MATCH(#REF!,'Partner data'!$DG$2:$DG$171,0),2))</f>
        <v>0</v>
      </c>
    </row>
    <row r="327" spans="1:19" x14ac:dyDescent="0.25">
      <c r="A327" s="1" t="s">
        <v>337</v>
      </c>
      <c r="B327" s="1" t="s">
        <v>340</v>
      </c>
      <c r="C327" s="13">
        <v>123</v>
      </c>
      <c r="D327" s="13">
        <v>141</v>
      </c>
      <c r="E327" s="1" t="s">
        <v>234</v>
      </c>
      <c r="F327" s="1">
        <v>40</v>
      </c>
      <c r="G327" s="1">
        <v>37100</v>
      </c>
      <c r="H327" s="1">
        <v>0</v>
      </c>
      <c r="I327" s="1">
        <v>0</v>
      </c>
      <c r="J327" s="1">
        <v>781.43</v>
      </c>
      <c r="K327" s="1">
        <v>0</v>
      </c>
      <c r="L327" s="1">
        <v>0</v>
      </c>
      <c r="M327" s="1">
        <v>781.43</v>
      </c>
      <c r="N327" s="1">
        <v>2.11</v>
      </c>
      <c r="O327" s="1">
        <v>36318.57</v>
      </c>
      <c r="P327" s="1">
        <v>0</v>
      </c>
      <c r="Q327" t="str">
        <f>INDEX(pARTNER[#All],MATCH(#REF!,pARTNER[[#All],[Value.partnerSummary.id]],0),10)</f>
        <v>Slovenija (SI)</v>
      </c>
      <c r="R327" t="str">
        <f>INDEX('Partner data'!$A$2:$DG$171,MATCH(#REF!,'Partner data'!$DG$2:$DG$171,0),83)</f>
        <v>Soggetto pubblico</v>
      </c>
      <c r="S327" s="86" t="b">
        <f>IF(#REF!="staff",INDEX('Partner data'!$DG$2:$DH$171,MATCH(#REF!,'Partner data'!$DG$2:$DG$171,0),2))</f>
        <v>0</v>
      </c>
    </row>
    <row r="328" spans="1:19" x14ac:dyDescent="0.25">
      <c r="A328" s="1" t="s">
        <v>337</v>
      </c>
      <c r="B328" s="1" t="s">
        <v>340</v>
      </c>
      <c r="C328" s="13">
        <v>123</v>
      </c>
      <c r="D328" s="13">
        <v>141</v>
      </c>
      <c r="E328" s="1" t="s">
        <v>235</v>
      </c>
      <c r="F328" s="1"/>
      <c r="G328" s="1">
        <v>0</v>
      </c>
      <c r="H328" s="1">
        <v>0</v>
      </c>
      <c r="I328" s="1">
        <v>0</v>
      </c>
      <c r="J328" s="1">
        <v>0</v>
      </c>
      <c r="K328" s="1">
        <v>0</v>
      </c>
      <c r="L328" s="1">
        <v>0</v>
      </c>
      <c r="M328" s="1">
        <v>0</v>
      </c>
      <c r="N328" s="1">
        <v>0</v>
      </c>
      <c r="O328" s="1">
        <v>0</v>
      </c>
      <c r="P328" s="1">
        <v>0</v>
      </c>
      <c r="Q328" t="str">
        <f>INDEX(pARTNER[#All],MATCH(#REF!,pARTNER[[#All],[Value.partnerSummary.id]],0),10)</f>
        <v>Slovenija (SI)</v>
      </c>
      <c r="R328" t="str">
        <f>INDEX('Partner data'!$A$2:$DG$171,MATCH(#REF!,'Partner data'!$DG$2:$DG$171,0),83)</f>
        <v>Soggetto pubblico</v>
      </c>
      <c r="S328" s="86" t="b">
        <f>IF(#REF!="staff",INDEX('Partner data'!$DG$2:$DH$171,MATCH(#REF!,'Partner data'!$DG$2:$DG$171,0),2))</f>
        <v>0</v>
      </c>
    </row>
    <row r="329" spans="1:19" x14ac:dyDescent="0.25">
      <c r="A329" s="1" t="s">
        <v>337</v>
      </c>
      <c r="B329" s="1" t="s">
        <v>340</v>
      </c>
      <c r="C329" s="13">
        <v>123</v>
      </c>
      <c r="D329" s="13">
        <v>141</v>
      </c>
      <c r="E329" s="1" t="s">
        <v>236</v>
      </c>
      <c r="F329" s="1"/>
      <c r="G329" s="1">
        <v>0</v>
      </c>
      <c r="H329" s="1">
        <v>0</v>
      </c>
      <c r="I329" s="1">
        <v>0</v>
      </c>
      <c r="J329" s="1">
        <v>0</v>
      </c>
      <c r="K329" s="1">
        <v>0</v>
      </c>
      <c r="L329" s="1">
        <v>0</v>
      </c>
      <c r="M329" s="1">
        <v>0</v>
      </c>
      <c r="N329" s="1">
        <v>0</v>
      </c>
      <c r="O329" s="1">
        <v>0</v>
      </c>
      <c r="P329" s="1">
        <v>0</v>
      </c>
      <c r="Q329" t="str">
        <f>INDEX(pARTNER[#All],MATCH(#REF!,pARTNER[[#All],[Value.partnerSummary.id]],0),10)</f>
        <v>Slovenija (SI)</v>
      </c>
      <c r="R329" t="str">
        <f>INDEX('Partner data'!$A$2:$DG$171,MATCH(#REF!,'Partner data'!$DG$2:$DG$171,0),83)</f>
        <v>Soggetto pubblico</v>
      </c>
      <c r="S329" s="86" t="b">
        <f>IF(#REF!="staff",INDEX('Partner data'!$DG$2:$DH$171,MATCH(#REF!,'Partner data'!$DG$2:$DG$171,0),2))</f>
        <v>0</v>
      </c>
    </row>
    <row r="330" spans="1:19" x14ac:dyDescent="0.25">
      <c r="A330" s="1" t="s">
        <v>337</v>
      </c>
      <c r="B330" s="1" t="s">
        <v>340</v>
      </c>
      <c r="C330" s="13">
        <v>123</v>
      </c>
      <c r="D330" s="13">
        <v>141</v>
      </c>
      <c r="E330" s="1" t="s">
        <v>237</v>
      </c>
      <c r="F330" s="1"/>
      <c r="G330" s="1">
        <v>0</v>
      </c>
      <c r="H330" s="1">
        <v>0</v>
      </c>
      <c r="I330" s="1">
        <v>0</v>
      </c>
      <c r="J330" s="1">
        <v>0</v>
      </c>
      <c r="K330" s="1">
        <v>0</v>
      </c>
      <c r="L330" s="1">
        <v>0</v>
      </c>
      <c r="M330" s="1">
        <v>0</v>
      </c>
      <c r="N330" s="1">
        <v>0</v>
      </c>
      <c r="O330" s="1">
        <v>0</v>
      </c>
      <c r="P330" s="1">
        <v>0</v>
      </c>
      <c r="Q330" t="str">
        <f>INDEX(pARTNER[#All],MATCH(#REF!,pARTNER[[#All],[Value.partnerSummary.id]],0),10)</f>
        <v>Slovenija (SI)</v>
      </c>
      <c r="R330" t="str">
        <f>INDEX('Partner data'!$A$2:$DG$171,MATCH(#REF!,'Partner data'!$DG$2:$DG$171,0),83)</f>
        <v>Soggetto pubblico</v>
      </c>
      <c r="S330" s="86" t="b">
        <f>IF(#REF!="staff",INDEX('Partner data'!$DG$2:$DH$171,MATCH(#REF!,'Partner data'!$DG$2:$DG$171,0),2))</f>
        <v>0</v>
      </c>
    </row>
    <row r="331" spans="1:19" x14ac:dyDescent="0.25">
      <c r="A331" s="1" t="s">
        <v>337</v>
      </c>
      <c r="B331" s="1" t="s">
        <v>340</v>
      </c>
      <c r="C331" s="13">
        <v>123</v>
      </c>
      <c r="D331" s="13">
        <v>141</v>
      </c>
      <c r="E331" s="1" t="s">
        <v>238</v>
      </c>
      <c r="F331" s="1"/>
      <c r="G331" s="1">
        <v>129850</v>
      </c>
      <c r="H331" s="1">
        <v>0</v>
      </c>
      <c r="I331" s="1">
        <v>0</v>
      </c>
      <c r="J331" s="1">
        <v>2735.01</v>
      </c>
      <c r="K331" s="1">
        <v>0</v>
      </c>
      <c r="L331" s="1">
        <v>0</v>
      </c>
      <c r="M331" s="1">
        <v>2735.01</v>
      </c>
      <c r="N331" s="1">
        <v>2.11</v>
      </c>
      <c r="O331" s="1">
        <v>127114.99</v>
      </c>
      <c r="P331" s="1">
        <v>0</v>
      </c>
      <c r="Q331" t="str">
        <f>INDEX(pARTNER[#All],MATCH(#REF!,pARTNER[[#All],[Value.partnerSummary.id]],0),10)</f>
        <v>Slovenija (SI)</v>
      </c>
      <c r="R331" t="str">
        <f>INDEX('Partner data'!$A$2:$DG$171,MATCH(#REF!,'Partner data'!$DG$2:$DG$171,0),83)</f>
        <v>Soggetto pubblico</v>
      </c>
      <c r="S331" s="86" t="b">
        <f>IF(#REF!="staff",INDEX('Partner data'!$DG$2:$DH$171,MATCH(#REF!,'Partner data'!$DG$2:$DG$171,0),2))</f>
        <v>0</v>
      </c>
    </row>
    <row r="332" spans="1:19" x14ac:dyDescent="0.25">
      <c r="A332" s="1" t="s">
        <v>337</v>
      </c>
      <c r="B332" s="1" t="s">
        <v>292</v>
      </c>
      <c r="C332" s="13">
        <v>122</v>
      </c>
      <c r="D332" s="13">
        <v>22</v>
      </c>
      <c r="E332" s="1" t="s">
        <v>228</v>
      </c>
      <c r="F332" s="1"/>
      <c r="G332" s="1">
        <v>98800</v>
      </c>
      <c r="H332" s="1">
        <v>0</v>
      </c>
      <c r="I332" s="1">
        <v>0</v>
      </c>
      <c r="J332" s="1">
        <v>15123.61</v>
      </c>
      <c r="K332" s="1">
        <v>0</v>
      </c>
      <c r="L332" s="1">
        <v>15123.61</v>
      </c>
      <c r="M332" s="1">
        <v>15123.61</v>
      </c>
      <c r="N332" s="1">
        <v>15.31</v>
      </c>
      <c r="O332" s="1">
        <v>83676.39</v>
      </c>
      <c r="P332" s="1">
        <v>0</v>
      </c>
      <c r="Q332" t="str">
        <f>INDEX(pARTNER[#All],MATCH(#REF!,pARTNER[[#All],[Value.partnerSummary.id]],0),10)</f>
        <v>Italia (IT)</v>
      </c>
      <c r="R332" t="str">
        <f>INDEX('Partner data'!$A$2:$DG$171,MATCH(#REF!,'Partner data'!$DG$2:$DG$171,0),83)</f>
        <v>Soggetto pubblico</v>
      </c>
      <c r="S332" s="86" t="str">
        <f>IF(#REF!="staff",INDEX('Partner data'!$DG$2:$DH$171,MATCH(#REF!,'Partner data'!$DG$2:$DG$171,0),2))</f>
        <v>COSTO REALE</v>
      </c>
    </row>
    <row r="333" spans="1:19" x14ac:dyDescent="0.25">
      <c r="A333" s="1" t="s">
        <v>337</v>
      </c>
      <c r="B333" s="1" t="s">
        <v>292</v>
      </c>
      <c r="C333" s="13">
        <v>122</v>
      </c>
      <c r="D333" s="13">
        <v>22</v>
      </c>
      <c r="E333" s="1" t="s">
        <v>229</v>
      </c>
      <c r="F333" s="1">
        <v>15</v>
      </c>
      <c r="G333" s="1">
        <v>14820</v>
      </c>
      <c r="H333" s="1">
        <v>0</v>
      </c>
      <c r="I333" s="1">
        <v>0</v>
      </c>
      <c r="J333" s="1">
        <v>2268.54</v>
      </c>
      <c r="K333" s="1">
        <v>0</v>
      </c>
      <c r="L333" s="1">
        <v>2268.54</v>
      </c>
      <c r="M333" s="1">
        <v>2268.54</v>
      </c>
      <c r="N333" s="1">
        <v>15.31</v>
      </c>
      <c r="O333" s="1">
        <v>12551.46</v>
      </c>
      <c r="P333" s="1">
        <v>0</v>
      </c>
      <c r="Q333" t="str">
        <f>INDEX(pARTNER[#All],MATCH(#REF!,pARTNER[[#All],[Value.partnerSummary.id]],0),10)</f>
        <v>Italia (IT)</v>
      </c>
      <c r="R333" t="str">
        <f>INDEX('Partner data'!$A$2:$DG$171,MATCH(#REF!,'Partner data'!$DG$2:$DG$171,0),83)</f>
        <v>Soggetto pubblico</v>
      </c>
      <c r="S333" s="86" t="b">
        <f>IF(#REF!="staff",INDEX('Partner data'!$DG$2:$DH$171,MATCH(#REF!,'Partner data'!$DG$2:$DG$171,0),2))</f>
        <v>0</v>
      </c>
    </row>
    <row r="334" spans="1:19" x14ac:dyDescent="0.25">
      <c r="A334" s="1" t="s">
        <v>337</v>
      </c>
      <c r="B334" s="1" t="s">
        <v>292</v>
      </c>
      <c r="C334" s="13">
        <v>122</v>
      </c>
      <c r="D334" s="13">
        <v>22</v>
      </c>
      <c r="E334" s="1" t="s">
        <v>230</v>
      </c>
      <c r="F334" s="1">
        <v>4</v>
      </c>
      <c r="G334" s="1">
        <v>3952</v>
      </c>
      <c r="H334" s="1">
        <v>0</v>
      </c>
      <c r="I334" s="1">
        <v>0</v>
      </c>
      <c r="J334" s="1">
        <v>604.94000000000005</v>
      </c>
      <c r="K334" s="1">
        <v>0</v>
      </c>
      <c r="L334" s="1">
        <v>604.94000000000005</v>
      </c>
      <c r="M334" s="1">
        <v>604.94000000000005</v>
      </c>
      <c r="N334" s="1">
        <v>15.31</v>
      </c>
      <c r="O334" s="1">
        <v>3347.06</v>
      </c>
      <c r="P334" s="1">
        <v>0</v>
      </c>
      <c r="Q334" t="str">
        <f>INDEX(pARTNER[#All],MATCH(#REF!,pARTNER[[#All],[Value.partnerSummary.id]],0),10)</f>
        <v>Italia (IT)</v>
      </c>
      <c r="R334" t="str">
        <f>INDEX('Partner data'!$A$2:$DG$171,MATCH(#REF!,'Partner data'!$DG$2:$DG$171,0),83)</f>
        <v>Soggetto pubblico</v>
      </c>
      <c r="S334" s="86" t="b">
        <f>IF(#REF!="staff",INDEX('Partner data'!$DG$2:$DH$171,MATCH(#REF!,'Partner data'!$DG$2:$DG$171,0),2))</f>
        <v>0</v>
      </c>
    </row>
    <row r="335" spans="1:19" x14ac:dyDescent="0.25">
      <c r="A335" s="1" t="s">
        <v>337</v>
      </c>
      <c r="B335" s="1" t="s">
        <v>292</v>
      </c>
      <c r="C335" s="13">
        <v>122</v>
      </c>
      <c r="D335" s="13">
        <v>22</v>
      </c>
      <c r="E335" s="1" t="s">
        <v>231</v>
      </c>
      <c r="F335" s="1"/>
      <c r="G335" s="1">
        <v>105400</v>
      </c>
      <c r="H335" s="1">
        <v>0</v>
      </c>
      <c r="I335" s="1">
        <v>0</v>
      </c>
      <c r="J335" s="1">
        <v>0</v>
      </c>
      <c r="K335" s="1">
        <v>0</v>
      </c>
      <c r="L335" s="1">
        <v>0</v>
      </c>
      <c r="M335" s="1">
        <v>0</v>
      </c>
      <c r="N335" s="1">
        <v>0</v>
      </c>
      <c r="O335" s="1">
        <v>105400</v>
      </c>
      <c r="P335" s="1">
        <v>0</v>
      </c>
      <c r="Q335" t="str">
        <f>INDEX(pARTNER[#All],MATCH(#REF!,pARTNER[[#All],[Value.partnerSummary.id]],0),10)</f>
        <v>Italia (IT)</v>
      </c>
      <c r="R335" t="str">
        <f>INDEX('Partner data'!$A$2:$DG$171,MATCH(#REF!,'Partner data'!$DG$2:$DG$171,0),83)</f>
        <v>Soggetto pubblico</v>
      </c>
      <c r="S335" s="86" t="b">
        <f>IF(#REF!="staff",INDEX('Partner data'!$DG$2:$DH$171,MATCH(#REF!,'Partner data'!$DG$2:$DG$171,0),2))</f>
        <v>0</v>
      </c>
    </row>
    <row r="336" spans="1:19" x14ac:dyDescent="0.25">
      <c r="A336" s="1" t="s">
        <v>337</v>
      </c>
      <c r="B336" s="1" t="s">
        <v>292</v>
      </c>
      <c r="C336" s="13">
        <v>122</v>
      </c>
      <c r="D336" s="13">
        <v>22</v>
      </c>
      <c r="E336" s="1" t="s">
        <v>232</v>
      </c>
      <c r="F336" s="1"/>
      <c r="G336" s="1">
        <v>22000</v>
      </c>
      <c r="H336" s="1">
        <v>0</v>
      </c>
      <c r="I336" s="1">
        <v>0</v>
      </c>
      <c r="J336" s="1">
        <v>4579.88</v>
      </c>
      <c r="K336" s="1">
        <v>0</v>
      </c>
      <c r="L336" s="1">
        <v>4579.88</v>
      </c>
      <c r="M336" s="1">
        <v>4579.88</v>
      </c>
      <c r="N336" s="1">
        <v>20.82</v>
      </c>
      <c r="O336" s="1">
        <v>17420.12</v>
      </c>
      <c r="P336" s="1">
        <v>0</v>
      </c>
      <c r="Q336" t="str">
        <f>INDEX(pARTNER[#All],MATCH(#REF!,pARTNER[[#All],[Value.partnerSummary.id]],0),10)</f>
        <v>Italia (IT)</v>
      </c>
      <c r="R336" t="str">
        <f>INDEX('Partner data'!$A$2:$DG$171,MATCH(#REF!,'Partner data'!$DG$2:$DG$171,0),83)</f>
        <v>Soggetto pubblico</v>
      </c>
      <c r="S336" s="86" t="b">
        <f>IF(#REF!="staff",INDEX('Partner data'!$DG$2:$DH$171,MATCH(#REF!,'Partner data'!$DG$2:$DG$171,0),2))</f>
        <v>0</v>
      </c>
    </row>
    <row r="337" spans="1:19" x14ac:dyDescent="0.25">
      <c r="A337" s="1" t="s">
        <v>337</v>
      </c>
      <c r="B337" s="1" t="s">
        <v>292</v>
      </c>
      <c r="C337" s="13">
        <v>122</v>
      </c>
      <c r="D337" s="13">
        <v>22</v>
      </c>
      <c r="E337" s="1" t="s">
        <v>233</v>
      </c>
      <c r="F337" s="1"/>
      <c r="G337" s="1">
        <v>0</v>
      </c>
      <c r="H337" s="1">
        <v>0</v>
      </c>
      <c r="I337" s="1">
        <v>0</v>
      </c>
      <c r="J337" s="1">
        <v>0</v>
      </c>
      <c r="K337" s="1">
        <v>0</v>
      </c>
      <c r="L337" s="1">
        <v>0</v>
      </c>
      <c r="M337" s="1">
        <v>0</v>
      </c>
      <c r="N337" s="1">
        <v>0</v>
      </c>
      <c r="O337" s="1">
        <v>0</v>
      </c>
      <c r="P337" s="1">
        <v>0</v>
      </c>
      <c r="Q337" t="str">
        <f>INDEX(pARTNER[#All],MATCH(#REF!,pARTNER[[#All],[Value.partnerSummary.id]],0),10)</f>
        <v>Italia (IT)</v>
      </c>
      <c r="R337" t="str">
        <f>INDEX('Partner data'!$A$2:$DG$171,MATCH(#REF!,'Partner data'!$DG$2:$DG$171,0),83)</f>
        <v>Soggetto pubblico</v>
      </c>
      <c r="S337" s="86" t="b">
        <f>IF(#REF!="staff",INDEX('Partner data'!$DG$2:$DH$171,MATCH(#REF!,'Partner data'!$DG$2:$DG$171,0),2))</f>
        <v>0</v>
      </c>
    </row>
    <row r="338" spans="1:19" x14ac:dyDescent="0.25">
      <c r="A338" s="1" t="s">
        <v>337</v>
      </c>
      <c r="B338" s="1" t="s">
        <v>292</v>
      </c>
      <c r="C338" s="13">
        <v>122</v>
      </c>
      <c r="D338" s="13">
        <v>22</v>
      </c>
      <c r="E338" s="1" t="s">
        <v>234</v>
      </c>
      <c r="F338" s="1"/>
      <c r="G338" s="1">
        <v>0</v>
      </c>
      <c r="H338" s="1">
        <v>0</v>
      </c>
      <c r="I338" s="1">
        <v>0</v>
      </c>
      <c r="J338" s="1">
        <v>0</v>
      </c>
      <c r="K338" s="1">
        <v>0</v>
      </c>
      <c r="L338" s="1">
        <v>0</v>
      </c>
      <c r="M338" s="1">
        <v>0</v>
      </c>
      <c r="N338" s="1">
        <v>0</v>
      </c>
      <c r="O338" s="1">
        <v>0</v>
      </c>
      <c r="P338" s="1">
        <v>0</v>
      </c>
      <c r="Q338" t="str">
        <f>INDEX(pARTNER[#All],MATCH(#REF!,pARTNER[[#All],[Value.partnerSummary.id]],0),10)</f>
        <v>Italia (IT)</v>
      </c>
      <c r="R338" t="str">
        <f>INDEX('Partner data'!$A$2:$DG$171,MATCH(#REF!,'Partner data'!$DG$2:$DG$171,0),83)</f>
        <v>Soggetto pubblico</v>
      </c>
      <c r="S338" s="86" t="b">
        <f>IF(#REF!="staff",INDEX('Partner data'!$DG$2:$DH$171,MATCH(#REF!,'Partner data'!$DG$2:$DG$171,0),2))</f>
        <v>0</v>
      </c>
    </row>
    <row r="339" spans="1:19" x14ac:dyDescent="0.25">
      <c r="A339" s="1" t="s">
        <v>337</v>
      </c>
      <c r="B339" s="1" t="s">
        <v>292</v>
      </c>
      <c r="C339" s="13">
        <v>122</v>
      </c>
      <c r="D339" s="13">
        <v>22</v>
      </c>
      <c r="E339" s="1" t="s">
        <v>235</v>
      </c>
      <c r="F339" s="1"/>
      <c r="G339" s="1">
        <v>9000</v>
      </c>
      <c r="H339" s="1">
        <v>0</v>
      </c>
      <c r="I339" s="1">
        <v>0</v>
      </c>
      <c r="J339" s="1">
        <v>9000</v>
      </c>
      <c r="K339" s="1">
        <v>0</v>
      </c>
      <c r="L339" s="1">
        <v>9000</v>
      </c>
      <c r="M339" s="1">
        <v>9000</v>
      </c>
      <c r="N339" s="1">
        <v>100</v>
      </c>
      <c r="O339" s="1">
        <v>0</v>
      </c>
      <c r="P339" s="1">
        <v>0</v>
      </c>
      <c r="Q339" t="str">
        <f>INDEX(pARTNER[#All],MATCH(#REF!,pARTNER[[#All],[Value.partnerSummary.id]],0),10)</f>
        <v>Italia (IT)</v>
      </c>
      <c r="R339" t="str">
        <f>INDEX('Partner data'!$A$2:$DG$171,MATCH(#REF!,'Partner data'!$DG$2:$DG$171,0),83)</f>
        <v>Soggetto pubblico</v>
      </c>
      <c r="S339" s="86" t="b">
        <f>IF(#REF!="staff",INDEX('Partner data'!$DG$2:$DH$171,MATCH(#REF!,'Partner data'!$DG$2:$DG$171,0),2))</f>
        <v>0</v>
      </c>
    </row>
    <row r="340" spans="1:19" x14ac:dyDescent="0.25">
      <c r="A340" s="1" t="s">
        <v>337</v>
      </c>
      <c r="B340" s="1" t="s">
        <v>292</v>
      </c>
      <c r="C340" s="13">
        <v>122</v>
      </c>
      <c r="D340" s="13">
        <v>22</v>
      </c>
      <c r="E340" s="1" t="s">
        <v>236</v>
      </c>
      <c r="F340" s="1"/>
      <c r="G340" s="1">
        <v>0</v>
      </c>
      <c r="H340" s="1">
        <v>0</v>
      </c>
      <c r="I340" s="1">
        <v>0</v>
      </c>
      <c r="J340" s="1">
        <v>0</v>
      </c>
      <c r="K340" s="1">
        <v>0</v>
      </c>
      <c r="L340" s="1">
        <v>0</v>
      </c>
      <c r="M340" s="1">
        <v>0</v>
      </c>
      <c r="N340" s="1">
        <v>0</v>
      </c>
      <c r="O340" s="1">
        <v>0</v>
      </c>
      <c r="P340" s="1">
        <v>0</v>
      </c>
      <c r="Q340" t="str">
        <f>INDEX(pARTNER[#All],MATCH(#REF!,pARTNER[[#All],[Value.partnerSummary.id]],0),10)</f>
        <v>Italia (IT)</v>
      </c>
      <c r="R340" t="str">
        <f>INDEX('Partner data'!$A$2:$DG$171,MATCH(#REF!,'Partner data'!$DG$2:$DG$171,0),83)</f>
        <v>Soggetto pubblico</v>
      </c>
      <c r="S340" s="86" t="b">
        <f>IF(#REF!="staff",INDEX('Partner data'!$DG$2:$DH$171,MATCH(#REF!,'Partner data'!$DG$2:$DG$171,0),2))</f>
        <v>0</v>
      </c>
    </row>
    <row r="341" spans="1:19" x14ac:dyDescent="0.25">
      <c r="A341" s="1" t="s">
        <v>337</v>
      </c>
      <c r="B341" s="1" t="s">
        <v>292</v>
      </c>
      <c r="C341" s="13">
        <v>122</v>
      </c>
      <c r="D341" s="13">
        <v>22</v>
      </c>
      <c r="E341" s="1" t="s">
        <v>237</v>
      </c>
      <c r="F341" s="1"/>
      <c r="G341" s="1">
        <v>0</v>
      </c>
      <c r="H341" s="1">
        <v>0</v>
      </c>
      <c r="I341" s="1">
        <v>0</v>
      </c>
      <c r="J341" s="1">
        <v>0</v>
      </c>
      <c r="K341" s="1">
        <v>0</v>
      </c>
      <c r="L341" s="1">
        <v>0</v>
      </c>
      <c r="M341" s="1">
        <v>0</v>
      </c>
      <c r="N341" s="1">
        <v>0</v>
      </c>
      <c r="O341" s="1">
        <v>0</v>
      </c>
      <c r="P341" s="1">
        <v>0</v>
      </c>
      <c r="Q341" t="str">
        <f>INDEX(pARTNER[#All],MATCH(#REF!,pARTNER[[#All],[Value.partnerSummary.id]],0),10)</f>
        <v>Italia (IT)</v>
      </c>
      <c r="R341" t="str">
        <f>INDEX('Partner data'!$A$2:$DG$171,MATCH(#REF!,'Partner data'!$DG$2:$DG$171,0),83)</f>
        <v>Soggetto pubblico</v>
      </c>
      <c r="S341" s="86" t="b">
        <f>IF(#REF!="staff",INDEX('Partner data'!$DG$2:$DH$171,MATCH(#REF!,'Partner data'!$DG$2:$DG$171,0),2))</f>
        <v>0</v>
      </c>
    </row>
    <row r="342" spans="1:19" x14ac:dyDescent="0.25">
      <c r="A342" s="1" t="s">
        <v>337</v>
      </c>
      <c r="B342" s="1" t="s">
        <v>292</v>
      </c>
      <c r="C342" s="13">
        <v>122</v>
      </c>
      <c r="D342" s="13">
        <v>22</v>
      </c>
      <c r="E342" s="1" t="s">
        <v>238</v>
      </c>
      <c r="F342" s="1"/>
      <c r="G342" s="1">
        <v>253972</v>
      </c>
      <c r="H342" s="1">
        <v>0</v>
      </c>
      <c r="I342" s="1">
        <v>0</v>
      </c>
      <c r="J342" s="1">
        <v>31576.97</v>
      </c>
      <c r="K342" s="1">
        <v>0</v>
      </c>
      <c r="L342" s="1">
        <v>31576.97</v>
      </c>
      <c r="M342" s="1">
        <v>31576.97</v>
      </c>
      <c r="N342" s="1">
        <v>12.43</v>
      </c>
      <c r="O342" s="1">
        <v>222395.03</v>
      </c>
      <c r="P342" s="1">
        <v>0</v>
      </c>
      <c r="Q342" t="str">
        <f>INDEX(pARTNER[#All],MATCH(#REF!,pARTNER[[#All],[Value.partnerSummary.id]],0),10)</f>
        <v>Italia (IT)</v>
      </c>
      <c r="R342" t="str">
        <f>INDEX('Partner data'!$A$2:$DG$171,MATCH(#REF!,'Partner data'!$DG$2:$DG$171,0),83)</f>
        <v>Soggetto pubblico</v>
      </c>
      <c r="S342" s="86" t="b">
        <f>IF(#REF!="staff",INDEX('Partner data'!$DG$2:$DH$171,MATCH(#REF!,'Partner data'!$DG$2:$DG$171,0),2))</f>
        <v>0</v>
      </c>
    </row>
    <row r="343" spans="1:19" x14ac:dyDescent="0.25">
      <c r="A343" s="1" t="s">
        <v>357</v>
      </c>
      <c r="B343" s="1" t="s">
        <v>358</v>
      </c>
      <c r="C343" s="13">
        <v>160</v>
      </c>
      <c r="D343" s="13">
        <v>225</v>
      </c>
      <c r="E343" s="1" t="s">
        <v>228</v>
      </c>
      <c r="F343" s="1"/>
      <c r="G343" s="1">
        <v>72975</v>
      </c>
      <c r="H343" s="1">
        <v>0</v>
      </c>
      <c r="I343" s="1">
        <v>0</v>
      </c>
      <c r="J343" s="1">
        <v>10341</v>
      </c>
      <c r="K343" s="1">
        <v>0</v>
      </c>
      <c r="L343" s="1">
        <v>10341</v>
      </c>
      <c r="M343" s="1">
        <v>10341</v>
      </c>
      <c r="N343" s="1">
        <v>14.17</v>
      </c>
      <c r="O343" s="1">
        <v>62634</v>
      </c>
      <c r="P343" s="1">
        <v>0</v>
      </c>
      <c r="Q343" t="str">
        <f>INDEX(pARTNER[#All],MATCH(#REF!,pARTNER[[#All],[Value.partnerSummary.id]],0),10)</f>
        <v>Italia (IT)</v>
      </c>
      <c r="R343" t="str">
        <f>INDEX('Partner data'!$A$2:$DG$171,MATCH(#REF!,'Partner data'!$DG$2:$DG$171,0),83)</f>
        <v xml:space="preserve">Organismo di diritto pubblico </v>
      </c>
      <c r="S343" s="86" t="str">
        <f>IF(#REF!="staff",INDEX('Partner data'!$DG$2:$DH$171,MATCH(#REF!,'Partner data'!$DG$2:$DG$171,0),2))</f>
        <v>Costo Unitario Standard</v>
      </c>
    </row>
    <row r="344" spans="1:19" x14ac:dyDescent="0.25">
      <c r="A344" s="1" t="s">
        <v>357</v>
      </c>
      <c r="B344" s="1" t="s">
        <v>358</v>
      </c>
      <c r="C344" s="13">
        <v>160</v>
      </c>
      <c r="D344" s="13">
        <v>225</v>
      </c>
      <c r="E344" s="1" t="s">
        <v>229</v>
      </c>
      <c r="F344" s="1">
        <v>15</v>
      </c>
      <c r="G344" s="1">
        <v>10946.25</v>
      </c>
      <c r="H344" s="1">
        <v>0</v>
      </c>
      <c r="I344" s="1">
        <v>0</v>
      </c>
      <c r="J344" s="1">
        <v>1551.15</v>
      </c>
      <c r="K344" s="1">
        <v>0</v>
      </c>
      <c r="L344" s="1">
        <v>1551.15</v>
      </c>
      <c r="M344" s="1">
        <v>1551.15</v>
      </c>
      <c r="N344" s="1">
        <v>14.17</v>
      </c>
      <c r="O344" s="1">
        <v>9395.1</v>
      </c>
      <c r="P344" s="1">
        <v>0</v>
      </c>
      <c r="Q344" t="str">
        <f>INDEX(pARTNER[#All],MATCH(#REF!,pARTNER[[#All],[Value.partnerSummary.id]],0),10)</f>
        <v>Italia (IT)</v>
      </c>
      <c r="R344" t="str">
        <f>INDEX('Partner data'!$A$2:$DG$171,MATCH(#REF!,'Partner data'!$DG$2:$DG$171,0),83)</f>
        <v xml:space="preserve">Organismo di diritto pubblico </v>
      </c>
      <c r="S344" s="86" t="b">
        <f>IF(#REF!="staff",INDEX('Partner data'!$DG$2:$DH$171,MATCH(#REF!,'Partner data'!$DG$2:$DG$171,0),2))</f>
        <v>0</v>
      </c>
    </row>
    <row r="345" spans="1:19" x14ac:dyDescent="0.25">
      <c r="A345" s="1" t="s">
        <v>357</v>
      </c>
      <c r="B345" s="1" t="s">
        <v>358</v>
      </c>
      <c r="C345" s="13">
        <v>160</v>
      </c>
      <c r="D345" s="13">
        <v>225</v>
      </c>
      <c r="E345" s="1" t="s">
        <v>230</v>
      </c>
      <c r="F345" s="1">
        <v>4</v>
      </c>
      <c r="G345" s="1">
        <v>2919</v>
      </c>
      <c r="H345" s="1">
        <v>0</v>
      </c>
      <c r="I345" s="1">
        <v>0</v>
      </c>
      <c r="J345" s="1">
        <v>413.64</v>
      </c>
      <c r="K345" s="1">
        <v>0</v>
      </c>
      <c r="L345" s="1">
        <v>413.64</v>
      </c>
      <c r="M345" s="1">
        <v>413.64</v>
      </c>
      <c r="N345" s="1">
        <v>14.17</v>
      </c>
      <c r="O345" s="1">
        <v>2505.36</v>
      </c>
      <c r="P345" s="1">
        <v>0</v>
      </c>
      <c r="Q345" t="str">
        <f>INDEX(pARTNER[#All],MATCH(#REF!,pARTNER[[#All],[Value.partnerSummary.id]],0),10)</f>
        <v>Italia (IT)</v>
      </c>
      <c r="R345" t="str">
        <f>INDEX('Partner data'!$A$2:$DG$171,MATCH(#REF!,'Partner data'!$DG$2:$DG$171,0),83)</f>
        <v xml:space="preserve">Organismo di diritto pubblico </v>
      </c>
      <c r="S345" s="86" t="b">
        <f>IF(#REF!="staff",INDEX('Partner data'!$DG$2:$DH$171,MATCH(#REF!,'Partner data'!$DG$2:$DG$171,0),2))</f>
        <v>0</v>
      </c>
    </row>
    <row r="346" spans="1:19" x14ac:dyDescent="0.25">
      <c r="A346" s="1" t="s">
        <v>357</v>
      </c>
      <c r="B346" s="1" t="s">
        <v>358</v>
      </c>
      <c r="C346" s="13">
        <v>160</v>
      </c>
      <c r="D346" s="13">
        <v>225</v>
      </c>
      <c r="E346" s="1" t="s">
        <v>231</v>
      </c>
      <c r="F346" s="1"/>
      <c r="G346" s="1">
        <v>97200</v>
      </c>
      <c r="H346" s="1">
        <v>0</v>
      </c>
      <c r="I346" s="1">
        <v>0</v>
      </c>
      <c r="J346" s="1">
        <v>0</v>
      </c>
      <c r="K346" s="1">
        <v>0</v>
      </c>
      <c r="L346" s="1">
        <v>0</v>
      </c>
      <c r="M346" s="1">
        <v>0</v>
      </c>
      <c r="N346" s="1">
        <v>0</v>
      </c>
      <c r="O346" s="1">
        <v>97200</v>
      </c>
      <c r="P346" s="1">
        <v>0</v>
      </c>
      <c r="Q346" t="str">
        <f>INDEX(pARTNER[#All],MATCH(#REF!,pARTNER[[#All],[Value.partnerSummary.id]],0),10)</f>
        <v>Italia (IT)</v>
      </c>
      <c r="R346" t="str">
        <f>INDEX('Partner data'!$A$2:$DG$171,MATCH(#REF!,'Partner data'!$DG$2:$DG$171,0),83)</f>
        <v xml:space="preserve">Organismo di diritto pubblico </v>
      </c>
      <c r="S346" s="86" t="b">
        <f>IF(#REF!="staff",INDEX('Partner data'!$DG$2:$DH$171,MATCH(#REF!,'Partner data'!$DG$2:$DG$171,0),2))</f>
        <v>0</v>
      </c>
    </row>
    <row r="347" spans="1:19" x14ac:dyDescent="0.25">
      <c r="A347" s="1" t="s">
        <v>357</v>
      </c>
      <c r="B347" s="1" t="s">
        <v>358</v>
      </c>
      <c r="C347" s="13">
        <v>160</v>
      </c>
      <c r="D347" s="13">
        <v>225</v>
      </c>
      <c r="E347" s="1" t="s">
        <v>232</v>
      </c>
      <c r="F347" s="1"/>
      <c r="G347" s="1">
        <v>5800</v>
      </c>
      <c r="H347" s="1">
        <v>0</v>
      </c>
      <c r="I347" s="1">
        <v>0</v>
      </c>
      <c r="J347" s="1">
        <v>0</v>
      </c>
      <c r="K347" s="1">
        <v>0</v>
      </c>
      <c r="L347" s="1">
        <v>0</v>
      </c>
      <c r="M347" s="1">
        <v>0</v>
      </c>
      <c r="N347" s="1">
        <v>0</v>
      </c>
      <c r="O347" s="1">
        <v>5800</v>
      </c>
      <c r="P347" s="1">
        <v>0</v>
      </c>
      <c r="Q347" t="str">
        <f>INDEX(pARTNER[#All],MATCH(#REF!,pARTNER[[#All],[Value.partnerSummary.id]],0),10)</f>
        <v>Italia (IT)</v>
      </c>
      <c r="R347" t="str">
        <f>INDEX('Partner data'!$A$2:$DG$171,MATCH(#REF!,'Partner data'!$DG$2:$DG$171,0),83)</f>
        <v xml:space="preserve">Organismo di diritto pubblico </v>
      </c>
      <c r="S347" s="86" t="b">
        <f>IF(#REF!="staff",INDEX('Partner data'!$DG$2:$DH$171,MATCH(#REF!,'Partner data'!$DG$2:$DG$171,0),2))</f>
        <v>0</v>
      </c>
    </row>
    <row r="348" spans="1:19" x14ac:dyDescent="0.25">
      <c r="A348" s="1" t="s">
        <v>357</v>
      </c>
      <c r="B348" s="1" t="s">
        <v>358</v>
      </c>
      <c r="C348" s="13">
        <v>160</v>
      </c>
      <c r="D348" s="13">
        <v>225</v>
      </c>
      <c r="E348" s="1" t="s">
        <v>233</v>
      </c>
      <c r="F348" s="1"/>
      <c r="G348" s="1">
        <v>0</v>
      </c>
      <c r="H348" s="1">
        <v>0</v>
      </c>
      <c r="I348" s="1">
        <v>0</v>
      </c>
      <c r="J348" s="1">
        <v>0</v>
      </c>
      <c r="K348" s="1">
        <v>0</v>
      </c>
      <c r="L348" s="1">
        <v>0</v>
      </c>
      <c r="M348" s="1">
        <v>0</v>
      </c>
      <c r="N348" s="1">
        <v>0</v>
      </c>
      <c r="O348" s="1">
        <v>0</v>
      </c>
      <c r="P348" s="1">
        <v>0</v>
      </c>
      <c r="Q348" t="str">
        <f>INDEX(pARTNER[#All],MATCH(#REF!,pARTNER[[#All],[Value.partnerSummary.id]],0),10)</f>
        <v>Italia (IT)</v>
      </c>
      <c r="R348" t="str">
        <f>INDEX('Partner data'!$A$2:$DG$171,MATCH(#REF!,'Partner data'!$DG$2:$DG$171,0),83)</f>
        <v xml:space="preserve">Organismo di diritto pubblico </v>
      </c>
      <c r="S348" s="86" t="b">
        <f>IF(#REF!="staff",INDEX('Partner data'!$DG$2:$DH$171,MATCH(#REF!,'Partner data'!$DG$2:$DG$171,0),2))</f>
        <v>0</v>
      </c>
    </row>
    <row r="349" spans="1:19" x14ac:dyDescent="0.25">
      <c r="A349" s="1" t="s">
        <v>357</v>
      </c>
      <c r="B349" s="1" t="s">
        <v>358</v>
      </c>
      <c r="C349" s="13">
        <v>160</v>
      </c>
      <c r="D349" s="13">
        <v>225</v>
      </c>
      <c r="E349" s="1" t="s">
        <v>234</v>
      </c>
      <c r="F349" s="1"/>
      <c r="G349" s="1">
        <v>0</v>
      </c>
      <c r="H349" s="1">
        <v>0</v>
      </c>
      <c r="I349" s="1">
        <v>0</v>
      </c>
      <c r="J349" s="1">
        <v>0</v>
      </c>
      <c r="K349" s="1">
        <v>0</v>
      </c>
      <c r="L349" s="1">
        <v>0</v>
      </c>
      <c r="M349" s="1">
        <v>0</v>
      </c>
      <c r="N349" s="1">
        <v>0</v>
      </c>
      <c r="O349" s="1">
        <v>0</v>
      </c>
      <c r="P349" s="1">
        <v>0</v>
      </c>
      <c r="Q349" t="str">
        <f>INDEX(pARTNER[#All],MATCH(#REF!,pARTNER[[#All],[Value.partnerSummary.id]],0),10)</f>
        <v>Italia (IT)</v>
      </c>
      <c r="R349" t="str">
        <f>INDEX('Partner data'!$A$2:$DG$171,MATCH(#REF!,'Partner data'!$DG$2:$DG$171,0),83)</f>
        <v xml:space="preserve">Organismo di diritto pubblico </v>
      </c>
      <c r="S349" s="86" t="b">
        <f>IF(#REF!="staff",INDEX('Partner data'!$DG$2:$DH$171,MATCH(#REF!,'Partner data'!$DG$2:$DG$171,0),2))</f>
        <v>0</v>
      </c>
    </row>
    <row r="350" spans="1:19" x14ac:dyDescent="0.25">
      <c r="A350" s="1" t="s">
        <v>357</v>
      </c>
      <c r="B350" s="1" t="s">
        <v>358</v>
      </c>
      <c r="C350" s="13">
        <v>160</v>
      </c>
      <c r="D350" s="13">
        <v>225</v>
      </c>
      <c r="E350" s="1" t="s">
        <v>235</v>
      </c>
      <c r="F350" s="1"/>
      <c r="G350" s="1">
        <v>9000</v>
      </c>
      <c r="H350" s="1">
        <v>0</v>
      </c>
      <c r="I350" s="1">
        <v>0</v>
      </c>
      <c r="J350" s="1">
        <v>9000</v>
      </c>
      <c r="K350" s="1">
        <v>0</v>
      </c>
      <c r="L350" s="1">
        <v>9000</v>
      </c>
      <c r="M350" s="1">
        <v>9000</v>
      </c>
      <c r="N350" s="1">
        <v>100</v>
      </c>
      <c r="O350" s="1">
        <v>0</v>
      </c>
      <c r="P350" s="1">
        <v>0</v>
      </c>
      <c r="Q350" t="str">
        <f>INDEX(pARTNER[#All],MATCH(#REF!,pARTNER[[#All],[Value.partnerSummary.id]],0),10)</f>
        <v>Italia (IT)</v>
      </c>
      <c r="R350" t="str">
        <f>INDEX('Partner data'!$A$2:$DG$171,MATCH(#REF!,'Partner data'!$DG$2:$DG$171,0),83)</f>
        <v xml:space="preserve">Organismo di diritto pubblico </v>
      </c>
      <c r="S350" s="86" t="b">
        <f>IF(#REF!="staff",INDEX('Partner data'!$DG$2:$DH$171,MATCH(#REF!,'Partner data'!$DG$2:$DG$171,0),2))</f>
        <v>0</v>
      </c>
    </row>
    <row r="351" spans="1:19" x14ac:dyDescent="0.25">
      <c r="A351" s="1" t="s">
        <v>357</v>
      </c>
      <c r="B351" s="1" t="s">
        <v>358</v>
      </c>
      <c r="C351" s="13">
        <v>160</v>
      </c>
      <c r="D351" s="13">
        <v>225</v>
      </c>
      <c r="E351" s="1" t="s">
        <v>236</v>
      </c>
      <c r="F351" s="1"/>
      <c r="G351" s="1">
        <v>0</v>
      </c>
      <c r="H351" s="1">
        <v>0</v>
      </c>
      <c r="I351" s="1">
        <v>0</v>
      </c>
      <c r="J351" s="1">
        <v>0</v>
      </c>
      <c r="K351" s="1">
        <v>0</v>
      </c>
      <c r="L351" s="1">
        <v>0</v>
      </c>
      <c r="M351" s="1">
        <v>0</v>
      </c>
      <c r="N351" s="1">
        <v>0</v>
      </c>
      <c r="O351" s="1">
        <v>0</v>
      </c>
      <c r="P351" s="1">
        <v>0</v>
      </c>
      <c r="Q351" t="str">
        <f>INDEX(pARTNER[#All],MATCH(#REF!,pARTNER[[#All],[Value.partnerSummary.id]],0),10)</f>
        <v>Italia (IT)</v>
      </c>
      <c r="R351" t="str">
        <f>INDEX('Partner data'!$A$2:$DG$171,MATCH(#REF!,'Partner data'!$DG$2:$DG$171,0),83)</f>
        <v xml:space="preserve">Organismo di diritto pubblico </v>
      </c>
      <c r="S351" s="86" t="b">
        <f>IF(#REF!="staff",INDEX('Partner data'!$DG$2:$DH$171,MATCH(#REF!,'Partner data'!$DG$2:$DG$171,0),2))</f>
        <v>0</v>
      </c>
    </row>
    <row r="352" spans="1:19" x14ac:dyDescent="0.25">
      <c r="A352" s="1" t="s">
        <v>357</v>
      </c>
      <c r="B352" s="1" t="s">
        <v>358</v>
      </c>
      <c r="C352" s="13">
        <v>160</v>
      </c>
      <c r="D352" s="13">
        <v>225</v>
      </c>
      <c r="E352" s="1" t="s">
        <v>237</v>
      </c>
      <c r="F352" s="1"/>
      <c r="G352" s="1">
        <v>0</v>
      </c>
      <c r="H352" s="1">
        <v>0</v>
      </c>
      <c r="I352" s="1">
        <v>0</v>
      </c>
      <c r="J352" s="1">
        <v>0</v>
      </c>
      <c r="K352" s="1">
        <v>0</v>
      </c>
      <c r="L352" s="1">
        <v>0</v>
      </c>
      <c r="M352" s="1">
        <v>0</v>
      </c>
      <c r="N352" s="1">
        <v>0</v>
      </c>
      <c r="O352" s="1">
        <v>0</v>
      </c>
      <c r="P352" s="1">
        <v>0</v>
      </c>
      <c r="Q352" t="str">
        <f>INDEX(pARTNER[#All],MATCH(#REF!,pARTNER[[#All],[Value.partnerSummary.id]],0),10)</f>
        <v>Italia (IT)</v>
      </c>
      <c r="R352" t="str">
        <f>INDEX('Partner data'!$A$2:$DG$171,MATCH(#REF!,'Partner data'!$DG$2:$DG$171,0),83)</f>
        <v xml:space="preserve">Organismo di diritto pubblico </v>
      </c>
      <c r="S352" s="86" t="b">
        <f>IF(#REF!="staff",INDEX('Partner data'!$DG$2:$DH$171,MATCH(#REF!,'Partner data'!$DG$2:$DG$171,0),2))</f>
        <v>0</v>
      </c>
    </row>
    <row r="353" spans="1:19" x14ac:dyDescent="0.25">
      <c r="A353" s="1" t="s">
        <v>357</v>
      </c>
      <c r="B353" s="1" t="s">
        <v>358</v>
      </c>
      <c r="C353" s="13">
        <v>160</v>
      </c>
      <c r="D353" s="13">
        <v>225</v>
      </c>
      <c r="E353" s="1" t="s">
        <v>238</v>
      </c>
      <c r="F353" s="1"/>
      <c r="G353" s="1">
        <v>198840.25</v>
      </c>
      <c r="H353" s="1">
        <v>0</v>
      </c>
      <c r="I353" s="1">
        <v>0</v>
      </c>
      <c r="J353" s="1">
        <v>21305.79</v>
      </c>
      <c r="K353" s="1">
        <v>0</v>
      </c>
      <c r="L353" s="1">
        <v>21305.79</v>
      </c>
      <c r="M353" s="1">
        <v>21305.79</v>
      </c>
      <c r="N353" s="1">
        <v>10.72</v>
      </c>
      <c r="O353" s="1">
        <v>177534.46</v>
      </c>
      <c r="P353" s="1">
        <v>0</v>
      </c>
      <c r="Q353" t="str">
        <f>INDEX(pARTNER[#All],MATCH(#REF!,pARTNER[[#All],[Value.partnerSummary.id]],0),10)</f>
        <v>Italia (IT)</v>
      </c>
      <c r="R353" t="str">
        <f>INDEX('Partner data'!$A$2:$DG$171,MATCH(#REF!,'Partner data'!$DG$2:$DG$171,0),83)</f>
        <v xml:space="preserve">Organismo di diritto pubblico </v>
      </c>
      <c r="S353" s="86" t="b">
        <f>IF(#REF!="staff",INDEX('Partner data'!$DG$2:$DH$171,MATCH(#REF!,'Partner data'!$DG$2:$DG$171,0),2))</f>
        <v>0</v>
      </c>
    </row>
    <row r="354" spans="1:19" x14ac:dyDescent="0.25">
      <c r="A354" s="1" t="s">
        <v>357</v>
      </c>
      <c r="B354" s="1" t="s">
        <v>290</v>
      </c>
      <c r="C354" s="13">
        <v>232</v>
      </c>
      <c r="D354" s="13">
        <v>165</v>
      </c>
      <c r="E354" s="1" t="s">
        <v>228</v>
      </c>
      <c r="F354" s="1"/>
      <c r="G354" s="1">
        <v>86032</v>
      </c>
      <c r="H354" s="1">
        <v>0</v>
      </c>
      <c r="I354" s="1">
        <v>0</v>
      </c>
      <c r="J354" s="1">
        <v>1650.68</v>
      </c>
      <c r="K354" s="1">
        <v>0</v>
      </c>
      <c r="L354" s="1">
        <v>1567.09</v>
      </c>
      <c r="M354" s="1">
        <v>1650.68</v>
      </c>
      <c r="N354" s="1">
        <v>1.92</v>
      </c>
      <c r="O354" s="1">
        <v>84381.32</v>
      </c>
      <c r="P354" s="1">
        <v>0</v>
      </c>
      <c r="Q354" t="str">
        <f>INDEX(pARTNER[#All],MATCH(#REF!,pARTNER[[#All],[Value.partnerSummary.id]],0),10)</f>
        <v>Slovenija (SI)</v>
      </c>
      <c r="R354" t="str">
        <f>INDEX('Partner data'!$A$2:$DG$171,MATCH(#REF!,'Partner data'!$DG$2:$DG$171,0),83)</f>
        <v xml:space="preserve">Organismo di diritto pubblico </v>
      </c>
      <c r="S354" s="86" t="str">
        <f>IF(#REF!="staff",INDEX('Partner data'!$DG$2:$DH$171,MATCH(#REF!,'Partner data'!$DG$2:$DG$171,0),2))</f>
        <v>Costo Unitario Standard</v>
      </c>
    </row>
    <row r="355" spans="1:19" x14ac:dyDescent="0.25">
      <c r="A355" s="1" t="s">
        <v>357</v>
      </c>
      <c r="B355" s="1" t="s">
        <v>290</v>
      </c>
      <c r="C355" s="13">
        <v>232</v>
      </c>
      <c r="D355" s="13">
        <v>165</v>
      </c>
      <c r="E355" s="1" t="s">
        <v>229</v>
      </c>
      <c r="F355" s="1">
        <v>15</v>
      </c>
      <c r="G355" s="1">
        <v>12904.8</v>
      </c>
      <c r="H355" s="1">
        <v>0</v>
      </c>
      <c r="I355" s="1">
        <v>0</v>
      </c>
      <c r="J355" s="1">
        <v>247.6</v>
      </c>
      <c r="K355" s="1">
        <v>0</v>
      </c>
      <c r="L355" s="1">
        <v>235.06</v>
      </c>
      <c r="M355" s="1">
        <v>247.6</v>
      </c>
      <c r="N355" s="1">
        <v>1.92</v>
      </c>
      <c r="O355" s="1">
        <v>12657.2</v>
      </c>
      <c r="P355" s="1">
        <v>0</v>
      </c>
      <c r="Q355" t="str">
        <f>INDEX(pARTNER[#All],MATCH(#REF!,pARTNER[[#All],[Value.partnerSummary.id]],0),10)</f>
        <v>Slovenija (SI)</v>
      </c>
      <c r="R355" t="str">
        <f>INDEX('Partner data'!$A$2:$DG$171,MATCH(#REF!,'Partner data'!$DG$2:$DG$171,0),83)</f>
        <v xml:space="preserve">Organismo di diritto pubblico </v>
      </c>
      <c r="S355" s="86" t="b">
        <f>IF(#REF!="staff",INDEX('Partner data'!$DG$2:$DH$171,MATCH(#REF!,'Partner data'!$DG$2:$DG$171,0),2))</f>
        <v>0</v>
      </c>
    </row>
    <row r="356" spans="1:19" x14ac:dyDescent="0.25">
      <c r="A356" s="1" t="s">
        <v>357</v>
      </c>
      <c r="B356" s="1" t="s">
        <v>290</v>
      </c>
      <c r="C356" s="13">
        <v>232</v>
      </c>
      <c r="D356" s="13">
        <v>165</v>
      </c>
      <c r="E356" s="1" t="s">
        <v>230</v>
      </c>
      <c r="F356" s="1">
        <v>4</v>
      </c>
      <c r="G356" s="1">
        <v>3441.28</v>
      </c>
      <c r="H356" s="1">
        <v>0</v>
      </c>
      <c r="I356" s="1">
        <v>0</v>
      </c>
      <c r="J356" s="1">
        <v>66.02</v>
      </c>
      <c r="K356" s="1">
        <v>0</v>
      </c>
      <c r="L356" s="1">
        <v>62.68</v>
      </c>
      <c r="M356" s="1">
        <v>66.02</v>
      </c>
      <c r="N356" s="1">
        <v>1.92</v>
      </c>
      <c r="O356" s="1">
        <v>3375.26</v>
      </c>
      <c r="P356" s="1">
        <v>0</v>
      </c>
      <c r="Q356" t="str">
        <f>INDEX(pARTNER[#All],MATCH(#REF!,pARTNER[[#All],[Value.partnerSummary.id]],0),10)</f>
        <v>Slovenija (SI)</v>
      </c>
      <c r="R356" t="str">
        <f>INDEX('Partner data'!$A$2:$DG$171,MATCH(#REF!,'Partner data'!$DG$2:$DG$171,0),83)</f>
        <v xml:space="preserve">Organismo di diritto pubblico </v>
      </c>
      <c r="S356" s="86" t="b">
        <f>IF(#REF!="staff",INDEX('Partner data'!$DG$2:$DH$171,MATCH(#REF!,'Partner data'!$DG$2:$DG$171,0),2))</f>
        <v>0</v>
      </c>
    </row>
    <row r="357" spans="1:19" x14ac:dyDescent="0.25">
      <c r="A357" s="1" t="s">
        <v>357</v>
      </c>
      <c r="B357" s="1" t="s">
        <v>290</v>
      </c>
      <c r="C357" s="13">
        <v>232</v>
      </c>
      <c r="D357" s="13">
        <v>165</v>
      </c>
      <c r="E357" s="1" t="s">
        <v>231</v>
      </c>
      <c r="F357" s="1"/>
      <c r="G357" s="1">
        <v>14600</v>
      </c>
      <c r="H357" s="1">
        <v>0</v>
      </c>
      <c r="I357" s="1">
        <v>0</v>
      </c>
      <c r="J357" s="1">
        <v>0</v>
      </c>
      <c r="K357" s="1">
        <v>0</v>
      </c>
      <c r="L357" s="1">
        <v>0</v>
      </c>
      <c r="M357" s="1">
        <v>0</v>
      </c>
      <c r="N357" s="1">
        <v>0</v>
      </c>
      <c r="O357" s="1">
        <v>14600</v>
      </c>
      <c r="P357" s="1">
        <v>0</v>
      </c>
      <c r="Q357" t="str">
        <f>INDEX(pARTNER[#All],MATCH(#REF!,pARTNER[[#All],[Value.partnerSummary.id]],0),10)</f>
        <v>Slovenija (SI)</v>
      </c>
      <c r="R357" t="str">
        <f>INDEX('Partner data'!$A$2:$DG$171,MATCH(#REF!,'Partner data'!$DG$2:$DG$171,0),83)</f>
        <v xml:space="preserve">Organismo di diritto pubblico </v>
      </c>
      <c r="S357" s="86" t="b">
        <f>IF(#REF!="staff",INDEX('Partner data'!$DG$2:$DH$171,MATCH(#REF!,'Partner data'!$DG$2:$DG$171,0),2))</f>
        <v>0</v>
      </c>
    </row>
    <row r="358" spans="1:19" x14ac:dyDescent="0.25">
      <c r="A358" s="1" t="s">
        <v>357</v>
      </c>
      <c r="B358" s="1" t="s">
        <v>290</v>
      </c>
      <c r="C358" s="13">
        <v>232</v>
      </c>
      <c r="D358" s="13">
        <v>165</v>
      </c>
      <c r="E358" s="1" t="s">
        <v>232</v>
      </c>
      <c r="F358" s="1"/>
      <c r="G358" s="1">
        <v>12000</v>
      </c>
      <c r="H358" s="1">
        <v>0</v>
      </c>
      <c r="I358" s="1">
        <v>0</v>
      </c>
      <c r="J358" s="1">
        <v>4066.78</v>
      </c>
      <c r="K358" s="1">
        <v>0</v>
      </c>
      <c r="L358" s="1">
        <v>4066.78</v>
      </c>
      <c r="M358" s="1">
        <v>4066.78</v>
      </c>
      <c r="N358" s="1">
        <v>33.89</v>
      </c>
      <c r="O358" s="1">
        <v>7933.22</v>
      </c>
      <c r="P358" s="1">
        <v>0</v>
      </c>
      <c r="Q358" t="str">
        <f>INDEX(pARTNER[#All],MATCH(#REF!,pARTNER[[#All],[Value.partnerSummary.id]],0),10)</f>
        <v>Slovenija (SI)</v>
      </c>
      <c r="R358" t="str">
        <f>INDEX('Partner data'!$A$2:$DG$171,MATCH(#REF!,'Partner data'!$DG$2:$DG$171,0),83)</f>
        <v xml:space="preserve">Organismo di diritto pubblico </v>
      </c>
      <c r="S358" s="86" t="b">
        <f>IF(#REF!="staff",INDEX('Partner data'!$DG$2:$DH$171,MATCH(#REF!,'Partner data'!$DG$2:$DG$171,0),2))</f>
        <v>0</v>
      </c>
    </row>
    <row r="359" spans="1:19" x14ac:dyDescent="0.25">
      <c r="A359" s="1" t="s">
        <v>357</v>
      </c>
      <c r="B359" s="1" t="s">
        <v>290</v>
      </c>
      <c r="C359" s="13">
        <v>232</v>
      </c>
      <c r="D359" s="13">
        <v>165</v>
      </c>
      <c r="E359" s="1" t="s">
        <v>233</v>
      </c>
      <c r="F359" s="1"/>
      <c r="G359" s="1">
        <v>0</v>
      </c>
      <c r="H359" s="1">
        <v>0</v>
      </c>
      <c r="I359" s="1">
        <v>0</v>
      </c>
      <c r="J359" s="1">
        <v>0</v>
      </c>
      <c r="K359" s="1">
        <v>0</v>
      </c>
      <c r="L359" s="1">
        <v>0</v>
      </c>
      <c r="M359" s="1">
        <v>0</v>
      </c>
      <c r="N359" s="1">
        <v>0</v>
      </c>
      <c r="O359" s="1">
        <v>0</v>
      </c>
      <c r="P359" s="1">
        <v>0</v>
      </c>
      <c r="Q359" t="str">
        <f>INDEX(pARTNER[#All],MATCH(#REF!,pARTNER[[#All],[Value.partnerSummary.id]],0),10)</f>
        <v>Slovenija (SI)</v>
      </c>
      <c r="R359" t="str">
        <f>INDEX('Partner data'!$A$2:$DG$171,MATCH(#REF!,'Partner data'!$DG$2:$DG$171,0),83)</f>
        <v xml:space="preserve">Organismo di diritto pubblico </v>
      </c>
      <c r="S359" s="86" t="b">
        <f>IF(#REF!="staff",INDEX('Partner data'!$DG$2:$DH$171,MATCH(#REF!,'Partner data'!$DG$2:$DG$171,0),2))</f>
        <v>0</v>
      </c>
    </row>
    <row r="360" spans="1:19" x14ac:dyDescent="0.25">
      <c r="A360" s="1" t="s">
        <v>357</v>
      </c>
      <c r="B360" s="1" t="s">
        <v>290</v>
      </c>
      <c r="C360" s="13">
        <v>232</v>
      </c>
      <c r="D360" s="13">
        <v>165</v>
      </c>
      <c r="E360" s="1" t="s">
        <v>234</v>
      </c>
      <c r="F360" s="1"/>
      <c r="G360" s="1">
        <v>0</v>
      </c>
      <c r="H360" s="1">
        <v>0</v>
      </c>
      <c r="I360" s="1">
        <v>0</v>
      </c>
      <c r="J360" s="1">
        <v>0</v>
      </c>
      <c r="K360" s="1">
        <v>0</v>
      </c>
      <c r="L360" s="1">
        <v>0</v>
      </c>
      <c r="M360" s="1">
        <v>0</v>
      </c>
      <c r="N360" s="1">
        <v>0</v>
      </c>
      <c r="O360" s="1">
        <v>0</v>
      </c>
      <c r="P360" s="1">
        <v>0</v>
      </c>
      <c r="Q360" t="str">
        <f>INDEX(pARTNER[#All],MATCH(#REF!,pARTNER[[#All],[Value.partnerSummary.id]],0),10)</f>
        <v>Slovenija (SI)</v>
      </c>
      <c r="R360" t="str">
        <f>INDEX('Partner data'!$A$2:$DG$171,MATCH(#REF!,'Partner data'!$DG$2:$DG$171,0),83)</f>
        <v xml:space="preserve">Organismo di diritto pubblico </v>
      </c>
      <c r="S360" s="86" t="b">
        <f>IF(#REF!="staff",INDEX('Partner data'!$DG$2:$DH$171,MATCH(#REF!,'Partner data'!$DG$2:$DG$171,0),2))</f>
        <v>0</v>
      </c>
    </row>
    <row r="361" spans="1:19" x14ac:dyDescent="0.25">
      <c r="A361" s="1" t="s">
        <v>357</v>
      </c>
      <c r="B361" s="1" t="s">
        <v>290</v>
      </c>
      <c r="C361" s="13">
        <v>232</v>
      </c>
      <c r="D361" s="13">
        <v>165</v>
      </c>
      <c r="E361" s="1" t="s">
        <v>235</v>
      </c>
      <c r="F361" s="1"/>
      <c r="G361" s="1">
        <v>0</v>
      </c>
      <c r="H361" s="1">
        <v>0</v>
      </c>
      <c r="I361" s="1">
        <v>0</v>
      </c>
      <c r="J361" s="1">
        <v>0</v>
      </c>
      <c r="K361" s="1">
        <v>0</v>
      </c>
      <c r="L361" s="1">
        <v>0</v>
      </c>
      <c r="M361" s="1">
        <v>0</v>
      </c>
      <c r="N361" s="1">
        <v>0</v>
      </c>
      <c r="O361" s="1">
        <v>0</v>
      </c>
      <c r="P361" s="1">
        <v>0</v>
      </c>
      <c r="Q361" t="str">
        <f>INDEX(pARTNER[#All],MATCH(#REF!,pARTNER[[#All],[Value.partnerSummary.id]],0),10)</f>
        <v>Slovenija (SI)</v>
      </c>
      <c r="R361" t="str">
        <f>INDEX('Partner data'!$A$2:$DG$171,MATCH(#REF!,'Partner data'!$DG$2:$DG$171,0),83)</f>
        <v xml:space="preserve">Organismo di diritto pubblico </v>
      </c>
      <c r="S361" s="86" t="b">
        <f>IF(#REF!="staff",INDEX('Partner data'!$DG$2:$DH$171,MATCH(#REF!,'Partner data'!$DG$2:$DG$171,0),2))</f>
        <v>0</v>
      </c>
    </row>
    <row r="362" spans="1:19" x14ac:dyDescent="0.25">
      <c r="A362" s="1" t="s">
        <v>357</v>
      </c>
      <c r="B362" s="1" t="s">
        <v>290</v>
      </c>
      <c r="C362" s="13">
        <v>232</v>
      </c>
      <c r="D362" s="13">
        <v>165</v>
      </c>
      <c r="E362" s="1" t="s">
        <v>236</v>
      </c>
      <c r="F362" s="1"/>
      <c r="G362" s="1">
        <v>0</v>
      </c>
      <c r="H362" s="1">
        <v>0</v>
      </c>
      <c r="I362" s="1">
        <v>0</v>
      </c>
      <c r="J362" s="1">
        <v>0</v>
      </c>
      <c r="K362" s="1">
        <v>0</v>
      </c>
      <c r="L362" s="1">
        <v>0</v>
      </c>
      <c r="M362" s="1">
        <v>0</v>
      </c>
      <c r="N362" s="1">
        <v>0</v>
      </c>
      <c r="O362" s="1">
        <v>0</v>
      </c>
      <c r="P362" s="1">
        <v>0</v>
      </c>
      <c r="Q362" t="str">
        <f>INDEX(pARTNER[#All],MATCH(#REF!,pARTNER[[#All],[Value.partnerSummary.id]],0),10)</f>
        <v>Slovenija (SI)</v>
      </c>
      <c r="R362" t="str">
        <f>INDEX('Partner data'!$A$2:$DG$171,MATCH(#REF!,'Partner data'!$DG$2:$DG$171,0),83)</f>
        <v xml:space="preserve">Organismo di diritto pubblico </v>
      </c>
      <c r="S362" s="86" t="b">
        <f>IF(#REF!="staff",INDEX('Partner data'!$DG$2:$DH$171,MATCH(#REF!,'Partner data'!$DG$2:$DG$171,0),2))</f>
        <v>0</v>
      </c>
    </row>
    <row r="363" spans="1:19" x14ac:dyDescent="0.25">
      <c r="A363" s="1" t="s">
        <v>357</v>
      </c>
      <c r="B363" s="1" t="s">
        <v>290</v>
      </c>
      <c r="C363" s="13">
        <v>232</v>
      </c>
      <c r="D363" s="13">
        <v>165</v>
      </c>
      <c r="E363" s="1" t="s">
        <v>237</v>
      </c>
      <c r="F363" s="1"/>
      <c r="G363" s="1">
        <v>0</v>
      </c>
      <c r="H363" s="1">
        <v>0</v>
      </c>
      <c r="I363" s="1">
        <v>0</v>
      </c>
      <c r="J363" s="1">
        <v>0</v>
      </c>
      <c r="K363" s="1">
        <v>0</v>
      </c>
      <c r="L363" s="1">
        <v>0</v>
      </c>
      <c r="M363" s="1">
        <v>0</v>
      </c>
      <c r="N363" s="1">
        <v>0</v>
      </c>
      <c r="O363" s="1">
        <v>0</v>
      </c>
      <c r="P363" s="1">
        <v>0</v>
      </c>
      <c r="Q363" t="str">
        <f>INDEX(pARTNER[#All],MATCH(#REF!,pARTNER[[#All],[Value.partnerSummary.id]],0),10)</f>
        <v>Slovenija (SI)</v>
      </c>
      <c r="R363" t="str">
        <f>INDEX('Partner data'!$A$2:$DG$171,MATCH(#REF!,'Partner data'!$DG$2:$DG$171,0),83)</f>
        <v xml:space="preserve">Organismo di diritto pubblico </v>
      </c>
      <c r="S363" s="86" t="b">
        <f>IF(#REF!="staff",INDEX('Partner data'!$DG$2:$DH$171,MATCH(#REF!,'Partner data'!$DG$2:$DG$171,0),2))</f>
        <v>0</v>
      </c>
    </row>
    <row r="364" spans="1:19" x14ac:dyDescent="0.25">
      <c r="A364" s="1" t="s">
        <v>357</v>
      </c>
      <c r="B364" s="1" t="s">
        <v>290</v>
      </c>
      <c r="C364" s="13">
        <v>232</v>
      </c>
      <c r="D364" s="13">
        <v>165</v>
      </c>
      <c r="E364" s="1" t="s">
        <v>238</v>
      </c>
      <c r="F364" s="1"/>
      <c r="G364" s="1">
        <v>128978.08</v>
      </c>
      <c r="H364" s="1">
        <v>0</v>
      </c>
      <c r="I364" s="1">
        <v>0</v>
      </c>
      <c r="J364" s="1">
        <v>6031.08</v>
      </c>
      <c r="K364" s="1">
        <v>0</v>
      </c>
      <c r="L364" s="1">
        <v>5931.61</v>
      </c>
      <c r="M364" s="1">
        <v>6031.08</v>
      </c>
      <c r="N364" s="1">
        <v>4.68</v>
      </c>
      <c r="O364" s="1">
        <v>122947</v>
      </c>
      <c r="P364" s="1">
        <v>0</v>
      </c>
      <c r="Q364" t="str">
        <f>INDEX(pARTNER[#All],MATCH(#REF!,pARTNER[[#All],[Value.partnerSummary.id]],0),10)</f>
        <v>Slovenija (SI)</v>
      </c>
      <c r="R364" t="str">
        <f>INDEX('Partner data'!$A$2:$DG$171,MATCH(#REF!,'Partner data'!$DG$2:$DG$171,0),83)</f>
        <v xml:space="preserve">Organismo di diritto pubblico </v>
      </c>
      <c r="S364" s="86" t="b">
        <f>IF(#REF!="staff",INDEX('Partner data'!$DG$2:$DH$171,MATCH(#REF!,'Partner data'!$DG$2:$DG$171,0),2))</f>
        <v>0</v>
      </c>
    </row>
    <row r="365" spans="1:19" x14ac:dyDescent="0.25">
      <c r="A365" s="1" t="s">
        <v>357</v>
      </c>
      <c r="B365" s="1" t="s">
        <v>56</v>
      </c>
      <c r="C365" s="13">
        <v>209</v>
      </c>
      <c r="D365" s="13">
        <v>257</v>
      </c>
      <c r="E365" s="1" t="s">
        <v>228</v>
      </c>
      <c r="F365" s="1"/>
      <c r="G365" s="1">
        <v>78000</v>
      </c>
      <c r="H365" s="1">
        <v>0</v>
      </c>
      <c r="I365" s="1">
        <v>0</v>
      </c>
      <c r="J365" s="1">
        <v>13603.52</v>
      </c>
      <c r="K365" s="1">
        <v>0</v>
      </c>
      <c r="L365" s="1">
        <v>12992.64</v>
      </c>
      <c r="M365" s="1">
        <v>13603.52</v>
      </c>
      <c r="N365" s="1">
        <v>17.440000000000001</v>
      </c>
      <c r="O365" s="1">
        <v>64396.480000000003</v>
      </c>
      <c r="P365" s="1">
        <v>0</v>
      </c>
      <c r="Q365" t="str">
        <f>INDEX(pARTNER[#All],MATCH(#REF!,pARTNER[[#All],[Value.partnerSummary.id]],0),10)</f>
        <v>Slovenija (SI)</v>
      </c>
      <c r="R365" t="str">
        <f>INDEX('Partner data'!$A$2:$DG$171,MATCH(#REF!,'Partner data'!$DG$2:$DG$171,0),83)</f>
        <v>Soggetto pubblico</v>
      </c>
      <c r="S365" s="86" t="str">
        <f>IF(#REF!="staff",INDEX('Partner data'!$DG$2:$DH$171,MATCH(#REF!,'Partner data'!$DG$2:$DG$171,0),2))</f>
        <v>COSTO REALE</v>
      </c>
    </row>
    <row r="366" spans="1:19" x14ac:dyDescent="0.25">
      <c r="A366" s="1" t="s">
        <v>357</v>
      </c>
      <c r="B366" s="1" t="s">
        <v>56</v>
      </c>
      <c r="C366" s="13">
        <v>209</v>
      </c>
      <c r="D366" s="13">
        <v>257</v>
      </c>
      <c r="E366" s="1" t="s">
        <v>229</v>
      </c>
      <c r="F366" s="1"/>
      <c r="G366" s="1">
        <v>0</v>
      </c>
      <c r="H366" s="1">
        <v>0</v>
      </c>
      <c r="I366" s="1">
        <v>0</v>
      </c>
      <c r="J366" s="1">
        <v>0</v>
      </c>
      <c r="K366" s="1">
        <v>0</v>
      </c>
      <c r="L366" s="1">
        <v>0</v>
      </c>
      <c r="M366" s="1">
        <v>0</v>
      </c>
      <c r="N366" s="1">
        <v>0</v>
      </c>
      <c r="O366" s="1">
        <v>0</v>
      </c>
      <c r="P366" s="1">
        <v>0</v>
      </c>
      <c r="Q366" t="str">
        <f>INDEX(pARTNER[#All],MATCH(#REF!,pARTNER[[#All],[Value.partnerSummary.id]],0),10)</f>
        <v>Slovenija (SI)</v>
      </c>
      <c r="R366" t="str">
        <f>INDEX('Partner data'!$A$2:$DG$171,MATCH(#REF!,'Partner data'!$DG$2:$DG$171,0),83)</f>
        <v>Soggetto pubblico</v>
      </c>
      <c r="S366" s="86" t="b">
        <f>IF(#REF!="staff",INDEX('Partner data'!$DG$2:$DH$171,MATCH(#REF!,'Partner data'!$DG$2:$DG$171,0),2))</f>
        <v>0</v>
      </c>
    </row>
    <row r="367" spans="1:19" x14ac:dyDescent="0.25">
      <c r="A367" s="1" t="s">
        <v>357</v>
      </c>
      <c r="B367" s="1" t="s">
        <v>56</v>
      </c>
      <c r="C367" s="13">
        <v>209</v>
      </c>
      <c r="D367" s="13">
        <v>257</v>
      </c>
      <c r="E367" s="1" t="s">
        <v>230</v>
      </c>
      <c r="F367" s="1"/>
      <c r="G367" s="1">
        <v>0</v>
      </c>
      <c r="H367" s="1">
        <v>0</v>
      </c>
      <c r="I367" s="1">
        <v>0</v>
      </c>
      <c r="J367" s="1">
        <v>0</v>
      </c>
      <c r="K367" s="1">
        <v>0</v>
      </c>
      <c r="L367" s="1">
        <v>0</v>
      </c>
      <c r="M367" s="1">
        <v>0</v>
      </c>
      <c r="N367" s="1">
        <v>0</v>
      </c>
      <c r="O367" s="1">
        <v>0</v>
      </c>
      <c r="P367" s="1">
        <v>0</v>
      </c>
      <c r="Q367" t="str">
        <f>INDEX(pARTNER[#All],MATCH(#REF!,pARTNER[[#All],[Value.partnerSummary.id]],0),10)</f>
        <v>Slovenija (SI)</v>
      </c>
      <c r="R367" t="str">
        <f>INDEX('Partner data'!$A$2:$DG$171,MATCH(#REF!,'Partner data'!$DG$2:$DG$171,0),83)</f>
        <v>Soggetto pubblico</v>
      </c>
      <c r="S367" s="86" t="b">
        <f>IF(#REF!="staff",INDEX('Partner data'!$DG$2:$DH$171,MATCH(#REF!,'Partner data'!$DG$2:$DG$171,0),2))</f>
        <v>0</v>
      </c>
    </row>
    <row r="368" spans="1:19" x14ac:dyDescent="0.25">
      <c r="A368" s="1" t="s">
        <v>357</v>
      </c>
      <c r="B368" s="1" t="s">
        <v>56</v>
      </c>
      <c r="C368" s="13">
        <v>209</v>
      </c>
      <c r="D368" s="13">
        <v>257</v>
      </c>
      <c r="E368" s="1" t="s">
        <v>231</v>
      </c>
      <c r="F368" s="1"/>
      <c r="G368" s="1">
        <v>0</v>
      </c>
      <c r="H368" s="1">
        <v>0</v>
      </c>
      <c r="I368" s="1">
        <v>0</v>
      </c>
      <c r="J368" s="1">
        <v>0</v>
      </c>
      <c r="K368" s="1">
        <v>0</v>
      </c>
      <c r="L368" s="1">
        <v>0</v>
      </c>
      <c r="M368" s="1">
        <v>0</v>
      </c>
      <c r="N368" s="1">
        <v>0</v>
      </c>
      <c r="O368" s="1">
        <v>0</v>
      </c>
      <c r="P368" s="1">
        <v>0</v>
      </c>
      <c r="Q368" t="str">
        <f>INDEX(pARTNER[#All],MATCH(#REF!,pARTNER[[#All],[Value.partnerSummary.id]],0),10)</f>
        <v>Slovenija (SI)</v>
      </c>
      <c r="R368" t="str">
        <f>INDEX('Partner data'!$A$2:$DG$171,MATCH(#REF!,'Partner data'!$DG$2:$DG$171,0),83)</f>
        <v>Soggetto pubblico</v>
      </c>
      <c r="S368" s="86" t="b">
        <f>IF(#REF!="staff",INDEX('Partner data'!$DG$2:$DH$171,MATCH(#REF!,'Partner data'!$DG$2:$DG$171,0),2))</f>
        <v>0</v>
      </c>
    </row>
    <row r="369" spans="1:19" x14ac:dyDescent="0.25">
      <c r="A369" s="1" t="s">
        <v>357</v>
      </c>
      <c r="B369" s="1" t="s">
        <v>56</v>
      </c>
      <c r="C369" s="13">
        <v>209</v>
      </c>
      <c r="D369" s="13">
        <v>257</v>
      </c>
      <c r="E369" s="1" t="s">
        <v>232</v>
      </c>
      <c r="F369" s="1"/>
      <c r="G369" s="1">
        <v>0</v>
      </c>
      <c r="H369" s="1">
        <v>0</v>
      </c>
      <c r="I369" s="1">
        <v>0</v>
      </c>
      <c r="J369" s="1">
        <v>0</v>
      </c>
      <c r="K369" s="1">
        <v>0</v>
      </c>
      <c r="L369" s="1">
        <v>0</v>
      </c>
      <c r="M369" s="1">
        <v>0</v>
      </c>
      <c r="N369" s="1">
        <v>0</v>
      </c>
      <c r="O369" s="1">
        <v>0</v>
      </c>
      <c r="P369" s="1">
        <v>0</v>
      </c>
      <c r="Q369" t="str">
        <f>INDEX(pARTNER[#All],MATCH(#REF!,pARTNER[[#All],[Value.partnerSummary.id]],0),10)</f>
        <v>Slovenija (SI)</v>
      </c>
      <c r="R369" t="str">
        <f>INDEX('Partner data'!$A$2:$DG$171,MATCH(#REF!,'Partner data'!$DG$2:$DG$171,0),83)</f>
        <v>Soggetto pubblico</v>
      </c>
      <c r="S369" s="86" t="b">
        <f>IF(#REF!="staff",INDEX('Partner data'!$DG$2:$DH$171,MATCH(#REF!,'Partner data'!$DG$2:$DG$171,0),2))</f>
        <v>0</v>
      </c>
    </row>
    <row r="370" spans="1:19" x14ac:dyDescent="0.25">
      <c r="A370" s="1" t="s">
        <v>357</v>
      </c>
      <c r="B370" s="1" t="s">
        <v>56</v>
      </c>
      <c r="C370" s="13">
        <v>209</v>
      </c>
      <c r="D370" s="13">
        <v>257</v>
      </c>
      <c r="E370" s="1" t="s">
        <v>233</v>
      </c>
      <c r="F370" s="1"/>
      <c r="G370" s="1">
        <v>0</v>
      </c>
      <c r="H370" s="1">
        <v>0</v>
      </c>
      <c r="I370" s="1">
        <v>0</v>
      </c>
      <c r="J370" s="1">
        <v>0</v>
      </c>
      <c r="K370" s="1">
        <v>0</v>
      </c>
      <c r="L370" s="1">
        <v>0</v>
      </c>
      <c r="M370" s="1">
        <v>0</v>
      </c>
      <c r="N370" s="1">
        <v>0</v>
      </c>
      <c r="O370" s="1">
        <v>0</v>
      </c>
      <c r="P370" s="1">
        <v>0</v>
      </c>
      <c r="Q370" t="str">
        <f>INDEX(pARTNER[#All],MATCH(#REF!,pARTNER[[#All],[Value.partnerSummary.id]],0),10)</f>
        <v>Slovenija (SI)</v>
      </c>
      <c r="R370" t="str">
        <f>INDEX('Partner data'!$A$2:$DG$171,MATCH(#REF!,'Partner data'!$DG$2:$DG$171,0),83)</f>
        <v>Soggetto pubblico</v>
      </c>
      <c r="S370" s="86" t="b">
        <f>IF(#REF!="staff",INDEX('Partner data'!$DG$2:$DH$171,MATCH(#REF!,'Partner data'!$DG$2:$DG$171,0),2))</f>
        <v>0</v>
      </c>
    </row>
    <row r="371" spans="1:19" x14ac:dyDescent="0.25">
      <c r="A371" s="1" t="s">
        <v>357</v>
      </c>
      <c r="B371" s="1" t="s">
        <v>56</v>
      </c>
      <c r="C371" s="13">
        <v>209</v>
      </c>
      <c r="D371" s="13">
        <v>257</v>
      </c>
      <c r="E371" s="1" t="s">
        <v>234</v>
      </c>
      <c r="F371" s="1">
        <v>40</v>
      </c>
      <c r="G371" s="1">
        <v>31200</v>
      </c>
      <c r="H371" s="1">
        <v>0</v>
      </c>
      <c r="I371" s="1">
        <v>0</v>
      </c>
      <c r="J371" s="1">
        <v>5441.4</v>
      </c>
      <c r="K371" s="1">
        <v>0</v>
      </c>
      <c r="L371" s="1">
        <v>5197.05</v>
      </c>
      <c r="M371" s="1">
        <v>5441.4</v>
      </c>
      <c r="N371" s="1">
        <v>17.440000000000001</v>
      </c>
      <c r="O371" s="1">
        <v>25758.6</v>
      </c>
      <c r="P371" s="1">
        <v>0</v>
      </c>
      <c r="Q371" t="str">
        <f>INDEX(pARTNER[#All],MATCH(#REF!,pARTNER[[#All],[Value.partnerSummary.id]],0),10)</f>
        <v>Slovenija (SI)</v>
      </c>
      <c r="R371" t="str">
        <f>INDEX('Partner data'!$A$2:$DG$171,MATCH(#REF!,'Partner data'!$DG$2:$DG$171,0),83)</f>
        <v>Soggetto pubblico</v>
      </c>
      <c r="S371" s="86" t="b">
        <f>IF(#REF!="staff",INDEX('Partner data'!$DG$2:$DH$171,MATCH(#REF!,'Partner data'!$DG$2:$DG$171,0),2))</f>
        <v>0</v>
      </c>
    </row>
    <row r="372" spans="1:19" x14ac:dyDescent="0.25">
      <c r="A372" s="1" t="s">
        <v>357</v>
      </c>
      <c r="B372" s="1" t="s">
        <v>56</v>
      </c>
      <c r="C372" s="13">
        <v>209</v>
      </c>
      <c r="D372" s="13">
        <v>257</v>
      </c>
      <c r="E372" s="1" t="s">
        <v>235</v>
      </c>
      <c r="F372" s="1"/>
      <c r="G372" s="1">
        <v>0</v>
      </c>
      <c r="H372" s="1">
        <v>0</v>
      </c>
      <c r="I372" s="1">
        <v>0</v>
      </c>
      <c r="J372" s="1">
        <v>0</v>
      </c>
      <c r="K372" s="1">
        <v>0</v>
      </c>
      <c r="L372" s="1">
        <v>0</v>
      </c>
      <c r="M372" s="1">
        <v>0</v>
      </c>
      <c r="N372" s="1">
        <v>0</v>
      </c>
      <c r="O372" s="1">
        <v>0</v>
      </c>
      <c r="P372" s="1">
        <v>0</v>
      </c>
      <c r="Q372" t="str">
        <f>INDEX(pARTNER[#All],MATCH(#REF!,pARTNER[[#All],[Value.partnerSummary.id]],0),10)</f>
        <v>Slovenija (SI)</v>
      </c>
      <c r="R372" t="str">
        <f>INDEX('Partner data'!$A$2:$DG$171,MATCH(#REF!,'Partner data'!$DG$2:$DG$171,0),83)</f>
        <v>Soggetto pubblico</v>
      </c>
      <c r="S372" s="86" t="b">
        <f>IF(#REF!="staff",INDEX('Partner data'!$DG$2:$DH$171,MATCH(#REF!,'Partner data'!$DG$2:$DG$171,0),2))</f>
        <v>0</v>
      </c>
    </row>
    <row r="373" spans="1:19" x14ac:dyDescent="0.25">
      <c r="A373" s="1" t="s">
        <v>357</v>
      </c>
      <c r="B373" s="1" t="s">
        <v>56</v>
      </c>
      <c r="C373" s="13">
        <v>209</v>
      </c>
      <c r="D373" s="13">
        <v>257</v>
      </c>
      <c r="E373" s="1" t="s">
        <v>236</v>
      </c>
      <c r="F373" s="1"/>
      <c r="G373" s="1">
        <v>0</v>
      </c>
      <c r="H373" s="1">
        <v>0</v>
      </c>
      <c r="I373" s="1">
        <v>0</v>
      </c>
      <c r="J373" s="1">
        <v>0</v>
      </c>
      <c r="K373" s="1">
        <v>0</v>
      </c>
      <c r="L373" s="1">
        <v>0</v>
      </c>
      <c r="M373" s="1">
        <v>0</v>
      </c>
      <c r="N373" s="1">
        <v>0</v>
      </c>
      <c r="O373" s="1">
        <v>0</v>
      </c>
      <c r="P373" s="1">
        <v>0</v>
      </c>
      <c r="Q373" t="str">
        <f>INDEX(pARTNER[#All],MATCH(#REF!,pARTNER[[#All],[Value.partnerSummary.id]],0),10)</f>
        <v>Slovenija (SI)</v>
      </c>
      <c r="R373" t="str">
        <f>INDEX('Partner data'!$A$2:$DG$171,MATCH(#REF!,'Partner data'!$DG$2:$DG$171,0),83)</f>
        <v>Soggetto pubblico</v>
      </c>
      <c r="S373" s="86" t="b">
        <f>IF(#REF!="staff",INDEX('Partner data'!$DG$2:$DH$171,MATCH(#REF!,'Partner data'!$DG$2:$DG$171,0),2))</f>
        <v>0</v>
      </c>
    </row>
    <row r="374" spans="1:19" x14ac:dyDescent="0.25">
      <c r="A374" s="1" t="s">
        <v>357</v>
      </c>
      <c r="B374" s="1" t="s">
        <v>56</v>
      </c>
      <c r="C374" s="13">
        <v>209</v>
      </c>
      <c r="D374" s="13">
        <v>257</v>
      </c>
      <c r="E374" s="1" t="s">
        <v>237</v>
      </c>
      <c r="F374" s="1"/>
      <c r="G374" s="1">
        <v>0</v>
      </c>
      <c r="H374" s="1">
        <v>0</v>
      </c>
      <c r="I374" s="1">
        <v>0</v>
      </c>
      <c r="J374" s="1">
        <v>0</v>
      </c>
      <c r="K374" s="1">
        <v>0</v>
      </c>
      <c r="L374" s="1">
        <v>0</v>
      </c>
      <c r="M374" s="1">
        <v>0</v>
      </c>
      <c r="N374" s="1">
        <v>0</v>
      </c>
      <c r="O374" s="1">
        <v>0</v>
      </c>
      <c r="P374" s="1">
        <v>0</v>
      </c>
      <c r="Q374" t="str">
        <f>INDEX(pARTNER[#All],MATCH(#REF!,pARTNER[[#All],[Value.partnerSummary.id]],0),10)</f>
        <v>Slovenija (SI)</v>
      </c>
      <c r="R374" t="str">
        <f>INDEX('Partner data'!$A$2:$DG$171,MATCH(#REF!,'Partner data'!$DG$2:$DG$171,0),83)</f>
        <v>Soggetto pubblico</v>
      </c>
      <c r="S374" s="86" t="b">
        <f>IF(#REF!="staff",INDEX('Partner data'!$DG$2:$DH$171,MATCH(#REF!,'Partner data'!$DG$2:$DG$171,0),2))</f>
        <v>0</v>
      </c>
    </row>
    <row r="375" spans="1:19" x14ac:dyDescent="0.25">
      <c r="A375" s="1" t="s">
        <v>357</v>
      </c>
      <c r="B375" s="1" t="s">
        <v>56</v>
      </c>
      <c r="C375" s="13">
        <v>209</v>
      </c>
      <c r="D375" s="13">
        <v>257</v>
      </c>
      <c r="E375" s="1" t="s">
        <v>238</v>
      </c>
      <c r="F375" s="1"/>
      <c r="G375" s="1">
        <v>109200</v>
      </c>
      <c r="H375" s="1">
        <v>0</v>
      </c>
      <c r="I375" s="1">
        <v>0</v>
      </c>
      <c r="J375" s="1">
        <v>19044.919999999998</v>
      </c>
      <c r="K375" s="1">
        <v>0</v>
      </c>
      <c r="L375" s="1">
        <v>18189.689999999999</v>
      </c>
      <c r="M375" s="1">
        <v>19044.919999999998</v>
      </c>
      <c r="N375" s="1">
        <v>17.440000000000001</v>
      </c>
      <c r="O375" s="1">
        <v>90155.08</v>
      </c>
      <c r="P375" s="1">
        <v>0</v>
      </c>
      <c r="Q375" t="str">
        <f>INDEX(pARTNER[#All],MATCH(#REF!,pARTNER[[#All],[Value.partnerSummary.id]],0),10)</f>
        <v>Slovenija (SI)</v>
      </c>
      <c r="R375" t="str">
        <f>INDEX('Partner data'!$A$2:$DG$171,MATCH(#REF!,'Partner data'!$DG$2:$DG$171,0),83)</f>
        <v>Soggetto pubblico</v>
      </c>
      <c r="S375" s="86" t="b">
        <f>IF(#REF!="staff",INDEX('Partner data'!$DG$2:$DH$171,MATCH(#REF!,'Partner data'!$DG$2:$DG$171,0),2))</f>
        <v>0</v>
      </c>
    </row>
    <row r="376" spans="1:19" x14ac:dyDescent="0.25">
      <c r="A376" s="1" t="s">
        <v>357</v>
      </c>
      <c r="B376" s="1" t="s">
        <v>359</v>
      </c>
      <c r="C376" s="13">
        <v>161</v>
      </c>
      <c r="D376" s="13">
        <v>315</v>
      </c>
      <c r="E376" s="1" t="s">
        <v>228</v>
      </c>
      <c r="F376" s="1"/>
      <c r="G376" s="1">
        <v>55350</v>
      </c>
      <c r="H376" s="1">
        <v>0</v>
      </c>
      <c r="I376" s="1">
        <v>0</v>
      </c>
      <c r="J376" s="1">
        <v>11572.6</v>
      </c>
      <c r="K376" s="1">
        <v>0</v>
      </c>
      <c r="L376" s="1">
        <v>0</v>
      </c>
      <c r="M376" s="1">
        <v>11572.6</v>
      </c>
      <c r="N376" s="1">
        <v>20.91</v>
      </c>
      <c r="O376" s="1">
        <v>43777.4</v>
      </c>
      <c r="P376" s="1">
        <v>0</v>
      </c>
      <c r="Q376" t="str">
        <f>INDEX(pARTNER[#All],MATCH(#REF!,pARTNER[[#All],[Value.partnerSummary.id]],0),10)</f>
        <v>Italia (IT)</v>
      </c>
      <c r="R376" t="str">
        <f>INDEX('Partner data'!$A$2:$DG$171,MATCH(#REF!,'Partner data'!$DG$2:$DG$171,0),83)</f>
        <v xml:space="preserve">Organismo di diritto pubblico </v>
      </c>
      <c r="S376" s="86" t="str">
        <f>IF(#REF!="staff",INDEX('Partner data'!$DG$2:$DH$171,MATCH(#REF!,'Partner data'!$DG$2:$DG$171,0),2))</f>
        <v>COSTO REALE</v>
      </c>
    </row>
    <row r="377" spans="1:19" x14ac:dyDescent="0.25">
      <c r="A377" s="1" t="s">
        <v>357</v>
      </c>
      <c r="B377" s="1" t="s">
        <v>359</v>
      </c>
      <c r="C377" s="13">
        <v>161</v>
      </c>
      <c r="D377" s="13">
        <v>315</v>
      </c>
      <c r="E377" s="1" t="s">
        <v>229</v>
      </c>
      <c r="F377" s="1">
        <v>15</v>
      </c>
      <c r="G377" s="1">
        <v>8302.5</v>
      </c>
      <c r="H377" s="1">
        <v>0</v>
      </c>
      <c r="I377" s="1">
        <v>0</v>
      </c>
      <c r="J377" s="1">
        <v>1735.89</v>
      </c>
      <c r="K377" s="1">
        <v>0</v>
      </c>
      <c r="L377" s="1">
        <v>0</v>
      </c>
      <c r="M377" s="1">
        <v>1735.89</v>
      </c>
      <c r="N377" s="1">
        <v>20.91</v>
      </c>
      <c r="O377" s="1">
        <v>6566.61</v>
      </c>
      <c r="P377" s="1">
        <v>0</v>
      </c>
      <c r="Q377" t="str">
        <f>INDEX(pARTNER[#All],MATCH(#REF!,pARTNER[[#All],[Value.partnerSummary.id]],0),10)</f>
        <v>Italia (IT)</v>
      </c>
      <c r="R377" t="str">
        <f>INDEX('Partner data'!$A$2:$DG$171,MATCH(#REF!,'Partner data'!$DG$2:$DG$171,0),83)</f>
        <v xml:space="preserve">Organismo di diritto pubblico </v>
      </c>
      <c r="S377" s="86" t="b">
        <f>IF(#REF!="staff",INDEX('Partner data'!$DG$2:$DH$171,MATCH(#REF!,'Partner data'!$DG$2:$DG$171,0),2))</f>
        <v>0</v>
      </c>
    </row>
    <row r="378" spans="1:19" x14ac:dyDescent="0.25">
      <c r="A378" s="1" t="s">
        <v>357</v>
      </c>
      <c r="B378" s="1" t="s">
        <v>359</v>
      </c>
      <c r="C378" s="13">
        <v>161</v>
      </c>
      <c r="D378" s="13">
        <v>315</v>
      </c>
      <c r="E378" s="1" t="s">
        <v>230</v>
      </c>
      <c r="F378" s="1">
        <v>4</v>
      </c>
      <c r="G378" s="1">
        <v>2214</v>
      </c>
      <c r="H378" s="1">
        <v>0</v>
      </c>
      <c r="I378" s="1">
        <v>0</v>
      </c>
      <c r="J378" s="1">
        <v>462.9</v>
      </c>
      <c r="K378" s="1">
        <v>0</v>
      </c>
      <c r="L378" s="1">
        <v>0</v>
      </c>
      <c r="M378" s="1">
        <v>462.9</v>
      </c>
      <c r="N378" s="1">
        <v>20.91</v>
      </c>
      <c r="O378" s="1">
        <v>1751.1</v>
      </c>
      <c r="P378" s="1">
        <v>0</v>
      </c>
      <c r="Q378" t="str">
        <f>INDEX(pARTNER[#All],MATCH(#REF!,pARTNER[[#All],[Value.partnerSummary.id]],0),10)</f>
        <v>Italia (IT)</v>
      </c>
      <c r="R378" t="str">
        <f>INDEX('Partner data'!$A$2:$DG$171,MATCH(#REF!,'Partner data'!$DG$2:$DG$171,0),83)</f>
        <v xml:space="preserve">Organismo di diritto pubblico </v>
      </c>
      <c r="S378" s="86" t="b">
        <f>IF(#REF!="staff",INDEX('Partner data'!$DG$2:$DH$171,MATCH(#REF!,'Partner data'!$DG$2:$DG$171,0),2))</f>
        <v>0</v>
      </c>
    </row>
    <row r="379" spans="1:19" x14ac:dyDescent="0.25">
      <c r="A379" s="1" t="s">
        <v>357</v>
      </c>
      <c r="B379" s="1" t="s">
        <v>359</v>
      </c>
      <c r="C379" s="13">
        <v>161</v>
      </c>
      <c r="D379" s="13">
        <v>315</v>
      </c>
      <c r="E379" s="1" t="s">
        <v>231</v>
      </c>
      <c r="F379" s="1"/>
      <c r="G379" s="1">
        <v>87746.3</v>
      </c>
      <c r="H379" s="1">
        <v>0</v>
      </c>
      <c r="I379" s="1">
        <v>0</v>
      </c>
      <c r="J379" s="1">
        <v>3235</v>
      </c>
      <c r="K379" s="1">
        <v>0</v>
      </c>
      <c r="L379" s="1">
        <v>2235</v>
      </c>
      <c r="M379" s="1">
        <v>3235</v>
      </c>
      <c r="N379" s="1">
        <v>3.69</v>
      </c>
      <c r="O379" s="1">
        <v>84511.3</v>
      </c>
      <c r="P379" s="1">
        <v>0</v>
      </c>
      <c r="Q379" t="str">
        <f>INDEX(pARTNER[#All],MATCH(#REF!,pARTNER[[#All],[Value.partnerSummary.id]],0),10)</f>
        <v>Italia (IT)</v>
      </c>
      <c r="R379" t="str">
        <f>INDEX('Partner data'!$A$2:$DG$171,MATCH(#REF!,'Partner data'!$DG$2:$DG$171,0),83)</f>
        <v xml:space="preserve">Organismo di diritto pubblico </v>
      </c>
      <c r="S379" s="86" t="b">
        <f>IF(#REF!="staff",INDEX('Partner data'!$DG$2:$DH$171,MATCH(#REF!,'Partner data'!$DG$2:$DG$171,0),2))</f>
        <v>0</v>
      </c>
    </row>
    <row r="380" spans="1:19" x14ac:dyDescent="0.25">
      <c r="A380" s="1" t="s">
        <v>357</v>
      </c>
      <c r="B380" s="1" t="s">
        <v>359</v>
      </c>
      <c r="C380" s="13">
        <v>161</v>
      </c>
      <c r="D380" s="13">
        <v>315</v>
      </c>
      <c r="E380" s="1" t="s">
        <v>232</v>
      </c>
      <c r="F380" s="1"/>
      <c r="G380" s="1">
        <v>4900</v>
      </c>
      <c r="H380" s="1">
        <v>0</v>
      </c>
      <c r="I380" s="1">
        <v>0</v>
      </c>
      <c r="J380" s="1">
        <v>0</v>
      </c>
      <c r="K380" s="1">
        <v>0</v>
      </c>
      <c r="L380" s="1">
        <v>0</v>
      </c>
      <c r="M380" s="1">
        <v>0</v>
      </c>
      <c r="N380" s="1">
        <v>0</v>
      </c>
      <c r="O380" s="1">
        <v>4900</v>
      </c>
      <c r="P380" s="1">
        <v>0</v>
      </c>
      <c r="Q380" t="str">
        <f>INDEX(pARTNER[#All],MATCH(#REF!,pARTNER[[#All],[Value.partnerSummary.id]],0),10)</f>
        <v>Italia (IT)</v>
      </c>
      <c r="R380" t="str">
        <f>INDEX('Partner data'!$A$2:$DG$171,MATCH(#REF!,'Partner data'!$DG$2:$DG$171,0),83)</f>
        <v xml:space="preserve">Organismo di diritto pubblico </v>
      </c>
      <c r="S380" s="86" t="b">
        <f>IF(#REF!="staff",INDEX('Partner data'!$DG$2:$DH$171,MATCH(#REF!,'Partner data'!$DG$2:$DG$171,0),2))</f>
        <v>0</v>
      </c>
    </row>
    <row r="381" spans="1:19" x14ac:dyDescent="0.25">
      <c r="A381" s="1" t="s">
        <v>357</v>
      </c>
      <c r="B381" s="1" t="s">
        <v>359</v>
      </c>
      <c r="C381" s="13">
        <v>161</v>
      </c>
      <c r="D381" s="13">
        <v>315</v>
      </c>
      <c r="E381" s="1" t="s">
        <v>233</v>
      </c>
      <c r="F381" s="1"/>
      <c r="G381" s="1">
        <v>0</v>
      </c>
      <c r="H381" s="1">
        <v>0</v>
      </c>
      <c r="I381" s="1">
        <v>0</v>
      </c>
      <c r="J381" s="1">
        <v>0</v>
      </c>
      <c r="K381" s="1">
        <v>0</v>
      </c>
      <c r="L381" s="1">
        <v>0</v>
      </c>
      <c r="M381" s="1">
        <v>0</v>
      </c>
      <c r="N381" s="1">
        <v>0</v>
      </c>
      <c r="O381" s="1">
        <v>0</v>
      </c>
      <c r="P381" s="1">
        <v>0</v>
      </c>
      <c r="Q381" t="str">
        <f>INDEX(pARTNER[#All],MATCH(#REF!,pARTNER[[#All],[Value.partnerSummary.id]],0),10)</f>
        <v>Italia (IT)</v>
      </c>
      <c r="R381" t="str">
        <f>INDEX('Partner data'!$A$2:$DG$171,MATCH(#REF!,'Partner data'!$DG$2:$DG$171,0),83)</f>
        <v xml:space="preserve">Organismo di diritto pubblico </v>
      </c>
      <c r="S381" s="86" t="b">
        <f>IF(#REF!="staff",INDEX('Partner data'!$DG$2:$DH$171,MATCH(#REF!,'Partner data'!$DG$2:$DG$171,0),2))</f>
        <v>0</v>
      </c>
    </row>
    <row r="382" spans="1:19" x14ac:dyDescent="0.25">
      <c r="A382" s="1" t="s">
        <v>357</v>
      </c>
      <c r="B382" s="1" t="s">
        <v>359</v>
      </c>
      <c r="C382" s="13">
        <v>161</v>
      </c>
      <c r="D382" s="13">
        <v>315</v>
      </c>
      <c r="E382" s="1" t="s">
        <v>234</v>
      </c>
      <c r="F382" s="1"/>
      <c r="G382" s="1">
        <v>0</v>
      </c>
      <c r="H382" s="1">
        <v>0</v>
      </c>
      <c r="I382" s="1">
        <v>0</v>
      </c>
      <c r="J382" s="1">
        <v>0</v>
      </c>
      <c r="K382" s="1">
        <v>0</v>
      </c>
      <c r="L382" s="1">
        <v>0</v>
      </c>
      <c r="M382" s="1">
        <v>0</v>
      </c>
      <c r="N382" s="1">
        <v>0</v>
      </c>
      <c r="O382" s="1">
        <v>0</v>
      </c>
      <c r="P382" s="1">
        <v>0</v>
      </c>
      <c r="Q382" t="str">
        <f>INDEX(pARTNER[#All],MATCH(#REF!,pARTNER[[#All],[Value.partnerSummary.id]],0),10)</f>
        <v>Italia (IT)</v>
      </c>
      <c r="R382" t="str">
        <f>INDEX('Partner data'!$A$2:$DG$171,MATCH(#REF!,'Partner data'!$DG$2:$DG$171,0),83)</f>
        <v xml:space="preserve">Organismo di diritto pubblico </v>
      </c>
      <c r="S382" s="86" t="b">
        <f>IF(#REF!="staff",INDEX('Partner data'!$DG$2:$DH$171,MATCH(#REF!,'Partner data'!$DG$2:$DG$171,0),2))</f>
        <v>0</v>
      </c>
    </row>
    <row r="383" spans="1:19" x14ac:dyDescent="0.25">
      <c r="A383" s="1" t="s">
        <v>357</v>
      </c>
      <c r="B383" s="1" t="s">
        <v>359</v>
      </c>
      <c r="C383" s="13">
        <v>161</v>
      </c>
      <c r="D383" s="13">
        <v>315</v>
      </c>
      <c r="E383" s="1" t="s">
        <v>235</v>
      </c>
      <c r="F383" s="1"/>
      <c r="G383" s="1">
        <v>0</v>
      </c>
      <c r="H383" s="1">
        <v>0</v>
      </c>
      <c r="I383" s="1">
        <v>0</v>
      </c>
      <c r="J383" s="1">
        <v>0</v>
      </c>
      <c r="K383" s="1">
        <v>0</v>
      </c>
      <c r="L383" s="1">
        <v>0</v>
      </c>
      <c r="M383" s="1">
        <v>0</v>
      </c>
      <c r="N383" s="1">
        <v>0</v>
      </c>
      <c r="O383" s="1">
        <v>0</v>
      </c>
      <c r="P383" s="1">
        <v>0</v>
      </c>
      <c r="Q383" t="str">
        <f>INDEX(pARTNER[#All],MATCH(#REF!,pARTNER[[#All],[Value.partnerSummary.id]],0),10)</f>
        <v>Italia (IT)</v>
      </c>
      <c r="R383" t="str">
        <f>INDEX('Partner data'!$A$2:$DG$171,MATCH(#REF!,'Partner data'!$DG$2:$DG$171,0),83)</f>
        <v xml:space="preserve">Organismo di diritto pubblico </v>
      </c>
      <c r="S383" s="86" t="b">
        <f>IF(#REF!="staff",INDEX('Partner data'!$DG$2:$DH$171,MATCH(#REF!,'Partner data'!$DG$2:$DG$171,0),2))</f>
        <v>0</v>
      </c>
    </row>
    <row r="384" spans="1:19" x14ac:dyDescent="0.25">
      <c r="A384" s="1" t="s">
        <v>357</v>
      </c>
      <c r="B384" s="1" t="s">
        <v>359</v>
      </c>
      <c r="C384" s="13">
        <v>161</v>
      </c>
      <c r="D384" s="13">
        <v>315</v>
      </c>
      <c r="E384" s="1" t="s">
        <v>236</v>
      </c>
      <c r="F384" s="1"/>
      <c r="G384" s="1">
        <v>0</v>
      </c>
      <c r="H384" s="1">
        <v>0</v>
      </c>
      <c r="I384" s="1">
        <v>0</v>
      </c>
      <c r="J384" s="1">
        <v>0</v>
      </c>
      <c r="K384" s="1">
        <v>0</v>
      </c>
      <c r="L384" s="1">
        <v>0</v>
      </c>
      <c r="M384" s="1">
        <v>0</v>
      </c>
      <c r="N384" s="1">
        <v>0</v>
      </c>
      <c r="O384" s="1">
        <v>0</v>
      </c>
      <c r="P384" s="1">
        <v>0</v>
      </c>
      <c r="Q384" t="str">
        <f>INDEX(pARTNER[#All],MATCH(#REF!,pARTNER[[#All],[Value.partnerSummary.id]],0),10)</f>
        <v>Italia (IT)</v>
      </c>
      <c r="R384" t="str">
        <f>INDEX('Partner data'!$A$2:$DG$171,MATCH(#REF!,'Partner data'!$DG$2:$DG$171,0),83)</f>
        <v xml:space="preserve">Organismo di diritto pubblico </v>
      </c>
      <c r="S384" s="86" t="b">
        <f>IF(#REF!="staff",INDEX('Partner data'!$DG$2:$DH$171,MATCH(#REF!,'Partner data'!$DG$2:$DG$171,0),2))</f>
        <v>0</v>
      </c>
    </row>
    <row r="385" spans="1:19" x14ac:dyDescent="0.25">
      <c r="A385" s="1" t="s">
        <v>357</v>
      </c>
      <c r="B385" s="1" t="s">
        <v>359</v>
      </c>
      <c r="C385" s="13">
        <v>161</v>
      </c>
      <c r="D385" s="13">
        <v>315</v>
      </c>
      <c r="E385" s="1" t="s">
        <v>237</v>
      </c>
      <c r="F385" s="1"/>
      <c r="G385" s="1">
        <v>0</v>
      </c>
      <c r="H385" s="1">
        <v>0</v>
      </c>
      <c r="I385" s="1">
        <v>0</v>
      </c>
      <c r="J385" s="1">
        <v>0</v>
      </c>
      <c r="K385" s="1">
        <v>0</v>
      </c>
      <c r="L385" s="1">
        <v>0</v>
      </c>
      <c r="M385" s="1">
        <v>0</v>
      </c>
      <c r="N385" s="1">
        <v>0</v>
      </c>
      <c r="O385" s="1">
        <v>0</v>
      </c>
      <c r="P385" s="1">
        <v>0</v>
      </c>
      <c r="Q385" t="str">
        <f>INDEX(pARTNER[#All],MATCH(#REF!,pARTNER[[#All],[Value.partnerSummary.id]],0),10)</f>
        <v>Italia (IT)</v>
      </c>
      <c r="R385" t="str">
        <f>INDEX('Partner data'!$A$2:$DG$171,MATCH(#REF!,'Partner data'!$DG$2:$DG$171,0),83)</f>
        <v xml:space="preserve">Organismo di diritto pubblico </v>
      </c>
      <c r="S385" s="86" t="b">
        <f>IF(#REF!="staff",INDEX('Partner data'!$DG$2:$DH$171,MATCH(#REF!,'Partner data'!$DG$2:$DG$171,0),2))</f>
        <v>0</v>
      </c>
    </row>
    <row r="386" spans="1:19" x14ac:dyDescent="0.25">
      <c r="A386" s="1" t="s">
        <v>357</v>
      </c>
      <c r="B386" s="1" t="s">
        <v>359</v>
      </c>
      <c r="C386" s="13">
        <v>161</v>
      </c>
      <c r="D386" s="13">
        <v>315</v>
      </c>
      <c r="E386" s="1" t="s">
        <v>238</v>
      </c>
      <c r="F386" s="1"/>
      <c r="G386" s="1">
        <v>158512.79999999999</v>
      </c>
      <c r="H386" s="1">
        <v>0</v>
      </c>
      <c r="I386" s="1">
        <v>0</v>
      </c>
      <c r="J386" s="1">
        <v>17006.39</v>
      </c>
      <c r="K386" s="1">
        <v>0</v>
      </c>
      <c r="L386" s="1">
        <v>2235</v>
      </c>
      <c r="M386" s="1">
        <v>17006.39</v>
      </c>
      <c r="N386" s="1">
        <v>10.73</v>
      </c>
      <c r="O386" s="1">
        <v>141506.41</v>
      </c>
      <c r="P386" s="1">
        <v>0</v>
      </c>
      <c r="Q386" t="str">
        <f>INDEX(pARTNER[#All],MATCH(#REF!,pARTNER[[#All],[Value.partnerSummary.id]],0),10)</f>
        <v>Italia (IT)</v>
      </c>
      <c r="R386" t="str">
        <f>INDEX('Partner data'!$A$2:$DG$171,MATCH(#REF!,'Partner data'!$DG$2:$DG$171,0),83)</f>
        <v xml:space="preserve">Organismo di diritto pubblico </v>
      </c>
      <c r="S386" s="86" t="b">
        <f>IF(#REF!="staff",INDEX('Partner data'!$DG$2:$DH$171,MATCH(#REF!,'Partner data'!$DG$2:$DG$171,0),2))</f>
        <v>0</v>
      </c>
    </row>
    <row r="387" spans="1:19" x14ac:dyDescent="0.25">
      <c r="A387" s="1" t="s">
        <v>357</v>
      </c>
      <c r="B387" s="1" t="s">
        <v>320</v>
      </c>
      <c r="C387" s="13">
        <v>210</v>
      </c>
      <c r="D387" s="13">
        <v>162</v>
      </c>
      <c r="E387" s="1" t="s">
        <v>228</v>
      </c>
      <c r="F387" s="1"/>
      <c r="G387" s="1">
        <v>90480</v>
      </c>
      <c r="H387" s="1">
        <v>0</v>
      </c>
      <c r="I387" s="1">
        <v>0</v>
      </c>
      <c r="J387" s="1">
        <v>23906.42</v>
      </c>
      <c r="K387" s="1">
        <v>0</v>
      </c>
      <c r="L387" s="1">
        <v>17445.75</v>
      </c>
      <c r="M387" s="1">
        <v>23906.42</v>
      </c>
      <c r="N387" s="1">
        <v>26.42</v>
      </c>
      <c r="O387" s="1">
        <v>66573.58</v>
      </c>
      <c r="P387" s="1">
        <v>0</v>
      </c>
      <c r="Q387" t="str">
        <f>INDEX(pARTNER[#All],MATCH(#REF!,pARTNER[[#All],[Value.partnerSummary.id]],0),10)</f>
        <v>Slovenija (SI)</v>
      </c>
      <c r="R387" t="str">
        <f>INDEX('Partner data'!$A$2:$DG$171,MATCH(#REF!,'Partner data'!$DG$2:$DG$171,0),83)</f>
        <v xml:space="preserve">Organismo di diritto pubblico </v>
      </c>
      <c r="S387" s="86" t="str">
        <f>IF(#REF!="staff",INDEX('Partner data'!$DG$2:$DH$171,MATCH(#REF!,'Partner data'!$DG$2:$DG$171,0),2))</f>
        <v>COSTO REALE</v>
      </c>
    </row>
    <row r="388" spans="1:19" x14ac:dyDescent="0.25">
      <c r="A388" s="1" t="s">
        <v>357</v>
      </c>
      <c r="B388" s="1" t="s">
        <v>320</v>
      </c>
      <c r="C388" s="13">
        <v>210</v>
      </c>
      <c r="D388" s="13">
        <v>162</v>
      </c>
      <c r="E388" s="1" t="s">
        <v>229</v>
      </c>
      <c r="F388" s="1"/>
      <c r="G388" s="1">
        <v>0</v>
      </c>
      <c r="H388" s="1">
        <v>0</v>
      </c>
      <c r="I388" s="1">
        <v>0</v>
      </c>
      <c r="J388" s="1">
        <v>0</v>
      </c>
      <c r="K388" s="1">
        <v>0</v>
      </c>
      <c r="L388" s="1">
        <v>0</v>
      </c>
      <c r="M388" s="1">
        <v>0</v>
      </c>
      <c r="N388" s="1">
        <v>0</v>
      </c>
      <c r="O388" s="1">
        <v>0</v>
      </c>
      <c r="P388" s="1">
        <v>0</v>
      </c>
      <c r="Q388" t="str">
        <f>INDEX(pARTNER[#All],MATCH(#REF!,pARTNER[[#All],[Value.partnerSummary.id]],0),10)</f>
        <v>Slovenija (SI)</v>
      </c>
      <c r="R388" t="str">
        <f>INDEX('Partner data'!$A$2:$DG$171,MATCH(#REF!,'Partner data'!$DG$2:$DG$171,0),83)</f>
        <v xml:space="preserve">Organismo di diritto pubblico </v>
      </c>
      <c r="S388" s="86" t="b">
        <f>IF(#REF!="staff",INDEX('Partner data'!$DG$2:$DH$171,MATCH(#REF!,'Partner data'!$DG$2:$DG$171,0),2))</f>
        <v>0</v>
      </c>
    </row>
    <row r="389" spans="1:19" x14ac:dyDescent="0.25">
      <c r="A389" s="1" t="s">
        <v>357</v>
      </c>
      <c r="B389" s="1" t="s">
        <v>320</v>
      </c>
      <c r="C389" s="13">
        <v>210</v>
      </c>
      <c r="D389" s="13">
        <v>162</v>
      </c>
      <c r="E389" s="1" t="s">
        <v>230</v>
      </c>
      <c r="F389" s="1"/>
      <c r="G389" s="1">
        <v>0</v>
      </c>
      <c r="H389" s="1">
        <v>0</v>
      </c>
      <c r="I389" s="1">
        <v>0</v>
      </c>
      <c r="J389" s="1">
        <v>0</v>
      </c>
      <c r="K389" s="1">
        <v>0</v>
      </c>
      <c r="L389" s="1">
        <v>0</v>
      </c>
      <c r="M389" s="1">
        <v>0</v>
      </c>
      <c r="N389" s="1">
        <v>0</v>
      </c>
      <c r="O389" s="1">
        <v>0</v>
      </c>
      <c r="P389" s="1">
        <v>0</v>
      </c>
      <c r="Q389" t="str">
        <f>INDEX(pARTNER[#All],MATCH(#REF!,pARTNER[[#All],[Value.partnerSummary.id]],0),10)</f>
        <v>Slovenija (SI)</v>
      </c>
      <c r="R389" t="str">
        <f>INDEX('Partner data'!$A$2:$DG$171,MATCH(#REF!,'Partner data'!$DG$2:$DG$171,0),83)</f>
        <v xml:space="preserve">Organismo di diritto pubblico </v>
      </c>
      <c r="S389" s="86" t="b">
        <f>IF(#REF!="staff",INDEX('Partner data'!$DG$2:$DH$171,MATCH(#REF!,'Partner data'!$DG$2:$DG$171,0),2))</f>
        <v>0</v>
      </c>
    </row>
    <row r="390" spans="1:19" x14ac:dyDescent="0.25">
      <c r="A390" s="1" t="s">
        <v>357</v>
      </c>
      <c r="B390" s="1" t="s">
        <v>320</v>
      </c>
      <c r="C390" s="13">
        <v>210</v>
      </c>
      <c r="D390" s="13">
        <v>162</v>
      </c>
      <c r="E390" s="1" t="s">
        <v>231</v>
      </c>
      <c r="F390" s="1"/>
      <c r="G390" s="1">
        <v>0</v>
      </c>
      <c r="H390" s="1">
        <v>0</v>
      </c>
      <c r="I390" s="1">
        <v>0</v>
      </c>
      <c r="J390" s="1">
        <v>0</v>
      </c>
      <c r="K390" s="1">
        <v>0</v>
      </c>
      <c r="L390" s="1">
        <v>0</v>
      </c>
      <c r="M390" s="1">
        <v>0</v>
      </c>
      <c r="N390" s="1">
        <v>0</v>
      </c>
      <c r="O390" s="1">
        <v>0</v>
      </c>
      <c r="P390" s="1">
        <v>0</v>
      </c>
      <c r="Q390" t="str">
        <f>INDEX(pARTNER[#All],MATCH(#REF!,pARTNER[[#All],[Value.partnerSummary.id]],0),10)</f>
        <v>Slovenija (SI)</v>
      </c>
      <c r="R390" t="str">
        <f>INDEX('Partner data'!$A$2:$DG$171,MATCH(#REF!,'Partner data'!$DG$2:$DG$171,0),83)</f>
        <v xml:space="preserve">Organismo di diritto pubblico </v>
      </c>
      <c r="S390" s="86" t="b">
        <f>IF(#REF!="staff",INDEX('Partner data'!$DG$2:$DH$171,MATCH(#REF!,'Partner data'!$DG$2:$DG$171,0),2))</f>
        <v>0</v>
      </c>
    </row>
    <row r="391" spans="1:19" x14ac:dyDescent="0.25">
      <c r="A391" s="1" t="s">
        <v>357</v>
      </c>
      <c r="B391" s="1" t="s">
        <v>320</v>
      </c>
      <c r="C391" s="13">
        <v>210</v>
      </c>
      <c r="D391" s="13">
        <v>162</v>
      </c>
      <c r="E391" s="1" t="s">
        <v>232</v>
      </c>
      <c r="F391" s="1"/>
      <c r="G391" s="1">
        <v>0</v>
      </c>
      <c r="H391" s="1">
        <v>0</v>
      </c>
      <c r="I391" s="1">
        <v>0</v>
      </c>
      <c r="J391" s="1">
        <v>0</v>
      </c>
      <c r="K391" s="1">
        <v>0</v>
      </c>
      <c r="L391" s="1">
        <v>0</v>
      </c>
      <c r="M391" s="1">
        <v>0</v>
      </c>
      <c r="N391" s="1">
        <v>0</v>
      </c>
      <c r="O391" s="1">
        <v>0</v>
      </c>
      <c r="P391" s="1">
        <v>0</v>
      </c>
      <c r="Q391" t="str">
        <f>INDEX(pARTNER[#All],MATCH(#REF!,pARTNER[[#All],[Value.partnerSummary.id]],0),10)</f>
        <v>Slovenija (SI)</v>
      </c>
      <c r="R391" t="str">
        <f>INDEX('Partner data'!$A$2:$DG$171,MATCH(#REF!,'Partner data'!$DG$2:$DG$171,0),83)</f>
        <v xml:space="preserve">Organismo di diritto pubblico </v>
      </c>
      <c r="S391" s="86" t="b">
        <f>IF(#REF!="staff",INDEX('Partner data'!$DG$2:$DH$171,MATCH(#REF!,'Partner data'!$DG$2:$DG$171,0),2))</f>
        <v>0</v>
      </c>
    </row>
    <row r="392" spans="1:19" x14ac:dyDescent="0.25">
      <c r="A392" s="1" t="s">
        <v>357</v>
      </c>
      <c r="B392" s="1" t="s">
        <v>320</v>
      </c>
      <c r="C392" s="13">
        <v>210</v>
      </c>
      <c r="D392" s="13">
        <v>162</v>
      </c>
      <c r="E392" s="1" t="s">
        <v>233</v>
      </c>
      <c r="F392" s="1"/>
      <c r="G392" s="1">
        <v>0</v>
      </c>
      <c r="H392" s="1">
        <v>0</v>
      </c>
      <c r="I392" s="1">
        <v>0</v>
      </c>
      <c r="J392" s="1">
        <v>0</v>
      </c>
      <c r="K392" s="1">
        <v>0</v>
      </c>
      <c r="L392" s="1">
        <v>0</v>
      </c>
      <c r="M392" s="1">
        <v>0</v>
      </c>
      <c r="N392" s="1">
        <v>0</v>
      </c>
      <c r="O392" s="1">
        <v>0</v>
      </c>
      <c r="P392" s="1">
        <v>0</v>
      </c>
      <c r="Q392" t="str">
        <f>INDEX(pARTNER[#All],MATCH(#REF!,pARTNER[[#All],[Value.partnerSummary.id]],0),10)</f>
        <v>Slovenija (SI)</v>
      </c>
      <c r="R392" t="str">
        <f>INDEX('Partner data'!$A$2:$DG$171,MATCH(#REF!,'Partner data'!$DG$2:$DG$171,0),83)</f>
        <v xml:space="preserve">Organismo di diritto pubblico </v>
      </c>
      <c r="S392" s="86" t="b">
        <f>IF(#REF!="staff",INDEX('Partner data'!$DG$2:$DH$171,MATCH(#REF!,'Partner data'!$DG$2:$DG$171,0),2))</f>
        <v>0</v>
      </c>
    </row>
    <row r="393" spans="1:19" x14ac:dyDescent="0.25">
      <c r="A393" s="1" t="s">
        <v>357</v>
      </c>
      <c r="B393" s="1" t="s">
        <v>320</v>
      </c>
      <c r="C393" s="13">
        <v>210</v>
      </c>
      <c r="D393" s="13">
        <v>162</v>
      </c>
      <c r="E393" s="1" t="s">
        <v>234</v>
      </c>
      <c r="F393" s="1">
        <v>40</v>
      </c>
      <c r="G393" s="1">
        <v>36192</v>
      </c>
      <c r="H393" s="1">
        <v>0</v>
      </c>
      <c r="I393" s="1">
        <v>0</v>
      </c>
      <c r="J393" s="1">
        <v>9562.56</v>
      </c>
      <c r="K393" s="1">
        <v>0</v>
      </c>
      <c r="L393" s="1">
        <v>6978.3</v>
      </c>
      <c r="M393" s="1">
        <v>9562.56</v>
      </c>
      <c r="N393" s="1">
        <v>26.42</v>
      </c>
      <c r="O393" s="1">
        <v>26629.439999999999</v>
      </c>
      <c r="P393" s="1">
        <v>0</v>
      </c>
      <c r="Q393" t="str">
        <f>INDEX(pARTNER[#All],MATCH(#REF!,pARTNER[[#All],[Value.partnerSummary.id]],0),10)</f>
        <v>Slovenija (SI)</v>
      </c>
      <c r="R393" t="str">
        <f>INDEX('Partner data'!$A$2:$DG$171,MATCH(#REF!,'Partner data'!$DG$2:$DG$171,0),83)</f>
        <v xml:space="preserve">Organismo di diritto pubblico </v>
      </c>
      <c r="S393" s="86" t="b">
        <f>IF(#REF!="staff",INDEX('Partner data'!$DG$2:$DH$171,MATCH(#REF!,'Partner data'!$DG$2:$DG$171,0),2))</f>
        <v>0</v>
      </c>
    </row>
    <row r="394" spans="1:19" x14ac:dyDescent="0.25">
      <c r="A394" s="1" t="s">
        <v>357</v>
      </c>
      <c r="B394" s="1" t="s">
        <v>320</v>
      </c>
      <c r="C394" s="13">
        <v>210</v>
      </c>
      <c r="D394" s="13">
        <v>162</v>
      </c>
      <c r="E394" s="1" t="s">
        <v>235</v>
      </c>
      <c r="F394" s="1"/>
      <c r="G394" s="1">
        <v>0</v>
      </c>
      <c r="H394" s="1">
        <v>0</v>
      </c>
      <c r="I394" s="1">
        <v>0</v>
      </c>
      <c r="J394" s="1">
        <v>0</v>
      </c>
      <c r="K394" s="1">
        <v>0</v>
      </c>
      <c r="L394" s="1">
        <v>0</v>
      </c>
      <c r="M394" s="1">
        <v>0</v>
      </c>
      <c r="N394" s="1">
        <v>0</v>
      </c>
      <c r="O394" s="1">
        <v>0</v>
      </c>
      <c r="P394" s="1">
        <v>0</v>
      </c>
      <c r="Q394" t="str">
        <f>INDEX(pARTNER[#All],MATCH(#REF!,pARTNER[[#All],[Value.partnerSummary.id]],0),10)</f>
        <v>Slovenija (SI)</v>
      </c>
      <c r="R394" t="str">
        <f>INDEX('Partner data'!$A$2:$DG$171,MATCH(#REF!,'Partner data'!$DG$2:$DG$171,0),83)</f>
        <v xml:space="preserve">Organismo di diritto pubblico </v>
      </c>
      <c r="S394" s="86" t="b">
        <f>IF(#REF!="staff",INDEX('Partner data'!$DG$2:$DH$171,MATCH(#REF!,'Partner data'!$DG$2:$DG$171,0),2))</f>
        <v>0</v>
      </c>
    </row>
    <row r="395" spans="1:19" x14ac:dyDescent="0.25">
      <c r="A395" s="1" t="s">
        <v>357</v>
      </c>
      <c r="B395" s="1" t="s">
        <v>320</v>
      </c>
      <c r="C395" s="13">
        <v>210</v>
      </c>
      <c r="D395" s="13">
        <v>162</v>
      </c>
      <c r="E395" s="1" t="s">
        <v>236</v>
      </c>
      <c r="F395" s="1"/>
      <c r="G395" s="1">
        <v>0</v>
      </c>
      <c r="H395" s="1">
        <v>0</v>
      </c>
      <c r="I395" s="1">
        <v>0</v>
      </c>
      <c r="J395" s="1">
        <v>0</v>
      </c>
      <c r="K395" s="1">
        <v>0</v>
      </c>
      <c r="L395" s="1">
        <v>0</v>
      </c>
      <c r="M395" s="1">
        <v>0</v>
      </c>
      <c r="N395" s="1">
        <v>0</v>
      </c>
      <c r="O395" s="1">
        <v>0</v>
      </c>
      <c r="P395" s="1">
        <v>0</v>
      </c>
      <c r="Q395" t="str">
        <f>INDEX(pARTNER[#All],MATCH(#REF!,pARTNER[[#All],[Value.partnerSummary.id]],0),10)</f>
        <v>Slovenija (SI)</v>
      </c>
      <c r="R395" t="str">
        <f>INDEX('Partner data'!$A$2:$DG$171,MATCH(#REF!,'Partner data'!$DG$2:$DG$171,0),83)</f>
        <v xml:space="preserve">Organismo di diritto pubblico </v>
      </c>
      <c r="S395" s="86" t="b">
        <f>IF(#REF!="staff",INDEX('Partner data'!$DG$2:$DH$171,MATCH(#REF!,'Partner data'!$DG$2:$DG$171,0),2))</f>
        <v>0</v>
      </c>
    </row>
    <row r="396" spans="1:19" x14ac:dyDescent="0.25">
      <c r="A396" s="1" t="s">
        <v>357</v>
      </c>
      <c r="B396" s="1" t="s">
        <v>320</v>
      </c>
      <c r="C396" s="13">
        <v>210</v>
      </c>
      <c r="D396" s="13">
        <v>162</v>
      </c>
      <c r="E396" s="1" t="s">
        <v>237</v>
      </c>
      <c r="F396" s="1"/>
      <c r="G396" s="1">
        <v>0</v>
      </c>
      <c r="H396" s="1">
        <v>0</v>
      </c>
      <c r="I396" s="1">
        <v>0</v>
      </c>
      <c r="J396" s="1">
        <v>0</v>
      </c>
      <c r="K396" s="1">
        <v>0</v>
      </c>
      <c r="L396" s="1">
        <v>0</v>
      </c>
      <c r="M396" s="1">
        <v>0</v>
      </c>
      <c r="N396" s="1">
        <v>0</v>
      </c>
      <c r="O396" s="1">
        <v>0</v>
      </c>
      <c r="P396" s="1">
        <v>0</v>
      </c>
      <c r="Q396" t="str">
        <f>INDEX(pARTNER[#All],MATCH(#REF!,pARTNER[[#All],[Value.partnerSummary.id]],0),10)</f>
        <v>Slovenija (SI)</v>
      </c>
      <c r="R396" t="str">
        <f>INDEX('Partner data'!$A$2:$DG$171,MATCH(#REF!,'Partner data'!$DG$2:$DG$171,0),83)</f>
        <v xml:space="preserve">Organismo di diritto pubblico </v>
      </c>
      <c r="S396" s="86" t="b">
        <f>IF(#REF!="staff",INDEX('Partner data'!$DG$2:$DH$171,MATCH(#REF!,'Partner data'!$DG$2:$DG$171,0),2))</f>
        <v>0</v>
      </c>
    </row>
    <row r="397" spans="1:19" x14ac:dyDescent="0.25">
      <c r="A397" s="1" t="s">
        <v>357</v>
      </c>
      <c r="B397" s="1" t="s">
        <v>320</v>
      </c>
      <c r="C397" s="13">
        <v>210</v>
      </c>
      <c r="D397" s="13">
        <v>162</v>
      </c>
      <c r="E397" s="1" t="s">
        <v>238</v>
      </c>
      <c r="F397" s="1"/>
      <c r="G397" s="1">
        <v>126672</v>
      </c>
      <c r="H397" s="1">
        <v>0</v>
      </c>
      <c r="I397" s="1">
        <v>0</v>
      </c>
      <c r="J397" s="1">
        <v>33468.980000000003</v>
      </c>
      <c r="K397" s="1">
        <v>0</v>
      </c>
      <c r="L397" s="1">
        <v>24424.05</v>
      </c>
      <c r="M397" s="1">
        <v>33468.980000000003</v>
      </c>
      <c r="N397" s="1">
        <v>26.42</v>
      </c>
      <c r="O397" s="1">
        <v>93203.02</v>
      </c>
      <c r="P397" s="1">
        <v>0</v>
      </c>
      <c r="Q397" t="str">
        <f>INDEX(pARTNER[#All],MATCH(#REF!,pARTNER[[#All],[Value.partnerSummary.id]],0),10)</f>
        <v>Slovenija (SI)</v>
      </c>
      <c r="R397" t="str">
        <f>INDEX('Partner data'!$A$2:$DG$171,MATCH(#REF!,'Partner data'!$DG$2:$DG$171,0),83)</f>
        <v xml:space="preserve">Organismo di diritto pubblico </v>
      </c>
      <c r="S397" s="86" t="b">
        <f>IF(#REF!="staff",INDEX('Partner data'!$DG$2:$DH$171,MATCH(#REF!,'Partner data'!$DG$2:$DG$171,0),2))</f>
        <v>0</v>
      </c>
    </row>
    <row r="398" spans="1:19" x14ac:dyDescent="0.25">
      <c r="A398" s="1" t="s">
        <v>365</v>
      </c>
      <c r="B398" s="1" t="s">
        <v>293</v>
      </c>
      <c r="C398" s="13">
        <v>266</v>
      </c>
      <c r="D398" s="13">
        <v>321</v>
      </c>
      <c r="E398" s="1" t="s">
        <v>228</v>
      </c>
      <c r="F398" s="1"/>
      <c r="G398" s="1">
        <v>24975</v>
      </c>
      <c r="H398" s="1">
        <v>0</v>
      </c>
      <c r="I398" s="1">
        <v>0</v>
      </c>
      <c r="J398" s="1">
        <v>675</v>
      </c>
      <c r="K398" s="1">
        <v>0</v>
      </c>
      <c r="L398" s="1">
        <v>675</v>
      </c>
      <c r="M398" s="1">
        <v>675</v>
      </c>
      <c r="N398" s="1">
        <v>2.7</v>
      </c>
      <c r="O398" s="1">
        <v>24300</v>
      </c>
      <c r="P398" s="1">
        <v>0</v>
      </c>
      <c r="Q398" t="str">
        <f>INDEX(pARTNER[#All],MATCH(#REF!,pARTNER[[#All],[Value.partnerSummary.id]],0),10)</f>
        <v>Italia (IT)</v>
      </c>
      <c r="R398" t="str">
        <f>INDEX('Partner data'!$A$2:$DG$171,MATCH(#REF!,'Partner data'!$DG$2:$DG$171,0),83)</f>
        <v>Soggetto pubblico</v>
      </c>
      <c r="S398" s="86" t="str">
        <f>IF(#REF!="staff",INDEX('Partner data'!$DG$2:$DH$171,MATCH(#REF!,'Partner data'!$DG$2:$DG$171,0),2))</f>
        <v>Costo Unitario Standard</v>
      </c>
    </row>
    <row r="399" spans="1:19" x14ac:dyDescent="0.25">
      <c r="A399" s="1" t="s">
        <v>365</v>
      </c>
      <c r="B399" s="1" t="s">
        <v>293</v>
      </c>
      <c r="C399" s="13">
        <v>266</v>
      </c>
      <c r="D399" s="13">
        <v>321</v>
      </c>
      <c r="E399" s="1" t="s">
        <v>229</v>
      </c>
      <c r="F399" s="1"/>
      <c r="G399" s="1">
        <v>0</v>
      </c>
      <c r="H399" s="1">
        <v>0</v>
      </c>
      <c r="I399" s="1">
        <v>0</v>
      </c>
      <c r="J399" s="1">
        <v>0</v>
      </c>
      <c r="K399" s="1">
        <v>0</v>
      </c>
      <c r="L399" s="1">
        <v>0</v>
      </c>
      <c r="M399" s="1">
        <v>0</v>
      </c>
      <c r="N399" s="1">
        <v>0</v>
      </c>
      <c r="O399" s="1">
        <v>0</v>
      </c>
      <c r="P399" s="1">
        <v>0</v>
      </c>
      <c r="Q399" t="str">
        <f>INDEX(pARTNER[#All],MATCH(#REF!,pARTNER[[#All],[Value.partnerSummary.id]],0),10)</f>
        <v>Italia (IT)</v>
      </c>
      <c r="R399" t="str">
        <f>INDEX('Partner data'!$A$2:$DG$171,MATCH(#REF!,'Partner data'!$DG$2:$DG$171,0),83)</f>
        <v>Soggetto pubblico</v>
      </c>
      <c r="S399" s="86" t="b">
        <f>IF(#REF!="staff",INDEX('Partner data'!$DG$2:$DH$171,MATCH(#REF!,'Partner data'!$DG$2:$DG$171,0),2))</f>
        <v>0</v>
      </c>
    </row>
    <row r="400" spans="1:19" x14ac:dyDescent="0.25">
      <c r="A400" s="1" t="s">
        <v>365</v>
      </c>
      <c r="B400" s="1" t="s">
        <v>293</v>
      </c>
      <c r="C400" s="13">
        <v>266</v>
      </c>
      <c r="D400" s="13">
        <v>321</v>
      </c>
      <c r="E400" s="1" t="s">
        <v>230</v>
      </c>
      <c r="F400" s="1"/>
      <c r="G400" s="1">
        <v>0</v>
      </c>
      <c r="H400" s="1">
        <v>0</v>
      </c>
      <c r="I400" s="1">
        <v>0</v>
      </c>
      <c r="J400" s="1">
        <v>0</v>
      </c>
      <c r="K400" s="1">
        <v>0</v>
      </c>
      <c r="L400" s="1">
        <v>0</v>
      </c>
      <c r="M400" s="1">
        <v>0</v>
      </c>
      <c r="N400" s="1">
        <v>0</v>
      </c>
      <c r="O400" s="1">
        <v>0</v>
      </c>
      <c r="P400" s="1">
        <v>0</v>
      </c>
      <c r="Q400" t="str">
        <f>INDEX(pARTNER[#All],MATCH(#REF!,pARTNER[[#All],[Value.partnerSummary.id]],0),10)</f>
        <v>Italia (IT)</v>
      </c>
      <c r="R400" t="str">
        <f>INDEX('Partner data'!$A$2:$DG$171,MATCH(#REF!,'Partner data'!$DG$2:$DG$171,0),83)</f>
        <v>Soggetto pubblico</v>
      </c>
      <c r="S400" s="86" t="b">
        <f>IF(#REF!="staff",INDEX('Partner data'!$DG$2:$DH$171,MATCH(#REF!,'Partner data'!$DG$2:$DG$171,0),2))</f>
        <v>0</v>
      </c>
    </row>
    <row r="401" spans="1:19" x14ac:dyDescent="0.25">
      <c r="A401" s="1" t="s">
        <v>365</v>
      </c>
      <c r="B401" s="1" t="s">
        <v>293</v>
      </c>
      <c r="C401" s="13">
        <v>266</v>
      </c>
      <c r="D401" s="13">
        <v>321</v>
      </c>
      <c r="E401" s="1" t="s">
        <v>231</v>
      </c>
      <c r="F401" s="1"/>
      <c r="G401" s="1">
        <v>0</v>
      </c>
      <c r="H401" s="1">
        <v>0</v>
      </c>
      <c r="I401" s="1">
        <v>0</v>
      </c>
      <c r="J401" s="1">
        <v>0</v>
      </c>
      <c r="K401" s="1">
        <v>0</v>
      </c>
      <c r="L401" s="1">
        <v>0</v>
      </c>
      <c r="M401" s="1">
        <v>0</v>
      </c>
      <c r="N401" s="1">
        <v>0</v>
      </c>
      <c r="O401" s="1">
        <v>0</v>
      </c>
      <c r="P401" s="1">
        <v>0</v>
      </c>
      <c r="Q401" t="str">
        <f>INDEX(pARTNER[#All],MATCH(#REF!,pARTNER[[#All],[Value.partnerSummary.id]],0),10)</f>
        <v>Italia (IT)</v>
      </c>
      <c r="R401" t="str">
        <f>INDEX('Partner data'!$A$2:$DG$171,MATCH(#REF!,'Partner data'!$DG$2:$DG$171,0),83)</f>
        <v>Soggetto pubblico</v>
      </c>
      <c r="S401" s="86" t="b">
        <f>IF(#REF!="staff",INDEX('Partner data'!$DG$2:$DH$171,MATCH(#REF!,'Partner data'!$DG$2:$DG$171,0),2))</f>
        <v>0</v>
      </c>
    </row>
    <row r="402" spans="1:19" x14ac:dyDescent="0.25">
      <c r="A402" s="1" t="s">
        <v>365</v>
      </c>
      <c r="B402" s="1" t="s">
        <v>293</v>
      </c>
      <c r="C402" s="13">
        <v>266</v>
      </c>
      <c r="D402" s="13">
        <v>321</v>
      </c>
      <c r="E402" s="1" t="s">
        <v>232</v>
      </c>
      <c r="F402" s="1"/>
      <c r="G402" s="1">
        <v>0</v>
      </c>
      <c r="H402" s="1">
        <v>0</v>
      </c>
      <c r="I402" s="1">
        <v>0</v>
      </c>
      <c r="J402" s="1">
        <v>0</v>
      </c>
      <c r="K402" s="1">
        <v>0</v>
      </c>
      <c r="L402" s="1">
        <v>0</v>
      </c>
      <c r="M402" s="1">
        <v>0</v>
      </c>
      <c r="N402" s="1">
        <v>0</v>
      </c>
      <c r="O402" s="1">
        <v>0</v>
      </c>
      <c r="P402" s="1">
        <v>0</v>
      </c>
      <c r="Q402" t="str">
        <f>INDEX(pARTNER[#All],MATCH(#REF!,pARTNER[[#All],[Value.partnerSummary.id]],0),10)</f>
        <v>Italia (IT)</v>
      </c>
      <c r="R402" t="str">
        <f>INDEX('Partner data'!$A$2:$DG$171,MATCH(#REF!,'Partner data'!$DG$2:$DG$171,0),83)</f>
        <v>Soggetto pubblico</v>
      </c>
      <c r="S402" s="86" t="b">
        <f>IF(#REF!="staff",INDEX('Partner data'!$DG$2:$DH$171,MATCH(#REF!,'Partner data'!$DG$2:$DG$171,0),2))</f>
        <v>0</v>
      </c>
    </row>
    <row r="403" spans="1:19" x14ac:dyDescent="0.25">
      <c r="A403" s="1" t="s">
        <v>365</v>
      </c>
      <c r="B403" s="1" t="s">
        <v>293</v>
      </c>
      <c r="C403" s="13">
        <v>266</v>
      </c>
      <c r="D403" s="13">
        <v>321</v>
      </c>
      <c r="E403" s="1" t="s">
        <v>233</v>
      </c>
      <c r="F403" s="1"/>
      <c r="G403" s="1">
        <v>0</v>
      </c>
      <c r="H403" s="1">
        <v>0</v>
      </c>
      <c r="I403" s="1">
        <v>0</v>
      </c>
      <c r="J403" s="1">
        <v>0</v>
      </c>
      <c r="K403" s="1">
        <v>0</v>
      </c>
      <c r="L403" s="1">
        <v>0</v>
      </c>
      <c r="M403" s="1">
        <v>0</v>
      </c>
      <c r="N403" s="1">
        <v>0</v>
      </c>
      <c r="O403" s="1">
        <v>0</v>
      </c>
      <c r="P403" s="1">
        <v>0</v>
      </c>
      <c r="Q403" t="str">
        <f>INDEX(pARTNER[#All],MATCH(#REF!,pARTNER[[#All],[Value.partnerSummary.id]],0),10)</f>
        <v>Italia (IT)</v>
      </c>
      <c r="R403" t="str">
        <f>INDEX('Partner data'!$A$2:$DG$171,MATCH(#REF!,'Partner data'!$DG$2:$DG$171,0),83)</f>
        <v>Soggetto pubblico</v>
      </c>
      <c r="S403" s="86" t="b">
        <f>IF(#REF!="staff",INDEX('Partner data'!$DG$2:$DH$171,MATCH(#REF!,'Partner data'!$DG$2:$DG$171,0),2))</f>
        <v>0</v>
      </c>
    </row>
    <row r="404" spans="1:19" x14ac:dyDescent="0.25">
      <c r="A404" s="1" t="s">
        <v>365</v>
      </c>
      <c r="B404" s="1" t="s">
        <v>293</v>
      </c>
      <c r="C404" s="13">
        <v>266</v>
      </c>
      <c r="D404" s="13">
        <v>321</v>
      </c>
      <c r="E404" s="1" t="s">
        <v>234</v>
      </c>
      <c r="F404" s="1">
        <v>40</v>
      </c>
      <c r="G404" s="1">
        <v>9990</v>
      </c>
      <c r="H404" s="1">
        <v>0</v>
      </c>
      <c r="I404" s="1">
        <v>0</v>
      </c>
      <c r="J404" s="1">
        <v>270</v>
      </c>
      <c r="K404" s="1">
        <v>0</v>
      </c>
      <c r="L404" s="1">
        <v>270</v>
      </c>
      <c r="M404" s="1">
        <v>270</v>
      </c>
      <c r="N404" s="1">
        <v>2.7</v>
      </c>
      <c r="O404" s="1">
        <v>9720</v>
      </c>
      <c r="P404" s="1">
        <v>0</v>
      </c>
      <c r="Q404" t="str">
        <f>INDEX(pARTNER[#All],MATCH(#REF!,pARTNER[[#All],[Value.partnerSummary.id]],0),10)</f>
        <v>Italia (IT)</v>
      </c>
      <c r="R404" t="str">
        <f>INDEX('Partner data'!$A$2:$DG$171,MATCH(#REF!,'Partner data'!$DG$2:$DG$171,0),83)</f>
        <v>Soggetto pubblico</v>
      </c>
      <c r="S404" s="86" t="b">
        <f>IF(#REF!="staff",INDEX('Partner data'!$DG$2:$DH$171,MATCH(#REF!,'Partner data'!$DG$2:$DG$171,0),2))</f>
        <v>0</v>
      </c>
    </row>
    <row r="405" spans="1:19" x14ac:dyDescent="0.25">
      <c r="A405" s="1" t="s">
        <v>365</v>
      </c>
      <c r="B405" s="1" t="s">
        <v>293</v>
      </c>
      <c r="C405" s="13">
        <v>266</v>
      </c>
      <c r="D405" s="13">
        <v>321</v>
      </c>
      <c r="E405" s="1" t="s">
        <v>235</v>
      </c>
      <c r="F405" s="1"/>
      <c r="G405" s="1">
        <v>0</v>
      </c>
      <c r="H405" s="1">
        <v>0</v>
      </c>
      <c r="I405" s="1">
        <v>0</v>
      </c>
      <c r="J405" s="1">
        <v>0</v>
      </c>
      <c r="K405" s="1">
        <v>0</v>
      </c>
      <c r="L405" s="1">
        <v>0</v>
      </c>
      <c r="M405" s="1">
        <v>0</v>
      </c>
      <c r="N405" s="1">
        <v>0</v>
      </c>
      <c r="O405" s="1">
        <v>0</v>
      </c>
      <c r="P405" s="1">
        <v>0</v>
      </c>
      <c r="Q405" t="str">
        <f>INDEX(pARTNER[#All],MATCH(#REF!,pARTNER[[#All],[Value.partnerSummary.id]],0),10)</f>
        <v>Italia (IT)</v>
      </c>
      <c r="R405" t="str">
        <f>INDEX('Partner data'!$A$2:$DG$171,MATCH(#REF!,'Partner data'!$DG$2:$DG$171,0),83)</f>
        <v>Soggetto pubblico</v>
      </c>
      <c r="S405" s="86" t="b">
        <f>IF(#REF!="staff",INDEX('Partner data'!$DG$2:$DH$171,MATCH(#REF!,'Partner data'!$DG$2:$DG$171,0),2))</f>
        <v>0</v>
      </c>
    </row>
    <row r="406" spans="1:19" x14ac:dyDescent="0.25">
      <c r="A406" s="1" t="s">
        <v>365</v>
      </c>
      <c r="B406" s="1" t="s">
        <v>293</v>
      </c>
      <c r="C406" s="13">
        <v>266</v>
      </c>
      <c r="D406" s="13">
        <v>321</v>
      </c>
      <c r="E406" s="1" t="s">
        <v>236</v>
      </c>
      <c r="F406" s="1"/>
      <c r="G406" s="1">
        <v>0</v>
      </c>
      <c r="H406" s="1">
        <v>0</v>
      </c>
      <c r="I406" s="1">
        <v>0</v>
      </c>
      <c r="J406" s="1">
        <v>0</v>
      </c>
      <c r="K406" s="1">
        <v>0</v>
      </c>
      <c r="L406" s="1">
        <v>0</v>
      </c>
      <c r="M406" s="1">
        <v>0</v>
      </c>
      <c r="N406" s="1">
        <v>0</v>
      </c>
      <c r="O406" s="1">
        <v>0</v>
      </c>
      <c r="P406" s="1">
        <v>0</v>
      </c>
      <c r="Q406" t="str">
        <f>INDEX(pARTNER[#All],MATCH(#REF!,pARTNER[[#All],[Value.partnerSummary.id]],0),10)</f>
        <v>Italia (IT)</v>
      </c>
      <c r="R406" t="str">
        <f>INDEX('Partner data'!$A$2:$DG$171,MATCH(#REF!,'Partner data'!$DG$2:$DG$171,0),83)</f>
        <v>Soggetto pubblico</v>
      </c>
      <c r="S406" s="86" t="b">
        <f>IF(#REF!="staff",INDEX('Partner data'!$DG$2:$DH$171,MATCH(#REF!,'Partner data'!$DG$2:$DG$171,0),2))</f>
        <v>0</v>
      </c>
    </row>
    <row r="407" spans="1:19" x14ac:dyDescent="0.25">
      <c r="A407" s="1" t="s">
        <v>365</v>
      </c>
      <c r="B407" s="1" t="s">
        <v>293</v>
      </c>
      <c r="C407" s="13">
        <v>266</v>
      </c>
      <c r="D407" s="13">
        <v>321</v>
      </c>
      <c r="E407" s="1" t="s">
        <v>237</v>
      </c>
      <c r="F407" s="1"/>
      <c r="G407" s="1">
        <v>0</v>
      </c>
      <c r="H407" s="1">
        <v>0</v>
      </c>
      <c r="I407" s="1">
        <v>0</v>
      </c>
      <c r="J407" s="1">
        <v>0</v>
      </c>
      <c r="K407" s="1">
        <v>0</v>
      </c>
      <c r="L407" s="1">
        <v>0</v>
      </c>
      <c r="M407" s="1">
        <v>0</v>
      </c>
      <c r="N407" s="1">
        <v>0</v>
      </c>
      <c r="O407" s="1">
        <v>0</v>
      </c>
      <c r="P407" s="1">
        <v>0</v>
      </c>
      <c r="Q407" t="str">
        <f>INDEX(pARTNER[#All],MATCH(#REF!,pARTNER[[#All],[Value.partnerSummary.id]],0),10)</f>
        <v>Italia (IT)</v>
      </c>
      <c r="R407" t="str">
        <f>INDEX('Partner data'!$A$2:$DG$171,MATCH(#REF!,'Partner data'!$DG$2:$DG$171,0),83)</f>
        <v>Soggetto pubblico</v>
      </c>
      <c r="S407" s="86" t="b">
        <f>IF(#REF!="staff",INDEX('Partner data'!$DG$2:$DH$171,MATCH(#REF!,'Partner data'!$DG$2:$DG$171,0),2))</f>
        <v>0</v>
      </c>
    </row>
    <row r="408" spans="1:19" x14ac:dyDescent="0.25">
      <c r="A408" s="1" t="s">
        <v>365</v>
      </c>
      <c r="B408" s="1" t="s">
        <v>293</v>
      </c>
      <c r="C408" s="13">
        <v>266</v>
      </c>
      <c r="D408" s="13">
        <v>321</v>
      </c>
      <c r="E408" s="1" t="s">
        <v>238</v>
      </c>
      <c r="F408" s="1"/>
      <c r="G408" s="1">
        <v>34965</v>
      </c>
      <c r="H408" s="1">
        <v>0</v>
      </c>
      <c r="I408" s="1">
        <v>0</v>
      </c>
      <c r="J408" s="1">
        <v>945</v>
      </c>
      <c r="K408" s="1">
        <v>0</v>
      </c>
      <c r="L408" s="1">
        <v>945</v>
      </c>
      <c r="M408" s="1">
        <v>945</v>
      </c>
      <c r="N408" s="1">
        <v>2.7</v>
      </c>
      <c r="O408" s="1">
        <v>34020</v>
      </c>
      <c r="P408" s="1">
        <v>0</v>
      </c>
      <c r="Q408" t="str">
        <f>INDEX(pARTNER[#All],MATCH(#REF!,pARTNER[[#All],[Value.partnerSummary.id]],0),10)</f>
        <v>Italia (IT)</v>
      </c>
      <c r="R408" t="str">
        <f>INDEX('Partner data'!$A$2:$DG$171,MATCH(#REF!,'Partner data'!$DG$2:$DG$171,0),83)</f>
        <v>Soggetto pubblico</v>
      </c>
      <c r="S408" s="86" t="b">
        <f>IF(#REF!="staff",INDEX('Partner data'!$DG$2:$DH$171,MATCH(#REF!,'Partner data'!$DG$2:$DG$171,0),2))</f>
        <v>0</v>
      </c>
    </row>
    <row r="409" spans="1:19" x14ac:dyDescent="0.25">
      <c r="A409" s="1" t="s">
        <v>365</v>
      </c>
      <c r="B409" s="1" t="s">
        <v>366</v>
      </c>
      <c r="C409" s="13">
        <v>263</v>
      </c>
      <c r="D409" s="13">
        <v>265</v>
      </c>
      <c r="E409" s="1" t="s">
        <v>228</v>
      </c>
      <c r="F409" s="1"/>
      <c r="G409" s="1">
        <v>57342</v>
      </c>
      <c r="H409" s="1">
        <v>0</v>
      </c>
      <c r="I409" s="1">
        <v>0</v>
      </c>
      <c r="J409" s="1">
        <v>13625.64</v>
      </c>
      <c r="K409" s="1">
        <v>0</v>
      </c>
      <c r="L409" s="1">
        <v>11906.01</v>
      </c>
      <c r="M409" s="1">
        <v>13625.64</v>
      </c>
      <c r="N409" s="1">
        <v>23.76</v>
      </c>
      <c r="O409" s="1">
        <v>43716.36</v>
      </c>
      <c r="P409" s="1">
        <v>0</v>
      </c>
      <c r="Q409" t="str">
        <f>INDEX(pARTNER[#All],MATCH(#REF!,pARTNER[[#All],[Value.partnerSummary.id]],0),10)</f>
        <v>Slovenija (SI)</v>
      </c>
      <c r="R409" t="str">
        <f>INDEX('Partner data'!$A$2:$DG$171,MATCH(#REF!,'Partner data'!$DG$2:$DG$171,0),83)</f>
        <v>Soggetto privato</v>
      </c>
      <c r="S409" s="86" t="str">
        <f>IF(#REF!="staff",INDEX('Partner data'!$DG$2:$DH$171,MATCH(#REF!,'Partner data'!$DG$2:$DG$171,0),2))</f>
        <v>COSTO REALE</v>
      </c>
    </row>
    <row r="410" spans="1:19" x14ac:dyDescent="0.25">
      <c r="A410" s="1" t="s">
        <v>365</v>
      </c>
      <c r="B410" s="1" t="s">
        <v>366</v>
      </c>
      <c r="C410" s="13">
        <v>263</v>
      </c>
      <c r="D410" s="13">
        <v>265</v>
      </c>
      <c r="E410" s="1" t="s">
        <v>229</v>
      </c>
      <c r="F410" s="1"/>
      <c r="G410" s="1">
        <v>0</v>
      </c>
      <c r="H410" s="1">
        <v>0</v>
      </c>
      <c r="I410" s="1">
        <v>0</v>
      </c>
      <c r="J410" s="1">
        <v>0</v>
      </c>
      <c r="K410" s="1">
        <v>0</v>
      </c>
      <c r="L410" s="1">
        <v>0</v>
      </c>
      <c r="M410" s="1">
        <v>0</v>
      </c>
      <c r="N410" s="1">
        <v>0</v>
      </c>
      <c r="O410" s="1">
        <v>0</v>
      </c>
      <c r="P410" s="1">
        <v>0</v>
      </c>
      <c r="Q410" t="str">
        <f>INDEX(pARTNER[#All],MATCH(#REF!,pARTNER[[#All],[Value.partnerSummary.id]],0),10)</f>
        <v>Slovenija (SI)</v>
      </c>
      <c r="R410" t="str">
        <f>INDEX('Partner data'!$A$2:$DG$171,MATCH(#REF!,'Partner data'!$DG$2:$DG$171,0),83)</f>
        <v>Soggetto privato</v>
      </c>
      <c r="S410" s="86" t="b">
        <f>IF(#REF!="staff",INDEX('Partner data'!$DG$2:$DH$171,MATCH(#REF!,'Partner data'!$DG$2:$DG$171,0),2))</f>
        <v>0</v>
      </c>
    </row>
    <row r="411" spans="1:19" x14ac:dyDescent="0.25">
      <c r="A411" s="1" t="s">
        <v>365</v>
      </c>
      <c r="B411" s="1" t="s">
        <v>366</v>
      </c>
      <c r="C411" s="13">
        <v>263</v>
      </c>
      <c r="D411" s="13">
        <v>265</v>
      </c>
      <c r="E411" s="1" t="s">
        <v>230</v>
      </c>
      <c r="F411" s="1"/>
      <c r="G411" s="1">
        <v>0</v>
      </c>
      <c r="H411" s="1">
        <v>0</v>
      </c>
      <c r="I411" s="1">
        <v>0</v>
      </c>
      <c r="J411" s="1">
        <v>0</v>
      </c>
      <c r="K411" s="1">
        <v>0</v>
      </c>
      <c r="L411" s="1">
        <v>0</v>
      </c>
      <c r="M411" s="1">
        <v>0</v>
      </c>
      <c r="N411" s="1">
        <v>0</v>
      </c>
      <c r="O411" s="1">
        <v>0</v>
      </c>
      <c r="P411" s="1">
        <v>0</v>
      </c>
      <c r="Q411" t="str">
        <f>INDEX(pARTNER[#All],MATCH(#REF!,pARTNER[[#All],[Value.partnerSummary.id]],0),10)</f>
        <v>Slovenija (SI)</v>
      </c>
      <c r="R411" t="str">
        <f>INDEX('Partner data'!$A$2:$DG$171,MATCH(#REF!,'Partner data'!$DG$2:$DG$171,0),83)</f>
        <v>Soggetto privato</v>
      </c>
      <c r="S411" s="86" t="b">
        <f>IF(#REF!="staff",INDEX('Partner data'!$DG$2:$DH$171,MATCH(#REF!,'Partner data'!$DG$2:$DG$171,0),2))</f>
        <v>0</v>
      </c>
    </row>
    <row r="412" spans="1:19" x14ac:dyDescent="0.25">
      <c r="A412" s="1" t="s">
        <v>365</v>
      </c>
      <c r="B412" s="1" t="s">
        <v>366</v>
      </c>
      <c r="C412" s="13">
        <v>263</v>
      </c>
      <c r="D412" s="13">
        <v>265</v>
      </c>
      <c r="E412" s="1" t="s">
        <v>231</v>
      </c>
      <c r="F412" s="1"/>
      <c r="G412" s="1">
        <v>0</v>
      </c>
      <c r="H412" s="1">
        <v>0</v>
      </c>
      <c r="I412" s="1">
        <v>0</v>
      </c>
      <c r="J412" s="1">
        <v>0</v>
      </c>
      <c r="K412" s="1">
        <v>0</v>
      </c>
      <c r="L412" s="1">
        <v>0</v>
      </c>
      <c r="M412" s="1">
        <v>0</v>
      </c>
      <c r="N412" s="1">
        <v>0</v>
      </c>
      <c r="O412" s="1">
        <v>0</v>
      </c>
      <c r="P412" s="1">
        <v>0</v>
      </c>
      <c r="Q412" t="str">
        <f>INDEX(pARTNER[#All],MATCH(#REF!,pARTNER[[#All],[Value.partnerSummary.id]],0),10)</f>
        <v>Slovenija (SI)</v>
      </c>
      <c r="R412" t="str">
        <f>INDEX('Partner data'!$A$2:$DG$171,MATCH(#REF!,'Partner data'!$DG$2:$DG$171,0),83)</f>
        <v>Soggetto privato</v>
      </c>
      <c r="S412" s="86" t="b">
        <f>IF(#REF!="staff",INDEX('Partner data'!$DG$2:$DH$171,MATCH(#REF!,'Partner data'!$DG$2:$DG$171,0),2))</f>
        <v>0</v>
      </c>
    </row>
    <row r="413" spans="1:19" x14ac:dyDescent="0.25">
      <c r="A413" s="1" t="s">
        <v>365</v>
      </c>
      <c r="B413" s="1" t="s">
        <v>366</v>
      </c>
      <c r="C413" s="13">
        <v>263</v>
      </c>
      <c r="D413" s="13">
        <v>265</v>
      </c>
      <c r="E413" s="1" t="s">
        <v>232</v>
      </c>
      <c r="F413" s="1"/>
      <c r="G413" s="1">
        <v>0</v>
      </c>
      <c r="H413" s="1">
        <v>0</v>
      </c>
      <c r="I413" s="1">
        <v>0</v>
      </c>
      <c r="J413" s="1">
        <v>0</v>
      </c>
      <c r="K413" s="1">
        <v>0</v>
      </c>
      <c r="L413" s="1">
        <v>0</v>
      </c>
      <c r="M413" s="1">
        <v>0</v>
      </c>
      <c r="N413" s="1">
        <v>0</v>
      </c>
      <c r="O413" s="1">
        <v>0</v>
      </c>
      <c r="P413" s="1">
        <v>0</v>
      </c>
      <c r="Q413" t="str">
        <f>INDEX(pARTNER[#All],MATCH(#REF!,pARTNER[[#All],[Value.partnerSummary.id]],0),10)</f>
        <v>Slovenija (SI)</v>
      </c>
      <c r="R413" t="str">
        <f>INDEX('Partner data'!$A$2:$DG$171,MATCH(#REF!,'Partner data'!$DG$2:$DG$171,0),83)</f>
        <v>Soggetto privato</v>
      </c>
      <c r="S413" s="86" t="b">
        <f>IF(#REF!="staff",INDEX('Partner data'!$DG$2:$DH$171,MATCH(#REF!,'Partner data'!$DG$2:$DG$171,0),2))</f>
        <v>0</v>
      </c>
    </row>
    <row r="414" spans="1:19" x14ac:dyDescent="0.25">
      <c r="A414" s="1" t="s">
        <v>365</v>
      </c>
      <c r="B414" s="1" t="s">
        <v>366</v>
      </c>
      <c r="C414" s="13">
        <v>263</v>
      </c>
      <c r="D414" s="13">
        <v>265</v>
      </c>
      <c r="E414" s="1" t="s">
        <v>233</v>
      </c>
      <c r="F414" s="1"/>
      <c r="G414" s="1">
        <v>0</v>
      </c>
      <c r="H414" s="1">
        <v>0</v>
      </c>
      <c r="I414" s="1">
        <v>0</v>
      </c>
      <c r="J414" s="1">
        <v>0</v>
      </c>
      <c r="K414" s="1">
        <v>0</v>
      </c>
      <c r="L414" s="1">
        <v>0</v>
      </c>
      <c r="M414" s="1">
        <v>0</v>
      </c>
      <c r="N414" s="1">
        <v>0</v>
      </c>
      <c r="O414" s="1">
        <v>0</v>
      </c>
      <c r="P414" s="1">
        <v>0</v>
      </c>
      <c r="Q414" t="str">
        <f>INDEX(pARTNER[#All],MATCH(#REF!,pARTNER[[#All],[Value.partnerSummary.id]],0),10)</f>
        <v>Slovenija (SI)</v>
      </c>
      <c r="R414" t="str">
        <f>INDEX('Partner data'!$A$2:$DG$171,MATCH(#REF!,'Partner data'!$DG$2:$DG$171,0),83)</f>
        <v>Soggetto privato</v>
      </c>
      <c r="S414" s="86" t="b">
        <f>IF(#REF!="staff",INDEX('Partner data'!$DG$2:$DH$171,MATCH(#REF!,'Partner data'!$DG$2:$DG$171,0),2))</f>
        <v>0</v>
      </c>
    </row>
    <row r="415" spans="1:19" x14ac:dyDescent="0.25">
      <c r="A415" s="1" t="s">
        <v>365</v>
      </c>
      <c r="B415" s="1" t="s">
        <v>366</v>
      </c>
      <c r="C415" s="13">
        <v>263</v>
      </c>
      <c r="D415" s="13">
        <v>265</v>
      </c>
      <c r="E415" s="1" t="s">
        <v>234</v>
      </c>
      <c r="F415" s="1">
        <v>40</v>
      </c>
      <c r="G415" s="1">
        <v>22936.799999999999</v>
      </c>
      <c r="H415" s="1">
        <v>0</v>
      </c>
      <c r="I415" s="1">
        <v>0</v>
      </c>
      <c r="J415" s="1">
        <v>5450.25</v>
      </c>
      <c r="K415" s="1">
        <v>0</v>
      </c>
      <c r="L415" s="1">
        <v>4762.3999999999996</v>
      </c>
      <c r="M415" s="1">
        <v>5450.25</v>
      </c>
      <c r="N415" s="1">
        <v>23.76</v>
      </c>
      <c r="O415" s="1">
        <v>17486.55</v>
      </c>
      <c r="P415" s="1">
        <v>0</v>
      </c>
      <c r="Q415" t="str">
        <f>INDEX(pARTNER[#All],MATCH(#REF!,pARTNER[[#All],[Value.partnerSummary.id]],0),10)</f>
        <v>Slovenija (SI)</v>
      </c>
      <c r="R415" t="str">
        <f>INDEX('Partner data'!$A$2:$DG$171,MATCH(#REF!,'Partner data'!$DG$2:$DG$171,0),83)</f>
        <v>Soggetto privato</v>
      </c>
      <c r="S415" s="86" t="b">
        <f>IF(#REF!="staff",INDEX('Partner data'!$DG$2:$DH$171,MATCH(#REF!,'Partner data'!$DG$2:$DG$171,0),2))</f>
        <v>0</v>
      </c>
    </row>
    <row r="416" spans="1:19" x14ac:dyDescent="0.25">
      <c r="A416" s="1" t="s">
        <v>365</v>
      </c>
      <c r="B416" s="1" t="s">
        <v>366</v>
      </c>
      <c r="C416" s="13">
        <v>263</v>
      </c>
      <c r="D416" s="13">
        <v>265</v>
      </c>
      <c r="E416" s="1" t="s">
        <v>235</v>
      </c>
      <c r="F416" s="1"/>
      <c r="G416" s="1">
        <v>0</v>
      </c>
      <c r="H416" s="1">
        <v>0</v>
      </c>
      <c r="I416" s="1">
        <v>0</v>
      </c>
      <c r="J416" s="1">
        <v>0</v>
      </c>
      <c r="K416" s="1">
        <v>0</v>
      </c>
      <c r="L416" s="1">
        <v>0</v>
      </c>
      <c r="M416" s="1">
        <v>0</v>
      </c>
      <c r="N416" s="1">
        <v>0</v>
      </c>
      <c r="O416" s="1">
        <v>0</v>
      </c>
      <c r="P416" s="1">
        <v>0</v>
      </c>
      <c r="Q416" t="str">
        <f>INDEX(pARTNER[#All],MATCH(#REF!,pARTNER[[#All],[Value.partnerSummary.id]],0),10)</f>
        <v>Slovenija (SI)</v>
      </c>
      <c r="R416" t="str">
        <f>INDEX('Partner data'!$A$2:$DG$171,MATCH(#REF!,'Partner data'!$DG$2:$DG$171,0),83)</f>
        <v>Soggetto privato</v>
      </c>
      <c r="S416" s="86" t="b">
        <f>IF(#REF!="staff",INDEX('Partner data'!$DG$2:$DH$171,MATCH(#REF!,'Partner data'!$DG$2:$DG$171,0),2))</f>
        <v>0</v>
      </c>
    </row>
    <row r="417" spans="1:19" x14ac:dyDescent="0.25">
      <c r="A417" s="1" t="s">
        <v>365</v>
      </c>
      <c r="B417" s="1" t="s">
        <v>366</v>
      </c>
      <c r="C417" s="13">
        <v>263</v>
      </c>
      <c r="D417" s="13">
        <v>265</v>
      </c>
      <c r="E417" s="1" t="s">
        <v>236</v>
      </c>
      <c r="F417" s="1"/>
      <c r="G417" s="1">
        <v>0</v>
      </c>
      <c r="H417" s="1">
        <v>0</v>
      </c>
      <c r="I417" s="1">
        <v>0</v>
      </c>
      <c r="J417" s="1">
        <v>0</v>
      </c>
      <c r="K417" s="1">
        <v>0</v>
      </c>
      <c r="L417" s="1">
        <v>0</v>
      </c>
      <c r="M417" s="1">
        <v>0</v>
      </c>
      <c r="N417" s="1">
        <v>0</v>
      </c>
      <c r="O417" s="1">
        <v>0</v>
      </c>
      <c r="P417" s="1">
        <v>0</v>
      </c>
      <c r="Q417" t="str">
        <f>INDEX(pARTNER[#All],MATCH(#REF!,pARTNER[[#All],[Value.partnerSummary.id]],0),10)</f>
        <v>Slovenija (SI)</v>
      </c>
      <c r="R417" t="str">
        <f>INDEX('Partner data'!$A$2:$DG$171,MATCH(#REF!,'Partner data'!$DG$2:$DG$171,0),83)</f>
        <v>Soggetto privato</v>
      </c>
      <c r="S417" s="86" t="b">
        <f>IF(#REF!="staff",INDEX('Partner data'!$DG$2:$DH$171,MATCH(#REF!,'Partner data'!$DG$2:$DG$171,0),2))</f>
        <v>0</v>
      </c>
    </row>
    <row r="418" spans="1:19" x14ac:dyDescent="0.25">
      <c r="A418" s="1" t="s">
        <v>365</v>
      </c>
      <c r="B418" s="1" t="s">
        <v>366</v>
      </c>
      <c r="C418" s="13">
        <v>263</v>
      </c>
      <c r="D418" s="13">
        <v>265</v>
      </c>
      <c r="E418" s="1" t="s">
        <v>237</v>
      </c>
      <c r="F418" s="1"/>
      <c r="G418" s="1">
        <v>0</v>
      </c>
      <c r="H418" s="1">
        <v>0</v>
      </c>
      <c r="I418" s="1">
        <v>0</v>
      </c>
      <c r="J418" s="1">
        <v>0</v>
      </c>
      <c r="K418" s="1">
        <v>0</v>
      </c>
      <c r="L418" s="1">
        <v>0</v>
      </c>
      <c r="M418" s="1">
        <v>0</v>
      </c>
      <c r="N418" s="1">
        <v>0</v>
      </c>
      <c r="O418" s="1">
        <v>0</v>
      </c>
      <c r="P418" s="1">
        <v>0</v>
      </c>
      <c r="Q418" t="str">
        <f>INDEX(pARTNER[#All],MATCH(#REF!,pARTNER[[#All],[Value.partnerSummary.id]],0),10)</f>
        <v>Slovenija (SI)</v>
      </c>
      <c r="R418" t="str">
        <f>INDEX('Partner data'!$A$2:$DG$171,MATCH(#REF!,'Partner data'!$DG$2:$DG$171,0),83)</f>
        <v>Soggetto privato</v>
      </c>
      <c r="S418" s="86" t="b">
        <f>IF(#REF!="staff",INDEX('Partner data'!$DG$2:$DH$171,MATCH(#REF!,'Partner data'!$DG$2:$DG$171,0),2))</f>
        <v>0</v>
      </c>
    </row>
    <row r="419" spans="1:19" x14ac:dyDescent="0.25">
      <c r="A419" s="1" t="s">
        <v>365</v>
      </c>
      <c r="B419" s="1" t="s">
        <v>366</v>
      </c>
      <c r="C419" s="13">
        <v>263</v>
      </c>
      <c r="D419" s="13">
        <v>265</v>
      </c>
      <c r="E419" s="1" t="s">
        <v>238</v>
      </c>
      <c r="F419" s="1"/>
      <c r="G419" s="1">
        <v>80278.8</v>
      </c>
      <c r="H419" s="1">
        <v>0</v>
      </c>
      <c r="I419" s="1">
        <v>0</v>
      </c>
      <c r="J419" s="1">
        <v>19075.89</v>
      </c>
      <c r="K419" s="1">
        <v>0</v>
      </c>
      <c r="L419" s="1">
        <v>16668.41</v>
      </c>
      <c r="M419" s="1">
        <v>19075.89</v>
      </c>
      <c r="N419" s="1">
        <v>23.76</v>
      </c>
      <c r="O419" s="1">
        <v>61202.91</v>
      </c>
      <c r="P419" s="1">
        <v>0</v>
      </c>
      <c r="Q419" t="str">
        <f>INDEX(pARTNER[#All],MATCH(#REF!,pARTNER[[#All],[Value.partnerSummary.id]],0),10)</f>
        <v>Slovenija (SI)</v>
      </c>
      <c r="R419" t="str">
        <f>INDEX('Partner data'!$A$2:$DG$171,MATCH(#REF!,'Partner data'!$DG$2:$DG$171,0),83)</f>
        <v>Soggetto privato</v>
      </c>
      <c r="S419" s="86" t="b">
        <f>IF(#REF!="staff",INDEX('Partner data'!$DG$2:$DH$171,MATCH(#REF!,'Partner data'!$DG$2:$DG$171,0),2))</f>
        <v>0</v>
      </c>
    </row>
    <row r="420" spans="1:19" x14ac:dyDescent="0.25">
      <c r="A420" s="1" t="s">
        <v>365</v>
      </c>
      <c r="B420" s="1" t="s">
        <v>367</v>
      </c>
      <c r="C420" s="13">
        <v>241</v>
      </c>
      <c r="D420" s="13">
        <v>224</v>
      </c>
      <c r="E420" s="1" t="s">
        <v>228</v>
      </c>
      <c r="F420" s="1"/>
      <c r="G420" s="1">
        <v>123556.34</v>
      </c>
      <c r="H420" s="1">
        <v>0</v>
      </c>
      <c r="I420" s="1">
        <v>0</v>
      </c>
      <c r="J420" s="1">
        <v>4288.54</v>
      </c>
      <c r="K420" s="1">
        <v>0</v>
      </c>
      <c r="L420" s="1">
        <v>4284.42</v>
      </c>
      <c r="M420" s="1">
        <v>4288.54</v>
      </c>
      <c r="N420" s="1">
        <v>3.47</v>
      </c>
      <c r="O420" s="1">
        <v>119267.8</v>
      </c>
      <c r="P420" s="1">
        <v>0</v>
      </c>
      <c r="Q420" t="str">
        <f>INDEX(pARTNER[#All],MATCH(#REF!,pARTNER[[#All],[Value.partnerSummary.id]],0),10)</f>
        <v>Italia (IT)</v>
      </c>
      <c r="R420" t="str">
        <f>INDEX('Partner data'!$A$2:$DG$171,MATCH(#REF!,'Partner data'!$DG$2:$DG$171,0),83)</f>
        <v>Soggetto pubblico</v>
      </c>
      <c r="S420" s="86" t="str">
        <f>IF(#REF!="staff",INDEX('Partner data'!$DG$2:$DH$171,MATCH(#REF!,'Partner data'!$DG$2:$DG$171,0),2))</f>
        <v>COSTO REALE</v>
      </c>
    </row>
    <row r="421" spans="1:19" x14ac:dyDescent="0.25">
      <c r="A421" s="1" t="s">
        <v>365</v>
      </c>
      <c r="B421" s="1" t="s">
        <v>367</v>
      </c>
      <c r="C421" s="13">
        <v>241</v>
      </c>
      <c r="D421" s="13">
        <v>224</v>
      </c>
      <c r="E421" s="1" t="s">
        <v>229</v>
      </c>
      <c r="F421" s="1"/>
      <c r="G421" s="1">
        <v>0</v>
      </c>
      <c r="H421" s="1">
        <v>0</v>
      </c>
      <c r="I421" s="1">
        <v>0</v>
      </c>
      <c r="J421" s="1">
        <v>0</v>
      </c>
      <c r="K421" s="1">
        <v>0</v>
      </c>
      <c r="L421" s="1">
        <v>0</v>
      </c>
      <c r="M421" s="1">
        <v>0</v>
      </c>
      <c r="N421" s="1">
        <v>0</v>
      </c>
      <c r="O421" s="1">
        <v>0</v>
      </c>
      <c r="P421" s="1">
        <v>0</v>
      </c>
      <c r="Q421" t="str">
        <f>INDEX(pARTNER[#All],MATCH(#REF!,pARTNER[[#All],[Value.partnerSummary.id]],0),10)</f>
        <v>Italia (IT)</v>
      </c>
      <c r="R421" t="str">
        <f>INDEX('Partner data'!$A$2:$DG$171,MATCH(#REF!,'Partner data'!$DG$2:$DG$171,0),83)</f>
        <v>Soggetto pubblico</v>
      </c>
      <c r="S421" s="86" t="b">
        <f>IF(#REF!="staff",INDEX('Partner data'!$DG$2:$DH$171,MATCH(#REF!,'Partner data'!$DG$2:$DG$171,0),2))</f>
        <v>0</v>
      </c>
    </row>
    <row r="422" spans="1:19" x14ac:dyDescent="0.25">
      <c r="A422" s="1" t="s">
        <v>365</v>
      </c>
      <c r="B422" s="1" t="s">
        <v>367</v>
      </c>
      <c r="C422" s="13">
        <v>241</v>
      </c>
      <c r="D422" s="13">
        <v>224</v>
      </c>
      <c r="E422" s="1" t="s">
        <v>230</v>
      </c>
      <c r="F422" s="1"/>
      <c r="G422" s="1">
        <v>0</v>
      </c>
      <c r="H422" s="1">
        <v>0</v>
      </c>
      <c r="I422" s="1">
        <v>0</v>
      </c>
      <c r="J422" s="1">
        <v>0</v>
      </c>
      <c r="K422" s="1">
        <v>0</v>
      </c>
      <c r="L422" s="1">
        <v>0</v>
      </c>
      <c r="M422" s="1">
        <v>0</v>
      </c>
      <c r="N422" s="1">
        <v>0</v>
      </c>
      <c r="O422" s="1">
        <v>0</v>
      </c>
      <c r="P422" s="1">
        <v>0</v>
      </c>
      <c r="Q422" t="str">
        <f>INDEX(pARTNER[#All],MATCH(#REF!,pARTNER[[#All],[Value.partnerSummary.id]],0),10)</f>
        <v>Italia (IT)</v>
      </c>
      <c r="R422" t="str">
        <f>INDEX('Partner data'!$A$2:$DG$171,MATCH(#REF!,'Partner data'!$DG$2:$DG$171,0),83)</f>
        <v>Soggetto pubblico</v>
      </c>
      <c r="S422" s="86" t="b">
        <f>IF(#REF!="staff",INDEX('Partner data'!$DG$2:$DH$171,MATCH(#REF!,'Partner data'!$DG$2:$DG$171,0),2))</f>
        <v>0</v>
      </c>
    </row>
    <row r="423" spans="1:19" x14ac:dyDescent="0.25">
      <c r="A423" s="1" t="s">
        <v>365</v>
      </c>
      <c r="B423" s="1" t="s">
        <v>367</v>
      </c>
      <c r="C423" s="13">
        <v>241</v>
      </c>
      <c r="D423" s="13">
        <v>224</v>
      </c>
      <c r="E423" s="1" t="s">
        <v>231</v>
      </c>
      <c r="F423" s="1"/>
      <c r="G423" s="1">
        <v>0</v>
      </c>
      <c r="H423" s="1">
        <v>0</v>
      </c>
      <c r="I423" s="1">
        <v>0</v>
      </c>
      <c r="J423" s="1">
        <v>0</v>
      </c>
      <c r="K423" s="1">
        <v>0</v>
      </c>
      <c r="L423" s="1">
        <v>0</v>
      </c>
      <c r="M423" s="1">
        <v>0</v>
      </c>
      <c r="N423" s="1">
        <v>0</v>
      </c>
      <c r="O423" s="1">
        <v>0</v>
      </c>
      <c r="P423" s="1">
        <v>0</v>
      </c>
      <c r="Q423" t="str">
        <f>INDEX(pARTNER[#All],MATCH(#REF!,pARTNER[[#All],[Value.partnerSummary.id]],0),10)</f>
        <v>Italia (IT)</v>
      </c>
      <c r="R423" t="str">
        <f>INDEX('Partner data'!$A$2:$DG$171,MATCH(#REF!,'Partner data'!$DG$2:$DG$171,0),83)</f>
        <v>Soggetto pubblico</v>
      </c>
      <c r="S423" s="86" t="b">
        <f>IF(#REF!="staff",INDEX('Partner data'!$DG$2:$DH$171,MATCH(#REF!,'Partner data'!$DG$2:$DG$171,0),2))</f>
        <v>0</v>
      </c>
    </row>
    <row r="424" spans="1:19" x14ac:dyDescent="0.25">
      <c r="A424" s="1" t="s">
        <v>365</v>
      </c>
      <c r="B424" s="1" t="s">
        <v>367</v>
      </c>
      <c r="C424" s="13">
        <v>241</v>
      </c>
      <c r="D424" s="13">
        <v>224</v>
      </c>
      <c r="E424" s="1" t="s">
        <v>232</v>
      </c>
      <c r="F424" s="1"/>
      <c r="G424" s="1">
        <v>0</v>
      </c>
      <c r="H424" s="1">
        <v>0</v>
      </c>
      <c r="I424" s="1">
        <v>0</v>
      </c>
      <c r="J424" s="1">
        <v>0</v>
      </c>
      <c r="K424" s="1">
        <v>0</v>
      </c>
      <c r="L424" s="1">
        <v>0</v>
      </c>
      <c r="M424" s="1">
        <v>0</v>
      </c>
      <c r="N424" s="1">
        <v>0</v>
      </c>
      <c r="O424" s="1">
        <v>0</v>
      </c>
      <c r="P424" s="1">
        <v>0</v>
      </c>
      <c r="Q424" t="str">
        <f>INDEX(pARTNER[#All],MATCH(#REF!,pARTNER[[#All],[Value.partnerSummary.id]],0),10)</f>
        <v>Italia (IT)</v>
      </c>
      <c r="R424" t="str">
        <f>INDEX('Partner data'!$A$2:$DG$171,MATCH(#REF!,'Partner data'!$DG$2:$DG$171,0),83)</f>
        <v>Soggetto pubblico</v>
      </c>
      <c r="S424" s="86" t="b">
        <f>IF(#REF!="staff",INDEX('Partner data'!$DG$2:$DH$171,MATCH(#REF!,'Partner data'!$DG$2:$DG$171,0),2))</f>
        <v>0</v>
      </c>
    </row>
    <row r="425" spans="1:19" x14ac:dyDescent="0.25">
      <c r="A425" s="1" t="s">
        <v>365</v>
      </c>
      <c r="B425" s="1" t="s">
        <v>367</v>
      </c>
      <c r="C425" s="13">
        <v>241</v>
      </c>
      <c r="D425" s="13">
        <v>224</v>
      </c>
      <c r="E425" s="1" t="s">
        <v>233</v>
      </c>
      <c r="F425" s="1"/>
      <c r="G425" s="1">
        <v>0</v>
      </c>
      <c r="H425" s="1">
        <v>0</v>
      </c>
      <c r="I425" s="1">
        <v>0</v>
      </c>
      <c r="J425" s="1">
        <v>0</v>
      </c>
      <c r="K425" s="1">
        <v>0</v>
      </c>
      <c r="L425" s="1">
        <v>0</v>
      </c>
      <c r="M425" s="1">
        <v>0</v>
      </c>
      <c r="N425" s="1">
        <v>0</v>
      </c>
      <c r="O425" s="1">
        <v>0</v>
      </c>
      <c r="P425" s="1">
        <v>0</v>
      </c>
      <c r="Q425" t="str">
        <f>INDEX(pARTNER[#All],MATCH(#REF!,pARTNER[[#All],[Value.partnerSummary.id]],0),10)</f>
        <v>Italia (IT)</v>
      </c>
      <c r="R425" t="str">
        <f>INDEX('Partner data'!$A$2:$DG$171,MATCH(#REF!,'Partner data'!$DG$2:$DG$171,0),83)</f>
        <v>Soggetto pubblico</v>
      </c>
      <c r="S425" s="86" t="b">
        <f>IF(#REF!="staff",INDEX('Partner data'!$DG$2:$DH$171,MATCH(#REF!,'Partner data'!$DG$2:$DG$171,0),2))</f>
        <v>0</v>
      </c>
    </row>
    <row r="426" spans="1:19" x14ac:dyDescent="0.25">
      <c r="A426" s="1" t="s">
        <v>365</v>
      </c>
      <c r="B426" s="1" t="s">
        <v>367</v>
      </c>
      <c r="C426" s="13">
        <v>241</v>
      </c>
      <c r="D426" s="13">
        <v>224</v>
      </c>
      <c r="E426" s="1" t="s">
        <v>234</v>
      </c>
      <c r="F426" s="1">
        <v>40</v>
      </c>
      <c r="G426" s="1">
        <v>49422.53</v>
      </c>
      <c r="H426" s="1">
        <v>0</v>
      </c>
      <c r="I426" s="1">
        <v>0</v>
      </c>
      <c r="J426" s="1">
        <v>1715.41</v>
      </c>
      <c r="K426" s="1">
        <v>0</v>
      </c>
      <c r="L426" s="1">
        <v>1713.76</v>
      </c>
      <c r="M426" s="1">
        <v>1715.41</v>
      </c>
      <c r="N426" s="1">
        <v>3.47</v>
      </c>
      <c r="O426" s="1">
        <v>47707.12</v>
      </c>
      <c r="P426" s="1">
        <v>0</v>
      </c>
      <c r="Q426" t="str">
        <f>INDEX(pARTNER[#All],MATCH(#REF!,pARTNER[[#All],[Value.partnerSummary.id]],0),10)</f>
        <v>Italia (IT)</v>
      </c>
      <c r="R426" t="str">
        <f>INDEX('Partner data'!$A$2:$DG$171,MATCH(#REF!,'Partner data'!$DG$2:$DG$171,0),83)</f>
        <v>Soggetto pubblico</v>
      </c>
      <c r="S426" s="86" t="b">
        <f>IF(#REF!="staff",INDEX('Partner data'!$DG$2:$DH$171,MATCH(#REF!,'Partner data'!$DG$2:$DG$171,0),2))</f>
        <v>0</v>
      </c>
    </row>
    <row r="427" spans="1:19" x14ac:dyDescent="0.25">
      <c r="A427" s="1" t="s">
        <v>365</v>
      </c>
      <c r="B427" s="1" t="s">
        <v>367</v>
      </c>
      <c r="C427" s="13">
        <v>241</v>
      </c>
      <c r="D427" s="13">
        <v>224</v>
      </c>
      <c r="E427" s="1" t="s">
        <v>235</v>
      </c>
      <c r="F427" s="1"/>
      <c r="G427" s="1">
        <v>9000</v>
      </c>
      <c r="H427" s="1">
        <v>0</v>
      </c>
      <c r="I427" s="1">
        <v>0</v>
      </c>
      <c r="J427" s="1">
        <v>9000</v>
      </c>
      <c r="K427" s="1">
        <v>0</v>
      </c>
      <c r="L427" s="1">
        <v>9000</v>
      </c>
      <c r="M427" s="1">
        <v>9000</v>
      </c>
      <c r="N427" s="1">
        <v>100</v>
      </c>
      <c r="O427" s="1">
        <v>0</v>
      </c>
      <c r="P427" s="1">
        <v>0</v>
      </c>
      <c r="Q427" t="str">
        <f>INDEX(pARTNER[#All],MATCH(#REF!,pARTNER[[#All],[Value.partnerSummary.id]],0),10)</f>
        <v>Italia (IT)</v>
      </c>
      <c r="R427" t="str">
        <f>INDEX('Partner data'!$A$2:$DG$171,MATCH(#REF!,'Partner data'!$DG$2:$DG$171,0),83)</f>
        <v>Soggetto pubblico</v>
      </c>
      <c r="S427" s="86" t="b">
        <f>IF(#REF!="staff",INDEX('Partner data'!$DG$2:$DH$171,MATCH(#REF!,'Partner data'!$DG$2:$DG$171,0),2))</f>
        <v>0</v>
      </c>
    </row>
    <row r="428" spans="1:19" x14ac:dyDescent="0.25">
      <c r="A428" s="1" t="s">
        <v>365</v>
      </c>
      <c r="B428" s="1" t="s">
        <v>367</v>
      </c>
      <c r="C428" s="13">
        <v>241</v>
      </c>
      <c r="D428" s="13">
        <v>224</v>
      </c>
      <c r="E428" s="1" t="s">
        <v>236</v>
      </c>
      <c r="F428" s="1"/>
      <c r="G428" s="1">
        <v>0</v>
      </c>
      <c r="H428" s="1">
        <v>0</v>
      </c>
      <c r="I428" s="1">
        <v>0</v>
      </c>
      <c r="J428" s="1">
        <v>0</v>
      </c>
      <c r="K428" s="1">
        <v>0</v>
      </c>
      <c r="L428" s="1">
        <v>0</v>
      </c>
      <c r="M428" s="1">
        <v>0</v>
      </c>
      <c r="N428" s="1">
        <v>0</v>
      </c>
      <c r="O428" s="1">
        <v>0</v>
      </c>
      <c r="P428" s="1">
        <v>0</v>
      </c>
      <c r="Q428" t="str">
        <f>INDEX(pARTNER[#All],MATCH(#REF!,pARTNER[[#All],[Value.partnerSummary.id]],0),10)</f>
        <v>Italia (IT)</v>
      </c>
      <c r="R428" t="str">
        <f>INDEX('Partner data'!$A$2:$DG$171,MATCH(#REF!,'Partner data'!$DG$2:$DG$171,0),83)</f>
        <v>Soggetto pubblico</v>
      </c>
      <c r="S428" s="86" t="b">
        <f>IF(#REF!="staff",INDEX('Partner data'!$DG$2:$DH$171,MATCH(#REF!,'Partner data'!$DG$2:$DG$171,0),2))</f>
        <v>0</v>
      </c>
    </row>
    <row r="429" spans="1:19" x14ac:dyDescent="0.25">
      <c r="A429" s="1" t="s">
        <v>365</v>
      </c>
      <c r="B429" s="1" t="s">
        <v>367</v>
      </c>
      <c r="C429" s="13">
        <v>241</v>
      </c>
      <c r="D429" s="13">
        <v>224</v>
      </c>
      <c r="E429" s="1" t="s">
        <v>237</v>
      </c>
      <c r="F429" s="1"/>
      <c r="G429" s="1">
        <v>0</v>
      </c>
      <c r="H429" s="1">
        <v>0</v>
      </c>
      <c r="I429" s="1">
        <v>0</v>
      </c>
      <c r="J429" s="1">
        <v>0</v>
      </c>
      <c r="K429" s="1">
        <v>0</v>
      </c>
      <c r="L429" s="1">
        <v>0</v>
      </c>
      <c r="M429" s="1">
        <v>0</v>
      </c>
      <c r="N429" s="1">
        <v>0</v>
      </c>
      <c r="O429" s="1">
        <v>0</v>
      </c>
      <c r="P429" s="1">
        <v>0</v>
      </c>
      <c r="Q429" t="str">
        <f>INDEX(pARTNER[#All],MATCH(#REF!,pARTNER[[#All],[Value.partnerSummary.id]],0),10)</f>
        <v>Italia (IT)</v>
      </c>
      <c r="R429" t="str">
        <f>INDEX('Partner data'!$A$2:$DG$171,MATCH(#REF!,'Partner data'!$DG$2:$DG$171,0),83)</f>
        <v>Soggetto pubblico</v>
      </c>
      <c r="S429" s="86" t="b">
        <f>IF(#REF!="staff",INDEX('Partner data'!$DG$2:$DH$171,MATCH(#REF!,'Partner data'!$DG$2:$DG$171,0),2))</f>
        <v>0</v>
      </c>
    </row>
    <row r="430" spans="1:19" x14ac:dyDescent="0.25">
      <c r="A430" s="1" t="s">
        <v>365</v>
      </c>
      <c r="B430" s="1" t="s">
        <v>367</v>
      </c>
      <c r="C430" s="13">
        <v>241</v>
      </c>
      <c r="D430" s="13">
        <v>224</v>
      </c>
      <c r="E430" s="1" t="s">
        <v>238</v>
      </c>
      <c r="F430" s="1"/>
      <c r="G430" s="1">
        <v>181978.87</v>
      </c>
      <c r="H430" s="1">
        <v>0</v>
      </c>
      <c r="I430" s="1">
        <v>0</v>
      </c>
      <c r="J430" s="1">
        <v>15003.95</v>
      </c>
      <c r="K430" s="1">
        <v>0</v>
      </c>
      <c r="L430" s="1">
        <v>14998.18</v>
      </c>
      <c r="M430" s="1">
        <v>15003.95</v>
      </c>
      <c r="N430" s="1">
        <v>8.24</v>
      </c>
      <c r="O430" s="1">
        <v>166974.92000000001</v>
      </c>
      <c r="P430" s="1">
        <v>0</v>
      </c>
      <c r="Q430" t="str">
        <f>INDEX(pARTNER[#All],MATCH(#REF!,pARTNER[[#All],[Value.partnerSummary.id]],0),10)</f>
        <v>Italia (IT)</v>
      </c>
      <c r="R430" t="str">
        <f>INDEX('Partner data'!$A$2:$DG$171,MATCH(#REF!,'Partner data'!$DG$2:$DG$171,0),83)</f>
        <v>Soggetto pubblico</v>
      </c>
      <c r="S430" s="86" t="b">
        <f>IF(#REF!="staff",INDEX('Partner data'!$DG$2:$DH$171,MATCH(#REF!,'Partner data'!$DG$2:$DG$171,0),2))</f>
        <v>0</v>
      </c>
    </row>
    <row r="431" spans="1:19" x14ac:dyDescent="0.25">
      <c r="A431" s="1" t="s">
        <v>365</v>
      </c>
      <c r="B431" s="1" t="s">
        <v>368</v>
      </c>
      <c r="C431" s="13">
        <v>265</v>
      </c>
      <c r="D431" s="13">
        <v>256</v>
      </c>
      <c r="E431" s="1" t="s">
        <v>228</v>
      </c>
      <c r="F431" s="1"/>
      <c r="G431" s="1">
        <v>60003.360000000001</v>
      </c>
      <c r="H431" s="1">
        <v>0</v>
      </c>
      <c r="I431" s="1">
        <v>0</v>
      </c>
      <c r="J431" s="1">
        <v>1000.8</v>
      </c>
      <c r="K431" s="1">
        <v>0</v>
      </c>
      <c r="L431" s="1">
        <v>1000.8</v>
      </c>
      <c r="M431" s="1">
        <v>1000.8</v>
      </c>
      <c r="N431" s="1">
        <v>1.67</v>
      </c>
      <c r="O431" s="1">
        <v>59002.559999999998</v>
      </c>
      <c r="P431" s="1">
        <v>0</v>
      </c>
      <c r="Q431" t="str">
        <f>INDEX(pARTNER[#All],MATCH(#REF!,pARTNER[[#All],[Value.partnerSummary.id]],0),10)</f>
        <v>Italia (IT)</v>
      </c>
      <c r="R431" t="str">
        <f>INDEX('Partner data'!$A$2:$DG$171,MATCH(#REF!,'Partner data'!$DG$2:$DG$171,0),83)</f>
        <v>Soggetto pubblico</v>
      </c>
      <c r="S431" s="86" t="str">
        <f>IF(#REF!="staff",INDEX('Partner data'!$DG$2:$DH$171,MATCH(#REF!,'Partner data'!$DG$2:$DG$171,0),2))</f>
        <v>COSTO REALE</v>
      </c>
    </row>
    <row r="432" spans="1:19" x14ac:dyDescent="0.25">
      <c r="A432" s="1" t="s">
        <v>365</v>
      </c>
      <c r="B432" s="1" t="s">
        <v>368</v>
      </c>
      <c r="C432" s="13">
        <v>265</v>
      </c>
      <c r="D432" s="13">
        <v>256</v>
      </c>
      <c r="E432" s="1" t="s">
        <v>229</v>
      </c>
      <c r="F432" s="1"/>
      <c r="G432" s="1">
        <v>0</v>
      </c>
      <c r="H432" s="1">
        <v>0</v>
      </c>
      <c r="I432" s="1">
        <v>0</v>
      </c>
      <c r="J432" s="1">
        <v>0</v>
      </c>
      <c r="K432" s="1">
        <v>0</v>
      </c>
      <c r="L432" s="1">
        <v>0</v>
      </c>
      <c r="M432" s="1">
        <v>0</v>
      </c>
      <c r="N432" s="1">
        <v>0</v>
      </c>
      <c r="O432" s="1">
        <v>0</v>
      </c>
      <c r="P432" s="1">
        <v>0</v>
      </c>
      <c r="Q432" t="str">
        <f>INDEX(pARTNER[#All],MATCH(#REF!,pARTNER[[#All],[Value.partnerSummary.id]],0),10)</f>
        <v>Italia (IT)</v>
      </c>
      <c r="R432" t="str">
        <f>INDEX('Partner data'!$A$2:$DG$171,MATCH(#REF!,'Partner data'!$DG$2:$DG$171,0),83)</f>
        <v>Soggetto pubblico</v>
      </c>
      <c r="S432" s="86" t="b">
        <f>IF(#REF!="staff",INDEX('Partner data'!$DG$2:$DH$171,MATCH(#REF!,'Partner data'!$DG$2:$DG$171,0),2))</f>
        <v>0</v>
      </c>
    </row>
    <row r="433" spans="1:19" x14ac:dyDescent="0.25">
      <c r="A433" s="1" t="s">
        <v>365</v>
      </c>
      <c r="B433" s="1" t="s">
        <v>368</v>
      </c>
      <c r="C433" s="13">
        <v>265</v>
      </c>
      <c r="D433" s="13">
        <v>256</v>
      </c>
      <c r="E433" s="1" t="s">
        <v>230</v>
      </c>
      <c r="F433" s="1"/>
      <c r="G433" s="1">
        <v>0</v>
      </c>
      <c r="H433" s="1">
        <v>0</v>
      </c>
      <c r="I433" s="1">
        <v>0</v>
      </c>
      <c r="J433" s="1">
        <v>0</v>
      </c>
      <c r="K433" s="1">
        <v>0</v>
      </c>
      <c r="L433" s="1">
        <v>0</v>
      </c>
      <c r="M433" s="1">
        <v>0</v>
      </c>
      <c r="N433" s="1">
        <v>0</v>
      </c>
      <c r="O433" s="1">
        <v>0</v>
      </c>
      <c r="P433" s="1">
        <v>0</v>
      </c>
      <c r="Q433" t="str">
        <f>INDEX(pARTNER[#All],MATCH(#REF!,pARTNER[[#All],[Value.partnerSummary.id]],0),10)</f>
        <v>Italia (IT)</v>
      </c>
      <c r="R433" t="str">
        <f>INDEX('Partner data'!$A$2:$DG$171,MATCH(#REF!,'Partner data'!$DG$2:$DG$171,0),83)</f>
        <v>Soggetto pubblico</v>
      </c>
      <c r="S433" s="86" t="b">
        <f>IF(#REF!="staff",INDEX('Partner data'!$DG$2:$DH$171,MATCH(#REF!,'Partner data'!$DG$2:$DG$171,0),2))</f>
        <v>0</v>
      </c>
    </row>
    <row r="434" spans="1:19" x14ac:dyDescent="0.25">
      <c r="A434" s="1" t="s">
        <v>365</v>
      </c>
      <c r="B434" s="1" t="s">
        <v>368</v>
      </c>
      <c r="C434" s="13">
        <v>265</v>
      </c>
      <c r="D434" s="13">
        <v>256</v>
      </c>
      <c r="E434" s="1" t="s">
        <v>231</v>
      </c>
      <c r="F434" s="1"/>
      <c r="G434" s="1">
        <v>0</v>
      </c>
      <c r="H434" s="1">
        <v>0</v>
      </c>
      <c r="I434" s="1">
        <v>0</v>
      </c>
      <c r="J434" s="1">
        <v>0</v>
      </c>
      <c r="K434" s="1">
        <v>0</v>
      </c>
      <c r="L434" s="1">
        <v>0</v>
      </c>
      <c r="M434" s="1">
        <v>0</v>
      </c>
      <c r="N434" s="1">
        <v>0</v>
      </c>
      <c r="O434" s="1">
        <v>0</v>
      </c>
      <c r="P434" s="1">
        <v>0</v>
      </c>
      <c r="Q434" t="str">
        <f>INDEX(pARTNER[#All],MATCH(#REF!,pARTNER[[#All],[Value.partnerSummary.id]],0),10)</f>
        <v>Italia (IT)</v>
      </c>
      <c r="R434" t="str">
        <f>INDEX('Partner data'!$A$2:$DG$171,MATCH(#REF!,'Partner data'!$DG$2:$DG$171,0),83)</f>
        <v>Soggetto pubblico</v>
      </c>
      <c r="S434" s="86" t="b">
        <f>IF(#REF!="staff",INDEX('Partner data'!$DG$2:$DH$171,MATCH(#REF!,'Partner data'!$DG$2:$DG$171,0),2))</f>
        <v>0</v>
      </c>
    </row>
    <row r="435" spans="1:19" x14ac:dyDescent="0.25">
      <c r="A435" s="1" t="s">
        <v>365</v>
      </c>
      <c r="B435" s="1" t="s">
        <v>368</v>
      </c>
      <c r="C435" s="13">
        <v>265</v>
      </c>
      <c r="D435" s="13">
        <v>256</v>
      </c>
      <c r="E435" s="1" t="s">
        <v>232</v>
      </c>
      <c r="F435" s="1"/>
      <c r="G435" s="1">
        <v>0</v>
      </c>
      <c r="H435" s="1">
        <v>0</v>
      </c>
      <c r="I435" s="1">
        <v>0</v>
      </c>
      <c r="J435" s="1">
        <v>0</v>
      </c>
      <c r="K435" s="1">
        <v>0</v>
      </c>
      <c r="L435" s="1">
        <v>0</v>
      </c>
      <c r="M435" s="1">
        <v>0</v>
      </c>
      <c r="N435" s="1">
        <v>0</v>
      </c>
      <c r="O435" s="1">
        <v>0</v>
      </c>
      <c r="P435" s="1">
        <v>0</v>
      </c>
      <c r="Q435" t="str">
        <f>INDEX(pARTNER[#All],MATCH(#REF!,pARTNER[[#All],[Value.partnerSummary.id]],0),10)</f>
        <v>Italia (IT)</v>
      </c>
      <c r="R435" t="str">
        <f>INDEX('Partner data'!$A$2:$DG$171,MATCH(#REF!,'Partner data'!$DG$2:$DG$171,0),83)</f>
        <v>Soggetto pubblico</v>
      </c>
      <c r="S435" s="86" t="b">
        <f>IF(#REF!="staff",INDEX('Partner data'!$DG$2:$DH$171,MATCH(#REF!,'Partner data'!$DG$2:$DG$171,0),2))</f>
        <v>0</v>
      </c>
    </row>
    <row r="436" spans="1:19" x14ac:dyDescent="0.25">
      <c r="A436" s="1" t="s">
        <v>365</v>
      </c>
      <c r="B436" s="1" t="s">
        <v>368</v>
      </c>
      <c r="C436" s="13">
        <v>265</v>
      </c>
      <c r="D436" s="13">
        <v>256</v>
      </c>
      <c r="E436" s="1" t="s">
        <v>233</v>
      </c>
      <c r="F436" s="1"/>
      <c r="G436" s="1">
        <v>0</v>
      </c>
      <c r="H436" s="1">
        <v>0</v>
      </c>
      <c r="I436" s="1">
        <v>0</v>
      </c>
      <c r="J436" s="1">
        <v>0</v>
      </c>
      <c r="K436" s="1">
        <v>0</v>
      </c>
      <c r="L436" s="1">
        <v>0</v>
      </c>
      <c r="M436" s="1">
        <v>0</v>
      </c>
      <c r="N436" s="1">
        <v>0</v>
      </c>
      <c r="O436" s="1">
        <v>0</v>
      </c>
      <c r="P436" s="1">
        <v>0</v>
      </c>
      <c r="Q436" t="str">
        <f>INDEX(pARTNER[#All],MATCH(#REF!,pARTNER[[#All],[Value.partnerSummary.id]],0),10)</f>
        <v>Italia (IT)</v>
      </c>
      <c r="R436" t="str">
        <f>INDEX('Partner data'!$A$2:$DG$171,MATCH(#REF!,'Partner data'!$DG$2:$DG$171,0),83)</f>
        <v>Soggetto pubblico</v>
      </c>
      <c r="S436" s="86" t="b">
        <f>IF(#REF!="staff",INDEX('Partner data'!$DG$2:$DH$171,MATCH(#REF!,'Partner data'!$DG$2:$DG$171,0),2))</f>
        <v>0</v>
      </c>
    </row>
    <row r="437" spans="1:19" x14ac:dyDescent="0.25">
      <c r="A437" s="1" t="s">
        <v>365</v>
      </c>
      <c r="B437" s="1" t="s">
        <v>368</v>
      </c>
      <c r="C437" s="13">
        <v>265</v>
      </c>
      <c r="D437" s="13">
        <v>256</v>
      </c>
      <c r="E437" s="1" t="s">
        <v>234</v>
      </c>
      <c r="F437" s="1">
        <v>40</v>
      </c>
      <c r="G437" s="1">
        <v>24001.34</v>
      </c>
      <c r="H437" s="1">
        <v>0</v>
      </c>
      <c r="I437" s="1">
        <v>0</v>
      </c>
      <c r="J437" s="1">
        <v>400.32</v>
      </c>
      <c r="K437" s="1">
        <v>0</v>
      </c>
      <c r="L437" s="1">
        <v>400.32</v>
      </c>
      <c r="M437" s="1">
        <v>400.32</v>
      </c>
      <c r="N437" s="1">
        <v>1.67</v>
      </c>
      <c r="O437" s="1">
        <v>23601.02</v>
      </c>
      <c r="P437" s="1">
        <v>0</v>
      </c>
      <c r="Q437" t="str">
        <f>INDEX(pARTNER[#All],MATCH(#REF!,pARTNER[[#All],[Value.partnerSummary.id]],0),10)</f>
        <v>Italia (IT)</v>
      </c>
      <c r="R437" t="str">
        <f>INDEX('Partner data'!$A$2:$DG$171,MATCH(#REF!,'Partner data'!$DG$2:$DG$171,0),83)</f>
        <v>Soggetto pubblico</v>
      </c>
      <c r="S437" s="86" t="b">
        <f>IF(#REF!="staff",INDEX('Partner data'!$DG$2:$DH$171,MATCH(#REF!,'Partner data'!$DG$2:$DG$171,0),2))</f>
        <v>0</v>
      </c>
    </row>
    <row r="438" spans="1:19" x14ac:dyDescent="0.25">
      <c r="A438" s="1" t="s">
        <v>365</v>
      </c>
      <c r="B438" s="1" t="s">
        <v>368</v>
      </c>
      <c r="C438" s="13">
        <v>265</v>
      </c>
      <c r="D438" s="13">
        <v>256</v>
      </c>
      <c r="E438" s="1" t="s">
        <v>235</v>
      </c>
      <c r="F438" s="1"/>
      <c r="G438" s="1">
        <v>0</v>
      </c>
      <c r="H438" s="1">
        <v>0</v>
      </c>
      <c r="I438" s="1">
        <v>0</v>
      </c>
      <c r="J438" s="1">
        <v>0</v>
      </c>
      <c r="K438" s="1">
        <v>0</v>
      </c>
      <c r="L438" s="1">
        <v>0</v>
      </c>
      <c r="M438" s="1">
        <v>0</v>
      </c>
      <c r="N438" s="1">
        <v>0</v>
      </c>
      <c r="O438" s="1">
        <v>0</v>
      </c>
      <c r="P438" s="1">
        <v>0</v>
      </c>
      <c r="Q438" t="str">
        <f>INDEX(pARTNER[#All],MATCH(#REF!,pARTNER[[#All],[Value.partnerSummary.id]],0),10)</f>
        <v>Italia (IT)</v>
      </c>
      <c r="R438" t="str">
        <f>INDEX('Partner data'!$A$2:$DG$171,MATCH(#REF!,'Partner data'!$DG$2:$DG$171,0),83)</f>
        <v>Soggetto pubblico</v>
      </c>
      <c r="S438" s="86" t="b">
        <f>IF(#REF!="staff",INDEX('Partner data'!$DG$2:$DH$171,MATCH(#REF!,'Partner data'!$DG$2:$DG$171,0),2))</f>
        <v>0</v>
      </c>
    </row>
    <row r="439" spans="1:19" x14ac:dyDescent="0.25">
      <c r="A439" s="1" t="s">
        <v>365</v>
      </c>
      <c r="B439" s="1" t="s">
        <v>368</v>
      </c>
      <c r="C439" s="13">
        <v>265</v>
      </c>
      <c r="D439" s="13">
        <v>256</v>
      </c>
      <c r="E439" s="1" t="s">
        <v>236</v>
      </c>
      <c r="F439" s="1"/>
      <c r="G439" s="1">
        <v>0</v>
      </c>
      <c r="H439" s="1">
        <v>0</v>
      </c>
      <c r="I439" s="1">
        <v>0</v>
      </c>
      <c r="J439" s="1">
        <v>0</v>
      </c>
      <c r="K439" s="1">
        <v>0</v>
      </c>
      <c r="L439" s="1">
        <v>0</v>
      </c>
      <c r="M439" s="1">
        <v>0</v>
      </c>
      <c r="N439" s="1">
        <v>0</v>
      </c>
      <c r="O439" s="1">
        <v>0</v>
      </c>
      <c r="P439" s="1">
        <v>0</v>
      </c>
      <c r="Q439" t="str">
        <f>INDEX(pARTNER[#All],MATCH(#REF!,pARTNER[[#All],[Value.partnerSummary.id]],0),10)</f>
        <v>Italia (IT)</v>
      </c>
      <c r="R439" t="str">
        <f>INDEX('Partner data'!$A$2:$DG$171,MATCH(#REF!,'Partner data'!$DG$2:$DG$171,0),83)</f>
        <v>Soggetto pubblico</v>
      </c>
      <c r="S439" s="86" t="b">
        <f>IF(#REF!="staff",INDEX('Partner data'!$DG$2:$DH$171,MATCH(#REF!,'Partner data'!$DG$2:$DG$171,0),2))</f>
        <v>0</v>
      </c>
    </row>
    <row r="440" spans="1:19" x14ac:dyDescent="0.25">
      <c r="A440" s="1" t="s">
        <v>365</v>
      </c>
      <c r="B440" s="1" t="s">
        <v>368</v>
      </c>
      <c r="C440" s="13">
        <v>265</v>
      </c>
      <c r="D440" s="13">
        <v>256</v>
      </c>
      <c r="E440" s="1" t="s">
        <v>237</v>
      </c>
      <c r="F440" s="1"/>
      <c r="G440" s="1">
        <v>0</v>
      </c>
      <c r="H440" s="1">
        <v>0</v>
      </c>
      <c r="I440" s="1">
        <v>0</v>
      </c>
      <c r="J440" s="1">
        <v>0</v>
      </c>
      <c r="K440" s="1">
        <v>0</v>
      </c>
      <c r="L440" s="1">
        <v>0</v>
      </c>
      <c r="M440" s="1">
        <v>0</v>
      </c>
      <c r="N440" s="1">
        <v>0</v>
      </c>
      <c r="O440" s="1">
        <v>0</v>
      </c>
      <c r="P440" s="1">
        <v>0</v>
      </c>
      <c r="Q440" t="str">
        <f>INDEX(pARTNER[#All],MATCH(#REF!,pARTNER[[#All],[Value.partnerSummary.id]],0),10)</f>
        <v>Italia (IT)</v>
      </c>
      <c r="R440" t="str">
        <f>INDEX('Partner data'!$A$2:$DG$171,MATCH(#REF!,'Partner data'!$DG$2:$DG$171,0),83)</f>
        <v>Soggetto pubblico</v>
      </c>
      <c r="S440" s="86" t="b">
        <f>IF(#REF!="staff",INDEX('Partner data'!$DG$2:$DH$171,MATCH(#REF!,'Partner data'!$DG$2:$DG$171,0),2))</f>
        <v>0</v>
      </c>
    </row>
    <row r="441" spans="1:19" x14ac:dyDescent="0.25">
      <c r="A441" s="1" t="s">
        <v>365</v>
      </c>
      <c r="B441" s="1" t="s">
        <v>368</v>
      </c>
      <c r="C441" s="13">
        <v>265</v>
      </c>
      <c r="D441" s="13">
        <v>256</v>
      </c>
      <c r="E441" s="1" t="s">
        <v>238</v>
      </c>
      <c r="F441" s="1"/>
      <c r="G441" s="1">
        <v>84004.7</v>
      </c>
      <c r="H441" s="1">
        <v>0</v>
      </c>
      <c r="I441" s="1">
        <v>0</v>
      </c>
      <c r="J441" s="1">
        <v>1401.12</v>
      </c>
      <c r="K441" s="1">
        <v>0</v>
      </c>
      <c r="L441" s="1">
        <v>1401.12</v>
      </c>
      <c r="M441" s="1">
        <v>1401.12</v>
      </c>
      <c r="N441" s="1">
        <v>1.67</v>
      </c>
      <c r="O441" s="1">
        <v>82603.58</v>
      </c>
      <c r="P441" s="1">
        <v>0</v>
      </c>
      <c r="Q441" t="str">
        <f>INDEX(pARTNER[#All],MATCH(#REF!,pARTNER[[#All],[Value.partnerSummary.id]],0),10)</f>
        <v>Italia (IT)</v>
      </c>
      <c r="R441" t="str">
        <f>INDEX('Partner data'!$A$2:$DG$171,MATCH(#REF!,'Partner data'!$DG$2:$DG$171,0),83)</f>
        <v>Soggetto pubblico</v>
      </c>
      <c r="S441" s="86" t="b">
        <f>IF(#REF!="staff",INDEX('Partner data'!$DG$2:$DH$171,MATCH(#REF!,'Partner data'!$DG$2:$DG$171,0),2))</f>
        <v>0</v>
      </c>
    </row>
    <row r="442" spans="1:19" x14ac:dyDescent="0.25">
      <c r="A442" s="1" t="s">
        <v>365</v>
      </c>
      <c r="B442" s="1" t="s">
        <v>369</v>
      </c>
      <c r="C442" s="13">
        <v>264</v>
      </c>
      <c r="D442" s="13">
        <v>270</v>
      </c>
      <c r="E442" s="1" t="s">
        <v>228</v>
      </c>
      <c r="F442" s="1"/>
      <c r="G442" s="1">
        <v>56276.24</v>
      </c>
      <c r="H442" s="1">
        <v>0</v>
      </c>
      <c r="I442" s="1">
        <v>0</v>
      </c>
      <c r="J442" s="1">
        <v>7064</v>
      </c>
      <c r="K442" s="1">
        <v>0</v>
      </c>
      <c r="L442" s="1">
        <v>7064</v>
      </c>
      <c r="M442" s="1">
        <v>7064</v>
      </c>
      <c r="N442" s="1">
        <v>12.55</v>
      </c>
      <c r="O442" s="1">
        <v>49212.24</v>
      </c>
      <c r="P442" s="1">
        <v>0</v>
      </c>
      <c r="Q442" t="str">
        <f>INDEX(pARTNER[#All],MATCH(#REF!,pARTNER[[#All],[Value.partnerSummary.id]],0),10)</f>
        <v>Italia (IT)</v>
      </c>
      <c r="R442" t="str">
        <f>INDEX('Partner data'!$A$2:$DG$171,MATCH(#REF!,'Partner data'!$DG$2:$DG$171,0),83)</f>
        <v>Soggetto privato</v>
      </c>
      <c r="S442" s="86" t="str">
        <f>IF(#REF!="staff",INDEX('Partner data'!$DG$2:$DH$171,MATCH(#REF!,'Partner data'!$DG$2:$DG$171,0),2))</f>
        <v>Costo Unitario Standard</v>
      </c>
    </row>
    <row r="443" spans="1:19" x14ac:dyDescent="0.25">
      <c r="A443" s="1" t="s">
        <v>365</v>
      </c>
      <c r="B443" s="1" t="s">
        <v>369</v>
      </c>
      <c r="C443" s="13">
        <v>264</v>
      </c>
      <c r="D443" s="13">
        <v>270</v>
      </c>
      <c r="E443" s="1" t="s">
        <v>229</v>
      </c>
      <c r="F443" s="1"/>
      <c r="G443" s="1">
        <v>0</v>
      </c>
      <c r="H443" s="1">
        <v>0</v>
      </c>
      <c r="I443" s="1">
        <v>0</v>
      </c>
      <c r="J443" s="1">
        <v>0</v>
      </c>
      <c r="K443" s="1">
        <v>0</v>
      </c>
      <c r="L443" s="1">
        <v>0</v>
      </c>
      <c r="M443" s="1">
        <v>0</v>
      </c>
      <c r="N443" s="1">
        <v>0</v>
      </c>
      <c r="O443" s="1">
        <v>0</v>
      </c>
      <c r="P443" s="1">
        <v>0</v>
      </c>
      <c r="Q443" t="str">
        <f>INDEX(pARTNER[#All],MATCH(#REF!,pARTNER[[#All],[Value.partnerSummary.id]],0),10)</f>
        <v>Italia (IT)</v>
      </c>
      <c r="R443" t="str">
        <f>INDEX('Partner data'!$A$2:$DG$171,MATCH(#REF!,'Partner data'!$DG$2:$DG$171,0),83)</f>
        <v>Soggetto privato</v>
      </c>
      <c r="S443" s="86" t="b">
        <f>IF(#REF!="staff",INDEX('Partner data'!$DG$2:$DH$171,MATCH(#REF!,'Partner data'!$DG$2:$DG$171,0),2))</f>
        <v>0</v>
      </c>
    </row>
    <row r="444" spans="1:19" x14ac:dyDescent="0.25">
      <c r="A444" s="1" t="s">
        <v>365</v>
      </c>
      <c r="B444" s="1" t="s">
        <v>369</v>
      </c>
      <c r="C444" s="13">
        <v>264</v>
      </c>
      <c r="D444" s="13">
        <v>270</v>
      </c>
      <c r="E444" s="1" t="s">
        <v>230</v>
      </c>
      <c r="F444" s="1"/>
      <c r="G444" s="1">
        <v>0</v>
      </c>
      <c r="H444" s="1">
        <v>0</v>
      </c>
      <c r="I444" s="1">
        <v>0</v>
      </c>
      <c r="J444" s="1">
        <v>0</v>
      </c>
      <c r="K444" s="1">
        <v>0</v>
      </c>
      <c r="L444" s="1">
        <v>0</v>
      </c>
      <c r="M444" s="1">
        <v>0</v>
      </c>
      <c r="N444" s="1">
        <v>0</v>
      </c>
      <c r="O444" s="1">
        <v>0</v>
      </c>
      <c r="P444" s="1">
        <v>0</v>
      </c>
      <c r="Q444" t="str">
        <f>INDEX(pARTNER[#All],MATCH(#REF!,pARTNER[[#All],[Value.partnerSummary.id]],0),10)</f>
        <v>Italia (IT)</v>
      </c>
      <c r="R444" t="str">
        <f>INDEX('Partner data'!$A$2:$DG$171,MATCH(#REF!,'Partner data'!$DG$2:$DG$171,0),83)</f>
        <v>Soggetto privato</v>
      </c>
      <c r="S444" s="86" t="b">
        <f>IF(#REF!="staff",INDEX('Partner data'!$DG$2:$DH$171,MATCH(#REF!,'Partner data'!$DG$2:$DG$171,0),2))</f>
        <v>0</v>
      </c>
    </row>
    <row r="445" spans="1:19" x14ac:dyDescent="0.25">
      <c r="A445" s="1" t="s">
        <v>365</v>
      </c>
      <c r="B445" s="1" t="s">
        <v>369</v>
      </c>
      <c r="C445" s="13">
        <v>264</v>
      </c>
      <c r="D445" s="13">
        <v>270</v>
      </c>
      <c r="E445" s="1" t="s">
        <v>231</v>
      </c>
      <c r="F445" s="1"/>
      <c r="G445" s="1">
        <v>0</v>
      </c>
      <c r="H445" s="1">
        <v>0</v>
      </c>
      <c r="I445" s="1">
        <v>0</v>
      </c>
      <c r="J445" s="1">
        <v>0</v>
      </c>
      <c r="K445" s="1">
        <v>0</v>
      </c>
      <c r="L445" s="1">
        <v>0</v>
      </c>
      <c r="M445" s="1">
        <v>0</v>
      </c>
      <c r="N445" s="1">
        <v>0</v>
      </c>
      <c r="O445" s="1">
        <v>0</v>
      </c>
      <c r="P445" s="1">
        <v>0</v>
      </c>
      <c r="Q445" t="str">
        <f>INDEX(pARTNER[#All],MATCH(#REF!,pARTNER[[#All],[Value.partnerSummary.id]],0),10)</f>
        <v>Italia (IT)</v>
      </c>
      <c r="R445" t="str">
        <f>INDEX('Partner data'!$A$2:$DG$171,MATCH(#REF!,'Partner data'!$DG$2:$DG$171,0),83)</f>
        <v>Soggetto privato</v>
      </c>
      <c r="S445" s="86" t="b">
        <f>IF(#REF!="staff",INDEX('Partner data'!$DG$2:$DH$171,MATCH(#REF!,'Partner data'!$DG$2:$DG$171,0),2))</f>
        <v>0</v>
      </c>
    </row>
    <row r="446" spans="1:19" x14ac:dyDescent="0.25">
      <c r="A446" s="1" t="s">
        <v>365</v>
      </c>
      <c r="B446" s="1" t="s">
        <v>369</v>
      </c>
      <c r="C446" s="13">
        <v>264</v>
      </c>
      <c r="D446" s="13">
        <v>270</v>
      </c>
      <c r="E446" s="1" t="s">
        <v>232</v>
      </c>
      <c r="F446" s="1"/>
      <c r="G446" s="1">
        <v>0</v>
      </c>
      <c r="H446" s="1">
        <v>0</v>
      </c>
      <c r="I446" s="1">
        <v>0</v>
      </c>
      <c r="J446" s="1">
        <v>0</v>
      </c>
      <c r="K446" s="1">
        <v>0</v>
      </c>
      <c r="L446" s="1">
        <v>0</v>
      </c>
      <c r="M446" s="1">
        <v>0</v>
      </c>
      <c r="N446" s="1">
        <v>0</v>
      </c>
      <c r="O446" s="1">
        <v>0</v>
      </c>
      <c r="P446" s="1">
        <v>0</v>
      </c>
      <c r="Q446" t="str">
        <f>INDEX(pARTNER[#All],MATCH(#REF!,pARTNER[[#All],[Value.partnerSummary.id]],0),10)</f>
        <v>Italia (IT)</v>
      </c>
      <c r="R446" t="str">
        <f>INDEX('Partner data'!$A$2:$DG$171,MATCH(#REF!,'Partner data'!$DG$2:$DG$171,0),83)</f>
        <v>Soggetto privato</v>
      </c>
      <c r="S446" s="86" t="b">
        <f>IF(#REF!="staff",INDEX('Partner data'!$DG$2:$DH$171,MATCH(#REF!,'Partner data'!$DG$2:$DG$171,0),2))</f>
        <v>0</v>
      </c>
    </row>
    <row r="447" spans="1:19" x14ac:dyDescent="0.25">
      <c r="A447" s="1" t="s">
        <v>365</v>
      </c>
      <c r="B447" s="1" t="s">
        <v>369</v>
      </c>
      <c r="C447" s="13">
        <v>264</v>
      </c>
      <c r="D447" s="13">
        <v>270</v>
      </c>
      <c r="E447" s="1" t="s">
        <v>233</v>
      </c>
      <c r="F447" s="1"/>
      <c r="G447" s="1">
        <v>0</v>
      </c>
      <c r="H447" s="1">
        <v>0</v>
      </c>
      <c r="I447" s="1">
        <v>0</v>
      </c>
      <c r="J447" s="1">
        <v>0</v>
      </c>
      <c r="K447" s="1">
        <v>0</v>
      </c>
      <c r="L447" s="1">
        <v>0</v>
      </c>
      <c r="M447" s="1">
        <v>0</v>
      </c>
      <c r="N447" s="1">
        <v>0</v>
      </c>
      <c r="O447" s="1">
        <v>0</v>
      </c>
      <c r="P447" s="1">
        <v>0</v>
      </c>
      <c r="Q447" t="str">
        <f>INDEX(pARTNER[#All],MATCH(#REF!,pARTNER[[#All],[Value.partnerSummary.id]],0),10)</f>
        <v>Italia (IT)</v>
      </c>
      <c r="R447" t="str">
        <f>INDEX('Partner data'!$A$2:$DG$171,MATCH(#REF!,'Partner data'!$DG$2:$DG$171,0),83)</f>
        <v>Soggetto privato</v>
      </c>
      <c r="S447" s="86" t="b">
        <f>IF(#REF!="staff",INDEX('Partner data'!$DG$2:$DH$171,MATCH(#REF!,'Partner data'!$DG$2:$DG$171,0),2))</f>
        <v>0</v>
      </c>
    </row>
    <row r="448" spans="1:19" x14ac:dyDescent="0.25">
      <c r="A448" s="1" t="s">
        <v>365</v>
      </c>
      <c r="B448" s="1" t="s">
        <v>369</v>
      </c>
      <c r="C448" s="13">
        <v>264</v>
      </c>
      <c r="D448" s="13">
        <v>270</v>
      </c>
      <c r="E448" s="1" t="s">
        <v>234</v>
      </c>
      <c r="F448" s="1">
        <v>40</v>
      </c>
      <c r="G448" s="1">
        <v>22510.49</v>
      </c>
      <c r="H448" s="1">
        <v>0</v>
      </c>
      <c r="I448" s="1">
        <v>0</v>
      </c>
      <c r="J448" s="1">
        <v>2825.6</v>
      </c>
      <c r="K448" s="1">
        <v>0</v>
      </c>
      <c r="L448" s="1">
        <v>2825.6</v>
      </c>
      <c r="M448" s="1">
        <v>2825.6</v>
      </c>
      <c r="N448" s="1">
        <v>12.55</v>
      </c>
      <c r="O448" s="1">
        <v>19684.89</v>
      </c>
      <c r="P448" s="1">
        <v>0</v>
      </c>
      <c r="Q448" t="str">
        <f>INDEX(pARTNER[#All],MATCH(#REF!,pARTNER[[#All],[Value.partnerSummary.id]],0),10)</f>
        <v>Italia (IT)</v>
      </c>
      <c r="R448" t="str">
        <f>INDEX('Partner data'!$A$2:$DG$171,MATCH(#REF!,'Partner data'!$DG$2:$DG$171,0),83)</f>
        <v>Soggetto privato</v>
      </c>
      <c r="S448" s="86" t="b">
        <f>IF(#REF!="staff",INDEX('Partner data'!$DG$2:$DH$171,MATCH(#REF!,'Partner data'!$DG$2:$DG$171,0),2))</f>
        <v>0</v>
      </c>
    </row>
    <row r="449" spans="1:19" x14ac:dyDescent="0.25">
      <c r="A449" s="1" t="s">
        <v>365</v>
      </c>
      <c r="B449" s="1" t="s">
        <v>369</v>
      </c>
      <c r="C449" s="13">
        <v>264</v>
      </c>
      <c r="D449" s="13">
        <v>270</v>
      </c>
      <c r="E449" s="1" t="s">
        <v>235</v>
      </c>
      <c r="F449" s="1"/>
      <c r="G449" s="1">
        <v>0</v>
      </c>
      <c r="H449" s="1">
        <v>0</v>
      </c>
      <c r="I449" s="1">
        <v>0</v>
      </c>
      <c r="J449" s="1">
        <v>0</v>
      </c>
      <c r="K449" s="1">
        <v>0</v>
      </c>
      <c r="L449" s="1">
        <v>0</v>
      </c>
      <c r="M449" s="1">
        <v>0</v>
      </c>
      <c r="N449" s="1">
        <v>0</v>
      </c>
      <c r="O449" s="1">
        <v>0</v>
      </c>
      <c r="P449" s="1">
        <v>0</v>
      </c>
      <c r="Q449" t="str">
        <f>INDEX(pARTNER[#All],MATCH(#REF!,pARTNER[[#All],[Value.partnerSummary.id]],0),10)</f>
        <v>Italia (IT)</v>
      </c>
      <c r="R449" t="str">
        <f>INDEX('Partner data'!$A$2:$DG$171,MATCH(#REF!,'Partner data'!$DG$2:$DG$171,0),83)</f>
        <v>Soggetto privato</v>
      </c>
      <c r="S449" s="86" t="b">
        <f>IF(#REF!="staff",INDEX('Partner data'!$DG$2:$DH$171,MATCH(#REF!,'Partner data'!$DG$2:$DG$171,0),2))</f>
        <v>0</v>
      </c>
    </row>
    <row r="450" spans="1:19" x14ac:dyDescent="0.25">
      <c r="A450" s="1" t="s">
        <v>365</v>
      </c>
      <c r="B450" s="1" t="s">
        <v>369</v>
      </c>
      <c r="C450" s="13">
        <v>264</v>
      </c>
      <c r="D450" s="13">
        <v>270</v>
      </c>
      <c r="E450" s="1" t="s">
        <v>236</v>
      </c>
      <c r="F450" s="1"/>
      <c r="G450" s="1">
        <v>0</v>
      </c>
      <c r="H450" s="1">
        <v>0</v>
      </c>
      <c r="I450" s="1">
        <v>0</v>
      </c>
      <c r="J450" s="1">
        <v>0</v>
      </c>
      <c r="K450" s="1">
        <v>0</v>
      </c>
      <c r="L450" s="1">
        <v>0</v>
      </c>
      <c r="M450" s="1">
        <v>0</v>
      </c>
      <c r="N450" s="1">
        <v>0</v>
      </c>
      <c r="O450" s="1">
        <v>0</v>
      </c>
      <c r="P450" s="1">
        <v>0</v>
      </c>
      <c r="Q450" t="str">
        <f>INDEX(pARTNER[#All],MATCH(#REF!,pARTNER[[#All],[Value.partnerSummary.id]],0),10)</f>
        <v>Italia (IT)</v>
      </c>
      <c r="R450" t="str">
        <f>INDEX('Partner data'!$A$2:$DG$171,MATCH(#REF!,'Partner data'!$DG$2:$DG$171,0),83)</f>
        <v>Soggetto privato</v>
      </c>
      <c r="S450" s="86" t="b">
        <f>IF(#REF!="staff",INDEX('Partner data'!$DG$2:$DH$171,MATCH(#REF!,'Partner data'!$DG$2:$DG$171,0),2))</f>
        <v>0</v>
      </c>
    </row>
    <row r="451" spans="1:19" x14ac:dyDescent="0.25">
      <c r="A451" s="1" t="s">
        <v>365</v>
      </c>
      <c r="B451" s="1" t="s">
        <v>369</v>
      </c>
      <c r="C451" s="13">
        <v>264</v>
      </c>
      <c r="D451" s="13">
        <v>270</v>
      </c>
      <c r="E451" s="1" t="s">
        <v>237</v>
      </c>
      <c r="F451" s="1"/>
      <c r="G451" s="1">
        <v>0</v>
      </c>
      <c r="H451" s="1">
        <v>0</v>
      </c>
      <c r="I451" s="1">
        <v>0</v>
      </c>
      <c r="J451" s="1">
        <v>0</v>
      </c>
      <c r="K451" s="1">
        <v>0</v>
      </c>
      <c r="L451" s="1">
        <v>0</v>
      </c>
      <c r="M451" s="1">
        <v>0</v>
      </c>
      <c r="N451" s="1">
        <v>0</v>
      </c>
      <c r="O451" s="1">
        <v>0</v>
      </c>
      <c r="P451" s="1">
        <v>0</v>
      </c>
      <c r="Q451" t="str">
        <f>INDEX(pARTNER[#All],MATCH(#REF!,pARTNER[[#All],[Value.partnerSummary.id]],0),10)</f>
        <v>Italia (IT)</v>
      </c>
      <c r="R451" t="str">
        <f>INDEX('Partner data'!$A$2:$DG$171,MATCH(#REF!,'Partner data'!$DG$2:$DG$171,0),83)</f>
        <v>Soggetto privato</v>
      </c>
      <c r="S451" s="86" t="b">
        <f>IF(#REF!="staff",INDEX('Partner data'!$DG$2:$DH$171,MATCH(#REF!,'Partner data'!$DG$2:$DG$171,0),2))</f>
        <v>0</v>
      </c>
    </row>
    <row r="452" spans="1:19" x14ac:dyDescent="0.25">
      <c r="A452" s="1" t="s">
        <v>365</v>
      </c>
      <c r="B452" s="1" t="s">
        <v>369</v>
      </c>
      <c r="C452" s="13">
        <v>264</v>
      </c>
      <c r="D452" s="13">
        <v>270</v>
      </c>
      <c r="E452" s="1" t="s">
        <v>238</v>
      </c>
      <c r="F452" s="1"/>
      <c r="G452" s="1">
        <v>78786.73</v>
      </c>
      <c r="H452" s="1">
        <v>0</v>
      </c>
      <c r="I452" s="1">
        <v>0</v>
      </c>
      <c r="J452" s="1">
        <v>9889.6</v>
      </c>
      <c r="K452" s="1">
        <v>0</v>
      </c>
      <c r="L452" s="1">
        <v>9889.6</v>
      </c>
      <c r="M452" s="1">
        <v>9889.6</v>
      </c>
      <c r="N452" s="1">
        <v>12.55</v>
      </c>
      <c r="O452" s="1">
        <v>68897.13</v>
      </c>
      <c r="P452" s="1">
        <v>0</v>
      </c>
      <c r="Q452" t="str">
        <f>INDEX(pARTNER[#All],MATCH(#REF!,pARTNER[[#All],[Value.partnerSummary.id]],0),10)</f>
        <v>Italia (IT)</v>
      </c>
      <c r="R452" t="str">
        <f>INDEX('Partner data'!$A$2:$DG$171,MATCH(#REF!,'Partner data'!$DG$2:$DG$171,0),83)</f>
        <v>Soggetto privato</v>
      </c>
      <c r="S452" s="86" t="b">
        <f>IF(#REF!="staff",INDEX('Partner data'!$DG$2:$DH$171,MATCH(#REF!,'Partner data'!$DG$2:$DG$171,0),2))</f>
        <v>0</v>
      </c>
    </row>
    <row r="453" spans="1:19" x14ac:dyDescent="0.25">
      <c r="A453" s="1" t="s">
        <v>365</v>
      </c>
      <c r="B453" s="1" t="s">
        <v>370</v>
      </c>
      <c r="C453" s="13">
        <v>249</v>
      </c>
      <c r="D453" s="13">
        <v>299</v>
      </c>
      <c r="E453" s="1" t="s">
        <v>228</v>
      </c>
      <c r="F453" s="1"/>
      <c r="G453" s="1">
        <v>113760</v>
      </c>
      <c r="H453" s="1">
        <v>0</v>
      </c>
      <c r="I453" s="1">
        <v>0</v>
      </c>
      <c r="J453" s="1">
        <v>0</v>
      </c>
      <c r="K453" s="1">
        <v>0</v>
      </c>
      <c r="L453" s="1">
        <v>0</v>
      </c>
      <c r="M453" s="1">
        <v>0</v>
      </c>
      <c r="N453" s="1">
        <v>0</v>
      </c>
      <c r="O453" s="1">
        <v>113760</v>
      </c>
      <c r="P453" s="1">
        <v>0</v>
      </c>
      <c r="Q453" t="str">
        <f>INDEX(pARTNER[#All],MATCH(#REF!,pARTNER[[#All],[Value.partnerSummary.id]],0),10)</f>
        <v>Slovenija (SI)</v>
      </c>
      <c r="R453" t="str">
        <f>INDEX('Partner data'!$A$2:$DG$171,MATCH(#REF!,'Partner data'!$DG$2:$DG$171,0),83)</f>
        <v>Soggetto pubblico</v>
      </c>
      <c r="S453" s="86" t="str">
        <f>IF(#REF!="staff",INDEX('Partner data'!$DG$2:$DH$171,MATCH(#REF!,'Partner data'!$DG$2:$DG$171,0),2))</f>
        <v>COSTO REALE</v>
      </c>
    </row>
    <row r="454" spans="1:19" x14ac:dyDescent="0.25">
      <c r="A454" s="1" t="s">
        <v>365</v>
      </c>
      <c r="B454" s="1" t="s">
        <v>370</v>
      </c>
      <c r="C454" s="13">
        <v>249</v>
      </c>
      <c r="D454" s="13">
        <v>299</v>
      </c>
      <c r="E454" s="1" t="s">
        <v>229</v>
      </c>
      <c r="F454" s="1">
        <v>15</v>
      </c>
      <c r="G454" s="1">
        <v>17064</v>
      </c>
      <c r="H454" s="1">
        <v>0</v>
      </c>
      <c r="I454" s="1">
        <v>0</v>
      </c>
      <c r="J454" s="1">
        <v>0</v>
      </c>
      <c r="K454" s="1">
        <v>0</v>
      </c>
      <c r="L454" s="1">
        <v>0</v>
      </c>
      <c r="M454" s="1">
        <v>0</v>
      </c>
      <c r="N454" s="1">
        <v>0</v>
      </c>
      <c r="O454" s="1">
        <v>17064</v>
      </c>
      <c r="P454" s="1">
        <v>0</v>
      </c>
      <c r="Q454" t="str">
        <f>INDEX(pARTNER[#All],MATCH(#REF!,pARTNER[[#All],[Value.partnerSummary.id]],0),10)</f>
        <v>Slovenija (SI)</v>
      </c>
      <c r="R454" t="str">
        <f>INDEX('Partner data'!$A$2:$DG$171,MATCH(#REF!,'Partner data'!$DG$2:$DG$171,0),83)</f>
        <v>Soggetto pubblico</v>
      </c>
      <c r="S454" s="86" t="b">
        <f>IF(#REF!="staff",INDEX('Partner data'!$DG$2:$DH$171,MATCH(#REF!,'Partner data'!$DG$2:$DG$171,0),2))</f>
        <v>0</v>
      </c>
    </row>
    <row r="455" spans="1:19" x14ac:dyDescent="0.25">
      <c r="A455" s="1" t="s">
        <v>365</v>
      </c>
      <c r="B455" s="1" t="s">
        <v>370</v>
      </c>
      <c r="C455" s="13">
        <v>249</v>
      </c>
      <c r="D455" s="13">
        <v>299</v>
      </c>
      <c r="E455" s="1" t="s">
        <v>230</v>
      </c>
      <c r="F455" s="1">
        <v>4</v>
      </c>
      <c r="G455" s="1">
        <v>4550.3999999999996</v>
      </c>
      <c r="H455" s="1">
        <v>0</v>
      </c>
      <c r="I455" s="1">
        <v>0</v>
      </c>
      <c r="J455" s="1">
        <v>0</v>
      </c>
      <c r="K455" s="1">
        <v>0</v>
      </c>
      <c r="L455" s="1">
        <v>0</v>
      </c>
      <c r="M455" s="1">
        <v>0</v>
      </c>
      <c r="N455" s="1">
        <v>0</v>
      </c>
      <c r="O455" s="1">
        <v>4550.3999999999996</v>
      </c>
      <c r="P455" s="1">
        <v>0</v>
      </c>
      <c r="Q455" t="str">
        <f>INDEX(pARTNER[#All],MATCH(#REF!,pARTNER[[#All],[Value.partnerSummary.id]],0),10)</f>
        <v>Slovenija (SI)</v>
      </c>
      <c r="R455" t="str">
        <f>INDEX('Partner data'!$A$2:$DG$171,MATCH(#REF!,'Partner data'!$DG$2:$DG$171,0),83)</f>
        <v>Soggetto pubblico</v>
      </c>
      <c r="S455" s="86" t="b">
        <f>IF(#REF!="staff",INDEX('Partner data'!$DG$2:$DH$171,MATCH(#REF!,'Partner data'!$DG$2:$DG$171,0),2))</f>
        <v>0</v>
      </c>
    </row>
    <row r="456" spans="1:19" x14ac:dyDescent="0.25">
      <c r="A456" s="1" t="s">
        <v>365</v>
      </c>
      <c r="B456" s="1" t="s">
        <v>370</v>
      </c>
      <c r="C456" s="13">
        <v>249</v>
      </c>
      <c r="D456" s="13">
        <v>299</v>
      </c>
      <c r="E456" s="1" t="s">
        <v>231</v>
      </c>
      <c r="F456" s="1"/>
      <c r="G456" s="1">
        <v>4600</v>
      </c>
      <c r="H456" s="1">
        <v>0</v>
      </c>
      <c r="I456" s="1">
        <v>0</v>
      </c>
      <c r="J456" s="1">
        <v>0</v>
      </c>
      <c r="K456" s="1">
        <v>0</v>
      </c>
      <c r="L456" s="1">
        <v>0</v>
      </c>
      <c r="M456" s="1">
        <v>0</v>
      </c>
      <c r="N456" s="1">
        <v>0</v>
      </c>
      <c r="O456" s="1">
        <v>4600</v>
      </c>
      <c r="P456" s="1">
        <v>0</v>
      </c>
      <c r="Q456" t="str">
        <f>INDEX(pARTNER[#All],MATCH(#REF!,pARTNER[[#All],[Value.partnerSummary.id]],0),10)</f>
        <v>Slovenija (SI)</v>
      </c>
      <c r="R456" t="str">
        <f>INDEX('Partner data'!$A$2:$DG$171,MATCH(#REF!,'Partner data'!$DG$2:$DG$171,0),83)</f>
        <v>Soggetto pubblico</v>
      </c>
      <c r="S456" s="86" t="b">
        <f>IF(#REF!="staff",INDEX('Partner data'!$DG$2:$DH$171,MATCH(#REF!,'Partner data'!$DG$2:$DG$171,0),2))</f>
        <v>0</v>
      </c>
    </row>
    <row r="457" spans="1:19" x14ac:dyDescent="0.25">
      <c r="A457" s="1" t="s">
        <v>365</v>
      </c>
      <c r="B457" s="1" t="s">
        <v>370</v>
      </c>
      <c r="C457" s="13">
        <v>249</v>
      </c>
      <c r="D457" s="13">
        <v>299</v>
      </c>
      <c r="E457" s="1" t="s">
        <v>232</v>
      </c>
      <c r="F457" s="1"/>
      <c r="G457" s="1">
        <v>0</v>
      </c>
      <c r="H457" s="1">
        <v>0</v>
      </c>
      <c r="I457" s="1">
        <v>0</v>
      </c>
      <c r="J457" s="1">
        <v>0</v>
      </c>
      <c r="K457" s="1">
        <v>0</v>
      </c>
      <c r="L457" s="1">
        <v>0</v>
      </c>
      <c r="M457" s="1">
        <v>0</v>
      </c>
      <c r="N457" s="1">
        <v>0</v>
      </c>
      <c r="O457" s="1">
        <v>0</v>
      </c>
      <c r="P457" s="1">
        <v>0</v>
      </c>
      <c r="Q457" t="str">
        <f>INDEX(pARTNER[#All],MATCH(#REF!,pARTNER[[#All],[Value.partnerSummary.id]],0),10)</f>
        <v>Slovenija (SI)</v>
      </c>
      <c r="R457" t="str">
        <f>INDEX('Partner data'!$A$2:$DG$171,MATCH(#REF!,'Partner data'!$DG$2:$DG$171,0),83)</f>
        <v>Soggetto pubblico</v>
      </c>
      <c r="S457" s="86" t="b">
        <f>IF(#REF!="staff",INDEX('Partner data'!$DG$2:$DH$171,MATCH(#REF!,'Partner data'!$DG$2:$DG$171,0),2))</f>
        <v>0</v>
      </c>
    </row>
    <row r="458" spans="1:19" x14ac:dyDescent="0.25">
      <c r="A458" s="1" t="s">
        <v>365</v>
      </c>
      <c r="B458" s="1" t="s">
        <v>370</v>
      </c>
      <c r="C458" s="13">
        <v>249</v>
      </c>
      <c r="D458" s="13">
        <v>299</v>
      </c>
      <c r="E458" s="1" t="s">
        <v>233</v>
      </c>
      <c r="F458" s="1"/>
      <c r="G458" s="1">
        <v>0</v>
      </c>
      <c r="H458" s="1">
        <v>0</v>
      </c>
      <c r="I458" s="1">
        <v>0</v>
      </c>
      <c r="J458" s="1">
        <v>0</v>
      </c>
      <c r="K458" s="1">
        <v>0</v>
      </c>
      <c r="L458" s="1">
        <v>0</v>
      </c>
      <c r="M458" s="1">
        <v>0</v>
      </c>
      <c r="N458" s="1">
        <v>0</v>
      </c>
      <c r="O458" s="1">
        <v>0</v>
      </c>
      <c r="P458" s="1">
        <v>0</v>
      </c>
      <c r="Q458" t="str">
        <f>INDEX(pARTNER[#All],MATCH(#REF!,pARTNER[[#All],[Value.partnerSummary.id]],0),10)</f>
        <v>Slovenija (SI)</v>
      </c>
      <c r="R458" t="str">
        <f>INDEX('Partner data'!$A$2:$DG$171,MATCH(#REF!,'Partner data'!$DG$2:$DG$171,0),83)</f>
        <v>Soggetto pubblico</v>
      </c>
      <c r="S458" s="86" t="b">
        <f>IF(#REF!="staff",INDEX('Partner data'!$DG$2:$DH$171,MATCH(#REF!,'Partner data'!$DG$2:$DG$171,0),2))</f>
        <v>0</v>
      </c>
    </row>
    <row r="459" spans="1:19" x14ac:dyDescent="0.25">
      <c r="A459" s="1" t="s">
        <v>365</v>
      </c>
      <c r="B459" s="1" t="s">
        <v>370</v>
      </c>
      <c r="C459" s="13">
        <v>249</v>
      </c>
      <c r="D459" s="13">
        <v>299</v>
      </c>
      <c r="E459" s="1" t="s">
        <v>234</v>
      </c>
      <c r="F459" s="1"/>
      <c r="G459" s="1">
        <v>0</v>
      </c>
      <c r="H459" s="1">
        <v>0</v>
      </c>
      <c r="I459" s="1">
        <v>0</v>
      </c>
      <c r="J459" s="1">
        <v>0</v>
      </c>
      <c r="K459" s="1">
        <v>0</v>
      </c>
      <c r="L459" s="1">
        <v>0</v>
      </c>
      <c r="M459" s="1">
        <v>0</v>
      </c>
      <c r="N459" s="1">
        <v>0</v>
      </c>
      <c r="O459" s="1">
        <v>0</v>
      </c>
      <c r="P459" s="1">
        <v>0</v>
      </c>
      <c r="Q459" t="str">
        <f>INDEX(pARTNER[#All],MATCH(#REF!,pARTNER[[#All],[Value.partnerSummary.id]],0),10)</f>
        <v>Slovenija (SI)</v>
      </c>
      <c r="R459" t="str">
        <f>INDEX('Partner data'!$A$2:$DG$171,MATCH(#REF!,'Partner data'!$DG$2:$DG$171,0),83)</f>
        <v>Soggetto pubblico</v>
      </c>
      <c r="S459" s="86" t="b">
        <f>IF(#REF!="staff",INDEX('Partner data'!$DG$2:$DH$171,MATCH(#REF!,'Partner data'!$DG$2:$DG$171,0),2))</f>
        <v>0</v>
      </c>
    </row>
    <row r="460" spans="1:19" x14ac:dyDescent="0.25">
      <c r="A460" s="1" t="s">
        <v>365</v>
      </c>
      <c r="B460" s="1" t="s">
        <v>370</v>
      </c>
      <c r="C460" s="13">
        <v>249</v>
      </c>
      <c r="D460" s="13">
        <v>299</v>
      </c>
      <c r="E460" s="1" t="s">
        <v>235</v>
      </c>
      <c r="F460" s="1"/>
      <c r="G460" s="1">
        <v>0</v>
      </c>
      <c r="H460" s="1">
        <v>0</v>
      </c>
      <c r="I460" s="1">
        <v>0</v>
      </c>
      <c r="J460" s="1">
        <v>0</v>
      </c>
      <c r="K460" s="1">
        <v>0</v>
      </c>
      <c r="L460" s="1">
        <v>0</v>
      </c>
      <c r="M460" s="1">
        <v>0</v>
      </c>
      <c r="N460" s="1">
        <v>0</v>
      </c>
      <c r="O460" s="1">
        <v>0</v>
      </c>
      <c r="P460" s="1">
        <v>0</v>
      </c>
      <c r="Q460" t="str">
        <f>INDEX(pARTNER[#All],MATCH(#REF!,pARTNER[[#All],[Value.partnerSummary.id]],0),10)</f>
        <v>Slovenija (SI)</v>
      </c>
      <c r="R460" t="str">
        <f>INDEX('Partner data'!$A$2:$DG$171,MATCH(#REF!,'Partner data'!$DG$2:$DG$171,0),83)</f>
        <v>Soggetto pubblico</v>
      </c>
      <c r="S460" s="86" t="b">
        <f>IF(#REF!="staff",INDEX('Partner data'!$DG$2:$DH$171,MATCH(#REF!,'Partner data'!$DG$2:$DG$171,0),2))</f>
        <v>0</v>
      </c>
    </row>
    <row r="461" spans="1:19" x14ac:dyDescent="0.25">
      <c r="A461" s="1" t="s">
        <v>365</v>
      </c>
      <c r="B461" s="1" t="s">
        <v>370</v>
      </c>
      <c r="C461" s="13">
        <v>249</v>
      </c>
      <c r="D461" s="13">
        <v>299</v>
      </c>
      <c r="E461" s="1" t="s">
        <v>236</v>
      </c>
      <c r="F461" s="1"/>
      <c r="G461" s="1">
        <v>0</v>
      </c>
      <c r="H461" s="1">
        <v>0</v>
      </c>
      <c r="I461" s="1">
        <v>0</v>
      </c>
      <c r="J461" s="1">
        <v>0</v>
      </c>
      <c r="K461" s="1">
        <v>0</v>
      </c>
      <c r="L461" s="1">
        <v>0</v>
      </c>
      <c r="M461" s="1">
        <v>0</v>
      </c>
      <c r="N461" s="1">
        <v>0</v>
      </c>
      <c r="O461" s="1">
        <v>0</v>
      </c>
      <c r="P461" s="1">
        <v>0</v>
      </c>
      <c r="Q461" t="str">
        <f>INDEX(pARTNER[#All],MATCH(#REF!,pARTNER[[#All],[Value.partnerSummary.id]],0),10)</f>
        <v>Slovenija (SI)</v>
      </c>
      <c r="R461" t="str">
        <f>INDEX('Partner data'!$A$2:$DG$171,MATCH(#REF!,'Partner data'!$DG$2:$DG$171,0),83)</f>
        <v>Soggetto pubblico</v>
      </c>
      <c r="S461" s="86" t="b">
        <f>IF(#REF!="staff",INDEX('Partner data'!$DG$2:$DH$171,MATCH(#REF!,'Partner data'!$DG$2:$DG$171,0),2))</f>
        <v>0</v>
      </c>
    </row>
    <row r="462" spans="1:19" x14ac:dyDescent="0.25">
      <c r="A462" s="1" t="s">
        <v>365</v>
      </c>
      <c r="B462" s="1" t="s">
        <v>370</v>
      </c>
      <c r="C462" s="13">
        <v>249</v>
      </c>
      <c r="D462" s="13">
        <v>299</v>
      </c>
      <c r="E462" s="1" t="s">
        <v>237</v>
      </c>
      <c r="F462" s="1"/>
      <c r="G462" s="1">
        <v>0</v>
      </c>
      <c r="H462" s="1">
        <v>0</v>
      </c>
      <c r="I462" s="1">
        <v>0</v>
      </c>
      <c r="J462" s="1">
        <v>0</v>
      </c>
      <c r="K462" s="1">
        <v>0</v>
      </c>
      <c r="L462" s="1">
        <v>0</v>
      </c>
      <c r="M462" s="1">
        <v>0</v>
      </c>
      <c r="N462" s="1">
        <v>0</v>
      </c>
      <c r="O462" s="1">
        <v>0</v>
      </c>
      <c r="P462" s="1">
        <v>0</v>
      </c>
      <c r="Q462" t="str">
        <f>INDEX(pARTNER[#All],MATCH(#REF!,pARTNER[[#All],[Value.partnerSummary.id]],0),10)</f>
        <v>Slovenija (SI)</v>
      </c>
      <c r="R462" t="str">
        <f>INDEX('Partner data'!$A$2:$DG$171,MATCH(#REF!,'Partner data'!$DG$2:$DG$171,0),83)</f>
        <v>Soggetto pubblico</v>
      </c>
      <c r="S462" s="86" t="b">
        <f>IF(#REF!="staff",INDEX('Partner data'!$DG$2:$DH$171,MATCH(#REF!,'Partner data'!$DG$2:$DG$171,0),2))</f>
        <v>0</v>
      </c>
    </row>
    <row r="463" spans="1:19" x14ac:dyDescent="0.25">
      <c r="A463" s="1" t="s">
        <v>365</v>
      </c>
      <c r="B463" s="1" t="s">
        <v>370</v>
      </c>
      <c r="C463" s="13">
        <v>249</v>
      </c>
      <c r="D463" s="13">
        <v>299</v>
      </c>
      <c r="E463" s="1" t="s">
        <v>238</v>
      </c>
      <c r="F463" s="1"/>
      <c r="G463" s="1">
        <v>139974.39999999999</v>
      </c>
      <c r="H463" s="1">
        <v>0</v>
      </c>
      <c r="I463" s="1">
        <v>0</v>
      </c>
      <c r="J463" s="1">
        <v>0</v>
      </c>
      <c r="K463" s="1">
        <v>0</v>
      </c>
      <c r="L463" s="1">
        <v>0</v>
      </c>
      <c r="M463" s="1">
        <v>0</v>
      </c>
      <c r="N463" s="1">
        <v>0</v>
      </c>
      <c r="O463" s="1">
        <v>139974.39999999999</v>
      </c>
      <c r="P463" s="1">
        <v>0</v>
      </c>
      <c r="Q463" t="str">
        <f>INDEX(pARTNER[#All],MATCH(#REF!,pARTNER[[#All],[Value.partnerSummary.id]],0),10)</f>
        <v>Slovenija (SI)</v>
      </c>
      <c r="R463" t="str">
        <f>INDEX('Partner data'!$A$2:$DG$171,MATCH(#REF!,'Partner data'!$DG$2:$DG$171,0),83)</f>
        <v>Soggetto pubblico</v>
      </c>
      <c r="S463" s="86" t="b">
        <f>IF(#REF!="staff",INDEX('Partner data'!$DG$2:$DH$171,MATCH(#REF!,'Partner data'!$DG$2:$DG$171,0),2))</f>
        <v>0</v>
      </c>
    </row>
    <row r="464" spans="1:19" x14ac:dyDescent="0.25">
      <c r="A464" s="1" t="s">
        <v>250</v>
      </c>
      <c r="B464" s="1" t="s">
        <v>252</v>
      </c>
      <c r="C464" s="13">
        <v>29</v>
      </c>
      <c r="D464" s="13">
        <v>323</v>
      </c>
      <c r="E464" s="1" t="s">
        <v>228</v>
      </c>
      <c r="F464" s="1"/>
      <c r="G464" s="1">
        <v>60796</v>
      </c>
      <c r="H464" s="1">
        <v>0</v>
      </c>
      <c r="I464" s="1">
        <v>0</v>
      </c>
      <c r="J464" s="1">
        <v>9847</v>
      </c>
      <c r="K464" s="1">
        <v>0</v>
      </c>
      <c r="L464" s="1">
        <v>9847</v>
      </c>
      <c r="M464" s="1">
        <v>9847</v>
      </c>
      <c r="N464" s="1">
        <v>16.2</v>
      </c>
      <c r="O464" s="1">
        <v>50949</v>
      </c>
      <c r="P464" s="1">
        <v>0</v>
      </c>
      <c r="Q464" t="str">
        <f>INDEX(pARTNER[#All],MATCH(#REF!,pARTNER[[#All],[Value.partnerSummary.id]],0),10)</f>
        <v>Italia (IT)</v>
      </c>
      <c r="R464" t="str">
        <f>INDEX('Partner data'!$A$2:$DG$171,MATCH(#REF!,'Partner data'!$DG$2:$DG$171,0),83)</f>
        <v>Soggetto pubblico</v>
      </c>
      <c r="S464" s="86" t="str">
        <f>IF(#REF!="staff",INDEX('Partner data'!$DG$2:$DH$171,MATCH(#REF!,'Partner data'!$DG$2:$DG$171,0),2))</f>
        <v>Costo Unitario Standard</v>
      </c>
    </row>
    <row r="465" spans="1:19" x14ac:dyDescent="0.25">
      <c r="A465" s="1" t="s">
        <v>250</v>
      </c>
      <c r="B465" s="1" t="s">
        <v>252</v>
      </c>
      <c r="C465" s="13">
        <v>29</v>
      </c>
      <c r="D465" s="13">
        <v>323</v>
      </c>
      <c r="E465" s="1" t="s">
        <v>229</v>
      </c>
      <c r="F465" s="1">
        <v>15</v>
      </c>
      <c r="G465" s="1">
        <v>9119.4</v>
      </c>
      <c r="H465" s="1">
        <v>0</v>
      </c>
      <c r="I465" s="1">
        <v>0</v>
      </c>
      <c r="J465" s="1">
        <v>1477.05</v>
      </c>
      <c r="K465" s="1">
        <v>0</v>
      </c>
      <c r="L465" s="1">
        <v>1477.05</v>
      </c>
      <c r="M465" s="1">
        <v>1477.05</v>
      </c>
      <c r="N465" s="1">
        <v>16.2</v>
      </c>
      <c r="O465" s="1">
        <v>7642.35</v>
      </c>
      <c r="P465" s="1">
        <v>0</v>
      </c>
      <c r="Q465" t="str">
        <f>INDEX(pARTNER[#All],MATCH(#REF!,pARTNER[[#All],[Value.partnerSummary.id]],0),10)</f>
        <v>Italia (IT)</v>
      </c>
      <c r="R465" t="str">
        <f>INDEX('Partner data'!$A$2:$DG$171,MATCH(#REF!,'Partner data'!$DG$2:$DG$171,0),83)</f>
        <v>Soggetto pubblico</v>
      </c>
      <c r="S465" s="86" t="b">
        <f>IF(#REF!="staff",INDEX('Partner data'!$DG$2:$DH$171,MATCH(#REF!,'Partner data'!$DG$2:$DG$171,0),2))</f>
        <v>0</v>
      </c>
    </row>
    <row r="466" spans="1:19" x14ac:dyDescent="0.25">
      <c r="A466" s="1" t="s">
        <v>250</v>
      </c>
      <c r="B466" s="1" t="s">
        <v>252</v>
      </c>
      <c r="C466" s="13">
        <v>29</v>
      </c>
      <c r="D466" s="13">
        <v>323</v>
      </c>
      <c r="E466" s="1" t="s">
        <v>230</v>
      </c>
      <c r="F466" s="1">
        <v>4</v>
      </c>
      <c r="G466" s="1">
        <v>2431.84</v>
      </c>
      <c r="H466" s="1">
        <v>0</v>
      </c>
      <c r="I466" s="1">
        <v>0</v>
      </c>
      <c r="J466" s="1">
        <v>393.88</v>
      </c>
      <c r="K466" s="1">
        <v>0</v>
      </c>
      <c r="L466" s="1">
        <v>393.88</v>
      </c>
      <c r="M466" s="1">
        <v>393.88</v>
      </c>
      <c r="N466" s="1">
        <v>16.2</v>
      </c>
      <c r="O466" s="1">
        <v>2037.96</v>
      </c>
      <c r="P466" s="1">
        <v>0</v>
      </c>
      <c r="Q466" t="str">
        <f>INDEX(pARTNER[#All],MATCH(#REF!,pARTNER[[#All],[Value.partnerSummary.id]],0),10)</f>
        <v>Italia (IT)</v>
      </c>
      <c r="R466" t="str">
        <f>INDEX('Partner data'!$A$2:$DG$171,MATCH(#REF!,'Partner data'!$DG$2:$DG$171,0),83)</f>
        <v>Soggetto pubblico</v>
      </c>
      <c r="S466" s="86" t="b">
        <f>IF(#REF!="staff",INDEX('Partner data'!$DG$2:$DH$171,MATCH(#REF!,'Partner data'!$DG$2:$DG$171,0),2))</f>
        <v>0</v>
      </c>
    </row>
    <row r="467" spans="1:19" x14ac:dyDescent="0.25">
      <c r="A467" s="1" t="s">
        <v>250</v>
      </c>
      <c r="B467" s="1" t="s">
        <v>252</v>
      </c>
      <c r="C467" s="13">
        <v>29</v>
      </c>
      <c r="D467" s="13">
        <v>323</v>
      </c>
      <c r="E467" s="1" t="s">
        <v>231</v>
      </c>
      <c r="F467" s="1"/>
      <c r="G467" s="1">
        <v>6804.16</v>
      </c>
      <c r="H467" s="1">
        <v>0</v>
      </c>
      <c r="I467" s="1">
        <v>0</v>
      </c>
      <c r="J467" s="1">
        <v>0</v>
      </c>
      <c r="K467" s="1">
        <v>0</v>
      </c>
      <c r="L467" s="1">
        <v>0</v>
      </c>
      <c r="M467" s="1">
        <v>0</v>
      </c>
      <c r="N467" s="1">
        <v>0</v>
      </c>
      <c r="O467" s="1">
        <v>6804.16</v>
      </c>
      <c r="P467" s="1">
        <v>0</v>
      </c>
      <c r="Q467" t="str">
        <f>INDEX(pARTNER[#All],MATCH(#REF!,pARTNER[[#All],[Value.partnerSummary.id]],0),10)</f>
        <v>Italia (IT)</v>
      </c>
      <c r="R467" t="str">
        <f>INDEX('Partner data'!$A$2:$DG$171,MATCH(#REF!,'Partner data'!$DG$2:$DG$171,0),83)</f>
        <v>Soggetto pubblico</v>
      </c>
      <c r="S467" s="86" t="b">
        <f>IF(#REF!="staff",INDEX('Partner data'!$DG$2:$DH$171,MATCH(#REF!,'Partner data'!$DG$2:$DG$171,0),2))</f>
        <v>0</v>
      </c>
    </row>
    <row r="468" spans="1:19" x14ac:dyDescent="0.25">
      <c r="A468" s="1" t="s">
        <v>250</v>
      </c>
      <c r="B468" s="1" t="s">
        <v>252</v>
      </c>
      <c r="C468" s="13">
        <v>29</v>
      </c>
      <c r="D468" s="13">
        <v>323</v>
      </c>
      <c r="E468" s="1" t="s">
        <v>232</v>
      </c>
      <c r="F468" s="1"/>
      <c r="G468" s="1">
        <v>1000</v>
      </c>
      <c r="H468" s="1">
        <v>0</v>
      </c>
      <c r="I468" s="1">
        <v>0</v>
      </c>
      <c r="J468" s="1">
        <v>0</v>
      </c>
      <c r="K468" s="1">
        <v>0</v>
      </c>
      <c r="L468" s="1">
        <v>0</v>
      </c>
      <c r="M468" s="1">
        <v>0</v>
      </c>
      <c r="N468" s="1">
        <v>0</v>
      </c>
      <c r="O468" s="1">
        <v>1000</v>
      </c>
      <c r="P468" s="1">
        <v>0</v>
      </c>
      <c r="Q468" t="str">
        <f>INDEX(pARTNER[#All],MATCH(#REF!,pARTNER[[#All],[Value.partnerSummary.id]],0),10)</f>
        <v>Italia (IT)</v>
      </c>
      <c r="R468" t="str">
        <f>INDEX('Partner data'!$A$2:$DG$171,MATCH(#REF!,'Partner data'!$DG$2:$DG$171,0),83)</f>
        <v>Soggetto pubblico</v>
      </c>
      <c r="S468" s="86" t="b">
        <f>IF(#REF!="staff",INDEX('Partner data'!$DG$2:$DH$171,MATCH(#REF!,'Partner data'!$DG$2:$DG$171,0),2))</f>
        <v>0</v>
      </c>
    </row>
    <row r="469" spans="1:19" x14ac:dyDescent="0.25">
      <c r="A469" s="1" t="s">
        <v>250</v>
      </c>
      <c r="B469" s="1" t="s">
        <v>252</v>
      </c>
      <c r="C469" s="13">
        <v>29</v>
      </c>
      <c r="D469" s="13">
        <v>323</v>
      </c>
      <c r="E469" s="1" t="s">
        <v>233</v>
      </c>
      <c r="F469" s="1"/>
      <c r="G469" s="1">
        <v>0</v>
      </c>
      <c r="H469" s="1">
        <v>0</v>
      </c>
      <c r="I469" s="1">
        <v>0</v>
      </c>
      <c r="J469" s="1">
        <v>0</v>
      </c>
      <c r="K469" s="1">
        <v>0</v>
      </c>
      <c r="L469" s="1">
        <v>0</v>
      </c>
      <c r="M469" s="1">
        <v>0</v>
      </c>
      <c r="N469" s="1">
        <v>0</v>
      </c>
      <c r="O469" s="1">
        <v>0</v>
      </c>
      <c r="P469" s="1">
        <v>0</v>
      </c>
      <c r="Q469" t="str">
        <f>INDEX(pARTNER[#All],MATCH(#REF!,pARTNER[[#All],[Value.partnerSummary.id]],0),10)</f>
        <v>Italia (IT)</v>
      </c>
      <c r="R469" t="str">
        <f>INDEX('Partner data'!$A$2:$DG$171,MATCH(#REF!,'Partner data'!$DG$2:$DG$171,0),83)</f>
        <v>Soggetto pubblico</v>
      </c>
      <c r="S469" s="86" t="b">
        <f>IF(#REF!="staff",INDEX('Partner data'!$DG$2:$DH$171,MATCH(#REF!,'Partner data'!$DG$2:$DG$171,0),2))</f>
        <v>0</v>
      </c>
    </row>
    <row r="470" spans="1:19" x14ac:dyDescent="0.25">
      <c r="A470" s="1" t="s">
        <v>250</v>
      </c>
      <c r="B470" s="1" t="s">
        <v>252</v>
      </c>
      <c r="C470" s="13">
        <v>29</v>
      </c>
      <c r="D470" s="13">
        <v>323</v>
      </c>
      <c r="E470" s="1" t="s">
        <v>234</v>
      </c>
      <c r="F470" s="1"/>
      <c r="G470" s="1">
        <v>0</v>
      </c>
      <c r="H470" s="1">
        <v>0</v>
      </c>
      <c r="I470" s="1">
        <v>0</v>
      </c>
      <c r="J470" s="1">
        <v>0</v>
      </c>
      <c r="K470" s="1">
        <v>0</v>
      </c>
      <c r="L470" s="1">
        <v>0</v>
      </c>
      <c r="M470" s="1">
        <v>0</v>
      </c>
      <c r="N470" s="1">
        <v>0</v>
      </c>
      <c r="O470" s="1">
        <v>0</v>
      </c>
      <c r="P470" s="1">
        <v>0</v>
      </c>
      <c r="Q470" t="str">
        <f>INDEX(pARTNER[#All],MATCH(#REF!,pARTNER[[#All],[Value.partnerSummary.id]],0),10)</f>
        <v>Italia (IT)</v>
      </c>
      <c r="R470" t="str">
        <f>INDEX('Partner data'!$A$2:$DG$171,MATCH(#REF!,'Partner data'!$DG$2:$DG$171,0),83)</f>
        <v>Soggetto pubblico</v>
      </c>
      <c r="S470" s="86" t="b">
        <f>IF(#REF!="staff",INDEX('Partner data'!$DG$2:$DH$171,MATCH(#REF!,'Partner data'!$DG$2:$DG$171,0),2))</f>
        <v>0</v>
      </c>
    </row>
    <row r="471" spans="1:19" x14ac:dyDescent="0.25">
      <c r="A471" s="1" t="s">
        <v>250</v>
      </c>
      <c r="B471" s="1" t="s">
        <v>252</v>
      </c>
      <c r="C471" s="13">
        <v>29</v>
      </c>
      <c r="D471" s="13">
        <v>323</v>
      </c>
      <c r="E471" s="1" t="s">
        <v>235</v>
      </c>
      <c r="F471" s="1"/>
      <c r="G471" s="1">
        <v>0</v>
      </c>
      <c r="H471" s="1">
        <v>0</v>
      </c>
      <c r="I471" s="1">
        <v>0</v>
      </c>
      <c r="J471" s="1">
        <v>0</v>
      </c>
      <c r="K471" s="1">
        <v>0</v>
      </c>
      <c r="L471" s="1">
        <v>0</v>
      </c>
      <c r="M471" s="1">
        <v>0</v>
      </c>
      <c r="N471" s="1">
        <v>0</v>
      </c>
      <c r="O471" s="1">
        <v>0</v>
      </c>
      <c r="P471" s="1">
        <v>0</v>
      </c>
      <c r="Q471" t="str">
        <f>INDEX(pARTNER[#All],MATCH(#REF!,pARTNER[[#All],[Value.partnerSummary.id]],0),10)</f>
        <v>Italia (IT)</v>
      </c>
      <c r="R471" t="str">
        <f>INDEX('Partner data'!$A$2:$DG$171,MATCH(#REF!,'Partner data'!$DG$2:$DG$171,0),83)</f>
        <v>Soggetto pubblico</v>
      </c>
      <c r="S471" s="86" t="b">
        <f>IF(#REF!="staff",INDEX('Partner data'!$DG$2:$DH$171,MATCH(#REF!,'Partner data'!$DG$2:$DG$171,0),2))</f>
        <v>0</v>
      </c>
    </row>
    <row r="472" spans="1:19" x14ac:dyDescent="0.25">
      <c r="A472" s="1" t="s">
        <v>250</v>
      </c>
      <c r="B472" s="1" t="s">
        <v>252</v>
      </c>
      <c r="C472" s="13">
        <v>29</v>
      </c>
      <c r="D472" s="13">
        <v>323</v>
      </c>
      <c r="E472" s="1" t="s">
        <v>236</v>
      </c>
      <c r="F472" s="1"/>
      <c r="G472" s="1">
        <v>0</v>
      </c>
      <c r="H472" s="1">
        <v>0</v>
      </c>
      <c r="I472" s="1">
        <v>0</v>
      </c>
      <c r="J472" s="1">
        <v>0</v>
      </c>
      <c r="K472" s="1">
        <v>0</v>
      </c>
      <c r="L472" s="1">
        <v>0</v>
      </c>
      <c r="M472" s="1">
        <v>0</v>
      </c>
      <c r="N472" s="1">
        <v>0</v>
      </c>
      <c r="O472" s="1">
        <v>0</v>
      </c>
      <c r="P472" s="1">
        <v>0</v>
      </c>
      <c r="Q472" t="str">
        <f>INDEX(pARTNER[#All],MATCH(#REF!,pARTNER[[#All],[Value.partnerSummary.id]],0),10)</f>
        <v>Italia (IT)</v>
      </c>
      <c r="R472" t="str">
        <f>INDEX('Partner data'!$A$2:$DG$171,MATCH(#REF!,'Partner data'!$DG$2:$DG$171,0),83)</f>
        <v>Soggetto pubblico</v>
      </c>
      <c r="S472" s="86" t="b">
        <f>IF(#REF!="staff",INDEX('Partner data'!$DG$2:$DH$171,MATCH(#REF!,'Partner data'!$DG$2:$DG$171,0),2))</f>
        <v>0</v>
      </c>
    </row>
    <row r="473" spans="1:19" x14ac:dyDescent="0.25">
      <c r="A473" s="1" t="s">
        <v>250</v>
      </c>
      <c r="B473" s="1" t="s">
        <v>252</v>
      </c>
      <c r="C473" s="13">
        <v>29</v>
      </c>
      <c r="D473" s="13">
        <v>323</v>
      </c>
      <c r="E473" s="1" t="s">
        <v>237</v>
      </c>
      <c r="F473" s="1"/>
      <c r="G473" s="1">
        <v>0</v>
      </c>
      <c r="H473" s="1">
        <v>0</v>
      </c>
      <c r="I473" s="1">
        <v>0</v>
      </c>
      <c r="J473" s="1">
        <v>0</v>
      </c>
      <c r="K473" s="1">
        <v>0</v>
      </c>
      <c r="L473" s="1">
        <v>0</v>
      </c>
      <c r="M473" s="1">
        <v>0</v>
      </c>
      <c r="N473" s="1">
        <v>0</v>
      </c>
      <c r="O473" s="1">
        <v>0</v>
      </c>
      <c r="P473" s="1">
        <v>0</v>
      </c>
      <c r="Q473" t="str">
        <f>INDEX(pARTNER[#All],MATCH(#REF!,pARTNER[[#All],[Value.partnerSummary.id]],0),10)</f>
        <v>Italia (IT)</v>
      </c>
      <c r="R473" t="str">
        <f>INDEX('Partner data'!$A$2:$DG$171,MATCH(#REF!,'Partner data'!$DG$2:$DG$171,0),83)</f>
        <v>Soggetto pubblico</v>
      </c>
      <c r="S473" s="86" t="b">
        <f>IF(#REF!="staff",INDEX('Partner data'!$DG$2:$DH$171,MATCH(#REF!,'Partner data'!$DG$2:$DG$171,0),2))</f>
        <v>0</v>
      </c>
    </row>
    <row r="474" spans="1:19" x14ac:dyDescent="0.25">
      <c r="A474" s="1" t="s">
        <v>250</v>
      </c>
      <c r="B474" s="1" t="s">
        <v>252</v>
      </c>
      <c r="C474" s="13">
        <v>29</v>
      </c>
      <c r="D474" s="13">
        <v>323</v>
      </c>
      <c r="E474" s="1" t="s">
        <v>238</v>
      </c>
      <c r="F474" s="1"/>
      <c r="G474" s="1">
        <v>80151.399999999994</v>
      </c>
      <c r="H474" s="1">
        <v>0</v>
      </c>
      <c r="I474" s="1">
        <v>0</v>
      </c>
      <c r="J474" s="1">
        <v>11717.93</v>
      </c>
      <c r="K474" s="1">
        <v>0</v>
      </c>
      <c r="L474" s="1">
        <v>11717.93</v>
      </c>
      <c r="M474" s="1">
        <v>11717.93</v>
      </c>
      <c r="N474" s="1">
        <v>14.62</v>
      </c>
      <c r="O474" s="1">
        <v>68433.47</v>
      </c>
      <c r="P474" s="1">
        <v>0</v>
      </c>
      <c r="Q474" t="str">
        <f>INDEX(pARTNER[#All],MATCH(#REF!,pARTNER[[#All],[Value.partnerSummary.id]],0),10)</f>
        <v>Italia (IT)</v>
      </c>
      <c r="R474" t="str">
        <f>INDEX('Partner data'!$A$2:$DG$171,MATCH(#REF!,'Partner data'!$DG$2:$DG$171,0),83)</f>
        <v>Soggetto pubblico</v>
      </c>
      <c r="S474" s="86" t="b">
        <f>IF(#REF!="staff",INDEX('Partner data'!$DG$2:$DH$171,MATCH(#REF!,'Partner data'!$DG$2:$DG$171,0),2))</f>
        <v>0</v>
      </c>
    </row>
    <row r="475" spans="1:19" x14ac:dyDescent="0.25">
      <c r="A475" s="1" t="s">
        <v>250</v>
      </c>
      <c r="B475" s="1" t="s">
        <v>256</v>
      </c>
      <c r="C475" s="13">
        <v>31</v>
      </c>
      <c r="D475" s="13">
        <v>250</v>
      </c>
      <c r="E475" s="1" t="s">
        <v>228</v>
      </c>
      <c r="F475" s="1"/>
      <c r="G475" s="1">
        <v>108880</v>
      </c>
      <c r="H475" s="1">
        <v>0</v>
      </c>
      <c r="I475" s="1">
        <v>0</v>
      </c>
      <c r="J475" s="1">
        <v>33882.78</v>
      </c>
      <c r="K475" s="1">
        <v>0</v>
      </c>
      <c r="L475" s="1">
        <v>26909.62</v>
      </c>
      <c r="M475" s="1">
        <v>33882.78</v>
      </c>
      <c r="N475" s="1">
        <v>31.12</v>
      </c>
      <c r="O475" s="1">
        <v>74997.22</v>
      </c>
      <c r="P475" s="1">
        <v>0</v>
      </c>
      <c r="Q475" t="str">
        <f>INDEX(pARTNER[#All],MATCH(#REF!,pARTNER[[#All],[Value.partnerSummary.id]],0),10)</f>
        <v>Slovenija (SI)</v>
      </c>
      <c r="R475" t="str">
        <f>INDEX('Partner data'!$A$2:$DG$171,MATCH(#REF!,'Partner data'!$DG$2:$DG$171,0),83)</f>
        <v>Soggetto privato</v>
      </c>
      <c r="S475" s="86" t="str">
        <f>IF(#REF!="staff",INDEX('Partner data'!$DG$2:$DH$171,MATCH(#REF!,'Partner data'!$DG$2:$DG$171,0),2))</f>
        <v>COSTO REALE</v>
      </c>
    </row>
    <row r="476" spans="1:19" x14ac:dyDescent="0.25">
      <c r="A476" s="1" t="s">
        <v>250</v>
      </c>
      <c r="B476" s="1" t="s">
        <v>256</v>
      </c>
      <c r="C476" s="13">
        <v>31</v>
      </c>
      <c r="D476" s="13">
        <v>250</v>
      </c>
      <c r="E476" s="1" t="s">
        <v>229</v>
      </c>
      <c r="F476" s="1">
        <v>15</v>
      </c>
      <c r="G476" s="1">
        <v>16332</v>
      </c>
      <c r="H476" s="1">
        <v>0</v>
      </c>
      <c r="I476" s="1">
        <v>0</v>
      </c>
      <c r="J476" s="1">
        <v>5082.41</v>
      </c>
      <c r="K476" s="1">
        <v>0</v>
      </c>
      <c r="L476" s="1">
        <v>4036.44</v>
      </c>
      <c r="M476" s="1">
        <v>5082.41</v>
      </c>
      <c r="N476" s="1">
        <v>31.12</v>
      </c>
      <c r="O476" s="1">
        <v>11249.59</v>
      </c>
      <c r="P476" s="1">
        <v>0</v>
      </c>
      <c r="Q476" t="str">
        <f>INDEX(pARTNER[#All],MATCH(#REF!,pARTNER[[#All],[Value.partnerSummary.id]],0),10)</f>
        <v>Slovenija (SI)</v>
      </c>
      <c r="R476" t="str">
        <f>INDEX('Partner data'!$A$2:$DG$171,MATCH(#REF!,'Partner data'!$DG$2:$DG$171,0),83)</f>
        <v>Soggetto privato</v>
      </c>
      <c r="S476" s="86" t="b">
        <f>IF(#REF!="staff",INDEX('Partner data'!$DG$2:$DH$171,MATCH(#REF!,'Partner data'!$DG$2:$DG$171,0),2))</f>
        <v>0</v>
      </c>
    </row>
    <row r="477" spans="1:19" x14ac:dyDescent="0.25">
      <c r="A477" s="1" t="s">
        <v>250</v>
      </c>
      <c r="B477" s="1" t="s">
        <v>256</v>
      </c>
      <c r="C477" s="13">
        <v>31</v>
      </c>
      <c r="D477" s="13">
        <v>250</v>
      </c>
      <c r="E477" s="1" t="s">
        <v>230</v>
      </c>
      <c r="F477" s="1">
        <v>4</v>
      </c>
      <c r="G477" s="1">
        <v>4355.2</v>
      </c>
      <c r="H477" s="1">
        <v>0</v>
      </c>
      <c r="I477" s="1">
        <v>0</v>
      </c>
      <c r="J477" s="1">
        <v>1355.31</v>
      </c>
      <c r="K477" s="1">
        <v>0</v>
      </c>
      <c r="L477" s="1">
        <v>1076.3800000000001</v>
      </c>
      <c r="M477" s="1">
        <v>1355.31</v>
      </c>
      <c r="N477" s="1">
        <v>31.12</v>
      </c>
      <c r="O477" s="1">
        <v>2999.89</v>
      </c>
      <c r="P477" s="1">
        <v>0</v>
      </c>
      <c r="Q477" t="str">
        <f>INDEX(pARTNER[#All],MATCH(#REF!,pARTNER[[#All],[Value.partnerSummary.id]],0),10)</f>
        <v>Slovenija (SI)</v>
      </c>
      <c r="R477" t="str">
        <f>INDEX('Partner data'!$A$2:$DG$171,MATCH(#REF!,'Partner data'!$DG$2:$DG$171,0),83)</f>
        <v>Soggetto privato</v>
      </c>
      <c r="S477" s="86" t="b">
        <f>IF(#REF!="staff",INDEX('Partner data'!$DG$2:$DH$171,MATCH(#REF!,'Partner data'!$DG$2:$DG$171,0),2))</f>
        <v>0</v>
      </c>
    </row>
    <row r="478" spans="1:19" x14ac:dyDescent="0.25">
      <c r="A478" s="1" t="s">
        <v>250</v>
      </c>
      <c r="B478" s="1" t="s">
        <v>256</v>
      </c>
      <c r="C478" s="13">
        <v>31</v>
      </c>
      <c r="D478" s="13">
        <v>250</v>
      </c>
      <c r="E478" s="1" t="s">
        <v>231</v>
      </c>
      <c r="F478" s="1"/>
      <c r="G478" s="1">
        <v>19500</v>
      </c>
      <c r="H478" s="1">
        <v>0</v>
      </c>
      <c r="I478" s="1">
        <v>0</v>
      </c>
      <c r="J478" s="1">
        <v>0</v>
      </c>
      <c r="K478" s="1">
        <v>0</v>
      </c>
      <c r="L478" s="1">
        <v>0</v>
      </c>
      <c r="M478" s="1">
        <v>0</v>
      </c>
      <c r="N478" s="1">
        <v>0</v>
      </c>
      <c r="O478" s="1">
        <v>19500</v>
      </c>
      <c r="P478" s="1">
        <v>0</v>
      </c>
      <c r="Q478" t="str">
        <f>INDEX(pARTNER[#All],MATCH(#REF!,pARTNER[[#All],[Value.partnerSummary.id]],0),10)</f>
        <v>Slovenija (SI)</v>
      </c>
      <c r="R478" t="str">
        <f>INDEX('Partner data'!$A$2:$DG$171,MATCH(#REF!,'Partner data'!$DG$2:$DG$171,0),83)</f>
        <v>Soggetto privato</v>
      </c>
      <c r="S478" s="86" t="b">
        <f>IF(#REF!="staff",INDEX('Partner data'!$DG$2:$DH$171,MATCH(#REF!,'Partner data'!$DG$2:$DG$171,0),2))</f>
        <v>0</v>
      </c>
    </row>
    <row r="479" spans="1:19" x14ac:dyDescent="0.25">
      <c r="A479" s="1" t="s">
        <v>250</v>
      </c>
      <c r="B479" s="1" t="s">
        <v>256</v>
      </c>
      <c r="C479" s="13">
        <v>31</v>
      </c>
      <c r="D479" s="13">
        <v>250</v>
      </c>
      <c r="E479" s="1" t="s">
        <v>232</v>
      </c>
      <c r="F479" s="1"/>
      <c r="G479" s="1">
        <v>0</v>
      </c>
      <c r="H479" s="1">
        <v>0</v>
      </c>
      <c r="I479" s="1">
        <v>0</v>
      </c>
      <c r="J479" s="1">
        <v>0</v>
      </c>
      <c r="K479" s="1">
        <v>0</v>
      </c>
      <c r="L479" s="1">
        <v>0</v>
      </c>
      <c r="M479" s="1">
        <v>0</v>
      </c>
      <c r="N479" s="1">
        <v>0</v>
      </c>
      <c r="O479" s="1">
        <v>0</v>
      </c>
      <c r="P479" s="1">
        <v>0</v>
      </c>
      <c r="Q479" t="str">
        <f>INDEX(pARTNER[#All],MATCH(#REF!,pARTNER[[#All],[Value.partnerSummary.id]],0),10)</f>
        <v>Slovenija (SI)</v>
      </c>
      <c r="R479" t="str">
        <f>INDEX('Partner data'!$A$2:$DG$171,MATCH(#REF!,'Partner data'!$DG$2:$DG$171,0),83)</f>
        <v>Soggetto privato</v>
      </c>
      <c r="S479" s="86" t="b">
        <f>IF(#REF!="staff",INDEX('Partner data'!$DG$2:$DH$171,MATCH(#REF!,'Partner data'!$DG$2:$DG$171,0),2))</f>
        <v>0</v>
      </c>
    </row>
    <row r="480" spans="1:19" x14ac:dyDescent="0.25">
      <c r="A480" s="1" t="s">
        <v>250</v>
      </c>
      <c r="B480" s="1" t="s">
        <v>256</v>
      </c>
      <c r="C480" s="13">
        <v>31</v>
      </c>
      <c r="D480" s="13">
        <v>250</v>
      </c>
      <c r="E480" s="1" t="s">
        <v>233</v>
      </c>
      <c r="F480" s="1"/>
      <c r="G480" s="1">
        <v>0</v>
      </c>
      <c r="H480" s="1">
        <v>0</v>
      </c>
      <c r="I480" s="1">
        <v>0</v>
      </c>
      <c r="J480" s="1">
        <v>0</v>
      </c>
      <c r="K480" s="1">
        <v>0</v>
      </c>
      <c r="L480" s="1">
        <v>0</v>
      </c>
      <c r="M480" s="1">
        <v>0</v>
      </c>
      <c r="N480" s="1">
        <v>0</v>
      </c>
      <c r="O480" s="1">
        <v>0</v>
      </c>
      <c r="P480" s="1">
        <v>0</v>
      </c>
      <c r="Q480" t="str">
        <f>INDEX(pARTNER[#All],MATCH(#REF!,pARTNER[[#All],[Value.partnerSummary.id]],0),10)</f>
        <v>Slovenija (SI)</v>
      </c>
      <c r="R480" t="str">
        <f>INDEX('Partner data'!$A$2:$DG$171,MATCH(#REF!,'Partner data'!$DG$2:$DG$171,0),83)</f>
        <v>Soggetto privato</v>
      </c>
      <c r="S480" s="86" t="b">
        <f>IF(#REF!="staff",INDEX('Partner data'!$DG$2:$DH$171,MATCH(#REF!,'Partner data'!$DG$2:$DG$171,0),2))</f>
        <v>0</v>
      </c>
    </row>
    <row r="481" spans="1:19" x14ac:dyDescent="0.25">
      <c r="A481" s="1" t="s">
        <v>250</v>
      </c>
      <c r="B481" s="1" t="s">
        <v>256</v>
      </c>
      <c r="C481" s="13">
        <v>31</v>
      </c>
      <c r="D481" s="13">
        <v>250</v>
      </c>
      <c r="E481" s="1" t="s">
        <v>234</v>
      </c>
      <c r="F481" s="1"/>
      <c r="G481" s="1">
        <v>0</v>
      </c>
      <c r="H481" s="1">
        <v>0</v>
      </c>
      <c r="I481" s="1">
        <v>0</v>
      </c>
      <c r="J481" s="1">
        <v>0</v>
      </c>
      <c r="K481" s="1">
        <v>0</v>
      </c>
      <c r="L481" s="1">
        <v>0</v>
      </c>
      <c r="M481" s="1">
        <v>0</v>
      </c>
      <c r="N481" s="1">
        <v>0</v>
      </c>
      <c r="O481" s="1">
        <v>0</v>
      </c>
      <c r="P481" s="1">
        <v>0</v>
      </c>
      <c r="Q481" t="str">
        <f>INDEX(pARTNER[#All],MATCH(#REF!,pARTNER[[#All],[Value.partnerSummary.id]],0),10)</f>
        <v>Slovenija (SI)</v>
      </c>
      <c r="R481" t="str">
        <f>INDEX('Partner data'!$A$2:$DG$171,MATCH(#REF!,'Partner data'!$DG$2:$DG$171,0),83)</f>
        <v>Soggetto privato</v>
      </c>
      <c r="S481" s="86" t="b">
        <f>IF(#REF!="staff",INDEX('Partner data'!$DG$2:$DH$171,MATCH(#REF!,'Partner data'!$DG$2:$DG$171,0),2))</f>
        <v>0</v>
      </c>
    </row>
    <row r="482" spans="1:19" x14ac:dyDescent="0.25">
      <c r="A482" s="1" t="s">
        <v>250</v>
      </c>
      <c r="B482" s="1" t="s">
        <v>256</v>
      </c>
      <c r="C482" s="13">
        <v>31</v>
      </c>
      <c r="D482" s="13">
        <v>250</v>
      </c>
      <c r="E482" s="1" t="s">
        <v>235</v>
      </c>
      <c r="F482" s="1"/>
      <c r="G482" s="1">
        <v>0</v>
      </c>
      <c r="H482" s="1">
        <v>0</v>
      </c>
      <c r="I482" s="1">
        <v>0</v>
      </c>
      <c r="J482" s="1">
        <v>0</v>
      </c>
      <c r="K482" s="1">
        <v>0</v>
      </c>
      <c r="L482" s="1">
        <v>0</v>
      </c>
      <c r="M482" s="1">
        <v>0</v>
      </c>
      <c r="N482" s="1">
        <v>0</v>
      </c>
      <c r="O482" s="1">
        <v>0</v>
      </c>
      <c r="P482" s="1">
        <v>0</v>
      </c>
      <c r="Q482" t="str">
        <f>INDEX(pARTNER[#All],MATCH(#REF!,pARTNER[[#All],[Value.partnerSummary.id]],0),10)</f>
        <v>Slovenija (SI)</v>
      </c>
      <c r="R482" t="str">
        <f>INDEX('Partner data'!$A$2:$DG$171,MATCH(#REF!,'Partner data'!$DG$2:$DG$171,0),83)</f>
        <v>Soggetto privato</v>
      </c>
      <c r="S482" s="86" t="b">
        <f>IF(#REF!="staff",INDEX('Partner data'!$DG$2:$DH$171,MATCH(#REF!,'Partner data'!$DG$2:$DG$171,0),2))</f>
        <v>0</v>
      </c>
    </row>
    <row r="483" spans="1:19" x14ac:dyDescent="0.25">
      <c r="A483" s="1" t="s">
        <v>250</v>
      </c>
      <c r="B483" s="1" t="s">
        <v>256</v>
      </c>
      <c r="C483" s="13">
        <v>31</v>
      </c>
      <c r="D483" s="13">
        <v>250</v>
      </c>
      <c r="E483" s="1" t="s">
        <v>236</v>
      </c>
      <c r="F483" s="1"/>
      <c r="G483" s="1">
        <v>0</v>
      </c>
      <c r="H483" s="1">
        <v>0</v>
      </c>
      <c r="I483" s="1">
        <v>0</v>
      </c>
      <c r="J483" s="1">
        <v>0</v>
      </c>
      <c r="K483" s="1">
        <v>0</v>
      </c>
      <c r="L483" s="1">
        <v>0</v>
      </c>
      <c r="M483" s="1">
        <v>0</v>
      </c>
      <c r="N483" s="1">
        <v>0</v>
      </c>
      <c r="O483" s="1">
        <v>0</v>
      </c>
      <c r="P483" s="1">
        <v>0</v>
      </c>
      <c r="Q483" t="str">
        <f>INDEX(pARTNER[#All],MATCH(#REF!,pARTNER[[#All],[Value.partnerSummary.id]],0),10)</f>
        <v>Slovenija (SI)</v>
      </c>
      <c r="R483" t="str">
        <f>INDEX('Partner data'!$A$2:$DG$171,MATCH(#REF!,'Partner data'!$DG$2:$DG$171,0),83)</f>
        <v>Soggetto privato</v>
      </c>
      <c r="S483" s="86" t="b">
        <f>IF(#REF!="staff",INDEX('Partner data'!$DG$2:$DH$171,MATCH(#REF!,'Partner data'!$DG$2:$DG$171,0),2))</f>
        <v>0</v>
      </c>
    </row>
    <row r="484" spans="1:19" x14ac:dyDescent="0.25">
      <c r="A484" s="1" t="s">
        <v>250</v>
      </c>
      <c r="B484" s="1" t="s">
        <v>256</v>
      </c>
      <c r="C484" s="13">
        <v>31</v>
      </c>
      <c r="D484" s="13">
        <v>250</v>
      </c>
      <c r="E484" s="1" t="s">
        <v>237</v>
      </c>
      <c r="F484" s="1"/>
      <c r="G484" s="1">
        <v>0</v>
      </c>
      <c r="H484" s="1">
        <v>0</v>
      </c>
      <c r="I484" s="1">
        <v>0</v>
      </c>
      <c r="J484" s="1">
        <v>0</v>
      </c>
      <c r="K484" s="1">
        <v>0</v>
      </c>
      <c r="L484" s="1">
        <v>0</v>
      </c>
      <c r="M484" s="1">
        <v>0</v>
      </c>
      <c r="N484" s="1">
        <v>0</v>
      </c>
      <c r="O484" s="1">
        <v>0</v>
      </c>
      <c r="P484" s="1">
        <v>0</v>
      </c>
      <c r="Q484" t="str">
        <f>INDEX(pARTNER[#All],MATCH(#REF!,pARTNER[[#All],[Value.partnerSummary.id]],0),10)</f>
        <v>Slovenija (SI)</v>
      </c>
      <c r="R484" t="str">
        <f>INDEX('Partner data'!$A$2:$DG$171,MATCH(#REF!,'Partner data'!$DG$2:$DG$171,0),83)</f>
        <v>Soggetto privato</v>
      </c>
      <c r="S484" s="86" t="b">
        <f>IF(#REF!="staff",INDEX('Partner data'!$DG$2:$DH$171,MATCH(#REF!,'Partner data'!$DG$2:$DG$171,0),2))</f>
        <v>0</v>
      </c>
    </row>
    <row r="485" spans="1:19" x14ac:dyDescent="0.25">
      <c r="A485" s="1" t="s">
        <v>250</v>
      </c>
      <c r="B485" s="1" t="s">
        <v>256</v>
      </c>
      <c r="C485" s="13">
        <v>31</v>
      </c>
      <c r="D485" s="13">
        <v>250</v>
      </c>
      <c r="E485" s="1" t="s">
        <v>238</v>
      </c>
      <c r="F485" s="1"/>
      <c r="G485" s="1">
        <v>149067.20000000001</v>
      </c>
      <c r="H485" s="1">
        <v>0</v>
      </c>
      <c r="I485" s="1">
        <v>0</v>
      </c>
      <c r="J485" s="1">
        <v>40320.5</v>
      </c>
      <c r="K485" s="1">
        <v>0</v>
      </c>
      <c r="L485" s="1">
        <v>32022.44</v>
      </c>
      <c r="M485" s="1">
        <v>40320.5</v>
      </c>
      <c r="N485" s="1">
        <v>27.05</v>
      </c>
      <c r="O485" s="1">
        <v>108746.7</v>
      </c>
      <c r="P485" s="1">
        <v>0</v>
      </c>
      <c r="Q485" t="str">
        <f>INDEX(pARTNER[#All],MATCH(#REF!,pARTNER[[#All],[Value.partnerSummary.id]],0),10)</f>
        <v>Slovenija (SI)</v>
      </c>
      <c r="R485" t="str">
        <f>INDEX('Partner data'!$A$2:$DG$171,MATCH(#REF!,'Partner data'!$DG$2:$DG$171,0),83)</f>
        <v>Soggetto privato</v>
      </c>
      <c r="S485" s="86" t="b">
        <f>IF(#REF!="staff",INDEX('Partner data'!$DG$2:$DH$171,MATCH(#REF!,'Partner data'!$DG$2:$DG$171,0),2))</f>
        <v>0</v>
      </c>
    </row>
    <row r="486" spans="1:19" x14ac:dyDescent="0.25">
      <c r="A486" s="1" t="s">
        <v>250</v>
      </c>
      <c r="B486" s="1" t="s">
        <v>259</v>
      </c>
      <c r="C486" s="13">
        <v>33</v>
      </c>
      <c r="D486" s="13">
        <v>320</v>
      </c>
      <c r="E486" s="1" t="s">
        <v>228</v>
      </c>
      <c r="F486" s="1"/>
      <c r="G486" s="1">
        <v>23850</v>
      </c>
      <c r="H486" s="1">
        <v>0</v>
      </c>
      <c r="I486" s="1">
        <v>0</v>
      </c>
      <c r="J486" s="1">
        <v>0</v>
      </c>
      <c r="K486" s="1">
        <v>0</v>
      </c>
      <c r="L486" s="1">
        <v>0</v>
      </c>
      <c r="M486" s="1">
        <v>0</v>
      </c>
      <c r="N486" s="1">
        <v>0</v>
      </c>
      <c r="O486" s="1">
        <v>23850</v>
      </c>
      <c r="P486" s="1">
        <v>0</v>
      </c>
      <c r="Q486" t="str">
        <f>INDEX(pARTNER[#All],MATCH(#REF!,pARTNER[[#All],[Value.partnerSummary.id]],0),10)</f>
        <v>Italia (IT)</v>
      </c>
      <c r="R486" t="str">
        <f>INDEX('Partner data'!$A$2:$DG$171,MATCH(#REF!,'Partner data'!$DG$2:$DG$171,0),83)</f>
        <v>Soggetto pubblico</v>
      </c>
      <c r="S486" s="86" t="str">
        <f>IF(#REF!="staff",INDEX('Partner data'!$DG$2:$DH$171,MATCH(#REF!,'Partner data'!$DG$2:$DG$171,0),2))</f>
        <v>COSTO REALE</v>
      </c>
    </row>
    <row r="487" spans="1:19" x14ac:dyDescent="0.25">
      <c r="A487" s="1" t="s">
        <v>250</v>
      </c>
      <c r="B487" s="1" t="s">
        <v>259</v>
      </c>
      <c r="C487" s="13">
        <v>33</v>
      </c>
      <c r="D487" s="13">
        <v>320</v>
      </c>
      <c r="E487" s="1" t="s">
        <v>229</v>
      </c>
      <c r="F487" s="1">
        <v>15</v>
      </c>
      <c r="G487" s="1">
        <v>3577.5</v>
      </c>
      <c r="H487" s="1">
        <v>0</v>
      </c>
      <c r="I487" s="1">
        <v>0</v>
      </c>
      <c r="J487" s="1">
        <v>0</v>
      </c>
      <c r="K487" s="1">
        <v>0</v>
      </c>
      <c r="L487" s="1">
        <v>0</v>
      </c>
      <c r="M487" s="1">
        <v>0</v>
      </c>
      <c r="N487" s="1">
        <v>0</v>
      </c>
      <c r="O487" s="1">
        <v>3577.5</v>
      </c>
      <c r="P487" s="1">
        <v>0</v>
      </c>
      <c r="Q487" t="str">
        <f>INDEX(pARTNER[#All],MATCH(#REF!,pARTNER[[#All],[Value.partnerSummary.id]],0),10)</f>
        <v>Italia (IT)</v>
      </c>
      <c r="R487" t="str">
        <f>INDEX('Partner data'!$A$2:$DG$171,MATCH(#REF!,'Partner data'!$DG$2:$DG$171,0),83)</f>
        <v>Soggetto pubblico</v>
      </c>
      <c r="S487" s="86" t="b">
        <f>IF(#REF!="staff",INDEX('Partner data'!$DG$2:$DH$171,MATCH(#REF!,'Partner data'!$DG$2:$DG$171,0),2))</f>
        <v>0</v>
      </c>
    </row>
    <row r="488" spans="1:19" x14ac:dyDescent="0.25">
      <c r="A488" s="1" t="s">
        <v>250</v>
      </c>
      <c r="B488" s="1" t="s">
        <v>259</v>
      </c>
      <c r="C488" s="13">
        <v>33</v>
      </c>
      <c r="D488" s="13">
        <v>320</v>
      </c>
      <c r="E488" s="1" t="s">
        <v>230</v>
      </c>
      <c r="F488" s="1">
        <v>4</v>
      </c>
      <c r="G488" s="1">
        <v>954</v>
      </c>
      <c r="H488" s="1">
        <v>0</v>
      </c>
      <c r="I488" s="1">
        <v>0</v>
      </c>
      <c r="J488" s="1">
        <v>0</v>
      </c>
      <c r="K488" s="1">
        <v>0</v>
      </c>
      <c r="L488" s="1">
        <v>0</v>
      </c>
      <c r="M488" s="1">
        <v>0</v>
      </c>
      <c r="N488" s="1">
        <v>0</v>
      </c>
      <c r="O488" s="1">
        <v>954</v>
      </c>
      <c r="P488" s="1">
        <v>0</v>
      </c>
      <c r="Q488" t="str">
        <f>INDEX(pARTNER[#All],MATCH(#REF!,pARTNER[[#All],[Value.partnerSummary.id]],0),10)</f>
        <v>Italia (IT)</v>
      </c>
      <c r="R488" t="str">
        <f>INDEX('Partner data'!$A$2:$DG$171,MATCH(#REF!,'Partner data'!$DG$2:$DG$171,0),83)</f>
        <v>Soggetto pubblico</v>
      </c>
      <c r="S488" s="86" t="b">
        <f>IF(#REF!="staff",INDEX('Partner data'!$DG$2:$DH$171,MATCH(#REF!,'Partner data'!$DG$2:$DG$171,0),2))</f>
        <v>0</v>
      </c>
    </row>
    <row r="489" spans="1:19" x14ac:dyDescent="0.25">
      <c r="A489" s="1" t="s">
        <v>250</v>
      </c>
      <c r="B489" s="1" t="s">
        <v>259</v>
      </c>
      <c r="C489" s="13">
        <v>33</v>
      </c>
      <c r="D489" s="13">
        <v>320</v>
      </c>
      <c r="E489" s="1" t="s">
        <v>231</v>
      </c>
      <c r="F489" s="1"/>
      <c r="G489" s="1">
        <v>13500</v>
      </c>
      <c r="H489" s="1">
        <v>0</v>
      </c>
      <c r="I489" s="1">
        <v>0</v>
      </c>
      <c r="J489" s="1">
        <v>0</v>
      </c>
      <c r="K489" s="1">
        <v>0</v>
      </c>
      <c r="L489" s="1">
        <v>0</v>
      </c>
      <c r="M489" s="1">
        <v>0</v>
      </c>
      <c r="N489" s="1">
        <v>0</v>
      </c>
      <c r="O489" s="1">
        <v>13500</v>
      </c>
      <c r="P489" s="1">
        <v>0</v>
      </c>
      <c r="Q489" t="str">
        <f>INDEX(pARTNER[#All],MATCH(#REF!,pARTNER[[#All],[Value.partnerSummary.id]],0),10)</f>
        <v>Italia (IT)</v>
      </c>
      <c r="R489" t="str">
        <f>INDEX('Partner data'!$A$2:$DG$171,MATCH(#REF!,'Partner data'!$DG$2:$DG$171,0),83)</f>
        <v>Soggetto pubblico</v>
      </c>
      <c r="S489" s="86" t="b">
        <f>IF(#REF!="staff",INDEX('Partner data'!$DG$2:$DH$171,MATCH(#REF!,'Partner data'!$DG$2:$DG$171,0),2))</f>
        <v>0</v>
      </c>
    </row>
    <row r="490" spans="1:19" x14ac:dyDescent="0.25">
      <c r="A490" s="1" t="s">
        <v>250</v>
      </c>
      <c r="B490" s="1" t="s">
        <v>259</v>
      </c>
      <c r="C490" s="13">
        <v>33</v>
      </c>
      <c r="D490" s="13">
        <v>320</v>
      </c>
      <c r="E490" s="1" t="s">
        <v>232</v>
      </c>
      <c r="F490" s="1"/>
      <c r="G490" s="1">
        <v>1000</v>
      </c>
      <c r="H490" s="1">
        <v>0</v>
      </c>
      <c r="I490" s="1">
        <v>0</v>
      </c>
      <c r="J490" s="1">
        <v>0</v>
      </c>
      <c r="K490" s="1">
        <v>0</v>
      </c>
      <c r="L490" s="1">
        <v>0</v>
      </c>
      <c r="M490" s="1">
        <v>0</v>
      </c>
      <c r="N490" s="1">
        <v>0</v>
      </c>
      <c r="O490" s="1">
        <v>1000</v>
      </c>
      <c r="P490" s="1">
        <v>0</v>
      </c>
      <c r="Q490" t="str">
        <f>INDEX(pARTNER[#All],MATCH(#REF!,pARTNER[[#All],[Value.partnerSummary.id]],0),10)</f>
        <v>Italia (IT)</v>
      </c>
      <c r="R490" t="str">
        <f>INDEX('Partner data'!$A$2:$DG$171,MATCH(#REF!,'Partner data'!$DG$2:$DG$171,0),83)</f>
        <v>Soggetto pubblico</v>
      </c>
      <c r="S490" s="86" t="b">
        <f>IF(#REF!="staff",INDEX('Partner data'!$DG$2:$DH$171,MATCH(#REF!,'Partner data'!$DG$2:$DG$171,0),2))</f>
        <v>0</v>
      </c>
    </row>
    <row r="491" spans="1:19" x14ac:dyDescent="0.25">
      <c r="A491" s="1" t="s">
        <v>250</v>
      </c>
      <c r="B491" s="1" t="s">
        <v>259</v>
      </c>
      <c r="C491" s="13">
        <v>33</v>
      </c>
      <c r="D491" s="13">
        <v>320</v>
      </c>
      <c r="E491" s="1" t="s">
        <v>233</v>
      </c>
      <c r="F491" s="1"/>
      <c r="G491" s="1">
        <v>0</v>
      </c>
      <c r="H491" s="1">
        <v>0</v>
      </c>
      <c r="I491" s="1">
        <v>0</v>
      </c>
      <c r="J491" s="1">
        <v>0</v>
      </c>
      <c r="K491" s="1">
        <v>0</v>
      </c>
      <c r="L491" s="1">
        <v>0</v>
      </c>
      <c r="M491" s="1">
        <v>0</v>
      </c>
      <c r="N491" s="1">
        <v>0</v>
      </c>
      <c r="O491" s="1">
        <v>0</v>
      </c>
      <c r="P491" s="1">
        <v>0</v>
      </c>
      <c r="Q491" t="str">
        <f>INDEX(pARTNER[#All],MATCH(#REF!,pARTNER[[#All],[Value.partnerSummary.id]],0),10)</f>
        <v>Italia (IT)</v>
      </c>
      <c r="R491" t="str">
        <f>INDEX('Partner data'!$A$2:$DG$171,MATCH(#REF!,'Partner data'!$DG$2:$DG$171,0),83)</f>
        <v>Soggetto pubblico</v>
      </c>
      <c r="S491" s="86" t="b">
        <f>IF(#REF!="staff",INDEX('Partner data'!$DG$2:$DH$171,MATCH(#REF!,'Partner data'!$DG$2:$DG$171,0),2))</f>
        <v>0</v>
      </c>
    </row>
    <row r="492" spans="1:19" x14ac:dyDescent="0.25">
      <c r="A492" s="1" t="s">
        <v>250</v>
      </c>
      <c r="B492" s="1" t="s">
        <v>259</v>
      </c>
      <c r="C492" s="13">
        <v>33</v>
      </c>
      <c r="D492" s="13">
        <v>320</v>
      </c>
      <c r="E492" s="1" t="s">
        <v>234</v>
      </c>
      <c r="F492" s="1"/>
      <c r="G492" s="1">
        <v>0</v>
      </c>
      <c r="H492" s="1">
        <v>0</v>
      </c>
      <c r="I492" s="1">
        <v>0</v>
      </c>
      <c r="J492" s="1">
        <v>0</v>
      </c>
      <c r="K492" s="1">
        <v>0</v>
      </c>
      <c r="L492" s="1">
        <v>0</v>
      </c>
      <c r="M492" s="1">
        <v>0</v>
      </c>
      <c r="N492" s="1">
        <v>0</v>
      </c>
      <c r="O492" s="1">
        <v>0</v>
      </c>
      <c r="P492" s="1">
        <v>0</v>
      </c>
      <c r="Q492" t="str">
        <f>INDEX(pARTNER[#All],MATCH(#REF!,pARTNER[[#All],[Value.partnerSummary.id]],0),10)</f>
        <v>Italia (IT)</v>
      </c>
      <c r="R492" t="str">
        <f>INDEX('Partner data'!$A$2:$DG$171,MATCH(#REF!,'Partner data'!$DG$2:$DG$171,0),83)</f>
        <v>Soggetto pubblico</v>
      </c>
      <c r="S492" s="86" t="b">
        <f>IF(#REF!="staff",INDEX('Partner data'!$DG$2:$DH$171,MATCH(#REF!,'Partner data'!$DG$2:$DG$171,0),2))</f>
        <v>0</v>
      </c>
    </row>
    <row r="493" spans="1:19" x14ac:dyDescent="0.25">
      <c r="A493" s="1" t="s">
        <v>250</v>
      </c>
      <c r="B493" s="1" t="s">
        <v>259</v>
      </c>
      <c r="C493" s="13">
        <v>33</v>
      </c>
      <c r="D493" s="13">
        <v>320</v>
      </c>
      <c r="E493" s="1" t="s">
        <v>235</v>
      </c>
      <c r="F493" s="1"/>
      <c r="G493" s="1">
        <v>0</v>
      </c>
      <c r="H493" s="1">
        <v>0</v>
      </c>
      <c r="I493" s="1">
        <v>0</v>
      </c>
      <c r="J493" s="1">
        <v>0</v>
      </c>
      <c r="K493" s="1">
        <v>0</v>
      </c>
      <c r="L493" s="1">
        <v>0</v>
      </c>
      <c r="M493" s="1">
        <v>0</v>
      </c>
      <c r="N493" s="1">
        <v>0</v>
      </c>
      <c r="O493" s="1">
        <v>0</v>
      </c>
      <c r="P493" s="1">
        <v>0</v>
      </c>
      <c r="Q493" t="str">
        <f>INDEX(pARTNER[#All],MATCH(#REF!,pARTNER[[#All],[Value.partnerSummary.id]],0),10)</f>
        <v>Italia (IT)</v>
      </c>
      <c r="R493" t="str">
        <f>INDEX('Partner data'!$A$2:$DG$171,MATCH(#REF!,'Partner data'!$DG$2:$DG$171,0),83)</f>
        <v>Soggetto pubblico</v>
      </c>
      <c r="S493" s="86" t="b">
        <f>IF(#REF!="staff",INDEX('Partner data'!$DG$2:$DH$171,MATCH(#REF!,'Partner data'!$DG$2:$DG$171,0),2))</f>
        <v>0</v>
      </c>
    </row>
    <row r="494" spans="1:19" x14ac:dyDescent="0.25">
      <c r="A494" s="1" t="s">
        <v>250</v>
      </c>
      <c r="B494" s="1" t="s">
        <v>259</v>
      </c>
      <c r="C494" s="13">
        <v>33</v>
      </c>
      <c r="D494" s="13">
        <v>320</v>
      </c>
      <c r="E494" s="1" t="s">
        <v>236</v>
      </c>
      <c r="F494" s="1"/>
      <c r="G494" s="1">
        <v>0</v>
      </c>
      <c r="H494" s="1">
        <v>0</v>
      </c>
      <c r="I494" s="1">
        <v>0</v>
      </c>
      <c r="J494" s="1">
        <v>0</v>
      </c>
      <c r="K494" s="1">
        <v>0</v>
      </c>
      <c r="L494" s="1">
        <v>0</v>
      </c>
      <c r="M494" s="1">
        <v>0</v>
      </c>
      <c r="N494" s="1">
        <v>0</v>
      </c>
      <c r="O494" s="1">
        <v>0</v>
      </c>
      <c r="P494" s="1">
        <v>0</v>
      </c>
      <c r="Q494" t="str">
        <f>INDEX(pARTNER[#All],MATCH(#REF!,pARTNER[[#All],[Value.partnerSummary.id]],0),10)</f>
        <v>Italia (IT)</v>
      </c>
      <c r="R494" t="str">
        <f>INDEX('Partner data'!$A$2:$DG$171,MATCH(#REF!,'Partner data'!$DG$2:$DG$171,0),83)</f>
        <v>Soggetto pubblico</v>
      </c>
      <c r="S494" s="86" t="b">
        <f>IF(#REF!="staff",INDEX('Partner data'!$DG$2:$DH$171,MATCH(#REF!,'Partner data'!$DG$2:$DG$171,0),2))</f>
        <v>0</v>
      </c>
    </row>
    <row r="495" spans="1:19" x14ac:dyDescent="0.25">
      <c r="A495" s="1" t="s">
        <v>250</v>
      </c>
      <c r="B495" s="1" t="s">
        <v>259</v>
      </c>
      <c r="C495" s="13">
        <v>33</v>
      </c>
      <c r="D495" s="13">
        <v>320</v>
      </c>
      <c r="E495" s="1" t="s">
        <v>237</v>
      </c>
      <c r="F495" s="1"/>
      <c r="G495" s="1">
        <v>0</v>
      </c>
      <c r="H495" s="1">
        <v>0</v>
      </c>
      <c r="I495" s="1">
        <v>0</v>
      </c>
      <c r="J495" s="1">
        <v>0</v>
      </c>
      <c r="K495" s="1">
        <v>0</v>
      </c>
      <c r="L495" s="1">
        <v>0</v>
      </c>
      <c r="M495" s="1">
        <v>0</v>
      </c>
      <c r="N495" s="1">
        <v>0</v>
      </c>
      <c r="O495" s="1">
        <v>0</v>
      </c>
      <c r="P495" s="1">
        <v>0</v>
      </c>
      <c r="Q495" t="str">
        <f>INDEX(pARTNER[#All],MATCH(#REF!,pARTNER[[#All],[Value.partnerSummary.id]],0),10)</f>
        <v>Italia (IT)</v>
      </c>
      <c r="R495" t="str">
        <f>INDEX('Partner data'!$A$2:$DG$171,MATCH(#REF!,'Partner data'!$DG$2:$DG$171,0),83)</f>
        <v>Soggetto pubblico</v>
      </c>
      <c r="S495" s="86" t="b">
        <f>IF(#REF!="staff",INDEX('Partner data'!$DG$2:$DH$171,MATCH(#REF!,'Partner data'!$DG$2:$DG$171,0),2))</f>
        <v>0</v>
      </c>
    </row>
    <row r="496" spans="1:19" x14ac:dyDescent="0.25">
      <c r="A496" s="1" t="s">
        <v>250</v>
      </c>
      <c r="B496" s="1" t="s">
        <v>259</v>
      </c>
      <c r="C496" s="13">
        <v>33</v>
      </c>
      <c r="D496" s="13">
        <v>320</v>
      </c>
      <c r="E496" s="1" t="s">
        <v>238</v>
      </c>
      <c r="F496" s="1"/>
      <c r="G496" s="1">
        <v>42881.5</v>
      </c>
      <c r="H496" s="1">
        <v>0</v>
      </c>
      <c r="I496" s="1">
        <v>0</v>
      </c>
      <c r="J496" s="1">
        <v>0</v>
      </c>
      <c r="K496" s="1">
        <v>0</v>
      </c>
      <c r="L496" s="1">
        <v>0</v>
      </c>
      <c r="M496" s="1">
        <v>0</v>
      </c>
      <c r="N496" s="1">
        <v>0</v>
      </c>
      <c r="O496" s="1">
        <v>42881.5</v>
      </c>
      <c r="P496" s="1">
        <v>0</v>
      </c>
      <c r="Q496" t="str">
        <f>INDEX(pARTNER[#All],MATCH(#REF!,pARTNER[[#All],[Value.partnerSummary.id]],0),10)</f>
        <v>Italia (IT)</v>
      </c>
      <c r="R496" t="str">
        <f>INDEX('Partner data'!$A$2:$DG$171,MATCH(#REF!,'Partner data'!$DG$2:$DG$171,0),83)</f>
        <v>Soggetto pubblico</v>
      </c>
      <c r="S496" s="86" t="b">
        <f>IF(#REF!="staff",INDEX('Partner data'!$DG$2:$DH$171,MATCH(#REF!,'Partner data'!$DG$2:$DG$171,0),2))</f>
        <v>0</v>
      </c>
    </row>
    <row r="497" spans="1:19" x14ac:dyDescent="0.25">
      <c r="A497" s="1" t="s">
        <v>250</v>
      </c>
      <c r="B497" s="1" t="s">
        <v>261</v>
      </c>
      <c r="C497" s="13">
        <v>32</v>
      </c>
      <c r="D497" s="13">
        <v>252</v>
      </c>
      <c r="E497" s="1" t="s">
        <v>228</v>
      </c>
      <c r="F497" s="1"/>
      <c r="G497" s="1">
        <v>85300</v>
      </c>
      <c r="H497" s="1">
        <v>0</v>
      </c>
      <c r="I497" s="1">
        <v>0</v>
      </c>
      <c r="J497" s="1">
        <v>26814.14</v>
      </c>
      <c r="K497" s="1">
        <v>0</v>
      </c>
      <c r="L497" s="1">
        <v>20003.96</v>
      </c>
      <c r="M497" s="1">
        <v>26814.14</v>
      </c>
      <c r="N497" s="1">
        <v>31.44</v>
      </c>
      <c r="O497" s="1">
        <v>58485.86</v>
      </c>
      <c r="P497" s="1">
        <v>0</v>
      </c>
      <c r="Q497" t="str">
        <f>INDEX(pARTNER[#All],MATCH(#REF!,pARTNER[[#All],[Value.partnerSummary.id]],0),10)</f>
        <v>Slovenija (SI)</v>
      </c>
      <c r="R497" t="str">
        <f>INDEX('Partner data'!$A$2:$DG$171,MATCH(#REF!,'Partner data'!$DG$2:$DG$171,0),83)</f>
        <v>Soggetto pubblico</v>
      </c>
      <c r="S497" s="86" t="str">
        <f>IF(#REF!="staff",INDEX('Partner data'!$DG$2:$DH$171,MATCH(#REF!,'Partner data'!$DG$2:$DG$171,0),2))</f>
        <v>COSTO REALE</v>
      </c>
    </row>
    <row r="498" spans="1:19" x14ac:dyDescent="0.25">
      <c r="A498" s="1" t="s">
        <v>250</v>
      </c>
      <c r="B498" s="1" t="s">
        <v>261</v>
      </c>
      <c r="C498" s="13">
        <v>32</v>
      </c>
      <c r="D498" s="13">
        <v>252</v>
      </c>
      <c r="E498" s="1" t="s">
        <v>229</v>
      </c>
      <c r="F498" s="1">
        <v>15</v>
      </c>
      <c r="G498" s="1">
        <v>12795</v>
      </c>
      <c r="H498" s="1">
        <v>0</v>
      </c>
      <c r="I498" s="1">
        <v>0</v>
      </c>
      <c r="J498" s="1">
        <v>4022.12</v>
      </c>
      <c r="K498" s="1">
        <v>0</v>
      </c>
      <c r="L498" s="1">
        <v>3000.59</v>
      </c>
      <c r="M498" s="1">
        <v>4022.12</v>
      </c>
      <c r="N498" s="1">
        <v>31.44</v>
      </c>
      <c r="O498" s="1">
        <v>8772.8799999999992</v>
      </c>
      <c r="P498" s="1">
        <v>0</v>
      </c>
      <c r="Q498" t="str">
        <f>INDEX(pARTNER[#All],MATCH(#REF!,pARTNER[[#All],[Value.partnerSummary.id]],0),10)</f>
        <v>Slovenija (SI)</v>
      </c>
      <c r="R498" t="str">
        <f>INDEX('Partner data'!$A$2:$DG$171,MATCH(#REF!,'Partner data'!$DG$2:$DG$171,0),83)</f>
        <v>Soggetto pubblico</v>
      </c>
      <c r="S498" s="86" t="b">
        <f>IF(#REF!="staff",INDEX('Partner data'!$DG$2:$DH$171,MATCH(#REF!,'Partner data'!$DG$2:$DG$171,0),2))</f>
        <v>0</v>
      </c>
    </row>
    <row r="499" spans="1:19" x14ac:dyDescent="0.25">
      <c r="A499" s="1" t="s">
        <v>250</v>
      </c>
      <c r="B499" s="1" t="s">
        <v>261</v>
      </c>
      <c r="C499" s="13">
        <v>32</v>
      </c>
      <c r="D499" s="13">
        <v>252</v>
      </c>
      <c r="E499" s="1" t="s">
        <v>230</v>
      </c>
      <c r="F499" s="1">
        <v>4</v>
      </c>
      <c r="G499" s="1">
        <v>3412</v>
      </c>
      <c r="H499" s="1">
        <v>0</v>
      </c>
      <c r="I499" s="1">
        <v>0</v>
      </c>
      <c r="J499" s="1">
        <v>1072.56</v>
      </c>
      <c r="K499" s="1">
        <v>0</v>
      </c>
      <c r="L499" s="1">
        <v>800.15</v>
      </c>
      <c r="M499" s="1">
        <v>1072.56</v>
      </c>
      <c r="N499" s="1">
        <v>31.43</v>
      </c>
      <c r="O499" s="1">
        <v>2339.44</v>
      </c>
      <c r="P499" s="1">
        <v>0</v>
      </c>
      <c r="Q499" t="str">
        <f>INDEX(pARTNER[#All],MATCH(#REF!,pARTNER[[#All],[Value.partnerSummary.id]],0),10)</f>
        <v>Slovenija (SI)</v>
      </c>
      <c r="R499" t="str">
        <f>INDEX('Partner data'!$A$2:$DG$171,MATCH(#REF!,'Partner data'!$DG$2:$DG$171,0),83)</f>
        <v>Soggetto pubblico</v>
      </c>
      <c r="S499" s="86" t="b">
        <f>IF(#REF!="staff",INDEX('Partner data'!$DG$2:$DH$171,MATCH(#REF!,'Partner data'!$DG$2:$DG$171,0),2))</f>
        <v>0</v>
      </c>
    </row>
    <row r="500" spans="1:19" x14ac:dyDescent="0.25">
      <c r="A500" s="1" t="s">
        <v>250</v>
      </c>
      <c r="B500" s="1" t="s">
        <v>261</v>
      </c>
      <c r="C500" s="13">
        <v>32</v>
      </c>
      <c r="D500" s="13">
        <v>252</v>
      </c>
      <c r="E500" s="1" t="s">
        <v>231</v>
      </c>
      <c r="F500" s="1"/>
      <c r="G500" s="1">
        <v>6500</v>
      </c>
      <c r="H500" s="1">
        <v>0</v>
      </c>
      <c r="I500" s="1">
        <v>0</v>
      </c>
      <c r="J500" s="1">
        <v>0</v>
      </c>
      <c r="K500" s="1">
        <v>0</v>
      </c>
      <c r="L500" s="1">
        <v>0</v>
      </c>
      <c r="M500" s="1">
        <v>0</v>
      </c>
      <c r="N500" s="1">
        <v>0</v>
      </c>
      <c r="O500" s="1">
        <v>6500</v>
      </c>
      <c r="P500" s="1">
        <v>0</v>
      </c>
      <c r="Q500" t="str">
        <f>INDEX(pARTNER[#All],MATCH(#REF!,pARTNER[[#All],[Value.partnerSummary.id]],0),10)</f>
        <v>Slovenija (SI)</v>
      </c>
      <c r="R500" t="str">
        <f>INDEX('Partner data'!$A$2:$DG$171,MATCH(#REF!,'Partner data'!$DG$2:$DG$171,0),83)</f>
        <v>Soggetto pubblico</v>
      </c>
      <c r="S500" s="86" t="b">
        <f>IF(#REF!="staff",INDEX('Partner data'!$DG$2:$DH$171,MATCH(#REF!,'Partner data'!$DG$2:$DG$171,0),2))</f>
        <v>0</v>
      </c>
    </row>
    <row r="501" spans="1:19" x14ac:dyDescent="0.25">
      <c r="A501" s="1" t="s">
        <v>250</v>
      </c>
      <c r="B501" s="1" t="s">
        <v>261</v>
      </c>
      <c r="C501" s="13">
        <v>32</v>
      </c>
      <c r="D501" s="13">
        <v>252</v>
      </c>
      <c r="E501" s="1" t="s">
        <v>232</v>
      </c>
      <c r="F501" s="1"/>
      <c r="G501" s="1">
        <v>0</v>
      </c>
      <c r="H501" s="1">
        <v>0</v>
      </c>
      <c r="I501" s="1">
        <v>0</v>
      </c>
      <c r="J501" s="1">
        <v>0</v>
      </c>
      <c r="K501" s="1">
        <v>0</v>
      </c>
      <c r="L501" s="1">
        <v>0</v>
      </c>
      <c r="M501" s="1">
        <v>0</v>
      </c>
      <c r="N501" s="1">
        <v>0</v>
      </c>
      <c r="O501" s="1">
        <v>0</v>
      </c>
      <c r="P501" s="1">
        <v>0</v>
      </c>
      <c r="Q501" t="str">
        <f>INDEX(pARTNER[#All],MATCH(#REF!,pARTNER[[#All],[Value.partnerSummary.id]],0),10)</f>
        <v>Slovenija (SI)</v>
      </c>
      <c r="R501" t="str">
        <f>INDEX('Partner data'!$A$2:$DG$171,MATCH(#REF!,'Partner data'!$DG$2:$DG$171,0),83)</f>
        <v>Soggetto pubblico</v>
      </c>
      <c r="S501" s="86" t="b">
        <f>IF(#REF!="staff",INDEX('Partner data'!$DG$2:$DH$171,MATCH(#REF!,'Partner data'!$DG$2:$DG$171,0),2))</f>
        <v>0</v>
      </c>
    </row>
    <row r="502" spans="1:19" x14ac:dyDescent="0.25">
      <c r="A502" s="1" t="s">
        <v>250</v>
      </c>
      <c r="B502" s="1" t="s">
        <v>261</v>
      </c>
      <c r="C502" s="13">
        <v>32</v>
      </c>
      <c r="D502" s="13">
        <v>252</v>
      </c>
      <c r="E502" s="1" t="s">
        <v>233</v>
      </c>
      <c r="F502" s="1"/>
      <c r="G502" s="1">
        <v>0</v>
      </c>
      <c r="H502" s="1">
        <v>0</v>
      </c>
      <c r="I502" s="1">
        <v>0</v>
      </c>
      <c r="J502" s="1">
        <v>0</v>
      </c>
      <c r="K502" s="1">
        <v>0</v>
      </c>
      <c r="L502" s="1">
        <v>0</v>
      </c>
      <c r="M502" s="1">
        <v>0</v>
      </c>
      <c r="N502" s="1">
        <v>0</v>
      </c>
      <c r="O502" s="1">
        <v>0</v>
      </c>
      <c r="P502" s="1">
        <v>0</v>
      </c>
      <c r="Q502" t="str">
        <f>INDEX(pARTNER[#All],MATCH(#REF!,pARTNER[[#All],[Value.partnerSummary.id]],0),10)</f>
        <v>Slovenija (SI)</v>
      </c>
      <c r="R502" t="str">
        <f>INDEX('Partner data'!$A$2:$DG$171,MATCH(#REF!,'Partner data'!$DG$2:$DG$171,0),83)</f>
        <v>Soggetto pubblico</v>
      </c>
      <c r="S502" s="86" t="b">
        <f>IF(#REF!="staff",INDEX('Partner data'!$DG$2:$DH$171,MATCH(#REF!,'Partner data'!$DG$2:$DG$171,0),2))</f>
        <v>0</v>
      </c>
    </row>
    <row r="503" spans="1:19" x14ac:dyDescent="0.25">
      <c r="A503" s="1" t="s">
        <v>250</v>
      </c>
      <c r="B503" s="1" t="s">
        <v>261</v>
      </c>
      <c r="C503" s="13">
        <v>32</v>
      </c>
      <c r="D503" s="13">
        <v>252</v>
      </c>
      <c r="E503" s="1" t="s">
        <v>234</v>
      </c>
      <c r="F503" s="1"/>
      <c r="G503" s="1">
        <v>0</v>
      </c>
      <c r="H503" s="1">
        <v>0</v>
      </c>
      <c r="I503" s="1">
        <v>0</v>
      </c>
      <c r="J503" s="1">
        <v>0</v>
      </c>
      <c r="K503" s="1">
        <v>0</v>
      </c>
      <c r="L503" s="1">
        <v>0</v>
      </c>
      <c r="M503" s="1">
        <v>0</v>
      </c>
      <c r="N503" s="1">
        <v>0</v>
      </c>
      <c r="O503" s="1">
        <v>0</v>
      </c>
      <c r="P503" s="1">
        <v>0</v>
      </c>
      <c r="Q503" t="str">
        <f>INDEX(pARTNER[#All],MATCH(#REF!,pARTNER[[#All],[Value.partnerSummary.id]],0),10)</f>
        <v>Slovenija (SI)</v>
      </c>
      <c r="R503" t="str">
        <f>INDEX('Partner data'!$A$2:$DG$171,MATCH(#REF!,'Partner data'!$DG$2:$DG$171,0),83)</f>
        <v>Soggetto pubblico</v>
      </c>
      <c r="S503" s="86" t="b">
        <f>IF(#REF!="staff",INDEX('Partner data'!$DG$2:$DH$171,MATCH(#REF!,'Partner data'!$DG$2:$DG$171,0),2))</f>
        <v>0</v>
      </c>
    </row>
    <row r="504" spans="1:19" x14ac:dyDescent="0.25">
      <c r="A504" s="1" t="s">
        <v>250</v>
      </c>
      <c r="B504" s="1" t="s">
        <v>261</v>
      </c>
      <c r="C504" s="13">
        <v>32</v>
      </c>
      <c r="D504" s="13">
        <v>252</v>
      </c>
      <c r="E504" s="1" t="s">
        <v>235</v>
      </c>
      <c r="F504" s="1"/>
      <c r="G504" s="1">
        <v>0</v>
      </c>
      <c r="H504" s="1">
        <v>0</v>
      </c>
      <c r="I504" s="1">
        <v>0</v>
      </c>
      <c r="J504" s="1">
        <v>0</v>
      </c>
      <c r="K504" s="1">
        <v>0</v>
      </c>
      <c r="L504" s="1">
        <v>0</v>
      </c>
      <c r="M504" s="1">
        <v>0</v>
      </c>
      <c r="N504" s="1">
        <v>0</v>
      </c>
      <c r="O504" s="1">
        <v>0</v>
      </c>
      <c r="P504" s="1">
        <v>0</v>
      </c>
      <c r="Q504" t="str">
        <f>INDEX(pARTNER[#All],MATCH(#REF!,pARTNER[[#All],[Value.partnerSummary.id]],0),10)</f>
        <v>Slovenija (SI)</v>
      </c>
      <c r="R504" t="str">
        <f>INDEX('Partner data'!$A$2:$DG$171,MATCH(#REF!,'Partner data'!$DG$2:$DG$171,0),83)</f>
        <v>Soggetto pubblico</v>
      </c>
      <c r="S504" s="86" t="b">
        <f>IF(#REF!="staff",INDEX('Partner data'!$DG$2:$DH$171,MATCH(#REF!,'Partner data'!$DG$2:$DG$171,0),2))</f>
        <v>0</v>
      </c>
    </row>
    <row r="505" spans="1:19" x14ac:dyDescent="0.25">
      <c r="A505" s="1" t="s">
        <v>250</v>
      </c>
      <c r="B505" s="1" t="s">
        <v>261</v>
      </c>
      <c r="C505" s="13">
        <v>32</v>
      </c>
      <c r="D505" s="13">
        <v>252</v>
      </c>
      <c r="E505" s="1" t="s">
        <v>236</v>
      </c>
      <c r="F505" s="1"/>
      <c r="G505" s="1">
        <v>0</v>
      </c>
      <c r="H505" s="1">
        <v>0</v>
      </c>
      <c r="I505" s="1">
        <v>0</v>
      </c>
      <c r="J505" s="1">
        <v>0</v>
      </c>
      <c r="K505" s="1">
        <v>0</v>
      </c>
      <c r="L505" s="1">
        <v>0</v>
      </c>
      <c r="M505" s="1">
        <v>0</v>
      </c>
      <c r="N505" s="1">
        <v>0</v>
      </c>
      <c r="O505" s="1">
        <v>0</v>
      </c>
      <c r="P505" s="1">
        <v>0</v>
      </c>
      <c r="Q505" t="str">
        <f>INDEX(pARTNER[#All],MATCH(#REF!,pARTNER[[#All],[Value.partnerSummary.id]],0),10)</f>
        <v>Slovenija (SI)</v>
      </c>
      <c r="R505" t="str">
        <f>INDEX('Partner data'!$A$2:$DG$171,MATCH(#REF!,'Partner data'!$DG$2:$DG$171,0),83)</f>
        <v>Soggetto pubblico</v>
      </c>
      <c r="S505" s="86" t="b">
        <f>IF(#REF!="staff",INDEX('Partner data'!$DG$2:$DH$171,MATCH(#REF!,'Partner data'!$DG$2:$DG$171,0),2))</f>
        <v>0</v>
      </c>
    </row>
    <row r="506" spans="1:19" x14ac:dyDescent="0.25">
      <c r="A506" s="1" t="s">
        <v>250</v>
      </c>
      <c r="B506" s="1" t="s">
        <v>261</v>
      </c>
      <c r="C506" s="13">
        <v>32</v>
      </c>
      <c r="D506" s="13">
        <v>252</v>
      </c>
      <c r="E506" s="1" t="s">
        <v>237</v>
      </c>
      <c r="F506" s="1"/>
      <c r="G506" s="1">
        <v>0</v>
      </c>
      <c r="H506" s="1">
        <v>0</v>
      </c>
      <c r="I506" s="1">
        <v>0</v>
      </c>
      <c r="J506" s="1">
        <v>0</v>
      </c>
      <c r="K506" s="1">
        <v>0</v>
      </c>
      <c r="L506" s="1">
        <v>0</v>
      </c>
      <c r="M506" s="1">
        <v>0</v>
      </c>
      <c r="N506" s="1">
        <v>0</v>
      </c>
      <c r="O506" s="1">
        <v>0</v>
      </c>
      <c r="P506" s="1">
        <v>0</v>
      </c>
      <c r="Q506" t="str">
        <f>INDEX(pARTNER[#All],MATCH(#REF!,pARTNER[[#All],[Value.partnerSummary.id]],0),10)</f>
        <v>Slovenija (SI)</v>
      </c>
      <c r="R506" t="str">
        <f>INDEX('Partner data'!$A$2:$DG$171,MATCH(#REF!,'Partner data'!$DG$2:$DG$171,0),83)</f>
        <v>Soggetto pubblico</v>
      </c>
      <c r="S506" s="86" t="b">
        <f>IF(#REF!="staff",INDEX('Partner data'!$DG$2:$DH$171,MATCH(#REF!,'Partner data'!$DG$2:$DG$171,0),2))</f>
        <v>0</v>
      </c>
    </row>
    <row r="507" spans="1:19" x14ac:dyDescent="0.25">
      <c r="A507" s="1" t="s">
        <v>250</v>
      </c>
      <c r="B507" s="1" t="s">
        <v>261</v>
      </c>
      <c r="C507" s="13">
        <v>32</v>
      </c>
      <c r="D507" s="13">
        <v>252</v>
      </c>
      <c r="E507" s="1" t="s">
        <v>238</v>
      </c>
      <c r="F507" s="1"/>
      <c r="G507" s="1">
        <v>108007</v>
      </c>
      <c r="H507" s="1">
        <v>0</v>
      </c>
      <c r="I507" s="1">
        <v>0</v>
      </c>
      <c r="J507" s="1">
        <v>31908.82</v>
      </c>
      <c r="K507" s="1">
        <v>0</v>
      </c>
      <c r="L507" s="1">
        <v>23804.7</v>
      </c>
      <c r="M507" s="1">
        <v>31908.82</v>
      </c>
      <c r="N507" s="1">
        <v>29.54</v>
      </c>
      <c r="O507" s="1">
        <v>76098.179999999993</v>
      </c>
      <c r="P507" s="1">
        <v>0</v>
      </c>
      <c r="Q507" t="str">
        <f>INDEX(pARTNER[#All],MATCH(#REF!,pARTNER[[#All],[Value.partnerSummary.id]],0),10)</f>
        <v>Slovenija (SI)</v>
      </c>
      <c r="R507" t="str">
        <f>INDEX('Partner data'!$A$2:$DG$171,MATCH(#REF!,'Partner data'!$DG$2:$DG$171,0),83)</f>
        <v>Soggetto pubblico</v>
      </c>
      <c r="S507" s="86" t="b">
        <f>IF(#REF!="staff",INDEX('Partner data'!$DG$2:$DH$171,MATCH(#REF!,'Partner data'!$DG$2:$DG$171,0),2))</f>
        <v>0</v>
      </c>
    </row>
    <row r="508" spans="1:19" x14ac:dyDescent="0.25">
      <c r="A508" s="1" t="s">
        <v>250</v>
      </c>
      <c r="B508" s="1" t="s">
        <v>262</v>
      </c>
      <c r="C508" s="13">
        <v>30</v>
      </c>
      <c r="D508" s="13">
        <v>271</v>
      </c>
      <c r="E508" s="1" t="s">
        <v>228</v>
      </c>
      <c r="F508" s="1"/>
      <c r="G508" s="1">
        <v>20863.75</v>
      </c>
      <c r="H508" s="1">
        <v>0</v>
      </c>
      <c r="I508" s="1">
        <v>0</v>
      </c>
      <c r="J508" s="1">
        <v>6329.4</v>
      </c>
      <c r="K508" s="1">
        <v>0</v>
      </c>
      <c r="L508" s="1">
        <v>6329.4</v>
      </c>
      <c r="M508" s="1">
        <v>6329.4</v>
      </c>
      <c r="N508" s="1">
        <v>30.34</v>
      </c>
      <c r="O508" s="1">
        <v>14534.35</v>
      </c>
      <c r="P508" s="1">
        <v>0</v>
      </c>
      <c r="Q508" t="str">
        <f>INDEX(pARTNER[#All],MATCH(#REF!,pARTNER[[#All],[Value.partnerSummary.id]],0),10)</f>
        <v>Italia (IT)</v>
      </c>
      <c r="R508" t="str">
        <f>INDEX('Partner data'!$A$2:$DG$171,MATCH(#REF!,'Partner data'!$DG$2:$DG$171,0),83)</f>
        <v>Soggetto pubblico</v>
      </c>
      <c r="S508" s="86" t="str">
        <f>IF(#REF!="staff",INDEX('Partner data'!$DG$2:$DH$171,MATCH(#REF!,'Partner data'!$DG$2:$DG$171,0),2))</f>
        <v>COSTO REALE</v>
      </c>
    </row>
    <row r="509" spans="1:19" x14ac:dyDescent="0.25">
      <c r="A509" s="1" t="s">
        <v>250</v>
      </c>
      <c r="B509" s="1" t="s">
        <v>262</v>
      </c>
      <c r="C509" s="13">
        <v>30</v>
      </c>
      <c r="D509" s="13">
        <v>271</v>
      </c>
      <c r="E509" s="1" t="s">
        <v>229</v>
      </c>
      <c r="F509" s="1">
        <v>15</v>
      </c>
      <c r="G509" s="1">
        <v>3129.56</v>
      </c>
      <c r="H509" s="1">
        <v>0</v>
      </c>
      <c r="I509" s="1">
        <v>0</v>
      </c>
      <c r="J509" s="1">
        <v>949.41</v>
      </c>
      <c r="K509" s="1">
        <v>0</v>
      </c>
      <c r="L509" s="1">
        <v>949.41</v>
      </c>
      <c r="M509" s="1">
        <v>949.41</v>
      </c>
      <c r="N509" s="1">
        <v>30.34</v>
      </c>
      <c r="O509" s="1">
        <v>2180.15</v>
      </c>
      <c r="P509" s="1">
        <v>0</v>
      </c>
      <c r="Q509" t="str">
        <f>INDEX(pARTNER[#All],MATCH(#REF!,pARTNER[[#All],[Value.partnerSummary.id]],0),10)</f>
        <v>Italia (IT)</v>
      </c>
      <c r="R509" t="str">
        <f>INDEX('Partner data'!$A$2:$DG$171,MATCH(#REF!,'Partner data'!$DG$2:$DG$171,0),83)</f>
        <v>Soggetto pubblico</v>
      </c>
      <c r="S509" s="86" t="b">
        <f>IF(#REF!="staff",INDEX('Partner data'!$DG$2:$DH$171,MATCH(#REF!,'Partner data'!$DG$2:$DG$171,0),2))</f>
        <v>0</v>
      </c>
    </row>
    <row r="510" spans="1:19" x14ac:dyDescent="0.25">
      <c r="A510" s="1" t="s">
        <v>250</v>
      </c>
      <c r="B510" s="1" t="s">
        <v>262</v>
      </c>
      <c r="C510" s="13">
        <v>30</v>
      </c>
      <c r="D510" s="13">
        <v>271</v>
      </c>
      <c r="E510" s="1" t="s">
        <v>230</v>
      </c>
      <c r="F510" s="1">
        <v>4</v>
      </c>
      <c r="G510" s="1">
        <v>834.55</v>
      </c>
      <c r="H510" s="1">
        <v>0</v>
      </c>
      <c r="I510" s="1">
        <v>0</v>
      </c>
      <c r="J510" s="1">
        <v>253.17</v>
      </c>
      <c r="K510" s="1">
        <v>0</v>
      </c>
      <c r="L510" s="1">
        <v>253.17</v>
      </c>
      <c r="M510" s="1">
        <v>253.17</v>
      </c>
      <c r="N510" s="1">
        <v>30.34</v>
      </c>
      <c r="O510" s="1">
        <v>581.38</v>
      </c>
      <c r="P510" s="1">
        <v>0</v>
      </c>
      <c r="Q510" t="str">
        <f>INDEX(pARTNER[#All],MATCH(#REF!,pARTNER[[#All],[Value.partnerSummary.id]],0),10)</f>
        <v>Italia (IT)</v>
      </c>
      <c r="R510" t="str">
        <f>INDEX('Partner data'!$A$2:$DG$171,MATCH(#REF!,'Partner data'!$DG$2:$DG$171,0),83)</f>
        <v>Soggetto pubblico</v>
      </c>
      <c r="S510" s="86" t="b">
        <f>IF(#REF!="staff",INDEX('Partner data'!$DG$2:$DH$171,MATCH(#REF!,'Partner data'!$DG$2:$DG$171,0),2))</f>
        <v>0</v>
      </c>
    </row>
    <row r="511" spans="1:19" x14ac:dyDescent="0.25">
      <c r="A511" s="1" t="s">
        <v>250</v>
      </c>
      <c r="B511" s="1" t="s">
        <v>262</v>
      </c>
      <c r="C511" s="13">
        <v>30</v>
      </c>
      <c r="D511" s="13">
        <v>271</v>
      </c>
      <c r="E511" s="1" t="s">
        <v>231</v>
      </c>
      <c r="F511" s="1"/>
      <c r="G511" s="1">
        <v>62503.58</v>
      </c>
      <c r="H511" s="1">
        <v>0</v>
      </c>
      <c r="I511" s="1">
        <v>0</v>
      </c>
      <c r="J511" s="1">
        <v>1458.67</v>
      </c>
      <c r="K511" s="1">
        <v>0</v>
      </c>
      <c r="L511" s="1">
        <v>0</v>
      </c>
      <c r="M511" s="1">
        <v>1458.67</v>
      </c>
      <c r="N511" s="1">
        <v>2.33</v>
      </c>
      <c r="O511" s="1">
        <v>61044.91</v>
      </c>
      <c r="P511" s="1">
        <v>0</v>
      </c>
      <c r="Q511" t="str">
        <f>INDEX(pARTNER[#All],MATCH(#REF!,pARTNER[[#All],[Value.partnerSummary.id]],0),10)</f>
        <v>Italia (IT)</v>
      </c>
      <c r="R511" t="str">
        <f>INDEX('Partner data'!$A$2:$DG$171,MATCH(#REF!,'Partner data'!$DG$2:$DG$171,0),83)</f>
        <v>Soggetto pubblico</v>
      </c>
      <c r="S511" s="86" t="b">
        <f>IF(#REF!="staff",INDEX('Partner data'!$DG$2:$DH$171,MATCH(#REF!,'Partner data'!$DG$2:$DG$171,0),2))</f>
        <v>0</v>
      </c>
    </row>
    <row r="512" spans="1:19" x14ac:dyDescent="0.25">
      <c r="A512" s="1" t="s">
        <v>250</v>
      </c>
      <c r="B512" s="1" t="s">
        <v>262</v>
      </c>
      <c r="C512" s="13">
        <v>30</v>
      </c>
      <c r="D512" s="13">
        <v>271</v>
      </c>
      <c r="E512" s="1" t="s">
        <v>232</v>
      </c>
      <c r="F512" s="1"/>
      <c r="G512" s="1">
        <v>1006.1</v>
      </c>
      <c r="H512" s="1">
        <v>0</v>
      </c>
      <c r="I512" s="1">
        <v>0</v>
      </c>
      <c r="J512" s="1">
        <v>0</v>
      </c>
      <c r="K512" s="1">
        <v>0</v>
      </c>
      <c r="L512" s="1">
        <v>0</v>
      </c>
      <c r="M512" s="1">
        <v>0</v>
      </c>
      <c r="N512" s="1">
        <v>0</v>
      </c>
      <c r="O512" s="1">
        <v>1006.1</v>
      </c>
      <c r="P512" s="1">
        <v>0</v>
      </c>
      <c r="Q512" t="str">
        <f>INDEX(pARTNER[#All],MATCH(#REF!,pARTNER[[#All],[Value.partnerSummary.id]],0),10)</f>
        <v>Italia (IT)</v>
      </c>
      <c r="R512" t="str">
        <f>INDEX('Partner data'!$A$2:$DG$171,MATCH(#REF!,'Partner data'!$DG$2:$DG$171,0),83)</f>
        <v>Soggetto pubblico</v>
      </c>
      <c r="S512" s="86" t="b">
        <f>IF(#REF!="staff",INDEX('Partner data'!$DG$2:$DH$171,MATCH(#REF!,'Partner data'!$DG$2:$DG$171,0),2))</f>
        <v>0</v>
      </c>
    </row>
    <row r="513" spans="1:19" x14ac:dyDescent="0.25">
      <c r="A513" s="1" t="s">
        <v>250</v>
      </c>
      <c r="B513" s="1" t="s">
        <v>262</v>
      </c>
      <c r="C513" s="13">
        <v>30</v>
      </c>
      <c r="D513" s="13">
        <v>271</v>
      </c>
      <c r="E513" s="1" t="s">
        <v>233</v>
      </c>
      <c r="F513" s="1"/>
      <c r="G513" s="1">
        <v>0</v>
      </c>
      <c r="H513" s="1">
        <v>0</v>
      </c>
      <c r="I513" s="1">
        <v>0</v>
      </c>
      <c r="J513" s="1">
        <v>0</v>
      </c>
      <c r="K513" s="1">
        <v>0</v>
      </c>
      <c r="L513" s="1">
        <v>0</v>
      </c>
      <c r="M513" s="1">
        <v>0</v>
      </c>
      <c r="N513" s="1">
        <v>0</v>
      </c>
      <c r="O513" s="1">
        <v>0</v>
      </c>
      <c r="P513" s="1">
        <v>0</v>
      </c>
      <c r="Q513" t="str">
        <f>INDEX(pARTNER[#All],MATCH(#REF!,pARTNER[[#All],[Value.partnerSummary.id]],0),10)</f>
        <v>Italia (IT)</v>
      </c>
      <c r="R513" t="str">
        <f>INDEX('Partner data'!$A$2:$DG$171,MATCH(#REF!,'Partner data'!$DG$2:$DG$171,0),83)</f>
        <v>Soggetto pubblico</v>
      </c>
      <c r="S513" s="86" t="b">
        <f>IF(#REF!="staff",INDEX('Partner data'!$DG$2:$DH$171,MATCH(#REF!,'Partner data'!$DG$2:$DG$171,0),2))</f>
        <v>0</v>
      </c>
    </row>
    <row r="514" spans="1:19" x14ac:dyDescent="0.25">
      <c r="A514" s="1" t="s">
        <v>250</v>
      </c>
      <c r="B514" s="1" t="s">
        <v>262</v>
      </c>
      <c r="C514" s="13">
        <v>30</v>
      </c>
      <c r="D514" s="13">
        <v>271</v>
      </c>
      <c r="E514" s="1" t="s">
        <v>234</v>
      </c>
      <c r="F514" s="1"/>
      <c r="G514" s="1">
        <v>0</v>
      </c>
      <c r="H514" s="1">
        <v>0</v>
      </c>
      <c r="I514" s="1">
        <v>0</v>
      </c>
      <c r="J514" s="1">
        <v>0</v>
      </c>
      <c r="K514" s="1">
        <v>0</v>
      </c>
      <c r="L514" s="1">
        <v>0</v>
      </c>
      <c r="M514" s="1">
        <v>0</v>
      </c>
      <c r="N514" s="1">
        <v>0</v>
      </c>
      <c r="O514" s="1">
        <v>0</v>
      </c>
      <c r="P514" s="1">
        <v>0</v>
      </c>
      <c r="Q514" t="str">
        <f>INDEX(pARTNER[#All],MATCH(#REF!,pARTNER[[#All],[Value.partnerSummary.id]],0),10)</f>
        <v>Italia (IT)</v>
      </c>
      <c r="R514" t="str">
        <f>INDEX('Partner data'!$A$2:$DG$171,MATCH(#REF!,'Partner data'!$DG$2:$DG$171,0),83)</f>
        <v>Soggetto pubblico</v>
      </c>
      <c r="S514" s="86" t="b">
        <f>IF(#REF!="staff",INDEX('Partner data'!$DG$2:$DH$171,MATCH(#REF!,'Partner data'!$DG$2:$DG$171,0),2))</f>
        <v>0</v>
      </c>
    </row>
    <row r="515" spans="1:19" x14ac:dyDescent="0.25">
      <c r="A515" s="1" t="s">
        <v>250</v>
      </c>
      <c r="B515" s="1" t="s">
        <v>262</v>
      </c>
      <c r="C515" s="13">
        <v>30</v>
      </c>
      <c r="D515" s="13">
        <v>271</v>
      </c>
      <c r="E515" s="1" t="s">
        <v>235</v>
      </c>
      <c r="F515" s="1"/>
      <c r="G515" s="1">
        <v>0</v>
      </c>
      <c r="H515" s="1">
        <v>0</v>
      </c>
      <c r="I515" s="1">
        <v>0</v>
      </c>
      <c r="J515" s="1">
        <v>0</v>
      </c>
      <c r="K515" s="1">
        <v>0</v>
      </c>
      <c r="L515" s="1">
        <v>0</v>
      </c>
      <c r="M515" s="1">
        <v>0</v>
      </c>
      <c r="N515" s="1">
        <v>0</v>
      </c>
      <c r="O515" s="1">
        <v>0</v>
      </c>
      <c r="P515" s="1">
        <v>0</v>
      </c>
      <c r="Q515" t="str">
        <f>INDEX(pARTNER[#All],MATCH(#REF!,pARTNER[[#All],[Value.partnerSummary.id]],0),10)</f>
        <v>Italia (IT)</v>
      </c>
      <c r="R515" t="str">
        <f>INDEX('Partner data'!$A$2:$DG$171,MATCH(#REF!,'Partner data'!$DG$2:$DG$171,0),83)</f>
        <v>Soggetto pubblico</v>
      </c>
      <c r="S515" s="86" t="b">
        <f>IF(#REF!="staff",INDEX('Partner data'!$DG$2:$DH$171,MATCH(#REF!,'Partner data'!$DG$2:$DG$171,0),2))</f>
        <v>0</v>
      </c>
    </row>
    <row r="516" spans="1:19" x14ac:dyDescent="0.25">
      <c r="A516" s="1" t="s">
        <v>250</v>
      </c>
      <c r="B516" s="1" t="s">
        <v>262</v>
      </c>
      <c r="C516" s="13">
        <v>30</v>
      </c>
      <c r="D516" s="13">
        <v>271</v>
      </c>
      <c r="E516" s="1" t="s">
        <v>236</v>
      </c>
      <c r="F516" s="1"/>
      <c r="G516" s="1">
        <v>0</v>
      </c>
      <c r="H516" s="1">
        <v>0</v>
      </c>
      <c r="I516" s="1">
        <v>0</v>
      </c>
      <c r="J516" s="1">
        <v>0</v>
      </c>
      <c r="K516" s="1">
        <v>0</v>
      </c>
      <c r="L516" s="1">
        <v>0</v>
      </c>
      <c r="M516" s="1">
        <v>0</v>
      </c>
      <c r="N516" s="1">
        <v>0</v>
      </c>
      <c r="O516" s="1">
        <v>0</v>
      </c>
      <c r="P516" s="1">
        <v>0</v>
      </c>
      <c r="Q516" t="str">
        <f>INDEX(pARTNER[#All],MATCH(#REF!,pARTNER[[#All],[Value.partnerSummary.id]],0),10)</f>
        <v>Italia (IT)</v>
      </c>
      <c r="R516" t="str">
        <f>INDEX('Partner data'!$A$2:$DG$171,MATCH(#REF!,'Partner data'!$DG$2:$DG$171,0),83)</f>
        <v>Soggetto pubblico</v>
      </c>
      <c r="S516" s="86" t="b">
        <f>IF(#REF!="staff",INDEX('Partner data'!$DG$2:$DH$171,MATCH(#REF!,'Partner data'!$DG$2:$DG$171,0),2))</f>
        <v>0</v>
      </c>
    </row>
    <row r="517" spans="1:19" x14ac:dyDescent="0.25">
      <c r="A517" s="1" t="s">
        <v>250</v>
      </c>
      <c r="B517" s="1" t="s">
        <v>262</v>
      </c>
      <c r="C517" s="13">
        <v>30</v>
      </c>
      <c r="D517" s="13">
        <v>271</v>
      </c>
      <c r="E517" s="1" t="s">
        <v>237</v>
      </c>
      <c r="F517" s="1"/>
      <c r="G517" s="1">
        <v>0</v>
      </c>
      <c r="H517" s="1">
        <v>0</v>
      </c>
      <c r="I517" s="1">
        <v>0</v>
      </c>
      <c r="J517" s="1">
        <v>0</v>
      </c>
      <c r="K517" s="1">
        <v>0</v>
      </c>
      <c r="L517" s="1">
        <v>0</v>
      </c>
      <c r="M517" s="1">
        <v>0</v>
      </c>
      <c r="N517" s="1">
        <v>0</v>
      </c>
      <c r="O517" s="1">
        <v>0</v>
      </c>
      <c r="P517" s="1">
        <v>0</v>
      </c>
      <c r="Q517" t="str">
        <f>INDEX(pARTNER[#All],MATCH(#REF!,pARTNER[[#All],[Value.partnerSummary.id]],0),10)</f>
        <v>Italia (IT)</v>
      </c>
      <c r="R517" t="str">
        <f>INDEX('Partner data'!$A$2:$DG$171,MATCH(#REF!,'Partner data'!$DG$2:$DG$171,0),83)</f>
        <v>Soggetto pubblico</v>
      </c>
      <c r="S517" s="86" t="b">
        <f>IF(#REF!="staff",INDEX('Partner data'!$DG$2:$DH$171,MATCH(#REF!,'Partner data'!$DG$2:$DG$171,0),2))</f>
        <v>0</v>
      </c>
    </row>
    <row r="518" spans="1:19" x14ac:dyDescent="0.25">
      <c r="A518" s="1" t="s">
        <v>250</v>
      </c>
      <c r="B518" s="1" t="s">
        <v>262</v>
      </c>
      <c r="C518" s="13">
        <v>30</v>
      </c>
      <c r="D518" s="13">
        <v>271</v>
      </c>
      <c r="E518" s="1" t="s">
        <v>238</v>
      </c>
      <c r="F518" s="1"/>
      <c r="G518" s="1">
        <v>88337.54</v>
      </c>
      <c r="H518" s="1">
        <v>0</v>
      </c>
      <c r="I518" s="1">
        <v>0</v>
      </c>
      <c r="J518" s="1">
        <v>8990.65</v>
      </c>
      <c r="K518" s="1">
        <v>0</v>
      </c>
      <c r="L518" s="1">
        <v>7531.98</v>
      </c>
      <c r="M518" s="1">
        <v>8990.65</v>
      </c>
      <c r="N518" s="1">
        <v>10.18</v>
      </c>
      <c r="O518" s="1">
        <v>79346.89</v>
      </c>
      <c r="P518" s="1">
        <v>0</v>
      </c>
      <c r="Q518" t="str">
        <f>INDEX(pARTNER[#All],MATCH(#REF!,pARTNER[[#All],[Value.partnerSummary.id]],0),10)</f>
        <v>Italia (IT)</v>
      </c>
      <c r="R518" t="str">
        <f>INDEX('Partner data'!$A$2:$DG$171,MATCH(#REF!,'Partner data'!$DG$2:$DG$171,0),83)</f>
        <v>Soggetto pubblico</v>
      </c>
      <c r="S518" s="86" t="b">
        <f>IF(#REF!="staff",INDEX('Partner data'!$DG$2:$DH$171,MATCH(#REF!,'Partner data'!$DG$2:$DG$171,0),2))</f>
        <v>0</v>
      </c>
    </row>
    <row r="519" spans="1:19" x14ac:dyDescent="0.25">
      <c r="A519" s="1" t="s">
        <v>250</v>
      </c>
      <c r="B519" s="1" t="s">
        <v>263</v>
      </c>
      <c r="C519" s="13">
        <v>28</v>
      </c>
      <c r="D519" s="13">
        <v>280</v>
      </c>
      <c r="E519" s="1" t="s">
        <v>228</v>
      </c>
      <c r="F519" s="1"/>
      <c r="G519" s="1">
        <v>46601.4</v>
      </c>
      <c r="H519" s="1">
        <v>0</v>
      </c>
      <c r="I519" s="1">
        <v>0</v>
      </c>
      <c r="J519" s="1">
        <v>10556.6</v>
      </c>
      <c r="K519" s="1">
        <v>0</v>
      </c>
      <c r="L519" s="1">
        <v>10556.6</v>
      </c>
      <c r="M519" s="1">
        <v>10556.6</v>
      </c>
      <c r="N519" s="1">
        <v>22.65</v>
      </c>
      <c r="O519" s="1">
        <v>36044.800000000003</v>
      </c>
      <c r="P519" s="1">
        <v>0</v>
      </c>
      <c r="Q519" t="str">
        <f>INDEX(pARTNER[#All],MATCH(#REF!,pARTNER[[#All],[Value.partnerSummary.id]],0),10)</f>
        <v>Italia (IT)</v>
      </c>
      <c r="R519" t="str">
        <f>INDEX('Partner data'!$A$2:$DG$171,MATCH(#REF!,'Partner data'!$DG$2:$DG$171,0),83)</f>
        <v>Soggetto privato</v>
      </c>
      <c r="S519" s="86" t="str">
        <f>IF(#REF!="staff",INDEX('Partner data'!$DG$2:$DH$171,MATCH(#REF!,'Partner data'!$DG$2:$DG$171,0),2))</f>
        <v>COSTO REALE</v>
      </c>
    </row>
    <row r="520" spans="1:19" x14ac:dyDescent="0.25">
      <c r="A520" s="1" t="s">
        <v>250</v>
      </c>
      <c r="B520" s="1" t="s">
        <v>263</v>
      </c>
      <c r="C520" s="13">
        <v>28</v>
      </c>
      <c r="D520" s="13">
        <v>280</v>
      </c>
      <c r="E520" s="1" t="s">
        <v>229</v>
      </c>
      <c r="F520" s="1">
        <v>15</v>
      </c>
      <c r="G520" s="1">
        <v>6990.21</v>
      </c>
      <c r="H520" s="1">
        <v>0</v>
      </c>
      <c r="I520" s="1">
        <v>0</v>
      </c>
      <c r="J520" s="1">
        <v>1583.49</v>
      </c>
      <c r="K520" s="1">
        <v>0</v>
      </c>
      <c r="L520" s="1">
        <v>1583.49</v>
      </c>
      <c r="M520" s="1">
        <v>1583.49</v>
      </c>
      <c r="N520" s="1">
        <v>22.65</v>
      </c>
      <c r="O520" s="1">
        <v>5406.72</v>
      </c>
      <c r="P520" s="1">
        <v>0</v>
      </c>
      <c r="Q520" t="str">
        <f>INDEX(pARTNER[#All],MATCH(#REF!,pARTNER[[#All],[Value.partnerSummary.id]],0),10)</f>
        <v>Italia (IT)</v>
      </c>
      <c r="R520" t="str">
        <f>INDEX('Partner data'!$A$2:$DG$171,MATCH(#REF!,'Partner data'!$DG$2:$DG$171,0),83)</f>
        <v>Soggetto privato</v>
      </c>
      <c r="S520" s="86" t="b">
        <f>IF(#REF!="staff",INDEX('Partner data'!$DG$2:$DH$171,MATCH(#REF!,'Partner data'!$DG$2:$DG$171,0),2))</f>
        <v>0</v>
      </c>
    </row>
    <row r="521" spans="1:19" x14ac:dyDescent="0.25">
      <c r="A521" s="1" t="s">
        <v>250</v>
      </c>
      <c r="B521" s="1" t="s">
        <v>263</v>
      </c>
      <c r="C521" s="13">
        <v>28</v>
      </c>
      <c r="D521" s="13">
        <v>280</v>
      </c>
      <c r="E521" s="1" t="s">
        <v>230</v>
      </c>
      <c r="F521" s="1">
        <v>4</v>
      </c>
      <c r="G521" s="1">
        <v>1864.05</v>
      </c>
      <c r="H521" s="1">
        <v>0</v>
      </c>
      <c r="I521" s="1">
        <v>0</v>
      </c>
      <c r="J521" s="1">
        <v>422.26</v>
      </c>
      <c r="K521" s="1">
        <v>0</v>
      </c>
      <c r="L521" s="1">
        <v>422.26</v>
      </c>
      <c r="M521" s="1">
        <v>422.26</v>
      </c>
      <c r="N521" s="1">
        <v>22.65</v>
      </c>
      <c r="O521" s="1">
        <v>1441.79</v>
      </c>
      <c r="P521" s="1">
        <v>0</v>
      </c>
      <c r="Q521" t="str">
        <f>INDEX(pARTNER[#All],MATCH(#REF!,pARTNER[[#All],[Value.partnerSummary.id]],0),10)</f>
        <v>Italia (IT)</v>
      </c>
      <c r="R521" t="str">
        <f>INDEX('Partner data'!$A$2:$DG$171,MATCH(#REF!,'Partner data'!$DG$2:$DG$171,0),83)</f>
        <v>Soggetto privato</v>
      </c>
      <c r="S521" s="86" t="b">
        <f>IF(#REF!="staff",INDEX('Partner data'!$DG$2:$DH$171,MATCH(#REF!,'Partner data'!$DG$2:$DG$171,0),2))</f>
        <v>0</v>
      </c>
    </row>
    <row r="522" spans="1:19" x14ac:dyDescent="0.25">
      <c r="A522" s="1" t="s">
        <v>250</v>
      </c>
      <c r="B522" s="1" t="s">
        <v>263</v>
      </c>
      <c r="C522" s="13">
        <v>28</v>
      </c>
      <c r="D522" s="13">
        <v>280</v>
      </c>
      <c r="E522" s="1" t="s">
        <v>231</v>
      </c>
      <c r="F522" s="1"/>
      <c r="G522" s="1">
        <v>129471.22</v>
      </c>
      <c r="H522" s="1">
        <v>0</v>
      </c>
      <c r="I522" s="1">
        <v>0</v>
      </c>
      <c r="J522" s="1">
        <v>18066.77</v>
      </c>
      <c r="K522" s="1">
        <v>0</v>
      </c>
      <c r="L522" s="1">
        <v>18066.77</v>
      </c>
      <c r="M522" s="1">
        <v>18066.77</v>
      </c>
      <c r="N522" s="1">
        <v>13.95</v>
      </c>
      <c r="O522" s="1">
        <v>111404.45</v>
      </c>
      <c r="P522" s="1">
        <v>0</v>
      </c>
      <c r="Q522" t="str">
        <f>INDEX(pARTNER[#All],MATCH(#REF!,pARTNER[[#All],[Value.partnerSummary.id]],0),10)</f>
        <v>Italia (IT)</v>
      </c>
      <c r="R522" t="str">
        <f>INDEX('Partner data'!$A$2:$DG$171,MATCH(#REF!,'Partner data'!$DG$2:$DG$171,0),83)</f>
        <v>Soggetto privato</v>
      </c>
      <c r="S522" s="86" t="b">
        <f>IF(#REF!="staff",INDEX('Partner data'!$DG$2:$DH$171,MATCH(#REF!,'Partner data'!$DG$2:$DG$171,0),2))</f>
        <v>0</v>
      </c>
    </row>
    <row r="523" spans="1:19" x14ac:dyDescent="0.25">
      <c r="A523" s="1" t="s">
        <v>250</v>
      </c>
      <c r="B523" s="1" t="s">
        <v>263</v>
      </c>
      <c r="C523" s="13">
        <v>28</v>
      </c>
      <c r="D523" s="13">
        <v>280</v>
      </c>
      <c r="E523" s="1" t="s">
        <v>232</v>
      </c>
      <c r="F523" s="1"/>
      <c r="G523" s="1">
        <v>0</v>
      </c>
      <c r="H523" s="1">
        <v>0</v>
      </c>
      <c r="I523" s="1">
        <v>0</v>
      </c>
      <c r="J523" s="1">
        <v>0</v>
      </c>
      <c r="K523" s="1">
        <v>0</v>
      </c>
      <c r="L523" s="1">
        <v>0</v>
      </c>
      <c r="M523" s="1">
        <v>0</v>
      </c>
      <c r="N523" s="1">
        <v>0</v>
      </c>
      <c r="O523" s="1">
        <v>0</v>
      </c>
      <c r="P523" s="1">
        <v>0</v>
      </c>
      <c r="Q523" t="str">
        <f>INDEX(pARTNER[#All],MATCH(#REF!,pARTNER[[#All],[Value.partnerSummary.id]],0),10)</f>
        <v>Italia (IT)</v>
      </c>
      <c r="R523" t="str">
        <f>INDEX('Partner data'!$A$2:$DG$171,MATCH(#REF!,'Partner data'!$DG$2:$DG$171,0),83)</f>
        <v>Soggetto privato</v>
      </c>
      <c r="S523" s="86" t="b">
        <f>IF(#REF!="staff",INDEX('Partner data'!$DG$2:$DH$171,MATCH(#REF!,'Partner data'!$DG$2:$DG$171,0),2))</f>
        <v>0</v>
      </c>
    </row>
    <row r="524" spans="1:19" x14ac:dyDescent="0.25">
      <c r="A524" s="1" t="s">
        <v>250</v>
      </c>
      <c r="B524" s="1" t="s">
        <v>263</v>
      </c>
      <c r="C524" s="13">
        <v>28</v>
      </c>
      <c r="D524" s="13">
        <v>280</v>
      </c>
      <c r="E524" s="1" t="s">
        <v>233</v>
      </c>
      <c r="F524" s="1"/>
      <c r="G524" s="1">
        <v>0</v>
      </c>
      <c r="H524" s="1">
        <v>0</v>
      </c>
      <c r="I524" s="1">
        <v>0</v>
      </c>
      <c r="J524" s="1">
        <v>0</v>
      </c>
      <c r="K524" s="1">
        <v>0</v>
      </c>
      <c r="L524" s="1">
        <v>0</v>
      </c>
      <c r="M524" s="1">
        <v>0</v>
      </c>
      <c r="N524" s="1">
        <v>0</v>
      </c>
      <c r="O524" s="1">
        <v>0</v>
      </c>
      <c r="P524" s="1">
        <v>0</v>
      </c>
      <c r="Q524" t="str">
        <f>INDEX(pARTNER[#All],MATCH(#REF!,pARTNER[[#All],[Value.partnerSummary.id]],0),10)</f>
        <v>Italia (IT)</v>
      </c>
      <c r="R524" t="str">
        <f>INDEX('Partner data'!$A$2:$DG$171,MATCH(#REF!,'Partner data'!$DG$2:$DG$171,0),83)</f>
        <v>Soggetto privato</v>
      </c>
      <c r="S524" s="86" t="b">
        <f>IF(#REF!="staff",INDEX('Partner data'!$DG$2:$DH$171,MATCH(#REF!,'Partner data'!$DG$2:$DG$171,0),2))</f>
        <v>0</v>
      </c>
    </row>
    <row r="525" spans="1:19" x14ac:dyDescent="0.25">
      <c r="A525" s="1" t="s">
        <v>250</v>
      </c>
      <c r="B525" s="1" t="s">
        <v>263</v>
      </c>
      <c r="C525" s="13">
        <v>28</v>
      </c>
      <c r="D525" s="13">
        <v>280</v>
      </c>
      <c r="E525" s="1" t="s">
        <v>234</v>
      </c>
      <c r="F525" s="1"/>
      <c r="G525" s="1">
        <v>0</v>
      </c>
      <c r="H525" s="1">
        <v>0</v>
      </c>
      <c r="I525" s="1">
        <v>0</v>
      </c>
      <c r="J525" s="1">
        <v>0</v>
      </c>
      <c r="K525" s="1">
        <v>0</v>
      </c>
      <c r="L525" s="1">
        <v>0</v>
      </c>
      <c r="M525" s="1">
        <v>0</v>
      </c>
      <c r="N525" s="1">
        <v>0</v>
      </c>
      <c r="O525" s="1">
        <v>0</v>
      </c>
      <c r="P525" s="1">
        <v>0</v>
      </c>
      <c r="Q525" t="str">
        <f>INDEX(pARTNER[#All],MATCH(#REF!,pARTNER[[#All],[Value.partnerSummary.id]],0),10)</f>
        <v>Italia (IT)</v>
      </c>
      <c r="R525" t="str">
        <f>INDEX('Partner data'!$A$2:$DG$171,MATCH(#REF!,'Partner data'!$DG$2:$DG$171,0),83)</f>
        <v>Soggetto privato</v>
      </c>
      <c r="S525" s="86" t="b">
        <f>IF(#REF!="staff",INDEX('Partner data'!$DG$2:$DH$171,MATCH(#REF!,'Partner data'!$DG$2:$DG$171,0),2))</f>
        <v>0</v>
      </c>
    </row>
    <row r="526" spans="1:19" x14ac:dyDescent="0.25">
      <c r="A526" s="1" t="s">
        <v>250</v>
      </c>
      <c r="B526" s="1" t="s">
        <v>263</v>
      </c>
      <c r="C526" s="13">
        <v>28</v>
      </c>
      <c r="D526" s="13">
        <v>280</v>
      </c>
      <c r="E526" s="1" t="s">
        <v>235</v>
      </c>
      <c r="F526" s="1"/>
      <c r="G526" s="1">
        <v>9000</v>
      </c>
      <c r="H526" s="1">
        <v>0</v>
      </c>
      <c r="I526" s="1">
        <v>0</v>
      </c>
      <c r="J526" s="1">
        <v>9000</v>
      </c>
      <c r="K526" s="1">
        <v>0</v>
      </c>
      <c r="L526" s="1">
        <v>9000</v>
      </c>
      <c r="M526" s="1">
        <v>9000</v>
      </c>
      <c r="N526" s="1">
        <v>100</v>
      </c>
      <c r="O526" s="1">
        <v>0</v>
      </c>
      <c r="P526" s="1">
        <v>0</v>
      </c>
      <c r="Q526" t="str">
        <f>INDEX(pARTNER[#All],MATCH(#REF!,pARTNER[[#All],[Value.partnerSummary.id]],0),10)</f>
        <v>Italia (IT)</v>
      </c>
      <c r="R526" t="str">
        <f>INDEX('Partner data'!$A$2:$DG$171,MATCH(#REF!,'Partner data'!$DG$2:$DG$171,0),83)</f>
        <v>Soggetto privato</v>
      </c>
      <c r="S526" s="86" t="b">
        <f>IF(#REF!="staff",INDEX('Partner data'!$DG$2:$DH$171,MATCH(#REF!,'Partner data'!$DG$2:$DG$171,0),2))</f>
        <v>0</v>
      </c>
    </row>
    <row r="527" spans="1:19" x14ac:dyDescent="0.25">
      <c r="A527" s="1" t="s">
        <v>250</v>
      </c>
      <c r="B527" s="1" t="s">
        <v>263</v>
      </c>
      <c r="C527" s="13">
        <v>28</v>
      </c>
      <c r="D527" s="13">
        <v>280</v>
      </c>
      <c r="E527" s="1" t="s">
        <v>236</v>
      </c>
      <c r="F527" s="1"/>
      <c r="G527" s="1">
        <v>0</v>
      </c>
      <c r="H527" s="1">
        <v>0</v>
      </c>
      <c r="I527" s="1">
        <v>0</v>
      </c>
      <c r="J527" s="1">
        <v>0</v>
      </c>
      <c r="K527" s="1">
        <v>0</v>
      </c>
      <c r="L527" s="1">
        <v>0</v>
      </c>
      <c r="M527" s="1">
        <v>0</v>
      </c>
      <c r="N527" s="1">
        <v>0</v>
      </c>
      <c r="O527" s="1">
        <v>0</v>
      </c>
      <c r="P527" s="1">
        <v>0</v>
      </c>
      <c r="Q527" t="str">
        <f>INDEX(pARTNER[#All],MATCH(#REF!,pARTNER[[#All],[Value.partnerSummary.id]],0),10)</f>
        <v>Italia (IT)</v>
      </c>
      <c r="R527" t="str">
        <f>INDEX('Partner data'!$A$2:$DG$171,MATCH(#REF!,'Partner data'!$DG$2:$DG$171,0),83)</f>
        <v>Soggetto privato</v>
      </c>
      <c r="S527" s="86" t="b">
        <f>IF(#REF!="staff",INDEX('Partner data'!$DG$2:$DH$171,MATCH(#REF!,'Partner data'!$DG$2:$DG$171,0),2))</f>
        <v>0</v>
      </c>
    </row>
    <row r="528" spans="1:19" x14ac:dyDescent="0.25">
      <c r="A528" s="1" t="s">
        <v>250</v>
      </c>
      <c r="B528" s="1" t="s">
        <v>263</v>
      </c>
      <c r="C528" s="13">
        <v>28</v>
      </c>
      <c r="D528" s="13">
        <v>280</v>
      </c>
      <c r="E528" s="1" t="s">
        <v>237</v>
      </c>
      <c r="F528" s="1"/>
      <c r="G528" s="1">
        <v>0</v>
      </c>
      <c r="H528" s="1">
        <v>0</v>
      </c>
      <c r="I528" s="1">
        <v>0</v>
      </c>
      <c r="J528" s="1">
        <v>0</v>
      </c>
      <c r="K528" s="1">
        <v>0</v>
      </c>
      <c r="L528" s="1">
        <v>0</v>
      </c>
      <c r="M528" s="1">
        <v>0</v>
      </c>
      <c r="N528" s="1">
        <v>0</v>
      </c>
      <c r="O528" s="1">
        <v>0</v>
      </c>
      <c r="P528" s="1">
        <v>0</v>
      </c>
      <c r="Q528" t="str">
        <f>INDEX(pARTNER[#All],MATCH(#REF!,pARTNER[[#All],[Value.partnerSummary.id]],0),10)</f>
        <v>Italia (IT)</v>
      </c>
      <c r="R528" t="str">
        <f>INDEX('Partner data'!$A$2:$DG$171,MATCH(#REF!,'Partner data'!$DG$2:$DG$171,0),83)</f>
        <v>Soggetto privato</v>
      </c>
      <c r="S528" s="86" t="b">
        <f>IF(#REF!="staff",INDEX('Partner data'!$DG$2:$DH$171,MATCH(#REF!,'Partner data'!$DG$2:$DG$171,0),2))</f>
        <v>0</v>
      </c>
    </row>
    <row r="529" spans="1:19" x14ac:dyDescent="0.25">
      <c r="A529" s="1" t="s">
        <v>250</v>
      </c>
      <c r="B529" s="1" t="s">
        <v>263</v>
      </c>
      <c r="C529" s="13">
        <v>28</v>
      </c>
      <c r="D529" s="13">
        <v>280</v>
      </c>
      <c r="E529" s="1" t="s">
        <v>238</v>
      </c>
      <c r="F529" s="1"/>
      <c r="G529" s="1">
        <v>193926.88</v>
      </c>
      <c r="H529" s="1">
        <v>0</v>
      </c>
      <c r="I529" s="1">
        <v>0</v>
      </c>
      <c r="J529" s="1">
        <v>39629.120000000003</v>
      </c>
      <c r="K529" s="1">
        <v>0</v>
      </c>
      <c r="L529" s="1">
        <v>39629.120000000003</v>
      </c>
      <c r="M529" s="1">
        <v>39629.120000000003</v>
      </c>
      <c r="N529" s="1">
        <v>20.440000000000001</v>
      </c>
      <c r="O529" s="1">
        <v>154297.76</v>
      </c>
      <c r="P529" s="1">
        <v>0</v>
      </c>
      <c r="Q529" t="str">
        <f>INDEX(pARTNER[#All],MATCH(#REF!,pARTNER[[#All],[Value.partnerSummary.id]],0),10)</f>
        <v>Italia (IT)</v>
      </c>
      <c r="R529" t="str">
        <f>INDEX('Partner data'!$A$2:$DG$171,MATCH(#REF!,'Partner data'!$DG$2:$DG$171,0),83)</f>
        <v>Soggetto privato</v>
      </c>
      <c r="S529" s="86" t="b">
        <f>IF(#REF!="staff",INDEX('Partner data'!$DG$2:$DH$171,MATCH(#REF!,'Partner data'!$DG$2:$DG$171,0),2))</f>
        <v>0</v>
      </c>
    </row>
    <row r="530" spans="1:19" x14ac:dyDescent="0.25">
      <c r="A530" s="1" t="s">
        <v>283</v>
      </c>
      <c r="B530" s="1" t="s">
        <v>56</v>
      </c>
      <c r="C530" s="13">
        <v>92</v>
      </c>
      <c r="D530" s="13">
        <v>125</v>
      </c>
      <c r="E530" s="1" t="s">
        <v>228</v>
      </c>
      <c r="F530" s="1"/>
      <c r="G530" s="1">
        <v>130225.34</v>
      </c>
      <c r="H530" s="1">
        <v>0</v>
      </c>
      <c r="I530" s="1">
        <v>0</v>
      </c>
      <c r="J530" s="1">
        <v>27728.11</v>
      </c>
      <c r="K530" s="1">
        <v>0</v>
      </c>
      <c r="L530" s="1">
        <v>27728.11</v>
      </c>
      <c r="M530" s="1">
        <v>27728.11</v>
      </c>
      <c r="N530" s="1">
        <v>21.29</v>
      </c>
      <c r="O530" s="1">
        <v>102497.23</v>
      </c>
      <c r="P530" s="1">
        <v>0</v>
      </c>
      <c r="Q530" t="str">
        <f>INDEX(pARTNER[#All],MATCH(#REF!,pARTNER[[#All],[Value.partnerSummary.id]],0),10)</f>
        <v>Slovenija (SI)</v>
      </c>
      <c r="R530" t="str">
        <f>INDEX('Partner data'!$A$2:$DG$171,MATCH(#REF!,'Partner data'!$DG$2:$DG$171,0),83)</f>
        <v>Soggetto pubblico</v>
      </c>
      <c r="S530" s="86" t="str">
        <f>IF(#REF!="staff",INDEX('Partner data'!$DG$2:$DH$171,MATCH(#REF!,'Partner data'!$DG$2:$DG$171,0),2))</f>
        <v>COSTO REALE</v>
      </c>
    </row>
    <row r="531" spans="1:19" x14ac:dyDescent="0.25">
      <c r="A531" s="1" t="s">
        <v>283</v>
      </c>
      <c r="B531" s="1" t="s">
        <v>56</v>
      </c>
      <c r="C531" s="13">
        <v>92</v>
      </c>
      <c r="D531" s="13">
        <v>125</v>
      </c>
      <c r="E531" s="1" t="s">
        <v>229</v>
      </c>
      <c r="F531" s="1"/>
      <c r="G531" s="1">
        <v>0</v>
      </c>
      <c r="H531" s="1">
        <v>0</v>
      </c>
      <c r="I531" s="1">
        <v>0</v>
      </c>
      <c r="J531" s="1">
        <v>0</v>
      </c>
      <c r="K531" s="1">
        <v>0</v>
      </c>
      <c r="L531" s="1">
        <v>0</v>
      </c>
      <c r="M531" s="1">
        <v>0</v>
      </c>
      <c r="N531" s="1">
        <v>0</v>
      </c>
      <c r="O531" s="1">
        <v>0</v>
      </c>
      <c r="P531" s="1">
        <v>0</v>
      </c>
      <c r="Q531" t="str">
        <f>INDEX(pARTNER[#All],MATCH(#REF!,pARTNER[[#All],[Value.partnerSummary.id]],0),10)</f>
        <v>Slovenija (SI)</v>
      </c>
      <c r="R531" t="str">
        <f>INDEX('Partner data'!$A$2:$DG$171,MATCH(#REF!,'Partner data'!$DG$2:$DG$171,0),83)</f>
        <v>Soggetto pubblico</v>
      </c>
      <c r="S531" s="86" t="b">
        <f>IF(#REF!="staff",INDEX('Partner data'!$DG$2:$DH$171,MATCH(#REF!,'Partner data'!$DG$2:$DG$171,0),2))</f>
        <v>0</v>
      </c>
    </row>
    <row r="532" spans="1:19" x14ac:dyDescent="0.25">
      <c r="A532" s="1" t="s">
        <v>283</v>
      </c>
      <c r="B532" s="1" t="s">
        <v>56</v>
      </c>
      <c r="C532" s="13">
        <v>92</v>
      </c>
      <c r="D532" s="13">
        <v>125</v>
      </c>
      <c r="E532" s="1" t="s">
        <v>230</v>
      </c>
      <c r="F532" s="1"/>
      <c r="G532" s="1">
        <v>0</v>
      </c>
      <c r="H532" s="1">
        <v>0</v>
      </c>
      <c r="I532" s="1">
        <v>0</v>
      </c>
      <c r="J532" s="1">
        <v>0</v>
      </c>
      <c r="K532" s="1">
        <v>0</v>
      </c>
      <c r="L532" s="1">
        <v>0</v>
      </c>
      <c r="M532" s="1">
        <v>0</v>
      </c>
      <c r="N532" s="1">
        <v>0</v>
      </c>
      <c r="O532" s="1">
        <v>0</v>
      </c>
      <c r="P532" s="1">
        <v>0</v>
      </c>
      <c r="Q532" t="str">
        <f>INDEX(pARTNER[#All],MATCH(#REF!,pARTNER[[#All],[Value.partnerSummary.id]],0),10)</f>
        <v>Slovenija (SI)</v>
      </c>
      <c r="R532" t="str">
        <f>INDEX('Partner data'!$A$2:$DG$171,MATCH(#REF!,'Partner data'!$DG$2:$DG$171,0),83)</f>
        <v>Soggetto pubblico</v>
      </c>
      <c r="S532" s="86" t="b">
        <f>IF(#REF!="staff",INDEX('Partner data'!$DG$2:$DH$171,MATCH(#REF!,'Partner data'!$DG$2:$DG$171,0),2))</f>
        <v>0</v>
      </c>
    </row>
    <row r="533" spans="1:19" x14ac:dyDescent="0.25">
      <c r="A533" s="1" t="s">
        <v>283</v>
      </c>
      <c r="B533" s="1" t="s">
        <v>56</v>
      </c>
      <c r="C533" s="13">
        <v>92</v>
      </c>
      <c r="D533" s="13">
        <v>125</v>
      </c>
      <c r="E533" s="1" t="s">
        <v>231</v>
      </c>
      <c r="F533" s="1"/>
      <c r="G533" s="1">
        <v>0</v>
      </c>
      <c r="H533" s="1">
        <v>0</v>
      </c>
      <c r="I533" s="1">
        <v>0</v>
      </c>
      <c r="J533" s="1">
        <v>0</v>
      </c>
      <c r="K533" s="1">
        <v>0</v>
      </c>
      <c r="L533" s="1">
        <v>0</v>
      </c>
      <c r="M533" s="1">
        <v>0</v>
      </c>
      <c r="N533" s="1">
        <v>0</v>
      </c>
      <c r="O533" s="1">
        <v>0</v>
      </c>
      <c r="P533" s="1">
        <v>0</v>
      </c>
      <c r="Q533" t="str">
        <f>INDEX(pARTNER[#All],MATCH(#REF!,pARTNER[[#All],[Value.partnerSummary.id]],0),10)</f>
        <v>Slovenija (SI)</v>
      </c>
      <c r="R533" t="str">
        <f>INDEX('Partner data'!$A$2:$DG$171,MATCH(#REF!,'Partner data'!$DG$2:$DG$171,0),83)</f>
        <v>Soggetto pubblico</v>
      </c>
      <c r="S533" s="86" t="b">
        <f>IF(#REF!="staff",INDEX('Partner data'!$DG$2:$DH$171,MATCH(#REF!,'Partner data'!$DG$2:$DG$171,0),2))</f>
        <v>0</v>
      </c>
    </row>
    <row r="534" spans="1:19" x14ac:dyDescent="0.25">
      <c r="A534" s="1" t="s">
        <v>283</v>
      </c>
      <c r="B534" s="1" t="s">
        <v>56</v>
      </c>
      <c r="C534" s="13">
        <v>92</v>
      </c>
      <c r="D534" s="13">
        <v>125</v>
      </c>
      <c r="E534" s="1" t="s">
        <v>232</v>
      </c>
      <c r="F534" s="1"/>
      <c r="G534" s="1">
        <v>0</v>
      </c>
      <c r="H534" s="1">
        <v>0</v>
      </c>
      <c r="I534" s="1">
        <v>0</v>
      </c>
      <c r="J534" s="1">
        <v>0</v>
      </c>
      <c r="K534" s="1">
        <v>0</v>
      </c>
      <c r="L534" s="1">
        <v>0</v>
      </c>
      <c r="M534" s="1">
        <v>0</v>
      </c>
      <c r="N534" s="1">
        <v>0</v>
      </c>
      <c r="O534" s="1">
        <v>0</v>
      </c>
      <c r="P534" s="1">
        <v>0</v>
      </c>
      <c r="Q534" t="str">
        <f>INDEX(pARTNER[#All],MATCH(#REF!,pARTNER[[#All],[Value.partnerSummary.id]],0),10)</f>
        <v>Slovenija (SI)</v>
      </c>
      <c r="R534" t="str">
        <f>INDEX('Partner data'!$A$2:$DG$171,MATCH(#REF!,'Partner data'!$DG$2:$DG$171,0),83)</f>
        <v>Soggetto pubblico</v>
      </c>
      <c r="S534" s="86" t="b">
        <f>IF(#REF!="staff",INDEX('Partner data'!$DG$2:$DH$171,MATCH(#REF!,'Partner data'!$DG$2:$DG$171,0),2))</f>
        <v>0</v>
      </c>
    </row>
    <row r="535" spans="1:19" x14ac:dyDescent="0.25">
      <c r="A535" s="1" t="s">
        <v>283</v>
      </c>
      <c r="B535" s="1" t="s">
        <v>56</v>
      </c>
      <c r="C535" s="13">
        <v>92</v>
      </c>
      <c r="D535" s="13">
        <v>125</v>
      </c>
      <c r="E535" s="1" t="s">
        <v>233</v>
      </c>
      <c r="F535" s="1"/>
      <c r="G535" s="1">
        <v>0</v>
      </c>
      <c r="H535" s="1">
        <v>0</v>
      </c>
      <c r="I535" s="1">
        <v>0</v>
      </c>
      <c r="J535" s="1">
        <v>0</v>
      </c>
      <c r="K535" s="1">
        <v>0</v>
      </c>
      <c r="L535" s="1">
        <v>0</v>
      </c>
      <c r="M535" s="1">
        <v>0</v>
      </c>
      <c r="N535" s="1">
        <v>0</v>
      </c>
      <c r="O535" s="1">
        <v>0</v>
      </c>
      <c r="P535" s="1">
        <v>0</v>
      </c>
      <c r="Q535" t="str">
        <f>INDEX(pARTNER[#All],MATCH(#REF!,pARTNER[[#All],[Value.partnerSummary.id]],0),10)</f>
        <v>Slovenija (SI)</v>
      </c>
      <c r="R535" t="str">
        <f>INDEX('Partner data'!$A$2:$DG$171,MATCH(#REF!,'Partner data'!$DG$2:$DG$171,0),83)</f>
        <v>Soggetto pubblico</v>
      </c>
      <c r="S535" s="86" t="b">
        <f>IF(#REF!="staff",INDEX('Partner data'!$DG$2:$DH$171,MATCH(#REF!,'Partner data'!$DG$2:$DG$171,0),2))</f>
        <v>0</v>
      </c>
    </row>
    <row r="536" spans="1:19" x14ac:dyDescent="0.25">
      <c r="A536" s="1" t="s">
        <v>283</v>
      </c>
      <c r="B536" s="1" t="s">
        <v>56</v>
      </c>
      <c r="C536" s="13">
        <v>92</v>
      </c>
      <c r="D536" s="13">
        <v>125</v>
      </c>
      <c r="E536" s="1" t="s">
        <v>234</v>
      </c>
      <c r="F536" s="1">
        <v>40</v>
      </c>
      <c r="G536" s="1">
        <v>52090.13</v>
      </c>
      <c r="H536" s="1">
        <v>0</v>
      </c>
      <c r="I536" s="1">
        <v>0</v>
      </c>
      <c r="J536" s="1">
        <v>11091.24</v>
      </c>
      <c r="K536" s="1">
        <v>0</v>
      </c>
      <c r="L536" s="1">
        <v>11091.24</v>
      </c>
      <c r="M536" s="1">
        <v>11091.24</v>
      </c>
      <c r="N536" s="1">
        <v>21.29</v>
      </c>
      <c r="O536" s="1">
        <v>40998.89</v>
      </c>
      <c r="P536" s="1">
        <v>0</v>
      </c>
      <c r="Q536" t="str">
        <f>INDEX(pARTNER[#All],MATCH(#REF!,pARTNER[[#All],[Value.partnerSummary.id]],0),10)</f>
        <v>Slovenija (SI)</v>
      </c>
      <c r="R536" t="str">
        <f>INDEX('Partner data'!$A$2:$DG$171,MATCH(#REF!,'Partner data'!$DG$2:$DG$171,0),83)</f>
        <v>Soggetto pubblico</v>
      </c>
      <c r="S536" s="86" t="b">
        <f>IF(#REF!="staff",INDEX('Partner data'!$DG$2:$DH$171,MATCH(#REF!,'Partner data'!$DG$2:$DG$171,0),2))</f>
        <v>0</v>
      </c>
    </row>
    <row r="537" spans="1:19" x14ac:dyDescent="0.25">
      <c r="A537" s="1" t="s">
        <v>283</v>
      </c>
      <c r="B537" s="1" t="s">
        <v>56</v>
      </c>
      <c r="C537" s="13">
        <v>92</v>
      </c>
      <c r="D537" s="13">
        <v>125</v>
      </c>
      <c r="E537" s="1" t="s">
        <v>235</v>
      </c>
      <c r="F537" s="1"/>
      <c r="G537" s="1">
        <v>9000</v>
      </c>
      <c r="H537" s="1">
        <v>0</v>
      </c>
      <c r="I537" s="1">
        <v>0</v>
      </c>
      <c r="J537" s="1">
        <v>9000</v>
      </c>
      <c r="K537" s="1">
        <v>0</v>
      </c>
      <c r="L537" s="1">
        <v>9000</v>
      </c>
      <c r="M537" s="1">
        <v>9000</v>
      </c>
      <c r="N537" s="1">
        <v>100</v>
      </c>
      <c r="O537" s="1">
        <v>0</v>
      </c>
      <c r="P537" s="1">
        <v>0</v>
      </c>
      <c r="Q537" t="str">
        <f>INDEX(pARTNER[#All],MATCH(#REF!,pARTNER[[#All],[Value.partnerSummary.id]],0),10)</f>
        <v>Slovenija (SI)</v>
      </c>
      <c r="R537" t="str">
        <f>INDEX('Partner data'!$A$2:$DG$171,MATCH(#REF!,'Partner data'!$DG$2:$DG$171,0),83)</f>
        <v>Soggetto pubblico</v>
      </c>
      <c r="S537" s="86" t="b">
        <f>IF(#REF!="staff",INDEX('Partner data'!$DG$2:$DH$171,MATCH(#REF!,'Partner data'!$DG$2:$DG$171,0),2))</f>
        <v>0</v>
      </c>
    </row>
    <row r="538" spans="1:19" x14ac:dyDescent="0.25">
      <c r="A538" s="1" t="s">
        <v>283</v>
      </c>
      <c r="B538" s="1" t="s">
        <v>56</v>
      </c>
      <c r="C538" s="13">
        <v>92</v>
      </c>
      <c r="D538" s="13">
        <v>125</v>
      </c>
      <c r="E538" s="1" t="s">
        <v>236</v>
      </c>
      <c r="F538" s="1"/>
      <c r="G538" s="1">
        <v>0</v>
      </c>
      <c r="H538" s="1">
        <v>0</v>
      </c>
      <c r="I538" s="1">
        <v>0</v>
      </c>
      <c r="J538" s="1">
        <v>0</v>
      </c>
      <c r="K538" s="1">
        <v>0</v>
      </c>
      <c r="L538" s="1">
        <v>0</v>
      </c>
      <c r="M538" s="1">
        <v>0</v>
      </c>
      <c r="N538" s="1">
        <v>0</v>
      </c>
      <c r="O538" s="1">
        <v>0</v>
      </c>
      <c r="P538" s="1">
        <v>0</v>
      </c>
      <c r="Q538" t="str">
        <f>INDEX(pARTNER[#All],MATCH(#REF!,pARTNER[[#All],[Value.partnerSummary.id]],0),10)</f>
        <v>Slovenija (SI)</v>
      </c>
      <c r="R538" t="str">
        <f>INDEX('Partner data'!$A$2:$DG$171,MATCH(#REF!,'Partner data'!$DG$2:$DG$171,0),83)</f>
        <v>Soggetto pubblico</v>
      </c>
      <c r="S538" s="86" t="b">
        <f>IF(#REF!="staff",INDEX('Partner data'!$DG$2:$DH$171,MATCH(#REF!,'Partner data'!$DG$2:$DG$171,0),2))</f>
        <v>0</v>
      </c>
    </row>
    <row r="539" spans="1:19" x14ac:dyDescent="0.25">
      <c r="A539" s="1" t="s">
        <v>283</v>
      </c>
      <c r="B539" s="1" t="s">
        <v>56</v>
      </c>
      <c r="C539" s="13">
        <v>92</v>
      </c>
      <c r="D539" s="13">
        <v>125</v>
      </c>
      <c r="E539" s="1" t="s">
        <v>237</v>
      </c>
      <c r="F539" s="1"/>
      <c r="G539" s="1">
        <v>0</v>
      </c>
      <c r="H539" s="1">
        <v>0</v>
      </c>
      <c r="I539" s="1">
        <v>0</v>
      </c>
      <c r="J539" s="1">
        <v>0</v>
      </c>
      <c r="K539" s="1">
        <v>0</v>
      </c>
      <c r="L539" s="1">
        <v>0</v>
      </c>
      <c r="M539" s="1">
        <v>0</v>
      </c>
      <c r="N539" s="1">
        <v>0</v>
      </c>
      <c r="O539" s="1">
        <v>0</v>
      </c>
      <c r="P539" s="1">
        <v>0</v>
      </c>
      <c r="Q539" t="str">
        <f>INDEX(pARTNER[#All],MATCH(#REF!,pARTNER[[#All],[Value.partnerSummary.id]],0),10)</f>
        <v>Slovenija (SI)</v>
      </c>
      <c r="R539" t="str">
        <f>INDEX('Partner data'!$A$2:$DG$171,MATCH(#REF!,'Partner data'!$DG$2:$DG$171,0),83)</f>
        <v>Soggetto pubblico</v>
      </c>
      <c r="S539" s="86" t="b">
        <f>IF(#REF!="staff",INDEX('Partner data'!$DG$2:$DH$171,MATCH(#REF!,'Partner data'!$DG$2:$DG$171,0),2))</f>
        <v>0</v>
      </c>
    </row>
    <row r="540" spans="1:19" x14ac:dyDescent="0.25">
      <c r="A540" s="1" t="s">
        <v>283</v>
      </c>
      <c r="B540" s="1" t="s">
        <v>56</v>
      </c>
      <c r="C540" s="13">
        <v>92</v>
      </c>
      <c r="D540" s="13">
        <v>125</v>
      </c>
      <c r="E540" s="1" t="s">
        <v>238</v>
      </c>
      <c r="F540" s="1"/>
      <c r="G540" s="1">
        <v>191315.47</v>
      </c>
      <c r="H540" s="1">
        <v>0</v>
      </c>
      <c r="I540" s="1">
        <v>0</v>
      </c>
      <c r="J540" s="1">
        <v>47819.35</v>
      </c>
      <c r="K540" s="1">
        <v>0</v>
      </c>
      <c r="L540" s="1">
        <v>47819.35</v>
      </c>
      <c r="M540" s="1">
        <v>47819.35</v>
      </c>
      <c r="N540" s="1">
        <v>25</v>
      </c>
      <c r="O540" s="1">
        <v>143496.12</v>
      </c>
      <c r="P540" s="1">
        <v>0</v>
      </c>
      <c r="Q540" t="str">
        <f>INDEX(pARTNER[#All],MATCH(#REF!,pARTNER[[#All],[Value.partnerSummary.id]],0),10)</f>
        <v>Slovenija (SI)</v>
      </c>
      <c r="R540" t="str">
        <f>INDEX('Partner data'!$A$2:$DG$171,MATCH(#REF!,'Partner data'!$DG$2:$DG$171,0),83)</f>
        <v>Soggetto pubblico</v>
      </c>
      <c r="S540" s="86" t="b">
        <f>IF(#REF!="staff",INDEX('Partner data'!$DG$2:$DH$171,MATCH(#REF!,'Partner data'!$DG$2:$DG$171,0),2))</f>
        <v>0</v>
      </c>
    </row>
    <row r="541" spans="1:19" x14ac:dyDescent="0.25">
      <c r="A541" s="1" t="s">
        <v>283</v>
      </c>
      <c r="B541" s="1" t="s">
        <v>284</v>
      </c>
      <c r="C541" s="13">
        <v>167</v>
      </c>
      <c r="D541" s="13">
        <v>327</v>
      </c>
      <c r="E541" s="1" t="s">
        <v>228</v>
      </c>
      <c r="F541" s="1">
        <v>20</v>
      </c>
      <c r="G541" s="1">
        <v>22460</v>
      </c>
      <c r="H541" s="1">
        <v>0</v>
      </c>
      <c r="I541" s="1">
        <v>0</v>
      </c>
      <c r="J541" s="1">
        <v>0</v>
      </c>
      <c r="K541" s="1">
        <v>0</v>
      </c>
      <c r="L541" s="1">
        <v>0</v>
      </c>
      <c r="M541" s="1">
        <v>0</v>
      </c>
      <c r="N541" s="1">
        <v>0</v>
      </c>
      <c r="O541" s="1">
        <v>22460</v>
      </c>
      <c r="P541" s="1">
        <v>0</v>
      </c>
      <c r="Q541" t="str">
        <f>INDEX(pARTNER[#All],MATCH(#REF!,pARTNER[[#All],[Value.partnerSummary.id]],0),10)</f>
        <v>Italia (IT)</v>
      </c>
      <c r="R541" t="str">
        <f>INDEX('Partner data'!$A$2:$DG$171,MATCH(#REF!,'Partner data'!$DG$2:$DG$171,0),83)</f>
        <v>Soggetto pubblico</v>
      </c>
      <c r="S541" s="86" t="str">
        <f>IF(#REF!="staff",INDEX('Partner data'!$DG$2:$DH$171,MATCH(#REF!,'Partner data'!$DG$2:$DG$171,0),2))</f>
        <v>Tasso Forfettario 20%</v>
      </c>
    </row>
    <row r="542" spans="1:19" x14ac:dyDescent="0.25">
      <c r="A542" s="1" t="s">
        <v>283</v>
      </c>
      <c r="B542" s="1" t="s">
        <v>284</v>
      </c>
      <c r="C542" s="13">
        <v>167</v>
      </c>
      <c r="D542" s="13">
        <v>327</v>
      </c>
      <c r="E542" s="1" t="s">
        <v>229</v>
      </c>
      <c r="F542" s="1">
        <v>15</v>
      </c>
      <c r="G542" s="1">
        <v>3369</v>
      </c>
      <c r="H542" s="1">
        <v>0</v>
      </c>
      <c r="I542" s="1">
        <v>0</v>
      </c>
      <c r="J542" s="1">
        <v>0</v>
      </c>
      <c r="K542" s="1">
        <v>0</v>
      </c>
      <c r="L542" s="1">
        <v>0</v>
      </c>
      <c r="M542" s="1">
        <v>0</v>
      </c>
      <c r="N542" s="1">
        <v>0</v>
      </c>
      <c r="O542" s="1">
        <v>3369</v>
      </c>
      <c r="P542" s="1">
        <v>0</v>
      </c>
      <c r="Q542" t="str">
        <f>INDEX(pARTNER[#All],MATCH(#REF!,pARTNER[[#All],[Value.partnerSummary.id]],0),10)</f>
        <v>Italia (IT)</v>
      </c>
      <c r="R542" t="str">
        <f>INDEX('Partner data'!$A$2:$DG$171,MATCH(#REF!,'Partner data'!$DG$2:$DG$171,0),83)</f>
        <v>Soggetto pubblico</v>
      </c>
      <c r="S542" s="86" t="b">
        <f>IF(#REF!="staff",INDEX('Partner data'!$DG$2:$DH$171,MATCH(#REF!,'Partner data'!$DG$2:$DG$171,0),2))</f>
        <v>0</v>
      </c>
    </row>
    <row r="543" spans="1:19" x14ac:dyDescent="0.25">
      <c r="A543" s="1" t="s">
        <v>283</v>
      </c>
      <c r="B543" s="1" t="s">
        <v>284</v>
      </c>
      <c r="C543" s="13">
        <v>167</v>
      </c>
      <c r="D543" s="13">
        <v>327</v>
      </c>
      <c r="E543" s="1" t="s">
        <v>230</v>
      </c>
      <c r="F543" s="1">
        <v>4</v>
      </c>
      <c r="G543" s="1">
        <v>898.4</v>
      </c>
      <c r="H543" s="1">
        <v>0</v>
      </c>
      <c r="I543" s="1">
        <v>0</v>
      </c>
      <c r="J543" s="1">
        <v>0</v>
      </c>
      <c r="K543" s="1">
        <v>0</v>
      </c>
      <c r="L543" s="1">
        <v>0</v>
      </c>
      <c r="M543" s="1">
        <v>0</v>
      </c>
      <c r="N543" s="1">
        <v>0</v>
      </c>
      <c r="O543" s="1">
        <v>898.4</v>
      </c>
      <c r="P543" s="1">
        <v>0</v>
      </c>
      <c r="Q543" t="str">
        <f>INDEX(pARTNER[#All],MATCH(#REF!,pARTNER[[#All],[Value.partnerSummary.id]],0),10)</f>
        <v>Italia (IT)</v>
      </c>
      <c r="R543" t="str">
        <f>INDEX('Partner data'!$A$2:$DG$171,MATCH(#REF!,'Partner data'!$DG$2:$DG$171,0),83)</f>
        <v>Soggetto pubblico</v>
      </c>
      <c r="S543" s="86" t="b">
        <f>IF(#REF!="staff",INDEX('Partner data'!$DG$2:$DH$171,MATCH(#REF!,'Partner data'!$DG$2:$DG$171,0),2))</f>
        <v>0</v>
      </c>
    </row>
    <row r="544" spans="1:19" x14ac:dyDescent="0.25">
      <c r="A544" s="1" t="s">
        <v>283</v>
      </c>
      <c r="B544" s="1" t="s">
        <v>284</v>
      </c>
      <c r="C544" s="13">
        <v>167</v>
      </c>
      <c r="D544" s="13">
        <v>327</v>
      </c>
      <c r="E544" s="1" t="s">
        <v>231</v>
      </c>
      <c r="F544" s="1"/>
      <c r="G544" s="1">
        <v>112300</v>
      </c>
      <c r="H544" s="1">
        <v>0</v>
      </c>
      <c r="I544" s="1">
        <v>0</v>
      </c>
      <c r="J544" s="1">
        <v>0</v>
      </c>
      <c r="K544" s="1">
        <v>0</v>
      </c>
      <c r="L544" s="1">
        <v>0</v>
      </c>
      <c r="M544" s="1">
        <v>0</v>
      </c>
      <c r="N544" s="1">
        <v>0</v>
      </c>
      <c r="O544" s="1">
        <v>112300</v>
      </c>
      <c r="P544" s="1">
        <v>0</v>
      </c>
      <c r="Q544" t="str">
        <f>INDEX(pARTNER[#All],MATCH(#REF!,pARTNER[[#All],[Value.partnerSummary.id]],0),10)</f>
        <v>Italia (IT)</v>
      </c>
      <c r="R544" t="str">
        <f>INDEX('Partner data'!$A$2:$DG$171,MATCH(#REF!,'Partner data'!$DG$2:$DG$171,0),83)</f>
        <v>Soggetto pubblico</v>
      </c>
      <c r="S544" s="86" t="b">
        <f>IF(#REF!="staff",INDEX('Partner data'!$DG$2:$DH$171,MATCH(#REF!,'Partner data'!$DG$2:$DG$171,0),2))</f>
        <v>0</v>
      </c>
    </row>
    <row r="545" spans="1:19" x14ac:dyDescent="0.25">
      <c r="A545" s="1" t="s">
        <v>283</v>
      </c>
      <c r="B545" s="1" t="s">
        <v>284</v>
      </c>
      <c r="C545" s="13">
        <v>167</v>
      </c>
      <c r="D545" s="13">
        <v>327</v>
      </c>
      <c r="E545" s="1" t="s">
        <v>232</v>
      </c>
      <c r="F545" s="1"/>
      <c r="G545" s="1">
        <v>0</v>
      </c>
      <c r="H545" s="1">
        <v>0</v>
      </c>
      <c r="I545" s="1">
        <v>0</v>
      </c>
      <c r="J545" s="1">
        <v>0</v>
      </c>
      <c r="K545" s="1">
        <v>0</v>
      </c>
      <c r="L545" s="1">
        <v>0</v>
      </c>
      <c r="M545" s="1">
        <v>0</v>
      </c>
      <c r="N545" s="1">
        <v>0</v>
      </c>
      <c r="O545" s="1">
        <v>0</v>
      </c>
      <c r="P545" s="1">
        <v>0</v>
      </c>
      <c r="Q545" t="str">
        <f>INDEX(pARTNER[#All],MATCH(#REF!,pARTNER[[#All],[Value.partnerSummary.id]],0),10)</f>
        <v>Italia (IT)</v>
      </c>
      <c r="R545" t="str">
        <f>INDEX('Partner data'!$A$2:$DG$171,MATCH(#REF!,'Partner data'!$DG$2:$DG$171,0),83)</f>
        <v>Soggetto pubblico</v>
      </c>
      <c r="S545" s="86" t="b">
        <f>IF(#REF!="staff",INDEX('Partner data'!$DG$2:$DH$171,MATCH(#REF!,'Partner data'!$DG$2:$DG$171,0),2))</f>
        <v>0</v>
      </c>
    </row>
    <row r="546" spans="1:19" x14ac:dyDescent="0.25">
      <c r="A546" s="1" t="s">
        <v>283</v>
      </c>
      <c r="B546" s="1" t="s">
        <v>284</v>
      </c>
      <c r="C546" s="13">
        <v>167</v>
      </c>
      <c r="D546" s="13">
        <v>327</v>
      </c>
      <c r="E546" s="1" t="s">
        <v>233</v>
      </c>
      <c r="F546" s="1"/>
      <c r="G546" s="1">
        <v>0</v>
      </c>
      <c r="H546" s="1">
        <v>0</v>
      </c>
      <c r="I546" s="1">
        <v>0</v>
      </c>
      <c r="J546" s="1">
        <v>0</v>
      </c>
      <c r="K546" s="1">
        <v>0</v>
      </c>
      <c r="L546" s="1">
        <v>0</v>
      </c>
      <c r="M546" s="1">
        <v>0</v>
      </c>
      <c r="N546" s="1">
        <v>0</v>
      </c>
      <c r="O546" s="1">
        <v>0</v>
      </c>
      <c r="P546" s="1">
        <v>0</v>
      </c>
      <c r="Q546" t="str">
        <f>INDEX(pARTNER[#All],MATCH(#REF!,pARTNER[[#All],[Value.partnerSummary.id]],0),10)</f>
        <v>Italia (IT)</v>
      </c>
      <c r="R546" t="str">
        <f>INDEX('Partner data'!$A$2:$DG$171,MATCH(#REF!,'Partner data'!$DG$2:$DG$171,0),83)</f>
        <v>Soggetto pubblico</v>
      </c>
      <c r="S546" s="86" t="b">
        <f>IF(#REF!="staff",INDEX('Partner data'!$DG$2:$DH$171,MATCH(#REF!,'Partner data'!$DG$2:$DG$171,0),2))</f>
        <v>0</v>
      </c>
    </row>
    <row r="547" spans="1:19" x14ac:dyDescent="0.25">
      <c r="A547" s="1" t="s">
        <v>283</v>
      </c>
      <c r="B547" s="1" t="s">
        <v>284</v>
      </c>
      <c r="C547" s="13">
        <v>167</v>
      </c>
      <c r="D547" s="13">
        <v>327</v>
      </c>
      <c r="E547" s="1" t="s">
        <v>234</v>
      </c>
      <c r="F547" s="1"/>
      <c r="G547" s="1">
        <v>0</v>
      </c>
      <c r="H547" s="1">
        <v>0</v>
      </c>
      <c r="I547" s="1">
        <v>0</v>
      </c>
      <c r="J547" s="1">
        <v>0</v>
      </c>
      <c r="K547" s="1">
        <v>0</v>
      </c>
      <c r="L547" s="1">
        <v>0</v>
      </c>
      <c r="M547" s="1">
        <v>0</v>
      </c>
      <c r="N547" s="1">
        <v>0</v>
      </c>
      <c r="O547" s="1">
        <v>0</v>
      </c>
      <c r="P547" s="1">
        <v>0</v>
      </c>
      <c r="Q547" t="str">
        <f>INDEX(pARTNER[#All],MATCH(#REF!,pARTNER[[#All],[Value.partnerSummary.id]],0),10)</f>
        <v>Italia (IT)</v>
      </c>
      <c r="R547" t="str">
        <f>INDEX('Partner data'!$A$2:$DG$171,MATCH(#REF!,'Partner data'!$DG$2:$DG$171,0),83)</f>
        <v>Soggetto pubblico</v>
      </c>
      <c r="S547" s="86" t="b">
        <f>IF(#REF!="staff",INDEX('Partner data'!$DG$2:$DH$171,MATCH(#REF!,'Partner data'!$DG$2:$DG$171,0),2))</f>
        <v>0</v>
      </c>
    </row>
    <row r="548" spans="1:19" x14ac:dyDescent="0.25">
      <c r="A548" s="1" t="s">
        <v>283</v>
      </c>
      <c r="B548" s="1" t="s">
        <v>284</v>
      </c>
      <c r="C548" s="13">
        <v>167</v>
      </c>
      <c r="D548" s="13">
        <v>327</v>
      </c>
      <c r="E548" s="1" t="s">
        <v>235</v>
      </c>
      <c r="F548" s="1"/>
      <c r="G548" s="1">
        <v>0</v>
      </c>
      <c r="H548" s="1">
        <v>0</v>
      </c>
      <c r="I548" s="1">
        <v>0</v>
      </c>
      <c r="J548" s="1">
        <v>0</v>
      </c>
      <c r="K548" s="1">
        <v>0</v>
      </c>
      <c r="L548" s="1">
        <v>0</v>
      </c>
      <c r="M548" s="1">
        <v>0</v>
      </c>
      <c r="N548" s="1">
        <v>0</v>
      </c>
      <c r="O548" s="1">
        <v>0</v>
      </c>
      <c r="P548" s="1">
        <v>0</v>
      </c>
      <c r="Q548" t="str">
        <f>INDEX(pARTNER[#All],MATCH(#REF!,pARTNER[[#All],[Value.partnerSummary.id]],0),10)</f>
        <v>Italia (IT)</v>
      </c>
      <c r="R548" t="str">
        <f>INDEX('Partner data'!$A$2:$DG$171,MATCH(#REF!,'Partner data'!$DG$2:$DG$171,0),83)</f>
        <v>Soggetto pubblico</v>
      </c>
      <c r="S548" s="86" t="b">
        <f>IF(#REF!="staff",INDEX('Partner data'!$DG$2:$DH$171,MATCH(#REF!,'Partner data'!$DG$2:$DG$171,0),2))</f>
        <v>0</v>
      </c>
    </row>
    <row r="549" spans="1:19" x14ac:dyDescent="0.25">
      <c r="A549" s="1" t="s">
        <v>283</v>
      </c>
      <c r="B549" s="1" t="s">
        <v>284</v>
      </c>
      <c r="C549" s="13">
        <v>167</v>
      </c>
      <c r="D549" s="13">
        <v>327</v>
      </c>
      <c r="E549" s="1" t="s">
        <v>236</v>
      </c>
      <c r="F549" s="1"/>
      <c r="G549" s="1">
        <v>0</v>
      </c>
      <c r="H549" s="1">
        <v>0</v>
      </c>
      <c r="I549" s="1">
        <v>0</v>
      </c>
      <c r="J549" s="1">
        <v>0</v>
      </c>
      <c r="K549" s="1">
        <v>0</v>
      </c>
      <c r="L549" s="1">
        <v>0</v>
      </c>
      <c r="M549" s="1">
        <v>0</v>
      </c>
      <c r="N549" s="1">
        <v>0</v>
      </c>
      <c r="O549" s="1">
        <v>0</v>
      </c>
      <c r="P549" s="1">
        <v>0</v>
      </c>
      <c r="Q549" t="str">
        <f>INDEX(pARTNER[#All],MATCH(#REF!,pARTNER[[#All],[Value.partnerSummary.id]],0),10)</f>
        <v>Italia (IT)</v>
      </c>
      <c r="R549" t="str">
        <f>INDEX('Partner data'!$A$2:$DG$171,MATCH(#REF!,'Partner data'!$DG$2:$DG$171,0),83)</f>
        <v>Soggetto pubblico</v>
      </c>
      <c r="S549" s="86" t="b">
        <f>IF(#REF!="staff",INDEX('Partner data'!$DG$2:$DH$171,MATCH(#REF!,'Partner data'!$DG$2:$DG$171,0),2))</f>
        <v>0</v>
      </c>
    </row>
    <row r="550" spans="1:19" x14ac:dyDescent="0.25">
      <c r="A550" s="1" t="s">
        <v>283</v>
      </c>
      <c r="B550" s="1" t="s">
        <v>284</v>
      </c>
      <c r="C550" s="13">
        <v>167</v>
      </c>
      <c r="D550" s="13">
        <v>327</v>
      </c>
      <c r="E550" s="1" t="s">
        <v>237</v>
      </c>
      <c r="F550" s="1"/>
      <c r="G550" s="1">
        <v>0</v>
      </c>
      <c r="H550" s="1">
        <v>0</v>
      </c>
      <c r="I550" s="1">
        <v>0</v>
      </c>
      <c r="J550" s="1">
        <v>0</v>
      </c>
      <c r="K550" s="1">
        <v>0</v>
      </c>
      <c r="L550" s="1">
        <v>0</v>
      </c>
      <c r="M550" s="1">
        <v>0</v>
      </c>
      <c r="N550" s="1">
        <v>0</v>
      </c>
      <c r="O550" s="1">
        <v>0</v>
      </c>
      <c r="P550" s="1">
        <v>0</v>
      </c>
      <c r="Q550" t="str">
        <f>INDEX(pARTNER[#All],MATCH(#REF!,pARTNER[[#All],[Value.partnerSummary.id]],0),10)</f>
        <v>Italia (IT)</v>
      </c>
      <c r="R550" t="str">
        <f>INDEX('Partner data'!$A$2:$DG$171,MATCH(#REF!,'Partner data'!$DG$2:$DG$171,0),83)</f>
        <v>Soggetto pubblico</v>
      </c>
      <c r="S550" s="86" t="b">
        <f>IF(#REF!="staff",INDEX('Partner data'!$DG$2:$DH$171,MATCH(#REF!,'Partner data'!$DG$2:$DG$171,0),2))</f>
        <v>0</v>
      </c>
    </row>
    <row r="551" spans="1:19" x14ac:dyDescent="0.25">
      <c r="A551" s="1" t="s">
        <v>283</v>
      </c>
      <c r="B551" s="1" t="s">
        <v>284</v>
      </c>
      <c r="C551" s="13">
        <v>167</v>
      </c>
      <c r="D551" s="13">
        <v>327</v>
      </c>
      <c r="E551" s="1" t="s">
        <v>238</v>
      </c>
      <c r="F551" s="1"/>
      <c r="G551" s="1">
        <v>139027.4</v>
      </c>
      <c r="H551" s="1">
        <v>0</v>
      </c>
      <c r="I551" s="1">
        <v>0</v>
      </c>
      <c r="J551" s="1">
        <v>0</v>
      </c>
      <c r="K551" s="1">
        <v>0</v>
      </c>
      <c r="L551" s="1">
        <v>0</v>
      </c>
      <c r="M551" s="1">
        <v>0</v>
      </c>
      <c r="N551" s="1">
        <v>0</v>
      </c>
      <c r="O551" s="1">
        <v>139027.4</v>
      </c>
      <c r="P551" s="1">
        <v>0</v>
      </c>
      <c r="Q551" t="str">
        <f>INDEX(pARTNER[#All],MATCH(#REF!,pARTNER[[#All],[Value.partnerSummary.id]],0),10)</f>
        <v>Italia (IT)</v>
      </c>
      <c r="R551" t="str">
        <f>INDEX('Partner data'!$A$2:$DG$171,MATCH(#REF!,'Partner data'!$DG$2:$DG$171,0),83)</f>
        <v>Soggetto pubblico</v>
      </c>
      <c r="S551" s="86" t="b">
        <f>IF(#REF!="staff",INDEX('Partner data'!$DG$2:$DH$171,MATCH(#REF!,'Partner data'!$DG$2:$DG$171,0),2))</f>
        <v>0</v>
      </c>
    </row>
    <row r="552" spans="1:19" x14ac:dyDescent="0.25">
      <c r="A552" s="1" t="s">
        <v>283</v>
      </c>
      <c r="B552" s="1" t="s">
        <v>285</v>
      </c>
      <c r="C552" s="13">
        <v>197</v>
      </c>
      <c r="D552" s="13">
        <v>219</v>
      </c>
      <c r="E552" s="1" t="s">
        <v>228</v>
      </c>
      <c r="F552" s="1"/>
      <c r="G552" s="1">
        <v>66000</v>
      </c>
      <c r="H552" s="1">
        <v>0</v>
      </c>
      <c r="I552" s="1">
        <v>0</v>
      </c>
      <c r="J552" s="1">
        <v>14710.22</v>
      </c>
      <c r="K552" s="1">
        <v>0</v>
      </c>
      <c r="L552" s="1">
        <v>14710.22</v>
      </c>
      <c r="M552" s="1">
        <v>14710.22</v>
      </c>
      <c r="N552" s="1">
        <v>22.29</v>
      </c>
      <c r="O552" s="1">
        <v>51289.78</v>
      </c>
      <c r="P552" s="1">
        <v>0</v>
      </c>
      <c r="Q552" t="str">
        <f>INDEX(pARTNER[#All],MATCH(#REF!,pARTNER[[#All],[Value.partnerSummary.id]],0),10)</f>
        <v>Slovenija (SI)</v>
      </c>
      <c r="R552" t="str">
        <f>INDEX('Partner data'!$A$2:$DG$171,MATCH(#REF!,'Partner data'!$DG$2:$DG$171,0),83)</f>
        <v>Soggetto pubblico</v>
      </c>
      <c r="S552" s="86" t="str">
        <f>IF(#REF!="staff",INDEX('Partner data'!$DG$2:$DH$171,MATCH(#REF!,'Partner data'!$DG$2:$DG$171,0),2))</f>
        <v>COSTO REALE</v>
      </c>
    </row>
    <row r="553" spans="1:19" x14ac:dyDescent="0.25">
      <c r="A553" s="1" t="s">
        <v>283</v>
      </c>
      <c r="B553" s="1" t="s">
        <v>285</v>
      </c>
      <c r="C553" s="13">
        <v>197</v>
      </c>
      <c r="D553" s="13">
        <v>219</v>
      </c>
      <c r="E553" s="1" t="s">
        <v>229</v>
      </c>
      <c r="F553" s="1">
        <v>15</v>
      </c>
      <c r="G553" s="1">
        <v>9900</v>
      </c>
      <c r="H553" s="1">
        <v>0</v>
      </c>
      <c r="I553" s="1">
        <v>0</v>
      </c>
      <c r="J553" s="1">
        <v>2206.5300000000002</v>
      </c>
      <c r="K553" s="1">
        <v>0</v>
      </c>
      <c r="L553" s="1">
        <v>2206.5300000000002</v>
      </c>
      <c r="M553" s="1">
        <v>2206.5300000000002</v>
      </c>
      <c r="N553" s="1">
        <v>22.29</v>
      </c>
      <c r="O553" s="1">
        <v>7693.47</v>
      </c>
      <c r="P553" s="1">
        <v>0</v>
      </c>
      <c r="Q553" t="str">
        <f>INDEX(pARTNER[#All],MATCH(#REF!,pARTNER[[#All],[Value.partnerSummary.id]],0),10)</f>
        <v>Slovenija (SI)</v>
      </c>
      <c r="R553" t="str">
        <f>INDEX('Partner data'!$A$2:$DG$171,MATCH(#REF!,'Partner data'!$DG$2:$DG$171,0),83)</f>
        <v>Soggetto pubblico</v>
      </c>
      <c r="S553" s="86" t="b">
        <f>IF(#REF!="staff",INDEX('Partner data'!$DG$2:$DH$171,MATCH(#REF!,'Partner data'!$DG$2:$DG$171,0),2))</f>
        <v>0</v>
      </c>
    </row>
    <row r="554" spans="1:19" x14ac:dyDescent="0.25">
      <c r="A554" s="1" t="s">
        <v>283</v>
      </c>
      <c r="B554" s="1" t="s">
        <v>285</v>
      </c>
      <c r="C554" s="13">
        <v>197</v>
      </c>
      <c r="D554" s="13">
        <v>219</v>
      </c>
      <c r="E554" s="1" t="s">
        <v>230</v>
      </c>
      <c r="F554" s="1">
        <v>4</v>
      </c>
      <c r="G554" s="1">
        <v>2640</v>
      </c>
      <c r="H554" s="1">
        <v>0</v>
      </c>
      <c r="I554" s="1">
        <v>0</v>
      </c>
      <c r="J554" s="1">
        <v>588.4</v>
      </c>
      <c r="K554" s="1">
        <v>0</v>
      </c>
      <c r="L554" s="1">
        <v>588.4</v>
      </c>
      <c r="M554" s="1">
        <v>588.4</v>
      </c>
      <c r="N554" s="1">
        <v>22.29</v>
      </c>
      <c r="O554" s="1">
        <v>2051.6</v>
      </c>
      <c r="P554" s="1">
        <v>0</v>
      </c>
      <c r="Q554" t="str">
        <f>INDEX(pARTNER[#All],MATCH(#REF!,pARTNER[[#All],[Value.partnerSummary.id]],0),10)</f>
        <v>Slovenija (SI)</v>
      </c>
      <c r="R554" t="str">
        <f>INDEX('Partner data'!$A$2:$DG$171,MATCH(#REF!,'Partner data'!$DG$2:$DG$171,0),83)</f>
        <v>Soggetto pubblico</v>
      </c>
      <c r="S554" s="86" t="b">
        <f>IF(#REF!="staff",INDEX('Partner data'!$DG$2:$DH$171,MATCH(#REF!,'Partner data'!$DG$2:$DG$171,0),2))</f>
        <v>0</v>
      </c>
    </row>
    <row r="555" spans="1:19" x14ac:dyDescent="0.25">
      <c r="A555" s="1" t="s">
        <v>283</v>
      </c>
      <c r="B555" s="1" t="s">
        <v>285</v>
      </c>
      <c r="C555" s="13">
        <v>197</v>
      </c>
      <c r="D555" s="13">
        <v>219</v>
      </c>
      <c r="E555" s="1" t="s">
        <v>231</v>
      </c>
      <c r="F555" s="1"/>
      <c r="G555" s="1">
        <v>43500</v>
      </c>
      <c r="H555" s="1">
        <v>0</v>
      </c>
      <c r="I555" s="1">
        <v>0</v>
      </c>
      <c r="J555" s="1">
        <v>131.4</v>
      </c>
      <c r="K555" s="1">
        <v>0</v>
      </c>
      <c r="L555" s="1">
        <v>131.4</v>
      </c>
      <c r="M555" s="1">
        <v>131.4</v>
      </c>
      <c r="N555" s="1">
        <v>0.3</v>
      </c>
      <c r="O555" s="1">
        <v>43368.6</v>
      </c>
      <c r="P555" s="1">
        <v>0</v>
      </c>
      <c r="Q555" t="str">
        <f>INDEX(pARTNER[#All],MATCH(#REF!,pARTNER[[#All],[Value.partnerSummary.id]],0),10)</f>
        <v>Slovenija (SI)</v>
      </c>
      <c r="R555" t="str">
        <f>INDEX('Partner data'!$A$2:$DG$171,MATCH(#REF!,'Partner data'!$DG$2:$DG$171,0),83)</f>
        <v>Soggetto pubblico</v>
      </c>
      <c r="S555" s="86" t="b">
        <f>IF(#REF!="staff",INDEX('Partner data'!$DG$2:$DH$171,MATCH(#REF!,'Partner data'!$DG$2:$DG$171,0),2))</f>
        <v>0</v>
      </c>
    </row>
    <row r="556" spans="1:19" x14ac:dyDescent="0.25">
      <c r="A556" s="1" t="s">
        <v>283</v>
      </c>
      <c r="B556" s="1" t="s">
        <v>285</v>
      </c>
      <c r="C556" s="13">
        <v>197</v>
      </c>
      <c r="D556" s="13">
        <v>219</v>
      </c>
      <c r="E556" s="1" t="s">
        <v>232</v>
      </c>
      <c r="F556" s="1"/>
      <c r="G556" s="1">
        <v>7960</v>
      </c>
      <c r="H556" s="1">
        <v>0</v>
      </c>
      <c r="I556" s="1">
        <v>0</v>
      </c>
      <c r="J556" s="1">
        <v>195.45</v>
      </c>
      <c r="K556" s="1">
        <v>0</v>
      </c>
      <c r="L556" s="1">
        <v>195.45</v>
      </c>
      <c r="M556" s="1">
        <v>195.45</v>
      </c>
      <c r="N556" s="1">
        <v>2.46</v>
      </c>
      <c r="O556" s="1">
        <v>7764.55</v>
      </c>
      <c r="P556" s="1">
        <v>0</v>
      </c>
      <c r="Q556" t="str">
        <f>INDEX(pARTNER[#All],MATCH(#REF!,pARTNER[[#All],[Value.partnerSummary.id]],0),10)</f>
        <v>Slovenija (SI)</v>
      </c>
      <c r="R556" t="str">
        <f>INDEX('Partner data'!$A$2:$DG$171,MATCH(#REF!,'Partner data'!$DG$2:$DG$171,0),83)</f>
        <v>Soggetto pubblico</v>
      </c>
      <c r="S556" s="86" t="b">
        <f>IF(#REF!="staff",INDEX('Partner data'!$DG$2:$DH$171,MATCH(#REF!,'Partner data'!$DG$2:$DG$171,0),2))</f>
        <v>0</v>
      </c>
    </row>
    <row r="557" spans="1:19" x14ac:dyDescent="0.25">
      <c r="A557" s="1" t="s">
        <v>283</v>
      </c>
      <c r="B557" s="1" t="s">
        <v>285</v>
      </c>
      <c r="C557" s="13">
        <v>197</v>
      </c>
      <c r="D557" s="13">
        <v>219</v>
      </c>
      <c r="E557" s="1" t="s">
        <v>233</v>
      </c>
      <c r="F557" s="1"/>
      <c r="G557" s="1">
        <v>0</v>
      </c>
      <c r="H557" s="1">
        <v>0</v>
      </c>
      <c r="I557" s="1">
        <v>0</v>
      </c>
      <c r="J557" s="1">
        <v>0</v>
      </c>
      <c r="K557" s="1">
        <v>0</v>
      </c>
      <c r="L557" s="1">
        <v>0</v>
      </c>
      <c r="M557" s="1">
        <v>0</v>
      </c>
      <c r="N557" s="1">
        <v>0</v>
      </c>
      <c r="O557" s="1">
        <v>0</v>
      </c>
      <c r="P557" s="1">
        <v>0</v>
      </c>
      <c r="Q557" t="str">
        <f>INDEX(pARTNER[#All],MATCH(#REF!,pARTNER[[#All],[Value.partnerSummary.id]],0),10)</f>
        <v>Slovenija (SI)</v>
      </c>
      <c r="R557" t="str">
        <f>INDEX('Partner data'!$A$2:$DG$171,MATCH(#REF!,'Partner data'!$DG$2:$DG$171,0),83)</f>
        <v>Soggetto pubblico</v>
      </c>
      <c r="S557" s="86" t="b">
        <f>IF(#REF!="staff",INDEX('Partner data'!$DG$2:$DH$171,MATCH(#REF!,'Partner data'!$DG$2:$DG$171,0),2))</f>
        <v>0</v>
      </c>
    </row>
    <row r="558" spans="1:19" x14ac:dyDescent="0.25">
      <c r="A558" s="1" t="s">
        <v>283</v>
      </c>
      <c r="B558" s="1" t="s">
        <v>285</v>
      </c>
      <c r="C558" s="13">
        <v>197</v>
      </c>
      <c r="D558" s="13">
        <v>219</v>
      </c>
      <c r="E558" s="1" t="s">
        <v>234</v>
      </c>
      <c r="F558" s="1"/>
      <c r="G558" s="1">
        <v>0</v>
      </c>
      <c r="H558" s="1">
        <v>0</v>
      </c>
      <c r="I558" s="1">
        <v>0</v>
      </c>
      <c r="J558" s="1">
        <v>0</v>
      </c>
      <c r="K558" s="1">
        <v>0</v>
      </c>
      <c r="L558" s="1">
        <v>0</v>
      </c>
      <c r="M558" s="1">
        <v>0</v>
      </c>
      <c r="N558" s="1">
        <v>0</v>
      </c>
      <c r="O558" s="1">
        <v>0</v>
      </c>
      <c r="P558" s="1">
        <v>0</v>
      </c>
      <c r="Q558" t="str">
        <f>INDEX(pARTNER[#All],MATCH(#REF!,pARTNER[[#All],[Value.partnerSummary.id]],0),10)</f>
        <v>Slovenija (SI)</v>
      </c>
      <c r="R558" t="str">
        <f>INDEX('Partner data'!$A$2:$DG$171,MATCH(#REF!,'Partner data'!$DG$2:$DG$171,0),83)</f>
        <v>Soggetto pubblico</v>
      </c>
      <c r="S558" s="86" t="b">
        <f>IF(#REF!="staff",INDEX('Partner data'!$DG$2:$DH$171,MATCH(#REF!,'Partner data'!$DG$2:$DG$171,0),2))</f>
        <v>0</v>
      </c>
    </row>
    <row r="559" spans="1:19" x14ac:dyDescent="0.25">
      <c r="A559" s="1" t="s">
        <v>283</v>
      </c>
      <c r="B559" s="1" t="s">
        <v>285</v>
      </c>
      <c r="C559" s="13">
        <v>197</v>
      </c>
      <c r="D559" s="13">
        <v>219</v>
      </c>
      <c r="E559" s="1" t="s">
        <v>235</v>
      </c>
      <c r="F559" s="1"/>
      <c r="G559" s="1">
        <v>0</v>
      </c>
      <c r="H559" s="1">
        <v>0</v>
      </c>
      <c r="I559" s="1">
        <v>0</v>
      </c>
      <c r="J559" s="1">
        <v>0</v>
      </c>
      <c r="K559" s="1">
        <v>0</v>
      </c>
      <c r="L559" s="1">
        <v>0</v>
      </c>
      <c r="M559" s="1">
        <v>0</v>
      </c>
      <c r="N559" s="1">
        <v>0</v>
      </c>
      <c r="O559" s="1">
        <v>0</v>
      </c>
      <c r="P559" s="1">
        <v>0</v>
      </c>
      <c r="Q559" t="str">
        <f>INDEX(pARTNER[#All],MATCH(#REF!,pARTNER[[#All],[Value.partnerSummary.id]],0),10)</f>
        <v>Slovenija (SI)</v>
      </c>
      <c r="R559" t="str">
        <f>INDEX('Partner data'!$A$2:$DG$171,MATCH(#REF!,'Partner data'!$DG$2:$DG$171,0),83)</f>
        <v>Soggetto pubblico</v>
      </c>
      <c r="S559" s="86" t="b">
        <f>IF(#REF!="staff",INDEX('Partner data'!$DG$2:$DH$171,MATCH(#REF!,'Partner data'!$DG$2:$DG$171,0),2))</f>
        <v>0</v>
      </c>
    </row>
    <row r="560" spans="1:19" x14ac:dyDescent="0.25">
      <c r="A560" s="1" t="s">
        <v>283</v>
      </c>
      <c r="B560" s="1" t="s">
        <v>285</v>
      </c>
      <c r="C560" s="13">
        <v>197</v>
      </c>
      <c r="D560" s="13">
        <v>219</v>
      </c>
      <c r="E560" s="1" t="s">
        <v>236</v>
      </c>
      <c r="F560" s="1"/>
      <c r="G560" s="1">
        <v>0</v>
      </c>
      <c r="H560" s="1">
        <v>0</v>
      </c>
      <c r="I560" s="1">
        <v>0</v>
      </c>
      <c r="J560" s="1">
        <v>0</v>
      </c>
      <c r="K560" s="1">
        <v>0</v>
      </c>
      <c r="L560" s="1">
        <v>0</v>
      </c>
      <c r="M560" s="1">
        <v>0</v>
      </c>
      <c r="N560" s="1">
        <v>0</v>
      </c>
      <c r="O560" s="1">
        <v>0</v>
      </c>
      <c r="P560" s="1">
        <v>0</v>
      </c>
      <c r="Q560" t="str">
        <f>INDEX(pARTNER[#All],MATCH(#REF!,pARTNER[[#All],[Value.partnerSummary.id]],0),10)</f>
        <v>Slovenija (SI)</v>
      </c>
      <c r="R560" t="str">
        <f>INDEX('Partner data'!$A$2:$DG$171,MATCH(#REF!,'Partner data'!$DG$2:$DG$171,0),83)</f>
        <v>Soggetto pubblico</v>
      </c>
      <c r="S560" s="86" t="b">
        <f>IF(#REF!="staff",INDEX('Partner data'!$DG$2:$DH$171,MATCH(#REF!,'Partner data'!$DG$2:$DG$171,0),2))</f>
        <v>0</v>
      </c>
    </row>
    <row r="561" spans="1:19" x14ac:dyDescent="0.25">
      <c r="A561" s="1" t="s">
        <v>283</v>
      </c>
      <c r="B561" s="1" t="s">
        <v>285</v>
      </c>
      <c r="C561" s="13">
        <v>197</v>
      </c>
      <c r="D561" s="13">
        <v>219</v>
      </c>
      <c r="E561" s="1" t="s">
        <v>237</v>
      </c>
      <c r="F561" s="1"/>
      <c r="G561" s="1">
        <v>0</v>
      </c>
      <c r="H561" s="1">
        <v>0</v>
      </c>
      <c r="I561" s="1">
        <v>0</v>
      </c>
      <c r="J561" s="1">
        <v>0</v>
      </c>
      <c r="K561" s="1">
        <v>0</v>
      </c>
      <c r="L561" s="1">
        <v>0</v>
      </c>
      <c r="M561" s="1">
        <v>0</v>
      </c>
      <c r="N561" s="1">
        <v>0</v>
      </c>
      <c r="O561" s="1">
        <v>0</v>
      </c>
      <c r="P561" s="1">
        <v>0</v>
      </c>
      <c r="Q561" t="str">
        <f>INDEX(pARTNER[#All],MATCH(#REF!,pARTNER[[#All],[Value.partnerSummary.id]],0),10)</f>
        <v>Slovenija (SI)</v>
      </c>
      <c r="R561" t="str">
        <f>INDEX('Partner data'!$A$2:$DG$171,MATCH(#REF!,'Partner data'!$DG$2:$DG$171,0),83)</f>
        <v>Soggetto pubblico</v>
      </c>
      <c r="S561" s="86" t="b">
        <f>IF(#REF!="staff",INDEX('Partner data'!$DG$2:$DH$171,MATCH(#REF!,'Partner data'!$DG$2:$DG$171,0),2))</f>
        <v>0</v>
      </c>
    </row>
    <row r="562" spans="1:19" x14ac:dyDescent="0.25">
      <c r="A562" s="1" t="s">
        <v>283</v>
      </c>
      <c r="B562" s="1" t="s">
        <v>285</v>
      </c>
      <c r="C562" s="13">
        <v>197</v>
      </c>
      <c r="D562" s="13">
        <v>219</v>
      </c>
      <c r="E562" s="1" t="s">
        <v>238</v>
      </c>
      <c r="F562" s="1"/>
      <c r="G562" s="1">
        <v>130000</v>
      </c>
      <c r="H562" s="1">
        <v>0</v>
      </c>
      <c r="I562" s="1">
        <v>0</v>
      </c>
      <c r="J562" s="1">
        <v>17832</v>
      </c>
      <c r="K562" s="1">
        <v>0</v>
      </c>
      <c r="L562" s="1">
        <v>17832</v>
      </c>
      <c r="M562" s="1">
        <v>17832</v>
      </c>
      <c r="N562" s="1">
        <v>13.72</v>
      </c>
      <c r="O562" s="1">
        <v>112168</v>
      </c>
      <c r="P562" s="1">
        <v>0</v>
      </c>
      <c r="Q562" t="str">
        <f>INDEX(pARTNER[#All],MATCH(#REF!,pARTNER[[#All],[Value.partnerSummary.id]],0),10)</f>
        <v>Slovenija (SI)</v>
      </c>
      <c r="R562" t="str">
        <f>INDEX('Partner data'!$A$2:$DG$171,MATCH(#REF!,'Partner data'!$DG$2:$DG$171,0),83)</f>
        <v>Soggetto pubblico</v>
      </c>
      <c r="S562" s="86" t="b">
        <f>IF(#REF!="staff",INDEX('Partner data'!$DG$2:$DH$171,MATCH(#REF!,'Partner data'!$DG$2:$DG$171,0),2))</f>
        <v>0</v>
      </c>
    </row>
    <row r="563" spans="1:19" x14ac:dyDescent="0.25">
      <c r="A563" s="1" t="s">
        <v>283</v>
      </c>
      <c r="B563" s="1" t="s">
        <v>286</v>
      </c>
      <c r="C563" s="13">
        <v>198</v>
      </c>
      <c r="D563" s="13">
        <v>149</v>
      </c>
      <c r="E563" s="1" t="s">
        <v>228</v>
      </c>
      <c r="F563" s="1"/>
      <c r="G563" s="1">
        <v>100528.4</v>
      </c>
      <c r="H563" s="1">
        <v>0</v>
      </c>
      <c r="I563" s="1">
        <v>0</v>
      </c>
      <c r="J563" s="1">
        <v>13656.75</v>
      </c>
      <c r="K563" s="1">
        <v>0</v>
      </c>
      <c r="L563" s="1">
        <v>13656.75</v>
      </c>
      <c r="M563" s="1">
        <v>13656.75</v>
      </c>
      <c r="N563" s="1">
        <v>13.58</v>
      </c>
      <c r="O563" s="1">
        <v>86871.65</v>
      </c>
      <c r="P563" s="1">
        <v>0</v>
      </c>
      <c r="Q563" t="str">
        <f>INDEX(pARTNER[#All],MATCH(#REF!,pARTNER[[#All],[Value.partnerSummary.id]],0),10)</f>
        <v>Italia (IT)</v>
      </c>
      <c r="R563" t="str">
        <f>INDEX('Partner data'!$A$2:$DG$171,MATCH(#REF!,'Partner data'!$DG$2:$DG$171,0),83)</f>
        <v>Soggetto pubblico</v>
      </c>
      <c r="S563" s="86" t="str">
        <f>IF(#REF!="staff",INDEX('Partner data'!$DG$2:$DH$171,MATCH(#REF!,'Partner data'!$DG$2:$DG$171,0),2))</f>
        <v>COSTO REALE</v>
      </c>
    </row>
    <row r="564" spans="1:19" x14ac:dyDescent="0.25">
      <c r="A564" s="1" t="s">
        <v>283</v>
      </c>
      <c r="B564" s="1" t="s">
        <v>286</v>
      </c>
      <c r="C564" s="13">
        <v>198</v>
      </c>
      <c r="D564" s="13">
        <v>149</v>
      </c>
      <c r="E564" s="1" t="s">
        <v>229</v>
      </c>
      <c r="F564" s="1"/>
      <c r="G564" s="1">
        <v>0</v>
      </c>
      <c r="H564" s="1">
        <v>0</v>
      </c>
      <c r="I564" s="1">
        <v>0</v>
      </c>
      <c r="J564" s="1">
        <v>0</v>
      </c>
      <c r="K564" s="1">
        <v>0</v>
      </c>
      <c r="L564" s="1">
        <v>0</v>
      </c>
      <c r="M564" s="1">
        <v>0</v>
      </c>
      <c r="N564" s="1">
        <v>0</v>
      </c>
      <c r="O564" s="1">
        <v>0</v>
      </c>
      <c r="P564" s="1">
        <v>0</v>
      </c>
      <c r="Q564" t="str">
        <f>INDEX(pARTNER[#All],MATCH(#REF!,pARTNER[[#All],[Value.partnerSummary.id]],0),10)</f>
        <v>Italia (IT)</v>
      </c>
      <c r="R564" t="str">
        <f>INDEX('Partner data'!$A$2:$DG$171,MATCH(#REF!,'Partner data'!$DG$2:$DG$171,0),83)</f>
        <v>Soggetto pubblico</v>
      </c>
      <c r="S564" s="86" t="b">
        <f>IF(#REF!="staff",INDEX('Partner data'!$DG$2:$DH$171,MATCH(#REF!,'Partner data'!$DG$2:$DG$171,0),2))</f>
        <v>0</v>
      </c>
    </row>
    <row r="565" spans="1:19" x14ac:dyDescent="0.25">
      <c r="A565" s="1" t="s">
        <v>283</v>
      </c>
      <c r="B565" s="1" t="s">
        <v>286</v>
      </c>
      <c r="C565" s="13">
        <v>198</v>
      </c>
      <c r="D565" s="13">
        <v>149</v>
      </c>
      <c r="E565" s="1" t="s">
        <v>230</v>
      </c>
      <c r="F565" s="1"/>
      <c r="G565" s="1">
        <v>0</v>
      </c>
      <c r="H565" s="1">
        <v>0</v>
      </c>
      <c r="I565" s="1">
        <v>0</v>
      </c>
      <c r="J565" s="1">
        <v>0</v>
      </c>
      <c r="K565" s="1">
        <v>0</v>
      </c>
      <c r="L565" s="1">
        <v>0</v>
      </c>
      <c r="M565" s="1">
        <v>0</v>
      </c>
      <c r="N565" s="1">
        <v>0</v>
      </c>
      <c r="O565" s="1">
        <v>0</v>
      </c>
      <c r="P565" s="1">
        <v>0</v>
      </c>
      <c r="Q565" t="str">
        <f>INDEX(pARTNER[#All],MATCH(#REF!,pARTNER[[#All],[Value.partnerSummary.id]],0),10)</f>
        <v>Italia (IT)</v>
      </c>
      <c r="R565" t="str">
        <f>INDEX('Partner data'!$A$2:$DG$171,MATCH(#REF!,'Partner data'!$DG$2:$DG$171,0),83)</f>
        <v>Soggetto pubblico</v>
      </c>
      <c r="S565" s="86" t="b">
        <f>IF(#REF!="staff",INDEX('Partner data'!$DG$2:$DH$171,MATCH(#REF!,'Partner data'!$DG$2:$DG$171,0),2))</f>
        <v>0</v>
      </c>
    </row>
    <row r="566" spans="1:19" x14ac:dyDescent="0.25">
      <c r="A566" s="1" t="s">
        <v>283</v>
      </c>
      <c r="B566" s="1" t="s">
        <v>286</v>
      </c>
      <c r="C566" s="13">
        <v>198</v>
      </c>
      <c r="D566" s="13">
        <v>149</v>
      </c>
      <c r="E566" s="1" t="s">
        <v>231</v>
      </c>
      <c r="F566" s="1"/>
      <c r="G566" s="1">
        <v>0</v>
      </c>
      <c r="H566" s="1">
        <v>0</v>
      </c>
      <c r="I566" s="1">
        <v>0</v>
      </c>
      <c r="J566" s="1">
        <v>0</v>
      </c>
      <c r="K566" s="1">
        <v>0</v>
      </c>
      <c r="L566" s="1">
        <v>0</v>
      </c>
      <c r="M566" s="1">
        <v>0</v>
      </c>
      <c r="N566" s="1">
        <v>0</v>
      </c>
      <c r="O566" s="1">
        <v>0</v>
      </c>
      <c r="P566" s="1">
        <v>0</v>
      </c>
      <c r="Q566" t="str">
        <f>INDEX(pARTNER[#All],MATCH(#REF!,pARTNER[[#All],[Value.partnerSummary.id]],0),10)</f>
        <v>Italia (IT)</v>
      </c>
      <c r="R566" t="str">
        <f>INDEX('Partner data'!$A$2:$DG$171,MATCH(#REF!,'Partner data'!$DG$2:$DG$171,0),83)</f>
        <v>Soggetto pubblico</v>
      </c>
      <c r="S566" s="86" t="b">
        <f>IF(#REF!="staff",INDEX('Partner data'!$DG$2:$DH$171,MATCH(#REF!,'Partner data'!$DG$2:$DG$171,0),2))</f>
        <v>0</v>
      </c>
    </row>
    <row r="567" spans="1:19" x14ac:dyDescent="0.25">
      <c r="A567" s="1" t="s">
        <v>283</v>
      </c>
      <c r="B567" s="1" t="s">
        <v>286</v>
      </c>
      <c r="C567" s="13">
        <v>198</v>
      </c>
      <c r="D567" s="13">
        <v>149</v>
      </c>
      <c r="E567" s="1" t="s">
        <v>232</v>
      </c>
      <c r="F567" s="1"/>
      <c r="G567" s="1">
        <v>0</v>
      </c>
      <c r="H567" s="1">
        <v>0</v>
      </c>
      <c r="I567" s="1">
        <v>0</v>
      </c>
      <c r="J567" s="1">
        <v>0</v>
      </c>
      <c r="K567" s="1">
        <v>0</v>
      </c>
      <c r="L567" s="1">
        <v>0</v>
      </c>
      <c r="M567" s="1">
        <v>0</v>
      </c>
      <c r="N567" s="1">
        <v>0</v>
      </c>
      <c r="O567" s="1">
        <v>0</v>
      </c>
      <c r="P567" s="1">
        <v>0</v>
      </c>
      <c r="Q567" t="str">
        <f>INDEX(pARTNER[#All],MATCH(#REF!,pARTNER[[#All],[Value.partnerSummary.id]],0),10)</f>
        <v>Italia (IT)</v>
      </c>
      <c r="R567" t="str">
        <f>INDEX('Partner data'!$A$2:$DG$171,MATCH(#REF!,'Partner data'!$DG$2:$DG$171,0),83)</f>
        <v>Soggetto pubblico</v>
      </c>
      <c r="S567" s="86" t="b">
        <f>IF(#REF!="staff",INDEX('Partner data'!$DG$2:$DH$171,MATCH(#REF!,'Partner data'!$DG$2:$DG$171,0),2))</f>
        <v>0</v>
      </c>
    </row>
    <row r="568" spans="1:19" x14ac:dyDescent="0.25">
      <c r="A568" s="1" t="s">
        <v>283</v>
      </c>
      <c r="B568" s="1" t="s">
        <v>286</v>
      </c>
      <c r="C568" s="13">
        <v>198</v>
      </c>
      <c r="D568" s="13">
        <v>149</v>
      </c>
      <c r="E568" s="1" t="s">
        <v>233</v>
      </c>
      <c r="F568" s="1"/>
      <c r="G568" s="1">
        <v>0</v>
      </c>
      <c r="H568" s="1">
        <v>0</v>
      </c>
      <c r="I568" s="1">
        <v>0</v>
      </c>
      <c r="J568" s="1">
        <v>0</v>
      </c>
      <c r="K568" s="1">
        <v>0</v>
      </c>
      <c r="L568" s="1">
        <v>0</v>
      </c>
      <c r="M568" s="1">
        <v>0</v>
      </c>
      <c r="N568" s="1">
        <v>0</v>
      </c>
      <c r="O568" s="1">
        <v>0</v>
      </c>
      <c r="P568" s="1">
        <v>0</v>
      </c>
      <c r="Q568" t="str">
        <f>INDEX(pARTNER[#All],MATCH(#REF!,pARTNER[[#All],[Value.partnerSummary.id]],0),10)</f>
        <v>Italia (IT)</v>
      </c>
      <c r="R568" t="str">
        <f>INDEX('Partner data'!$A$2:$DG$171,MATCH(#REF!,'Partner data'!$DG$2:$DG$171,0),83)</f>
        <v>Soggetto pubblico</v>
      </c>
      <c r="S568" s="86" t="b">
        <f>IF(#REF!="staff",INDEX('Partner data'!$DG$2:$DH$171,MATCH(#REF!,'Partner data'!$DG$2:$DG$171,0),2))</f>
        <v>0</v>
      </c>
    </row>
    <row r="569" spans="1:19" x14ac:dyDescent="0.25">
      <c r="A569" s="1" t="s">
        <v>283</v>
      </c>
      <c r="B569" s="1" t="s">
        <v>286</v>
      </c>
      <c r="C569" s="13">
        <v>198</v>
      </c>
      <c r="D569" s="13">
        <v>149</v>
      </c>
      <c r="E569" s="1" t="s">
        <v>234</v>
      </c>
      <c r="F569" s="1">
        <v>40</v>
      </c>
      <c r="G569" s="1">
        <v>40211.360000000001</v>
      </c>
      <c r="H569" s="1">
        <v>0</v>
      </c>
      <c r="I569" s="1">
        <v>0</v>
      </c>
      <c r="J569" s="1">
        <v>5462.7</v>
      </c>
      <c r="K569" s="1">
        <v>0</v>
      </c>
      <c r="L569" s="1">
        <v>5462.7</v>
      </c>
      <c r="M569" s="1">
        <v>5462.7</v>
      </c>
      <c r="N569" s="1">
        <v>13.58</v>
      </c>
      <c r="O569" s="1">
        <v>34748.660000000003</v>
      </c>
      <c r="P569" s="1">
        <v>0</v>
      </c>
      <c r="Q569" t="str">
        <f>INDEX(pARTNER[#All],MATCH(#REF!,pARTNER[[#All],[Value.partnerSummary.id]],0),10)</f>
        <v>Italia (IT)</v>
      </c>
      <c r="R569" t="str">
        <f>INDEX('Partner data'!$A$2:$DG$171,MATCH(#REF!,'Partner data'!$DG$2:$DG$171,0),83)</f>
        <v>Soggetto pubblico</v>
      </c>
      <c r="S569" s="86" t="b">
        <f>IF(#REF!="staff",INDEX('Partner data'!$DG$2:$DH$171,MATCH(#REF!,'Partner data'!$DG$2:$DG$171,0),2))</f>
        <v>0</v>
      </c>
    </row>
    <row r="570" spans="1:19" x14ac:dyDescent="0.25">
      <c r="A570" s="1" t="s">
        <v>283</v>
      </c>
      <c r="B570" s="1" t="s">
        <v>286</v>
      </c>
      <c r="C570" s="13">
        <v>198</v>
      </c>
      <c r="D570" s="13">
        <v>149</v>
      </c>
      <c r="E570" s="1" t="s">
        <v>235</v>
      </c>
      <c r="F570" s="1"/>
      <c r="G570" s="1">
        <v>0</v>
      </c>
      <c r="H570" s="1">
        <v>0</v>
      </c>
      <c r="I570" s="1">
        <v>0</v>
      </c>
      <c r="J570" s="1">
        <v>0</v>
      </c>
      <c r="K570" s="1">
        <v>0</v>
      </c>
      <c r="L570" s="1">
        <v>0</v>
      </c>
      <c r="M570" s="1">
        <v>0</v>
      </c>
      <c r="N570" s="1">
        <v>0</v>
      </c>
      <c r="O570" s="1">
        <v>0</v>
      </c>
      <c r="P570" s="1">
        <v>0</v>
      </c>
      <c r="Q570" t="str">
        <f>INDEX(pARTNER[#All],MATCH(#REF!,pARTNER[[#All],[Value.partnerSummary.id]],0),10)</f>
        <v>Italia (IT)</v>
      </c>
      <c r="R570" t="str">
        <f>INDEX('Partner data'!$A$2:$DG$171,MATCH(#REF!,'Partner data'!$DG$2:$DG$171,0),83)</f>
        <v>Soggetto pubblico</v>
      </c>
      <c r="S570" s="86" t="b">
        <f>IF(#REF!="staff",INDEX('Partner data'!$DG$2:$DH$171,MATCH(#REF!,'Partner data'!$DG$2:$DG$171,0),2))</f>
        <v>0</v>
      </c>
    </row>
    <row r="571" spans="1:19" x14ac:dyDescent="0.25">
      <c r="A571" s="1" t="s">
        <v>283</v>
      </c>
      <c r="B571" s="1" t="s">
        <v>286</v>
      </c>
      <c r="C571" s="13">
        <v>198</v>
      </c>
      <c r="D571" s="13">
        <v>149</v>
      </c>
      <c r="E571" s="1" t="s">
        <v>236</v>
      </c>
      <c r="F571" s="1"/>
      <c r="G571" s="1">
        <v>0</v>
      </c>
      <c r="H571" s="1">
        <v>0</v>
      </c>
      <c r="I571" s="1">
        <v>0</v>
      </c>
      <c r="J571" s="1">
        <v>0</v>
      </c>
      <c r="K571" s="1">
        <v>0</v>
      </c>
      <c r="L571" s="1">
        <v>0</v>
      </c>
      <c r="M571" s="1">
        <v>0</v>
      </c>
      <c r="N571" s="1">
        <v>0</v>
      </c>
      <c r="O571" s="1">
        <v>0</v>
      </c>
      <c r="P571" s="1">
        <v>0</v>
      </c>
      <c r="Q571" t="str">
        <f>INDEX(pARTNER[#All],MATCH(#REF!,pARTNER[[#All],[Value.partnerSummary.id]],0),10)</f>
        <v>Italia (IT)</v>
      </c>
      <c r="R571" t="str">
        <f>INDEX('Partner data'!$A$2:$DG$171,MATCH(#REF!,'Partner data'!$DG$2:$DG$171,0),83)</f>
        <v>Soggetto pubblico</v>
      </c>
      <c r="S571" s="86" t="b">
        <f>IF(#REF!="staff",INDEX('Partner data'!$DG$2:$DH$171,MATCH(#REF!,'Partner data'!$DG$2:$DG$171,0),2))</f>
        <v>0</v>
      </c>
    </row>
    <row r="572" spans="1:19" x14ac:dyDescent="0.25">
      <c r="A572" s="1" t="s">
        <v>283</v>
      </c>
      <c r="B572" s="1" t="s">
        <v>286</v>
      </c>
      <c r="C572" s="13">
        <v>198</v>
      </c>
      <c r="D572" s="13">
        <v>149</v>
      </c>
      <c r="E572" s="1" t="s">
        <v>237</v>
      </c>
      <c r="F572" s="1"/>
      <c r="G572" s="1">
        <v>0</v>
      </c>
      <c r="H572" s="1">
        <v>0</v>
      </c>
      <c r="I572" s="1">
        <v>0</v>
      </c>
      <c r="J572" s="1">
        <v>0</v>
      </c>
      <c r="K572" s="1">
        <v>0</v>
      </c>
      <c r="L572" s="1">
        <v>0</v>
      </c>
      <c r="M572" s="1">
        <v>0</v>
      </c>
      <c r="N572" s="1">
        <v>0</v>
      </c>
      <c r="O572" s="1">
        <v>0</v>
      </c>
      <c r="P572" s="1">
        <v>0</v>
      </c>
      <c r="Q572" t="str">
        <f>INDEX(pARTNER[#All],MATCH(#REF!,pARTNER[[#All],[Value.partnerSummary.id]],0),10)</f>
        <v>Italia (IT)</v>
      </c>
      <c r="R572" t="str">
        <f>INDEX('Partner data'!$A$2:$DG$171,MATCH(#REF!,'Partner data'!$DG$2:$DG$171,0),83)</f>
        <v>Soggetto pubblico</v>
      </c>
      <c r="S572" s="86" t="b">
        <f>IF(#REF!="staff",INDEX('Partner data'!$DG$2:$DH$171,MATCH(#REF!,'Partner data'!$DG$2:$DG$171,0),2))</f>
        <v>0</v>
      </c>
    </row>
    <row r="573" spans="1:19" x14ac:dyDescent="0.25">
      <c r="A573" s="1" t="s">
        <v>283</v>
      </c>
      <c r="B573" s="1" t="s">
        <v>286</v>
      </c>
      <c r="C573" s="13">
        <v>198</v>
      </c>
      <c r="D573" s="13">
        <v>149</v>
      </c>
      <c r="E573" s="1" t="s">
        <v>238</v>
      </c>
      <c r="F573" s="1"/>
      <c r="G573" s="1">
        <v>140739.76</v>
      </c>
      <c r="H573" s="1">
        <v>0</v>
      </c>
      <c r="I573" s="1">
        <v>0</v>
      </c>
      <c r="J573" s="1">
        <v>19119.45</v>
      </c>
      <c r="K573" s="1">
        <v>0</v>
      </c>
      <c r="L573" s="1">
        <v>19119.45</v>
      </c>
      <c r="M573" s="1">
        <v>19119.45</v>
      </c>
      <c r="N573" s="1">
        <v>13.58</v>
      </c>
      <c r="O573" s="1">
        <v>121620.31</v>
      </c>
      <c r="P573" s="1">
        <v>0</v>
      </c>
      <c r="Q573" t="str">
        <f>INDEX(pARTNER[#All],MATCH(#REF!,pARTNER[[#All],[Value.partnerSummary.id]],0),10)</f>
        <v>Italia (IT)</v>
      </c>
      <c r="R573" t="str">
        <f>INDEX('Partner data'!$A$2:$DG$171,MATCH(#REF!,'Partner data'!$DG$2:$DG$171,0),83)</f>
        <v>Soggetto pubblico</v>
      </c>
      <c r="S573" s="86" t="b">
        <f>IF(#REF!="staff",INDEX('Partner data'!$DG$2:$DH$171,MATCH(#REF!,'Partner data'!$DG$2:$DG$171,0),2))</f>
        <v>0</v>
      </c>
    </row>
    <row r="574" spans="1:19" x14ac:dyDescent="0.25">
      <c r="A574" s="1" t="s">
        <v>283</v>
      </c>
      <c r="B574" s="1" t="s">
        <v>287</v>
      </c>
      <c r="C574" s="13">
        <v>199</v>
      </c>
      <c r="D574" s="13">
        <v>286</v>
      </c>
      <c r="E574" s="1" t="s">
        <v>228</v>
      </c>
      <c r="F574" s="1"/>
      <c r="G574" s="1">
        <v>100130</v>
      </c>
      <c r="H574" s="1">
        <v>0</v>
      </c>
      <c r="I574" s="1">
        <v>0</v>
      </c>
      <c r="J574" s="1">
        <v>12070.4</v>
      </c>
      <c r="K574" s="1">
        <v>0</v>
      </c>
      <c r="L574" s="1">
        <v>11910.95</v>
      </c>
      <c r="M574" s="1">
        <v>12070.4</v>
      </c>
      <c r="N574" s="1">
        <v>12.05</v>
      </c>
      <c r="O574" s="1">
        <v>88059.6</v>
      </c>
      <c r="P574" s="1">
        <v>0</v>
      </c>
      <c r="Q574" t="str">
        <f>INDEX(pARTNER[#All],MATCH(#REF!,pARTNER[[#All],[Value.partnerSummary.id]],0),10)</f>
        <v>Slovenija (SI)</v>
      </c>
      <c r="R574" t="str">
        <f>INDEX('Partner data'!$A$2:$DG$171,MATCH(#REF!,'Partner data'!$DG$2:$DG$171,0),83)</f>
        <v xml:space="preserve">Organismo di diritto pubblico </v>
      </c>
      <c r="S574" s="86" t="str">
        <f>IF(#REF!="staff",INDEX('Partner data'!$DG$2:$DH$171,MATCH(#REF!,'Partner data'!$DG$2:$DG$171,0),2))</f>
        <v>COSTO REALE</v>
      </c>
    </row>
    <row r="575" spans="1:19" x14ac:dyDescent="0.25">
      <c r="A575" s="1" t="s">
        <v>283</v>
      </c>
      <c r="B575" s="1" t="s">
        <v>287</v>
      </c>
      <c r="C575" s="13">
        <v>199</v>
      </c>
      <c r="D575" s="13">
        <v>286</v>
      </c>
      <c r="E575" s="1" t="s">
        <v>229</v>
      </c>
      <c r="F575" s="1"/>
      <c r="G575" s="1">
        <v>0</v>
      </c>
      <c r="H575" s="1">
        <v>0</v>
      </c>
      <c r="I575" s="1">
        <v>0</v>
      </c>
      <c r="J575" s="1">
        <v>0</v>
      </c>
      <c r="K575" s="1">
        <v>0</v>
      </c>
      <c r="L575" s="1">
        <v>0</v>
      </c>
      <c r="M575" s="1">
        <v>0</v>
      </c>
      <c r="N575" s="1">
        <v>0</v>
      </c>
      <c r="O575" s="1">
        <v>0</v>
      </c>
      <c r="P575" s="1">
        <v>0</v>
      </c>
      <c r="Q575" t="str">
        <f>INDEX(pARTNER[#All],MATCH(#REF!,pARTNER[[#All],[Value.partnerSummary.id]],0),10)</f>
        <v>Slovenija (SI)</v>
      </c>
      <c r="R575" t="str">
        <f>INDEX('Partner data'!$A$2:$DG$171,MATCH(#REF!,'Partner data'!$DG$2:$DG$171,0),83)</f>
        <v xml:space="preserve">Organismo di diritto pubblico </v>
      </c>
      <c r="S575" s="86" t="b">
        <f>IF(#REF!="staff",INDEX('Partner data'!$DG$2:$DH$171,MATCH(#REF!,'Partner data'!$DG$2:$DG$171,0),2))</f>
        <v>0</v>
      </c>
    </row>
    <row r="576" spans="1:19" x14ac:dyDescent="0.25">
      <c r="A576" s="1" t="s">
        <v>283</v>
      </c>
      <c r="B576" s="1" t="s">
        <v>287</v>
      </c>
      <c r="C576" s="13">
        <v>199</v>
      </c>
      <c r="D576" s="13">
        <v>286</v>
      </c>
      <c r="E576" s="1" t="s">
        <v>230</v>
      </c>
      <c r="F576" s="1"/>
      <c r="G576" s="1">
        <v>0</v>
      </c>
      <c r="H576" s="1">
        <v>0</v>
      </c>
      <c r="I576" s="1">
        <v>0</v>
      </c>
      <c r="J576" s="1">
        <v>0</v>
      </c>
      <c r="K576" s="1">
        <v>0</v>
      </c>
      <c r="L576" s="1">
        <v>0</v>
      </c>
      <c r="M576" s="1">
        <v>0</v>
      </c>
      <c r="N576" s="1">
        <v>0</v>
      </c>
      <c r="O576" s="1">
        <v>0</v>
      </c>
      <c r="P576" s="1">
        <v>0</v>
      </c>
      <c r="Q576" t="str">
        <f>INDEX(pARTNER[#All],MATCH(#REF!,pARTNER[[#All],[Value.partnerSummary.id]],0),10)</f>
        <v>Slovenija (SI)</v>
      </c>
      <c r="R576" t="str">
        <f>INDEX('Partner data'!$A$2:$DG$171,MATCH(#REF!,'Partner data'!$DG$2:$DG$171,0),83)</f>
        <v xml:space="preserve">Organismo di diritto pubblico </v>
      </c>
      <c r="S576" s="86" t="b">
        <f>IF(#REF!="staff",INDEX('Partner data'!$DG$2:$DH$171,MATCH(#REF!,'Partner data'!$DG$2:$DG$171,0),2))</f>
        <v>0</v>
      </c>
    </row>
    <row r="577" spans="1:19" x14ac:dyDescent="0.25">
      <c r="A577" s="1" t="s">
        <v>283</v>
      </c>
      <c r="B577" s="1" t="s">
        <v>287</v>
      </c>
      <c r="C577" s="13">
        <v>199</v>
      </c>
      <c r="D577" s="13">
        <v>286</v>
      </c>
      <c r="E577" s="1" t="s">
        <v>231</v>
      </c>
      <c r="F577" s="1"/>
      <c r="G577" s="1">
        <v>0</v>
      </c>
      <c r="H577" s="1">
        <v>0</v>
      </c>
      <c r="I577" s="1">
        <v>0</v>
      </c>
      <c r="J577" s="1">
        <v>0</v>
      </c>
      <c r="K577" s="1">
        <v>0</v>
      </c>
      <c r="L577" s="1">
        <v>0</v>
      </c>
      <c r="M577" s="1">
        <v>0</v>
      </c>
      <c r="N577" s="1">
        <v>0</v>
      </c>
      <c r="O577" s="1">
        <v>0</v>
      </c>
      <c r="P577" s="1">
        <v>0</v>
      </c>
      <c r="Q577" t="str">
        <f>INDEX(pARTNER[#All],MATCH(#REF!,pARTNER[[#All],[Value.partnerSummary.id]],0),10)</f>
        <v>Slovenija (SI)</v>
      </c>
      <c r="R577" t="str">
        <f>INDEX('Partner data'!$A$2:$DG$171,MATCH(#REF!,'Partner data'!$DG$2:$DG$171,0),83)</f>
        <v xml:space="preserve">Organismo di diritto pubblico </v>
      </c>
      <c r="S577" s="86" t="b">
        <f>IF(#REF!="staff",INDEX('Partner data'!$DG$2:$DH$171,MATCH(#REF!,'Partner data'!$DG$2:$DG$171,0),2))</f>
        <v>0</v>
      </c>
    </row>
    <row r="578" spans="1:19" x14ac:dyDescent="0.25">
      <c r="A578" s="1" t="s">
        <v>283</v>
      </c>
      <c r="B578" s="1" t="s">
        <v>287</v>
      </c>
      <c r="C578" s="13">
        <v>199</v>
      </c>
      <c r="D578" s="13">
        <v>286</v>
      </c>
      <c r="E578" s="1" t="s">
        <v>232</v>
      </c>
      <c r="F578" s="1"/>
      <c r="G578" s="1">
        <v>0</v>
      </c>
      <c r="H578" s="1">
        <v>0</v>
      </c>
      <c r="I578" s="1">
        <v>0</v>
      </c>
      <c r="J578" s="1">
        <v>0</v>
      </c>
      <c r="K578" s="1">
        <v>0</v>
      </c>
      <c r="L578" s="1">
        <v>0</v>
      </c>
      <c r="M578" s="1">
        <v>0</v>
      </c>
      <c r="N578" s="1">
        <v>0</v>
      </c>
      <c r="O578" s="1">
        <v>0</v>
      </c>
      <c r="P578" s="1">
        <v>0</v>
      </c>
      <c r="Q578" t="str">
        <f>INDEX(pARTNER[#All],MATCH(#REF!,pARTNER[[#All],[Value.partnerSummary.id]],0),10)</f>
        <v>Slovenija (SI)</v>
      </c>
      <c r="R578" t="str">
        <f>INDEX('Partner data'!$A$2:$DG$171,MATCH(#REF!,'Partner data'!$DG$2:$DG$171,0),83)</f>
        <v xml:space="preserve">Organismo di diritto pubblico </v>
      </c>
      <c r="S578" s="86" t="b">
        <f>IF(#REF!="staff",INDEX('Partner data'!$DG$2:$DH$171,MATCH(#REF!,'Partner data'!$DG$2:$DG$171,0),2))</f>
        <v>0</v>
      </c>
    </row>
    <row r="579" spans="1:19" x14ac:dyDescent="0.25">
      <c r="A579" s="1" t="s">
        <v>283</v>
      </c>
      <c r="B579" s="1" t="s">
        <v>287</v>
      </c>
      <c r="C579" s="13">
        <v>199</v>
      </c>
      <c r="D579" s="13">
        <v>286</v>
      </c>
      <c r="E579" s="1" t="s">
        <v>233</v>
      </c>
      <c r="F579" s="1"/>
      <c r="G579" s="1">
        <v>0</v>
      </c>
      <c r="H579" s="1">
        <v>0</v>
      </c>
      <c r="I579" s="1">
        <v>0</v>
      </c>
      <c r="J579" s="1">
        <v>0</v>
      </c>
      <c r="K579" s="1">
        <v>0</v>
      </c>
      <c r="L579" s="1">
        <v>0</v>
      </c>
      <c r="M579" s="1">
        <v>0</v>
      </c>
      <c r="N579" s="1">
        <v>0</v>
      </c>
      <c r="O579" s="1">
        <v>0</v>
      </c>
      <c r="P579" s="1">
        <v>0</v>
      </c>
      <c r="Q579" t="str">
        <f>INDEX(pARTNER[#All],MATCH(#REF!,pARTNER[[#All],[Value.partnerSummary.id]],0),10)</f>
        <v>Slovenija (SI)</v>
      </c>
      <c r="R579" t="str">
        <f>INDEX('Partner data'!$A$2:$DG$171,MATCH(#REF!,'Partner data'!$DG$2:$DG$171,0),83)</f>
        <v xml:space="preserve">Organismo di diritto pubblico </v>
      </c>
      <c r="S579" s="86" t="b">
        <f>IF(#REF!="staff",INDEX('Partner data'!$DG$2:$DH$171,MATCH(#REF!,'Partner data'!$DG$2:$DG$171,0),2))</f>
        <v>0</v>
      </c>
    </row>
    <row r="580" spans="1:19" x14ac:dyDescent="0.25">
      <c r="A580" s="1" t="s">
        <v>283</v>
      </c>
      <c r="B580" s="1" t="s">
        <v>287</v>
      </c>
      <c r="C580" s="13">
        <v>199</v>
      </c>
      <c r="D580" s="13">
        <v>286</v>
      </c>
      <c r="E580" s="1" t="s">
        <v>234</v>
      </c>
      <c r="F580" s="1">
        <v>40</v>
      </c>
      <c r="G580" s="1">
        <v>40052</v>
      </c>
      <c r="H580" s="1">
        <v>0</v>
      </c>
      <c r="I580" s="1">
        <v>0</v>
      </c>
      <c r="J580" s="1">
        <v>4828.16</v>
      </c>
      <c r="K580" s="1">
        <v>0</v>
      </c>
      <c r="L580" s="1">
        <v>4764.38</v>
      </c>
      <c r="M580" s="1">
        <v>4828.16</v>
      </c>
      <c r="N580" s="1">
        <v>12.05</v>
      </c>
      <c r="O580" s="1">
        <v>35223.839999999997</v>
      </c>
      <c r="P580" s="1">
        <v>0</v>
      </c>
      <c r="Q580" t="str">
        <f>INDEX(pARTNER[#All],MATCH(#REF!,pARTNER[[#All],[Value.partnerSummary.id]],0),10)</f>
        <v>Slovenija (SI)</v>
      </c>
      <c r="R580" t="str">
        <f>INDEX('Partner data'!$A$2:$DG$171,MATCH(#REF!,'Partner data'!$DG$2:$DG$171,0),83)</f>
        <v xml:space="preserve">Organismo di diritto pubblico </v>
      </c>
      <c r="S580" s="86" t="b">
        <f>IF(#REF!="staff",INDEX('Partner data'!$DG$2:$DH$171,MATCH(#REF!,'Partner data'!$DG$2:$DG$171,0),2))</f>
        <v>0</v>
      </c>
    </row>
    <row r="581" spans="1:19" x14ac:dyDescent="0.25">
      <c r="A581" s="1" t="s">
        <v>283</v>
      </c>
      <c r="B581" s="1" t="s">
        <v>287</v>
      </c>
      <c r="C581" s="13">
        <v>199</v>
      </c>
      <c r="D581" s="13">
        <v>286</v>
      </c>
      <c r="E581" s="1" t="s">
        <v>235</v>
      </c>
      <c r="F581" s="1"/>
      <c r="G581" s="1">
        <v>0</v>
      </c>
      <c r="H581" s="1">
        <v>0</v>
      </c>
      <c r="I581" s="1">
        <v>0</v>
      </c>
      <c r="J581" s="1">
        <v>0</v>
      </c>
      <c r="K581" s="1">
        <v>0</v>
      </c>
      <c r="L581" s="1">
        <v>0</v>
      </c>
      <c r="M581" s="1">
        <v>0</v>
      </c>
      <c r="N581" s="1">
        <v>0</v>
      </c>
      <c r="O581" s="1">
        <v>0</v>
      </c>
      <c r="P581" s="1">
        <v>0</v>
      </c>
      <c r="Q581" t="str">
        <f>INDEX(pARTNER[#All],MATCH(#REF!,pARTNER[[#All],[Value.partnerSummary.id]],0),10)</f>
        <v>Slovenija (SI)</v>
      </c>
      <c r="R581" t="str">
        <f>INDEX('Partner data'!$A$2:$DG$171,MATCH(#REF!,'Partner data'!$DG$2:$DG$171,0),83)</f>
        <v xml:space="preserve">Organismo di diritto pubblico </v>
      </c>
      <c r="S581" s="86" t="b">
        <f>IF(#REF!="staff",INDEX('Partner data'!$DG$2:$DH$171,MATCH(#REF!,'Partner data'!$DG$2:$DG$171,0),2))</f>
        <v>0</v>
      </c>
    </row>
    <row r="582" spans="1:19" x14ac:dyDescent="0.25">
      <c r="A582" s="1" t="s">
        <v>283</v>
      </c>
      <c r="B582" s="1" t="s">
        <v>287</v>
      </c>
      <c r="C582" s="13">
        <v>199</v>
      </c>
      <c r="D582" s="13">
        <v>286</v>
      </c>
      <c r="E582" s="1" t="s">
        <v>236</v>
      </c>
      <c r="F582" s="1"/>
      <c r="G582" s="1">
        <v>0</v>
      </c>
      <c r="H582" s="1">
        <v>0</v>
      </c>
      <c r="I582" s="1">
        <v>0</v>
      </c>
      <c r="J582" s="1">
        <v>0</v>
      </c>
      <c r="K582" s="1">
        <v>0</v>
      </c>
      <c r="L582" s="1">
        <v>0</v>
      </c>
      <c r="M582" s="1">
        <v>0</v>
      </c>
      <c r="N582" s="1">
        <v>0</v>
      </c>
      <c r="O582" s="1">
        <v>0</v>
      </c>
      <c r="P582" s="1">
        <v>0</v>
      </c>
      <c r="Q582" t="str">
        <f>INDEX(pARTNER[#All],MATCH(#REF!,pARTNER[[#All],[Value.partnerSummary.id]],0),10)</f>
        <v>Slovenija (SI)</v>
      </c>
      <c r="R582" t="str">
        <f>INDEX('Partner data'!$A$2:$DG$171,MATCH(#REF!,'Partner data'!$DG$2:$DG$171,0),83)</f>
        <v xml:space="preserve">Organismo di diritto pubblico </v>
      </c>
      <c r="S582" s="86" t="b">
        <f>IF(#REF!="staff",INDEX('Partner data'!$DG$2:$DH$171,MATCH(#REF!,'Partner data'!$DG$2:$DG$171,0),2))</f>
        <v>0</v>
      </c>
    </row>
    <row r="583" spans="1:19" x14ac:dyDescent="0.25">
      <c r="A583" s="1" t="s">
        <v>283</v>
      </c>
      <c r="B583" s="1" t="s">
        <v>287</v>
      </c>
      <c r="C583" s="13">
        <v>199</v>
      </c>
      <c r="D583" s="13">
        <v>286</v>
      </c>
      <c r="E583" s="1" t="s">
        <v>237</v>
      </c>
      <c r="F583" s="1"/>
      <c r="G583" s="1">
        <v>0</v>
      </c>
      <c r="H583" s="1">
        <v>0</v>
      </c>
      <c r="I583" s="1">
        <v>0</v>
      </c>
      <c r="J583" s="1">
        <v>0</v>
      </c>
      <c r="K583" s="1">
        <v>0</v>
      </c>
      <c r="L583" s="1">
        <v>0</v>
      </c>
      <c r="M583" s="1">
        <v>0</v>
      </c>
      <c r="N583" s="1">
        <v>0</v>
      </c>
      <c r="O583" s="1">
        <v>0</v>
      </c>
      <c r="P583" s="1">
        <v>0</v>
      </c>
      <c r="Q583" t="str">
        <f>INDEX(pARTNER[#All],MATCH(#REF!,pARTNER[[#All],[Value.partnerSummary.id]],0),10)</f>
        <v>Slovenija (SI)</v>
      </c>
      <c r="R583" t="str">
        <f>INDEX('Partner data'!$A$2:$DG$171,MATCH(#REF!,'Partner data'!$DG$2:$DG$171,0),83)</f>
        <v xml:space="preserve">Organismo di diritto pubblico </v>
      </c>
      <c r="S583" s="86" t="b">
        <f>IF(#REF!="staff",INDEX('Partner data'!$DG$2:$DH$171,MATCH(#REF!,'Partner data'!$DG$2:$DG$171,0),2))</f>
        <v>0</v>
      </c>
    </row>
    <row r="584" spans="1:19" x14ac:dyDescent="0.25">
      <c r="A584" s="1" t="s">
        <v>283</v>
      </c>
      <c r="B584" s="1" t="s">
        <v>287</v>
      </c>
      <c r="C584" s="13">
        <v>199</v>
      </c>
      <c r="D584" s="13">
        <v>286</v>
      </c>
      <c r="E584" s="1" t="s">
        <v>238</v>
      </c>
      <c r="F584" s="1"/>
      <c r="G584" s="1">
        <v>140182</v>
      </c>
      <c r="H584" s="1">
        <v>0</v>
      </c>
      <c r="I584" s="1">
        <v>0</v>
      </c>
      <c r="J584" s="1">
        <v>16898.560000000001</v>
      </c>
      <c r="K584" s="1">
        <v>0</v>
      </c>
      <c r="L584" s="1">
        <v>16675.330000000002</v>
      </c>
      <c r="M584" s="1">
        <v>16898.560000000001</v>
      </c>
      <c r="N584" s="1">
        <v>12.05</v>
      </c>
      <c r="O584" s="1">
        <v>123283.44</v>
      </c>
      <c r="P584" s="1">
        <v>0</v>
      </c>
      <c r="Q584" t="str">
        <f>INDEX(pARTNER[#All],MATCH(#REF!,pARTNER[[#All],[Value.partnerSummary.id]],0),10)</f>
        <v>Slovenija (SI)</v>
      </c>
      <c r="R584" t="str">
        <f>INDEX('Partner data'!$A$2:$DG$171,MATCH(#REF!,'Partner data'!$DG$2:$DG$171,0),83)</f>
        <v xml:space="preserve">Organismo di diritto pubblico </v>
      </c>
      <c r="S584" s="86" t="b">
        <f>IF(#REF!="staff",INDEX('Partner data'!$DG$2:$DH$171,MATCH(#REF!,'Partner data'!$DG$2:$DG$171,0),2))</f>
        <v>0</v>
      </c>
    </row>
    <row r="585" spans="1:19" x14ac:dyDescent="0.25">
      <c r="A585" s="1" t="s">
        <v>304</v>
      </c>
      <c r="B585" s="1" t="s">
        <v>0</v>
      </c>
      <c r="C585" s="13">
        <v>174</v>
      </c>
      <c r="D585" s="13">
        <v>268</v>
      </c>
      <c r="E585" s="1" t="s">
        <v>228</v>
      </c>
      <c r="F585" s="1"/>
      <c r="G585" s="1">
        <v>71412</v>
      </c>
      <c r="H585" s="1">
        <v>0</v>
      </c>
      <c r="I585" s="1">
        <v>0</v>
      </c>
      <c r="J585" s="1">
        <v>17262</v>
      </c>
      <c r="K585" s="1">
        <v>0</v>
      </c>
      <c r="L585" s="1">
        <v>17072</v>
      </c>
      <c r="M585" s="1">
        <v>17262</v>
      </c>
      <c r="N585" s="1">
        <v>24.17</v>
      </c>
      <c r="O585" s="1">
        <v>54150</v>
      </c>
      <c r="P585" s="1">
        <v>0</v>
      </c>
      <c r="Q585" t="str">
        <f>INDEX(pARTNER[#All],MATCH(#REF!,pARTNER[[#All],[Value.partnerSummary.id]],0),10)</f>
        <v>Italia (IT)</v>
      </c>
      <c r="R585" t="str">
        <f>INDEX('Partner data'!$A$2:$DG$171,MATCH(#REF!,'Partner data'!$DG$2:$DG$171,0),83)</f>
        <v>Soggetto pubblico</v>
      </c>
      <c r="S585" s="86" t="str">
        <f>IF(#REF!="staff",INDEX('Partner data'!$DG$2:$DH$171,MATCH(#REF!,'Partner data'!$DG$2:$DG$171,0),2))</f>
        <v>Costo Unitario Standard</v>
      </c>
    </row>
    <row r="586" spans="1:19" x14ac:dyDescent="0.25">
      <c r="A586" s="1" t="s">
        <v>304</v>
      </c>
      <c r="B586" s="1" t="s">
        <v>0</v>
      </c>
      <c r="C586" s="13">
        <v>174</v>
      </c>
      <c r="D586" s="13">
        <v>268</v>
      </c>
      <c r="E586" s="1" t="s">
        <v>229</v>
      </c>
      <c r="F586" s="1"/>
      <c r="G586" s="1">
        <v>0</v>
      </c>
      <c r="H586" s="1">
        <v>0</v>
      </c>
      <c r="I586" s="1">
        <v>0</v>
      </c>
      <c r="J586" s="1">
        <v>0</v>
      </c>
      <c r="K586" s="1">
        <v>0</v>
      </c>
      <c r="L586" s="1">
        <v>0</v>
      </c>
      <c r="M586" s="1">
        <v>0</v>
      </c>
      <c r="N586" s="1">
        <v>0</v>
      </c>
      <c r="O586" s="1">
        <v>0</v>
      </c>
      <c r="P586" s="1">
        <v>0</v>
      </c>
      <c r="Q586" t="str">
        <f>INDEX(pARTNER[#All],MATCH(#REF!,pARTNER[[#All],[Value.partnerSummary.id]],0),10)</f>
        <v>Italia (IT)</v>
      </c>
      <c r="R586" t="str">
        <f>INDEX('Partner data'!$A$2:$DG$171,MATCH(#REF!,'Partner data'!$DG$2:$DG$171,0),83)</f>
        <v>Soggetto pubblico</v>
      </c>
      <c r="S586" s="86" t="b">
        <f>IF(#REF!="staff",INDEX('Partner data'!$DG$2:$DH$171,MATCH(#REF!,'Partner data'!$DG$2:$DG$171,0),2))</f>
        <v>0</v>
      </c>
    </row>
    <row r="587" spans="1:19" x14ac:dyDescent="0.25">
      <c r="A587" s="1" t="s">
        <v>304</v>
      </c>
      <c r="B587" s="1" t="s">
        <v>0</v>
      </c>
      <c r="C587" s="13">
        <v>174</v>
      </c>
      <c r="D587" s="13">
        <v>268</v>
      </c>
      <c r="E587" s="1" t="s">
        <v>230</v>
      </c>
      <c r="F587" s="1"/>
      <c r="G587" s="1">
        <v>0</v>
      </c>
      <c r="H587" s="1">
        <v>0</v>
      </c>
      <c r="I587" s="1">
        <v>0</v>
      </c>
      <c r="J587" s="1">
        <v>0</v>
      </c>
      <c r="K587" s="1">
        <v>0</v>
      </c>
      <c r="L587" s="1">
        <v>0</v>
      </c>
      <c r="M587" s="1">
        <v>0</v>
      </c>
      <c r="N587" s="1">
        <v>0</v>
      </c>
      <c r="O587" s="1">
        <v>0</v>
      </c>
      <c r="P587" s="1">
        <v>0</v>
      </c>
      <c r="Q587" t="str">
        <f>INDEX(pARTNER[#All],MATCH(#REF!,pARTNER[[#All],[Value.partnerSummary.id]],0),10)</f>
        <v>Italia (IT)</v>
      </c>
      <c r="R587" t="str">
        <f>INDEX('Partner data'!$A$2:$DG$171,MATCH(#REF!,'Partner data'!$DG$2:$DG$171,0),83)</f>
        <v>Soggetto pubblico</v>
      </c>
      <c r="S587" s="86" t="b">
        <f>IF(#REF!="staff",INDEX('Partner data'!$DG$2:$DH$171,MATCH(#REF!,'Partner data'!$DG$2:$DG$171,0),2))</f>
        <v>0</v>
      </c>
    </row>
    <row r="588" spans="1:19" x14ac:dyDescent="0.25">
      <c r="A588" s="1" t="s">
        <v>304</v>
      </c>
      <c r="B588" s="1" t="s">
        <v>0</v>
      </c>
      <c r="C588" s="13">
        <v>174</v>
      </c>
      <c r="D588" s="13">
        <v>268</v>
      </c>
      <c r="E588" s="1" t="s">
        <v>231</v>
      </c>
      <c r="F588" s="1"/>
      <c r="G588" s="1">
        <v>0</v>
      </c>
      <c r="H588" s="1">
        <v>0</v>
      </c>
      <c r="I588" s="1">
        <v>0</v>
      </c>
      <c r="J588" s="1">
        <v>0</v>
      </c>
      <c r="K588" s="1">
        <v>0</v>
      </c>
      <c r="L588" s="1">
        <v>0</v>
      </c>
      <c r="M588" s="1">
        <v>0</v>
      </c>
      <c r="N588" s="1">
        <v>0</v>
      </c>
      <c r="O588" s="1">
        <v>0</v>
      </c>
      <c r="P588" s="1">
        <v>0</v>
      </c>
      <c r="Q588" t="str">
        <f>INDEX(pARTNER[#All],MATCH(#REF!,pARTNER[[#All],[Value.partnerSummary.id]],0),10)</f>
        <v>Italia (IT)</v>
      </c>
      <c r="R588" t="str">
        <f>INDEX('Partner data'!$A$2:$DG$171,MATCH(#REF!,'Partner data'!$DG$2:$DG$171,0),83)</f>
        <v>Soggetto pubblico</v>
      </c>
      <c r="S588" s="86" t="b">
        <f>IF(#REF!="staff",INDEX('Partner data'!$DG$2:$DH$171,MATCH(#REF!,'Partner data'!$DG$2:$DG$171,0),2))</f>
        <v>0</v>
      </c>
    </row>
    <row r="589" spans="1:19" x14ac:dyDescent="0.25">
      <c r="A589" s="1" t="s">
        <v>304</v>
      </c>
      <c r="B589" s="1" t="s">
        <v>0</v>
      </c>
      <c r="C589" s="13">
        <v>174</v>
      </c>
      <c r="D589" s="13">
        <v>268</v>
      </c>
      <c r="E589" s="1" t="s">
        <v>232</v>
      </c>
      <c r="F589" s="1"/>
      <c r="G589" s="1">
        <v>0</v>
      </c>
      <c r="H589" s="1">
        <v>0</v>
      </c>
      <c r="I589" s="1">
        <v>0</v>
      </c>
      <c r="J589" s="1">
        <v>0</v>
      </c>
      <c r="K589" s="1">
        <v>0</v>
      </c>
      <c r="L589" s="1">
        <v>0</v>
      </c>
      <c r="M589" s="1">
        <v>0</v>
      </c>
      <c r="N589" s="1">
        <v>0</v>
      </c>
      <c r="O589" s="1">
        <v>0</v>
      </c>
      <c r="P589" s="1">
        <v>0</v>
      </c>
      <c r="Q589" t="str">
        <f>INDEX(pARTNER[#All],MATCH(#REF!,pARTNER[[#All],[Value.partnerSummary.id]],0),10)</f>
        <v>Italia (IT)</v>
      </c>
      <c r="R589" t="str">
        <f>INDEX('Partner data'!$A$2:$DG$171,MATCH(#REF!,'Partner data'!$DG$2:$DG$171,0),83)</f>
        <v>Soggetto pubblico</v>
      </c>
      <c r="S589" s="86" t="b">
        <f>IF(#REF!="staff",INDEX('Partner data'!$DG$2:$DH$171,MATCH(#REF!,'Partner data'!$DG$2:$DG$171,0),2))</f>
        <v>0</v>
      </c>
    </row>
    <row r="590" spans="1:19" x14ac:dyDescent="0.25">
      <c r="A590" s="1" t="s">
        <v>304</v>
      </c>
      <c r="B590" s="1" t="s">
        <v>0</v>
      </c>
      <c r="C590" s="13">
        <v>174</v>
      </c>
      <c r="D590" s="13">
        <v>268</v>
      </c>
      <c r="E590" s="1" t="s">
        <v>233</v>
      </c>
      <c r="F590" s="1"/>
      <c r="G590" s="1">
        <v>0</v>
      </c>
      <c r="H590" s="1">
        <v>0</v>
      </c>
      <c r="I590" s="1">
        <v>0</v>
      </c>
      <c r="J590" s="1">
        <v>0</v>
      </c>
      <c r="K590" s="1">
        <v>0</v>
      </c>
      <c r="L590" s="1">
        <v>0</v>
      </c>
      <c r="M590" s="1">
        <v>0</v>
      </c>
      <c r="N590" s="1">
        <v>0</v>
      </c>
      <c r="O590" s="1">
        <v>0</v>
      </c>
      <c r="P590" s="1">
        <v>0</v>
      </c>
      <c r="Q590" t="str">
        <f>INDEX(pARTNER[#All],MATCH(#REF!,pARTNER[[#All],[Value.partnerSummary.id]],0),10)</f>
        <v>Italia (IT)</v>
      </c>
      <c r="R590" t="str">
        <f>INDEX('Partner data'!$A$2:$DG$171,MATCH(#REF!,'Partner data'!$DG$2:$DG$171,0),83)</f>
        <v>Soggetto pubblico</v>
      </c>
      <c r="S590" s="86" t="b">
        <f>IF(#REF!="staff",INDEX('Partner data'!$DG$2:$DH$171,MATCH(#REF!,'Partner data'!$DG$2:$DG$171,0),2))</f>
        <v>0</v>
      </c>
    </row>
    <row r="591" spans="1:19" x14ac:dyDescent="0.25">
      <c r="A591" s="1" t="s">
        <v>304</v>
      </c>
      <c r="B591" s="1" t="s">
        <v>0</v>
      </c>
      <c r="C591" s="13">
        <v>174</v>
      </c>
      <c r="D591" s="13">
        <v>268</v>
      </c>
      <c r="E591" s="1" t="s">
        <v>234</v>
      </c>
      <c r="F591" s="1">
        <v>40</v>
      </c>
      <c r="G591" s="1">
        <v>28564.799999999999</v>
      </c>
      <c r="H591" s="1">
        <v>0</v>
      </c>
      <c r="I591" s="1">
        <v>0</v>
      </c>
      <c r="J591" s="1">
        <v>6904.8</v>
      </c>
      <c r="K591" s="1">
        <v>0</v>
      </c>
      <c r="L591" s="1">
        <v>6828.8</v>
      </c>
      <c r="M591" s="1">
        <v>6904.8</v>
      </c>
      <c r="N591" s="1">
        <v>24.17</v>
      </c>
      <c r="O591" s="1">
        <v>21660</v>
      </c>
      <c r="P591" s="1">
        <v>0</v>
      </c>
      <c r="Q591" t="str">
        <f>INDEX(pARTNER[#All],MATCH(#REF!,pARTNER[[#All],[Value.partnerSummary.id]],0),10)</f>
        <v>Italia (IT)</v>
      </c>
      <c r="R591" t="str">
        <f>INDEX('Partner data'!$A$2:$DG$171,MATCH(#REF!,'Partner data'!$DG$2:$DG$171,0),83)</f>
        <v>Soggetto pubblico</v>
      </c>
      <c r="S591" s="86" t="b">
        <f>IF(#REF!="staff",INDEX('Partner data'!$DG$2:$DH$171,MATCH(#REF!,'Partner data'!$DG$2:$DG$171,0),2))</f>
        <v>0</v>
      </c>
    </row>
    <row r="592" spans="1:19" x14ac:dyDescent="0.25">
      <c r="A592" s="1" t="s">
        <v>304</v>
      </c>
      <c r="B592" s="1" t="s">
        <v>0</v>
      </c>
      <c r="C592" s="13">
        <v>174</v>
      </c>
      <c r="D592" s="13">
        <v>268</v>
      </c>
      <c r="E592" s="1" t="s">
        <v>235</v>
      </c>
      <c r="F592" s="1"/>
      <c r="G592" s="1">
        <v>0</v>
      </c>
      <c r="H592" s="1">
        <v>0</v>
      </c>
      <c r="I592" s="1">
        <v>0</v>
      </c>
      <c r="J592" s="1">
        <v>0</v>
      </c>
      <c r="K592" s="1">
        <v>0</v>
      </c>
      <c r="L592" s="1">
        <v>0</v>
      </c>
      <c r="M592" s="1">
        <v>0</v>
      </c>
      <c r="N592" s="1">
        <v>0</v>
      </c>
      <c r="O592" s="1">
        <v>0</v>
      </c>
      <c r="P592" s="1">
        <v>0</v>
      </c>
      <c r="Q592" t="str">
        <f>INDEX(pARTNER[#All],MATCH(#REF!,pARTNER[[#All],[Value.partnerSummary.id]],0),10)</f>
        <v>Italia (IT)</v>
      </c>
      <c r="R592" t="str">
        <f>INDEX('Partner data'!$A$2:$DG$171,MATCH(#REF!,'Partner data'!$DG$2:$DG$171,0),83)</f>
        <v>Soggetto pubblico</v>
      </c>
      <c r="S592" s="86" t="b">
        <f>IF(#REF!="staff",INDEX('Partner data'!$DG$2:$DH$171,MATCH(#REF!,'Partner data'!$DG$2:$DG$171,0),2))</f>
        <v>0</v>
      </c>
    </row>
    <row r="593" spans="1:19" x14ac:dyDescent="0.25">
      <c r="A593" s="1" t="s">
        <v>304</v>
      </c>
      <c r="B593" s="1" t="s">
        <v>0</v>
      </c>
      <c r="C593" s="13">
        <v>174</v>
      </c>
      <c r="D593" s="13">
        <v>268</v>
      </c>
      <c r="E593" s="1" t="s">
        <v>236</v>
      </c>
      <c r="F593" s="1"/>
      <c r="G593" s="1">
        <v>0</v>
      </c>
      <c r="H593" s="1">
        <v>0</v>
      </c>
      <c r="I593" s="1">
        <v>0</v>
      </c>
      <c r="J593" s="1">
        <v>0</v>
      </c>
      <c r="K593" s="1">
        <v>0</v>
      </c>
      <c r="L593" s="1">
        <v>0</v>
      </c>
      <c r="M593" s="1">
        <v>0</v>
      </c>
      <c r="N593" s="1">
        <v>0</v>
      </c>
      <c r="O593" s="1">
        <v>0</v>
      </c>
      <c r="P593" s="1">
        <v>0</v>
      </c>
      <c r="Q593" t="str">
        <f>INDEX(pARTNER[#All],MATCH(#REF!,pARTNER[[#All],[Value.partnerSummary.id]],0),10)</f>
        <v>Italia (IT)</v>
      </c>
      <c r="R593" t="str">
        <f>INDEX('Partner data'!$A$2:$DG$171,MATCH(#REF!,'Partner data'!$DG$2:$DG$171,0),83)</f>
        <v>Soggetto pubblico</v>
      </c>
      <c r="S593" s="86" t="b">
        <f>IF(#REF!="staff",INDEX('Partner data'!$DG$2:$DH$171,MATCH(#REF!,'Partner data'!$DG$2:$DG$171,0),2))</f>
        <v>0</v>
      </c>
    </row>
    <row r="594" spans="1:19" x14ac:dyDescent="0.25">
      <c r="A594" s="1" t="s">
        <v>304</v>
      </c>
      <c r="B594" s="1" t="s">
        <v>0</v>
      </c>
      <c r="C594" s="13">
        <v>174</v>
      </c>
      <c r="D594" s="13">
        <v>268</v>
      </c>
      <c r="E594" s="1" t="s">
        <v>237</v>
      </c>
      <c r="F594" s="1"/>
      <c r="G594" s="1">
        <v>0</v>
      </c>
      <c r="H594" s="1">
        <v>0</v>
      </c>
      <c r="I594" s="1">
        <v>0</v>
      </c>
      <c r="J594" s="1">
        <v>0</v>
      </c>
      <c r="K594" s="1">
        <v>0</v>
      </c>
      <c r="L594" s="1">
        <v>0</v>
      </c>
      <c r="M594" s="1">
        <v>0</v>
      </c>
      <c r="N594" s="1">
        <v>0</v>
      </c>
      <c r="O594" s="1">
        <v>0</v>
      </c>
      <c r="P594" s="1">
        <v>0</v>
      </c>
      <c r="Q594" t="str">
        <f>INDEX(pARTNER[#All],MATCH(#REF!,pARTNER[[#All],[Value.partnerSummary.id]],0),10)</f>
        <v>Italia (IT)</v>
      </c>
      <c r="R594" t="str">
        <f>INDEX('Partner data'!$A$2:$DG$171,MATCH(#REF!,'Partner data'!$DG$2:$DG$171,0),83)</f>
        <v>Soggetto pubblico</v>
      </c>
      <c r="S594" s="86" t="b">
        <f>IF(#REF!="staff",INDEX('Partner data'!$DG$2:$DH$171,MATCH(#REF!,'Partner data'!$DG$2:$DG$171,0),2))</f>
        <v>0</v>
      </c>
    </row>
    <row r="595" spans="1:19" x14ac:dyDescent="0.25">
      <c r="A595" s="1" t="s">
        <v>304</v>
      </c>
      <c r="B595" s="1" t="s">
        <v>0</v>
      </c>
      <c r="C595" s="13">
        <v>174</v>
      </c>
      <c r="D595" s="13">
        <v>268</v>
      </c>
      <c r="E595" s="1" t="s">
        <v>238</v>
      </c>
      <c r="F595" s="1"/>
      <c r="G595" s="1">
        <v>99976.8</v>
      </c>
      <c r="H595" s="1">
        <v>0</v>
      </c>
      <c r="I595" s="1">
        <v>0</v>
      </c>
      <c r="J595" s="1">
        <v>24166.799999999999</v>
      </c>
      <c r="K595" s="1">
        <v>0</v>
      </c>
      <c r="L595" s="1">
        <v>23900.799999999999</v>
      </c>
      <c r="M595" s="1">
        <v>24166.799999999999</v>
      </c>
      <c r="N595" s="1">
        <v>24.17</v>
      </c>
      <c r="O595" s="1">
        <v>75810</v>
      </c>
      <c r="P595" s="1">
        <v>0</v>
      </c>
      <c r="Q595" t="str">
        <f>INDEX(pARTNER[#All],MATCH(#REF!,pARTNER[[#All],[Value.partnerSummary.id]],0),10)</f>
        <v>Italia (IT)</v>
      </c>
      <c r="R595" t="str">
        <f>INDEX('Partner data'!$A$2:$DG$171,MATCH(#REF!,'Partner data'!$DG$2:$DG$171,0),83)</f>
        <v>Soggetto pubblico</v>
      </c>
      <c r="S595" s="86" t="b">
        <f>IF(#REF!="staff",INDEX('Partner data'!$DG$2:$DH$171,MATCH(#REF!,'Partner data'!$DG$2:$DG$171,0),2))</f>
        <v>0</v>
      </c>
    </row>
    <row r="596" spans="1:19" x14ac:dyDescent="0.25">
      <c r="A596" s="1" t="s">
        <v>304</v>
      </c>
      <c r="B596" s="1" t="s">
        <v>305</v>
      </c>
      <c r="C596" s="13">
        <v>101</v>
      </c>
      <c r="D596" s="13">
        <v>124</v>
      </c>
      <c r="E596" s="1" t="s">
        <v>228</v>
      </c>
      <c r="F596" s="1">
        <v>20</v>
      </c>
      <c r="G596" s="1">
        <v>28600</v>
      </c>
      <c r="H596" s="1">
        <v>0</v>
      </c>
      <c r="I596" s="1">
        <v>0</v>
      </c>
      <c r="J596" s="1">
        <v>758.28</v>
      </c>
      <c r="K596" s="1">
        <v>0</v>
      </c>
      <c r="L596" s="1">
        <v>758.28</v>
      </c>
      <c r="M596" s="1">
        <v>758.28</v>
      </c>
      <c r="N596" s="1">
        <v>2.65</v>
      </c>
      <c r="O596" s="1">
        <v>27841.72</v>
      </c>
      <c r="P596" s="1">
        <v>0</v>
      </c>
      <c r="Q596" t="str">
        <f>INDEX(pARTNER[#All],MATCH(#REF!,pARTNER[[#All],[Value.partnerSummary.id]],0),10)</f>
        <v>Slovenija (SI)</v>
      </c>
      <c r="R596" t="str">
        <f>INDEX('Partner data'!$A$2:$DG$171,MATCH(#REF!,'Partner data'!$DG$2:$DG$171,0),83)</f>
        <v>Soggetto pubblico</v>
      </c>
      <c r="S596" s="86" t="str">
        <f>IF(#REF!="staff",INDEX('Partner data'!$DG$2:$DH$171,MATCH(#REF!,'Partner data'!$DG$2:$DG$171,0),2))</f>
        <v>Tasso Forfettario 20%</v>
      </c>
    </row>
    <row r="597" spans="1:19" x14ac:dyDescent="0.25">
      <c r="A597" s="1" t="s">
        <v>304</v>
      </c>
      <c r="B597" s="1" t="s">
        <v>305</v>
      </c>
      <c r="C597" s="13">
        <v>101</v>
      </c>
      <c r="D597" s="13">
        <v>124</v>
      </c>
      <c r="E597" s="1" t="s">
        <v>229</v>
      </c>
      <c r="F597" s="1">
        <v>15</v>
      </c>
      <c r="G597" s="1">
        <v>4290</v>
      </c>
      <c r="H597" s="1">
        <v>0</v>
      </c>
      <c r="I597" s="1">
        <v>0</v>
      </c>
      <c r="J597" s="1">
        <v>113.74</v>
      </c>
      <c r="K597" s="1">
        <v>0</v>
      </c>
      <c r="L597" s="1">
        <v>113.74</v>
      </c>
      <c r="M597" s="1">
        <v>113.74</v>
      </c>
      <c r="N597" s="1">
        <v>2.65</v>
      </c>
      <c r="O597" s="1">
        <v>4176.26</v>
      </c>
      <c r="P597" s="1">
        <v>0</v>
      </c>
      <c r="Q597" t="str">
        <f>INDEX(pARTNER[#All],MATCH(#REF!,pARTNER[[#All],[Value.partnerSummary.id]],0),10)</f>
        <v>Slovenija (SI)</v>
      </c>
      <c r="R597" t="str">
        <f>INDEX('Partner data'!$A$2:$DG$171,MATCH(#REF!,'Partner data'!$DG$2:$DG$171,0),83)</f>
        <v>Soggetto pubblico</v>
      </c>
      <c r="S597" s="86" t="b">
        <f>IF(#REF!="staff",INDEX('Partner data'!$DG$2:$DH$171,MATCH(#REF!,'Partner data'!$DG$2:$DG$171,0),2))</f>
        <v>0</v>
      </c>
    </row>
    <row r="598" spans="1:19" x14ac:dyDescent="0.25">
      <c r="A598" s="1" t="s">
        <v>304</v>
      </c>
      <c r="B598" s="1" t="s">
        <v>305</v>
      </c>
      <c r="C598" s="13">
        <v>101</v>
      </c>
      <c r="D598" s="13">
        <v>124</v>
      </c>
      <c r="E598" s="1" t="s">
        <v>230</v>
      </c>
      <c r="F598" s="1">
        <v>4</v>
      </c>
      <c r="G598" s="1">
        <v>1144</v>
      </c>
      <c r="H598" s="1">
        <v>0</v>
      </c>
      <c r="I598" s="1">
        <v>0</v>
      </c>
      <c r="J598" s="1">
        <v>30.33</v>
      </c>
      <c r="K598" s="1">
        <v>0</v>
      </c>
      <c r="L598" s="1">
        <v>30.33</v>
      </c>
      <c r="M598" s="1">
        <v>30.33</v>
      </c>
      <c r="N598" s="1">
        <v>2.65</v>
      </c>
      <c r="O598" s="1">
        <v>1113.67</v>
      </c>
      <c r="P598" s="1">
        <v>0</v>
      </c>
      <c r="Q598" t="str">
        <f>INDEX(pARTNER[#All],MATCH(#REF!,pARTNER[[#All],[Value.partnerSummary.id]],0),10)</f>
        <v>Slovenija (SI)</v>
      </c>
      <c r="R598" t="str">
        <f>INDEX('Partner data'!$A$2:$DG$171,MATCH(#REF!,'Partner data'!$DG$2:$DG$171,0),83)</f>
        <v>Soggetto pubblico</v>
      </c>
      <c r="S598" s="86" t="b">
        <f>IF(#REF!="staff",INDEX('Partner data'!$DG$2:$DH$171,MATCH(#REF!,'Partner data'!$DG$2:$DG$171,0),2))</f>
        <v>0</v>
      </c>
    </row>
    <row r="599" spans="1:19" x14ac:dyDescent="0.25">
      <c r="A599" s="1" t="s">
        <v>304</v>
      </c>
      <c r="B599" s="1" t="s">
        <v>305</v>
      </c>
      <c r="C599" s="13">
        <v>101</v>
      </c>
      <c r="D599" s="13">
        <v>124</v>
      </c>
      <c r="E599" s="1" t="s">
        <v>231</v>
      </c>
      <c r="F599" s="1"/>
      <c r="G599" s="1">
        <v>21000</v>
      </c>
      <c r="H599" s="1">
        <v>0</v>
      </c>
      <c r="I599" s="1">
        <v>0</v>
      </c>
      <c r="J599" s="1">
        <v>3791.44</v>
      </c>
      <c r="K599" s="1">
        <v>0</v>
      </c>
      <c r="L599" s="1">
        <v>3791.44</v>
      </c>
      <c r="M599" s="1">
        <v>3791.44</v>
      </c>
      <c r="N599" s="1">
        <v>18.05</v>
      </c>
      <c r="O599" s="1">
        <v>17208.560000000001</v>
      </c>
      <c r="P599" s="1">
        <v>0</v>
      </c>
      <c r="Q599" t="str">
        <f>INDEX(pARTNER[#All],MATCH(#REF!,pARTNER[[#All],[Value.partnerSummary.id]],0),10)</f>
        <v>Slovenija (SI)</v>
      </c>
      <c r="R599" t="str">
        <f>INDEX('Partner data'!$A$2:$DG$171,MATCH(#REF!,'Partner data'!$DG$2:$DG$171,0),83)</f>
        <v>Soggetto pubblico</v>
      </c>
      <c r="S599" s="86" t="b">
        <f>IF(#REF!="staff",INDEX('Partner data'!$DG$2:$DH$171,MATCH(#REF!,'Partner data'!$DG$2:$DG$171,0),2))</f>
        <v>0</v>
      </c>
    </row>
    <row r="600" spans="1:19" x14ac:dyDescent="0.25">
      <c r="A600" s="1" t="s">
        <v>304</v>
      </c>
      <c r="B600" s="1" t="s">
        <v>305</v>
      </c>
      <c r="C600" s="13">
        <v>101</v>
      </c>
      <c r="D600" s="13">
        <v>124</v>
      </c>
      <c r="E600" s="1" t="s">
        <v>232</v>
      </c>
      <c r="F600" s="1"/>
      <c r="G600" s="1">
        <v>0</v>
      </c>
      <c r="H600" s="1">
        <v>0</v>
      </c>
      <c r="I600" s="1">
        <v>0</v>
      </c>
      <c r="J600" s="1">
        <v>0</v>
      </c>
      <c r="K600" s="1">
        <v>0</v>
      </c>
      <c r="L600" s="1">
        <v>0</v>
      </c>
      <c r="M600" s="1">
        <v>0</v>
      </c>
      <c r="N600" s="1">
        <v>0</v>
      </c>
      <c r="O600" s="1">
        <v>0</v>
      </c>
      <c r="P600" s="1">
        <v>0</v>
      </c>
      <c r="Q600" t="str">
        <f>INDEX(pARTNER[#All],MATCH(#REF!,pARTNER[[#All],[Value.partnerSummary.id]],0),10)</f>
        <v>Slovenija (SI)</v>
      </c>
      <c r="R600" t="str">
        <f>INDEX('Partner data'!$A$2:$DG$171,MATCH(#REF!,'Partner data'!$DG$2:$DG$171,0),83)</f>
        <v>Soggetto pubblico</v>
      </c>
      <c r="S600" s="86" t="b">
        <f>IF(#REF!="staff",INDEX('Partner data'!$DG$2:$DH$171,MATCH(#REF!,'Partner data'!$DG$2:$DG$171,0),2))</f>
        <v>0</v>
      </c>
    </row>
    <row r="601" spans="1:19" x14ac:dyDescent="0.25">
      <c r="A601" s="1" t="s">
        <v>304</v>
      </c>
      <c r="B601" s="1" t="s">
        <v>305</v>
      </c>
      <c r="C601" s="13">
        <v>101</v>
      </c>
      <c r="D601" s="13">
        <v>124</v>
      </c>
      <c r="E601" s="1" t="s">
        <v>233</v>
      </c>
      <c r="F601" s="1"/>
      <c r="G601" s="1">
        <v>122000</v>
      </c>
      <c r="H601" s="1">
        <v>0</v>
      </c>
      <c r="I601" s="1">
        <v>0</v>
      </c>
      <c r="J601" s="1">
        <v>0</v>
      </c>
      <c r="K601" s="1">
        <v>0</v>
      </c>
      <c r="L601" s="1">
        <v>0</v>
      </c>
      <c r="M601" s="1">
        <v>0</v>
      </c>
      <c r="N601" s="1">
        <v>0</v>
      </c>
      <c r="O601" s="1">
        <v>122000</v>
      </c>
      <c r="P601" s="1">
        <v>0</v>
      </c>
      <c r="Q601" t="str">
        <f>INDEX(pARTNER[#All],MATCH(#REF!,pARTNER[[#All],[Value.partnerSummary.id]],0),10)</f>
        <v>Slovenija (SI)</v>
      </c>
      <c r="R601" t="str">
        <f>INDEX('Partner data'!$A$2:$DG$171,MATCH(#REF!,'Partner data'!$DG$2:$DG$171,0),83)</f>
        <v>Soggetto pubblico</v>
      </c>
      <c r="S601" s="86" t="b">
        <f>IF(#REF!="staff",INDEX('Partner data'!$DG$2:$DH$171,MATCH(#REF!,'Partner data'!$DG$2:$DG$171,0),2))</f>
        <v>0</v>
      </c>
    </row>
    <row r="602" spans="1:19" x14ac:dyDescent="0.25">
      <c r="A602" s="1" t="s">
        <v>304</v>
      </c>
      <c r="B602" s="1" t="s">
        <v>305</v>
      </c>
      <c r="C602" s="13">
        <v>101</v>
      </c>
      <c r="D602" s="13">
        <v>124</v>
      </c>
      <c r="E602" s="1" t="s">
        <v>234</v>
      </c>
      <c r="F602" s="1"/>
      <c r="G602" s="1">
        <v>0</v>
      </c>
      <c r="H602" s="1">
        <v>0</v>
      </c>
      <c r="I602" s="1">
        <v>0</v>
      </c>
      <c r="J602" s="1">
        <v>0</v>
      </c>
      <c r="K602" s="1">
        <v>0</v>
      </c>
      <c r="L602" s="1">
        <v>0</v>
      </c>
      <c r="M602" s="1">
        <v>0</v>
      </c>
      <c r="N602" s="1">
        <v>0</v>
      </c>
      <c r="O602" s="1">
        <v>0</v>
      </c>
      <c r="P602" s="1">
        <v>0</v>
      </c>
      <c r="Q602" t="str">
        <f>INDEX(pARTNER[#All],MATCH(#REF!,pARTNER[[#All],[Value.partnerSummary.id]],0),10)</f>
        <v>Slovenija (SI)</v>
      </c>
      <c r="R602" t="str">
        <f>INDEX('Partner data'!$A$2:$DG$171,MATCH(#REF!,'Partner data'!$DG$2:$DG$171,0),83)</f>
        <v>Soggetto pubblico</v>
      </c>
      <c r="S602" s="86" t="b">
        <f>IF(#REF!="staff",INDEX('Partner data'!$DG$2:$DH$171,MATCH(#REF!,'Partner data'!$DG$2:$DG$171,0),2))</f>
        <v>0</v>
      </c>
    </row>
    <row r="603" spans="1:19" x14ac:dyDescent="0.25">
      <c r="A603" s="1" t="s">
        <v>304</v>
      </c>
      <c r="B603" s="1" t="s">
        <v>305</v>
      </c>
      <c r="C603" s="13">
        <v>101</v>
      </c>
      <c r="D603" s="13">
        <v>124</v>
      </c>
      <c r="E603" s="1" t="s">
        <v>235</v>
      </c>
      <c r="F603" s="1"/>
      <c r="G603" s="1">
        <v>9000</v>
      </c>
      <c r="H603" s="1">
        <v>0</v>
      </c>
      <c r="I603" s="1">
        <v>0</v>
      </c>
      <c r="J603" s="1">
        <v>9000</v>
      </c>
      <c r="K603" s="1">
        <v>0</v>
      </c>
      <c r="L603" s="1">
        <v>9000</v>
      </c>
      <c r="M603" s="1">
        <v>9000</v>
      </c>
      <c r="N603" s="1">
        <v>100</v>
      </c>
      <c r="O603" s="1">
        <v>0</v>
      </c>
      <c r="P603" s="1">
        <v>0</v>
      </c>
      <c r="Q603" t="str">
        <f>INDEX(pARTNER[#All],MATCH(#REF!,pARTNER[[#All],[Value.partnerSummary.id]],0),10)</f>
        <v>Slovenija (SI)</v>
      </c>
      <c r="R603" t="str">
        <f>INDEX('Partner data'!$A$2:$DG$171,MATCH(#REF!,'Partner data'!$DG$2:$DG$171,0),83)</f>
        <v>Soggetto pubblico</v>
      </c>
      <c r="S603" s="86" t="b">
        <f>IF(#REF!="staff",INDEX('Partner data'!$DG$2:$DH$171,MATCH(#REF!,'Partner data'!$DG$2:$DG$171,0),2))</f>
        <v>0</v>
      </c>
    </row>
    <row r="604" spans="1:19" x14ac:dyDescent="0.25">
      <c r="A604" s="1" t="s">
        <v>304</v>
      </c>
      <c r="B604" s="1" t="s">
        <v>305</v>
      </c>
      <c r="C604" s="13">
        <v>101</v>
      </c>
      <c r="D604" s="13">
        <v>124</v>
      </c>
      <c r="E604" s="1" t="s">
        <v>236</v>
      </c>
      <c r="F604" s="1"/>
      <c r="G604" s="1">
        <v>0</v>
      </c>
      <c r="H604" s="1">
        <v>0</v>
      </c>
      <c r="I604" s="1">
        <v>0</v>
      </c>
      <c r="J604" s="1">
        <v>0</v>
      </c>
      <c r="K604" s="1">
        <v>0</v>
      </c>
      <c r="L604" s="1">
        <v>0</v>
      </c>
      <c r="M604" s="1">
        <v>0</v>
      </c>
      <c r="N604" s="1">
        <v>0</v>
      </c>
      <c r="O604" s="1">
        <v>0</v>
      </c>
      <c r="P604" s="1">
        <v>0</v>
      </c>
      <c r="Q604" t="str">
        <f>INDEX(pARTNER[#All],MATCH(#REF!,pARTNER[[#All],[Value.partnerSummary.id]],0),10)</f>
        <v>Slovenija (SI)</v>
      </c>
      <c r="R604" t="str">
        <f>INDEX('Partner data'!$A$2:$DG$171,MATCH(#REF!,'Partner data'!$DG$2:$DG$171,0),83)</f>
        <v>Soggetto pubblico</v>
      </c>
      <c r="S604" s="86" t="b">
        <f>IF(#REF!="staff",INDEX('Partner data'!$DG$2:$DH$171,MATCH(#REF!,'Partner data'!$DG$2:$DG$171,0),2))</f>
        <v>0</v>
      </c>
    </row>
    <row r="605" spans="1:19" x14ac:dyDescent="0.25">
      <c r="A605" s="1" t="s">
        <v>304</v>
      </c>
      <c r="B605" s="1" t="s">
        <v>305</v>
      </c>
      <c r="C605" s="13">
        <v>101</v>
      </c>
      <c r="D605" s="13">
        <v>124</v>
      </c>
      <c r="E605" s="1" t="s">
        <v>237</v>
      </c>
      <c r="F605" s="1"/>
      <c r="G605" s="1">
        <v>0</v>
      </c>
      <c r="H605" s="1">
        <v>0</v>
      </c>
      <c r="I605" s="1">
        <v>0</v>
      </c>
      <c r="J605" s="1">
        <v>0</v>
      </c>
      <c r="K605" s="1">
        <v>0</v>
      </c>
      <c r="L605" s="1">
        <v>0</v>
      </c>
      <c r="M605" s="1">
        <v>0</v>
      </c>
      <c r="N605" s="1">
        <v>0</v>
      </c>
      <c r="O605" s="1">
        <v>0</v>
      </c>
      <c r="P605" s="1">
        <v>0</v>
      </c>
      <c r="Q605" t="str">
        <f>INDEX(pARTNER[#All],MATCH(#REF!,pARTNER[[#All],[Value.partnerSummary.id]],0),10)</f>
        <v>Slovenija (SI)</v>
      </c>
      <c r="R605" t="str">
        <f>INDEX('Partner data'!$A$2:$DG$171,MATCH(#REF!,'Partner data'!$DG$2:$DG$171,0),83)</f>
        <v>Soggetto pubblico</v>
      </c>
      <c r="S605" s="86" t="b">
        <f>IF(#REF!="staff",INDEX('Partner data'!$DG$2:$DH$171,MATCH(#REF!,'Partner data'!$DG$2:$DG$171,0),2))</f>
        <v>0</v>
      </c>
    </row>
    <row r="606" spans="1:19" x14ac:dyDescent="0.25">
      <c r="A606" s="1" t="s">
        <v>304</v>
      </c>
      <c r="B606" s="1" t="s">
        <v>305</v>
      </c>
      <c r="C606" s="13">
        <v>101</v>
      </c>
      <c r="D606" s="13">
        <v>124</v>
      </c>
      <c r="E606" s="1" t="s">
        <v>238</v>
      </c>
      <c r="F606" s="1"/>
      <c r="G606" s="1">
        <v>186034</v>
      </c>
      <c r="H606" s="1">
        <v>0</v>
      </c>
      <c r="I606" s="1">
        <v>0</v>
      </c>
      <c r="J606" s="1">
        <v>13693.79</v>
      </c>
      <c r="K606" s="1">
        <v>0</v>
      </c>
      <c r="L606" s="1">
        <v>13693.79</v>
      </c>
      <c r="M606" s="1">
        <v>13693.79</v>
      </c>
      <c r="N606" s="1">
        <v>7.36</v>
      </c>
      <c r="O606" s="1">
        <v>172340.21</v>
      </c>
      <c r="P606" s="1">
        <v>0</v>
      </c>
      <c r="Q606" t="str">
        <f>INDEX(pARTNER[#All],MATCH(#REF!,pARTNER[[#All],[Value.partnerSummary.id]],0),10)</f>
        <v>Slovenija (SI)</v>
      </c>
      <c r="R606" t="str">
        <f>INDEX('Partner data'!$A$2:$DG$171,MATCH(#REF!,'Partner data'!$DG$2:$DG$171,0),83)</f>
        <v>Soggetto pubblico</v>
      </c>
      <c r="S606" s="86" t="b">
        <f>IF(#REF!="staff",INDEX('Partner data'!$DG$2:$DH$171,MATCH(#REF!,'Partner data'!$DG$2:$DG$171,0),2))</f>
        <v>0</v>
      </c>
    </row>
    <row r="607" spans="1:19" x14ac:dyDescent="0.25">
      <c r="A607" t="s">
        <v>304</v>
      </c>
      <c r="B607" t="s">
        <v>306</v>
      </c>
      <c r="C607" s="2">
        <v>105</v>
      </c>
      <c r="D607" s="2">
        <v>330</v>
      </c>
      <c r="E607" t="s">
        <v>228</v>
      </c>
      <c r="G607">
        <v>24161.25</v>
      </c>
      <c r="H607">
        <v>0</v>
      </c>
      <c r="I607">
        <v>0</v>
      </c>
      <c r="J607">
        <v>0</v>
      </c>
      <c r="K607">
        <v>0</v>
      </c>
      <c r="L607">
        <v>0</v>
      </c>
      <c r="M607">
        <v>0</v>
      </c>
      <c r="N607">
        <v>0</v>
      </c>
      <c r="O607">
        <v>24161.25</v>
      </c>
      <c r="P607">
        <v>0</v>
      </c>
      <c r="Q607" t="str">
        <f>INDEX(pARTNER[#All],MATCH(#REF!,pARTNER[[#All],[Value.partnerSummary.id]],0),10)</f>
        <v>Italia (IT)</v>
      </c>
      <c r="R607" t="str">
        <f>INDEX('Partner data'!$A$2:$DG$171,MATCH(#REF!,'Partner data'!$DG$2:$DG$171,0),83)</f>
        <v>Soggetto pubblico</v>
      </c>
      <c r="S607" s="86" t="str">
        <f>IF(#REF!="staff",INDEX('Partner data'!$DG$2:$DH$171,MATCH(#REF!,'Partner data'!$DG$2:$DG$171,0),2))</f>
        <v>COSTO REALE</v>
      </c>
    </row>
    <row r="608" spans="1:19" x14ac:dyDescent="0.25">
      <c r="A608" t="s">
        <v>304</v>
      </c>
      <c r="B608" t="s">
        <v>306</v>
      </c>
      <c r="C608" s="2">
        <v>105</v>
      </c>
      <c r="D608" s="2">
        <v>330</v>
      </c>
      <c r="E608" t="s">
        <v>229</v>
      </c>
      <c r="F608">
        <v>15</v>
      </c>
      <c r="G608">
        <v>3624.18</v>
      </c>
      <c r="H608">
        <v>0</v>
      </c>
      <c r="I608">
        <v>0</v>
      </c>
      <c r="J608">
        <v>0</v>
      </c>
      <c r="K608">
        <v>0</v>
      </c>
      <c r="L608">
        <v>0</v>
      </c>
      <c r="M608">
        <v>0</v>
      </c>
      <c r="N608">
        <v>0</v>
      </c>
      <c r="O608">
        <v>3624.18</v>
      </c>
      <c r="P608">
        <v>0</v>
      </c>
      <c r="Q608" t="str">
        <f>INDEX(pARTNER[#All],MATCH(#REF!,pARTNER[[#All],[Value.partnerSummary.id]],0),10)</f>
        <v>Italia (IT)</v>
      </c>
      <c r="R608" t="str">
        <f>INDEX('Partner data'!$A$2:$DG$171,MATCH(#REF!,'Partner data'!$DG$2:$DG$171,0),83)</f>
        <v>Soggetto pubblico</v>
      </c>
      <c r="S608" s="86" t="b">
        <f>IF(#REF!="staff",INDEX('Partner data'!$DG$2:$DH$171,MATCH(#REF!,'Partner data'!$DG$2:$DG$171,0),2))</f>
        <v>0</v>
      </c>
    </row>
    <row r="609" spans="1:19" x14ac:dyDescent="0.25">
      <c r="A609" t="s">
        <v>304</v>
      </c>
      <c r="B609" t="s">
        <v>306</v>
      </c>
      <c r="C609" s="2">
        <v>105</v>
      </c>
      <c r="D609" s="2">
        <v>330</v>
      </c>
      <c r="E609" t="s">
        <v>230</v>
      </c>
      <c r="F609">
        <v>4</v>
      </c>
      <c r="G609">
        <v>966.45</v>
      </c>
      <c r="H609">
        <v>0</v>
      </c>
      <c r="I609">
        <v>0</v>
      </c>
      <c r="J609">
        <v>0</v>
      </c>
      <c r="K609">
        <v>0</v>
      </c>
      <c r="L609">
        <v>0</v>
      </c>
      <c r="M609">
        <v>0</v>
      </c>
      <c r="N609">
        <v>0</v>
      </c>
      <c r="O609">
        <v>966.45</v>
      </c>
      <c r="P609">
        <v>0</v>
      </c>
      <c r="Q609" t="str">
        <f>INDEX(pARTNER[#All],MATCH(#REF!,pARTNER[[#All],[Value.partnerSummary.id]],0),10)</f>
        <v>Italia (IT)</v>
      </c>
      <c r="R609" t="str">
        <f>INDEX('Partner data'!$A$2:$DG$171,MATCH(#REF!,'Partner data'!$DG$2:$DG$171,0),83)</f>
        <v>Soggetto pubblico</v>
      </c>
      <c r="S609" s="86" t="b">
        <f>IF(#REF!="staff",INDEX('Partner data'!$DG$2:$DH$171,MATCH(#REF!,'Partner data'!$DG$2:$DG$171,0),2))</f>
        <v>0</v>
      </c>
    </row>
    <row r="610" spans="1:19" x14ac:dyDescent="0.25">
      <c r="A610" t="s">
        <v>304</v>
      </c>
      <c r="B610" t="s">
        <v>306</v>
      </c>
      <c r="C610" s="2">
        <v>105</v>
      </c>
      <c r="D610" s="2">
        <v>330</v>
      </c>
      <c r="E610" t="s">
        <v>231</v>
      </c>
      <c r="G610">
        <v>69529</v>
      </c>
      <c r="H610">
        <v>0</v>
      </c>
      <c r="I610">
        <v>0</v>
      </c>
      <c r="J610">
        <v>0</v>
      </c>
      <c r="K610">
        <v>0</v>
      </c>
      <c r="L610">
        <v>0</v>
      </c>
      <c r="M610">
        <v>0</v>
      </c>
      <c r="N610">
        <v>0</v>
      </c>
      <c r="O610">
        <v>69529</v>
      </c>
      <c r="P610">
        <v>0</v>
      </c>
      <c r="Q610" t="str">
        <f>INDEX(pARTNER[#All],MATCH(#REF!,pARTNER[[#All],[Value.partnerSummary.id]],0),10)</f>
        <v>Italia (IT)</v>
      </c>
      <c r="R610" t="str">
        <f>INDEX('Partner data'!$A$2:$DG$171,MATCH(#REF!,'Partner data'!$DG$2:$DG$171,0),83)</f>
        <v>Soggetto pubblico</v>
      </c>
      <c r="S610" s="86" t="b">
        <f>IF(#REF!="staff",INDEX('Partner data'!$DG$2:$DH$171,MATCH(#REF!,'Partner data'!$DG$2:$DG$171,0),2))</f>
        <v>0</v>
      </c>
    </row>
    <row r="611" spans="1:19" x14ac:dyDescent="0.25">
      <c r="A611" t="s">
        <v>304</v>
      </c>
      <c r="B611" t="s">
        <v>306</v>
      </c>
      <c r="C611" s="2">
        <v>105</v>
      </c>
      <c r="D611" s="2">
        <v>330</v>
      </c>
      <c r="E611" t="s">
        <v>232</v>
      </c>
      <c r="G611">
        <v>0</v>
      </c>
      <c r="H611">
        <v>0</v>
      </c>
      <c r="I611">
        <v>0</v>
      </c>
      <c r="J611">
        <v>0</v>
      </c>
      <c r="K611">
        <v>0</v>
      </c>
      <c r="L611">
        <v>0</v>
      </c>
      <c r="M611">
        <v>0</v>
      </c>
      <c r="N611">
        <v>0</v>
      </c>
      <c r="O611">
        <v>0</v>
      </c>
      <c r="P611">
        <v>0</v>
      </c>
      <c r="Q611" t="str">
        <f>INDEX(pARTNER[#All],MATCH(#REF!,pARTNER[[#All],[Value.partnerSummary.id]],0),10)</f>
        <v>Italia (IT)</v>
      </c>
      <c r="R611" t="str">
        <f>INDEX('Partner data'!$A$2:$DG$171,MATCH(#REF!,'Partner data'!$DG$2:$DG$171,0),83)</f>
        <v>Soggetto pubblico</v>
      </c>
      <c r="S611" s="86" t="b">
        <f>IF(#REF!="staff",INDEX('Partner data'!$DG$2:$DH$171,MATCH(#REF!,'Partner data'!$DG$2:$DG$171,0),2))</f>
        <v>0</v>
      </c>
    </row>
    <row r="612" spans="1:19" x14ac:dyDescent="0.25">
      <c r="A612" t="s">
        <v>304</v>
      </c>
      <c r="B612" t="s">
        <v>306</v>
      </c>
      <c r="C612" s="2">
        <v>105</v>
      </c>
      <c r="D612" s="2">
        <v>330</v>
      </c>
      <c r="E612" t="s">
        <v>233</v>
      </c>
      <c r="G612">
        <v>0</v>
      </c>
      <c r="H612">
        <v>0</v>
      </c>
      <c r="I612">
        <v>0</v>
      </c>
      <c r="J612">
        <v>0</v>
      </c>
      <c r="K612">
        <v>0</v>
      </c>
      <c r="L612">
        <v>0</v>
      </c>
      <c r="M612">
        <v>0</v>
      </c>
      <c r="N612">
        <v>0</v>
      </c>
      <c r="O612">
        <v>0</v>
      </c>
      <c r="P612">
        <v>0</v>
      </c>
      <c r="Q612" t="str">
        <f>INDEX(pARTNER[#All],MATCH(#REF!,pARTNER[[#All],[Value.partnerSummary.id]],0),10)</f>
        <v>Italia (IT)</v>
      </c>
      <c r="R612" t="str">
        <f>INDEX('Partner data'!$A$2:$DG$171,MATCH(#REF!,'Partner data'!$DG$2:$DG$171,0),83)</f>
        <v>Soggetto pubblico</v>
      </c>
      <c r="S612" s="86" t="b">
        <f>IF(#REF!="staff",INDEX('Partner data'!$DG$2:$DH$171,MATCH(#REF!,'Partner data'!$DG$2:$DG$171,0),2))</f>
        <v>0</v>
      </c>
    </row>
    <row r="613" spans="1:19" x14ac:dyDescent="0.25">
      <c r="A613" t="s">
        <v>304</v>
      </c>
      <c r="B613" t="s">
        <v>306</v>
      </c>
      <c r="C613" s="2">
        <v>105</v>
      </c>
      <c r="D613" s="2">
        <v>330</v>
      </c>
      <c r="E613" t="s">
        <v>234</v>
      </c>
      <c r="G613">
        <v>0</v>
      </c>
      <c r="H613">
        <v>0</v>
      </c>
      <c r="I613">
        <v>0</v>
      </c>
      <c r="J613">
        <v>0</v>
      </c>
      <c r="K613">
        <v>0</v>
      </c>
      <c r="L613">
        <v>0</v>
      </c>
      <c r="M613">
        <v>0</v>
      </c>
      <c r="N613">
        <v>0</v>
      </c>
      <c r="O613">
        <v>0</v>
      </c>
      <c r="P613">
        <v>0</v>
      </c>
      <c r="Q613" t="str">
        <f>INDEX(pARTNER[#All],MATCH(#REF!,pARTNER[[#All],[Value.partnerSummary.id]],0),10)</f>
        <v>Italia (IT)</v>
      </c>
      <c r="R613" t="str">
        <f>INDEX('Partner data'!$A$2:$DG$171,MATCH(#REF!,'Partner data'!$DG$2:$DG$171,0),83)</f>
        <v>Soggetto pubblico</v>
      </c>
      <c r="S613" s="86" t="b">
        <f>IF(#REF!="staff",INDEX('Partner data'!$DG$2:$DH$171,MATCH(#REF!,'Partner data'!$DG$2:$DG$171,0),2))</f>
        <v>0</v>
      </c>
    </row>
    <row r="614" spans="1:19" x14ac:dyDescent="0.25">
      <c r="A614" t="s">
        <v>304</v>
      </c>
      <c r="B614" t="s">
        <v>306</v>
      </c>
      <c r="C614" s="2">
        <v>105</v>
      </c>
      <c r="D614" s="2">
        <v>330</v>
      </c>
      <c r="E614" t="s">
        <v>235</v>
      </c>
      <c r="G614">
        <v>0</v>
      </c>
      <c r="H614">
        <v>0</v>
      </c>
      <c r="I614">
        <v>0</v>
      </c>
      <c r="J614">
        <v>0</v>
      </c>
      <c r="K614">
        <v>0</v>
      </c>
      <c r="L614">
        <v>0</v>
      </c>
      <c r="M614">
        <v>0</v>
      </c>
      <c r="N614">
        <v>0</v>
      </c>
      <c r="O614">
        <v>0</v>
      </c>
      <c r="P614">
        <v>0</v>
      </c>
      <c r="Q614" t="str">
        <f>INDEX(pARTNER[#All],MATCH(#REF!,pARTNER[[#All],[Value.partnerSummary.id]],0),10)</f>
        <v>Italia (IT)</v>
      </c>
      <c r="R614" t="str">
        <f>INDEX('Partner data'!$A$2:$DG$171,MATCH(#REF!,'Partner data'!$DG$2:$DG$171,0),83)</f>
        <v>Soggetto pubblico</v>
      </c>
      <c r="S614" s="86" t="b">
        <f>IF(#REF!="staff",INDEX('Partner data'!$DG$2:$DH$171,MATCH(#REF!,'Partner data'!$DG$2:$DG$171,0),2))</f>
        <v>0</v>
      </c>
    </row>
    <row r="615" spans="1:19" x14ac:dyDescent="0.25">
      <c r="A615" t="s">
        <v>304</v>
      </c>
      <c r="B615" t="s">
        <v>306</v>
      </c>
      <c r="C615" s="2">
        <v>105</v>
      </c>
      <c r="D615" s="2">
        <v>330</v>
      </c>
      <c r="E615" t="s">
        <v>236</v>
      </c>
      <c r="G615">
        <v>0</v>
      </c>
      <c r="H615">
        <v>0</v>
      </c>
      <c r="I615">
        <v>0</v>
      </c>
      <c r="J615">
        <v>0</v>
      </c>
      <c r="K615">
        <v>0</v>
      </c>
      <c r="L615">
        <v>0</v>
      </c>
      <c r="M615">
        <v>0</v>
      </c>
      <c r="N615">
        <v>0</v>
      </c>
      <c r="O615">
        <v>0</v>
      </c>
      <c r="P615">
        <v>0</v>
      </c>
      <c r="Q615" t="str">
        <f>INDEX(pARTNER[#All],MATCH(#REF!,pARTNER[[#All],[Value.partnerSummary.id]],0),10)</f>
        <v>Italia (IT)</v>
      </c>
      <c r="R615" t="str">
        <f>INDEX('Partner data'!$A$2:$DG$171,MATCH(#REF!,'Partner data'!$DG$2:$DG$171,0),83)</f>
        <v>Soggetto pubblico</v>
      </c>
      <c r="S615" s="86" t="b">
        <f>IF(#REF!="staff",INDEX('Partner data'!$DG$2:$DH$171,MATCH(#REF!,'Partner data'!$DG$2:$DG$171,0),2))</f>
        <v>0</v>
      </c>
    </row>
    <row r="616" spans="1:19" x14ac:dyDescent="0.25">
      <c r="A616" t="s">
        <v>304</v>
      </c>
      <c r="B616" t="s">
        <v>306</v>
      </c>
      <c r="C616" s="2">
        <v>105</v>
      </c>
      <c r="D616" s="2">
        <v>330</v>
      </c>
      <c r="E616" t="s">
        <v>237</v>
      </c>
      <c r="G616">
        <v>0</v>
      </c>
      <c r="H616">
        <v>0</v>
      </c>
      <c r="I616">
        <v>0</v>
      </c>
      <c r="J616">
        <v>0</v>
      </c>
      <c r="K616">
        <v>0</v>
      </c>
      <c r="L616">
        <v>0</v>
      </c>
      <c r="M616">
        <v>0</v>
      </c>
      <c r="N616">
        <v>0</v>
      </c>
      <c r="O616">
        <v>0</v>
      </c>
      <c r="P616">
        <v>0</v>
      </c>
      <c r="Q616" t="str">
        <f>INDEX(pARTNER[#All],MATCH(#REF!,pARTNER[[#All],[Value.partnerSummary.id]],0),10)</f>
        <v>Italia (IT)</v>
      </c>
      <c r="R616" t="str">
        <f>INDEX('Partner data'!$A$2:$DG$171,MATCH(#REF!,'Partner data'!$DG$2:$DG$171,0),83)</f>
        <v>Soggetto pubblico</v>
      </c>
      <c r="S616" s="86" t="b">
        <f>IF(#REF!="staff",INDEX('Partner data'!$DG$2:$DH$171,MATCH(#REF!,'Partner data'!$DG$2:$DG$171,0),2))</f>
        <v>0</v>
      </c>
    </row>
    <row r="617" spans="1:19" x14ac:dyDescent="0.25">
      <c r="A617" t="s">
        <v>304</v>
      </c>
      <c r="B617" t="s">
        <v>306</v>
      </c>
      <c r="C617" s="2">
        <v>105</v>
      </c>
      <c r="D617" s="2">
        <v>330</v>
      </c>
      <c r="E617" t="s">
        <v>238</v>
      </c>
      <c r="G617">
        <v>98280.88</v>
      </c>
      <c r="H617">
        <v>0</v>
      </c>
      <c r="I617">
        <v>0</v>
      </c>
      <c r="J617">
        <v>0</v>
      </c>
      <c r="K617">
        <v>0</v>
      </c>
      <c r="L617">
        <v>0</v>
      </c>
      <c r="M617">
        <v>0</v>
      </c>
      <c r="N617">
        <v>0</v>
      </c>
      <c r="O617">
        <v>98280.88</v>
      </c>
      <c r="P617">
        <v>0</v>
      </c>
      <c r="Q617" t="str">
        <f>INDEX(pARTNER[#All],MATCH(#REF!,pARTNER[[#All],[Value.partnerSummary.id]],0),10)</f>
        <v>Italia (IT)</v>
      </c>
      <c r="R617" t="str">
        <f>INDEX('Partner data'!$A$2:$DG$171,MATCH(#REF!,'Partner data'!$DG$2:$DG$171,0),83)</f>
        <v>Soggetto pubblico</v>
      </c>
      <c r="S617" s="86" t="b">
        <f>IF(#REF!="staff",INDEX('Partner data'!$DG$2:$DH$171,MATCH(#REF!,'Partner data'!$DG$2:$DG$171,0),2))</f>
        <v>0</v>
      </c>
    </row>
    <row r="618" spans="1:19" x14ac:dyDescent="0.25">
      <c r="A618" t="s">
        <v>304</v>
      </c>
      <c r="B618" t="s">
        <v>307</v>
      </c>
      <c r="C618" s="2">
        <v>171</v>
      </c>
      <c r="D618" s="2">
        <v>273</v>
      </c>
      <c r="E618" t="s">
        <v>228</v>
      </c>
      <c r="G618">
        <v>71252.7</v>
      </c>
      <c r="H618">
        <v>0</v>
      </c>
      <c r="I618">
        <v>0</v>
      </c>
      <c r="J618">
        <v>5408.19</v>
      </c>
      <c r="K618">
        <v>0</v>
      </c>
      <c r="L618">
        <v>5408.19</v>
      </c>
      <c r="M618">
        <v>5408.19</v>
      </c>
      <c r="N618">
        <v>7.59</v>
      </c>
      <c r="O618">
        <v>65844.509999999995</v>
      </c>
      <c r="P618">
        <v>0</v>
      </c>
      <c r="Q618" t="str">
        <f>INDEX(pARTNER[#All],MATCH(#REF!,pARTNER[[#All],[Value.partnerSummary.id]],0),10)</f>
        <v>Italia (IT)</v>
      </c>
      <c r="R618" t="str">
        <f>INDEX('Partner data'!$A$2:$DG$171,MATCH(#REF!,'Partner data'!$DG$2:$DG$171,0),83)</f>
        <v>Soggetto privato</v>
      </c>
      <c r="S618" s="86" t="str">
        <f>IF(#REF!="staff",INDEX('Partner data'!$DG$2:$DH$171,MATCH(#REF!,'Partner data'!$DG$2:$DG$171,0),2))</f>
        <v>COSTO REALE</v>
      </c>
    </row>
    <row r="619" spans="1:19" x14ac:dyDescent="0.25">
      <c r="A619" t="s">
        <v>304</v>
      </c>
      <c r="B619" t="s">
        <v>307</v>
      </c>
      <c r="C619" s="2">
        <v>171</v>
      </c>
      <c r="D619" s="2">
        <v>273</v>
      </c>
      <c r="E619" t="s">
        <v>229</v>
      </c>
      <c r="G619">
        <v>0</v>
      </c>
      <c r="H619">
        <v>0</v>
      </c>
      <c r="I619">
        <v>0</v>
      </c>
      <c r="J619">
        <v>0</v>
      </c>
      <c r="K619">
        <v>0</v>
      </c>
      <c r="L619">
        <v>0</v>
      </c>
      <c r="M619">
        <v>0</v>
      </c>
      <c r="N619">
        <v>0</v>
      </c>
      <c r="O619">
        <v>0</v>
      </c>
      <c r="P619">
        <v>0</v>
      </c>
      <c r="Q619" t="str">
        <f>INDEX(pARTNER[#All],MATCH(#REF!,pARTNER[[#All],[Value.partnerSummary.id]],0),10)</f>
        <v>Italia (IT)</v>
      </c>
      <c r="R619" t="str">
        <f>INDEX('Partner data'!$A$2:$DG$171,MATCH(#REF!,'Partner data'!$DG$2:$DG$171,0),83)</f>
        <v>Soggetto privato</v>
      </c>
      <c r="S619" s="86" t="b">
        <f>IF(#REF!="staff",INDEX('Partner data'!$DG$2:$DH$171,MATCH(#REF!,'Partner data'!$DG$2:$DG$171,0),2))</f>
        <v>0</v>
      </c>
    </row>
    <row r="620" spans="1:19" x14ac:dyDescent="0.25">
      <c r="A620" t="s">
        <v>304</v>
      </c>
      <c r="B620" t="s">
        <v>307</v>
      </c>
      <c r="C620" s="2">
        <v>171</v>
      </c>
      <c r="D620" s="2">
        <v>273</v>
      </c>
      <c r="E620" t="s">
        <v>230</v>
      </c>
      <c r="G620">
        <v>0</v>
      </c>
      <c r="H620">
        <v>0</v>
      </c>
      <c r="I620">
        <v>0</v>
      </c>
      <c r="J620">
        <v>0</v>
      </c>
      <c r="K620">
        <v>0</v>
      </c>
      <c r="L620">
        <v>0</v>
      </c>
      <c r="M620">
        <v>0</v>
      </c>
      <c r="N620">
        <v>0</v>
      </c>
      <c r="O620">
        <v>0</v>
      </c>
      <c r="P620">
        <v>0</v>
      </c>
      <c r="Q620" t="str">
        <f>INDEX(pARTNER[#All],MATCH(#REF!,pARTNER[[#All],[Value.partnerSummary.id]],0),10)</f>
        <v>Italia (IT)</v>
      </c>
      <c r="R620" t="str">
        <f>INDEX('Partner data'!$A$2:$DG$171,MATCH(#REF!,'Partner data'!$DG$2:$DG$171,0),83)</f>
        <v>Soggetto privato</v>
      </c>
      <c r="S620" s="86" t="b">
        <f>IF(#REF!="staff",INDEX('Partner data'!$DG$2:$DH$171,MATCH(#REF!,'Partner data'!$DG$2:$DG$171,0),2))</f>
        <v>0</v>
      </c>
    </row>
    <row r="621" spans="1:19" x14ac:dyDescent="0.25">
      <c r="A621" t="s">
        <v>304</v>
      </c>
      <c r="B621" t="s">
        <v>307</v>
      </c>
      <c r="C621" s="2">
        <v>171</v>
      </c>
      <c r="D621" s="2">
        <v>273</v>
      </c>
      <c r="E621" t="s">
        <v>231</v>
      </c>
      <c r="G621">
        <v>0</v>
      </c>
      <c r="H621">
        <v>0</v>
      </c>
      <c r="I621">
        <v>0</v>
      </c>
      <c r="J621">
        <v>0</v>
      </c>
      <c r="K621">
        <v>0</v>
      </c>
      <c r="L621">
        <v>0</v>
      </c>
      <c r="M621">
        <v>0</v>
      </c>
      <c r="N621">
        <v>0</v>
      </c>
      <c r="O621">
        <v>0</v>
      </c>
      <c r="P621">
        <v>0</v>
      </c>
      <c r="Q621" t="str">
        <f>INDEX(pARTNER[#All],MATCH(#REF!,pARTNER[[#All],[Value.partnerSummary.id]],0),10)</f>
        <v>Italia (IT)</v>
      </c>
      <c r="R621" t="str">
        <f>INDEX('Partner data'!$A$2:$DG$171,MATCH(#REF!,'Partner data'!$DG$2:$DG$171,0),83)</f>
        <v>Soggetto privato</v>
      </c>
      <c r="S621" s="86" t="b">
        <f>IF(#REF!="staff",INDEX('Partner data'!$DG$2:$DH$171,MATCH(#REF!,'Partner data'!$DG$2:$DG$171,0),2))</f>
        <v>0</v>
      </c>
    </row>
    <row r="622" spans="1:19" x14ac:dyDescent="0.25">
      <c r="A622" t="s">
        <v>304</v>
      </c>
      <c r="B622" t="s">
        <v>307</v>
      </c>
      <c r="C622" s="2">
        <v>171</v>
      </c>
      <c r="D622" s="2">
        <v>273</v>
      </c>
      <c r="E622" t="s">
        <v>232</v>
      </c>
      <c r="G622">
        <v>0</v>
      </c>
      <c r="H622">
        <v>0</v>
      </c>
      <c r="I622">
        <v>0</v>
      </c>
      <c r="J622">
        <v>0</v>
      </c>
      <c r="K622">
        <v>0</v>
      </c>
      <c r="L622">
        <v>0</v>
      </c>
      <c r="M622">
        <v>0</v>
      </c>
      <c r="N622">
        <v>0</v>
      </c>
      <c r="O622">
        <v>0</v>
      </c>
      <c r="P622">
        <v>0</v>
      </c>
      <c r="Q622" t="str">
        <f>INDEX(pARTNER[#All],MATCH(#REF!,pARTNER[[#All],[Value.partnerSummary.id]],0),10)</f>
        <v>Italia (IT)</v>
      </c>
      <c r="R622" t="str">
        <f>INDEX('Partner data'!$A$2:$DG$171,MATCH(#REF!,'Partner data'!$DG$2:$DG$171,0),83)</f>
        <v>Soggetto privato</v>
      </c>
      <c r="S622" s="86" t="b">
        <f>IF(#REF!="staff",INDEX('Partner data'!$DG$2:$DH$171,MATCH(#REF!,'Partner data'!$DG$2:$DG$171,0),2))</f>
        <v>0</v>
      </c>
    </row>
    <row r="623" spans="1:19" x14ac:dyDescent="0.25">
      <c r="A623" t="s">
        <v>304</v>
      </c>
      <c r="B623" t="s">
        <v>307</v>
      </c>
      <c r="C623" s="2">
        <v>171</v>
      </c>
      <c r="D623" s="2">
        <v>273</v>
      </c>
      <c r="E623" t="s">
        <v>233</v>
      </c>
      <c r="G623">
        <v>0</v>
      </c>
      <c r="H623">
        <v>0</v>
      </c>
      <c r="I623">
        <v>0</v>
      </c>
      <c r="J623">
        <v>0</v>
      </c>
      <c r="K623">
        <v>0</v>
      </c>
      <c r="L623">
        <v>0</v>
      </c>
      <c r="M623">
        <v>0</v>
      </c>
      <c r="N623">
        <v>0</v>
      </c>
      <c r="O623">
        <v>0</v>
      </c>
      <c r="P623">
        <v>0</v>
      </c>
      <c r="Q623" t="str">
        <f>INDEX(pARTNER[#All],MATCH(#REF!,pARTNER[[#All],[Value.partnerSummary.id]],0),10)</f>
        <v>Italia (IT)</v>
      </c>
      <c r="R623" t="str">
        <f>INDEX('Partner data'!$A$2:$DG$171,MATCH(#REF!,'Partner data'!$DG$2:$DG$171,0),83)</f>
        <v>Soggetto privato</v>
      </c>
      <c r="S623" s="86" t="b">
        <f>IF(#REF!="staff",INDEX('Partner data'!$DG$2:$DH$171,MATCH(#REF!,'Partner data'!$DG$2:$DG$171,0),2))</f>
        <v>0</v>
      </c>
    </row>
    <row r="624" spans="1:19" x14ac:dyDescent="0.25">
      <c r="A624" t="s">
        <v>304</v>
      </c>
      <c r="B624" t="s">
        <v>307</v>
      </c>
      <c r="C624" s="2">
        <v>171</v>
      </c>
      <c r="D624" s="2">
        <v>273</v>
      </c>
      <c r="E624" t="s">
        <v>234</v>
      </c>
      <c r="F624">
        <v>40</v>
      </c>
      <c r="G624">
        <v>28501.08</v>
      </c>
      <c r="H624">
        <v>0</v>
      </c>
      <c r="I624">
        <v>0</v>
      </c>
      <c r="J624">
        <v>2163.27</v>
      </c>
      <c r="K624">
        <v>0</v>
      </c>
      <c r="L624">
        <v>2163.27</v>
      </c>
      <c r="M624">
        <v>2163.27</v>
      </c>
      <c r="N624">
        <v>7.59</v>
      </c>
      <c r="O624">
        <v>26337.81</v>
      </c>
      <c r="P624">
        <v>0</v>
      </c>
      <c r="Q624" t="str">
        <f>INDEX(pARTNER[#All],MATCH(#REF!,pARTNER[[#All],[Value.partnerSummary.id]],0),10)</f>
        <v>Italia (IT)</v>
      </c>
      <c r="R624" t="str">
        <f>INDEX('Partner data'!$A$2:$DG$171,MATCH(#REF!,'Partner data'!$DG$2:$DG$171,0),83)</f>
        <v>Soggetto privato</v>
      </c>
      <c r="S624" s="86" t="b">
        <f>IF(#REF!="staff",INDEX('Partner data'!$DG$2:$DH$171,MATCH(#REF!,'Partner data'!$DG$2:$DG$171,0),2))</f>
        <v>0</v>
      </c>
    </row>
    <row r="625" spans="1:19" x14ac:dyDescent="0.25">
      <c r="A625" t="s">
        <v>304</v>
      </c>
      <c r="B625" t="s">
        <v>307</v>
      </c>
      <c r="C625" s="2">
        <v>171</v>
      </c>
      <c r="D625" s="2">
        <v>273</v>
      </c>
      <c r="E625" t="s">
        <v>235</v>
      </c>
      <c r="G625">
        <v>0</v>
      </c>
      <c r="H625">
        <v>0</v>
      </c>
      <c r="I625">
        <v>0</v>
      </c>
      <c r="J625">
        <v>0</v>
      </c>
      <c r="K625">
        <v>0</v>
      </c>
      <c r="L625">
        <v>0</v>
      </c>
      <c r="M625">
        <v>0</v>
      </c>
      <c r="N625">
        <v>0</v>
      </c>
      <c r="O625">
        <v>0</v>
      </c>
      <c r="P625">
        <v>0</v>
      </c>
      <c r="Q625" t="str">
        <f>INDEX(pARTNER[#All],MATCH(#REF!,pARTNER[[#All],[Value.partnerSummary.id]],0),10)</f>
        <v>Italia (IT)</v>
      </c>
      <c r="R625" t="str">
        <f>INDEX('Partner data'!$A$2:$DG$171,MATCH(#REF!,'Partner data'!$DG$2:$DG$171,0),83)</f>
        <v>Soggetto privato</v>
      </c>
      <c r="S625" s="86" t="b">
        <f>IF(#REF!="staff",INDEX('Partner data'!$DG$2:$DH$171,MATCH(#REF!,'Partner data'!$DG$2:$DG$171,0),2))</f>
        <v>0</v>
      </c>
    </row>
    <row r="626" spans="1:19" x14ac:dyDescent="0.25">
      <c r="A626" t="s">
        <v>304</v>
      </c>
      <c r="B626" t="s">
        <v>307</v>
      </c>
      <c r="C626" s="2">
        <v>171</v>
      </c>
      <c r="D626" s="2">
        <v>273</v>
      </c>
      <c r="E626" t="s">
        <v>236</v>
      </c>
      <c r="G626">
        <v>0</v>
      </c>
      <c r="H626">
        <v>0</v>
      </c>
      <c r="I626">
        <v>0</v>
      </c>
      <c r="J626">
        <v>0</v>
      </c>
      <c r="K626">
        <v>0</v>
      </c>
      <c r="L626">
        <v>0</v>
      </c>
      <c r="M626">
        <v>0</v>
      </c>
      <c r="N626">
        <v>0</v>
      </c>
      <c r="O626">
        <v>0</v>
      </c>
      <c r="P626">
        <v>0</v>
      </c>
      <c r="Q626" t="str">
        <f>INDEX(pARTNER[#All],MATCH(#REF!,pARTNER[[#All],[Value.partnerSummary.id]],0),10)</f>
        <v>Italia (IT)</v>
      </c>
      <c r="R626" t="str">
        <f>INDEX('Partner data'!$A$2:$DG$171,MATCH(#REF!,'Partner data'!$DG$2:$DG$171,0),83)</f>
        <v>Soggetto privato</v>
      </c>
      <c r="S626" s="86" t="b">
        <f>IF(#REF!="staff",INDEX('Partner data'!$DG$2:$DH$171,MATCH(#REF!,'Partner data'!$DG$2:$DG$171,0),2))</f>
        <v>0</v>
      </c>
    </row>
    <row r="627" spans="1:19" x14ac:dyDescent="0.25">
      <c r="A627" t="s">
        <v>304</v>
      </c>
      <c r="B627" t="s">
        <v>307</v>
      </c>
      <c r="C627" s="2">
        <v>171</v>
      </c>
      <c r="D627" s="2">
        <v>273</v>
      </c>
      <c r="E627" t="s">
        <v>237</v>
      </c>
      <c r="G627">
        <v>0</v>
      </c>
      <c r="H627">
        <v>0</v>
      </c>
      <c r="I627">
        <v>0</v>
      </c>
      <c r="J627">
        <v>0</v>
      </c>
      <c r="K627">
        <v>0</v>
      </c>
      <c r="L627">
        <v>0</v>
      </c>
      <c r="M627">
        <v>0</v>
      </c>
      <c r="N627">
        <v>0</v>
      </c>
      <c r="O627">
        <v>0</v>
      </c>
      <c r="P627">
        <v>0</v>
      </c>
      <c r="Q627" t="str">
        <f>INDEX(pARTNER[#All],MATCH(#REF!,pARTNER[[#All],[Value.partnerSummary.id]],0),10)</f>
        <v>Italia (IT)</v>
      </c>
      <c r="R627" t="str">
        <f>INDEX('Partner data'!$A$2:$DG$171,MATCH(#REF!,'Partner data'!$DG$2:$DG$171,0),83)</f>
        <v>Soggetto privato</v>
      </c>
      <c r="S627" s="86" t="b">
        <f>IF(#REF!="staff",INDEX('Partner data'!$DG$2:$DH$171,MATCH(#REF!,'Partner data'!$DG$2:$DG$171,0),2))</f>
        <v>0</v>
      </c>
    </row>
    <row r="628" spans="1:19" x14ac:dyDescent="0.25">
      <c r="A628" t="s">
        <v>304</v>
      </c>
      <c r="B628" t="s">
        <v>307</v>
      </c>
      <c r="C628" s="2">
        <v>171</v>
      </c>
      <c r="D628" s="2">
        <v>273</v>
      </c>
      <c r="E628" t="s">
        <v>238</v>
      </c>
      <c r="G628">
        <v>99753.78</v>
      </c>
      <c r="H628">
        <v>0</v>
      </c>
      <c r="I628">
        <v>0</v>
      </c>
      <c r="J628">
        <v>7571.46</v>
      </c>
      <c r="K628">
        <v>0</v>
      </c>
      <c r="L628">
        <v>7571.46</v>
      </c>
      <c r="M628">
        <v>7571.46</v>
      </c>
      <c r="N628">
        <v>7.59</v>
      </c>
      <c r="O628">
        <v>92182.32</v>
      </c>
      <c r="P628">
        <v>0</v>
      </c>
      <c r="Q628" t="str">
        <f>INDEX(pARTNER[#All],MATCH(#REF!,pARTNER[[#All],[Value.partnerSummary.id]],0),10)</f>
        <v>Italia (IT)</v>
      </c>
      <c r="R628" t="str">
        <f>INDEX('Partner data'!$A$2:$DG$171,MATCH(#REF!,'Partner data'!$DG$2:$DG$171,0),83)</f>
        <v>Soggetto privato</v>
      </c>
      <c r="S628" s="86" t="b">
        <f>IF(#REF!="staff",INDEX('Partner data'!$DG$2:$DH$171,MATCH(#REF!,'Partner data'!$DG$2:$DG$171,0),2))</f>
        <v>0</v>
      </c>
    </row>
    <row r="629" spans="1:19" x14ac:dyDescent="0.25">
      <c r="A629" t="s">
        <v>304</v>
      </c>
      <c r="B629" t="s">
        <v>308</v>
      </c>
      <c r="C629" s="2">
        <v>114</v>
      </c>
      <c r="D629" s="2">
        <v>194</v>
      </c>
      <c r="E629" t="s">
        <v>228</v>
      </c>
      <c r="F629">
        <v>20</v>
      </c>
      <c r="G629">
        <v>16155.03</v>
      </c>
      <c r="H629">
        <v>0</v>
      </c>
      <c r="I629">
        <v>0</v>
      </c>
      <c r="J629">
        <v>0</v>
      </c>
      <c r="K629">
        <v>0</v>
      </c>
      <c r="L629">
        <v>0</v>
      </c>
      <c r="M629">
        <v>0</v>
      </c>
      <c r="N629">
        <v>0</v>
      </c>
      <c r="O629">
        <v>16155.03</v>
      </c>
      <c r="P629">
        <v>0</v>
      </c>
      <c r="Q629" t="str">
        <f>INDEX(pARTNER[#All],MATCH(#REF!,pARTNER[[#All],[Value.partnerSummary.id]],0),10)</f>
        <v>Italia (IT)</v>
      </c>
      <c r="R629" t="str">
        <f>INDEX('Partner data'!$A$2:$DG$171,MATCH(#REF!,'Partner data'!$DG$2:$DG$171,0),83)</f>
        <v>Soggetto pubblico</v>
      </c>
      <c r="S629" s="86" t="str">
        <f>IF(#REF!="staff",INDEX('Partner data'!$DG$2:$DH$171,MATCH(#REF!,'Partner data'!$DG$2:$DG$171,0),2))</f>
        <v>Tasso Forfettario 20%</v>
      </c>
    </row>
    <row r="630" spans="1:19" x14ac:dyDescent="0.25">
      <c r="A630" t="s">
        <v>304</v>
      </c>
      <c r="B630" t="s">
        <v>308</v>
      </c>
      <c r="C630" s="2">
        <v>114</v>
      </c>
      <c r="D630" s="2">
        <v>194</v>
      </c>
      <c r="E630" t="s">
        <v>229</v>
      </c>
      <c r="F630">
        <v>15</v>
      </c>
      <c r="G630">
        <v>2423.25</v>
      </c>
      <c r="H630">
        <v>0</v>
      </c>
      <c r="I630">
        <v>0</v>
      </c>
      <c r="J630">
        <v>0</v>
      </c>
      <c r="K630">
        <v>0</v>
      </c>
      <c r="L630">
        <v>0</v>
      </c>
      <c r="M630">
        <v>0</v>
      </c>
      <c r="N630">
        <v>0</v>
      </c>
      <c r="O630">
        <v>2423.25</v>
      </c>
      <c r="P630">
        <v>0</v>
      </c>
      <c r="Q630" t="str">
        <f>INDEX(pARTNER[#All],MATCH(#REF!,pARTNER[[#All],[Value.partnerSummary.id]],0),10)</f>
        <v>Italia (IT)</v>
      </c>
      <c r="R630" t="str">
        <f>INDEX('Partner data'!$A$2:$DG$171,MATCH(#REF!,'Partner data'!$DG$2:$DG$171,0),83)</f>
        <v>Soggetto pubblico</v>
      </c>
      <c r="S630" s="86" t="b">
        <f>IF(#REF!="staff",INDEX('Partner data'!$DG$2:$DH$171,MATCH(#REF!,'Partner data'!$DG$2:$DG$171,0),2))</f>
        <v>0</v>
      </c>
    </row>
    <row r="631" spans="1:19" x14ac:dyDescent="0.25">
      <c r="A631" t="s">
        <v>304</v>
      </c>
      <c r="B631" t="s">
        <v>308</v>
      </c>
      <c r="C631" s="2">
        <v>114</v>
      </c>
      <c r="D631" s="2">
        <v>194</v>
      </c>
      <c r="E631" t="s">
        <v>230</v>
      </c>
      <c r="F631">
        <v>4</v>
      </c>
      <c r="G631">
        <v>646.20000000000005</v>
      </c>
      <c r="H631">
        <v>0</v>
      </c>
      <c r="I631">
        <v>0</v>
      </c>
      <c r="J631">
        <v>0</v>
      </c>
      <c r="K631">
        <v>0</v>
      </c>
      <c r="L631">
        <v>0</v>
      </c>
      <c r="M631">
        <v>0</v>
      </c>
      <c r="N631">
        <v>0</v>
      </c>
      <c r="O631">
        <v>646.20000000000005</v>
      </c>
      <c r="P631">
        <v>0</v>
      </c>
      <c r="Q631" t="str">
        <f>INDEX(pARTNER[#All],MATCH(#REF!,pARTNER[[#All],[Value.partnerSummary.id]],0),10)</f>
        <v>Italia (IT)</v>
      </c>
      <c r="R631" t="str">
        <f>INDEX('Partner data'!$A$2:$DG$171,MATCH(#REF!,'Partner data'!$DG$2:$DG$171,0),83)</f>
        <v>Soggetto pubblico</v>
      </c>
      <c r="S631" s="86" t="b">
        <f>IF(#REF!="staff",INDEX('Partner data'!$DG$2:$DH$171,MATCH(#REF!,'Partner data'!$DG$2:$DG$171,0),2))</f>
        <v>0</v>
      </c>
    </row>
    <row r="632" spans="1:19" x14ac:dyDescent="0.25">
      <c r="A632" t="s">
        <v>304</v>
      </c>
      <c r="B632" t="s">
        <v>308</v>
      </c>
      <c r="C632" s="2">
        <v>114</v>
      </c>
      <c r="D632" s="2">
        <v>194</v>
      </c>
      <c r="E632" t="s">
        <v>231</v>
      </c>
      <c r="G632">
        <v>80775.16</v>
      </c>
      <c r="H632">
        <v>0</v>
      </c>
      <c r="I632">
        <v>0</v>
      </c>
      <c r="J632">
        <v>0</v>
      </c>
      <c r="K632">
        <v>0</v>
      </c>
      <c r="L632">
        <v>0</v>
      </c>
      <c r="M632">
        <v>0</v>
      </c>
      <c r="N632">
        <v>0</v>
      </c>
      <c r="O632">
        <v>80775.16</v>
      </c>
      <c r="P632">
        <v>0</v>
      </c>
      <c r="Q632" t="str">
        <f>INDEX(pARTNER[#All],MATCH(#REF!,pARTNER[[#All],[Value.partnerSummary.id]],0),10)</f>
        <v>Italia (IT)</v>
      </c>
      <c r="R632" t="str">
        <f>INDEX('Partner data'!$A$2:$DG$171,MATCH(#REF!,'Partner data'!$DG$2:$DG$171,0),83)</f>
        <v>Soggetto pubblico</v>
      </c>
      <c r="S632" s="86" t="b">
        <f>IF(#REF!="staff",INDEX('Partner data'!$DG$2:$DH$171,MATCH(#REF!,'Partner data'!$DG$2:$DG$171,0),2))</f>
        <v>0</v>
      </c>
    </row>
    <row r="633" spans="1:19" x14ac:dyDescent="0.25">
      <c r="A633" t="s">
        <v>304</v>
      </c>
      <c r="B633" t="s">
        <v>308</v>
      </c>
      <c r="C633" s="2">
        <v>114</v>
      </c>
      <c r="D633" s="2">
        <v>194</v>
      </c>
      <c r="E633" t="s">
        <v>232</v>
      </c>
      <c r="G633">
        <v>0</v>
      </c>
      <c r="H633">
        <v>0</v>
      </c>
      <c r="I633">
        <v>0</v>
      </c>
      <c r="J633">
        <v>0</v>
      </c>
      <c r="K633">
        <v>0</v>
      </c>
      <c r="L633">
        <v>0</v>
      </c>
      <c r="M633">
        <v>0</v>
      </c>
      <c r="N633">
        <v>0</v>
      </c>
      <c r="O633">
        <v>0</v>
      </c>
      <c r="P633">
        <v>0</v>
      </c>
      <c r="Q633" t="str">
        <f>INDEX(pARTNER[#All],MATCH(#REF!,pARTNER[[#All],[Value.partnerSummary.id]],0),10)</f>
        <v>Italia (IT)</v>
      </c>
      <c r="R633" t="str">
        <f>INDEX('Partner data'!$A$2:$DG$171,MATCH(#REF!,'Partner data'!$DG$2:$DG$171,0),83)</f>
        <v>Soggetto pubblico</v>
      </c>
      <c r="S633" s="86" t="b">
        <f>IF(#REF!="staff",INDEX('Partner data'!$DG$2:$DH$171,MATCH(#REF!,'Partner data'!$DG$2:$DG$171,0),2))</f>
        <v>0</v>
      </c>
    </row>
    <row r="634" spans="1:19" x14ac:dyDescent="0.25">
      <c r="A634" t="s">
        <v>304</v>
      </c>
      <c r="B634" t="s">
        <v>308</v>
      </c>
      <c r="C634" s="2">
        <v>114</v>
      </c>
      <c r="D634" s="2">
        <v>194</v>
      </c>
      <c r="E634" t="s">
        <v>233</v>
      </c>
      <c r="G634">
        <v>0</v>
      </c>
      <c r="H634">
        <v>0</v>
      </c>
      <c r="I634">
        <v>0</v>
      </c>
      <c r="J634">
        <v>0</v>
      </c>
      <c r="K634">
        <v>0</v>
      </c>
      <c r="L634">
        <v>0</v>
      </c>
      <c r="M634">
        <v>0</v>
      </c>
      <c r="N634">
        <v>0</v>
      </c>
      <c r="O634">
        <v>0</v>
      </c>
      <c r="P634">
        <v>0</v>
      </c>
      <c r="Q634" t="str">
        <f>INDEX(pARTNER[#All],MATCH(#REF!,pARTNER[[#All],[Value.partnerSummary.id]],0),10)</f>
        <v>Italia (IT)</v>
      </c>
      <c r="R634" t="str">
        <f>INDEX('Partner data'!$A$2:$DG$171,MATCH(#REF!,'Partner data'!$DG$2:$DG$171,0),83)</f>
        <v>Soggetto pubblico</v>
      </c>
      <c r="S634" s="86" t="b">
        <f>IF(#REF!="staff",INDEX('Partner data'!$DG$2:$DH$171,MATCH(#REF!,'Partner data'!$DG$2:$DG$171,0),2))</f>
        <v>0</v>
      </c>
    </row>
    <row r="635" spans="1:19" x14ac:dyDescent="0.25">
      <c r="A635" t="s">
        <v>304</v>
      </c>
      <c r="B635" t="s">
        <v>308</v>
      </c>
      <c r="C635" s="2">
        <v>114</v>
      </c>
      <c r="D635" s="2">
        <v>194</v>
      </c>
      <c r="E635" t="s">
        <v>234</v>
      </c>
      <c r="G635">
        <v>0</v>
      </c>
      <c r="H635">
        <v>0</v>
      </c>
      <c r="I635">
        <v>0</v>
      </c>
      <c r="J635">
        <v>0</v>
      </c>
      <c r="K635">
        <v>0</v>
      </c>
      <c r="L635">
        <v>0</v>
      </c>
      <c r="M635">
        <v>0</v>
      </c>
      <c r="N635">
        <v>0</v>
      </c>
      <c r="O635">
        <v>0</v>
      </c>
      <c r="P635">
        <v>0</v>
      </c>
      <c r="Q635" t="str">
        <f>INDEX(pARTNER[#All],MATCH(#REF!,pARTNER[[#All],[Value.partnerSummary.id]],0),10)</f>
        <v>Italia (IT)</v>
      </c>
      <c r="R635" t="str">
        <f>INDEX('Partner data'!$A$2:$DG$171,MATCH(#REF!,'Partner data'!$DG$2:$DG$171,0),83)</f>
        <v>Soggetto pubblico</v>
      </c>
      <c r="S635" s="86" t="b">
        <f>IF(#REF!="staff",INDEX('Partner data'!$DG$2:$DH$171,MATCH(#REF!,'Partner data'!$DG$2:$DG$171,0),2))</f>
        <v>0</v>
      </c>
    </row>
    <row r="636" spans="1:19" x14ac:dyDescent="0.25">
      <c r="A636" t="s">
        <v>304</v>
      </c>
      <c r="B636" t="s">
        <v>308</v>
      </c>
      <c r="C636" s="2">
        <v>114</v>
      </c>
      <c r="D636" s="2">
        <v>194</v>
      </c>
      <c r="E636" t="s">
        <v>235</v>
      </c>
      <c r="G636">
        <v>0</v>
      </c>
      <c r="H636">
        <v>0</v>
      </c>
      <c r="I636">
        <v>0</v>
      </c>
      <c r="J636">
        <v>0</v>
      </c>
      <c r="K636">
        <v>0</v>
      </c>
      <c r="L636">
        <v>0</v>
      </c>
      <c r="M636">
        <v>0</v>
      </c>
      <c r="N636">
        <v>0</v>
      </c>
      <c r="O636">
        <v>0</v>
      </c>
      <c r="P636">
        <v>0</v>
      </c>
      <c r="Q636" t="str">
        <f>INDEX(pARTNER[#All],MATCH(#REF!,pARTNER[[#All],[Value.partnerSummary.id]],0),10)</f>
        <v>Italia (IT)</v>
      </c>
      <c r="R636" t="str">
        <f>INDEX('Partner data'!$A$2:$DG$171,MATCH(#REF!,'Partner data'!$DG$2:$DG$171,0),83)</f>
        <v>Soggetto pubblico</v>
      </c>
      <c r="S636" s="86" t="b">
        <f>IF(#REF!="staff",INDEX('Partner data'!$DG$2:$DH$171,MATCH(#REF!,'Partner data'!$DG$2:$DG$171,0),2))</f>
        <v>0</v>
      </c>
    </row>
    <row r="637" spans="1:19" x14ac:dyDescent="0.25">
      <c r="A637" t="s">
        <v>304</v>
      </c>
      <c r="B637" t="s">
        <v>308</v>
      </c>
      <c r="C637" s="2">
        <v>114</v>
      </c>
      <c r="D637" s="2">
        <v>194</v>
      </c>
      <c r="E637" t="s">
        <v>236</v>
      </c>
      <c r="G637">
        <v>0</v>
      </c>
      <c r="H637">
        <v>0</v>
      </c>
      <c r="I637">
        <v>0</v>
      </c>
      <c r="J637">
        <v>0</v>
      </c>
      <c r="K637">
        <v>0</v>
      </c>
      <c r="L637">
        <v>0</v>
      </c>
      <c r="M637">
        <v>0</v>
      </c>
      <c r="N637">
        <v>0</v>
      </c>
      <c r="O637">
        <v>0</v>
      </c>
      <c r="P637">
        <v>0</v>
      </c>
      <c r="Q637" t="str">
        <f>INDEX(pARTNER[#All],MATCH(#REF!,pARTNER[[#All],[Value.partnerSummary.id]],0),10)</f>
        <v>Italia (IT)</v>
      </c>
      <c r="R637" t="str">
        <f>INDEX('Partner data'!$A$2:$DG$171,MATCH(#REF!,'Partner data'!$DG$2:$DG$171,0),83)</f>
        <v>Soggetto pubblico</v>
      </c>
      <c r="S637" s="86" t="b">
        <f>IF(#REF!="staff",INDEX('Partner data'!$DG$2:$DH$171,MATCH(#REF!,'Partner data'!$DG$2:$DG$171,0),2))</f>
        <v>0</v>
      </c>
    </row>
    <row r="638" spans="1:19" x14ac:dyDescent="0.25">
      <c r="A638" t="s">
        <v>304</v>
      </c>
      <c r="B638" t="s">
        <v>308</v>
      </c>
      <c r="C638" s="2">
        <v>114</v>
      </c>
      <c r="D638" s="2">
        <v>194</v>
      </c>
      <c r="E638" t="s">
        <v>237</v>
      </c>
      <c r="G638">
        <v>0</v>
      </c>
      <c r="H638">
        <v>0</v>
      </c>
      <c r="I638">
        <v>0</v>
      </c>
      <c r="J638">
        <v>0</v>
      </c>
      <c r="K638">
        <v>0</v>
      </c>
      <c r="L638">
        <v>0</v>
      </c>
      <c r="M638">
        <v>0</v>
      </c>
      <c r="N638">
        <v>0</v>
      </c>
      <c r="O638">
        <v>0</v>
      </c>
      <c r="P638">
        <v>0</v>
      </c>
      <c r="Q638" t="str">
        <f>INDEX(pARTNER[#All],MATCH(#REF!,pARTNER[[#All],[Value.partnerSummary.id]],0),10)</f>
        <v>Italia (IT)</v>
      </c>
      <c r="R638" t="str">
        <f>INDEX('Partner data'!$A$2:$DG$171,MATCH(#REF!,'Partner data'!$DG$2:$DG$171,0),83)</f>
        <v>Soggetto pubblico</v>
      </c>
      <c r="S638" s="86" t="b">
        <f>IF(#REF!="staff",INDEX('Partner data'!$DG$2:$DH$171,MATCH(#REF!,'Partner data'!$DG$2:$DG$171,0),2))</f>
        <v>0</v>
      </c>
    </row>
    <row r="639" spans="1:19" x14ac:dyDescent="0.25">
      <c r="A639" t="s">
        <v>304</v>
      </c>
      <c r="B639" t="s">
        <v>308</v>
      </c>
      <c r="C639" s="2">
        <v>114</v>
      </c>
      <c r="D639" s="2">
        <v>194</v>
      </c>
      <c r="E639" t="s">
        <v>238</v>
      </c>
      <c r="G639">
        <v>99999.64</v>
      </c>
      <c r="H639">
        <v>0</v>
      </c>
      <c r="I639">
        <v>0</v>
      </c>
      <c r="J639">
        <v>0</v>
      </c>
      <c r="K639">
        <v>0</v>
      </c>
      <c r="L639">
        <v>0</v>
      </c>
      <c r="M639">
        <v>0</v>
      </c>
      <c r="N639">
        <v>0</v>
      </c>
      <c r="O639">
        <v>99999.64</v>
      </c>
      <c r="P639">
        <v>0</v>
      </c>
      <c r="Q639" t="str">
        <f>INDEX(pARTNER[#All],MATCH(#REF!,pARTNER[[#All],[Value.partnerSummary.id]],0),10)</f>
        <v>Italia (IT)</v>
      </c>
      <c r="R639" t="str">
        <f>INDEX('Partner data'!$A$2:$DG$171,MATCH(#REF!,'Partner data'!$DG$2:$DG$171,0),83)</f>
        <v>Soggetto pubblico</v>
      </c>
      <c r="S639" s="86" t="b">
        <f>IF(#REF!="staff",INDEX('Partner data'!$DG$2:$DH$171,MATCH(#REF!,'Partner data'!$DG$2:$DG$171,0),2))</f>
        <v>0</v>
      </c>
    </row>
    <row r="640" spans="1:19" x14ac:dyDescent="0.25">
      <c r="A640" t="s">
        <v>304</v>
      </c>
      <c r="B640" t="s">
        <v>309</v>
      </c>
      <c r="C640" s="2">
        <v>103</v>
      </c>
      <c r="D640" s="2">
        <v>231</v>
      </c>
      <c r="E640" t="s">
        <v>228</v>
      </c>
      <c r="G640">
        <v>97077.96</v>
      </c>
      <c r="H640">
        <v>0</v>
      </c>
      <c r="I640">
        <v>0</v>
      </c>
      <c r="J640">
        <v>18033.900000000001</v>
      </c>
      <c r="K640">
        <v>0</v>
      </c>
      <c r="L640">
        <v>17227.87</v>
      </c>
      <c r="M640">
        <v>18033.900000000001</v>
      </c>
      <c r="N640">
        <v>18.579999999999998</v>
      </c>
      <c r="O640">
        <v>79044.06</v>
      </c>
      <c r="P640">
        <v>0</v>
      </c>
      <c r="Q640" t="str">
        <f>INDEX(pARTNER[#All],MATCH(#REF!,pARTNER[[#All],[Value.partnerSummary.id]],0),10)</f>
        <v>Slovenija (SI)</v>
      </c>
      <c r="R640" t="str">
        <f>INDEX('Partner data'!$A$2:$DG$171,MATCH(#REF!,'Partner data'!$DG$2:$DG$171,0),83)</f>
        <v>Soggetto pubblico</v>
      </c>
      <c r="S640" s="86" t="str">
        <f>IF(#REF!="staff",INDEX('Partner data'!$DG$2:$DH$171,MATCH(#REF!,'Partner data'!$DG$2:$DG$171,0),2))</f>
        <v>COSTO REALE</v>
      </c>
    </row>
    <row r="641" spans="1:19" x14ac:dyDescent="0.25">
      <c r="A641" t="s">
        <v>304</v>
      </c>
      <c r="B641" t="s">
        <v>309</v>
      </c>
      <c r="C641" s="2">
        <v>103</v>
      </c>
      <c r="D641" s="2">
        <v>231</v>
      </c>
      <c r="E641" t="s">
        <v>229</v>
      </c>
      <c r="G641">
        <v>0</v>
      </c>
      <c r="H641">
        <v>0</v>
      </c>
      <c r="I641">
        <v>0</v>
      </c>
      <c r="J641">
        <v>0</v>
      </c>
      <c r="K641">
        <v>0</v>
      </c>
      <c r="L641">
        <v>0</v>
      </c>
      <c r="M641">
        <v>0</v>
      </c>
      <c r="N641">
        <v>0</v>
      </c>
      <c r="O641">
        <v>0</v>
      </c>
      <c r="P641">
        <v>0</v>
      </c>
      <c r="Q641" t="str">
        <f>INDEX(pARTNER[#All],MATCH(#REF!,pARTNER[[#All],[Value.partnerSummary.id]],0),10)</f>
        <v>Slovenija (SI)</v>
      </c>
      <c r="R641" t="str">
        <f>INDEX('Partner data'!$A$2:$DG$171,MATCH(#REF!,'Partner data'!$DG$2:$DG$171,0),83)</f>
        <v>Soggetto pubblico</v>
      </c>
      <c r="S641" s="86" t="b">
        <f>IF(#REF!="staff",INDEX('Partner data'!$DG$2:$DH$171,MATCH(#REF!,'Partner data'!$DG$2:$DG$171,0),2))</f>
        <v>0</v>
      </c>
    </row>
    <row r="642" spans="1:19" x14ac:dyDescent="0.25">
      <c r="A642" t="s">
        <v>304</v>
      </c>
      <c r="B642" t="s">
        <v>309</v>
      </c>
      <c r="C642" s="2">
        <v>103</v>
      </c>
      <c r="D642" s="2">
        <v>231</v>
      </c>
      <c r="E642" t="s">
        <v>230</v>
      </c>
      <c r="G642">
        <v>0</v>
      </c>
      <c r="H642">
        <v>0</v>
      </c>
      <c r="I642">
        <v>0</v>
      </c>
      <c r="J642">
        <v>0</v>
      </c>
      <c r="K642">
        <v>0</v>
      </c>
      <c r="L642">
        <v>0</v>
      </c>
      <c r="M642">
        <v>0</v>
      </c>
      <c r="N642">
        <v>0</v>
      </c>
      <c r="O642">
        <v>0</v>
      </c>
      <c r="P642">
        <v>0</v>
      </c>
      <c r="Q642" t="str">
        <f>INDEX(pARTNER[#All],MATCH(#REF!,pARTNER[[#All],[Value.partnerSummary.id]],0),10)</f>
        <v>Slovenija (SI)</v>
      </c>
      <c r="R642" t="str">
        <f>INDEX('Partner data'!$A$2:$DG$171,MATCH(#REF!,'Partner data'!$DG$2:$DG$171,0),83)</f>
        <v>Soggetto pubblico</v>
      </c>
      <c r="S642" s="86" t="b">
        <f>IF(#REF!="staff",INDEX('Partner data'!$DG$2:$DH$171,MATCH(#REF!,'Partner data'!$DG$2:$DG$171,0),2))</f>
        <v>0</v>
      </c>
    </row>
    <row r="643" spans="1:19" x14ac:dyDescent="0.25">
      <c r="A643" t="s">
        <v>304</v>
      </c>
      <c r="B643" t="s">
        <v>309</v>
      </c>
      <c r="C643" s="2">
        <v>103</v>
      </c>
      <c r="D643" s="2">
        <v>231</v>
      </c>
      <c r="E643" t="s">
        <v>231</v>
      </c>
      <c r="G643">
        <v>0</v>
      </c>
      <c r="H643">
        <v>0</v>
      </c>
      <c r="I643">
        <v>0</v>
      </c>
      <c r="J643">
        <v>0</v>
      </c>
      <c r="K643">
        <v>0</v>
      </c>
      <c r="L643">
        <v>0</v>
      </c>
      <c r="M643">
        <v>0</v>
      </c>
      <c r="N643">
        <v>0</v>
      </c>
      <c r="O643">
        <v>0</v>
      </c>
      <c r="P643">
        <v>0</v>
      </c>
      <c r="Q643" t="str">
        <f>INDEX(pARTNER[#All],MATCH(#REF!,pARTNER[[#All],[Value.partnerSummary.id]],0),10)</f>
        <v>Slovenija (SI)</v>
      </c>
      <c r="R643" t="str">
        <f>INDEX('Partner data'!$A$2:$DG$171,MATCH(#REF!,'Partner data'!$DG$2:$DG$171,0),83)</f>
        <v>Soggetto pubblico</v>
      </c>
      <c r="S643" s="86" t="b">
        <f>IF(#REF!="staff",INDEX('Partner data'!$DG$2:$DH$171,MATCH(#REF!,'Partner data'!$DG$2:$DG$171,0),2))</f>
        <v>0</v>
      </c>
    </row>
    <row r="644" spans="1:19" x14ac:dyDescent="0.25">
      <c r="A644" t="s">
        <v>304</v>
      </c>
      <c r="B644" t="s">
        <v>309</v>
      </c>
      <c r="C644" s="2">
        <v>103</v>
      </c>
      <c r="D644" s="2">
        <v>231</v>
      </c>
      <c r="E644" t="s">
        <v>232</v>
      </c>
      <c r="G644">
        <v>0</v>
      </c>
      <c r="H644">
        <v>0</v>
      </c>
      <c r="I644">
        <v>0</v>
      </c>
      <c r="J644">
        <v>0</v>
      </c>
      <c r="K644">
        <v>0</v>
      </c>
      <c r="L644">
        <v>0</v>
      </c>
      <c r="M644">
        <v>0</v>
      </c>
      <c r="N644">
        <v>0</v>
      </c>
      <c r="O644">
        <v>0</v>
      </c>
      <c r="P644">
        <v>0</v>
      </c>
      <c r="Q644" t="str">
        <f>INDEX(pARTNER[#All],MATCH(#REF!,pARTNER[[#All],[Value.partnerSummary.id]],0),10)</f>
        <v>Slovenija (SI)</v>
      </c>
      <c r="R644" t="str">
        <f>INDEX('Partner data'!$A$2:$DG$171,MATCH(#REF!,'Partner data'!$DG$2:$DG$171,0),83)</f>
        <v>Soggetto pubblico</v>
      </c>
      <c r="S644" s="86" t="b">
        <f>IF(#REF!="staff",INDEX('Partner data'!$DG$2:$DH$171,MATCH(#REF!,'Partner data'!$DG$2:$DG$171,0),2))</f>
        <v>0</v>
      </c>
    </row>
    <row r="645" spans="1:19" x14ac:dyDescent="0.25">
      <c r="A645" t="s">
        <v>304</v>
      </c>
      <c r="B645" t="s">
        <v>309</v>
      </c>
      <c r="C645" s="2">
        <v>103</v>
      </c>
      <c r="D645" s="2">
        <v>231</v>
      </c>
      <c r="E645" t="s">
        <v>233</v>
      </c>
      <c r="G645">
        <v>0</v>
      </c>
      <c r="H645">
        <v>0</v>
      </c>
      <c r="I645">
        <v>0</v>
      </c>
      <c r="J645">
        <v>0</v>
      </c>
      <c r="K645">
        <v>0</v>
      </c>
      <c r="L645">
        <v>0</v>
      </c>
      <c r="M645">
        <v>0</v>
      </c>
      <c r="N645">
        <v>0</v>
      </c>
      <c r="O645">
        <v>0</v>
      </c>
      <c r="P645">
        <v>0</v>
      </c>
      <c r="Q645" t="str">
        <f>INDEX(pARTNER[#All],MATCH(#REF!,pARTNER[[#All],[Value.partnerSummary.id]],0),10)</f>
        <v>Slovenija (SI)</v>
      </c>
      <c r="R645" t="str">
        <f>INDEX('Partner data'!$A$2:$DG$171,MATCH(#REF!,'Partner data'!$DG$2:$DG$171,0),83)</f>
        <v>Soggetto pubblico</v>
      </c>
      <c r="S645" s="86" t="b">
        <f>IF(#REF!="staff",INDEX('Partner data'!$DG$2:$DH$171,MATCH(#REF!,'Partner data'!$DG$2:$DG$171,0),2))</f>
        <v>0</v>
      </c>
    </row>
    <row r="646" spans="1:19" x14ac:dyDescent="0.25">
      <c r="A646" t="s">
        <v>304</v>
      </c>
      <c r="B646" t="s">
        <v>309</v>
      </c>
      <c r="C646" s="2">
        <v>103</v>
      </c>
      <c r="D646" s="2">
        <v>231</v>
      </c>
      <c r="E646" t="s">
        <v>234</v>
      </c>
      <c r="F646">
        <v>40</v>
      </c>
      <c r="G646">
        <v>38831.18</v>
      </c>
      <c r="H646">
        <v>0</v>
      </c>
      <c r="I646">
        <v>0</v>
      </c>
      <c r="J646">
        <v>7213.56</v>
      </c>
      <c r="K646">
        <v>0</v>
      </c>
      <c r="L646">
        <v>6891.14</v>
      </c>
      <c r="M646">
        <v>7213.56</v>
      </c>
      <c r="N646">
        <v>18.579999999999998</v>
      </c>
      <c r="O646">
        <v>31617.62</v>
      </c>
      <c r="P646">
        <v>0</v>
      </c>
      <c r="Q646" t="str">
        <f>INDEX(pARTNER[#All],MATCH(#REF!,pARTNER[[#All],[Value.partnerSummary.id]],0),10)</f>
        <v>Slovenija (SI)</v>
      </c>
      <c r="R646" t="str">
        <f>INDEX('Partner data'!$A$2:$DG$171,MATCH(#REF!,'Partner data'!$DG$2:$DG$171,0),83)</f>
        <v>Soggetto pubblico</v>
      </c>
      <c r="S646" s="86" t="b">
        <f>IF(#REF!="staff",INDEX('Partner data'!$DG$2:$DH$171,MATCH(#REF!,'Partner data'!$DG$2:$DG$171,0),2))</f>
        <v>0</v>
      </c>
    </row>
    <row r="647" spans="1:19" x14ac:dyDescent="0.25">
      <c r="A647" t="s">
        <v>304</v>
      </c>
      <c r="B647" t="s">
        <v>309</v>
      </c>
      <c r="C647" s="2">
        <v>103</v>
      </c>
      <c r="D647" s="2">
        <v>231</v>
      </c>
      <c r="E647" t="s">
        <v>235</v>
      </c>
      <c r="G647">
        <v>0</v>
      </c>
      <c r="H647">
        <v>0</v>
      </c>
      <c r="I647">
        <v>0</v>
      </c>
      <c r="J647">
        <v>0</v>
      </c>
      <c r="K647">
        <v>0</v>
      </c>
      <c r="L647">
        <v>0</v>
      </c>
      <c r="M647">
        <v>0</v>
      </c>
      <c r="N647">
        <v>0</v>
      </c>
      <c r="O647">
        <v>0</v>
      </c>
      <c r="P647">
        <v>0</v>
      </c>
      <c r="Q647" t="str">
        <f>INDEX(pARTNER[#All],MATCH(#REF!,pARTNER[[#All],[Value.partnerSummary.id]],0),10)</f>
        <v>Slovenija (SI)</v>
      </c>
      <c r="R647" t="str">
        <f>INDEX('Partner data'!$A$2:$DG$171,MATCH(#REF!,'Partner data'!$DG$2:$DG$171,0),83)</f>
        <v>Soggetto pubblico</v>
      </c>
      <c r="S647" s="86" t="b">
        <f>IF(#REF!="staff",INDEX('Partner data'!$DG$2:$DH$171,MATCH(#REF!,'Partner data'!$DG$2:$DG$171,0),2))</f>
        <v>0</v>
      </c>
    </row>
    <row r="648" spans="1:19" x14ac:dyDescent="0.25">
      <c r="A648" t="s">
        <v>304</v>
      </c>
      <c r="B648" t="s">
        <v>309</v>
      </c>
      <c r="C648" s="2">
        <v>103</v>
      </c>
      <c r="D648" s="2">
        <v>231</v>
      </c>
      <c r="E648" t="s">
        <v>236</v>
      </c>
      <c r="G648">
        <v>0</v>
      </c>
      <c r="H648">
        <v>0</v>
      </c>
      <c r="I648">
        <v>0</v>
      </c>
      <c r="J648">
        <v>0</v>
      </c>
      <c r="K648">
        <v>0</v>
      </c>
      <c r="L648">
        <v>0</v>
      </c>
      <c r="M648">
        <v>0</v>
      </c>
      <c r="N648">
        <v>0</v>
      </c>
      <c r="O648">
        <v>0</v>
      </c>
      <c r="P648">
        <v>0</v>
      </c>
      <c r="Q648" t="str">
        <f>INDEX(pARTNER[#All],MATCH(#REF!,pARTNER[[#All],[Value.partnerSummary.id]],0),10)</f>
        <v>Slovenija (SI)</v>
      </c>
      <c r="R648" t="str">
        <f>INDEX('Partner data'!$A$2:$DG$171,MATCH(#REF!,'Partner data'!$DG$2:$DG$171,0),83)</f>
        <v>Soggetto pubblico</v>
      </c>
      <c r="S648" s="86" t="b">
        <f>IF(#REF!="staff",INDEX('Partner data'!$DG$2:$DH$171,MATCH(#REF!,'Partner data'!$DG$2:$DG$171,0),2))</f>
        <v>0</v>
      </c>
    </row>
    <row r="649" spans="1:19" x14ac:dyDescent="0.25">
      <c r="A649" t="s">
        <v>304</v>
      </c>
      <c r="B649" t="s">
        <v>309</v>
      </c>
      <c r="C649" s="2">
        <v>103</v>
      </c>
      <c r="D649" s="2">
        <v>231</v>
      </c>
      <c r="E649" t="s">
        <v>237</v>
      </c>
      <c r="G649">
        <v>0</v>
      </c>
      <c r="H649">
        <v>0</v>
      </c>
      <c r="I649">
        <v>0</v>
      </c>
      <c r="J649">
        <v>0</v>
      </c>
      <c r="K649">
        <v>0</v>
      </c>
      <c r="L649">
        <v>0</v>
      </c>
      <c r="M649">
        <v>0</v>
      </c>
      <c r="N649">
        <v>0</v>
      </c>
      <c r="O649">
        <v>0</v>
      </c>
      <c r="P649">
        <v>0</v>
      </c>
      <c r="Q649" t="str">
        <f>INDEX(pARTNER[#All],MATCH(#REF!,pARTNER[[#All],[Value.partnerSummary.id]],0),10)</f>
        <v>Slovenija (SI)</v>
      </c>
      <c r="R649" t="str">
        <f>INDEX('Partner data'!$A$2:$DG$171,MATCH(#REF!,'Partner data'!$DG$2:$DG$171,0),83)</f>
        <v>Soggetto pubblico</v>
      </c>
      <c r="S649" s="86" t="b">
        <f>IF(#REF!="staff",INDEX('Partner data'!$DG$2:$DH$171,MATCH(#REF!,'Partner data'!$DG$2:$DG$171,0),2))</f>
        <v>0</v>
      </c>
    </row>
    <row r="650" spans="1:19" x14ac:dyDescent="0.25">
      <c r="A650" t="s">
        <v>304</v>
      </c>
      <c r="B650" t="s">
        <v>309</v>
      </c>
      <c r="C650" s="2">
        <v>103</v>
      </c>
      <c r="D650" s="2">
        <v>231</v>
      </c>
      <c r="E650" t="s">
        <v>238</v>
      </c>
      <c r="G650">
        <v>135909.14000000001</v>
      </c>
      <c r="H650">
        <v>0</v>
      </c>
      <c r="I650">
        <v>0</v>
      </c>
      <c r="J650">
        <v>25247.46</v>
      </c>
      <c r="K650">
        <v>0</v>
      </c>
      <c r="L650">
        <v>24119.01</v>
      </c>
      <c r="M650">
        <v>25247.46</v>
      </c>
      <c r="N650">
        <v>18.579999999999998</v>
      </c>
      <c r="O650">
        <v>110661.68</v>
      </c>
      <c r="P650">
        <v>0</v>
      </c>
      <c r="Q650" t="str">
        <f>INDEX(pARTNER[#All],MATCH(#REF!,pARTNER[[#All],[Value.partnerSummary.id]],0),10)</f>
        <v>Slovenija (SI)</v>
      </c>
      <c r="R650" t="str">
        <f>INDEX('Partner data'!$A$2:$DG$171,MATCH(#REF!,'Partner data'!$DG$2:$DG$171,0),83)</f>
        <v>Soggetto pubblico</v>
      </c>
      <c r="S650" s="86" t="b">
        <f>IF(#REF!="staff",INDEX('Partner data'!$DG$2:$DH$171,MATCH(#REF!,'Partner data'!$DG$2:$DG$171,0),2))</f>
        <v>0</v>
      </c>
    </row>
    <row r="651" spans="1:19" x14ac:dyDescent="0.25">
      <c r="A651" t="s">
        <v>346</v>
      </c>
      <c r="B651" t="s">
        <v>347</v>
      </c>
      <c r="C651" s="2">
        <v>293</v>
      </c>
      <c r="D651" s="2">
        <v>296</v>
      </c>
      <c r="E651" t="s">
        <v>228</v>
      </c>
      <c r="F651">
        <v>20</v>
      </c>
      <c r="G651">
        <v>23000</v>
      </c>
      <c r="H651">
        <v>0</v>
      </c>
      <c r="I651">
        <v>0</v>
      </c>
      <c r="J651">
        <v>195</v>
      </c>
      <c r="K651">
        <v>0</v>
      </c>
      <c r="L651">
        <v>195</v>
      </c>
      <c r="M651">
        <v>195</v>
      </c>
      <c r="N651">
        <v>0.85</v>
      </c>
      <c r="O651">
        <v>22805</v>
      </c>
      <c r="P651">
        <v>0</v>
      </c>
      <c r="Q651" t="str">
        <f>INDEX(pARTNER[#All],MATCH(#REF!,pARTNER[[#All],[Value.partnerSummary.id]],0),10)</f>
        <v>Italia (IT)</v>
      </c>
      <c r="R651" t="str">
        <f>INDEX('Partner data'!$A$2:$DG$171,MATCH(#REF!,'Partner data'!$DG$2:$DG$171,0),83)</f>
        <v>Soggetto pubblico</v>
      </c>
      <c r="S651" s="86" t="str">
        <f>IF(#REF!="staff",INDEX('Partner data'!$DG$2:$DH$171,MATCH(#REF!,'Partner data'!$DG$2:$DG$171,0),2))</f>
        <v>Tasso Forfettario 20%</v>
      </c>
    </row>
    <row r="652" spans="1:19" x14ac:dyDescent="0.25">
      <c r="A652" t="s">
        <v>346</v>
      </c>
      <c r="B652" t="s">
        <v>347</v>
      </c>
      <c r="C652" s="2">
        <v>293</v>
      </c>
      <c r="D652" s="2">
        <v>296</v>
      </c>
      <c r="E652" t="s">
        <v>229</v>
      </c>
      <c r="F652">
        <v>15</v>
      </c>
      <c r="G652">
        <v>3450</v>
      </c>
      <c r="H652">
        <v>0</v>
      </c>
      <c r="I652">
        <v>0</v>
      </c>
      <c r="J652">
        <v>29.25</v>
      </c>
      <c r="K652">
        <v>0</v>
      </c>
      <c r="L652">
        <v>29.25</v>
      </c>
      <c r="M652">
        <v>29.25</v>
      </c>
      <c r="N652">
        <v>0.85</v>
      </c>
      <c r="O652">
        <v>3420.75</v>
      </c>
      <c r="P652">
        <v>0</v>
      </c>
      <c r="Q652" t="str">
        <f>INDEX(pARTNER[#All],MATCH(#REF!,pARTNER[[#All],[Value.partnerSummary.id]],0),10)</f>
        <v>Italia (IT)</v>
      </c>
      <c r="R652" t="str">
        <f>INDEX('Partner data'!$A$2:$DG$171,MATCH(#REF!,'Partner data'!$DG$2:$DG$171,0),83)</f>
        <v>Soggetto pubblico</v>
      </c>
      <c r="S652" s="86" t="b">
        <f>IF(#REF!="staff",INDEX('Partner data'!$DG$2:$DH$171,MATCH(#REF!,'Partner data'!$DG$2:$DG$171,0),2))</f>
        <v>0</v>
      </c>
    </row>
    <row r="653" spans="1:19" x14ac:dyDescent="0.25">
      <c r="A653" t="s">
        <v>346</v>
      </c>
      <c r="B653" t="s">
        <v>347</v>
      </c>
      <c r="C653" s="2">
        <v>293</v>
      </c>
      <c r="D653" s="2">
        <v>296</v>
      </c>
      <c r="E653" t="s">
        <v>230</v>
      </c>
      <c r="F653">
        <v>4</v>
      </c>
      <c r="G653">
        <v>920</v>
      </c>
      <c r="H653">
        <v>0</v>
      </c>
      <c r="I653">
        <v>0</v>
      </c>
      <c r="J653">
        <v>7.8</v>
      </c>
      <c r="K653">
        <v>0</v>
      </c>
      <c r="L653">
        <v>7.8</v>
      </c>
      <c r="M653">
        <v>7.8</v>
      </c>
      <c r="N653">
        <v>0.85</v>
      </c>
      <c r="O653">
        <v>912.2</v>
      </c>
      <c r="P653">
        <v>0</v>
      </c>
      <c r="Q653" t="str">
        <f>INDEX(pARTNER[#All],MATCH(#REF!,pARTNER[[#All],[Value.partnerSummary.id]],0),10)</f>
        <v>Italia (IT)</v>
      </c>
      <c r="R653" t="str">
        <f>INDEX('Partner data'!$A$2:$DG$171,MATCH(#REF!,'Partner data'!$DG$2:$DG$171,0),83)</f>
        <v>Soggetto pubblico</v>
      </c>
      <c r="S653" s="86" t="b">
        <f>IF(#REF!="staff",INDEX('Partner data'!$DG$2:$DH$171,MATCH(#REF!,'Partner data'!$DG$2:$DG$171,0),2))</f>
        <v>0</v>
      </c>
    </row>
    <row r="654" spans="1:19" x14ac:dyDescent="0.25">
      <c r="A654" t="s">
        <v>346</v>
      </c>
      <c r="B654" t="s">
        <v>347</v>
      </c>
      <c r="C654" s="2">
        <v>293</v>
      </c>
      <c r="D654" s="2">
        <v>296</v>
      </c>
      <c r="E654" t="s">
        <v>231</v>
      </c>
      <c r="G654">
        <v>25000</v>
      </c>
      <c r="H654">
        <v>0</v>
      </c>
      <c r="I654">
        <v>0</v>
      </c>
      <c r="J654">
        <v>975</v>
      </c>
      <c r="K654">
        <v>0</v>
      </c>
      <c r="L654">
        <v>975</v>
      </c>
      <c r="M654">
        <v>975</v>
      </c>
      <c r="N654">
        <v>3.9</v>
      </c>
      <c r="O654">
        <v>24025</v>
      </c>
      <c r="P654">
        <v>0</v>
      </c>
      <c r="Q654" t="str">
        <f>INDEX(pARTNER[#All],MATCH(#REF!,pARTNER[[#All],[Value.partnerSummary.id]],0),10)</f>
        <v>Italia (IT)</v>
      </c>
      <c r="R654" t="str">
        <f>INDEX('Partner data'!$A$2:$DG$171,MATCH(#REF!,'Partner data'!$DG$2:$DG$171,0),83)</f>
        <v>Soggetto pubblico</v>
      </c>
      <c r="S654" s="86" t="b">
        <f>IF(#REF!="staff",INDEX('Partner data'!$DG$2:$DH$171,MATCH(#REF!,'Partner data'!$DG$2:$DG$171,0),2))</f>
        <v>0</v>
      </c>
    </row>
    <row r="655" spans="1:19" x14ac:dyDescent="0.25">
      <c r="A655" t="s">
        <v>346</v>
      </c>
      <c r="B655" t="s">
        <v>347</v>
      </c>
      <c r="C655" s="2">
        <v>293</v>
      </c>
      <c r="D655" s="2">
        <v>296</v>
      </c>
      <c r="E655" t="s">
        <v>232</v>
      </c>
      <c r="G655">
        <v>90000</v>
      </c>
      <c r="H655">
        <v>0</v>
      </c>
      <c r="I655">
        <v>0</v>
      </c>
      <c r="J655">
        <v>0</v>
      </c>
      <c r="K655">
        <v>0</v>
      </c>
      <c r="L655">
        <v>0</v>
      </c>
      <c r="M655">
        <v>0</v>
      </c>
      <c r="N655">
        <v>0</v>
      </c>
      <c r="O655">
        <v>90000</v>
      </c>
      <c r="P655">
        <v>0</v>
      </c>
      <c r="Q655" t="str">
        <f>INDEX(pARTNER[#All],MATCH(#REF!,pARTNER[[#All],[Value.partnerSummary.id]],0),10)</f>
        <v>Italia (IT)</v>
      </c>
      <c r="R655" t="str">
        <f>INDEX('Partner data'!$A$2:$DG$171,MATCH(#REF!,'Partner data'!$DG$2:$DG$171,0),83)</f>
        <v>Soggetto pubblico</v>
      </c>
      <c r="S655" s="86" t="b">
        <f>IF(#REF!="staff",INDEX('Partner data'!$DG$2:$DH$171,MATCH(#REF!,'Partner data'!$DG$2:$DG$171,0),2))</f>
        <v>0</v>
      </c>
    </row>
    <row r="656" spans="1:19" x14ac:dyDescent="0.25">
      <c r="A656" t="s">
        <v>346</v>
      </c>
      <c r="B656" t="s">
        <v>347</v>
      </c>
      <c r="C656" s="2">
        <v>293</v>
      </c>
      <c r="D656" s="2">
        <v>296</v>
      </c>
      <c r="E656" t="s">
        <v>233</v>
      </c>
      <c r="G656">
        <v>0</v>
      </c>
      <c r="H656">
        <v>0</v>
      </c>
      <c r="I656">
        <v>0</v>
      </c>
      <c r="J656">
        <v>0</v>
      </c>
      <c r="K656">
        <v>0</v>
      </c>
      <c r="L656">
        <v>0</v>
      </c>
      <c r="M656">
        <v>0</v>
      </c>
      <c r="N656">
        <v>0</v>
      </c>
      <c r="O656">
        <v>0</v>
      </c>
      <c r="P656">
        <v>0</v>
      </c>
      <c r="Q656" t="str">
        <f>INDEX(pARTNER[#All],MATCH(#REF!,pARTNER[[#All],[Value.partnerSummary.id]],0),10)</f>
        <v>Italia (IT)</v>
      </c>
      <c r="R656" t="str">
        <f>INDEX('Partner data'!$A$2:$DG$171,MATCH(#REF!,'Partner data'!$DG$2:$DG$171,0),83)</f>
        <v>Soggetto pubblico</v>
      </c>
      <c r="S656" s="86" t="b">
        <f>IF(#REF!="staff",INDEX('Partner data'!$DG$2:$DH$171,MATCH(#REF!,'Partner data'!$DG$2:$DG$171,0),2))</f>
        <v>0</v>
      </c>
    </row>
    <row r="657" spans="1:19" x14ac:dyDescent="0.25">
      <c r="A657" t="s">
        <v>346</v>
      </c>
      <c r="B657" t="s">
        <v>347</v>
      </c>
      <c r="C657" s="2">
        <v>293</v>
      </c>
      <c r="D657" s="2">
        <v>296</v>
      </c>
      <c r="E657" t="s">
        <v>234</v>
      </c>
      <c r="G657">
        <v>0</v>
      </c>
      <c r="H657">
        <v>0</v>
      </c>
      <c r="I657">
        <v>0</v>
      </c>
      <c r="J657">
        <v>0</v>
      </c>
      <c r="K657">
        <v>0</v>
      </c>
      <c r="L657">
        <v>0</v>
      </c>
      <c r="M657">
        <v>0</v>
      </c>
      <c r="N657">
        <v>0</v>
      </c>
      <c r="O657">
        <v>0</v>
      </c>
      <c r="P657">
        <v>0</v>
      </c>
      <c r="Q657" t="str">
        <f>INDEX(pARTNER[#All],MATCH(#REF!,pARTNER[[#All],[Value.partnerSummary.id]],0),10)</f>
        <v>Italia (IT)</v>
      </c>
      <c r="R657" t="str">
        <f>INDEX('Partner data'!$A$2:$DG$171,MATCH(#REF!,'Partner data'!$DG$2:$DG$171,0),83)</f>
        <v>Soggetto pubblico</v>
      </c>
      <c r="S657" s="86" t="b">
        <f>IF(#REF!="staff",INDEX('Partner data'!$DG$2:$DH$171,MATCH(#REF!,'Partner data'!$DG$2:$DG$171,0),2))</f>
        <v>0</v>
      </c>
    </row>
    <row r="658" spans="1:19" x14ac:dyDescent="0.25">
      <c r="A658" t="s">
        <v>346</v>
      </c>
      <c r="B658" t="s">
        <v>347</v>
      </c>
      <c r="C658" s="2">
        <v>293</v>
      </c>
      <c r="D658" s="2">
        <v>296</v>
      </c>
      <c r="E658" t="s">
        <v>235</v>
      </c>
      <c r="G658">
        <v>0</v>
      </c>
      <c r="H658">
        <v>0</v>
      </c>
      <c r="I658">
        <v>0</v>
      </c>
      <c r="J658">
        <v>0</v>
      </c>
      <c r="K658">
        <v>0</v>
      </c>
      <c r="L658">
        <v>0</v>
      </c>
      <c r="M658">
        <v>0</v>
      </c>
      <c r="N658">
        <v>0</v>
      </c>
      <c r="O658">
        <v>0</v>
      </c>
      <c r="P658">
        <v>0</v>
      </c>
      <c r="Q658" t="str">
        <f>INDEX(pARTNER[#All],MATCH(#REF!,pARTNER[[#All],[Value.partnerSummary.id]],0),10)</f>
        <v>Italia (IT)</v>
      </c>
      <c r="R658" t="str">
        <f>INDEX('Partner data'!$A$2:$DG$171,MATCH(#REF!,'Partner data'!$DG$2:$DG$171,0),83)</f>
        <v>Soggetto pubblico</v>
      </c>
      <c r="S658" s="86" t="b">
        <f>IF(#REF!="staff",INDEX('Partner data'!$DG$2:$DH$171,MATCH(#REF!,'Partner data'!$DG$2:$DG$171,0),2))</f>
        <v>0</v>
      </c>
    </row>
    <row r="659" spans="1:19" x14ac:dyDescent="0.25">
      <c r="A659" t="s">
        <v>346</v>
      </c>
      <c r="B659" t="s">
        <v>347</v>
      </c>
      <c r="C659" s="2">
        <v>293</v>
      </c>
      <c r="D659" s="2">
        <v>296</v>
      </c>
      <c r="E659" t="s">
        <v>236</v>
      </c>
      <c r="G659">
        <v>0</v>
      </c>
      <c r="H659">
        <v>0</v>
      </c>
      <c r="I659">
        <v>0</v>
      </c>
      <c r="J659">
        <v>0</v>
      </c>
      <c r="K659">
        <v>0</v>
      </c>
      <c r="L659">
        <v>0</v>
      </c>
      <c r="M659">
        <v>0</v>
      </c>
      <c r="N659">
        <v>0</v>
      </c>
      <c r="O659">
        <v>0</v>
      </c>
      <c r="P659">
        <v>0</v>
      </c>
      <c r="Q659" t="str">
        <f>INDEX(pARTNER[#All],MATCH(#REF!,pARTNER[[#All],[Value.partnerSummary.id]],0),10)</f>
        <v>Italia (IT)</v>
      </c>
      <c r="R659" t="str">
        <f>INDEX('Partner data'!$A$2:$DG$171,MATCH(#REF!,'Partner data'!$DG$2:$DG$171,0),83)</f>
        <v>Soggetto pubblico</v>
      </c>
      <c r="S659" s="86" t="b">
        <f>IF(#REF!="staff",INDEX('Partner data'!$DG$2:$DH$171,MATCH(#REF!,'Partner data'!$DG$2:$DG$171,0),2))</f>
        <v>0</v>
      </c>
    </row>
    <row r="660" spans="1:19" x14ac:dyDescent="0.25">
      <c r="A660" t="s">
        <v>346</v>
      </c>
      <c r="B660" t="s">
        <v>347</v>
      </c>
      <c r="C660" s="2">
        <v>293</v>
      </c>
      <c r="D660" s="2">
        <v>296</v>
      </c>
      <c r="E660" t="s">
        <v>237</v>
      </c>
      <c r="G660">
        <v>0</v>
      </c>
      <c r="H660">
        <v>0</v>
      </c>
      <c r="I660">
        <v>0</v>
      </c>
      <c r="J660">
        <v>0</v>
      </c>
      <c r="K660">
        <v>0</v>
      </c>
      <c r="L660">
        <v>0</v>
      </c>
      <c r="M660">
        <v>0</v>
      </c>
      <c r="N660">
        <v>0</v>
      </c>
      <c r="O660">
        <v>0</v>
      </c>
      <c r="P660">
        <v>0</v>
      </c>
      <c r="Q660" t="str">
        <f>INDEX(pARTNER[#All],MATCH(#REF!,pARTNER[[#All],[Value.partnerSummary.id]],0),10)</f>
        <v>Italia (IT)</v>
      </c>
      <c r="R660" t="str">
        <f>INDEX('Partner data'!$A$2:$DG$171,MATCH(#REF!,'Partner data'!$DG$2:$DG$171,0),83)</f>
        <v>Soggetto pubblico</v>
      </c>
      <c r="S660" s="86" t="b">
        <f>IF(#REF!="staff",INDEX('Partner data'!$DG$2:$DH$171,MATCH(#REF!,'Partner data'!$DG$2:$DG$171,0),2))</f>
        <v>0</v>
      </c>
    </row>
    <row r="661" spans="1:19" x14ac:dyDescent="0.25">
      <c r="A661" t="s">
        <v>346</v>
      </c>
      <c r="B661" t="s">
        <v>347</v>
      </c>
      <c r="C661" s="2">
        <v>293</v>
      </c>
      <c r="D661" s="2">
        <v>296</v>
      </c>
      <c r="E661" t="s">
        <v>238</v>
      </c>
      <c r="G661">
        <v>142370</v>
      </c>
      <c r="H661">
        <v>0</v>
      </c>
      <c r="I661">
        <v>0</v>
      </c>
      <c r="J661">
        <v>1207.05</v>
      </c>
      <c r="K661">
        <v>0</v>
      </c>
      <c r="L661">
        <v>1207.05</v>
      </c>
      <c r="M661">
        <v>1207.05</v>
      </c>
      <c r="N661">
        <v>0.85</v>
      </c>
      <c r="O661">
        <v>141162.95000000001</v>
      </c>
      <c r="P661">
        <v>0</v>
      </c>
      <c r="Q661" t="str">
        <f>INDEX(pARTNER[#All],MATCH(#REF!,pARTNER[[#All],[Value.partnerSummary.id]],0),10)</f>
        <v>Italia (IT)</v>
      </c>
      <c r="R661" t="str">
        <f>INDEX('Partner data'!$A$2:$DG$171,MATCH(#REF!,'Partner data'!$DG$2:$DG$171,0),83)</f>
        <v>Soggetto pubblico</v>
      </c>
      <c r="S661" s="86" t="b">
        <f>IF(#REF!="staff",INDEX('Partner data'!$DG$2:$DH$171,MATCH(#REF!,'Partner data'!$DG$2:$DG$171,0),2))</f>
        <v>0</v>
      </c>
    </row>
    <row r="662" spans="1:19" x14ac:dyDescent="0.25">
      <c r="A662" t="s">
        <v>346</v>
      </c>
      <c r="B662" t="s">
        <v>348</v>
      </c>
      <c r="C662" s="2">
        <v>295</v>
      </c>
      <c r="D662" s="2">
        <v>190</v>
      </c>
      <c r="E662" t="s">
        <v>228</v>
      </c>
      <c r="G662">
        <v>60000</v>
      </c>
      <c r="H662">
        <v>0</v>
      </c>
      <c r="I662">
        <v>0</v>
      </c>
      <c r="J662">
        <v>13222.6</v>
      </c>
      <c r="K662">
        <v>0</v>
      </c>
      <c r="L662">
        <v>12501.13</v>
      </c>
      <c r="M662">
        <v>13222.6</v>
      </c>
      <c r="N662">
        <v>22.04</v>
      </c>
      <c r="O662">
        <v>46777.4</v>
      </c>
      <c r="P662">
        <v>0</v>
      </c>
      <c r="Q662" t="str">
        <f>INDEX(pARTNER[#All],MATCH(#REF!,pARTNER[[#All],[Value.partnerSummary.id]],0),10)</f>
        <v>Slovenija (SI)</v>
      </c>
      <c r="R662" t="str">
        <f>INDEX('Partner data'!$A$2:$DG$171,MATCH(#REF!,'Partner data'!$DG$2:$DG$171,0),83)</f>
        <v>Soggetto pubblico</v>
      </c>
      <c r="S662" s="86" t="str">
        <f>IF(#REF!="staff",INDEX('Partner data'!$DG$2:$DH$171,MATCH(#REF!,'Partner data'!$DG$2:$DG$171,0),2))</f>
        <v>COSTO REALE</v>
      </c>
    </row>
    <row r="663" spans="1:19" x14ac:dyDescent="0.25">
      <c r="A663" t="s">
        <v>346</v>
      </c>
      <c r="B663" t="s">
        <v>348</v>
      </c>
      <c r="C663" s="2">
        <v>295</v>
      </c>
      <c r="D663" s="2">
        <v>190</v>
      </c>
      <c r="E663" t="s">
        <v>229</v>
      </c>
      <c r="F663">
        <v>15</v>
      </c>
      <c r="G663">
        <v>9000</v>
      </c>
      <c r="H663">
        <v>0</v>
      </c>
      <c r="I663">
        <v>0</v>
      </c>
      <c r="J663">
        <v>1983.39</v>
      </c>
      <c r="K663">
        <v>0</v>
      </c>
      <c r="L663">
        <v>1875.16</v>
      </c>
      <c r="M663">
        <v>1983.39</v>
      </c>
      <c r="N663">
        <v>22.04</v>
      </c>
      <c r="O663">
        <v>7016.61</v>
      </c>
      <c r="P663">
        <v>0</v>
      </c>
      <c r="Q663" t="str">
        <f>INDEX(pARTNER[#All],MATCH(#REF!,pARTNER[[#All],[Value.partnerSummary.id]],0),10)</f>
        <v>Slovenija (SI)</v>
      </c>
      <c r="R663" t="str">
        <f>INDEX('Partner data'!$A$2:$DG$171,MATCH(#REF!,'Partner data'!$DG$2:$DG$171,0),83)</f>
        <v>Soggetto pubblico</v>
      </c>
      <c r="S663" s="86" t="b">
        <f>IF(#REF!="staff",INDEX('Partner data'!$DG$2:$DH$171,MATCH(#REF!,'Partner data'!$DG$2:$DG$171,0),2))</f>
        <v>0</v>
      </c>
    </row>
    <row r="664" spans="1:19" x14ac:dyDescent="0.25">
      <c r="A664" t="s">
        <v>346</v>
      </c>
      <c r="B664" t="s">
        <v>348</v>
      </c>
      <c r="C664" s="2">
        <v>295</v>
      </c>
      <c r="D664" s="2">
        <v>190</v>
      </c>
      <c r="E664" t="s">
        <v>230</v>
      </c>
      <c r="F664">
        <v>4</v>
      </c>
      <c r="G664">
        <v>2400</v>
      </c>
      <c r="H664">
        <v>0</v>
      </c>
      <c r="I664">
        <v>0</v>
      </c>
      <c r="J664">
        <v>528.9</v>
      </c>
      <c r="K664">
        <v>0</v>
      </c>
      <c r="L664">
        <v>500.04</v>
      </c>
      <c r="M664">
        <v>528.9</v>
      </c>
      <c r="N664">
        <v>22.04</v>
      </c>
      <c r="O664">
        <v>1871.1</v>
      </c>
      <c r="P664">
        <v>0</v>
      </c>
      <c r="Q664" t="str">
        <f>INDEX(pARTNER[#All],MATCH(#REF!,pARTNER[[#All],[Value.partnerSummary.id]],0),10)</f>
        <v>Slovenija (SI)</v>
      </c>
      <c r="R664" t="str">
        <f>INDEX('Partner data'!$A$2:$DG$171,MATCH(#REF!,'Partner data'!$DG$2:$DG$171,0),83)</f>
        <v>Soggetto pubblico</v>
      </c>
      <c r="S664" s="86" t="b">
        <f>IF(#REF!="staff",INDEX('Partner data'!$DG$2:$DH$171,MATCH(#REF!,'Partner data'!$DG$2:$DG$171,0),2))</f>
        <v>0</v>
      </c>
    </row>
    <row r="665" spans="1:19" x14ac:dyDescent="0.25">
      <c r="A665" t="s">
        <v>346</v>
      </c>
      <c r="B665" t="s">
        <v>348</v>
      </c>
      <c r="C665" s="2">
        <v>295</v>
      </c>
      <c r="D665" s="2">
        <v>190</v>
      </c>
      <c r="E665" t="s">
        <v>231</v>
      </c>
      <c r="G665">
        <v>45000</v>
      </c>
      <c r="H665">
        <v>0</v>
      </c>
      <c r="I665">
        <v>0</v>
      </c>
      <c r="J665">
        <v>915</v>
      </c>
      <c r="K665">
        <v>0</v>
      </c>
      <c r="L665">
        <v>915</v>
      </c>
      <c r="M665">
        <v>915</v>
      </c>
      <c r="N665">
        <v>2.0299999999999998</v>
      </c>
      <c r="O665">
        <v>44085</v>
      </c>
      <c r="P665">
        <v>0</v>
      </c>
      <c r="Q665" t="str">
        <f>INDEX(pARTNER[#All],MATCH(#REF!,pARTNER[[#All],[Value.partnerSummary.id]],0),10)</f>
        <v>Slovenija (SI)</v>
      </c>
      <c r="R665" t="str">
        <f>INDEX('Partner data'!$A$2:$DG$171,MATCH(#REF!,'Partner data'!$DG$2:$DG$171,0),83)</f>
        <v>Soggetto pubblico</v>
      </c>
      <c r="S665" s="86" t="b">
        <f>IF(#REF!="staff",INDEX('Partner data'!$DG$2:$DH$171,MATCH(#REF!,'Partner data'!$DG$2:$DG$171,0),2))</f>
        <v>0</v>
      </c>
    </row>
    <row r="666" spans="1:19" x14ac:dyDescent="0.25">
      <c r="A666" t="s">
        <v>346</v>
      </c>
      <c r="B666" t="s">
        <v>348</v>
      </c>
      <c r="C666" s="2">
        <v>295</v>
      </c>
      <c r="D666" s="2">
        <v>190</v>
      </c>
      <c r="E666" t="s">
        <v>232</v>
      </c>
      <c r="G666">
        <v>0</v>
      </c>
      <c r="H666">
        <v>0</v>
      </c>
      <c r="I666">
        <v>0</v>
      </c>
      <c r="J666">
        <v>0</v>
      </c>
      <c r="K666">
        <v>0</v>
      </c>
      <c r="L666">
        <v>0</v>
      </c>
      <c r="M666">
        <v>0</v>
      </c>
      <c r="N666">
        <v>0</v>
      </c>
      <c r="O666">
        <v>0</v>
      </c>
      <c r="P666">
        <v>0</v>
      </c>
      <c r="Q666" t="str">
        <f>INDEX(pARTNER[#All],MATCH(#REF!,pARTNER[[#All],[Value.partnerSummary.id]],0),10)</f>
        <v>Slovenija (SI)</v>
      </c>
      <c r="R666" t="str">
        <f>INDEX('Partner data'!$A$2:$DG$171,MATCH(#REF!,'Partner data'!$DG$2:$DG$171,0),83)</f>
        <v>Soggetto pubblico</v>
      </c>
      <c r="S666" s="86" t="b">
        <f>IF(#REF!="staff",INDEX('Partner data'!$DG$2:$DH$171,MATCH(#REF!,'Partner data'!$DG$2:$DG$171,0),2))</f>
        <v>0</v>
      </c>
    </row>
    <row r="667" spans="1:19" x14ac:dyDescent="0.25">
      <c r="A667" t="s">
        <v>346</v>
      </c>
      <c r="B667" t="s">
        <v>348</v>
      </c>
      <c r="C667" s="2">
        <v>295</v>
      </c>
      <c r="D667" s="2">
        <v>190</v>
      </c>
      <c r="E667" t="s">
        <v>233</v>
      </c>
      <c r="G667">
        <v>91110</v>
      </c>
      <c r="H667">
        <v>0</v>
      </c>
      <c r="I667">
        <v>0</v>
      </c>
      <c r="J667">
        <v>873.02</v>
      </c>
      <c r="K667">
        <v>0</v>
      </c>
      <c r="L667">
        <v>873.02</v>
      </c>
      <c r="M667">
        <v>873.02</v>
      </c>
      <c r="N667">
        <v>0.96</v>
      </c>
      <c r="O667">
        <v>90236.98</v>
      </c>
      <c r="P667">
        <v>0</v>
      </c>
      <c r="Q667" t="str">
        <f>INDEX(pARTNER[#All],MATCH(#REF!,pARTNER[[#All],[Value.partnerSummary.id]],0),10)</f>
        <v>Slovenija (SI)</v>
      </c>
      <c r="R667" t="str">
        <f>INDEX('Partner data'!$A$2:$DG$171,MATCH(#REF!,'Partner data'!$DG$2:$DG$171,0),83)</f>
        <v>Soggetto pubblico</v>
      </c>
      <c r="S667" s="86" t="b">
        <f>IF(#REF!="staff",INDEX('Partner data'!$DG$2:$DH$171,MATCH(#REF!,'Partner data'!$DG$2:$DG$171,0),2))</f>
        <v>0</v>
      </c>
    </row>
    <row r="668" spans="1:19" x14ac:dyDescent="0.25">
      <c r="A668" t="s">
        <v>346</v>
      </c>
      <c r="B668" t="s">
        <v>348</v>
      </c>
      <c r="C668" s="2">
        <v>295</v>
      </c>
      <c r="D668" s="2">
        <v>190</v>
      </c>
      <c r="E668" t="s">
        <v>234</v>
      </c>
      <c r="G668">
        <v>0</v>
      </c>
      <c r="H668">
        <v>0</v>
      </c>
      <c r="I668">
        <v>0</v>
      </c>
      <c r="J668">
        <v>0</v>
      </c>
      <c r="K668">
        <v>0</v>
      </c>
      <c r="L668">
        <v>0</v>
      </c>
      <c r="M668">
        <v>0</v>
      </c>
      <c r="N668">
        <v>0</v>
      </c>
      <c r="O668">
        <v>0</v>
      </c>
      <c r="P668">
        <v>0</v>
      </c>
      <c r="Q668" t="str">
        <f>INDEX(pARTNER[#All],MATCH(#REF!,pARTNER[[#All],[Value.partnerSummary.id]],0),10)</f>
        <v>Slovenija (SI)</v>
      </c>
      <c r="R668" t="str">
        <f>INDEX('Partner data'!$A$2:$DG$171,MATCH(#REF!,'Partner data'!$DG$2:$DG$171,0),83)</f>
        <v>Soggetto pubblico</v>
      </c>
      <c r="S668" s="86" t="b">
        <f>IF(#REF!="staff",INDEX('Partner data'!$DG$2:$DH$171,MATCH(#REF!,'Partner data'!$DG$2:$DG$171,0),2))</f>
        <v>0</v>
      </c>
    </row>
    <row r="669" spans="1:19" x14ac:dyDescent="0.25">
      <c r="A669" t="s">
        <v>346</v>
      </c>
      <c r="B669" t="s">
        <v>348</v>
      </c>
      <c r="C669" s="2">
        <v>295</v>
      </c>
      <c r="D669" s="2">
        <v>190</v>
      </c>
      <c r="E669" t="s">
        <v>235</v>
      </c>
      <c r="G669">
        <v>0</v>
      </c>
      <c r="H669">
        <v>0</v>
      </c>
      <c r="I669">
        <v>0</v>
      </c>
      <c r="J669">
        <v>0</v>
      </c>
      <c r="K669">
        <v>0</v>
      </c>
      <c r="L669">
        <v>0</v>
      </c>
      <c r="M669">
        <v>0</v>
      </c>
      <c r="N669">
        <v>0</v>
      </c>
      <c r="O669">
        <v>0</v>
      </c>
      <c r="P669">
        <v>0</v>
      </c>
      <c r="Q669" t="str">
        <f>INDEX(pARTNER[#All],MATCH(#REF!,pARTNER[[#All],[Value.partnerSummary.id]],0),10)</f>
        <v>Slovenija (SI)</v>
      </c>
      <c r="R669" t="str">
        <f>INDEX('Partner data'!$A$2:$DG$171,MATCH(#REF!,'Partner data'!$DG$2:$DG$171,0),83)</f>
        <v>Soggetto pubblico</v>
      </c>
      <c r="S669" s="86" t="b">
        <f>IF(#REF!="staff",INDEX('Partner data'!$DG$2:$DH$171,MATCH(#REF!,'Partner data'!$DG$2:$DG$171,0),2))</f>
        <v>0</v>
      </c>
    </row>
    <row r="670" spans="1:19" x14ac:dyDescent="0.25">
      <c r="A670" t="s">
        <v>346</v>
      </c>
      <c r="B670" t="s">
        <v>348</v>
      </c>
      <c r="C670" s="2">
        <v>295</v>
      </c>
      <c r="D670" s="2">
        <v>190</v>
      </c>
      <c r="E670" t="s">
        <v>236</v>
      </c>
      <c r="G670">
        <v>0</v>
      </c>
      <c r="H670">
        <v>0</v>
      </c>
      <c r="I670">
        <v>0</v>
      </c>
      <c r="J670">
        <v>0</v>
      </c>
      <c r="K670">
        <v>0</v>
      </c>
      <c r="L670">
        <v>0</v>
      </c>
      <c r="M670">
        <v>0</v>
      </c>
      <c r="N670">
        <v>0</v>
      </c>
      <c r="O670">
        <v>0</v>
      </c>
      <c r="P670">
        <v>0</v>
      </c>
      <c r="Q670" t="str">
        <f>INDEX(pARTNER[#All],MATCH(#REF!,pARTNER[[#All],[Value.partnerSummary.id]],0),10)</f>
        <v>Slovenija (SI)</v>
      </c>
      <c r="R670" t="str">
        <f>INDEX('Partner data'!$A$2:$DG$171,MATCH(#REF!,'Partner data'!$DG$2:$DG$171,0),83)</f>
        <v>Soggetto pubblico</v>
      </c>
      <c r="S670" s="86" t="b">
        <f>IF(#REF!="staff",INDEX('Partner data'!$DG$2:$DH$171,MATCH(#REF!,'Partner data'!$DG$2:$DG$171,0),2))</f>
        <v>0</v>
      </c>
    </row>
    <row r="671" spans="1:19" x14ac:dyDescent="0.25">
      <c r="A671" t="s">
        <v>346</v>
      </c>
      <c r="B671" t="s">
        <v>348</v>
      </c>
      <c r="C671" s="2">
        <v>295</v>
      </c>
      <c r="D671" s="2">
        <v>190</v>
      </c>
      <c r="E671" t="s">
        <v>237</v>
      </c>
      <c r="G671">
        <v>0</v>
      </c>
      <c r="H671">
        <v>0</v>
      </c>
      <c r="I671">
        <v>0</v>
      </c>
      <c r="J671">
        <v>0</v>
      </c>
      <c r="K671">
        <v>0</v>
      </c>
      <c r="L671">
        <v>0</v>
      </c>
      <c r="M671">
        <v>0</v>
      </c>
      <c r="N671">
        <v>0</v>
      </c>
      <c r="O671">
        <v>0</v>
      </c>
      <c r="P671">
        <v>0</v>
      </c>
      <c r="Q671" t="str">
        <f>INDEX(pARTNER[#All],MATCH(#REF!,pARTNER[[#All],[Value.partnerSummary.id]],0),10)</f>
        <v>Slovenija (SI)</v>
      </c>
      <c r="R671" t="str">
        <f>INDEX('Partner data'!$A$2:$DG$171,MATCH(#REF!,'Partner data'!$DG$2:$DG$171,0),83)</f>
        <v>Soggetto pubblico</v>
      </c>
      <c r="S671" s="86" t="b">
        <f>IF(#REF!="staff",INDEX('Partner data'!$DG$2:$DH$171,MATCH(#REF!,'Partner data'!$DG$2:$DG$171,0),2))</f>
        <v>0</v>
      </c>
    </row>
    <row r="672" spans="1:19" x14ac:dyDescent="0.25">
      <c r="A672" t="s">
        <v>346</v>
      </c>
      <c r="B672" t="s">
        <v>348</v>
      </c>
      <c r="C672" s="2">
        <v>295</v>
      </c>
      <c r="D672" s="2">
        <v>190</v>
      </c>
      <c r="E672" t="s">
        <v>238</v>
      </c>
      <c r="G672">
        <v>207510</v>
      </c>
      <c r="H672">
        <v>0</v>
      </c>
      <c r="I672">
        <v>0</v>
      </c>
      <c r="J672">
        <v>17522.91</v>
      </c>
      <c r="K672">
        <v>0</v>
      </c>
      <c r="L672">
        <v>16664.349999999999</v>
      </c>
      <c r="M672">
        <v>17522.91</v>
      </c>
      <c r="N672">
        <v>8.44</v>
      </c>
      <c r="O672">
        <v>189987.09</v>
      </c>
      <c r="P672">
        <v>0</v>
      </c>
      <c r="Q672" t="str">
        <f>INDEX(pARTNER[#All],MATCH(#REF!,pARTNER[[#All],[Value.partnerSummary.id]],0),10)</f>
        <v>Slovenija (SI)</v>
      </c>
      <c r="R672" t="str">
        <f>INDEX('Partner data'!$A$2:$DG$171,MATCH(#REF!,'Partner data'!$DG$2:$DG$171,0),83)</f>
        <v>Soggetto pubblico</v>
      </c>
      <c r="S672" s="86" t="b">
        <f>IF(#REF!="staff",INDEX('Partner data'!$DG$2:$DH$171,MATCH(#REF!,'Partner data'!$DG$2:$DG$171,0),2))</f>
        <v>0</v>
      </c>
    </row>
    <row r="673" spans="1:19" x14ac:dyDescent="0.25">
      <c r="A673" t="s">
        <v>346</v>
      </c>
      <c r="B673" t="s">
        <v>285</v>
      </c>
      <c r="C673" s="2">
        <v>257</v>
      </c>
      <c r="D673" s="2">
        <v>197</v>
      </c>
      <c r="E673" t="s">
        <v>228</v>
      </c>
      <c r="G673">
        <v>136000</v>
      </c>
      <c r="H673">
        <v>0</v>
      </c>
      <c r="I673">
        <v>0</v>
      </c>
      <c r="J673">
        <v>28772</v>
      </c>
      <c r="K673">
        <v>0</v>
      </c>
      <c r="L673">
        <v>28772</v>
      </c>
      <c r="M673">
        <v>28772</v>
      </c>
      <c r="N673">
        <v>21.16</v>
      </c>
      <c r="O673">
        <v>107228</v>
      </c>
      <c r="P673">
        <v>0</v>
      </c>
      <c r="Q673" t="str">
        <f>INDEX(pARTNER[#All],MATCH(#REF!,pARTNER[[#All],[Value.partnerSummary.id]],0),10)</f>
        <v>Slovenija (SI)</v>
      </c>
      <c r="R673" t="str">
        <f>INDEX('Partner data'!$A$2:$DG$171,MATCH(#REF!,'Partner data'!$DG$2:$DG$171,0),83)</f>
        <v>Soggetto pubblico</v>
      </c>
      <c r="S673" s="86" t="str">
        <f>IF(#REF!="staff",INDEX('Partner data'!$DG$2:$DH$171,MATCH(#REF!,'Partner data'!$DG$2:$DG$171,0),2))</f>
        <v>COSTO REALE</v>
      </c>
    </row>
    <row r="674" spans="1:19" x14ac:dyDescent="0.25">
      <c r="A674" t="s">
        <v>346</v>
      </c>
      <c r="B674" t="s">
        <v>285</v>
      </c>
      <c r="C674" s="2">
        <v>257</v>
      </c>
      <c r="D674" s="2">
        <v>197</v>
      </c>
      <c r="E674" t="s">
        <v>229</v>
      </c>
      <c r="F674">
        <v>15</v>
      </c>
      <c r="G674">
        <v>20400</v>
      </c>
      <c r="H674">
        <v>0</v>
      </c>
      <c r="I674">
        <v>0</v>
      </c>
      <c r="J674">
        <v>4315.8</v>
      </c>
      <c r="K674">
        <v>0</v>
      </c>
      <c r="L674">
        <v>4315.8</v>
      </c>
      <c r="M674">
        <v>4315.8</v>
      </c>
      <c r="N674">
        <v>21.16</v>
      </c>
      <c r="O674">
        <v>16084.2</v>
      </c>
      <c r="P674">
        <v>0</v>
      </c>
      <c r="Q674" t="str">
        <f>INDEX(pARTNER[#All],MATCH(#REF!,pARTNER[[#All],[Value.partnerSummary.id]],0),10)</f>
        <v>Slovenija (SI)</v>
      </c>
      <c r="R674" t="str">
        <f>INDEX('Partner data'!$A$2:$DG$171,MATCH(#REF!,'Partner data'!$DG$2:$DG$171,0),83)</f>
        <v>Soggetto pubblico</v>
      </c>
      <c r="S674" s="86" t="b">
        <f>IF(#REF!="staff",INDEX('Partner data'!$DG$2:$DH$171,MATCH(#REF!,'Partner data'!$DG$2:$DG$171,0),2))</f>
        <v>0</v>
      </c>
    </row>
    <row r="675" spans="1:19" x14ac:dyDescent="0.25">
      <c r="A675" t="s">
        <v>346</v>
      </c>
      <c r="B675" t="s">
        <v>285</v>
      </c>
      <c r="C675" s="2">
        <v>257</v>
      </c>
      <c r="D675" s="2">
        <v>197</v>
      </c>
      <c r="E675" t="s">
        <v>230</v>
      </c>
      <c r="F675">
        <v>4</v>
      </c>
      <c r="G675">
        <v>5440</v>
      </c>
      <c r="H675">
        <v>0</v>
      </c>
      <c r="I675">
        <v>0</v>
      </c>
      <c r="J675">
        <v>1150.8800000000001</v>
      </c>
      <c r="K675">
        <v>0</v>
      </c>
      <c r="L675">
        <v>1150.8800000000001</v>
      </c>
      <c r="M675">
        <v>1150.8800000000001</v>
      </c>
      <c r="N675">
        <v>21.16</v>
      </c>
      <c r="O675">
        <v>4289.12</v>
      </c>
      <c r="P675">
        <v>0</v>
      </c>
      <c r="Q675" t="str">
        <f>INDEX(pARTNER[#All],MATCH(#REF!,pARTNER[[#All],[Value.partnerSummary.id]],0),10)</f>
        <v>Slovenija (SI)</v>
      </c>
      <c r="R675" t="str">
        <f>INDEX('Partner data'!$A$2:$DG$171,MATCH(#REF!,'Partner data'!$DG$2:$DG$171,0),83)</f>
        <v>Soggetto pubblico</v>
      </c>
      <c r="S675" s="86" t="b">
        <f>IF(#REF!="staff",INDEX('Partner data'!$DG$2:$DH$171,MATCH(#REF!,'Partner data'!$DG$2:$DG$171,0),2))</f>
        <v>0</v>
      </c>
    </row>
    <row r="676" spans="1:19" x14ac:dyDescent="0.25">
      <c r="A676" t="s">
        <v>346</v>
      </c>
      <c r="B676" t="s">
        <v>285</v>
      </c>
      <c r="C676" s="2">
        <v>257</v>
      </c>
      <c r="D676" s="2">
        <v>197</v>
      </c>
      <c r="E676" t="s">
        <v>231</v>
      </c>
      <c r="G676">
        <v>50063</v>
      </c>
      <c r="H676">
        <v>0</v>
      </c>
      <c r="I676">
        <v>0</v>
      </c>
      <c r="J676">
        <v>684.33</v>
      </c>
      <c r="K676">
        <v>0</v>
      </c>
      <c r="L676">
        <v>684.33</v>
      </c>
      <c r="M676">
        <v>684.33</v>
      </c>
      <c r="N676">
        <v>1.37</v>
      </c>
      <c r="O676">
        <v>49378.67</v>
      </c>
      <c r="P676">
        <v>0</v>
      </c>
      <c r="Q676" t="str">
        <f>INDEX(pARTNER[#All],MATCH(#REF!,pARTNER[[#All],[Value.partnerSummary.id]],0),10)</f>
        <v>Slovenija (SI)</v>
      </c>
      <c r="R676" t="str">
        <f>INDEX('Partner data'!$A$2:$DG$171,MATCH(#REF!,'Partner data'!$DG$2:$DG$171,0),83)</f>
        <v>Soggetto pubblico</v>
      </c>
      <c r="S676" s="86" t="b">
        <f>IF(#REF!="staff",INDEX('Partner data'!$DG$2:$DH$171,MATCH(#REF!,'Partner data'!$DG$2:$DG$171,0),2))</f>
        <v>0</v>
      </c>
    </row>
    <row r="677" spans="1:19" x14ac:dyDescent="0.25">
      <c r="A677" t="s">
        <v>346</v>
      </c>
      <c r="B677" t="s">
        <v>285</v>
      </c>
      <c r="C677" s="2">
        <v>257</v>
      </c>
      <c r="D677" s="2">
        <v>197</v>
      </c>
      <c r="E677" t="s">
        <v>232</v>
      </c>
      <c r="G677">
        <v>3600</v>
      </c>
      <c r="H677">
        <v>0</v>
      </c>
      <c r="I677">
        <v>0</v>
      </c>
      <c r="J677">
        <v>381.72</v>
      </c>
      <c r="K677">
        <v>0</v>
      </c>
      <c r="L677">
        <v>381.72</v>
      </c>
      <c r="M677">
        <v>381.72</v>
      </c>
      <c r="N677">
        <v>10.6</v>
      </c>
      <c r="O677">
        <v>3218.28</v>
      </c>
      <c r="P677">
        <v>0</v>
      </c>
      <c r="Q677" t="str">
        <f>INDEX(pARTNER[#All],MATCH(#REF!,pARTNER[[#All],[Value.partnerSummary.id]],0),10)</f>
        <v>Slovenija (SI)</v>
      </c>
      <c r="R677" t="str">
        <f>INDEX('Partner data'!$A$2:$DG$171,MATCH(#REF!,'Partner data'!$DG$2:$DG$171,0),83)</f>
        <v>Soggetto pubblico</v>
      </c>
      <c r="S677" s="86" t="b">
        <f>IF(#REF!="staff",INDEX('Partner data'!$DG$2:$DH$171,MATCH(#REF!,'Partner data'!$DG$2:$DG$171,0),2))</f>
        <v>0</v>
      </c>
    </row>
    <row r="678" spans="1:19" x14ac:dyDescent="0.25">
      <c r="A678" t="s">
        <v>346</v>
      </c>
      <c r="B678" t="s">
        <v>285</v>
      </c>
      <c r="C678" s="2">
        <v>257</v>
      </c>
      <c r="D678" s="2">
        <v>197</v>
      </c>
      <c r="E678" t="s">
        <v>233</v>
      </c>
      <c r="G678">
        <v>43000</v>
      </c>
      <c r="H678">
        <v>0</v>
      </c>
      <c r="I678">
        <v>0</v>
      </c>
      <c r="J678">
        <v>31698.15</v>
      </c>
      <c r="K678">
        <v>0</v>
      </c>
      <c r="L678">
        <v>31698.15</v>
      </c>
      <c r="M678">
        <v>31698.15</v>
      </c>
      <c r="N678">
        <v>73.72</v>
      </c>
      <c r="O678">
        <v>11301.85</v>
      </c>
      <c r="P678">
        <v>0</v>
      </c>
      <c r="Q678" t="str">
        <f>INDEX(pARTNER[#All],MATCH(#REF!,pARTNER[[#All],[Value.partnerSummary.id]],0),10)</f>
        <v>Slovenija (SI)</v>
      </c>
      <c r="R678" t="str">
        <f>INDEX('Partner data'!$A$2:$DG$171,MATCH(#REF!,'Partner data'!$DG$2:$DG$171,0),83)</f>
        <v>Soggetto pubblico</v>
      </c>
      <c r="S678" s="86" t="b">
        <f>IF(#REF!="staff",INDEX('Partner data'!$DG$2:$DH$171,MATCH(#REF!,'Partner data'!$DG$2:$DG$171,0),2))</f>
        <v>0</v>
      </c>
    </row>
    <row r="679" spans="1:19" x14ac:dyDescent="0.25">
      <c r="A679" t="s">
        <v>346</v>
      </c>
      <c r="B679" t="s">
        <v>285</v>
      </c>
      <c r="C679" s="2">
        <v>257</v>
      </c>
      <c r="D679" s="2">
        <v>197</v>
      </c>
      <c r="E679" t="s">
        <v>234</v>
      </c>
      <c r="G679">
        <v>0</v>
      </c>
      <c r="H679">
        <v>0</v>
      </c>
      <c r="I679">
        <v>0</v>
      </c>
      <c r="J679">
        <v>0</v>
      </c>
      <c r="K679">
        <v>0</v>
      </c>
      <c r="L679">
        <v>0</v>
      </c>
      <c r="M679">
        <v>0</v>
      </c>
      <c r="N679">
        <v>0</v>
      </c>
      <c r="O679">
        <v>0</v>
      </c>
      <c r="P679">
        <v>0</v>
      </c>
      <c r="Q679" t="str">
        <f>INDEX(pARTNER[#All],MATCH(#REF!,pARTNER[[#All],[Value.partnerSummary.id]],0),10)</f>
        <v>Slovenija (SI)</v>
      </c>
      <c r="R679" t="str">
        <f>INDEX('Partner data'!$A$2:$DG$171,MATCH(#REF!,'Partner data'!$DG$2:$DG$171,0),83)</f>
        <v>Soggetto pubblico</v>
      </c>
      <c r="S679" s="86" t="b">
        <f>IF(#REF!="staff",INDEX('Partner data'!$DG$2:$DH$171,MATCH(#REF!,'Partner data'!$DG$2:$DG$171,0),2))</f>
        <v>0</v>
      </c>
    </row>
    <row r="680" spans="1:19" x14ac:dyDescent="0.25">
      <c r="A680" t="s">
        <v>346</v>
      </c>
      <c r="B680" t="s">
        <v>285</v>
      </c>
      <c r="C680" s="2">
        <v>257</v>
      </c>
      <c r="D680" s="2">
        <v>197</v>
      </c>
      <c r="E680" t="s">
        <v>235</v>
      </c>
      <c r="G680">
        <v>9000</v>
      </c>
      <c r="H680">
        <v>0</v>
      </c>
      <c r="I680">
        <v>0</v>
      </c>
      <c r="J680">
        <v>9000</v>
      </c>
      <c r="K680">
        <v>0</v>
      </c>
      <c r="L680">
        <v>9000</v>
      </c>
      <c r="M680">
        <v>9000</v>
      </c>
      <c r="N680">
        <v>100</v>
      </c>
      <c r="O680">
        <v>0</v>
      </c>
      <c r="P680">
        <v>0</v>
      </c>
      <c r="Q680" t="str">
        <f>INDEX(pARTNER[#All],MATCH(#REF!,pARTNER[[#All],[Value.partnerSummary.id]],0),10)</f>
        <v>Slovenija (SI)</v>
      </c>
      <c r="R680" t="str">
        <f>INDEX('Partner data'!$A$2:$DG$171,MATCH(#REF!,'Partner data'!$DG$2:$DG$171,0),83)</f>
        <v>Soggetto pubblico</v>
      </c>
      <c r="S680" s="86" t="b">
        <f>IF(#REF!="staff",INDEX('Partner data'!$DG$2:$DH$171,MATCH(#REF!,'Partner data'!$DG$2:$DG$171,0),2))</f>
        <v>0</v>
      </c>
    </row>
    <row r="681" spans="1:19" x14ac:dyDescent="0.25">
      <c r="A681" t="s">
        <v>346</v>
      </c>
      <c r="B681" t="s">
        <v>285</v>
      </c>
      <c r="C681" s="2">
        <v>257</v>
      </c>
      <c r="D681" s="2">
        <v>197</v>
      </c>
      <c r="E681" t="s">
        <v>236</v>
      </c>
      <c r="G681">
        <v>0</v>
      </c>
      <c r="H681">
        <v>0</v>
      </c>
      <c r="I681">
        <v>0</v>
      </c>
      <c r="J681">
        <v>0</v>
      </c>
      <c r="K681">
        <v>0</v>
      </c>
      <c r="L681">
        <v>0</v>
      </c>
      <c r="M681">
        <v>0</v>
      </c>
      <c r="N681">
        <v>0</v>
      </c>
      <c r="O681">
        <v>0</v>
      </c>
      <c r="P681">
        <v>0</v>
      </c>
      <c r="Q681" t="str">
        <f>INDEX(pARTNER[#All],MATCH(#REF!,pARTNER[[#All],[Value.partnerSummary.id]],0),10)</f>
        <v>Slovenija (SI)</v>
      </c>
      <c r="R681" t="str">
        <f>INDEX('Partner data'!$A$2:$DG$171,MATCH(#REF!,'Partner data'!$DG$2:$DG$171,0),83)</f>
        <v>Soggetto pubblico</v>
      </c>
      <c r="S681" s="86" t="b">
        <f>IF(#REF!="staff",INDEX('Partner data'!$DG$2:$DH$171,MATCH(#REF!,'Partner data'!$DG$2:$DG$171,0),2))</f>
        <v>0</v>
      </c>
    </row>
    <row r="682" spans="1:19" x14ac:dyDescent="0.25">
      <c r="A682" t="s">
        <v>346</v>
      </c>
      <c r="B682" t="s">
        <v>285</v>
      </c>
      <c r="C682" s="2">
        <v>257</v>
      </c>
      <c r="D682" s="2">
        <v>197</v>
      </c>
      <c r="E682" t="s">
        <v>237</v>
      </c>
      <c r="G682">
        <v>0</v>
      </c>
      <c r="H682">
        <v>0</v>
      </c>
      <c r="I682">
        <v>0</v>
      </c>
      <c r="J682">
        <v>0</v>
      </c>
      <c r="K682">
        <v>0</v>
      </c>
      <c r="L682">
        <v>0</v>
      </c>
      <c r="M682">
        <v>0</v>
      </c>
      <c r="N682">
        <v>0</v>
      </c>
      <c r="O682">
        <v>0</v>
      </c>
      <c r="P682">
        <v>0</v>
      </c>
      <c r="Q682" t="str">
        <f>INDEX(pARTNER[#All],MATCH(#REF!,pARTNER[[#All],[Value.partnerSummary.id]],0),10)</f>
        <v>Slovenija (SI)</v>
      </c>
      <c r="R682" t="str">
        <f>INDEX('Partner data'!$A$2:$DG$171,MATCH(#REF!,'Partner data'!$DG$2:$DG$171,0),83)</f>
        <v>Soggetto pubblico</v>
      </c>
      <c r="S682" s="86" t="b">
        <f>IF(#REF!="staff",INDEX('Partner data'!$DG$2:$DH$171,MATCH(#REF!,'Partner data'!$DG$2:$DG$171,0),2))</f>
        <v>0</v>
      </c>
    </row>
    <row r="683" spans="1:19" x14ac:dyDescent="0.25">
      <c r="A683" t="s">
        <v>346</v>
      </c>
      <c r="B683" t="s">
        <v>285</v>
      </c>
      <c r="C683" s="2">
        <v>257</v>
      </c>
      <c r="D683" s="2">
        <v>197</v>
      </c>
      <c r="E683" t="s">
        <v>238</v>
      </c>
      <c r="G683">
        <v>267503</v>
      </c>
      <c r="H683">
        <v>0</v>
      </c>
      <c r="I683">
        <v>0</v>
      </c>
      <c r="J683">
        <v>76002.880000000005</v>
      </c>
      <c r="K683">
        <v>0</v>
      </c>
      <c r="L683">
        <v>76002.880000000005</v>
      </c>
      <c r="M683">
        <v>76002.880000000005</v>
      </c>
      <c r="N683">
        <v>28.41</v>
      </c>
      <c r="O683">
        <v>191500.12</v>
      </c>
      <c r="P683">
        <v>0</v>
      </c>
      <c r="Q683" t="str">
        <f>INDEX(pARTNER[#All],MATCH(#REF!,pARTNER[[#All],[Value.partnerSummary.id]],0),10)</f>
        <v>Slovenija (SI)</v>
      </c>
      <c r="R683" t="str">
        <f>INDEX('Partner data'!$A$2:$DG$171,MATCH(#REF!,'Partner data'!$DG$2:$DG$171,0),83)</f>
        <v>Soggetto pubblico</v>
      </c>
      <c r="S683" s="86" t="b">
        <f>IF(#REF!="staff",INDEX('Partner data'!$DG$2:$DH$171,MATCH(#REF!,'Partner data'!$DG$2:$DG$171,0),2))</f>
        <v>0</v>
      </c>
    </row>
    <row r="684" spans="1:19" x14ac:dyDescent="0.25">
      <c r="A684" t="s">
        <v>346</v>
      </c>
      <c r="B684" t="s">
        <v>349</v>
      </c>
      <c r="C684" s="2">
        <v>294</v>
      </c>
      <c r="D684" s="2">
        <v>312</v>
      </c>
      <c r="E684" t="s">
        <v>228</v>
      </c>
      <c r="G684">
        <v>40014</v>
      </c>
      <c r="H684">
        <v>0</v>
      </c>
      <c r="I684">
        <v>0</v>
      </c>
      <c r="J684">
        <v>8694</v>
      </c>
      <c r="K684">
        <v>0</v>
      </c>
      <c r="L684">
        <v>8694</v>
      </c>
      <c r="M684">
        <v>8694</v>
      </c>
      <c r="N684">
        <v>21.73</v>
      </c>
      <c r="O684">
        <v>31320</v>
      </c>
      <c r="P684">
        <v>0</v>
      </c>
      <c r="Q684" t="str">
        <f>INDEX(pARTNER[#All],MATCH(#REF!,pARTNER[[#All],[Value.partnerSummary.id]],0),10)</f>
        <v>Italia (IT)</v>
      </c>
      <c r="R684" t="str">
        <f>INDEX('Partner data'!$A$2:$DG$171,MATCH(#REF!,'Partner data'!$DG$2:$DG$171,0),83)</f>
        <v xml:space="preserve">Organismo di diritto pubblico </v>
      </c>
      <c r="S684" s="86" t="str">
        <f>IF(#REF!="staff",INDEX('Partner data'!$DG$2:$DH$171,MATCH(#REF!,'Partner data'!$DG$2:$DG$171,0),2))</f>
        <v>COSTO REALE</v>
      </c>
    </row>
    <row r="685" spans="1:19" x14ac:dyDescent="0.25">
      <c r="A685" t="s">
        <v>346</v>
      </c>
      <c r="B685" t="s">
        <v>349</v>
      </c>
      <c r="C685" s="2">
        <v>294</v>
      </c>
      <c r="D685" s="2">
        <v>312</v>
      </c>
      <c r="E685" t="s">
        <v>229</v>
      </c>
      <c r="F685">
        <v>15</v>
      </c>
      <c r="G685">
        <v>6002.1</v>
      </c>
      <c r="H685">
        <v>0</v>
      </c>
      <c r="I685">
        <v>0</v>
      </c>
      <c r="J685">
        <v>1304.0999999999999</v>
      </c>
      <c r="K685">
        <v>0</v>
      </c>
      <c r="L685">
        <v>1304.0999999999999</v>
      </c>
      <c r="M685">
        <v>1304.0999999999999</v>
      </c>
      <c r="N685">
        <v>21.73</v>
      </c>
      <c r="O685">
        <v>4698</v>
      </c>
      <c r="P685">
        <v>0</v>
      </c>
      <c r="Q685" t="str">
        <f>INDEX(pARTNER[#All],MATCH(#REF!,pARTNER[[#All],[Value.partnerSummary.id]],0),10)</f>
        <v>Italia (IT)</v>
      </c>
      <c r="R685" t="str">
        <f>INDEX('Partner data'!$A$2:$DG$171,MATCH(#REF!,'Partner data'!$DG$2:$DG$171,0),83)</f>
        <v xml:space="preserve">Organismo di diritto pubblico </v>
      </c>
      <c r="S685" s="86" t="b">
        <f>IF(#REF!="staff",INDEX('Partner data'!$DG$2:$DH$171,MATCH(#REF!,'Partner data'!$DG$2:$DG$171,0),2))</f>
        <v>0</v>
      </c>
    </row>
    <row r="686" spans="1:19" x14ac:dyDescent="0.25">
      <c r="A686" t="s">
        <v>346</v>
      </c>
      <c r="B686" t="s">
        <v>349</v>
      </c>
      <c r="C686" s="2">
        <v>294</v>
      </c>
      <c r="D686" s="2">
        <v>312</v>
      </c>
      <c r="E686" t="s">
        <v>230</v>
      </c>
      <c r="F686">
        <v>4</v>
      </c>
      <c r="G686">
        <v>1600.56</v>
      </c>
      <c r="H686">
        <v>0</v>
      </c>
      <c r="I686">
        <v>0</v>
      </c>
      <c r="J686">
        <v>347.76</v>
      </c>
      <c r="K686">
        <v>0</v>
      </c>
      <c r="L686">
        <v>347.76</v>
      </c>
      <c r="M686">
        <v>347.76</v>
      </c>
      <c r="N686">
        <v>21.73</v>
      </c>
      <c r="O686">
        <v>1252.8</v>
      </c>
      <c r="P686">
        <v>0</v>
      </c>
      <c r="Q686" t="str">
        <f>INDEX(pARTNER[#All],MATCH(#REF!,pARTNER[[#All],[Value.partnerSummary.id]],0),10)</f>
        <v>Italia (IT)</v>
      </c>
      <c r="R686" t="str">
        <f>INDEX('Partner data'!$A$2:$DG$171,MATCH(#REF!,'Partner data'!$DG$2:$DG$171,0),83)</f>
        <v xml:space="preserve">Organismo di diritto pubblico </v>
      </c>
      <c r="S686" s="86" t="b">
        <f>IF(#REF!="staff",INDEX('Partner data'!$DG$2:$DH$171,MATCH(#REF!,'Partner data'!$DG$2:$DG$171,0),2))</f>
        <v>0</v>
      </c>
    </row>
    <row r="687" spans="1:19" x14ac:dyDescent="0.25">
      <c r="A687" t="s">
        <v>346</v>
      </c>
      <c r="B687" t="s">
        <v>349</v>
      </c>
      <c r="C687" s="2">
        <v>294</v>
      </c>
      <c r="D687" s="2">
        <v>312</v>
      </c>
      <c r="E687" t="s">
        <v>231</v>
      </c>
      <c r="G687">
        <v>55000</v>
      </c>
      <c r="H687">
        <v>0</v>
      </c>
      <c r="I687">
        <v>0</v>
      </c>
      <c r="J687">
        <v>0</v>
      </c>
      <c r="K687">
        <v>0</v>
      </c>
      <c r="L687">
        <v>0</v>
      </c>
      <c r="M687">
        <v>0</v>
      </c>
      <c r="N687">
        <v>0</v>
      </c>
      <c r="O687">
        <v>55000</v>
      </c>
      <c r="P687">
        <v>0</v>
      </c>
      <c r="Q687" t="str">
        <f>INDEX(pARTNER[#All],MATCH(#REF!,pARTNER[[#All],[Value.partnerSummary.id]],0),10)</f>
        <v>Italia (IT)</v>
      </c>
      <c r="R687" t="str">
        <f>INDEX('Partner data'!$A$2:$DG$171,MATCH(#REF!,'Partner data'!$DG$2:$DG$171,0),83)</f>
        <v xml:space="preserve">Organismo di diritto pubblico </v>
      </c>
      <c r="S687" s="86" t="b">
        <f>IF(#REF!="staff",INDEX('Partner data'!$DG$2:$DH$171,MATCH(#REF!,'Partner data'!$DG$2:$DG$171,0),2))</f>
        <v>0</v>
      </c>
    </row>
    <row r="688" spans="1:19" x14ac:dyDescent="0.25">
      <c r="A688" t="s">
        <v>346</v>
      </c>
      <c r="B688" t="s">
        <v>349</v>
      </c>
      <c r="C688" s="2">
        <v>294</v>
      </c>
      <c r="D688" s="2">
        <v>312</v>
      </c>
      <c r="E688" t="s">
        <v>232</v>
      </c>
      <c r="G688">
        <v>0</v>
      </c>
      <c r="H688">
        <v>0</v>
      </c>
      <c r="I688">
        <v>0</v>
      </c>
      <c r="J688">
        <v>0</v>
      </c>
      <c r="K688">
        <v>0</v>
      </c>
      <c r="L688">
        <v>0</v>
      </c>
      <c r="M688">
        <v>0</v>
      </c>
      <c r="N688">
        <v>0</v>
      </c>
      <c r="O688">
        <v>0</v>
      </c>
      <c r="P688">
        <v>0</v>
      </c>
      <c r="Q688" t="str">
        <f>INDEX(pARTNER[#All],MATCH(#REF!,pARTNER[[#All],[Value.partnerSummary.id]],0),10)</f>
        <v>Italia (IT)</v>
      </c>
      <c r="R688" t="str">
        <f>INDEX('Partner data'!$A$2:$DG$171,MATCH(#REF!,'Partner data'!$DG$2:$DG$171,0),83)</f>
        <v xml:space="preserve">Organismo di diritto pubblico </v>
      </c>
      <c r="S688" s="86" t="b">
        <f>IF(#REF!="staff",INDEX('Partner data'!$DG$2:$DH$171,MATCH(#REF!,'Partner data'!$DG$2:$DG$171,0),2))</f>
        <v>0</v>
      </c>
    </row>
    <row r="689" spans="1:19" x14ac:dyDescent="0.25">
      <c r="A689" t="s">
        <v>346</v>
      </c>
      <c r="B689" t="s">
        <v>349</v>
      </c>
      <c r="C689" s="2">
        <v>294</v>
      </c>
      <c r="D689" s="2">
        <v>312</v>
      </c>
      <c r="E689" t="s">
        <v>233</v>
      </c>
      <c r="G689">
        <v>30000</v>
      </c>
      <c r="H689">
        <v>0</v>
      </c>
      <c r="I689">
        <v>0</v>
      </c>
      <c r="J689">
        <v>0</v>
      </c>
      <c r="K689">
        <v>0</v>
      </c>
      <c r="L689">
        <v>0</v>
      </c>
      <c r="M689">
        <v>0</v>
      </c>
      <c r="N689">
        <v>0</v>
      </c>
      <c r="O689">
        <v>30000</v>
      </c>
      <c r="P689">
        <v>0</v>
      </c>
      <c r="Q689" t="str">
        <f>INDEX(pARTNER[#All],MATCH(#REF!,pARTNER[[#All],[Value.partnerSummary.id]],0),10)</f>
        <v>Italia (IT)</v>
      </c>
      <c r="R689" t="str">
        <f>INDEX('Partner data'!$A$2:$DG$171,MATCH(#REF!,'Partner data'!$DG$2:$DG$171,0),83)</f>
        <v xml:space="preserve">Organismo di diritto pubblico </v>
      </c>
      <c r="S689" s="86" t="b">
        <f>IF(#REF!="staff",INDEX('Partner data'!$DG$2:$DH$171,MATCH(#REF!,'Partner data'!$DG$2:$DG$171,0),2))</f>
        <v>0</v>
      </c>
    </row>
    <row r="690" spans="1:19" x14ac:dyDescent="0.25">
      <c r="A690" t="s">
        <v>346</v>
      </c>
      <c r="B690" t="s">
        <v>349</v>
      </c>
      <c r="C690" s="2">
        <v>294</v>
      </c>
      <c r="D690" s="2">
        <v>312</v>
      </c>
      <c r="E690" t="s">
        <v>234</v>
      </c>
      <c r="G690">
        <v>0</v>
      </c>
      <c r="H690">
        <v>0</v>
      </c>
      <c r="I690">
        <v>0</v>
      </c>
      <c r="J690">
        <v>0</v>
      </c>
      <c r="K690">
        <v>0</v>
      </c>
      <c r="L690">
        <v>0</v>
      </c>
      <c r="M690">
        <v>0</v>
      </c>
      <c r="N690">
        <v>0</v>
      </c>
      <c r="O690">
        <v>0</v>
      </c>
      <c r="P690">
        <v>0</v>
      </c>
      <c r="Q690" t="str">
        <f>INDEX(pARTNER[#All],MATCH(#REF!,pARTNER[[#All],[Value.partnerSummary.id]],0),10)</f>
        <v>Italia (IT)</v>
      </c>
      <c r="R690" t="str">
        <f>INDEX('Partner data'!$A$2:$DG$171,MATCH(#REF!,'Partner data'!$DG$2:$DG$171,0),83)</f>
        <v xml:space="preserve">Organismo di diritto pubblico </v>
      </c>
      <c r="S690" s="86" t="b">
        <f>IF(#REF!="staff",INDEX('Partner data'!$DG$2:$DH$171,MATCH(#REF!,'Partner data'!$DG$2:$DG$171,0),2))</f>
        <v>0</v>
      </c>
    </row>
    <row r="691" spans="1:19" x14ac:dyDescent="0.25">
      <c r="A691" t="s">
        <v>346</v>
      </c>
      <c r="B691" t="s">
        <v>349</v>
      </c>
      <c r="C691" s="2">
        <v>294</v>
      </c>
      <c r="D691" s="2">
        <v>312</v>
      </c>
      <c r="E691" t="s">
        <v>235</v>
      </c>
      <c r="G691">
        <v>0</v>
      </c>
      <c r="H691">
        <v>0</v>
      </c>
      <c r="I691">
        <v>0</v>
      </c>
      <c r="J691">
        <v>0</v>
      </c>
      <c r="K691">
        <v>0</v>
      </c>
      <c r="L691">
        <v>0</v>
      </c>
      <c r="M691">
        <v>0</v>
      </c>
      <c r="N691">
        <v>0</v>
      </c>
      <c r="O691">
        <v>0</v>
      </c>
      <c r="P691">
        <v>0</v>
      </c>
      <c r="Q691" t="str">
        <f>INDEX(pARTNER[#All],MATCH(#REF!,pARTNER[[#All],[Value.partnerSummary.id]],0),10)</f>
        <v>Italia (IT)</v>
      </c>
      <c r="R691" t="str">
        <f>INDEX('Partner data'!$A$2:$DG$171,MATCH(#REF!,'Partner data'!$DG$2:$DG$171,0),83)</f>
        <v xml:space="preserve">Organismo di diritto pubblico </v>
      </c>
      <c r="S691" s="86" t="b">
        <f>IF(#REF!="staff",INDEX('Partner data'!$DG$2:$DH$171,MATCH(#REF!,'Partner data'!$DG$2:$DG$171,0),2))</f>
        <v>0</v>
      </c>
    </row>
    <row r="692" spans="1:19" x14ac:dyDescent="0.25">
      <c r="A692" t="s">
        <v>346</v>
      </c>
      <c r="B692" t="s">
        <v>349</v>
      </c>
      <c r="C692" s="2">
        <v>294</v>
      </c>
      <c r="D692" s="2">
        <v>312</v>
      </c>
      <c r="E692" t="s">
        <v>236</v>
      </c>
      <c r="G692">
        <v>0</v>
      </c>
      <c r="H692">
        <v>0</v>
      </c>
      <c r="I692">
        <v>0</v>
      </c>
      <c r="J692">
        <v>0</v>
      </c>
      <c r="K692">
        <v>0</v>
      </c>
      <c r="L692">
        <v>0</v>
      </c>
      <c r="M692">
        <v>0</v>
      </c>
      <c r="N692">
        <v>0</v>
      </c>
      <c r="O692">
        <v>0</v>
      </c>
      <c r="P692">
        <v>0</v>
      </c>
      <c r="Q692" t="str">
        <f>INDEX(pARTNER[#All],MATCH(#REF!,pARTNER[[#All],[Value.partnerSummary.id]],0),10)</f>
        <v>Italia (IT)</v>
      </c>
      <c r="R692" t="str">
        <f>INDEX('Partner data'!$A$2:$DG$171,MATCH(#REF!,'Partner data'!$DG$2:$DG$171,0),83)</f>
        <v xml:space="preserve">Organismo di diritto pubblico </v>
      </c>
      <c r="S692" s="86" t="b">
        <f>IF(#REF!="staff",INDEX('Partner data'!$DG$2:$DH$171,MATCH(#REF!,'Partner data'!$DG$2:$DG$171,0),2))</f>
        <v>0</v>
      </c>
    </row>
    <row r="693" spans="1:19" x14ac:dyDescent="0.25">
      <c r="A693" t="s">
        <v>346</v>
      </c>
      <c r="B693" t="s">
        <v>349</v>
      </c>
      <c r="C693" s="2">
        <v>294</v>
      </c>
      <c r="D693" s="2">
        <v>312</v>
      </c>
      <c r="E693" t="s">
        <v>237</v>
      </c>
      <c r="G693">
        <v>0</v>
      </c>
      <c r="H693">
        <v>0</v>
      </c>
      <c r="I693">
        <v>0</v>
      </c>
      <c r="J693">
        <v>0</v>
      </c>
      <c r="K693">
        <v>0</v>
      </c>
      <c r="L693">
        <v>0</v>
      </c>
      <c r="M693">
        <v>0</v>
      </c>
      <c r="N693">
        <v>0</v>
      </c>
      <c r="O693">
        <v>0</v>
      </c>
      <c r="P693">
        <v>0</v>
      </c>
      <c r="Q693" t="str">
        <f>INDEX(pARTNER[#All],MATCH(#REF!,pARTNER[[#All],[Value.partnerSummary.id]],0),10)</f>
        <v>Italia (IT)</v>
      </c>
      <c r="R693" t="str">
        <f>INDEX('Partner data'!$A$2:$DG$171,MATCH(#REF!,'Partner data'!$DG$2:$DG$171,0),83)</f>
        <v xml:space="preserve">Organismo di diritto pubblico </v>
      </c>
      <c r="S693" s="86" t="b">
        <f>IF(#REF!="staff",INDEX('Partner data'!$DG$2:$DH$171,MATCH(#REF!,'Partner data'!$DG$2:$DG$171,0),2))</f>
        <v>0</v>
      </c>
    </row>
    <row r="694" spans="1:19" x14ac:dyDescent="0.25">
      <c r="A694" t="s">
        <v>346</v>
      </c>
      <c r="B694" t="s">
        <v>349</v>
      </c>
      <c r="C694" s="2">
        <v>294</v>
      </c>
      <c r="D694" s="2">
        <v>312</v>
      </c>
      <c r="E694" t="s">
        <v>238</v>
      </c>
      <c r="G694">
        <v>132616.66</v>
      </c>
      <c r="H694">
        <v>0</v>
      </c>
      <c r="I694">
        <v>0</v>
      </c>
      <c r="J694">
        <v>10345.86</v>
      </c>
      <c r="K694">
        <v>0</v>
      </c>
      <c r="L694">
        <v>10345.86</v>
      </c>
      <c r="M694">
        <v>10345.86</v>
      </c>
      <c r="N694">
        <v>7.8</v>
      </c>
      <c r="O694">
        <v>122270.8</v>
      </c>
      <c r="P694">
        <v>0</v>
      </c>
      <c r="Q694" t="str">
        <f>INDEX(pARTNER[#All],MATCH(#REF!,pARTNER[[#All],[Value.partnerSummary.id]],0),10)</f>
        <v>Italia (IT)</v>
      </c>
      <c r="R694" t="str">
        <f>INDEX('Partner data'!$A$2:$DG$171,MATCH(#REF!,'Partner data'!$DG$2:$DG$171,0),83)</f>
        <v xml:space="preserve">Organismo di diritto pubblico </v>
      </c>
      <c r="S694" s="86" t="b">
        <f>IF(#REF!="staff",INDEX('Partner data'!$DG$2:$DH$171,MATCH(#REF!,'Partner data'!$DG$2:$DG$171,0),2))</f>
        <v>0</v>
      </c>
    </row>
    <row r="695" spans="1:19" x14ac:dyDescent="0.25">
      <c r="A695" t="s">
        <v>296</v>
      </c>
      <c r="B695" t="s">
        <v>297</v>
      </c>
      <c r="C695" s="2">
        <v>193</v>
      </c>
      <c r="D695" s="2">
        <v>240</v>
      </c>
      <c r="E695" t="s">
        <v>228</v>
      </c>
      <c r="F695">
        <v>20</v>
      </c>
      <c r="G695">
        <v>13000</v>
      </c>
      <c r="H695">
        <v>0</v>
      </c>
      <c r="I695">
        <v>0</v>
      </c>
      <c r="J695">
        <v>0</v>
      </c>
      <c r="K695">
        <v>0</v>
      </c>
      <c r="L695">
        <v>0</v>
      </c>
      <c r="M695">
        <v>0</v>
      </c>
      <c r="N695">
        <v>0</v>
      </c>
      <c r="O695">
        <v>13000</v>
      </c>
      <c r="P695">
        <v>0</v>
      </c>
      <c r="Q695" t="str">
        <f>INDEX(pARTNER[#All],MATCH(#REF!,pARTNER[[#All],[Value.partnerSummary.id]],0),10)</f>
        <v>Italia (IT)</v>
      </c>
      <c r="R695" t="str">
        <f>INDEX('Partner data'!$A$2:$DG$171,MATCH(#REF!,'Partner data'!$DG$2:$DG$171,0),83)</f>
        <v>Soggetto pubblico</v>
      </c>
      <c r="S695" s="86" t="str">
        <f>IF(#REF!="staff",INDEX('Partner data'!$DG$2:$DH$171,MATCH(#REF!,'Partner data'!$DG$2:$DG$171,0),2))</f>
        <v>Tasso Forfettario 20%</v>
      </c>
    </row>
    <row r="696" spans="1:19" x14ac:dyDescent="0.25">
      <c r="A696" t="s">
        <v>296</v>
      </c>
      <c r="B696" t="s">
        <v>297</v>
      </c>
      <c r="C696" s="2">
        <v>193</v>
      </c>
      <c r="D696" s="2">
        <v>240</v>
      </c>
      <c r="E696" t="s">
        <v>229</v>
      </c>
      <c r="F696">
        <v>15</v>
      </c>
      <c r="G696">
        <v>1950</v>
      </c>
      <c r="H696">
        <v>0</v>
      </c>
      <c r="I696">
        <v>0</v>
      </c>
      <c r="J696">
        <v>0</v>
      </c>
      <c r="K696">
        <v>0</v>
      </c>
      <c r="L696">
        <v>0</v>
      </c>
      <c r="M696">
        <v>0</v>
      </c>
      <c r="N696">
        <v>0</v>
      </c>
      <c r="O696">
        <v>1950</v>
      </c>
      <c r="P696">
        <v>0</v>
      </c>
      <c r="Q696" t="str">
        <f>INDEX(pARTNER[#All],MATCH(#REF!,pARTNER[[#All],[Value.partnerSummary.id]],0),10)</f>
        <v>Italia (IT)</v>
      </c>
      <c r="R696" t="str">
        <f>INDEX('Partner data'!$A$2:$DG$171,MATCH(#REF!,'Partner data'!$DG$2:$DG$171,0),83)</f>
        <v>Soggetto pubblico</v>
      </c>
      <c r="S696" s="86" t="b">
        <f>IF(#REF!="staff",INDEX('Partner data'!$DG$2:$DH$171,MATCH(#REF!,'Partner data'!$DG$2:$DG$171,0),2))</f>
        <v>0</v>
      </c>
    </row>
    <row r="697" spans="1:19" x14ac:dyDescent="0.25">
      <c r="A697" t="s">
        <v>296</v>
      </c>
      <c r="B697" t="s">
        <v>297</v>
      </c>
      <c r="C697" s="2">
        <v>193</v>
      </c>
      <c r="D697" s="2">
        <v>240</v>
      </c>
      <c r="E697" t="s">
        <v>230</v>
      </c>
      <c r="F697">
        <v>4</v>
      </c>
      <c r="G697">
        <v>520</v>
      </c>
      <c r="H697">
        <v>0</v>
      </c>
      <c r="I697">
        <v>0</v>
      </c>
      <c r="J697">
        <v>0</v>
      </c>
      <c r="K697">
        <v>0</v>
      </c>
      <c r="L697">
        <v>0</v>
      </c>
      <c r="M697">
        <v>0</v>
      </c>
      <c r="N697">
        <v>0</v>
      </c>
      <c r="O697">
        <v>520</v>
      </c>
      <c r="P697">
        <v>0</v>
      </c>
      <c r="Q697" t="str">
        <f>INDEX(pARTNER[#All],MATCH(#REF!,pARTNER[[#All],[Value.partnerSummary.id]],0),10)</f>
        <v>Italia (IT)</v>
      </c>
      <c r="R697" t="str">
        <f>INDEX('Partner data'!$A$2:$DG$171,MATCH(#REF!,'Partner data'!$DG$2:$DG$171,0),83)</f>
        <v>Soggetto pubblico</v>
      </c>
      <c r="S697" s="86" t="b">
        <f>IF(#REF!="staff",INDEX('Partner data'!$DG$2:$DH$171,MATCH(#REF!,'Partner data'!$DG$2:$DG$171,0),2))</f>
        <v>0</v>
      </c>
    </row>
    <row r="698" spans="1:19" x14ac:dyDescent="0.25">
      <c r="A698" t="s">
        <v>296</v>
      </c>
      <c r="B698" t="s">
        <v>297</v>
      </c>
      <c r="C698" s="2">
        <v>193</v>
      </c>
      <c r="D698" s="2">
        <v>240</v>
      </c>
      <c r="E698" t="s">
        <v>231</v>
      </c>
      <c r="G698">
        <v>35000</v>
      </c>
      <c r="H698">
        <v>0</v>
      </c>
      <c r="I698">
        <v>0</v>
      </c>
      <c r="J698">
        <v>0</v>
      </c>
      <c r="K698">
        <v>0</v>
      </c>
      <c r="L698">
        <v>0</v>
      </c>
      <c r="M698">
        <v>0</v>
      </c>
      <c r="N698">
        <v>0</v>
      </c>
      <c r="O698">
        <v>35000</v>
      </c>
      <c r="P698">
        <v>0</v>
      </c>
      <c r="Q698" t="str">
        <f>INDEX(pARTNER[#All],MATCH(#REF!,pARTNER[[#All],[Value.partnerSummary.id]],0),10)</f>
        <v>Italia (IT)</v>
      </c>
      <c r="R698" t="str">
        <f>INDEX('Partner data'!$A$2:$DG$171,MATCH(#REF!,'Partner data'!$DG$2:$DG$171,0),83)</f>
        <v>Soggetto pubblico</v>
      </c>
      <c r="S698" s="86" t="b">
        <f>IF(#REF!="staff",INDEX('Partner data'!$DG$2:$DH$171,MATCH(#REF!,'Partner data'!$DG$2:$DG$171,0),2))</f>
        <v>0</v>
      </c>
    </row>
    <row r="699" spans="1:19" x14ac:dyDescent="0.25">
      <c r="A699" t="s">
        <v>296</v>
      </c>
      <c r="B699" t="s">
        <v>297</v>
      </c>
      <c r="C699" s="2">
        <v>193</v>
      </c>
      <c r="D699" s="2">
        <v>240</v>
      </c>
      <c r="E699" t="s">
        <v>232</v>
      </c>
      <c r="G699">
        <v>30000</v>
      </c>
      <c r="H699">
        <v>0</v>
      </c>
      <c r="I699">
        <v>0</v>
      </c>
      <c r="J699">
        <v>0</v>
      </c>
      <c r="K699">
        <v>0</v>
      </c>
      <c r="L699">
        <v>0</v>
      </c>
      <c r="M699">
        <v>0</v>
      </c>
      <c r="N699">
        <v>0</v>
      </c>
      <c r="O699">
        <v>30000</v>
      </c>
      <c r="P699">
        <v>0</v>
      </c>
      <c r="Q699" t="str">
        <f>INDEX(pARTNER[#All],MATCH(#REF!,pARTNER[[#All],[Value.partnerSummary.id]],0),10)</f>
        <v>Italia (IT)</v>
      </c>
      <c r="R699" t="str">
        <f>INDEX('Partner data'!$A$2:$DG$171,MATCH(#REF!,'Partner data'!$DG$2:$DG$171,0),83)</f>
        <v>Soggetto pubblico</v>
      </c>
      <c r="S699" s="86" t="b">
        <f>IF(#REF!="staff",INDEX('Partner data'!$DG$2:$DH$171,MATCH(#REF!,'Partner data'!$DG$2:$DG$171,0),2))</f>
        <v>0</v>
      </c>
    </row>
    <row r="700" spans="1:19" x14ac:dyDescent="0.25">
      <c r="A700" t="s">
        <v>296</v>
      </c>
      <c r="B700" t="s">
        <v>297</v>
      </c>
      <c r="C700" s="2">
        <v>193</v>
      </c>
      <c r="D700" s="2">
        <v>240</v>
      </c>
      <c r="E700" t="s">
        <v>233</v>
      </c>
      <c r="G700">
        <v>0</v>
      </c>
      <c r="H700">
        <v>0</v>
      </c>
      <c r="I700">
        <v>0</v>
      </c>
      <c r="J700">
        <v>0</v>
      </c>
      <c r="K700">
        <v>0</v>
      </c>
      <c r="L700">
        <v>0</v>
      </c>
      <c r="M700">
        <v>0</v>
      </c>
      <c r="N700">
        <v>0</v>
      </c>
      <c r="O700">
        <v>0</v>
      </c>
      <c r="P700">
        <v>0</v>
      </c>
      <c r="Q700" t="str">
        <f>INDEX(pARTNER[#All],MATCH(#REF!,pARTNER[[#All],[Value.partnerSummary.id]],0),10)</f>
        <v>Italia (IT)</v>
      </c>
      <c r="R700" t="str">
        <f>INDEX('Partner data'!$A$2:$DG$171,MATCH(#REF!,'Partner data'!$DG$2:$DG$171,0),83)</f>
        <v>Soggetto pubblico</v>
      </c>
      <c r="S700" s="86" t="b">
        <f>IF(#REF!="staff",INDEX('Partner data'!$DG$2:$DH$171,MATCH(#REF!,'Partner data'!$DG$2:$DG$171,0),2))</f>
        <v>0</v>
      </c>
    </row>
    <row r="701" spans="1:19" x14ac:dyDescent="0.25">
      <c r="A701" t="s">
        <v>296</v>
      </c>
      <c r="B701" t="s">
        <v>297</v>
      </c>
      <c r="C701" s="2">
        <v>193</v>
      </c>
      <c r="D701" s="2">
        <v>240</v>
      </c>
      <c r="E701" t="s">
        <v>234</v>
      </c>
      <c r="G701">
        <v>0</v>
      </c>
      <c r="H701">
        <v>0</v>
      </c>
      <c r="I701">
        <v>0</v>
      </c>
      <c r="J701">
        <v>0</v>
      </c>
      <c r="K701">
        <v>0</v>
      </c>
      <c r="L701">
        <v>0</v>
      </c>
      <c r="M701">
        <v>0</v>
      </c>
      <c r="N701">
        <v>0</v>
      </c>
      <c r="O701">
        <v>0</v>
      </c>
      <c r="P701">
        <v>0</v>
      </c>
      <c r="Q701" t="str">
        <f>INDEX(pARTNER[#All],MATCH(#REF!,pARTNER[[#All],[Value.partnerSummary.id]],0),10)</f>
        <v>Italia (IT)</v>
      </c>
      <c r="R701" t="str">
        <f>INDEX('Partner data'!$A$2:$DG$171,MATCH(#REF!,'Partner data'!$DG$2:$DG$171,0),83)</f>
        <v>Soggetto pubblico</v>
      </c>
      <c r="S701" s="86" t="b">
        <f>IF(#REF!="staff",INDEX('Partner data'!$DG$2:$DH$171,MATCH(#REF!,'Partner data'!$DG$2:$DG$171,0),2))</f>
        <v>0</v>
      </c>
    </row>
    <row r="702" spans="1:19" x14ac:dyDescent="0.25">
      <c r="A702" t="s">
        <v>296</v>
      </c>
      <c r="B702" t="s">
        <v>297</v>
      </c>
      <c r="C702" s="2">
        <v>193</v>
      </c>
      <c r="D702" s="2">
        <v>240</v>
      </c>
      <c r="E702" t="s">
        <v>235</v>
      </c>
      <c r="G702">
        <v>0</v>
      </c>
      <c r="H702">
        <v>0</v>
      </c>
      <c r="I702">
        <v>0</v>
      </c>
      <c r="J702">
        <v>0</v>
      </c>
      <c r="K702">
        <v>0</v>
      </c>
      <c r="L702">
        <v>0</v>
      </c>
      <c r="M702">
        <v>0</v>
      </c>
      <c r="N702">
        <v>0</v>
      </c>
      <c r="O702">
        <v>0</v>
      </c>
      <c r="P702">
        <v>0</v>
      </c>
      <c r="Q702" t="str">
        <f>INDEX(pARTNER[#All],MATCH(#REF!,pARTNER[[#All],[Value.partnerSummary.id]],0),10)</f>
        <v>Italia (IT)</v>
      </c>
      <c r="R702" t="str">
        <f>INDEX('Partner data'!$A$2:$DG$171,MATCH(#REF!,'Partner data'!$DG$2:$DG$171,0),83)</f>
        <v>Soggetto pubblico</v>
      </c>
      <c r="S702" s="86" t="b">
        <f>IF(#REF!="staff",INDEX('Partner data'!$DG$2:$DH$171,MATCH(#REF!,'Partner data'!$DG$2:$DG$171,0),2))</f>
        <v>0</v>
      </c>
    </row>
    <row r="703" spans="1:19" x14ac:dyDescent="0.25">
      <c r="A703" t="s">
        <v>296</v>
      </c>
      <c r="B703" t="s">
        <v>297</v>
      </c>
      <c r="C703" s="2">
        <v>193</v>
      </c>
      <c r="D703" s="2">
        <v>240</v>
      </c>
      <c r="E703" t="s">
        <v>236</v>
      </c>
      <c r="G703">
        <v>0</v>
      </c>
      <c r="H703">
        <v>0</v>
      </c>
      <c r="I703">
        <v>0</v>
      </c>
      <c r="J703">
        <v>0</v>
      </c>
      <c r="K703">
        <v>0</v>
      </c>
      <c r="L703">
        <v>0</v>
      </c>
      <c r="M703">
        <v>0</v>
      </c>
      <c r="N703">
        <v>0</v>
      </c>
      <c r="O703">
        <v>0</v>
      </c>
      <c r="P703">
        <v>0</v>
      </c>
      <c r="Q703" t="str">
        <f>INDEX(pARTNER[#All],MATCH(#REF!,pARTNER[[#All],[Value.partnerSummary.id]],0),10)</f>
        <v>Italia (IT)</v>
      </c>
      <c r="R703" t="str">
        <f>INDEX('Partner data'!$A$2:$DG$171,MATCH(#REF!,'Partner data'!$DG$2:$DG$171,0),83)</f>
        <v>Soggetto pubblico</v>
      </c>
      <c r="S703" s="86" t="b">
        <f>IF(#REF!="staff",INDEX('Partner data'!$DG$2:$DH$171,MATCH(#REF!,'Partner data'!$DG$2:$DG$171,0),2))</f>
        <v>0</v>
      </c>
    </row>
    <row r="704" spans="1:19" x14ac:dyDescent="0.25">
      <c r="A704" t="s">
        <v>296</v>
      </c>
      <c r="B704" t="s">
        <v>297</v>
      </c>
      <c r="C704" s="2">
        <v>193</v>
      </c>
      <c r="D704" s="2">
        <v>240</v>
      </c>
      <c r="E704" t="s">
        <v>237</v>
      </c>
      <c r="G704">
        <v>0</v>
      </c>
      <c r="H704">
        <v>0</v>
      </c>
      <c r="I704">
        <v>0</v>
      </c>
      <c r="J704">
        <v>0</v>
      </c>
      <c r="K704">
        <v>0</v>
      </c>
      <c r="L704">
        <v>0</v>
      </c>
      <c r="M704">
        <v>0</v>
      </c>
      <c r="N704">
        <v>0</v>
      </c>
      <c r="O704">
        <v>0</v>
      </c>
      <c r="P704">
        <v>0</v>
      </c>
      <c r="Q704" t="str">
        <f>INDEX(pARTNER[#All],MATCH(#REF!,pARTNER[[#All],[Value.partnerSummary.id]],0),10)</f>
        <v>Italia (IT)</v>
      </c>
      <c r="R704" t="str">
        <f>INDEX('Partner data'!$A$2:$DG$171,MATCH(#REF!,'Partner data'!$DG$2:$DG$171,0),83)</f>
        <v>Soggetto pubblico</v>
      </c>
      <c r="S704" s="86" t="b">
        <f>IF(#REF!="staff",INDEX('Partner data'!$DG$2:$DH$171,MATCH(#REF!,'Partner data'!$DG$2:$DG$171,0),2))</f>
        <v>0</v>
      </c>
    </row>
    <row r="705" spans="1:19" x14ac:dyDescent="0.25">
      <c r="A705" t="s">
        <v>296</v>
      </c>
      <c r="B705" t="s">
        <v>297</v>
      </c>
      <c r="C705" s="2">
        <v>193</v>
      </c>
      <c r="D705" s="2">
        <v>240</v>
      </c>
      <c r="E705" t="s">
        <v>238</v>
      </c>
      <c r="G705">
        <v>80470</v>
      </c>
      <c r="H705">
        <v>0</v>
      </c>
      <c r="I705">
        <v>0</v>
      </c>
      <c r="J705">
        <v>0</v>
      </c>
      <c r="K705">
        <v>0</v>
      </c>
      <c r="L705">
        <v>0</v>
      </c>
      <c r="M705">
        <v>0</v>
      </c>
      <c r="N705">
        <v>0</v>
      </c>
      <c r="O705">
        <v>80470</v>
      </c>
      <c r="P705">
        <v>0</v>
      </c>
      <c r="Q705" t="str">
        <f>INDEX(pARTNER[#All],MATCH(#REF!,pARTNER[[#All],[Value.partnerSummary.id]],0),10)</f>
        <v>Italia (IT)</v>
      </c>
      <c r="R705" t="str">
        <f>INDEX('Partner data'!$A$2:$DG$171,MATCH(#REF!,'Partner data'!$DG$2:$DG$171,0),83)</f>
        <v>Soggetto pubblico</v>
      </c>
      <c r="S705" s="86" t="b">
        <f>IF(#REF!="staff",INDEX('Partner data'!$DG$2:$DH$171,MATCH(#REF!,'Partner data'!$DG$2:$DG$171,0),2))</f>
        <v>0</v>
      </c>
    </row>
    <row r="706" spans="1:19" x14ac:dyDescent="0.25">
      <c r="A706" t="s">
        <v>296</v>
      </c>
      <c r="B706" t="s">
        <v>0</v>
      </c>
      <c r="C706" s="2">
        <v>195</v>
      </c>
      <c r="D706" s="2">
        <v>298</v>
      </c>
      <c r="E706" t="s">
        <v>228</v>
      </c>
      <c r="G706">
        <v>24462</v>
      </c>
      <c r="H706">
        <v>0</v>
      </c>
      <c r="I706">
        <v>0</v>
      </c>
      <c r="J706">
        <v>5674</v>
      </c>
      <c r="K706">
        <v>0</v>
      </c>
      <c r="L706">
        <v>5674</v>
      </c>
      <c r="M706">
        <v>5674</v>
      </c>
      <c r="N706">
        <v>23.2</v>
      </c>
      <c r="O706">
        <v>18788</v>
      </c>
      <c r="P706">
        <v>0</v>
      </c>
      <c r="Q706" t="str">
        <f>INDEX(pARTNER[#All],MATCH(#REF!,pARTNER[[#All],[Value.partnerSummary.id]],0),10)</f>
        <v>Italia (IT)</v>
      </c>
      <c r="R706" t="str">
        <f>INDEX('Partner data'!$A$2:$DG$171,MATCH(#REF!,'Partner data'!$DG$2:$DG$171,0),83)</f>
        <v>Soggetto pubblico</v>
      </c>
      <c r="S706" s="86" t="str">
        <f>IF(#REF!="staff",INDEX('Partner data'!$DG$2:$DH$171,MATCH(#REF!,'Partner data'!$DG$2:$DG$171,0),2))</f>
        <v>Costo Unitario Standard</v>
      </c>
    </row>
    <row r="707" spans="1:19" x14ac:dyDescent="0.25">
      <c r="A707" t="s">
        <v>296</v>
      </c>
      <c r="B707" t="s">
        <v>0</v>
      </c>
      <c r="C707" s="2">
        <v>195</v>
      </c>
      <c r="D707" s="2">
        <v>298</v>
      </c>
      <c r="E707" t="s">
        <v>229</v>
      </c>
      <c r="F707">
        <v>15</v>
      </c>
      <c r="G707">
        <v>3669.3</v>
      </c>
      <c r="H707">
        <v>0</v>
      </c>
      <c r="I707">
        <v>0</v>
      </c>
      <c r="J707">
        <v>851.1</v>
      </c>
      <c r="K707">
        <v>0</v>
      </c>
      <c r="L707">
        <v>851.1</v>
      </c>
      <c r="M707">
        <v>851.1</v>
      </c>
      <c r="N707">
        <v>23.2</v>
      </c>
      <c r="O707">
        <v>2818.2</v>
      </c>
      <c r="P707">
        <v>0</v>
      </c>
      <c r="Q707" t="str">
        <f>INDEX(pARTNER[#All],MATCH(#REF!,pARTNER[[#All],[Value.partnerSummary.id]],0),10)</f>
        <v>Italia (IT)</v>
      </c>
      <c r="R707" t="str">
        <f>INDEX('Partner data'!$A$2:$DG$171,MATCH(#REF!,'Partner data'!$DG$2:$DG$171,0),83)</f>
        <v>Soggetto pubblico</v>
      </c>
      <c r="S707" s="86" t="b">
        <f>IF(#REF!="staff",INDEX('Partner data'!$DG$2:$DH$171,MATCH(#REF!,'Partner data'!$DG$2:$DG$171,0),2))</f>
        <v>0</v>
      </c>
    </row>
    <row r="708" spans="1:19" x14ac:dyDescent="0.25">
      <c r="A708" t="s">
        <v>296</v>
      </c>
      <c r="B708" t="s">
        <v>0</v>
      </c>
      <c r="C708" s="2">
        <v>195</v>
      </c>
      <c r="D708" s="2">
        <v>298</v>
      </c>
      <c r="E708" t="s">
        <v>230</v>
      </c>
      <c r="F708">
        <v>4</v>
      </c>
      <c r="G708">
        <v>978.48</v>
      </c>
      <c r="H708">
        <v>0</v>
      </c>
      <c r="I708">
        <v>0</v>
      </c>
      <c r="J708">
        <v>226.96</v>
      </c>
      <c r="K708">
        <v>0</v>
      </c>
      <c r="L708">
        <v>226.96</v>
      </c>
      <c r="M708">
        <v>226.96</v>
      </c>
      <c r="N708">
        <v>23.2</v>
      </c>
      <c r="O708">
        <v>751.52</v>
      </c>
      <c r="P708">
        <v>0</v>
      </c>
      <c r="Q708" t="str">
        <f>INDEX(pARTNER[#All],MATCH(#REF!,pARTNER[[#All],[Value.partnerSummary.id]],0),10)</f>
        <v>Italia (IT)</v>
      </c>
      <c r="R708" t="str">
        <f>INDEX('Partner data'!$A$2:$DG$171,MATCH(#REF!,'Partner data'!$DG$2:$DG$171,0),83)</f>
        <v>Soggetto pubblico</v>
      </c>
      <c r="S708" s="86" t="b">
        <f>IF(#REF!="staff",INDEX('Partner data'!$DG$2:$DH$171,MATCH(#REF!,'Partner data'!$DG$2:$DG$171,0),2))</f>
        <v>0</v>
      </c>
    </row>
    <row r="709" spans="1:19" x14ac:dyDescent="0.25">
      <c r="A709" t="s">
        <v>296</v>
      </c>
      <c r="B709" t="s">
        <v>0</v>
      </c>
      <c r="C709" s="2">
        <v>195</v>
      </c>
      <c r="D709" s="2">
        <v>298</v>
      </c>
      <c r="E709" t="s">
        <v>231</v>
      </c>
      <c r="G709">
        <v>10000</v>
      </c>
      <c r="H709">
        <v>0</v>
      </c>
      <c r="I709">
        <v>0</v>
      </c>
      <c r="J709">
        <v>0</v>
      </c>
      <c r="K709">
        <v>0</v>
      </c>
      <c r="L709">
        <v>0</v>
      </c>
      <c r="M709">
        <v>0</v>
      </c>
      <c r="N709">
        <v>0</v>
      </c>
      <c r="O709">
        <v>10000</v>
      </c>
      <c r="P709">
        <v>0</v>
      </c>
      <c r="Q709" t="str">
        <f>INDEX(pARTNER[#All],MATCH(#REF!,pARTNER[[#All],[Value.partnerSummary.id]],0),10)</f>
        <v>Italia (IT)</v>
      </c>
      <c r="R709" t="str">
        <f>INDEX('Partner data'!$A$2:$DG$171,MATCH(#REF!,'Partner data'!$DG$2:$DG$171,0),83)</f>
        <v>Soggetto pubblico</v>
      </c>
      <c r="S709" s="86" t="b">
        <f>IF(#REF!="staff",INDEX('Partner data'!$DG$2:$DH$171,MATCH(#REF!,'Partner data'!$DG$2:$DG$171,0),2))</f>
        <v>0</v>
      </c>
    </row>
    <row r="710" spans="1:19" x14ac:dyDescent="0.25">
      <c r="A710" t="s">
        <v>296</v>
      </c>
      <c r="B710" t="s">
        <v>0</v>
      </c>
      <c r="C710" s="2">
        <v>195</v>
      </c>
      <c r="D710" s="2">
        <v>298</v>
      </c>
      <c r="E710" t="s">
        <v>232</v>
      </c>
      <c r="G710">
        <v>80000</v>
      </c>
      <c r="H710">
        <v>0</v>
      </c>
      <c r="I710">
        <v>0</v>
      </c>
      <c r="J710">
        <v>0</v>
      </c>
      <c r="K710">
        <v>0</v>
      </c>
      <c r="L710">
        <v>0</v>
      </c>
      <c r="M710">
        <v>0</v>
      </c>
      <c r="N710">
        <v>0</v>
      </c>
      <c r="O710">
        <v>80000</v>
      </c>
      <c r="P710">
        <v>0</v>
      </c>
      <c r="Q710" t="str">
        <f>INDEX(pARTNER[#All],MATCH(#REF!,pARTNER[[#All],[Value.partnerSummary.id]],0),10)</f>
        <v>Italia (IT)</v>
      </c>
      <c r="R710" t="str">
        <f>INDEX('Partner data'!$A$2:$DG$171,MATCH(#REF!,'Partner data'!$DG$2:$DG$171,0),83)</f>
        <v>Soggetto pubblico</v>
      </c>
      <c r="S710" s="86" t="b">
        <f>IF(#REF!="staff",INDEX('Partner data'!$DG$2:$DH$171,MATCH(#REF!,'Partner data'!$DG$2:$DG$171,0),2))</f>
        <v>0</v>
      </c>
    </row>
    <row r="711" spans="1:19" x14ac:dyDescent="0.25">
      <c r="A711" t="s">
        <v>296</v>
      </c>
      <c r="B711" t="s">
        <v>0</v>
      </c>
      <c r="C711" s="2">
        <v>195</v>
      </c>
      <c r="D711" s="2">
        <v>298</v>
      </c>
      <c r="E711" t="s">
        <v>233</v>
      </c>
      <c r="G711">
        <v>0</v>
      </c>
      <c r="H711">
        <v>0</v>
      </c>
      <c r="I711">
        <v>0</v>
      </c>
      <c r="J711">
        <v>0</v>
      </c>
      <c r="K711">
        <v>0</v>
      </c>
      <c r="L711">
        <v>0</v>
      </c>
      <c r="M711">
        <v>0</v>
      </c>
      <c r="N711">
        <v>0</v>
      </c>
      <c r="O711">
        <v>0</v>
      </c>
      <c r="P711">
        <v>0</v>
      </c>
      <c r="Q711" t="str">
        <f>INDEX(pARTNER[#All],MATCH(#REF!,pARTNER[[#All],[Value.partnerSummary.id]],0),10)</f>
        <v>Italia (IT)</v>
      </c>
      <c r="R711" t="str">
        <f>INDEX('Partner data'!$A$2:$DG$171,MATCH(#REF!,'Partner data'!$DG$2:$DG$171,0),83)</f>
        <v>Soggetto pubblico</v>
      </c>
      <c r="S711" s="86" t="b">
        <f>IF(#REF!="staff",INDEX('Partner data'!$DG$2:$DH$171,MATCH(#REF!,'Partner data'!$DG$2:$DG$171,0),2))</f>
        <v>0</v>
      </c>
    </row>
    <row r="712" spans="1:19" x14ac:dyDescent="0.25">
      <c r="A712" t="s">
        <v>296</v>
      </c>
      <c r="B712" t="s">
        <v>0</v>
      </c>
      <c r="C712" s="2">
        <v>195</v>
      </c>
      <c r="D712" s="2">
        <v>298</v>
      </c>
      <c r="E712" t="s">
        <v>234</v>
      </c>
      <c r="G712">
        <v>0</v>
      </c>
      <c r="H712">
        <v>0</v>
      </c>
      <c r="I712">
        <v>0</v>
      </c>
      <c r="J712">
        <v>0</v>
      </c>
      <c r="K712">
        <v>0</v>
      </c>
      <c r="L712">
        <v>0</v>
      </c>
      <c r="M712">
        <v>0</v>
      </c>
      <c r="N712">
        <v>0</v>
      </c>
      <c r="O712">
        <v>0</v>
      </c>
      <c r="P712">
        <v>0</v>
      </c>
      <c r="Q712" t="str">
        <f>INDEX(pARTNER[#All],MATCH(#REF!,pARTNER[[#All],[Value.partnerSummary.id]],0),10)</f>
        <v>Italia (IT)</v>
      </c>
      <c r="R712" t="str">
        <f>INDEX('Partner data'!$A$2:$DG$171,MATCH(#REF!,'Partner data'!$DG$2:$DG$171,0),83)</f>
        <v>Soggetto pubblico</v>
      </c>
      <c r="S712" s="86" t="b">
        <f>IF(#REF!="staff",INDEX('Partner data'!$DG$2:$DH$171,MATCH(#REF!,'Partner data'!$DG$2:$DG$171,0),2))</f>
        <v>0</v>
      </c>
    </row>
    <row r="713" spans="1:19" x14ac:dyDescent="0.25">
      <c r="A713" t="s">
        <v>296</v>
      </c>
      <c r="B713" t="s">
        <v>0</v>
      </c>
      <c r="C713" s="2">
        <v>195</v>
      </c>
      <c r="D713" s="2">
        <v>298</v>
      </c>
      <c r="E713" t="s">
        <v>235</v>
      </c>
      <c r="G713">
        <v>0</v>
      </c>
      <c r="H713">
        <v>0</v>
      </c>
      <c r="I713">
        <v>0</v>
      </c>
      <c r="J713">
        <v>0</v>
      </c>
      <c r="K713">
        <v>0</v>
      </c>
      <c r="L713">
        <v>0</v>
      </c>
      <c r="M713">
        <v>0</v>
      </c>
      <c r="N713">
        <v>0</v>
      </c>
      <c r="O713">
        <v>0</v>
      </c>
      <c r="P713">
        <v>0</v>
      </c>
      <c r="Q713" t="str">
        <f>INDEX(pARTNER[#All],MATCH(#REF!,pARTNER[[#All],[Value.partnerSummary.id]],0),10)</f>
        <v>Italia (IT)</v>
      </c>
      <c r="R713" t="str">
        <f>INDEX('Partner data'!$A$2:$DG$171,MATCH(#REF!,'Partner data'!$DG$2:$DG$171,0),83)</f>
        <v>Soggetto pubblico</v>
      </c>
      <c r="S713" s="86" t="b">
        <f>IF(#REF!="staff",INDEX('Partner data'!$DG$2:$DH$171,MATCH(#REF!,'Partner data'!$DG$2:$DG$171,0),2))</f>
        <v>0</v>
      </c>
    </row>
    <row r="714" spans="1:19" x14ac:dyDescent="0.25">
      <c r="A714" t="s">
        <v>296</v>
      </c>
      <c r="B714" t="s">
        <v>0</v>
      </c>
      <c r="C714" s="2">
        <v>195</v>
      </c>
      <c r="D714" s="2">
        <v>298</v>
      </c>
      <c r="E714" t="s">
        <v>236</v>
      </c>
      <c r="G714">
        <v>0</v>
      </c>
      <c r="H714">
        <v>0</v>
      </c>
      <c r="I714">
        <v>0</v>
      </c>
      <c r="J714">
        <v>0</v>
      </c>
      <c r="K714">
        <v>0</v>
      </c>
      <c r="L714">
        <v>0</v>
      </c>
      <c r="M714">
        <v>0</v>
      </c>
      <c r="N714">
        <v>0</v>
      </c>
      <c r="O714">
        <v>0</v>
      </c>
      <c r="P714">
        <v>0</v>
      </c>
      <c r="Q714" t="str">
        <f>INDEX(pARTNER[#All],MATCH(#REF!,pARTNER[[#All],[Value.partnerSummary.id]],0),10)</f>
        <v>Italia (IT)</v>
      </c>
      <c r="R714" t="str">
        <f>INDEX('Partner data'!$A$2:$DG$171,MATCH(#REF!,'Partner data'!$DG$2:$DG$171,0),83)</f>
        <v>Soggetto pubblico</v>
      </c>
      <c r="S714" s="86" t="b">
        <f>IF(#REF!="staff",INDEX('Partner data'!$DG$2:$DH$171,MATCH(#REF!,'Partner data'!$DG$2:$DG$171,0),2))</f>
        <v>0</v>
      </c>
    </row>
    <row r="715" spans="1:19" x14ac:dyDescent="0.25">
      <c r="A715" t="s">
        <v>296</v>
      </c>
      <c r="B715" t="s">
        <v>0</v>
      </c>
      <c r="C715" s="2">
        <v>195</v>
      </c>
      <c r="D715" s="2">
        <v>298</v>
      </c>
      <c r="E715" t="s">
        <v>237</v>
      </c>
      <c r="G715">
        <v>0</v>
      </c>
      <c r="H715">
        <v>0</v>
      </c>
      <c r="I715">
        <v>0</v>
      </c>
      <c r="J715">
        <v>0</v>
      </c>
      <c r="K715">
        <v>0</v>
      </c>
      <c r="L715">
        <v>0</v>
      </c>
      <c r="M715">
        <v>0</v>
      </c>
      <c r="N715">
        <v>0</v>
      </c>
      <c r="O715">
        <v>0</v>
      </c>
      <c r="P715">
        <v>0</v>
      </c>
      <c r="Q715" t="str">
        <f>INDEX(pARTNER[#All],MATCH(#REF!,pARTNER[[#All],[Value.partnerSummary.id]],0),10)</f>
        <v>Italia (IT)</v>
      </c>
      <c r="R715" t="str">
        <f>INDEX('Partner data'!$A$2:$DG$171,MATCH(#REF!,'Partner data'!$DG$2:$DG$171,0),83)</f>
        <v>Soggetto pubblico</v>
      </c>
      <c r="S715" s="86" t="b">
        <f>IF(#REF!="staff",INDEX('Partner data'!$DG$2:$DH$171,MATCH(#REF!,'Partner data'!$DG$2:$DG$171,0),2))</f>
        <v>0</v>
      </c>
    </row>
    <row r="716" spans="1:19" x14ac:dyDescent="0.25">
      <c r="A716" t="s">
        <v>296</v>
      </c>
      <c r="B716" t="s">
        <v>0</v>
      </c>
      <c r="C716" s="2">
        <v>195</v>
      </c>
      <c r="D716" s="2">
        <v>298</v>
      </c>
      <c r="E716" t="s">
        <v>238</v>
      </c>
      <c r="G716">
        <v>119109.78</v>
      </c>
      <c r="H716">
        <v>0</v>
      </c>
      <c r="I716">
        <v>0</v>
      </c>
      <c r="J716">
        <v>6752.06</v>
      </c>
      <c r="K716">
        <v>0</v>
      </c>
      <c r="L716">
        <v>6752.06</v>
      </c>
      <c r="M716">
        <v>6752.06</v>
      </c>
      <c r="N716">
        <v>5.67</v>
      </c>
      <c r="O716">
        <v>112357.72</v>
      </c>
      <c r="P716">
        <v>0</v>
      </c>
      <c r="Q716" t="str">
        <f>INDEX(pARTNER[#All],MATCH(#REF!,pARTNER[[#All],[Value.partnerSummary.id]],0),10)</f>
        <v>Italia (IT)</v>
      </c>
      <c r="R716" t="str">
        <f>INDEX('Partner data'!$A$2:$DG$171,MATCH(#REF!,'Partner data'!$DG$2:$DG$171,0),83)</f>
        <v>Soggetto pubblico</v>
      </c>
      <c r="S716" s="86" t="b">
        <f>IF(#REF!="staff",INDEX('Partner data'!$DG$2:$DH$171,MATCH(#REF!,'Partner data'!$DG$2:$DG$171,0),2))</f>
        <v>0</v>
      </c>
    </row>
    <row r="717" spans="1:19" x14ac:dyDescent="0.25">
      <c r="A717" t="s">
        <v>296</v>
      </c>
      <c r="B717" t="s">
        <v>298</v>
      </c>
      <c r="C717" s="2">
        <v>196</v>
      </c>
      <c r="D717" s="2">
        <v>336</v>
      </c>
      <c r="E717" t="s">
        <v>228</v>
      </c>
      <c r="G717">
        <v>19517</v>
      </c>
      <c r="H717">
        <v>0</v>
      </c>
      <c r="I717">
        <v>0</v>
      </c>
      <c r="J717">
        <v>0</v>
      </c>
      <c r="K717">
        <v>0</v>
      </c>
      <c r="L717">
        <v>0</v>
      </c>
      <c r="M717">
        <v>0</v>
      </c>
      <c r="N717">
        <v>0</v>
      </c>
      <c r="O717">
        <v>19517</v>
      </c>
      <c r="P717">
        <v>0</v>
      </c>
      <c r="Q717" t="str">
        <f>INDEX(pARTNER[#All],MATCH(#REF!,pARTNER[[#All],[Value.partnerSummary.id]],0),10)</f>
        <v>Italia (IT)</v>
      </c>
      <c r="R717" t="str">
        <f>INDEX('Partner data'!$A$2:$DG$171,MATCH(#REF!,'Partner data'!$DG$2:$DG$171,0),83)</f>
        <v>Soggetto pubblico</v>
      </c>
      <c r="S717" s="86" t="str">
        <f>IF(#REF!="staff",INDEX('Partner data'!$DG$2:$DH$171,MATCH(#REF!,'Partner data'!$DG$2:$DG$171,0),2))</f>
        <v>COSTO REALE</v>
      </c>
    </row>
    <row r="718" spans="1:19" x14ac:dyDescent="0.25">
      <c r="A718" t="s">
        <v>296</v>
      </c>
      <c r="B718" t="s">
        <v>298</v>
      </c>
      <c r="C718" s="2">
        <v>196</v>
      </c>
      <c r="D718" s="2">
        <v>336</v>
      </c>
      <c r="E718" t="s">
        <v>229</v>
      </c>
      <c r="F718">
        <v>15</v>
      </c>
      <c r="G718">
        <v>2927.55</v>
      </c>
      <c r="H718">
        <v>0</v>
      </c>
      <c r="I718">
        <v>0</v>
      </c>
      <c r="J718">
        <v>0</v>
      </c>
      <c r="K718">
        <v>0</v>
      </c>
      <c r="L718">
        <v>0</v>
      </c>
      <c r="M718">
        <v>0</v>
      </c>
      <c r="N718">
        <v>0</v>
      </c>
      <c r="O718">
        <v>2927.55</v>
      </c>
      <c r="P718">
        <v>0</v>
      </c>
      <c r="Q718" t="str">
        <f>INDEX(pARTNER[#All],MATCH(#REF!,pARTNER[[#All],[Value.partnerSummary.id]],0),10)</f>
        <v>Italia (IT)</v>
      </c>
      <c r="R718" t="str">
        <f>INDEX('Partner data'!$A$2:$DG$171,MATCH(#REF!,'Partner data'!$DG$2:$DG$171,0),83)</f>
        <v>Soggetto pubblico</v>
      </c>
      <c r="S718" s="86" t="b">
        <f>IF(#REF!="staff",INDEX('Partner data'!$DG$2:$DH$171,MATCH(#REF!,'Partner data'!$DG$2:$DG$171,0),2))</f>
        <v>0</v>
      </c>
    </row>
    <row r="719" spans="1:19" x14ac:dyDescent="0.25">
      <c r="A719" t="s">
        <v>296</v>
      </c>
      <c r="B719" t="s">
        <v>298</v>
      </c>
      <c r="C719" s="2">
        <v>196</v>
      </c>
      <c r="D719" s="2">
        <v>336</v>
      </c>
      <c r="E719" t="s">
        <v>230</v>
      </c>
      <c r="F719">
        <v>4</v>
      </c>
      <c r="G719">
        <v>780.68</v>
      </c>
      <c r="H719">
        <v>0</v>
      </c>
      <c r="I719">
        <v>0</v>
      </c>
      <c r="J719">
        <v>0</v>
      </c>
      <c r="K719">
        <v>0</v>
      </c>
      <c r="L719">
        <v>0</v>
      </c>
      <c r="M719">
        <v>0</v>
      </c>
      <c r="N719">
        <v>0</v>
      </c>
      <c r="O719">
        <v>780.68</v>
      </c>
      <c r="P719">
        <v>0</v>
      </c>
      <c r="Q719" t="str">
        <f>INDEX(pARTNER[#All],MATCH(#REF!,pARTNER[[#All],[Value.partnerSummary.id]],0),10)</f>
        <v>Italia (IT)</v>
      </c>
      <c r="R719" t="str">
        <f>INDEX('Partner data'!$A$2:$DG$171,MATCH(#REF!,'Partner data'!$DG$2:$DG$171,0),83)</f>
        <v>Soggetto pubblico</v>
      </c>
      <c r="S719" s="86" t="b">
        <f>IF(#REF!="staff",INDEX('Partner data'!$DG$2:$DH$171,MATCH(#REF!,'Partner data'!$DG$2:$DG$171,0),2))</f>
        <v>0</v>
      </c>
    </row>
    <row r="720" spans="1:19" x14ac:dyDescent="0.25">
      <c r="A720" t="s">
        <v>296</v>
      </c>
      <c r="B720" t="s">
        <v>298</v>
      </c>
      <c r="C720" s="2">
        <v>196</v>
      </c>
      <c r="D720" s="2">
        <v>336</v>
      </c>
      <c r="E720" t="s">
        <v>231</v>
      </c>
      <c r="G720">
        <v>72558</v>
      </c>
      <c r="H720">
        <v>0</v>
      </c>
      <c r="I720">
        <v>0</v>
      </c>
      <c r="J720">
        <v>0</v>
      </c>
      <c r="K720">
        <v>0</v>
      </c>
      <c r="L720">
        <v>0</v>
      </c>
      <c r="M720">
        <v>0</v>
      </c>
      <c r="N720">
        <v>0</v>
      </c>
      <c r="O720">
        <v>72558</v>
      </c>
      <c r="P720">
        <v>0</v>
      </c>
      <c r="Q720" t="str">
        <f>INDEX(pARTNER[#All],MATCH(#REF!,pARTNER[[#All],[Value.partnerSummary.id]],0),10)</f>
        <v>Italia (IT)</v>
      </c>
      <c r="R720" t="str">
        <f>INDEX('Partner data'!$A$2:$DG$171,MATCH(#REF!,'Partner data'!$DG$2:$DG$171,0),83)</f>
        <v>Soggetto pubblico</v>
      </c>
      <c r="S720" s="86" t="b">
        <f>IF(#REF!="staff",INDEX('Partner data'!$DG$2:$DH$171,MATCH(#REF!,'Partner data'!$DG$2:$DG$171,0),2))</f>
        <v>0</v>
      </c>
    </row>
    <row r="721" spans="1:19" x14ac:dyDescent="0.25">
      <c r="A721" t="s">
        <v>296</v>
      </c>
      <c r="B721" t="s">
        <v>298</v>
      </c>
      <c r="C721" s="2">
        <v>196</v>
      </c>
      <c r="D721" s="2">
        <v>336</v>
      </c>
      <c r="E721" t="s">
        <v>232</v>
      </c>
      <c r="G721">
        <v>35000</v>
      </c>
      <c r="H721">
        <v>0</v>
      </c>
      <c r="I721">
        <v>0</v>
      </c>
      <c r="J721">
        <v>0</v>
      </c>
      <c r="K721">
        <v>0</v>
      </c>
      <c r="L721">
        <v>0</v>
      </c>
      <c r="M721">
        <v>0</v>
      </c>
      <c r="N721">
        <v>0</v>
      </c>
      <c r="O721">
        <v>35000</v>
      </c>
      <c r="P721">
        <v>0</v>
      </c>
      <c r="Q721" t="str">
        <f>INDEX(pARTNER[#All],MATCH(#REF!,pARTNER[[#All],[Value.partnerSummary.id]],0),10)</f>
        <v>Italia (IT)</v>
      </c>
      <c r="R721" t="str">
        <f>INDEX('Partner data'!$A$2:$DG$171,MATCH(#REF!,'Partner data'!$DG$2:$DG$171,0),83)</f>
        <v>Soggetto pubblico</v>
      </c>
      <c r="S721" s="86" t="b">
        <f>IF(#REF!="staff",INDEX('Partner data'!$DG$2:$DH$171,MATCH(#REF!,'Partner data'!$DG$2:$DG$171,0),2))</f>
        <v>0</v>
      </c>
    </row>
    <row r="722" spans="1:19" x14ac:dyDescent="0.25">
      <c r="A722" t="s">
        <v>296</v>
      </c>
      <c r="B722" t="s">
        <v>298</v>
      </c>
      <c r="C722" s="2">
        <v>196</v>
      </c>
      <c r="D722" s="2">
        <v>336</v>
      </c>
      <c r="E722" t="s">
        <v>233</v>
      </c>
      <c r="G722">
        <v>0</v>
      </c>
      <c r="H722">
        <v>0</v>
      </c>
      <c r="I722">
        <v>0</v>
      </c>
      <c r="J722">
        <v>0</v>
      </c>
      <c r="K722">
        <v>0</v>
      </c>
      <c r="L722">
        <v>0</v>
      </c>
      <c r="M722">
        <v>0</v>
      </c>
      <c r="N722">
        <v>0</v>
      </c>
      <c r="O722">
        <v>0</v>
      </c>
      <c r="P722">
        <v>0</v>
      </c>
      <c r="Q722" t="str">
        <f>INDEX(pARTNER[#All],MATCH(#REF!,pARTNER[[#All],[Value.partnerSummary.id]],0),10)</f>
        <v>Italia (IT)</v>
      </c>
      <c r="R722" t="str">
        <f>INDEX('Partner data'!$A$2:$DG$171,MATCH(#REF!,'Partner data'!$DG$2:$DG$171,0),83)</f>
        <v>Soggetto pubblico</v>
      </c>
      <c r="S722" s="86" t="b">
        <f>IF(#REF!="staff",INDEX('Partner data'!$DG$2:$DH$171,MATCH(#REF!,'Partner data'!$DG$2:$DG$171,0),2))</f>
        <v>0</v>
      </c>
    </row>
    <row r="723" spans="1:19" x14ac:dyDescent="0.25">
      <c r="A723" t="s">
        <v>296</v>
      </c>
      <c r="B723" t="s">
        <v>298</v>
      </c>
      <c r="C723" s="2">
        <v>196</v>
      </c>
      <c r="D723" s="2">
        <v>336</v>
      </c>
      <c r="E723" t="s">
        <v>234</v>
      </c>
      <c r="G723">
        <v>0</v>
      </c>
      <c r="H723">
        <v>0</v>
      </c>
      <c r="I723">
        <v>0</v>
      </c>
      <c r="J723">
        <v>0</v>
      </c>
      <c r="K723">
        <v>0</v>
      </c>
      <c r="L723">
        <v>0</v>
      </c>
      <c r="M723">
        <v>0</v>
      </c>
      <c r="N723">
        <v>0</v>
      </c>
      <c r="O723">
        <v>0</v>
      </c>
      <c r="P723">
        <v>0</v>
      </c>
      <c r="Q723" t="str">
        <f>INDEX(pARTNER[#All],MATCH(#REF!,pARTNER[[#All],[Value.partnerSummary.id]],0),10)</f>
        <v>Italia (IT)</v>
      </c>
      <c r="R723" t="str">
        <f>INDEX('Partner data'!$A$2:$DG$171,MATCH(#REF!,'Partner data'!$DG$2:$DG$171,0),83)</f>
        <v>Soggetto pubblico</v>
      </c>
      <c r="S723" s="86" t="b">
        <f>IF(#REF!="staff",INDEX('Partner data'!$DG$2:$DH$171,MATCH(#REF!,'Partner data'!$DG$2:$DG$171,0),2))</f>
        <v>0</v>
      </c>
    </row>
    <row r="724" spans="1:19" x14ac:dyDescent="0.25">
      <c r="A724" t="s">
        <v>296</v>
      </c>
      <c r="B724" t="s">
        <v>298</v>
      </c>
      <c r="C724" s="2">
        <v>196</v>
      </c>
      <c r="D724" s="2">
        <v>336</v>
      </c>
      <c r="E724" t="s">
        <v>235</v>
      </c>
      <c r="G724">
        <v>0</v>
      </c>
      <c r="H724">
        <v>0</v>
      </c>
      <c r="I724">
        <v>0</v>
      </c>
      <c r="J724">
        <v>0</v>
      </c>
      <c r="K724">
        <v>0</v>
      </c>
      <c r="L724">
        <v>0</v>
      </c>
      <c r="M724">
        <v>0</v>
      </c>
      <c r="N724">
        <v>0</v>
      </c>
      <c r="O724">
        <v>0</v>
      </c>
      <c r="P724">
        <v>0</v>
      </c>
      <c r="Q724" t="str">
        <f>INDEX(pARTNER[#All],MATCH(#REF!,pARTNER[[#All],[Value.partnerSummary.id]],0),10)</f>
        <v>Italia (IT)</v>
      </c>
      <c r="R724" t="str">
        <f>INDEX('Partner data'!$A$2:$DG$171,MATCH(#REF!,'Partner data'!$DG$2:$DG$171,0),83)</f>
        <v>Soggetto pubblico</v>
      </c>
      <c r="S724" s="86" t="b">
        <f>IF(#REF!="staff",INDEX('Partner data'!$DG$2:$DH$171,MATCH(#REF!,'Partner data'!$DG$2:$DG$171,0),2))</f>
        <v>0</v>
      </c>
    </row>
    <row r="725" spans="1:19" x14ac:dyDescent="0.25">
      <c r="A725" t="s">
        <v>296</v>
      </c>
      <c r="B725" t="s">
        <v>298</v>
      </c>
      <c r="C725" s="2">
        <v>196</v>
      </c>
      <c r="D725" s="2">
        <v>336</v>
      </c>
      <c r="E725" t="s">
        <v>236</v>
      </c>
      <c r="G725">
        <v>0</v>
      </c>
      <c r="H725">
        <v>0</v>
      </c>
      <c r="I725">
        <v>0</v>
      </c>
      <c r="J725">
        <v>0</v>
      </c>
      <c r="K725">
        <v>0</v>
      </c>
      <c r="L725">
        <v>0</v>
      </c>
      <c r="M725">
        <v>0</v>
      </c>
      <c r="N725">
        <v>0</v>
      </c>
      <c r="O725">
        <v>0</v>
      </c>
      <c r="P725">
        <v>0</v>
      </c>
      <c r="Q725" t="str">
        <f>INDEX(pARTNER[#All],MATCH(#REF!,pARTNER[[#All],[Value.partnerSummary.id]],0),10)</f>
        <v>Italia (IT)</v>
      </c>
      <c r="R725" t="str">
        <f>INDEX('Partner data'!$A$2:$DG$171,MATCH(#REF!,'Partner data'!$DG$2:$DG$171,0),83)</f>
        <v>Soggetto pubblico</v>
      </c>
      <c r="S725" s="86" t="b">
        <f>IF(#REF!="staff",INDEX('Partner data'!$DG$2:$DH$171,MATCH(#REF!,'Partner data'!$DG$2:$DG$171,0),2))</f>
        <v>0</v>
      </c>
    </row>
    <row r="726" spans="1:19" x14ac:dyDescent="0.25">
      <c r="A726" t="s">
        <v>296</v>
      </c>
      <c r="B726" t="s">
        <v>298</v>
      </c>
      <c r="C726" s="2">
        <v>196</v>
      </c>
      <c r="D726" s="2">
        <v>336</v>
      </c>
      <c r="E726" t="s">
        <v>237</v>
      </c>
      <c r="G726">
        <v>0</v>
      </c>
      <c r="H726">
        <v>0</v>
      </c>
      <c r="I726">
        <v>0</v>
      </c>
      <c r="J726">
        <v>0</v>
      </c>
      <c r="K726">
        <v>0</v>
      </c>
      <c r="L726">
        <v>0</v>
      </c>
      <c r="M726">
        <v>0</v>
      </c>
      <c r="N726">
        <v>0</v>
      </c>
      <c r="O726">
        <v>0</v>
      </c>
      <c r="P726">
        <v>0</v>
      </c>
      <c r="Q726" t="str">
        <f>INDEX(pARTNER[#All],MATCH(#REF!,pARTNER[[#All],[Value.partnerSummary.id]],0),10)</f>
        <v>Italia (IT)</v>
      </c>
      <c r="R726" t="str">
        <f>INDEX('Partner data'!$A$2:$DG$171,MATCH(#REF!,'Partner data'!$DG$2:$DG$171,0),83)</f>
        <v>Soggetto pubblico</v>
      </c>
      <c r="S726" s="86" t="b">
        <f>IF(#REF!="staff",INDEX('Partner data'!$DG$2:$DH$171,MATCH(#REF!,'Partner data'!$DG$2:$DG$171,0),2))</f>
        <v>0</v>
      </c>
    </row>
    <row r="727" spans="1:19" x14ac:dyDescent="0.25">
      <c r="A727" t="s">
        <v>296</v>
      </c>
      <c r="B727" t="s">
        <v>298</v>
      </c>
      <c r="C727" s="2">
        <v>196</v>
      </c>
      <c r="D727" s="2">
        <v>336</v>
      </c>
      <c r="E727" t="s">
        <v>238</v>
      </c>
      <c r="G727">
        <v>130783.23</v>
      </c>
      <c r="H727">
        <v>0</v>
      </c>
      <c r="I727">
        <v>0</v>
      </c>
      <c r="J727">
        <v>0</v>
      </c>
      <c r="K727">
        <v>0</v>
      </c>
      <c r="L727">
        <v>0</v>
      </c>
      <c r="M727">
        <v>0</v>
      </c>
      <c r="N727">
        <v>0</v>
      </c>
      <c r="O727">
        <v>130783.23</v>
      </c>
      <c r="P727">
        <v>0</v>
      </c>
      <c r="Q727" t="str">
        <f>INDEX(pARTNER[#All],MATCH(#REF!,pARTNER[[#All],[Value.partnerSummary.id]],0),10)</f>
        <v>Italia (IT)</v>
      </c>
      <c r="R727" t="str">
        <f>INDEX('Partner data'!$A$2:$DG$171,MATCH(#REF!,'Partner data'!$DG$2:$DG$171,0),83)</f>
        <v>Soggetto pubblico</v>
      </c>
      <c r="S727" s="86" t="b">
        <f>IF(#REF!="staff",INDEX('Partner data'!$DG$2:$DH$171,MATCH(#REF!,'Partner data'!$DG$2:$DG$171,0),2))</f>
        <v>0</v>
      </c>
    </row>
    <row r="728" spans="1:19" x14ac:dyDescent="0.25">
      <c r="A728" t="s">
        <v>296</v>
      </c>
      <c r="B728" t="s">
        <v>275</v>
      </c>
      <c r="C728" s="2">
        <v>52</v>
      </c>
      <c r="D728" s="2">
        <v>262</v>
      </c>
      <c r="E728" t="s">
        <v>228</v>
      </c>
      <c r="F728">
        <v>20</v>
      </c>
      <c r="G728">
        <v>24620</v>
      </c>
      <c r="H728">
        <v>0</v>
      </c>
      <c r="I728">
        <v>0</v>
      </c>
      <c r="J728">
        <v>0</v>
      </c>
      <c r="K728">
        <v>0</v>
      </c>
      <c r="L728">
        <v>0</v>
      </c>
      <c r="M728">
        <v>0</v>
      </c>
      <c r="N728">
        <v>0</v>
      </c>
      <c r="O728">
        <v>24620</v>
      </c>
      <c r="P728">
        <v>0</v>
      </c>
      <c r="Q728" t="str">
        <f>INDEX(pARTNER[#All],MATCH(#REF!,pARTNER[[#All],[Value.partnerSummary.id]],0),10)</f>
        <v>Slovenija (SI)</v>
      </c>
      <c r="R728" t="str">
        <f>INDEX('Partner data'!$A$2:$DG$171,MATCH(#REF!,'Partner data'!$DG$2:$DG$171,0),83)</f>
        <v>Soggetto pubblico</v>
      </c>
      <c r="S728" s="86" t="str">
        <f>IF(#REF!="staff",INDEX('Partner data'!$DG$2:$DH$171,MATCH(#REF!,'Partner data'!$DG$2:$DG$171,0),2))</f>
        <v>Tasso Forfettario 20%</v>
      </c>
    </row>
    <row r="729" spans="1:19" x14ac:dyDescent="0.25">
      <c r="A729" t="s">
        <v>296</v>
      </c>
      <c r="B729" t="s">
        <v>275</v>
      </c>
      <c r="C729" s="2">
        <v>52</v>
      </c>
      <c r="D729" s="2">
        <v>262</v>
      </c>
      <c r="E729" t="s">
        <v>229</v>
      </c>
      <c r="F729">
        <v>15</v>
      </c>
      <c r="G729">
        <v>3693</v>
      </c>
      <c r="H729">
        <v>0</v>
      </c>
      <c r="I729">
        <v>0</v>
      </c>
      <c r="J729">
        <v>0</v>
      </c>
      <c r="K729">
        <v>0</v>
      </c>
      <c r="L729">
        <v>0</v>
      </c>
      <c r="M729">
        <v>0</v>
      </c>
      <c r="N729">
        <v>0</v>
      </c>
      <c r="O729">
        <v>3693</v>
      </c>
      <c r="P729">
        <v>0</v>
      </c>
      <c r="Q729" t="str">
        <f>INDEX(pARTNER[#All],MATCH(#REF!,pARTNER[[#All],[Value.partnerSummary.id]],0),10)</f>
        <v>Slovenija (SI)</v>
      </c>
      <c r="R729" t="str">
        <f>INDEX('Partner data'!$A$2:$DG$171,MATCH(#REF!,'Partner data'!$DG$2:$DG$171,0),83)</f>
        <v>Soggetto pubblico</v>
      </c>
      <c r="S729" s="86" t="b">
        <f>IF(#REF!="staff",INDEX('Partner data'!$DG$2:$DH$171,MATCH(#REF!,'Partner data'!$DG$2:$DG$171,0),2))</f>
        <v>0</v>
      </c>
    </row>
    <row r="730" spans="1:19" x14ac:dyDescent="0.25">
      <c r="A730" t="s">
        <v>296</v>
      </c>
      <c r="B730" t="s">
        <v>275</v>
      </c>
      <c r="C730" s="2">
        <v>52</v>
      </c>
      <c r="D730" s="2">
        <v>262</v>
      </c>
      <c r="E730" t="s">
        <v>230</v>
      </c>
      <c r="F730">
        <v>4</v>
      </c>
      <c r="G730">
        <v>984.8</v>
      </c>
      <c r="H730">
        <v>0</v>
      </c>
      <c r="I730">
        <v>0</v>
      </c>
      <c r="J730">
        <v>0</v>
      </c>
      <c r="K730">
        <v>0</v>
      </c>
      <c r="L730">
        <v>0</v>
      </c>
      <c r="M730">
        <v>0</v>
      </c>
      <c r="N730">
        <v>0</v>
      </c>
      <c r="O730">
        <v>984.8</v>
      </c>
      <c r="P730">
        <v>0</v>
      </c>
      <c r="Q730" t="str">
        <f>INDEX(pARTNER[#All],MATCH(#REF!,pARTNER[[#All],[Value.partnerSummary.id]],0),10)</f>
        <v>Slovenija (SI)</v>
      </c>
      <c r="R730" t="str">
        <f>INDEX('Partner data'!$A$2:$DG$171,MATCH(#REF!,'Partner data'!$DG$2:$DG$171,0),83)</f>
        <v>Soggetto pubblico</v>
      </c>
      <c r="S730" s="86" t="b">
        <f>IF(#REF!="staff",INDEX('Partner data'!$DG$2:$DH$171,MATCH(#REF!,'Partner data'!$DG$2:$DG$171,0),2))</f>
        <v>0</v>
      </c>
    </row>
    <row r="731" spans="1:19" x14ac:dyDescent="0.25">
      <c r="A731" t="s">
        <v>296</v>
      </c>
      <c r="B731" t="s">
        <v>275</v>
      </c>
      <c r="C731" s="2">
        <v>52</v>
      </c>
      <c r="D731" s="2">
        <v>262</v>
      </c>
      <c r="E731" t="s">
        <v>231</v>
      </c>
      <c r="G731">
        <v>67000</v>
      </c>
      <c r="H731">
        <v>0</v>
      </c>
      <c r="I731">
        <v>0</v>
      </c>
      <c r="J731">
        <v>0</v>
      </c>
      <c r="K731">
        <v>0</v>
      </c>
      <c r="L731">
        <v>0</v>
      </c>
      <c r="M731">
        <v>0</v>
      </c>
      <c r="N731">
        <v>0</v>
      </c>
      <c r="O731">
        <v>67000</v>
      </c>
      <c r="P731">
        <v>0</v>
      </c>
      <c r="Q731" t="str">
        <f>INDEX(pARTNER[#All],MATCH(#REF!,pARTNER[[#All],[Value.partnerSummary.id]],0),10)</f>
        <v>Slovenija (SI)</v>
      </c>
      <c r="R731" t="str">
        <f>INDEX('Partner data'!$A$2:$DG$171,MATCH(#REF!,'Partner data'!$DG$2:$DG$171,0),83)</f>
        <v>Soggetto pubblico</v>
      </c>
      <c r="S731" s="86" t="b">
        <f>IF(#REF!="staff",INDEX('Partner data'!$DG$2:$DH$171,MATCH(#REF!,'Partner data'!$DG$2:$DG$171,0),2))</f>
        <v>0</v>
      </c>
    </row>
    <row r="732" spans="1:19" x14ac:dyDescent="0.25">
      <c r="A732" t="s">
        <v>296</v>
      </c>
      <c r="B732" t="s">
        <v>275</v>
      </c>
      <c r="C732" s="2">
        <v>52</v>
      </c>
      <c r="D732" s="2">
        <v>262</v>
      </c>
      <c r="E732" t="s">
        <v>232</v>
      </c>
      <c r="G732">
        <v>28060</v>
      </c>
      <c r="H732">
        <v>0</v>
      </c>
      <c r="I732">
        <v>0</v>
      </c>
      <c r="J732">
        <v>0</v>
      </c>
      <c r="K732">
        <v>0</v>
      </c>
      <c r="L732">
        <v>0</v>
      </c>
      <c r="M732">
        <v>0</v>
      </c>
      <c r="N732">
        <v>0</v>
      </c>
      <c r="O732">
        <v>28060</v>
      </c>
      <c r="P732">
        <v>0</v>
      </c>
      <c r="Q732" t="str">
        <f>INDEX(pARTNER[#All],MATCH(#REF!,pARTNER[[#All],[Value.partnerSummary.id]],0),10)</f>
        <v>Slovenija (SI)</v>
      </c>
      <c r="R732" t="str">
        <f>INDEX('Partner data'!$A$2:$DG$171,MATCH(#REF!,'Partner data'!$DG$2:$DG$171,0),83)</f>
        <v>Soggetto pubblico</v>
      </c>
      <c r="S732" s="86" t="b">
        <f>IF(#REF!="staff",INDEX('Partner data'!$DG$2:$DH$171,MATCH(#REF!,'Partner data'!$DG$2:$DG$171,0),2))</f>
        <v>0</v>
      </c>
    </row>
    <row r="733" spans="1:19" x14ac:dyDescent="0.25">
      <c r="A733" t="s">
        <v>296</v>
      </c>
      <c r="B733" t="s">
        <v>275</v>
      </c>
      <c r="C733" s="2">
        <v>52</v>
      </c>
      <c r="D733" s="2">
        <v>262</v>
      </c>
      <c r="E733" t="s">
        <v>233</v>
      </c>
      <c r="G733">
        <v>28040</v>
      </c>
      <c r="H733">
        <v>0</v>
      </c>
      <c r="I733">
        <v>0</v>
      </c>
      <c r="J733">
        <v>0</v>
      </c>
      <c r="K733">
        <v>0</v>
      </c>
      <c r="L733">
        <v>0</v>
      </c>
      <c r="M733">
        <v>0</v>
      </c>
      <c r="N733">
        <v>0</v>
      </c>
      <c r="O733">
        <v>28040</v>
      </c>
      <c r="P733">
        <v>0</v>
      </c>
      <c r="Q733" t="str">
        <f>INDEX(pARTNER[#All],MATCH(#REF!,pARTNER[[#All],[Value.partnerSummary.id]],0),10)</f>
        <v>Slovenija (SI)</v>
      </c>
      <c r="R733" t="str">
        <f>INDEX('Partner data'!$A$2:$DG$171,MATCH(#REF!,'Partner data'!$DG$2:$DG$171,0),83)</f>
        <v>Soggetto pubblico</v>
      </c>
      <c r="S733" s="86" t="b">
        <f>IF(#REF!="staff",INDEX('Partner data'!$DG$2:$DH$171,MATCH(#REF!,'Partner data'!$DG$2:$DG$171,0),2))</f>
        <v>0</v>
      </c>
    </row>
    <row r="734" spans="1:19" x14ac:dyDescent="0.25">
      <c r="A734" t="s">
        <v>296</v>
      </c>
      <c r="B734" t="s">
        <v>275</v>
      </c>
      <c r="C734" s="2">
        <v>52</v>
      </c>
      <c r="D734" s="2">
        <v>262</v>
      </c>
      <c r="E734" t="s">
        <v>234</v>
      </c>
      <c r="G734">
        <v>0</v>
      </c>
      <c r="H734">
        <v>0</v>
      </c>
      <c r="I734">
        <v>0</v>
      </c>
      <c r="J734">
        <v>0</v>
      </c>
      <c r="K734">
        <v>0</v>
      </c>
      <c r="L734">
        <v>0</v>
      </c>
      <c r="M734">
        <v>0</v>
      </c>
      <c r="N734">
        <v>0</v>
      </c>
      <c r="O734">
        <v>0</v>
      </c>
      <c r="P734">
        <v>0</v>
      </c>
      <c r="Q734" t="str">
        <f>INDEX(pARTNER[#All],MATCH(#REF!,pARTNER[[#All],[Value.partnerSummary.id]],0),10)</f>
        <v>Slovenija (SI)</v>
      </c>
      <c r="R734" t="str">
        <f>INDEX('Partner data'!$A$2:$DG$171,MATCH(#REF!,'Partner data'!$DG$2:$DG$171,0),83)</f>
        <v>Soggetto pubblico</v>
      </c>
      <c r="S734" s="86" t="b">
        <f>IF(#REF!="staff",INDEX('Partner data'!$DG$2:$DH$171,MATCH(#REF!,'Partner data'!$DG$2:$DG$171,0),2))</f>
        <v>0</v>
      </c>
    </row>
    <row r="735" spans="1:19" x14ac:dyDescent="0.25">
      <c r="A735" t="s">
        <v>296</v>
      </c>
      <c r="B735" t="s">
        <v>275</v>
      </c>
      <c r="C735" s="2">
        <v>52</v>
      </c>
      <c r="D735" s="2">
        <v>262</v>
      </c>
      <c r="E735" t="s">
        <v>235</v>
      </c>
      <c r="G735">
        <v>9000</v>
      </c>
      <c r="H735">
        <v>0</v>
      </c>
      <c r="I735">
        <v>0</v>
      </c>
      <c r="J735">
        <v>9000</v>
      </c>
      <c r="K735">
        <v>0</v>
      </c>
      <c r="L735">
        <v>0</v>
      </c>
      <c r="M735">
        <v>9000</v>
      </c>
      <c r="N735">
        <v>100</v>
      </c>
      <c r="O735">
        <v>0</v>
      </c>
      <c r="P735">
        <v>0</v>
      </c>
      <c r="Q735" t="str">
        <f>INDEX(pARTNER[#All],MATCH(#REF!,pARTNER[[#All],[Value.partnerSummary.id]],0),10)</f>
        <v>Slovenija (SI)</v>
      </c>
      <c r="R735" t="str">
        <f>INDEX('Partner data'!$A$2:$DG$171,MATCH(#REF!,'Partner data'!$DG$2:$DG$171,0),83)</f>
        <v>Soggetto pubblico</v>
      </c>
      <c r="S735" s="86" t="b">
        <f>IF(#REF!="staff",INDEX('Partner data'!$DG$2:$DH$171,MATCH(#REF!,'Partner data'!$DG$2:$DG$171,0),2))</f>
        <v>0</v>
      </c>
    </row>
    <row r="736" spans="1:19" x14ac:dyDescent="0.25">
      <c r="A736" t="s">
        <v>296</v>
      </c>
      <c r="B736" t="s">
        <v>275</v>
      </c>
      <c r="C736" s="2">
        <v>52</v>
      </c>
      <c r="D736" s="2">
        <v>262</v>
      </c>
      <c r="E736" t="s">
        <v>236</v>
      </c>
      <c r="G736">
        <v>0</v>
      </c>
      <c r="H736">
        <v>0</v>
      </c>
      <c r="I736">
        <v>0</v>
      </c>
      <c r="J736">
        <v>0</v>
      </c>
      <c r="K736">
        <v>0</v>
      </c>
      <c r="L736">
        <v>0</v>
      </c>
      <c r="M736">
        <v>0</v>
      </c>
      <c r="N736">
        <v>0</v>
      </c>
      <c r="O736">
        <v>0</v>
      </c>
      <c r="P736">
        <v>0</v>
      </c>
      <c r="Q736" t="str">
        <f>INDEX(pARTNER[#All],MATCH(#REF!,pARTNER[[#All],[Value.partnerSummary.id]],0),10)</f>
        <v>Slovenija (SI)</v>
      </c>
      <c r="R736" t="str">
        <f>INDEX('Partner data'!$A$2:$DG$171,MATCH(#REF!,'Partner data'!$DG$2:$DG$171,0),83)</f>
        <v>Soggetto pubblico</v>
      </c>
      <c r="S736" s="86" t="b">
        <f>IF(#REF!="staff",INDEX('Partner data'!$DG$2:$DH$171,MATCH(#REF!,'Partner data'!$DG$2:$DG$171,0),2))</f>
        <v>0</v>
      </c>
    </row>
    <row r="737" spans="1:19" x14ac:dyDescent="0.25">
      <c r="A737" t="s">
        <v>296</v>
      </c>
      <c r="B737" t="s">
        <v>275</v>
      </c>
      <c r="C737" s="2">
        <v>52</v>
      </c>
      <c r="D737" s="2">
        <v>262</v>
      </c>
      <c r="E737" t="s">
        <v>237</v>
      </c>
      <c r="G737">
        <v>0</v>
      </c>
      <c r="H737">
        <v>0</v>
      </c>
      <c r="I737">
        <v>0</v>
      </c>
      <c r="J737">
        <v>0</v>
      </c>
      <c r="K737">
        <v>0</v>
      </c>
      <c r="L737">
        <v>0</v>
      </c>
      <c r="M737">
        <v>0</v>
      </c>
      <c r="N737">
        <v>0</v>
      </c>
      <c r="O737">
        <v>0</v>
      </c>
      <c r="P737">
        <v>0</v>
      </c>
      <c r="Q737" t="str">
        <f>INDEX(pARTNER[#All],MATCH(#REF!,pARTNER[[#All],[Value.partnerSummary.id]],0),10)</f>
        <v>Slovenija (SI)</v>
      </c>
      <c r="R737" t="str">
        <f>INDEX('Partner data'!$A$2:$DG$171,MATCH(#REF!,'Partner data'!$DG$2:$DG$171,0),83)</f>
        <v>Soggetto pubblico</v>
      </c>
      <c r="S737" s="86" t="b">
        <f>IF(#REF!="staff",INDEX('Partner data'!$DG$2:$DH$171,MATCH(#REF!,'Partner data'!$DG$2:$DG$171,0),2))</f>
        <v>0</v>
      </c>
    </row>
    <row r="738" spans="1:19" x14ac:dyDescent="0.25">
      <c r="A738" t="s">
        <v>296</v>
      </c>
      <c r="B738" t="s">
        <v>275</v>
      </c>
      <c r="C738" s="2">
        <v>52</v>
      </c>
      <c r="D738" s="2">
        <v>262</v>
      </c>
      <c r="E738" t="s">
        <v>238</v>
      </c>
      <c r="G738">
        <v>161397.79999999999</v>
      </c>
      <c r="H738">
        <v>0</v>
      </c>
      <c r="I738">
        <v>0</v>
      </c>
      <c r="J738">
        <v>9000</v>
      </c>
      <c r="K738">
        <v>0</v>
      </c>
      <c r="L738">
        <v>0</v>
      </c>
      <c r="M738">
        <v>9000</v>
      </c>
      <c r="N738">
        <v>5.58</v>
      </c>
      <c r="O738">
        <v>152397.79999999999</v>
      </c>
      <c r="P738">
        <v>0</v>
      </c>
      <c r="Q738" t="str">
        <f>INDEX(pARTNER[#All],MATCH(#REF!,pARTNER[[#All],[Value.partnerSummary.id]],0),10)</f>
        <v>Slovenija (SI)</v>
      </c>
      <c r="R738" t="str">
        <f>INDEX('Partner data'!$A$2:$DG$171,MATCH(#REF!,'Partner data'!$DG$2:$DG$171,0),83)</f>
        <v>Soggetto pubblico</v>
      </c>
      <c r="S738" s="86" t="b">
        <f>IF(#REF!="staff",INDEX('Partner data'!$DG$2:$DH$171,MATCH(#REF!,'Partner data'!$DG$2:$DG$171,0),2))</f>
        <v>0</v>
      </c>
    </row>
    <row r="739" spans="1:19" x14ac:dyDescent="0.25">
      <c r="A739" t="s">
        <v>296</v>
      </c>
      <c r="B739" t="s">
        <v>299</v>
      </c>
      <c r="C739" s="2">
        <v>192</v>
      </c>
      <c r="D739" s="2">
        <v>342</v>
      </c>
      <c r="E739" t="s">
        <v>228</v>
      </c>
      <c r="G739">
        <v>0</v>
      </c>
      <c r="H739">
        <v>0</v>
      </c>
      <c r="I739">
        <v>0</v>
      </c>
      <c r="J739">
        <v>0</v>
      </c>
      <c r="K739">
        <v>0</v>
      </c>
      <c r="L739">
        <v>0</v>
      </c>
      <c r="M739">
        <v>0</v>
      </c>
      <c r="N739">
        <v>0</v>
      </c>
      <c r="O739">
        <v>0</v>
      </c>
      <c r="P739">
        <v>0</v>
      </c>
      <c r="Q739" t="str">
        <f>INDEX(pARTNER[#All],MATCH(#REF!,pARTNER[[#All],[Value.partnerSummary.id]],0),10)</f>
        <v>Slovenija (SI)</v>
      </c>
      <c r="R739" t="str">
        <f>INDEX('Partner data'!$A$2:$DG$171,MATCH(#REF!,'Partner data'!$DG$2:$DG$171,0),83)</f>
        <v>Soggetto pubblico</v>
      </c>
      <c r="S739" s="86" t="str">
        <f>IF(#REF!="staff",INDEX('Partner data'!$DG$2:$DH$171,MATCH(#REF!,'Partner data'!$DG$2:$DG$171,0),2))</f>
        <v>BL1 non presente</v>
      </c>
    </row>
    <row r="740" spans="1:19" x14ac:dyDescent="0.25">
      <c r="A740" t="s">
        <v>296</v>
      </c>
      <c r="B740" t="s">
        <v>299</v>
      </c>
      <c r="C740" s="2">
        <v>192</v>
      </c>
      <c r="D740" s="2">
        <v>342</v>
      </c>
      <c r="E740" t="s">
        <v>229</v>
      </c>
      <c r="G740">
        <v>0</v>
      </c>
      <c r="H740">
        <v>0</v>
      </c>
      <c r="I740">
        <v>0</v>
      </c>
      <c r="J740">
        <v>0</v>
      </c>
      <c r="K740">
        <v>0</v>
      </c>
      <c r="L740">
        <v>0</v>
      </c>
      <c r="M740">
        <v>0</v>
      </c>
      <c r="N740">
        <v>0</v>
      </c>
      <c r="O740">
        <v>0</v>
      </c>
      <c r="P740">
        <v>0</v>
      </c>
      <c r="Q740" t="str">
        <f>INDEX(pARTNER[#All],MATCH(#REF!,pARTNER[[#All],[Value.partnerSummary.id]],0),10)</f>
        <v>Slovenija (SI)</v>
      </c>
      <c r="R740" t="str">
        <f>INDEX('Partner data'!$A$2:$DG$171,MATCH(#REF!,'Partner data'!$DG$2:$DG$171,0),83)</f>
        <v>Soggetto pubblico</v>
      </c>
      <c r="S740" s="86" t="b">
        <f>IF(#REF!="staff",INDEX('Partner data'!$DG$2:$DH$171,MATCH(#REF!,'Partner data'!$DG$2:$DG$171,0),2))</f>
        <v>0</v>
      </c>
    </row>
    <row r="741" spans="1:19" x14ac:dyDescent="0.25">
      <c r="A741" t="s">
        <v>296</v>
      </c>
      <c r="B741" t="s">
        <v>299</v>
      </c>
      <c r="C741" s="2">
        <v>192</v>
      </c>
      <c r="D741" s="2">
        <v>342</v>
      </c>
      <c r="E741" t="s">
        <v>230</v>
      </c>
      <c r="G741">
        <v>0</v>
      </c>
      <c r="H741">
        <v>0</v>
      </c>
      <c r="I741">
        <v>0</v>
      </c>
      <c r="J741">
        <v>0</v>
      </c>
      <c r="K741">
        <v>0</v>
      </c>
      <c r="L741">
        <v>0</v>
      </c>
      <c r="M741">
        <v>0</v>
      </c>
      <c r="N741">
        <v>0</v>
      </c>
      <c r="O741">
        <v>0</v>
      </c>
      <c r="P741">
        <v>0</v>
      </c>
      <c r="Q741" t="str">
        <f>INDEX(pARTNER[#All],MATCH(#REF!,pARTNER[[#All],[Value.partnerSummary.id]],0),10)</f>
        <v>Slovenija (SI)</v>
      </c>
      <c r="R741" t="str">
        <f>INDEX('Partner data'!$A$2:$DG$171,MATCH(#REF!,'Partner data'!$DG$2:$DG$171,0),83)</f>
        <v>Soggetto pubblico</v>
      </c>
      <c r="S741" s="86" t="b">
        <f>IF(#REF!="staff",INDEX('Partner data'!$DG$2:$DH$171,MATCH(#REF!,'Partner data'!$DG$2:$DG$171,0),2))</f>
        <v>0</v>
      </c>
    </row>
    <row r="742" spans="1:19" x14ac:dyDescent="0.25">
      <c r="A742" t="s">
        <v>296</v>
      </c>
      <c r="B742" t="s">
        <v>299</v>
      </c>
      <c r="C742" s="2">
        <v>192</v>
      </c>
      <c r="D742" s="2">
        <v>342</v>
      </c>
      <c r="E742" t="s">
        <v>231</v>
      </c>
      <c r="G742">
        <v>4000</v>
      </c>
      <c r="H742">
        <v>0</v>
      </c>
      <c r="I742">
        <v>0</v>
      </c>
      <c r="J742">
        <v>0</v>
      </c>
      <c r="K742">
        <v>0</v>
      </c>
      <c r="L742">
        <v>0</v>
      </c>
      <c r="M742">
        <v>0</v>
      </c>
      <c r="N742">
        <v>0</v>
      </c>
      <c r="O742">
        <v>4000</v>
      </c>
      <c r="P742">
        <v>0</v>
      </c>
      <c r="Q742" t="str">
        <f>INDEX(pARTNER[#All],MATCH(#REF!,pARTNER[[#All],[Value.partnerSummary.id]],0),10)</f>
        <v>Slovenija (SI)</v>
      </c>
      <c r="R742" t="str">
        <f>INDEX('Partner data'!$A$2:$DG$171,MATCH(#REF!,'Partner data'!$DG$2:$DG$171,0),83)</f>
        <v>Soggetto pubblico</v>
      </c>
      <c r="S742" s="86" t="b">
        <f>IF(#REF!="staff",INDEX('Partner data'!$DG$2:$DH$171,MATCH(#REF!,'Partner data'!$DG$2:$DG$171,0),2))</f>
        <v>0</v>
      </c>
    </row>
    <row r="743" spans="1:19" x14ac:dyDescent="0.25">
      <c r="A743" t="s">
        <v>296</v>
      </c>
      <c r="B743" t="s">
        <v>299</v>
      </c>
      <c r="C743" s="2">
        <v>192</v>
      </c>
      <c r="D743" s="2">
        <v>342</v>
      </c>
      <c r="E743" t="s">
        <v>232</v>
      </c>
      <c r="G743">
        <v>5000</v>
      </c>
      <c r="H743">
        <v>0</v>
      </c>
      <c r="I743">
        <v>0</v>
      </c>
      <c r="J743">
        <v>0</v>
      </c>
      <c r="K743">
        <v>0</v>
      </c>
      <c r="L743">
        <v>0</v>
      </c>
      <c r="M743">
        <v>0</v>
      </c>
      <c r="N743">
        <v>0</v>
      </c>
      <c r="O743">
        <v>5000</v>
      </c>
      <c r="P743">
        <v>0</v>
      </c>
      <c r="Q743" t="str">
        <f>INDEX(pARTNER[#All],MATCH(#REF!,pARTNER[[#All],[Value.partnerSummary.id]],0),10)</f>
        <v>Slovenija (SI)</v>
      </c>
      <c r="R743" t="str">
        <f>INDEX('Partner data'!$A$2:$DG$171,MATCH(#REF!,'Partner data'!$DG$2:$DG$171,0),83)</f>
        <v>Soggetto pubblico</v>
      </c>
      <c r="S743" s="86" t="b">
        <f>IF(#REF!="staff",INDEX('Partner data'!$DG$2:$DH$171,MATCH(#REF!,'Partner data'!$DG$2:$DG$171,0),2))</f>
        <v>0</v>
      </c>
    </row>
    <row r="744" spans="1:19" x14ac:dyDescent="0.25">
      <c r="A744" t="s">
        <v>296</v>
      </c>
      <c r="B744" t="s">
        <v>299</v>
      </c>
      <c r="C744" s="2">
        <v>192</v>
      </c>
      <c r="D744" s="2">
        <v>342</v>
      </c>
      <c r="E744" t="s">
        <v>233</v>
      </c>
      <c r="G744">
        <v>122000</v>
      </c>
      <c r="H744">
        <v>0</v>
      </c>
      <c r="I744">
        <v>0</v>
      </c>
      <c r="J744">
        <v>0</v>
      </c>
      <c r="K744">
        <v>0</v>
      </c>
      <c r="L744">
        <v>0</v>
      </c>
      <c r="M744">
        <v>0</v>
      </c>
      <c r="N744">
        <v>0</v>
      </c>
      <c r="O744">
        <v>122000</v>
      </c>
      <c r="P744">
        <v>0</v>
      </c>
      <c r="Q744" t="str">
        <f>INDEX(pARTNER[#All],MATCH(#REF!,pARTNER[[#All],[Value.partnerSummary.id]],0),10)</f>
        <v>Slovenija (SI)</v>
      </c>
      <c r="R744" t="str">
        <f>INDEX('Partner data'!$A$2:$DG$171,MATCH(#REF!,'Partner data'!$DG$2:$DG$171,0),83)</f>
        <v>Soggetto pubblico</v>
      </c>
      <c r="S744" s="86" t="b">
        <f>IF(#REF!="staff",INDEX('Partner data'!$DG$2:$DH$171,MATCH(#REF!,'Partner data'!$DG$2:$DG$171,0),2))</f>
        <v>0</v>
      </c>
    </row>
    <row r="745" spans="1:19" x14ac:dyDescent="0.25">
      <c r="A745" t="s">
        <v>296</v>
      </c>
      <c r="B745" t="s">
        <v>299</v>
      </c>
      <c r="C745" s="2">
        <v>192</v>
      </c>
      <c r="D745" s="2">
        <v>342</v>
      </c>
      <c r="E745" t="s">
        <v>234</v>
      </c>
      <c r="G745">
        <v>0</v>
      </c>
      <c r="H745">
        <v>0</v>
      </c>
      <c r="I745">
        <v>0</v>
      </c>
      <c r="J745">
        <v>0</v>
      </c>
      <c r="K745">
        <v>0</v>
      </c>
      <c r="L745">
        <v>0</v>
      </c>
      <c r="M745">
        <v>0</v>
      </c>
      <c r="N745">
        <v>0</v>
      </c>
      <c r="O745">
        <v>0</v>
      </c>
      <c r="P745">
        <v>0</v>
      </c>
      <c r="Q745" t="str">
        <f>INDEX(pARTNER[#All],MATCH(#REF!,pARTNER[[#All],[Value.partnerSummary.id]],0),10)</f>
        <v>Slovenija (SI)</v>
      </c>
      <c r="R745" t="str">
        <f>INDEX('Partner data'!$A$2:$DG$171,MATCH(#REF!,'Partner data'!$DG$2:$DG$171,0),83)</f>
        <v>Soggetto pubblico</v>
      </c>
      <c r="S745" s="86" t="b">
        <f>IF(#REF!="staff",INDEX('Partner data'!$DG$2:$DH$171,MATCH(#REF!,'Partner data'!$DG$2:$DG$171,0),2))</f>
        <v>0</v>
      </c>
    </row>
    <row r="746" spans="1:19" x14ac:dyDescent="0.25">
      <c r="A746" t="s">
        <v>296</v>
      </c>
      <c r="B746" t="s">
        <v>299</v>
      </c>
      <c r="C746" s="2">
        <v>192</v>
      </c>
      <c r="D746" s="2">
        <v>342</v>
      </c>
      <c r="E746" t="s">
        <v>235</v>
      </c>
      <c r="G746">
        <v>0</v>
      </c>
      <c r="H746">
        <v>0</v>
      </c>
      <c r="I746">
        <v>0</v>
      </c>
      <c r="J746">
        <v>0</v>
      </c>
      <c r="K746">
        <v>0</v>
      </c>
      <c r="L746">
        <v>0</v>
      </c>
      <c r="M746">
        <v>0</v>
      </c>
      <c r="N746">
        <v>0</v>
      </c>
      <c r="O746">
        <v>0</v>
      </c>
      <c r="P746">
        <v>0</v>
      </c>
      <c r="Q746" t="str">
        <f>INDEX(pARTNER[#All],MATCH(#REF!,pARTNER[[#All],[Value.partnerSummary.id]],0),10)</f>
        <v>Slovenija (SI)</v>
      </c>
      <c r="R746" t="str">
        <f>INDEX('Partner data'!$A$2:$DG$171,MATCH(#REF!,'Partner data'!$DG$2:$DG$171,0),83)</f>
        <v>Soggetto pubblico</v>
      </c>
      <c r="S746" s="86" t="b">
        <f>IF(#REF!="staff",INDEX('Partner data'!$DG$2:$DH$171,MATCH(#REF!,'Partner data'!$DG$2:$DG$171,0),2))</f>
        <v>0</v>
      </c>
    </row>
    <row r="747" spans="1:19" x14ac:dyDescent="0.25">
      <c r="A747" t="s">
        <v>296</v>
      </c>
      <c r="B747" t="s">
        <v>299</v>
      </c>
      <c r="C747" s="2">
        <v>192</v>
      </c>
      <c r="D747" s="2">
        <v>342</v>
      </c>
      <c r="E747" t="s">
        <v>236</v>
      </c>
      <c r="G747">
        <v>0</v>
      </c>
      <c r="H747">
        <v>0</v>
      </c>
      <c r="I747">
        <v>0</v>
      </c>
      <c r="J747">
        <v>0</v>
      </c>
      <c r="K747">
        <v>0</v>
      </c>
      <c r="L747">
        <v>0</v>
      </c>
      <c r="M747">
        <v>0</v>
      </c>
      <c r="N747">
        <v>0</v>
      </c>
      <c r="O747">
        <v>0</v>
      </c>
      <c r="P747">
        <v>0</v>
      </c>
      <c r="Q747" t="str">
        <f>INDEX(pARTNER[#All],MATCH(#REF!,pARTNER[[#All],[Value.partnerSummary.id]],0),10)</f>
        <v>Slovenija (SI)</v>
      </c>
      <c r="R747" t="str">
        <f>INDEX('Partner data'!$A$2:$DG$171,MATCH(#REF!,'Partner data'!$DG$2:$DG$171,0),83)</f>
        <v>Soggetto pubblico</v>
      </c>
      <c r="S747" s="86" t="b">
        <f>IF(#REF!="staff",INDEX('Partner data'!$DG$2:$DH$171,MATCH(#REF!,'Partner data'!$DG$2:$DG$171,0),2))</f>
        <v>0</v>
      </c>
    </row>
    <row r="748" spans="1:19" x14ac:dyDescent="0.25">
      <c r="A748" t="s">
        <v>296</v>
      </c>
      <c r="B748" t="s">
        <v>299</v>
      </c>
      <c r="C748" s="2">
        <v>192</v>
      </c>
      <c r="D748" s="2">
        <v>342</v>
      </c>
      <c r="E748" t="s">
        <v>237</v>
      </c>
      <c r="G748">
        <v>0</v>
      </c>
      <c r="H748">
        <v>0</v>
      </c>
      <c r="I748">
        <v>0</v>
      </c>
      <c r="J748">
        <v>0</v>
      </c>
      <c r="K748">
        <v>0</v>
      </c>
      <c r="L748">
        <v>0</v>
      </c>
      <c r="M748">
        <v>0</v>
      </c>
      <c r="N748">
        <v>0</v>
      </c>
      <c r="O748">
        <v>0</v>
      </c>
      <c r="P748">
        <v>0</v>
      </c>
      <c r="Q748" t="str">
        <f>INDEX(pARTNER[#All],MATCH(#REF!,pARTNER[[#All],[Value.partnerSummary.id]],0),10)</f>
        <v>Slovenija (SI)</v>
      </c>
      <c r="R748" t="str">
        <f>INDEX('Partner data'!$A$2:$DG$171,MATCH(#REF!,'Partner data'!$DG$2:$DG$171,0),83)</f>
        <v>Soggetto pubblico</v>
      </c>
      <c r="S748" s="86" t="b">
        <f>IF(#REF!="staff",INDEX('Partner data'!$DG$2:$DH$171,MATCH(#REF!,'Partner data'!$DG$2:$DG$171,0),2))</f>
        <v>0</v>
      </c>
    </row>
    <row r="749" spans="1:19" x14ac:dyDescent="0.25">
      <c r="A749" t="s">
        <v>296</v>
      </c>
      <c r="B749" t="s">
        <v>299</v>
      </c>
      <c r="C749" s="2">
        <v>192</v>
      </c>
      <c r="D749" s="2">
        <v>342</v>
      </c>
      <c r="E749" t="s">
        <v>238</v>
      </c>
      <c r="G749">
        <v>131000</v>
      </c>
      <c r="H749">
        <v>0</v>
      </c>
      <c r="I749">
        <v>0</v>
      </c>
      <c r="J749">
        <v>0</v>
      </c>
      <c r="K749">
        <v>0</v>
      </c>
      <c r="L749">
        <v>0</v>
      </c>
      <c r="M749">
        <v>0</v>
      </c>
      <c r="N749">
        <v>0</v>
      </c>
      <c r="O749">
        <v>131000</v>
      </c>
      <c r="P749">
        <v>0</v>
      </c>
      <c r="Q749" t="str">
        <f>INDEX(pARTNER[#All],MATCH(#REF!,pARTNER[[#All],[Value.partnerSummary.id]],0),10)</f>
        <v>Slovenija (SI)</v>
      </c>
      <c r="R749" t="str">
        <f>INDEX('Partner data'!$A$2:$DG$171,MATCH(#REF!,'Partner data'!$DG$2:$DG$171,0),83)</f>
        <v>Soggetto pubblico</v>
      </c>
      <c r="S749" s="86" t="b">
        <f>IF(#REF!="staff",INDEX('Partner data'!$DG$2:$DH$171,MATCH(#REF!,'Partner data'!$DG$2:$DG$171,0),2))</f>
        <v>0</v>
      </c>
    </row>
    <row r="750" spans="1:19" x14ac:dyDescent="0.25">
      <c r="A750" t="s">
        <v>296</v>
      </c>
      <c r="B750" t="s">
        <v>300</v>
      </c>
      <c r="C750" s="2">
        <v>191</v>
      </c>
      <c r="D750" s="2">
        <v>196</v>
      </c>
      <c r="E750" t="s">
        <v>228</v>
      </c>
      <c r="G750">
        <v>32200</v>
      </c>
      <c r="H750">
        <v>0</v>
      </c>
      <c r="I750">
        <v>0</v>
      </c>
      <c r="J750">
        <v>0</v>
      </c>
      <c r="K750">
        <v>0</v>
      </c>
      <c r="L750">
        <v>0</v>
      </c>
      <c r="M750">
        <v>0</v>
      </c>
      <c r="N750">
        <v>0</v>
      </c>
      <c r="O750">
        <v>32200</v>
      </c>
      <c r="P750">
        <v>0</v>
      </c>
      <c r="Q750" t="str">
        <f>INDEX(pARTNER[#All],MATCH(#REF!,pARTNER[[#All],[Value.partnerSummary.id]],0),10)</f>
        <v>Slovenija (SI)</v>
      </c>
      <c r="R750" t="str">
        <f>INDEX('Partner data'!$A$2:$DG$171,MATCH(#REF!,'Partner data'!$DG$2:$DG$171,0),83)</f>
        <v>Soggetto pubblico</v>
      </c>
      <c r="S750" s="86" t="str">
        <f>IF(#REF!="staff",INDEX('Partner data'!$DG$2:$DH$171,MATCH(#REF!,'Partner data'!$DG$2:$DG$171,0),2))</f>
        <v>COSTO REALE</v>
      </c>
    </row>
    <row r="751" spans="1:19" x14ac:dyDescent="0.25">
      <c r="A751" t="s">
        <v>296</v>
      </c>
      <c r="B751" t="s">
        <v>300</v>
      </c>
      <c r="C751" s="2">
        <v>191</v>
      </c>
      <c r="D751" s="2">
        <v>196</v>
      </c>
      <c r="E751" t="s">
        <v>229</v>
      </c>
      <c r="F751">
        <v>15</v>
      </c>
      <c r="G751">
        <v>4830</v>
      </c>
      <c r="H751">
        <v>0</v>
      </c>
      <c r="I751">
        <v>0</v>
      </c>
      <c r="J751">
        <v>0</v>
      </c>
      <c r="K751">
        <v>0</v>
      </c>
      <c r="L751">
        <v>0</v>
      </c>
      <c r="M751">
        <v>0</v>
      </c>
      <c r="N751">
        <v>0</v>
      </c>
      <c r="O751">
        <v>4830</v>
      </c>
      <c r="P751">
        <v>0</v>
      </c>
      <c r="Q751" t="str">
        <f>INDEX(pARTNER[#All],MATCH(#REF!,pARTNER[[#All],[Value.partnerSummary.id]],0),10)</f>
        <v>Slovenija (SI)</v>
      </c>
      <c r="R751" t="str">
        <f>INDEX('Partner data'!$A$2:$DG$171,MATCH(#REF!,'Partner data'!$DG$2:$DG$171,0),83)</f>
        <v>Soggetto pubblico</v>
      </c>
      <c r="S751" s="86" t="b">
        <f>IF(#REF!="staff",INDEX('Partner data'!$DG$2:$DH$171,MATCH(#REF!,'Partner data'!$DG$2:$DG$171,0),2))</f>
        <v>0</v>
      </c>
    </row>
    <row r="752" spans="1:19" x14ac:dyDescent="0.25">
      <c r="A752" t="s">
        <v>296</v>
      </c>
      <c r="B752" t="s">
        <v>300</v>
      </c>
      <c r="C752" s="2">
        <v>191</v>
      </c>
      <c r="D752" s="2">
        <v>196</v>
      </c>
      <c r="E752" t="s">
        <v>230</v>
      </c>
      <c r="F752">
        <v>4</v>
      </c>
      <c r="G752">
        <v>1288</v>
      </c>
      <c r="H752">
        <v>0</v>
      </c>
      <c r="I752">
        <v>0</v>
      </c>
      <c r="J752">
        <v>0</v>
      </c>
      <c r="K752">
        <v>0</v>
      </c>
      <c r="L752">
        <v>0</v>
      </c>
      <c r="M752">
        <v>0</v>
      </c>
      <c r="N752">
        <v>0</v>
      </c>
      <c r="O752">
        <v>1288</v>
      </c>
      <c r="P752">
        <v>0</v>
      </c>
      <c r="Q752" t="str">
        <f>INDEX(pARTNER[#All],MATCH(#REF!,pARTNER[[#All],[Value.partnerSummary.id]],0),10)</f>
        <v>Slovenija (SI)</v>
      </c>
      <c r="R752" t="str">
        <f>INDEX('Partner data'!$A$2:$DG$171,MATCH(#REF!,'Partner data'!$DG$2:$DG$171,0),83)</f>
        <v>Soggetto pubblico</v>
      </c>
      <c r="S752" s="86" t="b">
        <f>IF(#REF!="staff",INDEX('Partner data'!$DG$2:$DH$171,MATCH(#REF!,'Partner data'!$DG$2:$DG$171,0),2))</f>
        <v>0</v>
      </c>
    </row>
    <row r="753" spans="1:19" x14ac:dyDescent="0.25">
      <c r="A753" t="s">
        <v>296</v>
      </c>
      <c r="B753" t="s">
        <v>300</v>
      </c>
      <c r="C753" s="2">
        <v>191</v>
      </c>
      <c r="D753" s="2">
        <v>196</v>
      </c>
      <c r="E753" t="s">
        <v>231</v>
      </c>
      <c r="G753">
        <v>81682</v>
      </c>
      <c r="H753">
        <v>0</v>
      </c>
      <c r="I753">
        <v>0</v>
      </c>
      <c r="J753">
        <v>0</v>
      </c>
      <c r="K753">
        <v>0</v>
      </c>
      <c r="L753">
        <v>0</v>
      </c>
      <c r="M753">
        <v>0</v>
      </c>
      <c r="N753">
        <v>0</v>
      </c>
      <c r="O753">
        <v>81682</v>
      </c>
      <c r="P753">
        <v>0</v>
      </c>
      <c r="Q753" t="str">
        <f>INDEX(pARTNER[#All],MATCH(#REF!,pARTNER[[#All],[Value.partnerSummary.id]],0),10)</f>
        <v>Slovenija (SI)</v>
      </c>
      <c r="R753" t="str">
        <f>INDEX('Partner data'!$A$2:$DG$171,MATCH(#REF!,'Partner data'!$DG$2:$DG$171,0),83)</f>
        <v>Soggetto pubblico</v>
      </c>
      <c r="S753" s="86" t="b">
        <f>IF(#REF!="staff",INDEX('Partner data'!$DG$2:$DH$171,MATCH(#REF!,'Partner data'!$DG$2:$DG$171,0),2))</f>
        <v>0</v>
      </c>
    </row>
    <row r="754" spans="1:19" x14ac:dyDescent="0.25">
      <c r="A754" t="s">
        <v>296</v>
      </c>
      <c r="B754" t="s">
        <v>300</v>
      </c>
      <c r="C754" s="2">
        <v>191</v>
      </c>
      <c r="D754" s="2">
        <v>196</v>
      </c>
      <c r="E754" t="s">
        <v>232</v>
      </c>
      <c r="G754">
        <v>0</v>
      </c>
      <c r="H754">
        <v>0</v>
      </c>
      <c r="I754">
        <v>0</v>
      </c>
      <c r="J754">
        <v>0</v>
      </c>
      <c r="K754">
        <v>0</v>
      </c>
      <c r="L754">
        <v>0</v>
      </c>
      <c r="M754">
        <v>0</v>
      </c>
      <c r="N754">
        <v>0</v>
      </c>
      <c r="O754">
        <v>0</v>
      </c>
      <c r="P754">
        <v>0</v>
      </c>
      <c r="Q754" t="str">
        <f>INDEX(pARTNER[#All],MATCH(#REF!,pARTNER[[#All],[Value.partnerSummary.id]],0),10)</f>
        <v>Slovenija (SI)</v>
      </c>
      <c r="R754" t="str">
        <f>INDEX('Partner data'!$A$2:$DG$171,MATCH(#REF!,'Partner data'!$DG$2:$DG$171,0),83)</f>
        <v>Soggetto pubblico</v>
      </c>
      <c r="S754" s="86" t="b">
        <f>IF(#REF!="staff",INDEX('Partner data'!$DG$2:$DH$171,MATCH(#REF!,'Partner data'!$DG$2:$DG$171,0),2))</f>
        <v>0</v>
      </c>
    </row>
    <row r="755" spans="1:19" x14ac:dyDescent="0.25">
      <c r="A755" t="s">
        <v>296</v>
      </c>
      <c r="B755" t="s">
        <v>300</v>
      </c>
      <c r="C755" s="2">
        <v>191</v>
      </c>
      <c r="D755" s="2">
        <v>196</v>
      </c>
      <c r="E755" t="s">
        <v>233</v>
      </c>
      <c r="G755">
        <v>0</v>
      </c>
      <c r="H755">
        <v>0</v>
      </c>
      <c r="I755">
        <v>0</v>
      </c>
      <c r="J755">
        <v>0</v>
      </c>
      <c r="K755">
        <v>0</v>
      </c>
      <c r="L755">
        <v>0</v>
      </c>
      <c r="M755">
        <v>0</v>
      </c>
      <c r="N755">
        <v>0</v>
      </c>
      <c r="O755">
        <v>0</v>
      </c>
      <c r="P755">
        <v>0</v>
      </c>
      <c r="Q755" t="str">
        <f>INDEX(pARTNER[#All],MATCH(#REF!,pARTNER[[#All],[Value.partnerSummary.id]],0),10)</f>
        <v>Slovenija (SI)</v>
      </c>
      <c r="R755" t="str">
        <f>INDEX('Partner data'!$A$2:$DG$171,MATCH(#REF!,'Partner data'!$DG$2:$DG$171,0),83)</f>
        <v>Soggetto pubblico</v>
      </c>
      <c r="S755" s="86" t="b">
        <f>IF(#REF!="staff",INDEX('Partner data'!$DG$2:$DH$171,MATCH(#REF!,'Partner data'!$DG$2:$DG$171,0),2))</f>
        <v>0</v>
      </c>
    </row>
    <row r="756" spans="1:19" x14ac:dyDescent="0.25">
      <c r="A756" t="s">
        <v>296</v>
      </c>
      <c r="B756" t="s">
        <v>300</v>
      </c>
      <c r="C756" s="2">
        <v>191</v>
      </c>
      <c r="D756" s="2">
        <v>196</v>
      </c>
      <c r="E756" t="s">
        <v>234</v>
      </c>
      <c r="G756">
        <v>0</v>
      </c>
      <c r="H756">
        <v>0</v>
      </c>
      <c r="I756">
        <v>0</v>
      </c>
      <c r="J756">
        <v>0</v>
      </c>
      <c r="K756">
        <v>0</v>
      </c>
      <c r="L756">
        <v>0</v>
      </c>
      <c r="M756">
        <v>0</v>
      </c>
      <c r="N756">
        <v>0</v>
      </c>
      <c r="O756">
        <v>0</v>
      </c>
      <c r="P756">
        <v>0</v>
      </c>
      <c r="Q756" t="str">
        <f>INDEX(pARTNER[#All],MATCH(#REF!,pARTNER[[#All],[Value.partnerSummary.id]],0),10)</f>
        <v>Slovenija (SI)</v>
      </c>
      <c r="R756" t="str">
        <f>INDEX('Partner data'!$A$2:$DG$171,MATCH(#REF!,'Partner data'!$DG$2:$DG$171,0),83)</f>
        <v>Soggetto pubblico</v>
      </c>
      <c r="S756" s="86" t="b">
        <f>IF(#REF!="staff",INDEX('Partner data'!$DG$2:$DH$171,MATCH(#REF!,'Partner data'!$DG$2:$DG$171,0),2))</f>
        <v>0</v>
      </c>
    </row>
    <row r="757" spans="1:19" x14ac:dyDescent="0.25">
      <c r="A757" t="s">
        <v>296</v>
      </c>
      <c r="B757" t="s">
        <v>300</v>
      </c>
      <c r="C757" s="2">
        <v>191</v>
      </c>
      <c r="D757" s="2">
        <v>196</v>
      </c>
      <c r="E757" t="s">
        <v>235</v>
      </c>
      <c r="G757">
        <v>0</v>
      </c>
      <c r="H757">
        <v>0</v>
      </c>
      <c r="I757">
        <v>0</v>
      </c>
      <c r="J757">
        <v>0</v>
      </c>
      <c r="K757">
        <v>0</v>
      </c>
      <c r="L757">
        <v>0</v>
      </c>
      <c r="M757">
        <v>0</v>
      </c>
      <c r="N757">
        <v>0</v>
      </c>
      <c r="O757">
        <v>0</v>
      </c>
      <c r="P757">
        <v>0</v>
      </c>
      <c r="Q757" t="str">
        <f>INDEX(pARTNER[#All],MATCH(#REF!,pARTNER[[#All],[Value.partnerSummary.id]],0),10)</f>
        <v>Slovenija (SI)</v>
      </c>
      <c r="R757" t="str">
        <f>INDEX('Partner data'!$A$2:$DG$171,MATCH(#REF!,'Partner data'!$DG$2:$DG$171,0),83)</f>
        <v>Soggetto pubblico</v>
      </c>
      <c r="S757" s="86" t="b">
        <f>IF(#REF!="staff",INDEX('Partner data'!$DG$2:$DH$171,MATCH(#REF!,'Partner data'!$DG$2:$DG$171,0),2))</f>
        <v>0</v>
      </c>
    </row>
    <row r="758" spans="1:19" x14ac:dyDescent="0.25">
      <c r="A758" t="s">
        <v>296</v>
      </c>
      <c r="B758" t="s">
        <v>300</v>
      </c>
      <c r="C758" s="2">
        <v>191</v>
      </c>
      <c r="D758" s="2">
        <v>196</v>
      </c>
      <c r="E758" t="s">
        <v>236</v>
      </c>
      <c r="G758">
        <v>0</v>
      </c>
      <c r="H758">
        <v>0</v>
      </c>
      <c r="I758">
        <v>0</v>
      </c>
      <c r="J758">
        <v>0</v>
      </c>
      <c r="K758">
        <v>0</v>
      </c>
      <c r="L758">
        <v>0</v>
      </c>
      <c r="M758">
        <v>0</v>
      </c>
      <c r="N758">
        <v>0</v>
      </c>
      <c r="O758">
        <v>0</v>
      </c>
      <c r="P758">
        <v>0</v>
      </c>
      <c r="Q758" t="str">
        <f>INDEX(pARTNER[#All],MATCH(#REF!,pARTNER[[#All],[Value.partnerSummary.id]],0),10)</f>
        <v>Slovenija (SI)</v>
      </c>
      <c r="R758" t="str">
        <f>INDEX('Partner data'!$A$2:$DG$171,MATCH(#REF!,'Partner data'!$DG$2:$DG$171,0),83)</f>
        <v>Soggetto pubblico</v>
      </c>
      <c r="S758" s="86" t="b">
        <f>IF(#REF!="staff",INDEX('Partner data'!$DG$2:$DH$171,MATCH(#REF!,'Partner data'!$DG$2:$DG$171,0),2))</f>
        <v>0</v>
      </c>
    </row>
    <row r="759" spans="1:19" x14ac:dyDescent="0.25">
      <c r="A759" t="s">
        <v>296</v>
      </c>
      <c r="B759" t="s">
        <v>300</v>
      </c>
      <c r="C759" s="2">
        <v>191</v>
      </c>
      <c r="D759" s="2">
        <v>196</v>
      </c>
      <c r="E759" t="s">
        <v>237</v>
      </c>
      <c r="G759">
        <v>0</v>
      </c>
      <c r="H759">
        <v>0</v>
      </c>
      <c r="I759">
        <v>0</v>
      </c>
      <c r="J759">
        <v>0</v>
      </c>
      <c r="K759">
        <v>0</v>
      </c>
      <c r="L759">
        <v>0</v>
      </c>
      <c r="M759">
        <v>0</v>
      </c>
      <c r="N759">
        <v>0</v>
      </c>
      <c r="O759">
        <v>0</v>
      </c>
      <c r="P759">
        <v>0</v>
      </c>
      <c r="Q759" t="str">
        <f>INDEX(pARTNER[#All],MATCH(#REF!,pARTNER[[#All],[Value.partnerSummary.id]],0),10)</f>
        <v>Slovenija (SI)</v>
      </c>
      <c r="R759" t="str">
        <f>INDEX('Partner data'!$A$2:$DG$171,MATCH(#REF!,'Partner data'!$DG$2:$DG$171,0),83)</f>
        <v>Soggetto pubblico</v>
      </c>
      <c r="S759" s="86" t="b">
        <f>IF(#REF!="staff",INDEX('Partner data'!$DG$2:$DH$171,MATCH(#REF!,'Partner data'!$DG$2:$DG$171,0),2))</f>
        <v>0</v>
      </c>
    </row>
    <row r="760" spans="1:19" x14ac:dyDescent="0.25">
      <c r="A760" t="s">
        <v>296</v>
      </c>
      <c r="B760" t="s">
        <v>300</v>
      </c>
      <c r="C760" s="2">
        <v>191</v>
      </c>
      <c r="D760" s="2">
        <v>196</v>
      </c>
      <c r="E760" t="s">
        <v>238</v>
      </c>
      <c r="G760">
        <v>120000</v>
      </c>
      <c r="H760">
        <v>0</v>
      </c>
      <c r="I760">
        <v>0</v>
      </c>
      <c r="J760">
        <v>0</v>
      </c>
      <c r="K760">
        <v>0</v>
      </c>
      <c r="L760">
        <v>0</v>
      </c>
      <c r="M760">
        <v>0</v>
      </c>
      <c r="N760">
        <v>0</v>
      </c>
      <c r="O760">
        <v>120000</v>
      </c>
      <c r="P760">
        <v>0</v>
      </c>
      <c r="Q760" t="str">
        <f>INDEX(pARTNER[#All],MATCH(#REF!,pARTNER[[#All],[Value.partnerSummary.id]],0),10)</f>
        <v>Slovenija (SI)</v>
      </c>
      <c r="R760" t="str">
        <f>INDEX('Partner data'!$A$2:$DG$171,MATCH(#REF!,'Partner data'!$DG$2:$DG$171,0),83)</f>
        <v>Soggetto pubblico</v>
      </c>
      <c r="S760" s="86" t="b">
        <f>IF(#REF!="staff",INDEX('Partner data'!$DG$2:$DH$171,MATCH(#REF!,'Partner data'!$DG$2:$DG$171,0),2))</f>
        <v>0</v>
      </c>
    </row>
    <row r="761" spans="1:19" x14ac:dyDescent="0.25">
      <c r="A761" t="s">
        <v>61</v>
      </c>
      <c r="B761" t="s">
        <v>293</v>
      </c>
      <c r="C761" s="2">
        <v>112</v>
      </c>
      <c r="D761" s="2">
        <v>171</v>
      </c>
      <c r="E761" t="s">
        <v>228</v>
      </c>
      <c r="G761">
        <v>65464</v>
      </c>
      <c r="H761">
        <v>0</v>
      </c>
      <c r="I761">
        <v>0</v>
      </c>
      <c r="J761">
        <v>1276</v>
      </c>
      <c r="K761">
        <v>0</v>
      </c>
      <c r="L761">
        <v>1276</v>
      </c>
      <c r="M761">
        <v>1276</v>
      </c>
      <c r="N761">
        <v>1.95</v>
      </c>
      <c r="O761">
        <v>64188</v>
      </c>
      <c r="P761">
        <v>0</v>
      </c>
      <c r="Q761" t="str">
        <f>INDEX(pARTNER[#All],MATCH(#REF!,pARTNER[[#All],[Value.partnerSummary.id]],0),10)</f>
        <v>Italia (IT)</v>
      </c>
      <c r="R761" t="str">
        <f>INDEX('Partner data'!$A$2:$DG$171,MATCH(#REF!,'Partner data'!$DG$2:$DG$171,0),83)</f>
        <v>Soggetto pubblico</v>
      </c>
      <c r="S761" s="86" t="str">
        <f>IF(#REF!="staff",INDEX('Partner data'!$DG$2:$DH$171,MATCH(#REF!,'Partner data'!$DG$2:$DG$171,0),2))</f>
        <v>Costo Unitario Standard</v>
      </c>
    </row>
    <row r="762" spans="1:19" x14ac:dyDescent="0.25">
      <c r="A762" t="s">
        <v>61</v>
      </c>
      <c r="B762" t="s">
        <v>293</v>
      </c>
      <c r="C762" s="2">
        <v>112</v>
      </c>
      <c r="D762" s="2">
        <v>171</v>
      </c>
      <c r="E762" t="s">
        <v>229</v>
      </c>
      <c r="G762">
        <v>0</v>
      </c>
      <c r="H762">
        <v>0</v>
      </c>
      <c r="I762">
        <v>0</v>
      </c>
      <c r="J762">
        <v>0</v>
      </c>
      <c r="K762">
        <v>0</v>
      </c>
      <c r="L762">
        <v>0</v>
      </c>
      <c r="M762">
        <v>0</v>
      </c>
      <c r="N762">
        <v>0</v>
      </c>
      <c r="O762">
        <v>0</v>
      </c>
      <c r="P762">
        <v>0</v>
      </c>
      <c r="Q762" t="str">
        <f>INDEX(pARTNER[#All],MATCH(#REF!,pARTNER[[#All],[Value.partnerSummary.id]],0),10)</f>
        <v>Italia (IT)</v>
      </c>
      <c r="R762" t="str">
        <f>INDEX('Partner data'!$A$2:$DG$171,MATCH(#REF!,'Partner data'!$DG$2:$DG$171,0),83)</f>
        <v>Soggetto pubblico</v>
      </c>
      <c r="S762" s="86" t="b">
        <f>IF(#REF!="staff",INDEX('Partner data'!$DG$2:$DH$171,MATCH(#REF!,'Partner data'!$DG$2:$DG$171,0),2))</f>
        <v>0</v>
      </c>
    </row>
    <row r="763" spans="1:19" x14ac:dyDescent="0.25">
      <c r="A763" t="s">
        <v>61</v>
      </c>
      <c r="B763" t="s">
        <v>293</v>
      </c>
      <c r="C763" s="2">
        <v>112</v>
      </c>
      <c r="D763" s="2">
        <v>171</v>
      </c>
      <c r="E763" t="s">
        <v>230</v>
      </c>
      <c r="G763">
        <v>0</v>
      </c>
      <c r="H763">
        <v>0</v>
      </c>
      <c r="I763">
        <v>0</v>
      </c>
      <c r="J763">
        <v>0</v>
      </c>
      <c r="K763">
        <v>0</v>
      </c>
      <c r="L763">
        <v>0</v>
      </c>
      <c r="M763">
        <v>0</v>
      </c>
      <c r="N763">
        <v>0</v>
      </c>
      <c r="O763">
        <v>0</v>
      </c>
      <c r="P763">
        <v>0</v>
      </c>
      <c r="Q763" t="str">
        <f>INDEX(pARTNER[#All],MATCH(#REF!,pARTNER[[#All],[Value.partnerSummary.id]],0),10)</f>
        <v>Italia (IT)</v>
      </c>
      <c r="R763" t="str">
        <f>INDEX('Partner data'!$A$2:$DG$171,MATCH(#REF!,'Partner data'!$DG$2:$DG$171,0),83)</f>
        <v>Soggetto pubblico</v>
      </c>
      <c r="S763" s="86" t="b">
        <f>IF(#REF!="staff",INDEX('Partner data'!$DG$2:$DH$171,MATCH(#REF!,'Partner data'!$DG$2:$DG$171,0),2))</f>
        <v>0</v>
      </c>
    </row>
    <row r="764" spans="1:19" x14ac:dyDescent="0.25">
      <c r="A764" t="s">
        <v>61</v>
      </c>
      <c r="B764" t="s">
        <v>293</v>
      </c>
      <c r="C764" s="2">
        <v>112</v>
      </c>
      <c r="D764" s="2">
        <v>171</v>
      </c>
      <c r="E764" t="s">
        <v>231</v>
      </c>
      <c r="G764">
        <v>0</v>
      </c>
      <c r="H764">
        <v>0</v>
      </c>
      <c r="I764">
        <v>0</v>
      </c>
      <c r="J764">
        <v>0</v>
      </c>
      <c r="K764">
        <v>0</v>
      </c>
      <c r="L764">
        <v>0</v>
      </c>
      <c r="M764">
        <v>0</v>
      </c>
      <c r="N764">
        <v>0</v>
      </c>
      <c r="O764">
        <v>0</v>
      </c>
      <c r="P764">
        <v>0</v>
      </c>
      <c r="Q764" t="str">
        <f>INDEX(pARTNER[#All],MATCH(#REF!,pARTNER[[#All],[Value.partnerSummary.id]],0),10)</f>
        <v>Italia (IT)</v>
      </c>
      <c r="R764" t="str">
        <f>INDEX('Partner data'!$A$2:$DG$171,MATCH(#REF!,'Partner data'!$DG$2:$DG$171,0),83)</f>
        <v>Soggetto pubblico</v>
      </c>
      <c r="S764" s="86" t="b">
        <f>IF(#REF!="staff",INDEX('Partner data'!$DG$2:$DH$171,MATCH(#REF!,'Partner data'!$DG$2:$DG$171,0),2))</f>
        <v>0</v>
      </c>
    </row>
    <row r="765" spans="1:19" x14ac:dyDescent="0.25">
      <c r="A765" t="s">
        <v>61</v>
      </c>
      <c r="B765" t="s">
        <v>293</v>
      </c>
      <c r="C765" s="2">
        <v>112</v>
      </c>
      <c r="D765" s="2">
        <v>171</v>
      </c>
      <c r="E765" t="s">
        <v>232</v>
      </c>
      <c r="G765">
        <v>0</v>
      </c>
      <c r="H765">
        <v>0</v>
      </c>
      <c r="I765">
        <v>0</v>
      </c>
      <c r="J765">
        <v>0</v>
      </c>
      <c r="K765">
        <v>0</v>
      </c>
      <c r="L765">
        <v>0</v>
      </c>
      <c r="M765">
        <v>0</v>
      </c>
      <c r="N765">
        <v>0</v>
      </c>
      <c r="O765">
        <v>0</v>
      </c>
      <c r="P765">
        <v>0</v>
      </c>
      <c r="Q765" t="str">
        <f>INDEX(pARTNER[#All],MATCH(#REF!,pARTNER[[#All],[Value.partnerSummary.id]],0),10)</f>
        <v>Italia (IT)</v>
      </c>
      <c r="R765" t="str">
        <f>INDEX('Partner data'!$A$2:$DG$171,MATCH(#REF!,'Partner data'!$DG$2:$DG$171,0),83)</f>
        <v>Soggetto pubblico</v>
      </c>
      <c r="S765" s="86" t="b">
        <f>IF(#REF!="staff",INDEX('Partner data'!$DG$2:$DH$171,MATCH(#REF!,'Partner data'!$DG$2:$DG$171,0),2))</f>
        <v>0</v>
      </c>
    </row>
    <row r="766" spans="1:19" x14ac:dyDescent="0.25">
      <c r="A766" t="s">
        <v>61</v>
      </c>
      <c r="B766" t="s">
        <v>293</v>
      </c>
      <c r="C766" s="2">
        <v>112</v>
      </c>
      <c r="D766" s="2">
        <v>171</v>
      </c>
      <c r="E766" t="s">
        <v>233</v>
      </c>
      <c r="G766">
        <v>0</v>
      </c>
      <c r="H766">
        <v>0</v>
      </c>
      <c r="I766">
        <v>0</v>
      </c>
      <c r="J766">
        <v>0</v>
      </c>
      <c r="K766">
        <v>0</v>
      </c>
      <c r="L766">
        <v>0</v>
      </c>
      <c r="M766">
        <v>0</v>
      </c>
      <c r="N766">
        <v>0</v>
      </c>
      <c r="O766">
        <v>0</v>
      </c>
      <c r="P766">
        <v>0</v>
      </c>
      <c r="Q766" t="str">
        <f>INDEX(pARTNER[#All],MATCH(#REF!,pARTNER[[#All],[Value.partnerSummary.id]],0),10)</f>
        <v>Italia (IT)</v>
      </c>
      <c r="R766" t="str">
        <f>INDEX('Partner data'!$A$2:$DG$171,MATCH(#REF!,'Partner data'!$DG$2:$DG$171,0),83)</f>
        <v>Soggetto pubblico</v>
      </c>
      <c r="S766" s="86" t="b">
        <f>IF(#REF!="staff",INDEX('Partner data'!$DG$2:$DH$171,MATCH(#REF!,'Partner data'!$DG$2:$DG$171,0),2))</f>
        <v>0</v>
      </c>
    </row>
    <row r="767" spans="1:19" x14ac:dyDescent="0.25">
      <c r="A767" t="s">
        <v>61</v>
      </c>
      <c r="B767" t="s">
        <v>293</v>
      </c>
      <c r="C767" s="2">
        <v>112</v>
      </c>
      <c r="D767" s="2">
        <v>171</v>
      </c>
      <c r="E767" t="s">
        <v>234</v>
      </c>
      <c r="F767">
        <v>40</v>
      </c>
      <c r="G767">
        <v>26185.599999999999</v>
      </c>
      <c r="H767">
        <v>0</v>
      </c>
      <c r="I767">
        <v>0</v>
      </c>
      <c r="J767">
        <v>510.4</v>
      </c>
      <c r="K767">
        <v>0</v>
      </c>
      <c r="L767">
        <v>510.4</v>
      </c>
      <c r="M767">
        <v>510.4</v>
      </c>
      <c r="N767">
        <v>1.95</v>
      </c>
      <c r="O767">
        <v>25675.200000000001</v>
      </c>
      <c r="P767">
        <v>0</v>
      </c>
      <c r="Q767" t="str">
        <f>INDEX(pARTNER[#All],MATCH(#REF!,pARTNER[[#All],[Value.partnerSummary.id]],0),10)</f>
        <v>Italia (IT)</v>
      </c>
      <c r="R767" t="str">
        <f>INDEX('Partner data'!$A$2:$DG$171,MATCH(#REF!,'Partner data'!$DG$2:$DG$171,0),83)</f>
        <v>Soggetto pubblico</v>
      </c>
      <c r="S767" s="86" t="b">
        <f>IF(#REF!="staff",INDEX('Partner data'!$DG$2:$DH$171,MATCH(#REF!,'Partner data'!$DG$2:$DG$171,0),2))</f>
        <v>0</v>
      </c>
    </row>
    <row r="768" spans="1:19" x14ac:dyDescent="0.25">
      <c r="A768" t="s">
        <v>61</v>
      </c>
      <c r="B768" t="s">
        <v>293</v>
      </c>
      <c r="C768" s="2">
        <v>112</v>
      </c>
      <c r="D768" s="2">
        <v>171</v>
      </c>
      <c r="E768" t="s">
        <v>235</v>
      </c>
      <c r="G768">
        <v>0</v>
      </c>
      <c r="H768">
        <v>0</v>
      </c>
      <c r="I768">
        <v>0</v>
      </c>
      <c r="J768">
        <v>0</v>
      </c>
      <c r="K768">
        <v>0</v>
      </c>
      <c r="L768">
        <v>0</v>
      </c>
      <c r="M768">
        <v>0</v>
      </c>
      <c r="N768">
        <v>0</v>
      </c>
      <c r="O768">
        <v>0</v>
      </c>
      <c r="P768">
        <v>0</v>
      </c>
      <c r="Q768" t="str">
        <f>INDEX(pARTNER[#All],MATCH(#REF!,pARTNER[[#All],[Value.partnerSummary.id]],0),10)</f>
        <v>Italia (IT)</v>
      </c>
      <c r="R768" t="str">
        <f>INDEX('Partner data'!$A$2:$DG$171,MATCH(#REF!,'Partner data'!$DG$2:$DG$171,0),83)</f>
        <v>Soggetto pubblico</v>
      </c>
      <c r="S768" s="86" t="b">
        <f>IF(#REF!="staff",INDEX('Partner data'!$DG$2:$DH$171,MATCH(#REF!,'Partner data'!$DG$2:$DG$171,0),2))</f>
        <v>0</v>
      </c>
    </row>
    <row r="769" spans="1:19" x14ac:dyDescent="0.25">
      <c r="A769" t="s">
        <v>61</v>
      </c>
      <c r="B769" t="s">
        <v>293</v>
      </c>
      <c r="C769" s="2">
        <v>112</v>
      </c>
      <c r="D769" s="2">
        <v>171</v>
      </c>
      <c r="E769" t="s">
        <v>236</v>
      </c>
      <c r="G769">
        <v>0</v>
      </c>
      <c r="H769">
        <v>0</v>
      </c>
      <c r="I769">
        <v>0</v>
      </c>
      <c r="J769">
        <v>0</v>
      </c>
      <c r="K769">
        <v>0</v>
      </c>
      <c r="L769">
        <v>0</v>
      </c>
      <c r="M769">
        <v>0</v>
      </c>
      <c r="N769">
        <v>0</v>
      </c>
      <c r="O769">
        <v>0</v>
      </c>
      <c r="P769">
        <v>0</v>
      </c>
      <c r="Q769" t="str">
        <f>INDEX(pARTNER[#All],MATCH(#REF!,pARTNER[[#All],[Value.partnerSummary.id]],0),10)</f>
        <v>Italia (IT)</v>
      </c>
      <c r="R769" t="str">
        <f>INDEX('Partner data'!$A$2:$DG$171,MATCH(#REF!,'Partner data'!$DG$2:$DG$171,0),83)</f>
        <v>Soggetto pubblico</v>
      </c>
      <c r="S769" s="86" t="b">
        <f>IF(#REF!="staff",INDEX('Partner data'!$DG$2:$DH$171,MATCH(#REF!,'Partner data'!$DG$2:$DG$171,0),2))</f>
        <v>0</v>
      </c>
    </row>
    <row r="770" spans="1:19" x14ac:dyDescent="0.25">
      <c r="A770" t="s">
        <v>61</v>
      </c>
      <c r="B770" t="s">
        <v>293</v>
      </c>
      <c r="C770" s="2">
        <v>112</v>
      </c>
      <c r="D770" s="2">
        <v>171</v>
      </c>
      <c r="E770" t="s">
        <v>237</v>
      </c>
      <c r="G770">
        <v>0</v>
      </c>
      <c r="H770">
        <v>0</v>
      </c>
      <c r="I770">
        <v>0</v>
      </c>
      <c r="J770">
        <v>0</v>
      </c>
      <c r="K770">
        <v>0</v>
      </c>
      <c r="L770">
        <v>0</v>
      </c>
      <c r="M770">
        <v>0</v>
      </c>
      <c r="N770">
        <v>0</v>
      </c>
      <c r="O770">
        <v>0</v>
      </c>
      <c r="P770">
        <v>0</v>
      </c>
      <c r="Q770" t="str">
        <f>INDEX(pARTNER[#All],MATCH(#REF!,pARTNER[[#All],[Value.partnerSummary.id]],0),10)</f>
        <v>Italia (IT)</v>
      </c>
      <c r="R770" t="str">
        <f>INDEX('Partner data'!$A$2:$DG$171,MATCH(#REF!,'Partner data'!$DG$2:$DG$171,0),83)</f>
        <v>Soggetto pubblico</v>
      </c>
      <c r="S770" s="86" t="b">
        <f>IF(#REF!="staff",INDEX('Partner data'!$DG$2:$DH$171,MATCH(#REF!,'Partner data'!$DG$2:$DG$171,0),2))</f>
        <v>0</v>
      </c>
    </row>
    <row r="771" spans="1:19" x14ac:dyDescent="0.25">
      <c r="A771" t="s">
        <v>61</v>
      </c>
      <c r="B771" t="s">
        <v>293</v>
      </c>
      <c r="C771" s="2">
        <v>112</v>
      </c>
      <c r="D771" s="2">
        <v>171</v>
      </c>
      <c r="E771" t="s">
        <v>238</v>
      </c>
      <c r="G771">
        <v>91649.600000000006</v>
      </c>
      <c r="H771">
        <v>0</v>
      </c>
      <c r="I771">
        <v>0</v>
      </c>
      <c r="J771">
        <v>1786.4</v>
      </c>
      <c r="K771">
        <v>0</v>
      </c>
      <c r="L771">
        <v>1786.4</v>
      </c>
      <c r="M771">
        <v>1786.4</v>
      </c>
      <c r="N771">
        <v>1.95</v>
      </c>
      <c r="O771">
        <v>89863.2</v>
      </c>
      <c r="P771">
        <v>0</v>
      </c>
      <c r="Q771" t="str">
        <f>INDEX(pARTNER[#All],MATCH(#REF!,pARTNER[[#All],[Value.partnerSummary.id]],0),10)</f>
        <v>Italia (IT)</v>
      </c>
      <c r="R771" t="str">
        <f>INDEX('Partner data'!$A$2:$DG$171,MATCH(#REF!,'Partner data'!$DG$2:$DG$171,0),83)</f>
        <v>Soggetto pubblico</v>
      </c>
      <c r="S771" s="86" t="b">
        <f>IF(#REF!="staff",INDEX('Partner data'!$DG$2:$DH$171,MATCH(#REF!,'Partner data'!$DG$2:$DG$171,0),2))</f>
        <v>0</v>
      </c>
    </row>
    <row r="772" spans="1:19" x14ac:dyDescent="0.25">
      <c r="A772" t="s">
        <v>61</v>
      </c>
      <c r="B772" t="s">
        <v>294</v>
      </c>
      <c r="C772" s="2">
        <v>90</v>
      </c>
      <c r="D772" s="2">
        <v>200</v>
      </c>
      <c r="E772" t="s">
        <v>228</v>
      </c>
      <c r="G772">
        <v>176360</v>
      </c>
      <c r="H772">
        <v>0</v>
      </c>
      <c r="I772">
        <v>0</v>
      </c>
      <c r="J772">
        <v>43685.43</v>
      </c>
      <c r="K772">
        <v>0</v>
      </c>
      <c r="L772">
        <v>41194.129999999997</v>
      </c>
      <c r="M772">
        <v>43685.43</v>
      </c>
      <c r="N772">
        <v>24.77</v>
      </c>
      <c r="O772">
        <v>132674.57</v>
      </c>
      <c r="P772">
        <v>0</v>
      </c>
      <c r="Q772" t="str">
        <f>INDEX(pARTNER[#All],MATCH(#REF!,pARTNER[[#All],[Value.partnerSummary.id]],0),10)</f>
        <v>Slovenija (SI)</v>
      </c>
      <c r="R772" t="str">
        <f>INDEX('Partner data'!$A$2:$DG$171,MATCH(#REF!,'Partner data'!$DG$2:$DG$171,0),83)</f>
        <v>Soggetto privato</v>
      </c>
      <c r="S772" s="86" t="str">
        <f>IF(#REF!="staff",INDEX('Partner data'!$DG$2:$DH$171,MATCH(#REF!,'Partner data'!$DG$2:$DG$171,0),2))</f>
        <v>COSTO REALE</v>
      </c>
    </row>
    <row r="773" spans="1:19" x14ac:dyDescent="0.25">
      <c r="A773" t="s">
        <v>61</v>
      </c>
      <c r="B773" t="s">
        <v>294</v>
      </c>
      <c r="C773" s="2">
        <v>90</v>
      </c>
      <c r="D773" s="2">
        <v>200</v>
      </c>
      <c r="E773" t="s">
        <v>229</v>
      </c>
      <c r="G773">
        <v>0</v>
      </c>
      <c r="H773">
        <v>0</v>
      </c>
      <c r="I773">
        <v>0</v>
      </c>
      <c r="J773">
        <v>0</v>
      </c>
      <c r="K773">
        <v>0</v>
      </c>
      <c r="L773">
        <v>0</v>
      </c>
      <c r="M773">
        <v>0</v>
      </c>
      <c r="N773">
        <v>0</v>
      </c>
      <c r="O773">
        <v>0</v>
      </c>
      <c r="P773">
        <v>0</v>
      </c>
      <c r="Q773" t="str">
        <f>INDEX(pARTNER[#All],MATCH(#REF!,pARTNER[[#All],[Value.partnerSummary.id]],0),10)</f>
        <v>Slovenija (SI)</v>
      </c>
      <c r="R773" t="str">
        <f>INDEX('Partner data'!$A$2:$DG$171,MATCH(#REF!,'Partner data'!$DG$2:$DG$171,0),83)</f>
        <v>Soggetto privato</v>
      </c>
      <c r="S773" s="86" t="b">
        <f>IF(#REF!="staff",INDEX('Partner data'!$DG$2:$DH$171,MATCH(#REF!,'Partner data'!$DG$2:$DG$171,0),2))</f>
        <v>0</v>
      </c>
    </row>
    <row r="774" spans="1:19" x14ac:dyDescent="0.25">
      <c r="A774" t="s">
        <v>61</v>
      </c>
      <c r="B774" t="s">
        <v>294</v>
      </c>
      <c r="C774" s="2">
        <v>90</v>
      </c>
      <c r="D774" s="2">
        <v>200</v>
      </c>
      <c r="E774" t="s">
        <v>230</v>
      </c>
      <c r="G774">
        <v>0</v>
      </c>
      <c r="H774">
        <v>0</v>
      </c>
      <c r="I774">
        <v>0</v>
      </c>
      <c r="J774">
        <v>0</v>
      </c>
      <c r="K774">
        <v>0</v>
      </c>
      <c r="L774">
        <v>0</v>
      </c>
      <c r="M774">
        <v>0</v>
      </c>
      <c r="N774">
        <v>0</v>
      </c>
      <c r="O774">
        <v>0</v>
      </c>
      <c r="P774">
        <v>0</v>
      </c>
      <c r="Q774" t="str">
        <f>INDEX(pARTNER[#All],MATCH(#REF!,pARTNER[[#All],[Value.partnerSummary.id]],0),10)</f>
        <v>Slovenija (SI)</v>
      </c>
      <c r="R774" t="str">
        <f>INDEX('Partner data'!$A$2:$DG$171,MATCH(#REF!,'Partner data'!$DG$2:$DG$171,0),83)</f>
        <v>Soggetto privato</v>
      </c>
      <c r="S774" s="86" t="b">
        <f>IF(#REF!="staff",INDEX('Partner data'!$DG$2:$DH$171,MATCH(#REF!,'Partner data'!$DG$2:$DG$171,0),2))</f>
        <v>0</v>
      </c>
    </row>
    <row r="775" spans="1:19" x14ac:dyDescent="0.25">
      <c r="A775" t="s">
        <v>61</v>
      </c>
      <c r="B775" t="s">
        <v>294</v>
      </c>
      <c r="C775" s="2">
        <v>90</v>
      </c>
      <c r="D775" s="2">
        <v>200</v>
      </c>
      <c r="E775" t="s">
        <v>231</v>
      </c>
      <c r="G775">
        <v>0</v>
      </c>
      <c r="H775">
        <v>0</v>
      </c>
      <c r="I775">
        <v>0</v>
      </c>
      <c r="J775">
        <v>0</v>
      </c>
      <c r="K775">
        <v>0</v>
      </c>
      <c r="L775">
        <v>0</v>
      </c>
      <c r="M775">
        <v>0</v>
      </c>
      <c r="N775">
        <v>0</v>
      </c>
      <c r="O775">
        <v>0</v>
      </c>
      <c r="P775">
        <v>0</v>
      </c>
      <c r="Q775" t="str">
        <f>INDEX(pARTNER[#All],MATCH(#REF!,pARTNER[[#All],[Value.partnerSummary.id]],0),10)</f>
        <v>Slovenija (SI)</v>
      </c>
      <c r="R775" t="str">
        <f>INDEX('Partner data'!$A$2:$DG$171,MATCH(#REF!,'Partner data'!$DG$2:$DG$171,0),83)</f>
        <v>Soggetto privato</v>
      </c>
      <c r="S775" s="86" t="b">
        <f>IF(#REF!="staff",INDEX('Partner data'!$DG$2:$DH$171,MATCH(#REF!,'Partner data'!$DG$2:$DG$171,0),2))</f>
        <v>0</v>
      </c>
    </row>
    <row r="776" spans="1:19" x14ac:dyDescent="0.25">
      <c r="A776" t="s">
        <v>61</v>
      </c>
      <c r="B776" t="s">
        <v>294</v>
      </c>
      <c r="C776" s="2">
        <v>90</v>
      </c>
      <c r="D776" s="2">
        <v>200</v>
      </c>
      <c r="E776" t="s">
        <v>232</v>
      </c>
      <c r="G776">
        <v>0</v>
      </c>
      <c r="H776">
        <v>0</v>
      </c>
      <c r="I776">
        <v>0</v>
      </c>
      <c r="J776">
        <v>0</v>
      </c>
      <c r="K776">
        <v>0</v>
      </c>
      <c r="L776">
        <v>0</v>
      </c>
      <c r="M776">
        <v>0</v>
      </c>
      <c r="N776">
        <v>0</v>
      </c>
      <c r="O776">
        <v>0</v>
      </c>
      <c r="P776">
        <v>0</v>
      </c>
      <c r="Q776" t="str">
        <f>INDEX(pARTNER[#All],MATCH(#REF!,pARTNER[[#All],[Value.partnerSummary.id]],0),10)</f>
        <v>Slovenija (SI)</v>
      </c>
      <c r="R776" t="str">
        <f>INDEX('Partner data'!$A$2:$DG$171,MATCH(#REF!,'Partner data'!$DG$2:$DG$171,0),83)</f>
        <v>Soggetto privato</v>
      </c>
      <c r="S776" s="86" t="b">
        <f>IF(#REF!="staff",INDEX('Partner data'!$DG$2:$DH$171,MATCH(#REF!,'Partner data'!$DG$2:$DG$171,0),2))</f>
        <v>0</v>
      </c>
    </row>
    <row r="777" spans="1:19" x14ac:dyDescent="0.25">
      <c r="A777" t="s">
        <v>61</v>
      </c>
      <c r="B777" t="s">
        <v>294</v>
      </c>
      <c r="C777" s="2">
        <v>90</v>
      </c>
      <c r="D777" s="2">
        <v>200</v>
      </c>
      <c r="E777" t="s">
        <v>233</v>
      </c>
      <c r="G777">
        <v>0</v>
      </c>
      <c r="H777">
        <v>0</v>
      </c>
      <c r="I777">
        <v>0</v>
      </c>
      <c r="J777">
        <v>0</v>
      </c>
      <c r="K777">
        <v>0</v>
      </c>
      <c r="L777">
        <v>0</v>
      </c>
      <c r="M777">
        <v>0</v>
      </c>
      <c r="N777">
        <v>0</v>
      </c>
      <c r="O777">
        <v>0</v>
      </c>
      <c r="P777">
        <v>0</v>
      </c>
      <c r="Q777" t="str">
        <f>INDEX(pARTNER[#All],MATCH(#REF!,pARTNER[[#All],[Value.partnerSummary.id]],0),10)</f>
        <v>Slovenija (SI)</v>
      </c>
      <c r="R777" t="str">
        <f>INDEX('Partner data'!$A$2:$DG$171,MATCH(#REF!,'Partner data'!$DG$2:$DG$171,0),83)</f>
        <v>Soggetto privato</v>
      </c>
      <c r="S777" s="86" t="b">
        <f>IF(#REF!="staff",INDEX('Partner data'!$DG$2:$DH$171,MATCH(#REF!,'Partner data'!$DG$2:$DG$171,0),2))</f>
        <v>0</v>
      </c>
    </row>
    <row r="778" spans="1:19" x14ac:dyDescent="0.25">
      <c r="A778" t="s">
        <v>61</v>
      </c>
      <c r="B778" t="s">
        <v>294</v>
      </c>
      <c r="C778" s="2">
        <v>90</v>
      </c>
      <c r="D778" s="2">
        <v>200</v>
      </c>
      <c r="E778" t="s">
        <v>234</v>
      </c>
      <c r="F778">
        <v>40</v>
      </c>
      <c r="G778">
        <v>70544</v>
      </c>
      <c r="H778">
        <v>0</v>
      </c>
      <c r="I778">
        <v>0</v>
      </c>
      <c r="J778">
        <v>17474.169999999998</v>
      </c>
      <c r="K778">
        <v>0</v>
      </c>
      <c r="L778">
        <v>16477.650000000001</v>
      </c>
      <c r="M778">
        <v>17474.169999999998</v>
      </c>
      <c r="N778">
        <v>24.77</v>
      </c>
      <c r="O778">
        <v>53069.83</v>
      </c>
      <c r="P778">
        <v>0</v>
      </c>
      <c r="Q778" t="str">
        <f>INDEX(pARTNER[#All],MATCH(#REF!,pARTNER[[#All],[Value.partnerSummary.id]],0),10)</f>
        <v>Slovenija (SI)</v>
      </c>
      <c r="R778" t="str">
        <f>INDEX('Partner data'!$A$2:$DG$171,MATCH(#REF!,'Partner data'!$DG$2:$DG$171,0),83)</f>
        <v>Soggetto privato</v>
      </c>
      <c r="S778" s="86" t="b">
        <f>IF(#REF!="staff",INDEX('Partner data'!$DG$2:$DH$171,MATCH(#REF!,'Partner data'!$DG$2:$DG$171,0),2))</f>
        <v>0</v>
      </c>
    </row>
    <row r="779" spans="1:19" x14ac:dyDescent="0.25">
      <c r="A779" t="s">
        <v>61</v>
      </c>
      <c r="B779" t="s">
        <v>294</v>
      </c>
      <c r="C779" s="2">
        <v>90</v>
      </c>
      <c r="D779" s="2">
        <v>200</v>
      </c>
      <c r="E779" t="s">
        <v>235</v>
      </c>
      <c r="G779">
        <v>0</v>
      </c>
      <c r="H779">
        <v>0</v>
      </c>
      <c r="I779">
        <v>0</v>
      </c>
      <c r="J779">
        <v>0</v>
      </c>
      <c r="K779">
        <v>0</v>
      </c>
      <c r="L779">
        <v>0</v>
      </c>
      <c r="M779">
        <v>0</v>
      </c>
      <c r="N779">
        <v>0</v>
      </c>
      <c r="O779">
        <v>0</v>
      </c>
      <c r="P779">
        <v>0</v>
      </c>
      <c r="Q779" t="str">
        <f>INDEX(pARTNER[#All],MATCH(#REF!,pARTNER[[#All],[Value.partnerSummary.id]],0),10)</f>
        <v>Slovenija (SI)</v>
      </c>
      <c r="R779" t="str">
        <f>INDEX('Partner data'!$A$2:$DG$171,MATCH(#REF!,'Partner data'!$DG$2:$DG$171,0),83)</f>
        <v>Soggetto privato</v>
      </c>
      <c r="S779" s="86" t="b">
        <f>IF(#REF!="staff",INDEX('Partner data'!$DG$2:$DH$171,MATCH(#REF!,'Partner data'!$DG$2:$DG$171,0),2))</f>
        <v>0</v>
      </c>
    </row>
    <row r="780" spans="1:19" x14ac:dyDescent="0.25">
      <c r="A780" t="s">
        <v>61</v>
      </c>
      <c r="B780" t="s">
        <v>294</v>
      </c>
      <c r="C780" s="2">
        <v>90</v>
      </c>
      <c r="D780" s="2">
        <v>200</v>
      </c>
      <c r="E780" t="s">
        <v>236</v>
      </c>
      <c r="G780">
        <v>0</v>
      </c>
      <c r="H780">
        <v>0</v>
      </c>
      <c r="I780">
        <v>0</v>
      </c>
      <c r="J780">
        <v>0</v>
      </c>
      <c r="K780">
        <v>0</v>
      </c>
      <c r="L780">
        <v>0</v>
      </c>
      <c r="M780">
        <v>0</v>
      </c>
      <c r="N780">
        <v>0</v>
      </c>
      <c r="O780">
        <v>0</v>
      </c>
      <c r="P780">
        <v>0</v>
      </c>
      <c r="Q780" t="str">
        <f>INDEX(pARTNER[#All],MATCH(#REF!,pARTNER[[#All],[Value.partnerSummary.id]],0),10)</f>
        <v>Slovenija (SI)</v>
      </c>
      <c r="R780" t="str">
        <f>INDEX('Partner data'!$A$2:$DG$171,MATCH(#REF!,'Partner data'!$DG$2:$DG$171,0),83)</f>
        <v>Soggetto privato</v>
      </c>
      <c r="S780" s="86" t="b">
        <f>IF(#REF!="staff",INDEX('Partner data'!$DG$2:$DH$171,MATCH(#REF!,'Partner data'!$DG$2:$DG$171,0),2))</f>
        <v>0</v>
      </c>
    </row>
    <row r="781" spans="1:19" x14ac:dyDescent="0.25">
      <c r="A781" t="s">
        <v>61</v>
      </c>
      <c r="B781" t="s">
        <v>294</v>
      </c>
      <c r="C781" s="2">
        <v>90</v>
      </c>
      <c r="D781" s="2">
        <v>200</v>
      </c>
      <c r="E781" t="s">
        <v>237</v>
      </c>
      <c r="G781">
        <v>0</v>
      </c>
      <c r="H781">
        <v>0</v>
      </c>
      <c r="I781">
        <v>0</v>
      </c>
      <c r="J781">
        <v>0</v>
      </c>
      <c r="K781">
        <v>0</v>
      </c>
      <c r="L781">
        <v>0</v>
      </c>
      <c r="M781">
        <v>0</v>
      </c>
      <c r="N781">
        <v>0</v>
      </c>
      <c r="O781">
        <v>0</v>
      </c>
      <c r="P781">
        <v>0</v>
      </c>
      <c r="Q781" t="str">
        <f>INDEX(pARTNER[#All],MATCH(#REF!,pARTNER[[#All],[Value.partnerSummary.id]],0),10)</f>
        <v>Slovenija (SI)</v>
      </c>
      <c r="R781" t="str">
        <f>INDEX('Partner data'!$A$2:$DG$171,MATCH(#REF!,'Partner data'!$DG$2:$DG$171,0),83)</f>
        <v>Soggetto privato</v>
      </c>
      <c r="S781" s="86" t="b">
        <f>IF(#REF!="staff",INDEX('Partner data'!$DG$2:$DH$171,MATCH(#REF!,'Partner data'!$DG$2:$DG$171,0),2))</f>
        <v>0</v>
      </c>
    </row>
    <row r="782" spans="1:19" x14ac:dyDescent="0.25">
      <c r="A782" t="s">
        <v>61</v>
      </c>
      <c r="B782" t="s">
        <v>294</v>
      </c>
      <c r="C782" s="2">
        <v>90</v>
      </c>
      <c r="D782" s="2">
        <v>200</v>
      </c>
      <c r="E782" t="s">
        <v>238</v>
      </c>
      <c r="G782">
        <v>246904</v>
      </c>
      <c r="H782">
        <v>0</v>
      </c>
      <c r="I782">
        <v>0</v>
      </c>
      <c r="J782">
        <v>61159.6</v>
      </c>
      <c r="K782">
        <v>0</v>
      </c>
      <c r="L782">
        <v>57671.78</v>
      </c>
      <c r="M782">
        <v>61159.6</v>
      </c>
      <c r="N782">
        <v>24.77</v>
      </c>
      <c r="O782">
        <v>185744.4</v>
      </c>
      <c r="P782">
        <v>0</v>
      </c>
      <c r="Q782" t="str">
        <f>INDEX(pARTNER[#All],MATCH(#REF!,pARTNER[[#All],[Value.partnerSummary.id]],0),10)</f>
        <v>Slovenija (SI)</v>
      </c>
      <c r="R782" t="str">
        <f>INDEX('Partner data'!$A$2:$DG$171,MATCH(#REF!,'Partner data'!$DG$2:$DG$171,0),83)</f>
        <v>Soggetto privato</v>
      </c>
      <c r="S782" s="86" t="b">
        <f>IF(#REF!="staff",INDEX('Partner data'!$DG$2:$DH$171,MATCH(#REF!,'Partner data'!$DG$2:$DG$171,0),2))</f>
        <v>0</v>
      </c>
    </row>
    <row r="783" spans="1:19" x14ac:dyDescent="0.25">
      <c r="A783" t="s">
        <v>61</v>
      </c>
      <c r="B783" t="s">
        <v>295</v>
      </c>
      <c r="C783" s="2">
        <v>91</v>
      </c>
      <c r="D783" s="2">
        <v>287</v>
      </c>
      <c r="E783" t="s">
        <v>228</v>
      </c>
      <c r="G783">
        <v>65500</v>
      </c>
      <c r="H783">
        <v>0</v>
      </c>
      <c r="I783">
        <v>0</v>
      </c>
      <c r="J783">
        <v>1422.22</v>
      </c>
      <c r="K783">
        <v>0</v>
      </c>
      <c r="L783">
        <v>1422.22</v>
      </c>
      <c r="M783">
        <v>1422.22</v>
      </c>
      <c r="N783">
        <v>2.17</v>
      </c>
      <c r="O783">
        <v>64077.78</v>
      </c>
      <c r="P783">
        <v>0</v>
      </c>
      <c r="Q783" t="str">
        <f>INDEX(pARTNER[#All],MATCH(#REF!,pARTNER[[#All],[Value.partnerSummary.id]],0),10)</f>
        <v>Slovenija (SI)</v>
      </c>
      <c r="R783" t="str">
        <f>INDEX('Partner data'!$A$2:$DG$171,MATCH(#REF!,'Partner data'!$DG$2:$DG$171,0),83)</f>
        <v>Soggetto pubblico</v>
      </c>
      <c r="S783" s="86" t="str">
        <f>IF(#REF!="staff",INDEX('Partner data'!$DG$2:$DH$171,MATCH(#REF!,'Partner data'!$DG$2:$DG$171,0),2))</f>
        <v>COSTO REALE</v>
      </c>
    </row>
    <row r="784" spans="1:19" x14ac:dyDescent="0.25">
      <c r="A784" t="s">
        <v>61</v>
      </c>
      <c r="B784" t="s">
        <v>295</v>
      </c>
      <c r="C784" s="2">
        <v>91</v>
      </c>
      <c r="D784" s="2">
        <v>287</v>
      </c>
      <c r="E784" t="s">
        <v>229</v>
      </c>
      <c r="G784">
        <v>0</v>
      </c>
      <c r="H784">
        <v>0</v>
      </c>
      <c r="I784">
        <v>0</v>
      </c>
      <c r="J784">
        <v>0</v>
      </c>
      <c r="K784">
        <v>0</v>
      </c>
      <c r="L784">
        <v>0</v>
      </c>
      <c r="M784">
        <v>0</v>
      </c>
      <c r="N784">
        <v>0</v>
      </c>
      <c r="O784">
        <v>0</v>
      </c>
      <c r="P784">
        <v>0</v>
      </c>
      <c r="Q784" t="str">
        <f>INDEX(pARTNER[#All],MATCH(#REF!,pARTNER[[#All],[Value.partnerSummary.id]],0),10)</f>
        <v>Slovenija (SI)</v>
      </c>
      <c r="R784" t="str">
        <f>INDEX('Partner data'!$A$2:$DG$171,MATCH(#REF!,'Partner data'!$DG$2:$DG$171,0),83)</f>
        <v>Soggetto pubblico</v>
      </c>
      <c r="S784" s="86" t="b">
        <f>IF(#REF!="staff",INDEX('Partner data'!$DG$2:$DH$171,MATCH(#REF!,'Partner data'!$DG$2:$DG$171,0),2))</f>
        <v>0</v>
      </c>
    </row>
    <row r="785" spans="1:19" x14ac:dyDescent="0.25">
      <c r="A785" t="s">
        <v>61</v>
      </c>
      <c r="B785" t="s">
        <v>295</v>
      </c>
      <c r="C785" s="2">
        <v>91</v>
      </c>
      <c r="D785" s="2">
        <v>287</v>
      </c>
      <c r="E785" t="s">
        <v>230</v>
      </c>
      <c r="G785">
        <v>0</v>
      </c>
      <c r="H785">
        <v>0</v>
      </c>
      <c r="I785">
        <v>0</v>
      </c>
      <c r="J785">
        <v>0</v>
      </c>
      <c r="K785">
        <v>0</v>
      </c>
      <c r="L785">
        <v>0</v>
      </c>
      <c r="M785">
        <v>0</v>
      </c>
      <c r="N785">
        <v>0</v>
      </c>
      <c r="O785">
        <v>0</v>
      </c>
      <c r="P785">
        <v>0</v>
      </c>
      <c r="Q785" t="str">
        <f>INDEX(pARTNER[#All],MATCH(#REF!,pARTNER[[#All],[Value.partnerSummary.id]],0),10)</f>
        <v>Slovenija (SI)</v>
      </c>
      <c r="R785" t="str">
        <f>INDEX('Partner data'!$A$2:$DG$171,MATCH(#REF!,'Partner data'!$DG$2:$DG$171,0),83)</f>
        <v>Soggetto pubblico</v>
      </c>
      <c r="S785" s="86" t="b">
        <f>IF(#REF!="staff",INDEX('Partner data'!$DG$2:$DH$171,MATCH(#REF!,'Partner data'!$DG$2:$DG$171,0),2))</f>
        <v>0</v>
      </c>
    </row>
    <row r="786" spans="1:19" x14ac:dyDescent="0.25">
      <c r="A786" t="s">
        <v>61</v>
      </c>
      <c r="B786" t="s">
        <v>295</v>
      </c>
      <c r="C786" s="2">
        <v>91</v>
      </c>
      <c r="D786" s="2">
        <v>287</v>
      </c>
      <c r="E786" t="s">
        <v>231</v>
      </c>
      <c r="G786">
        <v>0</v>
      </c>
      <c r="H786">
        <v>0</v>
      </c>
      <c r="I786">
        <v>0</v>
      </c>
      <c r="J786">
        <v>0</v>
      </c>
      <c r="K786">
        <v>0</v>
      </c>
      <c r="L786">
        <v>0</v>
      </c>
      <c r="M786">
        <v>0</v>
      </c>
      <c r="N786">
        <v>0</v>
      </c>
      <c r="O786">
        <v>0</v>
      </c>
      <c r="P786">
        <v>0</v>
      </c>
      <c r="Q786" t="str">
        <f>INDEX(pARTNER[#All],MATCH(#REF!,pARTNER[[#All],[Value.partnerSummary.id]],0),10)</f>
        <v>Slovenija (SI)</v>
      </c>
      <c r="R786" t="str">
        <f>INDEX('Partner data'!$A$2:$DG$171,MATCH(#REF!,'Partner data'!$DG$2:$DG$171,0),83)</f>
        <v>Soggetto pubblico</v>
      </c>
      <c r="S786" s="86" t="b">
        <f>IF(#REF!="staff",INDEX('Partner data'!$DG$2:$DH$171,MATCH(#REF!,'Partner data'!$DG$2:$DG$171,0),2))</f>
        <v>0</v>
      </c>
    </row>
    <row r="787" spans="1:19" x14ac:dyDescent="0.25">
      <c r="A787" t="s">
        <v>61</v>
      </c>
      <c r="B787" t="s">
        <v>295</v>
      </c>
      <c r="C787" s="2">
        <v>91</v>
      </c>
      <c r="D787" s="2">
        <v>287</v>
      </c>
      <c r="E787" t="s">
        <v>232</v>
      </c>
      <c r="G787">
        <v>0</v>
      </c>
      <c r="H787">
        <v>0</v>
      </c>
      <c r="I787">
        <v>0</v>
      </c>
      <c r="J787">
        <v>0</v>
      </c>
      <c r="K787">
        <v>0</v>
      </c>
      <c r="L787">
        <v>0</v>
      </c>
      <c r="M787">
        <v>0</v>
      </c>
      <c r="N787">
        <v>0</v>
      </c>
      <c r="O787">
        <v>0</v>
      </c>
      <c r="P787">
        <v>0</v>
      </c>
      <c r="Q787" t="str">
        <f>INDEX(pARTNER[#All],MATCH(#REF!,pARTNER[[#All],[Value.partnerSummary.id]],0),10)</f>
        <v>Slovenija (SI)</v>
      </c>
      <c r="R787" t="str">
        <f>INDEX('Partner data'!$A$2:$DG$171,MATCH(#REF!,'Partner data'!$DG$2:$DG$171,0),83)</f>
        <v>Soggetto pubblico</v>
      </c>
      <c r="S787" s="86" t="b">
        <f>IF(#REF!="staff",INDEX('Partner data'!$DG$2:$DH$171,MATCH(#REF!,'Partner data'!$DG$2:$DG$171,0),2))</f>
        <v>0</v>
      </c>
    </row>
    <row r="788" spans="1:19" x14ac:dyDescent="0.25">
      <c r="A788" t="s">
        <v>61</v>
      </c>
      <c r="B788" t="s">
        <v>295</v>
      </c>
      <c r="C788" s="2">
        <v>91</v>
      </c>
      <c r="D788" s="2">
        <v>287</v>
      </c>
      <c r="E788" t="s">
        <v>233</v>
      </c>
      <c r="G788">
        <v>0</v>
      </c>
      <c r="H788">
        <v>0</v>
      </c>
      <c r="I788">
        <v>0</v>
      </c>
      <c r="J788">
        <v>0</v>
      </c>
      <c r="K788">
        <v>0</v>
      </c>
      <c r="L788">
        <v>0</v>
      </c>
      <c r="M788">
        <v>0</v>
      </c>
      <c r="N788">
        <v>0</v>
      </c>
      <c r="O788">
        <v>0</v>
      </c>
      <c r="P788">
        <v>0</v>
      </c>
      <c r="Q788" t="str">
        <f>INDEX(pARTNER[#All],MATCH(#REF!,pARTNER[[#All],[Value.partnerSummary.id]],0),10)</f>
        <v>Slovenija (SI)</v>
      </c>
      <c r="R788" t="str">
        <f>INDEX('Partner data'!$A$2:$DG$171,MATCH(#REF!,'Partner data'!$DG$2:$DG$171,0),83)</f>
        <v>Soggetto pubblico</v>
      </c>
      <c r="S788" s="86" t="b">
        <f>IF(#REF!="staff",INDEX('Partner data'!$DG$2:$DH$171,MATCH(#REF!,'Partner data'!$DG$2:$DG$171,0),2))</f>
        <v>0</v>
      </c>
    </row>
    <row r="789" spans="1:19" x14ac:dyDescent="0.25">
      <c r="A789" t="s">
        <v>61</v>
      </c>
      <c r="B789" t="s">
        <v>295</v>
      </c>
      <c r="C789" s="2">
        <v>91</v>
      </c>
      <c r="D789" s="2">
        <v>287</v>
      </c>
      <c r="E789" t="s">
        <v>234</v>
      </c>
      <c r="F789">
        <v>40</v>
      </c>
      <c r="G789">
        <v>26200</v>
      </c>
      <c r="H789">
        <v>0</v>
      </c>
      <c r="I789">
        <v>0</v>
      </c>
      <c r="J789">
        <v>568.88</v>
      </c>
      <c r="K789">
        <v>0</v>
      </c>
      <c r="L789">
        <v>568.88</v>
      </c>
      <c r="M789">
        <v>568.88</v>
      </c>
      <c r="N789">
        <v>2.17</v>
      </c>
      <c r="O789">
        <v>25631.119999999999</v>
      </c>
      <c r="P789">
        <v>0</v>
      </c>
      <c r="Q789" t="str">
        <f>INDEX(pARTNER[#All],MATCH(#REF!,pARTNER[[#All],[Value.partnerSummary.id]],0),10)</f>
        <v>Slovenija (SI)</v>
      </c>
      <c r="R789" t="str">
        <f>INDEX('Partner data'!$A$2:$DG$171,MATCH(#REF!,'Partner data'!$DG$2:$DG$171,0),83)</f>
        <v>Soggetto pubblico</v>
      </c>
      <c r="S789" s="86" t="b">
        <f>IF(#REF!="staff",INDEX('Partner data'!$DG$2:$DH$171,MATCH(#REF!,'Partner data'!$DG$2:$DG$171,0),2))</f>
        <v>0</v>
      </c>
    </row>
    <row r="790" spans="1:19" x14ac:dyDescent="0.25">
      <c r="A790" t="s">
        <v>61</v>
      </c>
      <c r="B790" t="s">
        <v>295</v>
      </c>
      <c r="C790" s="2">
        <v>91</v>
      </c>
      <c r="D790" s="2">
        <v>287</v>
      </c>
      <c r="E790" t="s">
        <v>235</v>
      </c>
      <c r="G790">
        <v>0</v>
      </c>
      <c r="H790">
        <v>0</v>
      </c>
      <c r="I790">
        <v>0</v>
      </c>
      <c r="J790">
        <v>0</v>
      </c>
      <c r="K790">
        <v>0</v>
      </c>
      <c r="L790">
        <v>0</v>
      </c>
      <c r="M790">
        <v>0</v>
      </c>
      <c r="N790">
        <v>0</v>
      </c>
      <c r="O790">
        <v>0</v>
      </c>
      <c r="P790">
        <v>0</v>
      </c>
      <c r="Q790" t="str">
        <f>INDEX(pARTNER[#All],MATCH(#REF!,pARTNER[[#All],[Value.partnerSummary.id]],0),10)</f>
        <v>Slovenija (SI)</v>
      </c>
      <c r="R790" t="str">
        <f>INDEX('Partner data'!$A$2:$DG$171,MATCH(#REF!,'Partner data'!$DG$2:$DG$171,0),83)</f>
        <v>Soggetto pubblico</v>
      </c>
      <c r="S790" s="86" t="b">
        <f>IF(#REF!="staff",INDEX('Partner data'!$DG$2:$DH$171,MATCH(#REF!,'Partner data'!$DG$2:$DG$171,0),2))</f>
        <v>0</v>
      </c>
    </row>
    <row r="791" spans="1:19" x14ac:dyDescent="0.25">
      <c r="A791" t="s">
        <v>61</v>
      </c>
      <c r="B791" t="s">
        <v>295</v>
      </c>
      <c r="C791" s="2">
        <v>91</v>
      </c>
      <c r="D791" s="2">
        <v>287</v>
      </c>
      <c r="E791" t="s">
        <v>236</v>
      </c>
      <c r="G791">
        <v>0</v>
      </c>
      <c r="H791">
        <v>0</v>
      </c>
      <c r="I791">
        <v>0</v>
      </c>
      <c r="J791">
        <v>0</v>
      </c>
      <c r="K791">
        <v>0</v>
      </c>
      <c r="L791">
        <v>0</v>
      </c>
      <c r="M791">
        <v>0</v>
      </c>
      <c r="N791">
        <v>0</v>
      </c>
      <c r="O791">
        <v>0</v>
      </c>
      <c r="P791">
        <v>0</v>
      </c>
      <c r="Q791" t="str">
        <f>INDEX(pARTNER[#All],MATCH(#REF!,pARTNER[[#All],[Value.partnerSummary.id]],0),10)</f>
        <v>Slovenija (SI)</v>
      </c>
      <c r="R791" t="str">
        <f>INDEX('Partner data'!$A$2:$DG$171,MATCH(#REF!,'Partner data'!$DG$2:$DG$171,0),83)</f>
        <v>Soggetto pubblico</v>
      </c>
      <c r="S791" s="86" t="b">
        <f>IF(#REF!="staff",INDEX('Partner data'!$DG$2:$DH$171,MATCH(#REF!,'Partner data'!$DG$2:$DG$171,0),2))</f>
        <v>0</v>
      </c>
    </row>
    <row r="792" spans="1:19" x14ac:dyDescent="0.25">
      <c r="A792" t="s">
        <v>61</v>
      </c>
      <c r="B792" t="s">
        <v>295</v>
      </c>
      <c r="C792" s="2">
        <v>91</v>
      </c>
      <c r="D792" s="2">
        <v>287</v>
      </c>
      <c r="E792" t="s">
        <v>237</v>
      </c>
      <c r="G792">
        <v>0</v>
      </c>
      <c r="H792">
        <v>0</v>
      </c>
      <c r="I792">
        <v>0</v>
      </c>
      <c r="J792">
        <v>0</v>
      </c>
      <c r="K792">
        <v>0</v>
      </c>
      <c r="L792">
        <v>0</v>
      </c>
      <c r="M792">
        <v>0</v>
      </c>
      <c r="N792">
        <v>0</v>
      </c>
      <c r="O792">
        <v>0</v>
      </c>
      <c r="P792">
        <v>0</v>
      </c>
      <c r="Q792" t="str">
        <f>INDEX(pARTNER[#All],MATCH(#REF!,pARTNER[[#All],[Value.partnerSummary.id]],0),10)</f>
        <v>Slovenija (SI)</v>
      </c>
      <c r="R792" t="str">
        <f>INDEX('Partner data'!$A$2:$DG$171,MATCH(#REF!,'Partner data'!$DG$2:$DG$171,0),83)</f>
        <v>Soggetto pubblico</v>
      </c>
      <c r="S792" s="86" t="b">
        <f>IF(#REF!="staff",INDEX('Partner data'!$DG$2:$DH$171,MATCH(#REF!,'Partner data'!$DG$2:$DG$171,0),2))</f>
        <v>0</v>
      </c>
    </row>
    <row r="793" spans="1:19" x14ac:dyDescent="0.25">
      <c r="A793" t="s">
        <v>61</v>
      </c>
      <c r="B793" t="s">
        <v>295</v>
      </c>
      <c r="C793" s="2">
        <v>91</v>
      </c>
      <c r="D793" s="2">
        <v>287</v>
      </c>
      <c r="E793" t="s">
        <v>238</v>
      </c>
      <c r="G793">
        <v>91700</v>
      </c>
      <c r="H793">
        <v>0</v>
      </c>
      <c r="I793">
        <v>0</v>
      </c>
      <c r="J793">
        <v>1991.1</v>
      </c>
      <c r="K793">
        <v>0</v>
      </c>
      <c r="L793">
        <v>1991.1</v>
      </c>
      <c r="M793">
        <v>1991.1</v>
      </c>
      <c r="N793">
        <v>2.17</v>
      </c>
      <c r="O793">
        <v>89708.9</v>
      </c>
      <c r="P793">
        <v>0</v>
      </c>
      <c r="Q793" t="str">
        <f>INDEX(pARTNER[#All],MATCH(#REF!,pARTNER[[#All],[Value.partnerSummary.id]],0),10)</f>
        <v>Slovenija (SI)</v>
      </c>
      <c r="R793" t="str">
        <f>INDEX('Partner data'!$A$2:$DG$171,MATCH(#REF!,'Partner data'!$DG$2:$DG$171,0),83)</f>
        <v>Soggetto pubblico</v>
      </c>
      <c r="S793" s="86" t="b">
        <f>IF(#REF!="staff",INDEX('Partner data'!$DG$2:$DH$171,MATCH(#REF!,'Partner data'!$DG$2:$DG$171,0),2))</f>
        <v>0</v>
      </c>
    </row>
    <row r="794" spans="1:19" x14ac:dyDescent="0.25">
      <c r="A794" t="s">
        <v>61</v>
      </c>
      <c r="B794" t="s">
        <v>286</v>
      </c>
      <c r="C794" s="2">
        <v>111</v>
      </c>
      <c r="D794" s="2">
        <v>160</v>
      </c>
      <c r="E794" t="s">
        <v>228</v>
      </c>
      <c r="G794">
        <v>65030</v>
      </c>
      <c r="H794">
        <v>0</v>
      </c>
      <c r="I794">
        <v>0</v>
      </c>
      <c r="J794">
        <v>4731</v>
      </c>
      <c r="K794">
        <v>0</v>
      </c>
      <c r="L794">
        <v>4731</v>
      </c>
      <c r="M794">
        <v>4731</v>
      </c>
      <c r="N794">
        <v>7.28</v>
      </c>
      <c r="O794">
        <v>60299</v>
      </c>
      <c r="P794">
        <v>0</v>
      </c>
      <c r="Q794" t="str">
        <f>INDEX(pARTNER[#All],MATCH(#REF!,pARTNER[[#All],[Value.partnerSummary.id]],0),10)</f>
        <v>Italia (IT)</v>
      </c>
      <c r="R794" t="str">
        <f>INDEX('Partner data'!$A$2:$DG$171,MATCH(#REF!,'Partner data'!$DG$2:$DG$171,0),83)</f>
        <v>Soggetto pubblico</v>
      </c>
      <c r="S794" s="86" t="str">
        <f>IF(#REF!="staff",INDEX('Partner data'!$DG$2:$DH$171,MATCH(#REF!,'Partner data'!$DG$2:$DG$171,0),2))</f>
        <v>Costo Unitario Standard</v>
      </c>
    </row>
    <row r="795" spans="1:19" x14ac:dyDescent="0.25">
      <c r="A795" t="s">
        <v>61</v>
      </c>
      <c r="B795" t="s">
        <v>286</v>
      </c>
      <c r="C795" s="2">
        <v>111</v>
      </c>
      <c r="D795" s="2">
        <v>160</v>
      </c>
      <c r="E795" t="s">
        <v>229</v>
      </c>
      <c r="G795">
        <v>0</v>
      </c>
      <c r="H795">
        <v>0</v>
      </c>
      <c r="I795">
        <v>0</v>
      </c>
      <c r="J795">
        <v>0</v>
      </c>
      <c r="K795">
        <v>0</v>
      </c>
      <c r="L795">
        <v>0</v>
      </c>
      <c r="M795">
        <v>0</v>
      </c>
      <c r="N795">
        <v>0</v>
      </c>
      <c r="O795">
        <v>0</v>
      </c>
      <c r="P795">
        <v>0</v>
      </c>
      <c r="Q795" t="str">
        <f>INDEX(pARTNER[#All],MATCH(#REF!,pARTNER[[#All],[Value.partnerSummary.id]],0),10)</f>
        <v>Italia (IT)</v>
      </c>
      <c r="R795" t="str">
        <f>INDEX('Partner data'!$A$2:$DG$171,MATCH(#REF!,'Partner data'!$DG$2:$DG$171,0),83)</f>
        <v>Soggetto pubblico</v>
      </c>
      <c r="S795" s="86" t="b">
        <f>IF(#REF!="staff",INDEX('Partner data'!$DG$2:$DH$171,MATCH(#REF!,'Partner data'!$DG$2:$DG$171,0),2))</f>
        <v>0</v>
      </c>
    </row>
    <row r="796" spans="1:19" x14ac:dyDescent="0.25">
      <c r="A796" t="s">
        <v>61</v>
      </c>
      <c r="B796" t="s">
        <v>286</v>
      </c>
      <c r="C796" s="2">
        <v>111</v>
      </c>
      <c r="D796" s="2">
        <v>160</v>
      </c>
      <c r="E796" t="s">
        <v>230</v>
      </c>
      <c r="G796">
        <v>0</v>
      </c>
      <c r="H796">
        <v>0</v>
      </c>
      <c r="I796">
        <v>0</v>
      </c>
      <c r="J796">
        <v>0</v>
      </c>
      <c r="K796">
        <v>0</v>
      </c>
      <c r="L796">
        <v>0</v>
      </c>
      <c r="M796">
        <v>0</v>
      </c>
      <c r="N796">
        <v>0</v>
      </c>
      <c r="O796">
        <v>0</v>
      </c>
      <c r="P796">
        <v>0</v>
      </c>
      <c r="Q796" t="str">
        <f>INDEX(pARTNER[#All],MATCH(#REF!,pARTNER[[#All],[Value.partnerSummary.id]],0),10)</f>
        <v>Italia (IT)</v>
      </c>
      <c r="R796" t="str">
        <f>INDEX('Partner data'!$A$2:$DG$171,MATCH(#REF!,'Partner data'!$DG$2:$DG$171,0),83)</f>
        <v>Soggetto pubblico</v>
      </c>
      <c r="S796" s="86" t="b">
        <f>IF(#REF!="staff",INDEX('Partner data'!$DG$2:$DH$171,MATCH(#REF!,'Partner data'!$DG$2:$DG$171,0),2))</f>
        <v>0</v>
      </c>
    </row>
    <row r="797" spans="1:19" x14ac:dyDescent="0.25">
      <c r="A797" t="s">
        <v>61</v>
      </c>
      <c r="B797" t="s">
        <v>286</v>
      </c>
      <c r="C797" s="2">
        <v>111</v>
      </c>
      <c r="D797" s="2">
        <v>160</v>
      </c>
      <c r="E797" t="s">
        <v>231</v>
      </c>
      <c r="G797">
        <v>0</v>
      </c>
      <c r="H797">
        <v>0</v>
      </c>
      <c r="I797">
        <v>0</v>
      </c>
      <c r="J797">
        <v>0</v>
      </c>
      <c r="K797">
        <v>0</v>
      </c>
      <c r="L797">
        <v>0</v>
      </c>
      <c r="M797">
        <v>0</v>
      </c>
      <c r="N797">
        <v>0</v>
      </c>
      <c r="O797">
        <v>0</v>
      </c>
      <c r="P797">
        <v>0</v>
      </c>
      <c r="Q797" t="str">
        <f>INDEX(pARTNER[#All],MATCH(#REF!,pARTNER[[#All],[Value.partnerSummary.id]],0),10)</f>
        <v>Italia (IT)</v>
      </c>
      <c r="R797" t="str">
        <f>INDEX('Partner data'!$A$2:$DG$171,MATCH(#REF!,'Partner data'!$DG$2:$DG$171,0),83)</f>
        <v>Soggetto pubblico</v>
      </c>
      <c r="S797" s="86" t="b">
        <f>IF(#REF!="staff",INDEX('Partner data'!$DG$2:$DH$171,MATCH(#REF!,'Partner data'!$DG$2:$DG$171,0),2))</f>
        <v>0</v>
      </c>
    </row>
    <row r="798" spans="1:19" x14ac:dyDescent="0.25">
      <c r="A798" t="s">
        <v>61</v>
      </c>
      <c r="B798" t="s">
        <v>286</v>
      </c>
      <c r="C798" s="2">
        <v>111</v>
      </c>
      <c r="D798" s="2">
        <v>160</v>
      </c>
      <c r="E798" t="s">
        <v>232</v>
      </c>
      <c r="G798">
        <v>0</v>
      </c>
      <c r="H798">
        <v>0</v>
      </c>
      <c r="I798">
        <v>0</v>
      </c>
      <c r="J798">
        <v>0</v>
      </c>
      <c r="K798">
        <v>0</v>
      </c>
      <c r="L798">
        <v>0</v>
      </c>
      <c r="M798">
        <v>0</v>
      </c>
      <c r="N798">
        <v>0</v>
      </c>
      <c r="O798">
        <v>0</v>
      </c>
      <c r="P798">
        <v>0</v>
      </c>
      <c r="Q798" t="str">
        <f>INDEX(pARTNER[#All],MATCH(#REF!,pARTNER[[#All],[Value.partnerSummary.id]],0),10)</f>
        <v>Italia (IT)</v>
      </c>
      <c r="R798" t="str">
        <f>INDEX('Partner data'!$A$2:$DG$171,MATCH(#REF!,'Partner data'!$DG$2:$DG$171,0),83)</f>
        <v>Soggetto pubblico</v>
      </c>
      <c r="S798" s="86" t="b">
        <f>IF(#REF!="staff",INDEX('Partner data'!$DG$2:$DH$171,MATCH(#REF!,'Partner data'!$DG$2:$DG$171,0),2))</f>
        <v>0</v>
      </c>
    </row>
    <row r="799" spans="1:19" x14ac:dyDescent="0.25">
      <c r="A799" t="s">
        <v>61</v>
      </c>
      <c r="B799" t="s">
        <v>286</v>
      </c>
      <c r="C799" s="2">
        <v>111</v>
      </c>
      <c r="D799" s="2">
        <v>160</v>
      </c>
      <c r="E799" t="s">
        <v>233</v>
      </c>
      <c r="G799">
        <v>0</v>
      </c>
      <c r="H799">
        <v>0</v>
      </c>
      <c r="I799">
        <v>0</v>
      </c>
      <c r="J799">
        <v>0</v>
      </c>
      <c r="K799">
        <v>0</v>
      </c>
      <c r="L799">
        <v>0</v>
      </c>
      <c r="M799">
        <v>0</v>
      </c>
      <c r="N799">
        <v>0</v>
      </c>
      <c r="O799">
        <v>0</v>
      </c>
      <c r="P799">
        <v>0</v>
      </c>
      <c r="Q799" t="str">
        <f>INDEX(pARTNER[#All],MATCH(#REF!,pARTNER[[#All],[Value.partnerSummary.id]],0),10)</f>
        <v>Italia (IT)</v>
      </c>
      <c r="R799" t="str">
        <f>INDEX('Partner data'!$A$2:$DG$171,MATCH(#REF!,'Partner data'!$DG$2:$DG$171,0),83)</f>
        <v>Soggetto pubblico</v>
      </c>
      <c r="S799" s="86" t="b">
        <f>IF(#REF!="staff",INDEX('Partner data'!$DG$2:$DH$171,MATCH(#REF!,'Partner data'!$DG$2:$DG$171,0),2))</f>
        <v>0</v>
      </c>
    </row>
    <row r="800" spans="1:19" x14ac:dyDescent="0.25">
      <c r="A800" t="s">
        <v>61</v>
      </c>
      <c r="B800" t="s">
        <v>286</v>
      </c>
      <c r="C800" s="2">
        <v>111</v>
      </c>
      <c r="D800" s="2">
        <v>160</v>
      </c>
      <c r="E800" t="s">
        <v>234</v>
      </c>
      <c r="F800">
        <v>40</v>
      </c>
      <c r="G800">
        <v>26012</v>
      </c>
      <c r="H800">
        <v>0</v>
      </c>
      <c r="I800">
        <v>0</v>
      </c>
      <c r="J800">
        <v>1892.4</v>
      </c>
      <c r="K800">
        <v>0</v>
      </c>
      <c r="L800">
        <v>1892.4</v>
      </c>
      <c r="M800">
        <v>1892.4</v>
      </c>
      <c r="N800">
        <v>7.28</v>
      </c>
      <c r="O800">
        <v>24119.599999999999</v>
      </c>
      <c r="P800">
        <v>0</v>
      </c>
      <c r="Q800" t="str">
        <f>INDEX(pARTNER[#All],MATCH(#REF!,pARTNER[[#All],[Value.partnerSummary.id]],0),10)</f>
        <v>Italia (IT)</v>
      </c>
      <c r="R800" t="str">
        <f>INDEX('Partner data'!$A$2:$DG$171,MATCH(#REF!,'Partner data'!$DG$2:$DG$171,0),83)</f>
        <v>Soggetto pubblico</v>
      </c>
      <c r="S800" s="86" t="b">
        <f>IF(#REF!="staff",INDEX('Partner data'!$DG$2:$DH$171,MATCH(#REF!,'Partner data'!$DG$2:$DG$171,0),2))</f>
        <v>0</v>
      </c>
    </row>
    <row r="801" spans="1:19" x14ac:dyDescent="0.25">
      <c r="A801" t="s">
        <v>61</v>
      </c>
      <c r="B801" t="s">
        <v>286</v>
      </c>
      <c r="C801" s="2">
        <v>111</v>
      </c>
      <c r="D801" s="2">
        <v>160</v>
      </c>
      <c r="E801" t="s">
        <v>235</v>
      </c>
      <c r="G801">
        <v>0</v>
      </c>
      <c r="H801">
        <v>0</v>
      </c>
      <c r="I801">
        <v>0</v>
      </c>
      <c r="J801">
        <v>0</v>
      </c>
      <c r="K801">
        <v>0</v>
      </c>
      <c r="L801">
        <v>0</v>
      </c>
      <c r="M801">
        <v>0</v>
      </c>
      <c r="N801">
        <v>0</v>
      </c>
      <c r="O801">
        <v>0</v>
      </c>
      <c r="P801">
        <v>0</v>
      </c>
      <c r="Q801" t="str">
        <f>INDEX(pARTNER[#All],MATCH(#REF!,pARTNER[[#All],[Value.partnerSummary.id]],0),10)</f>
        <v>Italia (IT)</v>
      </c>
      <c r="R801" t="str">
        <f>INDEX('Partner data'!$A$2:$DG$171,MATCH(#REF!,'Partner data'!$DG$2:$DG$171,0),83)</f>
        <v>Soggetto pubblico</v>
      </c>
      <c r="S801" s="86" t="b">
        <f>IF(#REF!="staff",INDEX('Partner data'!$DG$2:$DH$171,MATCH(#REF!,'Partner data'!$DG$2:$DG$171,0),2))</f>
        <v>0</v>
      </c>
    </row>
    <row r="802" spans="1:19" x14ac:dyDescent="0.25">
      <c r="A802" t="s">
        <v>61</v>
      </c>
      <c r="B802" t="s">
        <v>286</v>
      </c>
      <c r="C802" s="2">
        <v>111</v>
      </c>
      <c r="D802" s="2">
        <v>160</v>
      </c>
      <c r="E802" t="s">
        <v>236</v>
      </c>
      <c r="G802">
        <v>0</v>
      </c>
      <c r="H802">
        <v>0</v>
      </c>
      <c r="I802">
        <v>0</v>
      </c>
      <c r="J802">
        <v>0</v>
      </c>
      <c r="K802">
        <v>0</v>
      </c>
      <c r="L802">
        <v>0</v>
      </c>
      <c r="M802">
        <v>0</v>
      </c>
      <c r="N802">
        <v>0</v>
      </c>
      <c r="O802">
        <v>0</v>
      </c>
      <c r="P802">
        <v>0</v>
      </c>
      <c r="Q802" t="str">
        <f>INDEX(pARTNER[#All],MATCH(#REF!,pARTNER[[#All],[Value.partnerSummary.id]],0),10)</f>
        <v>Italia (IT)</v>
      </c>
      <c r="R802" t="str">
        <f>INDEX('Partner data'!$A$2:$DG$171,MATCH(#REF!,'Partner data'!$DG$2:$DG$171,0),83)</f>
        <v>Soggetto pubblico</v>
      </c>
      <c r="S802" s="86" t="b">
        <f>IF(#REF!="staff",INDEX('Partner data'!$DG$2:$DH$171,MATCH(#REF!,'Partner data'!$DG$2:$DG$171,0),2))</f>
        <v>0</v>
      </c>
    </row>
    <row r="803" spans="1:19" x14ac:dyDescent="0.25">
      <c r="A803" t="s">
        <v>61</v>
      </c>
      <c r="B803" t="s">
        <v>286</v>
      </c>
      <c r="C803" s="2">
        <v>111</v>
      </c>
      <c r="D803" s="2">
        <v>160</v>
      </c>
      <c r="E803" t="s">
        <v>237</v>
      </c>
      <c r="G803">
        <v>0</v>
      </c>
      <c r="H803">
        <v>0</v>
      </c>
      <c r="I803">
        <v>0</v>
      </c>
      <c r="J803">
        <v>0</v>
      </c>
      <c r="K803">
        <v>0</v>
      </c>
      <c r="L803">
        <v>0</v>
      </c>
      <c r="M803">
        <v>0</v>
      </c>
      <c r="N803">
        <v>0</v>
      </c>
      <c r="O803">
        <v>0</v>
      </c>
      <c r="P803">
        <v>0</v>
      </c>
      <c r="Q803" t="str">
        <f>INDEX(pARTNER[#All],MATCH(#REF!,pARTNER[[#All],[Value.partnerSummary.id]],0),10)</f>
        <v>Italia (IT)</v>
      </c>
      <c r="R803" t="str">
        <f>INDEX('Partner data'!$A$2:$DG$171,MATCH(#REF!,'Partner data'!$DG$2:$DG$171,0),83)</f>
        <v>Soggetto pubblico</v>
      </c>
      <c r="S803" s="86" t="b">
        <f>IF(#REF!="staff",INDEX('Partner data'!$DG$2:$DH$171,MATCH(#REF!,'Partner data'!$DG$2:$DG$171,0),2))</f>
        <v>0</v>
      </c>
    </row>
    <row r="804" spans="1:19" x14ac:dyDescent="0.25">
      <c r="A804" t="s">
        <v>61</v>
      </c>
      <c r="B804" t="s">
        <v>286</v>
      </c>
      <c r="C804" s="2">
        <v>111</v>
      </c>
      <c r="D804" s="2">
        <v>160</v>
      </c>
      <c r="E804" t="s">
        <v>238</v>
      </c>
      <c r="G804">
        <v>91042</v>
      </c>
      <c r="H804">
        <v>0</v>
      </c>
      <c r="I804">
        <v>0</v>
      </c>
      <c r="J804">
        <v>6623.4</v>
      </c>
      <c r="K804">
        <v>0</v>
      </c>
      <c r="L804">
        <v>6623.4</v>
      </c>
      <c r="M804">
        <v>6623.4</v>
      </c>
      <c r="N804">
        <v>7.28</v>
      </c>
      <c r="O804">
        <v>84418.6</v>
      </c>
      <c r="P804">
        <v>0</v>
      </c>
      <c r="Q804" t="str">
        <f>INDEX(pARTNER[#All],MATCH(#REF!,pARTNER[[#All],[Value.partnerSummary.id]],0),10)</f>
        <v>Italia (IT)</v>
      </c>
      <c r="R804" t="str">
        <f>INDEX('Partner data'!$A$2:$DG$171,MATCH(#REF!,'Partner data'!$DG$2:$DG$171,0),83)</f>
        <v>Soggetto pubblico</v>
      </c>
      <c r="S804" s="86" t="b">
        <f>IF(#REF!="staff",INDEX('Partner data'!$DG$2:$DH$171,MATCH(#REF!,'Partner data'!$DG$2:$DG$171,0),2))</f>
        <v>0</v>
      </c>
    </row>
    <row r="805" spans="1:19" x14ac:dyDescent="0.25">
      <c r="A805" t="s">
        <v>61</v>
      </c>
      <c r="B805" t="s">
        <v>31</v>
      </c>
      <c r="C805" s="2">
        <v>109</v>
      </c>
      <c r="D805" s="2">
        <v>313</v>
      </c>
      <c r="E805" t="s">
        <v>228</v>
      </c>
      <c r="G805">
        <v>90760</v>
      </c>
      <c r="H805">
        <v>12003.31</v>
      </c>
      <c r="I805">
        <v>0</v>
      </c>
      <c r="J805">
        <v>16161.3</v>
      </c>
      <c r="K805">
        <v>0</v>
      </c>
      <c r="L805">
        <v>16161.3</v>
      </c>
      <c r="M805">
        <v>28164.61</v>
      </c>
      <c r="N805">
        <v>31.03</v>
      </c>
      <c r="O805">
        <v>62595.39</v>
      </c>
      <c r="P805">
        <v>12003.31</v>
      </c>
      <c r="Q805" t="str">
        <f>INDEX(pARTNER[#All],MATCH(#REF!,pARTNER[[#All],[Value.partnerSummary.id]],0),10)</f>
        <v>Italia (IT)</v>
      </c>
      <c r="R805" t="str">
        <f>INDEX('Partner data'!$A$2:$DG$171,MATCH(#REF!,'Partner data'!$DG$2:$DG$171,0),83)</f>
        <v>Soggetto privato</v>
      </c>
      <c r="S805" s="86" t="str">
        <f>IF(#REF!="staff",INDEX('Partner data'!$DG$2:$DH$171,MATCH(#REF!,'Partner data'!$DG$2:$DG$171,0),2))</f>
        <v>COSTO REALE</v>
      </c>
    </row>
    <row r="806" spans="1:19" x14ac:dyDescent="0.25">
      <c r="A806" t="s">
        <v>61</v>
      </c>
      <c r="B806" t="s">
        <v>31</v>
      </c>
      <c r="C806" s="2">
        <v>109</v>
      </c>
      <c r="D806" s="2">
        <v>313</v>
      </c>
      <c r="E806" t="s">
        <v>229</v>
      </c>
      <c r="G806">
        <v>0</v>
      </c>
      <c r="H806">
        <v>0</v>
      </c>
      <c r="I806">
        <v>0</v>
      </c>
      <c r="J806">
        <v>0</v>
      </c>
      <c r="K806">
        <v>0</v>
      </c>
      <c r="L806">
        <v>0</v>
      </c>
      <c r="M806">
        <v>0</v>
      </c>
      <c r="N806">
        <v>0</v>
      </c>
      <c r="O806">
        <v>0</v>
      </c>
      <c r="P806">
        <v>0</v>
      </c>
      <c r="Q806" t="str">
        <f>INDEX(pARTNER[#All],MATCH(#REF!,pARTNER[[#All],[Value.partnerSummary.id]],0),10)</f>
        <v>Italia (IT)</v>
      </c>
      <c r="R806" t="str">
        <f>INDEX('Partner data'!$A$2:$DG$171,MATCH(#REF!,'Partner data'!$DG$2:$DG$171,0),83)</f>
        <v>Soggetto privato</v>
      </c>
      <c r="S806" s="86" t="b">
        <f>IF(#REF!="staff",INDEX('Partner data'!$DG$2:$DH$171,MATCH(#REF!,'Partner data'!$DG$2:$DG$171,0),2))</f>
        <v>0</v>
      </c>
    </row>
    <row r="807" spans="1:19" x14ac:dyDescent="0.25">
      <c r="A807" t="s">
        <v>61</v>
      </c>
      <c r="B807" t="s">
        <v>31</v>
      </c>
      <c r="C807" s="2">
        <v>109</v>
      </c>
      <c r="D807" s="2">
        <v>313</v>
      </c>
      <c r="E807" t="s">
        <v>230</v>
      </c>
      <c r="G807">
        <v>0</v>
      </c>
      <c r="H807">
        <v>0</v>
      </c>
      <c r="I807">
        <v>0</v>
      </c>
      <c r="J807">
        <v>0</v>
      </c>
      <c r="K807">
        <v>0</v>
      </c>
      <c r="L807">
        <v>0</v>
      </c>
      <c r="M807">
        <v>0</v>
      </c>
      <c r="N807">
        <v>0</v>
      </c>
      <c r="O807">
        <v>0</v>
      </c>
      <c r="P807">
        <v>0</v>
      </c>
      <c r="Q807" t="str">
        <f>INDEX(pARTNER[#All],MATCH(#REF!,pARTNER[[#All],[Value.partnerSummary.id]],0),10)</f>
        <v>Italia (IT)</v>
      </c>
      <c r="R807" t="str">
        <f>INDEX('Partner data'!$A$2:$DG$171,MATCH(#REF!,'Partner data'!$DG$2:$DG$171,0),83)</f>
        <v>Soggetto privato</v>
      </c>
      <c r="S807" s="86" t="b">
        <f>IF(#REF!="staff",INDEX('Partner data'!$DG$2:$DH$171,MATCH(#REF!,'Partner data'!$DG$2:$DG$171,0),2))</f>
        <v>0</v>
      </c>
    </row>
    <row r="808" spans="1:19" x14ac:dyDescent="0.25">
      <c r="A808" t="s">
        <v>61</v>
      </c>
      <c r="B808" t="s">
        <v>31</v>
      </c>
      <c r="C808" s="2">
        <v>109</v>
      </c>
      <c r="D808" s="2">
        <v>313</v>
      </c>
      <c r="E808" t="s">
        <v>231</v>
      </c>
      <c r="G808">
        <v>0</v>
      </c>
      <c r="H808">
        <v>0</v>
      </c>
      <c r="I808">
        <v>0</v>
      </c>
      <c r="J808">
        <v>0</v>
      </c>
      <c r="K808">
        <v>0</v>
      </c>
      <c r="L808">
        <v>0</v>
      </c>
      <c r="M808">
        <v>0</v>
      </c>
      <c r="N808">
        <v>0</v>
      </c>
      <c r="O808">
        <v>0</v>
      </c>
      <c r="P808">
        <v>0</v>
      </c>
      <c r="Q808" t="str">
        <f>INDEX(pARTNER[#All],MATCH(#REF!,pARTNER[[#All],[Value.partnerSummary.id]],0),10)</f>
        <v>Italia (IT)</v>
      </c>
      <c r="R808" t="str">
        <f>INDEX('Partner data'!$A$2:$DG$171,MATCH(#REF!,'Partner data'!$DG$2:$DG$171,0),83)</f>
        <v>Soggetto privato</v>
      </c>
      <c r="S808" s="86" t="b">
        <f>IF(#REF!="staff",INDEX('Partner data'!$DG$2:$DH$171,MATCH(#REF!,'Partner data'!$DG$2:$DG$171,0),2))</f>
        <v>0</v>
      </c>
    </row>
    <row r="809" spans="1:19" x14ac:dyDescent="0.25">
      <c r="A809" t="s">
        <v>61</v>
      </c>
      <c r="B809" t="s">
        <v>31</v>
      </c>
      <c r="C809" s="2">
        <v>109</v>
      </c>
      <c r="D809" s="2">
        <v>313</v>
      </c>
      <c r="E809" t="s">
        <v>232</v>
      </c>
      <c r="G809">
        <v>0</v>
      </c>
      <c r="H809">
        <v>0</v>
      </c>
      <c r="I809">
        <v>0</v>
      </c>
      <c r="J809">
        <v>0</v>
      </c>
      <c r="K809">
        <v>0</v>
      </c>
      <c r="L809">
        <v>0</v>
      </c>
      <c r="M809">
        <v>0</v>
      </c>
      <c r="N809">
        <v>0</v>
      </c>
      <c r="O809">
        <v>0</v>
      </c>
      <c r="P809">
        <v>0</v>
      </c>
      <c r="Q809" t="str">
        <f>INDEX(pARTNER[#All],MATCH(#REF!,pARTNER[[#All],[Value.partnerSummary.id]],0),10)</f>
        <v>Italia (IT)</v>
      </c>
      <c r="R809" t="str">
        <f>INDEX('Partner data'!$A$2:$DG$171,MATCH(#REF!,'Partner data'!$DG$2:$DG$171,0),83)</f>
        <v>Soggetto privato</v>
      </c>
      <c r="S809" s="86" t="b">
        <f>IF(#REF!="staff",INDEX('Partner data'!$DG$2:$DH$171,MATCH(#REF!,'Partner data'!$DG$2:$DG$171,0),2))</f>
        <v>0</v>
      </c>
    </row>
    <row r="810" spans="1:19" x14ac:dyDescent="0.25">
      <c r="A810" t="s">
        <v>61</v>
      </c>
      <c r="B810" t="s">
        <v>31</v>
      </c>
      <c r="C810" s="2">
        <v>109</v>
      </c>
      <c r="D810" s="2">
        <v>313</v>
      </c>
      <c r="E810" t="s">
        <v>233</v>
      </c>
      <c r="G810">
        <v>0</v>
      </c>
      <c r="H810">
        <v>0</v>
      </c>
      <c r="I810">
        <v>0</v>
      </c>
      <c r="J810">
        <v>0</v>
      </c>
      <c r="K810">
        <v>0</v>
      </c>
      <c r="L810">
        <v>0</v>
      </c>
      <c r="M810">
        <v>0</v>
      </c>
      <c r="N810">
        <v>0</v>
      </c>
      <c r="O810">
        <v>0</v>
      </c>
      <c r="P810">
        <v>0</v>
      </c>
      <c r="Q810" t="str">
        <f>INDEX(pARTNER[#All],MATCH(#REF!,pARTNER[[#All],[Value.partnerSummary.id]],0),10)</f>
        <v>Italia (IT)</v>
      </c>
      <c r="R810" t="str">
        <f>INDEX('Partner data'!$A$2:$DG$171,MATCH(#REF!,'Partner data'!$DG$2:$DG$171,0),83)</f>
        <v>Soggetto privato</v>
      </c>
      <c r="S810" s="86" t="b">
        <f>IF(#REF!="staff",INDEX('Partner data'!$DG$2:$DH$171,MATCH(#REF!,'Partner data'!$DG$2:$DG$171,0),2))</f>
        <v>0</v>
      </c>
    </row>
    <row r="811" spans="1:19" x14ac:dyDescent="0.25">
      <c r="A811" t="s">
        <v>61</v>
      </c>
      <c r="B811" t="s">
        <v>31</v>
      </c>
      <c r="C811" s="2">
        <v>109</v>
      </c>
      <c r="D811" s="2">
        <v>313</v>
      </c>
      <c r="E811" t="s">
        <v>234</v>
      </c>
      <c r="F811">
        <v>40</v>
      </c>
      <c r="G811">
        <v>36304</v>
      </c>
      <c r="H811">
        <v>4801.32</v>
      </c>
      <c r="I811">
        <v>0</v>
      </c>
      <c r="J811">
        <v>6464.52</v>
      </c>
      <c r="K811">
        <v>0</v>
      </c>
      <c r="L811">
        <v>6464.52</v>
      </c>
      <c r="M811">
        <v>11265.84</v>
      </c>
      <c r="N811">
        <v>31.03</v>
      </c>
      <c r="O811">
        <v>25038.16</v>
      </c>
      <c r="P811">
        <v>4801.32</v>
      </c>
      <c r="Q811" t="str">
        <f>INDEX(pARTNER[#All],MATCH(#REF!,pARTNER[[#All],[Value.partnerSummary.id]],0),10)</f>
        <v>Italia (IT)</v>
      </c>
      <c r="R811" t="str">
        <f>INDEX('Partner data'!$A$2:$DG$171,MATCH(#REF!,'Partner data'!$DG$2:$DG$171,0),83)</f>
        <v>Soggetto privato</v>
      </c>
      <c r="S811" s="86" t="b">
        <f>IF(#REF!="staff",INDEX('Partner data'!$DG$2:$DH$171,MATCH(#REF!,'Partner data'!$DG$2:$DG$171,0),2))</f>
        <v>0</v>
      </c>
    </row>
    <row r="812" spans="1:19" x14ac:dyDescent="0.25">
      <c r="A812" t="s">
        <v>61</v>
      </c>
      <c r="B812" t="s">
        <v>31</v>
      </c>
      <c r="C812" s="2">
        <v>109</v>
      </c>
      <c r="D812" s="2">
        <v>313</v>
      </c>
      <c r="E812" t="s">
        <v>235</v>
      </c>
      <c r="G812">
        <v>0</v>
      </c>
      <c r="H812">
        <v>0</v>
      </c>
      <c r="I812">
        <v>0</v>
      </c>
      <c r="J812">
        <v>0</v>
      </c>
      <c r="K812">
        <v>0</v>
      </c>
      <c r="L812">
        <v>0</v>
      </c>
      <c r="M812">
        <v>0</v>
      </c>
      <c r="N812">
        <v>0</v>
      </c>
      <c r="O812">
        <v>0</v>
      </c>
      <c r="P812">
        <v>0</v>
      </c>
      <c r="Q812" t="str">
        <f>INDEX(pARTNER[#All],MATCH(#REF!,pARTNER[[#All],[Value.partnerSummary.id]],0),10)</f>
        <v>Italia (IT)</v>
      </c>
      <c r="R812" t="str">
        <f>INDEX('Partner data'!$A$2:$DG$171,MATCH(#REF!,'Partner data'!$DG$2:$DG$171,0),83)</f>
        <v>Soggetto privato</v>
      </c>
      <c r="S812" s="86" t="b">
        <f>IF(#REF!="staff",INDEX('Partner data'!$DG$2:$DH$171,MATCH(#REF!,'Partner data'!$DG$2:$DG$171,0),2))</f>
        <v>0</v>
      </c>
    </row>
    <row r="813" spans="1:19" x14ac:dyDescent="0.25">
      <c r="A813" t="s">
        <v>61</v>
      </c>
      <c r="B813" t="s">
        <v>31</v>
      </c>
      <c r="C813" s="2">
        <v>109</v>
      </c>
      <c r="D813" s="2">
        <v>313</v>
      </c>
      <c r="E813" t="s">
        <v>236</v>
      </c>
      <c r="G813">
        <v>0</v>
      </c>
      <c r="H813">
        <v>0</v>
      </c>
      <c r="I813">
        <v>0</v>
      </c>
      <c r="J813">
        <v>0</v>
      </c>
      <c r="K813">
        <v>0</v>
      </c>
      <c r="L813">
        <v>0</v>
      </c>
      <c r="M813">
        <v>0</v>
      </c>
      <c r="N813">
        <v>0</v>
      </c>
      <c r="O813">
        <v>0</v>
      </c>
      <c r="P813">
        <v>0</v>
      </c>
      <c r="Q813" t="str">
        <f>INDEX(pARTNER[#All],MATCH(#REF!,pARTNER[[#All],[Value.partnerSummary.id]],0),10)</f>
        <v>Italia (IT)</v>
      </c>
      <c r="R813" t="str">
        <f>INDEX('Partner data'!$A$2:$DG$171,MATCH(#REF!,'Partner data'!$DG$2:$DG$171,0),83)</f>
        <v>Soggetto privato</v>
      </c>
      <c r="S813" s="86" t="b">
        <f>IF(#REF!="staff",INDEX('Partner data'!$DG$2:$DH$171,MATCH(#REF!,'Partner data'!$DG$2:$DG$171,0),2))</f>
        <v>0</v>
      </c>
    </row>
    <row r="814" spans="1:19" x14ac:dyDescent="0.25">
      <c r="A814" t="s">
        <v>61</v>
      </c>
      <c r="B814" t="s">
        <v>31</v>
      </c>
      <c r="C814" s="2">
        <v>109</v>
      </c>
      <c r="D814" s="2">
        <v>313</v>
      </c>
      <c r="E814" t="s">
        <v>237</v>
      </c>
      <c r="G814">
        <v>0</v>
      </c>
      <c r="H814">
        <v>0</v>
      </c>
      <c r="I814">
        <v>0</v>
      </c>
      <c r="J814">
        <v>0</v>
      </c>
      <c r="K814">
        <v>0</v>
      </c>
      <c r="L814">
        <v>0</v>
      </c>
      <c r="M814">
        <v>0</v>
      </c>
      <c r="N814">
        <v>0</v>
      </c>
      <c r="O814">
        <v>0</v>
      </c>
      <c r="P814">
        <v>0</v>
      </c>
      <c r="Q814" t="str">
        <f>INDEX(pARTNER[#All],MATCH(#REF!,pARTNER[[#All],[Value.partnerSummary.id]],0),10)</f>
        <v>Italia (IT)</v>
      </c>
      <c r="R814" t="str">
        <f>INDEX('Partner data'!$A$2:$DG$171,MATCH(#REF!,'Partner data'!$DG$2:$DG$171,0),83)</f>
        <v>Soggetto privato</v>
      </c>
      <c r="S814" s="86" t="b">
        <f>IF(#REF!="staff",INDEX('Partner data'!$DG$2:$DH$171,MATCH(#REF!,'Partner data'!$DG$2:$DG$171,0),2))</f>
        <v>0</v>
      </c>
    </row>
    <row r="815" spans="1:19" x14ac:dyDescent="0.25">
      <c r="A815" t="s">
        <v>61</v>
      </c>
      <c r="B815" t="s">
        <v>31</v>
      </c>
      <c r="C815" s="2">
        <v>109</v>
      </c>
      <c r="D815" s="2">
        <v>313</v>
      </c>
      <c r="E815" t="s">
        <v>238</v>
      </c>
      <c r="G815">
        <v>127064</v>
      </c>
      <c r="H815">
        <v>16804.63</v>
      </c>
      <c r="I815">
        <v>0</v>
      </c>
      <c r="J815">
        <v>22625.82</v>
      </c>
      <c r="K815">
        <v>0</v>
      </c>
      <c r="L815">
        <v>22625.82</v>
      </c>
      <c r="M815">
        <v>39430.449999999997</v>
      </c>
      <c r="N815">
        <v>31.03</v>
      </c>
      <c r="O815">
        <v>87633.55</v>
      </c>
      <c r="P815">
        <v>16804.63</v>
      </c>
      <c r="Q815" t="str">
        <f>INDEX(pARTNER[#All],MATCH(#REF!,pARTNER[[#All],[Value.partnerSummary.id]],0),10)</f>
        <v>Italia (IT)</v>
      </c>
      <c r="R815" t="str">
        <f>INDEX('Partner data'!$A$2:$DG$171,MATCH(#REF!,'Partner data'!$DG$2:$DG$171,0),83)</f>
        <v>Soggetto privato</v>
      </c>
      <c r="S815" s="86" t="b">
        <f>IF(#REF!="staff",INDEX('Partner data'!$DG$2:$DH$171,MATCH(#REF!,'Partner data'!$DG$2:$DG$171,0),2))</f>
        <v>0</v>
      </c>
    </row>
    <row r="816" spans="1:19" x14ac:dyDescent="0.25">
      <c r="A816" t="s">
        <v>61</v>
      </c>
      <c r="B816" t="s">
        <v>31</v>
      </c>
      <c r="C816" s="2">
        <v>109</v>
      </c>
      <c r="D816" s="2">
        <v>37</v>
      </c>
      <c r="E816" t="s">
        <v>228</v>
      </c>
      <c r="G816">
        <v>90760</v>
      </c>
      <c r="H816">
        <v>0</v>
      </c>
      <c r="I816">
        <v>0</v>
      </c>
      <c r="J816">
        <v>12003.31</v>
      </c>
      <c r="K816">
        <v>0</v>
      </c>
      <c r="L816">
        <v>12003.31</v>
      </c>
      <c r="M816">
        <v>12003.31</v>
      </c>
      <c r="N816">
        <v>13.23</v>
      </c>
      <c r="O816">
        <v>78756.69</v>
      </c>
      <c r="P816">
        <v>0</v>
      </c>
      <c r="Q816" t="str">
        <f>INDEX(pARTNER[#All],MATCH(#REF!,pARTNER[[#All],[Value.partnerSummary.id]],0),10)</f>
        <v>Italia (IT)</v>
      </c>
      <c r="R816" t="str">
        <f>INDEX('Partner data'!$A$2:$DG$171,MATCH(#REF!,'Partner data'!$DG$2:$DG$171,0),83)</f>
        <v>Soggetto privato</v>
      </c>
      <c r="S816" s="86" t="str">
        <f>IF(#REF!="staff",INDEX('Partner data'!$DG$2:$DH$171,MATCH(#REF!,'Partner data'!$DG$2:$DG$171,0),2))</f>
        <v>COSTO REALE</v>
      </c>
    </row>
    <row r="817" spans="1:19" x14ac:dyDescent="0.25">
      <c r="A817" t="s">
        <v>61</v>
      </c>
      <c r="B817" t="s">
        <v>31</v>
      </c>
      <c r="C817" s="2">
        <v>109</v>
      </c>
      <c r="D817" s="2">
        <v>37</v>
      </c>
      <c r="E817" t="s">
        <v>229</v>
      </c>
      <c r="G817">
        <v>0</v>
      </c>
      <c r="H817">
        <v>0</v>
      </c>
      <c r="I817">
        <v>0</v>
      </c>
      <c r="J817">
        <v>0</v>
      </c>
      <c r="K817">
        <v>0</v>
      </c>
      <c r="L817">
        <v>0</v>
      </c>
      <c r="M817">
        <v>0</v>
      </c>
      <c r="N817">
        <v>0</v>
      </c>
      <c r="O817">
        <v>0</v>
      </c>
      <c r="P817">
        <v>0</v>
      </c>
      <c r="Q817" t="str">
        <f>INDEX(pARTNER[#All],MATCH(#REF!,pARTNER[[#All],[Value.partnerSummary.id]],0),10)</f>
        <v>Italia (IT)</v>
      </c>
      <c r="R817" t="str">
        <f>INDEX('Partner data'!$A$2:$DG$171,MATCH(#REF!,'Partner data'!$DG$2:$DG$171,0),83)</f>
        <v>Soggetto privato</v>
      </c>
      <c r="S817" s="86" t="b">
        <f>IF(#REF!="staff",INDEX('Partner data'!$DG$2:$DH$171,MATCH(#REF!,'Partner data'!$DG$2:$DG$171,0),2))</f>
        <v>0</v>
      </c>
    </row>
    <row r="818" spans="1:19" x14ac:dyDescent="0.25">
      <c r="A818" t="s">
        <v>61</v>
      </c>
      <c r="B818" t="s">
        <v>31</v>
      </c>
      <c r="C818" s="2">
        <v>109</v>
      </c>
      <c r="D818" s="2">
        <v>37</v>
      </c>
      <c r="E818" t="s">
        <v>230</v>
      </c>
      <c r="G818">
        <v>0</v>
      </c>
      <c r="H818">
        <v>0</v>
      </c>
      <c r="I818">
        <v>0</v>
      </c>
      <c r="J818">
        <v>0</v>
      </c>
      <c r="K818">
        <v>0</v>
      </c>
      <c r="L818">
        <v>0</v>
      </c>
      <c r="M818">
        <v>0</v>
      </c>
      <c r="N818">
        <v>0</v>
      </c>
      <c r="O818">
        <v>0</v>
      </c>
      <c r="P818">
        <v>0</v>
      </c>
      <c r="Q818" t="str">
        <f>INDEX(pARTNER[#All],MATCH(#REF!,pARTNER[[#All],[Value.partnerSummary.id]],0),10)</f>
        <v>Italia (IT)</v>
      </c>
      <c r="R818" t="str">
        <f>INDEX('Partner data'!$A$2:$DG$171,MATCH(#REF!,'Partner data'!$DG$2:$DG$171,0),83)</f>
        <v>Soggetto privato</v>
      </c>
      <c r="S818" s="86" t="b">
        <f>IF(#REF!="staff",INDEX('Partner data'!$DG$2:$DH$171,MATCH(#REF!,'Partner data'!$DG$2:$DG$171,0),2))</f>
        <v>0</v>
      </c>
    </row>
    <row r="819" spans="1:19" x14ac:dyDescent="0.25">
      <c r="A819" t="s">
        <v>61</v>
      </c>
      <c r="B819" t="s">
        <v>31</v>
      </c>
      <c r="C819" s="2">
        <v>109</v>
      </c>
      <c r="D819" s="2">
        <v>37</v>
      </c>
      <c r="E819" t="s">
        <v>231</v>
      </c>
      <c r="G819">
        <v>0</v>
      </c>
      <c r="H819">
        <v>0</v>
      </c>
      <c r="I819">
        <v>0</v>
      </c>
      <c r="J819">
        <v>0</v>
      </c>
      <c r="K819">
        <v>0</v>
      </c>
      <c r="L819">
        <v>0</v>
      </c>
      <c r="M819">
        <v>0</v>
      </c>
      <c r="N819">
        <v>0</v>
      </c>
      <c r="O819">
        <v>0</v>
      </c>
      <c r="P819">
        <v>0</v>
      </c>
      <c r="Q819" t="str">
        <f>INDEX(pARTNER[#All],MATCH(#REF!,pARTNER[[#All],[Value.partnerSummary.id]],0),10)</f>
        <v>Italia (IT)</v>
      </c>
      <c r="R819" t="str">
        <f>INDEX('Partner data'!$A$2:$DG$171,MATCH(#REF!,'Partner data'!$DG$2:$DG$171,0),83)</f>
        <v>Soggetto privato</v>
      </c>
      <c r="S819" s="86" t="b">
        <f>IF(#REF!="staff",INDEX('Partner data'!$DG$2:$DH$171,MATCH(#REF!,'Partner data'!$DG$2:$DG$171,0),2))</f>
        <v>0</v>
      </c>
    </row>
    <row r="820" spans="1:19" x14ac:dyDescent="0.25">
      <c r="A820" t="s">
        <v>61</v>
      </c>
      <c r="B820" t="s">
        <v>31</v>
      </c>
      <c r="C820" s="2">
        <v>109</v>
      </c>
      <c r="D820" s="2">
        <v>37</v>
      </c>
      <c r="E820" t="s">
        <v>232</v>
      </c>
      <c r="G820">
        <v>0</v>
      </c>
      <c r="H820">
        <v>0</v>
      </c>
      <c r="I820">
        <v>0</v>
      </c>
      <c r="J820">
        <v>0</v>
      </c>
      <c r="K820">
        <v>0</v>
      </c>
      <c r="L820">
        <v>0</v>
      </c>
      <c r="M820">
        <v>0</v>
      </c>
      <c r="N820">
        <v>0</v>
      </c>
      <c r="O820">
        <v>0</v>
      </c>
      <c r="P820">
        <v>0</v>
      </c>
      <c r="Q820" t="str">
        <f>INDEX(pARTNER[#All],MATCH(#REF!,pARTNER[[#All],[Value.partnerSummary.id]],0),10)</f>
        <v>Italia (IT)</v>
      </c>
      <c r="R820" t="str">
        <f>INDEX('Partner data'!$A$2:$DG$171,MATCH(#REF!,'Partner data'!$DG$2:$DG$171,0),83)</f>
        <v>Soggetto privato</v>
      </c>
      <c r="S820" s="86" t="b">
        <f>IF(#REF!="staff",INDEX('Partner data'!$DG$2:$DH$171,MATCH(#REF!,'Partner data'!$DG$2:$DG$171,0),2))</f>
        <v>0</v>
      </c>
    </row>
    <row r="821" spans="1:19" x14ac:dyDescent="0.25">
      <c r="A821" t="s">
        <v>61</v>
      </c>
      <c r="B821" t="s">
        <v>31</v>
      </c>
      <c r="C821" s="2">
        <v>109</v>
      </c>
      <c r="D821" s="2">
        <v>37</v>
      </c>
      <c r="E821" t="s">
        <v>233</v>
      </c>
      <c r="G821">
        <v>0</v>
      </c>
      <c r="H821">
        <v>0</v>
      </c>
      <c r="I821">
        <v>0</v>
      </c>
      <c r="J821">
        <v>0</v>
      </c>
      <c r="K821">
        <v>0</v>
      </c>
      <c r="L821">
        <v>0</v>
      </c>
      <c r="M821">
        <v>0</v>
      </c>
      <c r="N821">
        <v>0</v>
      </c>
      <c r="O821">
        <v>0</v>
      </c>
      <c r="P821">
        <v>0</v>
      </c>
      <c r="Q821" t="str">
        <f>INDEX(pARTNER[#All],MATCH(#REF!,pARTNER[[#All],[Value.partnerSummary.id]],0),10)</f>
        <v>Italia (IT)</v>
      </c>
      <c r="R821" t="str">
        <f>INDEX('Partner data'!$A$2:$DG$171,MATCH(#REF!,'Partner data'!$DG$2:$DG$171,0),83)</f>
        <v>Soggetto privato</v>
      </c>
      <c r="S821" s="86" t="b">
        <f>IF(#REF!="staff",INDEX('Partner data'!$DG$2:$DH$171,MATCH(#REF!,'Partner data'!$DG$2:$DG$171,0),2))</f>
        <v>0</v>
      </c>
    </row>
    <row r="822" spans="1:19" x14ac:dyDescent="0.25">
      <c r="A822" t="s">
        <v>61</v>
      </c>
      <c r="B822" t="s">
        <v>31</v>
      </c>
      <c r="C822" s="2">
        <v>109</v>
      </c>
      <c r="D822" s="2">
        <v>37</v>
      </c>
      <c r="E822" t="s">
        <v>234</v>
      </c>
      <c r="F822">
        <v>40</v>
      </c>
      <c r="G822">
        <v>36304</v>
      </c>
      <c r="H822">
        <v>0</v>
      </c>
      <c r="I822">
        <v>0</v>
      </c>
      <c r="J822">
        <v>4801.32</v>
      </c>
      <c r="K822">
        <v>0</v>
      </c>
      <c r="L822">
        <v>4801.32</v>
      </c>
      <c r="M822">
        <v>4801.32</v>
      </c>
      <c r="N822">
        <v>13.23</v>
      </c>
      <c r="O822">
        <v>31502.68</v>
      </c>
      <c r="P822">
        <v>0</v>
      </c>
      <c r="Q822" t="str">
        <f>INDEX(pARTNER[#All],MATCH(#REF!,pARTNER[[#All],[Value.partnerSummary.id]],0),10)</f>
        <v>Italia (IT)</v>
      </c>
      <c r="R822" t="str">
        <f>INDEX('Partner data'!$A$2:$DG$171,MATCH(#REF!,'Partner data'!$DG$2:$DG$171,0),83)</f>
        <v>Soggetto privato</v>
      </c>
      <c r="S822" s="86" t="b">
        <f>IF(#REF!="staff",INDEX('Partner data'!$DG$2:$DH$171,MATCH(#REF!,'Partner data'!$DG$2:$DG$171,0),2))</f>
        <v>0</v>
      </c>
    </row>
    <row r="823" spans="1:19" x14ac:dyDescent="0.25">
      <c r="A823" t="s">
        <v>61</v>
      </c>
      <c r="B823" t="s">
        <v>31</v>
      </c>
      <c r="C823" s="2">
        <v>109</v>
      </c>
      <c r="D823" s="2">
        <v>37</v>
      </c>
      <c r="E823" t="s">
        <v>235</v>
      </c>
      <c r="G823">
        <v>0</v>
      </c>
      <c r="H823">
        <v>0</v>
      </c>
      <c r="I823">
        <v>0</v>
      </c>
      <c r="J823">
        <v>0</v>
      </c>
      <c r="K823">
        <v>0</v>
      </c>
      <c r="L823">
        <v>0</v>
      </c>
      <c r="M823">
        <v>0</v>
      </c>
      <c r="N823">
        <v>0</v>
      </c>
      <c r="O823">
        <v>0</v>
      </c>
      <c r="P823">
        <v>0</v>
      </c>
      <c r="Q823" t="str">
        <f>INDEX(pARTNER[#All],MATCH(#REF!,pARTNER[[#All],[Value.partnerSummary.id]],0),10)</f>
        <v>Italia (IT)</v>
      </c>
      <c r="R823" t="str">
        <f>INDEX('Partner data'!$A$2:$DG$171,MATCH(#REF!,'Partner data'!$DG$2:$DG$171,0),83)</f>
        <v>Soggetto privato</v>
      </c>
      <c r="S823" s="86" t="b">
        <f>IF(#REF!="staff",INDEX('Partner data'!$DG$2:$DH$171,MATCH(#REF!,'Partner data'!$DG$2:$DG$171,0),2))</f>
        <v>0</v>
      </c>
    </row>
    <row r="824" spans="1:19" x14ac:dyDescent="0.25">
      <c r="A824" t="s">
        <v>61</v>
      </c>
      <c r="B824" t="s">
        <v>31</v>
      </c>
      <c r="C824" s="2">
        <v>109</v>
      </c>
      <c r="D824" s="2">
        <v>37</v>
      </c>
      <c r="E824" t="s">
        <v>236</v>
      </c>
      <c r="G824">
        <v>0</v>
      </c>
      <c r="H824">
        <v>0</v>
      </c>
      <c r="I824">
        <v>0</v>
      </c>
      <c r="J824">
        <v>0</v>
      </c>
      <c r="K824">
        <v>0</v>
      </c>
      <c r="L824">
        <v>0</v>
      </c>
      <c r="M824">
        <v>0</v>
      </c>
      <c r="N824">
        <v>0</v>
      </c>
      <c r="O824">
        <v>0</v>
      </c>
      <c r="P824">
        <v>0</v>
      </c>
      <c r="Q824" t="str">
        <f>INDEX(pARTNER[#All],MATCH(#REF!,pARTNER[[#All],[Value.partnerSummary.id]],0),10)</f>
        <v>Italia (IT)</v>
      </c>
      <c r="R824" t="str">
        <f>INDEX('Partner data'!$A$2:$DG$171,MATCH(#REF!,'Partner data'!$DG$2:$DG$171,0),83)</f>
        <v>Soggetto privato</v>
      </c>
      <c r="S824" s="86" t="b">
        <f>IF(#REF!="staff",INDEX('Partner data'!$DG$2:$DH$171,MATCH(#REF!,'Partner data'!$DG$2:$DG$171,0),2))</f>
        <v>0</v>
      </c>
    </row>
    <row r="825" spans="1:19" x14ac:dyDescent="0.25">
      <c r="A825" t="s">
        <v>61</v>
      </c>
      <c r="B825" t="s">
        <v>31</v>
      </c>
      <c r="C825" s="2">
        <v>109</v>
      </c>
      <c r="D825" s="2">
        <v>37</v>
      </c>
      <c r="E825" t="s">
        <v>237</v>
      </c>
      <c r="G825">
        <v>0</v>
      </c>
      <c r="H825">
        <v>0</v>
      </c>
      <c r="I825">
        <v>0</v>
      </c>
      <c r="J825">
        <v>0</v>
      </c>
      <c r="K825">
        <v>0</v>
      </c>
      <c r="L825">
        <v>0</v>
      </c>
      <c r="M825">
        <v>0</v>
      </c>
      <c r="N825">
        <v>0</v>
      </c>
      <c r="O825">
        <v>0</v>
      </c>
      <c r="P825">
        <v>0</v>
      </c>
      <c r="Q825" t="str">
        <f>INDEX(pARTNER[#All],MATCH(#REF!,pARTNER[[#All],[Value.partnerSummary.id]],0),10)</f>
        <v>Italia (IT)</v>
      </c>
      <c r="R825" t="str">
        <f>INDEX('Partner data'!$A$2:$DG$171,MATCH(#REF!,'Partner data'!$DG$2:$DG$171,0),83)</f>
        <v>Soggetto privato</v>
      </c>
      <c r="S825" s="86" t="b">
        <f>IF(#REF!="staff",INDEX('Partner data'!$DG$2:$DH$171,MATCH(#REF!,'Partner data'!$DG$2:$DG$171,0),2))</f>
        <v>0</v>
      </c>
    </row>
    <row r="826" spans="1:19" x14ac:dyDescent="0.25">
      <c r="A826" t="s">
        <v>61</v>
      </c>
      <c r="B826" t="s">
        <v>31</v>
      </c>
      <c r="C826" s="2">
        <v>109</v>
      </c>
      <c r="D826" s="2">
        <v>37</v>
      </c>
      <c r="E826" t="s">
        <v>238</v>
      </c>
      <c r="G826">
        <v>127064</v>
      </c>
      <c r="H826">
        <v>0</v>
      </c>
      <c r="I826">
        <v>0</v>
      </c>
      <c r="J826">
        <v>16804.63</v>
      </c>
      <c r="K826">
        <v>0</v>
      </c>
      <c r="L826">
        <v>16804.63</v>
      </c>
      <c r="M826">
        <v>16804.63</v>
      </c>
      <c r="N826">
        <v>13.23</v>
      </c>
      <c r="O826">
        <v>110259.37</v>
      </c>
      <c r="P826">
        <v>0</v>
      </c>
      <c r="Q826" t="str">
        <f>INDEX(pARTNER[#All],MATCH(#REF!,pARTNER[[#All],[Value.partnerSummary.id]],0),10)</f>
        <v>Italia (IT)</v>
      </c>
      <c r="R826" t="str">
        <f>INDEX('Partner data'!$A$2:$DG$171,MATCH(#REF!,'Partner data'!$DG$2:$DG$171,0),83)</f>
        <v>Soggetto privato</v>
      </c>
      <c r="S826" s="86" t="b">
        <f>IF(#REF!="staff",INDEX('Partner data'!$DG$2:$DH$171,MATCH(#REF!,'Partner data'!$DG$2:$DG$171,0),2))</f>
        <v>0</v>
      </c>
    </row>
    <row r="827" spans="1:19" x14ac:dyDescent="0.25">
      <c r="A827" t="s">
        <v>61</v>
      </c>
      <c r="B827" t="s">
        <v>53</v>
      </c>
      <c r="C827" s="2">
        <v>113</v>
      </c>
      <c r="D827" s="2">
        <v>204</v>
      </c>
      <c r="E827" t="s">
        <v>228</v>
      </c>
      <c r="G827">
        <v>65500</v>
      </c>
      <c r="H827">
        <v>0</v>
      </c>
      <c r="I827">
        <v>0</v>
      </c>
      <c r="J827">
        <v>13951.93</v>
      </c>
      <c r="K827">
        <v>0</v>
      </c>
      <c r="L827">
        <v>13801.18</v>
      </c>
      <c r="M827">
        <v>13951.93</v>
      </c>
      <c r="N827">
        <v>21.3</v>
      </c>
      <c r="O827">
        <v>51548.07</v>
      </c>
      <c r="P827">
        <v>0</v>
      </c>
      <c r="Q827" t="str">
        <f>INDEX(pARTNER[#All],MATCH(#REF!,pARTNER[[#All],[Value.partnerSummary.id]],0),10)</f>
        <v>Slovenija (SI)</v>
      </c>
      <c r="R827" t="str">
        <f>INDEX('Partner data'!$A$2:$DG$171,MATCH(#REF!,'Partner data'!$DG$2:$DG$171,0),83)</f>
        <v>Soggetto pubblico</v>
      </c>
      <c r="S827" s="86" t="str">
        <f>IF(#REF!="staff",INDEX('Partner data'!$DG$2:$DH$171,MATCH(#REF!,'Partner data'!$DG$2:$DG$171,0),2))</f>
        <v>COSTO REALE</v>
      </c>
    </row>
    <row r="828" spans="1:19" x14ac:dyDescent="0.25">
      <c r="A828" t="s">
        <v>61</v>
      </c>
      <c r="B828" t="s">
        <v>53</v>
      </c>
      <c r="C828" s="2">
        <v>113</v>
      </c>
      <c r="D828" s="2">
        <v>204</v>
      </c>
      <c r="E828" t="s">
        <v>229</v>
      </c>
      <c r="G828">
        <v>0</v>
      </c>
      <c r="H828">
        <v>0</v>
      </c>
      <c r="I828">
        <v>0</v>
      </c>
      <c r="J828">
        <v>0</v>
      </c>
      <c r="K828">
        <v>0</v>
      </c>
      <c r="L828">
        <v>0</v>
      </c>
      <c r="M828">
        <v>0</v>
      </c>
      <c r="N828">
        <v>0</v>
      </c>
      <c r="O828">
        <v>0</v>
      </c>
      <c r="P828">
        <v>0</v>
      </c>
      <c r="Q828" t="str">
        <f>INDEX(pARTNER[#All],MATCH(#REF!,pARTNER[[#All],[Value.partnerSummary.id]],0),10)</f>
        <v>Slovenija (SI)</v>
      </c>
      <c r="R828" t="str">
        <f>INDEX('Partner data'!$A$2:$DG$171,MATCH(#REF!,'Partner data'!$DG$2:$DG$171,0),83)</f>
        <v>Soggetto pubblico</v>
      </c>
      <c r="S828" s="86" t="b">
        <f>IF(#REF!="staff",INDEX('Partner data'!$DG$2:$DH$171,MATCH(#REF!,'Partner data'!$DG$2:$DG$171,0),2))</f>
        <v>0</v>
      </c>
    </row>
    <row r="829" spans="1:19" x14ac:dyDescent="0.25">
      <c r="A829" t="s">
        <v>61</v>
      </c>
      <c r="B829" t="s">
        <v>53</v>
      </c>
      <c r="C829" s="2">
        <v>113</v>
      </c>
      <c r="D829" s="2">
        <v>204</v>
      </c>
      <c r="E829" t="s">
        <v>230</v>
      </c>
      <c r="G829">
        <v>0</v>
      </c>
      <c r="H829">
        <v>0</v>
      </c>
      <c r="I829">
        <v>0</v>
      </c>
      <c r="J829">
        <v>0</v>
      </c>
      <c r="K829">
        <v>0</v>
      </c>
      <c r="L829">
        <v>0</v>
      </c>
      <c r="M829">
        <v>0</v>
      </c>
      <c r="N829">
        <v>0</v>
      </c>
      <c r="O829">
        <v>0</v>
      </c>
      <c r="P829">
        <v>0</v>
      </c>
      <c r="Q829" t="str">
        <f>INDEX(pARTNER[#All],MATCH(#REF!,pARTNER[[#All],[Value.partnerSummary.id]],0),10)</f>
        <v>Slovenija (SI)</v>
      </c>
      <c r="R829" t="str">
        <f>INDEX('Partner data'!$A$2:$DG$171,MATCH(#REF!,'Partner data'!$DG$2:$DG$171,0),83)</f>
        <v>Soggetto pubblico</v>
      </c>
      <c r="S829" s="86" t="b">
        <f>IF(#REF!="staff",INDEX('Partner data'!$DG$2:$DH$171,MATCH(#REF!,'Partner data'!$DG$2:$DG$171,0),2))</f>
        <v>0</v>
      </c>
    </row>
    <row r="830" spans="1:19" x14ac:dyDescent="0.25">
      <c r="A830" t="s">
        <v>61</v>
      </c>
      <c r="B830" t="s">
        <v>53</v>
      </c>
      <c r="C830" s="2">
        <v>113</v>
      </c>
      <c r="D830" s="2">
        <v>204</v>
      </c>
      <c r="E830" t="s">
        <v>231</v>
      </c>
      <c r="G830">
        <v>0</v>
      </c>
      <c r="H830">
        <v>0</v>
      </c>
      <c r="I830">
        <v>0</v>
      </c>
      <c r="J830">
        <v>0</v>
      </c>
      <c r="K830">
        <v>0</v>
      </c>
      <c r="L830">
        <v>0</v>
      </c>
      <c r="M830">
        <v>0</v>
      </c>
      <c r="N830">
        <v>0</v>
      </c>
      <c r="O830">
        <v>0</v>
      </c>
      <c r="P830">
        <v>0</v>
      </c>
      <c r="Q830" t="str">
        <f>INDEX(pARTNER[#All],MATCH(#REF!,pARTNER[[#All],[Value.partnerSummary.id]],0),10)</f>
        <v>Slovenija (SI)</v>
      </c>
      <c r="R830" t="str">
        <f>INDEX('Partner data'!$A$2:$DG$171,MATCH(#REF!,'Partner data'!$DG$2:$DG$171,0),83)</f>
        <v>Soggetto pubblico</v>
      </c>
      <c r="S830" s="86" t="b">
        <f>IF(#REF!="staff",INDEX('Partner data'!$DG$2:$DH$171,MATCH(#REF!,'Partner data'!$DG$2:$DG$171,0),2))</f>
        <v>0</v>
      </c>
    </row>
    <row r="831" spans="1:19" x14ac:dyDescent="0.25">
      <c r="A831" t="s">
        <v>61</v>
      </c>
      <c r="B831" t="s">
        <v>53</v>
      </c>
      <c r="C831" s="2">
        <v>113</v>
      </c>
      <c r="D831" s="2">
        <v>204</v>
      </c>
      <c r="E831" t="s">
        <v>232</v>
      </c>
      <c r="G831">
        <v>0</v>
      </c>
      <c r="H831">
        <v>0</v>
      </c>
      <c r="I831">
        <v>0</v>
      </c>
      <c r="J831">
        <v>0</v>
      </c>
      <c r="K831">
        <v>0</v>
      </c>
      <c r="L831">
        <v>0</v>
      </c>
      <c r="M831">
        <v>0</v>
      </c>
      <c r="N831">
        <v>0</v>
      </c>
      <c r="O831">
        <v>0</v>
      </c>
      <c r="P831">
        <v>0</v>
      </c>
      <c r="Q831" t="str">
        <f>INDEX(pARTNER[#All],MATCH(#REF!,pARTNER[[#All],[Value.partnerSummary.id]],0),10)</f>
        <v>Slovenija (SI)</v>
      </c>
      <c r="R831" t="str">
        <f>INDEX('Partner data'!$A$2:$DG$171,MATCH(#REF!,'Partner data'!$DG$2:$DG$171,0),83)</f>
        <v>Soggetto pubblico</v>
      </c>
      <c r="S831" s="86" t="b">
        <f>IF(#REF!="staff",INDEX('Partner data'!$DG$2:$DH$171,MATCH(#REF!,'Partner data'!$DG$2:$DG$171,0),2))</f>
        <v>0</v>
      </c>
    </row>
    <row r="832" spans="1:19" x14ac:dyDescent="0.25">
      <c r="A832" t="s">
        <v>61</v>
      </c>
      <c r="B832" t="s">
        <v>53</v>
      </c>
      <c r="C832" s="2">
        <v>113</v>
      </c>
      <c r="D832" s="2">
        <v>204</v>
      </c>
      <c r="E832" t="s">
        <v>233</v>
      </c>
      <c r="G832">
        <v>0</v>
      </c>
      <c r="H832">
        <v>0</v>
      </c>
      <c r="I832">
        <v>0</v>
      </c>
      <c r="J832">
        <v>0</v>
      </c>
      <c r="K832">
        <v>0</v>
      </c>
      <c r="L832">
        <v>0</v>
      </c>
      <c r="M832">
        <v>0</v>
      </c>
      <c r="N832">
        <v>0</v>
      </c>
      <c r="O832">
        <v>0</v>
      </c>
      <c r="P832">
        <v>0</v>
      </c>
      <c r="Q832" t="str">
        <f>INDEX(pARTNER[#All],MATCH(#REF!,pARTNER[[#All],[Value.partnerSummary.id]],0),10)</f>
        <v>Slovenija (SI)</v>
      </c>
      <c r="R832" t="str">
        <f>INDEX('Partner data'!$A$2:$DG$171,MATCH(#REF!,'Partner data'!$DG$2:$DG$171,0),83)</f>
        <v>Soggetto pubblico</v>
      </c>
      <c r="S832" s="86" t="b">
        <f>IF(#REF!="staff",INDEX('Partner data'!$DG$2:$DH$171,MATCH(#REF!,'Partner data'!$DG$2:$DG$171,0),2))</f>
        <v>0</v>
      </c>
    </row>
    <row r="833" spans="1:19" x14ac:dyDescent="0.25">
      <c r="A833" t="s">
        <v>61</v>
      </c>
      <c r="B833" t="s">
        <v>53</v>
      </c>
      <c r="C833" s="2">
        <v>113</v>
      </c>
      <c r="D833" s="2">
        <v>204</v>
      </c>
      <c r="E833" t="s">
        <v>234</v>
      </c>
      <c r="F833">
        <v>40</v>
      </c>
      <c r="G833">
        <v>26200</v>
      </c>
      <c r="H833">
        <v>0</v>
      </c>
      <c r="I833">
        <v>0</v>
      </c>
      <c r="J833">
        <v>5580.77</v>
      </c>
      <c r="K833">
        <v>0</v>
      </c>
      <c r="L833">
        <v>5520.47</v>
      </c>
      <c r="M833">
        <v>5580.77</v>
      </c>
      <c r="N833">
        <v>21.3</v>
      </c>
      <c r="O833">
        <v>20619.23</v>
      </c>
      <c r="P833">
        <v>0</v>
      </c>
      <c r="Q833" t="str">
        <f>INDEX(pARTNER[#All],MATCH(#REF!,pARTNER[[#All],[Value.partnerSummary.id]],0),10)</f>
        <v>Slovenija (SI)</v>
      </c>
      <c r="R833" t="str">
        <f>INDEX('Partner data'!$A$2:$DG$171,MATCH(#REF!,'Partner data'!$DG$2:$DG$171,0),83)</f>
        <v>Soggetto pubblico</v>
      </c>
      <c r="S833" s="86" t="b">
        <f>IF(#REF!="staff",INDEX('Partner data'!$DG$2:$DH$171,MATCH(#REF!,'Partner data'!$DG$2:$DG$171,0),2))</f>
        <v>0</v>
      </c>
    </row>
    <row r="834" spans="1:19" x14ac:dyDescent="0.25">
      <c r="A834" t="s">
        <v>61</v>
      </c>
      <c r="B834" t="s">
        <v>53</v>
      </c>
      <c r="C834" s="2">
        <v>113</v>
      </c>
      <c r="D834" s="2">
        <v>204</v>
      </c>
      <c r="E834" t="s">
        <v>235</v>
      </c>
      <c r="G834">
        <v>0</v>
      </c>
      <c r="H834">
        <v>0</v>
      </c>
      <c r="I834">
        <v>0</v>
      </c>
      <c r="J834">
        <v>0</v>
      </c>
      <c r="K834">
        <v>0</v>
      </c>
      <c r="L834">
        <v>0</v>
      </c>
      <c r="M834">
        <v>0</v>
      </c>
      <c r="N834">
        <v>0</v>
      </c>
      <c r="O834">
        <v>0</v>
      </c>
      <c r="P834">
        <v>0</v>
      </c>
      <c r="Q834" t="str">
        <f>INDEX(pARTNER[#All],MATCH(#REF!,pARTNER[[#All],[Value.partnerSummary.id]],0),10)</f>
        <v>Slovenija (SI)</v>
      </c>
      <c r="R834" t="str">
        <f>INDEX('Partner data'!$A$2:$DG$171,MATCH(#REF!,'Partner data'!$DG$2:$DG$171,0),83)</f>
        <v>Soggetto pubblico</v>
      </c>
      <c r="S834" s="86" t="b">
        <f>IF(#REF!="staff",INDEX('Partner data'!$DG$2:$DH$171,MATCH(#REF!,'Partner data'!$DG$2:$DG$171,0),2))</f>
        <v>0</v>
      </c>
    </row>
    <row r="835" spans="1:19" x14ac:dyDescent="0.25">
      <c r="A835" t="s">
        <v>61</v>
      </c>
      <c r="B835" t="s">
        <v>53</v>
      </c>
      <c r="C835" s="2">
        <v>113</v>
      </c>
      <c r="D835" s="2">
        <v>204</v>
      </c>
      <c r="E835" t="s">
        <v>236</v>
      </c>
      <c r="G835">
        <v>0</v>
      </c>
      <c r="H835">
        <v>0</v>
      </c>
      <c r="I835">
        <v>0</v>
      </c>
      <c r="J835">
        <v>0</v>
      </c>
      <c r="K835">
        <v>0</v>
      </c>
      <c r="L835">
        <v>0</v>
      </c>
      <c r="M835">
        <v>0</v>
      </c>
      <c r="N835">
        <v>0</v>
      </c>
      <c r="O835">
        <v>0</v>
      </c>
      <c r="P835">
        <v>0</v>
      </c>
      <c r="Q835" t="str">
        <f>INDEX(pARTNER[#All],MATCH(#REF!,pARTNER[[#All],[Value.partnerSummary.id]],0),10)</f>
        <v>Slovenija (SI)</v>
      </c>
      <c r="R835" t="str">
        <f>INDEX('Partner data'!$A$2:$DG$171,MATCH(#REF!,'Partner data'!$DG$2:$DG$171,0),83)</f>
        <v>Soggetto pubblico</v>
      </c>
      <c r="S835" s="86" t="b">
        <f>IF(#REF!="staff",INDEX('Partner data'!$DG$2:$DH$171,MATCH(#REF!,'Partner data'!$DG$2:$DG$171,0),2))</f>
        <v>0</v>
      </c>
    </row>
    <row r="836" spans="1:19" x14ac:dyDescent="0.25">
      <c r="A836" t="s">
        <v>61</v>
      </c>
      <c r="B836" t="s">
        <v>53</v>
      </c>
      <c r="C836" s="2">
        <v>113</v>
      </c>
      <c r="D836" s="2">
        <v>204</v>
      </c>
      <c r="E836" t="s">
        <v>237</v>
      </c>
      <c r="G836">
        <v>0</v>
      </c>
      <c r="H836">
        <v>0</v>
      </c>
      <c r="I836">
        <v>0</v>
      </c>
      <c r="J836">
        <v>0</v>
      </c>
      <c r="K836">
        <v>0</v>
      </c>
      <c r="L836">
        <v>0</v>
      </c>
      <c r="M836">
        <v>0</v>
      </c>
      <c r="N836">
        <v>0</v>
      </c>
      <c r="O836">
        <v>0</v>
      </c>
      <c r="P836">
        <v>0</v>
      </c>
      <c r="Q836" t="str">
        <f>INDEX(pARTNER[#All],MATCH(#REF!,pARTNER[[#All],[Value.partnerSummary.id]],0),10)</f>
        <v>Slovenija (SI)</v>
      </c>
      <c r="R836" t="str">
        <f>INDEX('Partner data'!$A$2:$DG$171,MATCH(#REF!,'Partner data'!$DG$2:$DG$171,0),83)</f>
        <v>Soggetto pubblico</v>
      </c>
      <c r="S836" s="86" t="b">
        <f>IF(#REF!="staff",INDEX('Partner data'!$DG$2:$DH$171,MATCH(#REF!,'Partner data'!$DG$2:$DG$171,0),2))</f>
        <v>0</v>
      </c>
    </row>
    <row r="837" spans="1:19" x14ac:dyDescent="0.25">
      <c r="A837" t="s">
        <v>61</v>
      </c>
      <c r="B837" t="s">
        <v>53</v>
      </c>
      <c r="C837" s="2">
        <v>113</v>
      </c>
      <c r="D837" s="2">
        <v>204</v>
      </c>
      <c r="E837" t="s">
        <v>238</v>
      </c>
      <c r="G837">
        <v>91700</v>
      </c>
      <c r="H837">
        <v>0</v>
      </c>
      <c r="I837">
        <v>0</v>
      </c>
      <c r="J837">
        <v>19532.7</v>
      </c>
      <c r="K837">
        <v>0</v>
      </c>
      <c r="L837">
        <v>19321.650000000001</v>
      </c>
      <c r="M837">
        <v>19532.7</v>
      </c>
      <c r="N837">
        <v>21.3</v>
      </c>
      <c r="O837">
        <v>72167.3</v>
      </c>
      <c r="P837">
        <v>0</v>
      </c>
      <c r="Q837" t="str">
        <f>INDEX(pARTNER[#All],MATCH(#REF!,pARTNER[[#All],[Value.partnerSummary.id]],0),10)</f>
        <v>Slovenija (SI)</v>
      </c>
      <c r="R837" t="str">
        <f>INDEX('Partner data'!$A$2:$DG$171,MATCH(#REF!,'Partner data'!$DG$2:$DG$171,0),83)</f>
        <v>Soggetto pubblico</v>
      </c>
      <c r="S837" s="86" t="b">
        <f>IF(#REF!="staff",INDEX('Partner data'!$DG$2:$DH$171,MATCH(#REF!,'Partner data'!$DG$2:$DG$171,0),2))</f>
        <v>0</v>
      </c>
    </row>
    <row r="838" spans="1:19" x14ac:dyDescent="0.25">
      <c r="A838" t="s">
        <v>361</v>
      </c>
      <c r="B838" t="s">
        <v>362</v>
      </c>
      <c r="C838" s="2">
        <v>243</v>
      </c>
      <c r="D838" s="2">
        <v>152</v>
      </c>
      <c r="E838" t="s">
        <v>228</v>
      </c>
      <c r="F838">
        <v>20</v>
      </c>
      <c r="G838">
        <v>21860</v>
      </c>
      <c r="H838">
        <v>0</v>
      </c>
      <c r="I838">
        <v>0</v>
      </c>
      <c r="J838">
        <v>0</v>
      </c>
      <c r="K838">
        <v>0</v>
      </c>
      <c r="L838">
        <v>0</v>
      </c>
      <c r="M838">
        <v>0</v>
      </c>
      <c r="N838">
        <v>0</v>
      </c>
      <c r="O838">
        <v>21860</v>
      </c>
      <c r="P838">
        <v>0</v>
      </c>
      <c r="Q838" t="str">
        <f>INDEX(pARTNER[#All],MATCH(#REF!,pARTNER[[#All],[Value.partnerSummary.id]],0),10)</f>
        <v>Italia (IT)</v>
      </c>
      <c r="R838" t="str">
        <f>INDEX('Partner data'!$A$2:$DG$171,MATCH(#REF!,'Partner data'!$DG$2:$DG$171,0),83)</f>
        <v>Soggetto pubblico</v>
      </c>
      <c r="S838" s="86" t="str">
        <f>IF(#REF!="staff",INDEX('Partner data'!$DG$2:$DH$171,MATCH(#REF!,'Partner data'!$DG$2:$DG$171,0),2))</f>
        <v>Tasso Forfettario 20%</v>
      </c>
    </row>
    <row r="839" spans="1:19" x14ac:dyDescent="0.25">
      <c r="A839" t="s">
        <v>361</v>
      </c>
      <c r="B839" t="s">
        <v>362</v>
      </c>
      <c r="C839" s="2">
        <v>243</v>
      </c>
      <c r="D839" s="2">
        <v>152</v>
      </c>
      <c r="E839" t="s">
        <v>229</v>
      </c>
      <c r="F839">
        <v>15</v>
      </c>
      <c r="G839">
        <v>3279</v>
      </c>
      <c r="H839">
        <v>0</v>
      </c>
      <c r="I839">
        <v>0</v>
      </c>
      <c r="J839">
        <v>0</v>
      </c>
      <c r="K839">
        <v>0</v>
      </c>
      <c r="L839">
        <v>0</v>
      </c>
      <c r="M839">
        <v>0</v>
      </c>
      <c r="N839">
        <v>0</v>
      </c>
      <c r="O839">
        <v>3279</v>
      </c>
      <c r="P839">
        <v>0</v>
      </c>
      <c r="Q839" t="str">
        <f>INDEX(pARTNER[#All],MATCH(#REF!,pARTNER[[#All],[Value.partnerSummary.id]],0),10)</f>
        <v>Italia (IT)</v>
      </c>
      <c r="R839" t="str">
        <f>INDEX('Partner data'!$A$2:$DG$171,MATCH(#REF!,'Partner data'!$DG$2:$DG$171,0),83)</f>
        <v>Soggetto pubblico</v>
      </c>
      <c r="S839" s="86" t="b">
        <f>IF(#REF!="staff",INDEX('Partner data'!$DG$2:$DH$171,MATCH(#REF!,'Partner data'!$DG$2:$DG$171,0),2))</f>
        <v>0</v>
      </c>
    </row>
    <row r="840" spans="1:19" x14ac:dyDescent="0.25">
      <c r="A840" t="s">
        <v>361</v>
      </c>
      <c r="B840" t="s">
        <v>362</v>
      </c>
      <c r="C840" s="2">
        <v>243</v>
      </c>
      <c r="D840" s="2">
        <v>152</v>
      </c>
      <c r="E840" t="s">
        <v>230</v>
      </c>
      <c r="F840">
        <v>4</v>
      </c>
      <c r="G840">
        <v>874.4</v>
      </c>
      <c r="H840">
        <v>0</v>
      </c>
      <c r="I840">
        <v>0</v>
      </c>
      <c r="J840">
        <v>0</v>
      </c>
      <c r="K840">
        <v>0</v>
      </c>
      <c r="L840">
        <v>0</v>
      </c>
      <c r="M840">
        <v>0</v>
      </c>
      <c r="N840">
        <v>0</v>
      </c>
      <c r="O840">
        <v>874.4</v>
      </c>
      <c r="P840">
        <v>0</v>
      </c>
      <c r="Q840" t="str">
        <f>INDEX(pARTNER[#All],MATCH(#REF!,pARTNER[[#All],[Value.partnerSummary.id]],0),10)</f>
        <v>Italia (IT)</v>
      </c>
      <c r="R840" t="str">
        <f>INDEX('Partner data'!$A$2:$DG$171,MATCH(#REF!,'Partner data'!$DG$2:$DG$171,0),83)</f>
        <v>Soggetto pubblico</v>
      </c>
      <c r="S840" s="86" t="b">
        <f>IF(#REF!="staff",INDEX('Partner data'!$DG$2:$DH$171,MATCH(#REF!,'Partner data'!$DG$2:$DG$171,0),2))</f>
        <v>0</v>
      </c>
    </row>
    <row r="841" spans="1:19" x14ac:dyDescent="0.25">
      <c r="A841" t="s">
        <v>361</v>
      </c>
      <c r="B841" t="s">
        <v>362</v>
      </c>
      <c r="C841" s="2">
        <v>243</v>
      </c>
      <c r="D841" s="2">
        <v>152</v>
      </c>
      <c r="E841" t="s">
        <v>231</v>
      </c>
      <c r="G841">
        <v>103700</v>
      </c>
      <c r="H841">
        <v>0</v>
      </c>
      <c r="I841">
        <v>0</v>
      </c>
      <c r="J841">
        <v>0</v>
      </c>
      <c r="K841">
        <v>0</v>
      </c>
      <c r="L841">
        <v>0</v>
      </c>
      <c r="M841">
        <v>0</v>
      </c>
      <c r="N841">
        <v>0</v>
      </c>
      <c r="O841">
        <v>103700</v>
      </c>
      <c r="P841">
        <v>0</v>
      </c>
      <c r="Q841" t="str">
        <f>INDEX(pARTNER[#All],MATCH(#REF!,pARTNER[[#All],[Value.partnerSummary.id]],0),10)</f>
        <v>Italia (IT)</v>
      </c>
      <c r="R841" t="str">
        <f>INDEX('Partner data'!$A$2:$DG$171,MATCH(#REF!,'Partner data'!$DG$2:$DG$171,0),83)</f>
        <v>Soggetto pubblico</v>
      </c>
      <c r="S841" s="86" t="b">
        <f>IF(#REF!="staff",INDEX('Partner data'!$DG$2:$DH$171,MATCH(#REF!,'Partner data'!$DG$2:$DG$171,0),2))</f>
        <v>0</v>
      </c>
    </row>
    <row r="842" spans="1:19" x14ac:dyDescent="0.25">
      <c r="A842" t="s">
        <v>361</v>
      </c>
      <c r="B842" t="s">
        <v>362</v>
      </c>
      <c r="C842" s="2">
        <v>243</v>
      </c>
      <c r="D842" s="2">
        <v>152</v>
      </c>
      <c r="E842" t="s">
        <v>232</v>
      </c>
      <c r="G842">
        <v>5600</v>
      </c>
      <c r="H842">
        <v>0</v>
      </c>
      <c r="I842">
        <v>0</v>
      </c>
      <c r="J842">
        <v>0</v>
      </c>
      <c r="K842">
        <v>0</v>
      </c>
      <c r="L842">
        <v>0</v>
      </c>
      <c r="M842">
        <v>0</v>
      </c>
      <c r="N842">
        <v>0</v>
      </c>
      <c r="O842">
        <v>5600</v>
      </c>
      <c r="P842">
        <v>0</v>
      </c>
      <c r="Q842" t="str">
        <f>INDEX(pARTNER[#All],MATCH(#REF!,pARTNER[[#All],[Value.partnerSummary.id]],0),10)</f>
        <v>Italia (IT)</v>
      </c>
      <c r="R842" t="str">
        <f>INDEX('Partner data'!$A$2:$DG$171,MATCH(#REF!,'Partner data'!$DG$2:$DG$171,0),83)</f>
        <v>Soggetto pubblico</v>
      </c>
      <c r="S842" s="86" t="b">
        <f>IF(#REF!="staff",INDEX('Partner data'!$DG$2:$DH$171,MATCH(#REF!,'Partner data'!$DG$2:$DG$171,0),2))</f>
        <v>0</v>
      </c>
    </row>
    <row r="843" spans="1:19" x14ac:dyDescent="0.25">
      <c r="A843" t="s">
        <v>361</v>
      </c>
      <c r="B843" t="s">
        <v>362</v>
      </c>
      <c r="C843" s="2">
        <v>243</v>
      </c>
      <c r="D843" s="2">
        <v>152</v>
      </c>
      <c r="E843" t="s">
        <v>233</v>
      </c>
      <c r="G843">
        <v>0</v>
      </c>
      <c r="H843">
        <v>0</v>
      </c>
      <c r="I843">
        <v>0</v>
      </c>
      <c r="J843">
        <v>0</v>
      </c>
      <c r="K843">
        <v>0</v>
      </c>
      <c r="L843">
        <v>0</v>
      </c>
      <c r="M843">
        <v>0</v>
      </c>
      <c r="N843">
        <v>0</v>
      </c>
      <c r="O843">
        <v>0</v>
      </c>
      <c r="P843">
        <v>0</v>
      </c>
      <c r="Q843" t="str">
        <f>INDEX(pARTNER[#All],MATCH(#REF!,pARTNER[[#All],[Value.partnerSummary.id]],0),10)</f>
        <v>Italia (IT)</v>
      </c>
      <c r="R843" t="str">
        <f>INDEX('Partner data'!$A$2:$DG$171,MATCH(#REF!,'Partner data'!$DG$2:$DG$171,0),83)</f>
        <v>Soggetto pubblico</v>
      </c>
      <c r="S843" s="86" t="b">
        <f>IF(#REF!="staff",INDEX('Partner data'!$DG$2:$DH$171,MATCH(#REF!,'Partner data'!$DG$2:$DG$171,0),2))</f>
        <v>0</v>
      </c>
    </row>
    <row r="844" spans="1:19" x14ac:dyDescent="0.25">
      <c r="A844" t="s">
        <v>361</v>
      </c>
      <c r="B844" t="s">
        <v>362</v>
      </c>
      <c r="C844" s="2">
        <v>243</v>
      </c>
      <c r="D844" s="2">
        <v>152</v>
      </c>
      <c r="E844" t="s">
        <v>234</v>
      </c>
      <c r="G844">
        <v>0</v>
      </c>
      <c r="H844">
        <v>0</v>
      </c>
      <c r="I844">
        <v>0</v>
      </c>
      <c r="J844">
        <v>0</v>
      </c>
      <c r="K844">
        <v>0</v>
      </c>
      <c r="L844">
        <v>0</v>
      </c>
      <c r="M844">
        <v>0</v>
      </c>
      <c r="N844">
        <v>0</v>
      </c>
      <c r="O844">
        <v>0</v>
      </c>
      <c r="P844">
        <v>0</v>
      </c>
      <c r="Q844" t="str">
        <f>INDEX(pARTNER[#All],MATCH(#REF!,pARTNER[[#All],[Value.partnerSummary.id]],0),10)</f>
        <v>Italia (IT)</v>
      </c>
      <c r="R844" t="str">
        <f>INDEX('Partner data'!$A$2:$DG$171,MATCH(#REF!,'Partner data'!$DG$2:$DG$171,0),83)</f>
        <v>Soggetto pubblico</v>
      </c>
      <c r="S844" s="86" t="b">
        <f>IF(#REF!="staff",INDEX('Partner data'!$DG$2:$DH$171,MATCH(#REF!,'Partner data'!$DG$2:$DG$171,0),2))</f>
        <v>0</v>
      </c>
    </row>
    <row r="845" spans="1:19" x14ac:dyDescent="0.25">
      <c r="A845" t="s">
        <v>361</v>
      </c>
      <c r="B845" t="s">
        <v>362</v>
      </c>
      <c r="C845" s="2">
        <v>243</v>
      </c>
      <c r="D845" s="2">
        <v>152</v>
      </c>
      <c r="E845" t="s">
        <v>235</v>
      </c>
      <c r="G845">
        <v>0</v>
      </c>
      <c r="H845">
        <v>0</v>
      </c>
      <c r="I845">
        <v>0</v>
      </c>
      <c r="J845">
        <v>0</v>
      </c>
      <c r="K845">
        <v>0</v>
      </c>
      <c r="L845">
        <v>0</v>
      </c>
      <c r="M845">
        <v>0</v>
      </c>
      <c r="N845">
        <v>0</v>
      </c>
      <c r="O845">
        <v>0</v>
      </c>
      <c r="P845">
        <v>0</v>
      </c>
      <c r="Q845" t="str">
        <f>INDEX(pARTNER[#All],MATCH(#REF!,pARTNER[[#All],[Value.partnerSummary.id]],0),10)</f>
        <v>Italia (IT)</v>
      </c>
      <c r="R845" t="str">
        <f>INDEX('Partner data'!$A$2:$DG$171,MATCH(#REF!,'Partner data'!$DG$2:$DG$171,0),83)</f>
        <v>Soggetto pubblico</v>
      </c>
      <c r="S845" s="86" t="b">
        <f>IF(#REF!="staff",INDEX('Partner data'!$DG$2:$DH$171,MATCH(#REF!,'Partner data'!$DG$2:$DG$171,0),2))</f>
        <v>0</v>
      </c>
    </row>
    <row r="846" spans="1:19" x14ac:dyDescent="0.25">
      <c r="A846" t="s">
        <v>361</v>
      </c>
      <c r="B846" t="s">
        <v>362</v>
      </c>
      <c r="C846" s="2">
        <v>243</v>
      </c>
      <c r="D846" s="2">
        <v>152</v>
      </c>
      <c r="E846" t="s">
        <v>236</v>
      </c>
      <c r="G846">
        <v>0</v>
      </c>
      <c r="H846">
        <v>0</v>
      </c>
      <c r="I846">
        <v>0</v>
      </c>
      <c r="J846">
        <v>0</v>
      </c>
      <c r="K846">
        <v>0</v>
      </c>
      <c r="L846">
        <v>0</v>
      </c>
      <c r="M846">
        <v>0</v>
      </c>
      <c r="N846">
        <v>0</v>
      </c>
      <c r="O846">
        <v>0</v>
      </c>
      <c r="P846">
        <v>0</v>
      </c>
      <c r="Q846" t="str">
        <f>INDEX(pARTNER[#All],MATCH(#REF!,pARTNER[[#All],[Value.partnerSummary.id]],0),10)</f>
        <v>Italia (IT)</v>
      </c>
      <c r="R846" t="str">
        <f>INDEX('Partner data'!$A$2:$DG$171,MATCH(#REF!,'Partner data'!$DG$2:$DG$171,0),83)</f>
        <v>Soggetto pubblico</v>
      </c>
      <c r="S846" s="86" t="b">
        <f>IF(#REF!="staff",INDEX('Partner data'!$DG$2:$DH$171,MATCH(#REF!,'Partner data'!$DG$2:$DG$171,0),2))</f>
        <v>0</v>
      </c>
    </row>
    <row r="847" spans="1:19" x14ac:dyDescent="0.25">
      <c r="A847" t="s">
        <v>361</v>
      </c>
      <c r="B847" t="s">
        <v>362</v>
      </c>
      <c r="C847" s="2">
        <v>243</v>
      </c>
      <c r="D847" s="2">
        <v>152</v>
      </c>
      <c r="E847" t="s">
        <v>237</v>
      </c>
      <c r="G847">
        <v>0</v>
      </c>
      <c r="H847">
        <v>0</v>
      </c>
      <c r="I847">
        <v>0</v>
      </c>
      <c r="J847">
        <v>0</v>
      </c>
      <c r="K847">
        <v>0</v>
      </c>
      <c r="L847">
        <v>0</v>
      </c>
      <c r="M847">
        <v>0</v>
      </c>
      <c r="N847">
        <v>0</v>
      </c>
      <c r="O847">
        <v>0</v>
      </c>
      <c r="P847">
        <v>0</v>
      </c>
      <c r="Q847" t="str">
        <f>INDEX(pARTNER[#All],MATCH(#REF!,pARTNER[[#All],[Value.partnerSummary.id]],0),10)</f>
        <v>Italia (IT)</v>
      </c>
      <c r="R847" t="str">
        <f>INDEX('Partner data'!$A$2:$DG$171,MATCH(#REF!,'Partner data'!$DG$2:$DG$171,0),83)</f>
        <v>Soggetto pubblico</v>
      </c>
      <c r="S847" s="86" t="b">
        <f>IF(#REF!="staff",INDEX('Partner data'!$DG$2:$DH$171,MATCH(#REF!,'Partner data'!$DG$2:$DG$171,0),2))</f>
        <v>0</v>
      </c>
    </row>
    <row r="848" spans="1:19" x14ac:dyDescent="0.25">
      <c r="A848" t="s">
        <v>361</v>
      </c>
      <c r="B848" t="s">
        <v>362</v>
      </c>
      <c r="C848" s="2">
        <v>243</v>
      </c>
      <c r="D848" s="2">
        <v>152</v>
      </c>
      <c r="E848" t="s">
        <v>238</v>
      </c>
      <c r="G848">
        <v>135313.4</v>
      </c>
      <c r="H848">
        <v>0</v>
      </c>
      <c r="I848">
        <v>0</v>
      </c>
      <c r="J848">
        <v>0</v>
      </c>
      <c r="K848">
        <v>0</v>
      </c>
      <c r="L848">
        <v>0</v>
      </c>
      <c r="M848">
        <v>0</v>
      </c>
      <c r="N848">
        <v>0</v>
      </c>
      <c r="O848">
        <v>135313.4</v>
      </c>
      <c r="P848">
        <v>0</v>
      </c>
      <c r="Q848" t="str">
        <f>INDEX(pARTNER[#All],MATCH(#REF!,pARTNER[[#All],[Value.partnerSummary.id]],0),10)</f>
        <v>Italia (IT)</v>
      </c>
      <c r="R848" t="str">
        <f>INDEX('Partner data'!$A$2:$DG$171,MATCH(#REF!,'Partner data'!$DG$2:$DG$171,0),83)</f>
        <v>Soggetto pubblico</v>
      </c>
      <c r="S848" s="86" t="b">
        <f>IF(#REF!="staff",INDEX('Partner data'!$DG$2:$DH$171,MATCH(#REF!,'Partner data'!$DG$2:$DG$171,0),2))</f>
        <v>0</v>
      </c>
    </row>
    <row r="849" spans="1:19" x14ac:dyDescent="0.25">
      <c r="A849" t="s">
        <v>361</v>
      </c>
      <c r="B849" t="s">
        <v>342</v>
      </c>
      <c r="C849" s="2">
        <v>240</v>
      </c>
      <c r="D849" s="2">
        <v>211</v>
      </c>
      <c r="E849" t="s">
        <v>228</v>
      </c>
      <c r="F849">
        <v>20</v>
      </c>
      <c r="G849">
        <v>17780</v>
      </c>
      <c r="H849">
        <v>0</v>
      </c>
      <c r="I849">
        <v>0</v>
      </c>
      <c r="J849">
        <v>394.54</v>
      </c>
      <c r="K849">
        <v>0</v>
      </c>
      <c r="L849">
        <v>394.54</v>
      </c>
      <c r="M849">
        <v>394.54</v>
      </c>
      <c r="N849">
        <v>2.2200000000000002</v>
      </c>
      <c r="O849">
        <v>17385.46</v>
      </c>
      <c r="P849">
        <v>0</v>
      </c>
      <c r="Q849" t="str">
        <f>INDEX(pARTNER[#All],MATCH(#REF!,pARTNER[[#All],[Value.partnerSummary.id]],0),10)</f>
        <v>Slovenija (SI)</v>
      </c>
      <c r="R849" t="str">
        <f>INDEX('Partner data'!$A$2:$DG$171,MATCH(#REF!,'Partner data'!$DG$2:$DG$171,0),83)</f>
        <v>Soggetto pubblico</v>
      </c>
      <c r="S849" s="86" t="str">
        <f>IF(#REF!="staff",INDEX('Partner data'!$DG$2:$DH$171,MATCH(#REF!,'Partner data'!$DG$2:$DG$171,0),2))</f>
        <v>Tasso Forfettario 20%</v>
      </c>
    </row>
    <row r="850" spans="1:19" x14ac:dyDescent="0.25">
      <c r="A850" t="s">
        <v>361</v>
      </c>
      <c r="B850" t="s">
        <v>342</v>
      </c>
      <c r="C850" s="2">
        <v>240</v>
      </c>
      <c r="D850" s="2">
        <v>211</v>
      </c>
      <c r="E850" t="s">
        <v>229</v>
      </c>
      <c r="F850">
        <v>15</v>
      </c>
      <c r="G850">
        <v>2667</v>
      </c>
      <c r="H850">
        <v>0</v>
      </c>
      <c r="I850">
        <v>0</v>
      </c>
      <c r="J850">
        <v>59.18</v>
      </c>
      <c r="K850">
        <v>0</v>
      </c>
      <c r="L850">
        <v>59.18</v>
      </c>
      <c r="M850">
        <v>59.18</v>
      </c>
      <c r="N850">
        <v>2.2200000000000002</v>
      </c>
      <c r="O850">
        <v>2607.8200000000002</v>
      </c>
      <c r="P850">
        <v>0</v>
      </c>
      <c r="Q850" t="str">
        <f>INDEX(pARTNER[#All],MATCH(#REF!,pARTNER[[#All],[Value.partnerSummary.id]],0),10)</f>
        <v>Slovenija (SI)</v>
      </c>
      <c r="R850" t="str">
        <f>INDEX('Partner data'!$A$2:$DG$171,MATCH(#REF!,'Partner data'!$DG$2:$DG$171,0),83)</f>
        <v>Soggetto pubblico</v>
      </c>
      <c r="S850" s="86" t="b">
        <f>IF(#REF!="staff",INDEX('Partner data'!$DG$2:$DH$171,MATCH(#REF!,'Partner data'!$DG$2:$DG$171,0),2))</f>
        <v>0</v>
      </c>
    </row>
    <row r="851" spans="1:19" x14ac:dyDescent="0.25">
      <c r="A851" t="s">
        <v>361</v>
      </c>
      <c r="B851" t="s">
        <v>342</v>
      </c>
      <c r="C851" s="2">
        <v>240</v>
      </c>
      <c r="D851" s="2">
        <v>211</v>
      </c>
      <c r="E851" t="s">
        <v>230</v>
      </c>
      <c r="F851">
        <v>4</v>
      </c>
      <c r="G851">
        <v>711.2</v>
      </c>
      <c r="H851">
        <v>0</v>
      </c>
      <c r="I851">
        <v>0</v>
      </c>
      <c r="J851">
        <v>15.78</v>
      </c>
      <c r="K851">
        <v>0</v>
      </c>
      <c r="L851">
        <v>15.78</v>
      </c>
      <c r="M851">
        <v>15.78</v>
      </c>
      <c r="N851">
        <v>2.2200000000000002</v>
      </c>
      <c r="O851">
        <v>695.42</v>
      </c>
      <c r="P851">
        <v>0</v>
      </c>
      <c r="Q851" t="str">
        <f>INDEX(pARTNER[#All],MATCH(#REF!,pARTNER[[#All],[Value.partnerSummary.id]],0),10)</f>
        <v>Slovenija (SI)</v>
      </c>
      <c r="R851" t="str">
        <f>INDEX('Partner data'!$A$2:$DG$171,MATCH(#REF!,'Partner data'!$DG$2:$DG$171,0),83)</f>
        <v>Soggetto pubblico</v>
      </c>
      <c r="S851" s="86" t="b">
        <f>IF(#REF!="staff",INDEX('Partner data'!$DG$2:$DH$171,MATCH(#REF!,'Partner data'!$DG$2:$DG$171,0),2))</f>
        <v>0</v>
      </c>
    </row>
    <row r="852" spans="1:19" x14ac:dyDescent="0.25">
      <c r="A852" t="s">
        <v>361</v>
      </c>
      <c r="B852" t="s">
        <v>342</v>
      </c>
      <c r="C852" s="2">
        <v>240</v>
      </c>
      <c r="D852" s="2">
        <v>211</v>
      </c>
      <c r="E852" t="s">
        <v>231</v>
      </c>
      <c r="G852">
        <v>50500</v>
      </c>
      <c r="H852">
        <v>0</v>
      </c>
      <c r="I852">
        <v>0</v>
      </c>
      <c r="J852">
        <v>0</v>
      </c>
      <c r="K852">
        <v>0</v>
      </c>
      <c r="L852">
        <v>0</v>
      </c>
      <c r="M852">
        <v>0</v>
      </c>
      <c r="N852">
        <v>0</v>
      </c>
      <c r="O852">
        <v>50500</v>
      </c>
      <c r="P852">
        <v>0</v>
      </c>
      <c r="Q852" t="str">
        <f>INDEX(pARTNER[#All],MATCH(#REF!,pARTNER[[#All],[Value.partnerSummary.id]],0),10)</f>
        <v>Slovenija (SI)</v>
      </c>
      <c r="R852" t="str">
        <f>INDEX('Partner data'!$A$2:$DG$171,MATCH(#REF!,'Partner data'!$DG$2:$DG$171,0),83)</f>
        <v>Soggetto pubblico</v>
      </c>
      <c r="S852" s="86" t="b">
        <f>IF(#REF!="staff",INDEX('Partner data'!$DG$2:$DH$171,MATCH(#REF!,'Partner data'!$DG$2:$DG$171,0),2))</f>
        <v>0</v>
      </c>
    </row>
    <row r="853" spans="1:19" x14ac:dyDescent="0.25">
      <c r="A853" t="s">
        <v>361</v>
      </c>
      <c r="B853" t="s">
        <v>342</v>
      </c>
      <c r="C853" s="2">
        <v>240</v>
      </c>
      <c r="D853" s="2">
        <v>211</v>
      </c>
      <c r="E853" t="s">
        <v>232</v>
      </c>
      <c r="G853">
        <v>38400</v>
      </c>
      <c r="H853">
        <v>0</v>
      </c>
      <c r="I853">
        <v>0</v>
      </c>
      <c r="J853">
        <v>1972.7</v>
      </c>
      <c r="K853">
        <v>0</v>
      </c>
      <c r="L853">
        <v>1972.7</v>
      </c>
      <c r="M853">
        <v>1972.7</v>
      </c>
      <c r="N853">
        <v>5.14</v>
      </c>
      <c r="O853">
        <v>36427.300000000003</v>
      </c>
      <c r="P853">
        <v>0</v>
      </c>
      <c r="Q853" t="str">
        <f>INDEX(pARTNER[#All],MATCH(#REF!,pARTNER[[#All],[Value.partnerSummary.id]],0),10)</f>
        <v>Slovenija (SI)</v>
      </c>
      <c r="R853" t="str">
        <f>INDEX('Partner data'!$A$2:$DG$171,MATCH(#REF!,'Partner data'!$DG$2:$DG$171,0),83)</f>
        <v>Soggetto pubblico</v>
      </c>
      <c r="S853" s="86" t="b">
        <f>IF(#REF!="staff",INDEX('Partner data'!$DG$2:$DH$171,MATCH(#REF!,'Partner data'!$DG$2:$DG$171,0),2))</f>
        <v>0</v>
      </c>
    </row>
    <row r="854" spans="1:19" x14ac:dyDescent="0.25">
      <c r="A854" t="s">
        <v>361</v>
      </c>
      <c r="B854" t="s">
        <v>342</v>
      </c>
      <c r="C854" s="2">
        <v>240</v>
      </c>
      <c r="D854" s="2">
        <v>211</v>
      </c>
      <c r="E854" t="s">
        <v>233</v>
      </c>
      <c r="G854">
        <v>0</v>
      </c>
      <c r="H854">
        <v>0</v>
      </c>
      <c r="I854">
        <v>0</v>
      </c>
      <c r="J854">
        <v>0</v>
      </c>
      <c r="K854">
        <v>0</v>
      </c>
      <c r="L854">
        <v>0</v>
      </c>
      <c r="M854">
        <v>0</v>
      </c>
      <c r="N854">
        <v>0</v>
      </c>
      <c r="O854">
        <v>0</v>
      </c>
      <c r="P854">
        <v>0</v>
      </c>
      <c r="Q854" t="str">
        <f>INDEX(pARTNER[#All],MATCH(#REF!,pARTNER[[#All],[Value.partnerSummary.id]],0),10)</f>
        <v>Slovenija (SI)</v>
      </c>
      <c r="R854" t="str">
        <f>INDEX('Partner data'!$A$2:$DG$171,MATCH(#REF!,'Partner data'!$DG$2:$DG$171,0),83)</f>
        <v>Soggetto pubblico</v>
      </c>
      <c r="S854" s="86" t="b">
        <f>IF(#REF!="staff",INDEX('Partner data'!$DG$2:$DH$171,MATCH(#REF!,'Partner data'!$DG$2:$DG$171,0),2))</f>
        <v>0</v>
      </c>
    </row>
    <row r="855" spans="1:19" x14ac:dyDescent="0.25">
      <c r="A855" t="s">
        <v>361</v>
      </c>
      <c r="B855" t="s">
        <v>342</v>
      </c>
      <c r="C855" s="2">
        <v>240</v>
      </c>
      <c r="D855" s="2">
        <v>211</v>
      </c>
      <c r="E855" t="s">
        <v>234</v>
      </c>
      <c r="G855">
        <v>0</v>
      </c>
      <c r="H855">
        <v>0</v>
      </c>
      <c r="I855">
        <v>0</v>
      </c>
      <c r="J855">
        <v>0</v>
      </c>
      <c r="K855">
        <v>0</v>
      </c>
      <c r="L855">
        <v>0</v>
      </c>
      <c r="M855">
        <v>0</v>
      </c>
      <c r="N855">
        <v>0</v>
      </c>
      <c r="O855">
        <v>0</v>
      </c>
      <c r="P855">
        <v>0</v>
      </c>
      <c r="Q855" t="str">
        <f>INDEX(pARTNER[#All],MATCH(#REF!,pARTNER[[#All],[Value.partnerSummary.id]],0),10)</f>
        <v>Slovenija (SI)</v>
      </c>
      <c r="R855" t="str">
        <f>INDEX('Partner data'!$A$2:$DG$171,MATCH(#REF!,'Partner data'!$DG$2:$DG$171,0),83)</f>
        <v>Soggetto pubblico</v>
      </c>
      <c r="S855" s="86" t="b">
        <f>IF(#REF!="staff",INDEX('Partner data'!$DG$2:$DH$171,MATCH(#REF!,'Partner data'!$DG$2:$DG$171,0),2))</f>
        <v>0</v>
      </c>
    </row>
    <row r="856" spans="1:19" x14ac:dyDescent="0.25">
      <c r="A856" t="s">
        <v>361</v>
      </c>
      <c r="B856" t="s">
        <v>342</v>
      </c>
      <c r="C856" s="2">
        <v>240</v>
      </c>
      <c r="D856" s="2">
        <v>211</v>
      </c>
      <c r="E856" t="s">
        <v>235</v>
      </c>
      <c r="G856">
        <v>0</v>
      </c>
      <c r="H856">
        <v>0</v>
      </c>
      <c r="I856">
        <v>0</v>
      </c>
      <c r="J856">
        <v>0</v>
      </c>
      <c r="K856">
        <v>0</v>
      </c>
      <c r="L856">
        <v>0</v>
      </c>
      <c r="M856">
        <v>0</v>
      </c>
      <c r="N856">
        <v>0</v>
      </c>
      <c r="O856">
        <v>0</v>
      </c>
      <c r="P856">
        <v>0</v>
      </c>
      <c r="Q856" t="str">
        <f>INDEX(pARTNER[#All],MATCH(#REF!,pARTNER[[#All],[Value.partnerSummary.id]],0),10)</f>
        <v>Slovenija (SI)</v>
      </c>
      <c r="R856" t="str">
        <f>INDEX('Partner data'!$A$2:$DG$171,MATCH(#REF!,'Partner data'!$DG$2:$DG$171,0),83)</f>
        <v>Soggetto pubblico</v>
      </c>
      <c r="S856" s="86" t="b">
        <f>IF(#REF!="staff",INDEX('Partner data'!$DG$2:$DH$171,MATCH(#REF!,'Partner data'!$DG$2:$DG$171,0),2))</f>
        <v>0</v>
      </c>
    </row>
    <row r="857" spans="1:19" x14ac:dyDescent="0.25">
      <c r="A857" t="s">
        <v>361</v>
      </c>
      <c r="B857" t="s">
        <v>342</v>
      </c>
      <c r="C857" s="2">
        <v>240</v>
      </c>
      <c r="D857" s="2">
        <v>211</v>
      </c>
      <c r="E857" t="s">
        <v>236</v>
      </c>
      <c r="G857">
        <v>0</v>
      </c>
      <c r="H857">
        <v>0</v>
      </c>
      <c r="I857">
        <v>0</v>
      </c>
      <c r="J857">
        <v>0</v>
      </c>
      <c r="K857">
        <v>0</v>
      </c>
      <c r="L857">
        <v>0</v>
      </c>
      <c r="M857">
        <v>0</v>
      </c>
      <c r="N857">
        <v>0</v>
      </c>
      <c r="O857">
        <v>0</v>
      </c>
      <c r="P857">
        <v>0</v>
      </c>
      <c r="Q857" t="str">
        <f>INDEX(pARTNER[#All],MATCH(#REF!,pARTNER[[#All],[Value.partnerSummary.id]],0),10)</f>
        <v>Slovenija (SI)</v>
      </c>
      <c r="R857" t="str">
        <f>INDEX('Partner data'!$A$2:$DG$171,MATCH(#REF!,'Partner data'!$DG$2:$DG$171,0),83)</f>
        <v>Soggetto pubblico</v>
      </c>
      <c r="S857" s="86" t="b">
        <f>IF(#REF!="staff",INDEX('Partner data'!$DG$2:$DH$171,MATCH(#REF!,'Partner data'!$DG$2:$DG$171,0),2))</f>
        <v>0</v>
      </c>
    </row>
    <row r="858" spans="1:19" x14ac:dyDescent="0.25">
      <c r="A858" t="s">
        <v>361</v>
      </c>
      <c r="B858" t="s">
        <v>342</v>
      </c>
      <c r="C858" s="2">
        <v>240</v>
      </c>
      <c r="D858" s="2">
        <v>211</v>
      </c>
      <c r="E858" t="s">
        <v>237</v>
      </c>
      <c r="G858">
        <v>0</v>
      </c>
      <c r="H858">
        <v>0</v>
      </c>
      <c r="I858">
        <v>0</v>
      </c>
      <c r="J858">
        <v>0</v>
      </c>
      <c r="K858">
        <v>0</v>
      </c>
      <c r="L858">
        <v>0</v>
      </c>
      <c r="M858">
        <v>0</v>
      </c>
      <c r="N858">
        <v>0</v>
      </c>
      <c r="O858">
        <v>0</v>
      </c>
      <c r="P858">
        <v>0</v>
      </c>
      <c r="Q858" t="str">
        <f>INDEX(pARTNER[#All],MATCH(#REF!,pARTNER[[#All],[Value.partnerSummary.id]],0),10)</f>
        <v>Slovenija (SI)</v>
      </c>
      <c r="R858" t="str">
        <f>INDEX('Partner data'!$A$2:$DG$171,MATCH(#REF!,'Partner data'!$DG$2:$DG$171,0),83)</f>
        <v>Soggetto pubblico</v>
      </c>
      <c r="S858" s="86" t="b">
        <f>IF(#REF!="staff",INDEX('Partner data'!$DG$2:$DH$171,MATCH(#REF!,'Partner data'!$DG$2:$DG$171,0),2))</f>
        <v>0</v>
      </c>
    </row>
    <row r="859" spans="1:19" x14ac:dyDescent="0.25">
      <c r="A859" t="s">
        <v>361</v>
      </c>
      <c r="B859" t="s">
        <v>342</v>
      </c>
      <c r="C859" s="2">
        <v>240</v>
      </c>
      <c r="D859" s="2">
        <v>211</v>
      </c>
      <c r="E859" t="s">
        <v>238</v>
      </c>
      <c r="G859">
        <v>110058.2</v>
      </c>
      <c r="H859">
        <v>0</v>
      </c>
      <c r="I859">
        <v>0</v>
      </c>
      <c r="J859">
        <v>2442.1999999999998</v>
      </c>
      <c r="K859">
        <v>0</v>
      </c>
      <c r="L859">
        <v>2442.1999999999998</v>
      </c>
      <c r="M859">
        <v>2442.1999999999998</v>
      </c>
      <c r="N859">
        <v>2.2200000000000002</v>
      </c>
      <c r="O859">
        <v>107616</v>
      </c>
      <c r="P859">
        <v>0</v>
      </c>
      <c r="Q859" t="str">
        <f>INDEX(pARTNER[#All],MATCH(#REF!,pARTNER[[#All],[Value.partnerSummary.id]],0),10)</f>
        <v>Slovenija (SI)</v>
      </c>
      <c r="R859" t="str">
        <f>INDEX('Partner data'!$A$2:$DG$171,MATCH(#REF!,'Partner data'!$DG$2:$DG$171,0),83)</f>
        <v>Soggetto pubblico</v>
      </c>
      <c r="S859" s="86" t="b">
        <f>IF(#REF!="staff",INDEX('Partner data'!$DG$2:$DH$171,MATCH(#REF!,'Partner data'!$DG$2:$DG$171,0),2))</f>
        <v>0</v>
      </c>
    </row>
    <row r="860" spans="1:19" x14ac:dyDescent="0.25">
      <c r="A860" t="s">
        <v>361</v>
      </c>
      <c r="B860" t="s">
        <v>363</v>
      </c>
      <c r="C860" s="2">
        <v>239</v>
      </c>
      <c r="D860" s="2">
        <v>144</v>
      </c>
      <c r="E860" t="s">
        <v>228</v>
      </c>
      <c r="G860">
        <v>90000</v>
      </c>
      <c r="H860">
        <v>0</v>
      </c>
      <c r="I860">
        <v>0</v>
      </c>
      <c r="J860">
        <v>37322.120000000003</v>
      </c>
      <c r="K860">
        <v>0</v>
      </c>
      <c r="L860">
        <v>37322.089999999997</v>
      </c>
      <c r="M860">
        <v>37322.120000000003</v>
      </c>
      <c r="N860">
        <v>41.47</v>
      </c>
      <c r="O860">
        <v>52677.88</v>
      </c>
      <c r="P860">
        <v>0</v>
      </c>
      <c r="Q860" t="str">
        <f>INDEX(pARTNER[#All],MATCH(#REF!,pARTNER[[#All],[Value.partnerSummary.id]],0),10)</f>
        <v>Slovenija (SI)</v>
      </c>
      <c r="R860" t="str">
        <f>INDEX('Partner data'!$A$2:$DG$171,MATCH(#REF!,'Partner data'!$DG$2:$DG$171,0),83)</f>
        <v>Soggetto pubblico</v>
      </c>
      <c r="S860" s="86" t="str">
        <f>IF(#REF!="staff",INDEX('Partner data'!$DG$2:$DH$171,MATCH(#REF!,'Partner data'!$DG$2:$DG$171,0),2))</f>
        <v>COSTO REALE</v>
      </c>
    </row>
    <row r="861" spans="1:19" x14ac:dyDescent="0.25">
      <c r="A861" t="s">
        <v>361</v>
      </c>
      <c r="B861" t="s">
        <v>363</v>
      </c>
      <c r="C861" s="2">
        <v>239</v>
      </c>
      <c r="D861" s="2">
        <v>144</v>
      </c>
      <c r="E861" t="s">
        <v>229</v>
      </c>
      <c r="G861">
        <v>0</v>
      </c>
      <c r="H861">
        <v>0</v>
      </c>
      <c r="I861">
        <v>0</v>
      </c>
      <c r="J861">
        <v>0</v>
      </c>
      <c r="K861">
        <v>0</v>
      </c>
      <c r="L861">
        <v>0</v>
      </c>
      <c r="M861">
        <v>0</v>
      </c>
      <c r="N861">
        <v>0</v>
      </c>
      <c r="O861">
        <v>0</v>
      </c>
      <c r="P861">
        <v>0</v>
      </c>
      <c r="Q861" t="str">
        <f>INDEX(pARTNER[#All],MATCH(#REF!,pARTNER[[#All],[Value.partnerSummary.id]],0),10)</f>
        <v>Slovenija (SI)</v>
      </c>
      <c r="R861" t="str">
        <f>INDEX('Partner data'!$A$2:$DG$171,MATCH(#REF!,'Partner data'!$DG$2:$DG$171,0),83)</f>
        <v>Soggetto pubblico</v>
      </c>
      <c r="S861" s="86" t="b">
        <f>IF(#REF!="staff",INDEX('Partner data'!$DG$2:$DH$171,MATCH(#REF!,'Partner data'!$DG$2:$DG$171,0),2))</f>
        <v>0</v>
      </c>
    </row>
    <row r="862" spans="1:19" x14ac:dyDescent="0.25">
      <c r="A862" t="s">
        <v>361</v>
      </c>
      <c r="B862" t="s">
        <v>363</v>
      </c>
      <c r="C862" s="2">
        <v>239</v>
      </c>
      <c r="D862" s="2">
        <v>144</v>
      </c>
      <c r="E862" t="s">
        <v>230</v>
      </c>
      <c r="G862">
        <v>0</v>
      </c>
      <c r="H862">
        <v>0</v>
      </c>
      <c r="I862">
        <v>0</v>
      </c>
      <c r="J862">
        <v>0</v>
      </c>
      <c r="K862">
        <v>0</v>
      </c>
      <c r="L862">
        <v>0</v>
      </c>
      <c r="M862">
        <v>0</v>
      </c>
      <c r="N862">
        <v>0</v>
      </c>
      <c r="O862">
        <v>0</v>
      </c>
      <c r="P862">
        <v>0</v>
      </c>
      <c r="Q862" t="str">
        <f>INDEX(pARTNER[#All],MATCH(#REF!,pARTNER[[#All],[Value.partnerSummary.id]],0),10)</f>
        <v>Slovenija (SI)</v>
      </c>
      <c r="R862" t="str">
        <f>INDEX('Partner data'!$A$2:$DG$171,MATCH(#REF!,'Partner data'!$DG$2:$DG$171,0),83)</f>
        <v>Soggetto pubblico</v>
      </c>
      <c r="S862" s="86" t="b">
        <f>IF(#REF!="staff",INDEX('Partner data'!$DG$2:$DH$171,MATCH(#REF!,'Partner data'!$DG$2:$DG$171,0),2))</f>
        <v>0</v>
      </c>
    </row>
    <row r="863" spans="1:19" x14ac:dyDescent="0.25">
      <c r="A863" t="s">
        <v>361</v>
      </c>
      <c r="B863" t="s">
        <v>363</v>
      </c>
      <c r="C863" s="2">
        <v>239</v>
      </c>
      <c r="D863" s="2">
        <v>144</v>
      </c>
      <c r="E863" t="s">
        <v>231</v>
      </c>
      <c r="G863">
        <v>0</v>
      </c>
      <c r="H863">
        <v>0</v>
      </c>
      <c r="I863">
        <v>0</v>
      </c>
      <c r="J863">
        <v>0</v>
      </c>
      <c r="K863">
        <v>0</v>
      </c>
      <c r="L863">
        <v>0</v>
      </c>
      <c r="M863">
        <v>0</v>
      </c>
      <c r="N863">
        <v>0</v>
      </c>
      <c r="O863">
        <v>0</v>
      </c>
      <c r="P863">
        <v>0</v>
      </c>
      <c r="Q863" t="str">
        <f>INDEX(pARTNER[#All],MATCH(#REF!,pARTNER[[#All],[Value.partnerSummary.id]],0),10)</f>
        <v>Slovenija (SI)</v>
      </c>
      <c r="R863" t="str">
        <f>INDEX('Partner data'!$A$2:$DG$171,MATCH(#REF!,'Partner data'!$DG$2:$DG$171,0),83)</f>
        <v>Soggetto pubblico</v>
      </c>
      <c r="S863" s="86" t="b">
        <f>IF(#REF!="staff",INDEX('Partner data'!$DG$2:$DH$171,MATCH(#REF!,'Partner data'!$DG$2:$DG$171,0),2))</f>
        <v>0</v>
      </c>
    </row>
    <row r="864" spans="1:19" x14ac:dyDescent="0.25">
      <c r="A864" t="s">
        <v>361</v>
      </c>
      <c r="B864" t="s">
        <v>363</v>
      </c>
      <c r="C864" s="2">
        <v>239</v>
      </c>
      <c r="D864" s="2">
        <v>144</v>
      </c>
      <c r="E864" t="s">
        <v>232</v>
      </c>
      <c r="G864">
        <v>0</v>
      </c>
      <c r="H864">
        <v>0</v>
      </c>
      <c r="I864">
        <v>0</v>
      </c>
      <c r="J864">
        <v>0</v>
      </c>
      <c r="K864">
        <v>0</v>
      </c>
      <c r="L864">
        <v>0</v>
      </c>
      <c r="M864">
        <v>0</v>
      </c>
      <c r="N864">
        <v>0</v>
      </c>
      <c r="O864">
        <v>0</v>
      </c>
      <c r="P864">
        <v>0</v>
      </c>
      <c r="Q864" t="str">
        <f>INDEX(pARTNER[#All],MATCH(#REF!,pARTNER[[#All],[Value.partnerSummary.id]],0),10)</f>
        <v>Slovenija (SI)</v>
      </c>
      <c r="R864" t="str">
        <f>INDEX('Partner data'!$A$2:$DG$171,MATCH(#REF!,'Partner data'!$DG$2:$DG$171,0),83)</f>
        <v>Soggetto pubblico</v>
      </c>
      <c r="S864" s="86" t="b">
        <f>IF(#REF!="staff",INDEX('Partner data'!$DG$2:$DH$171,MATCH(#REF!,'Partner data'!$DG$2:$DG$171,0),2))</f>
        <v>0</v>
      </c>
    </row>
    <row r="865" spans="1:19" x14ac:dyDescent="0.25">
      <c r="A865" t="s">
        <v>361</v>
      </c>
      <c r="B865" t="s">
        <v>363</v>
      </c>
      <c r="C865" s="2">
        <v>239</v>
      </c>
      <c r="D865" s="2">
        <v>144</v>
      </c>
      <c r="E865" t="s">
        <v>233</v>
      </c>
      <c r="G865">
        <v>0</v>
      </c>
      <c r="H865">
        <v>0</v>
      </c>
      <c r="I865">
        <v>0</v>
      </c>
      <c r="J865">
        <v>0</v>
      </c>
      <c r="K865">
        <v>0</v>
      </c>
      <c r="L865">
        <v>0</v>
      </c>
      <c r="M865">
        <v>0</v>
      </c>
      <c r="N865">
        <v>0</v>
      </c>
      <c r="O865">
        <v>0</v>
      </c>
      <c r="P865">
        <v>0</v>
      </c>
      <c r="Q865" t="str">
        <f>INDEX(pARTNER[#All],MATCH(#REF!,pARTNER[[#All],[Value.partnerSummary.id]],0),10)</f>
        <v>Slovenija (SI)</v>
      </c>
      <c r="R865" t="str">
        <f>INDEX('Partner data'!$A$2:$DG$171,MATCH(#REF!,'Partner data'!$DG$2:$DG$171,0),83)</f>
        <v>Soggetto pubblico</v>
      </c>
      <c r="S865" s="86" t="b">
        <f>IF(#REF!="staff",INDEX('Partner data'!$DG$2:$DH$171,MATCH(#REF!,'Partner data'!$DG$2:$DG$171,0),2))</f>
        <v>0</v>
      </c>
    </row>
    <row r="866" spans="1:19" x14ac:dyDescent="0.25">
      <c r="A866" t="s">
        <v>361</v>
      </c>
      <c r="B866" t="s">
        <v>363</v>
      </c>
      <c r="C866" s="2">
        <v>239</v>
      </c>
      <c r="D866" s="2">
        <v>144</v>
      </c>
      <c r="E866" t="s">
        <v>234</v>
      </c>
      <c r="F866">
        <v>40</v>
      </c>
      <c r="G866">
        <v>36000</v>
      </c>
      <c r="H866">
        <v>0</v>
      </c>
      <c r="I866">
        <v>0</v>
      </c>
      <c r="J866">
        <v>14928.84</v>
      </c>
      <c r="K866">
        <v>0</v>
      </c>
      <c r="L866">
        <v>14928.83</v>
      </c>
      <c r="M866">
        <v>14928.84</v>
      </c>
      <c r="N866">
        <v>41.47</v>
      </c>
      <c r="O866">
        <v>21071.16</v>
      </c>
      <c r="P866">
        <v>0</v>
      </c>
      <c r="Q866" t="str">
        <f>INDEX(pARTNER[#All],MATCH(#REF!,pARTNER[[#All],[Value.partnerSummary.id]],0),10)</f>
        <v>Slovenija (SI)</v>
      </c>
      <c r="R866" t="str">
        <f>INDEX('Partner data'!$A$2:$DG$171,MATCH(#REF!,'Partner data'!$DG$2:$DG$171,0),83)</f>
        <v>Soggetto pubblico</v>
      </c>
      <c r="S866" s="86" t="b">
        <f>IF(#REF!="staff",INDEX('Partner data'!$DG$2:$DH$171,MATCH(#REF!,'Partner data'!$DG$2:$DG$171,0),2))</f>
        <v>0</v>
      </c>
    </row>
    <row r="867" spans="1:19" x14ac:dyDescent="0.25">
      <c r="A867" t="s">
        <v>361</v>
      </c>
      <c r="B867" t="s">
        <v>363</v>
      </c>
      <c r="C867" s="2">
        <v>239</v>
      </c>
      <c r="D867" s="2">
        <v>144</v>
      </c>
      <c r="E867" t="s">
        <v>235</v>
      </c>
      <c r="G867">
        <v>0</v>
      </c>
      <c r="H867">
        <v>0</v>
      </c>
      <c r="I867">
        <v>0</v>
      </c>
      <c r="J867">
        <v>0</v>
      </c>
      <c r="K867">
        <v>0</v>
      </c>
      <c r="L867">
        <v>0</v>
      </c>
      <c r="M867">
        <v>0</v>
      </c>
      <c r="N867">
        <v>0</v>
      </c>
      <c r="O867">
        <v>0</v>
      </c>
      <c r="P867">
        <v>0</v>
      </c>
      <c r="Q867" t="str">
        <f>INDEX(pARTNER[#All],MATCH(#REF!,pARTNER[[#All],[Value.partnerSummary.id]],0),10)</f>
        <v>Slovenija (SI)</v>
      </c>
      <c r="R867" t="str">
        <f>INDEX('Partner data'!$A$2:$DG$171,MATCH(#REF!,'Partner data'!$DG$2:$DG$171,0),83)</f>
        <v>Soggetto pubblico</v>
      </c>
      <c r="S867" s="86" t="b">
        <f>IF(#REF!="staff",INDEX('Partner data'!$DG$2:$DH$171,MATCH(#REF!,'Partner data'!$DG$2:$DG$171,0),2))</f>
        <v>0</v>
      </c>
    </row>
    <row r="868" spans="1:19" x14ac:dyDescent="0.25">
      <c r="A868" t="s">
        <v>361</v>
      </c>
      <c r="B868" t="s">
        <v>363</v>
      </c>
      <c r="C868" s="2">
        <v>239</v>
      </c>
      <c r="D868" s="2">
        <v>144</v>
      </c>
      <c r="E868" t="s">
        <v>236</v>
      </c>
      <c r="G868">
        <v>0</v>
      </c>
      <c r="H868">
        <v>0</v>
      </c>
      <c r="I868">
        <v>0</v>
      </c>
      <c r="J868">
        <v>0</v>
      </c>
      <c r="K868">
        <v>0</v>
      </c>
      <c r="L868">
        <v>0</v>
      </c>
      <c r="M868">
        <v>0</v>
      </c>
      <c r="N868">
        <v>0</v>
      </c>
      <c r="O868">
        <v>0</v>
      </c>
      <c r="P868">
        <v>0</v>
      </c>
      <c r="Q868" t="str">
        <f>INDEX(pARTNER[#All],MATCH(#REF!,pARTNER[[#All],[Value.partnerSummary.id]],0),10)</f>
        <v>Slovenija (SI)</v>
      </c>
      <c r="R868" t="str">
        <f>INDEX('Partner data'!$A$2:$DG$171,MATCH(#REF!,'Partner data'!$DG$2:$DG$171,0),83)</f>
        <v>Soggetto pubblico</v>
      </c>
      <c r="S868" s="86" t="b">
        <f>IF(#REF!="staff",INDEX('Partner data'!$DG$2:$DH$171,MATCH(#REF!,'Partner data'!$DG$2:$DG$171,0),2))</f>
        <v>0</v>
      </c>
    </row>
    <row r="869" spans="1:19" x14ac:dyDescent="0.25">
      <c r="A869" t="s">
        <v>361</v>
      </c>
      <c r="B869" t="s">
        <v>363</v>
      </c>
      <c r="C869" s="2">
        <v>239</v>
      </c>
      <c r="D869" s="2">
        <v>144</v>
      </c>
      <c r="E869" t="s">
        <v>237</v>
      </c>
      <c r="G869">
        <v>0</v>
      </c>
      <c r="H869">
        <v>0</v>
      </c>
      <c r="I869">
        <v>0</v>
      </c>
      <c r="J869">
        <v>0</v>
      </c>
      <c r="K869">
        <v>0</v>
      </c>
      <c r="L869">
        <v>0</v>
      </c>
      <c r="M869">
        <v>0</v>
      </c>
      <c r="N869">
        <v>0</v>
      </c>
      <c r="O869">
        <v>0</v>
      </c>
      <c r="P869">
        <v>0</v>
      </c>
      <c r="Q869" t="str">
        <f>INDEX(pARTNER[#All],MATCH(#REF!,pARTNER[[#All],[Value.partnerSummary.id]],0),10)</f>
        <v>Slovenija (SI)</v>
      </c>
      <c r="R869" t="str">
        <f>INDEX('Partner data'!$A$2:$DG$171,MATCH(#REF!,'Partner data'!$DG$2:$DG$171,0),83)</f>
        <v>Soggetto pubblico</v>
      </c>
      <c r="S869" s="86" t="b">
        <f>IF(#REF!="staff",INDEX('Partner data'!$DG$2:$DH$171,MATCH(#REF!,'Partner data'!$DG$2:$DG$171,0),2))</f>
        <v>0</v>
      </c>
    </row>
    <row r="870" spans="1:19" x14ac:dyDescent="0.25">
      <c r="A870" t="s">
        <v>361</v>
      </c>
      <c r="B870" t="s">
        <v>363</v>
      </c>
      <c r="C870" s="2">
        <v>239</v>
      </c>
      <c r="D870" s="2">
        <v>144</v>
      </c>
      <c r="E870" t="s">
        <v>238</v>
      </c>
      <c r="G870">
        <v>126000</v>
      </c>
      <c r="H870">
        <v>0</v>
      </c>
      <c r="I870">
        <v>0</v>
      </c>
      <c r="J870">
        <v>52250.96</v>
      </c>
      <c r="K870">
        <v>0</v>
      </c>
      <c r="L870">
        <v>52250.92</v>
      </c>
      <c r="M870">
        <v>52250.96</v>
      </c>
      <c r="N870">
        <v>41.47</v>
      </c>
      <c r="O870">
        <v>73749.039999999994</v>
      </c>
      <c r="P870">
        <v>0</v>
      </c>
      <c r="Q870" t="str">
        <f>INDEX(pARTNER[#All],MATCH(#REF!,pARTNER[[#All],[Value.partnerSummary.id]],0),10)</f>
        <v>Slovenija (SI)</v>
      </c>
      <c r="R870" t="str">
        <f>INDEX('Partner data'!$A$2:$DG$171,MATCH(#REF!,'Partner data'!$DG$2:$DG$171,0),83)</f>
        <v>Soggetto pubblico</v>
      </c>
      <c r="S870" s="86" t="b">
        <f>IF(#REF!="staff",INDEX('Partner data'!$DG$2:$DH$171,MATCH(#REF!,'Partner data'!$DG$2:$DG$171,0),2))</f>
        <v>0</v>
      </c>
    </row>
    <row r="871" spans="1:19" x14ac:dyDescent="0.25">
      <c r="A871" t="s">
        <v>361</v>
      </c>
      <c r="B871" t="s">
        <v>364</v>
      </c>
      <c r="C871" s="2">
        <v>242</v>
      </c>
      <c r="D871" s="2">
        <v>230</v>
      </c>
      <c r="E871" t="s">
        <v>228</v>
      </c>
      <c r="G871">
        <v>56190</v>
      </c>
      <c r="H871">
        <v>0</v>
      </c>
      <c r="I871">
        <v>0</v>
      </c>
      <c r="J871">
        <v>11844.68</v>
      </c>
      <c r="K871">
        <v>0</v>
      </c>
      <c r="L871">
        <v>11844.68</v>
      </c>
      <c r="M871">
        <v>11844.68</v>
      </c>
      <c r="N871">
        <v>21.08</v>
      </c>
      <c r="O871">
        <v>44345.32</v>
      </c>
      <c r="P871">
        <v>0</v>
      </c>
      <c r="Q871" t="str">
        <f>INDEX(pARTNER[#All],MATCH(#REF!,pARTNER[[#All],[Value.partnerSummary.id]],0),10)</f>
        <v>Italia (IT)</v>
      </c>
      <c r="R871" t="str">
        <f>INDEX('Partner data'!$A$2:$DG$171,MATCH(#REF!,'Partner data'!$DG$2:$DG$171,0),83)</f>
        <v>Soggetto privato</v>
      </c>
      <c r="S871" s="86" t="str">
        <f>IF(#REF!="staff",INDEX('Partner data'!$DG$2:$DH$171,MATCH(#REF!,'Partner data'!$DG$2:$DG$171,0),2))</f>
        <v>COSTO REALE</v>
      </c>
    </row>
    <row r="872" spans="1:19" x14ac:dyDescent="0.25">
      <c r="A872" t="s">
        <v>361</v>
      </c>
      <c r="B872" t="s">
        <v>364</v>
      </c>
      <c r="C872" s="2">
        <v>242</v>
      </c>
      <c r="D872" s="2">
        <v>230</v>
      </c>
      <c r="E872" t="s">
        <v>229</v>
      </c>
      <c r="F872">
        <v>15</v>
      </c>
      <c r="G872">
        <v>8428.5</v>
      </c>
      <c r="H872">
        <v>0</v>
      </c>
      <c r="I872">
        <v>0</v>
      </c>
      <c r="J872">
        <v>1776.7</v>
      </c>
      <c r="K872">
        <v>0</v>
      </c>
      <c r="L872">
        <v>1776.7</v>
      </c>
      <c r="M872">
        <v>1776.7</v>
      </c>
      <c r="N872">
        <v>21.08</v>
      </c>
      <c r="O872">
        <v>6651.8</v>
      </c>
      <c r="P872">
        <v>0</v>
      </c>
      <c r="Q872" t="str">
        <f>INDEX(pARTNER[#All],MATCH(#REF!,pARTNER[[#All],[Value.partnerSummary.id]],0),10)</f>
        <v>Italia (IT)</v>
      </c>
      <c r="R872" t="str">
        <f>INDEX('Partner data'!$A$2:$DG$171,MATCH(#REF!,'Partner data'!$DG$2:$DG$171,0),83)</f>
        <v>Soggetto privato</v>
      </c>
      <c r="S872" s="86" t="b">
        <f>IF(#REF!="staff",INDEX('Partner data'!$DG$2:$DH$171,MATCH(#REF!,'Partner data'!$DG$2:$DG$171,0),2))</f>
        <v>0</v>
      </c>
    </row>
    <row r="873" spans="1:19" x14ac:dyDescent="0.25">
      <c r="A873" t="s">
        <v>361</v>
      </c>
      <c r="B873" t="s">
        <v>364</v>
      </c>
      <c r="C873" s="2">
        <v>242</v>
      </c>
      <c r="D873" s="2">
        <v>230</v>
      </c>
      <c r="E873" t="s">
        <v>230</v>
      </c>
      <c r="F873">
        <v>4</v>
      </c>
      <c r="G873">
        <v>2247.6</v>
      </c>
      <c r="H873">
        <v>0</v>
      </c>
      <c r="I873">
        <v>0</v>
      </c>
      <c r="J873">
        <v>473.78</v>
      </c>
      <c r="K873">
        <v>0</v>
      </c>
      <c r="L873">
        <v>473.78</v>
      </c>
      <c r="M873">
        <v>473.78</v>
      </c>
      <c r="N873">
        <v>21.08</v>
      </c>
      <c r="O873">
        <v>1773.82</v>
      </c>
      <c r="P873">
        <v>0</v>
      </c>
      <c r="Q873" t="str">
        <f>INDEX(pARTNER[#All],MATCH(#REF!,pARTNER[[#All],[Value.partnerSummary.id]],0),10)</f>
        <v>Italia (IT)</v>
      </c>
      <c r="R873" t="str">
        <f>INDEX('Partner data'!$A$2:$DG$171,MATCH(#REF!,'Partner data'!$DG$2:$DG$171,0),83)</f>
        <v>Soggetto privato</v>
      </c>
      <c r="S873" s="86" t="b">
        <f>IF(#REF!="staff",INDEX('Partner data'!$DG$2:$DH$171,MATCH(#REF!,'Partner data'!$DG$2:$DG$171,0),2))</f>
        <v>0</v>
      </c>
    </row>
    <row r="874" spans="1:19" x14ac:dyDescent="0.25">
      <c r="A874" t="s">
        <v>361</v>
      </c>
      <c r="B874" t="s">
        <v>364</v>
      </c>
      <c r="C874" s="2">
        <v>242</v>
      </c>
      <c r="D874" s="2">
        <v>230</v>
      </c>
      <c r="E874" t="s">
        <v>231</v>
      </c>
      <c r="G874">
        <v>50000</v>
      </c>
      <c r="H874">
        <v>0</v>
      </c>
      <c r="I874">
        <v>0</v>
      </c>
      <c r="J874">
        <v>0</v>
      </c>
      <c r="K874">
        <v>0</v>
      </c>
      <c r="L874">
        <v>0</v>
      </c>
      <c r="M874">
        <v>0</v>
      </c>
      <c r="N874">
        <v>0</v>
      </c>
      <c r="O874">
        <v>50000</v>
      </c>
      <c r="P874">
        <v>0</v>
      </c>
      <c r="Q874" t="str">
        <f>INDEX(pARTNER[#All],MATCH(#REF!,pARTNER[[#All],[Value.partnerSummary.id]],0),10)</f>
        <v>Italia (IT)</v>
      </c>
      <c r="R874" t="str">
        <f>INDEX('Partner data'!$A$2:$DG$171,MATCH(#REF!,'Partner data'!$DG$2:$DG$171,0),83)</f>
        <v>Soggetto privato</v>
      </c>
      <c r="S874" s="86" t="b">
        <f>IF(#REF!="staff",INDEX('Partner data'!$DG$2:$DH$171,MATCH(#REF!,'Partner data'!$DG$2:$DG$171,0),2))</f>
        <v>0</v>
      </c>
    </row>
    <row r="875" spans="1:19" x14ac:dyDescent="0.25">
      <c r="A875" t="s">
        <v>361</v>
      </c>
      <c r="B875" t="s">
        <v>364</v>
      </c>
      <c r="C875" s="2">
        <v>242</v>
      </c>
      <c r="D875" s="2">
        <v>230</v>
      </c>
      <c r="E875" t="s">
        <v>232</v>
      </c>
      <c r="G875">
        <v>5000</v>
      </c>
      <c r="H875">
        <v>0</v>
      </c>
      <c r="I875">
        <v>0</v>
      </c>
      <c r="J875">
        <v>0</v>
      </c>
      <c r="K875">
        <v>0</v>
      </c>
      <c r="L875">
        <v>0</v>
      </c>
      <c r="M875">
        <v>0</v>
      </c>
      <c r="N875">
        <v>0</v>
      </c>
      <c r="O875">
        <v>5000</v>
      </c>
      <c r="P875">
        <v>0</v>
      </c>
      <c r="Q875" t="str">
        <f>INDEX(pARTNER[#All],MATCH(#REF!,pARTNER[[#All],[Value.partnerSummary.id]],0),10)</f>
        <v>Italia (IT)</v>
      </c>
      <c r="R875" t="str">
        <f>INDEX('Partner data'!$A$2:$DG$171,MATCH(#REF!,'Partner data'!$DG$2:$DG$171,0),83)</f>
        <v>Soggetto privato</v>
      </c>
      <c r="S875" s="86" t="b">
        <f>IF(#REF!="staff",INDEX('Partner data'!$DG$2:$DH$171,MATCH(#REF!,'Partner data'!$DG$2:$DG$171,0),2))</f>
        <v>0</v>
      </c>
    </row>
    <row r="876" spans="1:19" x14ac:dyDescent="0.25">
      <c r="A876" t="s">
        <v>361</v>
      </c>
      <c r="B876" t="s">
        <v>364</v>
      </c>
      <c r="C876" s="2">
        <v>242</v>
      </c>
      <c r="D876" s="2">
        <v>230</v>
      </c>
      <c r="E876" t="s">
        <v>233</v>
      </c>
      <c r="G876">
        <v>0</v>
      </c>
      <c r="H876">
        <v>0</v>
      </c>
      <c r="I876">
        <v>0</v>
      </c>
      <c r="J876">
        <v>0</v>
      </c>
      <c r="K876">
        <v>0</v>
      </c>
      <c r="L876">
        <v>0</v>
      </c>
      <c r="M876">
        <v>0</v>
      </c>
      <c r="N876">
        <v>0</v>
      </c>
      <c r="O876">
        <v>0</v>
      </c>
      <c r="P876">
        <v>0</v>
      </c>
      <c r="Q876" t="str">
        <f>INDEX(pARTNER[#All],MATCH(#REF!,pARTNER[[#All],[Value.partnerSummary.id]],0),10)</f>
        <v>Italia (IT)</v>
      </c>
      <c r="R876" t="str">
        <f>INDEX('Partner data'!$A$2:$DG$171,MATCH(#REF!,'Partner data'!$DG$2:$DG$171,0),83)</f>
        <v>Soggetto privato</v>
      </c>
      <c r="S876" s="86" t="b">
        <f>IF(#REF!="staff",INDEX('Partner data'!$DG$2:$DH$171,MATCH(#REF!,'Partner data'!$DG$2:$DG$171,0),2))</f>
        <v>0</v>
      </c>
    </row>
    <row r="877" spans="1:19" x14ac:dyDescent="0.25">
      <c r="A877" t="s">
        <v>361</v>
      </c>
      <c r="B877" t="s">
        <v>364</v>
      </c>
      <c r="C877" s="2">
        <v>242</v>
      </c>
      <c r="D877" s="2">
        <v>230</v>
      </c>
      <c r="E877" t="s">
        <v>234</v>
      </c>
      <c r="G877">
        <v>0</v>
      </c>
      <c r="H877">
        <v>0</v>
      </c>
      <c r="I877">
        <v>0</v>
      </c>
      <c r="J877">
        <v>0</v>
      </c>
      <c r="K877">
        <v>0</v>
      </c>
      <c r="L877">
        <v>0</v>
      </c>
      <c r="M877">
        <v>0</v>
      </c>
      <c r="N877">
        <v>0</v>
      </c>
      <c r="O877">
        <v>0</v>
      </c>
      <c r="P877">
        <v>0</v>
      </c>
      <c r="Q877" t="str">
        <f>INDEX(pARTNER[#All],MATCH(#REF!,pARTNER[[#All],[Value.partnerSummary.id]],0),10)</f>
        <v>Italia (IT)</v>
      </c>
      <c r="R877" t="str">
        <f>INDEX('Partner data'!$A$2:$DG$171,MATCH(#REF!,'Partner data'!$DG$2:$DG$171,0),83)</f>
        <v>Soggetto privato</v>
      </c>
      <c r="S877" s="86" t="b">
        <f>IF(#REF!="staff",INDEX('Partner data'!$DG$2:$DH$171,MATCH(#REF!,'Partner data'!$DG$2:$DG$171,0),2))</f>
        <v>0</v>
      </c>
    </row>
    <row r="878" spans="1:19" x14ac:dyDescent="0.25">
      <c r="A878" t="s">
        <v>361</v>
      </c>
      <c r="B878" t="s">
        <v>364</v>
      </c>
      <c r="C878" s="2">
        <v>242</v>
      </c>
      <c r="D878" s="2">
        <v>230</v>
      </c>
      <c r="E878" t="s">
        <v>235</v>
      </c>
      <c r="G878">
        <v>0</v>
      </c>
      <c r="H878">
        <v>0</v>
      </c>
      <c r="I878">
        <v>0</v>
      </c>
      <c r="J878">
        <v>0</v>
      </c>
      <c r="K878">
        <v>0</v>
      </c>
      <c r="L878">
        <v>0</v>
      </c>
      <c r="M878">
        <v>0</v>
      </c>
      <c r="N878">
        <v>0</v>
      </c>
      <c r="O878">
        <v>0</v>
      </c>
      <c r="P878">
        <v>0</v>
      </c>
      <c r="Q878" t="str">
        <f>INDEX(pARTNER[#All],MATCH(#REF!,pARTNER[[#All],[Value.partnerSummary.id]],0),10)</f>
        <v>Italia (IT)</v>
      </c>
      <c r="R878" t="str">
        <f>INDEX('Partner data'!$A$2:$DG$171,MATCH(#REF!,'Partner data'!$DG$2:$DG$171,0),83)</f>
        <v>Soggetto privato</v>
      </c>
      <c r="S878" s="86" t="b">
        <f>IF(#REF!="staff",INDEX('Partner data'!$DG$2:$DH$171,MATCH(#REF!,'Partner data'!$DG$2:$DG$171,0),2))</f>
        <v>0</v>
      </c>
    </row>
    <row r="879" spans="1:19" x14ac:dyDescent="0.25">
      <c r="A879" t="s">
        <v>361</v>
      </c>
      <c r="B879" t="s">
        <v>364</v>
      </c>
      <c r="C879" s="2">
        <v>242</v>
      </c>
      <c r="D879" s="2">
        <v>230</v>
      </c>
      <c r="E879" t="s">
        <v>236</v>
      </c>
      <c r="G879">
        <v>0</v>
      </c>
      <c r="H879">
        <v>0</v>
      </c>
      <c r="I879">
        <v>0</v>
      </c>
      <c r="J879">
        <v>0</v>
      </c>
      <c r="K879">
        <v>0</v>
      </c>
      <c r="L879">
        <v>0</v>
      </c>
      <c r="M879">
        <v>0</v>
      </c>
      <c r="N879">
        <v>0</v>
      </c>
      <c r="O879">
        <v>0</v>
      </c>
      <c r="P879">
        <v>0</v>
      </c>
      <c r="Q879" t="str">
        <f>INDEX(pARTNER[#All],MATCH(#REF!,pARTNER[[#All],[Value.partnerSummary.id]],0),10)</f>
        <v>Italia (IT)</v>
      </c>
      <c r="R879" t="str">
        <f>INDEX('Partner data'!$A$2:$DG$171,MATCH(#REF!,'Partner data'!$DG$2:$DG$171,0),83)</f>
        <v>Soggetto privato</v>
      </c>
      <c r="S879" s="86" t="b">
        <f>IF(#REF!="staff",INDEX('Partner data'!$DG$2:$DH$171,MATCH(#REF!,'Partner data'!$DG$2:$DG$171,0),2))</f>
        <v>0</v>
      </c>
    </row>
    <row r="880" spans="1:19" x14ac:dyDescent="0.25">
      <c r="A880" t="s">
        <v>361</v>
      </c>
      <c r="B880" t="s">
        <v>364</v>
      </c>
      <c r="C880" s="2">
        <v>242</v>
      </c>
      <c r="D880" s="2">
        <v>230</v>
      </c>
      <c r="E880" t="s">
        <v>237</v>
      </c>
      <c r="G880">
        <v>0</v>
      </c>
      <c r="H880">
        <v>0</v>
      </c>
      <c r="I880">
        <v>0</v>
      </c>
      <c r="J880">
        <v>0</v>
      </c>
      <c r="K880">
        <v>0</v>
      </c>
      <c r="L880">
        <v>0</v>
      </c>
      <c r="M880">
        <v>0</v>
      </c>
      <c r="N880">
        <v>0</v>
      </c>
      <c r="O880">
        <v>0</v>
      </c>
      <c r="P880">
        <v>0</v>
      </c>
      <c r="Q880" t="str">
        <f>INDEX(pARTNER[#All],MATCH(#REF!,pARTNER[[#All],[Value.partnerSummary.id]],0),10)</f>
        <v>Italia (IT)</v>
      </c>
      <c r="R880" t="str">
        <f>INDEX('Partner data'!$A$2:$DG$171,MATCH(#REF!,'Partner data'!$DG$2:$DG$171,0),83)</f>
        <v>Soggetto privato</v>
      </c>
      <c r="S880" s="86" t="b">
        <f>IF(#REF!="staff",INDEX('Partner data'!$DG$2:$DH$171,MATCH(#REF!,'Partner data'!$DG$2:$DG$171,0),2))</f>
        <v>0</v>
      </c>
    </row>
    <row r="881" spans="1:19" x14ac:dyDescent="0.25">
      <c r="A881" t="s">
        <v>361</v>
      </c>
      <c r="B881" t="s">
        <v>364</v>
      </c>
      <c r="C881" s="2">
        <v>242</v>
      </c>
      <c r="D881" s="2">
        <v>230</v>
      </c>
      <c r="E881" t="s">
        <v>238</v>
      </c>
      <c r="G881">
        <v>121866.1</v>
      </c>
      <c r="H881">
        <v>0</v>
      </c>
      <c r="I881">
        <v>0</v>
      </c>
      <c r="J881">
        <v>14095.16</v>
      </c>
      <c r="K881">
        <v>0</v>
      </c>
      <c r="L881">
        <v>14095.16</v>
      </c>
      <c r="M881">
        <v>14095.16</v>
      </c>
      <c r="N881">
        <v>11.57</v>
      </c>
      <c r="O881">
        <v>107770.94</v>
      </c>
      <c r="P881">
        <v>0</v>
      </c>
      <c r="Q881" t="str">
        <f>INDEX(pARTNER[#All],MATCH(#REF!,pARTNER[[#All],[Value.partnerSummary.id]],0),10)</f>
        <v>Italia (IT)</v>
      </c>
      <c r="R881" t="str">
        <f>INDEX('Partner data'!$A$2:$DG$171,MATCH(#REF!,'Partner data'!$DG$2:$DG$171,0),83)</f>
        <v>Soggetto privato</v>
      </c>
      <c r="S881" s="86" t="b">
        <f>IF(#REF!="staff",INDEX('Partner data'!$DG$2:$DH$171,MATCH(#REF!,'Partner data'!$DG$2:$DG$171,0),2))</f>
        <v>0</v>
      </c>
    </row>
    <row r="882" spans="1:19" x14ac:dyDescent="0.25">
      <c r="A882" t="s">
        <v>361</v>
      </c>
      <c r="B882" t="s">
        <v>300</v>
      </c>
      <c r="C882" s="2">
        <v>238</v>
      </c>
      <c r="D882" s="2">
        <v>143</v>
      </c>
      <c r="E882" t="s">
        <v>228</v>
      </c>
      <c r="G882">
        <v>35000</v>
      </c>
      <c r="H882">
        <v>0</v>
      </c>
      <c r="I882">
        <v>0</v>
      </c>
      <c r="J882">
        <v>0</v>
      </c>
      <c r="K882">
        <v>0</v>
      </c>
      <c r="L882">
        <v>0</v>
      </c>
      <c r="M882">
        <v>0</v>
      </c>
      <c r="N882">
        <v>0</v>
      </c>
      <c r="O882">
        <v>35000</v>
      </c>
      <c r="P882">
        <v>0</v>
      </c>
      <c r="Q882" t="str">
        <f>INDEX(pARTNER[#All],MATCH(#REF!,pARTNER[[#All],[Value.partnerSummary.id]],0),10)</f>
        <v>Slovenija (SI)</v>
      </c>
      <c r="R882" t="str">
        <f>INDEX('Partner data'!$A$2:$DG$171,MATCH(#REF!,'Partner data'!$DG$2:$DG$171,0),83)</f>
        <v>Soggetto pubblico</v>
      </c>
      <c r="S882" s="86" t="str">
        <f>IF(#REF!="staff",INDEX('Partner data'!$DG$2:$DH$171,MATCH(#REF!,'Partner data'!$DG$2:$DG$171,0),2))</f>
        <v>COSTO REALE</v>
      </c>
    </row>
    <row r="883" spans="1:19" x14ac:dyDescent="0.25">
      <c r="A883" t="s">
        <v>361</v>
      </c>
      <c r="B883" t="s">
        <v>300</v>
      </c>
      <c r="C883" s="2">
        <v>238</v>
      </c>
      <c r="D883" s="2">
        <v>143</v>
      </c>
      <c r="E883" t="s">
        <v>229</v>
      </c>
      <c r="F883">
        <v>15</v>
      </c>
      <c r="G883">
        <v>5250</v>
      </c>
      <c r="H883">
        <v>0</v>
      </c>
      <c r="I883">
        <v>0</v>
      </c>
      <c r="J883">
        <v>0</v>
      </c>
      <c r="K883">
        <v>0</v>
      </c>
      <c r="L883">
        <v>0</v>
      </c>
      <c r="M883">
        <v>0</v>
      </c>
      <c r="N883">
        <v>0</v>
      </c>
      <c r="O883">
        <v>5250</v>
      </c>
      <c r="P883">
        <v>0</v>
      </c>
      <c r="Q883" t="str">
        <f>INDEX(pARTNER[#All],MATCH(#REF!,pARTNER[[#All],[Value.partnerSummary.id]],0),10)</f>
        <v>Slovenija (SI)</v>
      </c>
      <c r="R883" t="str">
        <f>INDEX('Partner data'!$A$2:$DG$171,MATCH(#REF!,'Partner data'!$DG$2:$DG$171,0),83)</f>
        <v>Soggetto pubblico</v>
      </c>
      <c r="S883" s="86" t="b">
        <f>IF(#REF!="staff",INDEX('Partner data'!$DG$2:$DH$171,MATCH(#REF!,'Partner data'!$DG$2:$DG$171,0),2))</f>
        <v>0</v>
      </c>
    </row>
    <row r="884" spans="1:19" x14ac:dyDescent="0.25">
      <c r="A884" t="s">
        <v>361</v>
      </c>
      <c r="B884" t="s">
        <v>300</v>
      </c>
      <c r="C884" s="2">
        <v>238</v>
      </c>
      <c r="D884" s="2">
        <v>143</v>
      </c>
      <c r="E884" t="s">
        <v>230</v>
      </c>
      <c r="F884">
        <v>4</v>
      </c>
      <c r="G884">
        <v>1400</v>
      </c>
      <c r="H884">
        <v>0</v>
      </c>
      <c r="I884">
        <v>0</v>
      </c>
      <c r="J884">
        <v>0</v>
      </c>
      <c r="K884">
        <v>0</v>
      </c>
      <c r="L884">
        <v>0</v>
      </c>
      <c r="M884">
        <v>0</v>
      </c>
      <c r="N884">
        <v>0</v>
      </c>
      <c r="O884">
        <v>1400</v>
      </c>
      <c r="P884">
        <v>0</v>
      </c>
      <c r="Q884" t="str">
        <f>INDEX(pARTNER[#All],MATCH(#REF!,pARTNER[[#All],[Value.partnerSummary.id]],0),10)</f>
        <v>Slovenija (SI)</v>
      </c>
      <c r="R884" t="str">
        <f>INDEX('Partner data'!$A$2:$DG$171,MATCH(#REF!,'Partner data'!$DG$2:$DG$171,0),83)</f>
        <v>Soggetto pubblico</v>
      </c>
      <c r="S884" s="86" t="b">
        <f>IF(#REF!="staff",INDEX('Partner data'!$DG$2:$DH$171,MATCH(#REF!,'Partner data'!$DG$2:$DG$171,0),2))</f>
        <v>0</v>
      </c>
    </row>
    <row r="885" spans="1:19" x14ac:dyDescent="0.25">
      <c r="A885" t="s">
        <v>361</v>
      </c>
      <c r="B885" t="s">
        <v>300</v>
      </c>
      <c r="C885" s="2">
        <v>238</v>
      </c>
      <c r="D885" s="2">
        <v>143</v>
      </c>
      <c r="E885" t="s">
        <v>231</v>
      </c>
      <c r="G885">
        <v>62000</v>
      </c>
      <c r="H885">
        <v>0</v>
      </c>
      <c r="I885">
        <v>0</v>
      </c>
      <c r="J885">
        <v>1615.95</v>
      </c>
      <c r="K885">
        <v>0</v>
      </c>
      <c r="L885">
        <v>1615.95</v>
      </c>
      <c r="M885">
        <v>1615.95</v>
      </c>
      <c r="N885">
        <v>2.61</v>
      </c>
      <c r="O885">
        <v>60384.05</v>
      </c>
      <c r="P885">
        <v>0</v>
      </c>
      <c r="Q885" t="str">
        <f>INDEX(pARTNER[#All],MATCH(#REF!,pARTNER[[#All],[Value.partnerSummary.id]],0),10)</f>
        <v>Slovenija (SI)</v>
      </c>
      <c r="R885" t="str">
        <f>INDEX('Partner data'!$A$2:$DG$171,MATCH(#REF!,'Partner data'!$DG$2:$DG$171,0),83)</f>
        <v>Soggetto pubblico</v>
      </c>
      <c r="S885" s="86" t="b">
        <f>IF(#REF!="staff",INDEX('Partner data'!$DG$2:$DH$171,MATCH(#REF!,'Partner data'!$DG$2:$DG$171,0),2))</f>
        <v>0</v>
      </c>
    </row>
    <row r="886" spans="1:19" x14ac:dyDescent="0.25">
      <c r="A886" t="s">
        <v>361</v>
      </c>
      <c r="B886" t="s">
        <v>300</v>
      </c>
      <c r="C886" s="2">
        <v>238</v>
      </c>
      <c r="D886" s="2">
        <v>143</v>
      </c>
      <c r="E886" t="s">
        <v>232</v>
      </c>
      <c r="G886">
        <v>30000</v>
      </c>
      <c r="H886">
        <v>0</v>
      </c>
      <c r="I886">
        <v>0</v>
      </c>
      <c r="J886">
        <v>0</v>
      </c>
      <c r="K886">
        <v>0</v>
      </c>
      <c r="L886">
        <v>0</v>
      </c>
      <c r="M886">
        <v>0</v>
      </c>
      <c r="N886">
        <v>0</v>
      </c>
      <c r="O886">
        <v>30000</v>
      </c>
      <c r="P886">
        <v>0</v>
      </c>
      <c r="Q886" t="str">
        <f>INDEX(pARTNER[#All],MATCH(#REF!,pARTNER[[#All],[Value.partnerSummary.id]],0),10)</f>
        <v>Slovenija (SI)</v>
      </c>
      <c r="R886" t="str">
        <f>INDEX('Partner data'!$A$2:$DG$171,MATCH(#REF!,'Partner data'!$DG$2:$DG$171,0),83)</f>
        <v>Soggetto pubblico</v>
      </c>
      <c r="S886" s="86" t="b">
        <f>IF(#REF!="staff",INDEX('Partner data'!$DG$2:$DH$171,MATCH(#REF!,'Partner data'!$DG$2:$DG$171,0),2))</f>
        <v>0</v>
      </c>
    </row>
    <row r="887" spans="1:19" x14ac:dyDescent="0.25">
      <c r="A887" t="s">
        <v>361</v>
      </c>
      <c r="B887" t="s">
        <v>300</v>
      </c>
      <c r="C887" s="2">
        <v>238</v>
      </c>
      <c r="D887" s="2">
        <v>143</v>
      </c>
      <c r="E887" t="s">
        <v>233</v>
      </c>
      <c r="G887">
        <v>0</v>
      </c>
      <c r="H887">
        <v>0</v>
      </c>
      <c r="I887">
        <v>0</v>
      </c>
      <c r="J887">
        <v>0</v>
      </c>
      <c r="K887">
        <v>0</v>
      </c>
      <c r="L887">
        <v>0</v>
      </c>
      <c r="M887">
        <v>0</v>
      </c>
      <c r="N887">
        <v>0</v>
      </c>
      <c r="O887">
        <v>0</v>
      </c>
      <c r="P887">
        <v>0</v>
      </c>
      <c r="Q887" t="str">
        <f>INDEX(pARTNER[#All],MATCH(#REF!,pARTNER[[#All],[Value.partnerSummary.id]],0),10)</f>
        <v>Slovenija (SI)</v>
      </c>
      <c r="R887" t="str">
        <f>INDEX('Partner data'!$A$2:$DG$171,MATCH(#REF!,'Partner data'!$DG$2:$DG$171,0),83)</f>
        <v>Soggetto pubblico</v>
      </c>
      <c r="S887" s="86" t="b">
        <f>IF(#REF!="staff",INDEX('Partner data'!$DG$2:$DH$171,MATCH(#REF!,'Partner data'!$DG$2:$DG$171,0),2))</f>
        <v>0</v>
      </c>
    </row>
    <row r="888" spans="1:19" x14ac:dyDescent="0.25">
      <c r="A888" t="s">
        <v>361</v>
      </c>
      <c r="B888" t="s">
        <v>300</v>
      </c>
      <c r="C888" s="2">
        <v>238</v>
      </c>
      <c r="D888" s="2">
        <v>143</v>
      </c>
      <c r="E888" t="s">
        <v>234</v>
      </c>
      <c r="G888">
        <v>0</v>
      </c>
      <c r="H888">
        <v>0</v>
      </c>
      <c r="I888">
        <v>0</v>
      </c>
      <c r="J888">
        <v>0</v>
      </c>
      <c r="K888">
        <v>0</v>
      </c>
      <c r="L888">
        <v>0</v>
      </c>
      <c r="M888">
        <v>0</v>
      </c>
      <c r="N888">
        <v>0</v>
      </c>
      <c r="O888">
        <v>0</v>
      </c>
      <c r="P888">
        <v>0</v>
      </c>
      <c r="Q888" t="str">
        <f>INDEX(pARTNER[#All],MATCH(#REF!,pARTNER[[#All],[Value.partnerSummary.id]],0),10)</f>
        <v>Slovenija (SI)</v>
      </c>
      <c r="R888" t="str">
        <f>INDEX('Partner data'!$A$2:$DG$171,MATCH(#REF!,'Partner data'!$DG$2:$DG$171,0),83)</f>
        <v>Soggetto pubblico</v>
      </c>
      <c r="S888" s="86" t="b">
        <f>IF(#REF!="staff",INDEX('Partner data'!$DG$2:$DH$171,MATCH(#REF!,'Partner data'!$DG$2:$DG$171,0),2))</f>
        <v>0</v>
      </c>
    </row>
    <row r="889" spans="1:19" x14ac:dyDescent="0.25">
      <c r="A889" t="s">
        <v>361</v>
      </c>
      <c r="B889" t="s">
        <v>300</v>
      </c>
      <c r="C889" s="2">
        <v>238</v>
      </c>
      <c r="D889" s="2">
        <v>143</v>
      </c>
      <c r="E889" t="s">
        <v>235</v>
      </c>
      <c r="G889">
        <v>9000</v>
      </c>
      <c r="H889">
        <v>0</v>
      </c>
      <c r="I889">
        <v>0</v>
      </c>
      <c r="J889">
        <v>9000</v>
      </c>
      <c r="K889">
        <v>0</v>
      </c>
      <c r="L889">
        <v>9000</v>
      </c>
      <c r="M889">
        <v>9000</v>
      </c>
      <c r="N889">
        <v>100</v>
      </c>
      <c r="O889">
        <v>0</v>
      </c>
      <c r="P889">
        <v>0</v>
      </c>
      <c r="Q889" t="str">
        <f>INDEX(pARTNER[#All],MATCH(#REF!,pARTNER[[#All],[Value.partnerSummary.id]],0),10)</f>
        <v>Slovenija (SI)</v>
      </c>
      <c r="R889" t="str">
        <f>INDEX('Partner data'!$A$2:$DG$171,MATCH(#REF!,'Partner data'!$DG$2:$DG$171,0),83)</f>
        <v>Soggetto pubblico</v>
      </c>
      <c r="S889" s="86" t="b">
        <f>IF(#REF!="staff",INDEX('Partner data'!$DG$2:$DH$171,MATCH(#REF!,'Partner data'!$DG$2:$DG$171,0),2))</f>
        <v>0</v>
      </c>
    </row>
    <row r="890" spans="1:19" x14ac:dyDescent="0.25">
      <c r="A890" t="s">
        <v>361</v>
      </c>
      <c r="B890" t="s">
        <v>300</v>
      </c>
      <c r="C890" s="2">
        <v>238</v>
      </c>
      <c r="D890" s="2">
        <v>143</v>
      </c>
      <c r="E890" t="s">
        <v>236</v>
      </c>
      <c r="G890">
        <v>0</v>
      </c>
      <c r="H890">
        <v>0</v>
      </c>
      <c r="I890">
        <v>0</v>
      </c>
      <c r="J890">
        <v>0</v>
      </c>
      <c r="K890">
        <v>0</v>
      </c>
      <c r="L890">
        <v>0</v>
      </c>
      <c r="M890">
        <v>0</v>
      </c>
      <c r="N890">
        <v>0</v>
      </c>
      <c r="O890">
        <v>0</v>
      </c>
      <c r="P890">
        <v>0</v>
      </c>
      <c r="Q890" t="str">
        <f>INDEX(pARTNER[#All],MATCH(#REF!,pARTNER[[#All],[Value.partnerSummary.id]],0),10)</f>
        <v>Slovenija (SI)</v>
      </c>
      <c r="R890" t="str">
        <f>INDEX('Partner data'!$A$2:$DG$171,MATCH(#REF!,'Partner data'!$DG$2:$DG$171,0),83)</f>
        <v>Soggetto pubblico</v>
      </c>
      <c r="S890" s="86" t="b">
        <f>IF(#REF!="staff",INDEX('Partner data'!$DG$2:$DH$171,MATCH(#REF!,'Partner data'!$DG$2:$DG$171,0),2))</f>
        <v>0</v>
      </c>
    </row>
    <row r="891" spans="1:19" x14ac:dyDescent="0.25">
      <c r="A891" t="s">
        <v>361</v>
      </c>
      <c r="B891" t="s">
        <v>300</v>
      </c>
      <c r="C891" s="2">
        <v>238</v>
      </c>
      <c r="D891" s="2">
        <v>143</v>
      </c>
      <c r="E891" t="s">
        <v>237</v>
      </c>
      <c r="G891">
        <v>0</v>
      </c>
      <c r="H891">
        <v>0</v>
      </c>
      <c r="I891">
        <v>0</v>
      </c>
      <c r="J891">
        <v>0</v>
      </c>
      <c r="K891">
        <v>0</v>
      </c>
      <c r="L891">
        <v>0</v>
      </c>
      <c r="M891">
        <v>0</v>
      </c>
      <c r="N891">
        <v>0</v>
      </c>
      <c r="O891">
        <v>0</v>
      </c>
      <c r="P891">
        <v>0</v>
      </c>
      <c r="Q891" t="str">
        <f>INDEX(pARTNER[#All],MATCH(#REF!,pARTNER[[#All],[Value.partnerSummary.id]],0),10)</f>
        <v>Slovenija (SI)</v>
      </c>
      <c r="R891" t="str">
        <f>INDEX('Partner data'!$A$2:$DG$171,MATCH(#REF!,'Partner data'!$DG$2:$DG$171,0),83)</f>
        <v>Soggetto pubblico</v>
      </c>
      <c r="S891" s="86" t="b">
        <f>IF(#REF!="staff",INDEX('Partner data'!$DG$2:$DH$171,MATCH(#REF!,'Partner data'!$DG$2:$DG$171,0),2))</f>
        <v>0</v>
      </c>
    </row>
    <row r="892" spans="1:19" x14ac:dyDescent="0.25">
      <c r="A892" t="s">
        <v>361</v>
      </c>
      <c r="B892" t="s">
        <v>300</v>
      </c>
      <c r="C892" s="2">
        <v>238</v>
      </c>
      <c r="D892" s="2">
        <v>143</v>
      </c>
      <c r="E892" t="s">
        <v>238</v>
      </c>
      <c r="G892">
        <v>142650</v>
      </c>
      <c r="H892">
        <v>0</v>
      </c>
      <c r="I892">
        <v>0</v>
      </c>
      <c r="J892">
        <v>10615.95</v>
      </c>
      <c r="K892">
        <v>0</v>
      </c>
      <c r="L892">
        <v>10615.95</v>
      </c>
      <c r="M892">
        <v>10615.95</v>
      </c>
      <c r="N892">
        <v>7.44</v>
      </c>
      <c r="O892">
        <v>132034.04999999999</v>
      </c>
      <c r="P892">
        <v>0</v>
      </c>
      <c r="Q892" t="str">
        <f>INDEX(pARTNER[#All],MATCH(#REF!,pARTNER[[#All],[Value.partnerSummary.id]],0),10)</f>
        <v>Slovenija (SI)</v>
      </c>
      <c r="R892" t="str">
        <f>INDEX('Partner data'!$A$2:$DG$171,MATCH(#REF!,'Partner data'!$DG$2:$DG$171,0),83)</f>
        <v>Soggetto pubblico</v>
      </c>
      <c r="S892" s="86" t="b">
        <f>IF(#REF!="staff",INDEX('Partner data'!$DG$2:$DH$171,MATCH(#REF!,'Partner data'!$DG$2:$DG$171,0),2))</f>
        <v>0</v>
      </c>
    </row>
    <row r="893" spans="1:19" x14ac:dyDescent="0.25">
      <c r="A893" t="s">
        <v>361</v>
      </c>
      <c r="B893" t="s">
        <v>69</v>
      </c>
      <c r="C893" s="2">
        <v>244</v>
      </c>
      <c r="D893" s="2">
        <v>193</v>
      </c>
      <c r="E893" t="s">
        <v>228</v>
      </c>
      <c r="G893">
        <v>81480</v>
      </c>
      <c r="H893">
        <v>0</v>
      </c>
      <c r="I893">
        <v>0</v>
      </c>
      <c r="J893">
        <v>13034</v>
      </c>
      <c r="K893">
        <v>0</v>
      </c>
      <c r="L893">
        <v>12996</v>
      </c>
      <c r="M893">
        <v>13034</v>
      </c>
      <c r="N893">
        <v>16</v>
      </c>
      <c r="O893">
        <v>68446</v>
      </c>
      <c r="P893">
        <v>0</v>
      </c>
      <c r="Q893" t="str">
        <f>INDEX(pARTNER[#All],MATCH(#REF!,pARTNER[[#All],[Value.partnerSummary.id]],0),10)</f>
        <v>Italia (IT)</v>
      </c>
      <c r="R893" t="str">
        <f>INDEX('Partner data'!$A$2:$DG$171,MATCH(#REF!,'Partner data'!$DG$2:$DG$171,0),83)</f>
        <v>Soggetto pubblico</v>
      </c>
      <c r="S893" s="86" t="str">
        <f>IF(#REF!="staff",INDEX('Partner data'!$DG$2:$DH$171,MATCH(#REF!,'Partner data'!$DG$2:$DG$171,0),2))</f>
        <v>Costo Unitario Standard</v>
      </c>
    </row>
    <row r="894" spans="1:19" x14ac:dyDescent="0.25">
      <c r="A894" t="s">
        <v>361</v>
      </c>
      <c r="B894" t="s">
        <v>69</v>
      </c>
      <c r="C894" s="2">
        <v>244</v>
      </c>
      <c r="D894" s="2">
        <v>193</v>
      </c>
      <c r="E894" t="s">
        <v>229</v>
      </c>
      <c r="G894">
        <v>0</v>
      </c>
      <c r="H894">
        <v>0</v>
      </c>
      <c r="I894">
        <v>0</v>
      </c>
      <c r="J894">
        <v>0</v>
      </c>
      <c r="K894">
        <v>0</v>
      </c>
      <c r="L894">
        <v>0</v>
      </c>
      <c r="M894">
        <v>0</v>
      </c>
      <c r="N894">
        <v>0</v>
      </c>
      <c r="O894">
        <v>0</v>
      </c>
      <c r="P894">
        <v>0</v>
      </c>
      <c r="Q894" t="str">
        <f>INDEX(pARTNER[#All],MATCH(#REF!,pARTNER[[#All],[Value.partnerSummary.id]],0),10)</f>
        <v>Italia (IT)</v>
      </c>
      <c r="R894" t="str">
        <f>INDEX('Partner data'!$A$2:$DG$171,MATCH(#REF!,'Partner data'!$DG$2:$DG$171,0),83)</f>
        <v>Soggetto pubblico</v>
      </c>
      <c r="S894" s="86" t="b">
        <f>IF(#REF!="staff",INDEX('Partner data'!$DG$2:$DH$171,MATCH(#REF!,'Partner data'!$DG$2:$DG$171,0),2))</f>
        <v>0</v>
      </c>
    </row>
    <row r="895" spans="1:19" x14ac:dyDescent="0.25">
      <c r="A895" t="s">
        <v>361</v>
      </c>
      <c r="B895" t="s">
        <v>69</v>
      </c>
      <c r="C895" s="2">
        <v>244</v>
      </c>
      <c r="D895" s="2">
        <v>193</v>
      </c>
      <c r="E895" t="s">
        <v>230</v>
      </c>
      <c r="G895">
        <v>0</v>
      </c>
      <c r="H895">
        <v>0</v>
      </c>
      <c r="I895">
        <v>0</v>
      </c>
      <c r="J895">
        <v>0</v>
      </c>
      <c r="K895">
        <v>0</v>
      </c>
      <c r="L895">
        <v>0</v>
      </c>
      <c r="M895">
        <v>0</v>
      </c>
      <c r="N895">
        <v>0</v>
      </c>
      <c r="O895">
        <v>0</v>
      </c>
      <c r="P895">
        <v>0</v>
      </c>
      <c r="Q895" t="str">
        <f>INDEX(pARTNER[#All],MATCH(#REF!,pARTNER[[#All],[Value.partnerSummary.id]],0),10)</f>
        <v>Italia (IT)</v>
      </c>
      <c r="R895" t="str">
        <f>INDEX('Partner data'!$A$2:$DG$171,MATCH(#REF!,'Partner data'!$DG$2:$DG$171,0),83)</f>
        <v>Soggetto pubblico</v>
      </c>
      <c r="S895" s="86" t="b">
        <f>IF(#REF!="staff",INDEX('Partner data'!$DG$2:$DH$171,MATCH(#REF!,'Partner data'!$DG$2:$DG$171,0),2))</f>
        <v>0</v>
      </c>
    </row>
    <row r="896" spans="1:19" x14ac:dyDescent="0.25">
      <c r="A896" t="s">
        <v>361</v>
      </c>
      <c r="B896" t="s">
        <v>69</v>
      </c>
      <c r="C896" s="2">
        <v>244</v>
      </c>
      <c r="D896" s="2">
        <v>193</v>
      </c>
      <c r="E896" t="s">
        <v>231</v>
      </c>
      <c r="G896">
        <v>0</v>
      </c>
      <c r="H896">
        <v>0</v>
      </c>
      <c r="I896">
        <v>0</v>
      </c>
      <c r="J896">
        <v>0</v>
      </c>
      <c r="K896">
        <v>0</v>
      </c>
      <c r="L896">
        <v>0</v>
      </c>
      <c r="M896">
        <v>0</v>
      </c>
      <c r="N896">
        <v>0</v>
      </c>
      <c r="O896">
        <v>0</v>
      </c>
      <c r="P896">
        <v>0</v>
      </c>
      <c r="Q896" t="str">
        <f>INDEX(pARTNER[#All],MATCH(#REF!,pARTNER[[#All],[Value.partnerSummary.id]],0),10)</f>
        <v>Italia (IT)</v>
      </c>
      <c r="R896" t="str">
        <f>INDEX('Partner data'!$A$2:$DG$171,MATCH(#REF!,'Partner data'!$DG$2:$DG$171,0),83)</f>
        <v>Soggetto pubblico</v>
      </c>
      <c r="S896" s="86" t="b">
        <f>IF(#REF!="staff",INDEX('Partner data'!$DG$2:$DH$171,MATCH(#REF!,'Partner data'!$DG$2:$DG$171,0),2))</f>
        <v>0</v>
      </c>
    </row>
    <row r="897" spans="1:19" x14ac:dyDescent="0.25">
      <c r="A897" t="s">
        <v>361</v>
      </c>
      <c r="B897" t="s">
        <v>69</v>
      </c>
      <c r="C897" s="2">
        <v>244</v>
      </c>
      <c r="D897" s="2">
        <v>193</v>
      </c>
      <c r="E897" t="s">
        <v>232</v>
      </c>
      <c r="G897">
        <v>0</v>
      </c>
      <c r="H897">
        <v>0</v>
      </c>
      <c r="I897">
        <v>0</v>
      </c>
      <c r="J897">
        <v>0</v>
      </c>
      <c r="K897">
        <v>0</v>
      </c>
      <c r="L897">
        <v>0</v>
      </c>
      <c r="M897">
        <v>0</v>
      </c>
      <c r="N897">
        <v>0</v>
      </c>
      <c r="O897">
        <v>0</v>
      </c>
      <c r="P897">
        <v>0</v>
      </c>
      <c r="Q897" t="str">
        <f>INDEX(pARTNER[#All],MATCH(#REF!,pARTNER[[#All],[Value.partnerSummary.id]],0),10)</f>
        <v>Italia (IT)</v>
      </c>
      <c r="R897" t="str">
        <f>INDEX('Partner data'!$A$2:$DG$171,MATCH(#REF!,'Partner data'!$DG$2:$DG$171,0),83)</f>
        <v>Soggetto pubblico</v>
      </c>
      <c r="S897" s="86" t="b">
        <f>IF(#REF!="staff",INDEX('Partner data'!$DG$2:$DH$171,MATCH(#REF!,'Partner data'!$DG$2:$DG$171,0),2))</f>
        <v>0</v>
      </c>
    </row>
    <row r="898" spans="1:19" x14ac:dyDescent="0.25">
      <c r="A898" t="s">
        <v>361</v>
      </c>
      <c r="B898" t="s">
        <v>69</v>
      </c>
      <c r="C898" s="2">
        <v>244</v>
      </c>
      <c r="D898" s="2">
        <v>193</v>
      </c>
      <c r="E898" t="s">
        <v>233</v>
      </c>
      <c r="G898">
        <v>0</v>
      </c>
      <c r="H898">
        <v>0</v>
      </c>
      <c r="I898">
        <v>0</v>
      </c>
      <c r="J898">
        <v>0</v>
      </c>
      <c r="K898">
        <v>0</v>
      </c>
      <c r="L898">
        <v>0</v>
      </c>
      <c r="M898">
        <v>0</v>
      </c>
      <c r="N898">
        <v>0</v>
      </c>
      <c r="O898">
        <v>0</v>
      </c>
      <c r="P898">
        <v>0</v>
      </c>
      <c r="Q898" t="str">
        <f>INDEX(pARTNER[#All],MATCH(#REF!,pARTNER[[#All],[Value.partnerSummary.id]],0),10)</f>
        <v>Italia (IT)</v>
      </c>
      <c r="R898" t="str">
        <f>INDEX('Partner data'!$A$2:$DG$171,MATCH(#REF!,'Partner data'!$DG$2:$DG$171,0),83)</f>
        <v>Soggetto pubblico</v>
      </c>
      <c r="S898" s="86" t="b">
        <f>IF(#REF!="staff",INDEX('Partner data'!$DG$2:$DH$171,MATCH(#REF!,'Partner data'!$DG$2:$DG$171,0),2))</f>
        <v>0</v>
      </c>
    </row>
    <row r="899" spans="1:19" x14ac:dyDescent="0.25">
      <c r="A899" t="s">
        <v>361</v>
      </c>
      <c r="B899" t="s">
        <v>69</v>
      </c>
      <c r="C899" s="2">
        <v>244</v>
      </c>
      <c r="D899" s="2">
        <v>193</v>
      </c>
      <c r="E899" t="s">
        <v>234</v>
      </c>
      <c r="F899">
        <v>40</v>
      </c>
      <c r="G899">
        <v>32592</v>
      </c>
      <c r="H899">
        <v>0</v>
      </c>
      <c r="I899">
        <v>0</v>
      </c>
      <c r="J899">
        <v>5213.6000000000004</v>
      </c>
      <c r="K899">
        <v>0</v>
      </c>
      <c r="L899">
        <v>5198.3999999999996</v>
      </c>
      <c r="M899">
        <v>5213.6000000000004</v>
      </c>
      <c r="N899">
        <v>16</v>
      </c>
      <c r="O899">
        <v>27378.400000000001</v>
      </c>
      <c r="P899">
        <v>0</v>
      </c>
      <c r="Q899" t="str">
        <f>INDEX(pARTNER[#All],MATCH(#REF!,pARTNER[[#All],[Value.partnerSummary.id]],0),10)</f>
        <v>Italia (IT)</v>
      </c>
      <c r="R899" t="str">
        <f>INDEX('Partner data'!$A$2:$DG$171,MATCH(#REF!,'Partner data'!$DG$2:$DG$171,0),83)</f>
        <v>Soggetto pubblico</v>
      </c>
      <c r="S899" s="86" t="b">
        <f>IF(#REF!="staff",INDEX('Partner data'!$DG$2:$DH$171,MATCH(#REF!,'Partner data'!$DG$2:$DG$171,0),2))</f>
        <v>0</v>
      </c>
    </row>
    <row r="900" spans="1:19" x14ac:dyDescent="0.25">
      <c r="A900" t="s">
        <v>361</v>
      </c>
      <c r="B900" t="s">
        <v>69</v>
      </c>
      <c r="C900" s="2">
        <v>244</v>
      </c>
      <c r="D900" s="2">
        <v>193</v>
      </c>
      <c r="E900" t="s">
        <v>235</v>
      </c>
      <c r="G900">
        <v>0</v>
      </c>
      <c r="H900">
        <v>0</v>
      </c>
      <c r="I900">
        <v>0</v>
      </c>
      <c r="J900">
        <v>0</v>
      </c>
      <c r="K900">
        <v>0</v>
      </c>
      <c r="L900">
        <v>0</v>
      </c>
      <c r="M900">
        <v>0</v>
      </c>
      <c r="N900">
        <v>0</v>
      </c>
      <c r="O900">
        <v>0</v>
      </c>
      <c r="P900">
        <v>0</v>
      </c>
      <c r="Q900" t="str">
        <f>INDEX(pARTNER[#All],MATCH(#REF!,pARTNER[[#All],[Value.partnerSummary.id]],0),10)</f>
        <v>Italia (IT)</v>
      </c>
      <c r="R900" t="str">
        <f>INDEX('Partner data'!$A$2:$DG$171,MATCH(#REF!,'Partner data'!$DG$2:$DG$171,0),83)</f>
        <v>Soggetto pubblico</v>
      </c>
      <c r="S900" s="86" t="b">
        <f>IF(#REF!="staff",INDEX('Partner data'!$DG$2:$DH$171,MATCH(#REF!,'Partner data'!$DG$2:$DG$171,0),2))</f>
        <v>0</v>
      </c>
    </row>
    <row r="901" spans="1:19" x14ac:dyDescent="0.25">
      <c r="A901" t="s">
        <v>361</v>
      </c>
      <c r="B901" t="s">
        <v>69</v>
      </c>
      <c r="C901" s="2">
        <v>244</v>
      </c>
      <c r="D901" s="2">
        <v>193</v>
      </c>
      <c r="E901" t="s">
        <v>236</v>
      </c>
      <c r="G901">
        <v>0</v>
      </c>
      <c r="H901">
        <v>0</v>
      </c>
      <c r="I901">
        <v>0</v>
      </c>
      <c r="J901">
        <v>0</v>
      </c>
      <c r="K901">
        <v>0</v>
      </c>
      <c r="L901">
        <v>0</v>
      </c>
      <c r="M901">
        <v>0</v>
      </c>
      <c r="N901">
        <v>0</v>
      </c>
      <c r="O901">
        <v>0</v>
      </c>
      <c r="P901">
        <v>0</v>
      </c>
      <c r="Q901" t="str">
        <f>INDEX(pARTNER[#All],MATCH(#REF!,pARTNER[[#All],[Value.partnerSummary.id]],0),10)</f>
        <v>Italia (IT)</v>
      </c>
      <c r="R901" t="str">
        <f>INDEX('Partner data'!$A$2:$DG$171,MATCH(#REF!,'Partner data'!$DG$2:$DG$171,0),83)</f>
        <v>Soggetto pubblico</v>
      </c>
      <c r="S901" s="86" t="b">
        <f>IF(#REF!="staff",INDEX('Partner data'!$DG$2:$DH$171,MATCH(#REF!,'Partner data'!$DG$2:$DG$171,0),2))</f>
        <v>0</v>
      </c>
    </row>
    <row r="902" spans="1:19" x14ac:dyDescent="0.25">
      <c r="A902" t="s">
        <v>361</v>
      </c>
      <c r="B902" t="s">
        <v>69</v>
      </c>
      <c r="C902" s="2">
        <v>244</v>
      </c>
      <c r="D902" s="2">
        <v>193</v>
      </c>
      <c r="E902" t="s">
        <v>237</v>
      </c>
      <c r="G902">
        <v>0</v>
      </c>
      <c r="H902">
        <v>0</v>
      </c>
      <c r="I902">
        <v>0</v>
      </c>
      <c r="J902">
        <v>0</v>
      </c>
      <c r="K902">
        <v>0</v>
      </c>
      <c r="L902">
        <v>0</v>
      </c>
      <c r="M902">
        <v>0</v>
      </c>
      <c r="N902">
        <v>0</v>
      </c>
      <c r="O902">
        <v>0</v>
      </c>
      <c r="P902">
        <v>0</v>
      </c>
      <c r="Q902" t="str">
        <f>INDEX(pARTNER[#All],MATCH(#REF!,pARTNER[[#All],[Value.partnerSummary.id]],0),10)</f>
        <v>Italia (IT)</v>
      </c>
      <c r="R902" t="str">
        <f>INDEX('Partner data'!$A$2:$DG$171,MATCH(#REF!,'Partner data'!$DG$2:$DG$171,0),83)</f>
        <v>Soggetto pubblico</v>
      </c>
      <c r="S902" s="86" t="b">
        <f>IF(#REF!="staff",INDEX('Partner data'!$DG$2:$DH$171,MATCH(#REF!,'Partner data'!$DG$2:$DG$171,0),2))</f>
        <v>0</v>
      </c>
    </row>
    <row r="903" spans="1:19" x14ac:dyDescent="0.25">
      <c r="A903" t="s">
        <v>361</v>
      </c>
      <c r="B903" t="s">
        <v>69</v>
      </c>
      <c r="C903" s="2">
        <v>244</v>
      </c>
      <c r="D903" s="2">
        <v>193</v>
      </c>
      <c r="E903" t="s">
        <v>238</v>
      </c>
      <c r="G903">
        <v>114072</v>
      </c>
      <c r="H903">
        <v>0</v>
      </c>
      <c r="I903">
        <v>0</v>
      </c>
      <c r="J903">
        <v>18247.599999999999</v>
      </c>
      <c r="K903">
        <v>0</v>
      </c>
      <c r="L903">
        <v>18194.400000000001</v>
      </c>
      <c r="M903">
        <v>18247.599999999999</v>
      </c>
      <c r="N903">
        <v>16</v>
      </c>
      <c r="O903">
        <v>95824.4</v>
      </c>
      <c r="P903">
        <v>0</v>
      </c>
      <c r="Q903" t="str">
        <f>INDEX(pARTNER[#All],MATCH(#REF!,pARTNER[[#All],[Value.partnerSummary.id]],0),10)</f>
        <v>Italia (IT)</v>
      </c>
      <c r="R903" t="str">
        <f>INDEX('Partner data'!$A$2:$DG$171,MATCH(#REF!,'Partner data'!$DG$2:$DG$171,0),83)</f>
        <v>Soggetto pubblico</v>
      </c>
      <c r="S903" s="86" t="b">
        <f>IF(#REF!="staff",INDEX('Partner data'!$DG$2:$DH$171,MATCH(#REF!,'Partner data'!$DG$2:$DG$171,0),2))</f>
        <v>0</v>
      </c>
    </row>
    <row r="904" spans="1:19" x14ac:dyDescent="0.25">
      <c r="A904" t="s">
        <v>317</v>
      </c>
      <c r="B904" t="s">
        <v>318</v>
      </c>
      <c r="C904" s="2">
        <v>267</v>
      </c>
      <c r="D904" s="2">
        <v>254</v>
      </c>
      <c r="E904" t="s">
        <v>228</v>
      </c>
      <c r="F904">
        <v>20</v>
      </c>
      <c r="G904">
        <v>19500</v>
      </c>
      <c r="H904">
        <v>0</v>
      </c>
      <c r="I904">
        <v>0</v>
      </c>
      <c r="J904">
        <v>0</v>
      </c>
      <c r="K904">
        <v>0</v>
      </c>
      <c r="L904">
        <v>0</v>
      </c>
      <c r="M904">
        <v>0</v>
      </c>
      <c r="N904">
        <v>0</v>
      </c>
      <c r="O904">
        <v>19500</v>
      </c>
      <c r="P904">
        <v>0</v>
      </c>
      <c r="Q904" t="str">
        <f>INDEX(pARTNER[#All],MATCH(#REF!,pARTNER[[#All],[Value.partnerSummary.id]],0),10)</f>
        <v>Italia (IT)</v>
      </c>
      <c r="R904" t="str">
        <f>INDEX('Partner data'!$A$2:$DG$171,MATCH(#REF!,'Partner data'!$DG$2:$DG$171,0),83)</f>
        <v>Soggetto privato</v>
      </c>
      <c r="S904" s="86" t="str">
        <f>IF(#REF!="staff",INDEX('Partner data'!$DG$2:$DH$171,MATCH(#REF!,'Partner data'!$DG$2:$DG$171,0),2))</f>
        <v>Tasso Forfettario 20%</v>
      </c>
    </row>
    <row r="905" spans="1:19" x14ac:dyDescent="0.25">
      <c r="A905" t="s">
        <v>317</v>
      </c>
      <c r="B905" t="s">
        <v>318</v>
      </c>
      <c r="C905" s="2">
        <v>267</v>
      </c>
      <c r="D905" s="2">
        <v>254</v>
      </c>
      <c r="E905" t="s">
        <v>229</v>
      </c>
      <c r="F905">
        <v>15</v>
      </c>
      <c r="G905">
        <v>2925</v>
      </c>
      <c r="H905">
        <v>0</v>
      </c>
      <c r="I905">
        <v>0</v>
      </c>
      <c r="J905">
        <v>0</v>
      </c>
      <c r="K905">
        <v>0</v>
      </c>
      <c r="L905">
        <v>0</v>
      </c>
      <c r="M905">
        <v>0</v>
      </c>
      <c r="N905">
        <v>0</v>
      </c>
      <c r="O905">
        <v>2925</v>
      </c>
      <c r="P905">
        <v>0</v>
      </c>
      <c r="Q905" t="str">
        <f>INDEX(pARTNER[#All],MATCH(#REF!,pARTNER[[#All],[Value.partnerSummary.id]],0),10)</f>
        <v>Italia (IT)</v>
      </c>
      <c r="R905" t="str">
        <f>INDEX('Partner data'!$A$2:$DG$171,MATCH(#REF!,'Partner data'!$DG$2:$DG$171,0),83)</f>
        <v>Soggetto privato</v>
      </c>
      <c r="S905" s="86" t="b">
        <f>IF(#REF!="staff",INDEX('Partner data'!$DG$2:$DH$171,MATCH(#REF!,'Partner data'!$DG$2:$DG$171,0),2))</f>
        <v>0</v>
      </c>
    </row>
    <row r="906" spans="1:19" x14ac:dyDescent="0.25">
      <c r="A906" t="s">
        <v>317</v>
      </c>
      <c r="B906" t="s">
        <v>318</v>
      </c>
      <c r="C906" s="2">
        <v>267</v>
      </c>
      <c r="D906" s="2">
        <v>254</v>
      </c>
      <c r="E906" t="s">
        <v>230</v>
      </c>
      <c r="F906">
        <v>4</v>
      </c>
      <c r="G906">
        <v>780</v>
      </c>
      <c r="H906">
        <v>0</v>
      </c>
      <c r="I906">
        <v>0</v>
      </c>
      <c r="J906">
        <v>0</v>
      </c>
      <c r="K906">
        <v>0</v>
      </c>
      <c r="L906">
        <v>0</v>
      </c>
      <c r="M906">
        <v>0</v>
      </c>
      <c r="N906">
        <v>0</v>
      </c>
      <c r="O906">
        <v>780</v>
      </c>
      <c r="P906">
        <v>0</v>
      </c>
      <c r="Q906" t="str">
        <f>INDEX(pARTNER[#All],MATCH(#REF!,pARTNER[[#All],[Value.partnerSummary.id]],0),10)</f>
        <v>Italia (IT)</v>
      </c>
      <c r="R906" t="str">
        <f>INDEX('Partner data'!$A$2:$DG$171,MATCH(#REF!,'Partner data'!$DG$2:$DG$171,0),83)</f>
        <v>Soggetto privato</v>
      </c>
      <c r="S906" s="86" t="b">
        <f>IF(#REF!="staff",INDEX('Partner data'!$DG$2:$DH$171,MATCH(#REF!,'Partner data'!$DG$2:$DG$171,0),2))</f>
        <v>0</v>
      </c>
    </row>
    <row r="907" spans="1:19" x14ac:dyDescent="0.25">
      <c r="A907" t="s">
        <v>317</v>
      </c>
      <c r="B907" t="s">
        <v>318</v>
      </c>
      <c r="C907" s="2">
        <v>267</v>
      </c>
      <c r="D907" s="2">
        <v>254</v>
      </c>
      <c r="E907" t="s">
        <v>231</v>
      </c>
      <c r="G907">
        <v>12500</v>
      </c>
      <c r="H907">
        <v>0</v>
      </c>
      <c r="I907">
        <v>0</v>
      </c>
      <c r="J907">
        <v>0</v>
      </c>
      <c r="K907">
        <v>0</v>
      </c>
      <c r="L907">
        <v>0</v>
      </c>
      <c r="M907">
        <v>0</v>
      </c>
      <c r="N907">
        <v>0</v>
      </c>
      <c r="O907">
        <v>12500</v>
      </c>
      <c r="P907">
        <v>0</v>
      </c>
      <c r="Q907" t="str">
        <f>INDEX(pARTNER[#All],MATCH(#REF!,pARTNER[[#All],[Value.partnerSummary.id]],0),10)</f>
        <v>Italia (IT)</v>
      </c>
      <c r="R907" t="str">
        <f>INDEX('Partner data'!$A$2:$DG$171,MATCH(#REF!,'Partner data'!$DG$2:$DG$171,0),83)</f>
        <v>Soggetto privato</v>
      </c>
      <c r="S907" s="86" t="b">
        <f>IF(#REF!="staff",INDEX('Partner data'!$DG$2:$DH$171,MATCH(#REF!,'Partner data'!$DG$2:$DG$171,0),2))</f>
        <v>0</v>
      </c>
    </row>
    <row r="908" spans="1:19" x14ac:dyDescent="0.25">
      <c r="A908" t="s">
        <v>317</v>
      </c>
      <c r="B908" t="s">
        <v>318</v>
      </c>
      <c r="C908" s="2">
        <v>267</v>
      </c>
      <c r="D908" s="2">
        <v>254</v>
      </c>
      <c r="E908" t="s">
        <v>232</v>
      </c>
      <c r="G908">
        <v>85000</v>
      </c>
      <c r="H908">
        <v>0</v>
      </c>
      <c r="I908">
        <v>0</v>
      </c>
      <c r="J908">
        <v>0</v>
      </c>
      <c r="K908">
        <v>0</v>
      </c>
      <c r="L908">
        <v>0</v>
      </c>
      <c r="M908">
        <v>0</v>
      </c>
      <c r="N908">
        <v>0</v>
      </c>
      <c r="O908">
        <v>85000</v>
      </c>
      <c r="P908">
        <v>0</v>
      </c>
      <c r="Q908" t="str">
        <f>INDEX(pARTNER[#All],MATCH(#REF!,pARTNER[[#All],[Value.partnerSummary.id]],0),10)</f>
        <v>Italia (IT)</v>
      </c>
      <c r="R908" t="str">
        <f>INDEX('Partner data'!$A$2:$DG$171,MATCH(#REF!,'Partner data'!$DG$2:$DG$171,0),83)</f>
        <v>Soggetto privato</v>
      </c>
      <c r="S908" s="86" t="b">
        <f>IF(#REF!="staff",INDEX('Partner data'!$DG$2:$DH$171,MATCH(#REF!,'Partner data'!$DG$2:$DG$171,0),2))</f>
        <v>0</v>
      </c>
    </row>
    <row r="909" spans="1:19" x14ac:dyDescent="0.25">
      <c r="A909" t="s">
        <v>317</v>
      </c>
      <c r="B909" t="s">
        <v>318</v>
      </c>
      <c r="C909" s="2">
        <v>267</v>
      </c>
      <c r="D909" s="2">
        <v>254</v>
      </c>
      <c r="E909" t="s">
        <v>233</v>
      </c>
      <c r="G909">
        <v>0</v>
      </c>
      <c r="H909">
        <v>0</v>
      </c>
      <c r="I909">
        <v>0</v>
      </c>
      <c r="J909">
        <v>0</v>
      </c>
      <c r="K909">
        <v>0</v>
      </c>
      <c r="L909">
        <v>0</v>
      </c>
      <c r="M909">
        <v>0</v>
      </c>
      <c r="N909">
        <v>0</v>
      </c>
      <c r="O909">
        <v>0</v>
      </c>
      <c r="P909">
        <v>0</v>
      </c>
      <c r="Q909" t="str">
        <f>INDEX(pARTNER[#All],MATCH(#REF!,pARTNER[[#All],[Value.partnerSummary.id]],0),10)</f>
        <v>Italia (IT)</v>
      </c>
      <c r="R909" t="str">
        <f>INDEX('Partner data'!$A$2:$DG$171,MATCH(#REF!,'Partner data'!$DG$2:$DG$171,0),83)</f>
        <v>Soggetto privato</v>
      </c>
      <c r="S909" s="86" t="b">
        <f>IF(#REF!="staff",INDEX('Partner data'!$DG$2:$DH$171,MATCH(#REF!,'Partner data'!$DG$2:$DG$171,0),2))</f>
        <v>0</v>
      </c>
    </row>
    <row r="910" spans="1:19" x14ac:dyDescent="0.25">
      <c r="A910" t="s">
        <v>317</v>
      </c>
      <c r="B910" t="s">
        <v>318</v>
      </c>
      <c r="C910" s="2">
        <v>267</v>
      </c>
      <c r="D910" s="2">
        <v>254</v>
      </c>
      <c r="E910" t="s">
        <v>234</v>
      </c>
      <c r="G910">
        <v>0</v>
      </c>
      <c r="H910">
        <v>0</v>
      </c>
      <c r="I910">
        <v>0</v>
      </c>
      <c r="J910">
        <v>0</v>
      </c>
      <c r="K910">
        <v>0</v>
      </c>
      <c r="L910">
        <v>0</v>
      </c>
      <c r="M910">
        <v>0</v>
      </c>
      <c r="N910">
        <v>0</v>
      </c>
      <c r="O910">
        <v>0</v>
      </c>
      <c r="P910">
        <v>0</v>
      </c>
      <c r="Q910" t="str">
        <f>INDEX(pARTNER[#All],MATCH(#REF!,pARTNER[[#All],[Value.partnerSummary.id]],0),10)</f>
        <v>Italia (IT)</v>
      </c>
      <c r="R910" t="str">
        <f>INDEX('Partner data'!$A$2:$DG$171,MATCH(#REF!,'Partner data'!$DG$2:$DG$171,0),83)</f>
        <v>Soggetto privato</v>
      </c>
      <c r="S910" s="86" t="b">
        <f>IF(#REF!="staff",INDEX('Partner data'!$DG$2:$DH$171,MATCH(#REF!,'Partner data'!$DG$2:$DG$171,0),2))</f>
        <v>0</v>
      </c>
    </row>
    <row r="911" spans="1:19" x14ac:dyDescent="0.25">
      <c r="A911" t="s">
        <v>317</v>
      </c>
      <c r="B911" t="s">
        <v>318</v>
      </c>
      <c r="C911" s="2">
        <v>267</v>
      </c>
      <c r="D911" s="2">
        <v>254</v>
      </c>
      <c r="E911" t="s">
        <v>235</v>
      </c>
      <c r="G911">
        <v>0</v>
      </c>
      <c r="H911">
        <v>0</v>
      </c>
      <c r="I911">
        <v>0</v>
      </c>
      <c r="J911">
        <v>0</v>
      </c>
      <c r="K911">
        <v>0</v>
      </c>
      <c r="L911">
        <v>0</v>
      </c>
      <c r="M911">
        <v>0</v>
      </c>
      <c r="N911">
        <v>0</v>
      </c>
      <c r="O911">
        <v>0</v>
      </c>
      <c r="P911">
        <v>0</v>
      </c>
      <c r="Q911" t="str">
        <f>INDEX(pARTNER[#All],MATCH(#REF!,pARTNER[[#All],[Value.partnerSummary.id]],0),10)</f>
        <v>Italia (IT)</v>
      </c>
      <c r="R911" t="str">
        <f>INDEX('Partner data'!$A$2:$DG$171,MATCH(#REF!,'Partner data'!$DG$2:$DG$171,0),83)</f>
        <v>Soggetto privato</v>
      </c>
      <c r="S911" s="86" t="b">
        <f>IF(#REF!="staff",INDEX('Partner data'!$DG$2:$DH$171,MATCH(#REF!,'Partner data'!$DG$2:$DG$171,0),2))</f>
        <v>0</v>
      </c>
    </row>
    <row r="912" spans="1:19" x14ac:dyDescent="0.25">
      <c r="A912" t="s">
        <v>317</v>
      </c>
      <c r="B912" t="s">
        <v>318</v>
      </c>
      <c r="C912" s="2">
        <v>267</v>
      </c>
      <c r="D912" s="2">
        <v>254</v>
      </c>
      <c r="E912" t="s">
        <v>236</v>
      </c>
      <c r="G912">
        <v>0</v>
      </c>
      <c r="H912">
        <v>0</v>
      </c>
      <c r="I912">
        <v>0</v>
      </c>
      <c r="J912">
        <v>0</v>
      </c>
      <c r="K912">
        <v>0</v>
      </c>
      <c r="L912">
        <v>0</v>
      </c>
      <c r="M912">
        <v>0</v>
      </c>
      <c r="N912">
        <v>0</v>
      </c>
      <c r="O912">
        <v>0</v>
      </c>
      <c r="P912">
        <v>0</v>
      </c>
      <c r="Q912" t="str">
        <f>INDEX(pARTNER[#All],MATCH(#REF!,pARTNER[[#All],[Value.partnerSummary.id]],0),10)</f>
        <v>Italia (IT)</v>
      </c>
      <c r="R912" t="str">
        <f>INDEX('Partner data'!$A$2:$DG$171,MATCH(#REF!,'Partner data'!$DG$2:$DG$171,0),83)</f>
        <v>Soggetto privato</v>
      </c>
      <c r="S912" s="86" t="b">
        <f>IF(#REF!="staff",INDEX('Partner data'!$DG$2:$DH$171,MATCH(#REF!,'Partner data'!$DG$2:$DG$171,0),2))</f>
        <v>0</v>
      </c>
    </row>
    <row r="913" spans="1:19" x14ac:dyDescent="0.25">
      <c r="A913" t="s">
        <v>317</v>
      </c>
      <c r="B913" t="s">
        <v>318</v>
      </c>
      <c r="C913" s="2">
        <v>267</v>
      </c>
      <c r="D913" s="2">
        <v>254</v>
      </c>
      <c r="E913" t="s">
        <v>237</v>
      </c>
      <c r="G913">
        <v>0</v>
      </c>
      <c r="H913">
        <v>0</v>
      </c>
      <c r="I913">
        <v>0</v>
      </c>
      <c r="J913">
        <v>0</v>
      </c>
      <c r="K913">
        <v>0</v>
      </c>
      <c r="L913">
        <v>0</v>
      </c>
      <c r="M913">
        <v>0</v>
      </c>
      <c r="N913">
        <v>0</v>
      </c>
      <c r="O913">
        <v>0</v>
      </c>
      <c r="P913">
        <v>0</v>
      </c>
      <c r="Q913" t="str">
        <f>INDEX(pARTNER[#All],MATCH(#REF!,pARTNER[[#All],[Value.partnerSummary.id]],0),10)</f>
        <v>Italia (IT)</v>
      </c>
      <c r="R913" t="str">
        <f>INDEX('Partner data'!$A$2:$DG$171,MATCH(#REF!,'Partner data'!$DG$2:$DG$171,0),83)</f>
        <v>Soggetto privato</v>
      </c>
      <c r="S913" s="86" t="b">
        <f>IF(#REF!="staff",INDEX('Partner data'!$DG$2:$DH$171,MATCH(#REF!,'Partner data'!$DG$2:$DG$171,0),2))</f>
        <v>0</v>
      </c>
    </row>
    <row r="914" spans="1:19" x14ac:dyDescent="0.25">
      <c r="A914" t="s">
        <v>317</v>
      </c>
      <c r="B914" t="s">
        <v>318</v>
      </c>
      <c r="C914" s="2">
        <v>267</v>
      </c>
      <c r="D914" s="2">
        <v>254</v>
      </c>
      <c r="E914" t="s">
        <v>238</v>
      </c>
      <c r="G914">
        <v>120705</v>
      </c>
      <c r="H914">
        <v>0</v>
      </c>
      <c r="I914">
        <v>0</v>
      </c>
      <c r="J914">
        <v>0</v>
      </c>
      <c r="K914">
        <v>0</v>
      </c>
      <c r="L914">
        <v>0</v>
      </c>
      <c r="M914">
        <v>0</v>
      </c>
      <c r="N914">
        <v>0</v>
      </c>
      <c r="O914">
        <v>120705</v>
      </c>
      <c r="P914">
        <v>0</v>
      </c>
      <c r="Q914" t="str">
        <f>INDEX(pARTNER[#All],MATCH(#REF!,pARTNER[[#All],[Value.partnerSummary.id]],0),10)</f>
        <v>Italia (IT)</v>
      </c>
      <c r="R914" t="str">
        <f>INDEX('Partner data'!$A$2:$DG$171,MATCH(#REF!,'Partner data'!$DG$2:$DG$171,0),83)</f>
        <v>Soggetto privato</v>
      </c>
      <c r="S914" s="86" t="b">
        <f>IF(#REF!="staff",INDEX('Partner data'!$DG$2:$DH$171,MATCH(#REF!,'Partner data'!$DG$2:$DG$171,0),2))</f>
        <v>0</v>
      </c>
    </row>
    <row r="915" spans="1:19" x14ac:dyDescent="0.25">
      <c r="A915" t="s">
        <v>317</v>
      </c>
      <c r="B915" t="s">
        <v>319</v>
      </c>
      <c r="C915" s="2">
        <v>222</v>
      </c>
      <c r="D915" s="2">
        <v>317</v>
      </c>
      <c r="E915" t="s">
        <v>228</v>
      </c>
      <c r="G915">
        <v>26100</v>
      </c>
      <c r="H915">
        <v>0</v>
      </c>
      <c r="I915">
        <v>0</v>
      </c>
      <c r="J915">
        <v>4265.93</v>
      </c>
      <c r="K915">
        <v>0</v>
      </c>
      <c r="L915">
        <v>4054.62</v>
      </c>
      <c r="M915">
        <v>4265.93</v>
      </c>
      <c r="N915">
        <v>16.34</v>
      </c>
      <c r="O915">
        <v>21834.07</v>
      </c>
      <c r="P915">
        <v>0</v>
      </c>
      <c r="Q915" t="str">
        <f>INDEX(pARTNER[#All],MATCH(#REF!,pARTNER[[#All],[Value.partnerSummary.id]],0),10)</f>
        <v>Slovenija (SI)</v>
      </c>
      <c r="R915" t="str">
        <f>INDEX('Partner data'!$A$2:$DG$171,MATCH(#REF!,'Partner data'!$DG$2:$DG$171,0),83)</f>
        <v>Soggetto pubblico</v>
      </c>
      <c r="S915" s="86" t="str">
        <f>IF(#REF!="staff",INDEX('Partner data'!$DG$2:$DH$171,MATCH(#REF!,'Partner data'!$DG$2:$DG$171,0),2))</f>
        <v>COSTO REALE</v>
      </c>
    </row>
    <row r="916" spans="1:19" x14ac:dyDescent="0.25">
      <c r="A916" t="s">
        <v>317</v>
      </c>
      <c r="B916" t="s">
        <v>319</v>
      </c>
      <c r="C916" s="2">
        <v>222</v>
      </c>
      <c r="D916" s="2">
        <v>317</v>
      </c>
      <c r="E916" t="s">
        <v>229</v>
      </c>
      <c r="F916">
        <v>15</v>
      </c>
      <c r="G916">
        <v>3915</v>
      </c>
      <c r="H916">
        <v>0</v>
      </c>
      <c r="I916">
        <v>0</v>
      </c>
      <c r="J916">
        <v>639.88</v>
      </c>
      <c r="K916">
        <v>0</v>
      </c>
      <c r="L916">
        <v>608.19000000000005</v>
      </c>
      <c r="M916">
        <v>639.88</v>
      </c>
      <c r="N916">
        <v>16.34</v>
      </c>
      <c r="O916">
        <v>3275.12</v>
      </c>
      <c r="P916">
        <v>0</v>
      </c>
      <c r="Q916" t="str">
        <f>INDEX(pARTNER[#All],MATCH(#REF!,pARTNER[[#All],[Value.partnerSummary.id]],0),10)</f>
        <v>Slovenija (SI)</v>
      </c>
      <c r="R916" t="str">
        <f>INDEX('Partner data'!$A$2:$DG$171,MATCH(#REF!,'Partner data'!$DG$2:$DG$171,0),83)</f>
        <v>Soggetto pubblico</v>
      </c>
      <c r="S916" s="86" t="b">
        <f>IF(#REF!="staff",INDEX('Partner data'!$DG$2:$DH$171,MATCH(#REF!,'Partner data'!$DG$2:$DG$171,0),2))</f>
        <v>0</v>
      </c>
    </row>
    <row r="917" spans="1:19" x14ac:dyDescent="0.25">
      <c r="A917" t="s">
        <v>317</v>
      </c>
      <c r="B917" t="s">
        <v>319</v>
      </c>
      <c r="C917" s="2">
        <v>222</v>
      </c>
      <c r="D917" s="2">
        <v>317</v>
      </c>
      <c r="E917" t="s">
        <v>230</v>
      </c>
      <c r="F917">
        <v>4</v>
      </c>
      <c r="G917">
        <v>1044</v>
      </c>
      <c r="H917">
        <v>0</v>
      </c>
      <c r="I917">
        <v>0</v>
      </c>
      <c r="J917">
        <v>170.63</v>
      </c>
      <c r="K917">
        <v>0</v>
      </c>
      <c r="L917">
        <v>162.18</v>
      </c>
      <c r="M917">
        <v>170.63</v>
      </c>
      <c r="N917">
        <v>16.34</v>
      </c>
      <c r="O917">
        <v>873.37</v>
      </c>
      <c r="P917">
        <v>0</v>
      </c>
      <c r="Q917" t="str">
        <f>INDEX(pARTNER[#All],MATCH(#REF!,pARTNER[[#All],[Value.partnerSummary.id]],0),10)</f>
        <v>Slovenija (SI)</v>
      </c>
      <c r="R917" t="str">
        <f>INDEX('Partner data'!$A$2:$DG$171,MATCH(#REF!,'Partner data'!$DG$2:$DG$171,0),83)</f>
        <v>Soggetto pubblico</v>
      </c>
      <c r="S917" s="86" t="b">
        <f>IF(#REF!="staff",INDEX('Partner data'!$DG$2:$DH$171,MATCH(#REF!,'Partner data'!$DG$2:$DG$171,0),2))</f>
        <v>0</v>
      </c>
    </row>
    <row r="918" spans="1:19" x14ac:dyDescent="0.25">
      <c r="A918" t="s">
        <v>317</v>
      </c>
      <c r="B918" t="s">
        <v>319</v>
      </c>
      <c r="C918" s="2">
        <v>222</v>
      </c>
      <c r="D918" s="2">
        <v>317</v>
      </c>
      <c r="E918" t="s">
        <v>231</v>
      </c>
      <c r="G918">
        <v>99098</v>
      </c>
      <c r="H918">
        <v>0</v>
      </c>
      <c r="I918">
        <v>0</v>
      </c>
      <c r="J918">
        <v>0</v>
      </c>
      <c r="K918">
        <v>0</v>
      </c>
      <c r="L918">
        <v>0</v>
      </c>
      <c r="M918">
        <v>0</v>
      </c>
      <c r="N918">
        <v>0</v>
      </c>
      <c r="O918">
        <v>99098</v>
      </c>
      <c r="P918">
        <v>0</v>
      </c>
      <c r="Q918" t="str">
        <f>INDEX(pARTNER[#All],MATCH(#REF!,pARTNER[[#All],[Value.partnerSummary.id]],0),10)</f>
        <v>Slovenija (SI)</v>
      </c>
      <c r="R918" t="str">
        <f>INDEX('Partner data'!$A$2:$DG$171,MATCH(#REF!,'Partner data'!$DG$2:$DG$171,0),83)</f>
        <v>Soggetto pubblico</v>
      </c>
      <c r="S918" s="86" t="b">
        <f>IF(#REF!="staff",INDEX('Partner data'!$DG$2:$DH$171,MATCH(#REF!,'Partner data'!$DG$2:$DG$171,0),2))</f>
        <v>0</v>
      </c>
    </row>
    <row r="919" spans="1:19" x14ac:dyDescent="0.25">
      <c r="A919" t="s">
        <v>317</v>
      </c>
      <c r="B919" t="s">
        <v>319</v>
      </c>
      <c r="C919" s="2">
        <v>222</v>
      </c>
      <c r="D919" s="2">
        <v>317</v>
      </c>
      <c r="E919" t="s">
        <v>232</v>
      </c>
      <c r="G919">
        <v>12000</v>
      </c>
      <c r="H919">
        <v>0</v>
      </c>
      <c r="I919">
        <v>0</v>
      </c>
      <c r="J919">
        <v>0</v>
      </c>
      <c r="K919">
        <v>0</v>
      </c>
      <c r="L919">
        <v>0</v>
      </c>
      <c r="M919">
        <v>0</v>
      </c>
      <c r="N919">
        <v>0</v>
      </c>
      <c r="O919">
        <v>12000</v>
      </c>
      <c r="P919">
        <v>0</v>
      </c>
      <c r="Q919" t="str">
        <f>INDEX(pARTNER[#All],MATCH(#REF!,pARTNER[[#All],[Value.partnerSummary.id]],0),10)</f>
        <v>Slovenija (SI)</v>
      </c>
      <c r="R919" t="str">
        <f>INDEX('Partner data'!$A$2:$DG$171,MATCH(#REF!,'Partner data'!$DG$2:$DG$171,0),83)</f>
        <v>Soggetto pubblico</v>
      </c>
      <c r="S919" s="86" t="b">
        <f>IF(#REF!="staff",INDEX('Partner data'!$DG$2:$DH$171,MATCH(#REF!,'Partner data'!$DG$2:$DG$171,0),2))</f>
        <v>0</v>
      </c>
    </row>
    <row r="920" spans="1:19" x14ac:dyDescent="0.25">
      <c r="A920" t="s">
        <v>317</v>
      </c>
      <c r="B920" t="s">
        <v>319</v>
      </c>
      <c r="C920" s="2">
        <v>222</v>
      </c>
      <c r="D920" s="2">
        <v>317</v>
      </c>
      <c r="E920" t="s">
        <v>233</v>
      </c>
      <c r="G920">
        <v>0</v>
      </c>
      <c r="H920">
        <v>0</v>
      </c>
      <c r="I920">
        <v>0</v>
      </c>
      <c r="J920">
        <v>0</v>
      </c>
      <c r="K920">
        <v>0</v>
      </c>
      <c r="L920">
        <v>0</v>
      </c>
      <c r="M920">
        <v>0</v>
      </c>
      <c r="N920">
        <v>0</v>
      </c>
      <c r="O920">
        <v>0</v>
      </c>
      <c r="P920">
        <v>0</v>
      </c>
      <c r="Q920" t="str">
        <f>INDEX(pARTNER[#All],MATCH(#REF!,pARTNER[[#All],[Value.partnerSummary.id]],0),10)</f>
        <v>Slovenija (SI)</v>
      </c>
      <c r="R920" t="str">
        <f>INDEX('Partner data'!$A$2:$DG$171,MATCH(#REF!,'Partner data'!$DG$2:$DG$171,0),83)</f>
        <v>Soggetto pubblico</v>
      </c>
      <c r="S920" s="86" t="b">
        <f>IF(#REF!="staff",INDEX('Partner data'!$DG$2:$DH$171,MATCH(#REF!,'Partner data'!$DG$2:$DG$171,0),2))</f>
        <v>0</v>
      </c>
    </row>
    <row r="921" spans="1:19" x14ac:dyDescent="0.25">
      <c r="A921" t="s">
        <v>317</v>
      </c>
      <c r="B921" t="s">
        <v>319</v>
      </c>
      <c r="C921" s="2">
        <v>222</v>
      </c>
      <c r="D921" s="2">
        <v>317</v>
      </c>
      <c r="E921" t="s">
        <v>234</v>
      </c>
      <c r="G921">
        <v>0</v>
      </c>
      <c r="H921">
        <v>0</v>
      </c>
      <c r="I921">
        <v>0</v>
      </c>
      <c r="J921">
        <v>0</v>
      </c>
      <c r="K921">
        <v>0</v>
      </c>
      <c r="L921">
        <v>0</v>
      </c>
      <c r="M921">
        <v>0</v>
      </c>
      <c r="N921">
        <v>0</v>
      </c>
      <c r="O921">
        <v>0</v>
      </c>
      <c r="P921">
        <v>0</v>
      </c>
      <c r="Q921" t="str">
        <f>INDEX(pARTNER[#All],MATCH(#REF!,pARTNER[[#All],[Value.partnerSummary.id]],0),10)</f>
        <v>Slovenija (SI)</v>
      </c>
      <c r="R921" t="str">
        <f>INDEX('Partner data'!$A$2:$DG$171,MATCH(#REF!,'Partner data'!$DG$2:$DG$171,0),83)</f>
        <v>Soggetto pubblico</v>
      </c>
      <c r="S921" s="86" t="b">
        <f>IF(#REF!="staff",INDEX('Partner data'!$DG$2:$DH$171,MATCH(#REF!,'Partner data'!$DG$2:$DG$171,0),2))</f>
        <v>0</v>
      </c>
    </row>
    <row r="922" spans="1:19" x14ac:dyDescent="0.25">
      <c r="A922" t="s">
        <v>317</v>
      </c>
      <c r="B922" t="s">
        <v>319</v>
      </c>
      <c r="C922" s="2">
        <v>222</v>
      </c>
      <c r="D922" s="2">
        <v>317</v>
      </c>
      <c r="E922" t="s">
        <v>235</v>
      </c>
      <c r="G922">
        <v>0</v>
      </c>
      <c r="H922">
        <v>0</v>
      </c>
      <c r="I922">
        <v>0</v>
      </c>
      <c r="J922">
        <v>0</v>
      </c>
      <c r="K922">
        <v>0</v>
      </c>
      <c r="L922">
        <v>0</v>
      </c>
      <c r="M922">
        <v>0</v>
      </c>
      <c r="N922">
        <v>0</v>
      </c>
      <c r="O922">
        <v>0</v>
      </c>
      <c r="P922">
        <v>0</v>
      </c>
      <c r="Q922" t="str">
        <f>INDEX(pARTNER[#All],MATCH(#REF!,pARTNER[[#All],[Value.partnerSummary.id]],0),10)</f>
        <v>Slovenija (SI)</v>
      </c>
      <c r="R922" t="str">
        <f>INDEX('Partner data'!$A$2:$DG$171,MATCH(#REF!,'Partner data'!$DG$2:$DG$171,0),83)</f>
        <v>Soggetto pubblico</v>
      </c>
      <c r="S922" s="86" t="b">
        <f>IF(#REF!="staff",INDEX('Partner data'!$DG$2:$DH$171,MATCH(#REF!,'Partner data'!$DG$2:$DG$171,0),2))</f>
        <v>0</v>
      </c>
    </row>
    <row r="923" spans="1:19" x14ac:dyDescent="0.25">
      <c r="A923" t="s">
        <v>317</v>
      </c>
      <c r="B923" t="s">
        <v>319</v>
      </c>
      <c r="C923" s="2">
        <v>222</v>
      </c>
      <c r="D923" s="2">
        <v>317</v>
      </c>
      <c r="E923" t="s">
        <v>236</v>
      </c>
      <c r="G923">
        <v>0</v>
      </c>
      <c r="H923">
        <v>0</v>
      </c>
      <c r="I923">
        <v>0</v>
      </c>
      <c r="J923">
        <v>0</v>
      </c>
      <c r="K923">
        <v>0</v>
      </c>
      <c r="L923">
        <v>0</v>
      </c>
      <c r="M923">
        <v>0</v>
      </c>
      <c r="N923">
        <v>0</v>
      </c>
      <c r="O923">
        <v>0</v>
      </c>
      <c r="P923">
        <v>0</v>
      </c>
      <c r="Q923" t="str">
        <f>INDEX(pARTNER[#All],MATCH(#REF!,pARTNER[[#All],[Value.partnerSummary.id]],0),10)</f>
        <v>Slovenija (SI)</v>
      </c>
      <c r="R923" t="str">
        <f>INDEX('Partner data'!$A$2:$DG$171,MATCH(#REF!,'Partner data'!$DG$2:$DG$171,0),83)</f>
        <v>Soggetto pubblico</v>
      </c>
      <c r="S923" s="86" t="b">
        <f>IF(#REF!="staff",INDEX('Partner data'!$DG$2:$DH$171,MATCH(#REF!,'Partner data'!$DG$2:$DG$171,0),2))</f>
        <v>0</v>
      </c>
    </row>
    <row r="924" spans="1:19" x14ac:dyDescent="0.25">
      <c r="A924" t="s">
        <v>317</v>
      </c>
      <c r="B924" t="s">
        <v>319</v>
      </c>
      <c r="C924" s="2">
        <v>222</v>
      </c>
      <c r="D924" s="2">
        <v>317</v>
      </c>
      <c r="E924" t="s">
        <v>237</v>
      </c>
      <c r="G924">
        <v>0</v>
      </c>
      <c r="H924">
        <v>0</v>
      </c>
      <c r="I924">
        <v>0</v>
      </c>
      <c r="J924">
        <v>0</v>
      </c>
      <c r="K924">
        <v>0</v>
      </c>
      <c r="L924">
        <v>0</v>
      </c>
      <c r="M924">
        <v>0</v>
      </c>
      <c r="N924">
        <v>0</v>
      </c>
      <c r="O924">
        <v>0</v>
      </c>
      <c r="P924">
        <v>0</v>
      </c>
      <c r="Q924" t="str">
        <f>INDEX(pARTNER[#All],MATCH(#REF!,pARTNER[[#All],[Value.partnerSummary.id]],0),10)</f>
        <v>Slovenija (SI)</v>
      </c>
      <c r="R924" t="str">
        <f>INDEX('Partner data'!$A$2:$DG$171,MATCH(#REF!,'Partner data'!$DG$2:$DG$171,0),83)</f>
        <v>Soggetto pubblico</v>
      </c>
      <c r="S924" s="86" t="b">
        <f>IF(#REF!="staff",INDEX('Partner data'!$DG$2:$DH$171,MATCH(#REF!,'Partner data'!$DG$2:$DG$171,0),2))</f>
        <v>0</v>
      </c>
    </row>
    <row r="925" spans="1:19" x14ac:dyDescent="0.25">
      <c r="A925" t="s">
        <v>317</v>
      </c>
      <c r="B925" t="s">
        <v>319</v>
      </c>
      <c r="C925" s="2">
        <v>222</v>
      </c>
      <c r="D925" s="2">
        <v>317</v>
      </c>
      <c r="E925" t="s">
        <v>238</v>
      </c>
      <c r="G925">
        <v>142157</v>
      </c>
      <c r="H925">
        <v>0</v>
      </c>
      <c r="I925">
        <v>0</v>
      </c>
      <c r="J925">
        <v>5076.4399999999996</v>
      </c>
      <c r="K925">
        <v>0</v>
      </c>
      <c r="L925">
        <v>4824.99</v>
      </c>
      <c r="M925">
        <v>5076.4399999999996</v>
      </c>
      <c r="N925">
        <v>3.57</v>
      </c>
      <c r="O925">
        <v>137080.56</v>
      </c>
      <c r="P925">
        <v>0</v>
      </c>
      <c r="Q925" t="str">
        <f>INDEX(pARTNER[#All],MATCH(#REF!,pARTNER[[#All],[Value.partnerSummary.id]],0),10)</f>
        <v>Slovenija (SI)</v>
      </c>
      <c r="R925" t="str">
        <f>INDEX('Partner data'!$A$2:$DG$171,MATCH(#REF!,'Partner data'!$DG$2:$DG$171,0),83)</f>
        <v>Soggetto pubblico</v>
      </c>
      <c r="S925" s="86" t="b">
        <f>IF(#REF!="staff",INDEX('Partner data'!$DG$2:$DH$171,MATCH(#REF!,'Partner data'!$DG$2:$DG$171,0),2))</f>
        <v>0</v>
      </c>
    </row>
    <row r="926" spans="1:19" x14ac:dyDescent="0.25">
      <c r="A926" t="s">
        <v>317</v>
      </c>
      <c r="B926" t="s">
        <v>320</v>
      </c>
      <c r="C926">
        <v>87</v>
      </c>
      <c r="D926">
        <v>334</v>
      </c>
      <c r="E926" t="s">
        <v>228</v>
      </c>
      <c r="G926">
        <v>76000</v>
      </c>
      <c r="H926">
        <v>0</v>
      </c>
      <c r="I926">
        <v>0</v>
      </c>
      <c r="J926">
        <v>14783.49</v>
      </c>
      <c r="K926">
        <v>0</v>
      </c>
      <c r="L926">
        <v>14047.46</v>
      </c>
      <c r="M926">
        <v>14783.49</v>
      </c>
      <c r="N926">
        <v>19.45</v>
      </c>
      <c r="O926">
        <v>61216.51</v>
      </c>
      <c r="P926">
        <v>0</v>
      </c>
      <c r="Q926" t="str">
        <f>INDEX(pARTNER[#All],MATCH(#REF!,pARTNER[[#All],[Value.partnerSummary.id]],0),10)</f>
        <v>Slovenija (SI)</v>
      </c>
      <c r="R926" t="str">
        <f>INDEX('Partner data'!$A$2:$DG$171,MATCH(#REF!,'Partner data'!$DG$2:$DG$171,0),83)</f>
        <v>Soggetto pubblico</v>
      </c>
      <c r="S926" s="86" t="str">
        <f>IF(#REF!="staff",INDEX('Partner data'!$DG$2:$DH$171,MATCH(#REF!,'Partner data'!$DG$2:$DG$171,0),2))</f>
        <v>COSTO REALE</v>
      </c>
    </row>
    <row r="927" spans="1:19" x14ac:dyDescent="0.25">
      <c r="A927" t="s">
        <v>317</v>
      </c>
      <c r="B927" t="s">
        <v>320</v>
      </c>
      <c r="C927">
        <v>87</v>
      </c>
      <c r="D927">
        <v>334</v>
      </c>
      <c r="E927" t="s">
        <v>229</v>
      </c>
      <c r="F927">
        <v>15</v>
      </c>
      <c r="G927">
        <v>11400</v>
      </c>
      <c r="H927">
        <v>0</v>
      </c>
      <c r="I927">
        <v>0</v>
      </c>
      <c r="J927">
        <v>2217.52</v>
      </c>
      <c r="K927">
        <v>0</v>
      </c>
      <c r="L927">
        <v>2107.11</v>
      </c>
      <c r="M927">
        <v>2217.52</v>
      </c>
      <c r="N927">
        <v>19.45</v>
      </c>
      <c r="O927">
        <v>9182.48</v>
      </c>
      <c r="P927">
        <v>0</v>
      </c>
      <c r="Q927" t="str">
        <f>INDEX(pARTNER[#All],MATCH(#REF!,pARTNER[[#All],[Value.partnerSummary.id]],0),10)</f>
        <v>Slovenija (SI)</v>
      </c>
      <c r="R927" t="str">
        <f>INDEX('Partner data'!$A$2:$DG$171,MATCH(#REF!,'Partner data'!$DG$2:$DG$171,0),83)</f>
        <v>Soggetto pubblico</v>
      </c>
      <c r="S927" s="86" t="b">
        <f>IF(#REF!="staff",INDEX('Partner data'!$DG$2:$DH$171,MATCH(#REF!,'Partner data'!$DG$2:$DG$171,0),2))</f>
        <v>0</v>
      </c>
    </row>
    <row r="928" spans="1:19" x14ac:dyDescent="0.25">
      <c r="A928" t="s">
        <v>317</v>
      </c>
      <c r="B928" t="s">
        <v>320</v>
      </c>
      <c r="C928">
        <v>87</v>
      </c>
      <c r="D928">
        <v>334</v>
      </c>
      <c r="E928" t="s">
        <v>230</v>
      </c>
      <c r="F928">
        <v>4</v>
      </c>
      <c r="G928">
        <v>3040</v>
      </c>
      <c r="H928">
        <v>0</v>
      </c>
      <c r="I928">
        <v>0</v>
      </c>
      <c r="J928">
        <v>591.33000000000004</v>
      </c>
      <c r="K928">
        <v>0</v>
      </c>
      <c r="L928">
        <v>561.89</v>
      </c>
      <c r="M928">
        <v>591.33000000000004</v>
      </c>
      <c r="N928">
        <v>19.45</v>
      </c>
      <c r="O928">
        <v>2448.67</v>
      </c>
      <c r="P928">
        <v>0</v>
      </c>
      <c r="Q928" t="str">
        <f>INDEX(pARTNER[#All],MATCH(#REF!,pARTNER[[#All],[Value.partnerSummary.id]],0),10)</f>
        <v>Slovenija (SI)</v>
      </c>
      <c r="R928" t="str">
        <f>INDEX('Partner data'!$A$2:$DG$171,MATCH(#REF!,'Partner data'!$DG$2:$DG$171,0),83)</f>
        <v>Soggetto pubblico</v>
      </c>
      <c r="S928" s="86" t="b">
        <f>IF(#REF!="staff",INDEX('Partner data'!$DG$2:$DH$171,MATCH(#REF!,'Partner data'!$DG$2:$DG$171,0),2))</f>
        <v>0</v>
      </c>
    </row>
    <row r="929" spans="1:19" x14ac:dyDescent="0.25">
      <c r="A929" t="s">
        <v>317</v>
      </c>
      <c r="B929" t="s">
        <v>320</v>
      </c>
      <c r="C929">
        <v>87</v>
      </c>
      <c r="D929">
        <v>334</v>
      </c>
      <c r="E929" t="s">
        <v>231</v>
      </c>
      <c r="G929">
        <v>63000</v>
      </c>
      <c r="H929">
        <v>0</v>
      </c>
      <c r="I929">
        <v>0</v>
      </c>
      <c r="J929">
        <v>2187.16</v>
      </c>
      <c r="K929">
        <v>0</v>
      </c>
      <c r="L929">
        <v>2187.16</v>
      </c>
      <c r="M929">
        <v>2187.16</v>
      </c>
      <c r="N929">
        <v>3.47</v>
      </c>
      <c r="O929">
        <v>60812.84</v>
      </c>
      <c r="P929">
        <v>0</v>
      </c>
      <c r="Q929" t="str">
        <f>INDEX(pARTNER[#All],MATCH(#REF!,pARTNER[[#All],[Value.partnerSummary.id]],0),10)</f>
        <v>Slovenija (SI)</v>
      </c>
      <c r="R929" t="str">
        <f>INDEX('Partner data'!$A$2:$DG$171,MATCH(#REF!,'Partner data'!$DG$2:$DG$171,0),83)</f>
        <v>Soggetto pubblico</v>
      </c>
      <c r="S929" s="86" t="b">
        <f>IF(#REF!="staff",INDEX('Partner data'!$DG$2:$DH$171,MATCH(#REF!,'Partner data'!$DG$2:$DG$171,0),2))</f>
        <v>0</v>
      </c>
    </row>
    <row r="930" spans="1:19" x14ac:dyDescent="0.25">
      <c r="A930" t="s">
        <v>317</v>
      </c>
      <c r="B930" t="s">
        <v>320</v>
      </c>
      <c r="C930">
        <v>87</v>
      </c>
      <c r="D930">
        <v>334</v>
      </c>
      <c r="E930" t="s">
        <v>232</v>
      </c>
      <c r="G930">
        <v>0</v>
      </c>
      <c r="H930">
        <v>0</v>
      </c>
      <c r="I930">
        <v>0</v>
      </c>
      <c r="J930">
        <v>0</v>
      </c>
      <c r="K930">
        <v>0</v>
      </c>
      <c r="L930">
        <v>0</v>
      </c>
      <c r="M930">
        <v>0</v>
      </c>
      <c r="N930">
        <v>0</v>
      </c>
      <c r="O930">
        <v>0</v>
      </c>
      <c r="P930">
        <v>0</v>
      </c>
      <c r="Q930" t="str">
        <f>INDEX(pARTNER[#All],MATCH(#REF!,pARTNER[[#All],[Value.partnerSummary.id]],0),10)</f>
        <v>Slovenija (SI)</v>
      </c>
      <c r="R930" t="str">
        <f>INDEX('Partner data'!$A$2:$DG$171,MATCH(#REF!,'Partner data'!$DG$2:$DG$171,0),83)</f>
        <v>Soggetto pubblico</v>
      </c>
      <c r="S930" s="86" t="b">
        <f>IF(#REF!="staff",INDEX('Partner data'!$DG$2:$DH$171,MATCH(#REF!,'Partner data'!$DG$2:$DG$171,0),2))</f>
        <v>0</v>
      </c>
    </row>
    <row r="931" spans="1:19" x14ac:dyDescent="0.25">
      <c r="A931" t="s">
        <v>317</v>
      </c>
      <c r="B931" t="s">
        <v>320</v>
      </c>
      <c r="C931">
        <v>87</v>
      </c>
      <c r="D931">
        <v>334</v>
      </c>
      <c r="E931" t="s">
        <v>233</v>
      </c>
      <c r="G931">
        <v>0</v>
      </c>
      <c r="H931">
        <v>0</v>
      </c>
      <c r="I931">
        <v>0</v>
      </c>
      <c r="J931">
        <v>0</v>
      </c>
      <c r="K931">
        <v>0</v>
      </c>
      <c r="L931">
        <v>0</v>
      </c>
      <c r="M931">
        <v>0</v>
      </c>
      <c r="N931">
        <v>0</v>
      </c>
      <c r="O931">
        <v>0</v>
      </c>
      <c r="P931">
        <v>0</v>
      </c>
      <c r="Q931" t="str">
        <f>INDEX(pARTNER[#All],MATCH(#REF!,pARTNER[[#All],[Value.partnerSummary.id]],0),10)</f>
        <v>Slovenija (SI)</v>
      </c>
      <c r="R931" t="str">
        <f>INDEX('Partner data'!$A$2:$DG$171,MATCH(#REF!,'Partner data'!$DG$2:$DG$171,0),83)</f>
        <v>Soggetto pubblico</v>
      </c>
      <c r="S931" s="86" t="b">
        <f>IF(#REF!="staff",INDEX('Partner data'!$DG$2:$DH$171,MATCH(#REF!,'Partner data'!$DG$2:$DG$171,0),2))</f>
        <v>0</v>
      </c>
    </row>
    <row r="932" spans="1:19" x14ac:dyDescent="0.25">
      <c r="A932" t="s">
        <v>317</v>
      </c>
      <c r="B932" t="s">
        <v>320</v>
      </c>
      <c r="C932">
        <v>87</v>
      </c>
      <c r="D932">
        <v>334</v>
      </c>
      <c r="E932" t="s">
        <v>234</v>
      </c>
      <c r="G932">
        <v>0</v>
      </c>
      <c r="H932">
        <v>0</v>
      </c>
      <c r="I932">
        <v>0</v>
      </c>
      <c r="J932">
        <v>0</v>
      </c>
      <c r="K932">
        <v>0</v>
      </c>
      <c r="L932">
        <v>0</v>
      </c>
      <c r="M932">
        <v>0</v>
      </c>
      <c r="N932">
        <v>0</v>
      </c>
      <c r="O932">
        <v>0</v>
      </c>
      <c r="P932">
        <v>0</v>
      </c>
      <c r="Q932" t="str">
        <f>INDEX(pARTNER[#All],MATCH(#REF!,pARTNER[[#All],[Value.partnerSummary.id]],0),10)</f>
        <v>Slovenija (SI)</v>
      </c>
      <c r="R932" t="str">
        <f>INDEX('Partner data'!$A$2:$DG$171,MATCH(#REF!,'Partner data'!$DG$2:$DG$171,0),83)</f>
        <v>Soggetto pubblico</v>
      </c>
      <c r="S932" s="86" t="b">
        <f>IF(#REF!="staff",INDEX('Partner data'!$DG$2:$DH$171,MATCH(#REF!,'Partner data'!$DG$2:$DG$171,0),2))</f>
        <v>0</v>
      </c>
    </row>
    <row r="933" spans="1:19" x14ac:dyDescent="0.25">
      <c r="A933" t="s">
        <v>317</v>
      </c>
      <c r="B933" t="s">
        <v>320</v>
      </c>
      <c r="C933">
        <v>87</v>
      </c>
      <c r="D933">
        <v>334</v>
      </c>
      <c r="E933" t="s">
        <v>235</v>
      </c>
      <c r="G933">
        <v>9000</v>
      </c>
      <c r="H933">
        <v>0</v>
      </c>
      <c r="I933">
        <v>0</v>
      </c>
      <c r="J933">
        <v>9000</v>
      </c>
      <c r="K933">
        <v>0</v>
      </c>
      <c r="L933">
        <v>9000</v>
      </c>
      <c r="M933">
        <v>9000</v>
      </c>
      <c r="N933">
        <v>100</v>
      </c>
      <c r="O933">
        <v>0</v>
      </c>
      <c r="P933">
        <v>0</v>
      </c>
      <c r="Q933" t="str">
        <f>INDEX(pARTNER[#All],MATCH(#REF!,pARTNER[[#All],[Value.partnerSummary.id]],0),10)</f>
        <v>Slovenija (SI)</v>
      </c>
      <c r="R933" t="str">
        <f>INDEX('Partner data'!$A$2:$DG$171,MATCH(#REF!,'Partner data'!$DG$2:$DG$171,0),83)</f>
        <v>Soggetto pubblico</v>
      </c>
      <c r="S933" s="86" t="b">
        <f>IF(#REF!="staff",INDEX('Partner data'!$DG$2:$DH$171,MATCH(#REF!,'Partner data'!$DG$2:$DG$171,0),2))</f>
        <v>0</v>
      </c>
    </row>
    <row r="934" spans="1:19" x14ac:dyDescent="0.25">
      <c r="A934" t="s">
        <v>317</v>
      </c>
      <c r="B934" t="s">
        <v>320</v>
      </c>
      <c r="C934">
        <v>87</v>
      </c>
      <c r="D934">
        <v>334</v>
      </c>
      <c r="E934" t="s">
        <v>236</v>
      </c>
      <c r="G934">
        <v>0</v>
      </c>
      <c r="H934">
        <v>0</v>
      </c>
      <c r="I934">
        <v>0</v>
      </c>
      <c r="J934">
        <v>0</v>
      </c>
      <c r="K934">
        <v>0</v>
      </c>
      <c r="L934">
        <v>0</v>
      </c>
      <c r="M934">
        <v>0</v>
      </c>
      <c r="N934">
        <v>0</v>
      </c>
      <c r="O934">
        <v>0</v>
      </c>
      <c r="P934">
        <v>0</v>
      </c>
      <c r="Q934" t="str">
        <f>INDEX(pARTNER[#All],MATCH(#REF!,pARTNER[[#All],[Value.partnerSummary.id]],0),10)</f>
        <v>Slovenija (SI)</v>
      </c>
      <c r="R934" t="str">
        <f>INDEX('Partner data'!$A$2:$DG$171,MATCH(#REF!,'Partner data'!$DG$2:$DG$171,0),83)</f>
        <v>Soggetto pubblico</v>
      </c>
      <c r="S934" s="86" t="b">
        <f>IF(#REF!="staff",INDEX('Partner data'!$DG$2:$DH$171,MATCH(#REF!,'Partner data'!$DG$2:$DG$171,0),2))</f>
        <v>0</v>
      </c>
    </row>
    <row r="935" spans="1:19" x14ac:dyDescent="0.25">
      <c r="A935" t="s">
        <v>317</v>
      </c>
      <c r="B935" t="s">
        <v>320</v>
      </c>
      <c r="C935">
        <v>87</v>
      </c>
      <c r="D935">
        <v>334</v>
      </c>
      <c r="E935" t="s">
        <v>237</v>
      </c>
      <c r="G935">
        <v>0</v>
      </c>
      <c r="H935">
        <v>0</v>
      </c>
      <c r="I935">
        <v>0</v>
      </c>
      <c r="J935">
        <v>0</v>
      </c>
      <c r="K935">
        <v>0</v>
      </c>
      <c r="L935">
        <v>0</v>
      </c>
      <c r="M935">
        <v>0</v>
      </c>
      <c r="N935">
        <v>0</v>
      </c>
      <c r="O935">
        <v>0</v>
      </c>
      <c r="P935">
        <v>0</v>
      </c>
      <c r="Q935" t="str">
        <f>INDEX(pARTNER[#All],MATCH(#REF!,pARTNER[[#All],[Value.partnerSummary.id]],0),10)</f>
        <v>Slovenija (SI)</v>
      </c>
      <c r="R935" t="str">
        <f>INDEX('Partner data'!$A$2:$DG$171,MATCH(#REF!,'Partner data'!$DG$2:$DG$171,0),83)</f>
        <v>Soggetto pubblico</v>
      </c>
      <c r="S935" s="86" t="b">
        <f>IF(#REF!="staff",INDEX('Partner data'!$DG$2:$DH$171,MATCH(#REF!,'Partner data'!$DG$2:$DG$171,0),2))</f>
        <v>0</v>
      </c>
    </row>
    <row r="936" spans="1:19" x14ac:dyDescent="0.25">
      <c r="A936" t="s">
        <v>317</v>
      </c>
      <c r="B936" t="s">
        <v>320</v>
      </c>
      <c r="C936">
        <v>87</v>
      </c>
      <c r="D936">
        <v>334</v>
      </c>
      <c r="E936" t="s">
        <v>238</v>
      </c>
      <c r="G936">
        <v>162440</v>
      </c>
      <c r="H936">
        <v>0</v>
      </c>
      <c r="I936">
        <v>0</v>
      </c>
      <c r="J936">
        <v>28779.5</v>
      </c>
      <c r="K936">
        <v>0</v>
      </c>
      <c r="L936">
        <v>27903.62</v>
      </c>
      <c r="M936">
        <v>28779.5</v>
      </c>
      <c r="N936">
        <v>17.72</v>
      </c>
      <c r="O936">
        <v>133660.5</v>
      </c>
      <c r="P936">
        <v>0</v>
      </c>
      <c r="Q936" t="str">
        <f>INDEX(pARTNER[#All],MATCH(#REF!,pARTNER[[#All],[Value.partnerSummary.id]],0),10)</f>
        <v>Slovenija (SI)</v>
      </c>
      <c r="R936" t="str">
        <f>INDEX('Partner data'!$A$2:$DG$171,MATCH(#REF!,'Partner data'!$DG$2:$DG$171,0),83)</f>
        <v>Soggetto pubblico</v>
      </c>
      <c r="S936" s="86" t="b">
        <f>IF(#REF!="staff",INDEX('Partner data'!$DG$2:$DH$171,MATCH(#REF!,'Partner data'!$DG$2:$DG$171,0),2))</f>
        <v>0</v>
      </c>
    </row>
    <row r="937" spans="1:19" x14ac:dyDescent="0.25">
      <c r="A937" t="s">
        <v>317</v>
      </c>
      <c r="B937" t="s">
        <v>321</v>
      </c>
      <c r="C937">
        <v>117</v>
      </c>
      <c r="D937">
        <v>288</v>
      </c>
      <c r="E937" t="s">
        <v>228</v>
      </c>
      <c r="G937">
        <v>70360</v>
      </c>
      <c r="H937">
        <v>0</v>
      </c>
      <c r="I937">
        <v>0</v>
      </c>
      <c r="J937">
        <v>14883.91</v>
      </c>
      <c r="K937">
        <v>0</v>
      </c>
      <c r="L937">
        <v>11889.84</v>
      </c>
      <c r="M937">
        <v>14883.91</v>
      </c>
      <c r="N937">
        <v>21.15</v>
      </c>
      <c r="O937">
        <v>55476.09</v>
      </c>
      <c r="P937">
        <v>0</v>
      </c>
      <c r="Q937" t="str">
        <f>INDEX(pARTNER[#All],MATCH(#REF!,pARTNER[[#All],[Value.partnerSummary.id]],0),10)</f>
        <v>Slovenija (SI)</v>
      </c>
      <c r="R937" t="str">
        <f>INDEX('Partner data'!$A$2:$DG$171,MATCH(#REF!,'Partner data'!$DG$2:$DG$171,0),83)</f>
        <v xml:space="preserve">Organismo di diritto pubblico </v>
      </c>
      <c r="S937" s="86" t="str">
        <f>IF(#REF!="staff",INDEX('Partner data'!$DG$2:$DH$171,MATCH(#REF!,'Partner data'!$DG$2:$DG$171,0),2))</f>
        <v>COSTO REALE</v>
      </c>
    </row>
    <row r="938" spans="1:19" x14ac:dyDescent="0.25">
      <c r="A938" t="s">
        <v>317</v>
      </c>
      <c r="B938" t="s">
        <v>321</v>
      </c>
      <c r="C938">
        <v>117</v>
      </c>
      <c r="D938">
        <v>288</v>
      </c>
      <c r="E938" t="s">
        <v>229</v>
      </c>
      <c r="F938">
        <v>15</v>
      </c>
      <c r="G938">
        <v>10554</v>
      </c>
      <c r="H938">
        <v>0</v>
      </c>
      <c r="I938">
        <v>0</v>
      </c>
      <c r="J938">
        <v>2232.58</v>
      </c>
      <c r="K938">
        <v>0</v>
      </c>
      <c r="L938">
        <v>1783.47</v>
      </c>
      <c r="M938">
        <v>2232.58</v>
      </c>
      <c r="N938">
        <v>21.15</v>
      </c>
      <c r="O938">
        <v>8321.42</v>
      </c>
      <c r="P938">
        <v>0</v>
      </c>
      <c r="Q938" t="str">
        <f>INDEX(pARTNER[#All],MATCH(#REF!,pARTNER[[#All],[Value.partnerSummary.id]],0),10)</f>
        <v>Slovenija (SI)</v>
      </c>
      <c r="R938" t="str">
        <f>INDEX('Partner data'!$A$2:$DG$171,MATCH(#REF!,'Partner data'!$DG$2:$DG$171,0),83)</f>
        <v xml:space="preserve">Organismo di diritto pubblico </v>
      </c>
      <c r="S938" s="86" t="b">
        <f>IF(#REF!="staff",INDEX('Partner data'!$DG$2:$DH$171,MATCH(#REF!,'Partner data'!$DG$2:$DG$171,0),2))</f>
        <v>0</v>
      </c>
    </row>
    <row r="939" spans="1:19" x14ac:dyDescent="0.25">
      <c r="A939" t="s">
        <v>317</v>
      </c>
      <c r="B939" t="s">
        <v>321</v>
      </c>
      <c r="C939">
        <v>117</v>
      </c>
      <c r="D939">
        <v>288</v>
      </c>
      <c r="E939" t="s">
        <v>230</v>
      </c>
      <c r="F939">
        <v>4</v>
      </c>
      <c r="G939">
        <v>2814.4</v>
      </c>
      <c r="H939">
        <v>0</v>
      </c>
      <c r="I939">
        <v>0</v>
      </c>
      <c r="J939">
        <v>595.35</v>
      </c>
      <c r="K939">
        <v>0</v>
      </c>
      <c r="L939">
        <v>475.59</v>
      </c>
      <c r="M939">
        <v>595.35</v>
      </c>
      <c r="N939">
        <v>21.15</v>
      </c>
      <c r="O939">
        <v>2219.0500000000002</v>
      </c>
      <c r="P939">
        <v>0</v>
      </c>
      <c r="Q939" t="str">
        <f>INDEX(pARTNER[#All],MATCH(#REF!,pARTNER[[#All],[Value.partnerSummary.id]],0),10)</f>
        <v>Slovenija (SI)</v>
      </c>
      <c r="R939" t="str">
        <f>INDEX('Partner data'!$A$2:$DG$171,MATCH(#REF!,'Partner data'!$DG$2:$DG$171,0),83)</f>
        <v xml:space="preserve">Organismo di diritto pubblico </v>
      </c>
      <c r="S939" s="86" t="b">
        <f>IF(#REF!="staff",INDEX('Partner data'!$DG$2:$DH$171,MATCH(#REF!,'Partner data'!$DG$2:$DG$171,0),2))</f>
        <v>0</v>
      </c>
    </row>
    <row r="940" spans="1:19" x14ac:dyDescent="0.25">
      <c r="A940" t="s">
        <v>317</v>
      </c>
      <c r="B940" t="s">
        <v>321</v>
      </c>
      <c r="C940">
        <v>117</v>
      </c>
      <c r="D940">
        <v>288</v>
      </c>
      <c r="E940" t="s">
        <v>231</v>
      </c>
      <c r="G940">
        <v>37500</v>
      </c>
      <c r="H940">
        <v>0</v>
      </c>
      <c r="I940">
        <v>0</v>
      </c>
      <c r="J940">
        <v>42.21</v>
      </c>
      <c r="K940">
        <v>0</v>
      </c>
      <c r="L940">
        <v>42.21</v>
      </c>
      <c r="M940">
        <v>42.21</v>
      </c>
      <c r="N940">
        <v>0.11</v>
      </c>
      <c r="O940">
        <v>37457.79</v>
      </c>
      <c r="P940">
        <v>0</v>
      </c>
      <c r="Q940" t="str">
        <f>INDEX(pARTNER[#All],MATCH(#REF!,pARTNER[[#All],[Value.partnerSummary.id]],0),10)</f>
        <v>Slovenija (SI)</v>
      </c>
      <c r="R940" t="str">
        <f>INDEX('Partner data'!$A$2:$DG$171,MATCH(#REF!,'Partner data'!$DG$2:$DG$171,0),83)</f>
        <v xml:space="preserve">Organismo di diritto pubblico </v>
      </c>
      <c r="S940" s="86" t="b">
        <f>IF(#REF!="staff",INDEX('Partner data'!$DG$2:$DH$171,MATCH(#REF!,'Partner data'!$DG$2:$DG$171,0),2))</f>
        <v>0</v>
      </c>
    </row>
    <row r="941" spans="1:19" x14ac:dyDescent="0.25">
      <c r="A941" t="s">
        <v>317</v>
      </c>
      <c r="B941" t="s">
        <v>321</v>
      </c>
      <c r="C941">
        <v>117</v>
      </c>
      <c r="D941">
        <v>288</v>
      </c>
      <c r="E941" t="s">
        <v>232</v>
      </c>
      <c r="G941">
        <v>0</v>
      </c>
      <c r="H941">
        <v>0</v>
      </c>
      <c r="I941">
        <v>0</v>
      </c>
      <c r="J941">
        <v>0</v>
      </c>
      <c r="K941">
        <v>0</v>
      </c>
      <c r="L941">
        <v>0</v>
      </c>
      <c r="M941">
        <v>0</v>
      </c>
      <c r="N941">
        <v>0</v>
      </c>
      <c r="O941">
        <v>0</v>
      </c>
      <c r="P941">
        <v>0</v>
      </c>
      <c r="Q941" t="str">
        <f>INDEX(pARTNER[#All],MATCH(#REF!,pARTNER[[#All],[Value.partnerSummary.id]],0),10)</f>
        <v>Slovenija (SI)</v>
      </c>
      <c r="R941" t="str">
        <f>INDEX('Partner data'!$A$2:$DG$171,MATCH(#REF!,'Partner data'!$DG$2:$DG$171,0),83)</f>
        <v xml:space="preserve">Organismo di diritto pubblico </v>
      </c>
      <c r="S941" s="86" t="b">
        <f>IF(#REF!="staff",INDEX('Partner data'!$DG$2:$DH$171,MATCH(#REF!,'Partner data'!$DG$2:$DG$171,0),2))</f>
        <v>0</v>
      </c>
    </row>
    <row r="942" spans="1:19" x14ac:dyDescent="0.25">
      <c r="A942" t="s">
        <v>317</v>
      </c>
      <c r="B942" t="s">
        <v>321</v>
      </c>
      <c r="C942">
        <v>117</v>
      </c>
      <c r="D942">
        <v>288</v>
      </c>
      <c r="E942" t="s">
        <v>233</v>
      </c>
      <c r="G942">
        <v>0</v>
      </c>
      <c r="H942">
        <v>0</v>
      </c>
      <c r="I942">
        <v>0</v>
      </c>
      <c r="J942">
        <v>0</v>
      </c>
      <c r="K942">
        <v>0</v>
      </c>
      <c r="L942">
        <v>0</v>
      </c>
      <c r="M942">
        <v>0</v>
      </c>
      <c r="N942">
        <v>0</v>
      </c>
      <c r="O942">
        <v>0</v>
      </c>
      <c r="P942">
        <v>0</v>
      </c>
      <c r="Q942" t="str">
        <f>INDEX(pARTNER[#All],MATCH(#REF!,pARTNER[[#All],[Value.partnerSummary.id]],0),10)</f>
        <v>Slovenija (SI)</v>
      </c>
      <c r="R942" t="str">
        <f>INDEX('Partner data'!$A$2:$DG$171,MATCH(#REF!,'Partner data'!$DG$2:$DG$171,0),83)</f>
        <v xml:space="preserve">Organismo di diritto pubblico </v>
      </c>
      <c r="S942" s="86" t="b">
        <f>IF(#REF!="staff",INDEX('Partner data'!$DG$2:$DH$171,MATCH(#REF!,'Partner data'!$DG$2:$DG$171,0),2))</f>
        <v>0</v>
      </c>
    </row>
    <row r="943" spans="1:19" x14ac:dyDescent="0.25">
      <c r="A943" t="s">
        <v>317</v>
      </c>
      <c r="B943" t="s">
        <v>321</v>
      </c>
      <c r="C943">
        <v>117</v>
      </c>
      <c r="D943">
        <v>288</v>
      </c>
      <c r="E943" t="s">
        <v>234</v>
      </c>
      <c r="G943">
        <v>0</v>
      </c>
      <c r="H943">
        <v>0</v>
      </c>
      <c r="I943">
        <v>0</v>
      </c>
      <c r="J943">
        <v>0</v>
      </c>
      <c r="K943">
        <v>0</v>
      </c>
      <c r="L943">
        <v>0</v>
      </c>
      <c r="M943">
        <v>0</v>
      </c>
      <c r="N943">
        <v>0</v>
      </c>
      <c r="O943">
        <v>0</v>
      </c>
      <c r="P943">
        <v>0</v>
      </c>
      <c r="Q943" t="str">
        <f>INDEX(pARTNER[#All],MATCH(#REF!,pARTNER[[#All],[Value.partnerSummary.id]],0),10)</f>
        <v>Slovenija (SI)</v>
      </c>
      <c r="R943" t="str">
        <f>INDEX('Partner data'!$A$2:$DG$171,MATCH(#REF!,'Partner data'!$DG$2:$DG$171,0),83)</f>
        <v xml:space="preserve">Organismo di diritto pubblico </v>
      </c>
      <c r="S943" s="86" t="b">
        <f>IF(#REF!="staff",INDEX('Partner data'!$DG$2:$DH$171,MATCH(#REF!,'Partner data'!$DG$2:$DG$171,0),2))</f>
        <v>0</v>
      </c>
    </row>
    <row r="944" spans="1:19" x14ac:dyDescent="0.25">
      <c r="A944" t="s">
        <v>317</v>
      </c>
      <c r="B944" t="s">
        <v>321</v>
      </c>
      <c r="C944">
        <v>117</v>
      </c>
      <c r="D944">
        <v>288</v>
      </c>
      <c r="E944" t="s">
        <v>235</v>
      </c>
      <c r="G944">
        <v>0</v>
      </c>
      <c r="H944">
        <v>0</v>
      </c>
      <c r="I944">
        <v>0</v>
      </c>
      <c r="J944">
        <v>0</v>
      </c>
      <c r="K944">
        <v>0</v>
      </c>
      <c r="L944">
        <v>0</v>
      </c>
      <c r="M944">
        <v>0</v>
      </c>
      <c r="N944">
        <v>0</v>
      </c>
      <c r="O944">
        <v>0</v>
      </c>
      <c r="P944">
        <v>0</v>
      </c>
      <c r="Q944" t="str">
        <f>INDEX(pARTNER[#All],MATCH(#REF!,pARTNER[[#All],[Value.partnerSummary.id]],0),10)</f>
        <v>Slovenija (SI)</v>
      </c>
      <c r="R944" t="str">
        <f>INDEX('Partner data'!$A$2:$DG$171,MATCH(#REF!,'Partner data'!$DG$2:$DG$171,0),83)</f>
        <v xml:space="preserve">Organismo di diritto pubblico </v>
      </c>
      <c r="S944" s="86" t="b">
        <f>IF(#REF!="staff",INDEX('Partner data'!$DG$2:$DH$171,MATCH(#REF!,'Partner data'!$DG$2:$DG$171,0),2))</f>
        <v>0</v>
      </c>
    </row>
    <row r="945" spans="1:19" x14ac:dyDescent="0.25">
      <c r="A945" t="s">
        <v>317</v>
      </c>
      <c r="B945" t="s">
        <v>321</v>
      </c>
      <c r="C945">
        <v>117</v>
      </c>
      <c r="D945">
        <v>288</v>
      </c>
      <c r="E945" t="s">
        <v>236</v>
      </c>
      <c r="G945">
        <v>0</v>
      </c>
      <c r="H945">
        <v>0</v>
      </c>
      <c r="I945">
        <v>0</v>
      </c>
      <c r="J945">
        <v>0</v>
      </c>
      <c r="K945">
        <v>0</v>
      </c>
      <c r="L945">
        <v>0</v>
      </c>
      <c r="M945">
        <v>0</v>
      </c>
      <c r="N945">
        <v>0</v>
      </c>
      <c r="O945">
        <v>0</v>
      </c>
      <c r="P945">
        <v>0</v>
      </c>
      <c r="Q945" t="str">
        <f>INDEX(pARTNER[#All],MATCH(#REF!,pARTNER[[#All],[Value.partnerSummary.id]],0),10)</f>
        <v>Slovenija (SI)</v>
      </c>
      <c r="R945" t="str">
        <f>INDEX('Partner data'!$A$2:$DG$171,MATCH(#REF!,'Partner data'!$DG$2:$DG$171,0),83)</f>
        <v xml:space="preserve">Organismo di diritto pubblico </v>
      </c>
      <c r="S945" s="86" t="b">
        <f>IF(#REF!="staff",INDEX('Partner data'!$DG$2:$DH$171,MATCH(#REF!,'Partner data'!$DG$2:$DG$171,0),2))</f>
        <v>0</v>
      </c>
    </row>
    <row r="946" spans="1:19" x14ac:dyDescent="0.25">
      <c r="A946" t="s">
        <v>317</v>
      </c>
      <c r="B946" t="s">
        <v>321</v>
      </c>
      <c r="C946">
        <v>117</v>
      </c>
      <c r="D946">
        <v>288</v>
      </c>
      <c r="E946" t="s">
        <v>237</v>
      </c>
      <c r="G946">
        <v>0</v>
      </c>
      <c r="H946">
        <v>0</v>
      </c>
      <c r="I946">
        <v>0</v>
      </c>
      <c r="J946">
        <v>0</v>
      </c>
      <c r="K946">
        <v>0</v>
      </c>
      <c r="L946">
        <v>0</v>
      </c>
      <c r="M946">
        <v>0</v>
      </c>
      <c r="N946">
        <v>0</v>
      </c>
      <c r="O946">
        <v>0</v>
      </c>
      <c r="P946">
        <v>0</v>
      </c>
      <c r="Q946" t="str">
        <f>INDEX(pARTNER[#All],MATCH(#REF!,pARTNER[[#All],[Value.partnerSummary.id]],0),10)</f>
        <v>Slovenija (SI)</v>
      </c>
      <c r="R946" t="str">
        <f>INDEX('Partner data'!$A$2:$DG$171,MATCH(#REF!,'Partner data'!$DG$2:$DG$171,0),83)</f>
        <v xml:space="preserve">Organismo di diritto pubblico </v>
      </c>
      <c r="S946" s="86" t="b">
        <f>IF(#REF!="staff",INDEX('Partner data'!$DG$2:$DH$171,MATCH(#REF!,'Partner data'!$DG$2:$DG$171,0),2))</f>
        <v>0</v>
      </c>
    </row>
    <row r="947" spans="1:19" x14ac:dyDescent="0.25">
      <c r="A947" t="s">
        <v>317</v>
      </c>
      <c r="B947" t="s">
        <v>321</v>
      </c>
      <c r="C947">
        <v>117</v>
      </c>
      <c r="D947">
        <v>288</v>
      </c>
      <c r="E947" t="s">
        <v>238</v>
      </c>
      <c r="G947">
        <v>121228.4</v>
      </c>
      <c r="H947">
        <v>0</v>
      </c>
      <c r="I947">
        <v>0</v>
      </c>
      <c r="J947">
        <v>17754.05</v>
      </c>
      <c r="K947">
        <v>0</v>
      </c>
      <c r="L947">
        <v>14191.11</v>
      </c>
      <c r="M947">
        <v>17754.05</v>
      </c>
      <c r="N947">
        <v>14.65</v>
      </c>
      <c r="O947">
        <v>103474.35</v>
      </c>
      <c r="P947">
        <v>0</v>
      </c>
      <c r="Q947" t="str">
        <f>INDEX(pARTNER[#All],MATCH(#REF!,pARTNER[[#All],[Value.partnerSummary.id]],0),10)</f>
        <v>Slovenija (SI)</v>
      </c>
      <c r="R947" t="str">
        <f>INDEX('Partner data'!$A$2:$DG$171,MATCH(#REF!,'Partner data'!$DG$2:$DG$171,0),83)</f>
        <v xml:space="preserve">Organismo di diritto pubblico </v>
      </c>
      <c r="S947" s="86" t="b">
        <f>IF(#REF!="staff",INDEX('Partner data'!$DG$2:$DH$171,MATCH(#REF!,'Partner data'!$DG$2:$DG$171,0),2))</f>
        <v>0</v>
      </c>
    </row>
    <row r="948" spans="1:19" x14ac:dyDescent="0.25">
      <c r="A948" t="s">
        <v>317</v>
      </c>
      <c r="B948" t="s">
        <v>322</v>
      </c>
      <c r="C948">
        <v>285</v>
      </c>
      <c r="D948">
        <v>316</v>
      </c>
      <c r="E948" t="s">
        <v>228</v>
      </c>
      <c r="G948">
        <v>40000</v>
      </c>
      <c r="H948">
        <v>0</v>
      </c>
      <c r="I948">
        <v>0</v>
      </c>
      <c r="J948">
        <v>4010</v>
      </c>
      <c r="K948">
        <v>0</v>
      </c>
      <c r="L948">
        <v>4010</v>
      </c>
      <c r="M948">
        <v>4010</v>
      </c>
      <c r="N948">
        <v>10.029999999999999</v>
      </c>
      <c r="O948">
        <v>35990</v>
      </c>
      <c r="P948">
        <v>0</v>
      </c>
      <c r="Q948" t="str">
        <f>INDEX(pARTNER[#All],MATCH(#REF!,pARTNER[[#All],[Value.partnerSummary.id]],0),10)</f>
        <v>Italia (IT)</v>
      </c>
      <c r="R948" t="str">
        <f>INDEX('Partner data'!$A$2:$DG$171,MATCH(#REF!,'Partner data'!$DG$2:$DG$171,0),83)</f>
        <v xml:space="preserve">Organismo di diritto pubblico </v>
      </c>
      <c r="S948" s="86" t="str">
        <f>IF(#REF!="staff",INDEX('Partner data'!$DG$2:$DH$171,MATCH(#REF!,'Partner data'!$DG$2:$DG$171,0),2))</f>
        <v>Costo Unitario Standard</v>
      </c>
    </row>
    <row r="949" spans="1:19" x14ac:dyDescent="0.25">
      <c r="A949" t="s">
        <v>317</v>
      </c>
      <c r="B949" t="s">
        <v>322</v>
      </c>
      <c r="C949">
        <v>285</v>
      </c>
      <c r="D949">
        <v>316</v>
      </c>
      <c r="E949" t="s">
        <v>229</v>
      </c>
      <c r="F949">
        <v>15</v>
      </c>
      <c r="G949">
        <v>6000</v>
      </c>
      <c r="H949">
        <v>0</v>
      </c>
      <c r="I949">
        <v>0</v>
      </c>
      <c r="J949">
        <v>601.5</v>
      </c>
      <c r="K949">
        <v>0</v>
      </c>
      <c r="L949">
        <v>601.5</v>
      </c>
      <c r="M949">
        <v>601.5</v>
      </c>
      <c r="N949">
        <v>10.029999999999999</v>
      </c>
      <c r="O949">
        <v>5398.5</v>
      </c>
      <c r="P949">
        <v>0</v>
      </c>
      <c r="Q949" t="str">
        <f>INDEX(pARTNER[#All],MATCH(#REF!,pARTNER[[#All],[Value.partnerSummary.id]],0),10)</f>
        <v>Italia (IT)</v>
      </c>
      <c r="R949" t="str">
        <f>INDEX('Partner data'!$A$2:$DG$171,MATCH(#REF!,'Partner data'!$DG$2:$DG$171,0),83)</f>
        <v xml:space="preserve">Organismo di diritto pubblico </v>
      </c>
      <c r="S949" s="86" t="b">
        <f>IF(#REF!="staff",INDEX('Partner data'!$DG$2:$DH$171,MATCH(#REF!,'Partner data'!$DG$2:$DG$171,0),2))</f>
        <v>0</v>
      </c>
    </row>
    <row r="950" spans="1:19" x14ac:dyDescent="0.25">
      <c r="A950" t="s">
        <v>317</v>
      </c>
      <c r="B950" t="s">
        <v>322</v>
      </c>
      <c r="C950">
        <v>285</v>
      </c>
      <c r="D950">
        <v>316</v>
      </c>
      <c r="E950" t="s">
        <v>230</v>
      </c>
      <c r="F950">
        <v>4</v>
      </c>
      <c r="G950">
        <v>1600</v>
      </c>
      <c r="H950">
        <v>0</v>
      </c>
      <c r="I950">
        <v>0</v>
      </c>
      <c r="J950">
        <v>160.4</v>
      </c>
      <c r="K950">
        <v>0</v>
      </c>
      <c r="L950">
        <v>160.4</v>
      </c>
      <c r="M950">
        <v>160.4</v>
      </c>
      <c r="N950">
        <v>10.029999999999999</v>
      </c>
      <c r="O950">
        <v>1439.6</v>
      </c>
      <c r="P950">
        <v>0</v>
      </c>
      <c r="Q950" t="str">
        <f>INDEX(pARTNER[#All],MATCH(#REF!,pARTNER[[#All],[Value.partnerSummary.id]],0),10)</f>
        <v>Italia (IT)</v>
      </c>
      <c r="R950" t="str">
        <f>INDEX('Partner data'!$A$2:$DG$171,MATCH(#REF!,'Partner data'!$DG$2:$DG$171,0),83)</f>
        <v xml:space="preserve">Organismo di diritto pubblico </v>
      </c>
      <c r="S950" s="86" t="b">
        <f>IF(#REF!="staff",INDEX('Partner data'!$DG$2:$DH$171,MATCH(#REF!,'Partner data'!$DG$2:$DG$171,0),2))</f>
        <v>0</v>
      </c>
    </row>
    <row r="951" spans="1:19" x14ac:dyDescent="0.25">
      <c r="A951" t="s">
        <v>317</v>
      </c>
      <c r="B951" t="s">
        <v>322</v>
      </c>
      <c r="C951">
        <v>285</v>
      </c>
      <c r="D951">
        <v>316</v>
      </c>
      <c r="E951" t="s">
        <v>231</v>
      </c>
      <c r="G951">
        <v>52800</v>
      </c>
      <c r="H951">
        <v>0</v>
      </c>
      <c r="I951">
        <v>0</v>
      </c>
      <c r="J951">
        <v>0</v>
      </c>
      <c r="K951">
        <v>0</v>
      </c>
      <c r="L951">
        <v>0</v>
      </c>
      <c r="M951">
        <v>0</v>
      </c>
      <c r="N951">
        <v>0</v>
      </c>
      <c r="O951">
        <v>52800</v>
      </c>
      <c r="P951">
        <v>0</v>
      </c>
      <c r="Q951" t="str">
        <f>INDEX(pARTNER[#All],MATCH(#REF!,pARTNER[[#All],[Value.partnerSummary.id]],0),10)</f>
        <v>Italia (IT)</v>
      </c>
      <c r="R951" t="str">
        <f>INDEX('Partner data'!$A$2:$DG$171,MATCH(#REF!,'Partner data'!$DG$2:$DG$171,0),83)</f>
        <v xml:space="preserve">Organismo di diritto pubblico </v>
      </c>
      <c r="S951" s="86" t="b">
        <f>IF(#REF!="staff",INDEX('Partner data'!$DG$2:$DH$171,MATCH(#REF!,'Partner data'!$DG$2:$DG$171,0),2))</f>
        <v>0</v>
      </c>
    </row>
    <row r="952" spans="1:19" x14ac:dyDescent="0.25">
      <c r="A952" t="s">
        <v>317</v>
      </c>
      <c r="B952" t="s">
        <v>322</v>
      </c>
      <c r="C952">
        <v>285</v>
      </c>
      <c r="D952">
        <v>316</v>
      </c>
      <c r="E952" t="s">
        <v>232</v>
      </c>
      <c r="G952">
        <v>0</v>
      </c>
      <c r="H952">
        <v>0</v>
      </c>
      <c r="I952">
        <v>0</v>
      </c>
      <c r="J952">
        <v>0</v>
      </c>
      <c r="K952">
        <v>0</v>
      </c>
      <c r="L952">
        <v>0</v>
      </c>
      <c r="M952">
        <v>0</v>
      </c>
      <c r="N952">
        <v>0</v>
      </c>
      <c r="O952">
        <v>0</v>
      </c>
      <c r="P952">
        <v>0</v>
      </c>
      <c r="Q952" t="str">
        <f>INDEX(pARTNER[#All],MATCH(#REF!,pARTNER[[#All],[Value.partnerSummary.id]],0),10)</f>
        <v>Italia (IT)</v>
      </c>
      <c r="R952" t="str">
        <f>INDEX('Partner data'!$A$2:$DG$171,MATCH(#REF!,'Partner data'!$DG$2:$DG$171,0),83)</f>
        <v xml:space="preserve">Organismo di diritto pubblico </v>
      </c>
      <c r="S952" s="86" t="b">
        <f>IF(#REF!="staff",INDEX('Partner data'!$DG$2:$DH$171,MATCH(#REF!,'Partner data'!$DG$2:$DG$171,0),2))</f>
        <v>0</v>
      </c>
    </row>
    <row r="953" spans="1:19" x14ac:dyDescent="0.25">
      <c r="A953" t="s">
        <v>317</v>
      </c>
      <c r="B953" t="s">
        <v>322</v>
      </c>
      <c r="C953">
        <v>285</v>
      </c>
      <c r="D953">
        <v>316</v>
      </c>
      <c r="E953" t="s">
        <v>233</v>
      </c>
      <c r="G953">
        <v>0</v>
      </c>
      <c r="H953">
        <v>0</v>
      </c>
      <c r="I953">
        <v>0</v>
      </c>
      <c r="J953">
        <v>0</v>
      </c>
      <c r="K953">
        <v>0</v>
      </c>
      <c r="L953">
        <v>0</v>
      </c>
      <c r="M953">
        <v>0</v>
      </c>
      <c r="N953">
        <v>0</v>
      </c>
      <c r="O953">
        <v>0</v>
      </c>
      <c r="P953">
        <v>0</v>
      </c>
      <c r="Q953" t="str">
        <f>INDEX(pARTNER[#All],MATCH(#REF!,pARTNER[[#All],[Value.partnerSummary.id]],0),10)</f>
        <v>Italia (IT)</v>
      </c>
      <c r="R953" t="str">
        <f>INDEX('Partner data'!$A$2:$DG$171,MATCH(#REF!,'Partner data'!$DG$2:$DG$171,0),83)</f>
        <v xml:space="preserve">Organismo di diritto pubblico </v>
      </c>
      <c r="S953" s="86" t="b">
        <f>IF(#REF!="staff",INDEX('Partner data'!$DG$2:$DH$171,MATCH(#REF!,'Partner data'!$DG$2:$DG$171,0),2))</f>
        <v>0</v>
      </c>
    </row>
    <row r="954" spans="1:19" x14ac:dyDescent="0.25">
      <c r="A954" t="s">
        <v>317</v>
      </c>
      <c r="B954" t="s">
        <v>322</v>
      </c>
      <c r="C954">
        <v>285</v>
      </c>
      <c r="D954">
        <v>316</v>
      </c>
      <c r="E954" t="s">
        <v>234</v>
      </c>
      <c r="G954">
        <v>0</v>
      </c>
      <c r="H954">
        <v>0</v>
      </c>
      <c r="I954">
        <v>0</v>
      </c>
      <c r="J954">
        <v>0</v>
      </c>
      <c r="K954">
        <v>0</v>
      </c>
      <c r="L954">
        <v>0</v>
      </c>
      <c r="M954">
        <v>0</v>
      </c>
      <c r="N954">
        <v>0</v>
      </c>
      <c r="O954">
        <v>0</v>
      </c>
      <c r="P954">
        <v>0</v>
      </c>
      <c r="Q954" t="str">
        <f>INDEX(pARTNER[#All],MATCH(#REF!,pARTNER[[#All],[Value.partnerSummary.id]],0),10)</f>
        <v>Italia (IT)</v>
      </c>
      <c r="R954" t="str">
        <f>INDEX('Partner data'!$A$2:$DG$171,MATCH(#REF!,'Partner data'!$DG$2:$DG$171,0),83)</f>
        <v xml:space="preserve">Organismo di diritto pubblico </v>
      </c>
      <c r="S954" s="86" t="b">
        <f>IF(#REF!="staff",INDEX('Partner data'!$DG$2:$DH$171,MATCH(#REF!,'Partner data'!$DG$2:$DG$171,0),2))</f>
        <v>0</v>
      </c>
    </row>
    <row r="955" spans="1:19" x14ac:dyDescent="0.25">
      <c r="A955" t="s">
        <v>317</v>
      </c>
      <c r="B955" t="s">
        <v>322</v>
      </c>
      <c r="C955">
        <v>285</v>
      </c>
      <c r="D955">
        <v>316</v>
      </c>
      <c r="E955" t="s">
        <v>235</v>
      </c>
      <c r="G955">
        <v>0</v>
      </c>
      <c r="H955">
        <v>0</v>
      </c>
      <c r="I955">
        <v>0</v>
      </c>
      <c r="J955">
        <v>0</v>
      </c>
      <c r="K955">
        <v>0</v>
      </c>
      <c r="L955">
        <v>0</v>
      </c>
      <c r="M955">
        <v>0</v>
      </c>
      <c r="N955">
        <v>0</v>
      </c>
      <c r="O955">
        <v>0</v>
      </c>
      <c r="P955">
        <v>0</v>
      </c>
      <c r="Q955" t="str">
        <f>INDEX(pARTNER[#All],MATCH(#REF!,pARTNER[[#All],[Value.partnerSummary.id]],0),10)</f>
        <v>Italia (IT)</v>
      </c>
      <c r="R955" t="str">
        <f>INDEX('Partner data'!$A$2:$DG$171,MATCH(#REF!,'Partner data'!$DG$2:$DG$171,0),83)</f>
        <v xml:space="preserve">Organismo di diritto pubblico </v>
      </c>
      <c r="S955" s="86" t="b">
        <f>IF(#REF!="staff",INDEX('Partner data'!$DG$2:$DH$171,MATCH(#REF!,'Partner data'!$DG$2:$DG$171,0),2))</f>
        <v>0</v>
      </c>
    </row>
    <row r="956" spans="1:19" x14ac:dyDescent="0.25">
      <c r="A956" t="s">
        <v>317</v>
      </c>
      <c r="B956" t="s">
        <v>322</v>
      </c>
      <c r="C956">
        <v>285</v>
      </c>
      <c r="D956">
        <v>316</v>
      </c>
      <c r="E956" t="s">
        <v>236</v>
      </c>
      <c r="G956">
        <v>0</v>
      </c>
      <c r="H956">
        <v>0</v>
      </c>
      <c r="I956">
        <v>0</v>
      </c>
      <c r="J956">
        <v>0</v>
      </c>
      <c r="K956">
        <v>0</v>
      </c>
      <c r="L956">
        <v>0</v>
      </c>
      <c r="M956">
        <v>0</v>
      </c>
      <c r="N956">
        <v>0</v>
      </c>
      <c r="O956">
        <v>0</v>
      </c>
      <c r="P956">
        <v>0</v>
      </c>
      <c r="Q956" t="str">
        <f>INDEX(pARTNER[#All],MATCH(#REF!,pARTNER[[#All],[Value.partnerSummary.id]],0),10)</f>
        <v>Italia (IT)</v>
      </c>
      <c r="R956" t="str">
        <f>INDEX('Partner data'!$A$2:$DG$171,MATCH(#REF!,'Partner data'!$DG$2:$DG$171,0),83)</f>
        <v xml:space="preserve">Organismo di diritto pubblico </v>
      </c>
      <c r="S956" s="86" t="b">
        <f>IF(#REF!="staff",INDEX('Partner data'!$DG$2:$DH$171,MATCH(#REF!,'Partner data'!$DG$2:$DG$171,0),2))</f>
        <v>0</v>
      </c>
    </row>
    <row r="957" spans="1:19" x14ac:dyDescent="0.25">
      <c r="A957" t="s">
        <v>317</v>
      </c>
      <c r="B957" t="s">
        <v>322</v>
      </c>
      <c r="C957">
        <v>285</v>
      </c>
      <c r="D957">
        <v>316</v>
      </c>
      <c r="E957" t="s">
        <v>237</v>
      </c>
      <c r="G957">
        <v>0</v>
      </c>
      <c r="H957">
        <v>0</v>
      </c>
      <c r="I957">
        <v>0</v>
      </c>
      <c r="J957">
        <v>0</v>
      </c>
      <c r="K957">
        <v>0</v>
      </c>
      <c r="L957">
        <v>0</v>
      </c>
      <c r="M957">
        <v>0</v>
      </c>
      <c r="N957">
        <v>0</v>
      </c>
      <c r="O957">
        <v>0</v>
      </c>
      <c r="P957">
        <v>0</v>
      </c>
      <c r="Q957" t="str">
        <f>INDEX(pARTNER[#All],MATCH(#REF!,pARTNER[[#All],[Value.partnerSummary.id]],0),10)</f>
        <v>Italia (IT)</v>
      </c>
      <c r="R957" t="str">
        <f>INDEX('Partner data'!$A$2:$DG$171,MATCH(#REF!,'Partner data'!$DG$2:$DG$171,0),83)</f>
        <v xml:space="preserve">Organismo di diritto pubblico </v>
      </c>
      <c r="S957" s="86" t="b">
        <f>IF(#REF!="staff",INDEX('Partner data'!$DG$2:$DH$171,MATCH(#REF!,'Partner data'!$DG$2:$DG$171,0),2))</f>
        <v>0</v>
      </c>
    </row>
    <row r="958" spans="1:19" x14ac:dyDescent="0.25">
      <c r="A958" t="s">
        <v>317</v>
      </c>
      <c r="B958" t="s">
        <v>322</v>
      </c>
      <c r="C958">
        <v>285</v>
      </c>
      <c r="D958">
        <v>316</v>
      </c>
      <c r="E958" t="s">
        <v>238</v>
      </c>
      <c r="G958">
        <v>100400</v>
      </c>
      <c r="H958">
        <v>0</v>
      </c>
      <c r="I958">
        <v>0</v>
      </c>
      <c r="J958">
        <v>4771.8999999999996</v>
      </c>
      <c r="K958">
        <v>0</v>
      </c>
      <c r="L958">
        <v>4771.8999999999996</v>
      </c>
      <c r="M958">
        <v>4771.8999999999996</v>
      </c>
      <c r="N958">
        <v>4.75</v>
      </c>
      <c r="O958">
        <v>95628.1</v>
      </c>
      <c r="P958">
        <v>0</v>
      </c>
      <c r="Q958" t="str">
        <f>INDEX(pARTNER[#All],MATCH(#REF!,pARTNER[[#All],[Value.partnerSummary.id]],0),10)</f>
        <v>Italia (IT)</v>
      </c>
      <c r="R958" t="str">
        <f>INDEX('Partner data'!$A$2:$DG$171,MATCH(#REF!,'Partner data'!$DG$2:$DG$171,0),83)</f>
        <v xml:space="preserve">Organismo di diritto pubblico </v>
      </c>
      <c r="S958" s="86" t="b">
        <f>IF(#REF!="staff",INDEX('Partner data'!$DG$2:$DH$171,MATCH(#REF!,'Partner data'!$DG$2:$DG$171,0),2))</f>
        <v>0</v>
      </c>
    </row>
    <row r="959" spans="1:19" x14ac:dyDescent="0.25">
      <c r="A959" t="s">
        <v>317</v>
      </c>
      <c r="B959" t="s">
        <v>39</v>
      </c>
      <c r="C959">
        <v>220</v>
      </c>
      <c r="D959">
        <v>311</v>
      </c>
      <c r="E959" t="s">
        <v>228</v>
      </c>
      <c r="G959">
        <v>40041</v>
      </c>
      <c r="H959">
        <v>0</v>
      </c>
      <c r="I959">
        <v>0</v>
      </c>
      <c r="J959">
        <v>2808</v>
      </c>
      <c r="K959">
        <v>0</v>
      </c>
      <c r="L959">
        <v>2808</v>
      </c>
      <c r="M959">
        <v>2808</v>
      </c>
      <c r="N959">
        <v>7.01</v>
      </c>
      <c r="O959">
        <v>37233</v>
      </c>
      <c r="P959">
        <v>0</v>
      </c>
      <c r="Q959" t="str">
        <f>INDEX(pARTNER[#All],MATCH(#REF!,pARTNER[[#All],[Value.partnerSummary.id]],0),10)</f>
        <v>Italia (IT)</v>
      </c>
      <c r="R959" t="str">
        <f>INDEX('Partner data'!$A$2:$DG$171,MATCH(#REF!,'Partner data'!$DG$2:$DG$171,0),83)</f>
        <v xml:space="preserve">Organismo di diritto pubblico </v>
      </c>
      <c r="S959" s="86" t="str">
        <f>IF(#REF!="staff",INDEX('Partner data'!$DG$2:$DH$171,MATCH(#REF!,'Partner data'!$DG$2:$DG$171,0),2))</f>
        <v>COSTO REALE</v>
      </c>
    </row>
    <row r="960" spans="1:19" x14ac:dyDescent="0.25">
      <c r="A960" t="s">
        <v>317</v>
      </c>
      <c r="B960" t="s">
        <v>39</v>
      </c>
      <c r="C960">
        <v>220</v>
      </c>
      <c r="D960">
        <v>311</v>
      </c>
      <c r="E960" t="s">
        <v>229</v>
      </c>
      <c r="F960">
        <v>15</v>
      </c>
      <c r="G960">
        <v>6006.15</v>
      </c>
      <c r="H960">
        <v>0</v>
      </c>
      <c r="I960">
        <v>0</v>
      </c>
      <c r="J960">
        <v>421.2</v>
      </c>
      <c r="K960">
        <v>0</v>
      </c>
      <c r="L960">
        <v>421.2</v>
      </c>
      <c r="M960">
        <v>421.2</v>
      </c>
      <c r="N960">
        <v>7.01</v>
      </c>
      <c r="O960">
        <v>5584.95</v>
      </c>
      <c r="P960">
        <v>0</v>
      </c>
      <c r="Q960" t="str">
        <f>INDEX(pARTNER[#All],MATCH(#REF!,pARTNER[[#All],[Value.partnerSummary.id]],0),10)</f>
        <v>Italia (IT)</v>
      </c>
      <c r="R960" t="str">
        <f>INDEX('Partner data'!$A$2:$DG$171,MATCH(#REF!,'Partner data'!$DG$2:$DG$171,0),83)</f>
        <v xml:space="preserve">Organismo di diritto pubblico </v>
      </c>
      <c r="S960" s="86" t="b">
        <f>IF(#REF!="staff",INDEX('Partner data'!$DG$2:$DH$171,MATCH(#REF!,'Partner data'!$DG$2:$DG$171,0),2))</f>
        <v>0</v>
      </c>
    </row>
    <row r="961" spans="1:19" x14ac:dyDescent="0.25">
      <c r="A961" t="s">
        <v>317</v>
      </c>
      <c r="B961" t="s">
        <v>39</v>
      </c>
      <c r="C961">
        <v>220</v>
      </c>
      <c r="D961">
        <v>311</v>
      </c>
      <c r="E961" t="s">
        <v>230</v>
      </c>
      <c r="F961">
        <v>4</v>
      </c>
      <c r="G961">
        <v>1601.64</v>
      </c>
      <c r="H961">
        <v>0</v>
      </c>
      <c r="I961">
        <v>0</v>
      </c>
      <c r="J961">
        <v>112.32</v>
      </c>
      <c r="K961">
        <v>0</v>
      </c>
      <c r="L961">
        <v>112.32</v>
      </c>
      <c r="M961">
        <v>112.32</v>
      </c>
      <c r="N961">
        <v>7.01</v>
      </c>
      <c r="O961">
        <v>1489.32</v>
      </c>
      <c r="P961">
        <v>0</v>
      </c>
      <c r="Q961" t="str">
        <f>INDEX(pARTNER[#All],MATCH(#REF!,pARTNER[[#All],[Value.partnerSummary.id]],0),10)</f>
        <v>Italia (IT)</v>
      </c>
      <c r="R961" t="str">
        <f>INDEX('Partner data'!$A$2:$DG$171,MATCH(#REF!,'Partner data'!$DG$2:$DG$171,0),83)</f>
        <v xml:space="preserve">Organismo di diritto pubblico </v>
      </c>
      <c r="S961" s="86" t="b">
        <f>IF(#REF!="staff",INDEX('Partner data'!$DG$2:$DH$171,MATCH(#REF!,'Partner data'!$DG$2:$DG$171,0),2))</f>
        <v>0</v>
      </c>
    </row>
    <row r="962" spans="1:19" x14ac:dyDescent="0.25">
      <c r="A962" t="s">
        <v>317</v>
      </c>
      <c r="B962" t="s">
        <v>39</v>
      </c>
      <c r="C962">
        <v>220</v>
      </c>
      <c r="D962">
        <v>311</v>
      </c>
      <c r="E962" t="s">
        <v>231</v>
      </c>
      <c r="G962">
        <v>55000</v>
      </c>
      <c r="H962">
        <v>0</v>
      </c>
      <c r="I962">
        <v>0</v>
      </c>
      <c r="J962">
        <v>0</v>
      </c>
      <c r="K962">
        <v>0</v>
      </c>
      <c r="L962">
        <v>0</v>
      </c>
      <c r="M962">
        <v>0</v>
      </c>
      <c r="N962">
        <v>0</v>
      </c>
      <c r="O962">
        <v>55000</v>
      </c>
      <c r="P962">
        <v>0</v>
      </c>
      <c r="Q962" t="str">
        <f>INDEX(pARTNER[#All],MATCH(#REF!,pARTNER[[#All],[Value.partnerSummary.id]],0),10)</f>
        <v>Italia (IT)</v>
      </c>
      <c r="R962" t="str">
        <f>INDEX('Partner data'!$A$2:$DG$171,MATCH(#REF!,'Partner data'!$DG$2:$DG$171,0),83)</f>
        <v xml:space="preserve">Organismo di diritto pubblico </v>
      </c>
      <c r="S962" s="86" t="b">
        <f>IF(#REF!="staff",INDEX('Partner data'!$DG$2:$DH$171,MATCH(#REF!,'Partner data'!$DG$2:$DG$171,0),2))</f>
        <v>0</v>
      </c>
    </row>
    <row r="963" spans="1:19" x14ac:dyDescent="0.25">
      <c r="A963" t="s">
        <v>317</v>
      </c>
      <c r="B963" t="s">
        <v>39</v>
      </c>
      <c r="C963">
        <v>220</v>
      </c>
      <c r="D963">
        <v>311</v>
      </c>
      <c r="E963" t="s">
        <v>232</v>
      </c>
      <c r="G963">
        <v>0</v>
      </c>
      <c r="H963">
        <v>0</v>
      </c>
      <c r="I963">
        <v>0</v>
      </c>
      <c r="J963">
        <v>0</v>
      </c>
      <c r="K963">
        <v>0</v>
      </c>
      <c r="L963">
        <v>0</v>
      </c>
      <c r="M963">
        <v>0</v>
      </c>
      <c r="N963">
        <v>0</v>
      </c>
      <c r="O963">
        <v>0</v>
      </c>
      <c r="P963">
        <v>0</v>
      </c>
      <c r="Q963" t="str">
        <f>INDEX(pARTNER[#All],MATCH(#REF!,pARTNER[[#All],[Value.partnerSummary.id]],0),10)</f>
        <v>Italia (IT)</v>
      </c>
      <c r="R963" t="str">
        <f>INDEX('Partner data'!$A$2:$DG$171,MATCH(#REF!,'Partner data'!$DG$2:$DG$171,0),83)</f>
        <v xml:space="preserve">Organismo di diritto pubblico </v>
      </c>
      <c r="S963" s="86" t="b">
        <f>IF(#REF!="staff",INDEX('Partner data'!$DG$2:$DH$171,MATCH(#REF!,'Partner data'!$DG$2:$DG$171,0),2))</f>
        <v>0</v>
      </c>
    </row>
    <row r="964" spans="1:19" x14ac:dyDescent="0.25">
      <c r="A964" t="s">
        <v>317</v>
      </c>
      <c r="B964" t="s">
        <v>39</v>
      </c>
      <c r="C964">
        <v>220</v>
      </c>
      <c r="D964">
        <v>311</v>
      </c>
      <c r="E964" t="s">
        <v>233</v>
      </c>
      <c r="G964">
        <v>0</v>
      </c>
      <c r="H964">
        <v>0</v>
      </c>
      <c r="I964">
        <v>0</v>
      </c>
      <c r="J964">
        <v>0</v>
      </c>
      <c r="K964">
        <v>0</v>
      </c>
      <c r="L964">
        <v>0</v>
      </c>
      <c r="M964">
        <v>0</v>
      </c>
      <c r="N964">
        <v>0</v>
      </c>
      <c r="O964">
        <v>0</v>
      </c>
      <c r="P964">
        <v>0</v>
      </c>
      <c r="Q964" t="str">
        <f>INDEX(pARTNER[#All],MATCH(#REF!,pARTNER[[#All],[Value.partnerSummary.id]],0),10)</f>
        <v>Italia (IT)</v>
      </c>
      <c r="R964" t="str">
        <f>INDEX('Partner data'!$A$2:$DG$171,MATCH(#REF!,'Partner data'!$DG$2:$DG$171,0),83)</f>
        <v xml:space="preserve">Organismo di diritto pubblico </v>
      </c>
      <c r="S964" s="86" t="b">
        <f>IF(#REF!="staff",INDEX('Partner data'!$DG$2:$DH$171,MATCH(#REF!,'Partner data'!$DG$2:$DG$171,0),2))</f>
        <v>0</v>
      </c>
    </row>
    <row r="965" spans="1:19" x14ac:dyDescent="0.25">
      <c r="A965" t="s">
        <v>317</v>
      </c>
      <c r="B965" t="s">
        <v>39</v>
      </c>
      <c r="C965">
        <v>220</v>
      </c>
      <c r="D965">
        <v>311</v>
      </c>
      <c r="E965" t="s">
        <v>234</v>
      </c>
      <c r="G965">
        <v>0</v>
      </c>
      <c r="H965">
        <v>0</v>
      </c>
      <c r="I965">
        <v>0</v>
      </c>
      <c r="J965">
        <v>0</v>
      </c>
      <c r="K965">
        <v>0</v>
      </c>
      <c r="L965">
        <v>0</v>
      </c>
      <c r="M965">
        <v>0</v>
      </c>
      <c r="N965">
        <v>0</v>
      </c>
      <c r="O965">
        <v>0</v>
      </c>
      <c r="P965">
        <v>0</v>
      </c>
      <c r="Q965" t="str">
        <f>INDEX(pARTNER[#All],MATCH(#REF!,pARTNER[[#All],[Value.partnerSummary.id]],0),10)</f>
        <v>Italia (IT)</v>
      </c>
      <c r="R965" t="str">
        <f>INDEX('Partner data'!$A$2:$DG$171,MATCH(#REF!,'Partner data'!$DG$2:$DG$171,0),83)</f>
        <v xml:space="preserve">Organismo di diritto pubblico </v>
      </c>
      <c r="S965" s="86" t="b">
        <f>IF(#REF!="staff",INDEX('Partner data'!$DG$2:$DH$171,MATCH(#REF!,'Partner data'!$DG$2:$DG$171,0),2))</f>
        <v>0</v>
      </c>
    </row>
    <row r="966" spans="1:19" x14ac:dyDescent="0.25">
      <c r="A966" t="s">
        <v>317</v>
      </c>
      <c r="B966" t="s">
        <v>39</v>
      </c>
      <c r="C966">
        <v>220</v>
      </c>
      <c r="D966">
        <v>311</v>
      </c>
      <c r="E966" t="s">
        <v>235</v>
      </c>
      <c r="G966">
        <v>0</v>
      </c>
      <c r="H966">
        <v>0</v>
      </c>
      <c r="I966">
        <v>0</v>
      </c>
      <c r="J966">
        <v>0</v>
      </c>
      <c r="K966">
        <v>0</v>
      </c>
      <c r="L966">
        <v>0</v>
      </c>
      <c r="M966">
        <v>0</v>
      </c>
      <c r="N966">
        <v>0</v>
      </c>
      <c r="O966">
        <v>0</v>
      </c>
      <c r="P966">
        <v>0</v>
      </c>
      <c r="Q966" t="str">
        <f>INDEX(pARTNER[#All],MATCH(#REF!,pARTNER[[#All],[Value.partnerSummary.id]],0),10)</f>
        <v>Italia (IT)</v>
      </c>
      <c r="R966" t="str">
        <f>INDEX('Partner data'!$A$2:$DG$171,MATCH(#REF!,'Partner data'!$DG$2:$DG$171,0),83)</f>
        <v xml:space="preserve">Organismo di diritto pubblico </v>
      </c>
      <c r="S966" s="86" t="b">
        <f>IF(#REF!="staff",INDEX('Partner data'!$DG$2:$DH$171,MATCH(#REF!,'Partner data'!$DG$2:$DG$171,0),2))</f>
        <v>0</v>
      </c>
    </row>
    <row r="967" spans="1:19" x14ac:dyDescent="0.25">
      <c r="A967" t="s">
        <v>317</v>
      </c>
      <c r="B967" t="s">
        <v>39</v>
      </c>
      <c r="C967">
        <v>220</v>
      </c>
      <c r="D967">
        <v>311</v>
      </c>
      <c r="E967" t="s">
        <v>236</v>
      </c>
      <c r="G967">
        <v>0</v>
      </c>
      <c r="H967">
        <v>0</v>
      </c>
      <c r="I967">
        <v>0</v>
      </c>
      <c r="J967">
        <v>0</v>
      </c>
      <c r="K967">
        <v>0</v>
      </c>
      <c r="L967">
        <v>0</v>
      </c>
      <c r="M967">
        <v>0</v>
      </c>
      <c r="N967">
        <v>0</v>
      </c>
      <c r="O967">
        <v>0</v>
      </c>
      <c r="P967">
        <v>0</v>
      </c>
      <c r="Q967" t="str">
        <f>INDEX(pARTNER[#All],MATCH(#REF!,pARTNER[[#All],[Value.partnerSummary.id]],0),10)</f>
        <v>Italia (IT)</v>
      </c>
      <c r="R967" t="str">
        <f>INDEX('Partner data'!$A$2:$DG$171,MATCH(#REF!,'Partner data'!$DG$2:$DG$171,0),83)</f>
        <v xml:space="preserve">Organismo di diritto pubblico </v>
      </c>
      <c r="S967" s="86" t="b">
        <f>IF(#REF!="staff",INDEX('Partner data'!$DG$2:$DH$171,MATCH(#REF!,'Partner data'!$DG$2:$DG$171,0),2))</f>
        <v>0</v>
      </c>
    </row>
    <row r="968" spans="1:19" x14ac:dyDescent="0.25">
      <c r="A968" t="s">
        <v>317</v>
      </c>
      <c r="B968" t="s">
        <v>39</v>
      </c>
      <c r="C968">
        <v>220</v>
      </c>
      <c r="D968">
        <v>311</v>
      </c>
      <c r="E968" t="s">
        <v>237</v>
      </c>
      <c r="G968">
        <v>0</v>
      </c>
      <c r="H968">
        <v>0</v>
      </c>
      <c r="I968">
        <v>0</v>
      </c>
      <c r="J968">
        <v>0</v>
      </c>
      <c r="K968">
        <v>0</v>
      </c>
      <c r="L968">
        <v>0</v>
      </c>
      <c r="M968">
        <v>0</v>
      </c>
      <c r="N968">
        <v>0</v>
      </c>
      <c r="O968">
        <v>0</v>
      </c>
      <c r="P968">
        <v>0</v>
      </c>
      <c r="Q968" t="str">
        <f>INDEX(pARTNER[#All],MATCH(#REF!,pARTNER[[#All],[Value.partnerSummary.id]],0),10)</f>
        <v>Italia (IT)</v>
      </c>
      <c r="R968" t="str">
        <f>INDEX('Partner data'!$A$2:$DG$171,MATCH(#REF!,'Partner data'!$DG$2:$DG$171,0),83)</f>
        <v xml:space="preserve">Organismo di diritto pubblico </v>
      </c>
      <c r="S968" s="86" t="b">
        <f>IF(#REF!="staff",INDEX('Partner data'!$DG$2:$DH$171,MATCH(#REF!,'Partner data'!$DG$2:$DG$171,0),2))</f>
        <v>0</v>
      </c>
    </row>
    <row r="969" spans="1:19" x14ac:dyDescent="0.25">
      <c r="A969" t="s">
        <v>317</v>
      </c>
      <c r="B969" t="s">
        <v>39</v>
      </c>
      <c r="C969">
        <v>220</v>
      </c>
      <c r="D969">
        <v>311</v>
      </c>
      <c r="E969" t="s">
        <v>238</v>
      </c>
      <c r="G969">
        <v>102648.79</v>
      </c>
      <c r="H969">
        <v>0</v>
      </c>
      <c r="I969">
        <v>0</v>
      </c>
      <c r="J969">
        <v>3341.52</v>
      </c>
      <c r="K969">
        <v>0</v>
      </c>
      <c r="L969">
        <v>3341.52</v>
      </c>
      <c r="M969">
        <v>3341.52</v>
      </c>
      <c r="N969">
        <v>3.26</v>
      </c>
      <c r="O969">
        <v>99307.27</v>
      </c>
      <c r="P969">
        <v>0</v>
      </c>
      <c r="Q969" t="str">
        <f>INDEX(pARTNER[#All],MATCH(#REF!,pARTNER[[#All],[Value.partnerSummary.id]],0),10)</f>
        <v>Italia (IT)</v>
      </c>
      <c r="R969" t="str">
        <f>INDEX('Partner data'!$A$2:$DG$171,MATCH(#REF!,'Partner data'!$DG$2:$DG$171,0),83)</f>
        <v xml:space="preserve">Organismo di diritto pubblico </v>
      </c>
      <c r="S969" s="86" t="b">
        <f>IF(#REF!="staff",INDEX('Partner data'!$DG$2:$DH$171,MATCH(#REF!,'Partner data'!$DG$2:$DG$171,0),2))</f>
        <v>0</v>
      </c>
    </row>
    <row r="970" spans="1:19" x14ac:dyDescent="0.25">
      <c r="A970" t="s">
        <v>288</v>
      </c>
      <c r="B970" t="s">
        <v>289</v>
      </c>
      <c r="C970">
        <v>64</v>
      </c>
      <c r="D970">
        <v>180</v>
      </c>
      <c r="E970" t="s">
        <v>228</v>
      </c>
      <c r="G970">
        <v>28296</v>
      </c>
      <c r="H970">
        <v>0</v>
      </c>
      <c r="I970">
        <v>0</v>
      </c>
      <c r="J970">
        <v>10017</v>
      </c>
      <c r="K970">
        <v>0</v>
      </c>
      <c r="L970">
        <v>6065.67</v>
      </c>
      <c r="M970">
        <v>10017</v>
      </c>
      <c r="N970">
        <v>35.4</v>
      </c>
      <c r="O970">
        <v>18279</v>
      </c>
      <c r="P970">
        <v>0</v>
      </c>
      <c r="Q970" t="str">
        <f>INDEX(pARTNER[#All],MATCH(#REF!,pARTNER[[#All],[Value.partnerSummary.id]],0),10)</f>
        <v>Italia (IT)</v>
      </c>
      <c r="R970" t="str">
        <f>INDEX('Partner data'!$A$2:$DG$171,MATCH(#REF!,'Partner data'!$DG$2:$DG$171,0),83)</f>
        <v>Soggetto privato</v>
      </c>
      <c r="S970" s="86" t="str">
        <f>IF(#REF!="staff",INDEX('Partner data'!$DG$2:$DH$171,MATCH(#REF!,'Partner data'!$DG$2:$DG$171,0),2))</f>
        <v>Costo Unitario Standard</v>
      </c>
    </row>
    <row r="971" spans="1:19" x14ac:dyDescent="0.25">
      <c r="A971" t="s">
        <v>288</v>
      </c>
      <c r="B971" t="s">
        <v>289</v>
      </c>
      <c r="C971">
        <v>64</v>
      </c>
      <c r="D971">
        <v>180</v>
      </c>
      <c r="E971" t="s">
        <v>229</v>
      </c>
      <c r="F971">
        <v>15</v>
      </c>
      <c r="G971">
        <v>4244.3999999999996</v>
      </c>
      <c r="H971">
        <v>0</v>
      </c>
      <c r="I971">
        <v>0</v>
      </c>
      <c r="J971">
        <v>1502.55</v>
      </c>
      <c r="K971">
        <v>0</v>
      </c>
      <c r="L971">
        <v>909.85</v>
      </c>
      <c r="M971">
        <v>1502.55</v>
      </c>
      <c r="N971">
        <v>35.4</v>
      </c>
      <c r="O971">
        <v>2741.85</v>
      </c>
      <c r="P971">
        <v>0</v>
      </c>
      <c r="Q971" t="str">
        <f>INDEX(pARTNER[#All],MATCH(#REF!,pARTNER[[#All],[Value.partnerSummary.id]],0),10)</f>
        <v>Italia (IT)</v>
      </c>
      <c r="R971" t="str">
        <f>INDEX('Partner data'!$A$2:$DG$171,MATCH(#REF!,'Partner data'!$DG$2:$DG$171,0),83)</f>
        <v>Soggetto privato</v>
      </c>
      <c r="S971" s="86" t="b">
        <f>IF(#REF!="staff",INDEX('Partner data'!$DG$2:$DH$171,MATCH(#REF!,'Partner data'!$DG$2:$DG$171,0),2))</f>
        <v>0</v>
      </c>
    </row>
    <row r="972" spans="1:19" x14ac:dyDescent="0.25">
      <c r="A972" t="s">
        <v>288</v>
      </c>
      <c r="B972" t="s">
        <v>289</v>
      </c>
      <c r="C972">
        <v>64</v>
      </c>
      <c r="D972">
        <v>180</v>
      </c>
      <c r="E972" t="s">
        <v>230</v>
      </c>
      <c r="F972">
        <v>4</v>
      </c>
      <c r="G972">
        <v>1131.8399999999999</v>
      </c>
      <c r="H972">
        <v>0</v>
      </c>
      <c r="I972">
        <v>0</v>
      </c>
      <c r="J972">
        <v>400.68</v>
      </c>
      <c r="K972">
        <v>0</v>
      </c>
      <c r="L972">
        <v>242.62</v>
      </c>
      <c r="M972">
        <v>400.68</v>
      </c>
      <c r="N972">
        <v>35.4</v>
      </c>
      <c r="O972">
        <v>731.16</v>
      </c>
      <c r="P972">
        <v>0</v>
      </c>
      <c r="Q972" t="str">
        <f>INDEX(pARTNER[#All],MATCH(#REF!,pARTNER[[#All],[Value.partnerSummary.id]],0),10)</f>
        <v>Italia (IT)</v>
      </c>
      <c r="R972" t="str">
        <f>INDEX('Partner data'!$A$2:$DG$171,MATCH(#REF!,'Partner data'!$DG$2:$DG$171,0),83)</f>
        <v>Soggetto privato</v>
      </c>
      <c r="S972" s="86" t="b">
        <f>IF(#REF!="staff",INDEX('Partner data'!$DG$2:$DH$171,MATCH(#REF!,'Partner data'!$DG$2:$DG$171,0),2))</f>
        <v>0</v>
      </c>
    </row>
    <row r="973" spans="1:19" x14ac:dyDescent="0.25">
      <c r="A973" t="s">
        <v>288</v>
      </c>
      <c r="B973" t="s">
        <v>289</v>
      </c>
      <c r="C973">
        <v>64</v>
      </c>
      <c r="D973">
        <v>180</v>
      </c>
      <c r="E973" t="s">
        <v>231</v>
      </c>
      <c r="G973">
        <v>46327</v>
      </c>
      <c r="H973">
        <v>0</v>
      </c>
      <c r="I973">
        <v>0</v>
      </c>
      <c r="J973">
        <v>1669.59</v>
      </c>
      <c r="K973">
        <v>0</v>
      </c>
      <c r="L973">
        <v>0</v>
      </c>
      <c r="M973">
        <v>1669.59</v>
      </c>
      <c r="N973">
        <v>3.6</v>
      </c>
      <c r="O973">
        <v>44657.41</v>
      </c>
      <c r="P973">
        <v>0</v>
      </c>
      <c r="Q973" t="str">
        <f>INDEX(pARTNER[#All],MATCH(#REF!,pARTNER[[#All],[Value.partnerSummary.id]],0),10)</f>
        <v>Italia (IT)</v>
      </c>
      <c r="R973" t="str">
        <f>INDEX('Partner data'!$A$2:$DG$171,MATCH(#REF!,'Partner data'!$DG$2:$DG$171,0),83)</f>
        <v>Soggetto privato</v>
      </c>
      <c r="S973" s="86" t="b">
        <f>IF(#REF!="staff",INDEX('Partner data'!$DG$2:$DH$171,MATCH(#REF!,'Partner data'!$DG$2:$DG$171,0),2))</f>
        <v>0</v>
      </c>
    </row>
    <row r="974" spans="1:19" x14ac:dyDescent="0.25">
      <c r="A974" t="s">
        <v>288</v>
      </c>
      <c r="B974" t="s">
        <v>289</v>
      </c>
      <c r="C974">
        <v>64</v>
      </c>
      <c r="D974">
        <v>180</v>
      </c>
      <c r="E974" t="s">
        <v>232</v>
      </c>
      <c r="G974">
        <v>0</v>
      </c>
      <c r="H974">
        <v>0</v>
      </c>
      <c r="I974">
        <v>0</v>
      </c>
      <c r="J974">
        <v>0</v>
      </c>
      <c r="K974">
        <v>0</v>
      </c>
      <c r="L974">
        <v>0</v>
      </c>
      <c r="M974">
        <v>0</v>
      </c>
      <c r="N974">
        <v>0</v>
      </c>
      <c r="O974">
        <v>0</v>
      </c>
      <c r="P974">
        <v>0</v>
      </c>
      <c r="Q974" t="str">
        <f>INDEX(pARTNER[#All],MATCH(#REF!,pARTNER[[#All],[Value.partnerSummary.id]],0),10)</f>
        <v>Italia (IT)</v>
      </c>
      <c r="R974" t="str">
        <f>INDEX('Partner data'!$A$2:$DG$171,MATCH(#REF!,'Partner data'!$DG$2:$DG$171,0),83)</f>
        <v>Soggetto privato</v>
      </c>
      <c r="S974" s="86" t="b">
        <f>IF(#REF!="staff",INDEX('Partner data'!$DG$2:$DH$171,MATCH(#REF!,'Partner data'!$DG$2:$DG$171,0),2))</f>
        <v>0</v>
      </c>
    </row>
    <row r="975" spans="1:19" x14ac:dyDescent="0.25">
      <c r="A975" t="s">
        <v>288</v>
      </c>
      <c r="B975" t="s">
        <v>289</v>
      </c>
      <c r="C975">
        <v>64</v>
      </c>
      <c r="D975">
        <v>180</v>
      </c>
      <c r="E975" t="s">
        <v>233</v>
      </c>
      <c r="G975">
        <v>0</v>
      </c>
      <c r="H975">
        <v>0</v>
      </c>
      <c r="I975">
        <v>0</v>
      </c>
      <c r="J975">
        <v>0</v>
      </c>
      <c r="K975">
        <v>0</v>
      </c>
      <c r="L975">
        <v>0</v>
      </c>
      <c r="M975">
        <v>0</v>
      </c>
      <c r="N975">
        <v>0</v>
      </c>
      <c r="O975">
        <v>0</v>
      </c>
      <c r="P975">
        <v>0</v>
      </c>
      <c r="Q975" t="str">
        <f>INDEX(pARTNER[#All],MATCH(#REF!,pARTNER[[#All],[Value.partnerSummary.id]],0),10)</f>
        <v>Italia (IT)</v>
      </c>
      <c r="R975" t="str">
        <f>INDEX('Partner data'!$A$2:$DG$171,MATCH(#REF!,'Partner data'!$DG$2:$DG$171,0),83)</f>
        <v>Soggetto privato</v>
      </c>
      <c r="S975" s="86" t="b">
        <f>IF(#REF!="staff",INDEX('Partner data'!$DG$2:$DH$171,MATCH(#REF!,'Partner data'!$DG$2:$DG$171,0),2))</f>
        <v>0</v>
      </c>
    </row>
    <row r="976" spans="1:19" x14ac:dyDescent="0.25">
      <c r="A976" t="s">
        <v>288</v>
      </c>
      <c r="B976" t="s">
        <v>289</v>
      </c>
      <c r="C976">
        <v>64</v>
      </c>
      <c r="D976">
        <v>180</v>
      </c>
      <c r="E976" t="s">
        <v>234</v>
      </c>
      <c r="G976">
        <v>0</v>
      </c>
      <c r="H976">
        <v>0</v>
      </c>
      <c r="I976">
        <v>0</v>
      </c>
      <c r="J976">
        <v>0</v>
      </c>
      <c r="K976">
        <v>0</v>
      </c>
      <c r="L976">
        <v>0</v>
      </c>
      <c r="M976">
        <v>0</v>
      </c>
      <c r="N976">
        <v>0</v>
      </c>
      <c r="O976">
        <v>0</v>
      </c>
      <c r="P976">
        <v>0</v>
      </c>
      <c r="Q976" t="str">
        <f>INDEX(pARTNER[#All],MATCH(#REF!,pARTNER[[#All],[Value.partnerSummary.id]],0),10)</f>
        <v>Italia (IT)</v>
      </c>
      <c r="R976" t="str">
        <f>INDEX('Partner data'!$A$2:$DG$171,MATCH(#REF!,'Partner data'!$DG$2:$DG$171,0),83)</f>
        <v>Soggetto privato</v>
      </c>
      <c r="S976" s="86" t="b">
        <f>IF(#REF!="staff",INDEX('Partner data'!$DG$2:$DH$171,MATCH(#REF!,'Partner data'!$DG$2:$DG$171,0),2))</f>
        <v>0</v>
      </c>
    </row>
    <row r="977" spans="1:19" x14ac:dyDescent="0.25">
      <c r="A977" t="s">
        <v>288</v>
      </c>
      <c r="B977" t="s">
        <v>289</v>
      </c>
      <c r="C977">
        <v>64</v>
      </c>
      <c r="D977">
        <v>180</v>
      </c>
      <c r="E977" t="s">
        <v>235</v>
      </c>
      <c r="G977">
        <v>0</v>
      </c>
      <c r="H977">
        <v>0</v>
      </c>
      <c r="I977">
        <v>0</v>
      </c>
      <c r="J977">
        <v>0</v>
      </c>
      <c r="K977">
        <v>0</v>
      </c>
      <c r="L977">
        <v>0</v>
      </c>
      <c r="M977">
        <v>0</v>
      </c>
      <c r="N977">
        <v>0</v>
      </c>
      <c r="O977">
        <v>0</v>
      </c>
      <c r="P977">
        <v>0</v>
      </c>
      <c r="Q977" t="str">
        <f>INDEX(pARTNER[#All],MATCH(#REF!,pARTNER[[#All],[Value.partnerSummary.id]],0),10)</f>
        <v>Italia (IT)</v>
      </c>
      <c r="R977" t="str">
        <f>INDEX('Partner data'!$A$2:$DG$171,MATCH(#REF!,'Partner data'!$DG$2:$DG$171,0),83)</f>
        <v>Soggetto privato</v>
      </c>
      <c r="S977" s="86" t="b">
        <f>IF(#REF!="staff",INDEX('Partner data'!$DG$2:$DH$171,MATCH(#REF!,'Partner data'!$DG$2:$DG$171,0),2))</f>
        <v>0</v>
      </c>
    </row>
    <row r="978" spans="1:19" x14ac:dyDescent="0.25">
      <c r="A978" t="s">
        <v>288</v>
      </c>
      <c r="B978" t="s">
        <v>289</v>
      </c>
      <c r="C978">
        <v>64</v>
      </c>
      <c r="D978">
        <v>180</v>
      </c>
      <c r="E978" t="s">
        <v>236</v>
      </c>
      <c r="G978">
        <v>0</v>
      </c>
      <c r="H978">
        <v>0</v>
      </c>
      <c r="I978">
        <v>0</v>
      </c>
      <c r="J978">
        <v>0</v>
      </c>
      <c r="K978">
        <v>0</v>
      </c>
      <c r="L978">
        <v>0</v>
      </c>
      <c r="M978">
        <v>0</v>
      </c>
      <c r="N978">
        <v>0</v>
      </c>
      <c r="O978">
        <v>0</v>
      </c>
      <c r="P978">
        <v>0</v>
      </c>
      <c r="Q978" t="str">
        <f>INDEX(pARTNER[#All],MATCH(#REF!,pARTNER[[#All],[Value.partnerSummary.id]],0),10)</f>
        <v>Italia (IT)</v>
      </c>
      <c r="R978" t="str">
        <f>INDEX('Partner data'!$A$2:$DG$171,MATCH(#REF!,'Partner data'!$DG$2:$DG$171,0),83)</f>
        <v>Soggetto privato</v>
      </c>
      <c r="S978" s="86" t="b">
        <f>IF(#REF!="staff",INDEX('Partner data'!$DG$2:$DH$171,MATCH(#REF!,'Partner data'!$DG$2:$DG$171,0),2))</f>
        <v>0</v>
      </c>
    </row>
    <row r="979" spans="1:19" x14ac:dyDescent="0.25">
      <c r="A979" t="s">
        <v>288</v>
      </c>
      <c r="B979" t="s">
        <v>289</v>
      </c>
      <c r="C979">
        <v>64</v>
      </c>
      <c r="D979">
        <v>180</v>
      </c>
      <c r="E979" t="s">
        <v>237</v>
      </c>
      <c r="G979">
        <v>0</v>
      </c>
      <c r="H979">
        <v>0</v>
      </c>
      <c r="I979">
        <v>0</v>
      </c>
      <c r="J979">
        <v>0</v>
      </c>
      <c r="K979">
        <v>0</v>
      </c>
      <c r="L979">
        <v>0</v>
      </c>
      <c r="M979">
        <v>0</v>
      </c>
      <c r="N979">
        <v>0</v>
      </c>
      <c r="O979">
        <v>0</v>
      </c>
      <c r="P979">
        <v>0</v>
      </c>
      <c r="Q979" t="str">
        <f>INDEX(pARTNER[#All],MATCH(#REF!,pARTNER[[#All],[Value.partnerSummary.id]],0),10)</f>
        <v>Italia (IT)</v>
      </c>
      <c r="R979" t="str">
        <f>INDEX('Partner data'!$A$2:$DG$171,MATCH(#REF!,'Partner data'!$DG$2:$DG$171,0),83)</f>
        <v>Soggetto privato</v>
      </c>
      <c r="S979" s="86" t="b">
        <f>IF(#REF!="staff",INDEX('Partner data'!$DG$2:$DH$171,MATCH(#REF!,'Partner data'!$DG$2:$DG$171,0),2))</f>
        <v>0</v>
      </c>
    </row>
    <row r="980" spans="1:19" x14ac:dyDescent="0.25">
      <c r="A980" t="s">
        <v>288</v>
      </c>
      <c r="B980" t="s">
        <v>289</v>
      </c>
      <c r="C980">
        <v>64</v>
      </c>
      <c r="D980">
        <v>180</v>
      </c>
      <c r="E980" t="s">
        <v>238</v>
      </c>
      <c r="G980">
        <v>79999.240000000005</v>
      </c>
      <c r="H980">
        <v>0</v>
      </c>
      <c r="I980">
        <v>0</v>
      </c>
      <c r="J980">
        <v>13589.82</v>
      </c>
      <c r="K980">
        <v>0</v>
      </c>
      <c r="L980">
        <v>7218.14</v>
      </c>
      <c r="M980">
        <v>13589.82</v>
      </c>
      <c r="N980">
        <v>16.989999999999998</v>
      </c>
      <c r="O980">
        <v>66409.42</v>
      </c>
      <c r="P980">
        <v>0</v>
      </c>
      <c r="Q980" t="str">
        <f>INDEX(pARTNER[#All],MATCH(#REF!,pARTNER[[#All],[Value.partnerSummary.id]],0),10)</f>
        <v>Italia (IT)</v>
      </c>
      <c r="R980" t="str">
        <f>INDEX('Partner data'!$A$2:$DG$171,MATCH(#REF!,'Partner data'!$DG$2:$DG$171,0),83)</f>
        <v>Soggetto privato</v>
      </c>
      <c r="S980" s="86" t="b">
        <f>IF(#REF!="staff",INDEX('Partner data'!$DG$2:$DH$171,MATCH(#REF!,'Partner data'!$DG$2:$DG$171,0),2))</f>
        <v>0</v>
      </c>
    </row>
    <row r="981" spans="1:19" x14ac:dyDescent="0.25">
      <c r="A981" t="s">
        <v>288</v>
      </c>
      <c r="B981" t="s">
        <v>54</v>
      </c>
      <c r="C981">
        <v>63</v>
      </c>
      <c r="D981">
        <v>185</v>
      </c>
      <c r="E981" t="s">
        <v>228</v>
      </c>
      <c r="G981">
        <v>76000</v>
      </c>
      <c r="H981">
        <v>0</v>
      </c>
      <c r="I981">
        <v>0</v>
      </c>
      <c r="J981">
        <v>15206.43</v>
      </c>
      <c r="K981">
        <v>0</v>
      </c>
      <c r="L981">
        <v>15206.43</v>
      </c>
      <c r="M981">
        <v>15206.43</v>
      </c>
      <c r="N981">
        <v>20.010000000000002</v>
      </c>
      <c r="O981">
        <v>60793.57</v>
      </c>
      <c r="P981">
        <v>0</v>
      </c>
      <c r="Q981" t="str">
        <f>INDEX(pARTNER[#All],MATCH(#REF!,pARTNER[[#All],[Value.partnerSummary.id]],0),10)</f>
        <v>Slovenija (SI)</v>
      </c>
      <c r="R981" t="str">
        <f>INDEX('Partner data'!$A$2:$DG$171,MATCH(#REF!,'Partner data'!$DG$2:$DG$171,0),83)</f>
        <v>Soggetto pubblico</v>
      </c>
      <c r="S981" s="86" t="str">
        <f>IF(#REF!="staff",INDEX('Partner data'!$DG$2:$DH$171,MATCH(#REF!,'Partner data'!$DG$2:$DG$171,0),2))</f>
        <v>COSTO REALE</v>
      </c>
    </row>
    <row r="982" spans="1:19" x14ac:dyDescent="0.25">
      <c r="A982" t="s">
        <v>288</v>
      </c>
      <c r="B982" t="s">
        <v>54</v>
      </c>
      <c r="C982">
        <v>63</v>
      </c>
      <c r="D982">
        <v>185</v>
      </c>
      <c r="E982" t="s">
        <v>229</v>
      </c>
      <c r="F982">
        <v>15</v>
      </c>
      <c r="G982">
        <v>11400</v>
      </c>
      <c r="H982">
        <v>0</v>
      </c>
      <c r="I982">
        <v>0</v>
      </c>
      <c r="J982">
        <v>2280.96</v>
      </c>
      <c r="K982">
        <v>0</v>
      </c>
      <c r="L982">
        <v>2280.96</v>
      </c>
      <c r="M982">
        <v>2280.96</v>
      </c>
      <c r="N982">
        <v>20.010000000000002</v>
      </c>
      <c r="O982">
        <v>9119.0400000000009</v>
      </c>
      <c r="P982">
        <v>0</v>
      </c>
      <c r="Q982" t="str">
        <f>INDEX(pARTNER[#All],MATCH(#REF!,pARTNER[[#All],[Value.partnerSummary.id]],0),10)</f>
        <v>Slovenija (SI)</v>
      </c>
      <c r="R982" t="str">
        <f>INDEX('Partner data'!$A$2:$DG$171,MATCH(#REF!,'Partner data'!$DG$2:$DG$171,0),83)</f>
        <v>Soggetto pubblico</v>
      </c>
      <c r="S982" s="86" t="b">
        <f>IF(#REF!="staff",INDEX('Partner data'!$DG$2:$DH$171,MATCH(#REF!,'Partner data'!$DG$2:$DG$171,0),2))</f>
        <v>0</v>
      </c>
    </row>
    <row r="983" spans="1:19" x14ac:dyDescent="0.25">
      <c r="A983" t="s">
        <v>288</v>
      </c>
      <c r="B983" t="s">
        <v>54</v>
      </c>
      <c r="C983">
        <v>63</v>
      </c>
      <c r="D983">
        <v>185</v>
      </c>
      <c r="E983" t="s">
        <v>230</v>
      </c>
      <c r="F983">
        <v>4</v>
      </c>
      <c r="G983">
        <v>3040</v>
      </c>
      <c r="H983">
        <v>0</v>
      </c>
      <c r="I983">
        <v>0</v>
      </c>
      <c r="J983">
        <v>608.25</v>
      </c>
      <c r="K983">
        <v>0</v>
      </c>
      <c r="L983">
        <v>608.25</v>
      </c>
      <c r="M983">
        <v>608.25</v>
      </c>
      <c r="N983">
        <v>20.010000000000002</v>
      </c>
      <c r="O983">
        <v>2431.75</v>
      </c>
      <c r="P983">
        <v>0</v>
      </c>
      <c r="Q983" t="str">
        <f>INDEX(pARTNER[#All],MATCH(#REF!,pARTNER[[#All],[Value.partnerSummary.id]],0),10)</f>
        <v>Slovenija (SI)</v>
      </c>
      <c r="R983" t="str">
        <f>INDEX('Partner data'!$A$2:$DG$171,MATCH(#REF!,'Partner data'!$DG$2:$DG$171,0),83)</f>
        <v>Soggetto pubblico</v>
      </c>
      <c r="S983" s="86" t="b">
        <f>IF(#REF!="staff",INDEX('Partner data'!$DG$2:$DH$171,MATCH(#REF!,'Partner data'!$DG$2:$DG$171,0),2))</f>
        <v>0</v>
      </c>
    </row>
    <row r="984" spans="1:19" x14ac:dyDescent="0.25">
      <c r="A984" t="s">
        <v>288</v>
      </c>
      <c r="B984" t="s">
        <v>54</v>
      </c>
      <c r="C984">
        <v>63</v>
      </c>
      <c r="D984">
        <v>185</v>
      </c>
      <c r="E984" t="s">
        <v>231</v>
      </c>
      <c r="G984">
        <v>0</v>
      </c>
      <c r="H984">
        <v>0</v>
      </c>
      <c r="I984">
        <v>0</v>
      </c>
      <c r="J984">
        <v>0</v>
      </c>
      <c r="K984">
        <v>0</v>
      </c>
      <c r="L984">
        <v>0</v>
      </c>
      <c r="M984">
        <v>0</v>
      </c>
      <c r="N984">
        <v>0</v>
      </c>
      <c r="O984">
        <v>0</v>
      </c>
      <c r="P984">
        <v>0</v>
      </c>
      <c r="Q984" t="str">
        <f>INDEX(pARTNER[#All],MATCH(#REF!,pARTNER[[#All],[Value.partnerSummary.id]],0),10)</f>
        <v>Slovenija (SI)</v>
      </c>
      <c r="R984" t="str">
        <f>INDEX('Partner data'!$A$2:$DG$171,MATCH(#REF!,'Partner data'!$DG$2:$DG$171,0),83)</f>
        <v>Soggetto pubblico</v>
      </c>
      <c r="S984" s="86" t="b">
        <f>IF(#REF!="staff",INDEX('Partner data'!$DG$2:$DH$171,MATCH(#REF!,'Partner data'!$DG$2:$DG$171,0),2))</f>
        <v>0</v>
      </c>
    </row>
    <row r="985" spans="1:19" x14ac:dyDescent="0.25">
      <c r="A985" t="s">
        <v>288</v>
      </c>
      <c r="B985" t="s">
        <v>54</v>
      </c>
      <c r="C985">
        <v>63</v>
      </c>
      <c r="D985">
        <v>185</v>
      </c>
      <c r="E985" t="s">
        <v>232</v>
      </c>
      <c r="G985">
        <v>0</v>
      </c>
      <c r="H985">
        <v>0</v>
      </c>
      <c r="I985">
        <v>0</v>
      </c>
      <c r="J985">
        <v>0</v>
      </c>
      <c r="K985">
        <v>0</v>
      </c>
      <c r="L985">
        <v>0</v>
      </c>
      <c r="M985">
        <v>0</v>
      </c>
      <c r="N985">
        <v>0</v>
      </c>
      <c r="O985">
        <v>0</v>
      </c>
      <c r="P985">
        <v>0</v>
      </c>
      <c r="Q985" t="str">
        <f>INDEX(pARTNER[#All],MATCH(#REF!,pARTNER[[#All],[Value.partnerSummary.id]],0),10)</f>
        <v>Slovenija (SI)</v>
      </c>
      <c r="R985" t="str">
        <f>INDEX('Partner data'!$A$2:$DG$171,MATCH(#REF!,'Partner data'!$DG$2:$DG$171,0),83)</f>
        <v>Soggetto pubblico</v>
      </c>
      <c r="S985" s="86" t="b">
        <f>IF(#REF!="staff",INDEX('Partner data'!$DG$2:$DH$171,MATCH(#REF!,'Partner data'!$DG$2:$DG$171,0),2))</f>
        <v>0</v>
      </c>
    </row>
    <row r="986" spans="1:19" x14ac:dyDescent="0.25">
      <c r="A986" t="s">
        <v>288</v>
      </c>
      <c r="B986" t="s">
        <v>54</v>
      </c>
      <c r="C986">
        <v>63</v>
      </c>
      <c r="D986">
        <v>185</v>
      </c>
      <c r="E986" t="s">
        <v>233</v>
      </c>
      <c r="G986">
        <v>0</v>
      </c>
      <c r="H986">
        <v>0</v>
      </c>
      <c r="I986">
        <v>0</v>
      </c>
      <c r="J986">
        <v>0</v>
      </c>
      <c r="K986">
        <v>0</v>
      </c>
      <c r="L986">
        <v>0</v>
      </c>
      <c r="M986">
        <v>0</v>
      </c>
      <c r="N986">
        <v>0</v>
      </c>
      <c r="O986">
        <v>0</v>
      </c>
      <c r="P986">
        <v>0</v>
      </c>
      <c r="Q986" t="str">
        <f>INDEX(pARTNER[#All],MATCH(#REF!,pARTNER[[#All],[Value.partnerSummary.id]],0),10)</f>
        <v>Slovenija (SI)</v>
      </c>
      <c r="R986" t="str">
        <f>INDEX('Partner data'!$A$2:$DG$171,MATCH(#REF!,'Partner data'!$DG$2:$DG$171,0),83)</f>
        <v>Soggetto pubblico</v>
      </c>
      <c r="S986" s="86" t="b">
        <f>IF(#REF!="staff",INDEX('Partner data'!$DG$2:$DH$171,MATCH(#REF!,'Partner data'!$DG$2:$DG$171,0),2))</f>
        <v>0</v>
      </c>
    </row>
    <row r="987" spans="1:19" x14ac:dyDescent="0.25">
      <c r="A987" t="s">
        <v>288</v>
      </c>
      <c r="B987" t="s">
        <v>54</v>
      </c>
      <c r="C987">
        <v>63</v>
      </c>
      <c r="D987">
        <v>185</v>
      </c>
      <c r="E987" t="s">
        <v>234</v>
      </c>
      <c r="G987">
        <v>0</v>
      </c>
      <c r="H987">
        <v>0</v>
      </c>
      <c r="I987">
        <v>0</v>
      </c>
      <c r="J987">
        <v>0</v>
      </c>
      <c r="K987">
        <v>0</v>
      </c>
      <c r="L987">
        <v>0</v>
      </c>
      <c r="M987">
        <v>0</v>
      </c>
      <c r="N987">
        <v>0</v>
      </c>
      <c r="O987">
        <v>0</v>
      </c>
      <c r="P987">
        <v>0</v>
      </c>
      <c r="Q987" t="str">
        <f>INDEX(pARTNER[#All],MATCH(#REF!,pARTNER[[#All],[Value.partnerSummary.id]],0),10)</f>
        <v>Slovenija (SI)</v>
      </c>
      <c r="R987" t="str">
        <f>INDEX('Partner data'!$A$2:$DG$171,MATCH(#REF!,'Partner data'!$DG$2:$DG$171,0),83)</f>
        <v>Soggetto pubblico</v>
      </c>
      <c r="S987" s="86" t="b">
        <f>IF(#REF!="staff",INDEX('Partner data'!$DG$2:$DH$171,MATCH(#REF!,'Partner data'!$DG$2:$DG$171,0),2))</f>
        <v>0</v>
      </c>
    </row>
    <row r="988" spans="1:19" x14ac:dyDescent="0.25">
      <c r="A988" t="s">
        <v>288</v>
      </c>
      <c r="B988" t="s">
        <v>54</v>
      </c>
      <c r="C988">
        <v>63</v>
      </c>
      <c r="D988">
        <v>185</v>
      </c>
      <c r="E988" t="s">
        <v>235</v>
      </c>
      <c r="G988">
        <v>0</v>
      </c>
      <c r="H988">
        <v>0</v>
      </c>
      <c r="I988">
        <v>0</v>
      </c>
      <c r="J988">
        <v>0</v>
      </c>
      <c r="K988">
        <v>0</v>
      </c>
      <c r="L988">
        <v>0</v>
      </c>
      <c r="M988">
        <v>0</v>
      </c>
      <c r="N988">
        <v>0</v>
      </c>
      <c r="O988">
        <v>0</v>
      </c>
      <c r="P988">
        <v>0</v>
      </c>
      <c r="Q988" t="str">
        <f>INDEX(pARTNER[#All],MATCH(#REF!,pARTNER[[#All],[Value.partnerSummary.id]],0),10)</f>
        <v>Slovenija (SI)</v>
      </c>
      <c r="R988" t="str">
        <f>INDEX('Partner data'!$A$2:$DG$171,MATCH(#REF!,'Partner data'!$DG$2:$DG$171,0),83)</f>
        <v>Soggetto pubblico</v>
      </c>
      <c r="S988" s="86" t="b">
        <f>IF(#REF!="staff",INDEX('Partner data'!$DG$2:$DH$171,MATCH(#REF!,'Partner data'!$DG$2:$DG$171,0),2))</f>
        <v>0</v>
      </c>
    </row>
    <row r="989" spans="1:19" x14ac:dyDescent="0.25">
      <c r="A989" t="s">
        <v>288</v>
      </c>
      <c r="B989" t="s">
        <v>54</v>
      </c>
      <c r="C989">
        <v>63</v>
      </c>
      <c r="D989">
        <v>185</v>
      </c>
      <c r="E989" t="s">
        <v>236</v>
      </c>
      <c r="G989">
        <v>0</v>
      </c>
      <c r="H989">
        <v>0</v>
      </c>
      <c r="I989">
        <v>0</v>
      </c>
      <c r="J989">
        <v>0</v>
      </c>
      <c r="K989">
        <v>0</v>
      </c>
      <c r="L989">
        <v>0</v>
      </c>
      <c r="M989">
        <v>0</v>
      </c>
      <c r="N989">
        <v>0</v>
      </c>
      <c r="O989">
        <v>0</v>
      </c>
      <c r="P989">
        <v>0</v>
      </c>
      <c r="Q989" t="str">
        <f>INDEX(pARTNER[#All],MATCH(#REF!,pARTNER[[#All],[Value.partnerSummary.id]],0),10)</f>
        <v>Slovenija (SI)</v>
      </c>
      <c r="R989" t="str">
        <f>INDEX('Partner data'!$A$2:$DG$171,MATCH(#REF!,'Partner data'!$DG$2:$DG$171,0),83)</f>
        <v>Soggetto pubblico</v>
      </c>
      <c r="S989" s="86" t="b">
        <f>IF(#REF!="staff",INDEX('Partner data'!$DG$2:$DH$171,MATCH(#REF!,'Partner data'!$DG$2:$DG$171,0),2))</f>
        <v>0</v>
      </c>
    </row>
    <row r="990" spans="1:19" x14ac:dyDescent="0.25">
      <c r="A990" t="s">
        <v>288</v>
      </c>
      <c r="B990" t="s">
        <v>54</v>
      </c>
      <c r="C990">
        <v>63</v>
      </c>
      <c r="D990">
        <v>185</v>
      </c>
      <c r="E990" t="s">
        <v>237</v>
      </c>
      <c r="G990">
        <v>0</v>
      </c>
      <c r="H990">
        <v>0</v>
      </c>
      <c r="I990">
        <v>0</v>
      </c>
      <c r="J990">
        <v>0</v>
      </c>
      <c r="K990">
        <v>0</v>
      </c>
      <c r="L990">
        <v>0</v>
      </c>
      <c r="M990">
        <v>0</v>
      </c>
      <c r="N990">
        <v>0</v>
      </c>
      <c r="O990">
        <v>0</v>
      </c>
      <c r="P990">
        <v>0</v>
      </c>
      <c r="Q990" t="str">
        <f>INDEX(pARTNER[#All],MATCH(#REF!,pARTNER[[#All],[Value.partnerSummary.id]],0),10)</f>
        <v>Slovenija (SI)</v>
      </c>
      <c r="R990" t="str">
        <f>INDEX('Partner data'!$A$2:$DG$171,MATCH(#REF!,'Partner data'!$DG$2:$DG$171,0),83)</f>
        <v>Soggetto pubblico</v>
      </c>
      <c r="S990" s="86" t="b">
        <f>IF(#REF!="staff",INDEX('Partner data'!$DG$2:$DH$171,MATCH(#REF!,'Partner data'!$DG$2:$DG$171,0),2))</f>
        <v>0</v>
      </c>
    </row>
    <row r="991" spans="1:19" x14ac:dyDescent="0.25">
      <c r="A991" t="s">
        <v>288</v>
      </c>
      <c r="B991" t="s">
        <v>54</v>
      </c>
      <c r="C991">
        <v>63</v>
      </c>
      <c r="D991">
        <v>185</v>
      </c>
      <c r="E991" t="s">
        <v>238</v>
      </c>
      <c r="G991">
        <v>90440</v>
      </c>
      <c r="H991">
        <v>0</v>
      </c>
      <c r="I991">
        <v>0</v>
      </c>
      <c r="J991">
        <v>18095.64</v>
      </c>
      <c r="K991">
        <v>0</v>
      </c>
      <c r="L991">
        <v>18095.64</v>
      </c>
      <c r="M991">
        <v>18095.64</v>
      </c>
      <c r="N991">
        <v>20.010000000000002</v>
      </c>
      <c r="O991">
        <v>72344.36</v>
      </c>
      <c r="P991">
        <v>0</v>
      </c>
      <c r="Q991" t="str">
        <f>INDEX(pARTNER[#All],MATCH(#REF!,pARTNER[[#All],[Value.partnerSummary.id]],0),10)</f>
        <v>Slovenija (SI)</v>
      </c>
      <c r="R991" t="str">
        <f>INDEX('Partner data'!$A$2:$DG$171,MATCH(#REF!,'Partner data'!$DG$2:$DG$171,0),83)</f>
        <v>Soggetto pubblico</v>
      </c>
      <c r="S991" s="86" t="b">
        <f>IF(#REF!="staff",INDEX('Partner data'!$DG$2:$DH$171,MATCH(#REF!,'Partner data'!$DG$2:$DG$171,0),2))</f>
        <v>0</v>
      </c>
    </row>
    <row r="992" spans="1:19" x14ac:dyDescent="0.25">
      <c r="A992" t="s">
        <v>288</v>
      </c>
      <c r="B992" t="s">
        <v>290</v>
      </c>
      <c r="C992">
        <v>62</v>
      </c>
      <c r="D992">
        <v>184</v>
      </c>
      <c r="E992" t="s">
        <v>228</v>
      </c>
      <c r="G992">
        <v>71008.41</v>
      </c>
      <c r="H992">
        <v>0</v>
      </c>
      <c r="I992">
        <v>0</v>
      </c>
      <c r="J992">
        <v>3711.06</v>
      </c>
      <c r="K992">
        <v>0</v>
      </c>
      <c r="L992">
        <v>3631.66</v>
      </c>
      <c r="M992">
        <v>3711.06</v>
      </c>
      <c r="N992">
        <v>5.23</v>
      </c>
      <c r="O992">
        <v>67297.350000000006</v>
      </c>
      <c r="P992">
        <v>0</v>
      </c>
      <c r="Q992" t="str">
        <f>INDEX(pARTNER[#All],MATCH(#REF!,pARTNER[[#All],[Value.partnerSummary.id]],0),10)</f>
        <v>Slovenija (SI)</v>
      </c>
      <c r="R992" t="str">
        <f>INDEX('Partner data'!$A$2:$DG$171,MATCH(#REF!,'Partner data'!$DG$2:$DG$171,0),83)</f>
        <v>Soggetto pubblico</v>
      </c>
      <c r="S992" s="86" t="str">
        <f>IF(#REF!="staff",INDEX('Partner data'!$DG$2:$DH$171,MATCH(#REF!,'Partner data'!$DG$2:$DG$171,0),2))</f>
        <v>COSTO REALE</v>
      </c>
    </row>
    <row r="993" spans="1:19" x14ac:dyDescent="0.25">
      <c r="A993" t="s">
        <v>288</v>
      </c>
      <c r="B993" t="s">
        <v>290</v>
      </c>
      <c r="C993">
        <v>62</v>
      </c>
      <c r="D993">
        <v>184</v>
      </c>
      <c r="E993" t="s">
        <v>229</v>
      </c>
      <c r="F993">
        <v>15</v>
      </c>
      <c r="G993">
        <v>10651.26</v>
      </c>
      <c r="H993">
        <v>0</v>
      </c>
      <c r="I993">
        <v>0</v>
      </c>
      <c r="J993">
        <v>556.65</v>
      </c>
      <c r="K993">
        <v>0</v>
      </c>
      <c r="L993">
        <v>544.74</v>
      </c>
      <c r="M993">
        <v>556.65</v>
      </c>
      <c r="N993">
        <v>5.23</v>
      </c>
      <c r="O993">
        <v>10094.61</v>
      </c>
      <c r="P993">
        <v>0</v>
      </c>
      <c r="Q993" t="str">
        <f>INDEX(pARTNER[#All],MATCH(#REF!,pARTNER[[#All],[Value.partnerSummary.id]],0),10)</f>
        <v>Slovenija (SI)</v>
      </c>
      <c r="R993" t="str">
        <f>INDEX('Partner data'!$A$2:$DG$171,MATCH(#REF!,'Partner data'!$DG$2:$DG$171,0),83)</f>
        <v>Soggetto pubblico</v>
      </c>
      <c r="S993" s="86" t="b">
        <f>IF(#REF!="staff",INDEX('Partner data'!$DG$2:$DH$171,MATCH(#REF!,'Partner data'!$DG$2:$DG$171,0),2))</f>
        <v>0</v>
      </c>
    </row>
    <row r="994" spans="1:19" x14ac:dyDescent="0.25">
      <c r="A994" t="s">
        <v>288</v>
      </c>
      <c r="B994" t="s">
        <v>290</v>
      </c>
      <c r="C994">
        <v>62</v>
      </c>
      <c r="D994">
        <v>184</v>
      </c>
      <c r="E994" t="s">
        <v>230</v>
      </c>
      <c r="F994">
        <v>4</v>
      </c>
      <c r="G994">
        <v>2840.33</v>
      </c>
      <c r="H994">
        <v>0</v>
      </c>
      <c r="I994">
        <v>0</v>
      </c>
      <c r="J994">
        <v>148.44</v>
      </c>
      <c r="K994">
        <v>0</v>
      </c>
      <c r="L994">
        <v>145.26</v>
      </c>
      <c r="M994">
        <v>148.44</v>
      </c>
      <c r="N994">
        <v>5.23</v>
      </c>
      <c r="O994">
        <v>2691.89</v>
      </c>
      <c r="P994">
        <v>0</v>
      </c>
      <c r="Q994" t="str">
        <f>INDEX(pARTNER[#All],MATCH(#REF!,pARTNER[[#All],[Value.partnerSummary.id]],0),10)</f>
        <v>Slovenija (SI)</v>
      </c>
      <c r="R994" t="str">
        <f>INDEX('Partner data'!$A$2:$DG$171,MATCH(#REF!,'Partner data'!$DG$2:$DG$171,0),83)</f>
        <v>Soggetto pubblico</v>
      </c>
      <c r="S994" s="86" t="b">
        <f>IF(#REF!="staff",INDEX('Partner data'!$DG$2:$DH$171,MATCH(#REF!,'Partner data'!$DG$2:$DG$171,0),2))</f>
        <v>0</v>
      </c>
    </row>
    <row r="995" spans="1:19" x14ac:dyDescent="0.25">
      <c r="A995" t="s">
        <v>288</v>
      </c>
      <c r="B995" t="s">
        <v>290</v>
      </c>
      <c r="C995">
        <v>62</v>
      </c>
      <c r="D995">
        <v>184</v>
      </c>
      <c r="E995" t="s">
        <v>231</v>
      </c>
      <c r="G995">
        <v>26000</v>
      </c>
      <c r="H995">
        <v>0</v>
      </c>
      <c r="I995">
        <v>0</v>
      </c>
      <c r="J995">
        <v>0</v>
      </c>
      <c r="K995">
        <v>0</v>
      </c>
      <c r="L995">
        <v>0</v>
      </c>
      <c r="M995">
        <v>0</v>
      </c>
      <c r="N995">
        <v>0</v>
      </c>
      <c r="O995">
        <v>26000</v>
      </c>
      <c r="P995">
        <v>0</v>
      </c>
      <c r="Q995" t="str">
        <f>INDEX(pARTNER[#All],MATCH(#REF!,pARTNER[[#All],[Value.partnerSummary.id]],0),10)</f>
        <v>Slovenija (SI)</v>
      </c>
      <c r="R995" t="str">
        <f>INDEX('Partner data'!$A$2:$DG$171,MATCH(#REF!,'Partner data'!$DG$2:$DG$171,0),83)</f>
        <v>Soggetto pubblico</v>
      </c>
      <c r="S995" s="86" t="b">
        <f>IF(#REF!="staff",INDEX('Partner data'!$DG$2:$DH$171,MATCH(#REF!,'Partner data'!$DG$2:$DG$171,0),2))</f>
        <v>0</v>
      </c>
    </row>
    <row r="996" spans="1:19" x14ac:dyDescent="0.25">
      <c r="A996" t="s">
        <v>288</v>
      </c>
      <c r="B996" t="s">
        <v>290</v>
      </c>
      <c r="C996">
        <v>62</v>
      </c>
      <c r="D996">
        <v>184</v>
      </c>
      <c r="E996" t="s">
        <v>232</v>
      </c>
      <c r="G996">
        <v>4500</v>
      </c>
      <c r="H996">
        <v>0</v>
      </c>
      <c r="I996">
        <v>0</v>
      </c>
      <c r="J996">
        <v>0</v>
      </c>
      <c r="K996">
        <v>0</v>
      </c>
      <c r="L996">
        <v>0</v>
      </c>
      <c r="M996">
        <v>0</v>
      </c>
      <c r="N996">
        <v>0</v>
      </c>
      <c r="O996">
        <v>4500</v>
      </c>
      <c r="P996">
        <v>0</v>
      </c>
      <c r="Q996" t="str">
        <f>INDEX(pARTNER[#All],MATCH(#REF!,pARTNER[[#All],[Value.partnerSummary.id]],0),10)</f>
        <v>Slovenija (SI)</v>
      </c>
      <c r="R996" t="str">
        <f>INDEX('Partner data'!$A$2:$DG$171,MATCH(#REF!,'Partner data'!$DG$2:$DG$171,0),83)</f>
        <v>Soggetto pubblico</v>
      </c>
      <c r="S996" s="86" t="b">
        <f>IF(#REF!="staff",INDEX('Partner data'!$DG$2:$DH$171,MATCH(#REF!,'Partner data'!$DG$2:$DG$171,0),2))</f>
        <v>0</v>
      </c>
    </row>
    <row r="997" spans="1:19" x14ac:dyDescent="0.25">
      <c r="A997" t="s">
        <v>288</v>
      </c>
      <c r="B997" t="s">
        <v>290</v>
      </c>
      <c r="C997">
        <v>62</v>
      </c>
      <c r="D997">
        <v>184</v>
      </c>
      <c r="E997" t="s">
        <v>233</v>
      </c>
      <c r="G997">
        <v>0</v>
      </c>
      <c r="H997">
        <v>0</v>
      </c>
      <c r="I997">
        <v>0</v>
      </c>
      <c r="J997">
        <v>0</v>
      </c>
      <c r="K997">
        <v>0</v>
      </c>
      <c r="L997">
        <v>0</v>
      </c>
      <c r="M997">
        <v>0</v>
      </c>
      <c r="N997">
        <v>0</v>
      </c>
      <c r="O997">
        <v>0</v>
      </c>
      <c r="P997">
        <v>0</v>
      </c>
      <c r="Q997" t="str">
        <f>INDEX(pARTNER[#All],MATCH(#REF!,pARTNER[[#All],[Value.partnerSummary.id]],0),10)</f>
        <v>Slovenija (SI)</v>
      </c>
      <c r="R997" t="str">
        <f>INDEX('Partner data'!$A$2:$DG$171,MATCH(#REF!,'Partner data'!$DG$2:$DG$171,0),83)</f>
        <v>Soggetto pubblico</v>
      </c>
      <c r="S997" s="86" t="b">
        <f>IF(#REF!="staff",INDEX('Partner data'!$DG$2:$DH$171,MATCH(#REF!,'Partner data'!$DG$2:$DG$171,0),2))</f>
        <v>0</v>
      </c>
    </row>
    <row r="998" spans="1:19" x14ac:dyDescent="0.25">
      <c r="A998" t="s">
        <v>288</v>
      </c>
      <c r="B998" t="s">
        <v>290</v>
      </c>
      <c r="C998">
        <v>62</v>
      </c>
      <c r="D998">
        <v>184</v>
      </c>
      <c r="E998" t="s">
        <v>234</v>
      </c>
      <c r="G998">
        <v>0</v>
      </c>
      <c r="H998">
        <v>0</v>
      </c>
      <c r="I998">
        <v>0</v>
      </c>
      <c r="J998">
        <v>0</v>
      </c>
      <c r="K998">
        <v>0</v>
      </c>
      <c r="L998">
        <v>0</v>
      </c>
      <c r="M998">
        <v>0</v>
      </c>
      <c r="N998">
        <v>0</v>
      </c>
      <c r="O998">
        <v>0</v>
      </c>
      <c r="P998">
        <v>0</v>
      </c>
      <c r="Q998" t="str">
        <f>INDEX(pARTNER[#All],MATCH(#REF!,pARTNER[[#All],[Value.partnerSummary.id]],0),10)</f>
        <v>Slovenija (SI)</v>
      </c>
      <c r="R998" t="str">
        <f>INDEX('Partner data'!$A$2:$DG$171,MATCH(#REF!,'Partner data'!$DG$2:$DG$171,0),83)</f>
        <v>Soggetto pubblico</v>
      </c>
      <c r="S998" s="86" t="b">
        <f>IF(#REF!="staff",INDEX('Partner data'!$DG$2:$DH$171,MATCH(#REF!,'Partner data'!$DG$2:$DG$171,0),2))</f>
        <v>0</v>
      </c>
    </row>
    <row r="999" spans="1:19" x14ac:dyDescent="0.25">
      <c r="A999" t="s">
        <v>288</v>
      </c>
      <c r="B999" t="s">
        <v>290</v>
      </c>
      <c r="C999">
        <v>62</v>
      </c>
      <c r="D999">
        <v>184</v>
      </c>
      <c r="E999" t="s">
        <v>235</v>
      </c>
      <c r="G999">
        <v>0</v>
      </c>
      <c r="H999">
        <v>0</v>
      </c>
      <c r="I999">
        <v>0</v>
      </c>
      <c r="J999">
        <v>0</v>
      </c>
      <c r="K999">
        <v>0</v>
      </c>
      <c r="L999">
        <v>0</v>
      </c>
      <c r="M999">
        <v>0</v>
      </c>
      <c r="N999">
        <v>0</v>
      </c>
      <c r="O999">
        <v>0</v>
      </c>
      <c r="P999">
        <v>0</v>
      </c>
      <c r="Q999" t="str">
        <f>INDEX(pARTNER[#All],MATCH(#REF!,pARTNER[[#All],[Value.partnerSummary.id]],0),10)</f>
        <v>Slovenija (SI)</v>
      </c>
      <c r="R999" t="str">
        <f>INDEX('Partner data'!$A$2:$DG$171,MATCH(#REF!,'Partner data'!$DG$2:$DG$171,0),83)</f>
        <v>Soggetto pubblico</v>
      </c>
      <c r="S999" s="86" t="b">
        <f>IF(#REF!="staff",INDEX('Partner data'!$DG$2:$DH$171,MATCH(#REF!,'Partner data'!$DG$2:$DG$171,0),2))</f>
        <v>0</v>
      </c>
    </row>
    <row r="1000" spans="1:19" x14ac:dyDescent="0.25">
      <c r="A1000" t="s">
        <v>288</v>
      </c>
      <c r="B1000" t="s">
        <v>290</v>
      </c>
      <c r="C1000">
        <v>62</v>
      </c>
      <c r="D1000">
        <v>184</v>
      </c>
      <c r="E1000" t="s">
        <v>236</v>
      </c>
      <c r="G1000">
        <v>0</v>
      </c>
      <c r="H1000">
        <v>0</v>
      </c>
      <c r="I1000">
        <v>0</v>
      </c>
      <c r="J1000">
        <v>0</v>
      </c>
      <c r="K1000">
        <v>0</v>
      </c>
      <c r="L1000">
        <v>0</v>
      </c>
      <c r="M1000">
        <v>0</v>
      </c>
      <c r="N1000">
        <v>0</v>
      </c>
      <c r="O1000">
        <v>0</v>
      </c>
      <c r="P1000">
        <v>0</v>
      </c>
      <c r="Q1000" t="str">
        <f>INDEX(pARTNER[#All],MATCH(#REF!,pARTNER[[#All],[Value.partnerSummary.id]],0),10)</f>
        <v>Slovenija (SI)</v>
      </c>
      <c r="R1000" t="str">
        <f>INDEX('Partner data'!$A$2:$DG$171,MATCH(#REF!,'Partner data'!$DG$2:$DG$171,0),83)</f>
        <v>Soggetto pubblico</v>
      </c>
      <c r="S1000" s="86" t="b">
        <f>IF(#REF!="staff",INDEX('Partner data'!$DG$2:$DH$171,MATCH(#REF!,'Partner data'!$DG$2:$DG$171,0),2))</f>
        <v>0</v>
      </c>
    </row>
    <row r="1001" spans="1:19" x14ac:dyDescent="0.25">
      <c r="A1001" t="s">
        <v>288</v>
      </c>
      <c r="B1001" t="s">
        <v>290</v>
      </c>
      <c r="C1001">
        <v>62</v>
      </c>
      <c r="D1001">
        <v>184</v>
      </c>
      <c r="E1001" t="s">
        <v>237</v>
      </c>
      <c r="G1001">
        <v>0</v>
      </c>
      <c r="H1001">
        <v>0</v>
      </c>
      <c r="I1001">
        <v>0</v>
      </c>
      <c r="J1001">
        <v>0</v>
      </c>
      <c r="K1001">
        <v>0</v>
      </c>
      <c r="L1001">
        <v>0</v>
      </c>
      <c r="M1001">
        <v>0</v>
      </c>
      <c r="N1001">
        <v>0</v>
      </c>
      <c r="O1001">
        <v>0</v>
      </c>
      <c r="P1001">
        <v>0</v>
      </c>
      <c r="Q1001" t="str">
        <f>INDEX(pARTNER[#All],MATCH(#REF!,pARTNER[[#All],[Value.partnerSummary.id]],0),10)</f>
        <v>Slovenija (SI)</v>
      </c>
      <c r="R1001" t="str">
        <f>INDEX('Partner data'!$A$2:$DG$171,MATCH(#REF!,'Partner data'!$DG$2:$DG$171,0),83)</f>
        <v>Soggetto pubblico</v>
      </c>
      <c r="S1001" s="86" t="b">
        <f>IF(#REF!="staff",INDEX('Partner data'!$DG$2:$DH$171,MATCH(#REF!,'Partner data'!$DG$2:$DG$171,0),2))</f>
        <v>0</v>
      </c>
    </row>
    <row r="1002" spans="1:19" x14ac:dyDescent="0.25">
      <c r="A1002" t="s">
        <v>288</v>
      </c>
      <c r="B1002" t="s">
        <v>290</v>
      </c>
      <c r="C1002">
        <v>62</v>
      </c>
      <c r="D1002">
        <v>184</v>
      </c>
      <c r="E1002" t="s">
        <v>238</v>
      </c>
      <c r="G1002">
        <v>115000</v>
      </c>
      <c r="H1002">
        <v>0</v>
      </c>
      <c r="I1002">
        <v>0</v>
      </c>
      <c r="J1002">
        <v>4416.1499999999996</v>
      </c>
      <c r="K1002">
        <v>0</v>
      </c>
      <c r="L1002">
        <v>4321.66</v>
      </c>
      <c r="M1002">
        <v>4416.1499999999996</v>
      </c>
      <c r="N1002">
        <v>3.84</v>
      </c>
      <c r="O1002">
        <v>110583.85</v>
      </c>
      <c r="P1002">
        <v>0</v>
      </c>
      <c r="Q1002" t="str">
        <f>INDEX(pARTNER[#All],MATCH(#REF!,pARTNER[[#All],[Value.partnerSummary.id]],0),10)</f>
        <v>Slovenija (SI)</v>
      </c>
      <c r="R1002" t="str">
        <f>INDEX('Partner data'!$A$2:$DG$171,MATCH(#REF!,'Partner data'!$DG$2:$DG$171,0),83)</f>
        <v>Soggetto pubblico</v>
      </c>
      <c r="S1002" s="86" t="b">
        <f>IF(#REF!="staff",INDEX('Partner data'!$DG$2:$DH$171,MATCH(#REF!,'Partner data'!$DG$2:$DG$171,0),2))</f>
        <v>0</v>
      </c>
    </row>
    <row r="1003" spans="1:19" x14ac:dyDescent="0.25">
      <c r="A1003" t="s">
        <v>288</v>
      </c>
      <c r="B1003" t="s">
        <v>291</v>
      </c>
      <c r="C1003">
        <v>65</v>
      </c>
      <c r="D1003">
        <v>186</v>
      </c>
      <c r="E1003" t="s">
        <v>228</v>
      </c>
      <c r="G1003">
        <v>28350</v>
      </c>
      <c r="H1003">
        <v>0</v>
      </c>
      <c r="I1003">
        <v>0</v>
      </c>
      <c r="J1003">
        <v>3930.08</v>
      </c>
      <c r="K1003">
        <v>0</v>
      </c>
      <c r="L1003">
        <v>3930.08</v>
      </c>
      <c r="M1003">
        <v>3930.08</v>
      </c>
      <c r="N1003">
        <v>13.86</v>
      </c>
      <c r="O1003">
        <v>24419.919999999998</v>
      </c>
      <c r="P1003">
        <v>0</v>
      </c>
      <c r="Q1003" t="str">
        <f>INDEX(pARTNER[#All],MATCH(#REF!,pARTNER[[#All],[Value.partnerSummary.id]],0),10)</f>
        <v>Slovenija (SI)</v>
      </c>
      <c r="R1003" t="str">
        <f>INDEX('Partner data'!$A$2:$DG$171,MATCH(#REF!,'Partner data'!$DG$2:$DG$171,0),83)</f>
        <v xml:space="preserve">Organismo di diritto pubblico </v>
      </c>
      <c r="S1003" s="86" t="str">
        <f>IF(#REF!="staff",INDEX('Partner data'!$DG$2:$DH$171,MATCH(#REF!,'Partner data'!$DG$2:$DG$171,0),2))</f>
        <v>COSTO REALE</v>
      </c>
    </row>
    <row r="1004" spans="1:19" x14ac:dyDescent="0.25">
      <c r="A1004" t="s">
        <v>288</v>
      </c>
      <c r="B1004" t="s">
        <v>291</v>
      </c>
      <c r="C1004">
        <v>65</v>
      </c>
      <c r="D1004">
        <v>186</v>
      </c>
      <c r="E1004" t="s">
        <v>229</v>
      </c>
      <c r="F1004">
        <v>15</v>
      </c>
      <c r="G1004">
        <v>4252.5</v>
      </c>
      <c r="H1004">
        <v>0</v>
      </c>
      <c r="I1004">
        <v>0</v>
      </c>
      <c r="J1004">
        <v>589.51</v>
      </c>
      <c r="K1004">
        <v>0</v>
      </c>
      <c r="L1004">
        <v>589.51</v>
      </c>
      <c r="M1004">
        <v>589.51</v>
      </c>
      <c r="N1004">
        <v>13.86</v>
      </c>
      <c r="O1004">
        <v>3662.99</v>
      </c>
      <c r="P1004">
        <v>0</v>
      </c>
      <c r="Q1004" t="str">
        <f>INDEX(pARTNER[#All],MATCH(#REF!,pARTNER[[#All],[Value.partnerSummary.id]],0),10)</f>
        <v>Slovenija (SI)</v>
      </c>
      <c r="R1004" t="str">
        <f>INDEX('Partner data'!$A$2:$DG$171,MATCH(#REF!,'Partner data'!$DG$2:$DG$171,0),83)</f>
        <v xml:space="preserve">Organismo di diritto pubblico </v>
      </c>
      <c r="S1004" s="86" t="b">
        <f>IF(#REF!="staff",INDEX('Partner data'!$DG$2:$DH$171,MATCH(#REF!,'Partner data'!$DG$2:$DG$171,0),2))</f>
        <v>0</v>
      </c>
    </row>
    <row r="1005" spans="1:19" x14ac:dyDescent="0.25">
      <c r="A1005" t="s">
        <v>288</v>
      </c>
      <c r="B1005" t="s">
        <v>291</v>
      </c>
      <c r="C1005">
        <v>65</v>
      </c>
      <c r="D1005">
        <v>186</v>
      </c>
      <c r="E1005" t="s">
        <v>230</v>
      </c>
      <c r="F1005">
        <v>4</v>
      </c>
      <c r="G1005">
        <v>1134</v>
      </c>
      <c r="H1005">
        <v>0</v>
      </c>
      <c r="I1005">
        <v>0</v>
      </c>
      <c r="J1005">
        <v>157.19999999999999</v>
      </c>
      <c r="K1005">
        <v>0</v>
      </c>
      <c r="L1005">
        <v>157.19999999999999</v>
      </c>
      <c r="M1005">
        <v>157.19999999999999</v>
      </c>
      <c r="N1005">
        <v>13.86</v>
      </c>
      <c r="O1005">
        <v>976.8</v>
      </c>
      <c r="P1005">
        <v>0</v>
      </c>
      <c r="Q1005" t="str">
        <f>INDEX(pARTNER[#All],MATCH(#REF!,pARTNER[[#All],[Value.partnerSummary.id]],0),10)</f>
        <v>Slovenija (SI)</v>
      </c>
      <c r="R1005" t="str">
        <f>INDEX('Partner data'!$A$2:$DG$171,MATCH(#REF!,'Partner data'!$DG$2:$DG$171,0),83)</f>
        <v xml:space="preserve">Organismo di diritto pubblico </v>
      </c>
      <c r="S1005" s="86" t="b">
        <f>IF(#REF!="staff",INDEX('Partner data'!$DG$2:$DH$171,MATCH(#REF!,'Partner data'!$DG$2:$DG$171,0),2))</f>
        <v>0</v>
      </c>
    </row>
    <row r="1006" spans="1:19" x14ac:dyDescent="0.25">
      <c r="A1006" t="s">
        <v>288</v>
      </c>
      <c r="B1006" t="s">
        <v>291</v>
      </c>
      <c r="C1006">
        <v>65</v>
      </c>
      <c r="D1006">
        <v>186</v>
      </c>
      <c r="E1006" t="s">
        <v>231</v>
      </c>
      <c r="G1006">
        <v>40000</v>
      </c>
      <c r="H1006">
        <v>0</v>
      </c>
      <c r="I1006">
        <v>0</v>
      </c>
      <c r="J1006">
        <v>0</v>
      </c>
      <c r="K1006">
        <v>0</v>
      </c>
      <c r="L1006">
        <v>0</v>
      </c>
      <c r="M1006">
        <v>0</v>
      </c>
      <c r="N1006">
        <v>0</v>
      </c>
      <c r="O1006">
        <v>40000</v>
      </c>
      <c r="P1006">
        <v>0</v>
      </c>
      <c r="Q1006" t="str">
        <f>INDEX(pARTNER[#All],MATCH(#REF!,pARTNER[[#All],[Value.partnerSummary.id]],0),10)</f>
        <v>Slovenija (SI)</v>
      </c>
      <c r="R1006" t="str">
        <f>INDEX('Partner data'!$A$2:$DG$171,MATCH(#REF!,'Partner data'!$DG$2:$DG$171,0),83)</f>
        <v xml:space="preserve">Organismo di diritto pubblico </v>
      </c>
      <c r="S1006" s="86" t="b">
        <f>IF(#REF!="staff",INDEX('Partner data'!$DG$2:$DH$171,MATCH(#REF!,'Partner data'!$DG$2:$DG$171,0),2))</f>
        <v>0</v>
      </c>
    </row>
    <row r="1007" spans="1:19" x14ac:dyDescent="0.25">
      <c r="A1007" t="s">
        <v>288</v>
      </c>
      <c r="B1007" t="s">
        <v>291</v>
      </c>
      <c r="C1007">
        <v>65</v>
      </c>
      <c r="D1007">
        <v>186</v>
      </c>
      <c r="E1007" t="s">
        <v>232</v>
      </c>
      <c r="G1007">
        <v>0</v>
      </c>
      <c r="H1007">
        <v>0</v>
      </c>
      <c r="I1007">
        <v>0</v>
      </c>
      <c r="J1007">
        <v>0</v>
      </c>
      <c r="K1007">
        <v>0</v>
      </c>
      <c r="L1007">
        <v>0</v>
      </c>
      <c r="M1007">
        <v>0</v>
      </c>
      <c r="N1007">
        <v>0</v>
      </c>
      <c r="O1007">
        <v>0</v>
      </c>
      <c r="P1007">
        <v>0</v>
      </c>
      <c r="Q1007" t="str">
        <f>INDEX(pARTNER[#All],MATCH(#REF!,pARTNER[[#All],[Value.partnerSummary.id]],0),10)</f>
        <v>Slovenija (SI)</v>
      </c>
      <c r="R1007" t="str">
        <f>INDEX('Partner data'!$A$2:$DG$171,MATCH(#REF!,'Partner data'!$DG$2:$DG$171,0),83)</f>
        <v xml:space="preserve">Organismo di diritto pubblico </v>
      </c>
      <c r="S1007" s="86" t="b">
        <f>IF(#REF!="staff",INDEX('Partner data'!$DG$2:$DH$171,MATCH(#REF!,'Partner data'!$DG$2:$DG$171,0),2))</f>
        <v>0</v>
      </c>
    </row>
    <row r="1008" spans="1:19" x14ac:dyDescent="0.25">
      <c r="A1008" t="s">
        <v>288</v>
      </c>
      <c r="B1008" t="s">
        <v>291</v>
      </c>
      <c r="C1008">
        <v>65</v>
      </c>
      <c r="D1008">
        <v>186</v>
      </c>
      <c r="E1008" t="s">
        <v>233</v>
      </c>
      <c r="G1008">
        <v>0</v>
      </c>
      <c r="H1008">
        <v>0</v>
      </c>
      <c r="I1008">
        <v>0</v>
      </c>
      <c r="J1008">
        <v>0</v>
      </c>
      <c r="K1008">
        <v>0</v>
      </c>
      <c r="L1008">
        <v>0</v>
      </c>
      <c r="M1008">
        <v>0</v>
      </c>
      <c r="N1008">
        <v>0</v>
      </c>
      <c r="O1008">
        <v>0</v>
      </c>
      <c r="P1008">
        <v>0</v>
      </c>
      <c r="Q1008" t="str">
        <f>INDEX(pARTNER[#All],MATCH(#REF!,pARTNER[[#All],[Value.partnerSummary.id]],0),10)</f>
        <v>Slovenija (SI)</v>
      </c>
      <c r="R1008" t="str">
        <f>INDEX('Partner data'!$A$2:$DG$171,MATCH(#REF!,'Partner data'!$DG$2:$DG$171,0),83)</f>
        <v xml:space="preserve">Organismo di diritto pubblico </v>
      </c>
      <c r="S1008" s="86" t="b">
        <f>IF(#REF!="staff",INDEX('Partner data'!$DG$2:$DH$171,MATCH(#REF!,'Partner data'!$DG$2:$DG$171,0),2))</f>
        <v>0</v>
      </c>
    </row>
    <row r="1009" spans="1:19" x14ac:dyDescent="0.25">
      <c r="A1009" t="s">
        <v>288</v>
      </c>
      <c r="B1009" t="s">
        <v>291</v>
      </c>
      <c r="C1009">
        <v>65</v>
      </c>
      <c r="D1009">
        <v>186</v>
      </c>
      <c r="E1009" t="s">
        <v>234</v>
      </c>
      <c r="G1009">
        <v>0</v>
      </c>
      <c r="H1009">
        <v>0</v>
      </c>
      <c r="I1009">
        <v>0</v>
      </c>
      <c r="J1009">
        <v>0</v>
      </c>
      <c r="K1009">
        <v>0</v>
      </c>
      <c r="L1009">
        <v>0</v>
      </c>
      <c r="M1009">
        <v>0</v>
      </c>
      <c r="N1009">
        <v>0</v>
      </c>
      <c r="O1009">
        <v>0</v>
      </c>
      <c r="P1009">
        <v>0</v>
      </c>
      <c r="Q1009" t="str">
        <f>INDEX(pARTNER[#All],MATCH(#REF!,pARTNER[[#All],[Value.partnerSummary.id]],0),10)</f>
        <v>Slovenija (SI)</v>
      </c>
      <c r="R1009" t="str">
        <f>INDEX('Partner data'!$A$2:$DG$171,MATCH(#REF!,'Partner data'!$DG$2:$DG$171,0),83)</f>
        <v xml:space="preserve">Organismo di diritto pubblico </v>
      </c>
      <c r="S1009" s="86" t="b">
        <f>IF(#REF!="staff",INDEX('Partner data'!$DG$2:$DH$171,MATCH(#REF!,'Partner data'!$DG$2:$DG$171,0),2))</f>
        <v>0</v>
      </c>
    </row>
    <row r="1010" spans="1:19" x14ac:dyDescent="0.25">
      <c r="A1010" t="s">
        <v>288</v>
      </c>
      <c r="B1010" t="s">
        <v>291</v>
      </c>
      <c r="C1010">
        <v>65</v>
      </c>
      <c r="D1010">
        <v>186</v>
      </c>
      <c r="E1010" t="s">
        <v>235</v>
      </c>
      <c r="G1010">
        <v>0</v>
      </c>
      <c r="H1010">
        <v>0</v>
      </c>
      <c r="I1010">
        <v>0</v>
      </c>
      <c r="J1010">
        <v>0</v>
      </c>
      <c r="K1010">
        <v>0</v>
      </c>
      <c r="L1010">
        <v>0</v>
      </c>
      <c r="M1010">
        <v>0</v>
      </c>
      <c r="N1010">
        <v>0</v>
      </c>
      <c r="O1010">
        <v>0</v>
      </c>
      <c r="P1010">
        <v>0</v>
      </c>
      <c r="Q1010" t="str">
        <f>INDEX(pARTNER[#All],MATCH(#REF!,pARTNER[[#All],[Value.partnerSummary.id]],0),10)</f>
        <v>Slovenija (SI)</v>
      </c>
      <c r="R1010" t="str">
        <f>INDEX('Partner data'!$A$2:$DG$171,MATCH(#REF!,'Partner data'!$DG$2:$DG$171,0),83)</f>
        <v xml:space="preserve">Organismo di diritto pubblico </v>
      </c>
      <c r="S1010" s="86" t="b">
        <f>IF(#REF!="staff",INDEX('Partner data'!$DG$2:$DH$171,MATCH(#REF!,'Partner data'!$DG$2:$DG$171,0),2))</f>
        <v>0</v>
      </c>
    </row>
    <row r="1011" spans="1:19" x14ac:dyDescent="0.25">
      <c r="A1011" t="s">
        <v>288</v>
      </c>
      <c r="B1011" t="s">
        <v>291</v>
      </c>
      <c r="C1011">
        <v>65</v>
      </c>
      <c r="D1011">
        <v>186</v>
      </c>
      <c r="E1011" t="s">
        <v>236</v>
      </c>
      <c r="G1011">
        <v>0</v>
      </c>
      <c r="H1011">
        <v>0</v>
      </c>
      <c r="I1011">
        <v>0</v>
      </c>
      <c r="J1011">
        <v>0</v>
      </c>
      <c r="K1011">
        <v>0</v>
      </c>
      <c r="L1011">
        <v>0</v>
      </c>
      <c r="M1011">
        <v>0</v>
      </c>
      <c r="N1011">
        <v>0</v>
      </c>
      <c r="O1011">
        <v>0</v>
      </c>
      <c r="P1011">
        <v>0</v>
      </c>
      <c r="Q1011" t="str">
        <f>INDEX(pARTNER[#All],MATCH(#REF!,pARTNER[[#All],[Value.partnerSummary.id]],0),10)</f>
        <v>Slovenija (SI)</v>
      </c>
      <c r="R1011" t="str">
        <f>INDEX('Partner data'!$A$2:$DG$171,MATCH(#REF!,'Partner data'!$DG$2:$DG$171,0),83)</f>
        <v xml:space="preserve">Organismo di diritto pubblico </v>
      </c>
      <c r="S1011" s="86" t="b">
        <f>IF(#REF!="staff",INDEX('Partner data'!$DG$2:$DH$171,MATCH(#REF!,'Partner data'!$DG$2:$DG$171,0),2))</f>
        <v>0</v>
      </c>
    </row>
    <row r="1012" spans="1:19" x14ac:dyDescent="0.25">
      <c r="A1012" t="s">
        <v>288</v>
      </c>
      <c r="B1012" t="s">
        <v>291</v>
      </c>
      <c r="C1012">
        <v>65</v>
      </c>
      <c r="D1012">
        <v>186</v>
      </c>
      <c r="E1012" t="s">
        <v>237</v>
      </c>
      <c r="G1012">
        <v>0</v>
      </c>
      <c r="H1012">
        <v>0</v>
      </c>
      <c r="I1012">
        <v>0</v>
      </c>
      <c r="J1012">
        <v>0</v>
      </c>
      <c r="K1012">
        <v>0</v>
      </c>
      <c r="L1012">
        <v>0</v>
      </c>
      <c r="M1012">
        <v>0</v>
      </c>
      <c r="N1012">
        <v>0</v>
      </c>
      <c r="O1012">
        <v>0</v>
      </c>
      <c r="P1012">
        <v>0</v>
      </c>
      <c r="Q1012" t="str">
        <f>INDEX(pARTNER[#All],MATCH(#REF!,pARTNER[[#All],[Value.partnerSummary.id]],0),10)</f>
        <v>Slovenija (SI)</v>
      </c>
      <c r="R1012" t="str">
        <f>INDEX('Partner data'!$A$2:$DG$171,MATCH(#REF!,'Partner data'!$DG$2:$DG$171,0),83)</f>
        <v xml:space="preserve">Organismo di diritto pubblico </v>
      </c>
      <c r="S1012" s="86" t="b">
        <f>IF(#REF!="staff",INDEX('Partner data'!$DG$2:$DH$171,MATCH(#REF!,'Partner data'!$DG$2:$DG$171,0),2))</f>
        <v>0</v>
      </c>
    </row>
    <row r="1013" spans="1:19" x14ac:dyDescent="0.25">
      <c r="A1013" t="s">
        <v>288</v>
      </c>
      <c r="B1013" t="s">
        <v>291</v>
      </c>
      <c r="C1013">
        <v>65</v>
      </c>
      <c r="D1013">
        <v>186</v>
      </c>
      <c r="E1013" t="s">
        <v>238</v>
      </c>
      <c r="G1013">
        <v>73736.5</v>
      </c>
      <c r="H1013">
        <v>0</v>
      </c>
      <c r="I1013">
        <v>0</v>
      </c>
      <c r="J1013">
        <v>4676.79</v>
      </c>
      <c r="K1013">
        <v>0</v>
      </c>
      <c r="L1013">
        <v>4676.79</v>
      </c>
      <c r="M1013">
        <v>4676.79</v>
      </c>
      <c r="N1013">
        <v>6.34</v>
      </c>
      <c r="O1013">
        <v>69059.710000000006</v>
      </c>
      <c r="P1013">
        <v>0</v>
      </c>
      <c r="Q1013" t="str">
        <f>INDEX(pARTNER[#All],MATCH(#REF!,pARTNER[[#All],[Value.partnerSummary.id]],0),10)</f>
        <v>Slovenija (SI)</v>
      </c>
      <c r="R1013" t="str">
        <f>INDEX('Partner data'!$A$2:$DG$171,MATCH(#REF!,'Partner data'!$DG$2:$DG$171,0),83)</f>
        <v xml:space="preserve">Organismo di diritto pubblico </v>
      </c>
      <c r="S1013" s="86" t="b">
        <f>IF(#REF!="staff",INDEX('Partner data'!$DG$2:$DH$171,MATCH(#REF!,'Partner data'!$DG$2:$DG$171,0),2))</f>
        <v>0</v>
      </c>
    </row>
    <row r="1014" spans="1:19" x14ac:dyDescent="0.25">
      <c r="A1014" t="s">
        <v>288</v>
      </c>
      <c r="B1014" t="s">
        <v>286</v>
      </c>
      <c r="C1014">
        <v>59</v>
      </c>
      <c r="D1014">
        <v>181</v>
      </c>
      <c r="E1014" t="s">
        <v>228</v>
      </c>
      <c r="G1014">
        <v>96600</v>
      </c>
      <c r="H1014">
        <v>0</v>
      </c>
      <c r="I1014">
        <v>0</v>
      </c>
      <c r="J1014">
        <v>10450</v>
      </c>
      <c r="K1014">
        <v>0</v>
      </c>
      <c r="L1014">
        <v>10450</v>
      </c>
      <c r="M1014">
        <v>10450</v>
      </c>
      <c r="N1014">
        <v>10.82</v>
      </c>
      <c r="O1014">
        <v>86150</v>
      </c>
      <c r="P1014">
        <v>0</v>
      </c>
      <c r="Q1014" t="str">
        <f>INDEX(pARTNER[#All],MATCH(#REF!,pARTNER[[#All],[Value.partnerSummary.id]],0),10)</f>
        <v>Italia (IT)</v>
      </c>
      <c r="R1014" t="str">
        <f>INDEX('Partner data'!$A$2:$DG$171,MATCH(#REF!,'Partner data'!$DG$2:$DG$171,0),83)</f>
        <v>Soggetto pubblico</v>
      </c>
      <c r="S1014" s="86" t="str">
        <f>IF(#REF!="staff",INDEX('Partner data'!$DG$2:$DH$171,MATCH(#REF!,'Partner data'!$DG$2:$DG$171,0),2))</f>
        <v>Costo Unitario Standard</v>
      </c>
    </row>
    <row r="1015" spans="1:19" x14ac:dyDescent="0.25">
      <c r="A1015" t="s">
        <v>288</v>
      </c>
      <c r="B1015" t="s">
        <v>286</v>
      </c>
      <c r="C1015">
        <v>59</v>
      </c>
      <c r="D1015">
        <v>181</v>
      </c>
      <c r="E1015" t="s">
        <v>229</v>
      </c>
      <c r="F1015">
        <v>15</v>
      </c>
      <c r="G1015">
        <v>14490</v>
      </c>
      <c r="H1015">
        <v>0</v>
      </c>
      <c r="I1015">
        <v>0</v>
      </c>
      <c r="J1015">
        <v>1567.5</v>
      </c>
      <c r="K1015">
        <v>0</v>
      </c>
      <c r="L1015">
        <v>1567.5</v>
      </c>
      <c r="M1015">
        <v>1567.5</v>
      </c>
      <c r="N1015">
        <v>10.82</v>
      </c>
      <c r="O1015">
        <v>12922.5</v>
      </c>
      <c r="P1015">
        <v>0</v>
      </c>
      <c r="Q1015" t="str">
        <f>INDEX(pARTNER[#All],MATCH(#REF!,pARTNER[[#All],[Value.partnerSummary.id]],0),10)</f>
        <v>Italia (IT)</v>
      </c>
      <c r="R1015" t="str">
        <f>INDEX('Partner data'!$A$2:$DG$171,MATCH(#REF!,'Partner data'!$DG$2:$DG$171,0),83)</f>
        <v>Soggetto pubblico</v>
      </c>
      <c r="S1015" s="86" t="b">
        <f>IF(#REF!="staff",INDEX('Partner data'!$DG$2:$DH$171,MATCH(#REF!,'Partner data'!$DG$2:$DG$171,0),2))</f>
        <v>0</v>
      </c>
    </row>
    <row r="1016" spans="1:19" x14ac:dyDescent="0.25">
      <c r="A1016" t="s">
        <v>288</v>
      </c>
      <c r="B1016" t="s">
        <v>286</v>
      </c>
      <c r="C1016">
        <v>59</v>
      </c>
      <c r="D1016">
        <v>181</v>
      </c>
      <c r="E1016" t="s">
        <v>230</v>
      </c>
      <c r="F1016">
        <v>4</v>
      </c>
      <c r="G1016">
        <v>3864</v>
      </c>
      <c r="H1016">
        <v>0</v>
      </c>
      <c r="I1016">
        <v>0</v>
      </c>
      <c r="J1016">
        <v>418</v>
      </c>
      <c r="K1016">
        <v>0</v>
      </c>
      <c r="L1016">
        <v>418</v>
      </c>
      <c r="M1016">
        <v>418</v>
      </c>
      <c r="N1016">
        <v>10.82</v>
      </c>
      <c r="O1016">
        <v>3446</v>
      </c>
      <c r="P1016">
        <v>0</v>
      </c>
      <c r="Q1016" t="str">
        <f>INDEX(pARTNER[#All],MATCH(#REF!,pARTNER[[#All],[Value.partnerSummary.id]],0),10)</f>
        <v>Italia (IT)</v>
      </c>
      <c r="R1016" t="str">
        <f>INDEX('Partner data'!$A$2:$DG$171,MATCH(#REF!,'Partner data'!$DG$2:$DG$171,0),83)</f>
        <v>Soggetto pubblico</v>
      </c>
      <c r="S1016" s="86" t="b">
        <f>IF(#REF!="staff",INDEX('Partner data'!$DG$2:$DH$171,MATCH(#REF!,'Partner data'!$DG$2:$DG$171,0),2))</f>
        <v>0</v>
      </c>
    </row>
    <row r="1017" spans="1:19" x14ac:dyDescent="0.25">
      <c r="A1017" t="s">
        <v>288</v>
      </c>
      <c r="B1017" t="s">
        <v>286</v>
      </c>
      <c r="C1017">
        <v>59</v>
      </c>
      <c r="D1017">
        <v>181</v>
      </c>
      <c r="E1017" t="s">
        <v>231</v>
      </c>
      <c r="G1017">
        <v>35000</v>
      </c>
      <c r="H1017">
        <v>0</v>
      </c>
      <c r="I1017">
        <v>0</v>
      </c>
      <c r="J1017">
        <v>10004</v>
      </c>
      <c r="K1017">
        <v>0</v>
      </c>
      <c r="L1017">
        <v>10004</v>
      </c>
      <c r="M1017">
        <v>10004</v>
      </c>
      <c r="N1017">
        <v>28.58</v>
      </c>
      <c r="O1017">
        <v>24996</v>
      </c>
      <c r="P1017">
        <v>0</v>
      </c>
      <c r="Q1017" t="str">
        <f>INDEX(pARTNER[#All],MATCH(#REF!,pARTNER[[#All],[Value.partnerSummary.id]],0),10)</f>
        <v>Italia (IT)</v>
      </c>
      <c r="R1017" t="str">
        <f>INDEX('Partner data'!$A$2:$DG$171,MATCH(#REF!,'Partner data'!$DG$2:$DG$171,0),83)</f>
        <v>Soggetto pubblico</v>
      </c>
      <c r="S1017" s="86" t="b">
        <f>IF(#REF!="staff",INDEX('Partner data'!$DG$2:$DH$171,MATCH(#REF!,'Partner data'!$DG$2:$DG$171,0),2))</f>
        <v>0</v>
      </c>
    </row>
    <row r="1018" spans="1:19" x14ac:dyDescent="0.25">
      <c r="A1018" t="s">
        <v>288</v>
      </c>
      <c r="B1018" t="s">
        <v>286</v>
      </c>
      <c r="C1018">
        <v>59</v>
      </c>
      <c r="D1018">
        <v>181</v>
      </c>
      <c r="E1018" t="s">
        <v>232</v>
      </c>
      <c r="G1018">
        <v>0</v>
      </c>
      <c r="H1018">
        <v>0</v>
      </c>
      <c r="I1018">
        <v>0</v>
      </c>
      <c r="J1018">
        <v>0</v>
      </c>
      <c r="K1018">
        <v>0</v>
      </c>
      <c r="L1018">
        <v>0</v>
      </c>
      <c r="M1018">
        <v>0</v>
      </c>
      <c r="N1018">
        <v>0</v>
      </c>
      <c r="O1018">
        <v>0</v>
      </c>
      <c r="P1018">
        <v>0</v>
      </c>
      <c r="Q1018" t="str">
        <f>INDEX(pARTNER[#All],MATCH(#REF!,pARTNER[[#All],[Value.partnerSummary.id]],0),10)</f>
        <v>Italia (IT)</v>
      </c>
      <c r="R1018" t="str">
        <f>INDEX('Partner data'!$A$2:$DG$171,MATCH(#REF!,'Partner data'!$DG$2:$DG$171,0),83)</f>
        <v>Soggetto pubblico</v>
      </c>
      <c r="S1018" s="86" t="b">
        <f>IF(#REF!="staff",INDEX('Partner data'!$DG$2:$DH$171,MATCH(#REF!,'Partner data'!$DG$2:$DG$171,0),2))</f>
        <v>0</v>
      </c>
    </row>
    <row r="1019" spans="1:19" x14ac:dyDescent="0.25">
      <c r="A1019" t="s">
        <v>288</v>
      </c>
      <c r="B1019" t="s">
        <v>286</v>
      </c>
      <c r="C1019">
        <v>59</v>
      </c>
      <c r="D1019">
        <v>181</v>
      </c>
      <c r="E1019" t="s">
        <v>233</v>
      </c>
      <c r="G1019">
        <v>0</v>
      </c>
      <c r="H1019">
        <v>0</v>
      </c>
      <c r="I1019">
        <v>0</v>
      </c>
      <c r="J1019">
        <v>0</v>
      </c>
      <c r="K1019">
        <v>0</v>
      </c>
      <c r="L1019">
        <v>0</v>
      </c>
      <c r="M1019">
        <v>0</v>
      </c>
      <c r="N1019">
        <v>0</v>
      </c>
      <c r="O1019">
        <v>0</v>
      </c>
      <c r="P1019">
        <v>0</v>
      </c>
      <c r="Q1019" t="str">
        <f>INDEX(pARTNER[#All],MATCH(#REF!,pARTNER[[#All],[Value.partnerSummary.id]],0),10)</f>
        <v>Italia (IT)</v>
      </c>
      <c r="R1019" t="str">
        <f>INDEX('Partner data'!$A$2:$DG$171,MATCH(#REF!,'Partner data'!$DG$2:$DG$171,0),83)</f>
        <v>Soggetto pubblico</v>
      </c>
      <c r="S1019" s="86" t="b">
        <f>IF(#REF!="staff",INDEX('Partner data'!$DG$2:$DH$171,MATCH(#REF!,'Partner data'!$DG$2:$DG$171,0),2))</f>
        <v>0</v>
      </c>
    </row>
    <row r="1020" spans="1:19" x14ac:dyDescent="0.25">
      <c r="A1020" t="s">
        <v>288</v>
      </c>
      <c r="B1020" t="s">
        <v>286</v>
      </c>
      <c r="C1020">
        <v>59</v>
      </c>
      <c r="D1020">
        <v>181</v>
      </c>
      <c r="E1020" t="s">
        <v>234</v>
      </c>
      <c r="G1020">
        <v>0</v>
      </c>
      <c r="H1020">
        <v>0</v>
      </c>
      <c r="I1020">
        <v>0</v>
      </c>
      <c r="J1020">
        <v>0</v>
      </c>
      <c r="K1020">
        <v>0</v>
      </c>
      <c r="L1020">
        <v>0</v>
      </c>
      <c r="M1020">
        <v>0</v>
      </c>
      <c r="N1020">
        <v>0</v>
      </c>
      <c r="O1020">
        <v>0</v>
      </c>
      <c r="P1020">
        <v>0</v>
      </c>
      <c r="Q1020" t="str">
        <f>INDEX(pARTNER[#All],MATCH(#REF!,pARTNER[[#All],[Value.partnerSummary.id]],0),10)</f>
        <v>Italia (IT)</v>
      </c>
      <c r="R1020" t="str">
        <f>INDEX('Partner data'!$A$2:$DG$171,MATCH(#REF!,'Partner data'!$DG$2:$DG$171,0),83)</f>
        <v>Soggetto pubblico</v>
      </c>
      <c r="S1020" s="86" t="b">
        <f>IF(#REF!="staff",INDEX('Partner data'!$DG$2:$DH$171,MATCH(#REF!,'Partner data'!$DG$2:$DG$171,0),2))</f>
        <v>0</v>
      </c>
    </row>
    <row r="1021" spans="1:19" x14ac:dyDescent="0.25">
      <c r="A1021" t="s">
        <v>288</v>
      </c>
      <c r="B1021" t="s">
        <v>286</v>
      </c>
      <c r="C1021">
        <v>59</v>
      </c>
      <c r="D1021">
        <v>181</v>
      </c>
      <c r="E1021" t="s">
        <v>235</v>
      </c>
      <c r="G1021">
        <v>9000</v>
      </c>
      <c r="H1021">
        <v>0</v>
      </c>
      <c r="I1021">
        <v>0</v>
      </c>
      <c r="J1021">
        <v>9000</v>
      </c>
      <c r="K1021">
        <v>0</v>
      </c>
      <c r="L1021">
        <v>9000</v>
      </c>
      <c r="M1021">
        <v>9000</v>
      </c>
      <c r="N1021">
        <v>100</v>
      </c>
      <c r="O1021">
        <v>0</v>
      </c>
      <c r="P1021">
        <v>0</v>
      </c>
      <c r="Q1021" t="str">
        <f>INDEX(pARTNER[#All],MATCH(#REF!,pARTNER[[#All],[Value.partnerSummary.id]],0),10)</f>
        <v>Italia (IT)</v>
      </c>
      <c r="R1021" t="str">
        <f>INDEX('Partner data'!$A$2:$DG$171,MATCH(#REF!,'Partner data'!$DG$2:$DG$171,0),83)</f>
        <v>Soggetto pubblico</v>
      </c>
      <c r="S1021" s="86" t="b">
        <f>IF(#REF!="staff",INDEX('Partner data'!$DG$2:$DH$171,MATCH(#REF!,'Partner data'!$DG$2:$DG$171,0),2))</f>
        <v>0</v>
      </c>
    </row>
    <row r="1022" spans="1:19" x14ac:dyDescent="0.25">
      <c r="A1022" t="s">
        <v>288</v>
      </c>
      <c r="B1022" t="s">
        <v>286</v>
      </c>
      <c r="C1022">
        <v>59</v>
      </c>
      <c r="D1022">
        <v>181</v>
      </c>
      <c r="E1022" t="s">
        <v>236</v>
      </c>
      <c r="G1022">
        <v>0</v>
      </c>
      <c r="H1022">
        <v>0</v>
      </c>
      <c r="I1022">
        <v>0</v>
      </c>
      <c r="J1022">
        <v>0</v>
      </c>
      <c r="K1022">
        <v>0</v>
      </c>
      <c r="L1022">
        <v>0</v>
      </c>
      <c r="M1022">
        <v>0</v>
      </c>
      <c r="N1022">
        <v>0</v>
      </c>
      <c r="O1022">
        <v>0</v>
      </c>
      <c r="P1022">
        <v>0</v>
      </c>
      <c r="Q1022" t="str">
        <f>INDEX(pARTNER[#All],MATCH(#REF!,pARTNER[[#All],[Value.partnerSummary.id]],0),10)</f>
        <v>Italia (IT)</v>
      </c>
      <c r="R1022" t="str">
        <f>INDEX('Partner data'!$A$2:$DG$171,MATCH(#REF!,'Partner data'!$DG$2:$DG$171,0),83)</f>
        <v>Soggetto pubblico</v>
      </c>
      <c r="S1022" s="86" t="b">
        <f>IF(#REF!="staff",INDEX('Partner data'!$DG$2:$DH$171,MATCH(#REF!,'Partner data'!$DG$2:$DG$171,0),2))</f>
        <v>0</v>
      </c>
    </row>
    <row r="1023" spans="1:19" x14ac:dyDescent="0.25">
      <c r="A1023" t="s">
        <v>288</v>
      </c>
      <c r="B1023" t="s">
        <v>286</v>
      </c>
      <c r="C1023">
        <v>59</v>
      </c>
      <c r="D1023">
        <v>181</v>
      </c>
      <c r="E1023" t="s">
        <v>237</v>
      </c>
      <c r="G1023">
        <v>0</v>
      </c>
      <c r="H1023">
        <v>0</v>
      </c>
      <c r="I1023">
        <v>0</v>
      </c>
      <c r="J1023">
        <v>0</v>
      </c>
      <c r="K1023">
        <v>0</v>
      </c>
      <c r="L1023">
        <v>0</v>
      </c>
      <c r="M1023">
        <v>0</v>
      </c>
      <c r="N1023">
        <v>0</v>
      </c>
      <c r="O1023">
        <v>0</v>
      </c>
      <c r="P1023">
        <v>0</v>
      </c>
      <c r="Q1023" t="str">
        <f>INDEX(pARTNER[#All],MATCH(#REF!,pARTNER[[#All],[Value.partnerSummary.id]],0),10)</f>
        <v>Italia (IT)</v>
      </c>
      <c r="R1023" t="str">
        <f>INDEX('Partner data'!$A$2:$DG$171,MATCH(#REF!,'Partner data'!$DG$2:$DG$171,0),83)</f>
        <v>Soggetto pubblico</v>
      </c>
      <c r="S1023" s="86" t="b">
        <f>IF(#REF!="staff",INDEX('Partner data'!$DG$2:$DH$171,MATCH(#REF!,'Partner data'!$DG$2:$DG$171,0),2))</f>
        <v>0</v>
      </c>
    </row>
    <row r="1024" spans="1:19" x14ac:dyDescent="0.25">
      <c r="A1024" t="s">
        <v>288</v>
      </c>
      <c r="B1024" t="s">
        <v>286</v>
      </c>
      <c r="C1024">
        <v>59</v>
      </c>
      <c r="D1024">
        <v>181</v>
      </c>
      <c r="E1024" t="s">
        <v>238</v>
      </c>
      <c r="G1024">
        <v>158954</v>
      </c>
      <c r="H1024">
        <v>0</v>
      </c>
      <c r="I1024">
        <v>0</v>
      </c>
      <c r="J1024">
        <v>31439.5</v>
      </c>
      <c r="K1024">
        <v>0</v>
      </c>
      <c r="L1024">
        <v>31439.5</v>
      </c>
      <c r="M1024">
        <v>31439.5</v>
      </c>
      <c r="N1024">
        <v>19.78</v>
      </c>
      <c r="O1024">
        <v>127514.5</v>
      </c>
      <c r="P1024">
        <v>0</v>
      </c>
      <c r="Q1024" t="str">
        <f>INDEX(pARTNER[#All],MATCH(#REF!,pARTNER[[#All],[Value.partnerSummary.id]],0),10)</f>
        <v>Italia (IT)</v>
      </c>
      <c r="R1024" t="str">
        <f>INDEX('Partner data'!$A$2:$DG$171,MATCH(#REF!,'Partner data'!$DG$2:$DG$171,0),83)</f>
        <v>Soggetto pubblico</v>
      </c>
      <c r="S1024" s="86" t="b">
        <f>IF(#REF!="staff",INDEX('Partner data'!$DG$2:$DH$171,MATCH(#REF!,'Partner data'!$DG$2:$DG$171,0),2))</f>
        <v>0</v>
      </c>
    </row>
    <row r="1025" spans="1:19" x14ac:dyDescent="0.25">
      <c r="A1025" t="s">
        <v>288</v>
      </c>
      <c r="B1025" t="s">
        <v>292</v>
      </c>
      <c r="C1025">
        <v>60</v>
      </c>
      <c r="D1025">
        <v>183</v>
      </c>
      <c r="E1025" t="s">
        <v>228</v>
      </c>
      <c r="G1025">
        <v>53946.43</v>
      </c>
      <c r="H1025">
        <v>0</v>
      </c>
      <c r="I1025">
        <v>0</v>
      </c>
      <c r="J1025">
        <v>10741</v>
      </c>
      <c r="K1025">
        <v>0</v>
      </c>
      <c r="L1025">
        <v>10741</v>
      </c>
      <c r="M1025">
        <v>10741</v>
      </c>
      <c r="N1025">
        <v>19.91</v>
      </c>
      <c r="O1025">
        <v>43205.43</v>
      </c>
      <c r="P1025">
        <v>0</v>
      </c>
      <c r="Q1025" t="str">
        <f>INDEX(pARTNER[#All],MATCH(#REF!,pARTNER[[#All],[Value.partnerSummary.id]],0),10)</f>
        <v>Italia (IT)</v>
      </c>
      <c r="R1025" t="str">
        <f>INDEX('Partner data'!$A$2:$DG$171,MATCH(#REF!,'Partner data'!$DG$2:$DG$171,0),83)</f>
        <v>Soggetto pubblico</v>
      </c>
      <c r="S1025" s="86" t="str">
        <f>IF(#REF!="staff",INDEX('Partner data'!$DG$2:$DH$171,MATCH(#REF!,'Partner data'!$DG$2:$DG$171,0),2))</f>
        <v>COSTO REALE</v>
      </c>
    </row>
    <row r="1026" spans="1:19" x14ac:dyDescent="0.25">
      <c r="A1026" t="s">
        <v>288</v>
      </c>
      <c r="B1026" t="s">
        <v>292</v>
      </c>
      <c r="C1026">
        <v>60</v>
      </c>
      <c r="D1026">
        <v>183</v>
      </c>
      <c r="E1026" t="s">
        <v>229</v>
      </c>
      <c r="F1026">
        <v>15</v>
      </c>
      <c r="G1026">
        <v>8091.96</v>
      </c>
      <c r="H1026">
        <v>0</v>
      </c>
      <c r="I1026">
        <v>0</v>
      </c>
      <c r="J1026">
        <v>1611.15</v>
      </c>
      <c r="K1026">
        <v>0</v>
      </c>
      <c r="L1026">
        <v>1611.15</v>
      </c>
      <c r="M1026">
        <v>1611.15</v>
      </c>
      <c r="N1026">
        <v>19.91</v>
      </c>
      <c r="O1026">
        <v>6480.81</v>
      </c>
      <c r="P1026">
        <v>0</v>
      </c>
      <c r="Q1026" t="str">
        <f>INDEX(pARTNER[#All],MATCH(#REF!,pARTNER[[#All],[Value.partnerSummary.id]],0),10)</f>
        <v>Italia (IT)</v>
      </c>
      <c r="R1026" t="str">
        <f>INDEX('Partner data'!$A$2:$DG$171,MATCH(#REF!,'Partner data'!$DG$2:$DG$171,0),83)</f>
        <v>Soggetto pubblico</v>
      </c>
      <c r="S1026" s="86" t="b">
        <f>IF(#REF!="staff",INDEX('Partner data'!$DG$2:$DH$171,MATCH(#REF!,'Partner data'!$DG$2:$DG$171,0),2))</f>
        <v>0</v>
      </c>
    </row>
    <row r="1027" spans="1:19" x14ac:dyDescent="0.25">
      <c r="A1027" t="s">
        <v>288</v>
      </c>
      <c r="B1027" t="s">
        <v>292</v>
      </c>
      <c r="C1027">
        <v>60</v>
      </c>
      <c r="D1027">
        <v>183</v>
      </c>
      <c r="E1027" t="s">
        <v>230</v>
      </c>
      <c r="F1027">
        <v>4</v>
      </c>
      <c r="G1027">
        <v>2157.85</v>
      </c>
      <c r="H1027">
        <v>0</v>
      </c>
      <c r="I1027">
        <v>0</v>
      </c>
      <c r="J1027">
        <v>429.64</v>
      </c>
      <c r="K1027">
        <v>0</v>
      </c>
      <c r="L1027">
        <v>429.64</v>
      </c>
      <c r="M1027">
        <v>429.64</v>
      </c>
      <c r="N1027">
        <v>19.91</v>
      </c>
      <c r="O1027">
        <v>1728.21</v>
      </c>
      <c r="P1027">
        <v>0</v>
      </c>
      <c r="Q1027" t="str">
        <f>INDEX(pARTNER[#All],MATCH(#REF!,pARTNER[[#All],[Value.partnerSummary.id]],0),10)</f>
        <v>Italia (IT)</v>
      </c>
      <c r="R1027" t="str">
        <f>INDEX('Partner data'!$A$2:$DG$171,MATCH(#REF!,'Partner data'!$DG$2:$DG$171,0),83)</f>
        <v>Soggetto pubblico</v>
      </c>
      <c r="S1027" s="86" t="b">
        <f>IF(#REF!="staff",INDEX('Partner data'!$DG$2:$DH$171,MATCH(#REF!,'Partner data'!$DG$2:$DG$171,0),2))</f>
        <v>0</v>
      </c>
    </row>
    <row r="1028" spans="1:19" x14ac:dyDescent="0.25">
      <c r="A1028" t="s">
        <v>288</v>
      </c>
      <c r="B1028" t="s">
        <v>292</v>
      </c>
      <c r="C1028">
        <v>60</v>
      </c>
      <c r="D1028">
        <v>183</v>
      </c>
      <c r="E1028" t="s">
        <v>231</v>
      </c>
      <c r="G1028">
        <v>35000</v>
      </c>
      <c r="H1028">
        <v>0</v>
      </c>
      <c r="I1028">
        <v>0</v>
      </c>
      <c r="J1028">
        <v>0</v>
      </c>
      <c r="K1028">
        <v>0</v>
      </c>
      <c r="L1028">
        <v>0</v>
      </c>
      <c r="M1028">
        <v>0</v>
      </c>
      <c r="N1028">
        <v>0</v>
      </c>
      <c r="O1028">
        <v>35000</v>
      </c>
      <c r="P1028">
        <v>0</v>
      </c>
      <c r="Q1028" t="str">
        <f>INDEX(pARTNER[#All],MATCH(#REF!,pARTNER[[#All],[Value.partnerSummary.id]],0),10)</f>
        <v>Italia (IT)</v>
      </c>
      <c r="R1028" t="str">
        <f>INDEX('Partner data'!$A$2:$DG$171,MATCH(#REF!,'Partner data'!$DG$2:$DG$171,0),83)</f>
        <v>Soggetto pubblico</v>
      </c>
      <c r="S1028" s="86" t="b">
        <f>IF(#REF!="staff",INDEX('Partner data'!$DG$2:$DH$171,MATCH(#REF!,'Partner data'!$DG$2:$DG$171,0),2))</f>
        <v>0</v>
      </c>
    </row>
    <row r="1029" spans="1:19" x14ac:dyDescent="0.25">
      <c r="A1029" t="s">
        <v>288</v>
      </c>
      <c r="B1029" t="s">
        <v>292</v>
      </c>
      <c r="C1029">
        <v>60</v>
      </c>
      <c r="D1029">
        <v>183</v>
      </c>
      <c r="E1029" t="s">
        <v>232</v>
      </c>
      <c r="G1029">
        <v>0</v>
      </c>
      <c r="H1029">
        <v>0</v>
      </c>
      <c r="I1029">
        <v>0</v>
      </c>
      <c r="J1029">
        <v>0</v>
      </c>
      <c r="K1029">
        <v>0</v>
      </c>
      <c r="L1029">
        <v>0</v>
      </c>
      <c r="M1029">
        <v>0</v>
      </c>
      <c r="N1029">
        <v>0</v>
      </c>
      <c r="O1029">
        <v>0</v>
      </c>
      <c r="P1029">
        <v>0</v>
      </c>
      <c r="Q1029" t="str">
        <f>INDEX(pARTNER[#All],MATCH(#REF!,pARTNER[[#All],[Value.partnerSummary.id]],0),10)</f>
        <v>Italia (IT)</v>
      </c>
      <c r="R1029" t="str">
        <f>INDEX('Partner data'!$A$2:$DG$171,MATCH(#REF!,'Partner data'!$DG$2:$DG$171,0),83)</f>
        <v>Soggetto pubblico</v>
      </c>
      <c r="S1029" s="86" t="b">
        <f>IF(#REF!="staff",INDEX('Partner data'!$DG$2:$DH$171,MATCH(#REF!,'Partner data'!$DG$2:$DG$171,0),2))</f>
        <v>0</v>
      </c>
    </row>
    <row r="1030" spans="1:19" x14ac:dyDescent="0.25">
      <c r="A1030" t="s">
        <v>288</v>
      </c>
      <c r="B1030" t="s">
        <v>292</v>
      </c>
      <c r="C1030">
        <v>60</v>
      </c>
      <c r="D1030">
        <v>183</v>
      </c>
      <c r="E1030" t="s">
        <v>233</v>
      </c>
      <c r="G1030">
        <v>0</v>
      </c>
      <c r="H1030">
        <v>0</v>
      </c>
      <c r="I1030">
        <v>0</v>
      </c>
      <c r="J1030">
        <v>0</v>
      </c>
      <c r="K1030">
        <v>0</v>
      </c>
      <c r="L1030">
        <v>0</v>
      </c>
      <c r="M1030">
        <v>0</v>
      </c>
      <c r="N1030">
        <v>0</v>
      </c>
      <c r="O1030">
        <v>0</v>
      </c>
      <c r="P1030">
        <v>0</v>
      </c>
      <c r="Q1030" t="str">
        <f>INDEX(pARTNER[#All],MATCH(#REF!,pARTNER[[#All],[Value.partnerSummary.id]],0),10)</f>
        <v>Italia (IT)</v>
      </c>
      <c r="R1030" t="str">
        <f>INDEX('Partner data'!$A$2:$DG$171,MATCH(#REF!,'Partner data'!$DG$2:$DG$171,0),83)</f>
        <v>Soggetto pubblico</v>
      </c>
      <c r="S1030" s="86" t="b">
        <f>IF(#REF!="staff",INDEX('Partner data'!$DG$2:$DH$171,MATCH(#REF!,'Partner data'!$DG$2:$DG$171,0),2))</f>
        <v>0</v>
      </c>
    </row>
    <row r="1031" spans="1:19" x14ac:dyDescent="0.25">
      <c r="A1031" t="s">
        <v>288</v>
      </c>
      <c r="B1031" t="s">
        <v>292</v>
      </c>
      <c r="C1031">
        <v>60</v>
      </c>
      <c r="D1031">
        <v>183</v>
      </c>
      <c r="E1031" t="s">
        <v>234</v>
      </c>
      <c r="G1031">
        <v>0</v>
      </c>
      <c r="H1031">
        <v>0</v>
      </c>
      <c r="I1031">
        <v>0</v>
      </c>
      <c r="J1031">
        <v>0</v>
      </c>
      <c r="K1031">
        <v>0</v>
      </c>
      <c r="L1031">
        <v>0</v>
      </c>
      <c r="M1031">
        <v>0</v>
      </c>
      <c r="N1031">
        <v>0</v>
      </c>
      <c r="O1031">
        <v>0</v>
      </c>
      <c r="P1031">
        <v>0</v>
      </c>
      <c r="Q1031" t="str">
        <f>INDEX(pARTNER[#All],MATCH(#REF!,pARTNER[[#All],[Value.partnerSummary.id]],0),10)</f>
        <v>Italia (IT)</v>
      </c>
      <c r="R1031" t="str">
        <f>INDEX('Partner data'!$A$2:$DG$171,MATCH(#REF!,'Partner data'!$DG$2:$DG$171,0),83)</f>
        <v>Soggetto pubblico</v>
      </c>
      <c r="S1031" s="86" t="b">
        <f>IF(#REF!="staff",INDEX('Partner data'!$DG$2:$DH$171,MATCH(#REF!,'Partner data'!$DG$2:$DG$171,0),2))</f>
        <v>0</v>
      </c>
    </row>
    <row r="1032" spans="1:19" x14ac:dyDescent="0.25">
      <c r="A1032" t="s">
        <v>288</v>
      </c>
      <c r="B1032" t="s">
        <v>292</v>
      </c>
      <c r="C1032">
        <v>60</v>
      </c>
      <c r="D1032">
        <v>183</v>
      </c>
      <c r="E1032" t="s">
        <v>235</v>
      </c>
      <c r="G1032">
        <v>0</v>
      </c>
      <c r="H1032">
        <v>0</v>
      </c>
      <c r="I1032">
        <v>0</v>
      </c>
      <c r="J1032">
        <v>0</v>
      </c>
      <c r="K1032">
        <v>0</v>
      </c>
      <c r="L1032">
        <v>0</v>
      </c>
      <c r="M1032">
        <v>0</v>
      </c>
      <c r="N1032">
        <v>0</v>
      </c>
      <c r="O1032">
        <v>0</v>
      </c>
      <c r="P1032">
        <v>0</v>
      </c>
      <c r="Q1032" t="str">
        <f>INDEX(pARTNER[#All],MATCH(#REF!,pARTNER[[#All],[Value.partnerSummary.id]],0),10)</f>
        <v>Italia (IT)</v>
      </c>
      <c r="R1032" t="str">
        <f>INDEX('Partner data'!$A$2:$DG$171,MATCH(#REF!,'Partner data'!$DG$2:$DG$171,0),83)</f>
        <v>Soggetto pubblico</v>
      </c>
      <c r="S1032" s="86" t="b">
        <f>IF(#REF!="staff",INDEX('Partner data'!$DG$2:$DH$171,MATCH(#REF!,'Partner data'!$DG$2:$DG$171,0),2))</f>
        <v>0</v>
      </c>
    </row>
    <row r="1033" spans="1:19" x14ac:dyDescent="0.25">
      <c r="A1033" t="s">
        <v>288</v>
      </c>
      <c r="B1033" t="s">
        <v>292</v>
      </c>
      <c r="C1033">
        <v>60</v>
      </c>
      <c r="D1033">
        <v>183</v>
      </c>
      <c r="E1033" t="s">
        <v>236</v>
      </c>
      <c r="G1033">
        <v>0</v>
      </c>
      <c r="H1033">
        <v>0</v>
      </c>
      <c r="I1033">
        <v>0</v>
      </c>
      <c r="J1033">
        <v>0</v>
      </c>
      <c r="K1033">
        <v>0</v>
      </c>
      <c r="L1033">
        <v>0</v>
      </c>
      <c r="M1033">
        <v>0</v>
      </c>
      <c r="N1033">
        <v>0</v>
      </c>
      <c r="O1033">
        <v>0</v>
      </c>
      <c r="P1033">
        <v>0</v>
      </c>
      <c r="Q1033" t="str">
        <f>INDEX(pARTNER[#All],MATCH(#REF!,pARTNER[[#All],[Value.partnerSummary.id]],0),10)</f>
        <v>Italia (IT)</v>
      </c>
      <c r="R1033" t="str">
        <f>INDEX('Partner data'!$A$2:$DG$171,MATCH(#REF!,'Partner data'!$DG$2:$DG$171,0),83)</f>
        <v>Soggetto pubblico</v>
      </c>
      <c r="S1033" s="86" t="b">
        <f>IF(#REF!="staff",INDEX('Partner data'!$DG$2:$DH$171,MATCH(#REF!,'Partner data'!$DG$2:$DG$171,0),2))</f>
        <v>0</v>
      </c>
    </row>
    <row r="1034" spans="1:19" x14ac:dyDescent="0.25">
      <c r="A1034" t="s">
        <v>288</v>
      </c>
      <c r="B1034" t="s">
        <v>292</v>
      </c>
      <c r="C1034">
        <v>60</v>
      </c>
      <c r="D1034">
        <v>183</v>
      </c>
      <c r="E1034" t="s">
        <v>237</v>
      </c>
      <c r="G1034">
        <v>0</v>
      </c>
      <c r="H1034">
        <v>0</v>
      </c>
      <c r="I1034">
        <v>0</v>
      </c>
      <c r="J1034">
        <v>0</v>
      </c>
      <c r="K1034">
        <v>0</v>
      </c>
      <c r="L1034">
        <v>0</v>
      </c>
      <c r="M1034">
        <v>0</v>
      </c>
      <c r="N1034">
        <v>0</v>
      </c>
      <c r="O1034">
        <v>0</v>
      </c>
      <c r="P1034">
        <v>0</v>
      </c>
      <c r="Q1034" t="str">
        <f>INDEX(pARTNER[#All],MATCH(#REF!,pARTNER[[#All],[Value.partnerSummary.id]],0),10)</f>
        <v>Italia (IT)</v>
      </c>
      <c r="R1034" t="str">
        <f>INDEX('Partner data'!$A$2:$DG$171,MATCH(#REF!,'Partner data'!$DG$2:$DG$171,0),83)</f>
        <v>Soggetto pubblico</v>
      </c>
      <c r="S1034" s="86" t="b">
        <f>IF(#REF!="staff",INDEX('Partner data'!$DG$2:$DH$171,MATCH(#REF!,'Partner data'!$DG$2:$DG$171,0),2))</f>
        <v>0</v>
      </c>
    </row>
    <row r="1035" spans="1:19" x14ac:dyDescent="0.25">
      <c r="A1035" t="s">
        <v>288</v>
      </c>
      <c r="B1035" t="s">
        <v>292</v>
      </c>
      <c r="C1035">
        <v>60</v>
      </c>
      <c r="D1035">
        <v>183</v>
      </c>
      <c r="E1035" t="s">
        <v>238</v>
      </c>
      <c r="G1035">
        <v>99196.24</v>
      </c>
      <c r="H1035">
        <v>0</v>
      </c>
      <c r="I1035">
        <v>0</v>
      </c>
      <c r="J1035">
        <v>12781.79</v>
      </c>
      <c r="K1035">
        <v>0</v>
      </c>
      <c r="L1035">
        <v>12781.79</v>
      </c>
      <c r="M1035">
        <v>12781.79</v>
      </c>
      <c r="N1035">
        <v>12.89</v>
      </c>
      <c r="O1035">
        <v>86414.45</v>
      </c>
      <c r="P1035">
        <v>0</v>
      </c>
      <c r="Q1035" t="str">
        <f>INDEX(pARTNER[#All],MATCH(#REF!,pARTNER[[#All],[Value.partnerSummary.id]],0),10)</f>
        <v>Italia (IT)</v>
      </c>
      <c r="R1035" t="str">
        <f>INDEX('Partner data'!$A$2:$DG$171,MATCH(#REF!,'Partner data'!$DG$2:$DG$171,0),83)</f>
        <v>Soggetto pubblico</v>
      </c>
      <c r="S1035" s="86" t="b">
        <f>IF(#REF!="staff",INDEX('Partner data'!$DG$2:$DH$171,MATCH(#REF!,'Partner data'!$DG$2:$DG$171,0),2))</f>
        <v>0</v>
      </c>
    </row>
    <row r="1036" spans="1:19" x14ac:dyDescent="0.25">
      <c r="A1036" t="s">
        <v>341</v>
      </c>
      <c r="B1036" t="s">
        <v>278</v>
      </c>
      <c r="C1036">
        <v>283</v>
      </c>
      <c r="D1036">
        <v>278</v>
      </c>
      <c r="E1036" t="s">
        <v>228</v>
      </c>
      <c r="F1036">
        <v>20</v>
      </c>
      <c r="G1036">
        <v>10100</v>
      </c>
      <c r="H1036">
        <v>0</v>
      </c>
      <c r="I1036">
        <v>0</v>
      </c>
      <c r="J1036">
        <v>0</v>
      </c>
      <c r="K1036">
        <v>0</v>
      </c>
      <c r="L1036">
        <v>0</v>
      </c>
      <c r="M1036">
        <v>0</v>
      </c>
      <c r="N1036">
        <v>0</v>
      </c>
      <c r="O1036">
        <v>10100</v>
      </c>
      <c r="P1036">
        <v>0</v>
      </c>
      <c r="Q1036" t="str">
        <f>INDEX(pARTNER[#All],MATCH(#REF!,pARTNER[[#All],[Value.partnerSummary.id]],0),10)</f>
        <v>Italia (IT)</v>
      </c>
      <c r="R1036" t="str">
        <f>INDEX('Partner data'!$A$2:$DG$171,MATCH(#REF!,'Partner data'!$DG$2:$DG$171,0),83)</f>
        <v>Soggetto pubblico</v>
      </c>
      <c r="S1036" s="86" t="str">
        <f>IF(#REF!="staff",INDEX('Partner data'!$DG$2:$DH$171,MATCH(#REF!,'Partner data'!$DG$2:$DG$171,0),2))</f>
        <v>Tasso Forfettario 20%</v>
      </c>
    </row>
    <row r="1037" spans="1:19" x14ac:dyDescent="0.25">
      <c r="A1037" t="s">
        <v>341</v>
      </c>
      <c r="B1037" t="s">
        <v>278</v>
      </c>
      <c r="C1037">
        <v>283</v>
      </c>
      <c r="D1037">
        <v>278</v>
      </c>
      <c r="E1037" t="s">
        <v>229</v>
      </c>
      <c r="F1037">
        <v>15</v>
      </c>
      <c r="G1037">
        <v>1515</v>
      </c>
      <c r="H1037">
        <v>0</v>
      </c>
      <c r="I1037">
        <v>0</v>
      </c>
      <c r="J1037">
        <v>0</v>
      </c>
      <c r="K1037">
        <v>0</v>
      </c>
      <c r="L1037">
        <v>0</v>
      </c>
      <c r="M1037">
        <v>0</v>
      </c>
      <c r="N1037">
        <v>0</v>
      </c>
      <c r="O1037">
        <v>1515</v>
      </c>
      <c r="P1037">
        <v>0</v>
      </c>
      <c r="Q1037" t="str">
        <f>INDEX(pARTNER[#All],MATCH(#REF!,pARTNER[[#All],[Value.partnerSummary.id]],0),10)</f>
        <v>Italia (IT)</v>
      </c>
      <c r="R1037" t="str">
        <f>INDEX('Partner data'!$A$2:$DG$171,MATCH(#REF!,'Partner data'!$DG$2:$DG$171,0),83)</f>
        <v>Soggetto pubblico</v>
      </c>
      <c r="S1037" s="86" t="b">
        <f>IF(#REF!="staff",INDEX('Partner data'!$DG$2:$DH$171,MATCH(#REF!,'Partner data'!$DG$2:$DG$171,0),2))</f>
        <v>0</v>
      </c>
    </row>
    <row r="1038" spans="1:19" x14ac:dyDescent="0.25">
      <c r="A1038" t="s">
        <v>341</v>
      </c>
      <c r="B1038" t="s">
        <v>278</v>
      </c>
      <c r="C1038">
        <v>283</v>
      </c>
      <c r="D1038">
        <v>278</v>
      </c>
      <c r="E1038" t="s">
        <v>230</v>
      </c>
      <c r="F1038">
        <v>4</v>
      </c>
      <c r="G1038">
        <v>404</v>
      </c>
      <c r="H1038">
        <v>0</v>
      </c>
      <c r="I1038">
        <v>0</v>
      </c>
      <c r="J1038">
        <v>0</v>
      </c>
      <c r="K1038">
        <v>0</v>
      </c>
      <c r="L1038">
        <v>0</v>
      </c>
      <c r="M1038">
        <v>0</v>
      </c>
      <c r="N1038">
        <v>0</v>
      </c>
      <c r="O1038">
        <v>404</v>
      </c>
      <c r="P1038">
        <v>0</v>
      </c>
      <c r="Q1038" t="str">
        <f>INDEX(pARTNER[#All],MATCH(#REF!,pARTNER[[#All],[Value.partnerSummary.id]],0),10)</f>
        <v>Italia (IT)</v>
      </c>
      <c r="R1038" t="str">
        <f>INDEX('Partner data'!$A$2:$DG$171,MATCH(#REF!,'Partner data'!$DG$2:$DG$171,0),83)</f>
        <v>Soggetto pubblico</v>
      </c>
      <c r="S1038" s="86" t="b">
        <f>IF(#REF!="staff",INDEX('Partner data'!$DG$2:$DH$171,MATCH(#REF!,'Partner data'!$DG$2:$DG$171,0),2))</f>
        <v>0</v>
      </c>
    </row>
    <row r="1039" spans="1:19" x14ac:dyDescent="0.25">
      <c r="A1039" t="s">
        <v>341</v>
      </c>
      <c r="B1039" t="s">
        <v>278</v>
      </c>
      <c r="C1039">
        <v>283</v>
      </c>
      <c r="D1039">
        <v>278</v>
      </c>
      <c r="E1039" t="s">
        <v>231</v>
      </c>
      <c r="G1039">
        <v>10000</v>
      </c>
      <c r="H1039">
        <v>0</v>
      </c>
      <c r="I1039">
        <v>0</v>
      </c>
      <c r="J1039">
        <v>0</v>
      </c>
      <c r="K1039">
        <v>0</v>
      </c>
      <c r="L1039">
        <v>0</v>
      </c>
      <c r="M1039">
        <v>0</v>
      </c>
      <c r="N1039">
        <v>0</v>
      </c>
      <c r="O1039">
        <v>10000</v>
      </c>
      <c r="P1039">
        <v>0</v>
      </c>
      <c r="Q1039" t="str">
        <f>INDEX(pARTNER[#All],MATCH(#REF!,pARTNER[[#All],[Value.partnerSummary.id]],0),10)</f>
        <v>Italia (IT)</v>
      </c>
      <c r="R1039" t="str">
        <f>INDEX('Partner data'!$A$2:$DG$171,MATCH(#REF!,'Partner data'!$DG$2:$DG$171,0),83)</f>
        <v>Soggetto pubblico</v>
      </c>
      <c r="S1039" s="86" t="b">
        <f>IF(#REF!="staff",INDEX('Partner data'!$DG$2:$DH$171,MATCH(#REF!,'Partner data'!$DG$2:$DG$171,0),2))</f>
        <v>0</v>
      </c>
    </row>
    <row r="1040" spans="1:19" x14ac:dyDescent="0.25">
      <c r="A1040" t="s">
        <v>341</v>
      </c>
      <c r="B1040" t="s">
        <v>278</v>
      </c>
      <c r="C1040">
        <v>283</v>
      </c>
      <c r="D1040">
        <v>278</v>
      </c>
      <c r="E1040" t="s">
        <v>232</v>
      </c>
      <c r="G1040">
        <v>40500</v>
      </c>
      <c r="H1040">
        <v>0</v>
      </c>
      <c r="I1040">
        <v>0</v>
      </c>
      <c r="J1040">
        <v>0</v>
      </c>
      <c r="K1040">
        <v>0</v>
      </c>
      <c r="L1040">
        <v>0</v>
      </c>
      <c r="M1040">
        <v>0</v>
      </c>
      <c r="N1040">
        <v>0</v>
      </c>
      <c r="O1040">
        <v>40500</v>
      </c>
      <c r="P1040">
        <v>0</v>
      </c>
      <c r="Q1040" t="str">
        <f>INDEX(pARTNER[#All],MATCH(#REF!,pARTNER[[#All],[Value.partnerSummary.id]],0),10)</f>
        <v>Italia (IT)</v>
      </c>
      <c r="R1040" t="str">
        <f>INDEX('Partner data'!$A$2:$DG$171,MATCH(#REF!,'Partner data'!$DG$2:$DG$171,0),83)</f>
        <v>Soggetto pubblico</v>
      </c>
      <c r="S1040" s="86" t="b">
        <f>IF(#REF!="staff",INDEX('Partner data'!$DG$2:$DH$171,MATCH(#REF!,'Partner data'!$DG$2:$DG$171,0),2))</f>
        <v>0</v>
      </c>
    </row>
    <row r="1041" spans="1:19" x14ac:dyDescent="0.25">
      <c r="A1041" t="s">
        <v>341</v>
      </c>
      <c r="B1041" t="s">
        <v>278</v>
      </c>
      <c r="C1041">
        <v>283</v>
      </c>
      <c r="D1041">
        <v>278</v>
      </c>
      <c r="E1041" t="s">
        <v>233</v>
      </c>
      <c r="G1041">
        <v>0</v>
      </c>
      <c r="H1041">
        <v>0</v>
      </c>
      <c r="I1041">
        <v>0</v>
      </c>
      <c r="J1041">
        <v>0</v>
      </c>
      <c r="K1041">
        <v>0</v>
      </c>
      <c r="L1041">
        <v>0</v>
      </c>
      <c r="M1041">
        <v>0</v>
      </c>
      <c r="N1041">
        <v>0</v>
      </c>
      <c r="O1041">
        <v>0</v>
      </c>
      <c r="P1041">
        <v>0</v>
      </c>
      <c r="Q1041" t="str">
        <f>INDEX(pARTNER[#All],MATCH(#REF!,pARTNER[[#All],[Value.partnerSummary.id]],0),10)</f>
        <v>Italia (IT)</v>
      </c>
      <c r="R1041" t="str">
        <f>INDEX('Partner data'!$A$2:$DG$171,MATCH(#REF!,'Partner data'!$DG$2:$DG$171,0),83)</f>
        <v>Soggetto pubblico</v>
      </c>
      <c r="S1041" s="86" t="b">
        <f>IF(#REF!="staff",INDEX('Partner data'!$DG$2:$DH$171,MATCH(#REF!,'Partner data'!$DG$2:$DG$171,0),2))</f>
        <v>0</v>
      </c>
    </row>
    <row r="1042" spans="1:19" x14ac:dyDescent="0.25">
      <c r="A1042" t="s">
        <v>341</v>
      </c>
      <c r="B1042" t="s">
        <v>278</v>
      </c>
      <c r="C1042">
        <v>283</v>
      </c>
      <c r="D1042">
        <v>278</v>
      </c>
      <c r="E1042" t="s">
        <v>234</v>
      </c>
      <c r="G1042">
        <v>0</v>
      </c>
      <c r="H1042">
        <v>0</v>
      </c>
      <c r="I1042">
        <v>0</v>
      </c>
      <c r="J1042">
        <v>0</v>
      </c>
      <c r="K1042">
        <v>0</v>
      </c>
      <c r="L1042">
        <v>0</v>
      </c>
      <c r="M1042">
        <v>0</v>
      </c>
      <c r="N1042">
        <v>0</v>
      </c>
      <c r="O1042">
        <v>0</v>
      </c>
      <c r="P1042">
        <v>0</v>
      </c>
      <c r="Q1042" t="str">
        <f>INDEX(pARTNER[#All],MATCH(#REF!,pARTNER[[#All],[Value.partnerSummary.id]],0),10)</f>
        <v>Italia (IT)</v>
      </c>
      <c r="R1042" t="str">
        <f>INDEX('Partner data'!$A$2:$DG$171,MATCH(#REF!,'Partner data'!$DG$2:$DG$171,0),83)</f>
        <v>Soggetto pubblico</v>
      </c>
      <c r="S1042" s="86" t="b">
        <f>IF(#REF!="staff",INDEX('Partner data'!$DG$2:$DH$171,MATCH(#REF!,'Partner data'!$DG$2:$DG$171,0),2))</f>
        <v>0</v>
      </c>
    </row>
    <row r="1043" spans="1:19" x14ac:dyDescent="0.25">
      <c r="A1043" t="s">
        <v>341</v>
      </c>
      <c r="B1043" t="s">
        <v>278</v>
      </c>
      <c r="C1043">
        <v>283</v>
      </c>
      <c r="D1043">
        <v>278</v>
      </c>
      <c r="E1043" t="s">
        <v>235</v>
      </c>
      <c r="G1043">
        <v>0</v>
      </c>
      <c r="H1043">
        <v>0</v>
      </c>
      <c r="I1043">
        <v>0</v>
      </c>
      <c r="J1043">
        <v>0</v>
      </c>
      <c r="K1043">
        <v>0</v>
      </c>
      <c r="L1043">
        <v>0</v>
      </c>
      <c r="M1043">
        <v>0</v>
      </c>
      <c r="N1043">
        <v>0</v>
      </c>
      <c r="O1043">
        <v>0</v>
      </c>
      <c r="P1043">
        <v>0</v>
      </c>
      <c r="Q1043" t="str">
        <f>INDEX(pARTNER[#All],MATCH(#REF!,pARTNER[[#All],[Value.partnerSummary.id]],0),10)</f>
        <v>Italia (IT)</v>
      </c>
      <c r="R1043" t="str">
        <f>INDEX('Partner data'!$A$2:$DG$171,MATCH(#REF!,'Partner data'!$DG$2:$DG$171,0),83)</f>
        <v>Soggetto pubblico</v>
      </c>
      <c r="S1043" s="86" t="b">
        <f>IF(#REF!="staff",INDEX('Partner data'!$DG$2:$DH$171,MATCH(#REF!,'Partner data'!$DG$2:$DG$171,0),2))</f>
        <v>0</v>
      </c>
    </row>
    <row r="1044" spans="1:19" x14ac:dyDescent="0.25">
      <c r="A1044" t="s">
        <v>341</v>
      </c>
      <c r="B1044" t="s">
        <v>278</v>
      </c>
      <c r="C1044">
        <v>283</v>
      </c>
      <c r="D1044">
        <v>278</v>
      </c>
      <c r="E1044" t="s">
        <v>236</v>
      </c>
      <c r="G1044">
        <v>0</v>
      </c>
      <c r="H1044">
        <v>0</v>
      </c>
      <c r="I1044">
        <v>0</v>
      </c>
      <c r="J1044">
        <v>0</v>
      </c>
      <c r="K1044">
        <v>0</v>
      </c>
      <c r="L1044">
        <v>0</v>
      </c>
      <c r="M1044">
        <v>0</v>
      </c>
      <c r="N1044">
        <v>0</v>
      </c>
      <c r="O1044">
        <v>0</v>
      </c>
      <c r="P1044">
        <v>0</v>
      </c>
      <c r="Q1044" t="str">
        <f>INDEX(pARTNER[#All],MATCH(#REF!,pARTNER[[#All],[Value.partnerSummary.id]],0),10)</f>
        <v>Italia (IT)</v>
      </c>
      <c r="R1044" t="str">
        <f>INDEX('Partner data'!$A$2:$DG$171,MATCH(#REF!,'Partner data'!$DG$2:$DG$171,0),83)</f>
        <v>Soggetto pubblico</v>
      </c>
      <c r="S1044" s="86" t="b">
        <f>IF(#REF!="staff",INDEX('Partner data'!$DG$2:$DH$171,MATCH(#REF!,'Partner data'!$DG$2:$DG$171,0),2))</f>
        <v>0</v>
      </c>
    </row>
    <row r="1045" spans="1:19" x14ac:dyDescent="0.25">
      <c r="A1045" t="s">
        <v>341</v>
      </c>
      <c r="B1045" t="s">
        <v>278</v>
      </c>
      <c r="C1045">
        <v>283</v>
      </c>
      <c r="D1045">
        <v>278</v>
      </c>
      <c r="E1045" t="s">
        <v>237</v>
      </c>
      <c r="G1045">
        <v>0</v>
      </c>
      <c r="H1045">
        <v>0</v>
      </c>
      <c r="I1045">
        <v>0</v>
      </c>
      <c r="J1045">
        <v>0</v>
      </c>
      <c r="K1045">
        <v>0</v>
      </c>
      <c r="L1045">
        <v>0</v>
      </c>
      <c r="M1045">
        <v>0</v>
      </c>
      <c r="N1045">
        <v>0</v>
      </c>
      <c r="O1045">
        <v>0</v>
      </c>
      <c r="P1045">
        <v>0</v>
      </c>
      <c r="Q1045" t="str">
        <f>INDEX(pARTNER[#All],MATCH(#REF!,pARTNER[[#All],[Value.partnerSummary.id]],0),10)</f>
        <v>Italia (IT)</v>
      </c>
      <c r="R1045" t="str">
        <f>INDEX('Partner data'!$A$2:$DG$171,MATCH(#REF!,'Partner data'!$DG$2:$DG$171,0),83)</f>
        <v>Soggetto pubblico</v>
      </c>
      <c r="S1045" s="86" t="b">
        <f>IF(#REF!="staff",INDEX('Partner data'!$DG$2:$DH$171,MATCH(#REF!,'Partner data'!$DG$2:$DG$171,0),2))</f>
        <v>0</v>
      </c>
    </row>
    <row r="1046" spans="1:19" x14ac:dyDescent="0.25">
      <c r="A1046" t="s">
        <v>341</v>
      </c>
      <c r="B1046" t="s">
        <v>278</v>
      </c>
      <c r="C1046">
        <v>283</v>
      </c>
      <c r="D1046">
        <v>278</v>
      </c>
      <c r="E1046" t="s">
        <v>238</v>
      </c>
      <c r="G1046">
        <v>62519</v>
      </c>
      <c r="H1046">
        <v>0</v>
      </c>
      <c r="I1046">
        <v>0</v>
      </c>
      <c r="J1046">
        <v>0</v>
      </c>
      <c r="K1046">
        <v>0</v>
      </c>
      <c r="L1046">
        <v>0</v>
      </c>
      <c r="M1046">
        <v>0</v>
      </c>
      <c r="N1046">
        <v>0</v>
      </c>
      <c r="O1046">
        <v>62519</v>
      </c>
      <c r="P1046">
        <v>0</v>
      </c>
      <c r="Q1046" t="str">
        <f>INDEX(pARTNER[#All],MATCH(#REF!,pARTNER[[#All],[Value.partnerSummary.id]],0),10)</f>
        <v>Italia (IT)</v>
      </c>
      <c r="R1046" t="str">
        <f>INDEX('Partner data'!$A$2:$DG$171,MATCH(#REF!,'Partner data'!$DG$2:$DG$171,0),83)</f>
        <v>Soggetto pubblico</v>
      </c>
      <c r="S1046" s="86" t="b">
        <f>IF(#REF!="staff",INDEX('Partner data'!$DG$2:$DH$171,MATCH(#REF!,'Partner data'!$DG$2:$DG$171,0),2))</f>
        <v>0</v>
      </c>
    </row>
    <row r="1047" spans="1:19" x14ac:dyDescent="0.25">
      <c r="A1047" t="s">
        <v>341</v>
      </c>
      <c r="B1047" t="s">
        <v>47</v>
      </c>
      <c r="C1047">
        <v>135</v>
      </c>
      <c r="D1047">
        <v>293</v>
      </c>
      <c r="E1047" t="s">
        <v>228</v>
      </c>
      <c r="F1047">
        <v>20</v>
      </c>
      <c r="G1047">
        <v>25000</v>
      </c>
      <c r="H1047">
        <v>0</v>
      </c>
      <c r="I1047">
        <v>0</v>
      </c>
      <c r="J1047">
        <v>0</v>
      </c>
      <c r="K1047">
        <v>0</v>
      </c>
      <c r="L1047">
        <v>0</v>
      </c>
      <c r="M1047">
        <v>0</v>
      </c>
      <c r="N1047">
        <v>0</v>
      </c>
      <c r="O1047">
        <v>25000</v>
      </c>
      <c r="P1047">
        <v>0</v>
      </c>
      <c r="Q1047" t="str">
        <f>INDEX(pARTNER[#All],MATCH(#REF!,pARTNER[[#All],[Value.partnerSummary.id]],0),10)</f>
        <v>Italia (IT)</v>
      </c>
      <c r="R1047" t="str">
        <f>INDEX('Partner data'!$A$2:$DG$171,MATCH(#REF!,'Partner data'!$DG$2:$DG$171,0),83)</f>
        <v xml:space="preserve">Organismo di diritto pubblico </v>
      </c>
      <c r="S1047" s="86" t="str">
        <f>IF(#REF!="staff",INDEX('Partner data'!$DG$2:$DH$171,MATCH(#REF!,'Partner data'!$DG$2:$DG$171,0),2))</f>
        <v>Tasso Forfettario 20%</v>
      </c>
    </row>
    <row r="1048" spans="1:19" x14ac:dyDescent="0.25">
      <c r="A1048" t="s">
        <v>341</v>
      </c>
      <c r="B1048" t="s">
        <v>47</v>
      </c>
      <c r="C1048">
        <v>135</v>
      </c>
      <c r="D1048">
        <v>293</v>
      </c>
      <c r="E1048" t="s">
        <v>229</v>
      </c>
      <c r="F1048">
        <v>15</v>
      </c>
      <c r="G1048">
        <v>3750</v>
      </c>
      <c r="H1048">
        <v>0</v>
      </c>
      <c r="I1048">
        <v>0</v>
      </c>
      <c r="J1048">
        <v>0</v>
      </c>
      <c r="K1048">
        <v>0</v>
      </c>
      <c r="L1048">
        <v>0</v>
      </c>
      <c r="M1048">
        <v>0</v>
      </c>
      <c r="N1048">
        <v>0</v>
      </c>
      <c r="O1048">
        <v>3750</v>
      </c>
      <c r="P1048">
        <v>0</v>
      </c>
      <c r="Q1048" t="str">
        <f>INDEX(pARTNER[#All],MATCH(#REF!,pARTNER[[#All],[Value.partnerSummary.id]],0),10)</f>
        <v>Italia (IT)</v>
      </c>
      <c r="R1048" t="str">
        <f>INDEX('Partner data'!$A$2:$DG$171,MATCH(#REF!,'Partner data'!$DG$2:$DG$171,0),83)</f>
        <v xml:space="preserve">Organismo di diritto pubblico </v>
      </c>
      <c r="S1048" s="86" t="b">
        <f>IF(#REF!="staff",INDEX('Partner data'!$DG$2:$DH$171,MATCH(#REF!,'Partner data'!$DG$2:$DG$171,0),2))</f>
        <v>0</v>
      </c>
    </row>
    <row r="1049" spans="1:19" x14ac:dyDescent="0.25">
      <c r="A1049" t="s">
        <v>341</v>
      </c>
      <c r="B1049" t="s">
        <v>47</v>
      </c>
      <c r="C1049">
        <v>135</v>
      </c>
      <c r="D1049">
        <v>293</v>
      </c>
      <c r="E1049" t="s">
        <v>230</v>
      </c>
      <c r="F1049">
        <v>4</v>
      </c>
      <c r="G1049">
        <v>1000</v>
      </c>
      <c r="H1049">
        <v>0</v>
      </c>
      <c r="I1049">
        <v>0</v>
      </c>
      <c r="J1049">
        <v>0</v>
      </c>
      <c r="K1049">
        <v>0</v>
      </c>
      <c r="L1049">
        <v>0</v>
      </c>
      <c r="M1049">
        <v>0</v>
      </c>
      <c r="N1049">
        <v>0</v>
      </c>
      <c r="O1049">
        <v>1000</v>
      </c>
      <c r="P1049">
        <v>0</v>
      </c>
      <c r="Q1049" t="str">
        <f>INDEX(pARTNER[#All],MATCH(#REF!,pARTNER[[#All],[Value.partnerSummary.id]],0),10)</f>
        <v>Italia (IT)</v>
      </c>
      <c r="R1049" t="str">
        <f>INDEX('Partner data'!$A$2:$DG$171,MATCH(#REF!,'Partner data'!$DG$2:$DG$171,0),83)</f>
        <v xml:space="preserve">Organismo di diritto pubblico </v>
      </c>
      <c r="S1049" s="86" t="b">
        <f>IF(#REF!="staff",INDEX('Partner data'!$DG$2:$DH$171,MATCH(#REF!,'Partner data'!$DG$2:$DG$171,0),2))</f>
        <v>0</v>
      </c>
    </row>
    <row r="1050" spans="1:19" x14ac:dyDescent="0.25">
      <c r="A1050" t="s">
        <v>341</v>
      </c>
      <c r="B1050" t="s">
        <v>47</v>
      </c>
      <c r="C1050">
        <v>135</v>
      </c>
      <c r="D1050">
        <v>293</v>
      </c>
      <c r="E1050" t="s">
        <v>231</v>
      </c>
      <c r="G1050">
        <v>125000</v>
      </c>
      <c r="H1050">
        <v>0</v>
      </c>
      <c r="I1050">
        <v>0</v>
      </c>
      <c r="J1050">
        <v>0</v>
      </c>
      <c r="K1050">
        <v>0</v>
      </c>
      <c r="L1050">
        <v>0</v>
      </c>
      <c r="M1050">
        <v>0</v>
      </c>
      <c r="N1050">
        <v>0</v>
      </c>
      <c r="O1050">
        <v>125000</v>
      </c>
      <c r="P1050">
        <v>0</v>
      </c>
      <c r="Q1050" t="str">
        <f>INDEX(pARTNER[#All],MATCH(#REF!,pARTNER[[#All],[Value.partnerSummary.id]],0),10)</f>
        <v>Italia (IT)</v>
      </c>
      <c r="R1050" t="str">
        <f>INDEX('Partner data'!$A$2:$DG$171,MATCH(#REF!,'Partner data'!$DG$2:$DG$171,0),83)</f>
        <v xml:space="preserve">Organismo di diritto pubblico </v>
      </c>
      <c r="S1050" s="86" t="b">
        <f>IF(#REF!="staff",INDEX('Partner data'!$DG$2:$DH$171,MATCH(#REF!,'Partner data'!$DG$2:$DG$171,0),2))</f>
        <v>0</v>
      </c>
    </row>
    <row r="1051" spans="1:19" x14ac:dyDescent="0.25">
      <c r="A1051" t="s">
        <v>341</v>
      </c>
      <c r="B1051" t="s">
        <v>47</v>
      </c>
      <c r="C1051">
        <v>135</v>
      </c>
      <c r="D1051">
        <v>293</v>
      </c>
      <c r="E1051" t="s">
        <v>232</v>
      </c>
      <c r="G1051">
        <v>0</v>
      </c>
      <c r="H1051">
        <v>0</v>
      </c>
      <c r="I1051">
        <v>0</v>
      </c>
      <c r="J1051">
        <v>0</v>
      </c>
      <c r="K1051">
        <v>0</v>
      </c>
      <c r="L1051">
        <v>0</v>
      </c>
      <c r="M1051">
        <v>0</v>
      </c>
      <c r="N1051">
        <v>0</v>
      </c>
      <c r="O1051">
        <v>0</v>
      </c>
      <c r="P1051">
        <v>0</v>
      </c>
      <c r="Q1051" t="str">
        <f>INDEX(pARTNER[#All],MATCH(#REF!,pARTNER[[#All],[Value.partnerSummary.id]],0),10)</f>
        <v>Italia (IT)</v>
      </c>
      <c r="R1051" t="str">
        <f>INDEX('Partner data'!$A$2:$DG$171,MATCH(#REF!,'Partner data'!$DG$2:$DG$171,0),83)</f>
        <v xml:space="preserve">Organismo di diritto pubblico </v>
      </c>
      <c r="S1051" s="86" t="b">
        <f>IF(#REF!="staff",INDEX('Partner data'!$DG$2:$DH$171,MATCH(#REF!,'Partner data'!$DG$2:$DG$171,0),2))</f>
        <v>0</v>
      </c>
    </row>
    <row r="1052" spans="1:19" x14ac:dyDescent="0.25">
      <c r="A1052" t="s">
        <v>341</v>
      </c>
      <c r="B1052" t="s">
        <v>47</v>
      </c>
      <c r="C1052">
        <v>135</v>
      </c>
      <c r="D1052">
        <v>293</v>
      </c>
      <c r="E1052" t="s">
        <v>233</v>
      </c>
      <c r="G1052">
        <v>0</v>
      </c>
      <c r="H1052">
        <v>0</v>
      </c>
      <c r="I1052">
        <v>0</v>
      </c>
      <c r="J1052">
        <v>0</v>
      </c>
      <c r="K1052">
        <v>0</v>
      </c>
      <c r="L1052">
        <v>0</v>
      </c>
      <c r="M1052">
        <v>0</v>
      </c>
      <c r="N1052">
        <v>0</v>
      </c>
      <c r="O1052">
        <v>0</v>
      </c>
      <c r="P1052">
        <v>0</v>
      </c>
      <c r="Q1052" t="str">
        <f>INDEX(pARTNER[#All],MATCH(#REF!,pARTNER[[#All],[Value.partnerSummary.id]],0),10)</f>
        <v>Italia (IT)</v>
      </c>
      <c r="R1052" t="str">
        <f>INDEX('Partner data'!$A$2:$DG$171,MATCH(#REF!,'Partner data'!$DG$2:$DG$171,0),83)</f>
        <v xml:space="preserve">Organismo di diritto pubblico </v>
      </c>
      <c r="S1052" s="86" t="b">
        <f>IF(#REF!="staff",INDEX('Partner data'!$DG$2:$DH$171,MATCH(#REF!,'Partner data'!$DG$2:$DG$171,0),2))</f>
        <v>0</v>
      </c>
    </row>
    <row r="1053" spans="1:19" x14ac:dyDescent="0.25">
      <c r="A1053" t="s">
        <v>341</v>
      </c>
      <c r="B1053" t="s">
        <v>47</v>
      </c>
      <c r="C1053">
        <v>135</v>
      </c>
      <c r="D1053">
        <v>293</v>
      </c>
      <c r="E1053" t="s">
        <v>234</v>
      </c>
      <c r="G1053">
        <v>0</v>
      </c>
      <c r="H1053">
        <v>0</v>
      </c>
      <c r="I1053">
        <v>0</v>
      </c>
      <c r="J1053">
        <v>0</v>
      </c>
      <c r="K1053">
        <v>0</v>
      </c>
      <c r="L1053">
        <v>0</v>
      </c>
      <c r="M1053">
        <v>0</v>
      </c>
      <c r="N1053">
        <v>0</v>
      </c>
      <c r="O1053">
        <v>0</v>
      </c>
      <c r="P1053">
        <v>0</v>
      </c>
      <c r="Q1053" t="str">
        <f>INDEX(pARTNER[#All],MATCH(#REF!,pARTNER[[#All],[Value.partnerSummary.id]],0),10)</f>
        <v>Italia (IT)</v>
      </c>
      <c r="R1053" t="str">
        <f>INDEX('Partner data'!$A$2:$DG$171,MATCH(#REF!,'Partner data'!$DG$2:$DG$171,0),83)</f>
        <v xml:space="preserve">Organismo di diritto pubblico </v>
      </c>
      <c r="S1053" s="86" t="b">
        <f>IF(#REF!="staff",INDEX('Partner data'!$DG$2:$DH$171,MATCH(#REF!,'Partner data'!$DG$2:$DG$171,0),2))</f>
        <v>0</v>
      </c>
    </row>
    <row r="1054" spans="1:19" x14ac:dyDescent="0.25">
      <c r="A1054" t="s">
        <v>341</v>
      </c>
      <c r="B1054" t="s">
        <v>47</v>
      </c>
      <c r="C1054">
        <v>135</v>
      </c>
      <c r="D1054">
        <v>293</v>
      </c>
      <c r="E1054" t="s">
        <v>235</v>
      </c>
      <c r="G1054">
        <v>0</v>
      </c>
      <c r="H1054">
        <v>0</v>
      </c>
      <c r="I1054">
        <v>0</v>
      </c>
      <c r="J1054">
        <v>0</v>
      </c>
      <c r="K1054">
        <v>0</v>
      </c>
      <c r="L1054">
        <v>0</v>
      </c>
      <c r="M1054">
        <v>0</v>
      </c>
      <c r="N1054">
        <v>0</v>
      </c>
      <c r="O1054">
        <v>0</v>
      </c>
      <c r="P1054">
        <v>0</v>
      </c>
      <c r="Q1054" t="str">
        <f>INDEX(pARTNER[#All],MATCH(#REF!,pARTNER[[#All],[Value.partnerSummary.id]],0),10)</f>
        <v>Italia (IT)</v>
      </c>
      <c r="R1054" t="str">
        <f>INDEX('Partner data'!$A$2:$DG$171,MATCH(#REF!,'Partner data'!$DG$2:$DG$171,0),83)</f>
        <v xml:space="preserve">Organismo di diritto pubblico </v>
      </c>
      <c r="S1054" s="86" t="b">
        <f>IF(#REF!="staff",INDEX('Partner data'!$DG$2:$DH$171,MATCH(#REF!,'Partner data'!$DG$2:$DG$171,0),2))</f>
        <v>0</v>
      </c>
    </row>
    <row r="1055" spans="1:19" x14ac:dyDescent="0.25">
      <c r="A1055" t="s">
        <v>341</v>
      </c>
      <c r="B1055" t="s">
        <v>47</v>
      </c>
      <c r="C1055">
        <v>135</v>
      </c>
      <c r="D1055">
        <v>293</v>
      </c>
      <c r="E1055" t="s">
        <v>236</v>
      </c>
      <c r="G1055">
        <v>0</v>
      </c>
      <c r="H1055">
        <v>0</v>
      </c>
      <c r="I1055">
        <v>0</v>
      </c>
      <c r="J1055">
        <v>0</v>
      </c>
      <c r="K1055">
        <v>0</v>
      </c>
      <c r="L1055">
        <v>0</v>
      </c>
      <c r="M1055">
        <v>0</v>
      </c>
      <c r="N1055">
        <v>0</v>
      </c>
      <c r="O1055">
        <v>0</v>
      </c>
      <c r="P1055">
        <v>0</v>
      </c>
      <c r="Q1055" t="str">
        <f>INDEX(pARTNER[#All],MATCH(#REF!,pARTNER[[#All],[Value.partnerSummary.id]],0),10)</f>
        <v>Italia (IT)</v>
      </c>
      <c r="R1055" t="str">
        <f>INDEX('Partner data'!$A$2:$DG$171,MATCH(#REF!,'Partner data'!$DG$2:$DG$171,0),83)</f>
        <v xml:space="preserve">Organismo di diritto pubblico </v>
      </c>
      <c r="S1055" s="86" t="b">
        <f>IF(#REF!="staff",INDEX('Partner data'!$DG$2:$DH$171,MATCH(#REF!,'Partner data'!$DG$2:$DG$171,0),2))</f>
        <v>0</v>
      </c>
    </row>
    <row r="1056" spans="1:19" x14ac:dyDescent="0.25">
      <c r="A1056" t="s">
        <v>341</v>
      </c>
      <c r="B1056" t="s">
        <v>47</v>
      </c>
      <c r="C1056">
        <v>135</v>
      </c>
      <c r="D1056">
        <v>293</v>
      </c>
      <c r="E1056" t="s">
        <v>237</v>
      </c>
      <c r="G1056">
        <v>0</v>
      </c>
      <c r="H1056">
        <v>0</v>
      </c>
      <c r="I1056">
        <v>0</v>
      </c>
      <c r="J1056">
        <v>0</v>
      </c>
      <c r="K1056">
        <v>0</v>
      </c>
      <c r="L1056">
        <v>0</v>
      </c>
      <c r="M1056">
        <v>0</v>
      </c>
      <c r="N1056">
        <v>0</v>
      </c>
      <c r="O1056">
        <v>0</v>
      </c>
      <c r="P1056">
        <v>0</v>
      </c>
      <c r="Q1056" t="str">
        <f>INDEX(pARTNER[#All],MATCH(#REF!,pARTNER[[#All],[Value.partnerSummary.id]],0),10)</f>
        <v>Italia (IT)</v>
      </c>
      <c r="R1056" t="str">
        <f>INDEX('Partner data'!$A$2:$DG$171,MATCH(#REF!,'Partner data'!$DG$2:$DG$171,0),83)</f>
        <v xml:space="preserve">Organismo di diritto pubblico </v>
      </c>
      <c r="S1056" s="86" t="b">
        <f>IF(#REF!="staff",INDEX('Partner data'!$DG$2:$DH$171,MATCH(#REF!,'Partner data'!$DG$2:$DG$171,0),2))</f>
        <v>0</v>
      </c>
    </row>
    <row r="1057" spans="1:19" x14ac:dyDescent="0.25">
      <c r="A1057" t="s">
        <v>341</v>
      </c>
      <c r="B1057" t="s">
        <v>47</v>
      </c>
      <c r="C1057">
        <v>135</v>
      </c>
      <c r="D1057">
        <v>293</v>
      </c>
      <c r="E1057" t="s">
        <v>238</v>
      </c>
      <c r="G1057">
        <v>154750</v>
      </c>
      <c r="H1057">
        <v>0</v>
      </c>
      <c r="I1057">
        <v>0</v>
      </c>
      <c r="J1057">
        <v>0</v>
      </c>
      <c r="K1057">
        <v>0</v>
      </c>
      <c r="L1057">
        <v>0</v>
      </c>
      <c r="M1057">
        <v>0</v>
      </c>
      <c r="N1057">
        <v>0</v>
      </c>
      <c r="O1057">
        <v>154750</v>
      </c>
      <c r="P1057">
        <v>0</v>
      </c>
      <c r="Q1057" t="str">
        <f>INDEX(pARTNER[#All],MATCH(#REF!,pARTNER[[#All],[Value.partnerSummary.id]],0),10)</f>
        <v>Italia (IT)</v>
      </c>
      <c r="R1057" t="str">
        <f>INDEX('Partner data'!$A$2:$DG$171,MATCH(#REF!,'Partner data'!$DG$2:$DG$171,0),83)</f>
        <v xml:space="preserve">Organismo di diritto pubblico </v>
      </c>
      <c r="S1057" s="86" t="b">
        <f>IF(#REF!="staff",INDEX('Partner data'!$DG$2:$DH$171,MATCH(#REF!,'Partner data'!$DG$2:$DG$171,0),2))</f>
        <v>0</v>
      </c>
    </row>
    <row r="1058" spans="1:19" x14ac:dyDescent="0.25">
      <c r="A1058" t="s">
        <v>341</v>
      </c>
      <c r="B1058" t="s">
        <v>342</v>
      </c>
      <c r="C1058">
        <v>284</v>
      </c>
      <c r="D1058">
        <v>332</v>
      </c>
      <c r="E1058" t="s">
        <v>228</v>
      </c>
      <c r="F1058">
        <v>20</v>
      </c>
      <c r="G1058">
        <v>15500</v>
      </c>
      <c r="H1058">
        <v>0</v>
      </c>
      <c r="I1058">
        <v>0</v>
      </c>
      <c r="J1058">
        <v>0</v>
      </c>
      <c r="K1058">
        <v>0</v>
      </c>
      <c r="L1058">
        <v>0</v>
      </c>
      <c r="M1058">
        <v>0</v>
      </c>
      <c r="N1058">
        <v>0</v>
      </c>
      <c r="O1058">
        <v>15500</v>
      </c>
      <c r="P1058">
        <v>0</v>
      </c>
      <c r="Q1058" t="str">
        <f>INDEX(pARTNER[#All],MATCH(#REF!,pARTNER[[#All],[Value.partnerSummary.id]],0),10)</f>
        <v>Slovenija (SI)</v>
      </c>
      <c r="R1058" t="str">
        <f>INDEX('Partner data'!$A$2:$DG$171,MATCH(#REF!,'Partner data'!$DG$2:$DG$171,0),83)</f>
        <v>Soggetto pubblico</v>
      </c>
      <c r="S1058" s="86" t="str">
        <f>IF(#REF!="staff",INDEX('Partner data'!$DG$2:$DH$171,MATCH(#REF!,'Partner data'!$DG$2:$DG$171,0),2))</f>
        <v>Tasso Forfettario 20%</v>
      </c>
    </row>
    <row r="1059" spans="1:19" x14ac:dyDescent="0.25">
      <c r="A1059" t="s">
        <v>341</v>
      </c>
      <c r="B1059" t="s">
        <v>342</v>
      </c>
      <c r="C1059">
        <v>284</v>
      </c>
      <c r="D1059">
        <v>332</v>
      </c>
      <c r="E1059" t="s">
        <v>229</v>
      </c>
      <c r="F1059">
        <v>15</v>
      </c>
      <c r="G1059">
        <v>2325</v>
      </c>
      <c r="H1059">
        <v>0</v>
      </c>
      <c r="I1059">
        <v>0</v>
      </c>
      <c r="J1059">
        <v>0</v>
      </c>
      <c r="K1059">
        <v>0</v>
      </c>
      <c r="L1059">
        <v>0</v>
      </c>
      <c r="M1059">
        <v>0</v>
      </c>
      <c r="N1059">
        <v>0</v>
      </c>
      <c r="O1059">
        <v>2325</v>
      </c>
      <c r="P1059">
        <v>0</v>
      </c>
      <c r="Q1059" t="str">
        <f>INDEX(pARTNER[#All],MATCH(#REF!,pARTNER[[#All],[Value.partnerSummary.id]],0),10)</f>
        <v>Slovenija (SI)</v>
      </c>
      <c r="R1059" t="str">
        <f>INDEX('Partner data'!$A$2:$DG$171,MATCH(#REF!,'Partner data'!$DG$2:$DG$171,0),83)</f>
        <v>Soggetto pubblico</v>
      </c>
      <c r="S1059" s="86" t="b">
        <f>IF(#REF!="staff",INDEX('Partner data'!$DG$2:$DH$171,MATCH(#REF!,'Partner data'!$DG$2:$DG$171,0),2))</f>
        <v>0</v>
      </c>
    </row>
    <row r="1060" spans="1:19" x14ac:dyDescent="0.25">
      <c r="A1060" t="s">
        <v>341</v>
      </c>
      <c r="B1060" t="s">
        <v>342</v>
      </c>
      <c r="C1060">
        <v>284</v>
      </c>
      <c r="D1060">
        <v>332</v>
      </c>
      <c r="E1060" t="s">
        <v>230</v>
      </c>
      <c r="F1060">
        <v>4</v>
      </c>
      <c r="G1060">
        <v>620</v>
      </c>
      <c r="H1060">
        <v>0</v>
      </c>
      <c r="I1060">
        <v>0</v>
      </c>
      <c r="J1060">
        <v>0</v>
      </c>
      <c r="K1060">
        <v>0</v>
      </c>
      <c r="L1060">
        <v>0</v>
      </c>
      <c r="M1060">
        <v>0</v>
      </c>
      <c r="N1060">
        <v>0</v>
      </c>
      <c r="O1060">
        <v>620</v>
      </c>
      <c r="P1060">
        <v>0</v>
      </c>
      <c r="Q1060" t="str">
        <f>INDEX(pARTNER[#All],MATCH(#REF!,pARTNER[[#All],[Value.partnerSummary.id]],0),10)</f>
        <v>Slovenija (SI)</v>
      </c>
      <c r="R1060" t="str">
        <f>INDEX('Partner data'!$A$2:$DG$171,MATCH(#REF!,'Partner data'!$DG$2:$DG$171,0),83)</f>
        <v>Soggetto pubblico</v>
      </c>
      <c r="S1060" s="86" t="b">
        <f>IF(#REF!="staff",INDEX('Partner data'!$DG$2:$DH$171,MATCH(#REF!,'Partner data'!$DG$2:$DG$171,0),2))</f>
        <v>0</v>
      </c>
    </row>
    <row r="1061" spans="1:19" x14ac:dyDescent="0.25">
      <c r="A1061" t="s">
        <v>341</v>
      </c>
      <c r="B1061" t="s">
        <v>342</v>
      </c>
      <c r="C1061">
        <v>284</v>
      </c>
      <c r="D1061">
        <v>332</v>
      </c>
      <c r="E1061" t="s">
        <v>231</v>
      </c>
      <c r="G1061">
        <v>8750</v>
      </c>
      <c r="H1061">
        <v>0</v>
      </c>
      <c r="I1061">
        <v>0</v>
      </c>
      <c r="J1061">
        <v>0</v>
      </c>
      <c r="K1061">
        <v>0</v>
      </c>
      <c r="L1061">
        <v>0</v>
      </c>
      <c r="M1061">
        <v>0</v>
      </c>
      <c r="N1061">
        <v>0</v>
      </c>
      <c r="O1061">
        <v>8750</v>
      </c>
      <c r="P1061">
        <v>0</v>
      </c>
      <c r="Q1061" t="str">
        <f>INDEX(pARTNER[#All],MATCH(#REF!,pARTNER[[#All],[Value.partnerSummary.id]],0),10)</f>
        <v>Slovenija (SI)</v>
      </c>
      <c r="R1061" t="str">
        <f>INDEX('Partner data'!$A$2:$DG$171,MATCH(#REF!,'Partner data'!$DG$2:$DG$171,0),83)</f>
        <v>Soggetto pubblico</v>
      </c>
      <c r="S1061" s="86" t="b">
        <f>IF(#REF!="staff",INDEX('Partner data'!$DG$2:$DH$171,MATCH(#REF!,'Partner data'!$DG$2:$DG$171,0),2))</f>
        <v>0</v>
      </c>
    </row>
    <row r="1062" spans="1:19" x14ac:dyDescent="0.25">
      <c r="A1062" t="s">
        <v>341</v>
      </c>
      <c r="B1062" t="s">
        <v>342</v>
      </c>
      <c r="C1062">
        <v>284</v>
      </c>
      <c r="D1062">
        <v>332</v>
      </c>
      <c r="E1062" t="s">
        <v>232</v>
      </c>
      <c r="G1062">
        <v>68750</v>
      </c>
      <c r="H1062">
        <v>0</v>
      </c>
      <c r="I1062">
        <v>0</v>
      </c>
      <c r="J1062">
        <v>0</v>
      </c>
      <c r="K1062">
        <v>0</v>
      </c>
      <c r="L1062">
        <v>0</v>
      </c>
      <c r="M1062">
        <v>0</v>
      </c>
      <c r="N1062">
        <v>0</v>
      </c>
      <c r="O1062">
        <v>68750</v>
      </c>
      <c r="P1062">
        <v>0</v>
      </c>
      <c r="Q1062" t="str">
        <f>INDEX(pARTNER[#All],MATCH(#REF!,pARTNER[[#All],[Value.partnerSummary.id]],0),10)</f>
        <v>Slovenija (SI)</v>
      </c>
      <c r="R1062" t="str">
        <f>INDEX('Partner data'!$A$2:$DG$171,MATCH(#REF!,'Partner data'!$DG$2:$DG$171,0),83)</f>
        <v>Soggetto pubblico</v>
      </c>
      <c r="S1062" s="86" t="b">
        <f>IF(#REF!="staff",INDEX('Partner data'!$DG$2:$DH$171,MATCH(#REF!,'Partner data'!$DG$2:$DG$171,0),2))</f>
        <v>0</v>
      </c>
    </row>
    <row r="1063" spans="1:19" x14ac:dyDescent="0.25">
      <c r="A1063" t="s">
        <v>341</v>
      </c>
      <c r="B1063" t="s">
        <v>342</v>
      </c>
      <c r="C1063">
        <v>284</v>
      </c>
      <c r="D1063">
        <v>332</v>
      </c>
      <c r="E1063" t="s">
        <v>233</v>
      </c>
      <c r="G1063">
        <v>0</v>
      </c>
      <c r="H1063">
        <v>0</v>
      </c>
      <c r="I1063">
        <v>0</v>
      </c>
      <c r="J1063">
        <v>0</v>
      </c>
      <c r="K1063">
        <v>0</v>
      </c>
      <c r="L1063">
        <v>0</v>
      </c>
      <c r="M1063">
        <v>0</v>
      </c>
      <c r="N1063">
        <v>0</v>
      </c>
      <c r="O1063">
        <v>0</v>
      </c>
      <c r="P1063">
        <v>0</v>
      </c>
      <c r="Q1063" t="str">
        <f>INDEX(pARTNER[#All],MATCH(#REF!,pARTNER[[#All],[Value.partnerSummary.id]],0),10)</f>
        <v>Slovenija (SI)</v>
      </c>
      <c r="R1063" t="str">
        <f>INDEX('Partner data'!$A$2:$DG$171,MATCH(#REF!,'Partner data'!$DG$2:$DG$171,0),83)</f>
        <v>Soggetto pubblico</v>
      </c>
      <c r="S1063" s="86" t="b">
        <f>IF(#REF!="staff",INDEX('Partner data'!$DG$2:$DH$171,MATCH(#REF!,'Partner data'!$DG$2:$DG$171,0),2))</f>
        <v>0</v>
      </c>
    </row>
    <row r="1064" spans="1:19" x14ac:dyDescent="0.25">
      <c r="A1064" t="s">
        <v>341</v>
      </c>
      <c r="B1064" t="s">
        <v>342</v>
      </c>
      <c r="C1064">
        <v>284</v>
      </c>
      <c r="D1064">
        <v>332</v>
      </c>
      <c r="E1064" t="s">
        <v>234</v>
      </c>
      <c r="G1064">
        <v>0</v>
      </c>
      <c r="H1064">
        <v>0</v>
      </c>
      <c r="I1064">
        <v>0</v>
      </c>
      <c r="J1064">
        <v>0</v>
      </c>
      <c r="K1064">
        <v>0</v>
      </c>
      <c r="L1064">
        <v>0</v>
      </c>
      <c r="M1064">
        <v>0</v>
      </c>
      <c r="N1064">
        <v>0</v>
      </c>
      <c r="O1064">
        <v>0</v>
      </c>
      <c r="P1064">
        <v>0</v>
      </c>
      <c r="Q1064" t="str">
        <f>INDEX(pARTNER[#All],MATCH(#REF!,pARTNER[[#All],[Value.partnerSummary.id]],0),10)</f>
        <v>Slovenija (SI)</v>
      </c>
      <c r="R1064" t="str">
        <f>INDEX('Partner data'!$A$2:$DG$171,MATCH(#REF!,'Partner data'!$DG$2:$DG$171,0),83)</f>
        <v>Soggetto pubblico</v>
      </c>
      <c r="S1064" s="86" t="b">
        <f>IF(#REF!="staff",INDEX('Partner data'!$DG$2:$DH$171,MATCH(#REF!,'Partner data'!$DG$2:$DG$171,0),2))</f>
        <v>0</v>
      </c>
    </row>
    <row r="1065" spans="1:19" x14ac:dyDescent="0.25">
      <c r="A1065" t="s">
        <v>341</v>
      </c>
      <c r="B1065" t="s">
        <v>342</v>
      </c>
      <c r="C1065">
        <v>284</v>
      </c>
      <c r="D1065">
        <v>332</v>
      </c>
      <c r="E1065" t="s">
        <v>235</v>
      </c>
      <c r="G1065">
        <v>0</v>
      </c>
      <c r="H1065">
        <v>0</v>
      </c>
      <c r="I1065">
        <v>0</v>
      </c>
      <c r="J1065">
        <v>0</v>
      </c>
      <c r="K1065">
        <v>0</v>
      </c>
      <c r="L1065">
        <v>0</v>
      </c>
      <c r="M1065">
        <v>0</v>
      </c>
      <c r="N1065">
        <v>0</v>
      </c>
      <c r="O1065">
        <v>0</v>
      </c>
      <c r="P1065">
        <v>0</v>
      </c>
      <c r="Q1065" t="str">
        <f>INDEX(pARTNER[#All],MATCH(#REF!,pARTNER[[#All],[Value.partnerSummary.id]],0),10)</f>
        <v>Slovenija (SI)</v>
      </c>
      <c r="R1065" t="str">
        <f>INDEX('Partner data'!$A$2:$DG$171,MATCH(#REF!,'Partner data'!$DG$2:$DG$171,0),83)</f>
        <v>Soggetto pubblico</v>
      </c>
      <c r="S1065" s="86" t="b">
        <f>IF(#REF!="staff",INDEX('Partner data'!$DG$2:$DH$171,MATCH(#REF!,'Partner data'!$DG$2:$DG$171,0),2))</f>
        <v>0</v>
      </c>
    </row>
    <row r="1066" spans="1:19" x14ac:dyDescent="0.25">
      <c r="A1066" t="s">
        <v>341</v>
      </c>
      <c r="B1066" t="s">
        <v>342</v>
      </c>
      <c r="C1066">
        <v>284</v>
      </c>
      <c r="D1066">
        <v>332</v>
      </c>
      <c r="E1066" t="s">
        <v>236</v>
      </c>
      <c r="G1066">
        <v>0</v>
      </c>
      <c r="H1066">
        <v>0</v>
      </c>
      <c r="I1066">
        <v>0</v>
      </c>
      <c r="J1066">
        <v>0</v>
      </c>
      <c r="K1066">
        <v>0</v>
      </c>
      <c r="L1066">
        <v>0</v>
      </c>
      <c r="M1066">
        <v>0</v>
      </c>
      <c r="N1066">
        <v>0</v>
      </c>
      <c r="O1066">
        <v>0</v>
      </c>
      <c r="P1066">
        <v>0</v>
      </c>
      <c r="Q1066" t="str">
        <f>INDEX(pARTNER[#All],MATCH(#REF!,pARTNER[[#All],[Value.partnerSummary.id]],0),10)</f>
        <v>Slovenija (SI)</v>
      </c>
      <c r="R1066" t="str">
        <f>INDEX('Partner data'!$A$2:$DG$171,MATCH(#REF!,'Partner data'!$DG$2:$DG$171,0),83)</f>
        <v>Soggetto pubblico</v>
      </c>
      <c r="S1066" s="86" t="b">
        <f>IF(#REF!="staff",INDEX('Partner data'!$DG$2:$DH$171,MATCH(#REF!,'Partner data'!$DG$2:$DG$171,0),2))</f>
        <v>0</v>
      </c>
    </row>
    <row r="1067" spans="1:19" x14ac:dyDescent="0.25">
      <c r="A1067" t="s">
        <v>341</v>
      </c>
      <c r="B1067" t="s">
        <v>342</v>
      </c>
      <c r="C1067">
        <v>284</v>
      </c>
      <c r="D1067">
        <v>332</v>
      </c>
      <c r="E1067" t="s">
        <v>237</v>
      </c>
      <c r="G1067">
        <v>0</v>
      </c>
      <c r="H1067">
        <v>0</v>
      </c>
      <c r="I1067">
        <v>0</v>
      </c>
      <c r="J1067">
        <v>0</v>
      </c>
      <c r="K1067">
        <v>0</v>
      </c>
      <c r="L1067">
        <v>0</v>
      </c>
      <c r="M1067">
        <v>0</v>
      </c>
      <c r="N1067">
        <v>0</v>
      </c>
      <c r="O1067">
        <v>0</v>
      </c>
      <c r="P1067">
        <v>0</v>
      </c>
      <c r="Q1067" t="str">
        <f>INDEX(pARTNER[#All],MATCH(#REF!,pARTNER[[#All],[Value.partnerSummary.id]],0),10)</f>
        <v>Slovenija (SI)</v>
      </c>
      <c r="R1067" t="str">
        <f>INDEX('Partner data'!$A$2:$DG$171,MATCH(#REF!,'Partner data'!$DG$2:$DG$171,0),83)</f>
        <v>Soggetto pubblico</v>
      </c>
      <c r="S1067" s="86" t="b">
        <f>IF(#REF!="staff",INDEX('Partner data'!$DG$2:$DH$171,MATCH(#REF!,'Partner data'!$DG$2:$DG$171,0),2))</f>
        <v>0</v>
      </c>
    </row>
    <row r="1068" spans="1:19" x14ac:dyDescent="0.25">
      <c r="A1068" t="s">
        <v>341</v>
      </c>
      <c r="B1068" t="s">
        <v>342</v>
      </c>
      <c r="C1068">
        <v>284</v>
      </c>
      <c r="D1068">
        <v>332</v>
      </c>
      <c r="E1068" t="s">
        <v>238</v>
      </c>
      <c r="G1068">
        <v>95945</v>
      </c>
      <c r="H1068">
        <v>0</v>
      </c>
      <c r="I1068">
        <v>0</v>
      </c>
      <c r="J1068">
        <v>0</v>
      </c>
      <c r="K1068">
        <v>0</v>
      </c>
      <c r="L1068">
        <v>0</v>
      </c>
      <c r="M1068">
        <v>0</v>
      </c>
      <c r="N1068">
        <v>0</v>
      </c>
      <c r="O1068">
        <v>95945</v>
      </c>
      <c r="P1068">
        <v>0</v>
      </c>
      <c r="Q1068" t="str">
        <f>INDEX(pARTNER[#All],MATCH(#REF!,pARTNER[[#All],[Value.partnerSummary.id]],0),10)</f>
        <v>Slovenija (SI)</v>
      </c>
      <c r="R1068" t="str">
        <f>INDEX('Partner data'!$A$2:$DG$171,MATCH(#REF!,'Partner data'!$DG$2:$DG$171,0),83)</f>
        <v>Soggetto pubblico</v>
      </c>
      <c r="S1068" s="86" t="b">
        <f>IF(#REF!="staff",INDEX('Partner data'!$DG$2:$DH$171,MATCH(#REF!,'Partner data'!$DG$2:$DG$171,0),2))</f>
        <v>0</v>
      </c>
    </row>
    <row r="1069" spans="1:19" x14ac:dyDescent="0.25">
      <c r="A1069" t="s">
        <v>341</v>
      </c>
      <c r="B1069" t="s">
        <v>4546</v>
      </c>
      <c r="C1069">
        <v>270</v>
      </c>
      <c r="D1069">
        <v>340</v>
      </c>
      <c r="E1069" t="s">
        <v>228</v>
      </c>
      <c r="G1069">
        <v>30000</v>
      </c>
      <c r="H1069">
        <v>0</v>
      </c>
      <c r="I1069">
        <v>0</v>
      </c>
      <c r="J1069">
        <v>0</v>
      </c>
      <c r="K1069">
        <v>0</v>
      </c>
      <c r="L1069">
        <v>0</v>
      </c>
      <c r="M1069">
        <v>0</v>
      </c>
      <c r="N1069">
        <v>0</v>
      </c>
      <c r="O1069">
        <v>30000</v>
      </c>
      <c r="P1069">
        <v>0</v>
      </c>
      <c r="Q1069" t="str">
        <f>INDEX(pARTNER[#All],MATCH(#REF!,pARTNER[[#All],[Value.partnerSummary.id]],0),10)</f>
        <v>Slovenija (SI)</v>
      </c>
      <c r="R1069" t="str">
        <f>INDEX('Partner data'!$A$2:$DG$171,MATCH(#REF!,'Partner data'!$DG$2:$DG$171,0),83)</f>
        <v>Soggetto pubblico</v>
      </c>
      <c r="S1069" s="86" t="str">
        <f>IF(#REF!="staff",INDEX('Partner data'!$DG$2:$DH$171,MATCH(#REF!,'Partner data'!$DG$2:$DG$171,0),2))</f>
        <v>COSTO REALE</v>
      </c>
    </row>
    <row r="1070" spans="1:19" x14ac:dyDescent="0.25">
      <c r="A1070" t="s">
        <v>341</v>
      </c>
      <c r="B1070" t="s">
        <v>4546</v>
      </c>
      <c r="C1070">
        <v>270</v>
      </c>
      <c r="D1070">
        <v>340</v>
      </c>
      <c r="E1070" t="s">
        <v>229</v>
      </c>
      <c r="F1070">
        <v>15</v>
      </c>
      <c r="G1070">
        <v>4500</v>
      </c>
      <c r="H1070">
        <v>0</v>
      </c>
      <c r="I1070">
        <v>0</v>
      </c>
      <c r="J1070">
        <v>0</v>
      </c>
      <c r="K1070">
        <v>0</v>
      </c>
      <c r="L1070">
        <v>0</v>
      </c>
      <c r="M1070">
        <v>0</v>
      </c>
      <c r="N1070">
        <v>0</v>
      </c>
      <c r="O1070">
        <v>4500</v>
      </c>
      <c r="P1070">
        <v>0</v>
      </c>
      <c r="Q1070" t="str">
        <f>INDEX(pARTNER[#All],MATCH(#REF!,pARTNER[[#All],[Value.partnerSummary.id]],0),10)</f>
        <v>Slovenija (SI)</v>
      </c>
      <c r="R1070" t="str">
        <f>INDEX('Partner data'!$A$2:$DG$171,MATCH(#REF!,'Partner data'!$DG$2:$DG$171,0),83)</f>
        <v>Soggetto pubblico</v>
      </c>
      <c r="S1070" s="86" t="b">
        <f>IF(#REF!="staff",INDEX('Partner data'!$DG$2:$DH$171,MATCH(#REF!,'Partner data'!$DG$2:$DG$171,0),2))</f>
        <v>0</v>
      </c>
    </row>
    <row r="1071" spans="1:19" x14ac:dyDescent="0.25">
      <c r="A1071" t="s">
        <v>341</v>
      </c>
      <c r="B1071" t="s">
        <v>4546</v>
      </c>
      <c r="C1071">
        <v>270</v>
      </c>
      <c r="D1071">
        <v>340</v>
      </c>
      <c r="E1071" t="s">
        <v>230</v>
      </c>
      <c r="F1071">
        <v>4</v>
      </c>
      <c r="G1071">
        <v>1200</v>
      </c>
      <c r="H1071">
        <v>0</v>
      </c>
      <c r="I1071">
        <v>0</v>
      </c>
      <c r="J1071">
        <v>0</v>
      </c>
      <c r="K1071">
        <v>0</v>
      </c>
      <c r="L1071">
        <v>0</v>
      </c>
      <c r="M1071">
        <v>0</v>
      </c>
      <c r="N1071">
        <v>0</v>
      </c>
      <c r="O1071">
        <v>1200</v>
      </c>
      <c r="P1071">
        <v>0</v>
      </c>
      <c r="Q1071" t="str">
        <f>INDEX(pARTNER[#All],MATCH(#REF!,pARTNER[[#All],[Value.partnerSummary.id]],0),10)</f>
        <v>Slovenija (SI)</v>
      </c>
      <c r="R1071" t="str">
        <f>INDEX('Partner data'!$A$2:$DG$171,MATCH(#REF!,'Partner data'!$DG$2:$DG$171,0),83)</f>
        <v>Soggetto pubblico</v>
      </c>
      <c r="S1071" s="86" t="b">
        <f>IF(#REF!="staff",INDEX('Partner data'!$DG$2:$DH$171,MATCH(#REF!,'Partner data'!$DG$2:$DG$171,0),2))</f>
        <v>0</v>
      </c>
    </row>
    <row r="1072" spans="1:19" x14ac:dyDescent="0.25">
      <c r="A1072" t="s">
        <v>341</v>
      </c>
      <c r="B1072" t="s">
        <v>4546</v>
      </c>
      <c r="C1072">
        <v>270</v>
      </c>
      <c r="D1072">
        <v>340</v>
      </c>
      <c r="E1072" t="s">
        <v>231</v>
      </c>
      <c r="G1072">
        <v>110175</v>
      </c>
      <c r="H1072">
        <v>0</v>
      </c>
      <c r="I1072">
        <v>0</v>
      </c>
      <c r="J1072">
        <v>0</v>
      </c>
      <c r="K1072">
        <v>0</v>
      </c>
      <c r="L1072">
        <v>0</v>
      </c>
      <c r="M1072">
        <v>0</v>
      </c>
      <c r="N1072">
        <v>0</v>
      </c>
      <c r="O1072">
        <v>110175</v>
      </c>
      <c r="P1072">
        <v>0</v>
      </c>
      <c r="Q1072" t="str">
        <f>INDEX(pARTNER[#All],MATCH(#REF!,pARTNER[[#All],[Value.partnerSummary.id]],0),10)</f>
        <v>Slovenija (SI)</v>
      </c>
      <c r="R1072" t="str">
        <f>INDEX('Partner data'!$A$2:$DG$171,MATCH(#REF!,'Partner data'!$DG$2:$DG$171,0),83)</f>
        <v>Soggetto pubblico</v>
      </c>
      <c r="S1072" s="86" t="b">
        <f>IF(#REF!="staff",INDEX('Partner data'!$DG$2:$DH$171,MATCH(#REF!,'Partner data'!$DG$2:$DG$171,0),2))</f>
        <v>0</v>
      </c>
    </row>
    <row r="1073" spans="1:19" x14ac:dyDescent="0.25">
      <c r="A1073" t="s">
        <v>341</v>
      </c>
      <c r="B1073" t="s">
        <v>4546</v>
      </c>
      <c r="C1073">
        <v>270</v>
      </c>
      <c r="D1073">
        <v>340</v>
      </c>
      <c r="E1073" t="s">
        <v>232</v>
      </c>
      <c r="G1073">
        <v>0</v>
      </c>
      <c r="H1073">
        <v>0</v>
      </c>
      <c r="I1073">
        <v>0</v>
      </c>
      <c r="J1073">
        <v>0</v>
      </c>
      <c r="K1073">
        <v>0</v>
      </c>
      <c r="L1073">
        <v>0</v>
      </c>
      <c r="M1073">
        <v>0</v>
      </c>
      <c r="N1073">
        <v>0</v>
      </c>
      <c r="O1073">
        <v>0</v>
      </c>
      <c r="P1073">
        <v>0</v>
      </c>
      <c r="Q1073" t="str">
        <f>INDEX(pARTNER[#All],MATCH(#REF!,pARTNER[[#All],[Value.partnerSummary.id]],0),10)</f>
        <v>Slovenija (SI)</v>
      </c>
      <c r="R1073" t="str">
        <f>INDEX('Partner data'!$A$2:$DG$171,MATCH(#REF!,'Partner data'!$DG$2:$DG$171,0),83)</f>
        <v>Soggetto pubblico</v>
      </c>
      <c r="S1073" s="86" t="b">
        <f>IF(#REF!="staff",INDEX('Partner data'!$DG$2:$DH$171,MATCH(#REF!,'Partner data'!$DG$2:$DG$171,0),2))</f>
        <v>0</v>
      </c>
    </row>
    <row r="1074" spans="1:19" x14ac:dyDescent="0.25">
      <c r="A1074" t="s">
        <v>341</v>
      </c>
      <c r="B1074" t="s">
        <v>4546</v>
      </c>
      <c r="C1074">
        <v>270</v>
      </c>
      <c r="D1074">
        <v>340</v>
      </c>
      <c r="E1074" t="s">
        <v>233</v>
      </c>
      <c r="G1074">
        <v>0</v>
      </c>
      <c r="H1074">
        <v>0</v>
      </c>
      <c r="I1074">
        <v>0</v>
      </c>
      <c r="J1074">
        <v>0</v>
      </c>
      <c r="K1074">
        <v>0</v>
      </c>
      <c r="L1074">
        <v>0</v>
      </c>
      <c r="M1074">
        <v>0</v>
      </c>
      <c r="N1074">
        <v>0</v>
      </c>
      <c r="O1074">
        <v>0</v>
      </c>
      <c r="P1074">
        <v>0</v>
      </c>
      <c r="Q1074" t="str">
        <f>INDEX(pARTNER[#All],MATCH(#REF!,pARTNER[[#All],[Value.partnerSummary.id]],0),10)</f>
        <v>Slovenija (SI)</v>
      </c>
      <c r="R1074" t="str">
        <f>INDEX('Partner data'!$A$2:$DG$171,MATCH(#REF!,'Partner data'!$DG$2:$DG$171,0),83)</f>
        <v>Soggetto pubblico</v>
      </c>
      <c r="S1074" s="86" t="b">
        <f>IF(#REF!="staff",INDEX('Partner data'!$DG$2:$DH$171,MATCH(#REF!,'Partner data'!$DG$2:$DG$171,0),2))</f>
        <v>0</v>
      </c>
    </row>
    <row r="1075" spans="1:19" x14ac:dyDescent="0.25">
      <c r="A1075" t="s">
        <v>341</v>
      </c>
      <c r="B1075" t="s">
        <v>4546</v>
      </c>
      <c r="C1075">
        <v>270</v>
      </c>
      <c r="D1075">
        <v>340</v>
      </c>
      <c r="E1075" t="s">
        <v>234</v>
      </c>
      <c r="G1075">
        <v>0</v>
      </c>
      <c r="H1075">
        <v>0</v>
      </c>
      <c r="I1075">
        <v>0</v>
      </c>
      <c r="J1075">
        <v>0</v>
      </c>
      <c r="K1075">
        <v>0</v>
      </c>
      <c r="L1075">
        <v>0</v>
      </c>
      <c r="M1075">
        <v>0</v>
      </c>
      <c r="N1075">
        <v>0</v>
      </c>
      <c r="O1075">
        <v>0</v>
      </c>
      <c r="P1075">
        <v>0</v>
      </c>
      <c r="Q1075" t="str">
        <f>INDEX(pARTNER[#All],MATCH(#REF!,pARTNER[[#All],[Value.partnerSummary.id]],0),10)</f>
        <v>Slovenija (SI)</v>
      </c>
      <c r="R1075" t="str">
        <f>INDEX('Partner data'!$A$2:$DG$171,MATCH(#REF!,'Partner data'!$DG$2:$DG$171,0),83)</f>
        <v>Soggetto pubblico</v>
      </c>
      <c r="S1075" s="86" t="b">
        <f>IF(#REF!="staff",INDEX('Partner data'!$DG$2:$DH$171,MATCH(#REF!,'Partner data'!$DG$2:$DG$171,0),2))</f>
        <v>0</v>
      </c>
    </row>
    <row r="1076" spans="1:19" x14ac:dyDescent="0.25">
      <c r="A1076" t="s">
        <v>341</v>
      </c>
      <c r="B1076" t="s">
        <v>4546</v>
      </c>
      <c r="C1076">
        <v>270</v>
      </c>
      <c r="D1076">
        <v>340</v>
      </c>
      <c r="E1076" t="s">
        <v>235</v>
      </c>
      <c r="G1076">
        <v>0</v>
      </c>
      <c r="H1076">
        <v>0</v>
      </c>
      <c r="I1076">
        <v>0</v>
      </c>
      <c r="J1076">
        <v>0</v>
      </c>
      <c r="K1076">
        <v>0</v>
      </c>
      <c r="L1076">
        <v>0</v>
      </c>
      <c r="M1076">
        <v>0</v>
      </c>
      <c r="N1076">
        <v>0</v>
      </c>
      <c r="O1076">
        <v>0</v>
      </c>
      <c r="P1076">
        <v>0</v>
      </c>
      <c r="Q1076" t="str">
        <f>INDEX(pARTNER[#All],MATCH(#REF!,pARTNER[[#All],[Value.partnerSummary.id]],0),10)</f>
        <v>Slovenija (SI)</v>
      </c>
      <c r="R1076" t="str">
        <f>INDEX('Partner data'!$A$2:$DG$171,MATCH(#REF!,'Partner data'!$DG$2:$DG$171,0),83)</f>
        <v>Soggetto pubblico</v>
      </c>
      <c r="S1076" s="86" t="b">
        <f>IF(#REF!="staff",INDEX('Partner data'!$DG$2:$DH$171,MATCH(#REF!,'Partner data'!$DG$2:$DG$171,0),2))</f>
        <v>0</v>
      </c>
    </row>
    <row r="1077" spans="1:19" x14ac:dyDescent="0.25">
      <c r="A1077" t="s">
        <v>341</v>
      </c>
      <c r="B1077" t="s">
        <v>4546</v>
      </c>
      <c r="C1077">
        <v>270</v>
      </c>
      <c r="D1077">
        <v>340</v>
      </c>
      <c r="E1077" t="s">
        <v>236</v>
      </c>
      <c r="G1077">
        <v>0</v>
      </c>
      <c r="H1077">
        <v>0</v>
      </c>
      <c r="I1077">
        <v>0</v>
      </c>
      <c r="J1077">
        <v>0</v>
      </c>
      <c r="K1077">
        <v>0</v>
      </c>
      <c r="L1077">
        <v>0</v>
      </c>
      <c r="M1077">
        <v>0</v>
      </c>
      <c r="N1077">
        <v>0</v>
      </c>
      <c r="O1077">
        <v>0</v>
      </c>
      <c r="P1077">
        <v>0</v>
      </c>
      <c r="Q1077" t="str">
        <f>INDEX(pARTNER[#All],MATCH(#REF!,pARTNER[[#All],[Value.partnerSummary.id]],0),10)</f>
        <v>Slovenija (SI)</v>
      </c>
      <c r="R1077" t="str">
        <f>INDEX('Partner data'!$A$2:$DG$171,MATCH(#REF!,'Partner data'!$DG$2:$DG$171,0),83)</f>
        <v>Soggetto pubblico</v>
      </c>
      <c r="S1077" s="86" t="b">
        <f>IF(#REF!="staff",INDEX('Partner data'!$DG$2:$DH$171,MATCH(#REF!,'Partner data'!$DG$2:$DG$171,0),2))</f>
        <v>0</v>
      </c>
    </row>
    <row r="1078" spans="1:19" x14ac:dyDescent="0.25">
      <c r="A1078" t="s">
        <v>341</v>
      </c>
      <c r="B1078" t="s">
        <v>4546</v>
      </c>
      <c r="C1078">
        <v>270</v>
      </c>
      <c r="D1078">
        <v>340</v>
      </c>
      <c r="E1078" t="s">
        <v>237</v>
      </c>
      <c r="G1078">
        <v>0</v>
      </c>
      <c r="H1078">
        <v>0</v>
      </c>
      <c r="I1078">
        <v>0</v>
      </c>
      <c r="J1078">
        <v>0</v>
      </c>
      <c r="K1078">
        <v>0</v>
      </c>
      <c r="L1078">
        <v>0</v>
      </c>
      <c r="M1078">
        <v>0</v>
      </c>
      <c r="N1078">
        <v>0</v>
      </c>
      <c r="O1078">
        <v>0</v>
      </c>
      <c r="P1078">
        <v>0</v>
      </c>
      <c r="Q1078" t="str">
        <f>INDEX(pARTNER[#All],MATCH(#REF!,pARTNER[[#All],[Value.partnerSummary.id]],0),10)</f>
        <v>Slovenija (SI)</v>
      </c>
      <c r="R1078" t="str">
        <f>INDEX('Partner data'!$A$2:$DG$171,MATCH(#REF!,'Partner data'!$DG$2:$DG$171,0),83)</f>
        <v>Soggetto pubblico</v>
      </c>
      <c r="S1078" s="86" t="b">
        <f>IF(#REF!="staff",INDEX('Partner data'!$DG$2:$DH$171,MATCH(#REF!,'Partner data'!$DG$2:$DG$171,0),2))</f>
        <v>0</v>
      </c>
    </row>
    <row r="1079" spans="1:19" x14ac:dyDescent="0.25">
      <c r="A1079" t="s">
        <v>341</v>
      </c>
      <c r="B1079" t="s">
        <v>4546</v>
      </c>
      <c r="C1079">
        <v>270</v>
      </c>
      <c r="D1079">
        <v>340</v>
      </c>
      <c r="E1079" t="s">
        <v>238</v>
      </c>
      <c r="G1079">
        <v>145875</v>
      </c>
      <c r="H1079">
        <v>0</v>
      </c>
      <c r="I1079">
        <v>0</v>
      </c>
      <c r="J1079">
        <v>0</v>
      </c>
      <c r="K1079">
        <v>0</v>
      </c>
      <c r="L1079">
        <v>0</v>
      </c>
      <c r="M1079">
        <v>0</v>
      </c>
      <c r="N1079">
        <v>0</v>
      </c>
      <c r="O1079">
        <v>145875</v>
      </c>
      <c r="P1079">
        <v>0</v>
      </c>
      <c r="Q1079" t="str">
        <f>INDEX(pARTNER[#All],MATCH(#REF!,pARTNER[[#All],[Value.partnerSummary.id]],0),10)</f>
        <v>Slovenija (SI)</v>
      </c>
      <c r="R1079" t="str">
        <f>INDEX('Partner data'!$A$2:$DG$171,MATCH(#REF!,'Partner data'!$DG$2:$DG$171,0),83)</f>
        <v>Soggetto pubblico</v>
      </c>
      <c r="S1079" s="86" t="b">
        <f>IF(#REF!="staff",INDEX('Partner data'!$DG$2:$DH$171,MATCH(#REF!,'Partner data'!$DG$2:$DG$171,0),2))</f>
        <v>0</v>
      </c>
    </row>
    <row r="1080" spans="1:19" x14ac:dyDescent="0.25">
      <c r="A1080" t="s">
        <v>341</v>
      </c>
      <c r="B1080" t="s">
        <v>4547</v>
      </c>
      <c r="C1080">
        <v>133</v>
      </c>
      <c r="D1080">
        <v>255</v>
      </c>
      <c r="E1080" t="s">
        <v>228</v>
      </c>
      <c r="G1080">
        <v>30000</v>
      </c>
      <c r="H1080">
        <v>0</v>
      </c>
      <c r="I1080">
        <v>0</v>
      </c>
      <c r="J1080">
        <v>6244.01</v>
      </c>
      <c r="K1080">
        <v>0</v>
      </c>
      <c r="L1080">
        <v>6244.01</v>
      </c>
      <c r="M1080">
        <v>6244.01</v>
      </c>
      <c r="N1080">
        <v>20.81</v>
      </c>
      <c r="O1080">
        <v>23755.99</v>
      </c>
      <c r="P1080">
        <v>0</v>
      </c>
      <c r="Q1080" t="str">
        <f>INDEX(pARTNER[#All],MATCH(#REF!,pARTNER[[#All],[Value.partnerSummary.id]],0),10)</f>
        <v>Slovenija (SI)</v>
      </c>
      <c r="R1080" t="str">
        <f>INDEX('Partner data'!$A$2:$DG$171,MATCH(#REF!,'Partner data'!$DG$2:$DG$171,0),83)</f>
        <v>Soggetto pubblico</v>
      </c>
      <c r="S1080" s="86" t="str">
        <f>IF(#REF!="staff",INDEX('Partner data'!$DG$2:$DH$171,MATCH(#REF!,'Partner data'!$DG$2:$DG$171,0),2))</f>
        <v>COSTO REALE</v>
      </c>
    </row>
    <row r="1081" spans="1:19" x14ac:dyDescent="0.25">
      <c r="A1081" t="s">
        <v>341</v>
      </c>
      <c r="B1081" t="s">
        <v>4547</v>
      </c>
      <c r="C1081">
        <v>133</v>
      </c>
      <c r="D1081">
        <v>255</v>
      </c>
      <c r="E1081" t="s">
        <v>229</v>
      </c>
      <c r="F1081">
        <v>15</v>
      </c>
      <c r="G1081">
        <v>4500</v>
      </c>
      <c r="H1081">
        <v>0</v>
      </c>
      <c r="I1081">
        <v>0</v>
      </c>
      <c r="J1081">
        <v>936.6</v>
      </c>
      <c r="K1081">
        <v>0</v>
      </c>
      <c r="L1081">
        <v>936.6</v>
      </c>
      <c r="M1081">
        <v>936.6</v>
      </c>
      <c r="N1081">
        <v>20.81</v>
      </c>
      <c r="O1081">
        <v>3563.4</v>
      </c>
      <c r="P1081">
        <v>0</v>
      </c>
      <c r="Q1081" t="str">
        <f>INDEX(pARTNER[#All],MATCH(#REF!,pARTNER[[#All],[Value.partnerSummary.id]],0),10)</f>
        <v>Slovenija (SI)</v>
      </c>
      <c r="R1081" t="str">
        <f>INDEX('Partner data'!$A$2:$DG$171,MATCH(#REF!,'Partner data'!$DG$2:$DG$171,0),83)</f>
        <v>Soggetto pubblico</v>
      </c>
      <c r="S1081" s="86" t="b">
        <f>IF(#REF!="staff",INDEX('Partner data'!$DG$2:$DH$171,MATCH(#REF!,'Partner data'!$DG$2:$DG$171,0),2))</f>
        <v>0</v>
      </c>
    </row>
    <row r="1082" spans="1:19" x14ac:dyDescent="0.25">
      <c r="A1082" t="s">
        <v>341</v>
      </c>
      <c r="B1082" t="s">
        <v>4547</v>
      </c>
      <c r="C1082">
        <v>133</v>
      </c>
      <c r="D1082">
        <v>255</v>
      </c>
      <c r="E1082" t="s">
        <v>230</v>
      </c>
      <c r="F1082">
        <v>4</v>
      </c>
      <c r="G1082">
        <v>1200</v>
      </c>
      <c r="H1082">
        <v>0</v>
      </c>
      <c r="I1082">
        <v>0</v>
      </c>
      <c r="J1082">
        <v>249.76</v>
      </c>
      <c r="K1082">
        <v>0</v>
      </c>
      <c r="L1082">
        <v>249.76</v>
      </c>
      <c r="M1082">
        <v>249.76</v>
      </c>
      <c r="N1082">
        <v>20.81</v>
      </c>
      <c r="O1082">
        <v>950.24</v>
      </c>
      <c r="P1082">
        <v>0</v>
      </c>
      <c r="Q1082" t="str">
        <f>INDEX(pARTNER[#All],MATCH(#REF!,pARTNER[[#All],[Value.partnerSummary.id]],0),10)</f>
        <v>Slovenija (SI)</v>
      </c>
      <c r="R1082" t="str">
        <f>INDEX('Partner data'!$A$2:$DG$171,MATCH(#REF!,'Partner data'!$DG$2:$DG$171,0),83)</f>
        <v>Soggetto pubblico</v>
      </c>
      <c r="S1082" s="86" t="b">
        <f>IF(#REF!="staff",INDEX('Partner data'!$DG$2:$DH$171,MATCH(#REF!,'Partner data'!$DG$2:$DG$171,0),2))</f>
        <v>0</v>
      </c>
    </row>
    <row r="1083" spans="1:19" x14ac:dyDescent="0.25">
      <c r="A1083" t="s">
        <v>341</v>
      </c>
      <c r="B1083" t="s">
        <v>4547</v>
      </c>
      <c r="C1083">
        <v>133</v>
      </c>
      <c r="D1083">
        <v>255</v>
      </c>
      <c r="E1083" t="s">
        <v>231</v>
      </c>
      <c r="G1083">
        <v>124925</v>
      </c>
      <c r="H1083">
        <v>0</v>
      </c>
      <c r="I1083">
        <v>0</v>
      </c>
      <c r="J1083">
        <v>8991.82</v>
      </c>
      <c r="K1083">
        <v>0</v>
      </c>
      <c r="L1083">
        <v>8991.82</v>
      </c>
      <c r="M1083">
        <v>8991.82</v>
      </c>
      <c r="N1083">
        <v>7.2</v>
      </c>
      <c r="O1083">
        <v>115933.18</v>
      </c>
      <c r="P1083">
        <v>0</v>
      </c>
      <c r="Q1083" t="str">
        <f>INDEX(pARTNER[#All],MATCH(#REF!,pARTNER[[#All],[Value.partnerSummary.id]],0),10)</f>
        <v>Slovenija (SI)</v>
      </c>
      <c r="R1083" t="str">
        <f>INDEX('Partner data'!$A$2:$DG$171,MATCH(#REF!,'Partner data'!$DG$2:$DG$171,0),83)</f>
        <v>Soggetto pubblico</v>
      </c>
      <c r="S1083" s="86" t="b">
        <f>IF(#REF!="staff",INDEX('Partner data'!$DG$2:$DH$171,MATCH(#REF!,'Partner data'!$DG$2:$DG$171,0),2))</f>
        <v>0</v>
      </c>
    </row>
    <row r="1084" spans="1:19" x14ac:dyDescent="0.25">
      <c r="A1084" t="s">
        <v>341</v>
      </c>
      <c r="B1084" t="s">
        <v>4547</v>
      </c>
      <c r="C1084">
        <v>133</v>
      </c>
      <c r="D1084">
        <v>255</v>
      </c>
      <c r="E1084" t="s">
        <v>232</v>
      </c>
      <c r="G1084">
        <v>0</v>
      </c>
      <c r="H1084">
        <v>0</v>
      </c>
      <c r="I1084">
        <v>0</v>
      </c>
      <c r="J1084">
        <v>0</v>
      </c>
      <c r="K1084">
        <v>0</v>
      </c>
      <c r="L1084">
        <v>0</v>
      </c>
      <c r="M1084">
        <v>0</v>
      </c>
      <c r="N1084">
        <v>0</v>
      </c>
      <c r="O1084">
        <v>0</v>
      </c>
      <c r="P1084">
        <v>0</v>
      </c>
      <c r="Q1084" t="str">
        <f>INDEX(pARTNER[#All],MATCH(#REF!,pARTNER[[#All],[Value.partnerSummary.id]],0),10)</f>
        <v>Slovenija (SI)</v>
      </c>
      <c r="R1084" t="str">
        <f>INDEX('Partner data'!$A$2:$DG$171,MATCH(#REF!,'Partner data'!$DG$2:$DG$171,0),83)</f>
        <v>Soggetto pubblico</v>
      </c>
      <c r="S1084" s="86" t="b">
        <f>IF(#REF!="staff",INDEX('Partner data'!$DG$2:$DH$171,MATCH(#REF!,'Partner data'!$DG$2:$DG$171,0),2))</f>
        <v>0</v>
      </c>
    </row>
    <row r="1085" spans="1:19" x14ac:dyDescent="0.25">
      <c r="A1085" t="s">
        <v>341</v>
      </c>
      <c r="B1085" t="s">
        <v>4547</v>
      </c>
      <c r="C1085">
        <v>133</v>
      </c>
      <c r="D1085">
        <v>255</v>
      </c>
      <c r="E1085" t="s">
        <v>233</v>
      </c>
      <c r="G1085">
        <v>0</v>
      </c>
      <c r="H1085">
        <v>0</v>
      </c>
      <c r="I1085">
        <v>0</v>
      </c>
      <c r="J1085">
        <v>0</v>
      </c>
      <c r="K1085">
        <v>0</v>
      </c>
      <c r="L1085">
        <v>0</v>
      </c>
      <c r="M1085">
        <v>0</v>
      </c>
      <c r="N1085">
        <v>0</v>
      </c>
      <c r="O1085">
        <v>0</v>
      </c>
      <c r="P1085">
        <v>0</v>
      </c>
      <c r="Q1085" t="str">
        <f>INDEX(pARTNER[#All],MATCH(#REF!,pARTNER[[#All],[Value.partnerSummary.id]],0),10)</f>
        <v>Slovenija (SI)</v>
      </c>
      <c r="R1085" t="str">
        <f>INDEX('Partner data'!$A$2:$DG$171,MATCH(#REF!,'Partner data'!$DG$2:$DG$171,0),83)</f>
        <v>Soggetto pubblico</v>
      </c>
      <c r="S1085" s="86" t="b">
        <f>IF(#REF!="staff",INDEX('Partner data'!$DG$2:$DH$171,MATCH(#REF!,'Partner data'!$DG$2:$DG$171,0),2))</f>
        <v>0</v>
      </c>
    </row>
    <row r="1086" spans="1:19" x14ac:dyDescent="0.25">
      <c r="A1086" t="s">
        <v>341</v>
      </c>
      <c r="B1086" t="s">
        <v>4547</v>
      </c>
      <c r="C1086">
        <v>133</v>
      </c>
      <c r="D1086">
        <v>255</v>
      </c>
      <c r="E1086" t="s">
        <v>234</v>
      </c>
      <c r="G1086">
        <v>0</v>
      </c>
      <c r="H1086">
        <v>0</v>
      </c>
      <c r="I1086">
        <v>0</v>
      </c>
      <c r="J1086">
        <v>0</v>
      </c>
      <c r="K1086">
        <v>0</v>
      </c>
      <c r="L1086">
        <v>0</v>
      </c>
      <c r="M1086">
        <v>0</v>
      </c>
      <c r="N1086">
        <v>0</v>
      </c>
      <c r="O1086">
        <v>0</v>
      </c>
      <c r="P1086">
        <v>0</v>
      </c>
      <c r="Q1086" t="str">
        <f>INDEX(pARTNER[#All],MATCH(#REF!,pARTNER[[#All],[Value.partnerSummary.id]],0),10)</f>
        <v>Slovenija (SI)</v>
      </c>
      <c r="R1086" t="str">
        <f>INDEX('Partner data'!$A$2:$DG$171,MATCH(#REF!,'Partner data'!$DG$2:$DG$171,0),83)</f>
        <v>Soggetto pubblico</v>
      </c>
      <c r="S1086" s="86" t="b">
        <f>IF(#REF!="staff",INDEX('Partner data'!$DG$2:$DH$171,MATCH(#REF!,'Partner data'!$DG$2:$DG$171,0),2))</f>
        <v>0</v>
      </c>
    </row>
    <row r="1087" spans="1:19" x14ac:dyDescent="0.25">
      <c r="A1087" t="s">
        <v>341</v>
      </c>
      <c r="B1087" t="s">
        <v>4547</v>
      </c>
      <c r="C1087">
        <v>133</v>
      </c>
      <c r="D1087">
        <v>255</v>
      </c>
      <c r="E1087" t="s">
        <v>235</v>
      </c>
      <c r="G1087">
        <v>9000</v>
      </c>
      <c r="H1087">
        <v>0</v>
      </c>
      <c r="I1087">
        <v>0</v>
      </c>
      <c r="J1087">
        <v>9000</v>
      </c>
      <c r="K1087">
        <v>0</v>
      </c>
      <c r="L1087">
        <v>9000</v>
      </c>
      <c r="M1087">
        <v>9000</v>
      </c>
      <c r="N1087">
        <v>100</v>
      </c>
      <c r="O1087">
        <v>0</v>
      </c>
      <c r="P1087">
        <v>0</v>
      </c>
      <c r="Q1087" t="str">
        <f>INDEX(pARTNER[#All],MATCH(#REF!,pARTNER[[#All],[Value.partnerSummary.id]],0),10)</f>
        <v>Slovenija (SI)</v>
      </c>
      <c r="R1087" t="str">
        <f>INDEX('Partner data'!$A$2:$DG$171,MATCH(#REF!,'Partner data'!$DG$2:$DG$171,0),83)</f>
        <v>Soggetto pubblico</v>
      </c>
      <c r="S1087" s="86" t="b">
        <f>IF(#REF!="staff",INDEX('Partner data'!$DG$2:$DH$171,MATCH(#REF!,'Partner data'!$DG$2:$DG$171,0),2))</f>
        <v>0</v>
      </c>
    </row>
    <row r="1088" spans="1:19" x14ac:dyDescent="0.25">
      <c r="A1088" t="s">
        <v>341</v>
      </c>
      <c r="B1088" t="s">
        <v>4547</v>
      </c>
      <c r="C1088">
        <v>133</v>
      </c>
      <c r="D1088">
        <v>255</v>
      </c>
      <c r="E1088" t="s">
        <v>236</v>
      </c>
      <c r="G1088">
        <v>0</v>
      </c>
      <c r="H1088">
        <v>0</v>
      </c>
      <c r="I1088">
        <v>0</v>
      </c>
      <c r="J1088">
        <v>0</v>
      </c>
      <c r="K1088">
        <v>0</v>
      </c>
      <c r="L1088">
        <v>0</v>
      </c>
      <c r="M1088">
        <v>0</v>
      </c>
      <c r="N1088">
        <v>0</v>
      </c>
      <c r="O1088">
        <v>0</v>
      </c>
      <c r="P1088">
        <v>0</v>
      </c>
      <c r="Q1088" t="str">
        <f>INDEX(pARTNER[#All],MATCH(#REF!,pARTNER[[#All],[Value.partnerSummary.id]],0),10)</f>
        <v>Slovenija (SI)</v>
      </c>
      <c r="R1088" t="str">
        <f>INDEX('Partner data'!$A$2:$DG$171,MATCH(#REF!,'Partner data'!$DG$2:$DG$171,0),83)</f>
        <v>Soggetto pubblico</v>
      </c>
      <c r="S1088" s="86" t="b">
        <f>IF(#REF!="staff",INDEX('Partner data'!$DG$2:$DH$171,MATCH(#REF!,'Partner data'!$DG$2:$DG$171,0),2))</f>
        <v>0</v>
      </c>
    </row>
    <row r="1089" spans="1:19" x14ac:dyDescent="0.25">
      <c r="A1089" t="s">
        <v>341</v>
      </c>
      <c r="B1089" t="s">
        <v>4547</v>
      </c>
      <c r="C1089">
        <v>133</v>
      </c>
      <c r="D1089">
        <v>255</v>
      </c>
      <c r="E1089" t="s">
        <v>237</v>
      </c>
      <c r="G1089">
        <v>0</v>
      </c>
      <c r="H1089">
        <v>0</v>
      </c>
      <c r="I1089">
        <v>0</v>
      </c>
      <c r="J1089">
        <v>0</v>
      </c>
      <c r="K1089">
        <v>0</v>
      </c>
      <c r="L1089">
        <v>0</v>
      </c>
      <c r="M1089">
        <v>0</v>
      </c>
      <c r="N1089">
        <v>0</v>
      </c>
      <c r="O1089">
        <v>0</v>
      </c>
      <c r="P1089">
        <v>0</v>
      </c>
      <c r="Q1089" t="str">
        <f>INDEX(pARTNER[#All],MATCH(#REF!,pARTNER[[#All],[Value.partnerSummary.id]],0),10)</f>
        <v>Slovenija (SI)</v>
      </c>
      <c r="R1089" t="str">
        <f>INDEX('Partner data'!$A$2:$DG$171,MATCH(#REF!,'Partner data'!$DG$2:$DG$171,0),83)</f>
        <v>Soggetto pubblico</v>
      </c>
      <c r="S1089" s="86" t="b">
        <f>IF(#REF!="staff",INDEX('Partner data'!$DG$2:$DH$171,MATCH(#REF!,'Partner data'!$DG$2:$DG$171,0),2))</f>
        <v>0</v>
      </c>
    </row>
    <row r="1090" spans="1:19" x14ac:dyDescent="0.25">
      <c r="A1090" t="s">
        <v>341</v>
      </c>
      <c r="B1090" t="s">
        <v>4547</v>
      </c>
      <c r="C1090">
        <v>133</v>
      </c>
      <c r="D1090">
        <v>255</v>
      </c>
      <c r="E1090" t="s">
        <v>238</v>
      </c>
      <c r="G1090">
        <v>169625</v>
      </c>
      <c r="H1090">
        <v>0</v>
      </c>
      <c r="I1090">
        <v>0</v>
      </c>
      <c r="J1090">
        <v>25422.19</v>
      </c>
      <c r="K1090">
        <v>0</v>
      </c>
      <c r="L1090">
        <v>25422.19</v>
      </c>
      <c r="M1090">
        <v>25422.19</v>
      </c>
      <c r="N1090">
        <v>14.99</v>
      </c>
      <c r="O1090">
        <v>144202.81</v>
      </c>
      <c r="P1090">
        <v>0</v>
      </c>
      <c r="Q1090" t="str">
        <f>INDEX(pARTNER[#All],MATCH(#REF!,pARTNER[[#All],[Value.partnerSummary.id]],0),10)</f>
        <v>Slovenija (SI)</v>
      </c>
      <c r="R1090" t="str">
        <f>INDEX('Partner data'!$A$2:$DG$171,MATCH(#REF!,'Partner data'!$DG$2:$DG$171,0),83)</f>
        <v>Soggetto pubblico</v>
      </c>
      <c r="S1090" s="86" t="b">
        <f>IF(#REF!="staff",INDEX('Partner data'!$DG$2:$DH$171,MATCH(#REF!,'Partner data'!$DG$2:$DG$171,0),2))</f>
        <v>0</v>
      </c>
    </row>
    <row r="1091" spans="1:19" x14ac:dyDescent="0.25">
      <c r="A1091" t="s">
        <v>59</v>
      </c>
      <c r="B1091" t="s">
        <v>47</v>
      </c>
      <c r="C1091">
        <v>323</v>
      </c>
      <c r="D1091">
        <v>339</v>
      </c>
      <c r="E1091" t="s">
        <v>228</v>
      </c>
      <c r="G1091">
        <v>198143.97</v>
      </c>
      <c r="H1091">
        <v>32182.54</v>
      </c>
      <c r="I1091">
        <v>0</v>
      </c>
      <c r="J1091">
        <v>27402.67</v>
      </c>
      <c r="K1091">
        <v>0</v>
      </c>
      <c r="L1091">
        <v>26731.78</v>
      </c>
      <c r="M1091">
        <v>59585.21</v>
      </c>
      <c r="N1091">
        <v>30.07</v>
      </c>
      <c r="O1091">
        <v>138558.76</v>
      </c>
      <c r="P1091">
        <v>32113.13</v>
      </c>
      <c r="Q1091" t="str">
        <f>INDEX(pARTNER[#All],MATCH(#REF!,pARTNER[[#All],[Value.partnerSummary.id]],0),10)</f>
        <v>Italia (IT)</v>
      </c>
      <c r="R1091" t="str">
        <f>INDEX('Partner data'!$A$2:$DG$171,MATCH(#REF!,'Partner data'!$DG$2:$DG$171,0),83)</f>
        <v xml:space="preserve">Organismo di diritto pubblico </v>
      </c>
      <c r="S1091" s="86" t="str">
        <f>IF(#REF!="staff",INDEX('Partner data'!$DG$2:$DH$171,MATCH(#REF!,'Partner data'!$DG$2:$DG$171,0),2))</f>
        <v>COSTO REALE</v>
      </c>
    </row>
    <row r="1092" spans="1:19" x14ac:dyDescent="0.25">
      <c r="A1092" t="s">
        <v>59</v>
      </c>
      <c r="B1092" t="s">
        <v>47</v>
      </c>
      <c r="C1092">
        <v>323</v>
      </c>
      <c r="D1092">
        <v>339</v>
      </c>
      <c r="E1092" t="s">
        <v>229</v>
      </c>
      <c r="F1092">
        <v>15</v>
      </c>
      <c r="G1092">
        <v>29721.59</v>
      </c>
      <c r="H1092">
        <v>4827.38</v>
      </c>
      <c r="I1092">
        <v>0</v>
      </c>
      <c r="J1092">
        <v>4110.3999999999996</v>
      </c>
      <c r="K1092">
        <v>0</v>
      </c>
      <c r="L1092">
        <v>4009.76</v>
      </c>
      <c r="M1092">
        <v>8937.7800000000007</v>
      </c>
      <c r="N1092">
        <v>30.07</v>
      </c>
      <c r="O1092">
        <v>20783.810000000001</v>
      </c>
      <c r="P1092">
        <v>4816.96</v>
      </c>
      <c r="Q1092" t="str">
        <f>INDEX(pARTNER[#All],MATCH(#REF!,pARTNER[[#All],[Value.partnerSummary.id]],0),10)</f>
        <v>Italia (IT)</v>
      </c>
      <c r="R1092" t="str">
        <f>INDEX('Partner data'!$A$2:$DG$171,MATCH(#REF!,'Partner data'!$DG$2:$DG$171,0),83)</f>
        <v xml:space="preserve">Organismo di diritto pubblico </v>
      </c>
      <c r="S1092" s="86" t="b">
        <f>IF(#REF!="staff",INDEX('Partner data'!$DG$2:$DH$171,MATCH(#REF!,'Partner data'!$DG$2:$DG$171,0),2))</f>
        <v>0</v>
      </c>
    </row>
    <row r="1093" spans="1:19" x14ac:dyDescent="0.25">
      <c r="A1093" t="s">
        <v>59</v>
      </c>
      <c r="B1093" t="s">
        <v>47</v>
      </c>
      <c r="C1093">
        <v>323</v>
      </c>
      <c r="D1093">
        <v>339</v>
      </c>
      <c r="E1093" t="s">
        <v>230</v>
      </c>
      <c r="F1093">
        <v>4</v>
      </c>
      <c r="G1093">
        <v>7925.75</v>
      </c>
      <c r="H1093">
        <v>1287.3</v>
      </c>
      <c r="I1093">
        <v>0</v>
      </c>
      <c r="J1093">
        <v>1096.0999999999999</v>
      </c>
      <c r="K1093">
        <v>0</v>
      </c>
      <c r="L1093">
        <v>1069.27</v>
      </c>
      <c r="M1093">
        <v>2383.4</v>
      </c>
      <c r="N1093">
        <v>30.07</v>
      </c>
      <c r="O1093">
        <v>5542.35</v>
      </c>
      <c r="P1093">
        <v>1284.52</v>
      </c>
      <c r="Q1093" t="str">
        <f>INDEX(pARTNER[#All],MATCH(#REF!,pARTNER[[#All],[Value.partnerSummary.id]],0),10)</f>
        <v>Italia (IT)</v>
      </c>
      <c r="R1093" t="str">
        <f>INDEX('Partner data'!$A$2:$DG$171,MATCH(#REF!,'Partner data'!$DG$2:$DG$171,0),83)</f>
        <v xml:space="preserve">Organismo di diritto pubblico </v>
      </c>
      <c r="S1093" s="86" t="b">
        <f>IF(#REF!="staff",INDEX('Partner data'!$DG$2:$DH$171,MATCH(#REF!,'Partner data'!$DG$2:$DG$171,0),2))</f>
        <v>0</v>
      </c>
    </row>
    <row r="1094" spans="1:19" x14ac:dyDescent="0.25">
      <c r="A1094" t="s">
        <v>59</v>
      </c>
      <c r="B1094" t="s">
        <v>47</v>
      </c>
      <c r="C1094">
        <v>323</v>
      </c>
      <c r="D1094">
        <v>339</v>
      </c>
      <c r="E1094" t="s">
        <v>231</v>
      </c>
      <c r="G1094">
        <v>167208.64000000001</v>
      </c>
      <c r="H1094">
        <v>2083.33</v>
      </c>
      <c r="I1094">
        <v>0</v>
      </c>
      <c r="J1094">
        <v>10416.65</v>
      </c>
      <c r="K1094">
        <v>0</v>
      </c>
      <c r="L1094">
        <v>2083.33</v>
      </c>
      <c r="M1094">
        <v>12499.98</v>
      </c>
      <c r="N1094">
        <v>7.48</v>
      </c>
      <c r="O1094">
        <v>154708.66</v>
      </c>
      <c r="P1094">
        <v>2083.33</v>
      </c>
      <c r="Q1094" t="str">
        <f>INDEX(pARTNER[#All],MATCH(#REF!,pARTNER[[#All],[Value.partnerSummary.id]],0),10)</f>
        <v>Italia (IT)</v>
      </c>
      <c r="R1094" t="str">
        <f>INDEX('Partner data'!$A$2:$DG$171,MATCH(#REF!,'Partner data'!$DG$2:$DG$171,0),83)</f>
        <v xml:space="preserve">Organismo di diritto pubblico </v>
      </c>
      <c r="S1094" s="86" t="b">
        <f>IF(#REF!="staff",INDEX('Partner data'!$DG$2:$DH$171,MATCH(#REF!,'Partner data'!$DG$2:$DG$171,0),2))</f>
        <v>0</v>
      </c>
    </row>
    <row r="1095" spans="1:19" x14ac:dyDescent="0.25">
      <c r="A1095" t="s">
        <v>59</v>
      </c>
      <c r="B1095" t="s">
        <v>47</v>
      </c>
      <c r="C1095">
        <v>323</v>
      </c>
      <c r="D1095">
        <v>339</v>
      </c>
      <c r="E1095" t="s">
        <v>232</v>
      </c>
      <c r="G1095">
        <v>127000</v>
      </c>
      <c r="H1095">
        <v>0</v>
      </c>
      <c r="I1095">
        <v>0</v>
      </c>
      <c r="J1095">
        <v>0</v>
      </c>
      <c r="K1095">
        <v>0</v>
      </c>
      <c r="L1095">
        <v>0</v>
      </c>
      <c r="M1095">
        <v>0</v>
      </c>
      <c r="N1095">
        <v>0</v>
      </c>
      <c r="O1095">
        <v>127000</v>
      </c>
      <c r="P1095">
        <v>0</v>
      </c>
      <c r="Q1095" t="str">
        <f>INDEX(pARTNER[#All],MATCH(#REF!,pARTNER[[#All],[Value.partnerSummary.id]],0),10)</f>
        <v>Italia (IT)</v>
      </c>
      <c r="R1095" t="str">
        <f>INDEX('Partner data'!$A$2:$DG$171,MATCH(#REF!,'Partner data'!$DG$2:$DG$171,0),83)</f>
        <v xml:space="preserve">Organismo di diritto pubblico </v>
      </c>
      <c r="S1095" s="86" t="b">
        <f>IF(#REF!="staff",INDEX('Partner data'!$DG$2:$DH$171,MATCH(#REF!,'Partner data'!$DG$2:$DG$171,0),2))</f>
        <v>0</v>
      </c>
    </row>
    <row r="1096" spans="1:19" x14ac:dyDescent="0.25">
      <c r="A1096" t="s">
        <v>59</v>
      </c>
      <c r="B1096" t="s">
        <v>47</v>
      </c>
      <c r="C1096">
        <v>323</v>
      </c>
      <c r="D1096">
        <v>339</v>
      </c>
      <c r="E1096" t="s">
        <v>233</v>
      </c>
      <c r="G1096">
        <v>0</v>
      </c>
      <c r="H1096">
        <v>0</v>
      </c>
      <c r="I1096">
        <v>0</v>
      </c>
      <c r="J1096">
        <v>0</v>
      </c>
      <c r="K1096">
        <v>0</v>
      </c>
      <c r="L1096">
        <v>0</v>
      </c>
      <c r="M1096">
        <v>0</v>
      </c>
      <c r="N1096">
        <v>0</v>
      </c>
      <c r="O1096">
        <v>0</v>
      </c>
      <c r="P1096">
        <v>0</v>
      </c>
      <c r="Q1096" t="str">
        <f>INDEX(pARTNER[#All],MATCH(#REF!,pARTNER[[#All],[Value.partnerSummary.id]],0),10)</f>
        <v>Italia (IT)</v>
      </c>
      <c r="R1096" t="str">
        <f>INDEX('Partner data'!$A$2:$DG$171,MATCH(#REF!,'Partner data'!$DG$2:$DG$171,0),83)</f>
        <v xml:space="preserve">Organismo di diritto pubblico </v>
      </c>
      <c r="S1096" s="86" t="b">
        <f>IF(#REF!="staff",INDEX('Partner data'!$DG$2:$DH$171,MATCH(#REF!,'Partner data'!$DG$2:$DG$171,0),2))</f>
        <v>0</v>
      </c>
    </row>
    <row r="1097" spans="1:19" x14ac:dyDescent="0.25">
      <c r="A1097" t="s">
        <v>59</v>
      </c>
      <c r="B1097" t="s">
        <v>47</v>
      </c>
      <c r="C1097">
        <v>323</v>
      </c>
      <c r="D1097">
        <v>339</v>
      </c>
      <c r="E1097" t="s">
        <v>234</v>
      </c>
      <c r="G1097">
        <v>0</v>
      </c>
      <c r="H1097">
        <v>0</v>
      </c>
      <c r="I1097">
        <v>0</v>
      </c>
      <c r="J1097">
        <v>0</v>
      </c>
      <c r="K1097">
        <v>0</v>
      </c>
      <c r="L1097">
        <v>0</v>
      </c>
      <c r="M1097">
        <v>0</v>
      </c>
      <c r="N1097">
        <v>0</v>
      </c>
      <c r="O1097">
        <v>0</v>
      </c>
      <c r="P1097">
        <v>0</v>
      </c>
      <c r="Q1097" t="str">
        <f>INDEX(pARTNER[#All],MATCH(#REF!,pARTNER[[#All],[Value.partnerSummary.id]],0),10)</f>
        <v>Italia (IT)</v>
      </c>
      <c r="R1097" t="str">
        <f>INDEX('Partner data'!$A$2:$DG$171,MATCH(#REF!,'Partner data'!$DG$2:$DG$171,0),83)</f>
        <v xml:space="preserve">Organismo di diritto pubblico </v>
      </c>
      <c r="S1097" s="86" t="b">
        <f>IF(#REF!="staff",INDEX('Partner data'!$DG$2:$DH$171,MATCH(#REF!,'Partner data'!$DG$2:$DG$171,0),2))</f>
        <v>0</v>
      </c>
    </row>
    <row r="1098" spans="1:19" x14ac:dyDescent="0.25">
      <c r="A1098" t="s">
        <v>59</v>
      </c>
      <c r="B1098" t="s">
        <v>47</v>
      </c>
      <c r="C1098">
        <v>323</v>
      </c>
      <c r="D1098">
        <v>339</v>
      </c>
      <c r="E1098" t="s">
        <v>235</v>
      </c>
      <c r="G1098">
        <v>0</v>
      </c>
      <c r="H1098">
        <v>0</v>
      </c>
      <c r="I1098">
        <v>0</v>
      </c>
      <c r="J1098">
        <v>0</v>
      </c>
      <c r="K1098">
        <v>0</v>
      </c>
      <c r="L1098">
        <v>0</v>
      </c>
      <c r="M1098">
        <v>0</v>
      </c>
      <c r="N1098">
        <v>0</v>
      </c>
      <c r="O1098">
        <v>0</v>
      </c>
      <c r="P1098">
        <v>0</v>
      </c>
      <c r="Q1098" t="str">
        <f>INDEX(pARTNER[#All],MATCH(#REF!,pARTNER[[#All],[Value.partnerSummary.id]],0),10)</f>
        <v>Italia (IT)</v>
      </c>
      <c r="R1098" t="str">
        <f>INDEX('Partner data'!$A$2:$DG$171,MATCH(#REF!,'Partner data'!$DG$2:$DG$171,0),83)</f>
        <v xml:space="preserve">Organismo di diritto pubblico </v>
      </c>
      <c r="S1098" s="86" t="b">
        <f>IF(#REF!="staff",INDEX('Partner data'!$DG$2:$DH$171,MATCH(#REF!,'Partner data'!$DG$2:$DG$171,0),2))</f>
        <v>0</v>
      </c>
    </row>
    <row r="1099" spans="1:19" x14ac:dyDescent="0.25">
      <c r="A1099" t="s">
        <v>59</v>
      </c>
      <c r="B1099" t="s">
        <v>47</v>
      </c>
      <c r="C1099">
        <v>323</v>
      </c>
      <c r="D1099">
        <v>339</v>
      </c>
      <c r="E1099" t="s">
        <v>236</v>
      </c>
      <c r="G1099">
        <v>0</v>
      </c>
      <c r="H1099">
        <v>0</v>
      </c>
      <c r="I1099">
        <v>0</v>
      </c>
      <c r="J1099">
        <v>0</v>
      </c>
      <c r="K1099">
        <v>0</v>
      </c>
      <c r="L1099">
        <v>0</v>
      </c>
      <c r="M1099">
        <v>0</v>
      </c>
      <c r="N1099">
        <v>0</v>
      </c>
      <c r="O1099">
        <v>0</v>
      </c>
      <c r="P1099">
        <v>0</v>
      </c>
      <c r="Q1099" t="str">
        <f>INDEX(pARTNER[#All],MATCH(#REF!,pARTNER[[#All],[Value.partnerSummary.id]],0),10)</f>
        <v>Italia (IT)</v>
      </c>
      <c r="R1099" t="str">
        <f>INDEX('Partner data'!$A$2:$DG$171,MATCH(#REF!,'Partner data'!$DG$2:$DG$171,0),83)</f>
        <v xml:space="preserve">Organismo di diritto pubblico </v>
      </c>
      <c r="S1099" s="86" t="b">
        <f>IF(#REF!="staff",INDEX('Partner data'!$DG$2:$DH$171,MATCH(#REF!,'Partner data'!$DG$2:$DG$171,0),2))</f>
        <v>0</v>
      </c>
    </row>
    <row r="1100" spans="1:19" x14ac:dyDescent="0.25">
      <c r="A1100" t="s">
        <v>59</v>
      </c>
      <c r="B1100" t="s">
        <v>47</v>
      </c>
      <c r="C1100">
        <v>323</v>
      </c>
      <c r="D1100">
        <v>339</v>
      </c>
      <c r="E1100" t="s">
        <v>237</v>
      </c>
      <c r="G1100">
        <v>0</v>
      </c>
      <c r="H1100">
        <v>0</v>
      </c>
      <c r="I1100">
        <v>0</v>
      </c>
      <c r="J1100">
        <v>0</v>
      </c>
      <c r="K1100">
        <v>0</v>
      </c>
      <c r="L1100">
        <v>0</v>
      </c>
      <c r="M1100">
        <v>0</v>
      </c>
      <c r="N1100">
        <v>0</v>
      </c>
      <c r="O1100">
        <v>0</v>
      </c>
      <c r="P1100">
        <v>0</v>
      </c>
      <c r="Q1100" t="str">
        <f>INDEX(pARTNER[#All],MATCH(#REF!,pARTNER[[#All],[Value.partnerSummary.id]],0),10)</f>
        <v>Italia (IT)</v>
      </c>
      <c r="R1100" t="str">
        <f>INDEX('Partner data'!$A$2:$DG$171,MATCH(#REF!,'Partner data'!$DG$2:$DG$171,0),83)</f>
        <v xml:space="preserve">Organismo di diritto pubblico </v>
      </c>
      <c r="S1100" s="86" t="b">
        <f>IF(#REF!="staff",INDEX('Partner data'!$DG$2:$DH$171,MATCH(#REF!,'Partner data'!$DG$2:$DG$171,0),2))</f>
        <v>0</v>
      </c>
    </row>
    <row r="1101" spans="1:19" x14ac:dyDescent="0.25">
      <c r="A1101" t="s">
        <v>59</v>
      </c>
      <c r="B1101" t="s">
        <v>47</v>
      </c>
      <c r="C1101">
        <v>323</v>
      </c>
      <c r="D1101">
        <v>339</v>
      </c>
      <c r="E1101" t="s">
        <v>238</v>
      </c>
      <c r="G1101">
        <v>529999.94999999995</v>
      </c>
      <c r="H1101">
        <v>40380.550000000003</v>
      </c>
      <c r="I1101">
        <v>0</v>
      </c>
      <c r="J1101">
        <v>43025.82</v>
      </c>
      <c r="K1101">
        <v>0</v>
      </c>
      <c r="L1101">
        <v>33894.14</v>
      </c>
      <c r="M1101">
        <v>83406.37</v>
      </c>
      <c r="N1101">
        <v>15.74</v>
      </c>
      <c r="O1101">
        <v>446593.58</v>
      </c>
      <c r="P1101">
        <v>40297.94</v>
      </c>
      <c r="Q1101" t="str">
        <f>INDEX(pARTNER[#All],MATCH(#REF!,pARTNER[[#All],[Value.partnerSummary.id]],0),10)</f>
        <v>Italia (IT)</v>
      </c>
      <c r="R1101" t="str">
        <f>INDEX('Partner data'!$A$2:$DG$171,MATCH(#REF!,'Partner data'!$DG$2:$DG$171,0),83)</f>
        <v xml:space="preserve">Organismo di diritto pubblico </v>
      </c>
      <c r="S1101" s="86" t="b">
        <f>IF(#REF!="staff",INDEX('Partner data'!$DG$2:$DH$171,MATCH(#REF!,'Partner data'!$DG$2:$DG$171,0),2))</f>
        <v>0</v>
      </c>
    </row>
    <row r="1102" spans="1:19" x14ac:dyDescent="0.25">
      <c r="A1102" t="s">
        <v>59</v>
      </c>
      <c r="B1102" t="s">
        <v>47</v>
      </c>
      <c r="C1102">
        <v>323</v>
      </c>
      <c r="D1102">
        <v>76</v>
      </c>
      <c r="E1102" t="s">
        <v>228</v>
      </c>
      <c r="G1102">
        <v>198143.97</v>
      </c>
      <c r="H1102">
        <v>0</v>
      </c>
      <c r="I1102">
        <v>0</v>
      </c>
      <c r="J1102">
        <v>32182.54</v>
      </c>
      <c r="K1102">
        <v>0</v>
      </c>
      <c r="L1102">
        <v>32113.13</v>
      </c>
      <c r="M1102">
        <v>32182.54</v>
      </c>
      <c r="N1102">
        <v>16.239999999999998</v>
      </c>
      <c r="O1102">
        <v>165961.43</v>
      </c>
      <c r="P1102">
        <v>0</v>
      </c>
      <c r="Q1102" t="str">
        <f>INDEX(pARTNER[#All],MATCH(#REF!,pARTNER[[#All],[Value.partnerSummary.id]],0),10)</f>
        <v>Italia (IT)</v>
      </c>
      <c r="R1102" t="str">
        <f>INDEX('Partner data'!$A$2:$DG$171,MATCH(#REF!,'Partner data'!$DG$2:$DG$171,0),83)</f>
        <v xml:space="preserve">Organismo di diritto pubblico </v>
      </c>
      <c r="S1102" s="86" t="str">
        <f>IF(#REF!="staff",INDEX('Partner data'!$DG$2:$DH$171,MATCH(#REF!,'Partner data'!$DG$2:$DG$171,0),2))</f>
        <v>COSTO REALE</v>
      </c>
    </row>
    <row r="1103" spans="1:19" x14ac:dyDescent="0.25">
      <c r="A1103" t="s">
        <v>59</v>
      </c>
      <c r="B1103" t="s">
        <v>47</v>
      </c>
      <c r="C1103">
        <v>323</v>
      </c>
      <c r="D1103">
        <v>76</v>
      </c>
      <c r="E1103" t="s">
        <v>229</v>
      </c>
      <c r="F1103">
        <v>15</v>
      </c>
      <c r="G1103">
        <v>29721.59</v>
      </c>
      <c r="H1103">
        <v>0</v>
      </c>
      <c r="I1103">
        <v>0</v>
      </c>
      <c r="J1103">
        <v>4827.38</v>
      </c>
      <c r="K1103">
        <v>0</v>
      </c>
      <c r="L1103">
        <v>4816.96</v>
      </c>
      <c r="M1103">
        <v>4827.38</v>
      </c>
      <c r="N1103">
        <v>16.239999999999998</v>
      </c>
      <c r="O1103">
        <v>24894.21</v>
      </c>
      <c r="P1103">
        <v>0</v>
      </c>
      <c r="Q1103" t="str">
        <f>INDEX(pARTNER[#All],MATCH(#REF!,pARTNER[[#All],[Value.partnerSummary.id]],0),10)</f>
        <v>Italia (IT)</v>
      </c>
      <c r="R1103" t="str">
        <f>INDEX('Partner data'!$A$2:$DG$171,MATCH(#REF!,'Partner data'!$DG$2:$DG$171,0),83)</f>
        <v xml:space="preserve">Organismo di diritto pubblico </v>
      </c>
      <c r="S1103" s="86" t="b">
        <f>IF(#REF!="staff",INDEX('Partner data'!$DG$2:$DH$171,MATCH(#REF!,'Partner data'!$DG$2:$DG$171,0),2))</f>
        <v>0</v>
      </c>
    </row>
    <row r="1104" spans="1:19" x14ac:dyDescent="0.25">
      <c r="A1104" t="s">
        <v>59</v>
      </c>
      <c r="B1104" t="s">
        <v>47</v>
      </c>
      <c r="C1104">
        <v>323</v>
      </c>
      <c r="D1104">
        <v>76</v>
      </c>
      <c r="E1104" t="s">
        <v>230</v>
      </c>
      <c r="F1104">
        <v>4</v>
      </c>
      <c r="G1104">
        <v>7925.75</v>
      </c>
      <c r="H1104">
        <v>0</v>
      </c>
      <c r="I1104">
        <v>0</v>
      </c>
      <c r="J1104">
        <v>1287.3</v>
      </c>
      <c r="K1104">
        <v>0</v>
      </c>
      <c r="L1104">
        <v>1284.52</v>
      </c>
      <c r="M1104">
        <v>1287.3</v>
      </c>
      <c r="N1104">
        <v>16.239999999999998</v>
      </c>
      <c r="O1104">
        <v>6638.45</v>
      </c>
      <c r="P1104">
        <v>0</v>
      </c>
      <c r="Q1104" t="str">
        <f>INDEX(pARTNER[#All],MATCH(#REF!,pARTNER[[#All],[Value.partnerSummary.id]],0),10)</f>
        <v>Italia (IT)</v>
      </c>
      <c r="R1104" t="str">
        <f>INDEX('Partner data'!$A$2:$DG$171,MATCH(#REF!,'Partner data'!$DG$2:$DG$171,0),83)</f>
        <v xml:space="preserve">Organismo di diritto pubblico </v>
      </c>
      <c r="S1104" s="86" t="b">
        <f>IF(#REF!="staff",INDEX('Partner data'!$DG$2:$DH$171,MATCH(#REF!,'Partner data'!$DG$2:$DG$171,0),2))</f>
        <v>0</v>
      </c>
    </row>
    <row r="1105" spans="1:19" x14ac:dyDescent="0.25">
      <c r="A1105" t="s">
        <v>59</v>
      </c>
      <c r="B1105" t="s">
        <v>47</v>
      </c>
      <c r="C1105">
        <v>323</v>
      </c>
      <c r="D1105">
        <v>76</v>
      </c>
      <c r="E1105" t="s">
        <v>231</v>
      </c>
      <c r="G1105">
        <v>167208.64000000001</v>
      </c>
      <c r="H1105">
        <v>0</v>
      </c>
      <c r="I1105">
        <v>0</v>
      </c>
      <c r="J1105">
        <v>2083.33</v>
      </c>
      <c r="K1105">
        <v>0</v>
      </c>
      <c r="L1105">
        <v>2083.33</v>
      </c>
      <c r="M1105">
        <v>2083.33</v>
      </c>
      <c r="N1105">
        <v>1.25</v>
      </c>
      <c r="O1105">
        <v>165125.31</v>
      </c>
      <c r="P1105">
        <v>0</v>
      </c>
      <c r="Q1105" t="str">
        <f>INDEX(pARTNER[#All],MATCH(#REF!,pARTNER[[#All],[Value.partnerSummary.id]],0),10)</f>
        <v>Italia (IT)</v>
      </c>
      <c r="R1105" t="str">
        <f>INDEX('Partner data'!$A$2:$DG$171,MATCH(#REF!,'Partner data'!$DG$2:$DG$171,0),83)</f>
        <v xml:space="preserve">Organismo di diritto pubblico </v>
      </c>
      <c r="S1105" s="86" t="b">
        <f>IF(#REF!="staff",INDEX('Partner data'!$DG$2:$DH$171,MATCH(#REF!,'Partner data'!$DG$2:$DG$171,0),2))</f>
        <v>0</v>
      </c>
    </row>
    <row r="1106" spans="1:19" x14ac:dyDescent="0.25">
      <c r="A1106" t="s">
        <v>59</v>
      </c>
      <c r="B1106" t="s">
        <v>47</v>
      </c>
      <c r="C1106">
        <v>323</v>
      </c>
      <c r="D1106">
        <v>76</v>
      </c>
      <c r="E1106" t="s">
        <v>232</v>
      </c>
      <c r="G1106">
        <v>127000</v>
      </c>
      <c r="H1106">
        <v>0</v>
      </c>
      <c r="I1106">
        <v>0</v>
      </c>
      <c r="J1106">
        <v>0</v>
      </c>
      <c r="K1106">
        <v>0</v>
      </c>
      <c r="L1106">
        <v>0</v>
      </c>
      <c r="M1106">
        <v>0</v>
      </c>
      <c r="N1106">
        <v>0</v>
      </c>
      <c r="O1106">
        <v>127000</v>
      </c>
      <c r="P1106">
        <v>0</v>
      </c>
      <c r="Q1106" t="str">
        <f>INDEX(pARTNER[#All],MATCH(#REF!,pARTNER[[#All],[Value.partnerSummary.id]],0),10)</f>
        <v>Italia (IT)</v>
      </c>
      <c r="R1106" t="str">
        <f>INDEX('Partner data'!$A$2:$DG$171,MATCH(#REF!,'Partner data'!$DG$2:$DG$171,0),83)</f>
        <v xml:space="preserve">Organismo di diritto pubblico </v>
      </c>
      <c r="S1106" s="86" t="b">
        <f>IF(#REF!="staff",INDEX('Partner data'!$DG$2:$DH$171,MATCH(#REF!,'Partner data'!$DG$2:$DG$171,0),2))</f>
        <v>0</v>
      </c>
    </row>
    <row r="1107" spans="1:19" x14ac:dyDescent="0.25">
      <c r="A1107" t="s">
        <v>59</v>
      </c>
      <c r="B1107" t="s">
        <v>47</v>
      </c>
      <c r="C1107">
        <v>323</v>
      </c>
      <c r="D1107">
        <v>76</v>
      </c>
      <c r="E1107" t="s">
        <v>233</v>
      </c>
      <c r="G1107">
        <v>0</v>
      </c>
      <c r="H1107">
        <v>0</v>
      </c>
      <c r="I1107">
        <v>0</v>
      </c>
      <c r="J1107">
        <v>0</v>
      </c>
      <c r="K1107">
        <v>0</v>
      </c>
      <c r="L1107">
        <v>0</v>
      </c>
      <c r="M1107">
        <v>0</v>
      </c>
      <c r="N1107">
        <v>0</v>
      </c>
      <c r="O1107">
        <v>0</v>
      </c>
      <c r="P1107">
        <v>0</v>
      </c>
      <c r="Q1107" t="str">
        <f>INDEX(pARTNER[#All],MATCH(#REF!,pARTNER[[#All],[Value.partnerSummary.id]],0),10)</f>
        <v>Italia (IT)</v>
      </c>
      <c r="R1107" t="str">
        <f>INDEX('Partner data'!$A$2:$DG$171,MATCH(#REF!,'Partner data'!$DG$2:$DG$171,0),83)</f>
        <v xml:space="preserve">Organismo di diritto pubblico </v>
      </c>
      <c r="S1107" s="86" t="b">
        <f>IF(#REF!="staff",INDEX('Partner data'!$DG$2:$DH$171,MATCH(#REF!,'Partner data'!$DG$2:$DG$171,0),2))</f>
        <v>0</v>
      </c>
    </row>
    <row r="1108" spans="1:19" x14ac:dyDescent="0.25">
      <c r="A1108" t="s">
        <v>59</v>
      </c>
      <c r="B1108" t="s">
        <v>47</v>
      </c>
      <c r="C1108">
        <v>323</v>
      </c>
      <c r="D1108">
        <v>76</v>
      </c>
      <c r="E1108" t="s">
        <v>234</v>
      </c>
      <c r="G1108">
        <v>0</v>
      </c>
      <c r="H1108">
        <v>0</v>
      </c>
      <c r="I1108">
        <v>0</v>
      </c>
      <c r="J1108">
        <v>0</v>
      </c>
      <c r="K1108">
        <v>0</v>
      </c>
      <c r="L1108">
        <v>0</v>
      </c>
      <c r="M1108">
        <v>0</v>
      </c>
      <c r="N1108">
        <v>0</v>
      </c>
      <c r="O1108">
        <v>0</v>
      </c>
      <c r="P1108">
        <v>0</v>
      </c>
      <c r="Q1108" t="str">
        <f>INDEX(pARTNER[#All],MATCH(#REF!,pARTNER[[#All],[Value.partnerSummary.id]],0),10)</f>
        <v>Italia (IT)</v>
      </c>
      <c r="R1108" t="str">
        <f>INDEX('Partner data'!$A$2:$DG$171,MATCH(#REF!,'Partner data'!$DG$2:$DG$171,0),83)</f>
        <v xml:space="preserve">Organismo di diritto pubblico </v>
      </c>
      <c r="S1108" s="86" t="b">
        <f>IF(#REF!="staff",INDEX('Partner data'!$DG$2:$DH$171,MATCH(#REF!,'Partner data'!$DG$2:$DG$171,0),2))</f>
        <v>0</v>
      </c>
    </row>
    <row r="1109" spans="1:19" x14ac:dyDescent="0.25">
      <c r="A1109" t="s">
        <v>59</v>
      </c>
      <c r="B1109" t="s">
        <v>47</v>
      </c>
      <c r="C1109">
        <v>323</v>
      </c>
      <c r="D1109">
        <v>76</v>
      </c>
      <c r="E1109" t="s">
        <v>235</v>
      </c>
      <c r="G1109">
        <v>0</v>
      </c>
      <c r="H1109">
        <v>0</v>
      </c>
      <c r="I1109">
        <v>0</v>
      </c>
      <c r="J1109">
        <v>0</v>
      </c>
      <c r="K1109">
        <v>0</v>
      </c>
      <c r="L1109">
        <v>0</v>
      </c>
      <c r="M1109">
        <v>0</v>
      </c>
      <c r="N1109">
        <v>0</v>
      </c>
      <c r="O1109">
        <v>0</v>
      </c>
      <c r="P1109">
        <v>0</v>
      </c>
      <c r="Q1109" t="str">
        <f>INDEX(pARTNER[#All],MATCH(#REF!,pARTNER[[#All],[Value.partnerSummary.id]],0),10)</f>
        <v>Italia (IT)</v>
      </c>
      <c r="R1109" t="str">
        <f>INDEX('Partner data'!$A$2:$DG$171,MATCH(#REF!,'Partner data'!$DG$2:$DG$171,0),83)</f>
        <v xml:space="preserve">Organismo di diritto pubblico </v>
      </c>
      <c r="S1109" s="86" t="b">
        <f>IF(#REF!="staff",INDEX('Partner data'!$DG$2:$DH$171,MATCH(#REF!,'Partner data'!$DG$2:$DG$171,0),2))</f>
        <v>0</v>
      </c>
    </row>
    <row r="1110" spans="1:19" x14ac:dyDescent="0.25">
      <c r="A1110" t="s">
        <v>59</v>
      </c>
      <c r="B1110" t="s">
        <v>47</v>
      </c>
      <c r="C1110">
        <v>323</v>
      </c>
      <c r="D1110">
        <v>76</v>
      </c>
      <c r="E1110" t="s">
        <v>236</v>
      </c>
      <c r="G1110">
        <v>0</v>
      </c>
      <c r="H1110">
        <v>0</v>
      </c>
      <c r="I1110">
        <v>0</v>
      </c>
      <c r="J1110">
        <v>0</v>
      </c>
      <c r="K1110">
        <v>0</v>
      </c>
      <c r="L1110">
        <v>0</v>
      </c>
      <c r="M1110">
        <v>0</v>
      </c>
      <c r="N1110">
        <v>0</v>
      </c>
      <c r="O1110">
        <v>0</v>
      </c>
      <c r="P1110">
        <v>0</v>
      </c>
      <c r="Q1110" t="str">
        <f>INDEX(pARTNER[#All],MATCH(#REF!,pARTNER[[#All],[Value.partnerSummary.id]],0),10)</f>
        <v>Italia (IT)</v>
      </c>
      <c r="R1110" t="str">
        <f>INDEX('Partner data'!$A$2:$DG$171,MATCH(#REF!,'Partner data'!$DG$2:$DG$171,0),83)</f>
        <v xml:space="preserve">Organismo di diritto pubblico </v>
      </c>
      <c r="S1110" s="86" t="b">
        <f>IF(#REF!="staff",INDEX('Partner data'!$DG$2:$DH$171,MATCH(#REF!,'Partner data'!$DG$2:$DG$171,0),2))</f>
        <v>0</v>
      </c>
    </row>
    <row r="1111" spans="1:19" x14ac:dyDescent="0.25">
      <c r="A1111" t="s">
        <v>59</v>
      </c>
      <c r="B1111" t="s">
        <v>47</v>
      </c>
      <c r="C1111">
        <v>323</v>
      </c>
      <c r="D1111">
        <v>76</v>
      </c>
      <c r="E1111" t="s">
        <v>237</v>
      </c>
      <c r="G1111">
        <v>0</v>
      </c>
      <c r="H1111">
        <v>0</v>
      </c>
      <c r="I1111">
        <v>0</v>
      </c>
      <c r="J1111">
        <v>0</v>
      </c>
      <c r="K1111">
        <v>0</v>
      </c>
      <c r="L1111">
        <v>0</v>
      </c>
      <c r="M1111">
        <v>0</v>
      </c>
      <c r="N1111">
        <v>0</v>
      </c>
      <c r="O1111">
        <v>0</v>
      </c>
      <c r="P1111">
        <v>0</v>
      </c>
      <c r="Q1111" t="str">
        <f>INDEX(pARTNER[#All],MATCH(#REF!,pARTNER[[#All],[Value.partnerSummary.id]],0),10)</f>
        <v>Italia (IT)</v>
      </c>
      <c r="R1111" t="str">
        <f>INDEX('Partner data'!$A$2:$DG$171,MATCH(#REF!,'Partner data'!$DG$2:$DG$171,0),83)</f>
        <v xml:space="preserve">Organismo di diritto pubblico </v>
      </c>
      <c r="S1111" s="86" t="b">
        <f>IF(#REF!="staff",INDEX('Partner data'!$DG$2:$DH$171,MATCH(#REF!,'Partner data'!$DG$2:$DG$171,0),2))</f>
        <v>0</v>
      </c>
    </row>
    <row r="1112" spans="1:19" x14ac:dyDescent="0.25">
      <c r="A1112" t="s">
        <v>59</v>
      </c>
      <c r="B1112" t="s">
        <v>47</v>
      </c>
      <c r="C1112">
        <v>323</v>
      </c>
      <c r="D1112">
        <v>76</v>
      </c>
      <c r="E1112" t="s">
        <v>238</v>
      </c>
      <c r="G1112">
        <v>529999.94999999995</v>
      </c>
      <c r="H1112">
        <v>0</v>
      </c>
      <c r="I1112">
        <v>0</v>
      </c>
      <c r="J1112">
        <v>40380.550000000003</v>
      </c>
      <c r="K1112">
        <v>0</v>
      </c>
      <c r="L1112">
        <v>40297.94</v>
      </c>
      <c r="M1112">
        <v>40380.550000000003</v>
      </c>
      <c r="N1112">
        <v>7.62</v>
      </c>
      <c r="O1112">
        <v>489619.4</v>
      </c>
      <c r="P1112">
        <v>0</v>
      </c>
      <c r="Q1112" t="str">
        <f>INDEX(pARTNER[#All],MATCH(#REF!,pARTNER[[#All],[Value.partnerSummary.id]],0),10)</f>
        <v>Italia (IT)</v>
      </c>
      <c r="R1112" t="str">
        <f>INDEX('Partner data'!$A$2:$DG$171,MATCH(#REF!,'Partner data'!$DG$2:$DG$171,0),83)</f>
        <v xml:space="preserve">Organismo di diritto pubblico </v>
      </c>
      <c r="S1112" s="86" t="b">
        <f>IF(#REF!="staff",INDEX('Partner data'!$DG$2:$DH$171,MATCH(#REF!,'Partner data'!$DG$2:$DG$171,0),2))</f>
        <v>0</v>
      </c>
    </row>
    <row r="1113" spans="1:19" x14ac:dyDescent="0.25">
      <c r="A1113" t="s">
        <v>59</v>
      </c>
      <c r="B1113" t="s">
        <v>44</v>
      </c>
      <c r="C1113">
        <v>326</v>
      </c>
      <c r="D1113">
        <v>324</v>
      </c>
      <c r="E1113" t="s">
        <v>228</v>
      </c>
      <c r="G1113">
        <v>128574.11</v>
      </c>
      <c r="H1113">
        <v>12886.9</v>
      </c>
      <c r="I1113">
        <v>0</v>
      </c>
      <c r="J1113">
        <v>15159.39</v>
      </c>
      <c r="K1113">
        <v>0</v>
      </c>
      <c r="L1113">
        <v>15159.39</v>
      </c>
      <c r="M1113">
        <v>28046.29</v>
      </c>
      <c r="N1113">
        <v>21.81</v>
      </c>
      <c r="O1113">
        <v>100527.82</v>
      </c>
      <c r="P1113">
        <v>12886.9</v>
      </c>
      <c r="Q1113" t="str">
        <f>INDEX(pARTNER[#All],MATCH(#REF!,pARTNER[[#All],[Value.partnerSummary.id]],0),10)</f>
        <v>Italia (IT)</v>
      </c>
      <c r="R1113" t="str">
        <f>INDEX('Partner data'!$A$2:$DG$171,MATCH(#REF!,'Partner data'!$DG$2:$DG$171,0),83)</f>
        <v>Soggetto pubblico</v>
      </c>
      <c r="S1113" s="86" t="str">
        <f>IF(#REF!="staff",INDEX('Partner data'!$DG$2:$DH$171,MATCH(#REF!,'Partner data'!$DG$2:$DG$171,0),2))</f>
        <v>COSTO REALE</v>
      </c>
    </row>
    <row r="1114" spans="1:19" x14ac:dyDescent="0.25">
      <c r="A1114" t="s">
        <v>59</v>
      </c>
      <c r="B1114" t="s">
        <v>44</v>
      </c>
      <c r="C1114">
        <v>326</v>
      </c>
      <c r="D1114">
        <v>324</v>
      </c>
      <c r="E1114" t="s">
        <v>229</v>
      </c>
      <c r="G1114">
        <v>0</v>
      </c>
      <c r="H1114">
        <v>0</v>
      </c>
      <c r="I1114">
        <v>0</v>
      </c>
      <c r="J1114">
        <v>0</v>
      </c>
      <c r="K1114">
        <v>0</v>
      </c>
      <c r="L1114">
        <v>0</v>
      </c>
      <c r="M1114">
        <v>0</v>
      </c>
      <c r="N1114">
        <v>0</v>
      </c>
      <c r="O1114">
        <v>0</v>
      </c>
      <c r="P1114">
        <v>0</v>
      </c>
      <c r="Q1114" t="str">
        <f>INDEX(pARTNER[#All],MATCH(#REF!,pARTNER[[#All],[Value.partnerSummary.id]],0),10)</f>
        <v>Italia (IT)</v>
      </c>
      <c r="R1114" t="str">
        <f>INDEX('Partner data'!$A$2:$DG$171,MATCH(#REF!,'Partner data'!$DG$2:$DG$171,0),83)</f>
        <v>Soggetto pubblico</v>
      </c>
      <c r="S1114" s="86" t="b">
        <f>IF(#REF!="staff",INDEX('Partner data'!$DG$2:$DH$171,MATCH(#REF!,'Partner data'!$DG$2:$DG$171,0),2))</f>
        <v>0</v>
      </c>
    </row>
    <row r="1115" spans="1:19" x14ac:dyDescent="0.25">
      <c r="A1115" t="s">
        <v>59</v>
      </c>
      <c r="B1115" t="s">
        <v>44</v>
      </c>
      <c r="C1115">
        <v>326</v>
      </c>
      <c r="D1115">
        <v>324</v>
      </c>
      <c r="E1115" t="s">
        <v>230</v>
      </c>
      <c r="G1115">
        <v>0</v>
      </c>
      <c r="H1115">
        <v>0</v>
      </c>
      <c r="I1115">
        <v>0</v>
      </c>
      <c r="J1115">
        <v>0</v>
      </c>
      <c r="K1115">
        <v>0</v>
      </c>
      <c r="L1115">
        <v>0</v>
      </c>
      <c r="M1115">
        <v>0</v>
      </c>
      <c r="N1115">
        <v>0</v>
      </c>
      <c r="O1115">
        <v>0</v>
      </c>
      <c r="P1115">
        <v>0</v>
      </c>
      <c r="Q1115" t="str">
        <f>INDEX(pARTNER[#All],MATCH(#REF!,pARTNER[[#All],[Value.partnerSummary.id]],0),10)</f>
        <v>Italia (IT)</v>
      </c>
      <c r="R1115" t="str">
        <f>INDEX('Partner data'!$A$2:$DG$171,MATCH(#REF!,'Partner data'!$DG$2:$DG$171,0),83)</f>
        <v>Soggetto pubblico</v>
      </c>
      <c r="S1115" s="86" t="b">
        <f>IF(#REF!="staff",INDEX('Partner data'!$DG$2:$DH$171,MATCH(#REF!,'Partner data'!$DG$2:$DG$171,0),2))</f>
        <v>0</v>
      </c>
    </row>
    <row r="1116" spans="1:19" x14ac:dyDescent="0.25">
      <c r="A1116" t="s">
        <v>59</v>
      </c>
      <c r="B1116" t="s">
        <v>44</v>
      </c>
      <c r="C1116">
        <v>326</v>
      </c>
      <c r="D1116">
        <v>324</v>
      </c>
      <c r="E1116" t="s">
        <v>231</v>
      </c>
      <c r="G1116">
        <v>0</v>
      </c>
      <c r="H1116">
        <v>0</v>
      </c>
      <c r="I1116">
        <v>0</v>
      </c>
      <c r="J1116">
        <v>0</v>
      </c>
      <c r="K1116">
        <v>0</v>
      </c>
      <c r="L1116">
        <v>0</v>
      </c>
      <c r="M1116">
        <v>0</v>
      </c>
      <c r="N1116">
        <v>0</v>
      </c>
      <c r="O1116">
        <v>0</v>
      </c>
      <c r="P1116">
        <v>0</v>
      </c>
      <c r="Q1116" t="str">
        <f>INDEX(pARTNER[#All],MATCH(#REF!,pARTNER[[#All],[Value.partnerSummary.id]],0),10)</f>
        <v>Italia (IT)</v>
      </c>
      <c r="R1116" t="str">
        <f>INDEX('Partner data'!$A$2:$DG$171,MATCH(#REF!,'Partner data'!$DG$2:$DG$171,0),83)</f>
        <v>Soggetto pubblico</v>
      </c>
      <c r="S1116" s="86" t="b">
        <f>IF(#REF!="staff",INDEX('Partner data'!$DG$2:$DH$171,MATCH(#REF!,'Partner data'!$DG$2:$DG$171,0),2))</f>
        <v>0</v>
      </c>
    </row>
    <row r="1117" spans="1:19" x14ac:dyDescent="0.25">
      <c r="A1117" t="s">
        <v>59</v>
      </c>
      <c r="B1117" t="s">
        <v>44</v>
      </c>
      <c r="C1117">
        <v>326</v>
      </c>
      <c r="D1117">
        <v>324</v>
      </c>
      <c r="E1117" t="s">
        <v>232</v>
      </c>
      <c r="G1117">
        <v>0</v>
      </c>
      <c r="H1117">
        <v>0</v>
      </c>
      <c r="I1117">
        <v>0</v>
      </c>
      <c r="J1117">
        <v>0</v>
      </c>
      <c r="K1117">
        <v>0</v>
      </c>
      <c r="L1117">
        <v>0</v>
      </c>
      <c r="M1117">
        <v>0</v>
      </c>
      <c r="N1117">
        <v>0</v>
      </c>
      <c r="O1117">
        <v>0</v>
      </c>
      <c r="P1117">
        <v>0</v>
      </c>
      <c r="Q1117" t="str">
        <f>INDEX(pARTNER[#All],MATCH(#REF!,pARTNER[[#All],[Value.partnerSummary.id]],0),10)</f>
        <v>Italia (IT)</v>
      </c>
      <c r="R1117" t="str">
        <f>INDEX('Partner data'!$A$2:$DG$171,MATCH(#REF!,'Partner data'!$DG$2:$DG$171,0),83)</f>
        <v>Soggetto pubblico</v>
      </c>
      <c r="S1117" s="86" t="b">
        <f>IF(#REF!="staff",INDEX('Partner data'!$DG$2:$DH$171,MATCH(#REF!,'Partner data'!$DG$2:$DG$171,0),2))</f>
        <v>0</v>
      </c>
    </row>
    <row r="1118" spans="1:19" x14ac:dyDescent="0.25">
      <c r="A1118" t="s">
        <v>59</v>
      </c>
      <c r="B1118" t="s">
        <v>44</v>
      </c>
      <c r="C1118">
        <v>326</v>
      </c>
      <c r="D1118">
        <v>324</v>
      </c>
      <c r="E1118" t="s">
        <v>233</v>
      </c>
      <c r="G1118">
        <v>0</v>
      </c>
      <c r="H1118">
        <v>0</v>
      </c>
      <c r="I1118">
        <v>0</v>
      </c>
      <c r="J1118">
        <v>0</v>
      </c>
      <c r="K1118">
        <v>0</v>
      </c>
      <c r="L1118">
        <v>0</v>
      </c>
      <c r="M1118">
        <v>0</v>
      </c>
      <c r="N1118">
        <v>0</v>
      </c>
      <c r="O1118">
        <v>0</v>
      </c>
      <c r="P1118">
        <v>0</v>
      </c>
      <c r="Q1118" t="str">
        <f>INDEX(pARTNER[#All],MATCH(#REF!,pARTNER[[#All],[Value.partnerSummary.id]],0),10)</f>
        <v>Italia (IT)</v>
      </c>
      <c r="R1118" t="str">
        <f>INDEX('Partner data'!$A$2:$DG$171,MATCH(#REF!,'Partner data'!$DG$2:$DG$171,0),83)</f>
        <v>Soggetto pubblico</v>
      </c>
      <c r="S1118" s="86" t="b">
        <f>IF(#REF!="staff",INDEX('Partner data'!$DG$2:$DH$171,MATCH(#REF!,'Partner data'!$DG$2:$DG$171,0),2))</f>
        <v>0</v>
      </c>
    </row>
    <row r="1119" spans="1:19" x14ac:dyDescent="0.25">
      <c r="A1119" t="s">
        <v>59</v>
      </c>
      <c r="B1119" t="s">
        <v>44</v>
      </c>
      <c r="C1119">
        <v>326</v>
      </c>
      <c r="D1119">
        <v>324</v>
      </c>
      <c r="E1119" t="s">
        <v>234</v>
      </c>
      <c r="F1119">
        <v>40</v>
      </c>
      <c r="G1119">
        <v>51429.64</v>
      </c>
      <c r="H1119">
        <v>5154.76</v>
      </c>
      <c r="I1119">
        <v>0</v>
      </c>
      <c r="J1119">
        <v>6063.75</v>
      </c>
      <c r="K1119">
        <v>0</v>
      </c>
      <c r="L1119">
        <v>6063.75</v>
      </c>
      <c r="M1119">
        <v>11218.51</v>
      </c>
      <c r="N1119">
        <v>21.81</v>
      </c>
      <c r="O1119">
        <v>40211.129999999997</v>
      </c>
      <c r="P1119">
        <v>5154.76</v>
      </c>
      <c r="Q1119" t="str">
        <f>INDEX(pARTNER[#All],MATCH(#REF!,pARTNER[[#All],[Value.partnerSummary.id]],0),10)</f>
        <v>Italia (IT)</v>
      </c>
      <c r="R1119" t="str">
        <f>INDEX('Partner data'!$A$2:$DG$171,MATCH(#REF!,'Partner data'!$DG$2:$DG$171,0),83)</f>
        <v>Soggetto pubblico</v>
      </c>
      <c r="S1119" s="86" t="b">
        <f>IF(#REF!="staff",INDEX('Partner data'!$DG$2:$DH$171,MATCH(#REF!,'Partner data'!$DG$2:$DG$171,0),2))</f>
        <v>0</v>
      </c>
    </row>
    <row r="1120" spans="1:19" x14ac:dyDescent="0.25">
      <c r="A1120" t="s">
        <v>59</v>
      </c>
      <c r="B1120" t="s">
        <v>44</v>
      </c>
      <c r="C1120">
        <v>326</v>
      </c>
      <c r="D1120">
        <v>324</v>
      </c>
      <c r="E1120" t="s">
        <v>235</v>
      </c>
      <c r="G1120">
        <v>0</v>
      </c>
      <c r="H1120">
        <v>0</v>
      </c>
      <c r="I1120">
        <v>0</v>
      </c>
      <c r="J1120">
        <v>0</v>
      </c>
      <c r="K1120">
        <v>0</v>
      </c>
      <c r="L1120">
        <v>0</v>
      </c>
      <c r="M1120">
        <v>0</v>
      </c>
      <c r="N1120">
        <v>0</v>
      </c>
      <c r="O1120">
        <v>0</v>
      </c>
      <c r="P1120">
        <v>0</v>
      </c>
      <c r="Q1120" t="str">
        <f>INDEX(pARTNER[#All],MATCH(#REF!,pARTNER[[#All],[Value.partnerSummary.id]],0),10)</f>
        <v>Italia (IT)</v>
      </c>
      <c r="R1120" t="str">
        <f>INDEX('Partner data'!$A$2:$DG$171,MATCH(#REF!,'Partner data'!$DG$2:$DG$171,0),83)</f>
        <v>Soggetto pubblico</v>
      </c>
      <c r="S1120" s="86" t="b">
        <f>IF(#REF!="staff",INDEX('Partner data'!$DG$2:$DH$171,MATCH(#REF!,'Partner data'!$DG$2:$DG$171,0),2))</f>
        <v>0</v>
      </c>
    </row>
    <row r="1121" spans="1:19" x14ac:dyDescent="0.25">
      <c r="A1121" t="s">
        <v>59</v>
      </c>
      <c r="B1121" t="s">
        <v>44</v>
      </c>
      <c r="C1121">
        <v>326</v>
      </c>
      <c r="D1121">
        <v>324</v>
      </c>
      <c r="E1121" t="s">
        <v>236</v>
      </c>
      <c r="G1121">
        <v>0</v>
      </c>
      <c r="H1121">
        <v>0</v>
      </c>
      <c r="I1121">
        <v>0</v>
      </c>
      <c r="J1121">
        <v>0</v>
      </c>
      <c r="K1121">
        <v>0</v>
      </c>
      <c r="L1121">
        <v>0</v>
      </c>
      <c r="M1121">
        <v>0</v>
      </c>
      <c r="N1121">
        <v>0</v>
      </c>
      <c r="O1121">
        <v>0</v>
      </c>
      <c r="P1121">
        <v>0</v>
      </c>
      <c r="Q1121" t="str">
        <f>INDEX(pARTNER[#All],MATCH(#REF!,pARTNER[[#All],[Value.partnerSummary.id]],0),10)</f>
        <v>Italia (IT)</v>
      </c>
      <c r="R1121" t="str">
        <f>INDEX('Partner data'!$A$2:$DG$171,MATCH(#REF!,'Partner data'!$DG$2:$DG$171,0),83)</f>
        <v>Soggetto pubblico</v>
      </c>
      <c r="S1121" s="86" t="b">
        <f>IF(#REF!="staff",INDEX('Partner data'!$DG$2:$DH$171,MATCH(#REF!,'Partner data'!$DG$2:$DG$171,0),2))</f>
        <v>0</v>
      </c>
    </row>
    <row r="1122" spans="1:19" x14ac:dyDescent="0.25">
      <c r="A1122" t="s">
        <v>59</v>
      </c>
      <c r="B1122" t="s">
        <v>44</v>
      </c>
      <c r="C1122">
        <v>326</v>
      </c>
      <c r="D1122">
        <v>324</v>
      </c>
      <c r="E1122" t="s">
        <v>237</v>
      </c>
      <c r="G1122">
        <v>0</v>
      </c>
      <c r="H1122">
        <v>0</v>
      </c>
      <c r="I1122">
        <v>0</v>
      </c>
      <c r="J1122">
        <v>0</v>
      </c>
      <c r="K1122">
        <v>0</v>
      </c>
      <c r="L1122">
        <v>0</v>
      </c>
      <c r="M1122">
        <v>0</v>
      </c>
      <c r="N1122">
        <v>0</v>
      </c>
      <c r="O1122">
        <v>0</v>
      </c>
      <c r="P1122">
        <v>0</v>
      </c>
      <c r="Q1122" t="str">
        <f>INDEX(pARTNER[#All],MATCH(#REF!,pARTNER[[#All],[Value.partnerSummary.id]],0),10)</f>
        <v>Italia (IT)</v>
      </c>
      <c r="R1122" t="str">
        <f>INDEX('Partner data'!$A$2:$DG$171,MATCH(#REF!,'Partner data'!$DG$2:$DG$171,0),83)</f>
        <v>Soggetto pubblico</v>
      </c>
      <c r="S1122" s="86" t="b">
        <f>IF(#REF!="staff",INDEX('Partner data'!$DG$2:$DH$171,MATCH(#REF!,'Partner data'!$DG$2:$DG$171,0),2))</f>
        <v>0</v>
      </c>
    </row>
    <row r="1123" spans="1:19" x14ac:dyDescent="0.25">
      <c r="A1123" t="s">
        <v>59</v>
      </c>
      <c r="B1123" t="s">
        <v>44</v>
      </c>
      <c r="C1123">
        <v>326</v>
      </c>
      <c r="D1123">
        <v>324</v>
      </c>
      <c r="E1123" t="s">
        <v>238</v>
      </c>
      <c r="G1123">
        <v>180003.75</v>
      </c>
      <c r="H1123">
        <v>18041.66</v>
      </c>
      <c r="I1123">
        <v>0</v>
      </c>
      <c r="J1123">
        <v>21223.14</v>
      </c>
      <c r="K1123">
        <v>0</v>
      </c>
      <c r="L1123">
        <v>21223.14</v>
      </c>
      <c r="M1123">
        <v>39264.800000000003</v>
      </c>
      <c r="N1123">
        <v>21.81</v>
      </c>
      <c r="O1123">
        <v>140738.95000000001</v>
      </c>
      <c r="P1123">
        <v>18041.66</v>
      </c>
      <c r="Q1123" t="str">
        <f>INDEX(pARTNER[#All],MATCH(#REF!,pARTNER[[#All],[Value.partnerSummary.id]],0),10)</f>
        <v>Italia (IT)</v>
      </c>
      <c r="R1123" t="str">
        <f>INDEX('Partner data'!$A$2:$DG$171,MATCH(#REF!,'Partner data'!$DG$2:$DG$171,0),83)</f>
        <v>Soggetto pubblico</v>
      </c>
      <c r="S1123" s="86" t="b">
        <f>IF(#REF!="staff",INDEX('Partner data'!$DG$2:$DH$171,MATCH(#REF!,'Partner data'!$DG$2:$DG$171,0),2))</f>
        <v>0</v>
      </c>
    </row>
    <row r="1124" spans="1:19" x14ac:dyDescent="0.25">
      <c r="A1124" t="s">
        <v>59</v>
      </c>
      <c r="B1124" t="s">
        <v>44</v>
      </c>
      <c r="C1124">
        <v>326</v>
      </c>
      <c r="D1124">
        <v>95</v>
      </c>
      <c r="E1124" t="s">
        <v>228</v>
      </c>
      <c r="G1124">
        <v>128574.11</v>
      </c>
      <c r="H1124">
        <v>0</v>
      </c>
      <c r="I1124">
        <v>0</v>
      </c>
      <c r="J1124">
        <v>12886.9</v>
      </c>
      <c r="K1124">
        <v>0</v>
      </c>
      <c r="L1124">
        <v>12886.9</v>
      </c>
      <c r="M1124">
        <v>12886.9</v>
      </c>
      <c r="N1124">
        <v>10.02</v>
      </c>
      <c r="O1124">
        <v>115687.21</v>
      </c>
      <c r="P1124">
        <v>0</v>
      </c>
      <c r="Q1124" t="str">
        <f>INDEX(pARTNER[#All],MATCH(#REF!,pARTNER[[#All],[Value.partnerSummary.id]],0),10)</f>
        <v>Italia (IT)</v>
      </c>
      <c r="R1124" t="str">
        <f>INDEX('Partner data'!$A$2:$DG$171,MATCH(#REF!,'Partner data'!$DG$2:$DG$171,0),83)</f>
        <v>Soggetto pubblico</v>
      </c>
      <c r="S1124" s="86" t="str">
        <f>IF(#REF!="staff",INDEX('Partner data'!$DG$2:$DH$171,MATCH(#REF!,'Partner data'!$DG$2:$DG$171,0),2))</f>
        <v>COSTO REALE</v>
      </c>
    </row>
    <row r="1125" spans="1:19" x14ac:dyDescent="0.25">
      <c r="A1125" t="s">
        <v>59</v>
      </c>
      <c r="B1125" t="s">
        <v>44</v>
      </c>
      <c r="C1125">
        <v>326</v>
      </c>
      <c r="D1125">
        <v>95</v>
      </c>
      <c r="E1125" t="s">
        <v>229</v>
      </c>
      <c r="G1125">
        <v>0</v>
      </c>
      <c r="H1125">
        <v>0</v>
      </c>
      <c r="I1125">
        <v>0</v>
      </c>
      <c r="J1125">
        <v>0</v>
      </c>
      <c r="K1125">
        <v>0</v>
      </c>
      <c r="L1125">
        <v>0</v>
      </c>
      <c r="M1125">
        <v>0</v>
      </c>
      <c r="N1125">
        <v>0</v>
      </c>
      <c r="O1125">
        <v>0</v>
      </c>
      <c r="P1125">
        <v>0</v>
      </c>
      <c r="Q1125" t="str">
        <f>INDEX(pARTNER[#All],MATCH(#REF!,pARTNER[[#All],[Value.partnerSummary.id]],0),10)</f>
        <v>Italia (IT)</v>
      </c>
      <c r="R1125" t="str">
        <f>INDEX('Partner data'!$A$2:$DG$171,MATCH(#REF!,'Partner data'!$DG$2:$DG$171,0),83)</f>
        <v>Soggetto pubblico</v>
      </c>
      <c r="S1125" s="86" t="b">
        <f>IF(#REF!="staff",INDEX('Partner data'!$DG$2:$DH$171,MATCH(#REF!,'Partner data'!$DG$2:$DG$171,0),2))</f>
        <v>0</v>
      </c>
    </row>
    <row r="1126" spans="1:19" x14ac:dyDescent="0.25">
      <c r="A1126" t="s">
        <v>59</v>
      </c>
      <c r="B1126" t="s">
        <v>44</v>
      </c>
      <c r="C1126">
        <v>326</v>
      </c>
      <c r="D1126">
        <v>95</v>
      </c>
      <c r="E1126" t="s">
        <v>230</v>
      </c>
      <c r="G1126">
        <v>0</v>
      </c>
      <c r="H1126">
        <v>0</v>
      </c>
      <c r="I1126">
        <v>0</v>
      </c>
      <c r="J1126">
        <v>0</v>
      </c>
      <c r="K1126">
        <v>0</v>
      </c>
      <c r="L1126">
        <v>0</v>
      </c>
      <c r="M1126">
        <v>0</v>
      </c>
      <c r="N1126">
        <v>0</v>
      </c>
      <c r="O1126">
        <v>0</v>
      </c>
      <c r="P1126">
        <v>0</v>
      </c>
      <c r="Q1126" t="str">
        <f>INDEX(pARTNER[#All],MATCH(#REF!,pARTNER[[#All],[Value.partnerSummary.id]],0),10)</f>
        <v>Italia (IT)</v>
      </c>
      <c r="R1126" t="str">
        <f>INDEX('Partner data'!$A$2:$DG$171,MATCH(#REF!,'Partner data'!$DG$2:$DG$171,0),83)</f>
        <v>Soggetto pubblico</v>
      </c>
      <c r="S1126" s="86" t="b">
        <f>IF(#REF!="staff",INDEX('Partner data'!$DG$2:$DH$171,MATCH(#REF!,'Partner data'!$DG$2:$DG$171,0),2))</f>
        <v>0</v>
      </c>
    </row>
    <row r="1127" spans="1:19" x14ac:dyDescent="0.25">
      <c r="A1127" t="s">
        <v>59</v>
      </c>
      <c r="B1127" t="s">
        <v>44</v>
      </c>
      <c r="C1127">
        <v>326</v>
      </c>
      <c r="D1127">
        <v>95</v>
      </c>
      <c r="E1127" t="s">
        <v>231</v>
      </c>
      <c r="G1127">
        <v>0</v>
      </c>
      <c r="H1127">
        <v>0</v>
      </c>
      <c r="I1127">
        <v>0</v>
      </c>
      <c r="J1127">
        <v>0</v>
      </c>
      <c r="K1127">
        <v>0</v>
      </c>
      <c r="L1127">
        <v>0</v>
      </c>
      <c r="M1127">
        <v>0</v>
      </c>
      <c r="N1127">
        <v>0</v>
      </c>
      <c r="O1127">
        <v>0</v>
      </c>
      <c r="P1127">
        <v>0</v>
      </c>
      <c r="Q1127" t="str">
        <f>INDEX(pARTNER[#All],MATCH(#REF!,pARTNER[[#All],[Value.partnerSummary.id]],0),10)</f>
        <v>Italia (IT)</v>
      </c>
      <c r="R1127" t="str">
        <f>INDEX('Partner data'!$A$2:$DG$171,MATCH(#REF!,'Partner data'!$DG$2:$DG$171,0),83)</f>
        <v>Soggetto pubblico</v>
      </c>
      <c r="S1127" s="86" t="b">
        <f>IF(#REF!="staff",INDEX('Partner data'!$DG$2:$DH$171,MATCH(#REF!,'Partner data'!$DG$2:$DG$171,0),2))</f>
        <v>0</v>
      </c>
    </row>
    <row r="1128" spans="1:19" x14ac:dyDescent="0.25">
      <c r="A1128" t="s">
        <v>59</v>
      </c>
      <c r="B1128" t="s">
        <v>44</v>
      </c>
      <c r="C1128">
        <v>326</v>
      </c>
      <c r="D1128">
        <v>95</v>
      </c>
      <c r="E1128" t="s">
        <v>232</v>
      </c>
      <c r="G1128">
        <v>0</v>
      </c>
      <c r="H1128">
        <v>0</v>
      </c>
      <c r="I1128">
        <v>0</v>
      </c>
      <c r="J1128">
        <v>0</v>
      </c>
      <c r="K1128">
        <v>0</v>
      </c>
      <c r="L1128">
        <v>0</v>
      </c>
      <c r="M1128">
        <v>0</v>
      </c>
      <c r="N1128">
        <v>0</v>
      </c>
      <c r="O1128">
        <v>0</v>
      </c>
      <c r="P1128">
        <v>0</v>
      </c>
      <c r="Q1128" t="str">
        <f>INDEX(pARTNER[#All],MATCH(#REF!,pARTNER[[#All],[Value.partnerSummary.id]],0),10)</f>
        <v>Italia (IT)</v>
      </c>
      <c r="R1128" t="str">
        <f>INDEX('Partner data'!$A$2:$DG$171,MATCH(#REF!,'Partner data'!$DG$2:$DG$171,0),83)</f>
        <v>Soggetto pubblico</v>
      </c>
      <c r="S1128" s="86" t="b">
        <f>IF(#REF!="staff",INDEX('Partner data'!$DG$2:$DH$171,MATCH(#REF!,'Partner data'!$DG$2:$DG$171,0),2))</f>
        <v>0</v>
      </c>
    </row>
    <row r="1129" spans="1:19" x14ac:dyDescent="0.25">
      <c r="A1129" t="s">
        <v>59</v>
      </c>
      <c r="B1129" t="s">
        <v>44</v>
      </c>
      <c r="C1129">
        <v>326</v>
      </c>
      <c r="D1129">
        <v>95</v>
      </c>
      <c r="E1129" t="s">
        <v>233</v>
      </c>
      <c r="G1129">
        <v>0</v>
      </c>
      <c r="H1129">
        <v>0</v>
      </c>
      <c r="I1129">
        <v>0</v>
      </c>
      <c r="J1129">
        <v>0</v>
      </c>
      <c r="K1129">
        <v>0</v>
      </c>
      <c r="L1129">
        <v>0</v>
      </c>
      <c r="M1129">
        <v>0</v>
      </c>
      <c r="N1129">
        <v>0</v>
      </c>
      <c r="O1129">
        <v>0</v>
      </c>
      <c r="P1129">
        <v>0</v>
      </c>
      <c r="Q1129" t="str">
        <f>INDEX(pARTNER[#All],MATCH(#REF!,pARTNER[[#All],[Value.partnerSummary.id]],0),10)</f>
        <v>Italia (IT)</v>
      </c>
      <c r="R1129" t="str">
        <f>INDEX('Partner data'!$A$2:$DG$171,MATCH(#REF!,'Partner data'!$DG$2:$DG$171,0),83)</f>
        <v>Soggetto pubblico</v>
      </c>
      <c r="S1129" s="86" t="b">
        <f>IF(#REF!="staff",INDEX('Partner data'!$DG$2:$DH$171,MATCH(#REF!,'Partner data'!$DG$2:$DG$171,0),2))</f>
        <v>0</v>
      </c>
    </row>
    <row r="1130" spans="1:19" x14ac:dyDescent="0.25">
      <c r="A1130" t="s">
        <v>59</v>
      </c>
      <c r="B1130" t="s">
        <v>44</v>
      </c>
      <c r="C1130">
        <v>326</v>
      </c>
      <c r="D1130">
        <v>95</v>
      </c>
      <c r="E1130" t="s">
        <v>234</v>
      </c>
      <c r="F1130">
        <v>40</v>
      </c>
      <c r="G1130">
        <v>51429.64</v>
      </c>
      <c r="H1130">
        <v>0</v>
      </c>
      <c r="I1130">
        <v>0</v>
      </c>
      <c r="J1130">
        <v>5154.76</v>
      </c>
      <c r="K1130">
        <v>0</v>
      </c>
      <c r="L1130">
        <v>5154.76</v>
      </c>
      <c r="M1130">
        <v>5154.76</v>
      </c>
      <c r="N1130">
        <v>10.02</v>
      </c>
      <c r="O1130">
        <v>46274.879999999997</v>
      </c>
      <c r="P1130">
        <v>0</v>
      </c>
      <c r="Q1130" t="str">
        <f>INDEX(pARTNER[#All],MATCH(#REF!,pARTNER[[#All],[Value.partnerSummary.id]],0),10)</f>
        <v>Italia (IT)</v>
      </c>
      <c r="R1130" t="str">
        <f>INDEX('Partner data'!$A$2:$DG$171,MATCH(#REF!,'Partner data'!$DG$2:$DG$171,0),83)</f>
        <v>Soggetto pubblico</v>
      </c>
      <c r="S1130" s="86" t="b">
        <f>IF(#REF!="staff",INDEX('Partner data'!$DG$2:$DH$171,MATCH(#REF!,'Partner data'!$DG$2:$DG$171,0),2))</f>
        <v>0</v>
      </c>
    </row>
    <row r="1131" spans="1:19" x14ac:dyDescent="0.25">
      <c r="A1131" t="s">
        <v>59</v>
      </c>
      <c r="B1131" t="s">
        <v>44</v>
      </c>
      <c r="C1131">
        <v>326</v>
      </c>
      <c r="D1131">
        <v>95</v>
      </c>
      <c r="E1131" t="s">
        <v>235</v>
      </c>
      <c r="G1131">
        <v>0</v>
      </c>
      <c r="H1131">
        <v>0</v>
      </c>
      <c r="I1131">
        <v>0</v>
      </c>
      <c r="J1131">
        <v>0</v>
      </c>
      <c r="K1131">
        <v>0</v>
      </c>
      <c r="L1131">
        <v>0</v>
      </c>
      <c r="M1131">
        <v>0</v>
      </c>
      <c r="N1131">
        <v>0</v>
      </c>
      <c r="O1131">
        <v>0</v>
      </c>
      <c r="P1131">
        <v>0</v>
      </c>
      <c r="Q1131" t="str">
        <f>INDEX(pARTNER[#All],MATCH(#REF!,pARTNER[[#All],[Value.partnerSummary.id]],0),10)</f>
        <v>Italia (IT)</v>
      </c>
      <c r="R1131" t="str">
        <f>INDEX('Partner data'!$A$2:$DG$171,MATCH(#REF!,'Partner data'!$DG$2:$DG$171,0),83)</f>
        <v>Soggetto pubblico</v>
      </c>
      <c r="S1131" s="86" t="b">
        <f>IF(#REF!="staff",INDEX('Partner data'!$DG$2:$DH$171,MATCH(#REF!,'Partner data'!$DG$2:$DG$171,0),2))</f>
        <v>0</v>
      </c>
    </row>
    <row r="1132" spans="1:19" x14ac:dyDescent="0.25">
      <c r="A1132" t="s">
        <v>59</v>
      </c>
      <c r="B1132" t="s">
        <v>44</v>
      </c>
      <c r="C1132">
        <v>326</v>
      </c>
      <c r="D1132">
        <v>95</v>
      </c>
      <c r="E1132" t="s">
        <v>236</v>
      </c>
      <c r="G1132">
        <v>0</v>
      </c>
      <c r="H1132">
        <v>0</v>
      </c>
      <c r="I1132">
        <v>0</v>
      </c>
      <c r="J1132">
        <v>0</v>
      </c>
      <c r="K1132">
        <v>0</v>
      </c>
      <c r="L1132">
        <v>0</v>
      </c>
      <c r="M1132">
        <v>0</v>
      </c>
      <c r="N1132">
        <v>0</v>
      </c>
      <c r="O1132">
        <v>0</v>
      </c>
      <c r="P1132">
        <v>0</v>
      </c>
      <c r="Q1132" t="str">
        <f>INDEX(pARTNER[#All],MATCH(#REF!,pARTNER[[#All],[Value.partnerSummary.id]],0),10)</f>
        <v>Italia (IT)</v>
      </c>
      <c r="R1132" t="str">
        <f>INDEX('Partner data'!$A$2:$DG$171,MATCH(#REF!,'Partner data'!$DG$2:$DG$171,0),83)</f>
        <v>Soggetto pubblico</v>
      </c>
      <c r="S1132" s="86" t="b">
        <f>IF(#REF!="staff",INDEX('Partner data'!$DG$2:$DH$171,MATCH(#REF!,'Partner data'!$DG$2:$DG$171,0),2))</f>
        <v>0</v>
      </c>
    </row>
    <row r="1133" spans="1:19" x14ac:dyDescent="0.25">
      <c r="A1133" t="s">
        <v>59</v>
      </c>
      <c r="B1133" t="s">
        <v>44</v>
      </c>
      <c r="C1133">
        <v>326</v>
      </c>
      <c r="D1133">
        <v>95</v>
      </c>
      <c r="E1133" t="s">
        <v>237</v>
      </c>
      <c r="G1133">
        <v>0</v>
      </c>
      <c r="H1133">
        <v>0</v>
      </c>
      <c r="I1133">
        <v>0</v>
      </c>
      <c r="J1133">
        <v>0</v>
      </c>
      <c r="K1133">
        <v>0</v>
      </c>
      <c r="L1133">
        <v>0</v>
      </c>
      <c r="M1133">
        <v>0</v>
      </c>
      <c r="N1133">
        <v>0</v>
      </c>
      <c r="O1133">
        <v>0</v>
      </c>
      <c r="P1133">
        <v>0</v>
      </c>
      <c r="Q1133" t="str">
        <f>INDEX(pARTNER[#All],MATCH(#REF!,pARTNER[[#All],[Value.partnerSummary.id]],0),10)</f>
        <v>Italia (IT)</v>
      </c>
      <c r="R1133" t="str">
        <f>INDEX('Partner data'!$A$2:$DG$171,MATCH(#REF!,'Partner data'!$DG$2:$DG$171,0),83)</f>
        <v>Soggetto pubblico</v>
      </c>
      <c r="S1133" s="86" t="b">
        <f>IF(#REF!="staff",INDEX('Partner data'!$DG$2:$DH$171,MATCH(#REF!,'Partner data'!$DG$2:$DG$171,0),2))</f>
        <v>0</v>
      </c>
    </row>
    <row r="1134" spans="1:19" x14ac:dyDescent="0.25">
      <c r="A1134" t="s">
        <v>59</v>
      </c>
      <c r="B1134" t="s">
        <v>44</v>
      </c>
      <c r="C1134">
        <v>326</v>
      </c>
      <c r="D1134">
        <v>95</v>
      </c>
      <c r="E1134" t="s">
        <v>238</v>
      </c>
      <c r="G1134">
        <v>180003.75</v>
      </c>
      <c r="H1134">
        <v>0</v>
      </c>
      <c r="I1134">
        <v>0</v>
      </c>
      <c r="J1134">
        <v>18041.66</v>
      </c>
      <c r="K1134">
        <v>0</v>
      </c>
      <c r="L1134">
        <v>18041.66</v>
      </c>
      <c r="M1134">
        <v>18041.66</v>
      </c>
      <c r="N1134">
        <v>10.02</v>
      </c>
      <c r="O1134">
        <v>161962.09</v>
      </c>
      <c r="P1134">
        <v>0</v>
      </c>
      <c r="Q1134" t="str">
        <f>INDEX(pARTNER[#All],MATCH(#REF!,pARTNER[[#All],[Value.partnerSummary.id]],0),10)</f>
        <v>Italia (IT)</v>
      </c>
      <c r="R1134" t="str">
        <f>INDEX('Partner data'!$A$2:$DG$171,MATCH(#REF!,'Partner data'!$DG$2:$DG$171,0),83)</f>
        <v>Soggetto pubblico</v>
      </c>
      <c r="S1134" s="86" t="b">
        <f>IF(#REF!="staff",INDEX('Partner data'!$DG$2:$DH$171,MATCH(#REF!,'Partner data'!$DG$2:$DG$171,0),2))</f>
        <v>0</v>
      </c>
    </row>
    <row r="1135" spans="1:19" x14ac:dyDescent="0.25">
      <c r="A1135" t="s">
        <v>59</v>
      </c>
      <c r="B1135" t="s">
        <v>49</v>
      </c>
      <c r="C1135">
        <v>321</v>
      </c>
      <c r="D1135">
        <v>164</v>
      </c>
      <c r="E1135" t="s">
        <v>228</v>
      </c>
      <c r="G1135">
        <v>85749.04</v>
      </c>
      <c r="H1135">
        <v>10495.88</v>
      </c>
      <c r="I1135">
        <v>0</v>
      </c>
      <c r="J1135">
        <v>11721.72</v>
      </c>
      <c r="K1135">
        <v>0</v>
      </c>
      <c r="L1135">
        <v>10459.76</v>
      </c>
      <c r="M1135">
        <v>22217.599999999999</v>
      </c>
      <c r="N1135">
        <v>25.91</v>
      </c>
      <c r="O1135">
        <v>63531.44</v>
      </c>
      <c r="P1135">
        <v>0</v>
      </c>
      <c r="Q1135" t="str">
        <f>INDEX(pARTNER[#All],MATCH(#REF!,pARTNER[[#All],[Value.partnerSummary.id]],0),10)</f>
        <v>Slovenija (SI)</v>
      </c>
      <c r="R1135" t="str">
        <f>INDEX('Partner data'!$A$2:$DG$171,MATCH(#REF!,'Partner data'!$DG$2:$DG$171,0),83)</f>
        <v>Soggetto pubblico</v>
      </c>
      <c r="S1135" s="86" t="str">
        <f>IF(#REF!="staff",INDEX('Partner data'!$DG$2:$DH$171,MATCH(#REF!,'Partner data'!$DG$2:$DG$171,0),2))</f>
        <v>COSTO REALE</v>
      </c>
    </row>
    <row r="1136" spans="1:19" x14ac:dyDescent="0.25">
      <c r="A1136" t="s">
        <v>59</v>
      </c>
      <c r="B1136" t="s">
        <v>49</v>
      </c>
      <c r="C1136">
        <v>321</v>
      </c>
      <c r="D1136">
        <v>164</v>
      </c>
      <c r="E1136" t="s">
        <v>229</v>
      </c>
      <c r="G1136">
        <v>0</v>
      </c>
      <c r="H1136">
        <v>0</v>
      </c>
      <c r="I1136">
        <v>0</v>
      </c>
      <c r="J1136">
        <v>0</v>
      </c>
      <c r="K1136">
        <v>0</v>
      </c>
      <c r="L1136">
        <v>0</v>
      </c>
      <c r="M1136">
        <v>0</v>
      </c>
      <c r="N1136">
        <v>0</v>
      </c>
      <c r="O1136">
        <v>0</v>
      </c>
      <c r="P1136">
        <v>0</v>
      </c>
      <c r="Q1136" t="str">
        <f>INDEX(pARTNER[#All],MATCH(#REF!,pARTNER[[#All],[Value.partnerSummary.id]],0),10)</f>
        <v>Slovenija (SI)</v>
      </c>
      <c r="R1136" t="str">
        <f>INDEX('Partner data'!$A$2:$DG$171,MATCH(#REF!,'Partner data'!$DG$2:$DG$171,0),83)</f>
        <v>Soggetto pubblico</v>
      </c>
      <c r="S1136" s="86" t="b">
        <f>IF(#REF!="staff",INDEX('Partner data'!$DG$2:$DH$171,MATCH(#REF!,'Partner data'!$DG$2:$DG$171,0),2))</f>
        <v>0</v>
      </c>
    </row>
    <row r="1137" spans="1:19" x14ac:dyDescent="0.25">
      <c r="A1137" t="s">
        <v>59</v>
      </c>
      <c r="B1137" t="s">
        <v>49</v>
      </c>
      <c r="C1137">
        <v>321</v>
      </c>
      <c r="D1137">
        <v>164</v>
      </c>
      <c r="E1137" t="s">
        <v>230</v>
      </c>
      <c r="G1137">
        <v>0</v>
      </c>
      <c r="H1137">
        <v>0</v>
      </c>
      <c r="I1137">
        <v>0</v>
      </c>
      <c r="J1137">
        <v>0</v>
      </c>
      <c r="K1137">
        <v>0</v>
      </c>
      <c r="L1137">
        <v>0</v>
      </c>
      <c r="M1137">
        <v>0</v>
      </c>
      <c r="N1137">
        <v>0</v>
      </c>
      <c r="O1137">
        <v>0</v>
      </c>
      <c r="P1137">
        <v>0</v>
      </c>
      <c r="Q1137" t="str">
        <f>INDEX(pARTNER[#All],MATCH(#REF!,pARTNER[[#All],[Value.partnerSummary.id]],0),10)</f>
        <v>Slovenija (SI)</v>
      </c>
      <c r="R1137" t="str">
        <f>INDEX('Partner data'!$A$2:$DG$171,MATCH(#REF!,'Partner data'!$DG$2:$DG$171,0),83)</f>
        <v>Soggetto pubblico</v>
      </c>
      <c r="S1137" s="86" t="b">
        <f>IF(#REF!="staff",INDEX('Partner data'!$DG$2:$DH$171,MATCH(#REF!,'Partner data'!$DG$2:$DG$171,0),2))</f>
        <v>0</v>
      </c>
    </row>
    <row r="1138" spans="1:19" x14ac:dyDescent="0.25">
      <c r="A1138" t="s">
        <v>59</v>
      </c>
      <c r="B1138" t="s">
        <v>49</v>
      </c>
      <c r="C1138">
        <v>321</v>
      </c>
      <c r="D1138">
        <v>164</v>
      </c>
      <c r="E1138" t="s">
        <v>231</v>
      </c>
      <c r="G1138">
        <v>0</v>
      </c>
      <c r="H1138">
        <v>0</v>
      </c>
      <c r="I1138">
        <v>0</v>
      </c>
      <c r="J1138">
        <v>0</v>
      </c>
      <c r="K1138">
        <v>0</v>
      </c>
      <c r="L1138">
        <v>0</v>
      </c>
      <c r="M1138">
        <v>0</v>
      </c>
      <c r="N1138">
        <v>0</v>
      </c>
      <c r="O1138">
        <v>0</v>
      </c>
      <c r="P1138">
        <v>0</v>
      </c>
      <c r="Q1138" t="str">
        <f>INDEX(pARTNER[#All],MATCH(#REF!,pARTNER[[#All],[Value.partnerSummary.id]],0),10)</f>
        <v>Slovenija (SI)</v>
      </c>
      <c r="R1138" t="str">
        <f>INDEX('Partner data'!$A$2:$DG$171,MATCH(#REF!,'Partner data'!$DG$2:$DG$171,0),83)</f>
        <v>Soggetto pubblico</v>
      </c>
      <c r="S1138" s="86" t="b">
        <f>IF(#REF!="staff",INDEX('Partner data'!$DG$2:$DH$171,MATCH(#REF!,'Partner data'!$DG$2:$DG$171,0),2))</f>
        <v>0</v>
      </c>
    </row>
    <row r="1139" spans="1:19" x14ac:dyDescent="0.25">
      <c r="A1139" t="s">
        <v>59</v>
      </c>
      <c r="B1139" t="s">
        <v>49</v>
      </c>
      <c r="C1139">
        <v>321</v>
      </c>
      <c r="D1139">
        <v>164</v>
      </c>
      <c r="E1139" t="s">
        <v>232</v>
      </c>
      <c r="G1139">
        <v>0</v>
      </c>
      <c r="H1139">
        <v>0</v>
      </c>
      <c r="I1139">
        <v>0</v>
      </c>
      <c r="J1139">
        <v>0</v>
      </c>
      <c r="K1139">
        <v>0</v>
      </c>
      <c r="L1139">
        <v>0</v>
      </c>
      <c r="M1139">
        <v>0</v>
      </c>
      <c r="N1139">
        <v>0</v>
      </c>
      <c r="O1139">
        <v>0</v>
      </c>
      <c r="P1139">
        <v>0</v>
      </c>
      <c r="Q1139" t="str">
        <f>INDEX(pARTNER[#All],MATCH(#REF!,pARTNER[[#All],[Value.partnerSummary.id]],0),10)</f>
        <v>Slovenija (SI)</v>
      </c>
      <c r="R1139" t="str">
        <f>INDEX('Partner data'!$A$2:$DG$171,MATCH(#REF!,'Partner data'!$DG$2:$DG$171,0),83)</f>
        <v>Soggetto pubblico</v>
      </c>
      <c r="S1139" s="86" t="b">
        <f>IF(#REF!="staff",INDEX('Partner data'!$DG$2:$DH$171,MATCH(#REF!,'Partner data'!$DG$2:$DG$171,0),2))</f>
        <v>0</v>
      </c>
    </row>
    <row r="1140" spans="1:19" x14ac:dyDescent="0.25">
      <c r="A1140" t="s">
        <v>59</v>
      </c>
      <c r="B1140" t="s">
        <v>49</v>
      </c>
      <c r="C1140">
        <v>321</v>
      </c>
      <c r="D1140">
        <v>164</v>
      </c>
      <c r="E1140" t="s">
        <v>233</v>
      </c>
      <c r="G1140">
        <v>0</v>
      </c>
      <c r="H1140">
        <v>0</v>
      </c>
      <c r="I1140">
        <v>0</v>
      </c>
      <c r="J1140">
        <v>0</v>
      </c>
      <c r="K1140">
        <v>0</v>
      </c>
      <c r="L1140">
        <v>0</v>
      </c>
      <c r="M1140">
        <v>0</v>
      </c>
      <c r="N1140">
        <v>0</v>
      </c>
      <c r="O1140">
        <v>0</v>
      </c>
      <c r="P1140">
        <v>0</v>
      </c>
      <c r="Q1140" t="str">
        <f>INDEX(pARTNER[#All],MATCH(#REF!,pARTNER[[#All],[Value.partnerSummary.id]],0),10)</f>
        <v>Slovenija (SI)</v>
      </c>
      <c r="R1140" t="str">
        <f>INDEX('Partner data'!$A$2:$DG$171,MATCH(#REF!,'Partner data'!$DG$2:$DG$171,0),83)</f>
        <v>Soggetto pubblico</v>
      </c>
      <c r="S1140" s="86" t="b">
        <f>IF(#REF!="staff",INDEX('Partner data'!$DG$2:$DH$171,MATCH(#REF!,'Partner data'!$DG$2:$DG$171,0),2))</f>
        <v>0</v>
      </c>
    </row>
    <row r="1141" spans="1:19" x14ac:dyDescent="0.25">
      <c r="A1141" t="s">
        <v>59</v>
      </c>
      <c r="B1141" t="s">
        <v>49</v>
      </c>
      <c r="C1141">
        <v>321</v>
      </c>
      <c r="D1141">
        <v>164</v>
      </c>
      <c r="E1141" t="s">
        <v>234</v>
      </c>
      <c r="F1141">
        <v>40</v>
      </c>
      <c r="G1141">
        <v>34299.61</v>
      </c>
      <c r="H1141">
        <v>4198.3500000000004</v>
      </c>
      <c r="I1141">
        <v>0</v>
      </c>
      <c r="J1141">
        <v>4688.68</v>
      </c>
      <c r="K1141">
        <v>0</v>
      </c>
      <c r="L1141">
        <v>4183.8999999999996</v>
      </c>
      <c r="M1141">
        <v>8887.0300000000007</v>
      </c>
      <c r="N1141">
        <v>25.91</v>
      </c>
      <c r="O1141">
        <v>25412.58</v>
      </c>
      <c r="P1141">
        <v>0</v>
      </c>
      <c r="Q1141" t="str">
        <f>INDEX(pARTNER[#All],MATCH(#REF!,pARTNER[[#All],[Value.partnerSummary.id]],0),10)</f>
        <v>Slovenija (SI)</v>
      </c>
      <c r="R1141" t="str">
        <f>INDEX('Partner data'!$A$2:$DG$171,MATCH(#REF!,'Partner data'!$DG$2:$DG$171,0),83)</f>
        <v>Soggetto pubblico</v>
      </c>
      <c r="S1141" s="86" t="b">
        <f>IF(#REF!="staff",INDEX('Partner data'!$DG$2:$DH$171,MATCH(#REF!,'Partner data'!$DG$2:$DG$171,0),2))</f>
        <v>0</v>
      </c>
    </row>
    <row r="1142" spans="1:19" x14ac:dyDescent="0.25">
      <c r="A1142" t="s">
        <v>59</v>
      </c>
      <c r="B1142" t="s">
        <v>49</v>
      </c>
      <c r="C1142">
        <v>321</v>
      </c>
      <c r="D1142">
        <v>164</v>
      </c>
      <c r="E1142" t="s">
        <v>235</v>
      </c>
      <c r="G1142">
        <v>0</v>
      </c>
      <c r="H1142">
        <v>0</v>
      </c>
      <c r="I1142">
        <v>0</v>
      </c>
      <c r="J1142">
        <v>0</v>
      </c>
      <c r="K1142">
        <v>0</v>
      </c>
      <c r="L1142">
        <v>0</v>
      </c>
      <c r="M1142">
        <v>0</v>
      </c>
      <c r="N1142">
        <v>0</v>
      </c>
      <c r="O1142">
        <v>0</v>
      </c>
      <c r="P1142">
        <v>0</v>
      </c>
      <c r="Q1142" t="str">
        <f>INDEX(pARTNER[#All],MATCH(#REF!,pARTNER[[#All],[Value.partnerSummary.id]],0),10)</f>
        <v>Slovenija (SI)</v>
      </c>
      <c r="R1142" t="str">
        <f>INDEX('Partner data'!$A$2:$DG$171,MATCH(#REF!,'Partner data'!$DG$2:$DG$171,0),83)</f>
        <v>Soggetto pubblico</v>
      </c>
      <c r="S1142" s="86" t="b">
        <f>IF(#REF!="staff",INDEX('Partner data'!$DG$2:$DH$171,MATCH(#REF!,'Partner data'!$DG$2:$DG$171,0),2))</f>
        <v>0</v>
      </c>
    </row>
    <row r="1143" spans="1:19" x14ac:dyDescent="0.25">
      <c r="A1143" t="s">
        <v>59</v>
      </c>
      <c r="B1143" t="s">
        <v>49</v>
      </c>
      <c r="C1143">
        <v>321</v>
      </c>
      <c r="D1143">
        <v>164</v>
      </c>
      <c r="E1143" t="s">
        <v>236</v>
      </c>
      <c r="G1143">
        <v>0</v>
      </c>
      <c r="H1143">
        <v>0</v>
      </c>
      <c r="I1143">
        <v>0</v>
      </c>
      <c r="J1143">
        <v>0</v>
      </c>
      <c r="K1143">
        <v>0</v>
      </c>
      <c r="L1143">
        <v>0</v>
      </c>
      <c r="M1143">
        <v>0</v>
      </c>
      <c r="N1143">
        <v>0</v>
      </c>
      <c r="O1143">
        <v>0</v>
      </c>
      <c r="P1143">
        <v>0</v>
      </c>
      <c r="Q1143" t="str">
        <f>INDEX(pARTNER[#All],MATCH(#REF!,pARTNER[[#All],[Value.partnerSummary.id]],0),10)</f>
        <v>Slovenija (SI)</v>
      </c>
      <c r="R1143" t="str">
        <f>INDEX('Partner data'!$A$2:$DG$171,MATCH(#REF!,'Partner data'!$DG$2:$DG$171,0),83)</f>
        <v>Soggetto pubblico</v>
      </c>
      <c r="S1143" s="86" t="b">
        <f>IF(#REF!="staff",INDEX('Partner data'!$DG$2:$DH$171,MATCH(#REF!,'Partner data'!$DG$2:$DG$171,0),2))</f>
        <v>0</v>
      </c>
    </row>
    <row r="1144" spans="1:19" x14ac:dyDescent="0.25">
      <c r="A1144" t="s">
        <v>59</v>
      </c>
      <c r="B1144" t="s">
        <v>49</v>
      </c>
      <c r="C1144">
        <v>321</v>
      </c>
      <c r="D1144">
        <v>164</v>
      </c>
      <c r="E1144" t="s">
        <v>237</v>
      </c>
      <c r="G1144">
        <v>0</v>
      </c>
      <c r="H1144">
        <v>0</v>
      </c>
      <c r="I1144">
        <v>0</v>
      </c>
      <c r="J1144">
        <v>0</v>
      </c>
      <c r="K1144">
        <v>0</v>
      </c>
      <c r="L1144">
        <v>0</v>
      </c>
      <c r="M1144">
        <v>0</v>
      </c>
      <c r="N1144">
        <v>0</v>
      </c>
      <c r="O1144">
        <v>0</v>
      </c>
      <c r="P1144">
        <v>0</v>
      </c>
      <c r="Q1144" t="str">
        <f>INDEX(pARTNER[#All],MATCH(#REF!,pARTNER[[#All],[Value.partnerSummary.id]],0),10)</f>
        <v>Slovenija (SI)</v>
      </c>
      <c r="R1144" t="str">
        <f>INDEX('Partner data'!$A$2:$DG$171,MATCH(#REF!,'Partner data'!$DG$2:$DG$171,0),83)</f>
        <v>Soggetto pubblico</v>
      </c>
      <c r="S1144" s="86" t="b">
        <f>IF(#REF!="staff",INDEX('Partner data'!$DG$2:$DH$171,MATCH(#REF!,'Partner data'!$DG$2:$DG$171,0),2))</f>
        <v>0</v>
      </c>
    </row>
    <row r="1145" spans="1:19" x14ac:dyDescent="0.25">
      <c r="A1145" t="s">
        <v>59</v>
      </c>
      <c r="B1145" t="s">
        <v>49</v>
      </c>
      <c r="C1145">
        <v>321</v>
      </c>
      <c r="D1145">
        <v>164</v>
      </c>
      <c r="E1145" t="s">
        <v>238</v>
      </c>
      <c r="G1145">
        <v>120048.65</v>
      </c>
      <c r="H1145">
        <v>14694.23</v>
      </c>
      <c r="I1145">
        <v>0</v>
      </c>
      <c r="J1145">
        <v>16410.400000000001</v>
      </c>
      <c r="K1145">
        <v>0</v>
      </c>
      <c r="L1145">
        <v>14643.66</v>
      </c>
      <c r="M1145">
        <v>31104.63</v>
      </c>
      <c r="N1145">
        <v>25.91</v>
      </c>
      <c r="O1145">
        <v>88944.02</v>
      </c>
      <c r="P1145">
        <v>0</v>
      </c>
      <c r="Q1145" t="str">
        <f>INDEX(pARTNER[#All],MATCH(#REF!,pARTNER[[#All],[Value.partnerSummary.id]],0),10)</f>
        <v>Slovenija (SI)</v>
      </c>
      <c r="R1145" t="str">
        <f>INDEX('Partner data'!$A$2:$DG$171,MATCH(#REF!,'Partner data'!$DG$2:$DG$171,0),83)</f>
        <v>Soggetto pubblico</v>
      </c>
      <c r="S1145" s="86" t="b">
        <f>IF(#REF!="staff",INDEX('Partner data'!$DG$2:$DH$171,MATCH(#REF!,'Partner data'!$DG$2:$DG$171,0),2))</f>
        <v>0</v>
      </c>
    </row>
    <row r="1146" spans="1:19" x14ac:dyDescent="0.25">
      <c r="A1146" t="s">
        <v>59</v>
      </c>
      <c r="B1146" t="s">
        <v>49</v>
      </c>
      <c r="C1146">
        <v>321</v>
      </c>
      <c r="D1146">
        <v>69</v>
      </c>
      <c r="E1146" t="s">
        <v>228</v>
      </c>
      <c r="G1146">
        <v>85749.04</v>
      </c>
      <c r="H1146">
        <v>0</v>
      </c>
      <c r="I1146">
        <v>0</v>
      </c>
      <c r="J1146">
        <v>10495.88</v>
      </c>
      <c r="K1146">
        <v>0</v>
      </c>
      <c r="L1146">
        <v>1826.8</v>
      </c>
      <c r="M1146">
        <v>10495.88</v>
      </c>
      <c r="N1146">
        <v>12.24</v>
      </c>
      <c r="O1146">
        <v>75253.16</v>
      </c>
      <c r="P1146">
        <v>0</v>
      </c>
      <c r="Q1146" t="str">
        <f>INDEX(pARTNER[#All],MATCH(#REF!,pARTNER[[#All],[Value.partnerSummary.id]],0),10)</f>
        <v>Slovenija (SI)</v>
      </c>
      <c r="R1146" t="str">
        <f>INDEX('Partner data'!$A$2:$DG$171,MATCH(#REF!,'Partner data'!$DG$2:$DG$171,0),83)</f>
        <v>Soggetto pubblico</v>
      </c>
      <c r="S1146" s="86" t="str">
        <f>IF(#REF!="staff",INDEX('Partner data'!$DG$2:$DH$171,MATCH(#REF!,'Partner data'!$DG$2:$DG$171,0),2))</f>
        <v>COSTO REALE</v>
      </c>
    </row>
    <row r="1147" spans="1:19" x14ac:dyDescent="0.25">
      <c r="A1147" t="s">
        <v>59</v>
      </c>
      <c r="B1147" t="s">
        <v>49</v>
      </c>
      <c r="C1147">
        <v>321</v>
      </c>
      <c r="D1147">
        <v>69</v>
      </c>
      <c r="E1147" t="s">
        <v>229</v>
      </c>
      <c r="G1147">
        <v>0</v>
      </c>
      <c r="H1147">
        <v>0</v>
      </c>
      <c r="I1147">
        <v>0</v>
      </c>
      <c r="J1147">
        <v>0</v>
      </c>
      <c r="K1147">
        <v>0</v>
      </c>
      <c r="L1147">
        <v>0</v>
      </c>
      <c r="M1147">
        <v>0</v>
      </c>
      <c r="N1147">
        <v>0</v>
      </c>
      <c r="O1147">
        <v>0</v>
      </c>
      <c r="P1147">
        <v>0</v>
      </c>
      <c r="Q1147" t="str">
        <f>INDEX(pARTNER[#All],MATCH(#REF!,pARTNER[[#All],[Value.partnerSummary.id]],0),10)</f>
        <v>Slovenija (SI)</v>
      </c>
      <c r="R1147" t="str">
        <f>INDEX('Partner data'!$A$2:$DG$171,MATCH(#REF!,'Partner data'!$DG$2:$DG$171,0),83)</f>
        <v>Soggetto pubblico</v>
      </c>
      <c r="S1147" s="86" t="b">
        <f>IF(#REF!="staff",INDEX('Partner data'!$DG$2:$DH$171,MATCH(#REF!,'Partner data'!$DG$2:$DG$171,0),2))</f>
        <v>0</v>
      </c>
    </row>
    <row r="1148" spans="1:19" x14ac:dyDescent="0.25">
      <c r="A1148" t="s">
        <v>59</v>
      </c>
      <c r="B1148" t="s">
        <v>49</v>
      </c>
      <c r="C1148">
        <v>321</v>
      </c>
      <c r="D1148">
        <v>69</v>
      </c>
      <c r="E1148" t="s">
        <v>230</v>
      </c>
      <c r="G1148">
        <v>0</v>
      </c>
      <c r="H1148">
        <v>0</v>
      </c>
      <c r="I1148">
        <v>0</v>
      </c>
      <c r="J1148">
        <v>0</v>
      </c>
      <c r="K1148">
        <v>0</v>
      </c>
      <c r="L1148">
        <v>0</v>
      </c>
      <c r="M1148">
        <v>0</v>
      </c>
      <c r="N1148">
        <v>0</v>
      </c>
      <c r="O1148">
        <v>0</v>
      </c>
      <c r="P1148">
        <v>0</v>
      </c>
      <c r="Q1148" t="str">
        <f>INDEX(pARTNER[#All],MATCH(#REF!,pARTNER[[#All],[Value.partnerSummary.id]],0),10)</f>
        <v>Slovenija (SI)</v>
      </c>
      <c r="R1148" t="str">
        <f>INDEX('Partner data'!$A$2:$DG$171,MATCH(#REF!,'Partner data'!$DG$2:$DG$171,0),83)</f>
        <v>Soggetto pubblico</v>
      </c>
      <c r="S1148" s="86" t="b">
        <f>IF(#REF!="staff",INDEX('Partner data'!$DG$2:$DH$171,MATCH(#REF!,'Partner data'!$DG$2:$DG$171,0),2))</f>
        <v>0</v>
      </c>
    </row>
    <row r="1149" spans="1:19" x14ac:dyDescent="0.25">
      <c r="A1149" t="s">
        <v>59</v>
      </c>
      <c r="B1149" t="s">
        <v>49</v>
      </c>
      <c r="C1149">
        <v>321</v>
      </c>
      <c r="D1149">
        <v>69</v>
      </c>
      <c r="E1149" t="s">
        <v>231</v>
      </c>
      <c r="G1149">
        <v>0</v>
      </c>
      <c r="H1149">
        <v>0</v>
      </c>
      <c r="I1149">
        <v>0</v>
      </c>
      <c r="J1149">
        <v>0</v>
      </c>
      <c r="K1149">
        <v>0</v>
      </c>
      <c r="L1149">
        <v>0</v>
      </c>
      <c r="M1149">
        <v>0</v>
      </c>
      <c r="N1149">
        <v>0</v>
      </c>
      <c r="O1149">
        <v>0</v>
      </c>
      <c r="P1149">
        <v>0</v>
      </c>
      <c r="Q1149" t="str">
        <f>INDEX(pARTNER[#All],MATCH(#REF!,pARTNER[[#All],[Value.partnerSummary.id]],0),10)</f>
        <v>Slovenija (SI)</v>
      </c>
      <c r="R1149" t="str">
        <f>INDEX('Partner data'!$A$2:$DG$171,MATCH(#REF!,'Partner data'!$DG$2:$DG$171,0),83)</f>
        <v>Soggetto pubblico</v>
      </c>
      <c r="S1149" s="86" t="b">
        <f>IF(#REF!="staff",INDEX('Partner data'!$DG$2:$DH$171,MATCH(#REF!,'Partner data'!$DG$2:$DG$171,0),2))</f>
        <v>0</v>
      </c>
    </row>
    <row r="1150" spans="1:19" x14ac:dyDescent="0.25">
      <c r="A1150" t="s">
        <v>59</v>
      </c>
      <c r="B1150" t="s">
        <v>49</v>
      </c>
      <c r="C1150">
        <v>321</v>
      </c>
      <c r="D1150">
        <v>69</v>
      </c>
      <c r="E1150" t="s">
        <v>232</v>
      </c>
      <c r="G1150">
        <v>0</v>
      </c>
      <c r="H1150">
        <v>0</v>
      </c>
      <c r="I1150">
        <v>0</v>
      </c>
      <c r="J1150">
        <v>0</v>
      </c>
      <c r="K1150">
        <v>0</v>
      </c>
      <c r="L1150">
        <v>0</v>
      </c>
      <c r="M1150">
        <v>0</v>
      </c>
      <c r="N1150">
        <v>0</v>
      </c>
      <c r="O1150">
        <v>0</v>
      </c>
      <c r="P1150">
        <v>0</v>
      </c>
      <c r="Q1150" t="str">
        <f>INDEX(pARTNER[#All],MATCH(#REF!,pARTNER[[#All],[Value.partnerSummary.id]],0),10)</f>
        <v>Slovenija (SI)</v>
      </c>
      <c r="R1150" t="str">
        <f>INDEX('Partner data'!$A$2:$DG$171,MATCH(#REF!,'Partner data'!$DG$2:$DG$171,0),83)</f>
        <v>Soggetto pubblico</v>
      </c>
      <c r="S1150" s="86" t="b">
        <f>IF(#REF!="staff",INDEX('Partner data'!$DG$2:$DH$171,MATCH(#REF!,'Partner data'!$DG$2:$DG$171,0),2))</f>
        <v>0</v>
      </c>
    </row>
    <row r="1151" spans="1:19" x14ac:dyDescent="0.25">
      <c r="A1151" t="s">
        <v>59</v>
      </c>
      <c r="B1151" t="s">
        <v>49</v>
      </c>
      <c r="C1151">
        <v>321</v>
      </c>
      <c r="D1151">
        <v>69</v>
      </c>
      <c r="E1151" t="s">
        <v>233</v>
      </c>
      <c r="G1151">
        <v>0</v>
      </c>
      <c r="H1151">
        <v>0</v>
      </c>
      <c r="I1151">
        <v>0</v>
      </c>
      <c r="J1151">
        <v>0</v>
      </c>
      <c r="K1151">
        <v>0</v>
      </c>
      <c r="L1151">
        <v>0</v>
      </c>
      <c r="M1151">
        <v>0</v>
      </c>
      <c r="N1151">
        <v>0</v>
      </c>
      <c r="O1151">
        <v>0</v>
      </c>
      <c r="P1151">
        <v>0</v>
      </c>
      <c r="Q1151" t="str">
        <f>INDEX(pARTNER[#All],MATCH(#REF!,pARTNER[[#All],[Value.partnerSummary.id]],0),10)</f>
        <v>Slovenija (SI)</v>
      </c>
      <c r="R1151" t="str">
        <f>INDEX('Partner data'!$A$2:$DG$171,MATCH(#REF!,'Partner data'!$DG$2:$DG$171,0),83)</f>
        <v>Soggetto pubblico</v>
      </c>
      <c r="S1151" s="86" t="b">
        <f>IF(#REF!="staff",INDEX('Partner data'!$DG$2:$DH$171,MATCH(#REF!,'Partner data'!$DG$2:$DG$171,0),2))</f>
        <v>0</v>
      </c>
    </row>
    <row r="1152" spans="1:19" x14ac:dyDescent="0.25">
      <c r="A1152" t="s">
        <v>59</v>
      </c>
      <c r="B1152" t="s">
        <v>49</v>
      </c>
      <c r="C1152">
        <v>321</v>
      </c>
      <c r="D1152">
        <v>69</v>
      </c>
      <c r="E1152" t="s">
        <v>234</v>
      </c>
      <c r="F1152">
        <v>40</v>
      </c>
      <c r="G1152">
        <v>34299.61</v>
      </c>
      <c r="H1152">
        <v>0</v>
      </c>
      <c r="I1152">
        <v>0</v>
      </c>
      <c r="J1152">
        <v>4198.3500000000004</v>
      </c>
      <c r="K1152">
        <v>0</v>
      </c>
      <c r="L1152">
        <v>730.72</v>
      </c>
      <c r="M1152">
        <v>4198.3500000000004</v>
      </c>
      <c r="N1152">
        <v>12.24</v>
      </c>
      <c r="O1152">
        <v>30101.26</v>
      </c>
      <c r="P1152">
        <v>0</v>
      </c>
      <c r="Q1152" t="str">
        <f>INDEX(pARTNER[#All],MATCH(#REF!,pARTNER[[#All],[Value.partnerSummary.id]],0),10)</f>
        <v>Slovenija (SI)</v>
      </c>
      <c r="R1152" t="str">
        <f>INDEX('Partner data'!$A$2:$DG$171,MATCH(#REF!,'Partner data'!$DG$2:$DG$171,0),83)</f>
        <v>Soggetto pubblico</v>
      </c>
      <c r="S1152" s="86" t="b">
        <f>IF(#REF!="staff",INDEX('Partner data'!$DG$2:$DH$171,MATCH(#REF!,'Partner data'!$DG$2:$DG$171,0),2))</f>
        <v>0</v>
      </c>
    </row>
    <row r="1153" spans="1:19" x14ac:dyDescent="0.25">
      <c r="A1153" t="s">
        <v>59</v>
      </c>
      <c r="B1153" t="s">
        <v>49</v>
      </c>
      <c r="C1153">
        <v>321</v>
      </c>
      <c r="D1153">
        <v>69</v>
      </c>
      <c r="E1153" t="s">
        <v>235</v>
      </c>
      <c r="G1153">
        <v>0</v>
      </c>
      <c r="H1153">
        <v>0</v>
      </c>
      <c r="I1153">
        <v>0</v>
      </c>
      <c r="J1153">
        <v>0</v>
      </c>
      <c r="K1153">
        <v>0</v>
      </c>
      <c r="L1153">
        <v>0</v>
      </c>
      <c r="M1153">
        <v>0</v>
      </c>
      <c r="N1153">
        <v>0</v>
      </c>
      <c r="O1153">
        <v>0</v>
      </c>
      <c r="P1153">
        <v>0</v>
      </c>
      <c r="Q1153" t="str">
        <f>INDEX(pARTNER[#All],MATCH(#REF!,pARTNER[[#All],[Value.partnerSummary.id]],0),10)</f>
        <v>Slovenija (SI)</v>
      </c>
      <c r="R1153" t="str">
        <f>INDEX('Partner data'!$A$2:$DG$171,MATCH(#REF!,'Partner data'!$DG$2:$DG$171,0),83)</f>
        <v>Soggetto pubblico</v>
      </c>
      <c r="S1153" s="86" t="b">
        <f>IF(#REF!="staff",INDEX('Partner data'!$DG$2:$DH$171,MATCH(#REF!,'Partner data'!$DG$2:$DG$171,0),2))</f>
        <v>0</v>
      </c>
    </row>
    <row r="1154" spans="1:19" x14ac:dyDescent="0.25">
      <c r="A1154" t="s">
        <v>59</v>
      </c>
      <c r="B1154" t="s">
        <v>49</v>
      </c>
      <c r="C1154">
        <v>321</v>
      </c>
      <c r="D1154">
        <v>69</v>
      </c>
      <c r="E1154" t="s">
        <v>236</v>
      </c>
      <c r="G1154">
        <v>0</v>
      </c>
      <c r="H1154">
        <v>0</v>
      </c>
      <c r="I1154">
        <v>0</v>
      </c>
      <c r="J1154">
        <v>0</v>
      </c>
      <c r="K1154">
        <v>0</v>
      </c>
      <c r="L1154">
        <v>0</v>
      </c>
      <c r="M1154">
        <v>0</v>
      </c>
      <c r="N1154">
        <v>0</v>
      </c>
      <c r="O1154">
        <v>0</v>
      </c>
      <c r="P1154">
        <v>0</v>
      </c>
      <c r="Q1154" t="str">
        <f>INDEX(pARTNER[#All],MATCH(#REF!,pARTNER[[#All],[Value.partnerSummary.id]],0),10)</f>
        <v>Slovenija (SI)</v>
      </c>
      <c r="R1154" t="str">
        <f>INDEX('Partner data'!$A$2:$DG$171,MATCH(#REF!,'Partner data'!$DG$2:$DG$171,0),83)</f>
        <v>Soggetto pubblico</v>
      </c>
      <c r="S1154" s="86" t="b">
        <f>IF(#REF!="staff",INDEX('Partner data'!$DG$2:$DH$171,MATCH(#REF!,'Partner data'!$DG$2:$DG$171,0),2))</f>
        <v>0</v>
      </c>
    </row>
    <row r="1155" spans="1:19" x14ac:dyDescent="0.25">
      <c r="A1155" t="s">
        <v>59</v>
      </c>
      <c r="B1155" t="s">
        <v>49</v>
      </c>
      <c r="C1155">
        <v>321</v>
      </c>
      <c r="D1155">
        <v>69</v>
      </c>
      <c r="E1155" t="s">
        <v>237</v>
      </c>
      <c r="G1155">
        <v>0</v>
      </c>
      <c r="H1155">
        <v>0</v>
      </c>
      <c r="I1155">
        <v>0</v>
      </c>
      <c r="J1155">
        <v>0</v>
      </c>
      <c r="K1155">
        <v>0</v>
      </c>
      <c r="L1155">
        <v>0</v>
      </c>
      <c r="M1155">
        <v>0</v>
      </c>
      <c r="N1155">
        <v>0</v>
      </c>
      <c r="O1155">
        <v>0</v>
      </c>
      <c r="P1155">
        <v>0</v>
      </c>
      <c r="Q1155" t="str">
        <f>INDEX(pARTNER[#All],MATCH(#REF!,pARTNER[[#All],[Value.partnerSummary.id]],0),10)</f>
        <v>Slovenija (SI)</v>
      </c>
      <c r="R1155" t="str">
        <f>INDEX('Partner data'!$A$2:$DG$171,MATCH(#REF!,'Partner data'!$DG$2:$DG$171,0),83)</f>
        <v>Soggetto pubblico</v>
      </c>
      <c r="S1155" s="86" t="b">
        <f>IF(#REF!="staff",INDEX('Partner data'!$DG$2:$DH$171,MATCH(#REF!,'Partner data'!$DG$2:$DG$171,0),2))</f>
        <v>0</v>
      </c>
    </row>
    <row r="1156" spans="1:19" x14ac:dyDescent="0.25">
      <c r="A1156" t="s">
        <v>59</v>
      </c>
      <c r="B1156" t="s">
        <v>49</v>
      </c>
      <c r="C1156">
        <v>321</v>
      </c>
      <c r="D1156">
        <v>69</v>
      </c>
      <c r="E1156" t="s">
        <v>238</v>
      </c>
      <c r="G1156">
        <v>120048.65</v>
      </c>
      <c r="H1156">
        <v>0</v>
      </c>
      <c r="I1156">
        <v>0</v>
      </c>
      <c r="J1156">
        <v>14694.23</v>
      </c>
      <c r="K1156">
        <v>0</v>
      </c>
      <c r="L1156">
        <v>2557.52</v>
      </c>
      <c r="M1156">
        <v>14694.23</v>
      </c>
      <c r="N1156">
        <v>12.24</v>
      </c>
      <c r="O1156">
        <v>105354.42</v>
      </c>
      <c r="P1156">
        <v>0</v>
      </c>
      <c r="Q1156" t="str">
        <f>INDEX(pARTNER[#All],MATCH(#REF!,pARTNER[[#All],[Value.partnerSummary.id]],0),10)</f>
        <v>Slovenija (SI)</v>
      </c>
      <c r="R1156" t="str">
        <f>INDEX('Partner data'!$A$2:$DG$171,MATCH(#REF!,'Partner data'!$DG$2:$DG$171,0),83)</f>
        <v>Soggetto pubblico</v>
      </c>
      <c r="S1156" s="86" t="b">
        <f>IF(#REF!="staff",INDEX('Partner data'!$DG$2:$DH$171,MATCH(#REF!,'Partner data'!$DG$2:$DG$171,0),2))</f>
        <v>0</v>
      </c>
    </row>
    <row r="1157" spans="1:19" x14ac:dyDescent="0.25">
      <c r="A1157" t="s">
        <v>59</v>
      </c>
      <c r="B1157" t="s">
        <v>4547</v>
      </c>
      <c r="C1157">
        <v>315</v>
      </c>
      <c r="D1157">
        <v>109</v>
      </c>
      <c r="E1157" t="s">
        <v>228</v>
      </c>
      <c r="G1157">
        <v>0</v>
      </c>
      <c r="H1157">
        <v>0</v>
      </c>
      <c r="I1157">
        <v>0</v>
      </c>
      <c r="J1157">
        <v>0</v>
      </c>
      <c r="K1157">
        <v>0</v>
      </c>
      <c r="L1157">
        <v>0</v>
      </c>
      <c r="M1157">
        <v>0</v>
      </c>
      <c r="N1157">
        <v>0</v>
      </c>
      <c r="O1157">
        <v>0</v>
      </c>
      <c r="P1157">
        <v>0</v>
      </c>
      <c r="Q1157" t="str">
        <f>INDEX(pARTNER[#All],MATCH(#REF!,pARTNER[[#All],[Value.partnerSummary.id]],0),10)</f>
        <v>Slovenija (SI)</v>
      </c>
      <c r="R1157" t="str">
        <f>INDEX('Partner data'!$A$2:$DG$171,MATCH(#REF!,'Partner data'!$DG$2:$DG$171,0),83)</f>
        <v>Soggetto pubblico</v>
      </c>
      <c r="S1157" s="86" t="str">
        <f>IF(#REF!="staff",INDEX('Partner data'!$DG$2:$DH$171,MATCH(#REF!,'Partner data'!$DG$2:$DG$171,0),2))</f>
        <v>BL1 non presente</v>
      </c>
    </row>
    <row r="1158" spans="1:19" x14ac:dyDescent="0.25">
      <c r="A1158" t="s">
        <v>59</v>
      </c>
      <c r="B1158" t="s">
        <v>4547</v>
      </c>
      <c r="C1158">
        <v>315</v>
      </c>
      <c r="D1158">
        <v>109</v>
      </c>
      <c r="E1158" t="s">
        <v>229</v>
      </c>
      <c r="G1158">
        <v>0</v>
      </c>
      <c r="H1158">
        <v>0</v>
      </c>
      <c r="I1158">
        <v>0</v>
      </c>
      <c r="J1158">
        <v>0</v>
      </c>
      <c r="K1158">
        <v>0</v>
      </c>
      <c r="L1158">
        <v>0</v>
      </c>
      <c r="M1158">
        <v>0</v>
      </c>
      <c r="N1158">
        <v>0</v>
      </c>
      <c r="O1158">
        <v>0</v>
      </c>
      <c r="P1158">
        <v>0</v>
      </c>
      <c r="Q1158" t="str">
        <f>INDEX(pARTNER[#All],MATCH(#REF!,pARTNER[[#All],[Value.partnerSummary.id]],0),10)</f>
        <v>Slovenija (SI)</v>
      </c>
      <c r="R1158" t="str">
        <f>INDEX('Partner data'!$A$2:$DG$171,MATCH(#REF!,'Partner data'!$DG$2:$DG$171,0),83)</f>
        <v>Soggetto pubblico</v>
      </c>
      <c r="S1158" s="86" t="b">
        <f>IF(#REF!="staff",INDEX('Partner data'!$DG$2:$DH$171,MATCH(#REF!,'Partner data'!$DG$2:$DG$171,0),2))</f>
        <v>0</v>
      </c>
    </row>
    <row r="1159" spans="1:19" x14ac:dyDescent="0.25">
      <c r="A1159" t="s">
        <v>59</v>
      </c>
      <c r="B1159" t="s">
        <v>4547</v>
      </c>
      <c r="C1159">
        <v>315</v>
      </c>
      <c r="D1159">
        <v>109</v>
      </c>
      <c r="E1159" t="s">
        <v>230</v>
      </c>
      <c r="G1159">
        <v>0</v>
      </c>
      <c r="H1159">
        <v>0</v>
      </c>
      <c r="I1159">
        <v>0</v>
      </c>
      <c r="J1159">
        <v>0</v>
      </c>
      <c r="K1159">
        <v>0</v>
      </c>
      <c r="L1159">
        <v>0</v>
      </c>
      <c r="M1159">
        <v>0</v>
      </c>
      <c r="N1159">
        <v>0</v>
      </c>
      <c r="O1159">
        <v>0</v>
      </c>
      <c r="P1159">
        <v>0</v>
      </c>
      <c r="Q1159" t="str">
        <f>INDEX(pARTNER[#All],MATCH(#REF!,pARTNER[[#All],[Value.partnerSummary.id]],0),10)</f>
        <v>Slovenija (SI)</v>
      </c>
      <c r="R1159" t="str">
        <f>INDEX('Partner data'!$A$2:$DG$171,MATCH(#REF!,'Partner data'!$DG$2:$DG$171,0),83)</f>
        <v>Soggetto pubblico</v>
      </c>
      <c r="S1159" s="86" t="b">
        <f>IF(#REF!="staff",INDEX('Partner data'!$DG$2:$DH$171,MATCH(#REF!,'Partner data'!$DG$2:$DG$171,0),2))</f>
        <v>0</v>
      </c>
    </row>
    <row r="1160" spans="1:19" x14ac:dyDescent="0.25">
      <c r="A1160" t="s">
        <v>59</v>
      </c>
      <c r="B1160" t="s">
        <v>4547</v>
      </c>
      <c r="C1160">
        <v>315</v>
      </c>
      <c r="D1160">
        <v>109</v>
      </c>
      <c r="E1160" t="s">
        <v>231</v>
      </c>
      <c r="G1160">
        <v>24000</v>
      </c>
      <c r="H1160">
        <v>0</v>
      </c>
      <c r="I1160">
        <v>0</v>
      </c>
      <c r="J1160">
        <v>0</v>
      </c>
      <c r="K1160">
        <v>0</v>
      </c>
      <c r="L1160">
        <v>0</v>
      </c>
      <c r="M1160">
        <v>0</v>
      </c>
      <c r="N1160">
        <v>0</v>
      </c>
      <c r="O1160">
        <v>24000</v>
      </c>
      <c r="P1160">
        <v>0</v>
      </c>
      <c r="Q1160" t="str">
        <f>INDEX(pARTNER[#All],MATCH(#REF!,pARTNER[[#All],[Value.partnerSummary.id]],0),10)</f>
        <v>Slovenija (SI)</v>
      </c>
      <c r="R1160" t="str">
        <f>INDEX('Partner data'!$A$2:$DG$171,MATCH(#REF!,'Partner data'!$DG$2:$DG$171,0),83)</f>
        <v>Soggetto pubblico</v>
      </c>
      <c r="S1160" s="86" t="b">
        <f>IF(#REF!="staff",INDEX('Partner data'!$DG$2:$DH$171,MATCH(#REF!,'Partner data'!$DG$2:$DG$171,0),2))</f>
        <v>0</v>
      </c>
    </row>
    <row r="1161" spans="1:19" x14ac:dyDescent="0.25">
      <c r="A1161" t="s">
        <v>59</v>
      </c>
      <c r="B1161" t="s">
        <v>4547</v>
      </c>
      <c r="C1161">
        <v>315</v>
      </c>
      <c r="D1161">
        <v>109</v>
      </c>
      <c r="E1161" t="s">
        <v>232</v>
      </c>
      <c r="G1161">
        <v>100001</v>
      </c>
      <c r="H1161">
        <v>0</v>
      </c>
      <c r="I1161">
        <v>0</v>
      </c>
      <c r="J1161">
        <v>0</v>
      </c>
      <c r="K1161">
        <v>0</v>
      </c>
      <c r="L1161">
        <v>0</v>
      </c>
      <c r="M1161">
        <v>0</v>
      </c>
      <c r="N1161">
        <v>0</v>
      </c>
      <c r="O1161">
        <v>100001</v>
      </c>
      <c r="P1161">
        <v>0</v>
      </c>
      <c r="Q1161" t="str">
        <f>INDEX(pARTNER[#All],MATCH(#REF!,pARTNER[[#All],[Value.partnerSummary.id]],0),10)</f>
        <v>Slovenija (SI)</v>
      </c>
      <c r="R1161" t="str">
        <f>INDEX('Partner data'!$A$2:$DG$171,MATCH(#REF!,'Partner data'!$DG$2:$DG$171,0),83)</f>
        <v>Soggetto pubblico</v>
      </c>
      <c r="S1161" s="86" t="b">
        <f>IF(#REF!="staff",INDEX('Partner data'!$DG$2:$DH$171,MATCH(#REF!,'Partner data'!$DG$2:$DG$171,0),2))</f>
        <v>0</v>
      </c>
    </row>
    <row r="1162" spans="1:19" x14ac:dyDescent="0.25">
      <c r="A1162" t="s">
        <v>59</v>
      </c>
      <c r="B1162" t="s">
        <v>4547</v>
      </c>
      <c r="C1162">
        <v>315</v>
      </c>
      <c r="D1162">
        <v>109</v>
      </c>
      <c r="E1162" t="s">
        <v>233</v>
      </c>
      <c r="G1162">
        <v>576000</v>
      </c>
      <c r="H1162">
        <v>0</v>
      </c>
      <c r="I1162">
        <v>0</v>
      </c>
      <c r="J1162">
        <v>0</v>
      </c>
      <c r="K1162">
        <v>0</v>
      </c>
      <c r="L1162">
        <v>0</v>
      </c>
      <c r="M1162">
        <v>0</v>
      </c>
      <c r="N1162">
        <v>0</v>
      </c>
      <c r="O1162">
        <v>576000</v>
      </c>
      <c r="P1162">
        <v>0</v>
      </c>
      <c r="Q1162" t="str">
        <f>INDEX(pARTNER[#All],MATCH(#REF!,pARTNER[[#All],[Value.partnerSummary.id]],0),10)</f>
        <v>Slovenija (SI)</v>
      </c>
      <c r="R1162" t="str">
        <f>INDEX('Partner data'!$A$2:$DG$171,MATCH(#REF!,'Partner data'!$DG$2:$DG$171,0),83)</f>
        <v>Soggetto pubblico</v>
      </c>
      <c r="S1162" s="86" t="b">
        <f>IF(#REF!="staff",INDEX('Partner data'!$DG$2:$DH$171,MATCH(#REF!,'Partner data'!$DG$2:$DG$171,0),2))</f>
        <v>0</v>
      </c>
    </row>
    <row r="1163" spans="1:19" x14ac:dyDescent="0.25">
      <c r="A1163" t="s">
        <v>59</v>
      </c>
      <c r="B1163" t="s">
        <v>4547</v>
      </c>
      <c r="C1163">
        <v>315</v>
      </c>
      <c r="D1163">
        <v>109</v>
      </c>
      <c r="E1163" t="s">
        <v>234</v>
      </c>
      <c r="G1163">
        <v>0</v>
      </c>
      <c r="H1163">
        <v>0</v>
      </c>
      <c r="I1163">
        <v>0</v>
      </c>
      <c r="J1163">
        <v>0</v>
      </c>
      <c r="K1163">
        <v>0</v>
      </c>
      <c r="L1163">
        <v>0</v>
      </c>
      <c r="M1163">
        <v>0</v>
      </c>
      <c r="N1163">
        <v>0</v>
      </c>
      <c r="O1163">
        <v>0</v>
      </c>
      <c r="P1163">
        <v>0</v>
      </c>
      <c r="Q1163" t="str">
        <f>INDEX(pARTNER[#All],MATCH(#REF!,pARTNER[[#All],[Value.partnerSummary.id]],0),10)</f>
        <v>Slovenija (SI)</v>
      </c>
      <c r="R1163" t="str">
        <f>INDEX('Partner data'!$A$2:$DG$171,MATCH(#REF!,'Partner data'!$DG$2:$DG$171,0),83)</f>
        <v>Soggetto pubblico</v>
      </c>
      <c r="S1163" s="86" t="b">
        <f>IF(#REF!="staff",INDEX('Partner data'!$DG$2:$DH$171,MATCH(#REF!,'Partner data'!$DG$2:$DG$171,0),2))</f>
        <v>0</v>
      </c>
    </row>
    <row r="1164" spans="1:19" x14ac:dyDescent="0.25">
      <c r="A1164" t="s">
        <v>59</v>
      </c>
      <c r="B1164" t="s">
        <v>4547</v>
      </c>
      <c r="C1164">
        <v>315</v>
      </c>
      <c r="D1164">
        <v>109</v>
      </c>
      <c r="E1164" t="s">
        <v>235</v>
      </c>
      <c r="G1164">
        <v>0</v>
      </c>
      <c r="H1164">
        <v>0</v>
      </c>
      <c r="I1164">
        <v>0</v>
      </c>
      <c r="J1164">
        <v>0</v>
      </c>
      <c r="K1164">
        <v>0</v>
      </c>
      <c r="L1164">
        <v>0</v>
      </c>
      <c r="M1164">
        <v>0</v>
      </c>
      <c r="N1164">
        <v>0</v>
      </c>
      <c r="O1164">
        <v>0</v>
      </c>
      <c r="P1164">
        <v>0</v>
      </c>
      <c r="Q1164" t="str">
        <f>INDEX(pARTNER[#All],MATCH(#REF!,pARTNER[[#All],[Value.partnerSummary.id]],0),10)</f>
        <v>Slovenija (SI)</v>
      </c>
      <c r="R1164" t="str">
        <f>INDEX('Partner data'!$A$2:$DG$171,MATCH(#REF!,'Partner data'!$DG$2:$DG$171,0),83)</f>
        <v>Soggetto pubblico</v>
      </c>
      <c r="S1164" s="86" t="b">
        <f>IF(#REF!="staff",INDEX('Partner data'!$DG$2:$DH$171,MATCH(#REF!,'Partner data'!$DG$2:$DG$171,0),2))</f>
        <v>0</v>
      </c>
    </row>
    <row r="1165" spans="1:19" x14ac:dyDescent="0.25">
      <c r="A1165" t="s">
        <v>59</v>
      </c>
      <c r="B1165" t="s">
        <v>4547</v>
      </c>
      <c r="C1165">
        <v>315</v>
      </c>
      <c r="D1165">
        <v>109</v>
      </c>
      <c r="E1165" t="s">
        <v>236</v>
      </c>
      <c r="G1165">
        <v>0</v>
      </c>
      <c r="H1165">
        <v>0</v>
      </c>
      <c r="I1165">
        <v>0</v>
      </c>
      <c r="J1165">
        <v>0</v>
      </c>
      <c r="K1165">
        <v>0</v>
      </c>
      <c r="L1165">
        <v>0</v>
      </c>
      <c r="M1165">
        <v>0</v>
      </c>
      <c r="N1165">
        <v>0</v>
      </c>
      <c r="O1165">
        <v>0</v>
      </c>
      <c r="P1165">
        <v>0</v>
      </c>
      <c r="Q1165" t="str">
        <f>INDEX(pARTNER[#All],MATCH(#REF!,pARTNER[[#All],[Value.partnerSummary.id]],0),10)</f>
        <v>Slovenija (SI)</v>
      </c>
      <c r="R1165" t="str">
        <f>INDEX('Partner data'!$A$2:$DG$171,MATCH(#REF!,'Partner data'!$DG$2:$DG$171,0),83)</f>
        <v>Soggetto pubblico</v>
      </c>
      <c r="S1165" s="86" t="b">
        <f>IF(#REF!="staff",INDEX('Partner data'!$DG$2:$DH$171,MATCH(#REF!,'Partner data'!$DG$2:$DG$171,0),2))</f>
        <v>0</v>
      </c>
    </row>
    <row r="1166" spans="1:19" x14ac:dyDescent="0.25">
      <c r="A1166" t="s">
        <v>59</v>
      </c>
      <c r="B1166" t="s">
        <v>4547</v>
      </c>
      <c r="C1166">
        <v>315</v>
      </c>
      <c r="D1166">
        <v>109</v>
      </c>
      <c r="E1166" t="s">
        <v>237</v>
      </c>
      <c r="G1166">
        <v>0</v>
      </c>
      <c r="H1166">
        <v>0</v>
      </c>
      <c r="I1166">
        <v>0</v>
      </c>
      <c r="J1166">
        <v>0</v>
      </c>
      <c r="K1166">
        <v>0</v>
      </c>
      <c r="L1166">
        <v>0</v>
      </c>
      <c r="M1166">
        <v>0</v>
      </c>
      <c r="N1166">
        <v>0</v>
      </c>
      <c r="O1166">
        <v>0</v>
      </c>
      <c r="P1166">
        <v>0</v>
      </c>
      <c r="Q1166" t="str">
        <f>INDEX(pARTNER[#All],MATCH(#REF!,pARTNER[[#All],[Value.partnerSummary.id]],0),10)</f>
        <v>Slovenija (SI)</v>
      </c>
      <c r="R1166" t="str">
        <f>INDEX('Partner data'!$A$2:$DG$171,MATCH(#REF!,'Partner data'!$DG$2:$DG$171,0),83)</f>
        <v>Soggetto pubblico</v>
      </c>
      <c r="S1166" s="86" t="b">
        <f>IF(#REF!="staff",INDEX('Partner data'!$DG$2:$DH$171,MATCH(#REF!,'Partner data'!$DG$2:$DG$171,0),2))</f>
        <v>0</v>
      </c>
    </row>
    <row r="1167" spans="1:19" x14ac:dyDescent="0.25">
      <c r="A1167" t="s">
        <v>59</v>
      </c>
      <c r="B1167" t="s">
        <v>4547</v>
      </c>
      <c r="C1167">
        <v>315</v>
      </c>
      <c r="D1167">
        <v>109</v>
      </c>
      <c r="E1167" t="s">
        <v>238</v>
      </c>
      <c r="G1167">
        <v>700001</v>
      </c>
      <c r="H1167">
        <v>0</v>
      </c>
      <c r="I1167">
        <v>0</v>
      </c>
      <c r="J1167">
        <v>0</v>
      </c>
      <c r="K1167">
        <v>0</v>
      </c>
      <c r="L1167">
        <v>0</v>
      </c>
      <c r="M1167">
        <v>0</v>
      </c>
      <c r="N1167">
        <v>0</v>
      </c>
      <c r="O1167">
        <v>700001</v>
      </c>
      <c r="P1167">
        <v>0</v>
      </c>
      <c r="Q1167" t="str">
        <f>INDEX(pARTNER[#All],MATCH(#REF!,pARTNER[[#All],[Value.partnerSummary.id]],0),10)</f>
        <v>Slovenija (SI)</v>
      </c>
      <c r="R1167" t="str">
        <f>INDEX('Partner data'!$A$2:$DG$171,MATCH(#REF!,'Partner data'!$DG$2:$DG$171,0),83)</f>
        <v>Soggetto pubblico</v>
      </c>
      <c r="S1167" s="86" t="b">
        <f>IF(#REF!="staff",INDEX('Partner data'!$DG$2:$DH$171,MATCH(#REF!,'Partner data'!$DG$2:$DG$171,0),2))</f>
        <v>0</v>
      </c>
    </row>
    <row r="1168" spans="1:19" x14ac:dyDescent="0.25">
      <c r="A1168" t="s">
        <v>59</v>
      </c>
      <c r="B1168" t="s">
        <v>4547</v>
      </c>
      <c r="C1168">
        <v>315</v>
      </c>
      <c r="D1168">
        <v>328</v>
      </c>
      <c r="E1168" t="s">
        <v>228</v>
      </c>
      <c r="G1168">
        <v>0</v>
      </c>
      <c r="H1168">
        <v>0</v>
      </c>
      <c r="I1168">
        <v>0</v>
      </c>
      <c r="J1168">
        <v>0</v>
      </c>
      <c r="K1168">
        <v>0</v>
      </c>
      <c r="L1168">
        <v>0</v>
      </c>
      <c r="M1168">
        <v>0</v>
      </c>
      <c r="N1168">
        <v>0</v>
      </c>
      <c r="O1168">
        <v>0</v>
      </c>
      <c r="P1168">
        <v>0</v>
      </c>
      <c r="Q1168" t="str">
        <f>INDEX(pARTNER[#All],MATCH(#REF!,pARTNER[[#All],[Value.partnerSummary.id]],0),10)</f>
        <v>Slovenija (SI)</v>
      </c>
      <c r="R1168" t="str">
        <f>INDEX('Partner data'!$A$2:$DG$171,MATCH(#REF!,'Partner data'!$DG$2:$DG$171,0),83)</f>
        <v>Soggetto pubblico</v>
      </c>
      <c r="S1168" s="86" t="str">
        <f>IF(#REF!="staff",INDEX('Partner data'!$DG$2:$DH$171,MATCH(#REF!,'Partner data'!$DG$2:$DG$171,0),2))</f>
        <v>BL1 non presente</v>
      </c>
    </row>
    <row r="1169" spans="1:19" x14ac:dyDescent="0.25">
      <c r="A1169" t="s">
        <v>59</v>
      </c>
      <c r="B1169" t="s">
        <v>4547</v>
      </c>
      <c r="C1169">
        <v>315</v>
      </c>
      <c r="D1169">
        <v>328</v>
      </c>
      <c r="E1169" t="s">
        <v>229</v>
      </c>
      <c r="G1169">
        <v>0</v>
      </c>
      <c r="H1169">
        <v>0</v>
      </c>
      <c r="I1169">
        <v>0</v>
      </c>
      <c r="J1169">
        <v>0</v>
      </c>
      <c r="K1169">
        <v>0</v>
      </c>
      <c r="L1169">
        <v>0</v>
      </c>
      <c r="M1169">
        <v>0</v>
      </c>
      <c r="N1169">
        <v>0</v>
      </c>
      <c r="O1169">
        <v>0</v>
      </c>
      <c r="P1169">
        <v>0</v>
      </c>
      <c r="Q1169" t="str">
        <f>INDEX(pARTNER[#All],MATCH(#REF!,pARTNER[[#All],[Value.partnerSummary.id]],0),10)</f>
        <v>Slovenija (SI)</v>
      </c>
      <c r="R1169" t="str">
        <f>INDEX('Partner data'!$A$2:$DG$171,MATCH(#REF!,'Partner data'!$DG$2:$DG$171,0),83)</f>
        <v>Soggetto pubblico</v>
      </c>
      <c r="S1169" s="86" t="b">
        <f>IF(#REF!="staff",INDEX('Partner data'!$DG$2:$DH$171,MATCH(#REF!,'Partner data'!$DG$2:$DG$171,0),2))</f>
        <v>0</v>
      </c>
    </row>
    <row r="1170" spans="1:19" x14ac:dyDescent="0.25">
      <c r="A1170" t="s">
        <v>59</v>
      </c>
      <c r="B1170" t="s">
        <v>4547</v>
      </c>
      <c r="C1170">
        <v>315</v>
      </c>
      <c r="D1170">
        <v>328</v>
      </c>
      <c r="E1170" t="s">
        <v>230</v>
      </c>
      <c r="G1170">
        <v>0</v>
      </c>
      <c r="H1170">
        <v>0</v>
      </c>
      <c r="I1170">
        <v>0</v>
      </c>
      <c r="J1170">
        <v>0</v>
      </c>
      <c r="K1170">
        <v>0</v>
      </c>
      <c r="L1170">
        <v>0</v>
      </c>
      <c r="M1170">
        <v>0</v>
      </c>
      <c r="N1170">
        <v>0</v>
      </c>
      <c r="O1170">
        <v>0</v>
      </c>
      <c r="P1170">
        <v>0</v>
      </c>
      <c r="Q1170" t="str">
        <f>INDEX(pARTNER[#All],MATCH(#REF!,pARTNER[[#All],[Value.partnerSummary.id]],0),10)</f>
        <v>Slovenija (SI)</v>
      </c>
      <c r="R1170" t="str">
        <f>INDEX('Partner data'!$A$2:$DG$171,MATCH(#REF!,'Partner data'!$DG$2:$DG$171,0),83)</f>
        <v>Soggetto pubblico</v>
      </c>
      <c r="S1170" s="86" t="b">
        <f>IF(#REF!="staff",INDEX('Partner data'!$DG$2:$DH$171,MATCH(#REF!,'Partner data'!$DG$2:$DG$171,0),2))</f>
        <v>0</v>
      </c>
    </row>
    <row r="1171" spans="1:19" x14ac:dyDescent="0.25">
      <c r="A1171" t="s">
        <v>59</v>
      </c>
      <c r="B1171" t="s">
        <v>4547</v>
      </c>
      <c r="C1171">
        <v>315</v>
      </c>
      <c r="D1171">
        <v>328</v>
      </c>
      <c r="E1171" t="s">
        <v>231</v>
      </c>
      <c r="G1171">
        <v>24000</v>
      </c>
      <c r="H1171">
        <v>0</v>
      </c>
      <c r="I1171">
        <v>0</v>
      </c>
      <c r="J1171">
        <v>0</v>
      </c>
      <c r="K1171">
        <v>0</v>
      </c>
      <c r="L1171">
        <v>0</v>
      </c>
      <c r="M1171">
        <v>0</v>
      </c>
      <c r="N1171">
        <v>0</v>
      </c>
      <c r="O1171">
        <v>24000</v>
      </c>
      <c r="P1171">
        <v>0</v>
      </c>
      <c r="Q1171" t="str">
        <f>INDEX(pARTNER[#All],MATCH(#REF!,pARTNER[[#All],[Value.partnerSummary.id]],0),10)</f>
        <v>Slovenija (SI)</v>
      </c>
      <c r="R1171" t="str">
        <f>INDEX('Partner data'!$A$2:$DG$171,MATCH(#REF!,'Partner data'!$DG$2:$DG$171,0),83)</f>
        <v>Soggetto pubblico</v>
      </c>
      <c r="S1171" s="86" t="b">
        <f>IF(#REF!="staff",INDEX('Partner data'!$DG$2:$DH$171,MATCH(#REF!,'Partner data'!$DG$2:$DG$171,0),2))</f>
        <v>0</v>
      </c>
    </row>
    <row r="1172" spans="1:19" x14ac:dyDescent="0.25">
      <c r="A1172" t="s">
        <v>59</v>
      </c>
      <c r="B1172" t="s">
        <v>4547</v>
      </c>
      <c r="C1172">
        <v>315</v>
      </c>
      <c r="D1172">
        <v>328</v>
      </c>
      <c r="E1172" t="s">
        <v>232</v>
      </c>
      <c r="G1172">
        <v>100001</v>
      </c>
      <c r="H1172">
        <v>0</v>
      </c>
      <c r="I1172">
        <v>0</v>
      </c>
      <c r="J1172">
        <v>0</v>
      </c>
      <c r="K1172">
        <v>0</v>
      </c>
      <c r="L1172">
        <v>0</v>
      </c>
      <c r="M1172">
        <v>0</v>
      </c>
      <c r="N1172">
        <v>0</v>
      </c>
      <c r="O1172">
        <v>100001</v>
      </c>
      <c r="P1172">
        <v>0</v>
      </c>
      <c r="Q1172" t="str">
        <f>INDEX(pARTNER[#All],MATCH(#REF!,pARTNER[[#All],[Value.partnerSummary.id]],0),10)</f>
        <v>Slovenija (SI)</v>
      </c>
      <c r="R1172" t="str">
        <f>INDEX('Partner data'!$A$2:$DG$171,MATCH(#REF!,'Partner data'!$DG$2:$DG$171,0),83)</f>
        <v>Soggetto pubblico</v>
      </c>
      <c r="S1172" s="86" t="b">
        <f>IF(#REF!="staff",INDEX('Partner data'!$DG$2:$DH$171,MATCH(#REF!,'Partner data'!$DG$2:$DG$171,0),2))</f>
        <v>0</v>
      </c>
    </row>
    <row r="1173" spans="1:19" x14ac:dyDescent="0.25">
      <c r="A1173" t="s">
        <v>59</v>
      </c>
      <c r="B1173" t="s">
        <v>4547</v>
      </c>
      <c r="C1173">
        <v>315</v>
      </c>
      <c r="D1173">
        <v>328</v>
      </c>
      <c r="E1173" t="s">
        <v>233</v>
      </c>
      <c r="G1173">
        <v>576000</v>
      </c>
      <c r="H1173">
        <v>0</v>
      </c>
      <c r="I1173">
        <v>0</v>
      </c>
      <c r="J1173">
        <v>0</v>
      </c>
      <c r="K1173">
        <v>0</v>
      </c>
      <c r="L1173">
        <v>0</v>
      </c>
      <c r="M1173">
        <v>0</v>
      </c>
      <c r="N1173">
        <v>0</v>
      </c>
      <c r="O1173">
        <v>576000</v>
      </c>
      <c r="P1173">
        <v>0</v>
      </c>
      <c r="Q1173" t="str">
        <f>INDEX(pARTNER[#All],MATCH(#REF!,pARTNER[[#All],[Value.partnerSummary.id]],0),10)</f>
        <v>Slovenija (SI)</v>
      </c>
      <c r="R1173" t="str">
        <f>INDEX('Partner data'!$A$2:$DG$171,MATCH(#REF!,'Partner data'!$DG$2:$DG$171,0),83)</f>
        <v>Soggetto pubblico</v>
      </c>
      <c r="S1173" s="86" t="b">
        <f>IF(#REF!="staff",INDEX('Partner data'!$DG$2:$DH$171,MATCH(#REF!,'Partner data'!$DG$2:$DG$171,0),2))</f>
        <v>0</v>
      </c>
    </row>
    <row r="1174" spans="1:19" x14ac:dyDescent="0.25">
      <c r="A1174" t="s">
        <v>59</v>
      </c>
      <c r="B1174" t="s">
        <v>4547</v>
      </c>
      <c r="C1174">
        <v>315</v>
      </c>
      <c r="D1174">
        <v>328</v>
      </c>
      <c r="E1174" t="s">
        <v>234</v>
      </c>
      <c r="G1174">
        <v>0</v>
      </c>
      <c r="H1174">
        <v>0</v>
      </c>
      <c r="I1174">
        <v>0</v>
      </c>
      <c r="J1174">
        <v>0</v>
      </c>
      <c r="K1174">
        <v>0</v>
      </c>
      <c r="L1174">
        <v>0</v>
      </c>
      <c r="M1174">
        <v>0</v>
      </c>
      <c r="N1174">
        <v>0</v>
      </c>
      <c r="O1174">
        <v>0</v>
      </c>
      <c r="P1174">
        <v>0</v>
      </c>
      <c r="Q1174" t="str">
        <f>INDEX(pARTNER[#All],MATCH(#REF!,pARTNER[[#All],[Value.partnerSummary.id]],0),10)</f>
        <v>Slovenija (SI)</v>
      </c>
      <c r="R1174" t="str">
        <f>INDEX('Partner data'!$A$2:$DG$171,MATCH(#REF!,'Partner data'!$DG$2:$DG$171,0),83)</f>
        <v>Soggetto pubblico</v>
      </c>
      <c r="S1174" s="86" t="b">
        <f>IF(#REF!="staff",INDEX('Partner data'!$DG$2:$DH$171,MATCH(#REF!,'Partner data'!$DG$2:$DG$171,0),2))</f>
        <v>0</v>
      </c>
    </row>
    <row r="1175" spans="1:19" x14ac:dyDescent="0.25">
      <c r="A1175" t="s">
        <v>59</v>
      </c>
      <c r="B1175" t="s">
        <v>4547</v>
      </c>
      <c r="C1175">
        <v>315</v>
      </c>
      <c r="D1175">
        <v>328</v>
      </c>
      <c r="E1175" t="s">
        <v>235</v>
      </c>
      <c r="G1175">
        <v>0</v>
      </c>
      <c r="H1175">
        <v>0</v>
      </c>
      <c r="I1175">
        <v>0</v>
      </c>
      <c r="J1175">
        <v>0</v>
      </c>
      <c r="K1175">
        <v>0</v>
      </c>
      <c r="L1175">
        <v>0</v>
      </c>
      <c r="M1175">
        <v>0</v>
      </c>
      <c r="N1175">
        <v>0</v>
      </c>
      <c r="O1175">
        <v>0</v>
      </c>
      <c r="P1175">
        <v>0</v>
      </c>
      <c r="Q1175" t="str">
        <f>INDEX(pARTNER[#All],MATCH(#REF!,pARTNER[[#All],[Value.partnerSummary.id]],0),10)</f>
        <v>Slovenija (SI)</v>
      </c>
      <c r="R1175" t="str">
        <f>INDEX('Partner data'!$A$2:$DG$171,MATCH(#REF!,'Partner data'!$DG$2:$DG$171,0),83)</f>
        <v>Soggetto pubblico</v>
      </c>
      <c r="S1175" s="86" t="b">
        <f>IF(#REF!="staff",INDEX('Partner data'!$DG$2:$DH$171,MATCH(#REF!,'Partner data'!$DG$2:$DG$171,0),2))</f>
        <v>0</v>
      </c>
    </row>
    <row r="1176" spans="1:19" x14ac:dyDescent="0.25">
      <c r="A1176" t="s">
        <v>59</v>
      </c>
      <c r="B1176" t="s">
        <v>4547</v>
      </c>
      <c r="C1176">
        <v>315</v>
      </c>
      <c r="D1176">
        <v>328</v>
      </c>
      <c r="E1176" t="s">
        <v>236</v>
      </c>
      <c r="G1176">
        <v>0</v>
      </c>
      <c r="H1176">
        <v>0</v>
      </c>
      <c r="I1176">
        <v>0</v>
      </c>
      <c r="J1176">
        <v>0</v>
      </c>
      <c r="K1176">
        <v>0</v>
      </c>
      <c r="L1176">
        <v>0</v>
      </c>
      <c r="M1176">
        <v>0</v>
      </c>
      <c r="N1176">
        <v>0</v>
      </c>
      <c r="O1176">
        <v>0</v>
      </c>
      <c r="P1176">
        <v>0</v>
      </c>
      <c r="Q1176" t="str">
        <f>INDEX(pARTNER[#All],MATCH(#REF!,pARTNER[[#All],[Value.partnerSummary.id]],0),10)</f>
        <v>Slovenija (SI)</v>
      </c>
      <c r="R1176" t="str">
        <f>INDEX('Partner data'!$A$2:$DG$171,MATCH(#REF!,'Partner data'!$DG$2:$DG$171,0),83)</f>
        <v>Soggetto pubblico</v>
      </c>
      <c r="S1176" s="86" t="b">
        <f>IF(#REF!="staff",INDEX('Partner data'!$DG$2:$DH$171,MATCH(#REF!,'Partner data'!$DG$2:$DG$171,0),2))</f>
        <v>0</v>
      </c>
    </row>
    <row r="1177" spans="1:19" x14ac:dyDescent="0.25">
      <c r="A1177" t="s">
        <v>59</v>
      </c>
      <c r="B1177" t="s">
        <v>4547</v>
      </c>
      <c r="C1177">
        <v>315</v>
      </c>
      <c r="D1177">
        <v>328</v>
      </c>
      <c r="E1177" t="s">
        <v>237</v>
      </c>
      <c r="G1177">
        <v>0</v>
      </c>
      <c r="H1177">
        <v>0</v>
      </c>
      <c r="I1177">
        <v>0</v>
      </c>
      <c r="J1177">
        <v>0</v>
      </c>
      <c r="K1177">
        <v>0</v>
      </c>
      <c r="L1177">
        <v>0</v>
      </c>
      <c r="M1177">
        <v>0</v>
      </c>
      <c r="N1177">
        <v>0</v>
      </c>
      <c r="O1177">
        <v>0</v>
      </c>
      <c r="P1177">
        <v>0</v>
      </c>
      <c r="Q1177" t="str">
        <f>INDEX(pARTNER[#All],MATCH(#REF!,pARTNER[[#All],[Value.partnerSummary.id]],0),10)</f>
        <v>Slovenija (SI)</v>
      </c>
      <c r="R1177" t="str">
        <f>INDEX('Partner data'!$A$2:$DG$171,MATCH(#REF!,'Partner data'!$DG$2:$DG$171,0),83)</f>
        <v>Soggetto pubblico</v>
      </c>
      <c r="S1177" s="86" t="b">
        <f>IF(#REF!="staff",INDEX('Partner data'!$DG$2:$DH$171,MATCH(#REF!,'Partner data'!$DG$2:$DG$171,0),2))</f>
        <v>0</v>
      </c>
    </row>
    <row r="1178" spans="1:19" x14ac:dyDescent="0.25">
      <c r="A1178" t="s">
        <v>59</v>
      </c>
      <c r="B1178" t="s">
        <v>4547</v>
      </c>
      <c r="C1178">
        <v>315</v>
      </c>
      <c r="D1178">
        <v>328</v>
      </c>
      <c r="E1178" t="s">
        <v>238</v>
      </c>
      <c r="G1178">
        <v>700001</v>
      </c>
      <c r="H1178">
        <v>0</v>
      </c>
      <c r="I1178">
        <v>0</v>
      </c>
      <c r="J1178">
        <v>0</v>
      </c>
      <c r="K1178">
        <v>0</v>
      </c>
      <c r="L1178">
        <v>0</v>
      </c>
      <c r="M1178">
        <v>0</v>
      </c>
      <c r="N1178">
        <v>0</v>
      </c>
      <c r="O1178">
        <v>700001</v>
      </c>
      <c r="P1178">
        <v>0</v>
      </c>
      <c r="Q1178" t="str">
        <f>INDEX(pARTNER[#All],MATCH(#REF!,pARTNER[[#All],[Value.partnerSummary.id]],0),10)</f>
        <v>Slovenija (SI)</v>
      </c>
      <c r="R1178" t="str">
        <f>INDEX('Partner data'!$A$2:$DG$171,MATCH(#REF!,'Partner data'!$DG$2:$DG$171,0),83)</f>
        <v>Soggetto pubblico</v>
      </c>
      <c r="S1178" s="86" t="b">
        <f>IF(#REF!="staff",INDEX('Partner data'!$DG$2:$DH$171,MATCH(#REF!,'Partner data'!$DG$2:$DG$171,0),2))</f>
        <v>0</v>
      </c>
    </row>
    <row r="1179" spans="1:19" x14ac:dyDescent="0.25">
      <c r="A1179" t="s">
        <v>59</v>
      </c>
      <c r="B1179" t="s">
        <v>52</v>
      </c>
      <c r="C1179">
        <v>314</v>
      </c>
      <c r="D1179">
        <v>166</v>
      </c>
      <c r="E1179" t="s">
        <v>228</v>
      </c>
      <c r="F1179">
        <v>20</v>
      </c>
      <c r="G1179">
        <v>169215.8</v>
      </c>
      <c r="H1179">
        <v>3566.37</v>
      </c>
      <c r="I1179">
        <v>0</v>
      </c>
      <c r="J1179">
        <v>19894.599999999999</v>
      </c>
      <c r="K1179">
        <v>0</v>
      </c>
      <c r="L1179">
        <v>19314.48</v>
      </c>
      <c r="M1179">
        <v>23460.97</v>
      </c>
      <c r="N1179">
        <v>13.86</v>
      </c>
      <c r="O1179">
        <v>145754.82999999999</v>
      </c>
      <c r="P1179">
        <v>0</v>
      </c>
      <c r="Q1179" t="str">
        <f>INDEX(pARTNER[#All],MATCH(#REF!,pARTNER[[#All],[Value.partnerSummary.id]],0),10)</f>
        <v>Slovenija (SI)</v>
      </c>
      <c r="R1179" t="str">
        <f>INDEX('Partner data'!$A$2:$DG$171,MATCH(#REF!,'Partner data'!$DG$2:$DG$171,0),83)</f>
        <v xml:space="preserve">Organismo di diritto pubblico </v>
      </c>
      <c r="S1179" s="86" t="str">
        <f>IF(#REF!="staff",INDEX('Partner data'!$DG$2:$DH$171,MATCH(#REF!,'Partner data'!$DG$2:$DG$171,0),2))</f>
        <v>Tasso Forfettario 20%</v>
      </c>
    </row>
    <row r="1180" spans="1:19" x14ac:dyDescent="0.25">
      <c r="A1180" t="s">
        <v>59</v>
      </c>
      <c r="B1180" t="s">
        <v>52</v>
      </c>
      <c r="C1180">
        <v>314</v>
      </c>
      <c r="D1180">
        <v>166</v>
      </c>
      <c r="E1180" t="s">
        <v>229</v>
      </c>
      <c r="F1180">
        <v>15</v>
      </c>
      <c r="G1180">
        <v>25382.37</v>
      </c>
      <c r="H1180">
        <v>534.95000000000005</v>
      </c>
      <c r="I1180">
        <v>0</v>
      </c>
      <c r="J1180">
        <v>2984.19</v>
      </c>
      <c r="K1180">
        <v>0</v>
      </c>
      <c r="L1180">
        <v>2897.17</v>
      </c>
      <c r="M1180">
        <v>3519.14</v>
      </c>
      <c r="N1180">
        <v>13.86</v>
      </c>
      <c r="O1180">
        <v>21863.23</v>
      </c>
      <c r="P1180">
        <v>0</v>
      </c>
      <c r="Q1180" t="str">
        <f>INDEX(pARTNER[#All],MATCH(#REF!,pARTNER[[#All],[Value.partnerSummary.id]],0),10)</f>
        <v>Slovenija (SI)</v>
      </c>
      <c r="R1180" t="str">
        <f>INDEX('Partner data'!$A$2:$DG$171,MATCH(#REF!,'Partner data'!$DG$2:$DG$171,0),83)</f>
        <v xml:space="preserve">Organismo di diritto pubblico </v>
      </c>
      <c r="S1180" s="86" t="b">
        <f>IF(#REF!="staff",INDEX('Partner data'!$DG$2:$DH$171,MATCH(#REF!,'Partner data'!$DG$2:$DG$171,0),2))</f>
        <v>0</v>
      </c>
    </row>
    <row r="1181" spans="1:19" x14ac:dyDescent="0.25">
      <c r="A1181" t="s">
        <v>59</v>
      </c>
      <c r="B1181" t="s">
        <v>52</v>
      </c>
      <c r="C1181">
        <v>314</v>
      </c>
      <c r="D1181">
        <v>166</v>
      </c>
      <c r="E1181" t="s">
        <v>230</v>
      </c>
      <c r="F1181">
        <v>4</v>
      </c>
      <c r="G1181">
        <v>6768.63</v>
      </c>
      <c r="H1181">
        <v>142.65</v>
      </c>
      <c r="I1181">
        <v>0</v>
      </c>
      <c r="J1181">
        <v>795.78</v>
      </c>
      <c r="K1181">
        <v>0</v>
      </c>
      <c r="L1181">
        <v>772.57</v>
      </c>
      <c r="M1181">
        <v>938.43</v>
      </c>
      <c r="N1181">
        <v>13.86</v>
      </c>
      <c r="O1181">
        <v>5830.2</v>
      </c>
      <c r="P1181">
        <v>0</v>
      </c>
      <c r="Q1181" t="str">
        <f>INDEX(pARTNER[#All],MATCH(#REF!,pARTNER[[#All],[Value.partnerSummary.id]],0),10)</f>
        <v>Slovenija (SI)</v>
      </c>
      <c r="R1181" t="str">
        <f>INDEX('Partner data'!$A$2:$DG$171,MATCH(#REF!,'Partner data'!$DG$2:$DG$171,0),83)</f>
        <v xml:space="preserve">Organismo di diritto pubblico </v>
      </c>
      <c r="S1181" s="86" t="b">
        <f>IF(#REF!="staff",INDEX('Partner data'!$DG$2:$DH$171,MATCH(#REF!,'Partner data'!$DG$2:$DG$171,0),2))</f>
        <v>0</v>
      </c>
    </row>
    <row r="1182" spans="1:19" x14ac:dyDescent="0.25">
      <c r="A1182" t="s">
        <v>59</v>
      </c>
      <c r="B1182" t="s">
        <v>52</v>
      </c>
      <c r="C1182">
        <v>314</v>
      </c>
      <c r="D1182">
        <v>166</v>
      </c>
      <c r="E1182" t="s">
        <v>231</v>
      </c>
      <c r="G1182">
        <v>788079</v>
      </c>
      <c r="H1182">
        <v>14839.12</v>
      </c>
      <c r="I1182">
        <v>0</v>
      </c>
      <c r="J1182">
        <v>49722.22</v>
      </c>
      <c r="K1182">
        <v>0</v>
      </c>
      <c r="L1182">
        <v>47799.89</v>
      </c>
      <c r="M1182">
        <v>64561.34</v>
      </c>
      <c r="N1182">
        <v>8.19</v>
      </c>
      <c r="O1182">
        <v>723517.66</v>
      </c>
      <c r="P1182">
        <v>0</v>
      </c>
      <c r="Q1182" t="str">
        <f>INDEX(pARTNER[#All],MATCH(#REF!,pARTNER[[#All],[Value.partnerSummary.id]],0),10)</f>
        <v>Slovenija (SI)</v>
      </c>
      <c r="R1182" t="str">
        <f>INDEX('Partner data'!$A$2:$DG$171,MATCH(#REF!,'Partner data'!$DG$2:$DG$171,0),83)</f>
        <v xml:space="preserve">Organismo di diritto pubblico </v>
      </c>
      <c r="S1182" s="86" t="b">
        <f>IF(#REF!="staff",INDEX('Partner data'!$DG$2:$DH$171,MATCH(#REF!,'Partner data'!$DG$2:$DG$171,0),2))</f>
        <v>0</v>
      </c>
    </row>
    <row r="1183" spans="1:19" x14ac:dyDescent="0.25">
      <c r="A1183" t="s">
        <v>59</v>
      </c>
      <c r="B1183" t="s">
        <v>52</v>
      </c>
      <c r="C1183">
        <v>314</v>
      </c>
      <c r="D1183">
        <v>166</v>
      </c>
      <c r="E1183" t="s">
        <v>232</v>
      </c>
      <c r="G1183">
        <v>58000</v>
      </c>
      <c r="H1183">
        <v>2992.76</v>
      </c>
      <c r="I1183">
        <v>0</v>
      </c>
      <c r="J1183">
        <v>49750.79</v>
      </c>
      <c r="K1183">
        <v>0</v>
      </c>
      <c r="L1183">
        <v>48772.52</v>
      </c>
      <c r="M1183">
        <v>52743.55</v>
      </c>
      <c r="N1183">
        <v>90.94</v>
      </c>
      <c r="O1183">
        <v>5256.45</v>
      </c>
      <c r="P1183">
        <v>0</v>
      </c>
      <c r="Q1183" t="str">
        <f>INDEX(pARTNER[#All],MATCH(#REF!,pARTNER[[#All],[Value.partnerSummary.id]],0),10)</f>
        <v>Slovenija (SI)</v>
      </c>
      <c r="R1183" t="str">
        <f>INDEX('Partner data'!$A$2:$DG$171,MATCH(#REF!,'Partner data'!$DG$2:$DG$171,0),83)</f>
        <v xml:space="preserve">Organismo di diritto pubblico </v>
      </c>
      <c r="S1183" s="86" t="b">
        <f>IF(#REF!="staff",INDEX('Partner data'!$DG$2:$DH$171,MATCH(#REF!,'Partner data'!$DG$2:$DG$171,0),2))</f>
        <v>0</v>
      </c>
    </row>
    <row r="1184" spans="1:19" x14ac:dyDescent="0.25">
      <c r="A1184" t="s">
        <v>59</v>
      </c>
      <c r="B1184" t="s">
        <v>52</v>
      </c>
      <c r="C1184">
        <v>314</v>
      </c>
      <c r="D1184">
        <v>166</v>
      </c>
      <c r="E1184" t="s">
        <v>233</v>
      </c>
      <c r="G1184">
        <v>0</v>
      </c>
      <c r="H1184">
        <v>0</v>
      </c>
      <c r="I1184">
        <v>0</v>
      </c>
      <c r="J1184">
        <v>0</v>
      </c>
      <c r="K1184">
        <v>0</v>
      </c>
      <c r="L1184">
        <v>0</v>
      </c>
      <c r="M1184">
        <v>0</v>
      </c>
      <c r="N1184">
        <v>0</v>
      </c>
      <c r="O1184">
        <v>0</v>
      </c>
      <c r="P1184">
        <v>0</v>
      </c>
      <c r="Q1184" t="str">
        <f>INDEX(pARTNER[#All],MATCH(#REF!,pARTNER[[#All],[Value.partnerSummary.id]],0),10)</f>
        <v>Slovenija (SI)</v>
      </c>
      <c r="R1184" t="str">
        <f>INDEX('Partner data'!$A$2:$DG$171,MATCH(#REF!,'Partner data'!$DG$2:$DG$171,0),83)</f>
        <v xml:space="preserve">Organismo di diritto pubblico </v>
      </c>
      <c r="S1184" s="86" t="b">
        <f>IF(#REF!="staff",INDEX('Partner data'!$DG$2:$DH$171,MATCH(#REF!,'Partner data'!$DG$2:$DG$171,0),2))</f>
        <v>0</v>
      </c>
    </row>
    <row r="1185" spans="1:19" x14ac:dyDescent="0.25">
      <c r="A1185" t="s">
        <v>59</v>
      </c>
      <c r="B1185" t="s">
        <v>52</v>
      </c>
      <c r="C1185">
        <v>314</v>
      </c>
      <c r="D1185">
        <v>166</v>
      </c>
      <c r="E1185" t="s">
        <v>234</v>
      </c>
      <c r="G1185">
        <v>0</v>
      </c>
      <c r="H1185">
        <v>0</v>
      </c>
      <c r="I1185">
        <v>0</v>
      </c>
      <c r="J1185">
        <v>0</v>
      </c>
      <c r="K1185">
        <v>0</v>
      </c>
      <c r="L1185">
        <v>0</v>
      </c>
      <c r="M1185">
        <v>0</v>
      </c>
      <c r="N1185">
        <v>0</v>
      </c>
      <c r="O1185">
        <v>0</v>
      </c>
      <c r="P1185">
        <v>0</v>
      </c>
      <c r="Q1185" t="str">
        <f>INDEX(pARTNER[#All],MATCH(#REF!,pARTNER[[#All],[Value.partnerSummary.id]],0),10)</f>
        <v>Slovenija (SI)</v>
      </c>
      <c r="R1185" t="str">
        <f>INDEX('Partner data'!$A$2:$DG$171,MATCH(#REF!,'Partner data'!$DG$2:$DG$171,0),83)</f>
        <v xml:space="preserve">Organismo di diritto pubblico </v>
      </c>
      <c r="S1185" s="86" t="b">
        <f>IF(#REF!="staff",INDEX('Partner data'!$DG$2:$DH$171,MATCH(#REF!,'Partner data'!$DG$2:$DG$171,0),2))</f>
        <v>0</v>
      </c>
    </row>
    <row r="1186" spans="1:19" x14ac:dyDescent="0.25">
      <c r="A1186" t="s">
        <v>59</v>
      </c>
      <c r="B1186" t="s">
        <v>52</v>
      </c>
      <c r="C1186">
        <v>314</v>
      </c>
      <c r="D1186">
        <v>166</v>
      </c>
      <c r="E1186" t="s">
        <v>235</v>
      </c>
      <c r="G1186">
        <v>9000</v>
      </c>
      <c r="H1186">
        <v>9000</v>
      </c>
      <c r="I1186">
        <v>0</v>
      </c>
      <c r="J1186">
        <v>0</v>
      </c>
      <c r="K1186">
        <v>0</v>
      </c>
      <c r="L1186">
        <v>0</v>
      </c>
      <c r="M1186">
        <v>9000</v>
      </c>
      <c r="N1186">
        <v>100</v>
      </c>
      <c r="O1186">
        <v>0</v>
      </c>
      <c r="P1186">
        <v>0</v>
      </c>
      <c r="Q1186" t="str">
        <f>INDEX(pARTNER[#All],MATCH(#REF!,pARTNER[[#All],[Value.partnerSummary.id]],0),10)</f>
        <v>Slovenija (SI)</v>
      </c>
      <c r="R1186" t="str">
        <f>INDEX('Partner data'!$A$2:$DG$171,MATCH(#REF!,'Partner data'!$DG$2:$DG$171,0),83)</f>
        <v xml:space="preserve">Organismo di diritto pubblico </v>
      </c>
      <c r="S1186" s="86" t="b">
        <f>IF(#REF!="staff",INDEX('Partner data'!$DG$2:$DH$171,MATCH(#REF!,'Partner data'!$DG$2:$DG$171,0),2))</f>
        <v>0</v>
      </c>
    </row>
    <row r="1187" spans="1:19" x14ac:dyDescent="0.25">
      <c r="A1187" t="s">
        <v>59</v>
      </c>
      <c r="B1187" t="s">
        <v>52</v>
      </c>
      <c r="C1187">
        <v>314</v>
      </c>
      <c r="D1187">
        <v>166</v>
      </c>
      <c r="E1187" t="s">
        <v>236</v>
      </c>
      <c r="G1187">
        <v>0</v>
      </c>
      <c r="H1187">
        <v>0</v>
      </c>
      <c r="I1187">
        <v>0</v>
      </c>
      <c r="J1187">
        <v>0</v>
      </c>
      <c r="K1187">
        <v>0</v>
      </c>
      <c r="L1187">
        <v>0</v>
      </c>
      <c r="M1187">
        <v>0</v>
      </c>
      <c r="N1187">
        <v>0</v>
      </c>
      <c r="O1187">
        <v>0</v>
      </c>
      <c r="P1187">
        <v>0</v>
      </c>
      <c r="Q1187" t="str">
        <f>INDEX(pARTNER[#All],MATCH(#REF!,pARTNER[[#All],[Value.partnerSummary.id]],0),10)</f>
        <v>Slovenija (SI)</v>
      </c>
      <c r="R1187" t="str">
        <f>INDEX('Partner data'!$A$2:$DG$171,MATCH(#REF!,'Partner data'!$DG$2:$DG$171,0),83)</f>
        <v xml:space="preserve">Organismo di diritto pubblico </v>
      </c>
      <c r="S1187" s="86" t="b">
        <f>IF(#REF!="staff",INDEX('Partner data'!$DG$2:$DH$171,MATCH(#REF!,'Partner data'!$DG$2:$DG$171,0),2))</f>
        <v>0</v>
      </c>
    </row>
    <row r="1188" spans="1:19" x14ac:dyDescent="0.25">
      <c r="A1188" t="s">
        <v>59</v>
      </c>
      <c r="B1188" t="s">
        <v>52</v>
      </c>
      <c r="C1188">
        <v>314</v>
      </c>
      <c r="D1188">
        <v>166</v>
      </c>
      <c r="E1188" t="s">
        <v>237</v>
      </c>
      <c r="G1188">
        <v>0</v>
      </c>
      <c r="H1188">
        <v>0</v>
      </c>
      <c r="I1188">
        <v>0</v>
      </c>
      <c r="J1188">
        <v>0</v>
      </c>
      <c r="K1188">
        <v>0</v>
      </c>
      <c r="L1188">
        <v>0</v>
      </c>
      <c r="M1188">
        <v>0</v>
      </c>
      <c r="N1188">
        <v>0</v>
      </c>
      <c r="O1188">
        <v>0</v>
      </c>
      <c r="P1188">
        <v>0</v>
      </c>
      <c r="Q1188" t="str">
        <f>INDEX(pARTNER[#All],MATCH(#REF!,pARTNER[[#All],[Value.partnerSummary.id]],0),10)</f>
        <v>Slovenija (SI)</v>
      </c>
      <c r="R1188" t="str">
        <f>INDEX('Partner data'!$A$2:$DG$171,MATCH(#REF!,'Partner data'!$DG$2:$DG$171,0),83)</f>
        <v xml:space="preserve">Organismo di diritto pubblico </v>
      </c>
      <c r="S1188" s="86" t="b">
        <f>IF(#REF!="staff",INDEX('Partner data'!$DG$2:$DH$171,MATCH(#REF!,'Partner data'!$DG$2:$DG$171,0),2))</f>
        <v>0</v>
      </c>
    </row>
    <row r="1189" spans="1:19" x14ac:dyDescent="0.25">
      <c r="A1189" t="s">
        <v>59</v>
      </c>
      <c r="B1189" t="s">
        <v>52</v>
      </c>
      <c r="C1189">
        <v>314</v>
      </c>
      <c r="D1189">
        <v>166</v>
      </c>
      <c r="E1189" t="s">
        <v>238</v>
      </c>
      <c r="G1189">
        <v>1056445.8</v>
      </c>
      <c r="H1189">
        <v>31075.85</v>
      </c>
      <c r="I1189">
        <v>0</v>
      </c>
      <c r="J1189">
        <v>123147.58</v>
      </c>
      <c r="K1189">
        <v>0</v>
      </c>
      <c r="L1189">
        <v>119556.63</v>
      </c>
      <c r="M1189">
        <v>154223.43</v>
      </c>
      <c r="N1189">
        <v>14.6</v>
      </c>
      <c r="O1189">
        <v>902222.37</v>
      </c>
      <c r="P1189">
        <v>0</v>
      </c>
      <c r="Q1189" t="str">
        <f>INDEX(pARTNER[#All],MATCH(#REF!,pARTNER[[#All],[Value.partnerSummary.id]],0),10)</f>
        <v>Slovenija (SI)</v>
      </c>
      <c r="R1189" t="str">
        <f>INDEX('Partner data'!$A$2:$DG$171,MATCH(#REF!,'Partner data'!$DG$2:$DG$171,0),83)</f>
        <v xml:space="preserve">Organismo di diritto pubblico </v>
      </c>
      <c r="S1189" s="86" t="b">
        <f>IF(#REF!="staff",INDEX('Partner data'!$DG$2:$DH$171,MATCH(#REF!,'Partner data'!$DG$2:$DG$171,0),2))</f>
        <v>0</v>
      </c>
    </row>
    <row r="1190" spans="1:19" x14ac:dyDescent="0.25">
      <c r="A1190" t="s">
        <v>59</v>
      </c>
      <c r="B1190" t="s">
        <v>52</v>
      </c>
      <c r="C1190">
        <v>314</v>
      </c>
      <c r="D1190">
        <v>63</v>
      </c>
      <c r="E1190" t="s">
        <v>228</v>
      </c>
      <c r="F1190">
        <v>20</v>
      </c>
      <c r="G1190">
        <v>169215.8</v>
      </c>
      <c r="H1190">
        <v>0</v>
      </c>
      <c r="I1190">
        <v>0</v>
      </c>
      <c r="J1190">
        <v>3566.37</v>
      </c>
      <c r="K1190">
        <v>0</v>
      </c>
      <c r="L1190">
        <v>3566.37</v>
      </c>
      <c r="M1190">
        <v>3566.37</v>
      </c>
      <c r="N1190">
        <v>2.11</v>
      </c>
      <c r="O1190">
        <v>165649.43</v>
      </c>
      <c r="P1190">
        <v>0</v>
      </c>
      <c r="Q1190" t="str">
        <f>INDEX(pARTNER[#All],MATCH(#REF!,pARTNER[[#All],[Value.partnerSummary.id]],0),10)</f>
        <v>Slovenija (SI)</v>
      </c>
      <c r="R1190" t="str">
        <f>INDEX('Partner data'!$A$2:$DG$171,MATCH(#REF!,'Partner data'!$DG$2:$DG$171,0),83)</f>
        <v xml:space="preserve">Organismo di diritto pubblico </v>
      </c>
      <c r="S1190" s="86" t="str">
        <f>IF(#REF!="staff",INDEX('Partner data'!$DG$2:$DH$171,MATCH(#REF!,'Partner data'!$DG$2:$DG$171,0),2))</f>
        <v>Tasso Forfettario 20%</v>
      </c>
    </row>
    <row r="1191" spans="1:19" x14ac:dyDescent="0.25">
      <c r="A1191" t="s">
        <v>59</v>
      </c>
      <c r="B1191" t="s">
        <v>52</v>
      </c>
      <c r="C1191">
        <v>314</v>
      </c>
      <c r="D1191">
        <v>63</v>
      </c>
      <c r="E1191" t="s">
        <v>229</v>
      </c>
      <c r="F1191">
        <v>15</v>
      </c>
      <c r="G1191">
        <v>25382.37</v>
      </c>
      <c r="H1191">
        <v>0</v>
      </c>
      <c r="I1191">
        <v>0</v>
      </c>
      <c r="J1191">
        <v>534.95000000000005</v>
      </c>
      <c r="K1191">
        <v>0</v>
      </c>
      <c r="L1191">
        <v>534.95000000000005</v>
      </c>
      <c r="M1191">
        <v>534.95000000000005</v>
      </c>
      <c r="N1191">
        <v>2.11</v>
      </c>
      <c r="O1191">
        <v>24847.42</v>
      </c>
      <c r="P1191">
        <v>0</v>
      </c>
      <c r="Q1191" t="str">
        <f>INDEX(pARTNER[#All],MATCH(#REF!,pARTNER[[#All],[Value.partnerSummary.id]],0),10)</f>
        <v>Slovenija (SI)</v>
      </c>
      <c r="R1191" t="str">
        <f>INDEX('Partner data'!$A$2:$DG$171,MATCH(#REF!,'Partner data'!$DG$2:$DG$171,0),83)</f>
        <v xml:space="preserve">Organismo di diritto pubblico </v>
      </c>
      <c r="S1191" s="86" t="b">
        <f>IF(#REF!="staff",INDEX('Partner data'!$DG$2:$DH$171,MATCH(#REF!,'Partner data'!$DG$2:$DG$171,0),2))</f>
        <v>0</v>
      </c>
    </row>
    <row r="1192" spans="1:19" x14ac:dyDescent="0.25">
      <c r="A1192" t="s">
        <v>59</v>
      </c>
      <c r="B1192" t="s">
        <v>52</v>
      </c>
      <c r="C1192">
        <v>314</v>
      </c>
      <c r="D1192">
        <v>63</v>
      </c>
      <c r="E1192" t="s">
        <v>230</v>
      </c>
      <c r="F1192">
        <v>4</v>
      </c>
      <c r="G1192">
        <v>6768.63</v>
      </c>
      <c r="H1192">
        <v>0</v>
      </c>
      <c r="I1192">
        <v>0</v>
      </c>
      <c r="J1192">
        <v>142.65</v>
      </c>
      <c r="K1192">
        <v>0</v>
      </c>
      <c r="L1192">
        <v>142.65</v>
      </c>
      <c r="M1192">
        <v>142.65</v>
      </c>
      <c r="N1192">
        <v>2.11</v>
      </c>
      <c r="O1192">
        <v>6625.98</v>
      </c>
      <c r="P1192">
        <v>0</v>
      </c>
      <c r="Q1192" t="str">
        <f>INDEX(pARTNER[#All],MATCH(#REF!,pARTNER[[#All],[Value.partnerSummary.id]],0),10)</f>
        <v>Slovenija (SI)</v>
      </c>
      <c r="R1192" t="str">
        <f>INDEX('Partner data'!$A$2:$DG$171,MATCH(#REF!,'Partner data'!$DG$2:$DG$171,0),83)</f>
        <v xml:space="preserve">Organismo di diritto pubblico </v>
      </c>
      <c r="S1192" s="86" t="b">
        <f>IF(#REF!="staff",INDEX('Partner data'!$DG$2:$DH$171,MATCH(#REF!,'Partner data'!$DG$2:$DG$171,0),2))</f>
        <v>0</v>
      </c>
    </row>
    <row r="1193" spans="1:19" x14ac:dyDescent="0.25">
      <c r="A1193" t="s">
        <v>59</v>
      </c>
      <c r="B1193" t="s">
        <v>52</v>
      </c>
      <c r="C1193">
        <v>314</v>
      </c>
      <c r="D1193">
        <v>63</v>
      </c>
      <c r="E1193" t="s">
        <v>231</v>
      </c>
      <c r="G1193">
        <v>788079</v>
      </c>
      <c r="H1193">
        <v>0</v>
      </c>
      <c r="I1193">
        <v>0</v>
      </c>
      <c r="J1193">
        <v>14839.12</v>
      </c>
      <c r="K1193">
        <v>0</v>
      </c>
      <c r="L1193">
        <v>14839.12</v>
      </c>
      <c r="M1193">
        <v>14839.12</v>
      </c>
      <c r="N1193">
        <v>1.88</v>
      </c>
      <c r="O1193">
        <v>773239.88</v>
      </c>
      <c r="P1193">
        <v>0</v>
      </c>
      <c r="Q1193" t="str">
        <f>INDEX(pARTNER[#All],MATCH(#REF!,pARTNER[[#All],[Value.partnerSummary.id]],0),10)</f>
        <v>Slovenija (SI)</v>
      </c>
      <c r="R1193" t="str">
        <f>INDEX('Partner data'!$A$2:$DG$171,MATCH(#REF!,'Partner data'!$DG$2:$DG$171,0),83)</f>
        <v xml:space="preserve">Organismo di diritto pubblico </v>
      </c>
      <c r="S1193" s="86" t="b">
        <f>IF(#REF!="staff",INDEX('Partner data'!$DG$2:$DH$171,MATCH(#REF!,'Partner data'!$DG$2:$DG$171,0),2))</f>
        <v>0</v>
      </c>
    </row>
    <row r="1194" spans="1:19" x14ac:dyDescent="0.25">
      <c r="A1194" t="s">
        <v>59</v>
      </c>
      <c r="B1194" t="s">
        <v>52</v>
      </c>
      <c r="C1194">
        <v>314</v>
      </c>
      <c r="D1194">
        <v>63</v>
      </c>
      <c r="E1194" t="s">
        <v>232</v>
      </c>
      <c r="G1194">
        <v>58000</v>
      </c>
      <c r="H1194">
        <v>0</v>
      </c>
      <c r="I1194">
        <v>0</v>
      </c>
      <c r="J1194">
        <v>2992.76</v>
      </c>
      <c r="K1194">
        <v>0</v>
      </c>
      <c r="L1194">
        <v>2992.76</v>
      </c>
      <c r="M1194">
        <v>2992.76</v>
      </c>
      <c r="N1194">
        <v>5.16</v>
      </c>
      <c r="O1194">
        <v>55007.24</v>
      </c>
      <c r="P1194">
        <v>0</v>
      </c>
      <c r="Q1194" t="str">
        <f>INDEX(pARTNER[#All],MATCH(#REF!,pARTNER[[#All],[Value.partnerSummary.id]],0),10)</f>
        <v>Slovenija (SI)</v>
      </c>
      <c r="R1194" t="str">
        <f>INDEX('Partner data'!$A$2:$DG$171,MATCH(#REF!,'Partner data'!$DG$2:$DG$171,0),83)</f>
        <v xml:space="preserve">Organismo di diritto pubblico </v>
      </c>
      <c r="S1194" s="86" t="b">
        <f>IF(#REF!="staff",INDEX('Partner data'!$DG$2:$DH$171,MATCH(#REF!,'Partner data'!$DG$2:$DG$171,0),2))</f>
        <v>0</v>
      </c>
    </row>
    <row r="1195" spans="1:19" x14ac:dyDescent="0.25">
      <c r="A1195" t="s">
        <v>59</v>
      </c>
      <c r="B1195" t="s">
        <v>52</v>
      </c>
      <c r="C1195">
        <v>314</v>
      </c>
      <c r="D1195">
        <v>63</v>
      </c>
      <c r="E1195" t="s">
        <v>233</v>
      </c>
      <c r="G1195">
        <v>0</v>
      </c>
      <c r="H1195">
        <v>0</v>
      </c>
      <c r="I1195">
        <v>0</v>
      </c>
      <c r="J1195">
        <v>0</v>
      </c>
      <c r="K1195">
        <v>0</v>
      </c>
      <c r="L1195">
        <v>0</v>
      </c>
      <c r="M1195">
        <v>0</v>
      </c>
      <c r="N1195">
        <v>0</v>
      </c>
      <c r="O1195">
        <v>0</v>
      </c>
      <c r="P1195">
        <v>0</v>
      </c>
      <c r="Q1195" t="str">
        <f>INDEX(pARTNER[#All],MATCH(#REF!,pARTNER[[#All],[Value.partnerSummary.id]],0),10)</f>
        <v>Slovenija (SI)</v>
      </c>
      <c r="R1195" t="str">
        <f>INDEX('Partner data'!$A$2:$DG$171,MATCH(#REF!,'Partner data'!$DG$2:$DG$171,0),83)</f>
        <v xml:space="preserve">Organismo di diritto pubblico </v>
      </c>
      <c r="S1195" s="86" t="b">
        <f>IF(#REF!="staff",INDEX('Partner data'!$DG$2:$DH$171,MATCH(#REF!,'Partner data'!$DG$2:$DG$171,0),2))</f>
        <v>0</v>
      </c>
    </row>
    <row r="1196" spans="1:19" x14ac:dyDescent="0.25">
      <c r="A1196" t="s">
        <v>59</v>
      </c>
      <c r="B1196" t="s">
        <v>52</v>
      </c>
      <c r="C1196">
        <v>314</v>
      </c>
      <c r="D1196">
        <v>63</v>
      </c>
      <c r="E1196" t="s">
        <v>234</v>
      </c>
      <c r="G1196">
        <v>0</v>
      </c>
      <c r="H1196">
        <v>0</v>
      </c>
      <c r="I1196">
        <v>0</v>
      </c>
      <c r="J1196">
        <v>0</v>
      </c>
      <c r="K1196">
        <v>0</v>
      </c>
      <c r="L1196">
        <v>0</v>
      </c>
      <c r="M1196">
        <v>0</v>
      </c>
      <c r="N1196">
        <v>0</v>
      </c>
      <c r="O1196">
        <v>0</v>
      </c>
      <c r="P1196">
        <v>0</v>
      </c>
      <c r="Q1196" t="str">
        <f>INDEX(pARTNER[#All],MATCH(#REF!,pARTNER[[#All],[Value.partnerSummary.id]],0),10)</f>
        <v>Slovenija (SI)</v>
      </c>
      <c r="R1196" t="str">
        <f>INDEX('Partner data'!$A$2:$DG$171,MATCH(#REF!,'Partner data'!$DG$2:$DG$171,0),83)</f>
        <v xml:space="preserve">Organismo di diritto pubblico </v>
      </c>
      <c r="S1196" s="86" t="b">
        <f>IF(#REF!="staff",INDEX('Partner data'!$DG$2:$DH$171,MATCH(#REF!,'Partner data'!$DG$2:$DG$171,0),2))</f>
        <v>0</v>
      </c>
    </row>
    <row r="1197" spans="1:19" x14ac:dyDescent="0.25">
      <c r="A1197" t="s">
        <v>59</v>
      </c>
      <c r="B1197" t="s">
        <v>52</v>
      </c>
      <c r="C1197">
        <v>314</v>
      </c>
      <c r="D1197">
        <v>63</v>
      </c>
      <c r="E1197" t="s">
        <v>235</v>
      </c>
      <c r="G1197">
        <v>9000</v>
      </c>
      <c r="H1197">
        <v>0</v>
      </c>
      <c r="I1197">
        <v>0</v>
      </c>
      <c r="J1197">
        <v>9000</v>
      </c>
      <c r="K1197">
        <v>0</v>
      </c>
      <c r="L1197">
        <v>9000</v>
      </c>
      <c r="M1197">
        <v>9000</v>
      </c>
      <c r="N1197">
        <v>100</v>
      </c>
      <c r="O1197">
        <v>0</v>
      </c>
      <c r="P1197">
        <v>0</v>
      </c>
      <c r="Q1197" t="str">
        <f>INDEX(pARTNER[#All],MATCH(#REF!,pARTNER[[#All],[Value.partnerSummary.id]],0),10)</f>
        <v>Slovenija (SI)</v>
      </c>
      <c r="R1197" t="str">
        <f>INDEX('Partner data'!$A$2:$DG$171,MATCH(#REF!,'Partner data'!$DG$2:$DG$171,0),83)</f>
        <v xml:space="preserve">Organismo di diritto pubblico </v>
      </c>
      <c r="S1197" s="86" t="b">
        <f>IF(#REF!="staff",INDEX('Partner data'!$DG$2:$DH$171,MATCH(#REF!,'Partner data'!$DG$2:$DG$171,0),2))</f>
        <v>0</v>
      </c>
    </row>
    <row r="1198" spans="1:19" x14ac:dyDescent="0.25">
      <c r="A1198" t="s">
        <v>59</v>
      </c>
      <c r="B1198" t="s">
        <v>52</v>
      </c>
      <c r="C1198">
        <v>314</v>
      </c>
      <c r="D1198">
        <v>63</v>
      </c>
      <c r="E1198" t="s">
        <v>236</v>
      </c>
      <c r="G1198">
        <v>0</v>
      </c>
      <c r="H1198">
        <v>0</v>
      </c>
      <c r="I1198">
        <v>0</v>
      </c>
      <c r="J1198">
        <v>0</v>
      </c>
      <c r="K1198">
        <v>0</v>
      </c>
      <c r="L1198">
        <v>0</v>
      </c>
      <c r="M1198">
        <v>0</v>
      </c>
      <c r="N1198">
        <v>0</v>
      </c>
      <c r="O1198">
        <v>0</v>
      </c>
      <c r="P1198">
        <v>0</v>
      </c>
      <c r="Q1198" t="str">
        <f>INDEX(pARTNER[#All],MATCH(#REF!,pARTNER[[#All],[Value.partnerSummary.id]],0),10)</f>
        <v>Slovenija (SI)</v>
      </c>
      <c r="R1198" t="str">
        <f>INDEX('Partner data'!$A$2:$DG$171,MATCH(#REF!,'Partner data'!$DG$2:$DG$171,0),83)</f>
        <v xml:space="preserve">Organismo di diritto pubblico </v>
      </c>
      <c r="S1198" s="86" t="b">
        <f>IF(#REF!="staff",INDEX('Partner data'!$DG$2:$DH$171,MATCH(#REF!,'Partner data'!$DG$2:$DG$171,0),2))</f>
        <v>0</v>
      </c>
    </row>
    <row r="1199" spans="1:19" x14ac:dyDescent="0.25">
      <c r="A1199" t="s">
        <v>59</v>
      </c>
      <c r="B1199" t="s">
        <v>52</v>
      </c>
      <c r="C1199">
        <v>314</v>
      </c>
      <c r="D1199">
        <v>63</v>
      </c>
      <c r="E1199" t="s">
        <v>237</v>
      </c>
      <c r="G1199">
        <v>0</v>
      </c>
      <c r="H1199">
        <v>0</v>
      </c>
      <c r="I1199">
        <v>0</v>
      </c>
      <c r="J1199">
        <v>0</v>
      </c>
      <c r="K1199">
        <v>0</v>
      </c>
      <c r="L1199">
        <v>0</v>
      </c>
      <c r="M1199">
        <v>0</v>
      </c>
      <c r="N1199">
        <v>0</v>
      </c>
      <c r="O1199">
        <v>0</v>
      </c>
      <c r="P1199">
        <v>0</v>
      </c>
      <c r="Q1199" t="str">
        <f>INDEX(pARTNER[#All],MATCH(#REF!,pARTNER[[#All],[Value.partnerSummary.id]],0),10)</f>
        <v>Slovenija (SI)</v>
      </c>
      <c r="R1199" t="str">
        <f>INDEX('Partner data'!$A$2:$DG$171,MATCH(#REF!,'Partner data'!$DG$2:$DG$171,0),83)</f>
        <v xml:space="preserve">Organismo di diritto pubblico </v>
      </c>
      <c r="S1199" s="86" t="b">
        <f>IF(#REF!="staff",INDEX('Partner data'!$DG$2:$DH$171,MATCH(#REF!,'Partner data'!$DG$2:$DG$171,0),2))</f>
        <v>0</v>
      </c>
    </row>
    <row r="1200" spans="1:19" x14ac:dyDescent="0.25">
      <c r="A1200" t="s">
        <v>59</v>
      </c>
      <c r="B1200" t="s">
        <v>52</v>
      </c>
      <c r="C1200">
        <v>314</v>
      </c>
      <c r="D1200">
        <v>63</v>
      </c>
      <c r="E1200" t="s">
        <v>238</v>
      </c>
      <c r="G1200">
        <v>1056445.8</v>
      </c>
      <c r="H1200">
        <v>0</v>
      </c>
      <c r="I1200">
        <v>0</v>
      </c>
      <c r="J1200">
        <v>31075.85</v>
      </c>
      <c r="K1200">
        <v>0</v>
      </c>
      <c r="L1200">
        <v>31075.85</v>
      </c>
      <c r="M1200">
        <v>31075.85</v>
      </c>
      <c r="N1200">
        <v>2.94</v>
      </c>
      <c r="O1200">
        <v>1025369.95</v>
      </c>
      <c r="P1200">
        <v>0</v>
      </c>
      <c r="Q1200" t="str">
        <f>INDEX(pARTNER[#All],MATCH(#REF!,pARTNER[[#All],[Value.partnerSummary.id]],0),10)</f>
        <v>Slovenija (SI)</v>
      </c>
      <c r="R1200" t="str">
        <f>INDEX('Partner data'!$A$2:$DG$171,MATCH(#REF!,'Partner data'!$DG$2:$DG$171,0),83)</f>
        <v xml:space="preserve">Organismo di diritto pubblico </v>
      </c>
      <c r="S1200" s="86" t="b">
        <f>IF(#REF!="staff",INDEX('Partner data'!$DG$2:$DH$171,MATCH(#REF!,'Partner data'!$DG$2:$DG$171,0),2))</f>
        <v>0</v>
      </c>
    </row>
    <row r="1201" spans="1:19" x14ac:dyDescent="0.25">
      <c r="A1201" t="s">
        <v>59</v>
      </c>
      <c r="B1201" t="s">
        <v>21</v>
      </c>
      <c r="C1201">
        <v>324</v>
      </c>
      <c r="D1201">
        <v>102</v>
      </c>
      <c r="E1201" t="s">
        <v>228</v>
      </c>
      <c r="F1201">
        <v>20</v>
      </c>
      <c r="G1201">
        <v>73021</v>
      </c>
      <c r="H1201">
        <v>0</v>
      </c>
      <c r="I1201">
        <v>0</v>
      </c>
      <c r="J1201">
        <v>0</v>
      </c>
      <c r="K1201">
        <v>0</v>
      </c>
      <c r="L1201">
        <v>0</v>
      </c>
      <c r="M1201">
        <v>0</v>
      </c>
      <c r="N1201">
        <v>0</v>
      </c>
      <c r="O1201">
        <v>73021</v>
      </c>
      <c r="P1201">
        <v>0</v>
      </c>
      <c r="Q1201" t="str">
        <f>INDEX(pARTNER[#All],MATCH(#REF!,pARTNER[[#All],[Value.partnerSummary.id]],0),10)</f>
        <v>Italia (IT)</v>
      </c>
      <c r="R1201" t="str">
        <f>INDEX('Partner data'!$A$2:$DG$171,MATCH(#REF!,'Partner data'!$DG$2:$DG$171,0),83)</f>
        <v xml:space="preserve">Organismo di diritto pubblico </v>
      </c>
      <c r="S1201" s="86" t="str">
        <f>IF(#REF!="staff",INDEX('Partner data'!$DG$2:$DH$171,MATCH(#REF!,'Partner data'!$DG$2:$DG$171,0),2))</f>
        <v>Tasso Forfettario 20%</v>
      </c>
    </row>
    <row r="1202" spans="1:19" x14ac:dyDescent="0.25">
      <c r="A1202" t="s">
        <v>59</v>
      </c>
      <c r="B1202" t="s">
        <v>21</v>
      </c>
      <c r="C1202">
        <v>324</v>
      </c>
      <c r="D1202">
        <v>102</v>
      </c>
      <c r="E1202" t="s">
        <v>229</v>
      </c>
      <c r="F1202">
        <v>15</v>
      </c>
      <c r="G1202">
        <v>10953.15</v>
      </c>
      <c r="H1202">
        <v>0</v>
      </c>
      <c r="I1202">
        <v>0</v>
      </c>
      <c r="J1202">
        <v>0</v>
      </c>
      <c r="K1202">
        <v>0</v>
      </c>
      <c r="L1202">
        <v>0</v>
      </c>
      <c r="M1202">
        <v>0</v>
      </c>
      <c r="N1202">
        <v>0</v>
      </c>
      <c r="O1202">
        <v>10953.15</v>
      </c>
      <c r="P1202">
        <v>0</v>
      </c>
      <c r="Q1202" t="str">
        <f>INDEX(pARTNER[#All],MATCH(#REF!,pARTNER[[#All],[Value.partnerSummary.id]],0),10)</f>
        <v>Italia (IT)</v>
      </c>
      <c r="R1202" t="str">
        <f>INDEX('Partner data'!$A$2:$DG$171,MATCH(#REF!,'Partner data'!$DG$2:$DG$171,0),83)</f>
        <v xml:space="preserve">Organismo di diritto pubblico </v>
      </c>
      <c r="S1202" s="86" t="b">
        <f>IF(#REF!="staff",INDEX('Partner data'!$DG$2:$DH$171,MATCH(#REF!,'Partner data'!$DG$2:$DG$171,0),2))</f>
        <v>0</v>
      </c>
    </row>
    <row r="1203" spans="1:19" x14ac:dyDescent="0.25">
      <c r="A1203" t="s">
        <v>59</v>
      </c>
      <c r="B1203" t="s">
        <v>21</v>
      </c>
      <c r="C1203">
        <v>324</v>
      </c>
      <c r="D1203">
        <v>102</v>
      </c>
      <c r="E1203" t="s">
        <v>230</v>
      </c>
      <c r="F1203">
        <v>4</v>
      </c>
      <c r="G1203">
        <v>2920.84</v>
      </c>
      <c r="H1203">
        <v>0</v>
      </c>
      <c r="I1203">
        <v>0</v>
      </c>
      <c r="J1203">
        <v>0</v>
      </c>
      <c r="K1203">
        <v>0</v>
      </c>
      <c r="L1203">
        <v>0</v>
      </c>
      <c r="M1203">
        <v>0</v>
      </c>
      <c r="N1203">
        <v>0</v>
      </c>
      <c r="O1203">
        <v>2920.84</v>
      </c>
      <c r="P1203">
        <v>0</v>
      </c>
      <c r="Q1203" t="str">
        <f>INDEX(pARTNER[#All],MATCH(#REF!,pARTNER[[#All],[Value.partnerSummary.id]],0),10)</f>
        <v>Italia (IT)</v>
      </c>
      <c r="R1203" t="str">
        <f>INDEX('Partner data'!$A$2:$DG$171,MATCH(#REF!,'Partner data'!$DG$2:$DG$171,0),83)</f>
        <v xml:space="preserve">Organismo di diritto pubblico </v>
      </c>
      <c r="S1203" s="86" t="b">
        <f>IF(#REF!="staff",INDEX('Partner data'!$DG$2:$DH$171,MATCH(#REF!,'Partner data'!$DG$2:$DG$171,0),2))</f>
        <v>0</v>
      </c>
    </row>
    <row r="1204" spans="1:19" x14ac:dyDescent="0.25">
      <c r="A1204" t="s">
        <v>59</v>
      </c>
      <c r="B1204" t="s">
        <v>21</v>
      </c>
      <c r="C1204">
        <v>324</v>
      </c>
      <c r="D1204">
        <v>102</v>
      </c>
      <c r="E1204" t="s">
        <v>231</v>
      </c>
      <c r="G1204">
        <v>328756.05</v>
      </c>
      <c r="H1204">
        <v>0</v>
      </c>
      <c r="I1204">
        <v>0</v>
      </c>
      <c r="J1204">
        <v>0</v>
      </c>
      <c r="K1204">
        <v>0</v>
      </c>
      <c r="L1204">
        <v>0</v>
      </c>
      <c r="M1204">
        <v>0</v>
      </c>
      <c r="N1204">
        <v>0</v>
      </c>
      <c r="O1204">
        <v>328756.05</v>
      </c>
      <c r="P1204">
        <v>0</v>
      </c>
      <c r="Q1204" t="str">
        <f>INDEX(pARTNER[#All],MATCH(#REF!,pARTNER[[#All],[Value.partnerSummary.id]],0),10)</f>
        <v>Italia (IT)</v>
      </c>
      <c r="R1204" t="str">
        <f>INDEX('Partner data'!$A$2:$DG$171,MATCH(#REF!,'Partner data'!$DG$2:$DG$171,0),83)</f>
        <v xml:space="preserve">Organismo di diritto pubblico </v>
      </c>
      <c r="S1204" s="86" t="b">
        <f>IF(#REF!="staff",INDEX('Partner data'!$DG$2:$DH$171,MATCH(#REF!,'Partner data'!$DG$2:$DG$171,0),2))</f>
        <v>0</v>
      </c>
    </row>
    <row r="1205" spans="1:19" x14ac:dyDescent="0.25">
      <c r="A1205" t="s">
        <v>59</v>
      </c>
      <c r="B1205" t="s">
        <v>21</v>
      </c>
      <c r="C1205">
        <v>324</v>
      </c>
      <c r="D1205">
        <v>102</v>
      </c>
      <c r="E1205" t="s">
        <v>232</v>
      </c>
      <c r="G1205">
        <v>36348.959999999999</v>
      </c>
      <c r="H1205">
        <v>0</v>
      </c>
      <c r="I1205">
        <v>0</v>
      </c>
      <c r="J1205">
        <v>0</v>
      </c>
      <c r="K1205">
        <v>0</v>
      </c>
      <c r="L1205">
        <v>0</v>
      </c>
      <c r="M1205">
        <v>0</v>
      </c>
      <c r="N1205">
        <v>0</v>
      </c>
      <c r="O1205">
        <v>36348.959999999999</v>
      </c>
      <c r="P1205">
        <v>0</v>
      </c>
      <c r="Q1205" t="str">
        <f>INDEX(pARTNER[#All],MATCH(#REF!,pARTNER[[#All],[Value.partnerSummary.id]],0),10)</f>
        <v>Italia (IT)</v>
      </c>
      <c r="R1205" t="str">
        <f>INDEX('Partner data'!$A$2:$DG$171,MATCH(#REF!,'Partner data'!$DG$2:$DG$171,0),83)</f>
        <v xml:space="preserve">Organismo di diritto pubblico </v>
      </c>
      <c r="S1205" s="86" t="b">
        <f>IF(#REF!="staff",INDEX('Partner data'!$DG$2:$DH$171,MATCH(#REF!,'Partner data'!$DG$2:$DG$171,0),2))</f>
        <v>0</v>
      </c>
    </row>
    <row r="1206" spans="1:19" x14ac:dyDescent="0.25">
      <c r="A1206" t="s">
        <v>59</v>
      </c>
      <c r="B1206" t="s">
        <v>21</v>
      </c>
      <c r="C1206">
        <v>324</v>
      </c>
      <c r="D1206">
        <v>102</v>
      </c>
      <c r="E1206" t="s">
        <v>233</v>
      </c>
      <c r="G1206">
        <v>0</v>
      </c>
      <c r="H1206">
        <v>0</v>
      </c>
      <c r="I1206">
        <v>0</v>
      </c>
      <c r="J1206">
        <v>0</v>
      </c>
      <c r="K1206">
        <v>0</v>
      </c>
      <c r="L1206">
        <v>0</v>
      </c>
      <c r="M1206">
        <v>0</v>
      </c>
      <c r="N1206">
        <v>0</v>
      </c>
      <c r="O1206">
        <v>0</v>
      </c>
      <c r="P1206">
        <v>0</v>
      </c>
      <c r="Q1206" t="str">
        <f>INDEX(pARTNER[#All],MATCH(#REF!,pARTNER[[#All],[Value.partnerSummary.id]],0),10)</f>
        <v>Italia (IT)</v>
      </c>
      <c r="R1206" t="str">
        <f>INDEX('Partner data'!$A$2:$DG$171,MATCH(#REF!,'Partner data'!$DG$2:$DG$171,0),83)</f>
        <v xml:space="preserve">Organismo di diritto pubblico </v>
      </c>
      <c r="S1206" s="86" t="b">
        <f>IF(#REF!="staff",INDEX('Partner data'!$DG$2:$DH$171,MATCH(#REF!,'Partner data'!$DG$2:$DG$171,0),2))</f>
        <v>0</v>
      </c>
    </row>
    <row r="1207" spans="1:19" x14ac:dyDescent="0.25">
      <c r="A1207" t="s">
        <v>59</v>
      </c>
      <c r="B1207" t="s">
        <v>21</v>
      </c>
      <c r="C1207">
        <v>324</v>
      </c>
      <c r="D1207">
        <v>102</v>
      </c>
      <c r="E1207" t="s">
        <v>234</v>
      </c>
      <c r="G1207">
        <v>0</v>
      </c>
      <c r="H1207">
        <v>0</v>
      </c>
      <c r="I1207">
        <v>0</v>
      </c>
      <c r="J1207">
        <v>0</v>
      </c>
      <c r="K1207">
        <v>0</v>
      </c>
      <c r="L1207">
        <v>0</v>
      </c>
      <c r="M1207">
        <v>0</v>
      </c>
      <c r="N1207">
        <v>0</v>
      </c>
      <c r="O1207">
        <v>0</v>
      </c>
      <c r="P1207">
        <v>0</v>
      </c>
      <c r="Q1207" t="str">
        <f>INDEX(pARTNER[#All],MATCH(#REF!,pARTNER[[#All],[Value.partnerSummary.id]],0),10)</f>
        <v>Italia (IT)</v>
      </c>
      <c r="R1207" t="str">
        <f>INDEX('Partner data'!$A$2:$DG$171,MATCH(#REF!,'Partner data'!$DG$2:$DG$171,0),83)</f>
        <v xml:space="preserve">Organismo di diritto pubblico </v>
      </c>
      <c r="S1207" s="86" t="b">
        <f>IF(#REF!="staff",INDEX('Partner data'!$DG$2:$DH$171,MATCH(#REF!,'Partner data'!$DG$2:$DG$171,0),2))</f>
        <v>0</v>
      </c>
    </row>
    <row r="1208" spans="1:19" x14ac:dyDescent="0.25">
      <c r="A1208" t="s">
        <v>59</v>
      </c>
      <c r="B1208" t="s">
        <v>21</v>
      </c>
      <c r="C1208">
        <v>324</v>
      </c>
      <c r="D1208">
        <v>102</v>
      </c>
      <c r="E1208" t="s">
        <v>235</v>
      </c>
      <c r="G1208">
        <v>0</v>
      </c>
      <c r="H1208">
        <v>0</v>
      </c>
      <c r="I1208">
        <v>0</v>
      </c>
      <c r="J1208">
        <v>0</v>
      </c>
      <c r="K1208">
        <v>0</v>
      </c>
      <c r="L1208">
        <v>0</v>
      </c>
      <c r="M1208">
        <v>0</v>
      </c>
      <c r="N1208">
        <v>0</v>
      </c>
      <c r="O1208">
        <v>0</v>
      </c>
      <c r="P1208">
        <v>0</v>
      </c>
      <c r="Q1208" t="str">
        <f>INDEX(pARTNER[#All],MATCH(#REF!,pARTNER[[#All],[Value.partnerSummary.id]],0),10)</f>
        <v>Italia (IT)</v>
      </c>
      <c r="R1208" t="str">
        <f>INDEX('Partner data'!$A$2:$DG$171,MATCH(#REF!,'Partner data'!$DG$2:$DG$171,0),83)</f>
        <v xml:space="preserve">Organismo di diritto pubblico </v>
      </c>
      <c r="S1208" s="86" t="b">
        <f>IF(#REF!="staff",INDEX('Partner data'!$DG$2:$DH$171,MATCH(#REF!,'Partner data'!$DG$2:$DG$171,0),2))</f>
        <v>0</v>
      </c>
    </row>
    <row r="1209" spans="1:19" x14ac:dyDescent="0.25">
      <c r="A1209" t="s">
        <v>59</v>
      </c>
      <c r="B1209" t="s">
        <v>21</v>
      </c>
      <c r="C1209">
        <v>324</v>
      </c>
      <c r="D1209">
        <v>102</v>
      </c>
      <c r="E1209" t="s">
        <v>236</v>
      </c>
      <c r="G1209">
        <v>0</v>
      </c>
      <c r="H1209">
        <v>0</v>
      </c>
      <c r="I1209">
        <v>0</v>
      </c>
      <c r="J1209">
        <v>0</v>
      </c>
      <c r="K1209">
        <v>0</v>
      </c>
      <c r="L1209">
        <v>0</v>
      </c>
      <c r="M1209">
        <v>0</v>
      </c>
      <c r="N1209">
        <v>0</v>
      </c>
      <c r="O1209">
        <v>0</v>
      </c>
      <c r="P1209">
        <v>0</v>
      </c>
      <c r="Q1209" t="str">
        <f>INDEX(pARTNER[#All],MATCH(#REF!,pARTNER[[#All],[Value.partnerSummary.id]],0),10)</f>
        <v>Italia (IT)</v>
      </c>
      <c r="R1209" t="str">
        <f>INDEX('Partner data'!$A$2:$DG$171,MATCH(#REF!,'Partner data'!$DG$2:$DG$171,0),83)</f>
        <v xml:space="preserve">Organismo di diritto pubblico </v>
      </c>
      <c r="S1209" s="86" t="b">
        <f>IF(#REF!="staff",INDEX('Partner data'!$DG$2:$DH$171,MATCH(#REF!,'Partner data'!$DG$2:$DG$171,0),2))</f>
        <v>0</v>
      </c>
    </row>
    <row r="1210" spans="1:19" x14ac:dyDescent="0.25">
      <c r="A1210" t="s">
        <v>59</v>
      </c>
      <c r="B1210" t="s">
        <v>21</v>
      </c>
      <c r="C1210">
        <v>324</v>
      </c>
      <c r="D1210">
        <v>102</v>
      </c>
      <c r="E1210" t="s">
        <v>237</v>
      </c>
      <c r="G1210">
        <v>0</v>
      </c>
      <c r="H1210">
        <v>0</v>
      </c>
      <c r="I1210">
        <v>0</v>
      </c>
      <c r="J1210">
        <v>0</v>
      </c>
      <c r="K1210">
        <v>0</v>
      </c>
      <c r="L1210">
        <v>0</v>
      </c>
      <c r="M1210">
        <v>0</v>
      </c>
      <c r="N1210">
        <v>0</v>
      </c>
      <c r="O1210">
        <v>0</v>
      </c>
      <c r="P1210">
        <v>0</v>
      </c>
      <c r="Q1210" t="str">
        <f>INDEX(pARTNER[#All],MATCH(#REF!,pARTNER[[#All],[Value.partnerSummary.id]],0),10)</f>
        <v>Italia (IT)</v>
      </c>
      <c r="R1210" t="str">
        <f>INDEX('Partner data'!$A$2:$DG$171,MATCH(#REF!,'Partner data'!$DG$2:$DG$171,0),83)</f>
        <v xml:space="preserve">Organismo di diritto pubblico </v>
      </c>
      <c r="S1210" s="86" t="b">
        <f>IF(#REF!="staff",INDEX('Partner data'!$DG$2:$DH$171,MATCH(#REF!,'Partner data'!$DG$2:$DG$171,0),2))</f>
        <v>0</v>
      </c>
    </row>
    <row r="1211" spans="1:19" x14ac:dyDescent="0.25">
      <c r="A1211" t="s">
        <v>59</v>
      </c>
      <c r="B1211" t="s">
        <v>21</v>
      </c>
      <c r="C1211">
        <v>324</v>
      </c>
      <c r="D1211">
        <v>102</v>
      </c>
      <c r="E1211" t="s">
        <v>238</v>
      </c>
      <c r="G1211">
        <v>452000</v>
      </c>
      <c r="H1211">
        <v>0</v>
      </c>
      <c r="I1211">
        <v>0</v>
      </c>
      <c r="J1211">
        <v>0</v>
      </c>
      <c r="K1211">
        <v>0</v>
      </c>
      <c r="L1211">
        <v>0</v>
      </c>
      <c r="M1211">
        <v>0</v>
      </c>
      <c r="N1211">
        <v>0</v>
      </c>
      <c r="O1211">
        <v>452000</v>
      </c>
      <c r="P1211">
        <v>0</v>
      </c>
      <c r="Q1211" t="str">
        <f>INDEX(pARTNER[#All],MATCH(#REF!,pARTNER[[#All],[Value.partnerSummary.id]],0),10)</f>
        <v>Italia (IT)</v>
      </c>
      <c r="R1211" t="str">
        <f>INDEX('Partner data'!$A$2:$DG$171,MATCH(#REF!,'Partner data'!$DG$2:$DG$171,0),83)</f>
        <v xml:space="preserve">Organismo di diritto pubblico </v>
      </c>
      <c r="S1211" s="86" t="b">
        <f>IF(#REF!="staff",INDEX('Partner data'!$DG$2:$DH$171,MATCH(#REF!,'Partner data'!$DG$2:$DG$171,0),2))</f>
        <v>0</v>
      </c>
    </row>
    <row r="1212" spans="1:19" x14ac:dyDescent="0.25">
      <c r="A1212" t="s">
        <v>59</v>
      </c>
      <c r="B1212" t="s">
        <v>21</v>
      </c>
      <c r="C1212">
        <v>324</v>
      </c>
      <c r="D1212">
        <v>163</v>
      </c>
      <c r="E1212" t="s">
        <v>228</v>
      </c>
      <c r="F1212">
        <v>20</v>
      </c>
      <c r="G1212">
        <v>73021</v>
      </c>
      <c r="H1212">
        <v>0</v>
      </c>
      <c r="I1212">
        <v>0</v>
      </c>
      <c r="J1212">
        <v>742.4</v>
      </c>
      <c r="K1212">
        <v>0</v>
      </c>
      <c r="L1212">
        <v>742.4</v>
      </c>
      <c r="M1212">
        <v>742.4</v>
      </c>
      <c r="N1212">
        <v>1.02</v>
      </c>
      <c r="O1212">
        <v>72278.600000000006</v>
      </c>
      <c r="P1212">
        <v>0</v>
      </c>
      <c r="Q1212" t="str">
        <f>INDEX(pARTNER[#All],MATCH(#REF!,pARTNER[[#All],[Value.partnerSummary.id]],0),10)</f>
        <v>Italia (IT)</v>
      </c>
      <c r="R1212" t="str">
        <f>INDEX('Partner data'!$A$2:$DG$171,MATCH(#REF!,'Partner data'!$DG$2:$DG$171,0),83)</f>
        <v xml:space="preserve">Organismo di diritto pubblico </v>
      </c>
      <c r="S1212" s="86" t="str">
        <f>IF(#REF!="staff",INDEX('Partner data'!$DG$2:$DH$171,MATCH(#REF!,'Partner data'!$DG$2:$DG$171,0),2))</f>
        <v>Tasso Forfettario 20%</v>
      </c>
    </row>
    <row r="1213" spans="1:19" x14ac:dyDescent="0.25">
      <c r="A1213" t="s">
        <v>59</v>
      </c>
      <c r="B1213" t="s">
        <v>21</v>
      </c>
      <c r="C1213">
        <v>324</v>
      </c>
      <c r="D1213">
        <v>163</v>
      </c>
      <c r="E1213" t="s">
        <v>229</v>
      </c>
      <c r="F1213">
        <v>15</v>
      </c>
      <c r="G1213">
        <v>10953.15</v>
      </c>
      <c r="H1213">
        <v>0</v>
      </c>
      <c r="I1213">
        <v>0</v>
      </c>
      <c r="J1213">
        <v>111.36</v>
      </c>
      <c r="K1213">
        <v>0</v>
      </c>
      <c r="L1213">
        <v>111.36</v>
      </c>
      <c r="M1213">
        <v>111.36</v>
      </c>
      <c r="N1213">
        <v>1.02</v>
      </c>
      <c r="O1213">
        <v>10841.79</v>
      </c>
      <c r="P1213">
        <v>0</v>
      </c>
      <c r="Q1213" t="str">
        <f>INDEX(pARTNER[#All],MATCH(#REF!,pARTNER[[#All],[Value.partnerSummary.id]],0),10)</f>
        <v>Italia (IT)</v>
      </c>
      <c r="R1213" t="str">
        <f>INDEX('Partner data'!$A$2:$DG$171,MATCH(#REF!,'Partner data'!$DG$2:$DG$171,0),83)</f>
        <v xml:space="preserve">Organismo di diritto pubblico </v>
      </c>
      <c r="S1213" s="86" t="b">
        <f>IF(#REF!="staff",INDEX('Partner data'!$DG$2:$DH$171,MATCH(#REF!,'Partner data'!$DG$2:$DG$171,0),2))</f>
        <v>0</v>
      </c>
    </row>
    <row r="1214" spans="1:19" x14ac:dyDescent="0.25">
      <c r="A1214" t="s">
        <v>59</v>
      </c>
      <c r="B1214" t="s">
        <v>21</v>
      </c>
      <c r="C1214">
        <v>324</v>
      </c>
      <c r="D1214">
        <v>163</v>
      </c>
      <c r="E1214" t="s">
        <v>230</v>
      </c>
      <c r="F1214">
        <v>4</v>
      </c>
      <c r="G1214">
        <v>2920.84</v>
      </c>
      <c r="H1214">
        <v>0</v>
      </c>
      <c r="I1214">
        <v>0</v>
      </c>
      <c r="J1214">
        <v>29.69</v>
      </c>
      <c r="K1214">
        <v>0</v>
      </c>
      <c r="L1214">
        <v>29.69</v>
      </c>
      <c r="M1214">
        <v>29.69</v>
      </c>
      <c r="N1214">
        <v>1.02</v>
      </c>
      <c r="O1214">
        <v>2891.15</v>
      </c>
      <c r="P1214">
        <v>0</v>
      </c>
      <c r="Q1214" t="str">
        <f>INDEX(pARTNER[#All],MATCH(#REF!,pARTNER[[#All],[Value.partnerSummary.id]],0),10)</f>
        <v>Italia (IT)</v>
      </c>
      <c r="R1214" t="str">
        <f>INDEX('Partner data'!$A$2:$DG$171,MATCH(#REF!,'Partner data'!$DG$2:$DG$171,0),83)</f>
        <v xml:space="preserve">Organismo di diritto pubblico </v>
      </c>
      <c r="S1214" s="86" t="b">
        <f>IF(#REF!="staff",INDEX('Partner data'!$DG$2:$DH$171,MATCH(#REF!,'Partner data'!$DG$2:$DG$171,0),2))</f>
        <v>0</v>
      </c>
    </row>
    <row r="1215" spans="1:19" x14ac:dyDescent="0.25">
      <c r="A1215" t="s">
        <v>59</v>
      </c>
      <c r="B1215" t="s">
        <v>21</v>
      </c>
      <c r="C1215">
        <v>324</v>
      </c>
      <c r="D1215">
        <v>163</v>
      </c>
      <c r="E1215" t="s">
        <v>231</v>
      </c>
      <c r="G1215">
        <v>328756.05</v>
      </c>
      <c r="H1215">
        <v>0</v>
      </c>
      <c r="I1215">
        <v>0</v>
      </c>
      <c r="J1215">
        <v>3712.03</v>
      </c>
      <c r="K1215">
        <v>0</v>
      </c>
      <c r="L1215">
        <v>3712.03</v>
      </c>
      <c r="M1215">
        <v>3712.03</v>
      </c>
      <c r="N1215">
        <v>1.1299999999999999</v>
      </c>
      <c r="O1215">
        <v>325044.02</v>
      </c>
      <c r="P1215">
        <v>0</v>
      </c>
      <c r="Q1215" t="str">
        <f>INDEX(pARTNER[#All],MATCH(#REF!,pARTNER[[#All],[Value.partnerSummary.id]],0),10)</f>
        <v>Italia (IT)</v>
      </c>
      <c r="R1215" t="str">
        <f>INDEX('Partner data'!$A$2:$DG$171,MATCH(#REF!,'Partner data'!$DG$2:$DG$171,0),83)</f>
        <v xml:space="preserve">Organismo di diritto pubblico </v>
      </c>
      <c r="S1215" s="86" t="b">
        <f>IF(#REF!="staff",INDEX('Partner data'!$DG$2:$DH$171,MATCH(#REF!,'Partner data'!$DG$2:$DG$171,0),2))</f>
        <v>0</v>
      </c>
    </row>
    <row r="1216" spans="1:19" x14ac:dyDescent="0.25">
      <c r="A1216" t="s">
        <v>59</v>
      </c>
      <c r="B1216" t="s">
        <v>21</v>
      </c>
      <c r="C1216">
        <v>324</v>
      </c>
      <c r="D1216">
        <v>163</v>
      </c>
      <c r="E1216" t="s">
        <v>232</v>
      </c>
      <c r="G1216">
        <v>36348.959999999999</v>
      </c>
      <c r="H1216">
        <v>0</v>
      </c>
      <c r="I1216">
        <v>0</v>
      </c>
      <c r="J1216">
        <v>0</v>
      </c>
      <c r="K1216">
        <v>0</v>
      </c>
      <c r="L1216">
        <v>0</v>
      </c>
      <c r="M1216">
        <v>0</v>
      </c>
      <c r="N1216">
        <v>0</v>
      </c>
      <c r="O1216">
        <v>36348.959999999999</v>
      </c>
      <c r="P1216">
        <v>0</v>
      </c>
      <c r="Q1216" t="str">
        <f>INDEX(pARTNER[#All],MATCH(#REF!,pARTNER[[#All],[Value.partnerSummary.id]],0),10)</f>
        <v>Italia (IT)</v>
      </c>
      <c r="R1216" t="str">
        <f>INDEX('Partner data'!$A$2:$DG$171,MATCH(#REF!,'Partner data'!$DG$2:$DG$171,0),83)</f>
        <v xml:space="preserve">Organismo di diritto pubblico </v>
      </c>
      <c r="S1216" s="86" t="b">
        <f>IF(#REF!="staff",INDEX('Partner data'!$DG$2:$DH$171,MATCH(#REF!,'Partner data'!$DG$2:$DG$171,0),2))</f>
        <v>0</v>
      </c>
    </row>
    <row r="1217" spans="1:19" x14ac:dyDescent="0.25">
      <c r="A1217" t="s">
        <v>59</v>
      </c>
      <c r="B1217" t="s">
        <v>21</v>
      </c>
      <c r="C1217">
        <v>324</v>
      </c>
      <c r="D1217">
        <v>163</v>
      </c>
      <c r="E1217" t="s">
        <v>233</v>
      </c>
      <c r="G1217">
        <v>0</v>
      </c>
      <c r="H1217">
        <v>0</v>
      </c>
      <c r="I1217">
        <v>0</v>
      </c>
      <c r="J1217">
        <v>0</v>
      </c>
      <c r="K1217">
        <v>0</v>
      </c>
      <c r="L1217">
        <v>0</v>
      </c>
      <c r="M1217">
        <v>0</v>
      </c>
      <c r="N1217">
        <v>0</v>
      </c>
      <c r="O1217">
        <v>0</v>
      </c>
      <c r="P1217">
        <v>0</v>
      </c>
      <c r="Q1217" t="str">
        <f>INDEX(pARTNER[#All],MATCH(#REF!,pARTNER[[#All],[Value.partnerSummary.id]],0),10)</f>
        <v>Italia (IT)</v>
      </c>
      <c r="R1217" t="str">
        <f>INDEX('Partner data'!$A$2:$DG$171,MATCH(#REF!,'Partner data'!$DG$2:$DG$171,0),83)</f>
        <v xml:space="preserve">Organismo di diritto pubblico </v>
      </c>
      <c r="S1217" s="86" t="b">
        <f>IF(#REF!="staff",INDEX('Partner data'!$DG$2:$DH$171,MATCH(#REF!,'Partner data'!$DG$2:$DG$171,0),2))</f>
        <v>0</v>
      </c>
    </row>
    <row r="1218" spans="1:19" x14ac:dyDescent="0.25">
      <c r="A1218" t="s">
        <v>59</v>
      </c>
      <c r="B1218" t="s">
        <v>21</v>
      </c>
      <c r="C1218">
        <v>324</v>
      </c>
      <c r="D1218">
        <v>163</v>
      </c>
      <c r="E1218" t="s">
        <v>234</v>
      </c>
      <c r="G1218">
        <v>0</v>
      </c>
      <c r="H1218">
        <v>0</v>
      </c>
      <c r="I1218">
        <v>0</v>
      </c>
      <c r="J1218">
        <v>0</v>
      </c>
      <c r="K1218">
        <v>0</v>
      </c>
      <c r="L1218">
        <v>0</v>
      </c>
      <c r="M1218">
        <v>0</v>
      </c>
      <c r="N1218">
        <v>0</v>
      </c>
      <c r="O1218">
        <v>0</v>
      </c>
      <c r="P1218">
        <v>0</v>
      </c>
      <c r="Q1218" t="str">
        <f>INDEX(pARTNER[#All],MATCH(#REF!,pARTNER[[#All],[Value.partnerSummary.id]],0),10)</f>
        <v>Italia (IT)</v>
      </c>
      <c r="R1218" t="str">
        <f>INDEX('Partner data'!$A$2:$DG$171,MATCH(#REF!,'Partner data'!$DG$2:$DG$171,0),83)</f>
        <v xml:space="preserve">Organismo di diritto pubblico </v>
      </c>
      <c r="S1218" s="86" t="b">
        <f>IF(#REF!="staff",INDEX('Partner data'!$DG$2:$DH$171,MATCH(#REF!,'Partner data'!$DG$2:$DG$171,0),2))</f>
        <v>0</v>
      </c>
    </row>
    <row r="1219" spans="1:19" x14ac:dyDescent="0.25">
      <c r="A1219" t="s">
        <v>59</v>
      </c>
      <c r="B1219" t="s">
        <v>21</v>
      </c>
      <c r="C1219">
        <v>324</v>
      </c>
      <c r="D1219">
        <v>163</v>
      </c>
      <c r="E1219" t="s">
        <v>235</v>
      </c>
      <c r="G1219">
        <v>0</v>
      </c>
      <c r="H1219">
        <v>0</v>
      </c>
      <c r="I1219">
        <v>0</v>
      </c>
      <c r="J1219">
        <v>0</v>
      </c>
      <c r="K1219">
        <v>0</v>
      </c>
      <c r="L1219">
        <v>0</v>
      </c>
      <c r="M1219">
        <v>0</v>
      </c>
      <c r="N1219">
        <v>0</v>
      </c>
      <c r="O1219">
        <v>0</v>
      </c>
      <c r="P1219">
        <v>0</v>
      </c>
      <c r="Q1219" t="str">
        <f>INDEX(pARTNER[#All],MATCH(#REF!,pARTNER[[#All],[Value.partnerSummary.id]],0),10)</f>
        <v>Italia (IT)</v>
      </c>
      <c r="R1219" t="str">
        <f>INDEX('Partner data'!$A$2:$DG$171,MATCH(#REF!,'Partner data'!$DG$2:$DG$171,0),83)</f>
        <v xml:space="preserve">Organismo di diritto pubblico </v>
      </c>
      <c r="S1219" s="86" t="b">
        <f>IF(#REF!="staff",INDEX('Partner data'!$DG$2:$DH$171,MATCH(#REF!,'Partner data'!$DG$2:$DG$171,0),2))</f>
        <v>0</v>
      </c>
    </row>
    <row r="1220" spans="1:19" x14ac:dyDescent="0.25">
      <c r="A1220" t="s">
        <v>59</v>
      </c>
      <c r="B1220" t="s">
        <v>21</v>
      </c>
      <c r="C1220">
        <v>324</v>
      </c>
      <c r="D1220">
        <v>163</v>
      </c>
      <c r="E1220" t="s">
        <v>236</v>
      </c>
      <c r="G1220">
        <v>0</v>
      </c>
      <c r="H1220">
        <v>0</v>
      </c>
      <c r="I1220">
        <v>0</v>
      </c>
      <c r="J1220">
        <v>0</v>
      </c>
      <c r="K1220">
        <v>0</v>
      </c>
      <c r="L1220">
        <v>0</v>
      </c>
      <c r="M1220">
        <v>0</v>
      </c>
      <c r="N1220">
        <v>0</v>
      </c>
      <c r="O1220">
        <v>0</v>
      </c>
      <c r="P1220">
        <v>0</v>
      </c>
      <c r="Q1220" t="str">
        <f>INDEX(pARTNER[#All],MATCH(#REF!,pARTNER[[#All],[Value.partnerSummary.id]],0),10)</f>
        <v>Italia (IT)</v>
      </c>
      <c r="R1220" t="str">
        <f>INDEX('Partner data'!$A$2:$DG$171,MATCH(#REF!,'Partner data'!$DG$2:$DG$171,0),83)</f>
        <v xml:space="preserve">Organismo di diritto pubblico </v>
      </c>
      <c r="S1220" s="86" t="b">
        <f>IF(#REF!="staff",INDEX('Partner data'!$DG$2:$DH$171,MATCH(#REF!,'Partner data'!$DG$2:$DG$171,0),2))</f>
        <v>0</v>
      </c>
    </row>
    <row r="1221" spans="1:19" x14ac:dyDescent="0.25">
      <c r="A1221" t="s">
        <v>59</v>
      </c>
      <c r="B1221" t="s">
        <v>21</v>
      </c>
      <c r="C1221">
        <v>324</v>
      </c>
      <c r="D1221">
        <v>163</v>
      </c>
      <c r="E1221" t="s">
        <v>237</v>
      </c>
      <c r="G1221">
        <v>0</v>
      </c>
      <c r="H1221">
        <v>0</v>
      </c>
      <c r="I1221">
        <v>0</v>
      </c>
      <c r="J1221">
        <v>0</v>
      </c>
      <c r="K1221">
        <v>0</v>
      </c>
      <c r="L1221">
        <v>0</v>
      </c>
      <c r="M1221">
        <v>0</v>
      </c>
      <c r="N1221">
        <v>0</v>
      </c>
      <c r="O1221">
        <v>0</v>
      </c>
      <c r="P1221">
        <v>0</v>
      </c>
      <c r="Q1221" t="str">
        <f>INDEX(pARTNER[#All],MATCH(#REF!,pARTNER[[#All],[Value.partnerSummary.id]],0),10)</f>
        <v>Italia (IT)</v>
      </c>
      <c r="R1221" t="str">
        <f>INDEX('Partner data'!$A$2:$DG$171,MATCH(#REF!,'Partner data'!$DG$2:$DG$171,0),83)</f>
        <v xml:space="preserve">Organismo di diritto pubblico </v>
      </c>
      <c r="S1221" s="86" t="b">
        <f>IF(#REF!="staff",INDEX('Partner data'!$DG$2:$DH$171,MATCH(#REF!,'Partner data'!$DG$2:$DG$171,0),2))</f>
        <v>0</v>
      </c>
    </row>
    <row r="1222" spans="1:19" x14ac:dyDescent="0.25">
      <c r="A1222" t="s">
        <v>59</v>
      </c>
      <c r="B1222" t="s">
        <v>21</v>
      </c>
      <c r="C1222">
        <v>324</v>
      </c>
      <c r="D1222">
        <v>163</v>
      </c>
      <c r="E1222" t="s">
        <v>238</v>
      </c>
      <c r="G1222">
        <v>452000</v>
      </c>
      <c r="H1222">
        <v>0</v>
      </c>
      <c r="I1222">
        <v>0</v>
      </c>
      <c r="J1222">
        <v>4595.4799999999996</v>
      </c>
      <c r="K1222">
        <v>0</v>
      </c>
      <c r="L1222">
        <v>4595.4799999999996</v>
      </c>
      <c r="M1222">
        <v>4595.4799999999996</v>
      </c>
      <c r="N1222">
        <v>1.02</v>
      </c>
      <c r="O1222">
        <v>447404.52</v>
      </c>
      <c r="P1222">
        <v>0</v>
      </c>
      <c r="Q1222" t="str">
        <f>INDEX(pARTNER[#All],MATCH(#REF!,pARTNER[[#All],[Value.partnerSummary.id]],0),10)</f>
        <v>Italia (IT)</v>
      </c>
      <c r="R1222" t="str">
        <f>INDEX('Partner data'!$A$2:$DG$171,MATCH(#REF!,'Partner data'!$DG$2:$DG$171,0),83)</f>
        <v xml:space="preserve">Organismo di diritto pubblico </v>
      </c>
      <c r="S1222" s="86" t="b">
        <f>IF(#REF!="staff",INDEX('Partner data'!$DG$2:$DH$171,MATCH(#REF!,'Partner data'!$DG$2:$DG$171,0),2))</f>
        <v>0</v>
      </c>
    </row>
    <row r="1223" spans="1:19" x14ac:dyDescent="0.25">
      <c r="A1223" t="s">
        <v>59</v>
      </c>
      <c r="B1223" t="s">
        <v>382</v>
      </c>
      <c r="C1223">
        <v>322</v>
      </c>
      <c r="D1223">
        <v>108</v>
      </c>
      <c r="E1223" t="s">
        <v>228</v>
      </c>
      <c r="G1223">
        <v>0</v>
      </c>
      <c r="H1223">
        <v>0</v>
      </c>
      <c r="I1223">
        <v>0</v>
      </c>
      <c r="J1223">
        <v>0</v>
      </c>
      <c r="K1223">
        <v>0</v>
      </c>
      <c r="L1223">
        <v>0</v>
      </c>
      <c r="M1223">
        <v>0</v>
      </c>
      <c r="N1223">
        <v>0</v>
      </c>
      <c r="O1223">
        <v>0</v>
      </c>
      <c r="P1223">
        <v>0</v>
      </c>
      <c r="Q1223" t="str">
        <f>INDEX(pARTNER[#All],MATCH(#REF!,pARTNER[[#All],[Value.partnerSummary.id]],0),10)</f>
        <v>Italia (IT)</v>
      </c>
      <c r="R1223" t="str">
        <f>INDEX('Partner data'!$A$2:$DG$171,MATCH(#REF!,'Partner data'!$DG$2:$DG$171,0),83)</f>
        <v>Soggetto pubblico</v>
      </c>
      <c r="S1223" s="86" t="str">
        <f>IF(#REF!="staff",INDEX('Partner data'!$DG$2:$DH$171,MATCH(#REF!,'Partner data'!$DG$2:$DG$171,0),2))</f>
        <v>BL1 non presente</v>
      </c>
    </row>
    <row r="1224" spans="1:19" x14ac:dyDescent="0.25">
      <c r="A1224" t="s">
        <v>59</v>
      </c>
      <c r="B1224" t="s">
        <v>382</v>
      </c>
      <c r="C1224">
        <v>322</v>
      </c>
      <c r="D1224">
        <v>108</v>
      </c>
      <c r="E1224" t="s">
        <v>229</v>
      </c>
      <c r="G1224">
        <v>0</v>
      </c>
      <c r="H1224">
        <v>0</v>
      </c>
      <c r="I1224">
        <v>0</v>
      </c>
      <c r="J1224">
        <v>0</v>
      </c>
      <c r="K1224">
        <v>0</v>
      </c>
      <c r="L1224">
        <v>0</v>
      </c>
      <c r="M1224">
        <v>0</v>
      </c>
      <c r="N1224">
        <v>0</v>
      </c>
      <c r="O1224">
        <v>0</v>
      </c>
      <c r="P1224">
        <v>0</v>
      </c>
      <c r="Q1224" t="str">
        <f>INDEX(pARTNER[#All],MATCH(#REF!,pARTNER[[#All],[Value.partnerSummary.id]],0),10)</f>
        <v>Italia (IT)</v>
      </c>
      <c r="R1224" t="str">
        <f>INDEX('Partner data'!$A$2:$DG$171,MATCH(#REF!,'Partner data'!$DG$2:$DG$171,0),83)</f>
        <v>Soggetto pubblico</v>
      </c>
      <c r="S1224" s="86" t="b">
        <f>IF(#REF!="staff",INDEX('Partner data'!$DG$2:$DH$171,MATCH(#REF!,'Partner data'!$DG$2:$DG$171,0),2))</f>
        <v>0</v>
      </c>
    </row>
    <row r="1225" spans="1:19" x14ac:dyDescent="0.25">
      <c r="A1225" t="s">
        <v>59</v>
      </c>
      <c r="B1225" t="s">
        <v>382</v>
      </c>
      <c r="C1225">
        <v>322</v>
      </c>
      <c r="D1225">
        <v>108</v>
      </c>
      <c r="E1225" t="s">
        <v>230</v>
      </c>
      <c r="G1225">
        <v>0</v>
      </c>
      <c r="H1225">
        <v>0</v>
      </c>
      <c r="I1225">
        <v>0</v>
      </c>
      <c r="J1225">
        <v>0</v>
      </c>
      <c r="K1225">
        <v>0</v>
      </c>
      <c r="L1225">
        <v>0</v>
      </c>
      <c r="M1225">
        <v>0</v>
      </c>
      <c r="N1225">
        <v>0</v>
      </c>
      <c r="O1225">
        <v>0</v>
      </c>
      <c r="P1225">
        <v>0</v>
      </c>
      <c r="Q1225" t="str">
        <f>INDEX(pARTNER[#All],MATCH(#REF!,pARTNER[[#All],[Value.partnerSummary.id]],0),10)</f>
        <v>Italia (IT)</v>
      </c>
      <c r="R1225" t="str">
        <f>INDEX('Partner data'!$A$2:$DG$171,MATCH(#REF!,'Partner data'!$DG$2:$DG$171,0),83)</f>
        <v>Soggetto pubblico</v>
      </c>
      <c r="S1225" s="86" t="b">
        <f>IF(#REF!="staff",INDEX('Partner data'!$DG$2:$DH$171,MATCH(#REF!,'Partner data'!$DG$2:$DG$171,0),2))</f>
        <v>0</v>
      </c>
    </row>
    <row r="1226" spans="1:19" x14ac:dyDescent="0.25">
      <c r="A1226" t="s">
        <v>59</v>
      </c>
      <c r="B1226" t="s">
        <v>382</v>
      </c>
      <c r="C1226">
        <v>322</v>
      </c>
      <c r="D1226">
        <v>108</v>
      </c>
      <c r="E1226" t="s">
        <v>231</v>
      </c>
      <c r="G1226">
        <v>325400</v>
      </c>
      <c r="H1226">
        <v>0</v>
      </c>
      <c r="I1226">
        <v>0</v>
      </c>
      <c r="J1226">
        <v>0</v>
      </c>
      <c r="K1226">
        <v>0</v>
      </c>
      <c r="L1226">
        <v>0</v>
      </c>
      <c r="M1226">
        <v>0</v>
      </c>
      <c r="N1226">
        <v>0</v>
      </c>
      <c r="O1226">
        <v>325400</v>
      </c>
      <c r="P1226">
        <v>0</v>
      </c>
      <c r="Q1226" t="str">
        <f>INDEX(pARTNER[#All],MATCH(#REF!,pARTNER[[#All],[Value.partnerSummary.id]],0),10)</f>
        <v>Italia (IT)</v>
      </c>
      <c r="R1226" t="str">
        <f>INDEX('Partner data'!$A$2:$DG$171,MATCH(#REF!,'Partner data'!$DG$2:$DG$171,0),83)</f>
        <v>Soggetto pubblico</v>
      </c>
      <c r="S1226" s="86" t="b">
        <f>IF(#REF!="staff",INDEX('Partner data'!$DG$2:$DH$171,MATCH(#REF!,'Partner data'!$DG$2:$DG$171,0),2))</f>
        <v>0</v>
      </c>
    </row>
    <row r="1227" spans="1:19" x14ac:dyDescent="0.25">
      <c r="A1227" t="s">
        <v>59</v>
      </c>
      <c r="B1227" t="s">
        <v>382</v>
      </c>
      <c r="C1227">
        <v>322</v>
      </c>
      <c r="D1227">
        <v>108</v>
      </c>
      <c r="E1227" t="s">
        <v>232</v>
      </c>
      <c r="G1227">
        <v>8600</v>
      </c>
      <c r="H1227">
        <v>0</v>
      </c>
      <c r="I1227">
        <v>0</v>
      </c>
      <c r="J1227">
        <v>0</v>
      </c>
      <c r="K1227">
        <v>0</v>
      </c>
      <c r="L1227">
        <v>0</v>
      </c>
      <c r="M1227">
        <v>0</v>
      </c>
      <c r="N1227">
        <v>0</v>
      </c>
      <c r="O1227">
        <v>8600</v>
      </c>
      <c r="P1227">
        <v>0</v>
      </c>
      <c r="Q1227" t="str">
        <f>INDEX(pARTNER[#All],MATCH(#REF!,pARTNER[[#All],[Value.partnerSummary.id]],0),10)</f>
        <v>Italia (IT)</v>
      </c>
      <c r="R1227" t="str">
        <f>INDEX('Partner data'!$A$2:$DG$171,MATCH(#REF!,'Partner data'!$DG$2:$DG$171,0),83)</f>
        <v>Soggetto pubblico</v>
      </c>
      <c r="S1227" s="86" t="b">
        <f>IF(#REF!="staff",INDEX('Partner data'!$DG$2:$DH$171,MATCH(#REF!,'Partner data'!$DG$2:$DG$171,0),2))</f>
        <v>0</v>
      </c>
    </row>
    <row r="1228" spans="1:19" x14ac:dyDescent="0.25">
      <c r="A1228" t="s">
        <v>59</v>
      </c>
      <c r="B1228" t="s">
        <v>382</v>
      </c>
      <c r="C1228">
        <v>322</v>
      </c>
      <c r="D1228">
        <v>108</v>
      </c>
      <c r="E1228" t="s">
        <v>233</v>
      </c>
      <c r="G1228">
        <v>0</v>
      </c>
      <c r="H1228">
        <v>0</v>
      </c>
      <c r="I1228">
        <v>0</v>
      </c>
      <c r="J1228">
        <v>0</v>
      </c>
      <c r="K1228">
        <v>0</v>
      </c>
      <c r="L1228">
        <v>0</v>
      </c>
      <c r="M1228">
        <v>0</v>
      </c>
      <c r="N1228">
        <v>0</v>
      </c>
      <c r="O1228">
        <v>0</v>
      </c>
      <c r="P1228">
        <v>0</v>
      </c>
      <c r="Q1228" t="str">
        <f>INDEX(pARTNER[#All],MATCH(#REF!,pARTNER[[#All],[Value.partnerSummary.id]],0),10)</f>
        <v>Italia (IT)</v>
      </c>
      <c r="R1228" t="str">
        <f>INDEX('Partner data'!$A$2:$DG$171,MATCH(#REF!,'Partner data'!$DG$2:$DG$171,0),83)</f>
        <v>Soggetto pubblico</v>
      </c>
      <c r="S1228" s="86" t="b">
        <f>IF(#REF!="staff",INDEX('Partner data'!$DG$2:$DH$171,MATCH(#REF!,'Partner data'!$DG$2:$DG$171,0),2))</f>
        <v>0</v>
      </c>
    </row>
    <row r="1229" spans="1:19" x14ac:dyDescent="0.25">
      <c r="A1229" t="s">
        <v>59</v>
      </c>
      <c r="B1229" t="s">
        <v>382</v>
      </c>
      <c r="C1229">
        <v>322</v>
      </c>
      <c r="D1229">
        <v>108</v>
      </c>
      <c r="E1229" t="s">
        <v>234</v>
      </c>
      <c r="G1229">
        <v>0</v>
      </c>
      <c r="H1229">
        <v>0</v>
      </c>
      <c r="I1229">
        <v>0</v>
      </c>
      <c r="J1229">
        <v>0</v>
      </c>
      <c r="K1229">
        <v>0</v>
      </c>
      <c r="L1229">
        <v>0</v>
      </c>
      <c r="M1229">
        <v>0</v>
      </c>
      <c r="N1229">
        <v>0</v>
      </c>
      <c r="O1229">
        <v>0</v>
      </c>
      <c r="P1229">
        <v>0</v>
      </c>
      <c r="Q1229" t="str">
        <f>INDEX(pARTNER[#All],MATCH(#REF!,pARTNER[[#All],[Value.partnerSummary.id]],0),10)</f>
        <v>Italia (IT)</v>
      </c>
      <c r="R1229" t="str">
        <f>INDEX('Partner data'!$A$2:$DG$171,MATCH(#REF!,'Partner data'!$DG$2:$DG$171,0),83)</f>
        <v>Soggetto pubblico</v>
      </c>
      <c r="S1229" s="86" t="b">
        <f>IF(#REF!="staff",INDEX('Partner data'!$DG$2:$DH$171,MATCH(#REF!,'Partner data'!$DG$2:$DG$171,0),2))</f>
        <v>0</v>
      </c>
    </row>
    <row r="1230" spans="1:19" x14ac:dyDescent="0.25">
      <c r="A1230" t="s">
        <v>59</v>
      </c>
      <c r="B1230" t="s">
        <v>382</v>
      </c>
      <c r="C1230">
        <v>322</v>
      </c>
      <c r="D1230">
        <v>108</v>
      </c>
      <c r="E1230" t="s">
        <v>235</v>
      </c>
      <c r="G1230">
        <v>0</v>
      </c>
      <c r="H1230">
        <v>0</v>
      </c>
      <c r="I1230">
        <v>0</v>
      </c>
      <c r="J1230">
        <v>0</v>
      </c>
      <c r="K1230">
        <v>0</v>
      </c>
      <c r="L1230">
        <v>0</v>
      </c>
      <c r="M1230">
        <v>0</v>
      </c>
      <c r="N1230">
        <v>0</v>
      </c>
      <c r="O1230">
        <v>0</v>
      </c>
      <c r="P1230">
        <v>0</v>
      </c>
      <c r="Q1230" t="str">
        <f>INDEX(pARTNER[#All],MATCH(#REF!,pARTNER[[#All],[Value.partnerSummary.id]],0),10)</f>
        <v>Italia (IT)</v>
      </c>
      <c r="R1230" t="str">
        <f>INDEX('Partner data'!$A$2:$DG$171,MATCH(#REF!,'Partner data'!$DG$2:$DG$171,0),83)</f>
        <v>Soggetto pubblico</v>
      </c>
      <c r="S1230" s="86" t="b">
        <f>IF(#REF!="staff",INDEX('Partner data'!$DG$2:$DH$171,MATCH(#REF!,'Partner data'!$DG$2:$DG$171,0),2))</f>
        <v>0</v>
      </c>
    </row>
    <row r="1231" spans="1:19" x14ac:dyDescent="0.25">
      <c r="A1231" t="s">
        <v>59</v>
      </c>
      <c r="B1231" t="s">
        <v>382</v>
      </c>
      <c r="C1231">
        <v>322</v>
      </c>
      <c r="D1231">
        <v>108</v>
      </c>
      <c r="E1231" t="s">
        <v>236</v>
      </c>
      <c r="G1231">
        <v>0</v>
      </c>
      <c r="H1231">
        <v>0</v>
      </c>
      <c r="I1231">
        <v>0</v>
      </c>
      <c r="J1231">
        <v>0</v>
      </c>
      <c r="K1231">
        <v>0</v>
      </c>
      <c r="L1231">
        <v>0</v>
      </c>
      <c r="M1231">
        <v>0</v>
      </c>
      <c r="N1231">
        <v>0</v>
      </c>
      <c r="O1231">
        <v>0</v>
      </c>
      <c r="P1231">
        <v>0</v>
      </c>
      <c r="Q1231" t="str">
        <f>INDEX(pARTNER[#All],MATCH(#REF!,pARTNER[[#All],[Value.partnerSummary.id]],0),10)</f>
        <v>Italia (IT)</v>
      </c>
      <c r="R1231" t="str">
        <f>INDEX('Partner data'!$A$2:$DG$171,MATCH(#REF!,'Partner data'!$DG$2:$DG$171,0),83)</f>
        <v>Soggetto pubblico</v>
      </c>
      <c r="S1231" s="86" t="b">
        <f>IF(#REF!="staff",INDEX('Partner data'!$DG$2:$DH$171,MATCH(#REF!,'Partner data'!$DG$2:$DG$171,0),2))</f>
        <v>0</v>
      </c>
    </row>
    <row r="1232" spans="1:19" x14ac:dyDescent="0.25">
      <c r="A1232" t="s">
        <v>59</v>
      </c>
      <c r="B1232" t="s">
        <v>382</v>
      </c>
      <c r="C1232">
        <v>322</v>
      </c>
      <c r="D1232">
        <v>108</v>
      </c>
      <c r="E1232" t="s">
        <v>237</v>
      </c>
      <c r="G1232">
        <v>0</v>
      </c>
      <c r="H1232">
        <v>0</v>
      </c>
      <c r="I1232">
        <v>0</v>
      </c>
      <c r="J1232">
        <v>0</v>
      </c>
      <c r="K1232">
        <v>0</v>
      </c>
      <c r="L1232">
        <v>0</v>
      </c>
      <c r="M1232">
        <v>0</v>
      </c>
      <c r="N1232">
        <v>0</v>
      </c>
      <c r="O1232">
        <v>0</v>
      </c>
      <c r="P1232">
        <v>0</v>
      </c>
      <c r="Q1232" t="str">
        <f>INDEX(pARTNER[#All],MATCH(#REF!,pARTNER[[#All],[Value.partnerSummary.id]],0),10)</f>
        <v>Italia (IT)</v>
      </c>
      <c r="R1232" t="str">
        <f>INDEX('Partner data'!$A$2:$DG$171,MATCH(#REF!,'Partner data'!$DG$2:$DG$171,0),83)</f>
        <v>Soggetto pubblico</v>
      </c>
      <c r="S1232" s="86" t="b">
        <f>IF(#REF!="staff",INDEX('Partner data'!$DG$2:$DH$171,MATCH(#REF!,'Partner data'!$DG$2:$DG$171,0),2))</f>
        <v>0</v>
      </c>
    </row>
    <row r="1233" spans="1:19" x14ac:dyDescent="0.25">
      <c r="A1233" t="s">
        <v>59</v>
      </c>
      <c r="B1233" t="s">
        <v>382</v>
      </c>
      <c r="C1233">
        <v>322</v>
      </c>
      <c r="D1233">
        <v>108</v>
      </c>
      <c r="E1233" t="s">
        <v>238</v>
      </c>
      <c r="G1233">
        <v>334000</v>
      </c>
      <c r="H1233">
        <v>0</v>
      </c>
      <c r="I1233">
        <v>0</v>
      </c>
      <c r="J1233">
        <v>0</v>
      </c>
      <c r="K1233">
        <v>0</v>
      </c>
      <c r="L1233">
        <v>0</v>
      </c>
      <c r="M1233">
        <v>0</v>
      </c>
      <c r="N1233">
        <v>0</v>
      </c>
      <c r="O1233">
        <v>334000</v>
      </c>
      <c r="P1233">
        <v>0</v>
      </c>
      <c r="Q1233" t="str">
        <f>INDEX(pARTNER[#All],MATCH(#REF!,pARTNER[[#All],[Value.partnerSummary.id]],0),10)</f>
        <v>Italia (IT)</v>
      </c>
      <c r="R1233" t="str">
        <f>INDEX('Partner data'!$A$2:$DG$171,MATCH(#REF!,'Partner data'!$DG$2:$DG$171,0),83)</f>
        <v>Soggetto pubblico</v>
      </c>
      <c r="S1233" s="86" t="b">
        <f>IF(#REF!="staff",INDEX('Partner data'!$DG$2:$DH$171,MATCH(#REF!,'Partner data'!$DG$2:$DG$171,0),2))</f>
        <v>0</v>
      </c>
    </row>
    <row r="1234" spans="1:19" x14ac:dyDescent="0.25">
      <c r="A1234" t="s">
        <v>59</v>
      </c>
      <c r="B1234" t="s">
        <v>382</v>
      </c>
      <c r="C1234">
        <v>322</v>
      </c>
      <c r="D1234">
        <v>167</v>
      </c>
      <c r="E1234" t="s">
        <v>228</v>
      </c>
      <c r="G1234">
        <v>0</v>
      </c>
      <c r="H1234">
        <v>0</v>
      </c>
      <c r="I1234">
        <v>0</v>
      </c>
      <c r="J1234">
        <v>0</v>
      </c>
      <c r="K1234">
        <v>0</v>
      </c>
      <c r="L1234">
        <v>0</v>
      </c>
      <c r="M1234">
        <v>0</v>
      </c>
      <c r="N1234">
        <v>0</v>
      </c>
      <c r="O1234">
        <v>0</v>
      </c>
      <c r="P1234">
        <v>0</v>
      </c>
      <c r="Q1234" t="str">
        <f>INDEX(pARTNER[#All],MATCH(#REF!,pARTNER[[#All],[Value.partnerSummary.id]],0),10)</f>
        <v>Italia (IT)</v>
      </c>
      <c r="R1234" t="str">
        <f>INDEX('Partner data'!$A$2:$DG$171,MATCH(#REF!,'Partner data'!$DG$2:$DG$171,0),83)</f>
        <v>Soggetto pubblico</v>
      </c>
      <c r="S1234" s="86" t="str">
        <f>IF(#REF!="staff",INDEX('Partner data'!$DG$2:$DH$171,MATCH(#REF!,'Partner data'!$DG$2:$DG$171,0),2))</f>
        <v>BL1 non presente</v>
      </c>
    </row>
    <row r="1235" spans="1:19" x14ac:dyDescent="0.25">
      <c r="A1235" t="s">
        <v>59</v>
      </c>
      <c r="B1235" t="s">
        <v>382</v>
      </c>
      <c r="C1235">
        <v>322</v>
      </c>
      <c r="D1235">
        <v>167</v>
      </c>
      <c r="E1235" t="s">
        <v>229</v>
      </c>
      <c r="G1235">
        <v>0</v>
      </c>
      <c r="H1235">
        <v>0</v>
      </c>
      <c r="I1235">
        <v>0</v>
      </c>
      <c r="J1235">
        <v>0</v>
      </c>
      <c r="K1235">
        <v>0</v>
      </c>
      <c r="L1235">
        <v>0</v>
      </c>
      <c r="M1235">
        <v>0</v>
      </c>
      <c r="N1235">
        <v>0</v>
      </c>
      <c r="O1235">
        <v>0</v>
      </c>
      <c r="P1235">
        <v>0</v>
      </c>
      <c r="Q1235" t="str">
        <f>INDEX(pARTNER[#All],MATCH(#REF!,pARTNER[[#All],[Value.partnerSummary.id]],0),10)</f>
        <v>Italia (IT)</v>
      </c>
      <c r="R1235" t="str">
        <f>INDEX('Partner data'!$A$2:$DG$171,MATCH(#REF!,'Partner data'!$DG$2:$DG$171,0),83)</f>
        <v>Soggetto pubblico</v>
      </c>
      <c r="S1235" s="86" t="b">
        <f>IF(#REF!="staff",INDEX('Partner data'!$DG$2:$DH$171,MATCH(#REF!,'Partner data'!$DG$2:$DG$171,0),2))</f>
        <v>0</v>
      </c>
    </row>
    <row r="1236" spans="1:19" x14ac:dyDescent="0.25">
      <c r="A1236" t="s">
        <v>59</v>
      </c>
      <c r="B1236" t="s">
        <v>382</v>
      </c>
      <c r="C1236">
        <v>322</v>
      </c>
      <c r="D1236">
        <v>167</v>
      </c>
      <c r="E1236" t="s">
        <v>230</v>
      </c>
      <c r="G1236">
        <v>0</v>
      </c>
      <c r="H1236">
        <v>0</v>
      </c>
      <c r="I1236">
        <v>0</v>
      </c>
      <c r="J1236">
        <v>0</v>
      </c>
      <c r="K1236">
        <v>0</v>
      </c>
      <c r="L1236">
        <v>0</v>
      </c>
      <c r="M1236">
        <v>0</v>
      </c>
      <c r="N1236">
        <v>0</v>
      </c>
      <c r="O1236">
        <v>0</v>
      </c>
      <c r="P1236">
        <v>0</v>
      </c>
      <c r="Q1236" t="str">
        <f>INDEX(pARTNER[#All],MATCH(#REF!,pARTNER[[#All],[Value.partnerSummary.id]],0),10)</f>
        <v>Italia (IT)</v>
      </c>
      <c r="R1236" t="str">
        <f>INDEX('Partner data'!$A$2:$DG$171,MATCH(#REF!,'Partner data'!$DG$2:$DG$171,0),83)</f>
        <v>Soggetto pubblico</v>
      </c>
      <c r="S1236" s="86" t="b">
        <f>IF(#REF!="staff",INDEX('Partner data'!$DG$2:$DH$171,MATCH(#REF!,'Partner data'!$DG$2:$DG$171,0),2))</f>
        <v>0</v>
      </c>
    </row>
    <row r="1237" spans="1:19" x14ac:dyDescent="0.25">
      <c r="A1237" t="s">
        <v>59</v>
      </c>
      <c r="B1237" t="s">
        <v>382</v>
      </c>
      <c r="C1237">
        <v>322</v>
      </c>
      <c r="D1237">
        <v>167</v>
      </c>
      <c r="E1237" t="s">
        <v>231</v>
      </c>
      <c r="G1237">
        <v>325400</v>
      </c>
      <c r="H1237">
        <v>0</v>
      </c>
      <c r="I1237">
        <v>0</v>
      </c>
      <c r="J1237">
        <v>12584.58</v>
      </c>
      <c r="K1237">
        <v>0</v>
      </c>
      <c r="L1237">
        <v>4846.3999999999996</v>
      </c>
      <c r="M1237">
        <v>12584.58</v>
      </c>
      <c r="N1237">
        <v>3.87</v>
      </c>
      <c r="O1237">
        <v>312815.42</v>
      </c>
      <c r="P1237">
        <v>0</v>
      </c>
      <c r="Q1237" t="str">
        <f>INDEX(pARTNER[#All],MATCH(#REF!,pARTNER[[#All],[Value.partnerSummary.id]],0),10)</f>
        <v>Italia (IT)</v>
      </c>
      <c r="R1237" t="str">
        <f>INDEX('Partner data'!$A$2:$DG$171,MATCH(#REF!,'Partner data'!$DG$2:$DG$171,0),83)</f>
        <v>Soggetto pubblico</v>
      </c>
      <c r="S1237" s="86" t="b">
        <f>IF(#REF!="staff",INDEX('Partner data'!$DG$2:$DH$171,MATCH(#REF!,'Partner data'!$DG$2:$DG$171,0),2))</f>
        <v>0</v>
      </c>
    </row>
    <row r="1238" spans="1:19" x14ac:dyDescent="0.25">
      <c r="A1238" t="s">
        <v>59</v>
      </c>
      <c r="B1238" t="s">
        <v>382</v>
      </c>
      <c r="C1238">
        <v>322</v>
      </c>
      <c r="D1238">
        <v>167</v>
      </c>
      <c r="E1238" t="s">
        <v>232</v>
      </c>
      <c r="G1238">
        <v>8600</v>
      </c>
      <c r="H1238">
        <v>0</v>
      </c>
      <c r="I1238">
        <v>0</v>
      </c>
      <c r="J1238">
        <v>0</v>
      </c>
      <c r="K1238">
        <v>0</v>
      </c>
      <c r="L1238">
        <v>0</v>
      </c>
      <c r="M1238">
        <v>0</v>
      </c>
      <c r="N1238">
        <v>0</v>
      </c>
      <c r="O1238">
        <v>8600</v>
      </c>
      <c r="P1238">
        <v>0</v>
      </c>
      <c r="Q1238" t="str">
        <f>INDEX(pARTNER[#All],MATCH(#REF!,pARTNER[[#All],[Value.partnerSummary.id]],0),10)</f>
        <v>Italia (IT)</v>
      </c>
      <c r="R1238" t="str">
        <f>INDEX('Partner data'!$A$2:$DG$171,MATCH(#REF!,'Partner data'!$DG$2:$DG$171,0),83)</f>
        <v>Soggetto pubblico</v>
      </c>
      <c r="S1238" s="86" t="b">
        <f>IF(#REF!="staff",INDEX('Partner data'!$DG$2:$DH$171,MATCH(#REF!,'Partner data'!$DG$2:$DG$171,0),2))</f>
        <v>0</v>
      </c>
    </row>
    <row r="1239" spans="1:19" x14ac:dyDescent="0.25">
      <c r="A1239" t="s">
        <v>59</v>
      </c>
      <c r="B1239" t="s">
        <v>382</v>
      </c>
      <c r="C1239">
        <v>322</v>
      </c>
      <c r="D1239">
        <v>167</v>
      </c>
      <c r="E1239" t="s">
        <v>233</v>
      </c>
      <c r="G1239">
        <v>0</v>
      </c>
      <c r="H1239">
        <v>0</v>
      </c>
      <c r="I1239">
        <v>0</v>
      </c>
      <c r="J1239">
        <v>0</v>
      </c>
      <c r="K1239">
        <v>0</v>
      </c>
      <c r="L1239">
        <v>0</v>
      </c>
      <c r="M1239">
        <v>0</v>
      </c>
      <c r="N1239">
        <v>0</v>
      </c>
      <c r="O1239">
        <v>0</v>
      </c>
      <c r="P1239">
        <v>0</v>
      </c>
      <c r="Q1239" t="str">
        <f>INDEX(pARTNER[#All],MATCH(#REF!,pARTNER[[#All],[Value.partnerSummary.id]],0),10)</f>
        <v>Italia (IT)</v>
      </c>
      <c r="R1239" t="str">
        <f>INDEX('Partner data'!$A$2:$DG$171,MATCH(#REF!,'Partner data'!$DG$2:$DG$171,0),83)</f>
        <v>Soggetto pubblico</v>
      </c>
      <c r="S1239" s="86" t="b">
        <f>IF(#REF!="staff",INDEX('Partner data'!$DG$2:$DH$171,MATCH(#REF!,'Partner data'!$DG$2:$DG$171,0),2))</f>
        <v>0</v>
      </c>
    </row>
    <row r="1240" spans="1:19" x14ac:dyDescent="0.25">
      <c r="A1240" t="s">
        <v>59</v>
      </c>
      <c r="B1240" t="s">
        <v>382</v>
      </c>
      <c r="C1240">
        <v>322</v>
      </c>
      <c r="D1240">
        <v>167</v>
      </c>
      <c r="E1240" t="s">
        <v>234</v>
      </c>
      <c r="G1240">
        <v>0</v>
      </c>
      <c r="H1240">
        <v>0</v>
      </c>
      <c r="I1240">
        <v>0</v>
      </c>
      <c r="J1240">
        <v>0</v>
      </c>
      <c r="K1240">
        <v>0</v>
      </c>
      <c r="L1240">
        <v>0</v>
      </c>
      <c r="M1240">
        <v>0</v>
      </c>
      <c r="N1240">
        <v>0</v>
      </c>
      <c r="O1240">
        <v>0</v>
      </c>
      <c r="P1240">
        <v>0</v>
      </c>
      <c r="Q1240" t="str">
        <f>INDEX(pARTNER[#All],MATCH(#REF!,pARTNER[[#All],[Value.partnerSummary.id]],0),10)</f>
        <v>Italia (IT)</v>
      </c>
      <c r="R1240" t="str">
        <f>INDEX('Partner data'!$A$2:$DG$171,MATCH(#REF!,'Partner data'!$DG$2:$DG$171,0),83)</f>
        <v>Soggetto pubblico</v>
      </c>
      <c r="S1240" s="86" t="b">
        <f>IF(#REF!="staff",INDEX('Partner data'!$DG$2:$DH$171,MATCH(#REF!,'Partner data'!$DG$2:$DG$171,0),2))</f>
        <v>0</v>
      </c>
    </row>
    <row r="1241" spans="1:19" x14ac:dyDescent="0.25">
      <c r="A1241" t="s">
        <v>59</v>
      </c>
      <c r="B1241" t="s">
        <v>382</v>
      </c>
      <c r="C1241">
        <v>322</v>
      </c>
      <c r="D1241">
        <v>167</v>
      </c>
      <c r="E1241" t="s">
        <v>235</v>
      </c>
      <c r="G1241">
        <v>0</v>
      </c>
      <c r="H1241">
        <v>0</v>
      </c>
      <c r="I1241">
        <v>0</v>
      </c>
      <c r="J1241">
        <v>0</v>
      </c>
      <c r="K1241">
        <v>0</v>
      </c>
      <c r="L1241">
        <v>0</v>
      </c>
      <c r="M1241">
        <v>0</v>
      </c>
      <c r="N1241">
        <v>0</v>
      </c>
      <c r="O1241">
        <v>0</v>
      </c>
      <c r="P1241">
        <v>0</v>
      </c>
      <c r="Q1241" t="str">
        <f>INDEX(pARTNER[#All],MATCH(#REF!,pARTNER[[#All],[Value.partnerSummary.id]],0),10)</f>
        <v>Italia (IT)</v>
      </c>
      <c r="R1241" t="str">
        <f>INDEX('Partner data'!$A$2:$DG$171,MATCH(#REF!,'Partner data'!$DG$2:$DG$171,0),83)</f>
        <v>Soggetto pubblico</v>
      </c>
      <c r="S1241" s="86" t="b">
        <f>IF(#REF!="staff",INDEX('Partner data'!$DG$2:$DH$171,MATCH(#REF!,'Partner data'!$DG$2:$DG$171,0),2))</f>
        <v>0</v>
      </c>
    </row>
    <row r="1242" spans="1:19" x14ac:dyDescent="0.25">
      <c r="A1242" t="s">
        <v>59</v>
      </c>
      <c r="B1242" t="s">
        <v>382</v>
      </c>
      <c r="C1242">
        <v>322</v>
      </c>
      <c r="D1242">
        <v>167</v>
      </c>
      <c r="E1242" t="s">
        <v>236</v>
      </c>
      <c r="G1242">
        <v>0</v>
      </c>
      <c r="H1242">
        <v>0</v>
      </c>
      <c r="I1242">
        <v>0</v>
      </c>
      <c r="J1242">
        <v>0</v>
      </c>
      <c r="K1242">
        <v>0</v>
      </c>
      <c r="L1242">
        <v>0</v>
      </c>
      <c r="M1242">
        <v>0</v>
      </c>
      <c r="N1242">
        <v>0</v>
      </c>
      <c r="O1242">
        <v>0</v>
      </c>
      <c r="P1242">
        <v>0</v>
      </c>
      <c r="Q1242" t="str">
        <f>INDEX(pARTNER[#All],MATCH(#REF!,pARTNER[[#All],[Value.partnerSummary.id]],0),10)</f>
        <v>Italia (IT)</v>
      </c>
      <c r="R1242" t="str">
        <f>INDEX('Partner data'!$A$2:$DG$171,MATCH(#REF!,'Partner data'!$DG$2:$DG$171,0),83)</f>
        <v>Soggetto pubblico</v>
      </c>
      <c r="S1242" s="86" t="b">
        <f>IF(#REF!="staff",INDEX('Partner data'!$DG$2:$DH$171,MATCH(#REF!,'Partner data'!$DG$2:$DG$171,0),2))</f>
        <v>0</v>
      </c>
    </row>
    <row r="1243" spans="1:19" x14ac:dyDescent="0.25">
      <c r="A1243" t="s">
        <v>59</v>
      </c>
      <c r="B1243" t="s">
        <v>382</v>
      </c>
      <c r="C1243">
        <v>322</v>
      </c>
      <c r="D1243">
        <v>167</v>
      </c>
      <c r="E1243" t="s">
        <v>237</v>
      </c>
      <c r="G1243">
        <v>0</v>
      </c>
      <c r="H1243">
        <v>0</v>
      </c>
      <c r="I1243">
        <v>0</v>
      </c>
      <c r="J1243">
        <v>0</v>
      </c>
      <c r="K1243">
        <v>0</v>
      </c>
      <c r="L1243">
        <v>0</v>
      </c>
      <c r="M1243">
        <v>0</v>
      </c>
      <c r="N1243">
        <v>0</v>
      </c>
      <c r="O1243">
        <v>0</v>
      </c>
      <c r="P1243">
        <v>0</v>
      </c>
      <c r="Q1243" t="str">
        <f>INDEX(pARTNER[#All],MATCH(#REF!,pARTNER[[#All],[Value.partnerSummary.id]],0),10)</f>
        <v>Italia (IT)</v>
      </c>
      <c r="R1243" t="str">
        <f>INDEX('Partner data'!$A$2:$DG$171,MATCH(#REF!,'Partner data'!$DG$2:$DG$171,0),83)</f>
        <v>Soggetto pubblico</v>
      </c>
      <c r="S1243" s="86" t="b">
        <f>IF(#REF!="staff",INDEX('Partner data'!$DG$2:$DH$171,MATCH(#REF!,'Partner data'!$DG$2:$DG$171,0),2))</f>
        <v>0</v>
      </c>
    </row>
    <row r="1244" spans="1:19" x14ac:dyDescent="0.25">
      <c r="A1244" t="s">
        <v>59</v>
      </c>
      <c r="B1244" t="s">
        <v>382</v>
      </c>
      <c r="C1244">
        <v>322</v>
      </c>
      <c r="D1244">
        <v>167</v>
      </c>
      <c r="E1244" t="s">
        <v>238</v>
      </c>
      <c r="G1244">
        <v>334000</v>
      </c>
      <c r="H1244">
        <v>0</v>
      </c>
      <c r="I1244">
        <v>0</v>
      </c>
      <c r="J1244">
        <v>12584.58</v>
      </c>
      <c r="K1244">
        <v>0</v>
      </c>
      <c r="L1244">
        <v>4846.3999999999996</v>
      </c>
      <c r="M1244">
        <v>12584.58</v>
      </c>
      <c r="N1244">
        <v>3.77</v>
      </c>
      <c r="O1244">
        <v>321415.42</v>
      </c>
      <c r="P1244">
        <v>0</v>
      </c>
      <c r="Q1244" t="str">
        <f>INDEX(pARTNER[#All],MATCH(#REF!,pARTNER[[#All],[Value.partnerSummary.id]],0),10)</f>
        <v>Italia (IT)</v>
      </c>
      <c r="R1244" t="str">
        <f>INDEX('Partner data'!$A$2:$DG$171,MATCH(#REF!,'Partner data'!$DG$2:$DG$171,0),83)</f>
        <v>Soggetto pubblico</v>
      </c>
      <c r="S1244" s="86" t="b">
        <f>IF(#REF!="staff",INDEX('Partner data'!$DG$2:$DH$171,MATCH(#REF!,'Partner data'!$DG$2:$DG$171,0),2))</f>
        <v>0</v>
      </c>
    </row>
    <row r="1245" spans="1:19" x14ac:dyDescent="0.25">
      <c r="A1245" t="s">
        <v>59</v>
      </c>
      <c r="B1245" t="s">
        <v>41</v>
      </c>
      <c r="C1245">
        <v>320</v>
      </c>
      <c r="D1245">
        <v>310</v>
      </c>
      <c r="E1245" t="s">
        <v>228</v>
      </c>
      <c r="G1245">
        <v>171428.5</v>
      </c>
      <c r="H1245">
        <v>25639.84</v>
      </c>
      <c r="I1245">
        <v>0</v>
      </c>
      <c r="J1245">
        <v>16151.85</v>
      </c>
      <c r="K1245">
        <v>0</v>
      </c>
      <c r="L1245">
        <v>16151.85</v>
      </c>
      <c r="M1245">
        <v>41791.69</v>
      </c>
      <c r="N1245">
        <v>24.38</v>
      </c>
      <c r="O1245">
        <v>129636.81</v>
      </c>
      <c r="P1245">
        <v>25569.18</v>
      </c>
      <c r="Q1245" t="str">
        <f>INDEX(pARTNER[#All],MATCH(#REF!,pARTNER[[#All],[Value.partnerSummary.id]],0),10)</f>
        <v>Slovenija (SI)</v>
      </c>
      <c r="R1245" t="str">
        <f>INDEX('Partner data'!$A$2:$DG$171,MATCH(#REF!,'Partner data'!$DG$2:$DG$171,0),83)</f>
        <v>Soggetto pubblico</v>
      </c>
      <c r="S1245" s="86" t="str">
        <f>IF(#REF!="staff",INDEX('Partner data'!$DG$2:$DH$171,MATCH(#REF!,'Partner data'!$DG$2:$DG$171,0),2))</f>
        <v>COSTO REALE</v>
      </c>
    </row>
    <row r="1246" spans="1:19" x14ac:dyDescent="0.25">
      <c r="A1246" t="s">
        <v>59</v>
      </c>
      <c r="B1246" t="s">
        <v>41</v>
      </c>
      <c r="C1246">
        <v>320</v>
      </c>
      <c r="D1246">
        <v>310</v>
      </c>
      <c r="E1246" t="s">
        <v>229</v>
      </c>
      <c r="G1246">
        <v>0</v>
      </c>
      <c r="H1246">
        <v>0</v>
      </c>
      <c r="I1246">
        <v>0</v>
      </c>
      <c r="J1246">
        <v>0</v>
      </c>
      <c r="K1246">
        <v>0</v>
      </c>
      <c r="L1246">
        <v>0</v>
      </c>
      <c r="M1246">
        <v>0</v>
      </c>
      <c r="N1246">
        <v>0</v>
      </c>
      <c r="O1246">
        <v>0</v>
      </c>
      <c r="P1246">
        <v>0</v>
      </c>
      <c r="Q1246" t="str">
        <f>INDEX(pARTNER[#All],MATCH(#REF!,pARTNER[[#All],[Value.partnerSummary.id]],0),10)</f>
        <v>Slovenija (SI)</v>
      </c>
      <c r="R1246" t="str">
        <f>INDEX('Partner data'!$A$2:$DG$171,MATCH(#REF!,'Partner data'!$DG$2:$DG$171,0),83)</f>
        <v>Soggetto pubblico</v>
      </c>
      <c r="S1246" s="86" t="b">
        <f>IF(#REF!="staff",INDEX('Partner data'!$DG$2:$DH$171,MATCH(#REF!,'Partner data'!$DG$2:$DG$171,0),2))</f>
        <v>0</v>
      </c>
    </row>
    <row r="1247" spans="1:19" x14ac:dyDescent="0.25">
      <c r="A1247" t="s">
        <v>59</v>
      </c>
      <c r="B1247" t="s">
        <v>41</v>
      </c>
      <c r="C1247">
        <v>320</v>
      </c>
      <c r="D1247">
        <v>310</v>
      </c>
      <c r="E1247" t="s">
        <v>230</v>
      </c>
      <c r="G1247">
        <v>0</v>
      </c>
      <c r="H1247">
        <v>0</v>
      </c>
      <c r="I1247">
        <v>0</v>
      </c>
      <c r="J1247">
        <v>0</v>
      </c>
      <c r="K1247">
        <v>0</v>
      </c>
      <c r="L1247">
        <v>0</v>
      </c>
      <c r="M1247">
        <v>0</v>
      </c>
      <c r="N1247">
        <v>0</v>
      </c>
      <c r="O1247">
        <v>0</v>
      </c>
      <c r="P1247">
        <v>0</v>
      </c>
      <c r="Q1247" t="str">
        <f>INDEX(pARTNER[#All],MATCH(#REF!,pARTNER[[#All],[Value.partnerSummary.id]],0),10)</f>
        <v>Slovenija (SI)</v>
      </c>
      <c r="R1247" t="str">
        <f>INDEX('Partner data'!$A$2:$DG$171,MATCH(#REF!,'Partner data'!$DG$2:$DG$171,0),83)</f>
        <v>Soggetto pubblico</v>
      </c>
      <c r="S1247" s="86" t="b">
        <f>IF(#REF!="staff",INDEX('Partner data'!$DG$2:$DH$171,MATCH(#REF!,'Partner data'!$DG$2:$DG$171,0),2))</f>
        <v>0</v>
      </c>
    </row>
    <row r="1248" spans="1:19" x14ac:dyDescent="0.25">
      <c r="A1248" t="s">
        <v>59</v>
      </c>
      <c r="B1248" t="s">
        <v>41</v>
      </c>
      <c r="C1248">
        <v>320</v>
      </c>
      <c r="D1248">
        <v>310</v>
      </c>
      <c r="E1248" t="s">
        <v>231</v>
      </c>
      <c r="G1248">
        <v>0</v>
      </c>
      <c r="H1248">
        <v>0</v>
      </c>
      <c r="I1248">
        <v>0</v>
      </c>
      <c r="J1248">
        <v>0</v>
      </c>
      <c r="K1248">
        <v>0</v>
      </c>
      <c r="L1248">
        <v>0</v>
      </c>
      <c r="M1248">
        <v>0</v>
      </c>
      <c r="N1248">
        <v>0</v>
      </c>
      <c r="O1248">
        <v>0</v>
      </c>
      <c r="P1248">
        <v>0</v>
      </c>
      <c r="Q1248" t="str">
        <f>INDEX(pARTNER[#All],MATCH(#REF!,pARTNER[[#All],[Value.partnerSummary.id]],0),10)</f>
        <v>Slovenija (SI)</v>
      </c>
      <c r="R1248" t="str">
        <f>INDEX('Partner data'!$A$2:$DG$171,MATCH(#REF!,'Partner data'!$DG$2:$DG$171,0),83)</f>
        <v>Soggetto pubblico</v>
      </c>
      <c r="S1248" s="86" t="b">
        <f>IF(#REF!="staff",INDEX('Partner data'!$DG$2:$DH$171,MATCH(#REF!,'Partner data'!$DG$2:$DG$171,0),2))</f>
        <v>0</v>
      </c>
    </row>
    <row r="1249" spans="1:19" x14ac:dyDescent="0.25">
      <c r="A1249" t="s">
        <v>59</v>
      </c>
      <c r="B1249" t="s">
        <v>41</v>
      </c>
      <c r="C1249">
        <v>320</v>
      </c>
      <c r="D1249">
        <v>310</v>
      </c>
      <c r="E1249" t="s">
        <v>232</v>
      </c>
      <c r="G1249">
        <v>0</v>
      </c>
      <c r="H1249">
        <v>0</v>
      </c>
      <c r="I1249">
        <v>0</v>
      </c>
      <c r="J1249">
        <v>0</v>
      </c>
      <c r="K1249">
        <v>0</v>
      </c>
      <c r="L1249">
        <v>0</v>
      </c>
      <c r="M1249">
        <v>0</v>
      </c>
      <c r="N1249">
        <v>0</v>
      </c>
      <c r="O1249">
        <v>0</v>
      </c>
      <c r="P1249">
        <v>0</v>
      </c>
      <c r="Q1249" t="str">
        <f>INDEX(pARTNER[#All],MATCH(#REF!,pARTNER[[#All],[Value.partnerSummary.id]],0),10)</f>
        <v>Slovenija (SI)</v>
      </c>
      <c r="R1249" t="str">
        <f>INDEX('Partner data'!$A$2:$DG$171,MATCH(#REF!,'Partner data'!$DG$2:$DG$171,0),83)</f>
        <v>Soggetto pubblico</v>
      </c>
      <c r="S1249" s="86" t="b">
        <f>IF(#REF!="staff",INDEX('Partner data'!$DG$2:$DH$171,MATCH(#REF!,'Partner data'!$DG$2:$DG$171,0),2))</f>
        <v>0</v>
      </c>
    </row>
    <row r="1250" spans="1:19" x14ac:dyDescent="0.25">
      <c r="A1250" t="s">
        <v>59</v>
      </c>
      <c r="B1250" t="s">
        <v>41</v>
      </c>
      <c r="C1250">
        <v>320</v>
      </c>
      <c r="D1250">
        <v>310</v>
      </c>
      <c r="E1250" t="s">
        <v>233</v>
      </c>
      <c r="G1250">
        <v>0</v>
      </c>
      <c r="H1250">
        <v>0</v>
      </c>
      <c r="I1250">
        <v>0</v>
      </c>
      <c r="J1250">
        <v>0</v>
      </c>
      <c r="K1250">
        <v>0</v>
      </c>
      <c r="L1250">
        <v>0</v>
      </c>
      <c r="M1250">
        <v>0</v>
      </c>
      <c r="N1250">
        <v>0</v>
      </c>
      <c r="O1250">
        <v>0</v>
      </c>
      <c r="P1250">
        <v>0</v>
      </c>
      <c r="Q1250" t="str">
        <f>INDEX(pARTNER[#All],MATCH(#REF!,pARTNER[[#All],[Value.partnerSummary.id]],0),10)</f>
        <v>Slovenija (SI)</v>
      </c>
      <c r="R1250" t="str">
        <f>INDEX('Partner data'!$A$2:$DG$171,MATCH(#REF!,'Partner data'!$DG$2:$DG$171,0),83)</f>
        <v>Soggetto pubblico</v>
      </c>
      <c r="S1250" s="86" t="b">
        <f>IF(#REF!="staff",INDEX('Partner data'!$DG$2:$DH$171,MATCH(#REF!,'Partner data'!$DG$2:$DG$171,0),2))</f>
        <v>0</v>
      </c>
    </row>
    <row r="1251" spans="1:19" x14ac:dyDescent="0.25">
      <c r="A1251" t="s">
        <v>59</v>
      </c>
      <c r="B1251" t="s">
        <v>41</v>
      </c>
      <c r="C1251">
        <v>320</v>
      </c>
      <c r="D1251">
        <v>310</v>
      </c>
      <c r="E1251" t="s">
        <v>234</v>
      </c>
      <c r="F1251">
        <v>40</v>
      </c>
      <c r="G1251">
        <v>68571.399999999994</v>
      </c>
      <c r="H1251">
        <v>10255.93</v>
      </c>
      <c r="I1251">
        <v>0</v>
      </c>
      <c r="J1251">
        <v>6460.74</v>
      </c>
      <c r="K1251">
        <v>0</v>
      </c>
      <c r="L1251">
        <v>6460.74</v>
      </c>
      <c r="M1251">
        <v>16716.669999999998</v>
      </c>
      <c r="N1251">
        <v>24.38</v>
      </c>
      <c r="O1251">
        <v>51854.73</v>
      </c>
      <c r="P1251">
        <v>10227.67</v>
      </c>
      <c r="Q1251" t="str">
        <f>INDEX(pARTNER[#All],MATCH(#REF!,pARTNER[[#All],[Value.partnerSummary.id]],0),10)</f>
        <v>Slovenija (SI)</v>
      </c>
      <c r="R1251" t="str">
        <f>INDEX('Partner data'!$A$2:$DG$171,MATCH(#REF!,'Partner data'!$DG$2:$DG$171,0),83)</f>
        <v>Soggetto pubblico</v>
      </c>
      <c r="S1251" s="86" t="b">
        <f>IF(#REF!="staff",INDEX('Partner data'!$DG$2:$DH$171,MATCH(#REF!,'Partner data'!$DG$2:$DG$171,0),2))</f>
        <v>0</v>
      </c>
    </row>
    <row r="1252" spans="1:19" x14ac:dyDescent="0.25">
      <c r="A1252" t="s">
        <v>59</v>
      </c>
      <c r="B1252" t="s">
        <v>41</v>
      </c>
      <c r="C1252">
        <v>320</v>
      </c>
      <c r="D1252">
        <v>310</v>
      </c>
      <c r="E1252" t="s">
        <v>235</v>
      </c>
      <c r="G1252">
        <v>0</v>
      </c>
      <c r="H1252">
        <v>0</v>
      </c>
      <c r="I1252">
        <v>0</v>
      </c>
      <c r="J1252">
        <v>0</v>
      </c>
      <c r="K1252">
        <v>0</v>
      </c>
      <c r="L1252">
        <v>0</v>
      </c>
      <c r="M1252">
        <v>0</v>
      </c>
      <c r="N1252">
        <v>0</v>
      </c>
      <c r="O1252">
        <v>0</v>
      </c>
      <c r="P1252">
        <v>0</v>
      </c>
      <c r="Q1252" t="str">
        <f>INDEX(pARTNER[#All],MATCH(#REF!,pARTNER[[#All],[Value.partnerSummary.id]],0),10)</f>
        <v>Slovenija (SI)</v>
      </c>
      <c r="R1252" t="str">
        <f>INDEX('Partner data'!$A$2:$DG$171,MATCH(#REF!,'Partner data'!$DG$2:$DG$171,0),83)</f>
        <v>Soggetto pubblico</v>
      </c>
      <c r="S1252" s="86" t="b">
        <f>IF(#REF!="staff",INDEX('Partner data'!$DG$2:$DH$171,MATCH(#REF!,'Partner data'!$DG$2:$DG$171,0),2))</f>
        <v>0</v>
      </c>
    </row>
    <row r="1253" spans="1:19" x14ac:dyDescent="0.25">
      <c r="A1253" t="s">
        <v>59</v>
      </c>
      <c r="B1253" t="s">
        <v>41</v>
      </c>
      <c r="C1253">
        <v>320</v>
      </c>
      <c r="D1253">
        <v>310</v>
      </c>
      <c r="E1253" t="s">
        <v>236</v>
      </c>
      <c r="G1253">
        <v>0</v>
      </c>
      <c r="H1253">
        <v>0</v>
      </c>
      <c r="I1253">
        <v>0</v>
      </c>
      <c r="J1253">
        <v>0</v>
      </c>
      <c r="K1253">
        <v>0</v>
      </c>
      <c r="L1253">
        <v>0</v>
      </c>
      <c r="M1253">
        <v>0</v>
      </c>
      <c r="N1253">
        <v>0</v>
      </c>
      <c r="O1253">
        <v>0</v>
      </c>
      <c r="P1253">
        <v>0</v>
      </c>
      <c r="Q1253" t="str">
        <f>INDEX(pARTNER[#All],MATCH(#REF!,pARTNER[[#All],[Value.partnerSummary.id]],0),10)</f>
        <v>Slovenija (SI)</v>
      </c>
      <c r="R1253" t="str">
        <f>INDEX('Partner data'!$A$2:$DG$171,MATCH(#REF!,'Partner data'!$DG$2:$DG$171,0),83)</f>
        <v>Soggetto pubblico</v>
      </c>
      <c r="S1253" s="86" t="b">
        <f>IF(#REF!="staff",INDEX('Partner data'!$DG$2:$DH$171,MATCH(#REF!,'Partner data'!$DG$2:$DG$171,0),2))</f>
        <v>0</v>
      </c>
    </row>
    <row r="1254" spans="1:19" x14ac:dyDescent="0.25">
      <c r="A1254" t="s">
        <v>59</v>
      </c>
      <c r="B1254" t="s">
        <v>41</v>
      </c>
      <c r="C1254">
        <v>320</v>
      </c>
      <c r="D1254">
        <v>310</v>
      </c>
      <c r="E1254" t="s">
        <v>237</v>
      </c>
      <c r="G1254">
        <v>0</v>
      </c>
      <c r="H1254">
        <v>0</v>
      </c>
      <c r="I1254">
        <v>0</v>
      </c>
      <c r="J1254">
        <v>0</v>
      </c>
      <c r="K1254">
        <v>0</v>
      </c>
      <c r="L1254">
        <v>0</v>
      </c>
      <c r="M1254">
        <v>0</v>
      </c>
      <c r="N1254">
        <v>0</v>
      </c>
      <c r="O1254">
        <v>0</v>
      </c>
      <c r="P1254">
        <v>0</v>
      </c>
      <c r="Q1254" t="str">
        <f>INDEX(pARTNER[#All],MATCH(#REF!,pARTNER[[#All],[Value.partnerSummary.id]],0),10)</f>
        <v>Slovenija (SI)</v>
      </c>
      <c r="R1254" t="str">
        <f>INDEX('Partner data'!$A$2:$DG$171,MATCH(#REF!,'Partner data'!$DG$2:$DG$171,0),83)</f>
        <v>Soggetto pubblico</v>
      </c>
      <c r="S1254" s="86" t="b">
        <f>IF(#REF!="staff",INDEX('Partner data'!$DG$2:$DH$171,MATCH(#REF!,'Partner data'!$DG$2:$DG$171,0),2))</f>
        <v>0</v>
      </c>
    </row>
    <row r="1255" spans="1:19" x14ac:dyDescent="0.25">
      <c r="A1255" t="s">
        <v>59</v>
      </c>
      <c r="B1255" t="s">
        <v>41</v>
      </c>
      <c r="C1255">
        <v>320</v>
      </c>
      <c r="D1255">
        <v>310</v>
      </c>
      <c r="E1255" t="s">
        <v>238</v>
      </c>
      <c r="G1255">
        <v>239999.9</v>
      </c>
      <c r="H1255">
        <v>35895.769999999997</v>
      </c>
      <c r="I1255">
        <v>0</v>
      </c>
      <c r="J1255">
        <v>22612.59</v>
      </c>
      <c r="K1255">
        <v>0</v>
      </c>
      <c r="L1255">
        <v>22612.59</v>
      </c>
      <c r="M1255">
        <v>58508.36</v>
      </c>
      <c r="N1255">
        <v>24.38</v>
      </c>
      <c r="O1255">
        <v>181491.54</v>
      </c>
      <c r="P1255">
        <v>35796.85</v>
      </c>
      <c r="Q1255" t="str">
        <f>INDEX(pARTNER[#All],MATCH(#REF!,pARTNER[[#All],[Value.partnerSummary.id]],0),10)</f>
        <v>Slovenija (SI)</v>
      </c>
      <c r="R1255" t="str">
        <f>INDEX('Partner data'!$A$2:$DG$171,MATCH(#REF!,'Partner data'!$DG$2:$DG$171,0),83)</f>
        <v>Soggetto pubblico</v>
      </c>
      <c r="S1255" s="86" t="b">
        <f>IF(#REF!="staff",INDEX('Partner data'!$DG$2:$DH$171,MATCH(#REF!,'Partner data'!$DG$2:$DG$171,0),2))</f>
        <v>0</v>
      </c>
    </row>
    <row r="1256" spans="1:19" x14ac:dyDescent="0.25">
      <c r="A1256" t="s">
        <v>59</v>
      </c>
      <c r="B1256" t="s">
        <v>41</v>
      </c>
      <c r="C1256">
        <v>320</v>
      </c>
      <c r="D1256">
        <v>67</v>
      </c>
      <c r="E1256" t="s">
        <v>228</v>
      </c>
      <c r="G1256">
        <v>171428.5</v>
      </c>
      <c r="H1256">
        <v>0</v>
      </c>
      <c r="I1256">
        <v>0</v>
      </c>
      <c r="J1256">
        <v>25639.84</v>
      </c>
      <c r="K1256">
        <v>0</v>
      </c>
      <c r="L1256">
        <v>25569.18</v>
      </c>
      <c r="M1256">
        <v>25639.84</v>
      </c>
      <c r="N1256">
        <v>14.96</v>
      </c>
      <c r="O1256">
        <v>145788.66</v>
      </c>
      <c r="P1256">
        <v>0</v>
      </c>
      <c r="Q1256" t="str">
        <f>INDEX(pARTNER[#All],MATCH(#REF!,pARTNER[[#All],[Value.partnerSummary.id]],0),10)</f>
        <v>Slovenija (SI)</v>
      </c>
      <c r="R1256" t="str">
        <f>INDEX('Partner data'!$A$2:$DG$171,MATCH(#REF!,'Partner data'!$DG$2:$DG$171,0),83)</f>
        <v>Soggetto pubblico</v>
      </c>
      <c r="S1256" s="86" t="str">
        <f>IF(#REF!="staff",INDEX('Partner data'!$DG$2:$DH$171,MATCH(#REF!,'Partner data'!$DG$2:$DG$171,0),2))</f>
        <v>COSTO REALE</v>
      </c>
    </row>
    <row r="1257" spans="1:19" x14ac:dyDescent="0.25">
      <c r="A1257" t="s">
        <v>59</v>
      </c>
      <c r="B1257" t="s">
        <v>41</v>
      </c>
      <c r="C1257">
        <v>320</v>
      </c>
      <c r="D1257">
        <v>67</v>
      </c>
      <c r="E1257" t="s">
        <v>229</v>
      </c>
      <c r="G1257">
        <v>0</v>
      </c>
      <c r="H1257">
        <v>0</v>
      </c>
      <c r="I1257">
        <v>0</v>
      </c>
      <c r="J1257">
        <v>0</v>
      </c>
      <c r="K1257">
        <v>0</v>
      </c>
      <c r="L1257">
        <v>0</v>
      </c>
      <c r="M1257">
        <v>0</v>
      </c>
      <c r="N1257">
        <v>0</v>
      </c>
      <c r="O1257">
        <v>0</v>
      </c>
      <c r="P1257">
        <v>0</v>
      </c>
      <c r="Q1257" t="str">
        <f>INDEX(pARTNER[#All],MATCH(#REF!,pARTNER[[#All],[Value.partnerSummary.id]],0),10)</f>
        <v>Slovenija (SI)</v>
      </c>
      <c r="R1257" t="str">
        <f>INDEX('Partner data'!$A$2:$DG$171,MATCH(#REF!,'Partner data'!$DG$2:$DG$171,0),83)</f>
        <v>Soggetto pubblico</v>
      </c>
      <c r="S1257" s="86" t="b">
        <f>IF(#REF!="staff",INDEX('Partner data'!$DG$2:$DH$171,MATCH(#REF!,'Partner data'!$DG$2:$DG$171,0),2))</f>
        <v>0</v>
      </c>
    </row>
    <row r="1258" spans="1:19" x14ac:dyDescent="0.25">
      <c r="A1258" t="s">
        <v>59</v>
      </c>
      <c r="B1258" t="s">
        <v>41</v>
      </c>
      <c r="C1258">
        <v>320</v>
      </c>
      <c r="D1258">
        <v>67</v>
      </c>
      <c r="E1258" t="s">
        <v>230</v>
      </c>
      <c r="G1258">
        <v>0</v>
      </c>
      <c r="H1258">
        <v>0</v>
      </c>
      <c r="I1258">
        <v>0</v>
      </c>
      <c r="J1258">
        <v>0</v>
      </c>
      <c r="K1258">
        <v>0</v>
      </c>
      <c r="L1258">
        <v>0</v>
      </c>
      <c r="M1258">
        <v>0</v>
      </c>
      <c r="N1258">
        <v>0</v>
      </c>
      <c r="O1258">
        <v>0</v>
      </c>
      <c r="P1258">
        <v>0</v>
      </c>
      <c r="Q1258" t="str">
        <f>INDEX(pARTNER[#All],MATCH(#REF!,pARTNER[[#All],[Value.partnerSummary.id]],0),10)</f>
        <v>Slovenija (SI)</v>
      </c>
      <c r="R1258" t="str">
        <f>INDEX('Partner data'!$A$2:$DG$171,MATCH(#REF!,'Partner data'!$DG$2:$DG$171,0),83)</f>
        <v>Soggetto pubblico</v>
      </c>
      <c r="S1258" s="86" t="b">
        <f>IF(#REF!="staff",INDEX('Partner data'!$DG$2:$DH$171,MATCH(#REF!,'Partner data'!$DG$2:$DG$171,0),2))</f>
        <v>0</v>
      </c>
    </row>
    <row r="1259" spans="1:19" x14ac:dyDescent="0.25">
      <c r="A1259" t="s">
        <v>59</v>
      </c>
      <c r="B1259" t="s">
        <v>41</v>
      </c>
      <c r="C1259">
        <v>320</v>
      </c>
      <c r="D1259">
        <v>67</v>
      </c>
      <c r="E1259" t="s">
        <v>231</v>
      </c>
      <c r="G1259">
        <v>0</v>
      </c>
      <c r="H1259">
        <v>0</v>
      </c>
      <c r="I1259">
        <v>0</v>
      </c>
      <c r="J1259">
        <v>0</v>
      </c>
      <c r="K1259">
        <v>0</v>
      </c>
      <c r="L1259">
        <v>0</v>
      </c>
      <c r="M1259">
        <v>0</v>
      </c>
      <c r="N1259">
        <v>0</v>
      </c>
      <c r="O1259">
        <v>0</v>
      </c>
      <c r="P1259">
        <v>0</v>
      </c>
      <c r="Q1259" t="str">
        <f>INDEX(pARTNER[#All],MATCH(#REF!,pARTNER[[#All],[Value.partnerSummary.id]],0),10)</f>
        <v>Slovenija (SI)</v>
      </c>
      <c r="R1259" t="str">
        <f>INDEX('Partner data'!$A$2:$DG$171,MATCH(#REF!,'Partner data'!$DG$2:$DG$171,0),83)</f>
        <v>Soggetto pubblico</v>
      </c>
      <c r="S1259" s="86" t="b">
        <f>IF(#REF!="staff",INDEX('Partner data'!$DG$2:$DH$171,MATCH(#REF!,'Partner data'!$DG$2:$DG$171,0),2))</f>
        <v>0</v>
      </c>
    </row>
    <row r="1260" spans="1:19" x14ac:dyDescent="0.25">
      <c r="A1260" t="s">
        <v>59</v>
      </c>
      <c r="B1260" t="s">
        <v>41</v>
      </c>
      <c r="C1260">
        <v>320</v>
      </c>
      <c r="D1260">
        <v>67</v>
      </c>
      <c r="E1260" t="s">
        <v>232</v>
      </c>
      <c r="G1260">
        <v>0</v>
      </c>
      <c r="H1260">
        <v>0</v>
      </c>
      <c r="I1260">
        <v>0</v>
      </c>
      <c r="J1260">
        <v>0</v>
      </c>
      <c r="K1260">
        <v>0</v>
      </c>
      <c r="L1260">
        <v>0</v>
      </c>
      <c r="M1260">
        <v>0</v>
      </c>
      <c r="N1260">
        <v>0</v>
      </c>
      <c r="O1260">
        <v>0</v>
      </c>
      <c r="P1260">
        <v>0</v>
      </c>
      <c r="Q1260" t="str">
        <f>INDEX(pARTNER[#All],MATCH(#REF!,pARTNER[[#All],[Value.partnerSummary.id]],0),10)</f>
        <v>Slovenija (SI)</v>
      </c>
      <c r="R1260" t="str">
        <f>INDEX('Partner data'!$A$2:$DG$171,MATCH(#REF!,'Partner data'!$DG$2:$DG$171,0),83)</f>
        <v>Soggetto pubblico</v>
      </c>
      <c r="S1260" s="86" t="b">
        <f>IF(#REF!="staff",INDEX('Partner data'!$DG$2:$DH$171,MATCH(#REF!,'Partner data'!$DG$2:$DG$171,0),2))</f>
        <v>0</v>
      </c>
    </row>
    <row r="1261" spans="1:19" x14ac:dyDescent="0.25">
      <c r="A1261" t="s">
        <v>59</v>
      </c>
      <c r="B1261" t="s">
        <v>41</v>
      </c>
      <c r="C1261">
        <v>320</v>
      </c>
      <c r="D1261">
        <v>67</v>
      </c>
      <c r="E1261" t="s">
        <v>233</v>
      </c>
      <c r="G1261">
        <v>0</v>
      </c>
      <c r="H1261">
        <v>0</v>
      </c>
      <c r="I1261">
        <v>0</v>
      </c>
      <c r="J1261">
        <v>0</v>
      </c>
      <c r="K1261">
        <v>0</v>
      </c>
      <c r="L1261">
        <v>0</v>
      </c>
      <c r="M1261">
        <v>0</v>
      </c>
      <c r="N1261">
        <v>0</v>
      </c>
      <c r="O1261">
        <v>0</v>
      </c>
      <c r="P1261">
        <v>0</v>
      </c>
      <c r="Q1261" t="str">
        <f>INDEX(pARTNER[#All],MATCH(#REF!,pARTNER[[#All],[Value.partnerSummary.id]],0),10)</f>
        <v>Slovenija (SI)</v>
      </c>
      <c r="R1261" t="str">
        <f>INDEX('Partner data'!$A$2:$DG$171,MATCH(#REF!,'Partner data'!$DG$2:$DG$171,0),83)</f>
        <v>Soggetto pubblico</v>
      </c>
      <c r="S1261" s="86" t="b">
        <f>IF(#REF!="staff",INDEX('Partner data'!$DG$2:$DH$171,MATCH(#REF!,'Partner data'!$DG$2:$DG$171,0),2))</f>
        <v>0</v>
      </c>
    </row>
    <row r="1262" spans="1:19" x14ac:dyDescent="0.25">
      <c r="A1262" t="s">
        <v>59</v>
      </c>
      <c r="B1262" t="s">
        <v>41</v>
      </c>
      <c r="C1262">
        <v>320</v>
      </c>
      <c r="D1262">
        <v>67</v>
      </c>
      <c r="E1262" t="s">
        <v>234</v>
      </c>
      <c r="F1262">
        <v>40</v>
      </c>
      <c r="G1262">
        <v>68571.399999999994</v>
      </c>
      <c r="H1262">
        <v>0</v>
      </c>
      <c r="I1262">
        <v>0</v>
      </c>
      <c r="J1262">
        <v>10255.93</v>
      </c>
      <c r="K1262">
        <v>0</v>
      </c>
      <c r="L1262">
        <v>10227.67</v>
      </c>
      <c r="M1262">
        <v>10255.93</v>
      </c>
      <c r="N1262">
        <v>14.96</v>
      </c>
      <c r="O1262">
        <v>58315.47</v>
      </c>
      <c r="P1262">
        <v>0</v>
      </c>
      <c r="Q1262" t="str">
        <f>INDEX(pARTNER[#All],MATCH(#REF!,pARTNER[[#All],[Value.partnerSummary.id]],0),10)</f>
        <v>Slovenija (SI)</v>
      </c>
      <c r="R1262" t="str">
        <f>INDEX('Partner data'!$A$2:$DG$171,MATCH(#REF!,'Partner data'!$DG$2:$DG$171,0),83)</f>
        <v>Soggetto pubblico</v>
      </c>
      <c r="S1262" s="86" t="b">
        <f>IF(#REF!="staff",INDEX('Partner data'!$DG$2:$DH$171,MATCH(#REF!,'Partner data'!$DG$2:$DG$171,0),2))</f>
        <v>0</v>
      </c>
    </row>
    <row r="1263" spans="1:19" x14ac:dyDescent="0.25">
      <c r="A1263" t="s">
        <v>59</v>
      </c>
      <c r="B1263" t="s">
        <v>41</v>
      </c>
      <c r="C1263">
        <v>320</v>
      </c>
      <c r="D1263">
        <v>67</v>
      </c>
      <c r="E1263" t="s">
        <v>235</v>
      </c>
      <c r="G1263">
        <v>0</v>
      </c>
      <c r="H1263">
        <v>0</v>
      </c>
      <c r="I1263">
        <v>0</v>
      </c>
      <c r="J1263">
        <v>0</v>
      </c>
      <c r="K1263">
        <v>0</v>
      </c>
      <c r="L1263">
        <v>0</v>
      </c>
      <c r="M1263">
        <v>0</v>
      </c>
      <c r="N1263">
        <v>0</v>
      </c>
      <c r="O1263">
        <v>0</v>
      </c>
      <c r="P1263">
        <v>0</v>
      </c>
      <c r="Q1263" t="str">
        <f>INDEX(pARTNER[#All],MATCH(#REF!,pARTNER[[#All],[Value.partnerSummary.id]],0),10)</f>
        <v>Slovenija (SI)</v>
      </c>
      <c r="R1263" t="str">
        <f>INDEX('Partner data'!$A$2:$DG$171,MATCH(#REF!,'Partner data'!$DG$2:$DG$171,0),83)</f>
        <v>Soggetto pubblico</v>
      </c>
      <c r="S1263" s="86" t="b">
        <f>IF(#REF!="staff",INDEX('Partner data'!$DG$2:$DH$171,MATCH(#REF!,'Partner data'!$DG$2:$DG$171,0),2))</f>
        <v>0</v>
      </c>
    </row>
    <row r="1264" spans="1:19" x14ac:dyDescent="0.25">
      <c r="A1264" t="s">
        <v>59</v>
      </c>
      <c r="B1264" t="s">
        <v>41</v>
      </c>
      <c r="C1264">
        <v>320</v>
      </c>
      <c r="D1264">
        <v>67</v>
      </c>
      <c r="E1264" t="s">
        <v>236</v>
      </c>
      <c r="G1264">
        <v>0</v>
      </c>
      <c r="H1264">
        <v>0</v>
      </c>
      <c r="I1264">
        <v>0</v>
      </c>
      <c r="J1264">
        <v>0</v>
      </c>
      <c r="K1264">
        <v>0</v>
      </c>
      <c r="L1264">
        <v>0</v>
      </c>
      <c r="M1264">
        <v>0</v>
      </c>
      <c r="N1264">
        <v>0</v>
      </c>
      <c r="O1264">
        <v>0</v>
      </c>
      <c r="P1264">
        <v>0</v>
      </c>
      <c r="Q1264" t="str">
        <f>INDEX(pARTNER[#All],MATCH(#REF!,pARTNER[[#All],[Value.partnerSummary.id]],0),10)</f>
        <v>Slovenija (SI)</v>
      </c>
      <c r="R1264" t="str">
        <f>INDEX('Partner data'!$A$2:$DG$171,MATCH(#REF!,'Partner data'!$DG$2:$DG$171,0),83)</f>
        <v>Soggetto pubblico</v>
      </c>
      <c r="S1264" s="86" t="b">
        <f>IF(#REF!="staff",INDEX('Partner data'!$DG$2:$DH$171,MATCH(#REF!,'Partner data'!$DG$2:$DG$171,0),2))</f>
        <v>0</v>
      </c>
    </row>
    <row r="1265" spans="1:19" x14ac:dyDescent="0.25">
      <c r="A1265" t="s">
        <v>59</v>
      </c>
      <c r="B1265" t="s">
        <v>41</v>
      </c>
      <c r="C1265">
        <v>320</v>
      </c>
      <c r="D1265">
        <v>67</v>
      </c>
      <c r="E1265" t="s">
        <v>237</v>
      </c>
      <c r="G1265">
        <v>0</v>
      </c>
      <c r="H1265">
        <v>0</v>
      </c>
      <c r="I1265">
        <v>0</v>
      </c>
      <c r="J1265">
        <v>0</v>
      </c>
      <c r="K1265">
        <v>0</v>
      </c>
      <c r="L1265">
        <v>0</v>
      </c>
      <c r="M1265">
        <v>0</v>
      </c>
      <c r="N1265">
        <v>0</v>
      </c>
      <c r="O1265">
        <v>0</v>
      </c>
      <c r="P1265">
        <v>0</v>
      </c>
      <c r="Q1265" t="str">
        <f>INDEX(pARTNER[#All],MATCH(#REF!,pARTNER[[#All],[Value.partnerSummary.id]],0),10)</f>
        <v>Slovenija (SI)</v>
      </c>
      <c r="R1265" t="str">
        <f>INDEX('Partner data'!$A$2:$DG$171,MATCH(#REF!,'Partner data'!$DG$2:$DG$171,0),83)</f>
        <v>Soggetto pubblico</v>
      </c>
      <c r="S1265" s="86" t="b">
        <f>IF(#REF!="staff",INDEX('Partner data'!$DG$2:$DH$171,MATCH(#REF!,'Partner data'!$DG$2:$DG$171,0),2))</f>
        <v>0</v>
      </c>
    </row>
    <row r="1266" spans="1:19" x14ac:dyDescent="0.25">
      <c r="A1266" t="s">
        <v>59</v>
      </c>
      <c r="B1266" t="s">
        <v>41</v>
      </c>
      <c r="C1266">
        <v>320</v>
      </c>
      <c r="D1266">
        <v>67</v>
      </c>
      <c r="E1266" t="s">
        <v>238</v>
      </c>
      <c r="G1266">
        <v>239999.9</v>
      </c>
      <c r="H1266">
        <v>0</v>
      </c>
      <c r="I1266">
        <v>0</v>
      </c>
      <c r="J1266">
        <v>35895.769999999997</v>
      </c>
      <c r="K1266">
        <v>0</v>
      </c>
      <c r="L1266">
        <v>35796.85</v>
      </c>
      <c r="M1266">
        <v>35895.769999999997</v>
      </c>
      <c r="N1266">
        <v>14.96</v>
      </c>
      <c r="O1266">
        <v>204104.13</v>
      </c>
      <c r="P1266">
        <v>0</v>
      </c>
      <c r="Q1266" t="str">
        <f>INDEX(pARTNER[#All],MATCH(#REF!,pARTNER[[#All],[Value.partnerSummary.id]],0),10)</f>
        <v>Slovenija (SI)</v>
      </c>
      <c r="R1266" t="str">
        <f>INDEX('Partner data'!$A$2:$DG$171,MATCH(#REF!,'Partner data'!$DG$2:$DG$171,0),83)</f>
        <v>Soggetto pubblico</v>
      </c>
      <c r="S1266" s="86" t="b">
        <f>IF(#REF!="staff",INDEX('Partner data'!$DG$2:$DH$171,MATCH(#REF!,'Partner data'!$DG$2:$DG$171,0),2))</f>
        <v>0</v>
      </c>
    </row>
    <row r="1267" spans="1:19" x14ac:dyDescent="0.25">
      <c r="A1267" t="s">
        <v>59</v>
      </c>
      <c r="B1267" t="s">
        <v>69</v>
      </c>
      <c r="C1267">
        <v>325</v>
      </c>
      <c r="D1267">
        <v>244</v>
      </c>
      <c r="E1267" t="s">
        <v>228</v>
      </c>
      <c r="G1267">
        <v>259069.85</v>
      </c>
      <c r="H1267">
        <v>28064.92</v>
      </c>
      <c r="I1267">
        <v>0</v>
      </c>
      <c r="J1267">
        <v>47287.03</v>
      </c>
      <c r="K1267">
        <v>0</v>
      </c>
      <c r="L1267">
        <v>47287.03</v>
      </c>
      <c r="M1267">
        <v>75351.95</v>
      </c>
      <c r="N1267">
        <v>29.09</v>
      </c>
      <c r="O1267">
        <v>183717.9</v>
      </c>
      <c r="P1267">
        <v>0</v>
      </c>
      <c r="Q1267" t="str">
        <f>INDEX(pARTNER[#All],MATCH(#REF!,pARTNER[[#All],[Value.partnerSummary.id]],0),10)</f>
        <v>Italia (IT)</v>
      </c>
      <c r="R1267" t="str">
        <f>INDEX('Partner data'!$A$2:$DG$171,MATCH(#REF!,'Partner data'!$DG$2:$DG$171,0),83)</f>
        <v>Soggetto pubblico</v>
      </c>
      <c r="S1267" s="86" t="str">
        <f>IF(#REF!="staff",INDEX('Partner data'!$DG$2:$DH$171,MATCH(#REF!,'Partner data'!$DG$2:$DG$171,0),2))</f>
        <v>COSTO REALE</v>
      </c>
    </row>
    <row r="1268" spans="1:19" x14ac:dyDescent="0.25">
      <c r="A1268" t="s">
        <v>59</v>
      </c>
      <c r="B1268" t="s">
        <v>69</v>
      </c>
      <c r="C1268">
        <v>325</v>
      </c>
      <c r="D1268">
        <v>244</v>
      </c>
      <c r="E1268" t="s">
        <v>229</v>
      </c>
      <c r="G1268">
        <v>0</v>
      </c>
      <c r="H1268">
        <v>0</v>
      </c>
      <c r="I1268">
        <v>0</v>
      </c>
      <c r="J1268">
        <v>0</v>
      </c>
      <c r="K1268">
        <v>0</v>
      </c>
      <c r="L1268">
        <v>0</v>
      </c>
      <c r="M1268">
        <v>0</v>
      </c>
      <c r="N1268">
        <v>0</v>
      </c>
      <c r="O1268">
        <v>0</v>
      </c>
      <c r="P1268">
        <v>0</v>
      </c>
      <c r="Q1268" t="str">
        <f>INDEX(pARTNER[#All],MATCH(#REF!,pARTNER[[#All],[Value.partnerSummary.id]],0),10)</f>
        <v>Italia (IT)</v>
      </c>
      <c r="R1268" t="str">
        <f>INDEX('Partner data'!$A$2:$DG$171,MATCH(#REF!,'Partner data'!$DG$2:$DG$171,0),83)</f>
        <v>Soggetto pubblico</v>
      </c>
      <c r="S1268" s="86" t="b">
        <f>IF(#REF!="staff",INDEX('Partner data'!$DG$2:$DH$171,MATCH(#REF!,'Partner data'!$DG$2:$DG$171,0),2))</f>
        <v>0</v>
      </c>
    </row>
    <row r="1269" spans="1:19" x14ac:dyDescent="0.25">
      <c r="A1269" t="s">
        <v>59</v>
      </c>
      <c r="B1269" t="s">
        <v>69</v>
      </c>
      <c r="C1269">
        <v>325</v>
      </c>
      <c r="D1269">
        <v>244</v>
      </c>
      <c r="E1269" t="s">
        <v>230</v>
      </c>
      <c r="G1269">
        <v>0</v>
      </c>
      <c r="H1269">
        <v>0</v>
      </c>
      <c r="I1269">
        <v>0</v>
      </c>
      <c r="J1269">
        <v>0</v>
      </c>
      <c r="K1269">
        <v>0</v>
      </c>
      <c r="L1269">
        <v>0</v>
      </c>
      <c r="M1269">
        <v>0</v>
      </c>
      <c r="N1269">
        <v>0</v>
      </c>
      <c r="O1269">
        <v>0</v>
      </c>
      <c r="P1269">
        <v>0</v>
      </c>
      <c r="Q1269" t="str">
        <f>INDEX(pARTNER[#All],MATCH(#REF!,pARTNER[[#All],[Value.partnerSummary.id]],0),10)</f>
        <v>Italia (IT)</v>
      </c>
      <c r="R1269" t="str">
        <f>INDEX('Partner data'!$A$2:$DG$171,MATCH(#REF!,'Partner data'!$DG$2:$DG$171,0),83)</f>
        <v>Soggetto pubblico</v>
      </c>
      <c r="S1269" s="86" t="b">
        <f>IF(#REF!="staff",INDEX('Partner data'!$DG$2:$DH$171,MATCH(#REF!,'Partner data'!$DG$2:$DG$171,0),2))</f>
        <v>0</v>
      </c>
    </row>
    <row r="1270" spans="1:19" x14ac:dyDescent="0.25">
      <c r="A1270" t="s">
        <v>59</v>
      </c>
      <c r="B1270" t="s">
        <v>69</v>
      </c>
      <c r="C1270">
        <v>325</v>
      </c>
      <c r="D1270">
        <v>244</v>
      </c>
      <c r="E1270" t="s">
        <v>231</v>
      </c>
      <c r="G1270">
        <v>0</v>
      </c>
      <c r="H1270">
        <v>0</v>
      </c>
      <c r="I1270">
        <v>0</v>
      </c>
      <c r="J1270">
        <v>0</v>
      </c>
      <c r="K1270">
        <v>0</v>
      </c>
      <c r="L1270">
        <v>0</v>
      </c>
      <c r="M1270">
        <v>0</v>
      </c>
      <c r="N1270">
        <v>0</v>
      </c>
      <c r="O1270">
        <v>0</v>
      </c>
      <c r="P1270">
        <v>0</v>
      </c>
      <c r="Q1270" t="str">
        <f>INDEX(pARTNER[#All],MATCH(#REF!,pARTNER[[#All],[Value.partnerSummary.id]],0),10)</f>
        <v>Italia (IT)</v>
      </c>
      <c r="R1270" t="str">
        <f>INDEX('Partner data'!$A$2:$DG$171,MATCH(#REF!,'Partner data'!$DG$2:$DG$171,0),83)</f>
        <v>Soggetto pubblico</v>
      </c>
      <c r="S1270" s="86" t="b">
        <f>IF(#REF!="staff",INDEX('Partner data'!$DG$2:$DH$171,MATCH(#REF!,'Partner data'!$DG$2:$DG$171,0),2))</f>
        <v>0</v>
      </c>
    </row>
    <row r="1271" spans="1:19" x14ac:dyDescent="0.25">
      <c r="A1271" t="s">
        <v>59</v>
      </c>
      <c r="B1271" t="s">
        <v>69</v>
      </c>
      <c r="C1271">
        <v>325</v>
      </c>
      <c r="D1271">
        <v>244</v>
      </c>
      <c r="E1271" t="s">
        <v>232</v>
      </c>
      <c r="G1271">
        <v>0</v>
      </c>
      <c r="H1271">
        <v>0</v>
      </c>
      <c r="I1271">
        <v>0</v>
      </c>
      <c r="J1271">
        <v>0</v>
      </c>
      <c r="K1271">
        <v>0</v>
      </c>
      <c r="L1271">
        <v>0</v>
      </c>
      <c r="M1271">
        <v>0</v>
      </c>
      <c r="N1271">
        <v>0</v>
      </c>
      <c r="O1271">
        <v>0</v>
      </c>
      <c r="P1271">
        <v>0</v>
      </c>
      <c r="Q1271" t="str">
        <f>INDEX(pARTNER[#All],MATCH(#REF!,pARTNER[[#All],[Value.partnerSummary.id]],0),10)</f>
        <v>Italia (IT)</v>
      </c>
      <c r="R1271" t="str">
        <f>INDEX('Partner data'!$A$2:$DG$171,MATCH(#REF!,'Partner data'!$DG$2:$DG$171,0),83)</f>
        <v>Soggetto pubblico</v>
      </c>
      <c r="S1271" s="86" t="b">
        <f>IF(#REF!="staff",INDEX('Partner data'!$DG$2:$DH$171,MATCH(#REF!,'Partner data'!$DG$2:$DG$171,0),2))</f>
        <v>0</v>
      </c>
    </row>
    <row r="1272" spans="1:19" x14ac:dyDescent="0.25">
      <c r="A1272" t="s">
        <v>59</v>
      </c>
      <c r="B1272" t="s">
        <v>69</v>
      </c>
      <c r="C1272">
        <v>325</v>
      </c>
      <c r="D1272">
        <v>244</v>
      </c>
      <c r="E1272" t="s">
        <v>233</v>
      </c>
      <c r="G1272">
        <v>0</v>
      </c>
      <c r="H1272">
        <v>0</v>
      </c>
      <c r="I1272">
        <v>0</v>
      </c>
      <c r="J1272">
        <v>0</v>
      </c>
      <c r="K1272">
        <v>0</v>
      </c>
      <c r="L1272">
        <v>0</v>
      </c>
      <c r="M1272">
        <v>0</v>
      </c>
      <c r="N1272">
        <v>0</v>
      </c>
      <c r="O1272">
        <v>0</v>
      </c>
      <c r="P1272">
        <v>0</v>
      </c>
      <c r="Q1272" t="str">
        <f>INDEX(pARTNER[#All],MATCH(#REF!,pARTNER[[#All],[Value.partnerSummary.id]],0),10)</f>
        <v>Italia (IT)</v>
      </c>
      <c r="R1272" t="str">
        <f>INDEX('Partner data'!$A$2:$DG$171,MATCH(#REF!,'Partner data'!$DG$2:$DG$171,0),83)</f>
        <v>Soggetto pubblico</v>
      </c>
      <c r="S1272" s="86" t="b">
        <f>IF(#REF!="staff",INDEX('Partner data'!$DG$2:$DH$171,MATCH(#REF!,'Partner data'!$DG$2:$DG$171,0),2))</f>
        <v>0</v>
      </c>
    </row>
    <row r="1273" spans="1:19" x14ac:dyDescent="0.25">
      <c r="A1273" t="s">
        <v>59</v>
      </c>
      <c r="B1273" t="s">
        <v>69</v>
      </c>
      <c r="C1273">
        <v>325</v>
      </c>
      <c r="D1273">
        <v>244</v>
      </c>
      <c r="E1273" t="s">
        <v>234</v>
      </c>
      <c r="F1273">
        <v>29</v>
      </c>
      <c r="G1273">
        <v>75130.25</v>
      </c>
      <c r="H1273">
        <v>8138.82</v>
      </c>
      <c r="I1273">
        <v>0</v>
      </c>
      <c r="J1273">
        <v>13713.23</v>
      </c>
      <c r="K1273">
        <v>0</v>
      </c>
      <c r="L1273">
        <v>13713.23</v>
      </c>
      <c r="M1273">
        <v>21852.05</v>
      </c>
      <c r="N1273">
        <v>29.09</v>
      </c>
      <c r="O1273">
        <v>53278.2</v>
      </c>
      <c r="P1273">
        <v>0</v>
      </c>
      <c r="Q1273" t="str">
        <f>INDEX(pARTNER[#All],MATCH(#REF!,pARTNER[[#All],[Value.partnerSummary.id]],0),10)</f>
        <v>Italia (IT)</v>
      </c>
      <c r="R1273" t="str">
        <f>INDEX('Partner data'!$A$2:$DG$171,MATCH(#REF!,'Partner data'!$DG$2:$DG$171,0),83)</f>
        <v>Soggetto pubblico</v>
      </c>
      <c r="S1273" s="86" t="b">
        <f>IF(#REF!="staff",INDEX('Partner data'!$DG$2:$DH$171,MATCH(#REF!,'Partner data'!$DG$2:$DG$171,0),2))</f>
        <v>0</v>
      </c>
    </row>
    <row r="1274" spans="1:19" x14ac:dyDescent="0.25">
      <c r="A1274" t="s">
        <v>59</v>
      </c>
      <c r="B1274" t="s">
        <v>69</v>
      </c>
      <c r="C1274">
        <v>325</v>
      </c>
      <c r="D1274">
        <v>244</v>
      </c>
      <c r="E1274" t="s">
        <v>235</v>
      </c>
      <c r="G1274">
        <v>0</v>
      </c>
      <c r="H1274">
        <v>0</v>
      </c>
      <c r="I1274">
        <v>0</v>
      </c>
      <c r="J1274">
        <v>0</v>
      </c>
      <c r="K1274">
        <v>0</v>
      </c>
      <c r="L1274">
        <v>0</v>
      </c>
      <c r="M1274">
        <v>0</v>
      </c>
      <c r="N1274">
        <v>0</v>
      </c>
      <c r="O1274">
        <v>0</v>
      </c>
      <c r="P1274">
        <v>0</v>
      </c>
      <c r="Q1274" t="str">
        <f>INDEX(pARTNER[#All],MATCH(#REF!,pARTNER[[#All],[Value.partnerSummary.id]],0),10)</f>
        <v>Italia (IT)</v>
      </c>
      <c r="R1274" t="str">
        <f>INDEX('Partner data'!$A$2:$DG$171,MATCH(#REF!,'Partner data'!$DG$2:$DG$171,0),83)</f>
        <v>Soggetto pubblico</v>
      </c>
      <c r="S1274" s="86" t="b">
        <f>IF(#REF!="staff",INDEX('Partner data'!$DG$2:$DH$171,MATCH(#REF!,'Partner data'!$DG$2:$DG$171,0),2))</f>
        <v>0</v>
      </c>
    </row>
    <row r="1275" spans="1:19" x14ac:dyDescent="0.25">
      <c r="A1275" t="s">
        <v>59</v>
      </c>
      <c r="B1275" t="s">
        <v>69</v>
      </c>
      <c r="C1275">
        <v>325</v>
      </c>
      <c r="D1275">
        <v>244</v>
      </c>
      <c r="E1275" t="s">
        <v>236</v>
      </c>
      <c r="G1275">
        <v>0</v>
      </c>
      <c r="H1275">
        <v>0</v>
      </c>
      <c r="I1275">
        <v>0</v>
      </c>
      <c r="J1275">
        <v>0</v>
      </c>
      <c r="K1275">
        <v>0</v>
      </c>
      <c r="L1275">
        <v>0</v>
      </c>
      <c r="M1275">
        <v>0</v>
      </c>
      <c r="N1275">
        <v>0</v>
      </c>
      <c r="O1275">
        <v>0</v>
      </c>
      <c r="P1275">
        <v>0</v>
      </c>
      <c r="Q1275" t="str">
        <f>INDEX(pARTNER[#All],MATCH(#REF!,pARTNER[[#All],[Value.partnerSummary.id]],0),10)</f>
        <v>Italia (IT)</v>
      </c>
      <c r="R1275" t="str">
        <f>INDEX('Partner data'!$A$2:$DG$171,MATCH(#REF!,'Partner data'!$DG$2:$DG$171,0),83)</f>
        <v>Soggetto pubblico</v>
      </c>
      <c r="S1275" s="86" t="b">
        <f>IF(#REF!="staff",INDEX('Partner data'!$DG$2:$DH$171,MATCH(#REF!,'Partner data'!$DG$2:$DG$171,0),2))</f>
        <v>0</v>
      </c>
    </row>
    <row r="1276" spans="1:19" x14ac:dyDescent="0.25">
      <c r="A1276" t="s">
        <v>59</v>
      </c>
      <c r="B1276" t="s">
        <v>69</v>
      </c>
      <c r="C1276">
        <v>325</v>
      </c>
      <c r="D1276">
        <v>244</v>
      </c>
      <c r="E1276" t="s">
        <v>237</v>
      </c>
      <c r="G1276">
        <v>0</v>
      </c>
      <c r="H1276">
        <v>0</v>
      </c>
      <c r="I1276">
        <v>0</v>
      </c>
      <c r="J1276">
        <v>0</v>
      </c>
      <c r="K1276">
        <v>0</v>
      </c>
      <c r="L1276">
        <v>0</v>
      </c>
      <c r="M1276">
        <v>0</v>
      </c>
      <c r="N1276">
        <v>0</v>
      </c>
      <c r="O1276">
        <v>0</v>
      </c>
      <c r="P1276">
        <v>0</v>
      </c>
      <c r="Q1276" t="str">
        <f>INDEX(pARTNER[#All],MATCH(#REF!,pARTNER[[#All],[Value.partnerSummary.id]],0),10)</f>
        <v>Italia (IT)</v>
      </c>
      <c r="R1276" t="str">
        <f>INDEX('Partner data'!$A$2:$DG$171,MATCH(#REF!,'Partner data'!$DG$2:$DG$171,0),83)</f>
        <v>Soggetto pubblico</v>
      </c>
      <c r="S1276" s="86" t="b">
        <f>IF(#REF!="staff",INDEX('Partner data'!$DG$2:$DH$171,MATCH(#REF!,'Partner data'!$DG$2:$DG$171,0),2))</f>
        <v>0</v>
      </c>
    </row>
    <row r="1277" spans="1:19" x14ac:dyDescent="0.25">
      <c r="A1277" t="s">
        <v>59</v>
      </c>
      <c r="B1277" t="s">
        <v>69</v>
      </c>
      <c r="C1277">
        <v>325</v>
      </c>
      <c r="D1277">
        <v>244</v>
      </c>
      <c r="E1277" t="s">
        <v>238</v>
      </c>
      <c r="G1277">
        <v>334200.09999999998</v>
      </c>
      <c r="H1277">
        <v>36203.74</v>
      </c>
      <c r="I1277">
        <v>0</v>
      </c>
      <c r="J1277">
        <v>61000.26</v>
      </c>
      <c r="K1277">
        <v>0</v>
      </c>
      <c r="L1277">
        <v>61000.26</v>
      </c>
      <c r="M1277">
        <v>97204</v>
      </c>
      <c r="N1277">
        <v>29.09</v>
      </c>
      <c r="O1277">
        <v>236996.1</v>
      </c>
      <c r="P1277">
        <v>0</v>
      </c>
      <c r="Q1277" t="str">
        <f>INDEX(pARTNER[#All],MATCH(#REF!,pARTNER[[#All],[Value.partnerSummary.id]],0),10)</f>
        <v>Italia (IT)</v>
      </c>
      <c r="R1277" t="str">
        <f>INDEX('Partner data'!$A$2:$DG$171,MATCH(#REF!,'Partner data'!$DG$2:$DG$171,0),83)</f>
        <v>Soggetto pubblico</v>
      </c>
      <c r="S1277" s="86" t="b">
        <f>IF(#REF!="staff",INDEX('Partner data'!$DG$2:$DH$171,MATCH(#REF!,'Partner data'!$DG$2:$DG$171,0),2))</f>
        <v>0</v>
      </c>
    </row>
    <row r="1278" spans="1:19" x14ac:dyDescent="0.25">
      <c r="A1278" t="s">
        <v>59</v>
      </c>
      <c r="B1278" t="s">
        <v>69</v>
      </c>
      <c r="C1278">
        <v>325</v>
      </c>
      <c r="D1278">
        <v>75</v>
      </c>
      <c r="E1278" t="s">
        <v>228</v>
      </c>
      <c r="G1278">
        <v>259069.85</v>
      </c>
      <c r="H1278">
        <v>0</v>
      </c>
      <c r="I1278">
        <v>0</v>
      </c>
      <c r="J1278">
        <v>28064.92</v>
      </c>
      <c r="K1278">
        <v>0</v>
      </c>
      <c r="L1278">
        <v>0</v>
      </c>
      <c r="M1278">
        <v>28064.92</v>
      </c>
      <c r="N1278">
        <v>10.83</v>
      </c>
      <c r="O1278">
        <v>231004.93</v>
      </c>
      <c r="P1278">
        <v>0</v>
      </c>
      <c r="Q1278" t="str">
        <f>INDEX(pARTNER[#All],MATCH(#REF!,pARTNER[[#All],[Value.partnerSummary.id]],0),10)</f>
        <v>Italia (IT)</v>
      </c>
      <c r="R1278" t="str">
        <f>INDEX('Partner data'!$A$2:$DG$171,MATCH(#REF!,'Partner data'!$DG$2:$DG$171,0),83)</f>
        <v>Soggetto pubblico</v>
      </c>
      <c r="S1278" s="86" t="str">
        <f>IF(#REF!="staff",INDEX('Partner data'!$DG$2:$DH$171,MATCH(#REF!,'Partner data'!$DG$2:$DG$171,0),2))</f>
        <v>COSTO REALE</v>
      </c>
    </row>
    <row r="1279" spans="1:19" x14ac:dyDescent="0.25">
      <c r="A1279" t="s">
        <v>59</v>
      </c>
      <c r="B1279" t="s">
        <v>69</v>
      </c>
      <c r="C1279">
        <v>325</v>
      </c>
      <c r="D1279">
        <v>75</v>
      </c>
      <c r="E1279" t="s">
        <v>229</v>
      </c>
      <c r="G1279">
        <v>0</v>
      </c>
      <c r="H1279">
        <v>0</v>
      </c>
      <c r="I1279">
        <v>0</v>
      </c>
      <c r="J1279">
        <v>0</v>
      </c>
      <c r="K1279">
        <v>0</v>
      </c>
      <c r="L1279">
        <v>0</v>
      </c>
      <c r="M1279">
        <v>0</v>
      </c>
      <c r="N1279">
        <v>0</v>
      </c>
      <c r="O1279">
        <v>0</v>
      </c>
      <c r="P1279">
        <v>0</v>
      </c>
      <c r="Q1279" t="str">
        <f>INDEX(pARTNER[#All],MATCH(#REF!,pARTNER[[#All],[Value.partnerSummary.id]],0),10)</f>
        <v>Italia (IT)</v>
      </c>
      <c r="R1279" t="str">
        <f>INDEX('Partner data'!$A$2:$DG$171,MATCH(#REF!,'Partner data'!$DG$2:$DG$171,0),83)</f>
        <v>Soggetto pubblico</v>
      </c>
      <c r="S1279" s="86" t="b">
        <f>IF(#REF!="staff",INDEX('Partner data'!$DG$2:$DH$171,MATCH(#REF!,'Partner data'!$DG$2:$DG$171,0),2))</f>
        <v>0</v>
      </c>
    </row>
    <row r="1280" spans="1:19" x14ac:dyDescent="0.25">
      <c r="A1280" t="s">
        <v>59</v>
      </c>
      <c r="B1280" t="s">
        <v>69</v>
      </c>
      <c r="C1280">
        <v>325</v>
      </c>
      <c r="D1280">
        <v>75</v>
      </c>
      <c r="E1280" t="s">
        <v>230</v>
      </c>
      <c r="G1280">
        <v>0</v>
      </c>
      <c r="H1280">
        <v>0</v>
      </c>
      <c r="I1280">
        <v>0</v>
      </c>
      <c r="J1280">
        <v>0</v>
      </c>
      <c r="K1280">
        <v>0</v>
      </c>
      <c r="L1280">
        <v>0</v>
      </c>
      <c r="M1280">
        <v>0</v>
      </c>
      <c r="N1280">
        <v>0</v>
      </c>
      <c r="O1280">
        <v>0</v>
      </c>
      <c r="P1280">
        <v>0</v>
      </c>
      <c r="Q1280" t="str">
        <f>INDEX(pARTNER[#All],MATCH(#REF!,pARTNER[[#All],[Value.partnerSummary.id]],0),10)</f>
        <v>Italia (IT)</v>
      </c>
      <c r="R1280" t="str">
        <f>INDEX('Partner data'!$A$2:$DG$171,MATCH(#REF!,'Partner data'!$DG$2:$DG$171,0),83)</f>
        <v>Soggetto pubblico</v>
      </c>
      <c r="S1280" s="86" t="b">
        <f>IF(#REF!="staff",INDEX('Partner data'!$DG$2:$DH$171,MATCH(#REF!,'Partner data'!$DG$2:$DG$171,0),2))</f>
        <v>0</v>
      </c>
    </row>
    <row r="1281" spans="1:19" x14ac:dyDescent="0.25">
      <c r="A1281" t="s">
        <v>59</v>
      </c>
      <c r="B1281" t="s">
        <v>69</v>
      </c>
      <c r="C1281">
        <v>325</v>
      </c>
      <c r="D1281">
        <v>75</v>
      </c>
      <c r="E1281" t="s">
        <v>231</v>
      </c>
      <c r="G1281">
        <v>0</v>
      </c>
      <c r="H1281">
        <v>0</v>
      </c>
      <c r="I1281">
        <v>0</v>
      </c>
      <c r="J1281">
        <v>0</v>
      </c>
      <c r="K1281">
        <v>0</v>
      </c>
      <c r="L1281">
        <v>0</v>
      </c>
      <c r="M1281">
        <v>0</v>
      </c>
      <c r="N1281">
        <v>0</v>
      </c>
      <c r="O1281">
        <v>0</v>
      </c>
      <c r="P1281">
        <v>0</v>
      </c>
      <c r="Q1281" t="str">
        <f>INDEX(pARTNER[#All],MATCH(#REF!,pARTNER[[#All],[Value.partnerSummary.id]],0),10)</f>
        <v>Italia (IT)</v>
      </c>
      <c r="R1281" t="str">
        <f>INDEX('Partner data'!$A$2:$DG$171,MATCH(#REF!,'Partner data'!$DG$2:$DG$171,0),83)</f>
        <v>Soggetto pubblico</v>
      </c>
      <c r="S1281" s="86" t="b">
        <f>IF(#REF!="staff",INDEX('Partner data'!$DG$2:$DH$171,MATCH(#REF!,'Partner data'!$DG$2:$DG$171,0),2))</f>
        <v>0</v>
      </c>
    </row>
    <row r="1282" spans="1:19" x14ac:dyDescent="0.25">
      <c r="A1282" t="s">
        <v>59</v>
      </c>
      <c r="B1282" t="s">
        <v>69</v>
      </c>
      <c r="C1282">
        <v>325</v>
      </c>
      <c r="D1282">
        <v>75</v>
      </c>
      <c r="E1282" t="s">
        <v>232</v>
      </c>
      <c r="G1282">
        <v>0</v>
      </c>
      <c r="H1282">
        <v>0</v>
      </c>
      <c r="I1282">
        <v>0</v>
      </c>
      <c r="J1282">
        <v>0</v>
      </c>
      <c r="K1282">
        <v>0</v>
      </c>
      <c r="L1282">
        <v>0</v>
      </c>
      <c r="M1282">
        <v>0</v>
      </c>
      <c r="N1282">
        <v>0</v>
      </c>
      <c r="O1282">
        <v>0</v>
      </c>
      <c r="P1282">
        <v>0</v>
      </c>
      <c r="Q1282" t="str">
        <f>INDEX(pARTNER[#All],MATCH(#REF!,pARTNER[[#All],[Value.partnerSummary.id]],0),10)</f>
        <v>Italia (IT)</v>
      </c>
      <c r="R1282" t="str">
        <f>INDEX('Partner data'!$A$2:$DG$171,MATCH(#REF!,'Partner data'!$DG$2:$DG$171,0),83)</f>
        <v>Soggetto pubblico</v>
      </c>
      <c r="S1282" s="86" t="b">
        <f>IF(#REF!="staff",INDEX('Partner data'!$DG$2:$DH$171,MATCH(#REF!,'Partner data'!$DG$2:$DG$171,0),2))</f>
        <v>0</v>
      </c>
    </row>
    <row r="1283" spans="1:19" x14ac:dyDescent="0.25">
      <c r="A1283" t="s">
        <v>59</v>
      </c>
      <c r="B1283" t="s">
        <v>69</v>
      </c>
      <c r="C1283">
        <v>325</v>
      </c>
      <c r="D1283">
        <v>75</v>
      </c>
      <c r="E1283" t="s">
        <v>233</v>
      </c>
      <c r="G1283">
        <v>0</v>
      </c>
      <c r="H1283">
        <v>0</v>
      </c>
      <c r="I1283">
        <v>0</v>
      </c>
      <c r="J1283">
        <v>0</v>
      </c>
      <c r="K1283">
        <v>0</v>
      </c>
      <c r="L1283">
        <v>0</v>
      </c>
      <c r="M1283">
        <v>0</v>
      </c>
      <c r="N1283">
        <v>0</v>
      </c>
      <c r="O1283">
        <v>0</v>
      </c>
      <c r="P1283">
        <v>0</v>
      </c>
      <c r="Q1283" t="str">
        <f>INDEX(pARTNER[#All],MATCH(#REF!,pARTNER[[#All],[Value.partnerSummary.id]],0),10)</f>
        <v>Italia (IT)</v>
      </c>
      <c r="R1283" t="str">
        <f>INDEX('Partner data'!$A$2:$DG$171,MATCH(#REF!,'Partner data'!$DG$2:$DG$171,0),83)</f>
        <v>Soggetto pubblico</v>
      </c>
      <c r="S1283" s="86" t="b">
        <f>IF(#REF!="staff",INDEX('Partner data'!$DG$2:$DH$171,MATCH(#REF!,'Partner data'!$DG$2:$DG$171,0),2))</f>
        <v>0</v>
      </c>
    </row>
    <row r="1284" spans="1:19" x14ac:dyDescent="0.25">
      <c r="A1284" t="s">
        <v>59</v>
      </c>
      <c r="B1284" t="s">
        <v>69</v>
      </c>
      <c r="C1284">
        <v>325</v>
      </c>
      <c r="D1284">
        <v>75</v>
      </c>
      <c r="E1284" t="s">
        <v>234</v>
      </c>
      <c r="F1284">
        <v>29</v>
      </c>
      <c r="G1284">
        <v>75130.25</v>
      </c>
      <c r="H1284">
        <v>0</v>
      </c>
      <c r="I1284">
        <v>0</v>
      </c>
      <c r="J1284">
        <v>8138.82</v>
      </c>
      <c r="K1284">
        <v>0</v>
      </c>
      <c r="L1284">
        <v>0</v>
      </c>
      <c r="M1284">
        <v>8138.82</v>
      </c>
      <c r="N1284">
        <v>10.83</v>
      </c>
      <c r="O1284">
        <v>66991.429999999993</v>
      </c>
      <c r="P1284">
        <v>0</v>
      </c>
      <c r="Q1284" t="str">
        <f>INDEX(pARTNER[#All],MATCH(#REF!,pARTNER[[#All],[Value.partnerSummary.id]],0),10)</f>
        <v>Italia (IT)</v>
      </c>
      <c r="R1284" t="str">
        <f>INDEX('Partner data'!$A$2:$DG$171,MATCH(#REF!,'Partner data'!$DG$2:$DG$171,0),83)</f>
        <v>Soggetto pubblico</v>
      </c>
      <c r="S1284" s="86" t="b">
        <f>IF(#REF!="staff",INDEX('Partner data'!$DG$2:$DH$171,MATCH(#REF!,'Partner data'!$DG$2:$DG$171,0),2))</f>
        <v>0</v>
      </c>
    </row>
    <row r="1285" spans="1:19" x14ac:dyDescent="0.25">
      <c r="A1285" t="s">
        <v>59</v>
      </c>
      <c r="B1285" t="s">
        <v>69</v>
      </c>
      <c r="C1285">
        <v>325</v>
      </c>
      <c r="D1285">
        <v>75</v>
      </c>
      <c r="E1285" t="s">
        <v>235</v>
      </c>
      <c r="G1285">
        <v>0</v>
      </c>
      <c r="H1285">
        <v>0</v>
      </c>
      <c r="I1285">
        <v>0</v>
      </c>
      <c r="J1285">
        <v>0</v>
      </c>
      <c r="K1285">
        <v>0</v>
      </c>
      <c r="L1285">
        <v>0</v>
      </c>
      <c r="M1285">
        <v>0</v>
      </c>
      <c r="N1285">
        <v>0</v>
      </c>
      <c r="O1285">
        <v>0</v>
      </c>
      <c r="P1285">
        <v>0</v>
      </c>
      <c r="Q1285" t="str">
        <f>INDEX(pARTNER[#All],MATCH(#REF!,pARTNER[[#All],[Value.partnerSummary.id]],0),10)</f>
        <v>Italia (IT)</v>
      </c>
      <c r="R1285" t="str">
        <f>INDEX('Partner data'!$A$2:$DG$171,MATCH(#REF!,'Partner data'!$DG$2:$DG$171,0),83)</f>
        <v>Soggetto pubblico</v>
      </c>
      <c r="S1285" s="86" t="b">
        <f>IF(#REF!="staff",INDEX('Partner data'!$DG$2:$DH$171,MATCH(#REF!,'Partner data'!$DG$2:$DG$171,0),2))</f>
        <v>0</v>
      </c>
    </row>
    <row r="1286" spans="1:19" x14ac:dyDescent="0.25">
      <c r="A1286" t="s">
        <v>59</v>
      </c>
      <c r="B1286" t="s">
        <v>69</v>
      </c>
      <c r="C1286">
        <v>325</v>
      </c>
      <c r="D1286">
        <v>75</v>
      </c>
      <c r="E1286" t="s">
        <v>236</v>
      </c>
      <c r="G1286">
        <v>0</v>
      </c>
      <c r="H1286">
        <v>0</v>
      </c>
      <c r="I1286">
        <v>0</v>
      </c>
      <c r="J1286">
        <v>0</v>
      </c>
      <c r="K1286">
        <v>0</v>
      </c>
      <c r="L1286">
        <v>0</v>
      </c>
      <c r="M1286">
        <v>0</v>
      </c>
      <c r="N1286">
        <v>0</v>
      </c>
      <c r="O1286">
        <v>0</v>
      </c>
      <c r="P1286">
        <v>0</v>
      </c>
      <c r="Q1286" t="str">
        <f>INDEX(pARTNER[#All],MATCH(#REF!,pARTNER[[#All],[Value.partnerSummary.id]],0),10)</f>
        <v>Italia (IT)</v>
      </c>
      <c r="R1286" t="str">
        <f>INDEX('Partner data'!$A$2:$DG$171,MATCH(#REF!,'Partner data'!$DG$2:$DG$171,0),83)</f>
        <v>Soggetto pubblico</v>
      </c>
      <c r="S1286" s="86" t="b">
        <f>IF(#REF!="staff",INDEX('Partner data'!$DG$2:$DH$171,MATCH(#REF!,'Partner data'!$DG$2:$DG$171,0),2))</f>
        <v>0</v>
      </c>
    </row>
    <row r="1287" spans="1:19" x14ac:dyDescent="0.25">
      <c r="A1287" t="s">
        <v>59</v>
      </c>
      <c r="B1287" t="s">
        <v>69</v>
      </c>
      <c r="C1287">
        <v>325</v>
      </c>
      <c r="D1287">
        <v>75</v>
      </c>
      <c r="E1287" t="s">
        <v>237</v>
      </c>
      <c r="G1287">
        <v>0</v>
      </c>
      <c r="H1287">
        <v>0</v>
      </c>
      <c r="I1287">
        <v>0</v>
      </c>
      <c r="J1287">
        <v>0</v>
      </c>
      <c r="K1287">
        <v>0</v>
      </c>
      <c r="L1287">
        <v>0</v>
      </c>
      <c r="M1287">
        <v>0</v>
      </c>
      <c r="N1287">
        <v>0</v>
      </c>
      <c r="O1287">
        <v>0</v>
      </c>
      <c r="P1287">
        <v>0</v>
      </c>
      <c r="Q1287" t="str">
        <f>INDEX(pARTNER[#All],MATCH(#REF!,pARTNER[[#All],[Value.partnerSummary.id]],0),10)</f>
        <v>Italia (IT)</v>
      </c>
      <c r="R1287" t="str">
        <f>INDEX('Partner data'!$A$2:$DG$171,MATCH(#REF!,'Partner data'!$DG$2:$DG$171,0),83)</f>
        <v>Soggetto pubblico</v>
      </c>
      <c r="S1287" s="86" t="b">
        <f>IF(#REF!="staff",INDEX('Partner data'!$DG$2:$DH$171,MATCH(#REF!,'Partner data'!$DG$2:$DG$171,0),2))</f>
        <v>0</v>
      </c>
    </row>
    <row r="1288" spans="1:19" x14ac:dyDescent="0.25">
      <c r="A1288" t="s">
        <v>59</v>
      </c>
      <c r="B1288" t="s">
        <v>69</v>
      </c>
      <c r="C1288">
        <v>325</v>
      </c>
      <c r="D1288">
        <v>75</v>
      </c>
      <c r="E1288" t="s">
        <v>238</v>
      </c>
      <c r="G1288">
        <v>334200.09999999998</v>
      </c>
      <c r="H1288">
        <v>0</v>
      </c>
      <c r="I1288">
        <v>0</v>
      </c>
      <c r="J1288">
        <v>36203.74</v>
      </c>
      <c r="K1288">
        <v>0</v>
      </c>
      <c r="L1288">
        <v>0</v>
      </c>
      <c r="M1288">
        <v>36203.74</v>
      </c>
      <c r="N1288">
        <v>10.83</v>
      </c>
      <c r="O1288">
        <v>297996.36</v>
      </c>
      <c r="P1288">
        <v>0</v>
      </c>
      <c r="Q1288" t="str">
        <f>INDEX(pARTNER[#All],MATCH(#REF!,pARTNER[[#All],[Value.partnerSummary.id]],0),10)</f>
        <v>Italia (IT)</v>
      </c>
      <c r="R1288" t="str">
        <f>INDEX('Partner data'!$A$2:$DG$171,MATCH(#REF!,'Partner data'!$DG$2:$DG$171,0),83)</f>
        <v>Soggetto pubblico</v>
      </c>
      <c r="S1288" s="86" t="b">
        <f>IF(#REF!="staff",INDEX('Partner data'!$DG$2:$DH$171,MATCH(#REF!,'Partner data'!$DG$2:$DG$171,0),2))</f>
        <v>0</v>
      </c>
    </row>
    <row r="1289" spans="1:19" x14ac:dyDescent="0.25">
      <c r="A1289" t="s">
        <v>59</v>
      </c>
      <c r="B1289" t="s">
        <v>22</v>
      </c>
      <c r="C1289">
        <v>318</v>
      </c>
      <c r="D1289">
        <v>292</v>
      </c>
      <c r="E1289" t="s">
        <v>228</v>
      </c>
      <c r="G1289">
        <v>100841.01</v>
      </c>
      <c r="H1289">
        <v>9400.1200000000008</v>
      </c>
      <c r="I1289">
        <v>0</v>
      </c>
      <c r="J1289">
        <v>9091.91</v>
      </c>
      <c r="K1289">
        <v>0</v>
      </c>
      <c r="L1289">
        <v>9091.91</v>
      </c>
      <c r="M1289">
        <v>18492.03</v>
      </c>
      <c r="N1289">
        <v>18.34</v>
      </c>
      <c r="O1289">
        <v>82348.98</v>
      </c>
      <c r="P1289">
        <v>8256.7199999999993</v>
      </c>
      <c r="Q1289" t="str">
        <f>INDEX(pARTNER[#All],MATCH(#REF!,pARTNER[[#All],[Value.partnerSummary.id]],0),10)</f>
        <v>Slovenija (SI)</v>
      </c>
      <c r="R1289" t="str">
        <f>INDEX('Partner data'!$A$2:$DG$171,MATCH(#REF!,'Partner data'!$DG$2:$DG$171,0),83)</f>
        <v>Soggetto pubblico</v>
      </c>
      <c r="S1289" s="86" t="str">
        <f>IF(#REF!="staff",INDEX('Partner data'!$DG$2:$DH$171,MATCH(#REF!,'Partner data'!$DG$2:$DG$171,0),2))</f>
        <v>COSTO REALE</v>
      </c>
    </row>
    <row r="1290" spans="1:19" x14ac:dyDescent="0.25">
      <c r="A1290" t="s">
        <v>59</v>
      </c>
      <c r="B1290" t="s">
        <v>22</v>
      </c>
      <c r="C1290">
        <v>318</v>
      </c>
      <c r="D1290">
        <v>292</v>
      </c>
      <c r="E1290" t="s">
        <v>229</v>
      </c>
      <c r="F1290">
        <v>15</v>
      </c>
      <c r="G1290">
        <v>15126.15</v>
      </c>
      <c r="H1290">
        <v>1410.01</v>
      </c>
      <c r="I1290">
        <v>0</v>
      </c>
      <c r="J1290">
        <v>1363.78</v>
      </c>
      <c r="K1290">
        <v>0</v>
      </c>
      <c r="L1290">
        <v>1363.78</v>
      </c>
      <c r="M1290">
        <v>2773.79</v>
      </c>
      <c r="N1290">
        <v>18.34</v>
      </c>
      <c r="O1290">
        <v>12352.36</v>
      </c>
      <c r="P1290">
        <v>1238.5</v>
      </c>
      <c r="Q1290" t="str">
        <f>INDEX(pARTNER[#All],MATCH(#REF!,pARTNER[[#All],[Value.partnerSummary.id]],0),10)</f>
        <v>Slovenija (SI)</v>
      </c>
      <c r="R1290" t="str">
        <f>INDEX('Partner data'!$A$2:$DG$171,MATCH(#REF!,'Partner data'!$DG$2:$DG$171,0),83)</f>
        <v>Soggetto pubblico</v>
      </c>
      <c r="S1290" s="86" t="b">
        <f>IF(#REF!="staff",INDEX('Partner data'!$DG$2:$DH$171,MATCH(#REF!,'Partner data'!$DG$2:$DG$171,0),2))</f>
        <v>0</v>
      </c>
    </row>
    <row r="1291" spans="1:19" x14ac:dyDescent="0.25">
      <c r="A1291" t="s">
        <v>59</v>
      </c>
      <c r="B1291" t="s">
        <v>22</v>
      </c>
      <c r="C1291">
        <v>318</v>
      </c>
      <c r="D1291">
        <v>292</v>
      </c>
      <c r="E1291" t="s">
        <v>230</v>
      </c>
      <c r="F1291">
        <v>4</v>
      </c>
      <c r="G1291">
        <v>4033.64</v>
      </c>
      <c r="H1291">
        <v>376</v>
      </c>
      <c r="I1291">
        <v>0</v>
      </c>
      <c r="J1291">
        <v>363.67</v>
      </c>
      <c r="K1291">
        <v>0</v>
      </c>
      <c r="L1291">
        <v>363.67</v>
      </c>
      <c r="M1291">
        <v>739.67</v>
      </c>
      <c r="N1291">
        <v>18.34</v>
      </c>
      <c r="O1291">
        <v>3293.97</v>
      </c>
      <c r="P1291">
        <v>330.26</v>
      </c>
      <c r="Q1291" t="str">
        <f>INDEX(pARTNER[#All],MATCH(#REF!,pARTNER[[#All],[Value.partnerSummary.id]],0),10)</f>
        <v>Slovenija (SI)</v>
      </c>
      <c r="R1291" t="str">
        <f>INDEX('Partner data'!$A$2:$DG$171,MATCH(#REF!,'Partner data'!$DG$2:$DG$171,0),83)</f>
        <v>Soggetto pubblico</v>
      </c>
      <c r="S1291" s="86" t="b">
        <f>IF(#REF!="staff",INDEX('Partner data'!$DG$2:$DH$171,MATCH(#REF!,'Partner data'!$DG$2:$DG$171,0),2))</f>
        <v>0</v>
      </c>
    </row>
    <row r="1292" spans="1:19" x14ac:dyDescent="0.25">
      <c r="A1292" t="s">
        <v>59</v>
      </c>
      <c r="B1292" t="s">
        <v>22</v>
      </c>
      <c r="C1292">
        <v>318</v>
      </c>
      <c r="D1292">
        <v>292</v>
      </c>
      <c r="E1292" t="s">
        <v>231</v>
      </c>
      <c r="G1292">
        <v>0</v>
      </c>
      <c r="H1292">
        <v>0</v>
      </c>
      <c r="I1292">
        <v>0</v>
      </c>
      <c r="J1292">
        <v>0</v>
      </c>
      <c r="K1292">
        <v>0</v>
      </c>
      <c r="L1292">
        <v>0</v>
      </c>
      <c r="M1292">
        <v>0</v>
      </c>
      <c r="N1292">
        <v>0</v>
      </c>
      <c r="O1292">
        <v>0</v>
      </c>
      <c r="P1292">
        <v>0</v>
      </c>
      <c r="Q1292" t="str">
        <f>INDEX(pARTNER[#All],MATCH(#REF!,pARTNER[[#All],[Value.partnerSummary.id]],0),10)</f>
        <v>Slovenija (SI)</v>
      </c>
      <c r="R1292" t="str">
        <f>INDEX('Partner data'!$A$2:$DG$171,MATCH(#REF!,'Partner data'!$DG$2:$DG$171,0),83)</f>
        <v>Soggetto pubblico</v>
      </c>
      <c r="S1292" s="86" t="b">
        <f>IF(#REF!="staff",INDEX('Partner data'!$DG$2:$DH$171,MATCH(#REF!,'Partner data'!$DG$2:$DG$171,0),2))</f>
        <v>0</v>
      </c>
    </row>
    <row r="1293" spans="1:19" x14ac:dyDescent="0.25">
      <c r="A1293" t="s">
        <v>59</v>
      </c>
      <c r="B1293" t="s">
        <v>22</v>
      </c>
      <c r="C1293">
        <v>318</v>
      </c>
      <c r="D1293">
        <v>292</v>
      </c>
      <c r="E1293" t="s">
        <v>232</v>
      </c>
      <c r="G1293">
        <v>0</v>
      </c>
      <c r="H1293">
        <v>0</v>
      </c>
      <c r="I1293">
        <v>0</v>
      </c>
      <c r="J1293">
        <v>0</v>
      </c>
      <c r="K1293">
        <v>0</v>
      </c>
      <c r="L1293">
        <v>0</v>
      </c>
      <c r="M1293">
        <v>0</v>
      </c>
      <c r="N1293">
        <v>0</v>
      </c>
      <c r="O1293">
        <v>0</v>
      </c>
      <c r="P1293">
        <v>0</v>
      </c>
      <c r="Q1293" t="str">
        <f>INDEX(pARTNER[#All],MATCH(#REF!,pARTNER[[#All],[Value.partnerSummary.id]],0),10)</f>
        <v>Slovenija (SI)</v>
      </c>
      <c r="R1293" t="str">
        <f>INDEX('Partner data'!$A$2:$DG$171,MATCH(#REF!,'Partner data'!$DG$2:$DG$171,0),83)</f>
        <v>Soggetto pubblico</v>
      </c>
      <c r="S1293" s="86" t="b">
        <f>IF(#REF!="staff",INDEX('Partner data'!$DG$2:$DH$171,MATCH(#REF!,'Partner data'!$DG$2:$DG$171,0),2))</f>
        <v>0</v>
      </c>
    </row>
    <row r="1294" spans="1:19" x14ac:dyDescent="0.25">
      <c r="A1294" t="s">
        <v>59</v>
      </c>
      <c r="B1294" t="s">
        <v>22</v>
      </c>
      <c r="C1294">
        <v>318</v>
      </c>
      <c r="D1294">
        <v>292</v>
      </c>
      <c r="E1294" t="s">
        <v>233</v>
      </c>
      <c r="G1294">
        <v>0</v>
      </c>
      <c r="H1294">
        <v>0</v>
      </c>
      <c r="I1294">
        <v>0</v>
      </c>
      <c r="J1294">
        <v>0</v>
      </c>
      <c r="K1294">
        <v>0</v>
      </c>
      <c r="L1294">
        <v>0</v>
      </c>
      <c r="M1294">
        <v>0</v>
      </c>
      <c r="N1294">
        <v>0</v>
      </c>
      <c r="O1294">
        <v>0</v>
      </c>
      <c r="P1294">
        <v>0</v>
      </c>
      <c r="Q1294" t="str">
        <f>INDEX(pARTNER[#All],MATCH(#REF!,pARTNER[[#All],[Value.partnerSummary.id]],0),10)</f>
        <v>Slovenija (SI)</v>
      </c>
      <c r="R1294" t="str">
        <f>INDEX('Partner data'!$A$2:$DG$171,MATCH(#REF!,'Partner data'!$DG$2:$DG$171,0),83)</f>
        <v>Soggetto pubblico</v>
      </c>
      <c r="S1294" s="86" t="b">
        <f>IF(#REF!="staff",INDEX('Partner data'!$DG$2:$DH$171,MATCH(#REF!,'Partner data'!$DG$2:$DG$171,0),2))</f>
        <v>0</v>
      </c>
    </row>
    <row r="1295" spans="1:19" x14ac:dyDescent="0.25">
      <c r="A1295" t="s">
        <v>59</v>
      </c>
      <c r="B1295" t="s">
        <v>22</v>
      </c>
      <c r="C1295">
        <v>318</v>
      </c>
      <c r="D1295">
        <v>292</v>
      </c>
      <c r="E1295" t="s">
        <v>234</v>
      </c>
      <c r="G1295">
        <v>0</v>
      </c>
      <c r="H1295">
        <v>0</v>
      </c>
      <c r="I1295">
        <v>0</v>
      </c>
      <c r="J1295">
        <v>0</v>
      </c>
      <c r="K1295">
        <v>0</v>
      </c>
      <c r="L1295">
        <v>0</v>
      </c>
      <c r="M1295">
        <v>0</v>
      </c>
      <c r="N1295">
        <v>0</v>
      </c>
      <c r="O1295">
        <v>0</v>
      </c>
      <c r="P1295">
        <v>0</v>
      </c>
      <c r="Q1295" t="str">
        <f>INDEX(pARTNER[#All],MATCH(#REF!,pARTNER[[#All],[Value.partnerSummary.id]],0),10)</f>
        <v>Slovenija (SI)</v>
      </c>
      <c r="R1295" t="str">
        <f>INDEX('Partner data'!$A$2:$DG$171,MATCH(#REF!,'Partner data'!$DG$2:$DG$171,0),83)</f>
        <v>Soggetto pubblico</v>
      </c>
      <c r="S1295" s="86" t="b">
        <f>IF(#REF!="staff",INDEX('Partner data'!$DG$2:$DH$171,MATCH(#REF!,'Partner data'!$DG$2:$DG$171,0),2))</f>
        <v>0</v>
      </c>
    </row>
    <row r="1296" spans="1:19" x14ac:dyDescent="0.25">
      <c r="A1296" t="s">
        <v>59</v>
      </c>
      <c r="B1296" t="s">
        <v>22</v>
      </c>
      <c r="C1296">
        <v>318</v>
      </c>
      <c r="D1296">
        <v>292</v>
      </c>
      <c r="E1296" t="s">
        <v>235</v>
      </c>
      <c r="G1296">
        <v>0</v>
      </c>
      <c r="H1296">
        <v>0</v>
      </c>
      <c r="I1296">
        <v>0</v>
      </c>
      <c r="J1296">
        <v>0</v>
      </c>
      <c r="K1296">
        <v>0</v>
      </c>
      <c r="L1296">
        <v>0</v>
      </c>
      <c r="M1296">
        <v>0</v>
      </c>
      <c r="N1296">
        <v>0</v>
      </c>
      <c r="O1296">
        <v>0</v>
      </c>
      <c r="P1296">
        <v>0</v>
      </c>
      <c r="Q1296" t="str">
        <f>INDEX(pARTNER[#All],MATCH(#REF!,pARTNER[[#All],[Value.partnerSummary.id]],0),10)</f>
        <v>Slovenija (SI)</v>
      </c>
      <c r="R1296" t="str">
        <f>INDEX('Partner data'!$A$2:$DG$171,MATCH(#REF!,'Partner data'!$DG$2:$DG$171,0),83)</f>
        <v>Soggetto pubblico</v>
      </c>
      <c r="S1296" s="86" t="b">
        <f>IF(#REF!="staff",INDEX('Partner data'!$DG$2:$DH$171,MATCH(#REF!,'Partner data'!$DG$2:$DG$171,0),2))</f>
        <v>0</v>
      </c>
    </row>
    <row r="1297" spans="1:19" x14ac:dyDescent="0.25">
      <c r="A1297" t="s">
        <v>59</v>
      </c>
      <c r="B1297" t="s">
        <v>22</v>
      </c>
      <c r="C1297">
        <v>318</v>
      </c>
      <c r="D1297">
        <v>292</v>
      </c>
      <c r="E1297" t="s">
        <v>236</v>
      </c>
      <c r="G1297">
        <v>0</v>
      </c>
      <c r="H1297">
        <v>0</v>
      </c>
      <c r="I1297">
        <v>0</v>
      </c>
      <c r="J1297">
        <v>0</v>
      </c>
      <c r="K1297">
        <v>0</v>
      </c>
      <c r="L1297">
        <v>0</v>
      </c>
      <c r="M1297">
        <v>0</v>
      </c>
      <c r="N1297">
        <v>0</v>
      </c>
      <c r="O1297">
        <v>0</v>
      </c>
      <c r="P1297">
        <v>0</v>
      </c>
      <c r="Q1297" t="str">
        <f>INDEX(pARTNER[#All],MATCH(#REF!,pARTNER[[#All],[Value.partnerSummary.id]],0),10)</f>
        <v>Slovenija (SI)</v>
      </c>
      <c r="R1297" t="str">
        <f>INDEX('Partner data'!$A$2:$DG$171,MATCH(#REF!,'Partner data'!$DG$2:$DG$171,0),83)</f>
        <v>Soggetto pubblico</v>
      </c>
      <c r="S1297" s="86" t="b">
        <f>IF(#REF!="staff",INDEX('Partner data'!$DG$2:$DH$171,MATCH(#REF!,'Partner data'!$DG$2:$DG$171,0),2))</f>
        <v>0</v>
      </c>
    </row>
    <row r="1298" spans="1:19" x14ac:dyDescent="0.25">
      <c r="A1298" t="s">
        <v>59</v>
      </c>
      <c r="B1298" t="s">
        <v>22</v>
      </c>
      <c r="C1298">
        <v>318</v>
      </c>
      <c r="D1298">
        <v>292</v>
      </c>
      <c r="E1298" t="s">
        <v>237</v>
      </c>
      <c r="G1298">
        <v>0</v>
      </c>
      <c r="H1298">
        <v>0</v>
      </c>
      <c r="I1298">
        <v>0</v>
      </c>
      <c r="J1298">
        <v>0</v>
      </c>
      <c r="K1298">
        <v>0</v>
      </c>
      <c r="L1298">
        <v>0</v>
      </c>
      <c r="M1298">
        <v>0</v>
      </c>
      <c r="N1298">
        <v>0</v>
      </c>
      <c r="O1298">
        <v>0</v>
      </c>
      <c r="P1298">
        <v>0</v>
      </c>
      <c r="Q1298" t="str">
        <f>INDEX(pARTNER[#All],MATCH(#REF!,pARTNER[[#All],[Value.partnerSummary.id]],0),10)</f>
        <v>Slovenija (SI)</v>
      </c>
      <c r="R1298" t="str">
        <f>INDEX('Partner data'!$A$2:$DG$171,MATCH(#REF!,'Partner data'!$DG$2:$DG$171,0),83)</f>
        <v>Soggetto pubblico</v>
      </c>
      <c r="S1298" s="86" t="b">
        <f>IF(#REF!="staff",INDEX('Partner data'!$DG$2:$DH$171,MATCH(#REF!,'Partner data'!$DG$2:$DG$171,0),2))</f>
        <v>0</v>
      </c>
    </row>
    <row r="1299" spans="1:19" x14ac:dyDescent="0.25">
      <c r="A1299" t="s">
        <v>59</v>
      </c>
      <c r="B1299" t="s">
        <v>22</v>
      </c>
      <c r="C1299">
        <v>318</v>
      </c>
      <c r="D1299">
        <v>292</v>
      </c>
      <c r="E1299" t="s">
        <v>238</v>
      </c>
      <c r="G1299">
        <v>120000.8</v>
      </c>
      <c r="H1299">
        <v>11186.13</v>
      </c>
      <c r="I1299">
        <v>0</v>
      </c>
      <c r="J1299">
        <v>10819.36</v>
      </c>
      <c r="K1299">
        <v>0</v>
      </c>
      <c r="L1299">
        <v>10819.36</v>
      </c>
      <c r="M1299">
        <v>22005.49</v>
      </c>
      <c r="N1299">
        <v>18.34</v>
      </c>
      <c r="O1299">
        <v>97995.31</v>
      </c>
      <c r="P1299">
        <v>9825.48</v>
      </c>
      <c r="Q1299" t="str">
        <f>INDEX(pARTNER[#All],MATCH(#REF!,pARTNER[[#All],[Value.partnerSummary.id]],0),10)</f>
        <v>Slovenija (SI)</v>
      </c>
      <c r="R1299" t="str">
        <f>INDEX('Partner data'!$A$2:$DG$171,MATCH(#REF!,'Partner data'!$DG$2:$DG$171,0),83)</f>
        <v>Soggetto pubblico</v>
      </c>
      <c r="S1299" s="86" t="b">
        <f>IF(#REF!="staff",INDEX('Partner data'!$DG$2:$DH$171,MATCH(#REF!,'Partner data'!$DG$2:$DG$171,0),2))</f>
        <v>0</v>
      </c>
    </row>
    <row r="1300" spans="1:19" x14ac:dyDescent="0.25">
      <c r="A1300" t="s">
        <v>59</v>
      </c>
      <c r="B1300" t="s">
        <v>22</v>
      </c>
      <c r="C1300">
        <v>318</v>
      </c>
      <c r="D1300">
        <v>51</v>
      </c>
      <c r="E1300" t="s">
        <v>228</v>
      </c>
      <c r="G1300">
        <v>100841.01</v>
      </c>
      <c r="H1300">
        <v>0</v>
      </c>
      <c r="I1300">
        <v>0</v>
      </c>
      <c r="J1300">
        <v>9400.1200000000008</v>
      </c>
      <c r="K1300">
        <v>0</v>
      </c>
      <c r="L1300">
        <v>8256.7199999999993</v>
      </c>
      <c r="M1300">
        <v>9400.1200000000008</v>
      </c>
      <c r="N1300">
        <v>9.32</v>
      </c>
      <c r="O1300">
        <v>91440.89</v>
      </c>
      <c r="P1300">
        <v>0</v>
      </c>
      <c r="Q1300" t="str">
        <f>INDEX(pARTNER[#All],MATCH(#REF!,pARTNER[[#All],[Value.partnerSummary.id]],0),10)</f>
        <v>Slovenija (SI)</v>
      </c>
      <c r="R1300" t="str">
        <f>INDEX('Partner data'!$A$2:$DG$171,MATCH(#REF!,'Partner data'!$DG$2:$DG$171,0),83)</f>
        <v>Soggetto pubblico</v>
      </c>
      <c r="S1300" s="86" t="str">
        <f>IF(#REF!="staff",INDEX('Partner data'!$DG$2:$DH$171,MATCH(#REF!,'Partner data'!$DG$2:$DG$171,0),2))</f>
        <v>COSTO REALE</v>
      </c>
    </row>
    <row r="1301" spans="1:19" x14ac:dyDescent="0.25">
      <c r="A1301" t="s">
        <v>59</v>
      </c>
      <c r="B1301" t="s">
        <v>22</v>
      </c>
      <c r="C1301">
        <v>318</v>
      </c>
      <c r="D1301">
        <v>51</v>
      </c>
      <c r="E1301" t="s">
        <v>229</v>
      </c>
      <c r="F1301">
        <v>15</v>
      </c>
      <c r="G1301">
        <v>15126.15</v>
      </c>
      <c r="H1301">
        <v>0</v>
      </c>
      <c r="I1301">
        <v>0</v>
      </c>
      <c r="J1301">
        <v>1410.01</v>
      </c>
      <c r="K1301">
        <v>0</v>
      </c>
      <c r="L1301">
        <v>1238.5</v>
      </c>
      <c r="M1301">
        <v>1410.01</v>
      </c>
      <c r="N1301">
        <v>9.32</v>
      </c>
      <c r="O1301">
        <v>13716.14</v>
      </c>
      <c r="P1301">
        <v>0</v>
      </c>
      <c r="Q1301" t="str">
        <f>INDEX(pARTNER[#All],MATCH(#REF!,pARTNER[[#All],[Value.partnerSummary.id]],0),10)</f>
        <v>Slovenija (SI)</v>
      </c>
      <c r="R1301" t="str">
        <f>INDEX('Partner data'!$A$2:$DG$171,MATCH(#REF!,'Partner data'!$DG$2:$DG$171,0),83)</f>
        <v>Soggetto pubblico</v>
      </c>
      <c r="S1301" s="86" t="b">
        <f>IF(#REF!="staff",INDEX('Partner data'!$DG$2:$DH$171,MATCH(#REF!,'Partner data'!$DG$2:$DG$171,0),2))</f>
        <v>0</v>
      </c>
    </row>
    <row r="1302" spans="1:19" x14ac:dyDescent="0.25">
      <c r="A1302" t="s">
        <v>59</v>
      </c>
      <c r="B1302" t="s">
        <v>22</v>
      </c>
      <c r="C1302">
        <v>318</v>
      </c>
      <c r="D1302">
        <v>51</v>
      </c>
      <c r="E1302" t="s">
        <v>230</v>
      </c>
      <c r="F1302">
        <v>4</v>
      </c>
      <c r="G1302">
        <v>4033.64</v>
      </c>
      <c r="H1302">
        <v>0</v>
      </c>
      <c r="I1302">
        <v>0</v>
      </c>
      <c r="J1302">
        <v>376</v>
      </c>
      <c r="K1302">
        <v>0</v>
      </c>
      <c r="L1302">
        <v>330.26</v>
      </c>
      <c r="M1302">
        <v>376</v>
      </c>
      <c r="N1302">
        <v>9.32</v>
      </c>
      <c r="O1302">
        <v>3657.64</v>
      </c>
      <c r="P1302">
        <v>0</v>
      </c>
      <c r="Q1302" t="str">
        <f>INDEX(pARTNER[#All],MATCH(#REF!,pARTNER[[#All],[Value.partnerSummary.id]],0),10)</f>
        <v>Slovenija (SI)</v>
      </c>
      <c r="R1302" t="str">
        <f>INDEX('Partner data'!$A$2:$DG$171,MATCH(#REF!,'Partner data'!$DG$2:$DG$171,0),83)</f>
        <v>Soggetto pubblico</v>
      </c>
      <c r="S1302" s="86" t="b">
        <f>IF(#REF!="staff",INDEX('Partner data'!$DG$2:$DH$171,MATCH(#REF!,'Partner data'!$DG$2:$DG$171,0),2))</f>
        <v>0</v>
      </c>
    </row>
    <row r="1303" spans="1:19" x14ac:dyDescent="0.25">
      <c r="A1303" t="s">
        <v>59</v>
      </c>
      <c r="B1303" t="s">
        <v>22</v>
      </c>
      <c r="C1303">
        <v>318</v>
      </c>
      <c r="D1303">
        <v>51</v>
      </c>
      <c r="E1303" t="s">
        <v>231</v>
      </c>
      <c r="G1303">
        <v>0</v>
      </c>
      <c r="H1303">
        <v>0</v>
      </c>
      <c r="I1303">
        <v>0</v>
      </c>
      <c r="J1303">
        <v>0</v>
      </c>
      <c r="K1303">
        <v>0</v>
      </c>
      <c r="L1303">
        <v>0</v>
      </c>
      <c r="M1303">
        <v>0</v>
      </c>
      <c r="N1303">
        <v>0</v>
      </c>
      <c r="O1303">
        <v>0</v>
      </c>
      <c r="P1303">
        <v>0</v>
      </c>
      <c r="Q1303" t="str">
        <f>INDEX(pARTNER[#All],MATCH(#REF!,pARTNER[[#All],[Value.partnerSummary.id]],0),10)</f>
        <v>Slovenija (SI)</v>
      </c>
      <c r="R1303" t="str">
        <f>INDEX('Partner data'!$A$2:$DG$171,MATCH(#REF!,'Partner data'!$DG$2:$DG$171,0),83)</f>
        <v>Soggetto pubblico</v>
      </c>
      <c r="S1303" s="86" t="b">
        <f>IF(#REF!="staff",INDEX('Partner data'!$DG$2:$DH$171,MATCH(#REF!,'Partner data'!$DG$2:$DG$171,0),2))</f>
        <v>0</v>
      </c>
    </row>
    <row r="1304" spans="1:19" x14ac:dyDescent="0.25">
      <c r="A1304" t="s">
        <v>59</v>
      </c>
      <c r="B1304" t="s">
        <v>22</v>
      </c>
      <c r="C1304">
        <v>318</v>
      </c>
      <c r="D1304">
        <v>51</v>
      </c>
      <c r="E1304" t="s">
        <v>232</v>
      </c>
      <c r="G1304">
        <v>0</v>
      </c>
      <c r="H1304">
        <v>0</v>
      </c>
      <c r="I1304">
        <v>0</v>
      </c>
      <c r="J1304">
        <v>0</v>
      </c>
      <c r="K1304">
        <v>0</v>
      </c>
      <c r="L1304">
        <v>0</v>
      </c>
      <c r="M1304">
        <v>0</v>
      </c>
      <c r="N1304">
        <v>0</v>
      </c>
      <c r="O1304">
        <v>0</v>
      </c>
      <c r="P1304">
        <v>0</v>
      </c>
      <c r="Q1304" t="str">
        <f>INDEX(pARTNER[#All],MATCH(#REF!,pARTNER[[#All],[Value.partnerSummary.id]],0),10)</f>
        <v>Slovenija (SI)</v>
      </c>
      <c r="R1304" t="str">
        <f>INDEX('Partner data'!$A$2:$DG$171,MATCH(#REF!,'Partner data'!$DG$2:$DG$171,0),83)</f>
        <v>Soggetto pubblico</v>
      </c>
      <c r="S1304" s="86" t="b">
        <f>IF(#REF!="staff",INDEX('Partner data'!$DG$2:$DH$171,MATCH(#REF!,'Partner data'!$DG$2:$DG$171,0),2))</f>
        <v>0</v>
      </c>
    </row>
    <row r="1305" spans="1:19" x14ac:dyDescent="0.25">
      <c r="A1305" t="s">
        <v>59</v>
      </c>
      <c r="B1305" t="s">
        <v>22</v>
      </c>
      <c r="C1305">
        <v>318</v>
      </c>
      <c r="D1305">
        <v>51</v>
      </c>
      <c r="E1305" t="s">
        <v>233</v>
      </c>
      <c r="G1305">
        <v>0</v>
      </c>
      <c r="H1305">
        <v>0</v>
      </c>
      <c r="I1305">
        <v>0</v>
      </c>
      <c r="J1305">
        <v>0</v>
      </c>
      <c r="K1305">
        <v>0</v>
      </c>
      <c r="L1305">
        <v>0</v>
      </c>
      <c r="M1305">
        <v>0</v>
      </c>
      <c r="N1305">
        <v>0</v>
      </c>
      <c r="O1305">
        <v>0</v>
      </c>
      <c r="P1305">
        <v>0</v>
      </c>
      <c r="Q1305" t="str">
        <f>INDEX(pARTNER[#All],MATCH(#REF!,pARTNER[[#All],[Value.partnerSummary.id]],0),10)</f>
        <v>Slovenija (SI)</v>
      </c>
      <c r="R1305" t="str">
        <f>INDEX('Partner data'!$A$2:$DG$171,MATCH(#REF!,'Partner data'!$DG$2:$DG$171,0),83)</f>
        <v>Soggetto pubblico</v>
      </c>
      <c r="S1305" s="86" t="b">
        <f>IF(#REF!="staff",INDEX('Partner data'!$DG$2:$DH$171,MATCH(#REF!,'Partner data'!$DG$2:$DG$171,0),2))</f>
        <v>0</v>
      </c>
    </row>
    <row r="1306" spans="1:19" x14ac:dyDescent="0.25">
      <c r="A1306" t="s">
        <v>59</v>
      </c>
      <c r="B1306" t="s">
        <v>22</v>
      </c>
      <c r="C1306">
        <v>318</v>
      </c>
      <c r="D1306">
        <v>51</v>
      </c>
      <c r="E1306" t="s">
        <v>234</v>
      </c>
      <c r="G1306">
        <v>0</v>
      </c>
      <c r="H1306">
        <v>0</v>
      </c>
      <c r="I1306">
        <v>0</v>
      </c>
      <c r="J1306">
        <v>0</v>
      </c>
      <c r="K1306">
        <v>0</v>
      </c>
      <c r="L1306">
        <v>0</v>
      </c>
      <c r="M1306">
        <v>0</v>
      </c>
      <c r="N1306">
        <v>0</v>
      </c>
      <c r="O1306">
        <v>0</v>
      </c>
      <c r="P1306">
        <v>0</v>
      </c>
      <c r="Q1306" t="str">
        <f>INDEX(pARTNER[#All],MATCH(#REF!,pARTNER[[#All],[Value.partnerSummary.id]],0),10)</f>
        <v>Slovenija (SI)</v>
      </c>
      <c r="R1306" t="str">
        <f>INDEX('Partner data'!$A$2:$DG$171,MATCH(#REF!,'Partner data'!$DG$2:$DG$171,0),83)</f>
        <v>Soggetto pubblico</v>
      </c>
      <c r="S1306" s="86" t="b">
        <f>IF(#REF!="staff",INDEX('Partner data'!$DG$2:$DH$171,MATCH(#REF!,'Partner data'!$DG$2:$DG$171,0),2))</f>
        <v>0</v>
      </c>
    </row>
    <row r="1307" spans="1:19" x14ac:dyDescent="0.25">
      <c r="A1307" t="s">
        <v>59</v>
      </c>
      <c r="B1307" t="s">
        <v>22</v>
      </c>
      <c r="C1307">
        <v>318</v>
      </c>
      <c r="D1307">
        <v>51</v>
      </c>
      <c r="E1307" t="s">
        <v>235</v>
      </c>
      <c r="G1307">
        <v>0</v>
      </c>
      <c r="H1307">
        <v>0</v>
      </c>
      <c r="I1307">
        <v>0</v>
      </c>
      <c r="J1307">
        <v>0</v>
      </c>
      <c r="K1307">
        <v>0</v>
      </c>
      <c r="L1307">
        <v>0</v>
      </c>
      <c r="M1307">
        <v>0</v>
      </c>
      <c r="N1307">
        <v>0</v>
      </c>
      <c r="O1307">
        <v>0</v>
      </c>
      <c r="P1307">
        <v>0</v>
      </c>
      <c r="Q1307" t="str">
        <f>INDEX(pARTNER[#All],MATCH(#REF!,pARTNER[[#All],[Value.partnerSummary.id]],0),10)</f>
        <v>Slovenija (SI)</v>
      </c>
      <c r="R1307" t="str">
        <f>INDEX('Partner data'!$A$2:$DG$171,MATCH(#REF!,'Partner data'!$DG$2:$DG$171,0),83)</f>
        <v>Soggetto pubblico</v>
      </c>
      <c r="S1307" s="86" t="b">
        <f>IF(#REF!="staff",INDEX('Partner data'!$DG$2:$DH$171,MATCH(#REF!,'Partner data'!$DG$2:$DG$171,0),2))</f>
        <v>0</v>
      </c>
    </row>
    <row r="1308" spans="1:19" x14ac:dyDescent="0.25">
      <c r="A1308" t="s">
        <v>59</v>
      </c>
      <c r="B1308" t="s">
        <v>22</v>
      </c>
      <c r="C1308">
        <v>318</v>
      </c>
      <c r="D1308">
        <v>51</v>
      </c>
      <c r="E1308" t="s">
        <v>236</v>
      </c>
      <c r="G1308">
        <v>0</v>
      </c>
      <c r="H1308">
        <v>0</v>
      </c>
      <c r="I1308">
        <v>0</v>
      </c>
      <c r="J1308">
        <v>0</v>
      </c>
      <c r="K1308">
        <v>0</v>
      </c>
      <c r="L1308">
        <v>0</v>
      </c>
      <c r="M1308">
        <v>0</v>
      </c>
      <c r="N1308">
        <v>0</v>
      </c>
      <c r="O1308">
        <v>0</v>
      </c>
      <c r="P1308">
        <v>0</v>
      </c>
      <c r="Q1308" t="str">
        <f>INDEX(pARTNER[#All],MATCH(#REF!,pARTNER[[#All],[Value.partnerSummary.id]],0),10)</f>
        <v>Slovenija (SI)</v>
      </c>
      <c r="R1308" t="str">
        <f>INDEX('Partner data'!$A$2:$DG$171,MATCH(#REF!,'Partner data'!$DG$2:$DG$171,0),83)</f>
        <v>Soggetto pubblico</v>
      </c>
      <c r="S1308" s="86" t="b">
        <f>IF(#REF!="staff",INDEX('Partner data'!$DG$2:$DH$171,MATCH(#REF!,'Partner data'!$DG$2:$DG$171,0),2))</f>
        <v>0</v>
      </c>
    </row>
    <row r="1309" spans="1:19" x14ac:dyDescent="0.25">
      <c r="A1309" t="s">
        <v>59</v>
      </c>
      <c r="B1309" t="s">
        <v>22</v>
      </c>
      <c r="C1309">
        <v>318</v>
      </c>
      <c r="D1309">
        <v>51</v>
      </c>
      <c r="E1309" t="s">
        <v>237</v>
      </c>
      <c r="G1309">
        <v>0</v>
      </c>
      <c r="H1309">
        <v>0</v>
      </c>
      <c r="I1309">
        <v>0</v>
      </c>
      <c r="J1309">
        <v>0</v>
      </c>
      <c r="K1309">
        <v>0</v>
      </c>
      <c r="L1309">
        <v>0</v>
      </c>
      <c r="M1309">
        <v>0</v>
      </c>
      <c r="N1309">
        <v>0</v>
      </c>
      <c r="O1309">
        <v>0</v>
      </c>
      <c r="P1309">
        <v>0</v>
      </c>
      <c r="Q1309" t="str">
        <f>INDEX(pARTNER[#All],MATCH(#REF!,pARTNER[[#All],[Value.partnerSummary.id]],0),10)</f>
        <v>Slovenija (SI)</v>
      </c>
      <c r="R1309" t="str">
        <f>INDEX('Partner data'!$A$2:$DG$171,MATCH(#REF!,'Partner data'!$DG$2:$DG$171,0),83)</f>
        <v>Soggetto pubblico</v>
      </c>
      <c r="S1309" s="86" t="b">
        <f>IF(#REF!="staff",INDEX('Partner data'!$DG$2:$DH$171,MATCH(#REF!,'Partner data'!$DG$2:$DG$171,0),2))</f>
        <v>0</v>
      </c>
    </row>
    <row r="1310" spans="1:19" x14ac:dyDescent="0.25">
      <c r="A1310" t="s">
        <v>59</v>
      </c>
      <c r="B1310" t="s">
        <v>22</v>
      </c>
      <c r="C1310">
        <v>318</v>
      </c>
      <c r="D1310">
        <v>51</v>
      </c>
      <c r="E1310" t="s">
        <v>238</v>
      </c>
      <c r="G1310">
        <v>120000.8</v>
      </c>
      <c r="H1310">
        <v>0</v>
      </c>
      <c r="I1310">
        <v>0</v>
      </c>
      <c r="J1310">
        <v>11186.13</v>
      </c>
      <c r="K1310">
        <v>0</v>
      </c>
      <c r="L1310">
        <v>9825.48</v>
      </c>
      <c r="M1310">
        <v>11186.13</v>
      </c>
      <c r="N1310">
        <v>9.32</v>
      </c>
      <c r="O1310">
        <v>108814.67</v>
      </c>
      <c r="P1310">
        <v>0</v>
      </c>
      <c r="Q1310" t="str">
        <f>INDEX(pARTNER[#All],MATCH(#REF!,pARTNER[[#All],[Value.partnerSummary.id]],0),10)</f>
        <v>Slovenija (SI)</v>
      </c>
      <c r="R1310" t="str">
        <f>INDEX('Partner data'!$A$2:$DG$171,MATCH(#REF!,'Partner data'!$DG$2:$DG$171,0),83)</f>
        <v>Soggetto pubblico</v>
      </c>
      <c r="S1310" s="86" t="b">
        <f>IF(#REF!="staff",INDEX('Partner data'!$DG$2:$DH$171,MATCH(#REF!,'Partner data'!$DG$2:$DG$171,0),2))</f>
        <v>0</v>
      </c>
    </row>
    <row r="1311" spans="1:19" x14ac:dyDescent="0.25">
      <c r="A1311" t="s">
        <v>59</v>
      </c>
      <c r="B1311" t="s">
        <v>48</v>
      </c>
      <c r="C1311">
        <v>319</v>
      </c>
      <c r="D1311">
        <v>56</v>
      </c>
      <c r="E1311" t="s">
        <v>228</v>
      </c>
      <c r="G1311">
        <v>94488.23</v>
      </c>
      <c r="H1311">
        <v>0</v>
      </c>
      <c r="I1311">
        <v>0</v>
      </c>
      <c r="J1311">
        <v>7202.41</v>
      </c>
      <c r="K1311">
        <v>0</v>
      </c>
      <c r="L1311">
        <v>7170.58</v>
      </c>
      <c r="M1311">
        <v>7202.41</v>
      </c>
      <c r="N1311">
        <v>7.62</v>
      </c>
      <c r="O1311">
        <v>87285.82</v>
      </c>
      <c r="P1311">
        <v>0</v>
      </c>
      <c r="Q1311" t="str">
        <f>INDEX(pARTNER[#All],MATCH(#REF!,pARTNER[[#All],[Value.partnerSummary.id]],0),10)</f>
        <v>Slovenija (SI)</v>
      </c>
      <c r="R1311" t="str">
        <f>INDEX('Partner data'!$A$2:$DG$171,MATCH(#REF!,'Partner data'!$DG$2:$DG$171,0),83)</f>
        <v>Soggetto pubblico</v>
      </c>
      <c r="S1311" s="86" t="str">
        <f>IF(#REF!="staff",INDEX('Partner data'!$DG$2:$DH$171,MATCH(#REF!,'Partner data'!$DG$2:$DG$171,0),2))</f>
        <v>COSTO REALE</v>
      </c>
    </row>
    <row r="1312" spans="1:19" x14ac:dyDescent="0.25">
      <c r="A1312" t="s">
        <v>59</v>
      </c>
      <c r="B1312" t="s">
        <v>48</v>
      </c>
      <c r="C1312">
        <v>319</v>
      </c>
      <c r="D1312">
        <v>56</v>
      </c>
      <c r="E1312" t="s">
        <v>229</v>
      </c>
      <c r="G1312">
        <v>0</v>
      </c>
      <c r="H1312">
        <v>0</v>
      </c>
      <c r="I1312">
        <v>0</v>
      </c>
      <c r="J1312">
        <v>0</v>
      </c>
      <c r="K1312">
        <v>0</v>
      </c>
      <c r="L1312">
        <v>0</v>
      </c>
      <c r="M1312">
        <v>0</v>
      </c>
      <c r="N1312">
        <v>0</v>
      </c>
      <c r="O1312">
        <v>0</v>
      </c>
      <c r="P1312">
        <v>0</v>
      </c>
      <c r="Q1312" t="str">
        <f>INDEX(pARTNER[#All],MATCH(#REF!,pARTNER[[#All],[Value.partnerSummary.id]],0),10)</f>
        <v>Slovenija (SI)</v>
      </c>
      <c r="R1312" t="str">
        <f>INDEX('Partner data'!$A$2:$DG$171,MATCH(#REF!,'Partner data'!$DG$2:$DG$171,0),83)</f>
        <v>Soggetto pubblico</v>
      </c>
      <c r="S1312" s="86" t="b">
        <f>IF(#REF!="staff",INDEX('Partner data'!$DG$2:$DH$171,MATCH(#REF!,'Partner data'!$DG$2:$DG$171,0),2))</f>
        <v>0</v>
      </c>
    </row>
    <row r="1313" spans="1:19" x14ac:dyDescent="0.25">
      <c r="A1313" t="s">
        <v>59</v>
      </c>
      <c r="B1313" t="s">
        <v>48</v>
      </c>
      <c r="C1313">
        <v>319</v>
      </c>
      <c r="D1313">
        <v>56</v>
      </c>
      <c r="E1313" t="s">
        <v>230</v>
      </c>
      <c r="G1313">
        <v>0</v>
      </c>
      <c r="H1313">
        <v>0</v>
      </c>
      <c r="I1313">
        <v>0</v>
      </c>
      <c r="J1313">
        <v>0</v>
      </c>
      <c r="K1313">
        <v>0</v>
      </c>
      <c r="L1313">
        <v>0</v>
      </c>
      <c r="M1313">
        <v>0</v>
      </c>
      <c r="N1313">
        <v>0</v>
      </c>
      <c r="O1313">
        <v>0</v>
      </c>
      <c r="P1313">
        <v>0</v>
      </c>
      <c r="Q1313" t="str">
        <f>INDEX(pARTNER[#All],MATCH(#REF!,pARTNER[[#All],[Value.partnerSummary.id]],0),10)</f>
        <v>Slovenija (SI)</v>
      </c>
      <c r="R1313" t="str">
        <f>INDEX('Partner data'!$A$2:$DG$171,MATCH(#REF!,'Partner data'!$DG$2:$DG$171,0),83)</f>
        <v>Soggetto pubblico</v>
      </c>
      <c r="S1313" s="86" t="b">
        <f>IF(#REF!="staff",INDEX('Partner data'!$DG$2:$DH$171,MATCH(#REF!,'Partner data'!$DG$2:$DG$171,0),2))</f>
        <v>0</v>
      </c>
    </row>
    <row r="1314" spans="1:19" x14ac:dyDescent="0.25">
      <c r="A1314" t="s">
        <v>59</v>
      </c>
      <c r="B1314" t="s">
        <v>48</v>
      </c>
      <c r="C1314">
        <v>319</v>
      </c>
      <c r="D1314">
        <v>56</v>
      </c>
      <c r="E1314" t="s">
        <v>231</v>
      </c>
      <c r="G1314">
        <v>0</v>
      </c>
      <c r="H1314">
        <v>0</v>
      </c>
      <c r="I1314">
        <v>0</v>
      </c>
      <c r="J1314">
        <v>0</v>
      </c>
      <c r="K1314">
        <v>0</v>
      </c>
      <c r="L1314">
        <v>0</v>
      </c>
      <c r="M1314">
        <v>0</v>
      </c>
      <c r="N1314">
        <v>0</v>
      </c>
      <c r="O1314">
        <v>0</v>
      </c>
      <c r="P1314">
        <v>0</v>
      </c>
      <c r="Q1314" t="str">
        <f>INDEX(pARTNER[#All],MATCH(#REF!,pARTNER[[#All],[Value.partnerSummary.id]],0),10)</f>
        <v>Slovenija (SI)</v>
      </c>
      <c r="R1314" t="str">
        <f>INDEX('Partner data'!$A$2:$DG$171,MATCH(#REF!,'Partner data'!$DG$2:$DG$171,0),83)</f>
        <v>Soggetto pubblico</v>
      </c>
      <c r="S1314" s="86" t="b">
        <f>IF(#REF!="staff",INDEX('Partner data'!$DG$2:$DH$171,MATCH(#REF!,'Partner data'!$DG$2:$DG$171,0),2))</f>
        <v>0</v>
      </c>
    </row>
    <row r="1315" spans="1:19" x14ac:dyDescent="0.25">
      <c r="A1315" t="s">
        <v>59</v>
      </c>
      <c r="B1315" t="s">
        <v>48</v>
      </c>
      <c r="C1315">
        <v>319</v>
      </c>
      <c r="D1315">
        <v>56</v>
      </c>
      <c r="E1315" t="s">
        <v>232</v>
      </c>
      <c r="G1315">
        <v>0</v>
      </c>
      <c r="H1315">
        <v>0</v>
      </c>
      <c r="I1315">
        <v>0</v>
      </c>
      <c r="J1315">
        <v>0</v>
      </c>
      <c r="K1315">
        <v>0</v>
      </c>
      <c r="L1315">
        <v>0</v>
      </c>
      <c r="M1315">
        <v>0</v>
      </c>
      <c r="N1315">
        <v>0</v>
      </c>
      <c r="O1315">
        <v>0</v>
      </c>
      <c r="P1315">
        <v>0</v>
      </c>
      <c r="Q1315" t="str">
        <f>INDEX(pARTNER[#All],MATCH(#REF!,pARTNER[[#All],[Value.partnerSummary.id]],0),10)</f>
        <v>Slovenija (SI)</v>
      </c>
      <c r="R1315" t="str">
        <f>INDEX('Partner data'!$A$2:$DG$171,MATCH(#REF!,'Partner data'!$DG$2:$DG$171,0),83)</f>
        <v>Soggetto pubblico</v>
      </c>
      <c r="S1315" s="86" t="b">
        <f>IF(#REF!="staff",INDEX('Partner data'!$DG$2:$DH$171,MATCH(#REF!,'Partner data'!$DG$2:$DG$171,0),2))</f>
        <v>0</v>
      </c>
    </row>
    <row r="1316" spans="1:19" x14ac:dyDescent="0.25">
      <c r="A1316" t="s">
        <v>59</v>
      </c>
      <c r="B1316" t="s">
        <v>48</v>
      </c>
      <c r="C1316">
        <v>319</v>
      </c>
      <c r="D1316">
        <v>56</v>
      </c>
      <c r="E1316" t="s">
        <v>233</v>
      </c>
      <c r="G1316">
        <v>0</v>
      </c>
      <c r="H1316">
        <v>0</v>
      </c>
      <c r="I1316">
        <v>0</v>
      </c>
      <c r="J1316">
        <v>0</v>
      </c>
      <c r="K1316">
        <v>0</v>
      </c>
      <c r="L1316">
        <v>0</v>
      </c>
      <c r="M1316">
        <v>0</v>
      </c>
      <c r="N1316">
        <v>0</v>
      </c>
      <c r="O1316">
        <v>0</v>
      </c>
      <c r="P1316">
        <v>0</v>
      </c>
      <c r="Q1316" t="str">
        <f>INDEX(pARTNER[#All],MATCH(#REF!,pARTNER[[#All],[Value.partnerSummary.id]],0),10)</f>
        <v>Slovenija (SI)</v>
      </c>
      <c r="R1316" t="str">
        <f>INDEX('Partner data'!$A$2:$DG$171,MATCH(#REF!,'Partner data'!$DG$2:$DG$171,0),83)</f>
        <v>Soggetto pubblico</v>
      </c>
      <c r="S1316" s="86" t="b">
        <f>IF(#REF!="staff",INDEX('Partner data'!$DG$2:$DH$171,MATCH(#REF!,'Partner data'!$DG$2:$DG$171,0),2))</f>
        <v>0</v>
      </c>
    </row>
    <row r="1317" spans="1:19" x14ac:dyDescent="0.25">
      <c r="A1317" t="s">
        <v>59</v>
      </c>
      <c r="B1317" t="s">
        <v>48</v>
      </c>
      <c r="C1317">
        <v>319</v>
      </c>
      <c r="D1317">
        <v>56</v>
      </c>
      <c r="E1317" t="s">
        <v>234</v>
      </c>
      <c r="F1317">
        <v>27</v>
      </c>
      <c r="G1317">
        <v>25511.82</v>
      </c>
      <c r="H1317">
        <v>0</v>
      </c>
      <c r="I1317">
        <v>0</v>
      </c>
      <c r="J1317">
        <v>1944.65</v>
      </c>
      <c r="K1317">
        <v>0</v>
      </c>
      <c r="L1317">
        <v>1936.05</v>
      </c>
      <c r="M1317">
        <v>1944.65</v>
      </c>
      <c r="N1317">
        <v>7.62</v>
      </c>
      <c r="O1317">
        <v>23567.17</v>
      </c>
      <c r="P1317">
        <v>0</v>
      </c>
      <c r="Q1317" t="str">
        <f>INDEX(pARTNER[#All],MATCH(#REF!,pARTNER[[#All],[Value.partnerSummary.id]],0),10)</f>
        <v>Slovenija (SI)</v>
      </c>
      <c r="R1317" t="str">
        <f>INDEX('Partner data'!$A$2:$DG$171,MATCH(#REF!,'Partner data'!$DG$2:$DG$171,0),83)</f>
        <v>Soggetto pubblico</v>
      </c>
      <c r="S1317" s="86" t="b">
        <f>IF(#REF!="staff",INDEX('Partner data'!$DG$2:$DH$171,MATCH(#REF!,'Partner data'!$DG$2:$DG$171,0),2))</f>
        <v>0</v>
      </c>
    </row>
    <row r="1318" spans="1:19" x14ac:dyDescent="0.25">
      <c r="A1318" t="s">
        <v>59</v>
      </c>
      <c r="B1318" t="s">
        <v>48</v>
      </c>
      <c r="C1318">
        <v>319</v>
      </c>
      <c r="D1318">
        <v>56</v>
      </c>
      <c r="E1318" t="s">
        <v>235</v>
      </c>
      <c r="G1318">
        <v>0</v>
      </c>
      <c r="H1318">
        <v>0</v>
      </c>
      <c r="I1318">
        <v>0</v>
      </c>
      <c r="J1318">
        <v>0</v>
      </c>
      <c r="K1318">
        <v>0</v>
      </c>
      <c r="L1318">
        <v>0</v>
      </c>
      <c r="M1318">
        <v>0</v>
      </c>
      <c r="N1318">
        <v>0</v>
      </c>
      <c r="O1318">
        <v>0</v>
      </c>
      <c r="P1318">
        <v>0</v>
      </c>
      <c r="Q1318" t="str">
        <f>INDEX(pARTNER[#All],MATCH(#REF!,pARTNER[[#All],[Value.partnerSummary.id]],0),10)</f>
        <v>Slovenija (SI)</v>
      </c>
      <c r="R1318" t="str">
        <f>INDEX('Partner data'!$A$2:$DG$171,MATCH(#REF!,'Partner data'!$DG$2:$DG$171,0),83)</f>
        <v>Soggetto pubblico</v>
      </c>
      <c r="S1318" s="86" t="b">
        <f>IF(#REF!="staff",INDEX('Partner data'!$DG$2:$DH$171,MATCH(#REF!,'Partner data'!$DG$2:$DG$171,0),2))</f>
        <v>0</v>
      </c>
    </row>
    <row r="1319" spans="1:19" x14ac:dyDescent="0.25">
      <c r="A1319" t="s">
        <v>59</v>
      </c>
      <c r="B1319" t="s">
        <v>48</v>
      </c>
      <c r="C1319">
        <v>319</v>
      </c>
      <c r="D1319">
        <v>56</v>
      </c>
      <c r="E1319" t="s">
        <v>236</v>
      </c>
      <c r="G1319">
        <v>0</v>
      </c>
      <c r="H1319">
        <v>0</v>
      </c>
      <c r="I1319">
        <v>0</v>
      </c>
      <c r="J1319">
        <v>0</v>
      </c>
      <c r="K1319">
        <v>0</v>
      </c>
      <c r="L1319">
        <v>0</v>
      </c>
      <c r="M1319">
        <v>0</v>
      </c>
      <c r="N1319">
        <v>0</v>
      </c>
      <c r="O1319">
        <v>0</v>
      </c>
      <c r="P1319">
        <v>0</v>
      </c>
      <c r="Q1319" t="str">
        <f>INDEX(pARTNER[#All],MATCH(#REF!,pARTNER[[#All],[Value.partnerSummary.id]],0),10)</f>
        <v>Slovenija (SI)</v>
      </c>
      <c r="R1319" t="str">
        <f>INDEX('Partner data'!$A$2:$DG$171,MATCH(#REF!,'Partner data'!$DG$2:$DG$171,0),83)</f>
        <v>Soggetto pubblico</v>
      </c>
      <c r="S1319" s="86" t="b">
        <f>IF(#REF!="staff",INDEX('Partner data'!$DG$2:$DH$171,MATCH(#REF!,'Partner data'!$DG$2:$DG$171,0),2))</f>
        <v>0</v>
      </c>
    </row>
    <row r="1320" spans="1:19" x14ac:dyDescent="0.25">
      <c r="A1320" t="s">
        <v>59</v>
      </c>
      <c r="B1320" t="s">
        <v>48</v>
      </c>
      <c r="C1320">
        <v>319</v>
      </c>
      <c r="D1320">
        <v>56</v>
      </c>
      <c r="E1320" t="s">
        <v>237</v>
      </c>
      <c r="G1320">
        <v>0</v>
      </c>
      <c r="H1320">
        <v>0</v>
      </c>
      <c r="I1320">
        <v>0</v>
      </c>
      <c r="J1320">
        <v>0</v>
      </c>
      <c r="K1320">
        <v>0</v>
      </c>
      <c r="L1320">
        <v>0</v>
      </c>
      <c r="M1320">
        <v>0</v>
      </c>
      <c r="N1320">
        <v>0</v>
      </c>
      <c r="O1320">
        <v>0</v>
      </c>
      <c r="P1320">
        <v>0</v>
      </c>
      <c r="Q1320" t="str">
        <f>INDEX(pARTNER[#All],MATCH(#REF!,pARTNER[[#All],[Value.partnerSummary.id]],0),10)</f>
        <v>Slovenija (SI)</v>
      </c>
      <c r="R1320" t="str">
        <f>INDEX('Partner data'!$A$2:$DG$171,MATCH(#REF!,'Partner data'!$DG$2:$DG$171,0),83)</f>
        <v>Soggetto pubblico</v>
      </c>
      <c r="S1320" s="86" t="b">
        <f>IF(#REF!="staff",INDEX('Partner data'!$DG$2:$DH$171,MATCH(#REF!,'Partner data'!$DG$2:$DG$171,0),2))</f>
        <v>0</v>
      </c>
    </row>
    <row r="1321" spans="1:19" x14ac:dyDescent="0.25">
      <c r="A1321" t="s">
        <v>59</v>
      </c>
      <c r="B1321" t="s">
        <v>48</v>
      </c>
      <c r="C1321">
        <v>319</v>
      </c>
      <c r="D1321">
        <v>56</v>
      </c>
      <c r="E1321" t="s">
        <v>238</v>
      </c>
      <c r="G1321">
        <v>120000.05</v>
      </c>
      <c r="H1321">
        <v>0</v>
      </c>
      <c r="I1321">
        <v>0</v>
      </c>
      <c r="J1321">
        <v>9147.06</v>
      </c>
      <c r="K1321">
        <v>0</v>
      </c>
      <c r="L1321">
        <v>9106.6299999999992</v>
      </c>
      <c r="M1321">
        <v>9147.06</v>
      </c>
      <c r="N1321">
        <v>7.62</v>
      </c>
      <c r="O1321">
        <v>110852.99</v>
      </c>
      <c r="P1321">
        <v>0</v>
      </c>
      <c r="Q1321" t="str">
        <f>INDEX(pARTNER[#All],MATCH(#REF!,pARTNER[[#All],[Value.partnerSummary.id]],0),10)</f>
        <v>Slovenija (SI)</v>
      </c>
      <c r="R1321" t="str">
        <f>INDEX('Partner data'!$A$2:$DG$171,MATCH(#REF!,'Partner data'!$DG$2:$DG$171,0),83)</f>
        <v>Soggetto pubblico</v>
      </c>
      <c r="S1321" s="86" t="b">
        <f>IF(#REF!="staff",INDEX('Partner data'!$DG$2:$DH$171,MATCH(#REF!,'Partner data'!$DG$2:$DG$171,0),2))</f>
        <v>0</v>
      </c>
    </row>
    <row r="1322" spans="1:19" x14ac:dyDescent="0.25">
      <c r="A1322" t="s">
        <v>59</v>
      </c>
      <c r="B1322" t="s">
        <v>48</v>
      </c>
      <c r="C1322">
        <v>319</v>
      </c>
      <c r="D1322">
        <v>57</v>
      </c>
      <c r="E1322" t="s">
        <v>228</v>
      </c>
      <c r="G1322">
        <v>94488.23</v>
      </c>
      <c r="H1322">
        <v>0</v>
      </c>
      <c r="I1322">
        <v>0</v>
      </c>
      <c r="J1322">
        <v>8654.11</v>
      </c>
      <c r="K1322">
        <v>0</v>
      </c>
      <c r="L1322">
        <v>8312.58</v>
      </c>
      <c r="M1322">
        <v>8654.11</v>
      </c>
      <c r="N1322">
        <v>9.16</v>
      </c>
      <c r="O1322">
        <v>85834.12</v>
      </c>
      <c r="P1322">
        <v>0</v>
      </c>
      <c r="Q1322" t="str">
        <f>INDEX(pARTNER[#All],MATCH(#REF!,pARTNER[[#All],[Value.partnerSummary.id]],0),10)</f>
        <v>Slovenija (SI)</v>
      </c>
      <c r="R1322" t="str">
        <f>INDEX('Partner data'!$A$2:$DG$171,MATCH(#REF!,'Partner data'!$DG$2:$DG$171,0),83)</f>
        <v>Soggetto pubblico</v>
      </c>
      <c r="S1322" s="86" t="str">
        <f>IF(#REF!="staff",INDEX('Partner data'!$DG$2:$DH$171,MATCH(#REF!,'Partner data'!$DG$2:$DG$171,0),2))</f>
        <v>COSTO REALE</v>
      </c>
    </row>
    <row r="1323" spans="1:19" x14ac:dyDescent="0.25">
      <c r="A1323" t="s">
        <v>59</v>
      </c>
      <c r="B1323" t="s">
        <v>48</v>
      </c>
      <c r="C1323">
        <v>319</v>
      </c>
      <c r="D1323">
        <v>57</v>
      </c>
      <c r="E1323" t="s">
        <v>229</v>
      </c>
      <c r="G1323">
        <v>0</v>
      </c>
      <c r="H1323">
        <v>0</v>
      </c>
      <c r="I1323">
        <v>0</v>
      </c>
      <c r="J1323">
        <v>0</v>
      </c>
      <c r="K1323">
        <v>0</v>
      </c>
      <c r="L1323">
        <v>0</v>
      </c>
      <c r="M1323">
        <v>0</v>
      </c>
      <c r="N1323">
        <v>0</v>
      </c>
      <c r="O1323">
        <v>0</v>
      </c>
      <c r="P1323">
        <v>0</v>
      </c>
      <c r="Q1323" t="str">
        <f>INDEX(pARTNER[#All],MATCH(#REF!,pARTNER[[#All],[Value.partnerSummary.id]],0),10)</f>
        <v>Slovenija (SI)</v>
      </c>
      <c r="R1323" t="str">
        <f>INDEX('Partner data'!$A$2:$DG$171,MATCH(#REF!,'Partner data'!$DG$2:$DG$171,0),83)</f>
        <v>Soggetto pubblico</v>
      </c>
      <c r="S1323" s="86" t="b">
        <f>IF(#REF!="staff",INDEX('Partner data'!$DG$2:$DH$171,MATCH(#REF!,'Partner data'!$DG$2:$DG$171,0),2))</f>
        <v>0</v>
      </c>
    </row>
    <row r="1324" spans="1:19" x14ac:dyDescent="0.25">
      <c r="A1324" t="s">
        <v>59</v>
      </c>
      <c r="B1324" t="s">
        <v>48</v>
      </c>
      <c r="C1324">
        <v>319</v>
      </c>
      <c r="D1324">
        <v>57</v>
      </c>
      <c r="E1324" t="s">
        <v>230</v>
      </c>
      <c r="G1324">
        <v>0</v>
      </c>
      <c r="H1324">
        <v>0</v>
      </c>
      <c r="I1324">
        <v>0</v>
      </c>
      <c r="J1324">
        <v>0</v>
      </c>
      <c r="K1324">
        <v>0</v>
      </c>
      <c r="L1324">
        <v>0</v>
      </c>
      <c r="M1324">
        <v>0</v>
      </c>
      <c r="N1324">
        <v>0</v>
      </c>
      <c r="O1324">
        <v>0</v>
      </c>
      <c r="P1324">
        <v>0</v>
      </c>
      <c r="Q1324" t="str">
        <f>INDEX(pARTNER[#All],MATCH(#REF!,pARTNER[[#All],[Value.partnerSummary.id]],0),10)</f>
        <v>Slovenija (SI)</v>
      </c>
      <c r="R1324" t="str">
        <f>INDEX('Partner data'!$A$2:$DG$171,MATCH(#REF!,'Partner data'!$DG$2:$DG$171,0),83)</f>
        <v>Soggetto pubblico</v>
      </c>
      <c r="S1324" s="86" t="b">
        <f>IF(#REF!="staff",INDEX('Partner data'!$DG$2:$DH$171,MATCH(#REF!,'Partner data'!$DG$2:$DG$171,0),2))</f>
        <v>0</v>
      </c>
    </row>
    <row r="1325" spans="1:19" x14ac:dyDescent="0.25">
      <c r="A1325" t="s">
        <v>59</v>
      </c>
      <c r="B1325" t="s">
        <v>48</v>
      </c>
      <c r="C1325">
        <v>319</v>
      </c>
      <c r="D1325">
        <v>57</v>
      </c>
      <c r="E1325" t="s">
        <v>231</v>
      </c>
      <c r="G1325">
        <v>0</v>
      </c>
      <c r="H1325">
        <v>0</v>
      </c>
      <c r="I1325">
        <v>0</v>
      </c>
      <c r="J1325">
        <v>0</v>
      </c>
      <c r="K1325">
        <v>0</v>
      </c>
      <c r="L1325">
        <v>0</v>
      </c>
      <c r="M1325">
        <v>0</v>
      </c>
      <c r="N1325">
        <v>0</v>
      </c>
      <c r="O1325">
        <v>0</v>
      </c>
      <c r="P1325">
        <v>0</v>
      </c>
      <c r="Q1325" t="str">
        <f>INDEX(pARTNER[#All],MATCH(#REF!,pARTNER[[#All],[Value.partnerSummary.id]],0),10)</f>
        <v>Slovenija (SI)</v>
      </c>
      <c r="R1325" t="str">
        <f>INDEX('Partner data'!$A$2:$DG$171,MATCH(#REF!,'Partner data'!$DG$2:$DG$171,0),83)</f>
        <v>Soggetto pubblico</v>
      </c>
      <c r="S1325" s="86" t="b">
        <f>IF(#REF!="staff",INDEX('Partner data'!$DG$2:$DH$171,MATCH(#REF!,'Partner data'!$DG$2:$DG$171,0),2))</f>
        <v>0</v>
      </c>
    </row>
    <row r="1326" spans="1:19" x14ac:dyDescent="0.25">
      <c r="A1326" t="s">
        <v>59</v>
      </c>
      <c r="B1326" t="s">
        <v>48</v>
      </c>
      <c r="C1326">
        <v>319</v>
      </c>
      <c r="D1326">
        <v>57</v>
      </c>
      <c r="E1326" t="s">
        <v>232</v>
      </c>
      <c r="G1326">
        <v>0</v>
      </c>
      <c r="H1326">
        <v>0</v>
      </c>
      <c r="I1326">
        <v>0</v>
      </c>
      <c r="J1326">
        <v>0</v>
      </c>
      <c r="K1326">
        <v>0</v>
      </c>
      <c r="L1326">
        <v>0</v>
      </c>
      <c r="M1326">
        <v>0</v>
      </c>
      <c r="N1326">
        <v>0</v>
      </c>
      <c r="O1326">
        <v>0</v>
      </c>
      <c r="P1326">
        <v>0</v>
      </c>
      <c r="Q1326" t="str">
        <f>INDEX(pARTNER[#All],MATCH(#REF!,pARTNER[[#All],[Value.partnerSummary.id]],0),10)</f>
        <v>Slovenija (SI)</v>
      </c>
      <c r="R1326" t="str">
        <f>INDEX('Partner data'!$A$2:$DG$171,MATCH(#REF!,'Partner data'!$DG$2:$DG$171,0),83)</f>
        <v>Soggetto pubblico</v>
      </c>
      <c r="S1326" s="86" t="b">
        <f>IF(#REF!="staff",INDEX('Partner data'!$DG$2:$DH$171,MATCH(#REF!,'Partner data'!$DG$2:$DG$171,0),2))</f>
        <v>0</v>
      </c>
    </row>
    <row r="1327" spans="1:19" x14ac:dyDescent="0.25">
      <c r="A1327" t="s">
        <v>59</v>
      </c>
      <c r="B1327" t="s">
        <v>48</v>
      </c>
      <c r="C1327">
        <v>319</v>
      </c>
      <c r="D1327">
        <v>57</v>
      </c>
      <c r="E1327" t="s">
        <v>233</v>
      </c>
      <c r="G1327">
        <v>0</v>
      </c>
      <c r="H1327">
        <v>0</v>
      </c>
      <c r="I1327">
        <v>0</v>
      </c>
      <c r="J1327">
        <v>0</v>
      </c>
      <c r="K1327">
        <v>0</v>
      </c>
      <c r="L1327">
        <v>0</v>
      </c>
      <c r="M1327">
        <v>0</v>
      </c>
      <c r="N1327">
        <v>0</v>
      </c>
      <c r="O1327">
        <v>0</v>
      </c>
      <c r="P1327">
        <v>0</v>
      </c>
      <c r="Q1327" t="str">
        <f>INDEX(pARTNER[#All],MATCH(#REF!,pARTNER[[#All],[Value.partnerSummary.id]],0),10)</f>
        <v>Slovenija (SI)</v>
      </c>
      <c r="R1327" t="str">
        <f>INDEX('Partner data'!$A$2:$DG$171,MATCH(#REF!,'Partner data'!$DG$2:$DG$171,0),83)</f>
        <v>Soggetto pubblico</v>
      </c>
      <c r="S1327" s="86" t="b">
        <f>IF(#REF!="staff",INDEX('Partner data'!$DG$2:$DH$171,MATCH(#REF!,'Partner data'!$DG$2:$DG$171,0),2))</f>
        <v>0</v>
      </c>
    </row>
    <row r="1328" spans="1:19" x14ac:dyDescent="0.25">
      <c r="A1328" t="s">
        <v>59</v>
      </c>
      <c r="B1328" t="s">
        <v>48</v>
      </c>
      <c r="C1328">
        <v>319</v>
      </c>
      <c r="D1328">
        <v>57</v>
      </c>
      <c r="E1328" t="s">
        <v>234</v>
      </c>
      <c r="F1328">
        <v>27</v>
      </c>
      <c r="G1328">
        <v>25511.82</v>
      </c>
      <c r="H1328">
        <v>0</v>
      </c>
      <c r="I1328">
        <v>0</v>
      </c>
      <c r="J1328">
        <v>2336.6</v>
      </c>
      <c r="K1328">
        <v>0</v>
      </c>
      <c r="L1328">
        <v>2244.39</v>
      </c>
      <c r="M1328">
        <v>2336.6</v>
      </c>
      <c r="N1328">
        <v>9.16</v>
      </c>
      <c r="O1328">
        <v>23175.22</v>
      </c>
      <c r="P1328">
        <v>0</v>
      </c>
      <c r="Q1328" t="str">
        <f>INDEX(pARTNER[#All],MATCH(#REF!,pARTNER[[#All],[Value.partnerSummary.id]],0),10)</f>
        <v>Slovenija (SI)</v>
      </c>
      <c r="R1328" t="str">
        <f>INDEX('Partner data'!$A$2:$DG$171,MATCH(#REF!,'Partner data'!$DG$2:$DG$171,0),83)</f>
        <v>Soggetto pubblico</v>
      </c>
      <c r="S1328" s="86" t="b">
        <f>IF(#REF!="staff",INDEX('Partner data'!$DG$2:$DH$171,MATCH(#REF!,'Partner data'!$DG$2:$DG$171,0),2))</f>
        <v>0</v>
      </c>
    </row>
    <row r="1329" spans="1:19" x14ac:dyDescent="0.25">
      <c r="A1329" t="s">
        <v>59</v>
      </c>
      <c r="B1329" t="s">
        <v>48</v>
      </c>
      <c r="C1329">
        <v>319</v>
      </c>
      <c r="D1329">
        <v>57</v>
      </c>
      <c r="E1329" t="s">
        <v>235</v>
      </c>
      <c r="G1329">
        <v>0</v>
      </c>
      <c r="H1329">
        <v>0</v>
      </c>
      <c r="I1329">
        <v>0</v>
      </c>
      <c r="J1329">
        <v>0</v>
      </c>
      <c r="K1329">
        <v>0</v>
      </c>
      <c r="L1329">
        <v>0</v>
      </c>
      <c r="M1329">
        <v>0</v>
      </c>
      <c r="N1329">
        <v>0</v>
      </c>
      <c r="O1329">
        <v>0</v>
      </c>
      <c r="P1329">
        <v>0</v>
      </c>
      <c r="Q1329" t="str">
        <f>INDEX(pARTNER[#All],MATCH(#REF!,pARTNER[[#All],[Value.partnerSummary.id]],0),10)</f>
        <v>Slovenija (SI)</v>
      </c>
      <c r="R1329" t="str">
        <f>INDEX('Partner data'!$A$2:$DG$171,MATCH(#REF!,'Partner data'!$DG$2:$DG$171,0),83)</f>
        <v>Soggetto pubblico</v>
      </c>
      <c r="S1329" s="86" t="b">
        <f>IF(#REF!="staff",INDEX('Partner data'!$DG$2:$DH$171,MATCH(#REF!,'Partner data'!$DG$2:$DG$171,0),2))</f>
        <v>0</v>
      </c>
    </row>
    <row r="1330" spans="1:19" x14ac:dyDescent="0.25">
      <c r="A1330" t="s">
        <v>59</v>
      </c>
      <c r="B1330" t="s">
        <v>48</v>
      </c>
      <c r="C1330">
        <v>319</v>
      </c>
      <c r="D1330">
        <v>57</v>
      </c>
      <c r="E1330" t="s">
        <v>236</v>
      </c>
      <c r="G1330">
        <v>0</v>
      </c>
      <c r="H1330">
        <v>0</v>
      </c>
      <c r="I1330">
        <v>0</v>
      </c>
      <c r="J1330">
        <v>0</v>
      </c>
      <c r="K1330">
        <v>0</v>
      </c>
      <c r="L1330">
        <v>0</v>
      </c>
      <c r="M1330">
        <v>0</v>
      </c>
      <c r="N1330">
        <v>0</v>
      </c>
      <c r="O1330">
        <v>0</v>
      </c>
      <c r="P1330">
        <v>0</v>
      </c>
      <c r="Q1330" t="str">
        <f>INDEX(pARTNER[#All],MATCH(#REF!,pARTNER[[#All],[Value.partnerSummary.id]],0),10)</f>
        <v>Slovenija (SI)</v>
      </c>
      <c r="R1330" t="str">
        <f>INDEX('Partner data'!$A$2:$DG$171,MATCH(#REF!,'Partner data'!$DG$2:$DG$171,0),83)</f>
        <v>Soggetto pubblico</v>
      </c>
      <c r="S1330" s="86" t="b">
        <f>IF(#REF!="staff",INDEX('Partner data'!$DG$2:$DH$171,MATCH(#REF!,'Partner data'!$DG$2:$DG$171,0),2))</f>
        <v>0</v>
      </c>
    </row>
    <row r="1331" spans="1:19" x14ac:dyDescent="0.25">
      <c r="A1331" t="s">
        <v>59</v>
      </c>
      <c r="B1331" t="s">
        <v>48</v>
      </c>
      <c r="C1331">
        <v>319</v>
      </c>
      <c r="D1331">
        <v>57</v>
      </c>
      <c r="E1331" t="s">
        <v>237</v>
      </c>
      <c r="G1331">
        <v>0</v>
      </c>
      <c r="H1331">
        <v>0</v>
      </c>
      <c r="I1331">
        <v>0</v>
      </c>
      <c r="J1331">
        <v>0</v>
      </c>
      <c r="K1331">
        <v>0</v>
      </c>
      <c r="L1331">
        <v>0</v>
      </c>
      <c r="M1331">
        <v>0</v>
      </c>
      <c r="N1331">
        <v>0</v>
      </c>
      <c r="O1331">
        <v>0</v>
      </c>
      <c r="P1331">
        <v>0</v>
      </c>
      <c r="Q1331" t="str">
        <f>INDEX(pARTNER[#All],MATCH(#REF!,pARTNER[[#All],[Value.partnerSummary.id]],0),10)</f>
        <v>Slovenija (SI)</v>
      </c>
      <c r="R1331" t="str">
        <f>INDEX('Partner data'!$A$2:$DG$171,MATCH(#REF!,'Partner data'!$DG$2:$DG$171,0),83)</f>
        <v>Soggetto pubblico</v>
      </c>
      <c r="S1331" s="86" t="b">
        <f>IF(#REF!="staff",INDEX('Partner data'!$DG$2:$DH$171,MATCH(#REF!,'Partner data'!$DG$2:$DG$171,0),2))</f>
        <v>0</v>
      </c>
    </row>
    <row r="1332" spans="1:19" x14ac:dyDescent="0.25">
      <c r="A1332" t="s">
        <v>59</v>
      </c>
      <c r="B1332" t="s">
        <v>48</v>
      </c>
      <c r="C1332">
        <v>319</v>
      </c>
      <c r="D1332">
        <v>57</v>
      </c>
      <c r="E1332" t="s">
        <v>238</v>
      </c>
      <c r="G1332">
        <v>120000.05</v>
      </c>
      <c r="H1332">
        <v>0</v>
      </c>
      <c r="I1332">
        <v>0</v>
      </c>
      <c r="J1332">
        <v>10990.71</v>
      </c>
      <c r="K1332">
        <v>0</v>
      </c>
      <c r="L1332">
        <v>10556.97</v>
      </c>
      <c r="M1332">
        <v>10990.71</v>
      </c>
      <c r="N1332">
        <v>9.16</v>
      </c>
      <c r="O1332">
        <v>109009.34</v>
      </c>
      <c r="P1332">
        <v>0</v>
      </c>
      <c r="Q1332" t="str">
        <f>INDEX(pARTNER[#All],MATCH(#REF!,pARTNER[[#All],[Value.partnerSummary.id]],0),10)</f>
        <v>Slovenija (SI)</v>
      </c>
      <c r="R1332" t="str">
        <f>INDEX('Partner data'!$A$2:$DG$171,MATCH(#REF!,'Partner data'!$DG$2:$DG$171,0),83)</f>
        <v>Soggetto pubblico</v>
      </c>
      <c r="S1332" s="86" t="b">
        <f>IF(#REF!="staff",INDEX('Partner data'!$DG$2:$DH$171,MATCH(#REF!,'Partner data'!$DG$2:$DG$171,0),2))</f>
        <v>0</v>
      </c>
    </row>
    <row r="1333" spans="1:19" x14ac:dyDescent="0.25">
      <c r="A1333" t="s">
        <v>59</v>
      </c>
      <c r="B1333" t="s">
        <v>28</v>
      </c>
      <c r="C1333">
        <v>317</v>
      </c>
      <c r="D1333">
        <v>253</v>
      </c>
      <c r="E1333" t="s">
        <v>228</v>
      </c>
      <c r="G1333">
        <v>134500</v>
      </c>
      <c r="H1333">
        <v>16502.22</v>
      </c>
      <c r="I1333">
        <v>0</v>
      </c>
      <c r="J1333">
        <v>20186</v>
      </c>
      <c r="K1333">
        <v>0</v>
      </c>
      <c r="L1333">
        <v>20186</v>
      </c>
      <c r="M1333">
        <v>36688.22</v>
      </c>
      <c r="N1333">
        <v>27.28</v>
      </c>
      <c r="O1333">
        <v>97811.78</v>
      </c>
      <c r="P1333">
        <v>16502.22</v>
      </c>
      <c r="Q1333" t="str">
        <f>INDEX(pARTNER[#All],MATCH(#REF!,pARTNER[[#All],[Value.partnerSummary.id]],0),10)</f>
        <v>Slovenija (SI)</v>
      </c>
      <c r="R1333" t="str">
        <f>INDEX('Partner data'!$A$2:$DG$171,MATCH(#REF!,'Partner data'!$DG$2:$DG$171,0),83)</f>
        <v>Soggetto pubblico</v>
      </c>
      <c r="S1333" s="86" t="str">
        <f>IF(#REF!="staff",INDEX('Partner data'!$DG$2:$DH$171,MATCH(#REF!,'Partner data'!$DG$2:$DG$171,0),2))</f>
        <v>COSTO REALE</v>
      </c>
    </row>
    <row r="1334" spans="1:19" x14ac:dyDescent="0.25">
      <c r="A1334" t="s">
        <v>59</v>
      </c>
      <c r="B1334" t="s">
        <v>28</v>
      </c>
      <c r="C1334">
        <v>317</v>
      </c>
      <c r="D1334">
        <v>253</v>
      </c>
      <c r="E1334" t="s">
        <v>229</v>
      </c>
      <c r="G1334">
        <v>0</v>
      </c>
      <c r="H1334">
        <v>0</v>
      </c>
      <c r="I1334">
        <v>0</v>
      </c>
      <c r="J1334">
        <v>0</v>
      </c>
      <c r="K1334">
        <v>0</v>
      </c>
      <c r="L1334">
        <v>0</v>
      </c>
      <c r="M1334">
        <v>0</v>
      </c>
      <c r="N1334">
        <v>0</v>
      </c>
      <c r="O1334">
        <v>0</v>
      </c>
      <c r="P1334">
        <v>0</v>
      </c>
      <c r="Q1334" t="str">
        <f>INDEX(pARTNER[#All],MATCH(#REF!,pARTNER[[#All],[Value.partnerSummary.id]],0),10)</f>
        <v>Slovenija (SI)</v>
      </c>
      <c r="R1334" t="str">
        <f>INDEX('Partner data'!$A$2:$DG$171,MATCH(#REF!,'Partner data'!$DG$2:$DG$171,0),83)</f>
        <v>Soggetto pubblico</v>
      </c>
      <c r="S1334" s="86" t="b">
        <f>IF(#REF!="staff",INDEX('Partner data'!$DG$2:$DH$171,MATCH(#REF!,'Partner data'!$DG$2:$DG$171,0),2))</f>
        <v>0</v>
      </c>
    </row>
    <row r="1335" spans="1:19" x14ac:dyDescent="0.25">
      <c r="A1335" t="s">
        <v>59</v>
      </c>
      <c r="B1335" t="s">
        <v>28</v>
      </c>
      <c r="C1335">
        <v>317</v>
      </c>
      <c r="D1335">
        <v>253</v>
      </c>
      <c r="E1335" t="s">
        <v>230</v>
      </c>
      <c r="G1335">
        <v>0</v>
      </c>
      <c r="H1335">
        <v>0</v>
      </c>
      <c r="I1335">
        <v>0</v>
      </c>
      <c r="J1335">
        <v>0</v>
      </c>
      <c r="K1335">
        <v>0</v>
      </c>
      <c r="L1335">
        <v>0</v>
      </c>
      <c r="M1335">
        <v>0</v>
      </c>
      <c r="N1335">
        <v>0</v>
      </c>
      <c r="O1335">
        <v>0</v>
      </c>
      <c r="P1335">
        <v>0</v>
      </c>
      <c r="Q1335" t="str">
        <f>INDEX(pARTNER[#All],MATCH(#REF!,pARTNER[[#All],[Value.partnerSummary.id]],0),10)</f>
        <v>Slovenija (SI)</v>
      </c>
      <c r="R1335" t="str">
        <f>INDEX('Partner data'!$A$2:$DG$171,MATCH(#REF!,'Partner data'!$DG$2:$DG$171,0),83)</f>
        <v>Soggetto pubblico</v>
      </c>
      <c r="S1335" s="86" t="b">
        <f>IF(#REF!="staff",INDEX('Partner data'!$DG$2:$DH$171,MATCH(#REF!,'Partner data'!$DG$2:$DG$171,0),2))</f>
        <v>0</v>
      </c>
    </row>
    <row r="1336" spans="1:19" x14ac:dyDescent="0.25">
      <c r="A1336" t="s">
        <v>59</v>
      </c>
      <c r="B1336" t="s">
        <v>28</v>
      </c>
      <c r="C1336">
        <v>317</v>
      </c>
      <c r="D1336">
        <v>253</v>
      </c>
      <c r="E1336" t="s">
        <v>231</v>
      </c>
      <c r="G1336">
        <v>0</v>
      </c>
      <c r="H1336">
        <v>0</v>
      </c>
      <c r="I1336">
        <v>0</v>
      </c>
      <c r="J1336">
        <v>0</v>
      </c>
      <c r="K1336">
        <v>0</v>
      </c>
      <c r="L1336">
        <v>0</v>
      </c>
      <c r="M1336">
        <v>0</v>
      </c>
      <c r="N1336">
        <v>0</v>
      </c>
      <c r="O1336">
        <v>0</v>
      </c>
      <c r="P1336">
        <v>0</v>
      </c>
      <c r="Q1336" t="str">
        <f>INDEX(pARTNER[#All],MATCH(#REF!,pARTNER[[#All],[Value.partnerSummary.id]],0),10)</f>
        <v>Slovenija (SI)</v>
      </c>
      <c r="R1336" t="str">
        <f>INDEX('Partner data'!$A$2:$DG$171,MATCH(#REF!,'Partner data'!$DG$2:$DG$171,0),83)</f>
        <v>Soggetto pubblico</v>
      </c>
      <c r="S1336" s="86" t="b">
        <f>IF(#REF!="staff",INDEX('Partner data'!$DG$2:$DH$171,MATCH(#REF!,'Partner data'!$DG$2:$DG$171,0),2))</f>
        <v>0</v>
      </c>
    </row>
    <row r="1337" spans="1:19" x14ac:dyDescent="0.25">
      <c r="A1337" t="s">
        <v>59</v>
      </c>
      <c r="B1337" t="s">
        <v>28</v>
      </c>
      <c r="C1337">
        <v>317</v>
      </c>
      <c r="D1337">
        <v>253</v>
      </c>
      <c r="E1337" t="s">
        <v>232</v>
      </c>
      <c r="G1337">
        <v>0</v>
      </c>
      <c r="H1337">
        <v>0</v>
      </c>
      <c r="I1337">
        <v>0</v>
      </c>
      <c r="J1337">
        <v>0</v>
      </c>
      <c r="K1337">
        <v>0</v>
      </c>
      <c r="L1337">
        <v>0</v>
      </c>
      <c r="M1337">
        <v>0</v>
      </c>
      <c r="N1337">
        <v>0</v>
      </c>
      <c r="O1337">
        <v>0</v>
      </c>
      <c r="P1337">
        <v>0</v>
      </c>
      <c r="Q1337" t="str">
        <f>INDEX(pARTNER[#All],MATCH(#REF!,pARTNER[[#All],[Value.partnerSummary.id]],0),10)</f>
        <v>Slovenija (SI)</v>
      </c>
      <c r="R1337" t="str">
        <f>INDEX('Partner data'!$A$2:$DG$171,MATCH(#REF!,'Partner data'!$DG$2:$DG$171,0),83)</f>
        <v>Soggetto pubblico</v>
      </c>
      <c r="S1337" s="86" t="b">
        <f>IF(#REF!="staff",INDEX('Partner data'!$DG$2:$DH$171,MATCH(#REF!,'Partner data'!$DG$2:$DG$171,0),2))</f>
        <v>0</v>
      </c>
    </row>
    <row r="1338" spans="1:19" x14ac:dyDescent="0.25">
      <c r="A1338" t="s">
        <v>59</v>
      </c>
      <c r="B1338" t="s">
        <v>28</v>
      </c>
      <c r="C1338">
        <v>317</v>
      </c>
      <c r="D1338">
        <v>253</v>
      </c>
      <c r="E1338" t="s">
        <v>233</v>
      </c>
      <c r="G1338">
        <v>0</v>
      </c>
      <c r="H1338">
        <v>0</v>
      </c>
      <c r="I1338">
        <v>0</v>
      </c>
      <c r="J1338">
        <v>0</v>
      </c>
      <c r="K1338">
        <v>0</v>
      </c>
      <c r="L1338">
        <v>0</v>
      </c>
      <c r="M1338">
        <v>0</v>
      </c>
      <c r="N1338">
        <v>0</v>
      </c>
      <c r="O1338">
        <v>0</v>
      </c>
      <c r="P1338">
        <v>0</v>
      </c>
      <c r="Q1338" t="str">
        <f>INDEX(pARTNER[#All],MATCH(#REF!,pARTNER[[#All],[Value.partnerSummary.id]],0),10)</f>
        <v>Slovenija (SI)</v>
      </c>
      <c r="R1338" t="str">
        <f>INDEX('Partner data'!$A$2:$DG$171,MATCH(#REF!,'Partner data'!$DG$2:$DG$171,0),83)</f>
        <v>Soggetto pubblico</v>
      </c>
      <c r="S1338" s="86" t="b">
        <f>IF(#REF!="staff",INDEX('Partner data'!$DG$2:$DH$171,MATCH(#REF!,'Partner data'!$DG$2:$DG$171,0),2))</f>
        <v>0</v>
      </c>
    </row>
    <row r="1339" spans="1:19" x14ac:dyDescent="0.25">
      <c r="A1339" t="s">
        <v>59</v>
      </c>
      <c r="B1339" t="s">
        <v>28</v>
      </c>
      <c r="C1339">
        <v>317</v>
      </c>
      <c r="D1339">
        <v>253</v>
      </c>
      <c r="E1339" t="s">
        <v>234</v>
      </c>
      <c r="F1339">
        <v>40</v>
      </c>
      <c r="G1339">
        <v>53800</v>
      </c>
      <c r="H1339">
        <v>6600.88</v>
      </c>
      <c r="I1339">
        <v>0</v>
      </c>
      <c r="J1339">
        <v>8074.4</v>
      </c>
      <c r="K1339">
        <v>0</v>
      </c>
      <c r="L1339">
        <v>8074.4</v>
      </c>
      <c r="M1339">
        <v>14675.28</v>
      </c>
      <c r="N1339">
        <v>27.28</v>
      </c>
      <c r="O1339">
        <v>39124.720000000001</v>
      </c>
      <c r="P1339">
        <v>6600.88</v>
      </c>
      <c r="Q1339" t="str">
        <f>INDEX(pARTNER[#All],MATCH(#REF!,pARTNER[[#All],[Value.partnerSummary.id]],0),10)</f>
        <v>Slovenija (SI)</v>
      </c>
      <c r="R1339" t="str">
        <f>INDEX('Partner data'!$A$2:$DG$171,MATCH(#REF!,'Partner data'!$DG$2:$DG$171,0),83)</f>
        <v>Soggetto pubblico</v>
      </c>
      <c r="S1339" s="86" t="b">
        <f>IF(#REF!="staff",INDEX('Partner data'!$DG$2:$DH$171,MATCH(#REF!,'Partner data'!$DG$2:$DG$171,0),2))</f>
        <v>0</v>
      </c>
    </row>
    <row r="1340" spans="1:19" x14ac:dyDescent="0.25">
      <c r="A1340" t="s">
        <v>59</v>
      </c>
      <c r="B1340" t="s">
        <v>28</v>
      </c>
      <c r="C1340">
        <v>317</v>
      </c>
      <c r="D1340">
        <v>253</v>
      </c>
      <c r="E1340" t="s">
        <v>235</v>
      </c>
      <c r="G1340">
        <v>0</v>
      </c>
      <c r="H1340">
        <v>0</v>
      </c>
      <c r="I1340">
        <v>0</v>
      </c>
      <c r="J1340">
        <v>0</v>
      </c>
      <c r="K1340">
        <v>0</v>
      </c>
      <c r="L1340">
        <v>0</v>
      </c>
      <c r="M1340">
        <v>0</v>
      </c>
      <c r="N1340">
        <v>0</v>
      </c>
      <c r="O1340">
        <v>0</v>
      </c>
      <c r="P1340">
        <v>0</v>
      </c>
      <c r="Q1340" t="str">
        <f>INDEX(pARTNER[#All],MATCH(#REF!,pARTNER[[#All],[Value.partnerSummary.id]],0),10)</f>
        <v>Slovenija (SI)</v>
      </c>
      <c r="R1340" t="str">
        <f>INDEX('Partner data'!$A$2:$DG$171,MATCH(#REF!,'Partner data'!$DG$2:$DG$171,0),83)</f>
        <v>Soggetto pubblico</v>
      </c>
      <c r="S1340" s="86" t="b">
        <f>IF(#REF!="staff",INDEX('Partner data'!$DG$2:$DH$171,MATCH(#REF!,'Partner data'!$DG$2:$DG$171,0),2))</f>
        <v>0</v>
      </c>
    </row>
    <row r="1341" spans="1:19" x14ac:dyDescent="0.25">
      <c r="A1341" t="s">
        <v>59</v>
      </c>
      <c r="B1341" t="s">
        <v>28</v>
      </c>
      <c r="C1341">
        <v>317</v>
      </c>
      <c r="D1341">
        <v>253</v>
      </c>
      <c r="E1341" t="s">
        <v>236</v>
      </c>
      <c r="G1341">
        <v>0</v>
      </c>
      <c r="H1341">
        <v>0</v>
      </c>
      <c r="I1341">
        <v>0</v>
      </c>
      <c r="J1341">
        <v>0</v>
      </c>
      <c r="K1341">
        <v>0</v>
      </c>
      <c r="L1341">
        <v>0</v>
      </c>
      <c r="M1341">
        <v>0</v>
      </c>
      <c r="N1341">
        <v>0</v>
      </c>
      <c r="O1341">
        <v>0</v>
      </c>
      <c r="P1341">
        <v>0</v>
      </c>
      <c r="Q1341" t="str">
        <f>INDEX(pARTNER[#All],MATCH(#REF!,pARTNER[[#All],[Value.partnerSummary.id]],0),10)</f>
        <v>Slovenija (SI)</v>
      </c>
      <c r="R1341" t="str">
        <f>INDEX('Partner data'!$A$2:$DG$171,MATCH(#REF!,'Partner data'!$DG$2:$DG$171,0),83)</f>
        <v>Soggetto pubblico</v>
      </c>
      <c r="S1341" s="86" t="b">
        <f>IF(#REF!="staff",INDEX('Partner data'!$DG$2:$DH$171,MATCH(#REF!,'Partner data'!$DG$2:$DG$171,0),2))</f>
        <v>0</v>
      </c>
    </row>
    <row r="1342" spans="1:19" x14ac:dyDescent="0.25">
      <c r="A1342" t="s">
        <v>59</v>
      </c>
      <c r="B1342" t="s">
        <v>28</v>
      </c>
      <c r="C1342">
        <v>317</v>
      </c>
      <c r="D1342">
        <v>253</v>
      </c>
      <c r="E1342" t="s">
        <v>237</v>
      </c>
      <c r="G1342">
        <v>0</v>
      </c>
      <c r="H1342">
        <v>0</v>
      </c>
      <c r="I1342">
        <v>0</v>
      </c>
      <c r="J1342">
        <v>0</v>
      </c>
      <c r="K1342">
        <v>0</v>
      </c>
      <c r="L1342">
        <v>0</v>
      </c>
      <c r="M1342">
        <v>0</v>
      </c>
      <c r="N1342">
        <v>0</v>
      </c>
      <c r="O1342">
        <v>0</v>
      </c>
      <c r="P1342">
        <v>0</v>
      </c>
      <c r="Q1342" t="str">
        <f>INDEX(pARTNER[#All],MATCH(#REF!,pARTNER[[#All],[Value.partnerSummary.id]],0),10)</f>
        <v>Slovenija (SI)</v>
      </c>
      <c r="R1342" t="str">
        <f>INDEX('Partner data'!$A$2:$DG$171,MATCH(#REF!,'Partner data'!$DG$2:$DG$171,0),83)</f>
        <v>Soggetto pubblico</v>
      </c>
      <c r="S1342" s="86" t="b">
        <f>IF(#REF!="staff",INDEX('Partner data'!$DG$2:$DH$171,MATCH(#REF!,'Partner data'!$DG$2:$DG$171,0),2))</f>
        <v>0</v>
      </c>
    </row>
    <row r="1343" spans="1:19" x14ac:dyDescent="0.25">
      <c r="A1343" t="s">
        <v>59</v>
      </c>
      <c r="B1343" t="s">
        <v>28</v>
      </c>
      <c r="C1343">
        <v>317</v>
      </c>
      <c r="D1343">
        <v>253</v>
      </c>
      <c r="E1343" t="s">
        <v>238</v>
      </c>
      <c r="G1343">
        <v>188300</v>
      </c>
      <c r="H1343">
        <v>23103.1</v>
      </c>
      <c r="I1343">
        <v>0</v>
      </c>
      <c r="J1343">
        <v>28260.400000000001</v>
      </c>
      <c r="K1343">
        <v>0</v>
      </c>
      <c r="L1343">
        <v>28260.400000000001</v>
      </c>
      <c r="M1343">
        <v>51363.5</v>
      </c>
      <c r="N1343">
        <v>27.28</v>
      </c>
      <c r="O1343">
        <v>136936.5</v>
      </c>
      <c r="P1343">
        <v>23103.1</v>
      </c>
      <c r="Q1343" t="str">
        <f>INDEX(pARTNER[#All],MATCH(#REF!,pARTNER[[#All],[Value.partnerSummary.id]],0),10)</f>
        <v>Slovenija (SI)</v>
      </c>
      <c r="R1343" t="str">
        <f>INDEX('Partner data'!$A$2:$DG$171,MATCH(#REF!,'Partner data'!$DG$2:$DG$171,0),83)</f>
        <v>Soggetto pubblico</v>
      </c>
      <c r="S1343" s="86" t="b">
        <f>IF(#REF!="staff",INDEX('Partner data'!$DG$2:$DH$171,MATCH(#REF!,'Partner data'!$DG$2:$DG$171,0),2))</f>
        <v>0</v>
      </c>
    </row>
    <row r="1344" spans="1:19" x14ac:dyDescent="0.25">
      <c r="A1344" t="s">
        <v>59</v>
      </c>
      <c r="B1344" t="s">
        <v>28</v>
      </c>
      <c r="C1344">
        <v>317</v>
      </c>
      <c r="D1344">
        <v>53</v>
      </c>
      <c r="E1344" t="s">
        <v>228</v>
      </c>
      <c r="G1344">
        <v>134500</v>
      </c>
      <c r="H1344">
        <v>0</v>
      </c>
      <c r="I1344">
        <v>0</v>
      </c>
      <c r="J1344">
        <v>16502.22</v>
      </c>
      <c r="K1344">
        <v>0</v>
      </c>
      <c r="L1344">
        <v>16502.22</v>
      </c>
      <c r="M1344">
        <v>16502.22</v>
      </c>
      <c r="N1344">
        <v>12.27</v>
      </c>
      <c r="O1344">
        <v>117997.78</v>
      </c>
      <c r="P1344">
        <v>0</v>
      </c>
      <c r="Q1344" t="str">
        <f>INDEX(pARTNER[#All],MATCH(#REF!,pARTNER[[#All],[Value.partnerSummary.id]],0),10)</f>
        <v>Slovenija (SI)</v>
      </c>
      <c r="R1344" t="str">
        <f>INDEX('Partner data'!$A$2:$DG$171,MATCH(#REF!,'Partner data'!$DG$2:$DG$171,0),83)</f>
        <v>Soggetto pubblico</v>
      </c>
      <c r="S1344" s="86" t="str">
        <f>IF(#REF!="staff",INDEX('Partner data'!$DG$2:$DH$171,MATCH(#REF!,'Partner data'!$DG$2:$DG$171,0),2))</f>
        <v>COSTO REALE</v>
      </c>
    </row>
    <row r="1345" spans="1:19" x14ac:dyDescent="0.25">
      <c r="A1345" t="s">
        <v>59</v>
      </c>
      <c r="B1345" t="s">
        <v>28</v>
      </c>
      <c r="C1345">
        <v>317</v>
      </c>
      <c r="D1345">
        <v>53</v>
      </c>
      <c r="E1345" t="s">
        <v>229</v>
      </c>
      <c r="G1345">
        <v>0</v>
      </c>
      <c r="H1345">
        <v>0</v>
      </c>
      <c r="I1345">
        <v>0</v>
      </c>
      <c r="J1345">
        <v>0</v>
      </c>
      <c r="K1345">
        <v>0</v>
      </c>
      <c r="L1345">
        <v>0</v>
      </c>
      <c r="M1345">
        <v>0</v>
      </c>
      <c r="N1345">
        <v>0</v>
      </c>
      <c r="O1345">
        <v>0</v>
      </c>
      <c r="P1345">
        <v>0</v>
      </c>
      <c r="Q1345" t="str">
        <f>INDEX(pARTNER[#All],MATCH(#REF!,pARTNER[[#All],[Value.partnerSummary.id]],0),10)</f>
        <v>Slovenija (SI)</v>
      </c>
      <c r="R1345" t="str">
        <f>INDEX('Partner data'!$A$2:$DG$171,MATCH(#REF!,'Partner data'!$DG$2:$DG$171,0),83)</f>
        <v>Soggetto pubblico</v>
      </c>
      <c r="S1345" s="86" t="b">
        <f>IF(#REF!="staff",INDEX('Partner data'!$DG$2:$DH$171,MATCH(#REF!,'Partner data'!$DG$2:$DG$171,0),2))</f>
        <v>0</v>
      </c>
    </row>
    <row r="1346" spans="1:19" x14ac:dyDescent="0.25">
      <c r="A1346" t="s">
        <v>59</v>
      </c>
      <c r="B1346" t="s">
        <v>28</v>
      </c>
      <c r="C1346">
        <v>317</v>
      </c>
      <c r="D1346">
        <v>53</v>
      </c>
      <c r="E1346" t="s">
        <v>230</v>
      </c>
      <c r="G1346">
        <v>0</v>
      </c>
      <c r="H1346">
        <v>0</v>
      </c>
      <c r="I1346">
        <v>0</v>
      </c>
      <c r="J1346">
        <v>0</v>
      </c>
      <c r="K1346">
        <v>0</v>
      </c>
      <c r="L1346">
        <v>0</v>
      </c>
      <c r="M1346">
        <v>0</v>
      </c>
      <c r="N1346">
        <v>0</v>
      </c>
      <c r="O1346">
        <v>0</v>
      </c>
      <c r="P1346">
        <v>0</v>
      </c>
      <c r="Q1346" t="str">
        <f>INDEX(pARTNER[#All],MATCH(#REF!,pARTNER[[#All],[Value.partnerSummary.id]],0),10)</f>
        <v>Slovenija (SI)</v>
      </c>
      <c r="R1346" t="str">
        <f>INDEX('Partner data'!$A$2:$DG$171,MATCH(#REF!,'Partner data'!$DG$2:$DG$171,0),83)</f>
        <v>Soggetto pubblico</v>
      </c>
      <c r="S1346" s="86" t="b">
        <f>IF(#REF!="staff",INDEX('Partner data'!$DG$2:$DH$171,MATCH(#REF!,'Partner data'!$DG$2:$DG$171,0),2))</f>
        <v>0</v>
      </c>
    </row>
    <row r="1347" spans="1:19" x14ac:dyDescent="0.25">
      <c r="A1347" t="s">
        <v>59</v>
      </c>
      <c r="B1347" t="s">
        <v>28</v>
      </c>
      <c r="C1347">
        <v>317</v>
      </c>
      <c r="D1347">
        <v>53</v>
      </c>
      <c r="E1347" t="s">
        <v>231</v>
      </c>
      <c r="G1347">
        <v>0</v>
      </c>
      <c r="H1347">
        <v>0</v>
      </c>
      <c r="I1347">
        <v>0</v>
      </c>
      <c r="J1347">
        <v>0</v>
      </c>
      <c r="K1347">
        <v>0</v>
      </c>
      <c r="L1347">
        <v>0</v>
      </c>
      <c r="M1347">
        <v>0</v>
      </c>
      <c r="N1347">
        <v>0</v>
      </c>
      <c r="O1347">
        <v>0</v>
      </c>
      <c r="P1347">
        <v>0</v>
      </c>
      <c r="Q1347" t="str">
        <f>INDEX(pARTNER[#All],MATCH(#REF!,pARTNER[[#All],[Value.partnerSummary.id]],0),10)</f>
        <v>Slovenija (SI)</v>
      </c>
      <c r="R1347" t="str">
        <f>INDEX('Partner data'!$A$2:$DG$171,MATCH(#REF!,'Partner data'!$DG$2:$DG$171,0),83)</f>
        <v>Soggetto pubblico</v>
      </c>
      <c r="S1347" s="86" t="b">
        <f>IF(#REF!="staff",INDEX('Partner data'!$DG$2:$DH$171,MATCH(#REF!,'Partner data'!$DG$2:$DG$171,0),2))</f>
        <v>0</v>
      </c>
    </row>
    <row r="1348" spans="1:19" x14ac:dyDescent="0.25">
      <c r="A1348" t="s">
        <v>59</v>
      </c>
      <c r="B1348" t="s">
        <v>28</v>
      </c>
      <c r="C1348">
        <v>317</v>
      </c>
      <c r="D1348">
        <v>53</v>
      </c>
      <c r="E1348" t="s">
        <v>232</v>
      </c>
      <c r="G1348">
        <v>0</v>
      </c>
      <c r="H1348">
        <v>0</v>
      </c>
      <c r="I1348">
        <v>0</v>
      </c>
      <c r="J1348">
        <v>0</v>
      </c>
      <c r="K1348">
        <v>0</v>
      </c>
      <c r="L1348">
        <v>0</v>
      </c>
      <c r="M1348">
        <v>0</v>
      </c>
      <c r="N1348">
        <v>0</v>
      </c>
      <c r="O1348">
        <v>0</v>
      </c>
      <c r="P1348">
        <v>0</v>
      </c>
      <c r="Q1348" t="str">
        <f>INDEX(pARTNER[#All],MATCH(#REF!,pARTNER[[#All],[Value.partnerSummary.id]],0),10)</f>
        <v>Slovenija (SI)</v>
      </c>
      <c r="R1348" t="str">
        <f>INDEX('Partner data'!$A$2:$DG$171,MATCH(#REF!,'Partner data'!$DG$2:$DG$171,0),83)</f>
        <v>Soggetto pubblico</v>
      </c>
      <c r="S1348" s="86" t="b">
        <f>IF(#REF!="staff",INDEX('Partner data'!$DG$2:$DH$171,MATCH(#REF!,'Partner data'!$DG$2:$DG$171,0),2))</f>
        <v>0</v>
      </c>
    </row>
    <row r="1349" spans="1:19" x14ac:dyDescent="0.25">
      <c r="A1349" t="s">
        <v>59</v>
      </c>
      <c r="B1349" t="s">
        <v>28</v>
      </c>
      <c r="C1349">
        <v>317</v>
      </c>
      <c r="D1349">
        <v>53</v>
      </c>
      <c r="E1349" t="s">
        <v>233</v>
      </c>
      <c r="G1349">
        <v>0</v>
      </c>
      <c r="H1349">
        <v>0</v>
      </c>
      <c r="I1349">
        <v>0</v>
      </c>
      <c r="J1349">
        <v>0</v>
      </c>
      <c r="K1349">
        <v>0</v>
      </c>
      <c r="L1349">
        <v>0</v>
      </c>
      <c r="M1349">
        <v>0</v>
      </c>
      <c r="N1349">
        <v>0</v>
      </c>
      <c r="O1349">
        <v>0</v>
      </c>
      <c r="P1349">
        <v>0</v>
      </c>
      <c r="Q1349" t="str">
        <f>INDEX(pARTNER[#All],MATCH(#REF!,pARTNER[[#All],[Value.partnerSummary.id]],0),10)</f>
        <v>Slovenija (SI)</v>
      </c>
      <c r="R1349" t="str">
        <f>INDEX('Partner data'!$A$2:$DG$171,MATCH(#REF!,'Partner data'!$DG$2:$DG$171,0),83)</f>
        <v>Soggetto pubblico</v>
      </c>
      <c r="S1349" s="86" t="b">
        <f>IF(#REF!="staff",INDEX('Partner data'!$DG$2:$DH$171,MATCH(#REF!,'Partner data'!$DG$2:$DG$171,0),2))</f>
        <v>0</v>
      </c>
    </row>
    <row r="1350" spans="1:19" x14ac:dyDescent="0.25">
      <c r="A1350" t="s">
        <v>59</v>
      </c>
      <c r="B1350" t="s">
        <v>28</v>
      </c>
      <c r="C1350">
        <v>317</v>
      </c>
      <c r="D1350">
        <v>53</v>
      </c>
      <c r="E1350" t="s">
        <v>234</v>
      </c>
      <c r="F1350">
        <v>40</v>
      </c>
      <c r="G1350">
        <v>53800</v>
      </c>
      <c r="H1350">
        <v>0</v>
      </c>
      <c r="I1350">
        <v>0</v>
      </c>
      <c r="J1350">
        <v>6600.88</v>
      </c>
      <c r="K1350">
        <v>0</v>
      </c>
      <c r="L1350">
        <v>6600.88</v>
      </c>
      <c r="M1350">
        <v>6600.88</v>
      </c>
      <c r="N1350">
        <v>12.27</v>
      </c>
      <c r="O1350">
        <v>47199.12</v>
      </c>
      <c r="P1350">
        <v>0</v>
      </c>
      <c r="Q1350" t="str">
        <f>INDEX(pARTNER[#All],MATCH(#REF!,pARTNER[[#All],[Value.partnerSummary.id]],0),10)</f>
        <v>Slovenija (SI)</v>
      </c>
      <c r="R1350" t="str">
        <f>INDEX('Partner data'!$A$2:$DG$171,MATCH(#REF!,'Partner data'!$DG$2:$DG$171,0),83)</f>
        <v>Soggetto pubblico</v>
      </c>
      <c r="S1350" s="86" t="b">
        <f>IF(#REF!="staff",INDEX('Partner data'!$DG$2:$DH$171,MATCH(#REF!,'Partner data'!$DG$2:$DG$171,0),2))</f>
        <v>0</v>
      </c>
    </row>
    <row r="1351" spans="1:19" x14ac:dyDescent="0.25">
      <c r="A1351" t="s">
        <v>59</v>
      </c>
      <c r="B1351" t="s">
        <v>28</v>
      </c>
      <c r="C1351">
        <v>317</v>
      </c>
      <c r="D1351">
        <v>53</v>
      </c>
      <c r="E1351" t="s">
        <v>235</v>
      </c>
      <c r="G1351">
        <v>0</v>
      </c>
      <c r="H1351">
        <v>0</v>
      </c>
      <c r="I1351">
        <v>0</v>
      </c>
      <c r="J1351">
        <v>0</v>
      </c>
      <c r="K1351">
        <v>0</v>
      </c>
      <c r="L1351">
        <v>0</v>
      </c>
      <c r="M1351">
        <v>0</v>
      </c>
      <c r="N1351">
        <v>0</v>
      </c>
      <c r="O1351">
        <v>0</v>
      </c>
      <c r="P1351">
        <v>0</v>
      </c>
      <c r="Q1351" t="str">
        <f>INDEX(pARTNER[#All],MATCH(#REF!,pARTNER[[#All],[Value.partnerSummary.id]],0),10)</f>
        <v>Slovenija (SI)</v>
      </c>
      <c r="R1351" t="str">
        <f>INDEX('Partner data'!$A$2:$DG$171,MATCH(#REF!,'Partner data'!$DG$2:$DG$171,0),83)</f>
        <v>Soggetto pubblico</v>
      </c>
      <c r="S1351" s="86" t="b">
        <f>IF(#REF!="staff",INDEX('Partner data'!$DG$2:$DH$171,MATCH(#REF!,'Partner data'!$DG$2:$DG$171,0),2))</f>
        <v>0</v>
      </c>
    </row>
    <row r="1352" spans="1:19" x14ac:dyDescent="0.25">
      <c r="A1352" t="s">
        <v>59</v>
      </c>
      <c r="B1352" t="s">
        <v>28</v>
      </c>
      <c r="C1352">
        <v>317</v>
      </c>
      <c r="D1352">
        <v>53</v>
      </c>
      <c r="E1352" t="s">
        <v>236</v>
      </c>
      <c r="G1352">
        <v>0</v>
      </c>
      <c r="H1352">
        <v>0</v>
      </c>
      <c r="I1352">
        <v>0</v>
      </c>
      <c r="J1352">
        <v>0</v>
      </c>
      <c r="K1352">
        <v>0</v>
      </c>
      <c r="L1352">
        <v>0</v>
      </c>
      <c r="M1352">
        <v>0</v>
      </c>
      <c r="N1352">
        <v>0</v>
      </c>
      <c r="O1352">
        <v>0</v>
      </c>
      <c r="P1352">
        <v>0</v>
      </c>
      <c r="Q1352" t="str">
        <f>INDEX(pARTNER[#All],MATCH(#REF!,pARTNER[[#All],[Value.partnerSummary.id]],0),10)</f>
        <v>Slovenija (SI)</v>
      </c>
      <c r="R1352" t="str">
        <f>INDEX('Partner data'!$A$2:$DG$171,MATCH(#REF!,'Partner data'!$DG$2:$DG$171,0),83)</f>
        <v>Soggetto pubblico</v>
      </c>
      <c r="S1352" s="86" t="b">
        <f>IF(#REF!="staff",INDEX('Partner data'!$DG$2:$DH$171,MATCH(#REF!,'Partner data'!$DG$2:$DG$171,0),2))</f>
        <v>0</v>
      </c>
    </row>
    <row r="1353" spans="1:19" x14ac:dyDescent="0.25">
      <c r="A1353" t="s">
        <v>59</v>
      </c>
      <c r="B1353" t="s">
        <v>28</v>
      </c>
      <c r="C1353">
        <v>317</v>
      </c>
      <c r="D1353">
        <v>53</v>
      </c>
      <c r="E1353" t="s">
        <v>237</v>
      </c>
      <c r="G1353">
        <v>0</v>
      </c>
      <c r="H1353">
        <v>0</v>
      </c>
      <c r="I1353">
        <v>0</v>
      </c>
      <c r="J1353">
        <v>0</v>
      </c>
      <c r="K1353">
        <v>0</v>
      </c>
      <c r="L1353">
        <v>0</v>
      </c>
      <c r="M1353">
        <v>0</v>
      </c>
      <c r="N1353">
        <v>0</v>
      </c>
      <c r="O1353">
        <v>0</v>
      </c>
      <c r="P1353">
        <v>0</v>
      </c>
      <c r="Q1353" t="str">
        <f>INDEX(pARTNER[#All],MATCH(#REF!,pARTNER[[#All],[Value.partnerSummary.id]],0),10)</f>
        <v>Slovenija (SI)</v>
      </c>
      <c r="R1353" t="str">
        <f>INDEX('Partner data'!$A$2:$DG$171,MATCH(#REF!,'Partner data'!$DG$2:$DG$171,0),83)</f>
        <v>Soggetto pubblico</v>
      </c>
      <c r="S1353" s="86" t="b">
        <f>IF(#REF!="staff",INDEX('Partner data'!$DG$2:$DH$171,MATCH(#REF!,'Partner data'!$DG$2:$DG$171,0),2))</f>
        <v>0</v>
      </c>
    </row>
    <row r="1354" spans="1:19" x14ac:dyDescent="0.25">
      <c r="A1354" t="s">
        <v>59</v>
      </c>
      <c r="B1354" t="s">
        <v>28</v>
      </c>
      <c r="C1354">
        <v>317</v>
      </c>
      <c r="D1354">
        <v>53</v>
      </c>
      <c r="E1354" t="s">
        <v>238</v>
      </c>
      <c r="G1354">
        <v>188300</v>
      </c>
      <c r="H1354">
        <v>0</v>
      </c>
      <c r="I1354">
        <v>0</v>
      </c>
      <c r="J1354">
        <v>23103.1</v>
      </c>
      <c r="K1354">
        <v>0</v>
      </c>
      <c r="L1354">
        <v>23103.1</v>
      </c>
      <c r="M1354">
        <v>23103.1</v>
      </c>
      <c r="N1354">
        <v>12.27</v>
      </c>
      <c r="O1354">
        <v>165196.9</v>
      </c>
      <c r="P1354">
        <v>0</v>
      </c>
      <c r="Q1354" t="str">
        <f>INDEX(pARTNER[#All],MATCH(#REF!,pARTNER[[#All],[Value.partnerSummary.id]],0),10)</f>
        <v>Slovenija (SI)</v>
      </c>
      <c r="R1354" t="str">
        <f>INDEX('Partner data'!$A$2:$DG$171,MATCH(#REF!,'Partner data'!$DG$2:$DG$171,0),83)</f>
        <v>Soggetto pubblico</v>
      </c>
      <c r="S1354" s="86" t="b">
        <f>IF(#REF!="staff",INDEX('Partner data'!$DG$2:$DH$171,MATCH(#REF!,'Partner data'!$DG$2:$DG$171,0),2))</f>
        <v>0</v>
      </c>
    </row>
    <row r="1355" spans="1:19" x14ac:dyDescent="0.25">
      <c r="A1355" t="s">
        <v>271</v>
      </c>
      <c r="B1355" t="s">
        <v>272</v>
      </c>
      <c r="C1355">
        <v>229</v>
      </c>
      <c r="D1355">
        <v>246</v>
      </c>
      <c r="E1355" t="s">
        <v>228</v>
      </c>
      <c r="F1355">
        <v>20</v>
      </c>
      <c r="G1355">
        <v>21452</v>
      </c>
      <c r="H1355">
        <v>0</v>
      </c>
      <c r="I1355">
        <v>0</v>
      </c>
      <c r="J1355">
        <v>6696.04</v>
      </c>
      <c r="K1355">
        <v>0</v>
      </c>
      <c r="L1355">
        <v>6696.04</v>
      </c>
      <c r="M1355">
        <v>6696.04</v>
      </c>
      <c r="N1355">
        <v>31.21</v>
      </c>
      <c r="O1355">
        <v>14755.96</v>
      </c>
      <c r="P1355">
        <v>0</v>
      </c>
      <c r="Q1355" t="str">
        <f>INDEX(pARTNER[#All],MATCH(#REF!,pARTNER[[#All],[Value.partnerSummary.id]],0),10)</f>
        <v>Italia (IT)</v>
      </c>
      <c r="R1355" t="str">
        <f>INDEX('Partner data'!$A$2:$DG$171,MATCH(#REF!,'Partner data'!$DG$2:$DG$171,0),83)</f>
        <v>Soggetto privato</v>
      </c>
      <c r="S1355" s="86" t="str">
        <f>IF(#REF!="staff",INDEX('Partner data'!$DG$2:$DH$171,MATCH(#REF!,'Partner data'!$DG$2:$DG$171,0),2))</f>
        <v>Tasso Forfettario 20%</v>
      </c>
    </row>
    <row r="1356" spans="1:19" x14ac:dyDescent="0.25">
      <c r="A1356" t="s">
        <v>271</v>
      </c>
      <c r="B1356" t="s">
        <v>272</v>
      </c>
      <c r="C1356">
        <v>229</v>
      </c>
      <c r="D1356">
        <v>246</v>
      </c>
      <c r="E1356" t="s">
        <v>229</v>
      </c>
      <c r="F1356">
        <v>15</v>
      </c>
      <c r="G1356">
        <v>3217.8</v>
      </c>
      <c r="H1356">
        <v>0</v>
      </c>
      <c r="I1356">
        <v>0</v>
      </c>
      <c r="J1356">
        <v>1004.4</v>
      </c>
      <c r="K1356">
        <v>0</v>
      </c>
      <c r="L1356">
        <v>1004.4</v>
      </c>
      <c r="M1356">
        <v>1004.4</v>
      </c>
      <c r="N1356">
        <v>31.21</v>
      </c>
      <c r="O1356">
        <v>2213.4</v>
      </c>
      <c r="P1356">
        <v>0</v>
      </c>
      <c r="Q1356" t="str">
        <f>INDEX(pARTNER[#All],MATCH(#REF!,pARTNER[[#All],[Value.partnerSummary.id]],0),10)</f>
        <v>Italia (IT)</v>
      </c>
      <c r="R1356" t="str">
        <f>INDEX('Partner data'!$A$2:$DG$171,MATCH(#REF!,'Partner data'!$DG$2:$DG$171,0),83)</f>
        <v>Soggetto privato</v>
      </c>
      <c r="S1356" s="86" t="b">
        <f>IF(#REF!="staff",INDEX('Partner data'!$DG$2:$DH$171,MATCH(#REF!,'Partner data'!$DG$2:$DG$171,0),2))</f>
        <v>0</v>
      </c>
    </row>
    <row r="1357" spans="1:19" x14ac:dyDescent="0.25">
      <c r="A1357" t="s">
        <v>271</v>
      </c>
      <c r="B1357" t="s">
        <v>272</v>
      </c>
      <c r="C1357">
        <v>229</v>
      </c>
      <c r="D1357">
        <v>246</v>
      </c>
      <c r="E1357" t="s">
        <v>230</v>
      </c>
      <c r="F1357">
        <v>4</v>
      </c>
      <c r="G1357">
        <v>858.08</v>
      </c>
      <c r="H1357">
        <v>0</v>
      </c>
      <c r="I1357">
        <v>0</v>
      </c>
      <c r="J1357">
        <v>267.83999999999997</v>
      </c>
      <c r="K1357">
        <v>0</v>
      </c>
      <c r="L1357">
        <v>267.83999999999997</v>
      </c>
      <c r="M1357">
        <v>267.83999999999997</v>
      </c>
      <c r="N1357">
        <v>31.21</v>
      </c>
      <c r="O1357">
        <v>590.24</v>
      </c>
      <c r="P1357">
        <v>0</v>
      </c>
      <c r="Q1357" t="str">
        <f>INDEX(pARTNER[#All],MATCH(#REF!,pARTNER[[#All],[Value.partnerSummary.id]],0),10)</f>
        <v>Italia (IT)</v>
      </c>
      <c r="R1357" t="str">
        <f>INDEX('Partner data'!$A$2:$DG$171,MATCH(#REF!,'Partner data'!$DG$2:$DG$171,0),83)</f>
        <v>Soggetto privato</v>
      </c>
      <c r="S1357" s="86" t="b">
        <f>IF(#REF!="staff",INDEX('Partner data'!$DG$2:$DH$171,MATCH(#REF!,'Partner data'!$DG$2:$DG$171,0),2))</f>
        <v>0</v>
      </c>
    </row>
    <row r="1358" spans="1:19" x14ac:dyDescent="0.25">
      <c r="A1358" t="s">
        <v>271</v>
      </c>
      <c r="B1358" t="s">
        <v>272</v>
      </c>
      <c r="C1358">
        <v>229</v>
      </c>
      <c r="D1358">
        <v>246</v>
      </c>
      <c r="E1358" t="s">
        <v>231</v>
      </c>
      <c r="G1358">
        <v>43600</v>
      </c>
      <c r="H1358">
        <v>0</v>
      </c>
      <c r="I1358">
        <v>0</v>
      </c>
      <c r="J1358">
        <v>4934</v>
      </c>
      <c r="K1358">
        <v>0</v>
      </c>
      <c r="L1358">
        <v>4934</v>
      </c>
      <c r="M1358">
        <v>4934</v>
      </c>
      <c r="N1358">
        <v>11.32</v>
      </c>
      <c r="O1358">
        <v>38666</v>
      </c>
      <c r="P1358">
        <v>0</v>
      </c>
      <c r="Q1358" t="str">
        <f>INDEX(pARTNER[#All],MATCH(#REF!,pARTNER[[#All],[Value.partnerSummary.id]],0),10)</f>
        <v>Italia (IT)</v>
      </c>
      <c r="R1358" t="str">
        <f>INDEX('Partner data'!$A$2:$DG$171,MATCH(#REF!,'Partner data'!$DG$2:$DG$171,0),83)</f>
        <v>Soggetto privato</v>
      </c>
      <c r="S1358" s="86" t="b">
        <f>IF(#REF!="staff",INDEX('Partner data'!$DG$2:$DH$171,MATCH(#REF!,'Partner data'!$DG$2:$DG$171,0),2))</f>
        <v>0</v>
      </c>
    </row>
    <row r="1359" spans="1:19" x14ac:dyDescent="0.25">
      <c r="A1359" t="s">
        <v>271</v>
      </c>
      <c r="B1359" t="s">
        <v>272</v>
      </c>
      <c r="C1359">
        <v>229</v>
      </c>
      <c r="D1359">
        <v>246</v>
      </c>
      <c r="E1359" t="s">
        <v>232</v>
      </c>
      <c r="G1359">
        <v>12750</v>
      </c>
      <c r="H1359">
        <v>0</v>
      </c>
      <c r="I1359">
        <v>0</v>
      </c>
      <c r="J1359">
        <v>11821.8</v>
      </c>
      <c r="K1359">
        <v>0</v>
      </c>
      <c r="L1359">
        <v>11821.8</v>
      </c>
      <c r="M1359">
        <v>11821.8</v>
      </c>
      <c r="N1359">
        <v>92.72</v>
      </c>
      <c r="O1359">
        <v>928.2</v>
      </c>
      <c r="P1359">
        <v>0</v>
      </c>
      <c r="Q1359" t="str">
        <f>INDEX(pARTNER[#All],MATCH(#REF!,pARTNER[[#All],[Value.partnerSummary.id]],0),10)</f>
        <v>Italia (IT)</v>
      </c>
      <c r="R1359" t="str">
        <f>INDEX('Partner data'!$A$2:$DG$171,MATCH(#REF!,'Partner data'!$DG$2:$DG$171,0),83)</f>
        <v>Soggetto privato</v>
      </c>
      <c r="S1359" s="86" t="b">
        <f>IF(#REF!="staff",INDEX('Partner data'!$DG$2:$DH$171,MATCH(#REF!,'Partner data'!$DG$2:$DG$171,0),2))</f>
        <v>0</v>
      </c>
    </row>
    <row r="1360" spans="1:19" x14ac:dyDescent="0.25">
      <c r="A1360" t="s">
        <v>271</v>
      </c>
      <c r="B1360" t="s">
        <v>272</v>
      </c>
      <c r="C1360">
        <v>229</v>
      </c>
      <c r="D1360">
        <v>246</v>
      </c>
      <c r="E1360" t="s">
        <v>233</v>
      </c>
      <c r="G1360">
        <v>50910</v>
      </c>
      <c r="H1360">
        <v>0</v>
      </c>
      <c r="I1360">
        <v>0</v>
      </c>
      <c r="J1360">
        <v>16724.419999999998</v>
      </c>
      <c r="K1360">
        <v>0</v>
      </c>
      <c r="L1360">
        <v>16724.419999999998</v>
      </c>
      <c r="M1360">
        <v>16724.419999999998</v>
      </c>
      <c r="N1360">
        <v>32.85</v>
      </c>
      <c r="O1360">
        <v>34185.58</v>
      </c>
      <c r="P1360">
        <v>0</v>
      </c>
      <c r="Q1360" t="str">
        <f>INDEX(pARTNER[#All],MATCH(#REF!,pARTNER[[#All],[Value.partnerSummary.id]],0),10)</f>
        <v>Italia (IT)</v>
      </c>
      <c r="R1360" t="str">
        <f>INDEX('Partner data'!$A$2:$DG$171,MATCH(#REF!,'Partner data'!$DG$2:$DG$171,0),83)</f>
        <v>Soggetto privato</v>
      </c>
      <c r="S1360" s="86" t="b">
        <f>IF(#REF!="staff",INDEX('Partner data'!$DG$2:$DH$171,MATCH(#REF!,'Partner data'!$DG$2:$DG$171,0),2))</f>
        <v>0</v>
      </c>
    </row>
    <row r="1361" spans="1:19" x14ac:dyDescent="0.25">
      <c r="A1361" t="s">
        <v>271</v>
      </c>
      <c r="B1361" t="s">
        <v>272</v>
      </c>
      <c r="C1361">
        <v>229</v>
      </c>
      <c r="D1361">
        <v>246</v>
      </c>
      <c r="E1361" t="s">
        <v>234</v>
      </c>
      <c r="G1361">
        <v>0</v>
      </c>
      <c r="H1361">
        <v>0</v>
      </c>
      <c r="I1361">
        <v>0</v>
      </c>
      <c r="J1361">
        <v>0</v>
      </c>
      <c r="K1361">
        <v>0</v>
      </c>
      <c r="L1361">
        <v>0</v>
      </c>
      <c r="M1361">
        <v>0</v>
      </c>
      <c r="N1361">
        <v>0</v>
      </c>
      <c r="O1361">
        <v>0</v>
      </c>
      <c r="P1361">
        <v>0</v>
      </c>
      <c r="Q1361" t="str">
        <f>INDEX(pARTNER[#All],MATCH(#REF!,pARTNER[[#All],[Value.partnerSummary.id]],0),10)</f>
        <v>Italia (IT)</v>
      </c>
      <c r="R1361" t="str">
        <f>INDEX('Partner data'!$A$2:$DG$171,MATCH(#REF!,'Partner data'!$DG$2:$DG$171,0),83)</f>
        <v>Soggetto privato</v>
      </c>
      <c r="S1361" s="86" t="b">
        <f>IF(#REF!="staff",INDEX('Partner data'!$DG$2:$DH$171,MATCH(#REF!,'Partner data'!$DG$2:$DG$171,0),2))</f>
        <v>0</v>
      </c>
    </row>
    <row r="1362" spans="1:19" x14ac:dyDescent="0.25">
      <c r="A1362" t="s">
        <v>271</v>
      </c>
      <c r="B1362" t="s">
        <v>272</v>
      </c>
      <c r="C1362">
        <v>229</v>
      </c>
      <c r="D1362">
        <v>246</v>
      </c>
      <c r="E1362" t="s">
        <v>235</v>
      </c>
      <c r="G1362">
        <v>0</v>
      </c>
      <c r="H1362">
        <v>0</v>
      </c>
      <c r="I1362">
        <v>0</v>
      </c>
      <c r="J1362">
        <v>0</v>
      </c>
      <c r="K1362">
        <v>0</v>
      </c>
      <c r="L1362">
        <v>0</v>
      </c>
      <c r="M1362">
        <v>0</v>
      </c>
      <c r="N1362">
        <v>0</v>
      </c>
      <c r="O1362">
        <v>0</v>
      </c>
      <c r="P1362">
        <v>0</v>
      </c>
      <c r="Q1362" t="str">
        <f>INDEX(pARTNER[#All],MATCH(#REF!,pARTNER[[#All],[Value.partnerSummary.id]],0),10)</f>
        <v>Italia (IT)</v>
      </c>
      <c r="R1362" t="str">
        <f>INDEX('Partner data'!$A$2:$DG$171,MATCH(#REF!,'Partner data'!$DG$2:$DG$171,0),83)</f>
        <v>Soggetto privato</v>
      </c>
      <c r="S1362" s="86" t="b">
        <f>IF(#REF!="staff",INDEX('Partner data'!$DG$2:$DH$171,MATCH(#REF!,'Partner data'!$DG$2:$DG$171,0),2))</f>
        <v>0</v>
      </c>
    </row>
    <row r="1363" spans="1:19" x14ac:dyDescent="0.25">
      <c r="A1363" t="s">
        <v>271</v>
      </c>
      <c r="B1363" t="s">
        <v>272</v>
      </c>
      <c r="C1363">
        <v>229</v>
      </c>
      <c r="D1363">
        <v>246</v>
      </c>
      <c r="E1363" t="s">
        <v>236</v>
      </c>
      <c r="G1363">
        <v>0</v>
      </c>
      <c r="H1363">
        <v>0</v>
      </c>
      <c r="I1363">
        <v>0</v>
      </c>
      <c r="J1363">
        <v>0</v>
      </c>
      <c r="K1363">
        <v>0</v>
      </c>
      <c r="L1363">
        <v>0</v>
      </c>
      <c r="M1363">
        <v>0</v>
      </c>
      <c r="N1363">
        <v>0</v>
      </c>
      <c r="O1363">
        <v>0</v>
      </c>
      <c r="P1363">
        <v>0</v>
      </c>
      <c r="Q1363" t="str">
        <f>INDEX(pARTNER[#All],MATCH(#REF!,pARTNER[[#All],[Value.partnerSummary.id]],0),10)</f>
        <v>Italia (IT)</v>
      </c>
      <c r="R1363" t="str">
        <f>INDEX('Partner data'!$A$2:$DG$171,MATCH(#REF!,'Partner data'!$DG$2:$DG$171,0),83)</f>
        <v>Soggetto privato</v>
      </c>
      <c r="S1363" s="86" t="b">
        <f>IF(#REF!="staff",INDEX('Partner data'!$DG$2:$DH$171,MATCH(#REF!,'Partner data'!$DG$2:$DG$171,0),2))</f>
        <v>0</v>
      </c>
    </row>
    <row r="1364" spans="1:19" x14ac:dyDescent="0.25">
      <c r="A1364" t="s">
        <v>271</v>
      </c>
      <c r="B1364" t="s">
        <v>272</v>
      </c>
      <c r="C1364">
        <v>229</v>
      </c>
      <c r="D1364">
        <v>246</v>
      </c>
      <c r="E1364" t="s">
        <v>237</v>
      </c>
      <c r="G1364">
        <v>0</v>
      </c>
      <c r="H1364">
        <v>0</v>
      </c>
      <c r="I1364">
        <v>0</v>
      </c>
      <c r="J1364">
        <v>0</v>
      </c>
      <c r="K1364">
        <v>0</v>
      </c>
      <c r="L1364">
        <v>0</v>
      </c>
      <c r="M1364">
        <v>0</v>
      </c>
      <c r="N1364">
        <v>0</v>
      </c>
      <c r="O1364">
        <v>0</v>
      </c>
      <c r="P1364">
        <v>0</v>
      </c>
      <c r="Q1364" t="str">
        <f>INDEX(pARTNER[#All],MATCH(#REF!,pARTNER[[#All],[Value.partnerSummary.id]],0),10)</f>
        <v>Italia (IT)</v>
      </c>
      <c r="R1364" t="str">
        <f>INDEX('Partner data'!$A$2:$DG$171,MATCH(#REF!,'Partner data'!$DG$2:$DG$171,0),83)</f>
        <v>Soggetto privato</v>
      </c>
      <c r="S1364" s="86" t="b">
        <f>IF(#REF!="staff",INDEX('Partner data'!$DG$2:$DH$171,MATCH(#REF!,'Partner data'!$DG$2:$DG$171,0),2))</f>
        <v>0</v>
      </c>
    </row>
    <row r="1365" spans="1:19" x14ac:dyDescent="0.25">
      <c r="A1365" t="s">
        <v>271</v>
      </c>
      <c r="B1365" t="s">
        <v>272</v>
      </c>
      <c r="C1365">
        <v>229</v>
      </c>
      <c r="D1365">
        <v>246</v>
      </c>
      <c r="E1365" t="s">
        <v>238</v>
      </c>
      <c r="G1365">
        <v>132787.88</v>
      </c>
      <c r="H1365">
        <v>0</v>
      </c>
      <c r="I1365">
        <v>0</v>
      </c>
      <c r="J1365">
        <v>41448.5</v>
      </c>
      <c r="K1365">
        <v>0</v>
      </c>
      <c r="L1365">
        <v>41448.5</v>
      </c>
      <c r="M1365">
        <v>41448.5</v>
      </c>
      <c r="N1365">
        <v>31.21</v>
      </c>
      <c r="O1365">
        <v>91339.38</v>
      </c>
      <c r="P1365">
        <v>0</v>
      </c>
      <c r="Q1365" t="str">
        <f>INDEX(pARTNER[#All],MATCH(#REF!,pARTNER[[#All],[Value.partnerSummary.id]],0),10)</f>
        <v>Italia (IT)</v>
      </c>
      <c r="R1365" t="str">
        <f>INDEX('Partner data'!$A$2:$DG$171,MATCH(#REF!,'Partner data'!$DG$2:$DG$171,0),83)</f>
        <v>Soggetto privato</v>
      </c>
      <c r="S1365" s="86" t="b">
        <f>IF(#REF!="staff",INDEX('Partner data'!$DG$2:$DH$171,MATCH(#REF!,'Partner data'!$DG$2:$DG$171,0),2))</f>
        <v>0</v>
      </c>
    </row>
    <row r="1366" spans="1:19" x14ac:dyDescent="0.25">
      <c r="A1366" t="s">
        <v>271</v>
      </c>
      <c r="B1366" t="s">
        <v>274</v>
      </c>
      <c r="C1366">
        <v>218</v>
      </c>
      <c r="D1366">
        <v>233</v>
      </c>
      <c r="E1366" t="s">
        <v>228</v>
      </c>
      <c r="G1366">
        <v>52320</v>
      </c>
      <c r="H1366">
        <v>0</v>
      </c>
      <c r="I1366">
        <v>0</v>
      </c>
      <c r="J1366">
        <v>13089.58</v>
      </c>
      <c r="K1366">
        <v>0</v>
      </c>
      <c r="L1366">
        <v>11101.64</v>
      </c>
      <c r="M1366">
        <v>13089.58</v>
      </c>
      <c r="N1366">
        <v>25.02</v>
      </c>
      <c r="O1366">
        <v>39230.42</v>
      </c>
      <c r="P1366">
        <v>0</v>
      </c>
      <c r="Q1366" t="str">
        <f>INDEX(pARTNER[#All],MATCH(#REF!,pARTNER[[#All],[Value.partnerSummary.id]],0),10)</f>
        <v>Slovenija (SI)</v>
      </c>
      <c r="R1366" t="str">
        <f>INDEX('Partner data'!$A$2:$DG$171,MATCH(#REF!,'Partner data'!$DG$2:$DG$171,0),83)</f>
        <v>Soggetto privato</v>
      </c>
      <c r="S1366" s="86" t="str">
        <f>IF(#REF!="staff",INDEX('Partner data'!$DG$2:$DH$171,MATCH(#REF!,'Partner data'!$DG$2:$DG$171,0),2))</f>
        <v>COSTO REALE</v>
      </c>
    </row>
    <row r="1367" spans="1:19" x14ac:dyDescent="0.25">
      <c r="A1367" t="s">
        <v>271</v>
      </c>
      <c r="B1367" t="s">
        <v>274</v>
      </c>
      <c r="C1367">
        <v>218</v>
      </c>
      <c r="D1367">
        <v>233</v>
      </c>
      <c r="E1367" t="s">
        <v>229</v>
      </c>
      <c r="F1367">
        <v>15</v>
      </c>
      <c r="G1367">
        <v>7848</v>
      </c>
      <c r="H1367">
        <v>0</v>
      </c>
      <c r="I1367">
        <v>0</v>
      </c>
      <c r="J1367">
        <v>1963.43</v>
      </c>
      <c r="K1367">
        <v>0</v>
      </c>
      <c r="L1367">
        <v>1665.24</v>
      </c>
      <c r="M1367">
        <v>1963.43</v>
      </c>
      <c r="N1367">
        <v>25.02</v>
      </c>
      <c r="O1367">
        <v>5884.57</v>
      </c>
      <c r="P1367">
        <v>0</v>
      </c>
      <c r="Q1367" t="str">
        <f>INDEX(pARTNER[#All],MATCH(#REF!,pARTNER[[#All],[Value.partnerSummary.id]],0),10)</f>
        <v>Slovenija (SI)</v>
      </c>
      <c r="R1367" t="str">
        <f>INDEX('Partner data'!$A$2:$DG$171,MATCH(#REF!,'Partner data'!$DG$2:$DG$171,0),83)</f>
        <v>Soggetto privato</v>
      </c>
      <c r="S1367" s="86" t="b">
        <f>IF(#REF!="staff",INDEX('Partner data'!$DG$2:$DH$171,MATCH(#REF!,'Partner data'!$DG$2:$DG$171,0),2))</f>
        <v>0</v>
      </c>
    </row>
    <row r="1368" spans="1:19" x14ac:dyDescent="0.25">
      <c r="A1368" t="s">
        <v>271</v>
      </c>
      <c r="B1368" t="s">
        <v>274</v>
      </c>
      <c r="C1368">
        <v>218</v>
      </c>
      <c r="D1368">
        <v>233</v>
      </c>
      <c r="E1368" t="s">
        <v>230</v>
      </c>
      <c r="F1368">
        <v>4</v>
      </c>
      <c r="G1368">
        <v>2092.8000000000002</v>
      </c>
      <c r="H1368">
        <v>0</v>
      </c>
      <c r="I1368">
        <v>0</v>
      </c>
      <c r="J1368">
        <v>523.58000000000004</v>
      </c>
      <c r="K1368">
        <v>0</v>
      </c>
      <c r="L1368">
        <v>444.06</v>
      </c>
      <c r="M1368">
        <v>523.58000000000004</v>
      </c>
      <c r="N1368">
        <v>25.02</v>
      </c>
      <c r="O1368">
        <v>1569.22</v>
      </c>
      <c r="P1368">
        <v>0</v>
      </c>
      <c r="Q1368" t="str">
        <f>INDEX(pARTNER[#All],MATCH(#REF!,pARTNER[[#All],[Value.partnerSummary.id]],0),10)</f>
        <v>Slovenija (SI)</v>
      </c>
      <c r="R1368" t="str">
        <f>INDEX('Partner data'!$A$2:$DG$171,MATCH(#REF!,'Partner data'!$DG$2:$DG$171,0),83)</f>
        <v>Soggetto privato</v>
      </c>
      <c r="S1368" s="86" t="b">
        <f>IF(#REF!="staff",INDEX('Partner data'!$DG$2:$DH$171,MATCH(#REF!,'Partner data'!$DG$2:$DG$171,0),2))</f>
        <v>0</v>
      </c>
    </row>
    <row r="1369" spans="1:19" x14ac:dyDescent="0.25">
      <c r="A1369" t="s">
        <v>271</v>
      </c>
      <c r="B1369" t="s">
        <v>274</v>
      </c>
      <c r="C1369">
        <v>218</v>
      </c>
      <c r="D1369">
        <v>233</v>
      </c>
      <c r="E1369" t="s">
        <v>231</v>
      </c>
      <c r="G1369">
        <v>54539.199999999997</v>
      </c>
      <c r="H1369">
        <v>0</v>
      </c>
      <c r="I1369">
        <v>0</v>
      </c>
      <c r="J1369">
        <v>5000</v>
      </c>
      <c r="K1369">
        <v>0</v>
      </c>
      <c r="L1369">
        <v>5000</v>
      </c>
      <c r="M1369">
        <v>5000</v>
      </c>
      <c r="N1369">
        <v>9.17</v>
      </c>
      <c r="O1369">
        <v>49539.199999999997</v>
      </c>
      <c r="P1369">
        <v>0</v>
      </c>
      <c r="Q1369" t="str">
        <f>INDEX(pARTNER[#All],MATCH(#REF!,pARTNER[[#All],[Value.partnerSummary.id]],0),10)</f>
        <v>Slovenija (SI)</v>
      </c>
      <c r="R1369" t="str">
        <f>INDEX('Partner data'!$A$2:$DG$171,MATCH(#REF!,'Partner data'!$DG$2:$DG$171,0),83)</f>
        <v>Soggetto privato</v>
      </c>
      <c r="S1369" s="86" t="b">
        <f>IF(#REF!="staff",INDEX('Partner data'!$DG$2:$DH$171,MATCH(#REF!,'Partner data'!$DG$2:$DG$171,0),2))</f>
        <v>0</v>
      </c>
    </row>
    <row r="1370" spans="1:19" x14ac:dyDescent="0.25">
      <c r="A1370" t="s">
        <v>271</v>
      </c>
      <c r="B1370" t="s">
        <v>274</v>
      </c>
      <c r="C1370">
        <v>218</v>
      </c>
      <c r="D1370">
        <v>233</v>
      </c>
      <c r="E1370" t="s">
        <v>232</v>
      </c>
      <c r="G1370">
        <v>11000</v>
      </c>
      <c r="H1370">
        <v>0</v>
      </c>
      <c r="I1370">
        <v>0</v>
      </c>
      <c r="J1370">
        <v>0</v>
      </c>
      <c r="K1370">
        <v>0</v>
      </c>
      <c r="L1370">
        <v>0</v>
      </c>
      <c r="M1370">
        <v>0</v>
      </c>
      <c r="N1370">
        <v>0</v>
      </c>
      <c r="O1370">
        <v>11000</v>
      </c>
      <c r="P1370">
        <v>0</v>
      </c>
      <c r="Q1370" t="str">
        <f>INDEX(pARTNER[#All],MATCH(#REF!,pARTNER[[#All],[Value.partnerSummary.id]],0),10)</f>
        <v>Slovenija (SI)</v>
      </c>
      <c r="R1370" t="str">
        <f>INDEX('Partner data'!$A$2:$DG$171,MATCH(#REF!,'Partner data'!$DG$2:$DG$171,0),83)</f>
        <v>Soggetto privato</v>
      </c>
      <c r="S1370" s="86" t="b">
        <f>IF(#REF!="staff",INDEX('Partner data'!$DG$2:$DH$171,MATCH(#REF!,'Partner data'!$DG$2:$DG$171,0),2))</f>
        <v>0</v>
      </c>
    </row>
    <row r="1371" spans="1:19" x14ac:dyDescent="0.25">
      <c r="A1371" t="s">
        <v>271</v>
      </c>
      <c r="B1371" t="s">
        <v>274</v>
      </c>
      <c r="C1371">
        <v>218</v>
      </c>
      <c r="D1371">
        <v>233</v>
      </c>
      <c r="E1371" t="s">
        <v>233</v>
      </c>
      <c r="G1371">
        <v>19000</v>
      </c>
      <c r="H1371">
        <v>0</v>
      </c>
      <c r="I1371">
        <v>0</v>
      </c>
      <c r="J1371">
        <v>0</v>
      </c>
      <c r="K1371">
        <v>0</v>
      </c>
      <c r="L1371">
        <v>0</v>
      </c>
      <c r="M1371">
        <v>0</v>
      </c>
      <c r="N1371">
        <v>0</v>
      </c>
      <c r="O1371">
        <v>19000</v>
      </c>
      <c r="P1371">
        <v>0</v>
      </c>
      <c r="Q1371" t="str">
        <f>INDEX(pARTNER[#All],MATCH(#REF!,pARTNER[[#All],[Value.partnerSummary.id]],0),10)</f>
        <v>Slovenija (SI)</v>
      </c>
      <c r="R1371" t="str">
        <f>INDEX('Partner data'!$A$2:$DG$171,MATCH(#REF!,'Partner data'!$DG$2:$DG$171,0),83)</f>
        <v>Soggetto privato</v>
      </c>
      <c r="S1371" s="86" t="b">
        <f>IF(#REF!="staff",INDEX('Partner data'!$DG$2:$DH$171,MATCH(#REF!,'Partner data'!$DG$2:$DG$171,0),2))</f>
        <v>0</v>
      </c>
    </row>
    <row r="1372" spans="1:19" x14ac:dyDescent="0.25">
      <c r="A1372" t="s">
        <v>271</v>
      </c>
      <c r="B1372" t="s">
        <v>274</v>
      </c>
      <c r="C1372">
        <v>218</v>
      </c>
      <c r="D1372">
        <v>233</v>
      </c>
      <c r="E1372" t="s">
        <v>234</v>
      </c>
      <c r="G1372">
        <v>0</v>
      </c>
      <c r="H1372">
        <v>0</v>
      </c>
      <c r="I1372">
        <v>0</v>
      </c>
      <c r="J1372">
        <v>0</v>
      </c>
      <c r="K1372">
        <v>0</v>
      </c>
      <c r="L1372">
        <v>0</v>
      </c>
      <c r="M1372">
        <v>0</v>
      </c>
      <c r="N1372">
        <v>0</v>
      </c>
      <c r="O1372">
        <v>0</v>
      </c>
      <c r="P1372">
        <v>0</v>
      </c>
      <c r="Q1372" t="str">
        <f>INDEX(pARTNER[#All],MATCH(#REF!,pARTNER[[#All],[Value.partnerSummary.id]],0),10)</f>
        <v>Slovenija (SI)</v>
      </c>
      <c r="R1372" t="str">
        <f>INDEX('Partner data'!$A$2:$DG$171,MATCH(#REF!,'Partner data'!$DG$2:$DG$171,0),83)</f>
        <v>Soggetto privato</v>
      </c>
      <c r="S1372" s="86" t="b">
        <f>IF(#REF!="staff",INDEX('Partner data'!$DG$2:$DH$171,MATCH(#REF!,'Partner data'!$DG$2:$DG$171,0),2))</f>
        <v>0</v>
      </c>
    </row>
    <row r="1373" spans="1:19" x14ac:dyDescent="0.25">
      <c r="A1373" t="s">
        <v>271</v>
      </c>
      <c r="B1373" t="s">
        <v>274</v>
      </c>
      <c r="C1373">
        <v>218</v>
      </c>
      <c r="D1373">
        <v>233</v>
      </c>
      <c r="E1373" t="s">
        <v>235</v>
      </c>
      <c r="G1373">
        <v>0</v>
      </c>
      <c r="H1373">
        <v>0</v>
      </c>
      <c r="I1373">
        <v>0</v>
      </c>
      <c r="J1373">
        <v>0</v>
      </c>
      <c r="K1373">
        <v>0</v>
      </c>
      <c r="L1373">
        <v>0</v>
      </c>
      <c r="M1373">
        <v>0</v>
      </c>
      <c r="N1373">
        <v>0</v>
      </c>
      <c r="O1373">
        <v>0</v>
      </c>
      <c r="P1373">
        <v>0</v>
      </c>
      <c r="Q1373" t="str">
        <f>INDEX(pARTNER[#All],MATCH(#REF!,pARTNER[[#All],[Value.partnerSummary.id]],0),10)</f>
        <v>Slovenija (SI)</v>
      </c>
      <c r="R1373" t="str">
        <f>INDEX('Partner data'!$A$2:$DG$171,MATCH(#REF!,'Partner data'!$DG$2:$DG$171,0),83)</f>
        <v>Soggetto privato</v>
      </c>
      <c r="S1373" s="86" t="b">
        <f>IF(#REF!="staff",INDEX('Partner data'!$DG$2:$DH$171,MATCH(#REF!,'Partner data'!$DG$2:$DG$171,0),2))</f>
        <v>0</v>
      </c>
    </row>
    <row r="1374" spans="1:19" x14ac:dyDescent="0.25">
      <c r="A1374" t="s">
        <v>271</v>
      </c>
      <c r="B1374" t="s">
        <v>274</v>
      </c>
      <c r="C1374">
        <v>218</v>
      </c>
      <c r="D1374">
        <v>233</v>
      </c>
      <c r="E1374" t="s">
        <v>236</v>
      </c>
      <c r="G1374">
        <v>0</v>
      </c>
      <c r="H1374">
        <v>0</v>
      </c>
      <c r="I1374">
        <v>0</v>
      </c>
      <c r="J1374">
        <v>0</v>
      </c>
      <c r="K1374">
        <v>0</v>
      </c>
      <c r="L1374">
        <v>0</v>
      </c>
      <c r="M1374">
        <v>0</v>
      </c>
      <c r="N1374">
        <v>0</v>
      </c>
      <c r="O1374">
        <v>0</v>
      </c>
      <c r="P1374">
        <v>0</v>
      </c>
      <c r="Q1374" t="str">
        <f>INDEX(pARTNER[#All],MATCH(#REF!,pARTNER[[#All],[Value.partnerSummary.id]],0),10)</f>
        <v>Slovenija (SI)</v>
      </c>
      <c r="R1374" t="str">
        <f>INDEX('Partner data'!$A$2:$DG$171,MATCH(#REF!,'Partner data'!$DG$2:$DG$171,0),83)</f>
        <v>Soggetto privato</v>
      </c>
      <c r="S1374" s="86" t="b">
        <f>IF(#REF!="staff",INDEX('Partner data'!$DG$2:$DH$171,MATCH(#REF!,'Partner data'!$DG$2:$DG$171,0),2))</f>
        <v>0</v>
      </c>
    </row>
    <row r="1375" spans="1:19" x14ac:dyDescent="0.25">
      <c r="A1375" t="s">
        <v>271</v>
      </c>
      <c r="B1375" t="s">
        <v>274</v>
      </c>
      <c r="C1375">
        <v>218</v>
      </c>
      <c r="D1375">
        <v>233</v>
      </c>
      <c r="E1375" t="s">
        <v>237</v>
      </c>
      <c r="G1375">
        <v>0</v>
      </c>
      <c r="H1375">
        <v>0</v>
      </c>
      <c r="I1375">
        <v>0</v>
      </c>
      <c r="J1375">
        <v>0</v>
      </c>
      <c r="K1375">
        <v>0</v>
      </c>
      <c r="L1375">
        <v>0</v>
      </c>
      <c r="M1375">
        <v>0</v>
      </c>
      <c r="N1375">
        <v>0</v>
      </c>
      <c r="O1375">
        <v>0</v>
      </c>
      <c r="P1375">
        <v>0</v>
      </c>
      <c r="Q1375" t="str">
        <f>INDEX(pARTNER[#All],MATCH(#REF!,pARTNER[[#All],[Value.partnerSummary.id]],0),10)</f>
        <v>Slovenija (SI)</v>
      </c>
      <c r="R1375" t="str">
        <f>INDEX('Partner data'!$A$2:$DG$171,MATCH(#REF!,'Partner data'!$DG$2:$DG$171,0),83)</f>
        <v>Soggetto privato</v>
      </c>
      <c r="S1375" s="86" t="b">
        <f>IF(#REF!="staff",INDEX('Partner data'!$DG$2:$DH$171,MATCH(#REF!,'Partner data'!$DG$2:$DG$171,0),2))</f>
        <v>0</v>
      </c>
    </row>
    <row r="1376" spans="1:19" x14ac:dyDescent="0.25">
      <c r="A1376" t="s">
        <v>271</v>
      </c>
      <c r="B1376" t="s">
        <v>274</v>
      </c>
      <c r="C1376">
        <v>218</v>
      </c>
      <c r="D1376">
        <v>233</v>
      </c>
      <c r="E1376" t="s">
        <v>238</v>
      </c>
      <c r="G1376">
        <v>146800</v>
      </c>
      <c r="H1376">
        <v>0</v>
      </c>
      <c r="I1376">
        <v>0</v>
      </c>
      <c r="J1376">
        <v>20576.59</v>
      </c>
      <c r="K1376">
        <v>0</v>
      </c>
      <c r="L1376">
        <v>18210.939999999999</v>
      </c>
      <c r="M1376">
        <v>20576.59</v>
      </c>
      <c r="N1376">
        <v>14.02</v>
      </c>
      <c r="O1376">
        <v>126223.41</v>
      </c>
      <c r="P1376">
        <v>0</v>
      </c>
      <c r="Q1376" t="str">
        <f>INDEX(pARTNER[#All],MATCH(#REF!,pARTNER[[#All],[Value.partnerSummary.id]],0),10)</f>
        <v>Slovenija (SI)</v>
      </c>
      <c r="R1376" t="str">
        <f>INDEX('Partner data'!$A$2:$DG$171,MATCH(#REF!,'Partner data'!$DG$2:$DG$171,0),83)</f>
        <v>Soggetto privato</v>
      </c>
      <c r="S1376" s="86" t="b">
        <f>IF(#REF!="staff",INDEX('Partner data'!$DG$2:$DH$171,MATCH(#REF!,'Partner data'!$DG$2:$DG$171,0),2))</f>
        <v>0</v>
      </c>
    </row>
    <row r="1377" spans="1:19" x14ac:dyDescent="0.25">
      <c r="A1377" t="s">
        <v>271</v>
      </c>
      <c r="B1377" t="s">
        <v>275</v>
      </c>
      <c r="C1377">
        <v>221</v>
      </c>
      <c r="D1377">
        <v>325</v>
      </c>
      <c r="E1377" t="s">
        <v>228</v>
      </c>
      <c r="G1377">
        <v>15500</v>
      </c>
      <c r="H1377">
        <v>0</v>
      </c>
      <c r="I1377">
        <v>0</v>
      </c>
      <c r="J1377">
        <v>0</v>
      </c>
      <c r="K1377">
        <v>0</v>
      </c>
      <c r="L1377">
        <v>0</v>
      </c>
      <c r="M1377">
        <v>0</v>
      </c>
      <c r="N1377">
        <v>0</v>
      </c>
      <c r="O1377">
        <v>15500</v>
      </c>
      <c r="P1377">
        <v>0</v>
      </c>
      <c r="Q1377" t="str">
        <f>INDEX(pARTNER[#All],MATCH(#REF!,pARTNER[[#All],[Value.partnerSummary.id]],0),10)</f>
        <v>Slovenija (SI)</v>
      </c>
      <c r="R1377" t="str">
        <f>INDEX('Partner data'!$A$2:$DG$171,MATCH(#REF!,'Partner data'!$DG$2:$DG$171,0),83)</f>
        <v>Soggetto pubblico</v>
      </c>
      <c r="S1377" s="86" t="str">
        <f>IF(#REF!="staff",INDEX('Partner data'!$DG$2:$DH$171,MATCH(#REF!,'Partner data'!$DG$2:$DG$171,0),2))</f>
        <v>COSTO REALE</v>
      </c>
    </row>
    <row r="1378" spans="1:19" x14ac:dyDescent="0.25">
      <c r="A1378" t="s">
        <v>271</v>
      </c>
      <c r="B1378" t="s">
        <v>275</v>
      </c>
      <c r="C1378">
        <v>221</v>
      </c>
      <c r="D1378">
        <v>325</v>
      </c>
      <c r="E1378" t="s">
        <v>229</v>
      </c>
      <c r="F1378">
        <v>15</v>
      </c>
      <c r="G1378">
        <v>2325</v>
      </c>
      <c r="H1378">
        <v>0</v>
      </c>
      <c r="I1378">
        <v>0</v>
      </c>
      <c r="J1378">
        <v>0</v>
      </c>
      <c r="K1378">
        <v>0</v>
      </c>
      <c r="L1378">
        <v>0</v>
      </c>
      <c r="M1378">
        <v>0</v>
      </c>
      <c r="N1378">
        <v>0</v>
      </c>
      <c r="O1378">
        <v>2325</v>
      </c>
      <c r="P1378">
        <v>0</v>
      </c>
      <c r="Q1378" t="str">
        <f>INDEX(pARTNER[#All],MATCH(#REF!,pARTNER[[#All],[Value.partnerSummary.id]],0),10)</f>
        <v>Slovenija (SI)</v>
      </c>
      <c r="R1378" t="str">
        <f>INDEX('Partner data'!$A$2:$DG$171,MATCH(#REF!,'Partner data'!$DG$2:$DG$171,0),83)</f>
        <v>Soggetto pubblico</v>
      </c>
      <c r="S1378" s="86" t="b">
        <f>IF(#REF!="staff",INDEX('Partner data'!$DG$2:$DH$171,MATCH(#REF!,'Partner data'!$DG$2:$DG$171,0),2))</f>
        <v>0</v>
      </c>
    </row>
    <row r="1379" spans="1:19" x14ac:dyDescent="0.25">
      <c r="A1379" t="s">
        <v>271</v>
      </c>
      <c r="B1379" t="s">
        <v>275</v>
      </c>
      <c r="C1379">
        <v>221</v>
      </c>
      <c r="D1379">
        <v>325</v>
      </c>
      <c r="E1379" t="s">
        <v>230</v>
      </c>
      <c r="F1379">
        <v>4</v>
      </c>
      <c r="G1379">
        <v>620</v>
      </c>
      <c r="H1379">
        <v>0</v>
      </c>
      <c r="I1379">
        <v>0</v>
      </c>
      <c r="J1379">
        <v>0</v>
      </c>
      <c r="K1379">
        <v>0</v>
      </c>
      <c r="L1379">
        <v>0</v>
      </c>
      <c r="M1379">
        <v>0</v>
      </c>
      <c r="N1379">
        <v>0</v>
      </c>
      <c r="O1379">
        <v>620</v>
      </c>
      <c r="P1379">
        <v>0</v>
      </c>
      <c r="Q1379" t="str">
        <f>INDEX(pARTNER[#All],MATCH(#REF!,pARTNER[[#All],[Value.partnerSummary.id]],0),10)</f>
        <v>Slovenija (SI)</v>
      </c>
      <c r="R1379" t="str">
        <f>INDEX('Partner data'!$A$2:$DG$171,MATCH(#REF!,'Partner data'!$DG$2:$DG$171,0),83)</f>
        <v>Soggetto pubblico</v>
      </c>
      <c r="S1379" s="86" t="b">
        <f>IF(#REF!="staff",INDEX('Partner data'!$DG$2:$DH$171,MATCH(#REF!,'Partner data'!$DG$2:$DG$171,0),2))</f>
        <v>0</v>
      </c>
    </row>
    <row r="1380" spans="1:19" x14ac:dyDescent="0.25">
      <c r="A1380" t="s">
        <v>271</v>
      </c>
      <c r="B1380" t="s">
        <v>275</v>
      </c>
      <c r="C1380">
        <v>221</v>
      </c>
      <c r="D1380">
        <v>325</v>
      </c>
      <c r="E1380" t="s">
        <v>231</v>
      </c>
      <c r="G1380">
        <v>98000</v>
      </c>
      <c r="H1380">
        <v>0</v>
      </c>
      <c r="I1380">
        <v>0</v>
      </c>
      <c r="J1380">
        <v>0</v>
      </c>
      <c r="K1380">
        <v>0</v>
      </c>
      <c r="L1380">
        <v>0</v>
      </c>
      <c r="M1380">
        <v>0</v>
      </c>
      <c r="N1380">
        <v>0</v>
      </c>
      <c r="O1380">
        <v>98000</v>
      </c>
      <c r="P1380">
        <v>0</v>
      </c>
      <c r="Q1380" t="str">
        <f>INDEX(pARTNER[#All],MATCH(#REF!,pARTNER[[#All],[Value.partnerSummary.id]],0),10)</f>
        <v>Slovenija (SI)</v>
      </c>
      <c r="R1380" t="str">
        <f>INDEX('Partner data'!$A$2:$DG$171,MATCH(#REF!,'Partner data'!$DG$2:$DG$171,0),83)</f>
        <v>Soggetto pubblico</v>
      </c>
      <c r="S1380" s="86" t="b">
        <f>IF(#REF!="staff",INDEX('Partner data'!$DG$2:$DH$171,MATCH(#REF!,'Partner data'!$DG$2:$DG$171,0),2))</f>
        <v>0</v>
      </c>
    </row>
    <row r="1381" spans="1:19" x14ac:dyDescent="0.25">
      <c r="A1381" t="s">
        <v>271</v>
      </c>
      <c r="B1381" t="s">
        <v>275</v>
      </c>
      <c r="C1381">
        <v>221</v>
      </c>
      <c r="D1381">
        <v>325</v>
      </c>
      <c r="E1381" t="s">
        <v>232</v>
      </c>
      <c r="G1381">
        <v>18300</v>
      </c>
      <c r="H1381">
        <v>0</v>
      </c>
      <c r="I1381">
        <v>0</v>
      </c>
      <c r="J1381">
        <v>0</v>
      </c>
      <c r="K1381">
        <v>0</v>
      </c>
      <c r="L1381">
        <v>0</v>
      </c>
      <c r="M1381">
        <v>0</v>
      </c>
      <c r="N1381">
        <v>0</v>
      </c>
      <c r="O1381">
        <v>18300</v>
      </c>
      <c r="P1381">
        <v>0</v>
      </c>
      <c r="Q1381" t="str">
        <f>INDEX(pARTNER[#All],MATCH(#REF!,pARTNER[[#All],[Value.partnerSummary.id]],0),10)</f>
        <v>Slovenija (SI)</v>
      </c>
      <c r="R1381" t="str">
        <f>INDEX('Partner data'!$A$2:$DG$171,MATCH(#REF!,'Partner data'!$DG$2:$DG$171,0),83)</f>
        <v>Soggetto pubblico</v>
      </c>
      <c r="S1381" s="86" t="b">
        <f>IF(#REF!="staff",INDEX('Partner data'!$DG$2:$DH$171,MATCH(#REF!,'Partner data'!$DG$2:$DG$171,0),2))</f>
        <v>0</v>
      </c>
    </row>
    <row r="1382" spans="1:19" x14ac:dyDescent="0.25">
      <c r="A1382" t="s">
        <v>271</v>
      </c>
      <c r="B1382" t="s">
        <v>275</v>
      </c>
      <c r="C1382">
        <v>221</v>
      </c>
      <c r="D1382">
        <v>325</v>
      </c>
      <c r="E1382" t="s">
        <v>233</v>
      </c>
      <c r="G1382">
        <v>15000</v>
      </c>
      <c r="H1382">
        <v>0</v>
      </c>
      <c r="I1382">
        <v>0</v>
      </c>
      <c r="J1382">
        <v>0</v>
      </c>
      <c r="K1382">
        <v>0</v>
      </c>
      <c r="L1382">
        <v>0</v>
      </c>
      <c r="M1382">
        <v>0</v>
      </c>
      <c r="N1382">
        <v>0</v>
      </c>
      <c r="O1382">
        <v>15000</v>
      </c>
      <c r="P1382">
        <v>0</v>
      </c>
      <c r="Q1382" t="str">
        <f>INDEX(pARTNER[#All],MATCH(#REF!,pARTNER[[#All],[Value.partnerSummary.id]],0),10)</f>
        <v>Slovenija (SI)</v>
      </c>
      <c r="R1382" t="str">
        <f>INDEX('Partner data'!$A$2:$DG$171,MATCH(#REF!,'Partner data'!$DG$2:$DG$171,0),83)</f>
        <v>Soggetto pubblico</v>
      </c>
      <c r="S1382" s="86" t="b">
        <f>IF(#REF!="staff",INDEX('Partner data'!$DG$2:$DH$171,MATCH(#REF!,'Partner data'!$DG$2:$DG$171,0),2))</f>
        <v>0</v>
      </c>
    </row>
    <row r="1383" spans="1:19" x14ac:dyDescent="0.25">
      <c r="A1383" t="s">
        <v>271</v>
      </c>
      <c r="B1383" t="s">
        <v>275</v>
      </c>
      <c r="C1383">
        <v>221</v>
      </c>
      <c r="D1383">
        <v>325</v>
      </c>
      <c r="E1383" t="s">
        <v>234</v>
      </c>
      <c r="G1383">
        <v>0</v>
      </c>
      <c r="H1383">
        <v>0</v>
      </c>
      <c r="I1383">
        <v>0</v>
      </c>
      <c r="J1383">
        <v>0</v>
      </c>
      <c r="K1383">
        <v>0</v>
      </c>
      <c r="L1383">
        <v>0</v>
      </c>
      <c r="M1383">
        <v>0</v>
      </c>
      <c r="N1383">
        <v>0</v>
      </c>
      <c r="O1383">
        <v>0</v>
      </c>
      <c r="P1383">
        <v>0</v>
      </c>
      <c r="Q1383" t="str">
        <f>INDEX(pARTNER[#All],MATCH(#REF!,pARTNER[[#All],[Value.partnerSummary.id]],0),10)</f>
        <v>Slovenija (SI)</v>
      </c>
      <c r="R1383" t="str">
        <f>INDEX('Partner data'!$A$2:$DG$171,MATCH(#REF!,'Partner data'!$DG$2:$DG$171,0),83)</f>
        <v>Soggetto pubblico</v>
      </c>
      <c r="S1383" s="86" t="b">
        <f>IF(#REF!="staff",INDEX('Partner data'!$DG$2:$DH$171,MATCH(#REF!,'Partner data'!$DG$2:$DG$171,0),2))</f>
        <v>0</v>
      </c>
    </row>
    <row r="1384" spans="1:19" x14ac:dyDescent="0.25">
      <c r="A1384" t="s">
        <v>271</v>
      </c>
      <c r="B1384" t="s">
        <v>275</v>
      </c>
      <c r="C1384">
        <v>221</v>
      </c>
      <c r="D1384">
        <v>325</v>
      </c>
      <c r="E1384" t="s">
        <v>235</v>
      </c>
      <c r="G1384">
        <v>0</v>
      </c>
      <c r="H1384">
        <v>0</v>
      </c>
      <c r="I1384">
        <v>0</v>
      </c>
      <c r="J1384">
        <v>0</v>
      </c>
      <c r="K1384">
        <v>0</v>
      </c>
      <c r="L1384">
        <v>0</v>
      </c>
      <c r="M1384">
        <v>0</v>
      </c>
      <c r="N1384">
        <v>0</v>
      </c>
      <c r="O1384">
        <v>0</v>
      </c>
      <c r="P1384">
        <v>0</v>
      </c>
      <c r="Q1384" t="str">
        <f>INDEX(pARTNER[#All],MATCH(#REF!,pARTNER[[#All],[Value.partnerSummary.id]],0),10)</f>
        <v>Slovenija (SI)</v>
      </c>
      <c r="R1384" t="str">
        <f>INDEX('Partner data'!$A$2:$DG$171,MATCH(#REF!,'Partner data'!$DG$2:$DG$171,0),83)</f>
        <v>Soggetto pubblico</v>
      </c>
      <c r="S1384" s="86" t="b">
        <f>IF(#REF!="staff",INDEX('Partner data'!$DG$2:$DH$171,MATCH(#REF!,'Partner data'!$DG$2:$DG$171,0),2))</f>
        <v>0</v>
      </c>
    </row>
    <row r="1385" spans="1:19" x14ac:dyDescent="0.25">
      <c r="A1385" t="s">
        <v>271</v>
      </c>
      <c r="B1385" t="s">
        <v>275</v>
      </c>
      <c r="C1385">
        <v>221</v>
      </c>
      <c r="D1385">
        <v>325</v>
      </c>
      <c r="E1385" t="s">
        <v>236</v>
      </c>
      <c r="G1385">
        <v>0</v>
      </c>
      <c r="H1385">
        <v>0</v>
      </c>
      <c r="I1385">
        <v>0</v>
      </c>
      <c r="J1385">
        <v>0</v>
      </c>
      <c r="K1385">
        <v>0</v>
      </c>
      <c r="L1385">
        <v>0</v>
      </c>
      <c r="M1385">
        <v>0</v>
      </c>
      <c r="N1385">
        <v>0</v>
      </c>
      <c r="O1385">
        <v>0</v>
      </c>
      <c r="P1385">
        <v>0</v>
      </c>
      <c r="Q1385" t="str">
        <f>INDEX(pARTNER[#All],MATCH(#REF!,pARTNER[[#All],[Value.partnerSummary.id]],0),10)</f>
        <v>Slovenija (SI)</v>
      </c>
      <c r="R1385" t="str">
        <f>INDEX('Partner data'!$A$2:$DG$171,MATCH(#REF!,'Partner data'!$DG$2:$DG$171,0),83)</f>
        <v>Soggetto pubblico</v>
      </c>
      <c r="S1385" s="86" t="b">
        <f>IF(#REF!="staff",INDEX('Partner data'!$DG$2:$DH$171,MATCH(#REF!,'Partner data'!$DG$2:$DG$171,0),2))</f>
        <v>0</v>
      </c>
    </row>
    <row r="1386" spans="1:19" x14ac:dyDescent="0.25">
      <c r="A1386" t="s">
        <v>271</v>
      </c>
      <c r="B1386" t="s">
        <v>275</v>
      </c>
      <c r="C1386">
        <v>221</v>
      </c>
      <c r="D1386">
        <v>325</v>
      </c>
      <c r="E1386" t="s">
        <v>237</v>
      </c>
      <c r="G1386">
        <v>0</v>
      </c>
      <c r="H1386">
        <v>0</v>
      </c>
      <c r="I1386">
        <v>0</v>
      </c>
      <c r="J1386">
        <v>0</v>
      </c>
      <c r="K1386">
        <v>0</v>
      </c>
      <c r="L1386">
        <v>0</v>
      </c>
      <c r="M1386">
        <v>0</v>
      </c>
      <c r="N1386">
        <v>0</v>
      </c>
      <c r="O1386">
        <v>0</v>
      </c>
      <c r="P1386">
        <v>0</v>
      </c>
      <c r="Q1386" t="str">
        <f>INDEX(pARTNER[#All],MATCH(#REF!,pARTNER[[#All],[Value.partnerSummary.id]],0),10)</f>
        <v>Slovenija (SI)</v>
      </c>
      <c r="R1386" t="str">
        <f>INDEX('Partner data'!$A$2:$DG$171,MATCH(#REF!,'Partner data'!$DG$2:$DG$171,0),83)</f>
        <v>Soggetto pubblico</v>
      </c>
      <c r="S1386" s="86" t="b">
        <f>IF(#REF!="staff",INDEX('Partner data'!$DG$2:$DH$171,MATCH(#REF!,'Partner data'!$DG$2:$DG$171,0),2))</f>
        <v>0</v>
      </c>
    </row>
    <row r="1387" spans="1:19" x14ac:dyDescent="0.25">
      <c r="A1387" t="s">
        <v>271</v>
      </c>
      <c r="B1387" t="s">
        <v>275</v>
      </c>
      <c r="C1387">
        <v>221</v>
      </c>
      <c r="D1387">
        <v>325</v>
      </c>
      <c r="E1387" t="s">
        <v>238</v>
      </c>
      <c r="G1387">
        <v>149745</v>
      </c>
      <c r="H1387">
        <v>0</v>
      </c>
      <c r="I1387">
        <v>0</v>
      </c>
      <c r="J1387">
        <v>0</v>
      </c>
      <c r="K1387">
        <v>0</v>
      </c>
      <c r="L1387">
        <v>0</v>
      </c>
      <c r="M1387">
        <v>0</v>
      </c>
      <c r="N1387">
        <v>0</v>
      </c>
      <c r="O1387">
        <v>149745</v>
      </c>
      <c r="P1387">
        <v>0</v>
      </c>
      <c r="Q1387" t="str">
        <f>INDEX(pARTNER[#All],MATCH(#REF!,pARTNER[[#All],[Value.partnerSummary.id]],0),10)</f>
        <v>Slovenija (SI)</v>
      </c>
      <c r="R1387" t="str">
        <f>INDEX('Partner data'!$A$2:$DG$171,MATCH(#REF!,'Partner data'!$DG$2:$DG$171,0),83)</f>
        <v>Soggetto pubblico</v>
      </c>
      <c r="S1387" s="86" t="b">
        <f>IF(#REF!="staff",INDEX('Partner data'!$DG$2:$DH$171,MATCH(#REF!,'Partner data'!$DG$2:$DG$171,0),2))</f>
        <v>0</v>
      </c>
    </row>
    <row r="1388" spans="1:19" x14ac:dyDescent="0.25">
      <c r="A1388" t="s">
        <v>271</v>
      </c>
      <c r="B1388" t="s">
        <v>276</v>
      </c>
      <c r="C1388">
        <v>76</v>
      </c>
      <c r="D1388">
        <v>198</v>
      </c>
      <c r="E1388" t="s">
        <v>228</v>
      </c>
      <c r="G1388">
        <v>222244.27</v>
      </c>
      <c r="H1388">
        <v>0</v>
      </c>
      <c r="I1388">
        <v>0</v>
      </c>
      <c r="J1388">
        <v>31555.09</v>
      </c>
      <c r="K1388">
        <v>0</v>
      </c>
      <c r="L1388">
        <v>30965.54</v>
      </c>
      <c r="M1388">
        <v>31555.09</v>
      </c>
      <c r="N1388">
        <v>14.2</v>
      </c>
      <c r="O1388">
        <v>190689.18</v>
      </c>
      <c r="P1388">
        <v>0</v>
      </c>
      <c r="Q1388" t="str">
        <f>INDEX(pARTNER[#All],MATCH(#REF!,pARTNER[[#All],[Value.partnerSummary.id]],0),10)</f>
        <v>Italia (IT)</v>
      </c>
      <c r="R1388" t="str">
        <f>INDEX('Partner data'!$A$2:$DG$171,MATCH(#REF!,'Partner data'!$DG$2:$DG$171,0),83)</f>
        <v>Soggetto privato</v>
      </c>
      <c r="S1388" s="86" t="str">
        <f>IF(#REF!="staff",INDEX('Partner data'!$DG$2:$DH$171,MATCH(#REF!,'Partner data'!$DG$2:$DG$171,0),2))</f>
        <v>COSTO REALE</v>
      </c>
    </row>
    <row r="1389" spans="1:19" x14ac:dyDescent="0.25">
      <c r="A1389" t="s">
        <v>271</v>
      </c>
      <c r="B1389" t="s">
        <v>276</v>
      </c>
      <c r="C1389">
        <v>76</v>
      </c>
      <c r="D1389">
        <v>198</v>
      </c>
      <c r="E1389" t="s">
        <v>229</v>
      </c>
      <c r="G1389">
        <v>0</v>
      </c>
      <c r="H1389">
        <v>0</v>
      </c>
      <c r="I1389">
        <v>0</v>
      </c>
      <c r="J1389">
        <v>0</v>
      </c>
      <c r="K1389">
        <v>0</v>
      </c>
      <c r="L1389">
        <v>0</v>
      </c>
      <c r="M1389">
        <v>0</v>
      </c>
      <c r="N1389">
        <v>0</v>
      </c>
      <c r="O1389">
        <v>0</v>
      </c>
      <c r="P1389">
        <v>0</v>
      </c>
      <c r="Q1389" t="str">
        <f>INDEX(pARTNER[#All],MATCH(#REF!,pARTNER[[#All],[Value.partnerSummary.id]],0),10)</f>
        <v>Italia (IT)</v>
      </c>
      <c r="R1389" t="str">
        <f>INDEX('Partner data'!$A$2:$DG$171,MATCH(#REF!,'Partner data'!$DG$2:$DG$171,0),83)</f>
        <v>Soggetto privato</v>
      </c>
      <c r="S1389" s="86" t="b">
        <f>IF(#REF!="staff",INDEX('Partner data'!$DG$2:$DH$171,MATCH(#REF!,'Partner data'!$DG$2:$DG$171,0),2))</f>
        <v>0</v>
      </c>
    </row>
    <row r="1390" spans="1:19" x14ac:dyDescent="0.25">
      <c r="A1390" t="s">
        <v>271</v>
      </c>
      <c r="B1390" t="s">
        <v>276</v>
      </c>
      <c r="C1390">
        <v>76</v>
      </c>
      <c r="D1390">
        <v>198</v>
      </c>
      <c r="E1390" t="s">
        <v>230</v>
      </c>
      <c r="G1390">
        <v>0</v>
      </c>
      <c r="H1390">
        <v>0</v>
      </c>
      <c r="I1390">
        <v>0</v>
      </c>
      <c r="J1390">
        <v>0</v>
      </c>
      <c r="K1390">
        <v>0</v>
      </c>
      <c r="L1390">
        <v>0</v>
      </c>
      <c r="M1390">
        <v>0</v>
      </c>
      <c r="N1390">
        <v>0</v>
      </c>
      <c r="O1390">
        <v>0</v>
      </c>
      <c r="P1390">
        <v>0</v>
      </c>
      <c r="Q1390" t="str">
        <f>INDEX(pARTNER[#All],MATCH(#REF!,pARTNER[[#All],[Value.partnerSummary.id]],0),10)</f>
        <v>Italia (IT)</v>
      </c>
      <c r="R1390" t="str">
        <f>INDEX('Partner data'!$A$2:$DG$171,MATCH(#REF!,'Partner data'!$DG$2:$DG$171,0),83)</f>
        <v>Soggetto privato</v>
      </c>
      <c r="S1390" s="86" t="b">
        <f>IF(#REF!="staff",INDEX('Partner data'!$DG$2:$DH$171,MATCH(#REF!,'Partner data'!$DG$2:$DG$171,0),2))</f>
        <v>0</v>
      </c>
    </row>
    <row r="1391" spans="1:19" x14ac:dyDescent="0.25">
      <c r="A1391" t="s">
        <v>271</v>
      </c>
      <c r="B1391" t="s">
        <v>276</v>
      </c>
      <c r="C1391">
        <v>76</v>
      </c>
      <c r="D1391">
        <v>198</v>
      </c>
      <c r="E1391" t="s">
        <v>231</v>
      </c>
      <c r="G1391">
        <v>0</v>
      </c>
      <c r="H1391">
        <v>0</v>
      </c>
      <c r="I1391">
        <v>0</v>
      </c>
      <c r="J1391">
        <v>0</v>
      </c>
      <c r="K1391">
        <v>0</v>
      </c>
      <c r="L1391">
        <v>0</v>
      </c>
      <c r="M1391">
        <v>0</v>
      </c>
      <c r="N1391">
        <v>0</v>
      </c>
      <c r="O1391">
        <v>0</v>
      </c>
      <c r="P1391">
        <v>0</v>
      </c>
      <c r="Q1391" t="str">
        <f>INDEX(pARTNER[#All],MATCH(#REF!,pARTNER[[#All],[Value.partnerSummary.id]],0),10)</f>
        <v>Italia (IT)</v>
      </c>
      <c r="R1391" t="str">
        <f>INDEX('Partner data'!$A$2:$DG$171,MATCH(#REF!,'Partner data'!$DG$2:$DG$171,0),83)</f>
        <v>Soggetto privato</v>
      </c>
      <c r="S1391" s="86" t="b">
        <f>IF(#REF!="staff",INDEX('Partner data'!$DG$2:$DH$171,MATCH(#REF!,'Partner data'!$DG$2:$DG$171,0),2))</f>
        <v>0</v>
      </c>
    </row>
    <row r="1392" spans="1:19" x14ac:dyDescent="0.25">
      <c r="A1392" t="s">
        <v>271</v>
      </c>
      <c r="B1392" t="s">
        <v>276</v>
      </c>
      <c r="C1392">
        <v>76</v>
      </c>
      <c r="D1392">
        <v>198</v>
      </c>
      <c r="E1392" t="s">
        <v>232</v>
      </c>
      <c r="G1392">
        <v>0</v>
      </c>
      <c r="H1392">
        <v>0</v>
      </c>
      <c r="I1392">
        <v>0</v>
      </c>
      <c r="J1392">
        <v>0</v>
      </c>
      <c r="K1392">
        <v>0</v>
      </c>
      <c r="L1392">
        <v>0</v>
      </c>
      <c r="M1392">
        <v>0</v>
      </c>
      <c r="N1392">
        <v>0</v>
      </c>
      <c r="O1392">
        <v>0</v>
      </c>
      <c r="P1392">
        <v>0</v>
      </c>
      <c r="Q1392" t="str">
        <f>INDEX(pARTNER[#All],MATCH(#REF!,pARTNER[[#All],[Value.partnerSummary.id]],0),10)</f>
        <v>Italia (IT)</v>
      </c>
      <c r="R1392" t="str">
        <f>INDEX('Partner data'!$A$2:$DG$171,MATCH(#REF!,'Partner data'!$DG$2:$DG$171,0),83)</f>
        <v>Soggetto privato</v>
      </c>
      <c r="S1392" s="86" t="b">
        <f>IF(#REF!="staff",INDEX('Partner data'!$DG$2:$DH$171,MATCH(#REF!,'Partner data'!$DG$2:$DG$171,0),2))</f>
        <v>0</v>
      </c>
    </row>
    <row r="1393" spans="1:19" x14ac:dyDescent="0.25">
      <c r="A1393" t="s">
        <v>271</v>
      </c>
      <c r="B1393" t="s">
        <v>276</v>
      </c>
      <c r="C1393">
        <v>76</v>
      </c>
      <c r="D1393">
        <v>198</v>
      </c>
      <c r="E1393" t="s">
        <v>233</v>
      </c>
      <c r="G1393">
        <v>0</v>
      </c>
      <c r="H1393">
        <v>0</v>
      </c>
      <c r="I1393">
        <v>0</v>
      </c>
      <c r="J1393">
        <v>0</v>
      </c>
      <c r="K1393">
        <v>0</v>
      </c>
      <c r="L1393">
        <v>0</v>
      </c>
      <c r="M1393">
        <v>0</v>
      </c>
      <c r="N1393">
        <v>0</v>
      </c>
      <c r="O1393">
        <v>0</v>
      </c>
      <c r="P1393">
        <v>0</v>
      </c>
      <c r="Q1393" t="str">
        <f>INDEX(pARTNER[#All],MATCH(#REF!,pARTNER[[#All],[Value.partnerSummary.id]],0),10)</f>
        <v>Italia (IT)</v>
      </c>
      <c r="R1393" t="str">
        <f>INDEX('Partner data'!$A$2:$DG$171,MATCH(#REF!,'Partner data'!$DG$2:$DG$171,0),83)</f>
        <v>Soggetto privato</v>
      </c>
      <c r="S1393" s="86" t="b">
        <f>IF(#REF!="staff",INDEX('Partner data'!$DG$2:$DH$171,MATCH(#REF!,'Partner data'!$DG$2:$DG$171,0),2))</f>
        <v>0</v>
      </c>
    </row>
    <row r="1394" spans="1:19" x14ac:dyDescent="0.25">
      <c r="A1394" t="s">
        <v>271</v>
      </c>
      <c r="B1394" t="s">
        <v>276</v>
      </c>
      <c r="C1394">
        <v>76</v>
      </c>
      <c r="D1394">
        <v>198</v>
      </c>
      <c r="E1394" t="s">
        <v>234</v>
      </c>
      <c r="F1394">
        <v>40</v>
      </c>
      <c r="G1394">
        <v>88897.7</v>
      </c>
      <c r="H1394">
        <v>0</v>
      </c>
      <c r="I1394">
        <v>0</v>
      </c>
      <c r="J1394">
        <v>12622.03</v>
      </c>
      <c r="K1394">
        <v>0</v>
      </c>
      <c r="L1394">
        <v>12386.21</v>
      </c>
      <c r="M1394">
        <v>12622.03</v>
      </c>
      <c r="N1394">
        <v>14.2</v>
      </c>
      <c r="O1394">
        <v>76275.67</v>
      </c>
      <c r="P1394">
        <v>0</v>
      </c>
      <c r="Q1394" t="str">
        <f>INDEX(pARTNER[#All],MATCH(#REF!,pARTNER[[#All],[Value.partnerSummary.id]],0),10)</f>
        <v>Italia (IT)</v>
      </c>
      <c r="R1394" t="str">
        <f>INDEX('Partner data'!$A$2:$DG$171,MATCH(#REF!,'Partner data'!$DG$2:$DG$171,0),83)</f>
        <v>Soggetto privato</v>
      </c>
      <c r="S1394" s="86" t="b">
        <f>IF(#REF!="staff",INDEX('Partner data'!$DG$2:$DH$171,MATCH(#REF!,'Partner data'!$DG$2:$DG$171,0),2))</f>
        <v>0</v>
      </c>
    </row>
    <row r="1395" spans="1:19" x14ac:dyDescent="0.25">
      <c r="A1395" t="s">
        <v>271</v>
      </c>
      <c r="B1395" t="s">
        <v>276</v>
      </c>
      <c r="C1395">
        <v>76</v>
      </c>
      <c r="D1395">
        <v>198</v>
      </c>
      <c r="E1395" t="s">
        <v>235</v>
      </c>
      <c r="G1395">
        <v>9000</v>
      </c>
      <c r="H1395">
        <v>0</v>
      </c>
      <c r="I1395">
        <v>0</v>
      </c>
      <c r="J1395">
        <v>9000</v>
      </c>
      <c r="K1395">
        <v>0</v>
      </c>
      <c r="L1395">
        <v>9000</v>
      </c>
      <c r="M1395">
        <v>9000</v>
      </c>
      <c r="N1395">
        <v>100</v>
      </c>
      <c r="O1395">
        <v>0</v>
      </c>
      <c r="P1395">
        <v>0</v>
      </c>
      <c r="Q1395" t="str">
        <f>INDEX(pARTNER[#All],MATCH(#REF!,pARTNER[[#All],[Value.partnerSummary.id]],0),10)</f>
        <v>Italia (IT)</v>
      </c>
      <c r="R1395" t="str">
        <f>INDEX('Partner data'!$A$2:$DG$171,MATCH(#REF!,'Partner data'!$DG$2:$DG$171,0),83)</f>
        <v>Soggetto privato</v>
      </c>
      <c r="S1395" s="86" t="b">
        <f>IF(#REF!="staff",INDEX('Partner data'!$DG$2:$DH$171,MATCH(#REF!,'Partner data'!$DG$2:$DG$171,0),2))</f>
        <v>0</v>
      </c>
    </row>
    <row r="1396" spans="1:19" x14ac:dyDescent="0.25">
      <c r="A1396" t="s">
        <v>271</v>
      </c>
      <c r="B1396" t="s">
        <v>276</v>
      </c>
      <c r="C1396">
        <v>76</v>
      </c>
      <c r="D1396">
        <v>198</v>
      </c>
      <c r="E1396" t="s">
        <v>236</v>
      </c>
      <c r="G1396">
        <v>0</v>
      </c>
      <c r="H1396">
        <v>0</v>
      </c>
      <c r="I1396">
        <v>0</v>
      </c>
      <c r="J1396">
        <v>0</v>
      </c>
      <c r="K1396">
        <v>0</v>
      </c>
      <c r="L1396">
        <v>0</v>
      </c>
      <c r="M1396">
        <v>0</v>
      </c>
      <c r="N1396">
        <v>0</v>
      </c>
      <c r="O1396">
        <v>0</v>
      </c>
      <c r="P1396">
        <v>0</v>
      </c>
      <c r="Q1396" t="str">
        <f>INDEX(pARTNER[#All],MATCH(#REF!,pARTNER[[#All],[Value.partnerSummary.id]],0),10)</f>
        <v>Italia (IT)</v>
      </c>
      <c r="R1396" t="str">
        <f>INDEX('Partner data'!$A$2:$DG$171,MATCH(#REF!,'Partner data'!$DG$2:$DG$171,0),83)</f>
        <v>Soggetto privato</v>
      </c>
      <c r="S1396" s="86" t="b">
        <f>IF(#REF!="staff",INDEX('Partner data'!$DG$2:$DH$171,MATCH(#REF!,'Partner data'!$DG$2:$DG$171,0),2))</f>
        <v>0</v>
      </c>
    </row>
    <row r="1397" spans="1:19" x14ac:dyDescent="0.25">
      <c r="A1397" t="s">
        <v>271</v>
      </c>
      <c r="B1397" t="s">
        <v>276</v>
      </c>
      <c r="C1397">
        <v>76</v>
      </c>
      <c r="D1397">
        <v>198</v>
      </c>
      <c r="E1397" t="s">
        <v>237</v>
      </c>
      <c r="G1397">
        <v>0</v>
      </c>
      <c r="H1397">
        <v>0</v>
      </c>
      <c r="I1397">
        <v>0</v>
      </c>
      <c r="J1397">
        <v>0</v>
      </c>
      <c r="K1397">
        <v>0</v>
      </c>
      <c r="L1397">
        <v>0</v>
      </c>
      <c r="M1397">
        <v>0</v>
      </c>
      <c r="N1397">
        <v>0</v>
      </c>
      <c r="O1397">
        <v>0</v>
      </c>
      <c r="P1397">
        <v>0</v>
      </c>
      <c r="Q1397" t="str">
        <f>INDEX(pARTNER[#All],MATCH(#REF!,pARTNER[[#All],[Value.partnerSummary.id]],0),10)</f>
        <v>Italia (IT)</v>
      </c>
      <c r="R1397" t="str">
        <f>INDEX('Partner data'!$A$2:$DG$171,MATCH(#REF!,'Partner data'!$DG$2:$DG$171,0),83)</f>
        <v>Soggetto privato</v>
      </c>
      <c r="S1397" s="86" t="b">
        <f>IF(#REF!="staff",INDEX('Partner data'!$DG$2:$DH$171,MATCH(#REF!,'Partner data'!$DG$2:$DG$171,0),2))</f>
        <v>0</v>
      </c>
    </row>
    <row r="1398" spans="1:19" x14ac:dyDescent="0.25">
      <c r="A1398" t="s">
        <v>271</v>
      </c>
      <c r="B1398" t="s">
        <v>276</v>
      </c>
      <c r="C1398">
        <v>76</v>
      </c>
      <c r="D1398">
        <v>198</v>
      </c>
      <c r="E1398" t="s">
        <v>238</v>
      </c>
      <c r="G1398">
        <v>320141.96999999997</v>
      </c>
      <c r="H1398">
        <v>0</v>
      </c>
      <c r="I1398">
        <v>0</v>
      </c>
      <c r="J1398">
        <v>53177.120000000003</v>
      </c>
      <c r="K1398">
        <v>0</v>
      </c>
      <c r="L1398">
        <v>52351.75</v>
      </c>
      <c r="M1398">
        <v>53177.120000000003</v>
      </c>
      <c r="N1398">
        <v>16.61</v>
      </c>
      <c r="O1398">
        <v>266964.84999999998</v>
      </c>
      <c r="P1398">
        <v>0</v>
      </c>
      <c r="Q1398" t="str">
        <f>INDEX(pARTNER[#All],MATCH(#REF!,pARTNER[[#All],[Value.partnerSummary.id]],0),10)</f>
        <v>Italia (IT)</v>
      </c>
      <c r="R1398" t="str">
        <f>INDEX('Partner data'!$A$2:$DG$171,MATCH(#REF!,'Partner data'!$DG$2:$DG$171,0),83)</f>
        <v>Soggetto privato</v>
      </c>
      <c r="S1398" s="86" t="b">
        <f>IF(#REF!="staff",INDEX('Partner data'!$DG$2:$DH$171,MATCH(#REF!,'Partner data'!$DG$2:$DG$171,0),2))</f>
        <v>0</v>
      </c>
    </row>
    <row r="1399" spans="1:19" x14ac:dyDescent="0.25">
      <c r="A1399" t="s">
        <v>57</v>
      </c>
      <c r="B1399" t="s">
        <v>29</v>
      </c>
      <c r="C1399">
        <v>312</v>
      </c>
      <c r="D1399">
        <v>218</v>
      </c>
      <c r="E1399" t="s">
        <v>228</v>
      </c>
      <c r="G1399">
        <v>104000</v>
      </c>
      <c r="H1399">
        <v>23834.73</v>
      </c>
      <c r="I1399">
        <v>0</v>
      </c>
      <c r="J1399">
        <v>7337.5</v>
      </c>
      <c r="K1399">
        <v>0</v>
      </c>
      <c r="L1399">
        <v>7259.14</v>
      </c>
      <c r="M1399">
        <v>31172.23</v>
      </c>
      <c r="N1399">
        <v>29.97</v>
      </c>
      <c r="O1399">
        <v>72827.77</v>
      </c>
      <c r="P1399">
        <v>23154.48</v>
      </c>
      <c r="Q1399" t="str">
        <f>INDEX(pARTNER[#All],MATCH(#REF!,pARTNER[[#All],[Value.partnerSummary.id]],0),10)</f>
        <v>Slovenija (SI)</v>
      </c>
      <c r="R1399" t="str">
        <f>INDEX('Partner data'!$A$2:$DG$171,MATCH(#REF!,'Partner data'!$DG$2:$DG$171,0),83)</f>
        <v>Soggetto pubblico</v>
      </c>
      <c r="S1399" s="86" t="str">
        <f>IF(#REF!="staff",INDEX('Partner data'!$DG$2:$DH$171,MATCH(#REF!,'Partner data'!$DG$2:$DG$171,0),2))</f>
        <v>COSTO REALE</v>
      </c>
    </row>
    <row r="1400" spans="1:19" x14ac:dyDescent="0.25">
      <c r="A1400" t="s">
        <v>57</v>
      </c>
      <c r="B1400" t="s">
        <v>29</v>
      </c>
      <c r="C1400">
        <v>312</v>
      </c>
      <c r="D1400">
        <v>218</v>
      </c>
      <c r="E1400" t="s">
        <v>229</v>
      </c>
      <c r="F1400">
        <v>15</v>
      </c>
      <c r="G1400">
        <v>15600</v>
      </c>
      <c r="H1400">
        <v>3575.2</v>
      </c>
      <c r="I1400">
        <v>0</v>
      </c>
      <c r="J1400">
        <v>1100.6199999999999</v>
      </c>
      <c r="K1400">
        <v>0</v>
      </c>
      <c r="L1400">
        <v>1088.8699999999999</v>
      </c>
      <c r="M1400">
        <v>4675.82</v>
      </c>
      <c r="N1400">
        <v>29.97</v>
      </c>
      <c r="O1400">
        <v>10924.18</v>
      </c>
      <c r="P1400">
        <v>3473.17</v>
      </c>
      <c r="Q1400" t="str">
        <f>INDEX(pARTNER[#All],MATCH(#REF!,pARTNER[[#All],[Value.partnerSummary.id]],0),10)</f>
        <v>Slovenija (SI)</v>
      </c>
      <c r="R1400" t="str">
        <f>INDEX('Partner data'!$A$2:$DG$171,MATCH(#REF!,'Partner data'!$DG$2:$DG$171,0),83)</f>
        <v>Soggetto pubblico</v>
      </c>
      <c r="S1400" s="86" t="b">
        <f>IF(#REF!="staff",INDEX('Partner data'!$DG$2:$DH$171,MATCH(#REF!,'Partner data'!$DG$2:$DG$171,0),2))</f>
        <v>0</v>
      </c>
    </row>
    <row r="1401" spans="1:19" x14ac:dyDescent="0.25">
      <c r="A1401" t="s">
        <v>57</v>
      </c>
      <c r="B1401" t="s">
        <v>29</v>
      </c>
      <c r="C1401">
        <v>312</v>
      </c>
      <c r="D1401">
        <v>218</v>
      </c>
      <c r="E1401" t="s">
        <v>230</v>
      </c>
      <c r="F1401">
        <v>4</v>
      </c>
      <c r="G1401">
        <v>4160</v>
      </c>
      <c r="H1401">
        <v>953.38</v>
      </c>
      <c r="I1401">
        <v>0</v>
      </c>
      <c r="J1401">
        <v>293.5</v>
      </c>
      <c r="K1401">
        <v>0</v>
      </c>
      <c r="L1401">
        <v>290.36</v>
      </c>
      <c r="M1401">
        <v>1246.8800000000001</v>
      </c>
      <c r="N1401">
        <v>29.97</v>
      </c>
      <c r="O1401">
        <v>2913.12</v>
      </c>
      <c r="P1401">
        <v>926.17</v>
      </c>
      <c r="Q1401" t="str">
        <f>INDEX(pARTNER[#All],MATCH(#REF!,pARTNER[[#All],[Value.partnerSummary.id]],0),10)</f>
        <v>Slovenija (SI)</v>
      </c>
      <c r="R1401" t="str">
        <f>INDEX('Partner data'!$A$2:$DG$171,MATCH(#REF!,'Partner data'!$DG$2:$DG$171,0),83)</f>
        <v>Soggetto pubblico</v>
      </c>
      <c r="S1401" s="86" t="b">
        <f>IF(#REF!="staff",INDEX('Partner data'!$DG$2:$DH$171,MATCH(#REF!,'Partner data'!$DG$2:$DG$171,0),2))</f>
        <v>0</v>
      </c>
    </row>
    <row r="1402" spans="1:19" x14ac:dyDescent="0.25">
      <c r="A1402" t="s">
        <v>57</v>
      </c>
      <c r="B1402" t="s">
        <v>29</v>
      </c>
      <c r="C1402">
        <v>312</v>
      </c>
      <c r="D1402">
        <v>218</v>
      </c>
      <c r="E1402" t="s">
        <v>231</v>
      </c>
      <c r="G1402">
        <v>84000</v>
      </c>
      <c r="H1402">
        <v>0</v>
      </c>
      <c r="I1402">
        <v>0</v>
      </c>
      <c r="J1402">
        <v>0</v>
      </c>
      <c r="K1402">
        <v>0</v>
      </c>
      <c r="L1402">
        <v>0</v>
      </c>
      <c r="M1402">
        <v>0</v>
      </c>
      <c r="N1402">
        <v>0</v>
      </c>
      <c r="O1402">
        <v>84000</v>
      </c>
      <c r="P1402">
        <v>0</v>
      </c>
      <c r="Q1402" t="str">
        <f>INDEX(pARTNER[#All],MATCH(#REF!,pARTNER[[#All],[Value.partnerSummary.id]],0),10)</f>
        <v>Slovenija (SI)</v>
      </c>
      <c r="R1402" t="str">
        <f>INDEX('Partner data'!$A$2:$DG$171,MATCH(#REF!,'Partner data'!$DG$2:$DG$171,0),83)</f>
        <v>Soggetto pubblico</v>
      </c>
      <c r="S1402" s="86" t="b">
        <f>IF(#REF!="staff",INDEX('Partner data'!$DG$2:$DH$171,MATCH(#REF!,'Partner data'!$DG$2:$DG$171,0),2))</f>
        <v>0</v>
      </c>
    </row>
    <row r="1403" spans="1:19" x14ac:dyDescent="0.25">
      <c r="A1403" t="s">
        <v>57</v>
      </c>
      <c r="B1403" t="s">
        <v>29</v>
      </c>
      <c r="C1403">
        <v>312</v>
      </c>
      <c r="D1403">
        <v>218</v>
      </c>
      <c r="E1403" t="s">
        <v>232</v>
      </c>
      <c r="G1403">
        <v>31249</v>
      </c>
      <c r="H1403">
        <v>0</v>
      </c>
      <c r="I1403">
        <v>0</v>
      </c>
      <c r="J1403">
        <v>31249</v>
      </c>
      <c r="K1403">
        <v>0</v>
      </c>
      <c r="L1403">
        <v>31249</v>
      </c>
      <c r="M1403">
        <v>31249</v>
      </c>
      <c r="N1403">
        <v>100</v>
      </c>
      <c r="O1403">
        <v>0</v>
      </c>
      <c r="P1403">
        <v>0</v>
      </c>
      <c r="Q1403" t="str">
        <f>INDEX(pARTNER[#All],MATCH(#REF!,pARTNER[[#All],[Value.partnerSummary.id]],0),10)</f>
        <v>Slovenija (SI)</v>
      </c>
      <c r="R1403" t="str">
        <f>INDEX('Partner data'!$A$2:$DG$171,MATCH(#REF!,'Partner data'!$DG$2:$DG$171,0),83)</f>
        <v>Soggetto pubblico</v>
      </c>
      <c r="S1403" s="86" t="b">
        <f>IF(#REF!="staff",INDEX('Partner data'!$DG$2:$DH$171,MATCH(#REF!,'Partner data'!$DG$2:$DG$171,0),2))</f>
        <v>0</v>
      </c>
    </row>
    <row r="1404" spans="1:19" x14ac:dyDescent="0.25">
      <c r="A1404" t="s">
        <v>57</v>
      </c>
      <c r="B1404" t="s">
        <v>29</v>
      </c>
      <c r="C1404">
        <v>312</v>
      </c>
      <c r="D1404">
        <v>218</v>
      </c>
      <c r="E1404" t="s">
        <v>233</v>
      </c>
      <c r="G1404">
        <v>73079</v>
      </c>
      <c r="H1404">
        <v>0</v>
      </c>
      <c r="I1404">
        <v>0</v>
      </c>
      <c r="J1404">
        <v>0</v>
      </c>
      <c r="K1404">
        <v>0</v>
      </c>
      <c r="L1404">
        <v>0</v>
      </c>
      <c r="M1404">
        <v>0</v>
      </c>
      <c r="N1404">
        <v>0</v>
      </c>
      <c r="O1404">
        <v>73079</v>
      </c>
      <c r="P1404">
        <v>0</v>
      </c>
      <c r="Q1404" t="str">
        <f>INDEX(pARTNER[#All],MATCH(#REF!,pARTNER[[#All],[Value.partnerSummary.id]],0),10)</f>
        <v>Slovenija (SI)</v>
      </c>
      <c r="R1404" t="str">
        <f>INDEX('Partner data'!$A$2:$DG$171,MATCH(#REF!,'Partner data'!$DG$2:$DG$171,0),83)</f>
        <v>Soggetto pubblico</v>
      </c>
      <c r="S1404" s="86" t="b">
        <f>IF(#REF!="staff",INDEX('Partner data'!$DG$2:$DH$171,MATCH(#REF!,'Partner data'!$DG$2:$DG$171,0),2))</f>
        <v>0</v>
      </c>
    </row>
    <row r="1405" spans="1:19" x14ac:dyDescent="0.25">
      <c r="A1405" t="s">
        <v>57</v>
      </c>
      <c r="B1405" t="s">
        <v>29</v>
      </c>
      <c r="C1405">
        <v>312</v>
      </c>
      <c r="D1405">
        <v>218</v>
      </c>
      <c r="E1405" t="s">
        <v>234</v>
      </c>
      <c r="G1405">
        <v>0</v>
      </c>
      <c r="H1405">
        <v>0</v>
      </c>
      <c r="I1405">
        <v>0</v>
      </c>
      <c r="J1405">
        <v>0</v>
      </c>
      <c r="K1405">
        <v>0</v>
      </c>
      <c r="L1405">
        <v>0</v>
      </c>
      <c r="M1405">
        <v>0</v>
      </c>
      <c r="N1405">
        <v>0</v>
      </c>
      <c r="O1405">
        <v>0</v>
      </c>
      <c r="P1405">
        <v>0</v>
      </c>
      <c r="Q1405" t="str">
        <f>INDEX(pARTNER[#All],MATCH(#REF!,pARTNER[[#All],[Value.partnerSummary.id]],0),10)</f>
        <v>Slovenija (SI)</v>
      </c>
      <c r="R1405" t="str">
        <f>INDEX('Partner data'!$A$2:$DG$171,MATCH(#REF!,'Partner data'!$DG$2:$DG$171,0),83)</f>
        <v>Soggetto pubblico</v>
      </c>
      <c r="S1405" s="86" t="b">
        <f>IF(#REF!="staff",INDEX('Partner data'!$DG$2:$DH$171,MATCH(#REF!,'Partner data'!$DG$2:$DG$171,0),2))</f>
        <v>0</v>
      </c>
    </row>
    <row r="1406" spans="1:19" x14ac:dyDescent="0.25">
      <c r="A1406" t="s">
        <v>57</v>
      </c>
      <c r="B1406" t="s">
        <v>29</v>
      </c>
      <c r="C1406">
        <v>312</v>
      </c>
      <c r="D1406">
        <v>218</v>
      </c>
      <c r="E1406" t="s">
        <v>235</v>
      </c>
      <c r="G1406">
        <v>0</v>
      </c>
      <c r="H1406">
        <v>0</v>
      </c>
      <c r="I1406">
        <v>0</v>
      </c>
      <c r="J1406">
        <v>0</v>
      </c>
      <c r="K1406">
        <v>0</v>
      </c>
      <c r="L1406">
        <v>0</v>
      </c>
      <c r="M1406">
        <v>0</v>
      </c>
      <c r="N1406">
        <v>0</v>
      </c>
      <c r="O1406">
        <v>0</v>
      </c>
      <c r="P1406">
        <v>0</v>
      </c>
      <c r="Q1406" t="str">
        <f>INDEX(pARTNER[#All],MATCH(#REF!,pARTNER[[#All],[Value.partnerSummary.id]],0),10)</f>
        <v>Slovenija (SI)</v>
      </c>
      <c r="R1406" t="str">
        <f>INDEX('Partner data'!$A$2:$DG$171,MATCH(#REF!,'Partner data'!$DG$2:$DG$171,0),83)</f>
        <v>Soggetto pubblico</v>
      </c>
      <c r="S1406" s="86" t="b">
        <f>IF(#REF!="staff",INDEX('Partner data'!$DG$2:$DH$171,MATCH(#REF!,'Partner data'!$DG$2:$DG$171,0),2))</f>
        <v>0</v>
      </c>
    </row>
    <row r="1407" spans="1:19" x14ac:dyDescent="0.25">
      <c r="A1407" t="s">
        <v>57</v>
      </c>
      <c r="B1407" t="s">
        <v>29</v>
      </c>
      <c r="C1407">
        <v>312</v>
      </c>
      <c r="D1407">
        <v>218</v>
      </c>
      <c r="E1407" t="s">
        <v>236</v>
      </c>
      <c r="G1407">
        <v>0</v>
      </c>
      <c r="H1407">
        <v>0</v>
      </c>
      <c r="I1407">
        <v>0</v>
      </c>
      <c r="J1407">
        <v>0</v>
      </c>
      <c r="K1407">
        <v>0</v>
      </c>
      <c r="L1407">
        <v>0</v>
      </c>
      <c r="M1407">
        <v>0</v>
      </c>
      <c r="N1407">
        <v>0</v>
      </c>
      <c r="O1407">
        <v>0</v>
      </c>
      <c r="P1407">
        <v>0</v>
      </c>
      <c r="Q1407" t="str">
        <f>INDEX(pARTNER[#All],MATCH(#REF!,pARTNER[[#All],[Value.partnerSummary.id]],0),10)</f>
        <v>Slovenija (SI)</v>
      </c>
      <c r="R1407" t="str">
        <f>INDEX('Partner data'!$A$2:$DG$171,MATCH(#REF!,'Partner data'!$DG$2:$DG$171,0),83)</f>
        <v>Soggetto pubblico</v>
      </c>
      <c r="S1407" s="86" t="b">
        <f>IF(#REF!="staff",INDEX('Partner data'!$DG$2:$DH$171,MATCH(#REF!,'Partner data'!$DG$2:$DG$171,0),2))</f>
        <v>0</v>
      </c>
    </row>
    <row r="1408" spans="1:19" x14ac:dyDescent="0.25">
      <c r="A1408" t="s">
        <v>57</v>
      </c>
      <c r="B1408" t="s">
        <v>29</v>
      </c>
      <c r="C1408">
        <v>312</v>
      </c>
      <c r="D1408">
        <v>218</v>
      </c>
      <c r="E1408" t="s">
        <v>237</v>
      </c>
      <c r="G1408">
        <v>0</v>
      </c>
      <c r="H1408">
        <v>0</v>
      </c>
      <c r="I1408">
        <v>0</v>
      </c>
      <c r="J1408">
        <v>0</v>
      </c>
      <c r="K1408">
        <v>0</v>
      </c>
      <c r="L1408">
        <v>0</v>
      </c>
      <c r="M1408">
        <v>0</v>
      </c>
      <c r="N1408">
        <v>0</v>
      </c>
      <c r="O1408">
        <v>0</v>
      </c>
      <c r="P1408">
        <v>0</v>
      </c>
      <c r="Q1408" t="str">
        <f>INDEX(pARTNER[#All],MATCH(#REF!,pARTNER[[#All],[Value.partnerSummary.id]],0),10)</f>
        <v>Slovenija (SI)</v>
      </c>
      <c r="R1408" t="str">
        <f>INDEX('Partner data'!$A$2:$DG$171,MATCH(#REF!,'Partner data'!$DG$2:$DG$171,0),83)</f>
        <v>Soggetto pubblico</v>
      </c>
      <c r="S1408" s="86" t="b">
        <f>IF(#REF!="staff",INDEX('Partner data'!$DG$2:$DH$171,MATCH(#REF!,'Partner data'!$DG$2:$DG$171,0),2))</f>
        <v>0</v>
      </c>
    </row>
    <row r="1409" spans="1:19" x14ac:dyDescent="0.25">
      <c r="A1409" t="s">
        <v>57</v>
      </c>
      <c r="B1409" t="s">
        <v>29</v>
      </c>
      <c r="C1409">
        <v>312</v>
      </c>
      <c r="D1409">
        <v>218</v>
      </c>
      <c r="E1409" t="s">
        <v>238</v>
      </c>
      <c r="G1409">
        <v>312088</v>
      </c>
      <c r="H1409">
        <v>28363.31</v>
      </c>
      <c r="I1409">
        <v>0</v>
      </c>
      <c r="J1409">
        <v>39980.620000000003</v>
      </c>
      <c r="K1409">
        <v>0</v>
      </c>
      <c r="L1409">
        <v>39887.370000000003</v>
      </c>
      <c r="M1409">
        <v>68343.929999999993</v>
      </c>
      <c r="N1409">
        <v>21.9</v>
      </c>
      <c r="O1409">
        <v>243744.07</v>
      </c>
      <c r="P1409">
        <v>27553.82</v>
      </c>
      <c r="Q1409" t="str">
        <f>INDEX(pARTNER[#All],MATCH(#REF!,pARTNER[[#All],[Value.partnerSummary.id]],0),10)</f>
        <v>Slovenija (SI)</v>
      </c>
      <c r="R1409" t="str">
        <f>INDEX('Partner data'!$A$2:$DG$171,MATCH(#REF!,'Partner data'!$DG$2:$DG$171,0),83)</f>
        <v>Soggetto pubblico</v>
      </c>
      <c r="S1409" s="86" t="b">
        <f>IF(#REF!="staff",INDEX('Partner data'!$DG$2:$DH$171,MATCH(#REF!,'Partner data'!$DG$2:$DG$171,0),2))</f>
        <v>0</v>
      </c>
    </row>
    <row r="1410" spans="1:19" x14ac:dyDescent="0.25">
      <c r="A1410" t="s">
        <v>57</v>
      </c>
      <c r="B1410" t="s">
        <v>29</v>
      </c>
      <c r="C1410">
        <v>312</v>
      </c>
      <c r="D1410">
        <v>61</v>
      </c>
      <c r="E1410" t="s">
        <v>228</v>
      </c>
      <c r="G1410">
        <v>104000</v>
      </c>
      <c r="H1410">
        <v>0</v>
      </c>
      <c r="I1410">
        <v>0</v>
      </c>
      <c r="J1410">
        <v>23834.73</v>
      </c>
      <c r="K1410">
        <v>0</v>
      </c>
      <c r="L1410">
        <v>23154.48</v>
      </c>
      <c r="M1410">
        <v>23834.73</v>
      </c>
      <c r="N1410">
        <v>22.92</v>
      </c>
      <c r="O1410">
        <v>80165.27</v>
      </c>
      <c r="P1410">
        <v>0</v>
      </c>
      <c r="Q1410" t="str">
        <f>INDEX(pARTNER[#All],MATCH(#REF!,pARTNER[[#All],[Value.partnerSummary.id]],0),10)</f>
        <v>Slovenija (SI)</v>
      </c>
      <c r="R1410" t="str">
        <f>INDEX('Partner data'!$A$2:$DG$171,MATCH(#REF!,'Partner data'!$DG$2:$DG$171,0),83)</f>
        <v>Soggetto pubblico</v>
      </c>
      <c r="S1410" s="86" t="str">
        <f>IF(#REF!="staff",INDEX('Partner data'!$DG$2:$DH$171,MATCH(#REF!,'Partner data'!$DG$2:$DG$171,0),2))</f>
        <v>COSTO REALE</v>
      </c>
    </row>
    <row r="1411" spans="1:19" x14ac:dyDescent="0.25">
      <c r="A1411" t="s">
        <v>57</v>
      </c>
      <c r="B1411" t="s">
        <v>29</v>
      </c>
      <c r="C1411">
        <v>312</v>
      </c>
      <c r="D1411">
        <v>61</v>
      </c>
      <c r="E1411" t="s">
        <v>229</v>
      </c>
      <c r="F1411">
        <v>15</v>
      </c>
      <c r="G1411">
        <v>15600</v>
      </c>
      <c r="H1411">
        <v>0</v>
      </c>
      <c r="I1411">
        <v>0</v>
      </c>
      <c r="J1411">
        <v>3575.2</v>
      </c>
      <c r="K1411">
        <v>0</v>
      </c>
      <c r="L1411">
        <v>3473.17</v>
      </c>
      <c r="M1411">
        <v>3575.2</v>
      </c>
      <c r="N1411">
        <v>22.92</v>
      </c>
      <c r="O1411">
        <v>12024.8</v>
      </c>
      <c r="P1411">
        <v>0</v>
      </c>
      <c r="Q1411" t="str">
        <f>INDEX(pARTNER[#All],MATCH(#REF!,pARTNER[[#All],[Value.partnerSummary.id]],0),10)</f>
        <v>Slovenija (SI)</v>
      </c>
      <c r="R1411" t="str">
        <f>INDEX('Partner data'!$A$2:$DG$171,MATCH(#REF!,'Partner data'!$DG$2:$DG$171,0),83)</f>
        <v>Soggetto pubblico</v>
      </c>
      <c r="S1411" s="86" t="b">
        <f>IF(#REF!="staff",INDEX('Partner data'!$DG$2:$DH$171,MATCH(#REF!,'Partner data'!$DG$2:$DG$171,0),2))</f>
        <v>0</v>
      </c>
    </row>
    <row r="1412" spans="1:19" x14ac:dyDescent="0.25">
      <c r="A1412" t="s">
        <v>57</v>
      </c>
      <c r="B1412" t="s">
        <v>29</v>
      </c>
      <c r="C1412">
        <v>312</v>
      </c>
      <c r="D1412">
        <v>61</v>
      </c>
      <c r="E1412" t="s">
        <v>230</v>
      </c>
      <c r="F1412">
        <v>4</v>
      </c>
      <c r="G1412">
        <v>4160</v>
      </c>
      <c r="H1412">
        <v>0</v>
      </c>
      <c r="I1412">
        <v>0</v>
      </c>
      <c r="J1412">
        <v>953.38</v>
      </c>
      <c r="K1412">
        <v>0</v>
      </c>
      <c r="L1412">
        <v>926.17</v>
      </c>
      <c r="M1412">
        <v>953.38</v>
      </c>
      <c r="N1412">
        <v>22.92</v>
      </c>
      <c r="O1412">
        <v>3206.62</v>
      </c>
      <c r="P1412">
        <v>0</v>
      </c>
      <c r="Q1412" t="str">
        <f>INDEX(pARTNER[#All],MATCH(#REF!,pARTNER[[#All],[Value.partnerSummary.id]],0),10)</f>
        <v>Slovenija (SI)</v>
      </c>
      <c r="R1412" t="str">
        <f>INDEX('Partner data'!$A$2:$DG$171,MATCH(#REF!,'Partner data'!$DG$2:$DG$171,0),83)</f>
        <v>Soggetto pubblico</v>
      </c>
      <c r="S1412" s="86" t="b">
        <f>IF(#REF!="staff",INDEX('Partner data'!$DG$2:$DH$171,MATCH(#REF!,'Partner data'!$DG$2:$DG$171,0),2))</f>
        <v>0</v>
      </c>
    </row>
    <row r="1413" spans="1:19" x14ac:dyDescent="0.25">
      <c r="A1413" t="s">
        <v>57</v>
      </c>
      <c r="B1413" t="s">
        <v>29</v>
      </c>
      <c r="C1413">
        <v>312</v>
      </c>
      <c r="D1413">
        <v>61</v>
      </c>
      <c r="E1413" t="s">
        <v>231</v>
      </c>
      <c r="G1413">
        <v>84000</v>
      </c>
      <c r="H1413">
        <v>0</v>
      </c>
      <c r="I1413">
        <v>0</v>
      </c>
      <c r="J1413">
        <v>0</v>
      </c>
      <c r="K1413">
        <v>0</v>
      </c>
      <c r="L1413">
        <v>0</v>
      </c>
      <c r="M1413">
        <v>0</v>
      </c>
      <c r="N1413">
        <v>0</v>
      </c>
      <c r="O1413">
        <v>84000</v>
      </c>
      <c r="P1413">
        <v>0</v>
      </c>
      <c r="Q1413" t="str">
        <f>INDEX(pARTNER[#All],MATCH(#REF!,pARTNER[[#All],[Value.partnerSummary.id]],0),10)</f>
        <v>Slovenija (SI)</v>
      </c>
      <c r="R1413" t="str">
        <f>INDEX('Partner data'!$A$2:$DG$171,MATCH(#REF!,'Partner data'!$DG$2:$DG$171,0),83)</f>
        <v>Soggetto pubblico</v>
      </c>
      <c r="S1413" s="86" t="b">
        <f>IF(#REF!="staff",INDEX('Partner data'!$DG$2:$DH$171,MATCH(#REF!,'Partner data'!$DG$2:$DG$171,0),2))</f>
        <v>0</v>
      </c>
    </row>
    <row r="1414" spans="1:19" x14ac:dyDescent="0.25">
      <c r="A1414" t="s">
        <v>57</v>
      </c>
      <c r="B1414" t="s">
        <v>29</v>
      </c>
      <c r="C1414">
        <v>312</v>
      </c>
      <c r="D1414">
        <v>61</v>
      </c>
      <c r="E1414" t="s">
        <v>232</v>
      </c>
      <c r="G1414">
        <v>31249</v>
      </c>
      <c r="H1414">
        <v>0</v>
      </c>
      <c r="I1414">
        <v>0</v>
      </c>
      <c r="J1414">
        <v>0</v>
      </c>
      <c r="K1414">
        <v>0</v>
      </c>
      <c r="L1414">
        <v>0</v>
      </c>
      <c r="M1414">
        <v>0</v>
      </c>
      <c r="N1414">
        <v>0</v>
      </c>
      <c r="O1414">
        <v>31249</v>
      </c>
      <c r="P1414">
        <v>0</v>
      </c>
      <c r="Q1414" t="str">
        <f>INDEX(pARTNER[#All],MATCH(#REF!,pARTNER[[#All],[Value.partnerSummary.id]],0),10)</f>
        <v>Slovenija (SI)</v>
      </c>
      <c r="R1414" t="str">
        <f>INDEX('Partner data'!$A$2:$DG$171,MATCH(#REF!,'Partner data'!$DG$2:$DG$171,0),83)</f>
        <v>Soggetto pubblico</v>
      </c>
      <c r="S1414" s="86" t="b">
        <f>IF(#REF!="staff",INDEX('Partner data'!$DG$2:$DH$171,MATCH(#REF!,'Partner data'!$DG$2:$DG$171,0),2))</f>
        <v>0</v>
      </c>
    </row>
    <row r="1415" spans="1:19" x14ac:dyDescent="0.25">
      <c r="A1415" t="s">
        <v>57</v>
      </c>
      <c r="B1415" t="s">
        <v>29</v>
      </c>
      <c r="C1415">
        <v>312</v>
      </c>
      <c r="D1415">
        <v>61</v>
      </c>
      <c r="E1415" t="s">
        <v>233</v>
      </c>
      <c r="G1415">
        <v>73079</v>
      </c>
      <c r="H1415">
        <v>0</v>
      </c>
      <c r="I1415">
        <v>0</v>
      </c>
      <c r="J1415">
        <v>0</v>
      </c>
      <c r="K1415">
        <v>0</v>
      </c>
      <c r="L1415">
        <v>0</v>
      </c>
      <c r="M1415">
        <v>0</v>
      </c>
      <c r="N1415">
        <v>0</v>
      </c>
      <c r="O1415">
        <v>73079</v>
      </c>
      <c r="P1415">
        <v>0</v>
      </c>
      <c r="Q1415" t="str">
        <f>INDEX(pARTNER[#All],MATCH(#REF!,pARTNER[[#All],[Value.partnerSummary.id]],0),10)</f>
        <v>Slovenija (SI)</v>
      </c>
      <c r="R1415" t="str">
        <f>INDEX('Partner data'!$A$2:$DG$171,MATCH(#REF!,'Partner data'!$DG$2:$DG$171,0),83)</f>
        <v>Soggetto pubblico</v>
      </c>
      <c r="S1415" s="86" t="b">
        <f>IF(#REF!="staff",INDEX('Partner data'!$DG$2:$DH$171,MATCH(#REF!,'Partner data'!$DG$2:$DG$171,0),2))</f>
        <v>0</v>
      </c>
    </row>
    <row r="1416" spans="1:19" x14ac:dyDescent="0.25">
      <c r="A1416" t="s">
        <v>57</v>
      </c>
      <c r="B1416" t="s">
        <v>29</v>
      </c>
      <c r="C1416">
        <v>312</v>
      </c>
      <c r="D1416">
        <v>61</v>
      </c>
      <c r="E1416" t="s">
        <v>234</v>
      </c>
      <c r="G1416">
        <v>0</v>
      </c>
      <c r="H1416">
        <v>0</v>
      </c>
      <c r="I1416">
        <v>0</v>
      </c>
      <c r="J1416">
        <v>0</v>
      </c>
      <c r="K1416">
        <v>0</v>
      </c>
      <c r="L1416">
        <v>0</v>
      </c>
      <c r="M1416">
        <v>0</v>
      </c>
      <c r="N1416">
        <v>0</v>
      </c>
      <c r="O1416">
        <v>0</v>
      </c>
      <c r="P1416">
        <v>0</v>
      </c>
      <c r="Q1416" t="str">
        <f>INDEX(pARTNER[#All],MATCH(#REF!,pARTNER[[#All],[Value.partnerSummary.id]],0),10)</f>
        <v>Slovenija (SI)</v>
      </c>
      <c r="R1416" t="str">
        <f>INDEX('Partner data'!$A$2:$DG$171,MATCH(#REF!,'Partner data'!$DG$2:$DG$171,0),83)</f>
        <v>Soggetto pubblico</v>
      </c>
      <c r="S1416" s="86" t="b">
        <f>IF(#REF!="staff",INDEX('Partner data'!$DG$2:$DH$171,MATCH(#REF!,'Partner data'!$DG$2:$DG$171,0),2))</f>
        <v>0</v>
      </c>
    </row>
    <row r="1417" spans="1:19" x14ac:dyDescent="0.25">
      <c r="A1417" t="s">
        <v>57</v>
      </c>
      <c r="B1417" t="s">
        <v>29</v>
      </c>
      <c r="C1417">
        <v>312</v>
      </c>
      <c r="D1417">
        <v>61</v>
      </c>
      <c r="E1417" t="s">
        <v>235</v>
      </c>
      <c r="G1417">
        <v>0</v>
      </c>
      <c r="H1417">
        <v>0</v>
      </c>
      <c r="I1417">
        <v>0</v>
      </c>
      <c r="J1417">
        <v>0</v>
      </c>
      <c r="K1417">
        <v>0</v>
      </c>
      <c r="L1417">
        <v>0</v>
      </c>
      <c r="M1417">
        <v>0</v>
      </c>
      <c r="N1417">
        <v>0</v>
      </c>
      <c r="O1417">
        <v>0</v>
      </c>
      <c r="P1417">
        <v>0</v>
      </c>
      <c r="Q1417" t="str">
        <f>INDEX(pARTNER[#All],MATCH(#REF!,pARTNER[[#All],[Value.partnerSummary.id]],0),10)</f>
        <v>Slovenija (SI)</v>
      </c>
      <c r="R1417" t="str">
        <f>INDEX('Partner data'!$A$2:$DG$171,MATCH(#REF!,'Partner data'!$DG$2:$DG$171,0),83)</f>
        <v>Soggetto pubblico</v>
      </c>
      <c r="S1417" s="86" t="b">
        <f>IF(#REF!="staff",INDEX('Partner data'!$DG$2:$DH$171,MATCH(#REF!,'Partner data'!$DG$2:$DG$171,0),2))</f>
        <v>0</v>
      </c>
    </row>
    <row r="1418" spans="1:19" x14ac:dyDescent="0.25">
      <c r="A1418" t="s">
        <v>57</v>
      </c>
      <c r="B1418" t="s">
        <v>29</v>
      </c>
      <c r="C1418">
        <v>312</v>
      </c>
      <c r="D1418">
        <v>61</v>
      </c>
      <c r="E1418" t="s">
        <v>236</v>
      </c>
      <c r="G1418">
        <v>0</v>
      </c>
      <c r="H1418">
        <v>0</v>
      </c>
      <c r="I1418">
        <v>0</v>
      </c>
      <c r="J1418">
        <v>0</v>
      </c>
      <c r="K1418">
        <v>0</v>
      </c>
      <c r="L1418">
        <v>0</v>
      </c>
      <c r="M1418">
        <v>0</v>
      </c>
      <c r="N1418">
        <v>0</v>
      </c>
      <c r="O1418">
        <v>0</v>
      </c>
      <c r="P1418">
        <v>0</v>
      </c>
      <c r="Q1418" t="str">
        <f>INDEX(pARTNER[#All],MATCH(#REF!,pARTNER[[#All],[Value.partnerSummary.id]],0),10)</f>
        <v>Slovenija (SI)</v>
      </c>
      <c r="R1418" t="str">
        <f>INDEX('Partner data'!$A$2:$DG$171,MATCH(#REF!,'Partner data'!$DG$2:$DG$171,0),83)</f>
        <v>Soggetto pubblico</v>
      </c>
      <c r="S1418" s="86" t="b">
        <f>IF(#REF!="staff",INDEX('Partner data'!$DG$2:$DH$171,MATCH(#REF!,'Partner data'!$DG$2:$DG$171,0),2))</f>
        <v>0</v>
      </c>
    </row>
    <row r="1419" spans="1:19" x14ac:dyDescent="0.25">
      <c r="A1419" t="s">
        <v>57</v>
      </c>
      <c r="B1419" t="s">
        <v>29</v>
      </c>
      <c r="C1419">
        <v>312</v>
      </c>
      <c r="D1419">
        <v>61</v>
      </c>
      <c r="E1419" t="s">
        <v>237</v>
      </c>
      <c r="G1419">
        <v>0</v>
      </c>
      <c r="H1419">
        <v>0</v>
      </c>
      <c r="I1419">
        <v>0</v>
      </c>
      <c r="J1419">
        <v>0</v>
      </c>
      <c r="K1419">
        <v>0</v>
      </c>
      <c r="L1419">
        <v>0</v>
      </c>
      <c r="M1419">
        <v>0</v>
      </c>
      <c r="N1419">
        <v>0</v>
      </c>
      <c r="O1419">
        <v>0</v>
      </c>
      <c r="P1419">
        <v>0</v>
      </c>
      <c r="Q1419" t="str">
        <f>INDEX(pARTNER[#All],MATCH(#REF!,pARTNER[[#All],[Value.partnerSummary.id]],0),10)</f>
        <v>Slovenija (SI)</v>
      </c>
      <c r="R1419" t="str">
        <f>INDEX('Partner data'!$A$2:$DG$171,MATCH(#REF!,'Partner data'!$DG$2:$DG$171,0),83)</f>
        <v>Soggetto pubblico</v>
      </c>
      <c r="S1419" s="86" t="b">
        <f>IF(#REF!="staff",INDEX('Partner data'!$DG$2:$DH$171,MATCH(#REF!,'Partner data'!$DG$2:$DG$171,0),2))</f>
        <v>0</v>
      </c>
    </row>
    <row r="1420" spans="1:19" x14ac:dyDescent="0.25">
      <c r="A1420" t="s">
        <v>57</v>
      </c>
      <c r="B1420" t="s">
        <v>29</v>
      </c>
      <c r="C1420">
        <v>312</v>
      </c>
      <c r="D1420">
        <v>61</v>
      </c>
      <c r="E1420" t="s">
        <v>238</v>
      </c>
      <c r="G1420">
        <v>312088</v>
      </c>
      <c r="H1420">
        <v>0</v>
      </c>
      <c r="I1420">
        <v>0</v>
      </c>
      <c r="J1420">
        <v>28363.31</v>
      </c>
      <c r="K1420">
        <v>0</v>
      </c>
      <c r="L1420">
        <v>27553.82</v>
      </c>
      <c r="M1420">
        <v>28363.31</v>
      </c>
      <c r="N1420">
        <v>9.09</v>
      </c>
      <c r="O1420">
        <v>283724.69</v>
      </c>
      <c r="P1420">
        <v>0</v>
      </c>
      <c r="Q1420" t="str">
        <f>INDEX(pARTNER[#All],MATCH(#REF!,pARTNER[[#All],[Value.partnerSummary.id]],0),10)</f>
        <v>Slovenija (SI)</v>
      </c>
      <c r="R1420" t="str">
        <f>INDEX('Partner data'!$A$2:$DG$171,MATCH(#REF!,'Partner data'!$DG$2:$DG$171,0),83)</f>
        <v>Soggetto pubblico</v>
      </c>
      <c r="S1420" s="86" t="b">
        <f>IF(#REF!="staff",INDEX('Partner data'!$DG$2:$DH$171,MATCH(#REF!,'Partner data'!$DG$2:$DG$171,0),2))</f>
        <v>0</v>
      </c>
    </row>
    <row r="1421" spans="1:19" x14ac:dyDescent="0.25">
      <c r="A1421" t="s">
        <v>57</v>
      </c>
      <c r="B1421" t="s">
        <v>0</v>
      </c>
      <c r="C1421">
        <v>305</v>
      </c>
      <c r="D1421">
        <v>274</v>
      </c>
      <c r="E1421" t="s">
        <v>228</v>
      </c>
      <c r="G1421">
        <v>86958</v>
      </c>
      <c r="H1421">
        <v>18525</v>
      </c>
      <c r="I1421">
        <v>0</v>
      </c>
      <c r="J1421">
        <v>9980</v>
      </c>
      <c r="K1421">
        <v>0</v>
      </c>
      <c r="L1421">
        <v>9708</v>
      </c>
      <c r="M1421">
        <v>28505</v>
      </c>
      <c r="N1421">
        <v>32.78</v>
      </c>
      <c r="O1421">
        <v>58453</v>
      </c>
      <c r="P1421">
        <v>18511.5</v>
      </c>
      <c r="Q1421" t="str">
        <f>INDEX(pARTNER[#All],MATCH(#REF!,pARTNER[[#All],[Value.partnerSummary.id]],0),10)</f>
        <v>Italia (IT)</v>
      </c>
      <c r="R1421" t="str">
        <f>INDEX('Partner data'!$A$2:$DG$171,MATCH(#REF!,'Partner data'!$DG$2:$DG$171,0),83)</f>
        <v>Soggetto pubblico</v>
      </c>
      <c r="S1421" s="86" t="str">
        <f>IF(#REF!="staff",INDEX('Partner data'!$DG$2:$DH$171,MATCH(#REF!,'Partner data'!$DG$2:$DG$171,0),2))</f>
        <v>Costo Unitario Standard</v>
      </c>
    </row>
    <row r="1422" spans="1:19" x14ac:dyDescent="0.25">
      <c r="A1422" t="s">
        <v>57</v>
      </c>
      <c r="B1422" t="s">
        <v>0</v>
      </c>
      <c r="C1422">
        <v>305</v>
      </c>
      <c r="D1422">
        <v>274</v>
      </c>
      <c r="E1422" t="s">
        <v>229</v>
      </c>
      <c r="F1422">
        <v>15</v>
      </c>
      <c r="G1422">
        <v>13043.7</v>
      </c>
      <c r="H1422">
        <v>2778.75</v>
      </c>
      <c r="I1422">
        <v>0</v>
      </c>
      <c r="J1422">
        <v>1497</v>
      </c>
      <c r="K1422">
        <v>0</v>
      </c>
      <c r="L1422">
        <v>1456.2</v>
      </c>
      <c r="M1422">
        <v>4275.75</v>
      </c>
      <c r="N1422">
        <v>32.78</v>
      </c>
      <c r="O1422">
        <v>8767.9500000000007</v>
      </c>
      <c r="P1422">
        <v>2776.72</v>
      </c>
      <c r="Q1422" t="str">
        <f>INDEX(pARTNER[#All],MATCH(#REF!,pARTNER[[#All],[Value.partnerSummary.id]],0),10)</f>
        <v>Italia (IT)</v>
      </c>
      <c r="R1422" t="str">
        <f>INDEX('Partner data'!$A$2:$DG$171,MATCH(#REF!,'Partner data'!$DG$2:$DG$171,0),83)</f>
        <v>Soggetto pubblico</v>
      </c>
      <c r="S1422" s="86" t="b">
        <f>IF(#REF!="staff",INDEX('Partner data'!$DG$2:$DH$171,MATCH(#REF!,'Partner data'!$DG$2:$DG$171,0),2))</f>
        <v>0</v>
      </c>
    </row>
    <row r="1423" spans="1:19" x14ac:dyDescent="0.25">
      <c r="A1423" t="s">
        <v>57</v>
      </c>
      <c r="B1423" t="s">
        <v>0</v>
      </c>
      <c r="C1423">
        <v>305</v>
      </c>
      <c r="D1423">
        <v>274</v>
      </c>
      <c r="E1423" t="s">
        <v>230</v>
      </c>
      <c r="F1423">
        <v>4</v>
      </c>
      <c r="G1423">
        <v>3478.32</v>
      </c>
      <c r="H1423">
        <v>741</v>
      </c>
      <c r="I1423">
        <v>0</v>
      </c>
      <c r="J1423">
        <v>399.2</v>
      </c>
      <c r="K1423">
        <v>0</v>
      </c>
      <c r="L1423">
        <v>388.32</v>
      </c>
      <c r="M1423">
        <v>1140.2</v>
      </c>
      <c r="N1423">
        <v>32.78</v>
      </c>
      <c r="O1423">
        <v>2338.12</v>
      </c>
      <c r="P1423">
        <v>740.46</v>
      </c>
      <c r="Q1423" t="str">
        <f>INDEX(pARTNER[#All],MATCH(#REF!,pARTNER[[#All],[Value.partnerSummary.id]],0),10)</f>
        <v>Italia (IT)</v>
      </c>
      <c r="R1423" t="str">
        <f>INDEX('Partner data'!$A$2:$DG$171,MATCH(#REF!,'Partner data'!$DG$2:$DG$171,0),83)</f>
        <v>Soggetto pubblico</v>
      </c>
      <c r="S1423" s="86" t="b">
        <f>IF(#REF!="staff",INDEX('Partner data'!$DG$2:$DH$171,MATCH(#REF!,'Partner data'!$DG$2:$DG$171,0),2))</f>
        <v>0</v>
      </c>
    </row>
    <row r="1424" spans="1:19" x14ac:dyDescent="0.25">
      <c r="A1424" t="s">
        <v>57</v>
      </c>
      <c r="B1424" t="s">
        <v>0</v>
      </c>
      <c r="C1424">
        <v>305</v>
      </c>
      <c r="D1424">
        <v>274</v>
      </c>
      <c r="E1424" t="s">
        <v>231</v>
      </c>
      <c r="G1424">
        <v>187009.98</v>
      </c>
      <c r="H1424">
        <v>0</v>
      </c>
      <c r="I1424">
        <v>0</v>
      </c>
      <c r="J1424">
        <v>0</v>
      </c>
      <c r="K1424">
        <v>0</v>
      </c>
      <c r="L1424">
        <v>0</v>
      </c>
      <c r="M1424">
        <v>0</v>
      </c>
      <c r="N1424">
        <v>0</v>
      </c>
      <c r="O1424">
        <v>187009.98</v>
      </c>
      <c r="P1424">
        <v>0</v>
      </c>
      <c r="Q1424" t="str">
        <f>INDEX(pARTNER[#All],MATCH(#REF!,pARTNER[[#All],[Value.partnerSummary.id]],0),10)</f>
        <v>Italia (IT)</v>
      </c>
      <c r="R1424" t="str">
        <f>INDEX('Partner data'!$A$2:$DG$171,MATCH(#REF!,'Partner data'!$DG$2:$DG$171,0),83)</f>
        <v>Soggetto pubblico</v>
      </c>
      <c r="S1424" s="86" t="b">
        <f>IF(#REF!="staff",INDEX('Partner data'!$DG$2:$DH$171,MATCH(#REF!,'Partner data'!$DG$2:$DG$171,0),2))</f>
        <v>0</v>
      </c>
    </row>
    <row r="1425" spans="1:19" x14ac:dyDescent="0.25">
      <c r="A1425" t="s">
        <v>57</v>
      </c>
      <c r="B1425" t="s">
        <v>0</v>
      </c>
      <c r="C1425">
        <v>305</v>
      </c>
      <c r="D1425">
        <v>274</v>
      </c>
      <c r="E1425" t="s">
        <v>232</v>
      </c>
      <c r="G1425">
        <v>147010</v>
      </c>
      <c r="H1425">
        <v>0</v>
      </c>
      <c r="I1425">
        <v>0</v>
      </c>
      <c r="J1425">
        <v>14701</v>
      </c>
      <c r="K1425">
        <v>0</v>
      </c>
      <c r="L1425">
        <v>14701</v>
      </c>
      <c r="M1425">
        <v>14701</v>
      </c>
      <c r="N1425">
        <v>10</v>
      </c>
      <c r="O1425">
        <v>132309</v>
      </c>
      <c r="P1425">
        <v>0</v>
      </c>
      <c r="Q1425" t="str">
        <f>INDEX(pARTNER[#All],MATCH(#REF!,pARTNER[[#All],[Value.partnerSummary.id]],0),10)</f>
        <v>Italia (IT)</v>
      </c>
      <c r="R1425" t="str">
        <f>INDEX('Partner data'!$A$2:$DG$171,MATCH(#REF!,'Partner data'!$DG$2:$DG$171,0),83)</f>
        <v>Soggetto pubblico</v>
      </c>
      <c r="S1425" s="86" t="b">
        <f>IF(#REF!="staff",INDEX('Partner data'!$DG$2:$DH$171,MATCH(#REF!,'Partner data'!$DG$2:$DG$171,0),2))</f>
        <v>0</v>
      </c>
    </row>
    <row r="1426" spans="1:19" x14ac:dyDescent="0.25">
      <c r="A1426" t="s">
        <v>57</v>
      </c>
      <c r="B1426" t="s">
        <v>0</v>
      </c>
      <c r="C1426">
        <v>305</v>
      </c>
      <c r="D1426">
        <v>274</v>
      </c>
      <c r="E1426" t="s">
        <v>233</v>
      </c>
      <c r="G1426">
        <v>0</v>
      </c>
      <c r="H1426">
        <v>0</v>
      </c>
      <c r="I1426">
        <v>0</v>
      </c>
      <c r="J1426">
        <v>0</v>
      </c>
      <c r="K1426">
        <v>0</v>
      </c>
      <c r="L1426">
        <v>0</v>
      </c>
      <c r="M1426">
        <v>0</v>
      </c>
      <c r="N1426">
        <v>0</v>
      </c>
      <c r="O1426">
        <v>0</v>
      </c>
      <c r="P1426">
        <v>0</v>
      </c>
      <c r="Q1426" t="str">
        <f>INDEX(pARTNER[#All],MATCH(#REF!,pARTNER[[#All],[Value.partnerSummary.id]],0),10)</f>
        <v>Italia (IT)</v>
      </c>
      <c r="R1426" t="str">
        <f>INDEX('Partner data'!$A$2:$DG$171,MATCH(#REF!,'Partner data'!$DG$2:$DG$171,0),83)</f>
        <v>Soggetto pubblico</v>
      </c>
      <c r="S1426" s="86" t="b">
        <f>IF(#REF!="staff",INDEX('Partner data'!$DG$2:$DH$171,MATCH(#REF!,'Partner data'!$DG$2:$DG$171,0),2))</f>
        <v>0</v>
      </c>
    </row>
    <row r="1427" spans="1:19" x14ac:dyDescent="0.25">
      <c r="A1427" t="s">
        <v>57</v>
      </c>
      <c r="B1427" t="s">
        <v>0</v>
      </c>
      <c r="C1427">
        <v>305</v>
      </c>
      <c r="D1427">
        <v>274</v>
      </c>
      <c r="E1427" t="s">
        <v>234</v>
      </c>
      <c r="G1427">
        <v>0</v>
      </c>
      <c r="H1427">
        <v>0</v>
      </c>
      <c r="I1427">
        <v>0</v>
      </c>
      <c r="J1427">
        <v>0</v>
      </c>
      <c r="K1427">
        <v>0</v>
      </c>
      <c r="L1427">
        <v>0</v>
      </c>
      <c r="M1427">
        <v>0</v>
      </c>
      <c r="N1427">
        <v>0</v>
      </c>
      <c r="O1427">
        <v>0</v>
      </c>
      <c r="P1427">
        <v>0</v>
      </c>
      <c r="Q1427" t="str">
        <f>INDEX(pARTNER[#All],MATCH(#REF!,pARTNER[[#All],[Value.partnerSummary.id]],0),10)</f>
        <v>Italia (IT)</v>
      </c>
      <c r="R1427" t="str">
        <f>INDEX('Partner data'!$A$2:$DG$171,MATCH(#REF!,'Partner data'!$DG$2:$DG$171,0),83)</f>
        <v>Soggetto pubblico</v>
      </c>
      <c r="S1427" s="86" t="b">
        <f>IF(#REF!="staff",INDEX('Partner data'!$DG$2:$DH$171,MATCH(#REF!,'Partner data'!$DG$2:$DG$171,0),2))</f>
        <v>0</v>
      </c>
    </row>
    <row r="1428" spans="1:19" x14ac:dyDescent="0.25">
      <c r="A1428" t="s">
        <v>57</v>
      </c>
      <c r="B1428" t="s">
        <v>0</v>
      </c>
      <c r="C1428">
        <v>305</v>
      </c>
      <c r="D1428">
        <v>274</v>
      </c>
      <c r="E1428" t="s">
        <v>235</v>
      </c>
      <c r="G1428">
        <v>0</v>
      </c>
      <c r="H1428">
        <v>0</v>
      </c>
      <c r="I1428">
        <v>0</v>
      </c>
      <c r="J1428">
        <v>0</v>
      </c>
      <c r="K1428">
        <v>0</v>
      </c>
      <c r="L1428">
        <v>0</v>
      </c>
      <c r="M1428">
        <v>0</v>
      </c>
      <c r="N1428">
        <v>0</v>
      </c>
      <c r="O1428">
        <v>0</v>
      </c>
      <c r="P1428">
        <v>0</v>
      </c>
      <c r="Q1428" t="str">
        <f>INDEX(pARTNER[#All],MATCH(#REF!,pARTNER[[#All],[Value.partnerSummary.id]],0),10)</f>
        <v>Italia (IT)</v>
      </c>
      <c r="R1428" t="str">
        <f>INDEX('Partner data'!$A$2:$DG$171,MATCH(#REF!,'Partner data'!$DG$2:$DG$171,0),83)</f>
        <v>Soggetto pubblico</v>
      </c>
      <c r="S1428" s="86" t="b">
        <f>IF(#REF!="staff",INDEX('Partner data'!$DG$2:$DH$171,MATCH(#REF!,'Partner data'!$DG$2:$DG$171,0),2))</f>
        <v>0</v>
      </c>
    </row>
    <row r="1429" spans="1:19" x14ac:dyDescent="0.25">
      <c r="A1429" t="s">
        <v>57</v>
      </c>
      <c r="B1429" t="s">
        <v>0</v>
      </c>
      <c r="C1429">
        <v>305</v>
      </c>
      <c r="D1429">
        <v>274</v>
      </c>
      <c r="E1429" t="s">
        <v>236</v>
      </c>
      <c r="G1429">
        <v>0</v>
      </c>
      <c r="H1429">
        <v>0</v>
      </c>
      <c r="I1429">
        <v>0</v>
      </c>
      <c r="J1429">
        <v>0</v>
      </c>
      <c r="K1429">
        <v>0</v>
      </c>
      <c r="L1429">
        <v>0</v>
      </c>
      <c r="M1429">
        <v>0</v>
      </c>
      <c r="N1429">
        <v>0</v>
      </c>
      <c r="O1429">
        <v>0</v>
      </c>
      <c r="P1429">
        <v>0</v>
      </c>
      <c r="Q1429" t="str">
        <f>INDEX(pARTNER[#All],MATCH(#REF!,pARTNER[[#All],[Value.partnerSummary.id]],0),10)</f>
        <v>Italia (IT)</v>
      </c>
      <c r="R1429" t="str">
        <f>INDEX('Partner data'!$A$2:$DG$171,MATCH(#REF!,'Partner data'!$DG$2:$DG$171,0),83)</f>
        <v>Soggetto pubblico</v>
      </c>
      <c r="S1429" s="86" t="b">
        <f>IF(#REF!="staff",INDEX('Partner data'!$DG$2:$DH$171,MATCH(#REF!,'Partner data'!$DG$2:$DG$171,0),2))</f>
        <v>0</v>
      </c>
    </row>
    <row r="1430" spans="1:19" x14ac:dyDescent="0.25">
      <c r="A1430" t="s">
        <v>57</v>
      </c>
      <c r="B1430" t="s">
        <v>0</v>
      </c>
      <c r="C1430">
        <v>305</v>
      </c>
      <c r="D1430">
        <v>274</v>
      </c>
      <c r="E1430" t="s">
        <v>237</v>
      </c>
      <c r="G1430">
        <v>0</v>
      </c>
      <c r="H1430">
        <v>0</v>
      </c>
      <c r="I1430">
        <v>0</v>
      </c>
      <c r="J1430">
        <v>0</v>
      </c>
      <c r="K1430">
        <v>0</v>
      </c>
      <c r="L1430">
        <v>0</v>
      </c>
      <c r="M1430">
        <v>0</v>
      </c>
      <c r="N1430">
        <v>0</v>
      </c>
      <c r="O1430">
        <v>0</v>
      </c>
      <c r="P1430">
        <v>0</v>
      </c>
      <c r="Q1430" t="str">
        <f>INDEX(pARTNER[#All],MATCH(#REF!,pARTNER[[#All],[Value.partnerSummary.id]],0),10)</f>
        <v>Italia (IT)</v>
      </c>
      <c r="R1430" t="str">
        <f>INDEX('Partner data'!$A$2:$DG$171,MATCH(#REF!,'Partner data'!$DG$2:$DG$171,0),83)</f>
        <v>Soggetto pubblico</v>
      </c>
      <c r="S1430" s="86" t="b">
        <f>IF(#REF!="staff",INDEX('Partner data'!$DG$2:$DH$171,MATCH(#REF!,'Partner data'!$DG$2:$DG$171,0),2))</f>
        <v>0</v>
      </c>
    </row>
    <row r="1431" spans="1:19" x14ac:dyDescent="0.25">
      <c r="A1431" t="s">
        <v>57</v>
      </c>
      <c r="B1431" t="s">
        <v>0</v>
      </c>
      <c r="C1431">
        <v>305</v>
      </c>
      <c r="D1431">
        <v>274</v>
      </c>
      <c r="E1431" t="s">
        <v>238</v>
      </c>
      <c r="G1431">
        <v>437500</v>
      </c>
      <c r="H1431">
        <v>22044.75</v>
      </c>
      <c r="I1431">
        <v>0</v>
      </c>
      <c r="J1431">
        <v>26577.200000000001</v>
      </c>
      <c r="K1431">
        <v>0</v>
      </c>
      <c r="L1431">
        <v>26253.52</v>
      </c>
      <c r="M1431">
        <v>48621.95</v>
      </c>
      <c r="N1431">
        <v>11.11</v>
      </c>
      <c r="O1431">
        <v>388878.05</v>
      </c>
      <c r="P1431">
        <v>22028.68</v>
      </c>
      <c r="Q1431" t="str">
        <f>INDEX(pARTNER[#All],MATCH(#REF!,pARTNER[[#All],[Value.partnerSummary.id]],0),10)</f>
        <v>Italia (IT)</v>
      </c>
      <c r="R1431" t="str">
        <f>INDEX('Partner data'!$A$2:$DG$171,MATCH(#REF!,'Partner data'!$DG$2:$DG$171,0),83)</f>
        <v>Soggetto pubblico</v>
      </c>
      <c r="S1431" s="86" t="b">
        <f>IF(#REF!="staff",INDEX('Partner data'!$DG$2:$DH$171,MATCH(#REF!,'Partner data'!$DG$2:$DG$171,0),2))</f>
        <v>0</v>
      </c>
    </row>
    <row r="1432" spans="1:19" x14ac:dyDescent="0.25">
      <c r="A1432" t="s">
        <v>57</v>
      </c>
      <c r="B1432" t="s">
        <v>0</v>
      </c>
      <c r="C1432">
        <v>305</v>
      </c>
      <c r="D1432">
        <v>94</v>
      </c>
      <c r="E1432" t="s">
        <v>228</v>
      </c>
      <c r="G1432">
        <v>90322</v>
      </c>
      <c r="H1432">
        <v>0</v>
      </c>
      <c r="I1432">
        <v>0</v>
      </c>
      <c r="J1432">
        <v>18525</v>
      </c>
      <c r="K1432">
        <v>0</v>
      </c>
      <c r="L1432">
        <v>18511.5</v>
      </c>
      <c r="M1432">
        <v>18525</v>
      </c>
      <c r="N1432">
        <v>20.51</v>
      </c>
      <c r="O1432">
        <v>71797</v>
      </c>
      <c r="P1432">
        <v>0</v>
      </c>
      <c r="Q1432" t="str">
        <f>INDEX(pARTNER[#All],MATCH(#REF!,pARTNER[[#All],[Value.partnerSummary.id]],0),10)</f>
        <v>Italia (IT)</v>
      </c>
      <c r="R1432" t="str">
        <f>INDEX('Partner data'!$A$2:$DG$171,MATCH(#REF!,'Partner data'!$DG$2:$DG$171,0),83)</f>
        <v>Soggetto pubblico</v>
      </c>
      <c r="S1432" s="86" t="str">
        <f>IF(#REF!="staff",INDEX('Partner data'!$DG$2:$DH$171,MATCH(#REF!,'Partner data'!$DG$2:$DG$171,0),2))</f>
        <v>Costo Unitario Standard</v>
      </c>
    </row>
    <row r="1433" spans="1:19" x14ac:dyDescent="0.25">
      <c r="A1433" t="s">
        <v>57</v>
      </c>
      <c r="B1433" t="s">
        <v>0</v>
      </c>
      <c r="C1433">
        <v>305</v>
      </c>
      <c r="D1433">
        <v>94</v>
      </c>
      <c r="E1433" t="s">
        <v>229</v>
      </c>
      <c r="F1433">
        <v>15</v>
      </c>
      <c r="G1433">
        <v>13548.3</v>
      </c>
      <c r="H1433">
        <v>0</v>
      </c>
      <c r="I1433">
        <v>0</v>
      </c>
      <c r="J1433">
        <v>2778.75</v>
      </c>
      <c r="K1433">
        <v>0</v>
      </c>
      <c r="L1433">
        <v>2776.72</v>
      </c>
      <c r="M1433">
        <v>2778.75</v>
      </c>
      <c r="N1433">
        <v>20.51</v>
      </c>
      <c r="O1433">
        <v>10769.55</v>
      </c>
      <c r="P1433">
        <v>0</v>
      </c>
      <c r="Q1433" t="str">
        <f>INDEX(pARTNER[#All],MATCH(#REF!,pARTNER[[#All],[Value.partnerSummary.id]],0),10)</f>
        <v>Italia (IT)</v>
      </c>
      <c r="R1433" t="str">
        <f>INDEX('Partner data'!$A$2:$DG$171,MATCH(#REF!,'Partner data'!$DG$2:$DG$171,0),83)</f>
        <v>Soggetto pubblico</v>
      </c>
      <c r="S1433" s="86" t="b">
        <f>IF(#REF!="staff",INDEX('Partner data'!$DG$2:$DH$171,MATCH(#REF!,'Partner data'!$DG$2:$DG$171,0),2))</f>
        <v>0</v>
      </c>
    </row>
    <row r="1434" spans="1:19" x14ac:dyDescent="0.25">
      <c r="A1434" t="s">
        <v>57</v>
      </c>
      <c r="B1434" t="s">
        <v>0</v>
      </c>
      <c r="C1434">
        <v>305</v>
      </c>
      <c r="D1434">
        <v>94</v>
      </c>
      <c r="E1434" t="s">
        <v>230</v>
      </c>
      <c r="F1434">
        <v>4</v>
      </c>
      <c r="G1434">
        <v>3612.88</v>
      </c>
      <c r="H1434">
        <v>0</v>
      </c>
      <c r="I1434">
        <v>0</v>
      </c>
      <c r="J1434">
        <v>741</v>
      </c>
      <c r="K1434">
        <v>0</v>
      </c>
      <c r="L1434">
        <v>740.46</v>
      </c>
      <c r="M1434">
        <v>741</v>
      </c>
      <c r="N1434">
        <v>20.51</v>
      </c>
      <c r="O1434">
        <v>2871.88</v>
      </c>
      <c r="P1434">
        <v>0</v>
      </c>
      <c r="Q1434" t="str">
        <f>INDEX(pARTNER[#All],MATCH(#REF!,pARTNER[[#All],[Value.partnerSummary.id]],0),10)</f>
        <v>Italia (IT)</v>
      </c>
      <c r="R1434" t="str">
        <f>INDEX('Partner data'!$A$2:$DG$171,MATCH(#REF!,'Partner data'!$DG$2:$DG$171,0),83)</f>
        <v>Soggetto pubblico</v>
      </c>
      <c r="S1434" s="86" t="b">
        <f>IF(#REF!="staff",INDEX('Partner data'!$DG$2:$DH$171,MATCH(#REF!,'Partner data'!$DG$2:$DG$171,0),2))</f>
        <v>0</v>
      </c>
    </row>
    <row r="1435" spans="1:19" x14ac:dyDescent="0.25">
      <c r="A1435" t="s">
        <v>57</v>
      </c>
      <c r="B1435" t="s">
        <v>0</v>
      </c>
      <c r="C1435">
        <v>305</v>
      </c>
      <c r="D1435">
        <v>94</v>
      </c>
      <c r="E1435" t="s">
        <v>231</v>
      </c>
      <c r="G1435">
        <v>150016.82</v>
      </c>
      <c r="H1435">
        <v>0</v>
      </c>
      <c r="I1435">
        <v>0</v>
      </c>
      <c r="J1435">
        <v>0</v>
      </c>
      <c r="K1435">
        <v>0</v>
      </c>
      <c r="L1435">
        <v>0</v>
      </c>
      <c r="M1435">
        <v>0</v>
      </c>
      <c r="N1435">
        <v>0</v>
      </c>
      <c r="O1435">
        <v>150016.82</v>
      </c>
      <c r="P1435">
        <v>0</v>
      </c>
      <c r="Q1435" t="str">
        <f>INDEX(pARTNER[#All],MATCH(#REF!,pARTNER[[#All],[Value.partnerSummary.id]],0),10)</f>
        <v>Italia (IT)</v>
      </c>
      <c r="R1435" t="str">
        <f>INDEX('Partner data'!$A$2:$DG$171,MATCH(#REF!,'Partner data'!$DG$2:$DG$171,0),83)</f>
        <v>Soggetto pubblico</v>
      </c>
      <c r="S1435" s="86" t="b">
        <f>IF(#REF!="staff",INDEX('Partner data'!$DG$2:$DH$171,MATCH(#REF!,'Partner data'!$DG$2:$DG$171,0),2))</f>
        <v>0</v>
      </c>
    </row>
    <row r="1436" spans="1:19" x14ac:dyDescent="0.25">
      <c r="A1436" t="s">
        <v>57</v>
      </c>
      <c r="B1436" t="s">
        <v>0</v>
      </c>
      <c r="C1436">
        <v>305</v>
      </c>
      <c r="D1436">
        <v>94</v>
      </c>
      <c r="E1436" t="s">
        <v>232</v>
      </c>
      <c r="G1436">
        <v>180000</v>
      </c>
      <c r="H1436">
        <v>0</v>
      </c>
      <c r="I1436">
        <v>0</v>
      </c>
      <c r="J1436">
        <v>0</v>
      </c>
      <c r="K1436">
        <v>0</v>
      </c>
      <c r="L1436">
        <v>0</v>
      </c>
      <c r="M1436">
        <v>0</v>
      </c>
      <c r="N1436">
        <v>0</v>
      </c>
      <c r="O1436">
        <v>180000</v>
      </c>
      <c r="P1436">
        <v>0</v>
      </c>
      <c r="Q1436" t="str">
        <f>INDEX(pARTNER[#All],MATCH(#REF!,pARTNER[[#All],[Value.partnerSummary.id]],0),10)</f>
        <v>Italia (IT)</v>
      </c>
      <c r="R1436" t="str">
        <f>INDEX('Partner data'!$A$2:$DG$171,MATCH(#REF!,'Partner data'!$DG$2:$DG$171,0),83)</f>
        <v>Soggetto pubblico</v>
      </c>
      <c r="S1436" s="86" t="b">
        <f>IF(#REF!="staff",INDEX('Partner data'!$DG$2:$DH$171,MATCH(#REF!,'Partner data'!$DG$2:$DG$171,0),2))</f>
        <v>0</v>
      </c>
    </row>
    <row r="1437" spans="1:19" x14ac:dyDescent="0.25">
      <c r="A1437" t="s">
        <v>57</v>
      </c>
      <c r="B1437" t="s">
        <v>0</v>
      </c>
      <c r="C1437">
        <v>305</v>
      </c>
      <c r="D1437">
        <v>94</v>
      </c>
      <c r="E1437" t="s">
        <v>233</v>
      </c>
      <c r="G1437">
        <v>0</v>
      </c>
      <c r="H1437">
        <v>0</v>
      </c>
      <c r="I1437">
        <v>0</v>
      </c>
      <c r="J1437">
        <v>0</v>
      </c>
      <c r="K1437">
        <v>0</v>
      </c>
      <c r="L1437">
        <v>0</v>
      </c>
      <c r="M1437">
        <v>0</v>
      </c>
      <c r="N1437">
        <v>0</v>
      </c>
      <c r="O1437">
        <v>0</v>
      </c>
      <c r="P1437">
        <v>0</v>
      </c>
      <c r="Q1437" t="str">
        <f>INDEX(pARTNER[#All],MATCH(#REF!,pARTNER[[#All],[Value.partnerSummary.id]],0),10)</f>
        <v>Italia (IT)</v>
      </c>
      <c r="R1437" t="str">
        <f>INDEX('Partner data'!$A$2:$DG$171,MATCH(#REF!,'Partner data'!$DG$2:$DG$171,0),83)</f>
        <v>Soggetto pubblico</v>
      </c>
      <c r="S1437" s="86" t="b">
        <f>IF(#REF!="staff",INDEX('Partner data'!$DG$2:$DH$171,MATCH(#REF!,'Partner data'!$DG$2:$DG$171,0),2))</f>
        <v>0</v>
      </c>
    </row>
    <row r="1438" spans="1:19" x14ac:dyDescent="0.25">
      <c r="A1438" t="s">
        <v>57</v>
      </c>
      <c r="B1438" t="s">
        <v>0</v>
      </c>
      <c r="C1438">
        <v>305</v>
      </c>
      <c r="D1438">
        <v>94</v>
      </c>
      <c r="E1438" t="s">
        <v>234</v>
      </c>
      <c r="G1438">
        <v>0</v>
      </c>
      <c r="H1438">
        <v>0</v>
      </c>
      <c r="I1438">
        <v>0</v>
      </c>
      <c r="J1438">
        <v>0</v>
      </c>
      <c r="K1438">
        <v>0</v>
      </c>
      <c r="L1438">
        <v>0</v>
      </c>
      <c r="M1438">
        <v>0</v>
      </c>
      <c r="N1438">
        <v>0</v>
      </c>
      <c r="O1438">
        <v>0</v>
      </c>
      <c r="P1438">
        <v>0</v>
      </c>
      <c r="Q1438" t="str">
        <f>INDEX(pARTNER[#All],MATCH(#REF!,pARTNER[[#All],[Value.partnerSummary.id]],0),10)</f>
        <v>Italia (IT)</v>
      </c>
      <c r="R1438" t="str">
        <f>INDEX('Partner data'!$A$2:$DG$171,MATCH(#REF!,'Partner data'!$DG$2:$DG$171,0),83)</f>
        <v>Soggetto pubblico</v>
      </c>
      <c r="S1438" s="86" t="b">
        <f>IF(#REF!="staff",INDEX('Partner data'!$DG$2:$DH$171,MATCH(#REF!,'Partner data'!$DG$2:$DG$171,0),2))</f>
        <v>0</v>
      </c>
    </row>
    <row r="1439" spans="1:19" x14ac:dyDescent="0.25">
      <c r="A1439" t="s">
        <v>57</v>
      </c>
      <c r="B1439" t="s">
        <v>0</v>
      </c>
      <c r="C1439">
        <v>305</v>
      </c>
      <c r="D1439">
        <v>94</v>
      </c>
      <c r="E1439" t="s">
        <v>235</v>
      </c>
      <c r="G1439">
        <v>0</v>
      </c>
      <c r="H1439">
        <v>0</v>
      </c>
      <c r="I1439">
        <v>0</v>
      </c>
      <c r="J1439">
        <v>0</v>
      </c>
      <c r="K1439">
        <v>0</v>
      </c>
      <c r="L1439">
        <v>0</v>
      </c>
      <c r="M1439">
        <v>0</v>
      </c>
      <c r="N1439">
        <v>0</v>
      </c>
      <c r="O1439">
        <v>0</v>
      </c>
      <c r="P1439">
        <v>0</v>
      </c>
      <c r="Q1439" t="str">
        <f>INDEX(pARTNER[#All],MATCH(#REF!,pARTNER[[#All],[Value.partnerSummary.id]],0),10)</f>
        <v>Italia (IT)</v>
      </c>
      <c r="R1439" t="str">
        <f>INDEX('Partner data'!$A$2:$DG$171,MATCH(#REF!,'Partner data'!$DG$2:$DG$171,0),83)</f>
        <v>Soggetto pubblico</v>
      </c>
      <c r="S1439" s="86" t="b">
        <f>IF(#REF!="staff",INDEX('Partner data'!$DG$2:$DH$171,MATCH(#REF!,'Partner data'!$DG$2:$DG$171,0),2))</f>
        <v>0</v>
      </c>
    </row>
    <row r="1440" spans="1:19" x14ac:dyDescent="0.25">
      <c r="A1440" t="s">
        <v>57</v>
      </c>
      <c r="B1440" t="s">
        <v>0</v>
      </c>
      <c r="C1440">
        <v>305</v>
      </c>
      <c r="D1440">
        <v>94</v>
      </c>
      <c r="E1440" t="s">
        <v>236</v>
      </c>
      <c r="G1440">
        <v>0</v>
      </c>
      <c r="H1440">
        <v>0</v>
      </c>
      <c r="I1440">
        <v>0</v>
      </c>
      <c r="J1440">
        <v>0</v>
      </c>
      <c r="K1440">
        <v>0</v>
      </c>
      <c r="L1440">
        <v>0</v>
      </c>
      <c r="M1440">
        <v>0</v>
      </c>
      <c r="N1440">
        <v>0</v>
      </c>
      <c r="O1440">
        <v>0</v>
      </c>
      <c r="P1440">
        <v>0</v>
      </c>
      <c r="Q1440" t="str">
        <f>INDEX(pARTNER[#All],MATCH(#REF!,pARTNER[[#All],[Value.partnerSummary.id]],0),10)</f>
        <v>Italia (IT)</v>
      </c>
      <c r="R1440" t="str">
        <f>INDEX('Partner data'!$A$2:$DG$171,MATCH(#REF!,'Partner data'!$DG$2:$DG$171,0),83)</f>
        <v>Soggetto pubblico</v>
      </c>
      <c r="S1440" s="86" t="b">
        <f>IF(#REF!="staff",INDEX('Partner data'!$DG$2:$DH$171,MATCH(#REF!,'Partner data'!$DG$2:$DG$171,0),2))</f>
        <v>0</v>
      </c>
    </row>
    <row r="1441" spans="1:19" x14ac:dyDescent="0.25">
      <c r="A1441" t="s">
        <v>57</v>
      </c>
      <c r="B1441" t="s">
        <v>0</v>
      </c>
      <c r="C1441">
        <v>305</v>
      </c>
      <c r="D1441">
        <v>94</v>
      </c>
      <c r="E1441" t="s">
        <v>237</v>
      </c>
      <c r="G1441">
        <v>0</v>
      </c>
      <c r="H1441">
        <v>0</v>
      </c>
      <c r="I1441">
        <v>0</v>
      </c>
      <c r="J1441">
        <v>0</v>
      </c>
      <c r="K1441">
        <v>0</v>
      </c>
      <c r="L1441">
        <v>0</v>
      </c>
      <c r="M1441">
        <v>0</v>
      </c>
      <c r="N1441">
        <v>0</v>
      </c>
      <c r="O1441">
        <v>0</v>
      </c>
      <c r="P1441">
        <v>0</v>
      </c>
      <c r="Q1441" t="str">
        <f>INDEX(pARTNER[#All],MATCH(#REF!,pARTNER[[#All],[Value.partnerSummary.id]],0),10)</f>
        <v>Italia (IT)</v>
      </c>
      <c r="R1441" t="str">
        <f>INDEX('Partner data'!$A$2:$DG$171,MATCH(#REF!,'Partner data'!$DG$2:$DG$171,0),83)</f>
        <v>Soggetto pubblico</v>
      </c>
      <c r="S1441" s="86" t="b">
        <f>IF(#REF!="staff",INDEX('Partner data'!$DG$2:$DH$171,MATCH(#REF!,'Partner data'!$DG$2:$DG$171,0),2))</f>
        <v>0</v>
      </c>
    </row>
    <row r="1442" spans="1:19" x14ac:dyDescent="0.25">
      <c r="A1442" t="s">
        <v>57</v>
      </c>
      <c r="B1442" t="s">
        <v>0</v>
      </c>
      <c r="C1442">
        <v>305</v>
      </c>
      <c r="D1442">
        <v>94</v>
      </c>
      <c r="E1442" t="s">
        <v>238</v>
      </c>
      <c r="G1442">
        <v>437500</v>
      </c>
      <c r="H1442">
        <v>0</v>
      </c>
      <c r="I1442">
        <v>0</v>
      </c>
      <c r="J1442">
        <v>22044.75</v>
      </c>
      <c r="K1442">
        <v>0</v>
      </c>
      <c r="L1442">
        <v>22028.68</v>
      </c>
      <c r="M1442">
        <v>22044.75</v>
      </c>
      <c r="N1442">
        <v>5.04</v>
      </c>
      <c r="O1442">
        <v>415455.25</v>
      </c>
      <c r="P1442">
        <v>0</v>
      </c>
      <c r="Q1442" t="str">
        <f>INDEX(pARTNER[#All],MATCH(#REF!,pARTNER[[#All],[Value.partnerSummary.id]],0),10)</f>
        <v>Italia (IT)</v>
      </c>
      <c r="R1442" t="str">
        <f>INDEX('Partner data'!$A$2:$DG$171,MATCH(#REF!,'Partner data'!$DG$2:$DG$171,0),83)</f>
        <v>Soggetto pubblico</v>
      </c>
      <c r="S1442" s="86" t="b">
        <f>IF(#REF!="staff",INDEX('Partner data'!$DG$2:$DH$171,MATCH(#REF!,'Partner data'!$DG$2:$DG$171,0),2))</f>
        <v>0</v>
      </c>
    </row>
    <row r="1443" spans="1:19" x14ac:dyDescent="0.25">
      <c r="A1443" t="s">
        <v>57</v>
      </c>
      <c r="B1443" t="s">
        <v>34</v>
      </c>
      <c r="C1443">
        <v>306</v>
      </c>
      <c r="D1443">
        <v>261</v>
      </c>
      <c r="E1443" t="s">
        <v>228</v>
      </c>
      <c r="G1443">
        <v>110140</v>
      </c>
      <c r="H1443">
        <v>15255.49</v>
      </c>
      <c r="I1443">
        <v>0</v>
      </c>
      <c r="J1443">
        <v>18859.38</v>
      </c>
      <c r="K1443">
        <v>0</v>
      </c>
      <c r="L1443">
        <v>18859.38</v>
      </c>
      <c r="M1443">
        <v>34114.870000000003</v>
      </c>
      <c r="N1443">
        <v>30.97</v>
      </c>
      <c r="O1443">
        <v>76025.13</v>
      </c>
      <c r="P1443">
        <v>13478.7</v>
      </c>
      <c r="Q1443" t="str">
        <f>INDEX(pARTNER[#All],MATCH(#REF!,pARTNER[[#All],[Value.partnerSummary.id]],0),10)</f>
        <v>Italia (IT)</v>
      </c>
      <c r="R1443" t="str">
        <f>INDEX('Partner data'!$A$2:$DG$171,MATCH(#REF!,'Partner data'!$DG$2:$DG$171,0),83)</f>
        <v>Soggetto pubblico</v>
      </c>
      <c r="S1443" s="86" t="str">
        <f>IF(#REF!="staff",INDEX('Partner data'!$DG$2:$DH$171,MATCH(#REF!,'Partner data'!$DG$2:$DG$171,0),2))</f>
        <v>COSTO REALE</v>
      </c>
    </row>
    <row r="1444" spans="1:19" x14ac:dyDescent="0.25">
      <c r="A1444" t="s">
        <v>57</v>
      </c>
      <c r="B1444" t="s">
        <v>34</v>
      </c>
      <c r="C1444">
        <v>306</v>
      </c>
      <c r="D1444">
        <v>261</v>
      </c>
      <c r="E1444" t="s">
        <v>229</v>
      </c>
      <c r="F1444">
        <v>15</v>
      </c>
      <c r="G1444">
        <v>16521</v>
      </c>
      <c r="H1444">
        <v>2288.3200000000002</v>
      </c>
      <c r="I1444">
        <v>0</v>
      </c>
      <c r="J1444">
        <v>2828.9</v>
      </c>
      <c r="K1444">
        <v>0</v>
      </c>
      <c r="L1444">
        <v>2828.9</v>
      </c>
      <c r="M1444">
        <v>5117.22</v>
      </c>
      <c r="N1444">
        <v>30.97</v>
      </c>
      <c r="O1444">
        <v>11403.78</v>
      </c>
      <c r="P1444">
        <v>2021.8</v>
      </c>
      <c r="Q1444" t="str">
        <f>INDEX(pARTNER[#All],MATCH(#REF!,pARTNER[[#All],[Value.partnerSummary.id]],0),10)</f>
        <v>Italia (IT)</v>
      </c>
      <c r="R1444" t="str">
        <f>INDEX('Partner data'!$A$2:$DG$171,MATCH(#REF!,'Partner data'!$DG$2:$DG$171,0),83)</f>
        <v>Soggetto pubblico</v>
      </c>
      <c r="S1444" s="86" t="b">
        <f>IF(#REF!="staff",INDEX('Partner data'!$DG$2:$DH$171,MATCH(#REF!,'Partner data'!$DG$2:$DG$171,0),2))</f>
        <v>0</v>
      </c>
    </row>
    <row r="1445" spans="1:19" x14ac:dyDescent="0.25">
      <c r="A1445" t="s">
        <v>57</v>
      </c>
      <c r="B1445" t="s">
        <v>34</v>
      </c>
      <c r="C1445">
        <v>306</v>
      </c>
      <c r="D1445">
        <v>261</v>
      </c>
      <c r="E1445" t="s">
        <v>230</v>
      </c>
      <c r="F1445">
        <v>4</v>
      </c>
      <c r="G1445">
        <v>4405.6000000000004</v>
      </c>
      <c r="H1445">
        <v>610.21</v>
      </c>
      <c r="I1445">
        <v>0</v>
      </c>
      <c r="J1445">
        <v>754.37</v>
      </c>
      <c r="K1445">
        <v>0</v>
      </c>
      <c r="L1445">
        <v>754.37</v>
      </c>
      <c r="M1445">
        <v>1364.58</v>
      </c>
      <c r="N1445">
        <v>30.97</v>
      </c>
      <c r="O1445">
        <v>3041.02</v>
      </c>
      <c r="P1445">
        <v>539.14</v>
      </c>
      <c r="Q1445" t="str">
        <f>INDEX(pARTNER[#All],MATCH(#REF!,pARTNER[[#All],[Value.partnerSummary.id]],0),10)</f>
        <v>Italia (IT)</v>
      </c>
      <c r="R1445" t="str">
        <f>INDEX('Partner data'!$A$2:$DG$171,MATCH(#REF!,'Partner data'!$DG$2:$DG$171,0),83)</f>
        <v>Soggetto pubblico</v>
      </c>
      <c r="S1445" s="86" t="b">
        <f>IF(#REF!="staff",INDEX('Partner data'!$DG$2:$DH$171,MATCH(#REF!,'Partner data'!$DG$2:$DG$171,0),2))</f>
        <v>0</v>
      </c>
    </row>
    <row r="1446" spans="1:19" x14ac:dyDescent="0.25">
      <c r="A1446" t="s">
        <v>57</v>
      </c>
      <c r="B1446" t="s">
        <v>34</v>
      </c>
      <c r="C1446">
        <v>306</v>
      </c>
      <c r="D1446">
        <v>261</v>
      </c>
      <c r="E1446" t="s">
        <v>231</v>
      </c>
      <c r="G1446">
        <v>217000</v>
      </c>
      <c r="H1446">
        <v>2466.91</v>
      </c>
      <c r="I1446">
        <v>0</v>
      </c>
      <c r="J1446">
        <v>24513.46</v>
      </c>
      <c r="K1446">
        <v>0</v>
      </c>
      <c r="L1446">
        <v>24435.83</v>
      </c>
      <c r="M1446">
        <v>26980.37</v>
      </c>
      <c r="N1446">
        <v>12.43</v>
      </c>
      <c r="O1446">
        <v>190019.63</v>
      </c>
      <c r="P1446">
        <v>2466.91</v>
      </c>
      <c r="Q1446" t="str">
        <f>INDEX(pARTNER[#All],MATCH(#REF!,pARTNER[[#All],[Value.partnerSummary.id]],0),10)</f>
        <v>Italia (IT)</v>
      </c>
      <c r="R1446" t="str">
        <f>INDEX('Partner data'!$A$2:$DG$171,MATCH(#REF!,'Partner data'!$DG$2:$DG$171,0),83)</f>
        <v>Soggetto pubblico</v>
      </c>
      <c r="S1446" s="86" t="b">
        <f>IF(#REF!="staff",INDEX('Partner data'!$DG$2:$DH$171,MATCH(#REF!,'Partner data'!$DG$2:$DG$171,0),2))</f>
        <v>0</v>
      </c>
    </row>
    <row r="1447" spans="1:19" x14ac:dyDescent="0.25">
      <c r="A1447" t="s">
        <v>57</v>
      </c>
      <c r="B1447" t="s">
        <v>34</v>
      </c>
      <c r="C1447">
        <v>306</v>
      </c>
      <c r="D1447">
        <v>261</v>
      </c>
      <c r="E1447" t="s">
        <v>232</v>
      </c>
      <c r="G1447">
        <v>1933.4</v>
      </c>
      <c r="H1447">
        <v>0</v>
      </c>
      <c r="I1447">
        <v>0</v>
      </c>
      <c r="J1447">
        <v>0</v>
      </c>
      <c r="K1447">
        <v>0</v>
      </c>
      <c r="L1447">
        <v>0</v>
      </c>
      <c r="M1447">
        <v>0</v>
      </c>
      <c r="N1447">
        <v>0</v>
      </c>
      <c r="O1447">
        <v>1933.4</v>
      </c>
      <c r="P1447">
        <v>0</v>
      </c>
      <c r="Q1447" t="str">
        <f>INDEX(pARTNER[#All],MATCH(#REF!,pARTNER[[#All],[Value.partnerSummary.id]],0),10)</f>
        <v>Italia (IT)</v>
      </c>
      <c r="R1447" t="str">
        <f>INDEX('Partner data'!$A$2:$DG$171,MATCH(#REF!,'Partner data'!$DG$2:$DG$171,0),83)</f>
        <v>Soggetto pubblico</v>
      </c>
      <c r="S1447" s="86" t="b">
        <f>IF(#REF!="staff",INDEX('Partner data'!$DG$2:$DH$171,MATCH(#REF!,'Partner data'!$DG$2:$DG$171,0),2))</f>
        <v>0</v>
      </c>
    </row>
    <row r="1448" spans="1:19" x14ac:dyDescent="0.25">
      <c r="A1448" t="s">
        <v>57</v>
      </c>
      <c r="B1448" t="s">
        <v>34</v>
      </c>
      <c r="C1448">
        <v>306</v>
      </c>
      <c r="D1448">
        <v>261</v>
      </c>
      <c r="E1448" t="s">
        <v>233</v>
      </c>
      <c r="G1448">
        <v>0</v>
      </c>
      <c r="H1448">
        <v>0</v>
      </c>
      <c r="I1448">
        <v>0</v>
      </c>
      <c r="J1448">
        <v>0</v>
      </c>
      <c r="K1448">
        <v>0</v>
      </c>
      <c r="L1448">
        <v>0</v>
      </c>
      <c r="M1448">
        <v>0</v>
      </c>
      <c r="N1448">
        <v>0</v>
      </c>
      <c r="O1448">
        <v>0</v>
      </c>
      <c r="P1448">
        <v>0</v>
      </c>
      <c r="Q1448" t="str">
        <f>INDEX(pARTNER[#All],MATCH(#REF!,pARTNER[[#All],[Value.partnerSummary.id]],0),10)</f>
        <v>Italia (IT)</v>
      </c>
      <c r="R1448" t="str">
        <f>INDEX('Partner data'!$A$2:$DG$171,MATCH(#REF!,'Partner data'!$DG$2:$DG$171,0),83)</f>
        <v>Soggetto pubblico</v>
      </c>
      <c r="S1448" s="86" t="b">
        <f>IF(#REF!="staff",INDEX('Partner data'!$DG$2:$DH$171,MATCH(#REF!,'Partner data'!$DG$2:$DG$171,0),2))</f>
        <v>0</v>
      </c>
    </row>
    <row r="1449" spans="1:19" x14ac:dyDescent="0.25">
      <c r="A1449" t="s">
        <v>57</v>
      </c>
      <c r="B1449" t="s">
        <v>34</v>
      </c>
      <c r="C1449">
        <v>306</v>
      </c>
      <c r="D1449">
        <v>261</v>
      </c>
      <c r="E1449" t="s">
        <v>234</v>
      </c>
      <c r="G1449">
        <v>0</v>
      </c>
      <c r="H1449">
        <v>0</v>
      </c>
      <c r="I1449">
        <v>0</v>
      </c>
      <c r="J1449">
        <v>0</v>
      </c>
      <c r="K1449">
        <v>0</v>
      </c>
      <c r="L1449">
        <v>0</v>
      </c>
      <c r="M1449">
        <v>0</v>
      </c>
      <c r="N1449">
        <v>0</v>
      </c>
      <c r="O1449">
        <v>0</v>
      </c>
      <c r="P1449">
        <v>0</v>
      </c>
      <c r="Q1449" t="str">
        <f>INDEX(pARTNER[#All],MATCH(#REF!,pARTNER[[#All],[Value.partnerSummary.id]],0),10)</f>
        <v>Italia (IT)</v>
      </c>
      <c r="R1449" t="str">
        <f>INDEX('Partner data'!$A$2:$DG$171,MATCH(#REF!,'Partner data'!$DG$2:$DG$171,0),83)</f>
        <v>Soggetto pubblico</v>
      </c>
      <c r="S1449" s="86" t="b">
        <f>IF(#REF!="staff",INDEX('Partner data'!$DG$2:$DH$171,MATCH(#REF!,'Partner data'!$DG$2:$DG$171,0),2))</f>
        <v>0</v>
      </c>
    </row>
    <row r="1450" spans="1:19" x14ac:dyDescent="0.25">
      <c r="A1450" t="s">
        <v>57</v>
      </c>
      <c r="B1450" t="s">
        <v>34</v>
      </c>
      <c r="C1450">
        <v>306</v>
      </c>
      <c r="D1450">
        <v>261</v>
      </c>
      <c r="E1450" t="s">
        <v>235</v>
      </c>
      <c r="G1450">
        <v>0</v>
      </c>
      <c r="H1450">
        <v>0</v>
      </c>
      <c r="I1450">
        <v>0</v>
      </c>
      <c r="J1450">
        <v>0</v>
      </c>
      <c r="K1450">
        <v>0</v>
      </c>
      <c r="L1450">
        <v>0</v>
      </c>
      <c r="M1450">
        <v>0</v>
      </c>
      <c r="N1450">
        <v>0</v>
      </c>
      <c r="O1450">
        <v>0</v>
      </c>
      <c r="P1450">
        <v>0</v>
      </c>
      <c r="Q1450" t="str">
        <f>INDEX(pARTNER[#All],MATCH(#REF!,pARTNER[[#All],[Value.partnerSummary.id]],0),10)</f>
        <v>Italia (IT)</v>
      </c>
      <c r="R1450" t="str">
        <f>INDEX('Partner data'!$A$2:$DG$171,MATCH(#REF!,'Partner data'!$DG$2:$DG$171,0),83)</f>
        <v>Soggetto pubblico</v>
      </c>
      <c r="S1450" s="86" t="b">
        <f>IF(#REF!="staff",INDEX('Partner data'!$DG$2:$DH$171,MATCH(#REF!,'Partner data'!$DG$2:$DG$171,0),2))</f>
        <v>0</v>
      </c>
    </row>
    <row r="1451" spans="1:19" x14ac:dyDescent="0.25">
      <c r="A1451" t="s">
        <v>57</v>
      </c>
      <c r="B1451" t="s">
        <v>34</v>
      </c>
      <c r="C1451">
        <v>306</v>
      </c>
      <c r="D1451">
        <v>261</v>
      </c>
      <c r="E1451" t="s">
        <v>236</v>
      </c>
      <c r="G1451">
        <v>0</v>
      </c>
      <c r="H1451">
        <v>0</v>
      </c>
      <c r="I1451">
        <v>0</v>
      </c>
      <c r="J1451">
        <v>0</v>
      </c>
      <c r="K1451">
        <v>0</v>
      </c>
      <c r="L1451">
        <v>0</v>
      </c>
      <c r="M1451">
        <v>0</v>
      </c>
      <c r="N1451">
        <v>0</v>
      </c>
      <c r="O1451">
        <v>0</v>
      </c>
      <c r="P1451">
        <v>0</v>
      </c>
      <c r="Q1451" t="str">
        <f>INDEX(pARTNER[#All],MATCH(#REF!,pARTNER[[#All],[Value.partnerSummary.id]],0),10)</f>
        <v>Italia (IT)</v>
      </c>
      <c r="R1451" t="str">
        <f>INDEX('Partner data'!$A$2:$DG$171,MATCH(#REF!,'Partner data'!$DG$2:$DG$171,0),83)</f>
        <v>Soggetto pubblico</v>
      </c>
      <c r="S1451" s="86" t="b">
        <f>IF(#REF!="staff",INDEX('Partner data'!$DG$2:$DH$171,MATCH(#REF!,'Partner data'!$DG$2:$DG$171,0),2))</f>
        <v>0</v>
      </c>
    </row>
    <row r="1452" spans="1:19" x14ac:dyDescent="0.25">
      <c r="A1452" t="s">
        <v>57</v>
      </c>
      <c r="B1452" t="s">
        <v>34</v>
      </c>
      <c r="C1452">
        <v>306</v>
      </c>
      <c r="D1452">
        <v>261</v>
      </c>
      <c r="E1452" t="s">
        <v>237</v>
      </c>
      <c r="G1452">
        <v>0</v>
      </c>
      <c r="H1452">
        <v>0</v>
      </c>
      <c r="I1452">
        <v>0</v>
      </c>
      <c r="J1452">
        <v>0</v>
      </c>
      <c r="K1452">
        <v>0</v>
      </c>
      <c r="L1452">
        <v>0</v>
      </c>
      <c r="M1452">
        <v>0</v>
      </c>
      <c r="N1452">
        <v>0</v>
      </c>
      <c r="O1452">
        <v>0</v>
      </c>
      <c r="P1452">
        <v>0</v>
      </c>
      <c r="Q1452" t="str">
        <f>INDEX(pARTNER[#All],MATCH(#REF!,pARTNER[[#All],[Value.partnerSummary.id]],0),10)</f>
        <v>Italia (IT)</v>
      </c>
      <c r="R1452" t="str">
        <f>INDEX('Partner data'!$A$2:$DG$171,MATCH(#REF!,'Partner data'!$DG$2:$DG$171,0),83)</f>
        <v>Soggetto pubblico</v>
      </c>
      <c r="S1452" s="86" t="b">
        <f>IF(#REF!="staff",INDEX('Partner data'!$DG$2:$DH$171,MATCH(#REF!,'Partner data'!$DG$2:$DG$171,0),2))</f>
        <v>0</v>
      </c>
    </row>
    <row r="1453" spans="1:19" x14ac:dyDescent="0.25">
      <c r="A1453" t="s">
        <v>57</v>
      </c>
      <c r="B1453" t="s">
        <v>34</v>
      </c>
      <c r="C1453">
        <v>306</v>
      </c>
      <c r="D1453">
        <v>261</v>
      </c>
      <c r="E1453" t="s">
        <v>238</v>
      </c>
      <c r="G1453">
        <v>350000</v>
      </c>
      <c r="H1453">
        <v>20620.93</v>
      </c>
      <c r="I1453">
        <v>0</v>
      </c>
      <c r="J1453">
        <v>46956.11</v>
      </c>
      <c r="K1453">
        <v>0</v>
      </c>
      <c r="L1453">
        <v>46878.48</v>
      </c>
      <c r="M1453">
        <v>67577.039999999994</v>
      </c>
      <c r="N1453">
        <v>19.309999999999999</v>
      </c>
      <c r="O1453">
        <v>282422.96000000002</v>
      </c>
      <c r="P1453">
        <v>18506.55</v>
      </c>
      <c r="Q1453" t="str">
        <f>INDEX(pARTNER[#All],MATCH(#REF!,pARTNER[[#All],[Value.partnerSummary.id]],0),10)</f>
        <v>Italia (IT)</v>
      </c>
      <c r="R1453" t="str">
        <f>INDEX('Partner data'!$A$2:$DG$171,MATCH(#REF!,'Partner data'!$DG$2:$DG$171,0),83)</f>
        <v>Soggetto pubblico</v>
      </c>
      <c r="S1453" s="86" t="b">
        <f>IF(#REF!="staff",INDEX('Partner data'!$DG$2:$DH$171,MATCH(#REF!,'Partner data'!$DG$2:$DG$171,0),2))</f>
        <v>0</v>
      </c>
    </row>
    <row r="1454" spans="1:19" x14ac:dyDescent="0.25">
      <c r="A1454" t="s">
        <v>57</v>
      </c>
      <c r="B1454" t="s">
        <v>34</v>
      </c>
      <c r="C1454">
        <v>306</v>
      </c>
      <c r="D1454">
        <v>52</v>
      </c>
      <c r="E1454" t="s">
        <v>228</v>
      </c>
      <c r="G1454">
        <v>110140</v>
      </c>
      <c r="H1454">
        <v>0</v>
      </c>
      <c r="I1454">
        <v>0</v>
      </c>
      <c r="J1454">
        <v>15255.49</v>
      </c>
      <c r="K1454">
        <v>0</v>
      </c>
      <c r="L1454">
        <v>13478.7</v>
      </c>
      <c r="M1454">
        <v>15255.49</v>
      </c>
      <c r="N1454">
        <v>13.85</v>
      </c>
      <c r="O1454">
        <v>94884.51</v>
      </c>
      <c r="P1454">
        <v>0</v>
      </c>
      <c r="Q1454" t="str">
        <f>INDEX(pARTNER[#All],MATCH(#REF!,pARTNER[[#All],[Value.partnerSummary.id]],0),10)</f>
        <v>Italia (IT)</v>
      </c>
      <c r="R1454" t="str">
        <f>INDEX('Partner data'!$A$2:$DG$171,MATCH(#REF!,'Partner data'!$DG$2:$DG$171,0),83)</f>
        <v>Soggetto pubblico</v>
      </c>
      <c r="S1454" s="86" t="str">
        <f>IF(#REF!="staff",INDEX('Partner data'!$DG$2:$DH$171,MATCH(#REF!,'Partner data'!$DG$2:$DG$171,0),2))</f>
        <v>COSTO REALE</v>
      </c>
    </row>
    <row r="1455" spans="1:19" x14ac:dyDescent="0.25">
      <c r="A1455" t="s">
        <v>57</v>
      </c>
      <c r="B1455" t="s">
        <v>34</v>
      </c>
      <c r="C1455">
        <v>306</v>
      </c>
      <c r="D1455">
        <v>52</v>
      </c>
      <c r="E1455" t="s">
        <v>229</v>
      </c>
      <c r="F1455">
        <v>15</v>
      </c>
      <c r="G1455">
        <v>16521</v>
      </c>
      <c r="H1455">
        <v>0</v>
      </c>
      <c r="I1455">
        <v>0</v>
      </c>
      <c r="J1455">
        <v>2288.3200000000002</v>
      </c>
      <c r="K1455">
        <v>0</v>
      </c>
      <c r="L1455">
        <v>2021.8</v>
      </c>
      <c r="M1455">
        <v>2288.3200000000002</v>
      </c>
      <c r="N1455">
        <v>13.85</v>
      </c>
      <c r="O1455">
        <v>14232.68</v>
      </c>
      <c r="P1455">
        <v>0</v>
      </c>
      <c r="Q1455" t="str">
        <f>INDEX(pARTNER[#All],MATCH(#REF!,pARTNER[[#All],[Value.partnerSummary.id]],0),10)</f>
        <v>Italia (IT)</v>
      </c>
      <c r="R1455" t="str">
        <f>INDEX('Partner data'!$A$2:$DG$171,MATCH(#REF!,'Partner data'!$DG$2:$DG$171,0),83)</f>
        <v>Soggetto pubblico</v>
      </c>
      <c r="S1455" s="86" t="b">
        <f>IF(#REF!="staff",INDEX('Partner data'!$DG$2:$DH$171,MATCH(#REF!,'Partner data'!$DG$2:$DG$171,0),2))</f>
        <v>0</v>
      </c>
    </row>
    <row r="1456" spans="1:19" x14ac:dyDescent="0.25">
      <c r="A1456" t="s">
        <v>57</v>
      </c>
      <c r="B1456" t="s">
        <v>34</v>
      </c>
      <c r="C1456">
        <v>306</v>
      </c>
      <c r="D1456">
        <v>52</v>
      </c>
      <c r="E1456" t="s">
        <v>230</v>
      </c>
      <c r="F1456">
        <v>4</v>
      </c>
      <c r="G1456">
        <v>4405.6000000000004</v>
      </c>
      <c r="H1456">
        <v>0</v>
      </c>
      <c r="I1456">
        <v>0</v>
      </c>
      <c r="J1456">
        <v>610.21</v>
      </c>
      <c r="K1456">
        <v>0</v>
      </c>
      <c r="L1456">
        <v>539.14</v>
      </c>
      <c r="M1456">
        <v>610.21</v>
      </c>
      <c r="N1456">
        <v>13.85</v>
      </c>
      <c r="O1456">
        <v>3795.39</v>
      </c>
      <c r="P1456">
        <v>0</v>
      </c>
      <c r="Q1456" t="str">
        <f>INDEX(pARTNER[#All],MATCH(#REF!,pARTNER[[#All],[Value.partnerSummary.id]],0),10)</f>
        <v>Italia (IT)</v>
      </c>
      <c r="R1456" t="str">
        <f>INDEX('Partner data'!$A$2:$DG$171,MATCH(#REF!,'Partner data'!$DG$2:$DG$171,0),83)</f>
        <v>Soggetto pubblico</v>
      </c>
      <c r="S1456" s="86" t="b">
        <f>IF(#REF!="staff",INDEX('Partner data'!$DG$2:$DH$171,MATCH(#REF!,'Partner data'!$DG$2:$DG$171,0),2))</f>
        <v>0</v>
      </c>
    </row>
    <row r="1457" spans="1:19" x14ac:dyDescent="0.25">
      <c r="A1457" t="s">
        <v>57</v>
      </c>
      <c r="B1457" t="s">
        <v>34</v>
      </c>
      <c r="C1457">
        <v>306</v>
      </c>
      <c r="D1457">
        <v>52</v>
      </c>
      <c r="E1457" t="s">
        <v>231</v>
      </c>
      <c r="G1457">
        <v>217000</v>
      </c>
      <c r="H1457">
        <v>0</v>
      </c>
      <c r="I1457">
        <v>0</v>
      </c>
      <c r="J1457">
        <v>2466.91</v>
      </c>
      <c r="K1457">
        <v>0</v>
      </c>
      <c r="L1457">
        <v>2466.91</v>
      </c>
      <c r="M1457">
        <v>2466.91</v>
      </c>
      <c r="N1457">
        <v>1.1399999999999999</v>
      </c>
      <c r="O1457">
        <v>214533.09</v>
      </c>
      <c r="P1457">
        <v>0</v>
      </c>
      <c r="Q1457" t="str">
        <f>INDEX(pARTNER[#All],MATCH(#REF!,pARTNER[[#All],[Value.partnerSummary.id]],0),10)</f>
        <v>Italia (IT)</v>
      </c>
      <c r="R1457" t="str">
        <f>INDEX('Partner data'!$A$2:$DG$171,MATCH(#REF!,'Partner data'!$DG$2:$DG$171,0),83)</f>
        <v>Soggetto pubblico</v>
      </c>
      <c r="S1457" s="86" t="b">
        <f>IF(#REF!="staff",INDEX('Partner data'!$DG$2:$DH$171,MATCH(#REF!,'Partner data'!$DG$2:$DG$171,0),2))</f>
        <v>0</v>
      </c>
    </row>
    <row r="1458" spans="1:19" x14ac:dyDescent="0.25">
      <c r="A1458" t="s">
        <v>57</v>
      </c>
      <c r="B1458" t="s">
        <v>34</v>
      </c>
      <c r="C1458">
        <v>306</v>
      </c>
      <c r="D1458">
        <v>52</v>
      </c>
      <c r="E1458" t="s">
        <v>232</v>
      </c>
      <c r="G1458">
        <v>1933.4</v>
      </c>
      <c r="H1458">
        <v>0</v>
      </c>
      <c r="I1458">
        <v>0</v>
      </c>
      <c r="J1458">
        <v>0</v>
      </c>
      <c r="K1458">
        <v>0</v>
      </c>
      <c r="L1458">
        <v>0</v>
      </c>
      <c r="M1458">
        <v>0</v>
      </c>
      <c r="N1458">
        <v>0</v>
      </c>
      <c r="O1458">
        <v>1933.4</v>
      </c>
      <c r="P1458">
        <v>0</v>
      </c>
      <c r="Q1458" t="str">
        <f>INDEX(pARTNER[#All],MATCH(#REF!,pARTNER[[#All],[Value.partnerSummary.id]],0),10)</f>
        <v>Italia (IT)</v>
      </c>
      <c r="R1458" t="str">
        <f>INDEX('Partner data'!$A$2:$DG$171,MATCH(#REF!,'Partner data'!$DG$2:$DG$171,0),83)</f>
        <v>Soggetto pubblico</v>
      </c>
      <c r="S1458" s="86" t="b">
        <f>IF(#REF!="staff",INDEX('Partner data'!$DG$2:$DH$171,MATCH(#REF!,'Partner data'!$DG$2:$DG$171,0),2))</f>
        <v>0</v>
      </c>
    </row>
    <row r="1459" spans="1:19" x14ac:dyDescent="0.25">
      <c r="A1459" t="s">
        <v>57</v>
      </c>
      <c r="B1459" t="s">
        <v>34</v>
      </c>
      <c r="C1459">
        <v>306</v>
      </c>
      <c r="D1459">
        <v>52</v>
      </c>
      <c r="E1459" t="s">
        <v>233</v>
      </c>
      <c r="G1459">
        <v>0</v>
      </c>
      <c r="H1459">
        <v>0</v>
      </c>
      <c r="I1459">
        <v>0</v>
      </c>
      <c r="J1459">
        <v>0</v>
      </c>
      <c r="K1459">
        <v>0</v>
      </c>
      <c r="L1459">
        <v>0</v>
      </c>
      <c r="M1459">
        <v>0</v>
      </c>
      <c r="N1459">
        <v>0</v>
      </c>
      <c r="O1459">
        <v>0</v>
      </c>
      <c r="P1459">
        <v>0</v>
      </c>
      <c r="Q1459" t="str">
        <f>INDEX(pARTNER[#All],MATCH(#REF!,pARTNER[[#All],[Value.partnerSummary.id]],0),10)</f>
        <v>Italia (IT)</v>
      </c>
      <c r="R1459" t="str">
        <f>INDEX('Partner data'!$A$2:$DG$171,MATCH(#REF!,'Partner data'!$DG$2:$DG$171,0),83)</f>
        <v>Soggetto pubblico</v>
      </c>
      <c r="S1459" s="86" t="b">
        <f>IF(#REF!="staff",INDEX('Partner data'!$DG$2:$DH$171,MATCH(#REF!,'Partner data'!$DG$2:$DG$171,0),2))</f>
        <v>0</v>
      </c>
    </row>
    <row r="1460" spans="1:19" x14ac:dyDescent="0.25">
      <c r="A1460" t="s">
        <v>57</v>
      </c>
      <c r="B1460" t="s">
        <v>34</v>
      </c>
      <c r="C1460">
        <v>306</v>
      </c>
      <c r="D1460">
        <v>52</v>
      </c>
      <c r="E1460" t="s">
        <v>234</v>
      </c>
      <c r="G1460">
        <v>0</v>
      </c>
      <c r="H1460">
        <v>0</v>
      </c>
      <c r="I1460">
        <v>0</v>
      </c>
      <c r="J1460">
        <v>0</v>
      </c>
      <c r="K1460">
        <v>0</v>
      </c>
      <c r="L1460">
        <v>0</v>
      </c>
      <c r="M1460">
        <v>0</v>
      </c>
      <c r="N1460">
        <v>0</v>
      </c>
      <c r="O1460">
        <v>0</v>
      </c>
      <c r="P1460">
        <v>0</v>
      </c>
      <c r="Q1460" t="str">
        <f>INDEX(pARTNER[#All],MATCH(#REF!,pARTNER[[#All],[Value.partnerSummary.id]],0),10)</f>
        <v>Italia (IT)</v>
      </c>
      <c r="R1460" t="str">
        <f>INDEX('Partner data'!$A$2:$DG$171,MATCH(#REF!,'Partner data'!$DG$2:$DG$171,0),83)</f>
        <v>Soggetto pubblico</v>
      </c>
      <c r="S1460" s="86" t="b">
        <f>IF(#REF!="staff",INDEX('Partner data'!$DG$2:$DH$171,MATCH(#REF!,'Partner data'!$DG$2:$DG$171,0),2))</f>
        <v>0</v>
      </c>
    </row>
    <row r="1461" spans="1:19" x14ac:dyDescent="0.25">
      <c r="A1461" t="s">
        <v>57</v>
      </c>
      <c r="B1461" t="s">
        <v>34</v>
      </c>
      <c r="C1461">
        <v>306</v>
      </c>
      <c r="D1461">
        <v>52</v>
      </c>
      <c r="E1461" t="s">
        <v>235</v>
      </c>
      <c r="G1461">
        <v>0</v>
      </c>
      <c r="H1461">
        <v>0</v>
      </c>
      <c r="I1461">
        <v>0</v>
      </c>
      <c r="J1461">
        <v>0</v>
      </c>
      <c r="K1461">
        <v>0</v>
      </c>
      <c r="L1461">
        <v>0</v>
      </c>
      <c r="M1461">
        <v>0</v>
      </c>
      <c r="N1461">
        <v>0</v>
      </c>
      <c r="O1461">
        <v>0</v>
      </c>
      <c r="P1461">
        <v>0</v>
      </c>
      <c r="Q1461" t="str">
        <f>INDEX(pARTNER[#All],MATCH(#REF!,pARTNER[[#All],[Value.partnerSummary.id]],0),10)</f>
        <v>Italia (IT)</v>
      </c>
      <c r="R1461" t="str">
        <f>INDEX('Partner data'!$A$2:$DG$171,MATCH(#REF!,'Partner data'!$DG$2:$DG$171,0),83)</f>
        <v>Soggetto pubblico</v>
      </c>
      <c r="S1461" s="86" t="b">
        <f>IF(#REF!="staff",INDEX('Partner data'!$DG$2:$DH$171,MATCH(#REF!,'Partner data'!$DG$2:$DG$171,0),2))</f>
        <v>0</v>
      </c>
    </row>
    <row r="1462" spans="1:19" x14ac:dyDescent="0.25">
      <c r="A1462" t="s">
        <v>57</v>
      </c>
      <c r="B1462" t="s">
        <v>34</v>
      </c>
      <c r="C1462">
        <v>306</v>
      </c>
      <c r="D1462">
        <v>52</v>
      </c>
      <c r="E1462" t="s">
        <v>236</v>
      </c>
      <c r="G1462">
        <v>0</v>
      </c>
      <c r="H1462">
        <v>0</v>
      </c>
      <c r="I1462">
        <v>0</v>
      </c>
      <c r="J1462">
        <v>0</v>
      </c>
      <c r="K1462">
        <v>0</v>
      </c>
      <c r="L1462">
        <v>0</v>
      </c>
      <c r="M1462">
        <v>0</v>
      </c>
      <c r="N1462">
        <v>0</v>
      </c>
      <c r="O1462">
        <v>0</v>
      </c>
      <c r="P1462">
        <v>0</v>
      </c>
      <c r="Q1462" t="str">
        <f>INDEX(pARTNER[#All],MATCH(#REF!,pARTNER[[#All],[Value.partnerSummary.id]],0),10)</f>
        <v>Italia (IT)</v>
      </c>
      <c r="R1462" t="str">
        <f>INDEX('Partner data'!$A$2:$DG$171,MATCH(#REF!,'Partner data'!$DG$2:$DG$171,0),83)</f>
        <v>Soggetto pubblico</v>
      </c>
      <c r="S1462" s="86" t="b">
        <f>IF(#REF!="staff",INDEX('Partner data'!$DG$2:$DH$171,MATCH(#REF!,'Partner data'!$DG$2:$DG$171,0),2))</f>
        <v>0</v>
      </c>
    </row>
    <row r="1463" spans="1:19" x14ac:dyDescent="0.25">
      <c r="A1463" t="s">
        <v>57</v>
      </c>
      <c r="B1463" t="s">
        <v>34</v>
      </c>
      <c r="C1463">
        <v>306</v>
      </c>
      <c r="D1463">
        <v>52</v>
      </c>
      <c r="E1463" t="s">
        <v>237</v>
      </c>
      <c r="G1463">
        <v>0</v>
      </c>
      <c r="H1463">
        <v>0</v>
      </c>
      <c r="I1463">
        <v>0</v>
      </c>
      <c r="J1463">
        <v>0</v>
      </c>
      <c r="K1463">
        <v>0</v>
      </c>
      <c r="L1463">
        <v>0</v>
      </c>
      <c r="M1463">
        <v>0</v>
      </c>
      <c r="N1463">
        <v>0</v>
      </c>
      <c r="O1463">
        <v>0</v>
      </c>
      <c r="P1463">
        <v>0</v>
      </c>
      <c r="Q1463" t="str">
        <f>INDEX(pARTNER[#All],MATCH(#REF!,pARTNER[[#All],[Value.partnerSummary.id]],0),10)</f>
        <v>Italia (IT)</v>
      </c>
      <c r="R1463" t="str">
        <f>INDEX('Partner data'!$A$2:$DG$171,MATCH(#REF!,'Partner data'!$DG$2:$DG$171,0),83)</f>
        <v>Soggetto pubblico</v>
      </c>
      <c r="S1463" s="86" t="b">
        <f>IF(#REF!="staff",INDEX('Partner data'!$DG$2:$DH$171,MATCH(#REF!,'Partner data'!$DG$2:$DG$171,0),2))</f>
        <v>0</v>
      </c>
    </row>
    <row r="1464" spans="1:19" x14ac:dyDescent="0.25">
      <c r="A1464" t="s">
        <v>57</v>
      </c>
      <c r="B1464" t="s">
        <v>34</v>
      </c>
      <c r="C1464">
        <v>306</v>
      </c>
      <c r="D1464">
        <v>52</v>
      </c>
      <c r="E1464" t="s">
        <v>238</v>
      </c>
      <c r="G1464">
        <v>350000</v>
      </c>
      <c r="H1464">
        <v>0</v>
      </c>
      <c r="I1464">
        <v>0</v>
      </c>
      <c r="J1464">
        <v>20620.93</v>
      </c>
      <c r="K1464">
        <v>0</v>
      </c>
      <c r="L1464">
        <v>18506.55</v>
      </c>
      <c r="M1464">
        <v>20620.93</v>
      </c>
      <c r="N1464">
        <v>5.89</v>
      </c>
      <c r="O1464">
        <v>329379.07</v>
      </c>
      <c r="P1464">
        <v>0</v>
      </c>
      <c r="Q1464" t="str">
        <f>INDEX(pARTNER[#All],MATCH(#REF!,pARTNER[[#All],[Value.partnerSummary.id]],0),10)</f>
        <v>Italia (IT)</v>
      </c>
      <c r="R1464" t="str">
        <f>INDEX('Partner data'!$A$2:$DG$171,MATCH(#REF!,'Partner data'!$DG$2:$DG$171,0),83)</f>
        <v>Soggetto pubblico</v>
      </c>
      <c r="S1464" s="86" t="b">
        <f>IF(#REF!="staff",INDEX('Partner data'!$DG$2:$DH$171,MATCH(#REF!,'Partner data'!$DG$2:$DG$171,0),2))</f>
        <v>0</v>
      </c>
    </row>
    <row r="1465" spans="1:19" x14ac:dyDescent="0.25">
      <c r="A1465" t="s">
        <v>57</v>
      </c>
      <c r="B1465" t="s">
        <v>45</v>
      </c>
      <c r="C1465">
        <v>311</v>
      </c>
      <c r="D1465">
        <v>199</v>
      </c>
      <c r="E1465" t="s">
        <v>228</v>
      </c>
      <c r="G1465">
        <v>141863.88</v>
      </c>
      <c r="H1465">
        <v>30787.77</v>
      </c>
      <c r="I1465">
        <v>0</v>
      </c>
      <c r="J1465">
        <v>18429.11</v>
      </c>
      <c r="K1465">
        <v>0</v>
      </c>
      <c r="L1465">
        <v>18429.11</v>
      </c>
      <c r="M1465">
        <v>49216.88</v>
      </c>
      <c r="N1465">
        <v>34.69</v>
      </c>
      <c r="O1465">
        <v>92647</v>
      </c>
      <c r="P1465">
        <v>30787.77</v>
      </c>
      <c r="Q1465" t="str">
        <f>INDEX(pARTNER[#All],MATCH(#REF!,pARTNER[[#All],[Value.partnerSummary.id]],0),10)</f>
        <v>Slovenija (SI)</v>
      </c>
      <c r="R1465" t="str">
        <f>INDEX('Partner data'!$A$2:$DG$171,MATCH(#REF!,'Partner data'!$DG$2:$DG$171,0),83)</f>
        <v>Soggetto privato</v>
      </c>
      <c r="S1465" s="86" t="str">
        <f>IF(#REF!="staff",INDEX('Partner data'!$DG$2:$DH$171,MATCH(#REF!,'Partner data'!$DG$2:$DG$171,0),2))</f>
        <v>COSTO REALE</v>
      </c>
    </row>
    <row r="1466" spans="1:19" x14ac:dyDescent="0.25">
      <c r="A1466" t="s">
        <v>57</v>
      </c>
      <c r="B1466" t="s">
        <v>45</v>
      </c>
      <c r="C1466">
        <v>311</v>
      </c>
      <c r="D1466">
        <v>199</v>
      </c>
      <c r="E1466" t="s">
        <v>229</v>
      </c>
      <c r="F1466">
        <v>15</v>
      </c>
      <c r="G1466">
        <v>21279.58</v>
      </c>
      <c r="H1466">
        <v>4618.16</v>
      </c>
      <c r="I1466">
        <v>0</v>
      </c>
      <c r="J1466">
        <v>2764.36</v>
      </c>
      <c r="K1466">
        <v>0</v>
      </c>
      <c r="L1466">
        <v>2764.36</v>
      </c>
      <c r="M1466">
        <v>7382.52</v>
      </c>
      <c r="N1466">
        <v>34.69</v>
      </c>
      <c r="O1466">
        <v>13897.06</v>
      </c>
      <c r="P1466">
        <v>4618.16</v>
      </c>
      <c r="Q1466" t="str">
        <f>INDEX(pARTNER[#All],MATCH(#REF!,pARTNER[[#All],[Value.partnerSummary.id]],0),10)</f>
        <v>Slovenija (SI)</v>
      </c>
      <c r="R1466" t="str">
        <f>INDEX('Partner data'!$A$2:$DG$171,MATCH(#REF!,'Partner data'!$DG$2:$DG$171,0),83)</f>
        <v>Soggetto privato</v>
      </c>
      <c r="S1466" s="86" t="b">
        <f>IF(#REF!="staff",INDEX('Partner data'!$DG$2:$DH$171,MATCH(#REF!,'Partner data'!$DG$2:$DG$171,0),2))</f>
        <v>0</v>
      </c>
    </row>
    <row r="1467" spans="1:19" x14ac:dyDescent="0.25">
      <c r="A1467" t="s">
        <v>57</v>
      </c>
      <c r="B1467" t="s">
        <v>45</v>
      </c>
      <c r="C1467">
        <v>311</v>
      </c>
      <c r="D1467">
        <v>199</v>
      </c>
      <c r="E1467" t="s">
        <v>230</v>
      </c>
      <c r="F1467">
        <v>4</v>
      </c>
      <c r="G1467">
        <v>5674.55</v>
      </c>
      <c r="H1467">
        <v>1231.51</v>
      </c>
      <c r="I1467">
        <v>0</v>
      </c>
      <c r="J1467">
        <v>737.16</v>
      </c>
      <c r="K1467">
        <v>0</v>
      </c>
      <c r="L1467">
        <v>737.16</v>
      </c>
      <c r="M1467">
        <v>1968.67</v>
      </c>
      <c r="N1467">
        <v>34.69</v>
      </c>
      <c r="O1467">
        <v>3705.88</v>
      </c>
      <c r="P1467">
        <v>1231.51</v>
      </c>
      <c r="Q1467" t="str">
        <f>INDEX(pARTNER[#All],MATCH(#REF!,pARTNER[[#All],[Value.partnerSummary.id]],0),10)</f>
        <v>Slovenija (SI)</v>
      </c>
      <c r="R1467" t="str">
        <f>INDEX('Partner data'!$A$2:$DG$171,MATCH(#REF!,'Partner data'!$DG$2:$DG$171,0),83)</f>
        <v>Soggetto privato</v>
      </c>
      <c r="S1467" s="86" t="b">
        <f>IF(#REF!="staff",INDEX('Partner data'!$DG$2:$DH$171,MATCH(#REF!,'Partner data'!$DG$2:$DG$171,0),2))</f>
        <v>0</v>
      </c>
    </row>
    <row r="1468" spans="1:19" x14ac:dyDescent="0.25">
      <c r="A1468" t="s">
        <v>57</v>
      </c>
      <c r="B1468" t="s">
        <v>45</v>
      </c>
      <c r="C1468">
        <v>311</v>
      </c>
      <c r="D1468">
        <v>199</v>
      </c>
      <c r="E1468" t="s">
        <v>231</v>
      </c>
      <c r="G1468">
        <v>45181.98</v>
      </c>
      <c r="H1468">
        <v>907.68</v>
      </c>
      <c r="I1468">
        <v>0</v>
      </c>
      <c r="J1468">
        <v>0</v>
      </c>
      <c r="K1468">
        <v>0</v>
      </c>
      <c r="L1468">
        <v>0</v>
      </c>
      <c r="M1468">
        <v>907.68</v>
      </c>
      <c r="N1468">
        <v>2.0099999999999998</v>
      </c>
      <c r="O1468">
        <v>44274.3</v>
      </c>
      <c r="P1468">
        <v>907.68</v>
      </c>
      <c r="Q1468" t="str">
        <f>INDEX(pARTNER[#All],MATCH(#REF!,pARTNER[[#All],[Value.partnerSummary.id]],0),10)</f>
        <v>Slovenija (SI)</v>
      </c>
      <c r="R1468" t="str">
        <f>INDEX('Partner data'!$A$2:$DG$171,MATCH(#REF!,'Partner data'!$DG$2:$DG$171,0),83)</f>
        <v>Soggetto privato</v>
      </c>
      <c r="S1468" s="86" t="b">
        <f>IF(#REF!="staff",INDEX('Partner data'!$DG$2:$DH$171,MATCH(#REF!,'Partner data'!$DG$2:$DG$171,0),2))</f>
        <v>0</v>
      </c>
    </row>
    <row r="1469" spans="1:19" x14ac:dyDescent="0.25">
      <c r="A1469" t="s">
        <v>57</v>
      </c>
      <c r="B1469" t="s">
        <v>45</v>
      </c>
      <c r="C1469">
        <v>311</v>
      </c>
      <c r="D1469">
        <v>199</v>
      </c>
      <c r="E1469" t="s">
        <v>232</v>
      </c>
      <c r="G1469">
        <v>22500.01</v>
      </c>
      <c r="H1469">
        <v>0</v>
      </c>
      <c r="I1469">
        <v>0</v>
      </c>
      <c r="J1469">
        <v>0</v>
      </c>
      <c r="K1469">
        <v>0</v>
      </c>
      <c r="L1469">
        <v>0</v>
      </c>
      <c r="M1469">
        <v>0</v>
      </c>
      <c r="N1469">
        <v>0</v>
      </c>
      <c r="O1469">
        <v>22500.01</v>
      </c>
      <c r="P1469">
        <v>0</v>
      </c>
      <c r="Q1469" t="str">
        <f>INDEX(pARTNER[#All],MATCH(#REF!,pARTNER[[#All],[Value.partnerSummary.id]],0),10)</f>
        <v>Slovenija (SI)</v>
      </c>
      <c r="R1469" t="str">
        <f>INDEX('Partner data'!$A$2:$DG$171,MATCH(#REF!,'Partner data'!$DG$2:$DG$171,0),83)</f>
        <v>Soggetto privato</v>
      </c>
      <c r="S1469" s="86" t="b">
        <f>IF(#REF!="staff",INDEX('Partner data'!$DG$2:$DH$171,MATCH(#REF!,'Partner data'!$DG$2:$DG$171,0),2))</f>
        <v>0</v>
      </c>
    </row>
    <row r="1470" spans="1:19" x14ac:dyDescent="0.25">
      <c r="A1470" t="s">
        <v>57</v>
      </c>
      <c r="B1470" t="s">
        <v>45</v>
      </c>
      <c r="C1470">
        <v>311</v>
      </c>
      <c r="D1470">
        <v>199</v>
      </c>
      <c r="E1470" t="s">
        <v>233</v>
      </c>
      <c r="G1470">
        <v>76000</v>
      </c>
      <c r="H1470">
        <v>75466.27</v>
      </c>
      <c r="I1470">
        <v>0</v>
      </c>
      <c r="J1470">
        <v>0</v>
      </c>
      <c r="K1470">
        <v>0</v>
      </c>
      <c r="L1470">
        <v>0</v>
      </c>
      <c r="M1470">
        <v>75466.27</v>
      </c>
      <c r="N1470">
        <v>99.3</v>
      </c>
      <c r="O1470">
        <v>533.73</v>
      </c>
      <c r="P1470">
        <v>75466.27</v>
      </c>
      <c r="Q1470" t="str">
        <f>INDEX(pARTNER[#All],MATCH(#REF!,pARTNER[[#All],[Value.partnerSummary.id]],0),10)</f>
        <v>Slovenija (SI)</v>
      </c>
      <c r="R1470" t="str">
        <f>INDEX('Partner data'!$A$2:$DG$171,MATCH(#REF!,'Partner data'!$DG$2:$DG$171,0),83)</f>
        <v>Soggetto privato</v>
      </c>
      <c r="S1470" s="86" t="b">
        <f>IF(#REF!="staff",INDEX('Partner data'!$DG$2:$DH$171,MATCH(#REF!,'Partner data'!$DG$2:$DG$171,0),2))</f>
        <v>0</v>
      </c>
    </row>
    <row r="1471" spans="1:19" x14ac:dyDescent="0.25">
      <c r="A1471" t="s">
        <v>57</v>
      </c>
      <c r="B1471" t="s">
        <v>45</v>
      </c>
      <c r="C1471">
        <v>311</v>
      </c>
      <c r="D1471">
        <v>199</v>
      </c>
      <c r="E1471" t="s">
        <v>234</v>
      </c>
      <c r="G1471">
        <v>0</v>
      </c>
      <c r="H1471">
        <v>0</v>
      </c>
      <c r="I1471">
        <v>0</v>
      </c>
      <c r="J1471">
        <v>0</v>
      </c>
      <c r="K1471">
        <v>0</v>
      </c>
      <c r="L1471">
        <v>0</v>
      </c>
      <c r="M1471">
        <v>0</v>
      </c>
      <c r="N1471">
        <v>0</v>
      </c>
      <c r="O1471">
        <v>0</v>
      </c>
      <c r="P1471">
        <v>0</v>
      </c>
      <c r="Q1471" t="str">
        <f>INDEX(pARTNER[#All],MATCH(#REF!,pARTNER[[#All],[Value.partnerSummary.id]],0),10)</f>
        <v>Slovenija (SI)</v>
      </c>
      <c r="R1471" t="str">
        <f>INDEX('Partner data'!$A$2:$DG$171,MATCH(#REF!,'Partner data'!$DG$2:$DG$171,0),83)</f>
        <v>Soggetto privato</v>
      </c>
      <c r="S1471" s="86" t="b">
        <f>IF(#REF!="staff",INDEX('Partner data'!$DG$2:$DH$171,MATCH(#REF!,'Partner data'!$DG$2:$DG$171,0),2))</f>
        <v>0</v>
      </c>
    </row>
    <row r="1472" spans="1:19" x14ac:dyDescent="0.25">
      <c r="A1472" t="s">
        <v>57</v>
      </c>
      <c r="B1472" t="s">
        <v>45</v>
      </c>
      <c r="C1472">
        <v>311</v>
      </c>
      <c r="D1472">
        <v>199</v>
      </c>
      <c r="E1472" t="s">
        <v>235</v>
      </c>
      <c r="G1472">
        <v>0</v>
      </c>
      <c r="H1472">
        <v>0</v>
      </c>
      <c r="I1472">
        <v>0</v>
      </c>
      <c r="J1472">
        <v>0</v>
      </c>
      <c r="K1472">
        <v>0</v>
      </c>
      <c r="L1472">
        <v>0</v>
      </c>
      <c r="M1472">
        <v>0</v>
      </c>
      <c r="N1472">
        <v>0</v>
      </c>
      <c r="O1472">
        <v>0</v>
      </c>
      <c r="P1472">
        <v>0</v>
      </c>
      <c r="Q1472" t="str">
        <f>INDEX(pARTNER[#All],MATCH(#REF!,pARTNER[[#All],[Value.partnerSummary.id]],0),10)</f>
        <v>Slovenija (SI)</v>
      </c>
      <c r="R1472" t="str">
        <f>INDEX('Partner data'!$A$2:$DG$171,MATCH(#REF!,'Partner data'!$DG$2:$DG$171,0),83)</f>
        <v>Soggetto privato</v>
      </c>
      <c r="S1472" s="86" t="b">
        <f>IF(#REF!="staff",INDEX('Partner data'!$DG$2:$DH$171,MATCH(#REF!,'Partner data'!$DG$2:$DG$171,0),2))</f>
        <v>0</v>
      </c>
    </row>
    <row r="1473" spans="1:19" x14ac:dyDescent="0.25">
      <c r="A1473" t="s">
        <v>57</v>
      </c>
      <c r="B1473" t="s">
        <v>45</v>
      </c>
      <c r="C1473">
        <v>311</v>
      </c>
      <c r="D1473">
        <v>199</v>
      </c>
      <c r="E1473" t="s">
        <v>236</v>
      </c>
      <c r="G1473">
        <v>0</v>
      </c>
      <c r="H1473">
        <v>0</v>
      </c>
      <c r="I1473">
        <v>0</v>
      </c>
      <c r="J1473">
        <v>0</v>
      </c>
      <c r="K1473">
        <v>0</v>
      </c>
      <c r="L1473">
        <v>0</v>
      </c>
      <c r="M1473">
        <v>0</v>
      </c>
      <c r="N1473">
        <v>0</v>
      </c>
      <c r="O1473">
        <v>0</v>
      </c>
      <c r="P1473">
        <v>0</v>
      </c>
      <c r="Q1473" t="str">
        <f>INDEX(pARTNER[#All],MATCH(#REF!,pARTNER[[#All],[Value.partnerSummary.id]],0),10)</f>
        <v>Slovenija (SI)</v>
      </c>
      <c r="R1473" t="str">
        <f>INDEX('Partner data'!$A$2:$DG$171,MATCH(#REF!,'Partner data'!$DG$2:$DG$171,0),83)</f>
        <v>Soggetto privato</v>
      </c>
      <c r="S1473" s="86" t="b">
        <f>IF(#REF!="staff",INDEX('Partner data'!$DG$2:$DH$171,MATCH(#REF!,'Partner data'!$DG$2:$DG$171,0),2))</f>
        <v>0</v>
      </c>
    </row>
    <row r="1474" spans="1:19" x14ac:dyDescent="0.25">
      <c r="A1474" t="s">
        <v>57</v>
      </c>
      <c r="B1474" t="s">
        <v>45</v>
      </c>
      <c r="C1474">
        <v>311</v>
      </c>
      <c r="D1474">
        <v>199</v>
      </c>
      <c r="E1474" t="s">
        <v>237</v>
      </c>
      <c r="G1474">
        <v>0</v>
      </c>
      <c r="H1474">
        <v>0</v>
      </c>
      <c r="I1474">
        <v>0</v>
      </c>
      <c r="J1474">
        <v>0</v>
      </c>
      <c r="K1474">
        <v>0</v>
      </c>
      <c r="L1474">
        <v>0</v>
      </c>
      <c r="M1474">
        <v>0</v>
      </c>
      <c r="N1474">
        <v>0</v>
      </c>
      <c r="O1474">
        <v>0</v>
      </c>
      <c r="P1474">
        <v>0</v>
      </c>
      <c r="Q1474" t="str">
        <f>INDEX(pARTNER[#All],MATCH(#REF!,pARTNER[[#All],[Value.partnerSummary.id]],0),10)</f>
        <v>Slovenija (SI)</v>
      </c>
      <c r="R1474" t="str">
        <f>INDEX('Partner data'!$A$2:$DG$171,MATCH(#REF!,'Partner data'!$DG$2:$DG$171,0),83)</f>
        <v>Soggetto privato</v>
      </c>
      <c r="S1474" s="86" t="b">
        <f>IF(#REF!="staff",INDEX('Partner data'!$DG$2:$DH$171,MATCH(#REF!,'Partner data'!$DG$2:$DG$171,0),2))</f>
        <v>0</v>
      </c>
    </row>
    <row r="1475" spans="1:19" x14ac:dyDescent="0.25">
      <c r="A1475" t="s">
        <v>57</v>
      </c>
      <c r="B1475" t="s">
        <v>45</v>
      </c>
      <c r="C1475">
        <v>311</v>
      </c>
      <c r="D1475">
        <v>199</v>
      </c>
      <c r="E1475" t="s">
        <v>238</v>
      </c>
      <c r="G1475">
        <v>312500</v>
      </c>
      <c r="H1475">
        <v>113011.39</v>
      </c>
      <c r="I1475">
        <v>0</v>
      </c>
      <c r="J1475">
        <v>21930.63</v>
      </c>
      <c r="K1475">
        <v>0</v>
      </c>
      <c r="L1475">
        <v>21930.63</v>
      </c>
      <c r="M1475">
        <v>134942.01999999999</v>
      </c>
      <c r="N1475">
        <v>43.18</v>
      </c>
      <c r="O1475">
        <v>177557.98</v>
      </c>
      <c r="P1475">
        <v>113011.39</v>
      </c>
      <c r="Q1475" t="str">
        <f>INDEX(pARTNER[#All],MATCH(#REF!,pARTNER[[#All],[Value.partnerSummary.id]],0),10)</f>
        <v>Slovenija (SI)</v>
      </c>
      <c r="R1475" t="str">
        <f>INDEX('Partner data'!$A$2:$DG$171,MATCH(#REF!,'Partner data'!$DG$2:$DG$171,0),83)</f>
        <v>Soggetto privato</v>
      </c>
      <c r="S1475" s="86" t="b">
        <f>IF(#REF!="staff",INDEX('Partner data'!$DG$2:$DH$171,MATCH(#REF!,'Partner data'!$DG$2:$DG$171,0),2))</f>
        <v>0</v>
      </c>
    </row>
    <row r="1476" spans="1:19" x14ac:dyDescent="0.25">
      <c r="A1476" t="s">
        <v>57</v>
      </c>
      <c r="B1476" t="s">
        <v>45</v>
      </c>
      <c r="C1476">
        <v>311</v>
      </c>
      <c r="D1476">
        <v>68</v>
      </c>
      <c r="E1476" t="s">
        <v>228</v>
      </c>
      <c r="G1476">
        <v>141863.88</v>
      </c>
      <c r="H1476">
        <v>0</v>
      </c>
      <c r="I1476">
        <v>0</v>
      </c>
      <c r="J1476">
        <v>30787.77</v>
      </c>
      <c r="K1476">
        <v>0</v>
      </c>
      <c r="L1476">
        <v>30787.77</v>
      </c>
      <c r="M1476">
        <v>30787.77</v>
      </c>
      <c r="N1476">
        <v>21.7</v>
      </c>
      <c r="O1476">
        <v>111076.11</v>
      </c>
      <c r="P1476">
        <v>0</v>
      </c>
      <c r="Q1476" t="str">
        <f>INDEX(pARTNER[#All],MATCH(#REF!,pARTNER[[#All],[Value.partnerSummary.id]],0),10)</f>
        <v>Slovenija (SI)</v>
      </c>
      <c r="R1476" t="str">
        <f>INDEX('Partner data'!$A$2:$DG$171,MATCH(#REF!,'Partner data'!$DG$2:$DG$171,0),83)</f>
        <v>Soggetto privato</v>
      </c>
      <c r="S1476" s="86" t="str">
        <f>IF(#REF!="staff",INDEX('Partner data'!$DG$2:$DH$171,MATCH(#REF!,'Partner data'!$DG$2:$DG$171,0),2))</f>
        <v>COSTO REALE</v>
      </c>
    </row>
    <row r="1477" spans="1:19" x14ac:dyDescent="0.25">
      <c r="A1477" t="s">
        <v>57</v>
      </c>
      <c r="B1477" t="s">
        <v>45</v>
      </c>
      <c r="C1477">
        <v>311</v>
      </c>
      <c r="D1477">
        <v>68</v>
      </c>
      <c r="E1477" t="s">
        <v>229</v>
      </c>
      <c r="F1477">
        <v>15</v>
      </c>
      <c r="G1477">
        <v>21279.58</v>
      </c>
      <c r="H1477">
        <v>0</v>
      </c>
      <c r="I1477">
        <v>0</v>
      </c>
      <c r="J1477">
        <v>4618.16</v>
      </c>
      <c r="K1477">
        <v>0</v>
      </c>
      <c r="L1477">
        <v>4618.16</v>
      </c>
      <c r="M1477">
        <v>4618.16</v>
      </c>
      <c r="N1477">
        <v>21.7</v>
      </c>
      <c r="O1477">
        <v>16661.419999999998</v>
      </c>
      <c r="P1477">
        <v>0</v>
      </c>
      <c r="Q1477" t="str">
        <f>INDEX(pARTNER[#All],MATCH(#REF!,pARTNER[[#All],[Value.partnerSummary.id]],0),10)</f>
        <v>Slovenija (SI)</v>
      </c>
      <c r="R1477" t="str">
        <f>INDEX('Partner data'!$A$2:$DG$171,MATCH(#REF!,'Partner data'!$DG$2:$DG$171,0),83)</f>
        <v>Soggetto privato</v>
      </c>
      <c r="S1477" s="86" t="b">
        <f>IF(#REF!="staff",INDEX('Partner data'!$DG$2:$DH$171,MATCH(#REF!,'Partner data'!$DG$2:$DG$171,0),2))</f>
        <v>0</v>
      </c>
    </row>
    <row r="1478" spans="1:19" x14ac:dyDescent="0.25">
      <c r="A1478" t="s">
        <v>57</v>
      </c>
      <c r="B1478" t="s">
        <v>45</v>
      </c>
      <c r="C1478">
        <v>311</v>
      </c>
      <c r="D1478">
        <v>68</v>
      </c>
      <c r="E1478" t="s">
        <v>230</v>
      </c>
      <c r="F1478">
        <v>4</v>
      </c>
      <c r="G1478">
        <v>5674.55</v>
      </c>
      <c r="H1478">
        <v>0</v>
      </c>
      <c r="I1478">
        <v>0</v>
      </c>
      <c r="J1478">
        <v>1231.51</v>
      </c>
      <c r="K1478">
        <v>0</v>
      </c>
      <c r="L1478">
        <v>1231.51</v>
      </c>
      <c r="M1478">
        <v>1231.51</v>
      </c>
      <c r="N1478">
        <v>21.7</v>
      </c>
      <c r="O1478">
        <v>4443.04</v>
      </c>
      <c r="P1478">
        <v>0</v>
      </c>
      <c r="Q1478" t="str">
        <f>INDEX(pARTNER[#All],MATCH(#REF!,pARTNER[[#All],[Value.partnerSummary.id]],0),10)</f>
        <v>Slovenija (SI)</v>
      </c>
      <c r="R1478" t="str">
        <f>INDEX('Partner data'!$A$2:$DG$171,MATCH(#REF!,'Partner data'!$DG$2:$DG$171,0),83)</f>
        <v>Soggetto privato</v>
      </c>
      <c r="S1478" s="86" t="b">
        <f>IF(#REF!="staff",INDEX('Partner data'!$DG$2:$DH$171,MATCH(#REF!,'Partner data'!$DG$2:$DG$171,0),2))</f>
        <v>0</v>
      </c>
    </row>
    <row r="1479" spans="1:19" x14ac:dyDescent="0.25">
      <c r="A1479" t="s">
        <v>57</v>
      </c>
      <c r="B1479" t="s">
        <v>45</v>
      </c>
      <c r="C1479">
        <v>311</v>
      </c>
      <c r="D1479">
        <v>68</v>
      </c>
      <c r="E1479" t="s">
        <v>231</v>
      </c>
      <c r="G1479">
        <v>45181.98</v>
      </c>
      <c r="H1479">
        <v>0</v>
      </c>
      <c r="I1479">
        <v>0</v>
      </c>
      <c r="J1479">
        <v>907.68</v>
      </c>
      <c r="K1479">
        <v>0</v>
      </c>
      <c r="L1479">
        <v>907.68</v>
      </c>
      <c r="M1479">
        <v>907.68</v>
      </c>
      <c r="N1479">
        <v>2.0099999999999998</v>
      </c>
      <c r="O1479">
        <v>44274.3</v>
      </c>
      <c r="P1479">
        <v>0</v>
      </c>
      <c r="Q1479" t="str">
        <f>INDEX(pARTNER[#All],MATCH(#REF!,pARTNER[[#All],[Value.partnerSummary.id]],0),10)</f>
        <v>Slovenija (SI)</v>
      </c>
      <c r="R1479" t="str">
        <f>INDEX('Partner data'!$A$2:$DG$171,MATCH(#REF!,'Partner data'!$DG$2:$DG$171,0),83)</f>
        <v>Soggetto privato</v>
      </c>
      <c r="S1479" s="86" t="b">
        <f>IF(#REF!="staff",INDEX('Partner data'!$DG$2:$DH$171,MATCH(#REF!,'Partner data'!$DG$2:$DG$171,0),2))</f>
        <v>0</v>
      </c>
    </row>
    <row r="1480" spans="1:19" x14ac:dyDescent="0.25">
      <c r="A1480" t="s">
        <v>57</v>
      </c>
      <c r="B1480" t="s">
        <v>45</v>
      </c>
      <c r="C1480">
        <v>311</v>
      </c>
      <c r="D1480">
        <v>68</v>
      </c>
      <c r="E1480" t="s">
        <v>232</v>
      </c>
      <c r="G1480">
        <v>22500.01</v>
      </c>
      <c r="H1480">
        <v>0</v>
      </c>
      <c r="I1480">
        <v>0</v>
      </c>
      <c r="J1480">
        <v>0</v>
      </c>
      <c r="K1480">
        <v>0</v>
      </c>
      <c r="L1480">
        <v>0</v>
      </c>
      <c r="M1480">
        <v>0</v>
      </c>
      <c r="N1480">
        <v>0</v>
      </c>
      <c r="O1480">
        <v>22500.01</v>
      </c>
      <c r="P1480">
        <v>0</v>
      </c>
      <c r="Q1480" t="str">
        <f>INDEX(pARTNER[#All],MATCH(#REF!,pARTNER[[#All],[Value.partnerSummary.id]],0),10)</f>
        <v>Slovenija (SI)</v>
      </c>
      <c r="R1480" t="str">
        <f>INDEX('Partner data'!$A$2:$DG$171,MATCH(#REF!,'Partner data'!$DG$2:$DG$171,0),83)</f>
        <v>Soggetto privato</v>
      </c>
      <c r="S1480" s="86" t="b">
        <f>IF(#REF!="staff",INDEX('Partner data'!$DG$2:$DH$171,MATCH(#REF!,'Partner data'!$DG$2:$DG$171,0),2))</f>
        <v>0</v>
      </c>
    </row>
    <row r="1481" spans="1:19" x14ac:dyDescent="0.25">
      <c r="A1481" t="s">
        <v>57</v>
      </c>
      <c r="B1481" t="s">
        <v>45</v>
      </c>
      <c r="C1481">
        <v>311</v>
      </c>
      <c r="D1481">
        <v>68</v>
      </c>
      <c r="E1481" t="s">
        <v>233</v>
      </c>
      <c r="G1481">
        <v>76000</v>
      </c>
      <c r="H1481">
        <v>0</v>
      </c>
      <c r="I1481">
        <v>0</v>
      </c>
      <c r="J1481">
        <v>75466.27</v>
      </c>
      <c r="K1481">
        <v>0</v>
      </c>
      <c r="L1481">
        <v>75466.27</v>
      </c>
      <c r="M1481">
        <v>75466.27</v>
      </c>
      <c r="N1481">
        <v>99.3</v>
      </c>
      <c r="O1481">
        <v>533.73</v>
      </c>
      <c r="P1481">
        <v>0</v>
      </c>
      <c r="Q1481" t="str">
        <f>INDEX(pARTNER[#All],MATCH(#REF!,pARTNER[[#All],[Value.partnerSummary.id]],0),10)</f>
        <v>Slovenija (SI)</v>
      </c>
      <c r="R1481" t="str">
        <f>INDEX('Partner data'!$A$2:$DG$171,MATCH(#REF!,'Partner data'!$DG$2:$DG$171,0),83)</f>
        <v>Soggetto privato</v>
      </c>
      <c r="S1481" s="86" t="b">
        <f>IF(#REF!="staff",INDEX('Partner data'!$DG$2:$DH$171,MATCH(#REF!,'Partner data'!$DG$2:$DG$171,0),2))</f>
        <v>0</v>
      </c>
    </row>
    <row r="1482" spans="1:19" x14ac:dyDescent="0.25">
      <c r="A1482" t="s">
        <v>57</v>
      </c>
      <c r="B1482" t="s">
        <v>45</v>
      </c>
      <c r="C1482">
        <v>311</v>
      </c>
      <c r="D1482">
        <v>68</v>
      </c>
      <c r="E1482" t="s">
        <v>234</v>
      </c>
      <c r="G1482">
        <v>0</v>
      </c>
      <c r="H1482">
        <v>0</v>
      </c>
      <c r="I1482">
        <v>0</v>
      </c>
      <c r="J1482">
        <v>0</v>
      </c>
      <c r="K1482">
        <v>0</v>
      </c>
      <c r="L1482">
        <v>0</v>
      </c>
      <c r="M1482">
        <v>0</v>
      </c>
      <c r="N1482">
        <v>0</v>
      </c>
      <c r="O1482">
        <v>0</v>
      </c>
      <c r="P1482">
        <v>0</v>
      </c>
      <c r="Q1482" t="str">
        <f>INDEX(pARTNER[#All],MATCH(#REF!,pARTNER[[#All],[Value.partnerSummary.id]],0),10)</f>
        <v>Slovenija (SI)</v>
      </c>
      <c r="R1482" t="str">
        <f>INDEX('Partner data'!$A$2:$DG$171,MATCH(#REF!,'Partner data'!$DG$2:$DG$171,0),83)</f>
        <v>Soggetto privato</v>
      </c>
      <c r="S1482" s="86" t="b">
        <f>IF(#REF!="staff",INDEX('Partner data'!$DG$2:$DH$171,MATCH(#REF!,'Partner data'!$DG$2:$DG$171,0),2))</f>
        <v>0</v>
      </c>
    </row>
    <row r="1483" spans="1:19" x14ac:dyDescent="0.25">
      <c r="A1483" t="s">
        <v>57</v>
      </c>
      <c r="B1483" t="s">
        <v>45</v>
      </c>
      <c r="C1483">
        <v>311</v>
      </c>
      <c r="D1483">
        <v>68</v>
      </c>
      <c r="E1483" t="s">
        <v>235</v>
      </c>
      <c r="G1483">
        <v>0</v>
      </c>
      <c r="H1483">
        <v>0</v>
      </c>
      <c r="I1483">
        <v>0</v>
      </c>
      <c r="J1483">
        <v>0</v>
      </c>
      <c r="K1483">
        <v>0</v>
      </c>
      <c r="L1483">
        <v>0</v>
      </c>
      <c r="M1483">
        <v>0</v>
      </c>
      <c r="N1483">
        <v>0</v>
      </c>
      <c r="O1483">
        <v>0</v>
      </c>
      <c r="P1483">
        <v>0</v>
      </c>
      <c r="Q1483" t="str">
        <f>INDEX(pARTNER[#All],MATCH(#REF!,pARTNER[[#All],[Value.partnerSummary.id]],0),10)</f>
        <v>Slovenija (SI)</v>
      </c>
      <c r="R1483" t="str">
        <f>INDEX('Partner data'!$A$2:$DG$171,MATCH(#REF!,'Partner data'!$DG$2:$DG$171,0),83)</f>
        <v>Soggetto privato</v>
      </c>
      <c r="S1483" s="86" t="b">
        <f>IF(#REF!="staff",INDEX('Partner data'!$DG$2:$DH$171,MATCH(#REF!,'Partner data'!$DG$2:$DG$171,0),2))</f>
        <v>0</v>
      </c>
    </row>
    <row r="1484" spans="1:19" x14ac:dyDescent="0.25">
      <c r="A1484" t="s">
        <v>57</v>
      </c>
      <c r="B1484" t="s">
        <v>45</v>
      </c>
      <c r="C1484">
        <v>311</v>
      </c>
      <c r="D1484">
        <v>68</v>
      </c>
      <c r="E1484" t="s">
        <v>236</v>
      </c>
      <c r="G1484">
        <v>0</v>
      </c>
      <c r="H1484">
        <v>0</v>
      </c>
      <c r="I1484">
        <v>0</v>
      </c>
      <c r="J1484">
        <v>0</v>
      </c>
      <c r="K1484">
        <v>0</v>
      </c>
      <c r="L1484">
        <v>0</v>
      </c>
      <c r="M1484">
        <v>0</v>
      </c>
      <c r="N1484">
        <v>0</v>
      </c>
      <c r="O1484">
        <v>0</v>
      </c>
      <c r="P1484">
        <v>0</v>
      </c>
      <c r="Q1484" t="str">
        <f>INDEX(pARTNER[#All],MATCH(#REF!,pARTNER[[#All],[Value.partnerSummary.id]],0),10)</f>
        <v>Slovenija (SI)</v>
      </c>
      <c r="R1484" t="str">
        <f>INDEX('Partner data'!$A$2:$DG$171,MATCH(#REF!,'Partner data'!$DG$2:$DG$171,0),83)</f>
        <v>Soggetto privato</v>
      </c>
      <c r="S1484" s="86" t="b">
        <f>IF(#REF!="staff",INDEX('Partner data'!$DG$2:$DH$171,MATCH(#REF!,'Partner data'!$DG$2:$DG$171,0),2))</f>
        <v>0</v>
      </c>
    </row>
    <row r="1485" spans="1:19" x14ac:dyDescent="0.25">
      <c r="A1485" t="s">
        <v>57</v>
      </c>
      <c r="B1485" t="s">
        <v>45</v>
      </c>
      <c r="C1485">
        <v>311</v>
      </c>
      <c r="D1485">
        <v>68</v>
      </c>
      <c r="E1485" t="s">
        <v>237</v>
      </c>
      <c r="G1485">
        <v>0</v>
      </c>
      <c r="H1485">
        <v>0</v>
      </c>
      <c r="I1485">
        <v>0</v>
      </c>
      <c r="J1485">
        <v>0</v>
      </c>
      <c r="K1485">
        <v>0</v>
      </c>
      <c r="L1485">
        <v>0</v>
      </c>
      <c r="M1485">
        <v>0</v>
      </c>
      <c r="N1485">
        <v>0</v>
      </c>
      <c r="O1485">
        <v>0</v>
      </c>
      <c r="P1485">
        <v>0</v>
      </c>
      <c r="Q1485" t="str">
        <f>INDEX(pARTNER[#All],MATCH(#REF!,pARTNER[[#All],[Value.partnerSummary.id]],0),10)</f>
        <v>Slovenija (SI)</v>
      </c>
      <c r="R1485" t="str">
        <f>INDEX('Partner data'!$A$2:$DG$171,MATCH(#REF!,'Partner data'!$DG$2:$DG$171,0),83)</f>
        <v>Soggetto privato</v>
      </c>
      <c r="S1485" s="86" t="b">
        <f>IF(#REF!="staff",INDEX('Partner data'!$DG$2:$DH$171,MATCH(#REF!,'Partner data'!$DG$2:$DG$171,0),2))</f>
        <v>0</v>
      </c>
    </row>
    <row r="1486" spans="1:19" x14ac:dyDescent="0.25">
      <c r="A1486" t="s">
        <v>57</v>
      </c>
      <c r="B1486" t="s">
        <v>45</v>
      </c>
      <c r="C1486">
        <v>311</v>
      </c>
      <c r="D1486">
        <v>68</v>
      </c>
      <c r="E1486" t="s">
        <v>238</v>
      </c>
      <c r="G1486">
        <v>312500</v>
      </c>
      <c r="H1486">
        <v>0</v>
      </c>
      <c r="I1486">
        <v>0</v>
      </c>
      <c r="J1486">
        <v>113011.39</v>
      </c>
      <c r="K1486">
        <v>0</v>
      </c>
      <c r="L1486">
        <v>113011.39</v>
      </c>
      <c r="M1486">
        <v>113011.39</v>
      </c>
      <c r="N1486">
        <v>36.159999999999997</v>
      </c>
      <c r="O1486">
        <v>199488.61</v>
      </c>
      <c r="P1486">
        <v>0</v>
      </c>
      <c r="Q1486" t="str">
        <f>INDEX(pARTNER[#All],MATCH(#REF!,pARTNER[[#All],[Value.partnerSummary.id]],0),10)</f>
        <v>Slovenija (SI)</v>
      </c>
      <c r="R1486" t="str">
        <f>INDEX('Partner data'!$A$2:$DG$171,MATCH(#REF!,'Partner data'!$DG$2:$DG$171,0),83)</f>
        <v>Soggetto privato</v>
      </c>
      <c r="S1486" s="86" t="b">
        <f>IF(#REF!="staff",INDEX('Partner data'!$DG$2:$DH$171,MATCH(#REF!,'Partner data'!$DG$2:$DG$171,0),2))</f>
        <v>0</v>
      </c>
    </row>
    <row r="1487" spans="1:19" x14ac:dyDescent="0.25">
      <c r="A1487" t="s">
        <v>57</v>
      </c>
      <c r="B1487" t="s">
        <v>42</v>
      </c>
      <c r="C1487">
        <v>316</v>
      </c>
      <c r="D1487">
        <v>28</v>
      </c>
      <c r="E1487" t="s">
        <v>228</v>
      </c>
      <c r="G1487">
        <v>141840</v>
      </c>
      <c r="H1487">
        <v>0</v>
      </c>
      <c r="I1487">
        <v>0</v>
      </c>
      <c r="J1487">
        <v>16747.97</v>
      </c>
      <c r="K1487">
        <v>0</v>
      </c>
      <c r="L1487">
        <v>16645.87</v>
      </c>
      <c r="M1487">
        <v>16747.97</v>
      </c>
      <c r="N1487">
        <v>11.81</v>
      </c>
      <c r="O1487">
        <v>125092.03</v>
      </c>
      <c r="P1487">
        <v>0</v>
      </c>
      <c r="Q1487" t="str">
        <f>INDEX(pARTNER[#All],MATCH(#REF!,pARTNER[[#All],[Value.partnerSummary.id]],0),10)</f>
        <v>Slovenija (SI)</v>
      </c>
      <c r="R1487" t="str">
        <f>INDEX('Partner data'!$A$2:$DG$171,MATCH(#REF!,'Partner data'!$DG$2:$DG$171,0),83)</f>
        <v xml:space="preserve">Organismo di diritto pubblico </v>
      </c>
      <c r="S1487" s="86" t="str">
        <f>IF(#REF!="staff",INDEX('Partner data'!$DG$2:$DH$171,MATCH(#REF!,'Partner data'!$DG$2:$DG$171,0),2))</f>
        <v>COSTO REALE</v>
      </c>
    </row>
    <row r="1488" spans="1:19" x14ac:dyDescent="0.25">
      <c r="A1488" t="s">
        <v>57</v>
      </c>
      <c r="B1488" t="s">
        <v>42</v>
      </c>
      <c r="C1488">
        <v>316</v>
      </c>
      <c r="D1488">
        <v>28</v>
      </c>
      <c r="E1488" t="s">
        <v>229</v>
      </c>
      <c r="F1488">
        <v>15</v>
      </c>
      <c r="G1488">
        <v>21276</v>
      </c>
      <c r="H1488">
        <v>0</v>
      </c>
      <c r="I1488">
        <v>0</v>
      </c>
      <c r="J1488">
        <v>2512.19</v>
      </c>
      <c r="K1488">
        <v>0</v>
      </c>
      <c r="L1488">
        <v>2496.88</v>
      </c>
      <c r="M1488">
        <v>2512.19</v>
      </c>
      <c r="N1488">
        <v>11.81</v>
      </c>
      <c r="O1488">
        <v>18763.810000000001</v>
      </c>
      <c r="P1488">
        <v>0</v>
      </c>
      <c r="Q1488" t="str">
        <f>INDEX(pARTNER[#All],MATCH(#REF!,pARTNER[[#All],[Value.partnerSummary.id]],0),10)</f>
        <v>Slovenija (SI)</v>
      </c>
      <c r="R1488" t="str">
        <f>INDEX('Partner data'!$A$2:$DG$171,MATCH(#REF!,'Partner data'!$DG$2:$DG$171,0),83)</f>
        <v xml:space="preserve">Organismo di diritto pubblico </v>
      </c>
      <c r="S1488" s="86" t="b">
        <f>IF(#REF!="staff",INDEX('Partner data'!$DG$2:$DH$171,MATCH(#REF!,'Partner data'!$DG$2:$DG$171,0),2))</f>
        <v>0</v>
      </c>
    </row>
    <row r="1489" spans="1:19" x14ac:dyDescent="0.25">
      <c r="A1489" t="s">
        <v>57</v>
      </c>
      <c r="B1489" t="s">
        <v>42</v>
      </c>
      <c r="C1489">
        <v>316</v>
      </c>
      <c r="D1489">
        <v>28</v>
      </c>
      <c r="E1489" t="s">
        <v>230</v>
      </c>
      <c r="F1489">
        <v>4</v>
      </c>
      <c r="G1489">
        <v>5673.6</v>
      </c>
      <c r="H1489">
        <v>0</v>
      </c>
      <c r="I1489">
        <v>0</v>
      </c>
      <c r="J1489">
        <v>669.91</v>
      </c>
      <c r="K1489">
        <v>0</v>
      </c>
      <c r="L1489">
        <v>665.83</v>
      </c>
      <c r="M1489">
        <v>669.91</v>
      </c>
      <c r="N1489">
        <v>11.81</v>
      </c>
      <c r="O1489">
        <v>5003.6899999999996</v>
      </c>
      <c r="P1489">
        <v>0</v>
      </c>
      <c r="Q1489" t="str">
        <f>INDEX(pARTNER[#All],MATCH(#REF!,pARTNER[[#All],[Value.partnerSummary.id]],0),10)</f>
        <v>Slovenija (SI)</v>
      </c>
      <c r="R1489" t="str">
        <f>INDEX('Partner data'!$A$2:$DG$171,MATCH(#REF!,'Partner data'!$DG$2:$DG$171,0),83)</f>
        <v xml:space="preserve">Organismo di diritto pubblico </v>
      </c>
      <c r="S1489" s="86" t="b">
        <f>IF(#REF!="staff",INDEX('Partner data'!$DG$2:$DH$171,MATCH(#REF!,'Partner data'!$DG$2:$DG$171,0),2))</f>
        <v>0</v>
      </c>
    </row>
    <row r="1490" spans="1:19" x14ac:dyDescent="0.25">
      <c r="A1490" t="s">
        <v>57</v>
      </c>
      <c r="B1490" t="s">
        <v>42</v>
      </c>
      <c r="C1490">
        <v>316</v>
      </c>
      <c r="D1490">
        <v>28</v>
      </c>
      <c r="E1490" t="s">
        <v>231</v>
      </c>
      <c r="G1490">
        <v>20710.400000000001</v>
      </c>
      <c r="H1490">
        <v>0</v>
      </c>
      <c r="I1490">
        <v>0</v>
      </c>
      <c r="J1490">
        <v>0</v>
      </c>
      <c r="K1490">
        <v>0</v>
      </c>
      <c r="L1490">
        <v>0</v>
      </c>
      <c r="M1490">
        <v>0</v>
      </c>
      <c r="N1490">
        <v>0</v>
      </c>
      <c r="O1490">
        <v>20710.400000000001</v>
      </c>
      <c r="P1490">
        <v>0</v>
      </c>
      <c r="Q1490" t="str">
        <f>INDEX(pARTNER[#All],MATCH(#REF!,pARTNER[[#All],[Value.partnerSummary.id]],0),10)</f>
        <v>Slovenija (SI)</v>
      </c>
      <c r="R1490" t="str">
        <f>INDEX('Partner data'!$A$2:$DG$171,MATCH(#REF!,'Partner data'!$DG$2:$DG$171,0),83)</f>
        <v xml:space="preserve">Organismo di diritto pubblico </v>
      </c>
      <c r="S1490" s="86" t="b">
        <f>IF(#REF!="staff",INDEX('Partner data'!$DG$2:$DH$171,MATCH(#REF!,'Partner data'!$DG$2:$DG$171,0),2))</f>
        <v>0</v>
      </c>
    </row>
    <row r="1491" spans="1:19" x14ac:dyDescent="0.25">
      <c r="A1491" t="s">
        <v>57</v>
      </c>
      <c r="B1491" t="s">
        <v>42</v>
      </c>
      <c r="C1491">
        <v>316</v>
      </c>
      <c r="D1491">
        <v>28</v>
      </c>
      <c r="E1491" t="s">
        <v>232</v>
      </c>
      <c r="G1491">
        <v>123000</v>
      </c>
      <c r="H1491">
        <v>0</v>
      </c>
      <c r="I1491">
        <v>0</v>
      </c>
      <c r="J1491">
        <v>112850</v>
      </c>
      <c r="K1491">
        <v>0</v>
      </c>
      <c r="L1491">
        <v>112850</v>
      </c>
      <c r="M1491">
        <v>112850</v>
      </c>
      <c r="N1491">
        <v>91.75</v>
      </c>
      <c r="O1491">
        <v>10150</v>
      </c>
      <c r="P1491">
        <v>0</v>
      </c>
      <c r="Q1491" t="str">
        <f>INDEX(pARTNER[#All],MATCH(#REF!,pARTNER[[#All],[Value.partnerSummary.id]],0),10)</f>
        <v>Slovenija (SI)</v>
      </c>
      <c r="R1491" t="str">
        <f>INDEX('Partner data'!$A$2:$DG$171,MATCH(#REF!,'Partner data'!$DG$2:$DG$171,0),83)</f>
        <v xml:space="preserve">Organismo di diritto pubblico </v>
      </c>
      <c r="S1491" s="86" t="b">
        <f>IF(#REF!="staff",INDEX('Partner data'!$DG$2:$DH$171,MATCH(#REF!,'Partner data'!$DG$2:$DG$171,0),2))</f>
        <v>0</v>
      </c>
    </row>
    <row r="1492" spans="1:19" x14ac:dyDescent="0.25">
      <c r="A1492" t="s">
        <v>57</v>
      </c>
      <c r="B1492" t="s">
        <v>42</v>
      </c>
      <c r="C1492">
        <v>316</v>
      </c>
      <c r="D1492">
        <v>28</v>
      </c>
      <c r="E1492" t="s">
        <v>233</v>
      </c>
      <c r="G1492">
        <v>0</v>
      </c>
      <c r="H1492">
        <v>0</v>
      </c>
      <c r="I1492">
        <v>0</v>
      </c>
      <c r="J1492">
        <v>0</v>
      </c>
      <c r="K1492">
        <v>0</v>
      </c>
      <c r="L1492">
        <v>0</v>
      </c>
      <c r="M1492">
        <v>0</v>
      </c>
      <c r="N1492">
        <v>0</v>
      </c>
      <c r="O1492">
        <v>0</v>
      </c>
      <c r="P1492">
        <v>0</v>
      </c>
      <c r="Q1492" t="str">
        <f>INDEX(pARTNER[#All],MATCH(#REF!,pARTNER[[#All],[Value.partnerSummary.id]],0),10)</f>
        <v>Slovenija (SI)</v>
      </c>
      <c r="R1492" t="str">
        <f>INDEX('Partner data'!$A$2:$DG$171,MATCH(#REF!,'Partner data'!$DG$2:$DG$171,0),83)</f>
        <v xml:space="preserve">Organismo di diritto pubblico </v>
      </c>
      <c r="S1492" s="86" t="b">
        <f>IF(#REF!="staff",INDEX('Partner data'!$DG$2:$DH$171,MATCH(#REF!,'Partner data'!$DG$2:$DG$171,0),2))</f>
        <v>0</v>
      </c>
    </row>
    <row r="1493" spans="1:19" x14ac:dyDescent="0.25">
      <c r="A1493" t="s">
        <v>57</v>
      </c>
      <c r="B1493" t="s">
        <v>42</v>
      </c>
      <c r="C1493">
        <v>316</v>
      </c>
      <c r="D1493">
        <v>28</v>
      </c>
      <c r="E1493" t="s">
        <v>234</v>
      </c>
      <c r="G1493">
        <v>0</v>
      </c>
      <c r="H1493">
        <v>0</v>
      </c>
      <c r="I1493">
        <v>0</v>
      </c>
      <c r="J1493">
        <v>0</v>
      </c>
      <c r="K1493">
        <v>0</v>
      </c>
      <c r="L1493">
        <v>0</v>
      </c>
      <c r="M1493">
        <v>0</v>
      </c>
      <c r="N1493">
        <v>0</v>
      </c>
      <c r="O1493">
        <v>0</v>
      </c>
      <c r="P1493">
        <v>0</v>
      </c>
      <c r="Q1493" t="str">
        <f>INDEX(pARTNER[#All],MATCH(#REF!,pARTNER[[#All],[Value.partnerSummary.id]],0),10)</f>
        <v>Slovenija (SI)</v>
      </c>
      <c r="R1493" t="str">
        <f>INDEX('Partner data'!$A$2:$DG$171,MATCH(#REF!,'Partner data'!$DG$2:$DG$171,0),83)</f>
        <v xml:space="preserve">Organismo di diritto pubblico </v>
      </c>
      <c r="S1493" s="86" t="b">
        <f>IF(#REF!="staff",INDEX('Partner data'!$DG$2:$DH$171,MATCH(#REF!,'Partner data'!$DG$2:$DG$171,0),2))</f>
        <v>0</v>
      </c>
    </row>
    <row r="1494" spans="1:19" x14ac:dyDescent="0.25">
      <c r="A1494" t="s">
        <v>57</v>
      </c>
      <c r="B1494" t="s">
        <v>42</v>
      </c>
      <c r="C1494">
        <v>316</v>
      </c>
      <c r="D1494">
        <v>28</v>
      </c>
      <c r="E1494" t="s">
        <v>235</v>
      </c>
      <c r="G1494">
        <v>0</v>
      </c>
      <c r="H1494">
        <v>0</v>
      </c>
      <c r="I1494">
        <v>0</v>
      </c>
      <c r="J1494">
        <v>0</v>
      </c>
      <c r="K1494">
        <v>0</v>
      </c>
      <c r="L1494">
        <v>0</v>
      </c>
      <c r="M1494">
        <v>0</v>
      </c>
      <c r="N1494">
        <v>0</v>
      </c>
      <c r="O1494">
        <v>0</v>
      </c>
      <c r="P1494">
        <v>0</v>
      </c>
      <c r="Q1494" t="str">
        <f>INDEX(pARTNER[#All],MATCH(#REF!,pARTNER[[#All],[Value.partnerSummary.id]],0),10)</f>
        <v>Slovenija (SI)</v>
      </c>
      <c r="R1494" t="str">
        <f>INDEX('Partner data'!$A$2:$DG$171,MATCH(#REF!,'Partner data'!$DG$2:$DG$171,0),83)</f>
        <v xml:space="preserve">Organismo di diritto pubblico </v>
      </c>
      <c r="S1494" s="86" t="b">
        <f>IF(#REF!="staff",INDEX('Partner data'!$DG$2:$DH$171,MATCH(#REF!,'Partner data'!$DG$2:$DG$171,0),2))</f>
        <v>0</v>
      </c>
    </row>
    <row r="1495" spans="1:19" x14ac:dyDescent="0.25">
      <c r="A1495" t="s">
        <v>57</v>
      </c>
      <c r="B1495" t="s">
        <v>42</v>
      </c>
      <c r="C1495">
        <v>316</v>
      </c>
      <c r="D1495">
        <v>28</v>
      </c>
      <c r="E1495" t="s">
        <v>236</v>
      </c>
      <c r="G1495">
        <v>0</v>
      </c>
      <c r="H1495">
        <v>0</v>
      </c>
      <c r="I1495">
        <v>0</v>
      </c>
      <c r="J1495">
        <v>0</v>
      </c>
      <c r="K1495">
        <v>0</v>
      </c>
      <c r="L1495">
        <v>0</v>
      </c>
      <c r="M1495">
        <v>0</v>
      </c>
      <c r="N1495">
        <v>0</v>
      </c>
      <c r="O1495">
        <v>0</v>
      </c>
      <c r="P1495">
        <v>0</v>
      </c>
      <c r="Q1495" t="str">
        <f>INDEX(pARTNER[#All],MATCH(#REF!,pARTNER[[#All],[Value.partnerSummary.id]],0),10)</f>
        <v>Slovenija (SI)</v>
      </c>
      <c r="R1495" t="str">
        <f>INDEX('Partner data'!$A$2:$DG$171,MATCH(#REF!,'Partner data'!$DG$2:$DG$171,0),83)</f>
        <v xml:space="preserve">Organismo di diritto pubblico </v>
      </c>
      <c r="S1495" s="86" t="b">
        <f>IF(#REF!="staff",INDEX('Partner data'!$DG$2:$DH$171,MATCH(#REF!,'Partner data'!$DG$2:$DG$171,0),2))</f>
        <v>0</v>
      </c>
    </row>
    <row r="1496" spans="1:19" x14ac:dyDescent="0.25">
      <c r="A1496" t="s">
        <v>57</v>
      </c>
      <c r="B1496" t="s">
        <v>42</v>
      </c>
      <c r="C1496">
        <v>316</v>
      </c>
      <c r="D1496">
        <v>28</v>
      </c>
      <c r="E1496" t="s">
        <v>237</v>
      </c>
      <c r="G1496">
        <v>0</v>
      </c>
      <c r="H1496">
        <v>0</v>
      </c>
      <c r="I1496">
        <v>0</v>
      </c>
      <c r="J1496">
        <v>0</v>
      </c>
      <c r="K1496">
        <v>0</v>
      </c>
      <c r="L1496">
        <v>0</v>
      </c>
      <c r="M1496">
        <v>0</v>
      </c>
      <c r="N1496">
        <v>0</v>
      </c>
      <c r="O1496">
        <v>0</v>
      </c>
      <c r="P1496">
        <v>0</v>
      </c>
      <c r="Q1496" t="str">
        <f>INDEX(pARTNER[#All],MATCH(#REF!,pARTNER[[#All],[Value.partnerSummary.id]],0),10)</f>
        <v>Slovenija (SI)</v>
      </c>
      <c r="R1496" t="str">
        <f>INDEX('Partner data'!$A$2:$DG$171,MATCH(#REF!,'Partner data'!$DG$2:$DG$171,0),83)</f>
        <v xml:space="preserve">Organismo di diritto pubblico </v>
      </c>
      <c r="S1496" s="86" t="b">
        <f>IF(#REF!="staff",INDEX('Partner data'!$DG$2:$DH$171,MATCH(#REF!,'Partner data'!$DG$2:$DG$171,0),2))</f>
        <v>0</v>
      </c>
    </row>
    <row r="1497" spans="1:19" x14ac:dyDescent="0.25">
      <c r="A1497" t="s">
        <v>57</v>
      </c>
      <c r="B1497" t="s">
        <v>42</v>
      </c>
      <c r="C1497">
        <v>316</v>
      </c>
      <c r="D1497">
        <v>28</v>
      </c>
      <c r="E1497" t="s">
        <v>238</v>
      </c>
      <c r="G1497">
        <v>312500</v>
      </c>
      <c r="H1497">
        <v>0</v>
      </c>
      <c r="I1497">
        <v>0</v>
      </c>
      <c r="J1497">
        <v>132780.07</v>
      </c>
      <c r="K1497">
        <v>0</v>
      </c>
      <c r="L1497">
        <v>132658.57999999999</v>
      </c>
      <c r="M1497">
        <v>132780.07</v>
      </c>
      <c r="N1497">
        <v>42.49</v>
      </c>
      <c r="O1497">
        <v>179719.93</v>
      </c>
      <c r="P1497">
        <v>0</v>
      </c>
      <c r="Q1497" t="str">
        <f>INDEX(pARTNER[#All],MATCH(#REF!,pARTNER[[#All],[Value.partnerSummary.id]],0),10)</f>
        <v>Slovenija (SI)</v>
      </c>
      <c r="R1497" t="str">
        <f>INDEX('Partner data'!$A$2:$DG$171,MATCH(#REF!,'Partner data'!$DG$2:$DG$171,0),83)</f>
        <v xml:space="preserve">Organismo di diritto pubblico </v>
      </c>
      <c r="S1497" s="86" t="b">
        <f>IF(#REF!="staff",INDEX('Partner data'!$DG$2:$DH$171,MATCH(#REF!,'Partner data'!$DG$2:$DG$171,0),2))</f>
        <v>0</v>
      </c>
    </row>
    <row r="1498" spans="1:19" x14ac:dyDescent="0.25">
      <c r="A1498" t="s">
        <v>57</v>
      </c>
      <c r="B1498" t="s">
        <v>42</v>
      </c>
      <c r="C1498">
        <v>316</v>
      </c>
      <c r="D1498">
        <v>283</v>
      </c>
      <c r="E1498" t="s">
        <v>228</v>
      </c>
      <c r="G1498">
        <v>141840</v>
      </c>
      <c r="H1498">
        <v>16747.97</v>
      </c>
      <c r="I1498">
        <v>0</v>
      </c>
      <c r="J1498">
        <v>19087.8</v>
      </c>
      <c r="K1498">
        <v>0</v>
      </c>
      <c r="L1498">
        <v>18951.93</v>
      </c>
      <c r="M1498">
        <v>35835.769999999997</v>
      </c>
      <c r="N1498">
        <v>25.26</v>
      </c>
      <c r="O1498">
        <v>106004.23</v>
      </c>
      <c r="P1498">
        <v>16645.87</v>
      </c>
      <c r="Q1498" t="str">
        <f>INDEX(pARTNER[#All],MATCH(#REF!,pARTNER[[#All],[Value.partnerSummary.id]],0),10)</f>
        <v>Slovenija (SI)</v>
      </c>
      <c r="R1498" t="str">
        <f>INDEX('Partner data'!$A$2:$DG$171,MATCH(#REF!,'Partner data'!$DG$2:$DG$171,0),83)</f>
        <v xml:space="preserve">Organismo di diritto pubblico </v>
      </c>
      <c r="S1498" s="86" t="str">
        <f>IF(#REF!="staff",INDEX('Partner data'!$DG$2:$DH$171,MATCH(#REF!,'Partner data'!$DG$2:$DG$171,0),2))</f>
        <v>COSTO REALE</v>
      </c>
    </row>
    <row r="1499" spans="1:19" x14ac:dyDescent="0.25">
      <c r="A1499" t="s">
        <v>57</v>
      </c>
      <c r="B1499" t="s">
        <v>42</v>
      </c>
      <c r="C1499">
        <v>316</v>
      </c>
      <c r="D1499">
        <v>283</v>
      </c>
      <c r="E1499" t="s">
        <v>229</v>
      </c>
      <c r="F1499">
        <v>15</v>
      </c>
      <c r="G1499">
        <v>21276</v>
      </c>
      <c r="H1499">
        <v>2512.19</v>
      </c>
      <c r="I1499">
        <v>0</v>
      </c>
      <c r="J1499">
        <v>2863.17</v>
      </c>
      <c r="K1499">
        <v>0</v>
      </c>
      <c r="L1499">
        <v>2842.78</v>
      </c>
      <c r="M1499">
        <v>5375.36</v>
      </c>
      <c r="N1499">
        <v>25.26</v>
      </c>
      <c r="O1499">
        <v>15900.64</v>
      </c>
      <c r="P1499">
        <v>2496.88</v>
      </c>
      <c r="Q1499" t="str">
        <f>INDEX(pARTNER[#All],MATCH(#REF!,pARTNER[[#All],[Value.partnerSummary.id]],0),10)</f>
        <v>Slovenija (SI)</v>
      </c>
      <c r="R1499" t="str">
        <f>INDEX('Partner data'!$A$2:$DG$171,MATCH(#REF!,'Partner data'!$DG$2:$DG$171,0),83)</f>
        <v xml:space="preserve">Organismo di diritto pubblico </v>
      </c>
      <c r="S1499" s="86" t="b">
        <f>IF(#REF!="staff",INDEX('Partner data'!$DG$2:$DH$171,MATCH(#REF!,'Partner data'!$DG$2:$DG$171,0),2))</f>
        <v>0</v>
      </c>
    </row>
    <row r="1500" spans="1:19" x14ac:dyDescent="0.25">
      <c r="A1500" t="s">
        <v>57</v>
      </c>
      <c r="B1500" t="s">
        <v>42</v>
      </c>
      <c r="C1500">
        <v>316</v>
      </c>
      <c r="D1500">
        <v>283</v>
      </c>
      <c r="E1500" t="s">
        <v>230</v>
      </c>
      <c r="F1500">
        <v>4</v>
      </c>
      <c r="G1500">
        <v>5673.6</v>
      </c>
      <c r="H1500">
        <v>669.91</v>
      </c>
      <c r="I1500">
        <v>0</v>
      </c>
      <c r="J1500">
        <v>763.51</v>
      </c>
      <c r="K1500">
        <v>0</v>
      </c>
      <c r="L1500">
        <v>758.07</v>
      </c>
      <c r="M1500">
        <v>1433.42</v>
      </c>
      <c r="N1500">
        <v>25.26</v>
      </c>
      <c r="O1500">
        <v>4240.18</v>
      </c>
      <c r="P1500">
        <v>665.83</v>
      </c>
      <c r="Q1500" t="str">
        <f>INDEX(pARTNER[#All],MATCH(#REF!,pARTNER[[#All],[Value.partnerSummary.id]],0),10)</f>
        <v>Slovenija (SI)</v>
      </c>
      <c r="R1500" t="str">
        <f>INDEX('Partner data'!$A$2:$DG$171,MATCH(#REF!,'Partner data'!$DG$2:$DG$171,0),83)</f>
        <v xml:space="preserve">Organismo di diritto pubblico </v>
      </c>
      <c r="S1500" s="86" t="b">
        <f>IF(#REF!="staff",INDEX('Partner data'!$DG$2:$DH$171,MATCH(#REF!,'Partner data'!$DG$2:$DG$171,0),2))</f>
        <v>0</v>
      </c>
    </row>
    <row r="1501" spans="1:19" x14ac:dyDescent="0.25">
      <c r="A1501" t="s">
        <v>57</v>
      </c>
      <c r="B1501" t="s">
        <v>42</v>
      </c>
      <c r="C1501">
        <v>316</v>
      </c>
      <c r="D1501">
        <v>283</v>
      </c>
      <c r="E1501" t="s">
        <v>231</v>
      </c>
      <c r="G1501">
        <v>20710.400000000001</v>
      </c>
      <c r="H1501">
        <v>0</v>
      </c>
      <c r="I1501">
        <v>0</v>
      </c>
      <c r="J1501">
        <v>0</v>
      </c>
      <c r="K1501">
        <v>0</v>
      </c>
      <c r="L1501">
        <v>0</v>
      </c>
      <c r="M1501">
        <v>0</v>
      </c>
      <c r="N1501">
        <v>0</v>
      </c>
      <c r="O1501">
        <v>20710.400000000001</v>
      </c>
      <c r="P1501">
        <v>0</v>
      </c>
      <c r="Q1501" t="str">
        <f>INDEX(pARTNER[#All],MATCH(#REF!,pARTNER[[#All],[Value.partnerSummary.id]],0),10)</f>
        <v>Slovenija (SI)</v>
      </c>
      <c r="R1501" t="str">
        <f>INDEX('Partner data'!$A$2:$DG$171,MATCH(#REF!,'Partner data'!$DG$2:$DG$171,0),83)</f>
        <v xml:space="preserve">Organismo di diritto pubblico </v>
      </c>
      <c r="S1501" s="86" t="b">
        <f>IF(#REF!="staff",INDEX('Partner data'!$DG$2:$DH$171,MATCH(#REF!,'Partner data'!$DG$2:$DG$171,0),2))</f>
        <v>0</v>
      </c>
    </row>
    <row r="1502" spans="1:19" x14ac:dyDescent="0.25">
      <c r="A1502" t="s">
        <v>57</v>
      </c>
      <c r="B1502" t="s">
        <v>42</v>
      </c>
      <c r="C1502">
        <v>316</v>
      </c>
      <c r="D1502">
        <v>283</v>
      </c>
      <c r="E1502" t="s">
        <v>232</v>
      </c>
      <c r="G1502">
        <v>123000</v>
      </c>
      <c r="H1502">
        <v>112850</v>
      </c>
      <c r="I1502">
        <v>0</v>
      </c>
      <c r="J1502">
        <v>0</v>
      </c>
      <c r="K1502">
        <v>0</v>
      </c>
      <c r="L1502">
        <v>0</v>
      </c>
      <c r="M1502">
        <v>112850</v>
      </c>
      <c r="N1502">
        <v>91.75</v>
      </c>
      <c r="O1502">
        <v>10150</v>
      </c>
      <c r="P1502">
        <v>112850</v>
      </c>
      <c r="Q1502" t="str">
        <f>INDEX(pARTNER[#All],MATCH(#REF!,pARTNER[[#All],[Value.partnerSummary.id]],0),10)</f>
        <v>Slovenija (SI)</v>
      </c>
      <c r="R1502" t="str">
        <f>INDEX('Partner data'!$A$2:$DG$171,MATCH(#REF!,'Partner data'!$DG$2:$DG$171,0),83)</f>
        <v xml:space="preserve">Organismo di diritto pubblico </v>
      </c>
      <c r="S1502" s="86" t="b">
        <f>IF(#REF!="staff",INDEX('Partner data'!$DG$2:$DH$171,MATCH(#REF!,'Partner data'!$DG$2:$DG$171,0),2))</f>
        <v>0</v>
      </c>
    </row>
    <row r="1503" spans="1:19" x14ac:dyDescent="0.25">
      <c r="A1503" t="s">
        <v>57</v>
      </c>
      <c r="B1503" t="s">
        <v>42</v>
      </c>
      <c r="C1503">
        <v>316</v>
      </c>
      <c r="D1503">
        <v>283</v>
      </c>
      <c r="E1503" t="s">
        <v>233</v>
      </c>
      <c r="G1503">
        <v>0</v>
      </c>
      <c r="H1503">
        <v>0</v>
      </c>
      <c r="I1503">
        <v>0</v>
      </c>
      <c r="J1503">
        <v>0</v>
      </c>
      <c r="K1503">
        <v>0</v>
      </c>
      <c r="L1503">
        <v>0</v>
      </c>
      <c r="M1503">
        <v>0</v>
      </c>
      <c r="N1503">
        <v>0</v>
      </c>
      <c r="O1503">
        <v>0</v>
      </c>
      <c r="P1503">
        <v>0</v>
      </c>
      <c r="Q1503" t="str">
        <f>INDEX(pARTNER[#All],MATCH(#REF!,pARTNER[[#All],[Value.partnerSummary.id]],0),10)</f>
        <v>Slovenija (SI)</v>
      </c>
      <c r="R1503" t="str">
        <f>INDEX('Partner data'!$A$2:$DG$171,MATCH(#REF!,'Partner data'!$DG$2:$DG$171,0),83)</f>
        <v xml:space="preserve">Organismo di diritto pubblico </v>
      </c>
      <c r="S1503" s="86" t="b">
        <f>IF(#REF!="staff",INDEX('Partner data'!$DG$2:$DH$171,MATCH(#REF!,'Partner data'!$DG$2:$DG$171,0),2))</f>
        <v>0</v>
      </c>
    </row>
    <row r="1504" spans="1:19" x14ac:dyDescent="0.25">
      <c r="A1504" t="s">
        <v>57</v>
      </c>
      <c r="B1504" t="s">
        <v>42</v>
      </c>
      <c r="C1504">
        <v>316</v>
      </c>
      <c r="D1504">
        <v>283</v>
      </c>
      <c r="E1504" t="s">
        <v>234</v>
      </c>
      <c r="G1504">
        <v>0</v>
      </c>
      <c r="H1504">
        <v>0</v>
      </c>
      <c r="I1504">
        <v>0</v>
      </c>
      <c r="J1504">
        <v>0</v>
      </c>
      <c r="K1504">
        <v>0</v>
      </c>
      <c r="L1504">
        <v>0</v>
      </c>
      <c r="M1504">
        <v>0</v>
      </c>
      <c r="N1504">
        <v>0</v>
      </c>
      <c r="O1504">
        <v>0</v>
      </c>
      <c r="P1504">
        <v>0</v>
      </c>
      <c r="Q1504" t="str">
        <f>INDEX(pARTNER[#All],MATCH(#REF!,pARTNER[[#All],[Value.partnerSummary.id]],0),10)</f>
        <v>Slovenija (SI)</v>
      </c>
      <c r="R1504" t="str">
        <f>INDEX('Partner data'!$A$2:$DG$171,MATCH(#REF!,'Partner data'!$DG$2:$DG$171,0),83)</f>
        <v xml:space="preserve">Organismo di diritto pubblico </v>
      </c>
      <c r="S1504" s="86" t="b">
        <f>IF(#REF!="staff",INDEX('Partner data'!$DG$2:$DH$171,MATCH(#REF!,'Partner data'!$DG$2:$DG$171,0),2))</f>
        <v>0</v>
      </c>
    </row>
    <row r="1505" spans="1:19" x14ac:dyDescent="0.25">
      <c r="A1505" t="s">
        <v>57</v>
      </c>
      <c r="B1505" t="s">
        <v>42</v>
      </c>
      <c r="C1505">
        <v>316</v>
      </c>
      <c r="D1505">
        <v>283</v>
      </c>
      <c r="E1505" t="s">
        <v>235</v>
      </c>
      <c r="G1505">
        <v>0</v>
      </c>
      <c r="H1505">
        <v>0</v>
      </c>
      <c r="I1505">
        <v>0</v>
      </c>
      <c r="J1505">
        <v>0</v>
      </c>
      <c r="K1505">
        <v>0</v>
      </c>
      <c r="L1505">
        <v>0</v>
      </c>
      <c r="M1505">
        <v>0</v>
      </c>
      <c r="N1505">
        <v>0</v>
      </c>
      <c r="O1505">
        <v>0</v>
      </c>
      <c r="P1505">
        <v>0</v>
      </c>
      <c r="Q1505" t="str">
        <f>INDEX(pARTNER[#All],MATCH(#REF!,pARTNER[[#All],[Value.partnerSummary.id]],0),10)</f>
        <v>Slovenija (SI)</v>
      </c>
      <c r="R1505" t="str">
        <f>INDEX('Partner data'!$A$2:$DG$171,MATCH(#REF!,'Partner data'!$DG$2:$DG$171,0),83)</f>
        <v xml:space="preserve">Organismo di diritto pubblico </v>
      </c>
      <c r="S1505" s="86" t="b">
        <f>IF(#REF!="staff",INDEX('Partner data'!$DG$2:$DH$171,MATCH(#REF!,'Partner data'!$DG$2:$DG$171,0),2))</f>
        <v>0</v>
      </c>
    </row>
    <row r="1506" spans="1:19" x14ac:dyDescent="0.25">
      <c r="A1506" t="s">
        <v>57</v>
      </c>
      <c r="B1506" t="s">
        <v>42</v>
      </c>
      <c r="C1506">
        <v>316</v>
      </c>
      <c r="D1506">
        <v>283</v>
      </c>
      <c r="E1506" t="s">
        <v>236</v>
      </c>
      <c r="G1506">
        <v>0</v>
      </c>
      <c r="H1506">
        <v>0</v>
      </c>
      <c r="I1506">
        <v>0</v>
      </c>
      <c r="J1506">
        <v>0</v>
      </c>
      <c r="K1506">
        <v>0</v>
      </c>
      <c r="L1506">
        <v>0</v>
      </c>
      <c r="M1506">
        <v>0</v>
      </c>
      <c r="N1506">
        <v>0</v>
      </c>
      <c r="O1506">
        <v>0</v>
      </c>
      <c r="P1506">
        <v>0</v>
      </c>
      <c r="Q1506" t="str">
        <f>INDEX(pARTNER[#All],MATCH(#REF!,pARTNER[[#All],[Value.partnerSummary.id]],0),10)</f>
        <v>Slovenija (SI)</v>
      </c>
      <c r="R1506" t="str">
        <f>INDEX('Partner data'!$A$2:$DG$171,MATCH(#REF!,'Partner data'!$DG$2:$DG$171,0),83)</f>
        <v xml:space="preserve">Organismo di diritto pubblico </v>
      </c>
      <c r="S1506" s="86" t="b">
        <f>IF(#REF!="staff",INDEX('Partner data'!$DG$2:$DH$171,MATCH(#REF!,'Partner data'!$DG$2:$DG$171,0),2))</f>
        <v>0</v>
      </c>
    </row>
    <row r="1507" spans="1:19" x14ac:dyDescent="0.25">
      <c r="A1507" t="s">
        <v>57</v>
      </c>
      <c r="B1507" t="s">
        <v>42</v>
      </c>
      <c r="C1507">
        <v>316</v>
      </c>
      <c r="D1507">
        <v>283</v>
      </c>
      <c r="E1507" t="s">
        <v>237</v>
      </c>
      <c r="G1507">
        <v>0</v>
      </c>
      <c r="H1507">
        <v>0</v>
      </c>
      <c r="I1507">
        <v>0</v>
      </c>
      <c r="J1507">
        <v>0</v>
      </c>
      <c r="K1507">
        <v>0</v>
      </c>
      <c r="L1507">
        <v>0</v>
      </c>
      <c r="M1507">
        <v>0</v>
      </c>
      <c r="N1507">
        <v>0</v>
      </c>
      <c r="O1507">
        <v>0</v>
      </c>
      <c r="P1507">
        <v>0</v>
      </c>
      <c r="Q1507" t="str">
        <f>INDEX(pARTNER[#All],MATCH(#REF!,pARTNER[[#All],[Value.partnerSummary.id]],0),10)</f>
        <v>Slovenija (SI)</v>
      </c>
      <c r="R1507" t="str">
        <f>INDEX('Partner data'!$A$2:$DG$171,MATCH(#REF!,'Partner data'!$DG$2:$DG$171,0),83)</f>
        <v xml:space="preserve">Organismo di diritto pubblico </v>
      </c>
      <c r="S1507" s="86" t="b">
        <f>IF(#REF!="staff",INDEX('Partner data'!$DG$2:$DH$171,MATCH(#REF!,'Partner data'!$DG$2:$DG$171,0),2))</f>
        <v>0</v>
      </c>
    </row>
    <row r="1508" spans="1:19" x14ac:dyDescent="0.25">
      <c r="A1508" t="s">
        <v>57</v>
      </c>
      <c r="B1508" t="s">
        <v>42</v>
      </c>
      <c r="C1508">
        <v>316</v>
      </c>
      <c r="D1508">
        <v>283</v>
      </c>
      <c r="E1508" t="s">
        <v>238</v>
      </c>
      <c r="G1508">
        <v>312500</v>
      </c>
      <c r="H1508">
        <v>132780.07</v>
      </c>
      <c r="I1508">
        <v>0</v>
      </c>
      <c r="J1508">
        <v>22714.48</v>
      </c>
      <c r="K1508">
        <v>0</v>
      </c>
      <c r="L1508">
        <v>22552.78</v>
      </c>
      <c r="M1508">
        <v>155494.54999999999</v>
      </c>
      <c r="N1508">
        <v>49.76</v>
      </c>
      <c r="O1508">
        <v>157005.45000000001</v>
      </c>
      <c r="P1508">
        <v>132658.57999999999</v>
      </c>
      <c r="Q1508" t="str">
        <f>INDEX(pARTNER[#All],MATCH(#REF!,pARTNER[[#All],[Value.partnerSummary.id]],0),10)</f>
        <v>Slovenija (SI)</v>
      </c>
      <c r="R1508" t="str">
        <f>INDEX('Partner data'!$A$2:$DG$171,MATCH(#REF!,'Partner data'!$DG$2:$DG$171,0),83)</f>
        <v xml:space="preserve">Organismo di diritto pubblico </v>
      </c>
      <c r="S1508" s="86" t="b">
        <f>IF(#REF!="staff",INDEX('Partner data'!$DG$2:$DH$171,MATCH(#REF!,'Partner data'!$DG$2:$DG$171,0),2))</f>
        <v>0</v>
      </c>
    </row>
    <row r="1509" spans="1:19" x14ac:dyDescent="0.25">
      <c r="A1509" t="s">
        <v>57</v>
      </c>
      <c r="B1509" t="s">
        <v>27</v>
      </c>
      <c r="C1509">
        <v>309</v>
      </c>
      <c r="D1509">
        <v>216</v>
      </c>
      <c r="E1509" t="s">
        <v>228</v>
      </c>
      <c r="G1509">
        <v>210000</v>
      </c>
      <c r="H1509">
        <v>43310.42</v>
      </c>
      <c r="I1509">
        <v>0</v>
      </c>
      <c r="J1509">
        <v>29163.43</v>
      </c>
      <c r="K1509">
        <v>0</v>
      </c>
      <c r="L1509">
        <v>29163.43</v>
      </c>
      <c r="M1509">
        <v>72473.850000000006</v>
      </c>
      <c r="N1509">
        <v>34.51</v>
      </c>
      <c r="O1509">
        <v>137526.15</v>
      </c>
      <c r="P1509">
        <v>43164.29</v>
      </c>
      <c r="Q1509" t="str">
        <f>INDEX(pARTNER[#All],MATCH(#REF!,pARTNER[[#All],[Value.partnerSummary.id]],0),10)</f>
        <v>Slovenija (SI)</v>
      </c>
      <c r="R1509" t="str">
        <f>INDEX('Partner data'!$A$2:$DG$171,MATCH(#REF!,'Partner data'!$DG$2:$DG$171,0),83)</f>
        <v xml:space="preserve">Organismo di diritto pubblico </v>
      </c>
      <c r="S1509" s="86" t="str">
        <f>IF(#REF!="staff",INDEX('Partner data'!$DG$2:$DH$171,MATCH(#REF!,'Partner data'!$DG$2:$DG$171,0),2))</f>
        <v>COSTO REALE</v>
      </c>
    </row>
    <row r="1510" spans="1:19" x14ac:dyDescent="0.25">
      <c r="A1510" t="s">
        <v>57</v>
      </c>
      <c r="B1510" t="s">
        <v>27</v>
      </c>
      <c r="C1510">
        <v>309</v>
      </c>
      <c r="D1510">
        <v>216</v>
      </c>
      <c r="E1510" t="s">
        <v>229</v>
      </c>
      <c r="F1510">
        <v>15</v>
      </c>
      <c r="G1510">
        <v>31500</v>
      </c>
      <c r="H1510">
        <v>6496.56</v>
      </c>
      <c r="I1510">
        <v>0</v>
      </c>
      <c r="J1510">
        <v>4374.51</v>
      </c>
      <c r="K1510">
        <v>0</v>
      </c>
      <c r="L1510">
        <v>4374.51</v>
      </c>
      <c r="M1510">
        <v>10871.07</v>
      </c>
      <c r="N1510">
        <v>34.51</v>
      </c>
      <c r="O1510">
        <v>20628.93</v>
      </c>
      <c r="P1510">
        <v>6474.64</v>
      </c>
      <c r="Q1510" t="str">
        <f>INDEX(pARTNER[#All],MATCH(#REF!,pARTNER[[#All],[Value.partnerSummary.id]],0),10)</f>
        <v>Slovenija (SI)</v>
      </c>
      <c r="R1510" t="str">
        <f>INDEX('Partner data'!$A$2:$DG$171,MATCH(#REF!,'Partner data'!$DG$2:$DG$171,0),83)</f>
        <v xml:space="preserve">Organismo di diritto pubblico </v>
      </c>
      <c r="S1510" s="86" t="b">
        <f>IF(#REF!="staff",INDEX('Partner data'!$DG$2:$DH$171,MATCH(#REF!,'Partner data'!$DG$2:$DG$171,0),2))</f>
        <v>0</v>
      </c>
    </row>
    <row r="1511" spans="1:19" x14ac:dyDescent="0.25">
      <c r="A1511" t="s">
        <v>57</v>
      </c>
      <c r="B1511" t="s">
        <v>27</v>
      </c>
      <c r="C1511">
        <v>309</v>
      </c>
      <c r="D1511">
        <v>216</v>
      </c>
      <c r="E1511" t="s">
        <v>230</v>
      </c>
      <c r="F1511">
        <v>4</v>
      </c>
      <c r="G1511">
        <v>8400</v>
      </c>
      <c r="H1511">
        <v>1732.41</v>
      </c>
      <c r="I1511">
        <v>0</v>
      </c>
      <c r="J1511">
        <v>1166.53</v>
      </c>
      <c r="K1511">
        <v>0</v>
      </c>
      <c r="L1511">
        <v>1166.53</v>
      </c>
      <c r="M1511">
        <v>2898.94</v>
      </c>
      <c r="N1511">
        <v>34.51</v>
      </c>
      <c r="O1511">
        <v>5501.06</v>
      </c>
      <c r="P1511">
        <v>1726.57</v>
      </c>
      <c r="Q1511" t="str">
        <f>INDEX(pARTNER[#All],MATCH(#REF!,pARTNER[[#All],[Value.partnerSummary.id]],0),10)</f>
        <v>Slovenija (SI)</v>
      </c>
      <c r="R1511" t="str">
        <f>INDEX('Partner data'!$A$2:$DG$171,MATCH(#REF!,'Partner data'!$DG$2:$DG$171,0),83)</f>
        <v xml:space="preserve">Organismo di diritto pubblico </v>
      </c>
      <c r="S1511" s="86" t="b">
        <f>IF(#REF!="staff",INDEX('Partner data'!$DG$2:$DH$171,MATCH(#REF!,'Partner data'!$DG$2:$DG$171,0),2))</f>
        <v>0</v>
      </c>
    </row>
    <row r="1512" spans="1:19" x14ac:dyDescent="0.25">
      <c r="A1512" t="s">
        <v>57</v>
      </c>
      <c r="B1512" t="s">
        <v>27</v>
      </c>
      <c r="C1512">
        <v>309</v>
      </c>
      <c r="D1512">
        <v>216</v>
      </c>
      <c r="E1512" t="s">
        <v>231</v>
      </c>
      <c r="G1512">
        <v>88800</v>
      </c>
      <c r="H1512">
        <v>0</v>
      </c>
      <c r="I1512">
        <v>0</v>
      </c>
      <c r="J1512">
        <v>11035.1</v>
      </c>
      <c r="K1512">
        <v>0</v>
      </c>
      <c r="L1512">
        <v>11035.1</v>
      </c>
      <c r="M1512">
        <v>11035.1</v>
      </c>
      <c r="N1512">
        <v>12.43</v>
      </c>
      <c r="O1512">
        <v>77764.899999999994</v>
      </c>
      <c r="P1512">
        <v>0</v>
      </c>
      <c r="Q1512" t="str">
        <f>INDEX(pARTNER[#All],MATCH(#REF!,pARTNER[[#All],[Value.partnerSummary.id]],0),10)</f>
        <v>Slovenija (SI)</v>
      </c>
      <c r="R1512" t="str">
        <f>INDEX('Partner data'!$A$2:$DG$171,MATCH(#REF!,'Partner data'!$DG$2:$DG$171,0),83)</f>
        <v xml:space="preserve">Organismo di diritto pubblico </v>
      </c>
      <c r="S1512" s="86" t="b">
        <f>IF(#REF!="staff",INDEX('Partner data'!$DG$2:$DH$171,MATCH(#REF!,'Partner data'!$DG$2:$DG$171,0),2))</f>
        <v>0</v>
      </c>
    </row>
    <row r="1513" spans="1:19" x14ac:dyDescent="0.25">
      <c r="A1513" t="s">
        <v>57</v>
      </c>
      <c r="B1513" t="s">
        <v>27</v>
      </c>
      <c r="C1513">
        <v>309</v>
      </c>
      <c r="D1513">
        <v>216</v>
      </c>
      <c r="E1513" t="s">
        <v>232</v>
      </c>
      <c r="G1513">
        <v>16100</v>
      </c>
      <c r="H1513">
        <v>2993.25</v>
      </c>
      <c r="I1513">
        <v>0</v>
      </c>
      <c r="J1513">
        <v>0</v>
      </c>
      <c r="K1513">
        <v>0</v>
      </c>
      <c r="L1513">
        <v>0</v>
      </c>
      <c r="M1513">
        <v>2993.25</v>
      </c>
      <c r="N1513">
        <v>18.59</v>
      </c>
      <c r="O1513">
        <v>13106.75</v>
      </c>
      <c r="P1513">
        <v>2993.25</v>
      </c>
      <c r="Q1513" t="str">
        <f>INDEX(pARTNER[#All],MATCH(#REF!,pARTNER[[#All],[Value.partnerSummary.id]],0),10)</f>
        <v>Slovenija (SI)</v>
      </c>
      <c r="R1513" t="str">
        <f>INDEX('Partner data'!$A$2:$DG$171,MATCH(#REF!,'Partner data'!$DG$2:$DG$171,0),83)</f>
        <v xml:space="preserve">Organismo di diritto pubblico </v>
      </c>
      <c r="S1513" s="86" t="b">
        <f>IF(#REF!="staff",INDEX('Partner data'!$DG$2:$DH$171,MATCH(#REF!,'Partner data'!$DG$2:$DG$171,0),2))</f>
        <v>0</v>
      </c>
    </row>
    <row r="1514" spans="1:19" x14ac:dyDescent="0.25">
      <c r="A1514" t="s">
        <v>57</v>
      </c>
      <c r="B1514" t="s">
        <v>27</v>
      </c>
      <c r="C1514">
        <v>309</v>
      </c>
      <c r="D1514">
        <v>216</v>
      </c>
      <c r="E1514" t="s">
        <v>233</v>
      </c>
      <c r="G1514">
        <v>20200</v>
      </c>
      <c r="H1514">
        <v>0</v>
      </c>
      <c r="I1514">
        <v>0</v>
      </c>
      <c r="J1514">
        <v>0</v>
      </c>
      <c r="K1514">
        <v>0</v>
      </c>
      <c r="L1514">
        <v>0</v>
      </c>
      <c r="M1514">
        <v>0</v>
      </c>
      <c r="N1514">
        <v>0</v>
      </c>
      <c r="O1514">
        <v>20200</v>
      </c>
      <c r="P1514">
        <v>0</v>
      </c>
      <c r="Q1514" t="str">
        <f>INDEX(pARTNER[#All],MATCH(#REF!,pARTNER[[#All],[Value.partnerSummary.id]],0),10)</f>
        <v>Slovenija (SI)</v>
      </c>
      <c r="R1514" t="str">
        <f>INDEX('Partner data'!$A$2:$DG$171,MATCH(#REF!,'Partner data'!$DG$2:$DG$171,0),83)</f>
        <v xml:space="preserve">Organismo di diritto pubblico </v>
      </c>
      <c r="S1514" s="86" t="b">
        <f>IF(#REF!="staff",INDEX('Partner data'!$DG$2:$DH$171,MATCH(#REF!,'Partner data'!$DG$2:$DG$171,0),2))</f>
        <v>0</v>
      </c>
    </row>
    <row r="1515" spans="1:19" x14ac:dyDescent="0.25">
      <c r="A1515" t="s">
        <v>57</v>
      </c>
      <c r="B1515" t="s">
        <v>27</v>
      </c>
      <c r="C1515">
        <v>309</v>
      </c>
      <c r="D1515">
        <v>216</v>
      </c>
      <c r="E1515" t="s">
        <v>234</v>
      </c>
      <c r="G1515">
        <v>0</v>
      </c>
      <c r="H1515">
        <v>0</v>
      </c>
      <c r="I1515">
        <v>0</v>
      </c>
      <c r="J1515">
        <v>0</v>
      </c>
      <c r="K1515">
        <v>0</v>
      </c>
      <c r="L1515">
        <v>0</v>
      </c>
      <c r="M1515">
        <v>0</v>
      </c>
      <c r="N1515">
        <v>0</v>
      </c>
      <c r="O1515">
        <v>0</v>
      </c>
      <c r="P1515">
        <v>0</v>
      </c>
      <c r="Q1515" t="str">
        <f>INDEX(pARTNER[#All],MATCH(#REF!,pARTNER[[#All],[Value.partnerSummary.id]],0),10)</f>
        <v>Slovenija (SI)</v>
      </c>
      <c r="R1515" t="str">
        <f>INDEX('Partner data'!$A$2:$DG$171,MATCH(#REF!,'Partner data'!$DG$2:$DG$171,0),83)</f>
        <v xml:space="preserve">Organismo di diritto pubblico </v>
      </c>
      <c r="S1515" s="86" t="b">
        <f>IF(#REF!="staff",INDEX('Partner data'!$DG$2:$DH$171,MATCH(#REF!,'Partner data'!$DG$2:$DG$171,0),2))</f>
        <v>0</v>
      </c>
    </row>
    <row r="1516" spans="1:19" x14ac:dyDescent="0.25">
      <c r="A1516" t="s">
        <v>57</v>
      </c>
      <c r="B1516" t="s">
        <v>27</v>
      </c>
      <c r="C1516">
        <v>309</v>
      </c>
      <c r="D1516">
        <v>216</v>
      </c>
      <c r="E1516" t="s">
        <v>235</v>
      </c>
      <c r="G1516">
        <v>0</v>
      </c>
      <c r="H1516">
        <v>0</v>
      </c>
      <c r="I1516">
        <v>0</v>
      </c>
      <c r="J1516">
        <v>0</v>
      </c>
      <c r="K1516">
        <v>0</v>
      </c>
      <c r="L1516">
        <v>0</v>
      </c>
      <c r="M1516">
        <v>0</v>
      </c>
      <c r="N1516">
        <v>0</v>
      </c>
      <c r="O1516">
        <v>0</v>
      </c>
      <c r="P1516">
        <v>0</v>
      </c>
      <c r="Q1516" t="str">
        <f>INDEX(pARTNER[#All],MATCH(#REF!,pARTNER[[#All],[Value.partnerSummary.id]],0),10)</f>
        <v>Slovenija (SI)</v>
      </c>
      <c r="R1516" t="str">
        <f>INDEX('Partner data'!$A$2:$DG$171,MATCH(#REF!,'Partner data'!$DG$2:$DG$171,0),83)</f>
        <v xml:space="preserve">Organismo di diritto pubblico </v>
      </c>
      <c r="S1516" s="86" t="b">
        <f>IF(#REF!="staff",INDEX('Partner data'!$DG$2:$DH$171,MATCH(#REF!,'Partner data'!$DG$2:$DG$171,0),2))</f>
        <v>0</v>
      </c>
    </row>
    <row r="1517" spans="1:19" x14ac:dyDescent="0.25">
      <c r="A1517" t="s">
        <v>57</v>
      </c>
      <c r="B1517" t="s">
        <v>27</v>
      </c>
      <c r="C1517">
        <v>309</v>
      </c>
      <c r="D1517">
        <v>216</v>
      </c>
      <c r="E1517" t="s">
        <v>236</v>
      </c>
      <c r="G1517">
        <v>0</v>
      </c>
      <c r="H1517">
        <v>0</v>
      </c>
      <c r="I1517">
        <v>0</v>
      </c>
      <c r="J1517">
        <v>0</v>
      </c>
      <c r="K1517">
        <v>0</v>
      </c>
      <c r="L1517">
        <v>0</v>
      </c>
      <c r="M1517">
        <v>0</v>
      </c>
      <c r="N1517">
        <v>0</v>
      </c>
      <c r="O1517">
        <v>0</v>
      </c>
      <c r="P1517">
        <v>0</v>
      </c>
      <c r="Q1517" t="str">
        <f>INDEX(pARTNER[#All],MATCH(#REF!,pARTNER[[#All],[Value.partnerSummary.id]],0),10)</f>
        <v>Slovenija (SI)</v>
      </c>
      <c r="R1517" t="str">
        <f>INDEX('Partner data'!$A$2:$DG$171,MATCH(#REF!,'Partner data'!$DG$2:$DG$171,0),83)</f>
        <v xml:space="preserve">Organismo di diritto pubblico </v>
      </c>
      <c r="S1517" s="86" t="b">
        <f>IF(#REF!="staff",INDEX('Partner data'!$DG$2:$DH$171,MATCH(#REF!,'Partner data'!$DG$2:$DG$171,0),2))</f>
        <v>0</v>
      </c>
    </row>
    <row r="1518" spans="1:19" x14ac:dyDescent="0.25">
      <c r="A1518" t="s">
        <v>57</v>
      </c>
      <c r="B1518" t="s">
        <v>27</v>
      </c>
      <c r="C1518">
        <v>309</v>
      </c>
      <c r="D1518">
        <v>216</v>
      </c>
      <c r="E1518" t="s">
        <v>237</v>
      </c>
      <c r="G1518">
        <v>0</v>
      </c>
      <c r="H1518">
        <v>0</v>
      </c>
      <c r="I1518">
        <v>0</v>
      </c>
      <c r="J1518">
        <v>0</v>
      </c>
      <c r="K1518">
        <v>0</v>
      </c>
      <c r="L1518">
        <v>0</v>
      </c>
      <c r="M1518">
        <v>0</v>
      </c>
      <c r="N1518">
        <v>0</v>
      </c>
      <c r="O1518">
        <v>0</v>
      </c>
      <c r="P1518">
        <v>0</v>
      </c>
      <c r="Q1518" t="str">
        <f>INDEX(pARTNER[#All],MATCH(#REF!,pARTNER[[#All],[Value.partnerSummary.id]],0),10)</f>
        <v>Slovenija (SI)</v>
      </c>
      <c r="R1518" t="str">
        <f>INDEX('Partner data'!$A$2:$DG$171,MATCH(#REF!,'Partner data'!$DG$2:$DG$171,0),83)</f>
        <v xml:space="preserve">Organismo di diritto pubblico </v>
      </c>
      <c r="S1518" s="86" t="b">
        <f>IF(#REF!="staff",INDEX('Partner data'!$DG$2:$DH$171,MATCH(#REF!,'Partner data'!$DG$2:$DG$171,0),2))</f>
        <v>0</v>
      </c>
    </row>
    <row r="1519" spans="1:19" x14ac:dyDescent="0.25">
      <c r="A1519" t="s">
        <v>57</v>
      </c>
      <c r="B1519" t="s">
        <v>27</v>
      </c>
      <c r="C1519">
        <v>309</v>
      </c>
      <c r="D1519">
        <v>216</v>
      </c>
      <c r="E1519" t="s">
        <v>238</v>
      </c>
      <c r="G1519">
        <v>375000</v>
      </c>
      <c r="H1519">
        <v>54532.639999999999</v>
      </c>
      <c r="I1519">
        <v>0</v>
      </c>
      <c r="J1519">
        <v>45739.57</v>
      </c>
      <c r="K1519">
        <v>0</v>
      </c>
      <c r="L1519">
        <v>45739.57</v>
      </c>
      <c r="M1519">
        <v>100272.21</v>
      </c>
      <c r="N1519">
        <v>26.74</v>
      </c>
      <c r="O1519">
        <v>274727.78999999998</v>
      </c>
      <c r="P1519">
        <v>54358.75</v>
      </c>
      <c r="Q1519" t="str">
        <f>INDEX(pARTNER[#All],MATCH(#REF!,pARTNER[[#All],[Value.partnerSummary.id]],0),10)</f>
        <v>Slovenija (SI)</v>
      </c>
      <c r="R1519" t="str">
        <f>INDEX('Partner data'!$A$2:$DG$171,MATCH(#REF!,'Partner data'!$DG$2:$DG$171,0),83)</f>
        <v xml:space="preserve">Organismo di diritto pubblico </v>
      </c>
      <c r="S1519" s="86" t="b">
        <f>IF(#REF!="staff",INDEX('Partner data'!$DG$2:$DH$171,MATCH(#REF!,'Partner data'!$DG$2:$DG$171,0),2))</f>
        <v>0</v>
      </c>
    </row>
    <row r="1520" spans="1:19" x14ac:dyDescent="0.25">
      <c r="A1520" t="s">
        <v>57</v>
      </c>
      <c r="B1520" t="s">
        <v>27</v>
      </c>
      <c r="C1520">
        <v>309</v>
      </c>
      <c r="D1520">
        <v>64</v>
      </c>
      <c r="E1520" t="s">
        <v>228</v>
      </c>
      <c r="G1520">
        <v>210000</v>
      </c>
      <c r="H1520">
        <v>0</v>
      </c>
      <c r="I1520">
        <v>0</v>
      </c>
      <c r="J1520">
        <v>43310.42</v>
      </c>
      <c r="K1520">
        <v>0</v>
      </c>
      <c r="L1520">
        <v>43164.29</v>
      </c>
      <c r="M1520">
        <v>43310.42</v>
      </c>
      <c r="N1520">
        <v>20.62</v>
      </c>
      <c r="O1520">
        <v>166689.57999999999</v>
      </c>
      <c r="P1520">
        <v>0</v>
      </c>
      <c r="Q1520" t="str">
        <f>INDEX(pARTNER[#All],MATCH(#REF!,pARTNER[[#All],[Value.partnerSummary.id]],0),10)</f>
        <v>Slovenija (SI)</v>
      </c>
      <c r="R1520" t="str">
        <f>INDEX('Partner data'!$A$2:$DG$171,MATCH(#REF!,'Partner data'!$DG$2:$DG$171,0),83)</f>
        <v xml:space="preserve">Organismo di diritto pubblico </v>
      </c>
      <c r="S1520" s="86" t="str">
        <f>IF(#REF!="staff",INDEX('Partner data'!$DG$2:$DH$171,MATCH(#REF!,'Partner data'!$DG$2:$DG$171,0),2))</f>
        <v>COSTO REALE</v>
      </c>
    </row>
    <row r="1521" spans="1:19" x14ac:dyDescent="0.25">
      <c r="A1521" t="s">
        <v>57</v>
      </c>
      <c r="B1521" t="s">
        <v>27</v>
      </c>
      <c r="C1521">
        <v>309</v>
      </c>
      <c r="D1521">
        <v>64</v>
      </c>
      <c r="E1521" t="s">
        <v>229</v>
      </c>
      <c r="F1521">
        <v>15</v>
      </c>
      <c r="G1521">
        <v>31500</v>
      </c>
      <c r="H1521">
        <v>0</v>
      </c>
      <c r="I1521">
        <v>0</v>
      </c>
      <c r="J1521">
        <v>6496.56</v>
      </c>
      <c r="K1521">
        <v>0</v>
      </c>
      <c r="L1521">
        <v>6474.64</v>
      </c>
      <c r="M1521">
        <v>6496.56</v>
      </c>
      <c r="N1521">
        <v>20.62</v>
      </c>
      <c r="O1521">
        <v>25003.439999999999</v>
      </c>
      <c r="P1521">
        <v>0</v>
      </c>
      <c r="Q1521" t="str">
        <f>INDEX(pARTNER[#All],MATCH(#REF!,pARTNER[[#All],[Value.partnerSummary.id]],0),10)</f>
        <v>Slovenija (SI)</v>
      </c>
      <c r="R1521" t="str">
        <f>INDEX('Partner data'!$A$2:$DG$171,MATCH(#REF!,'Partner data'!$DG$2:$DG$171,0),83)</f>
        <v xml:space="preserve">Organismo di diritto pubblico </v>
      </c>
      <c r="S1521" s="86" t="b">
        <f>IF(#REF!="staff",INDEX('Partner data'!$DG$2:$DH$171,MATCH(#REF!,'Partner data'!$DG$2:$DG$171,0),2))</f>
        <v>0</v>
      </c>
    </row>
    <row r="1522" spans="1:19" x14ac:dyDescent="0.25">
      <c r="A1522" t="s">
        <v>57</v>
      </c>
      <c r="B1522" t="s">
        <v>27</v>
      </c>
      <c r="C1522">
        <v>309</v>
      </c>
      <c r="D1522">
        <v>64</v>
      </c>
      <c r="E1522" t="s">
        <v>230</v>
      </c>
      <c r="F1522">
        <v>4</v>
      </c>
      <c r="G1522">
        <v>8400</v>
      </c>
      <c r="H1522">
        <v>0</v>
      </c>
      <c r="I1522">
        <v>0</v>
      </c>
      <c r="J1522">
        <v>1732.41</v>
      </c>
      <c r="K1522">
        <v>0</v>
      </c>
      <c r="L1522">
        <v>1726.57</v>
      </c>
      <c r="M1522">
        <v>1732.41</v>
      </c>
      <c r="N1522">
        <v>20.62</v>
      </c>
      <c r="O1522">
        <v>6667.59</v>
      </c>
      <c r="P1522">
        <v>0</v>
      </c>
      <c r="Q1522" t="str">
        <f>INDEX(pARTNER[#All],MATCH(#REF!,pARTNER[[#All],[Value.partnerSummary.id]],0),10)</f>
        <v>Slovenija (SI)</v>
      </c>
      <c r="R1522" t="str">
        <f>INDEX('Partner data'!$A$2:$DG$171,MATCH(#REF!,'Partner data'!$DG$2:$DG$171,0),83)</f>
        <v xml:space="preserve">Organismo di diritto pubblico </v>
      </c>
      <c r="S1522" s="86" t="b">
        <f>IF(#REF!="staff",INDEX('Partner data'!$DG$2:$DH$171,MATCH(#REF!,'Partner data'!$DG$2:$DG$171,0),2))</f>
        <v>0</v>
      </c>
    </row>
    <row r="1523" spans="1:19" x14ac:dyDescent="0.25">
      <c r="A1523" t="s">
        <v>57</v>
      </c>
      <c r="B1523" t="s">
        <v>27</v>
      </c>
      <c r="C1523">
        <v>309</v>
      </c>
      <c r="D1523">
        <v>64</v>
      </c>
      <c r="E1523" t="s">
        <v>231</v>
      </c>
      <c r="G1523">
        <v>88800</v>
      </c>
      <c r="H1523">
        <v>0</v>
      </c>
      <c r="I1523">
        <v>0</v>
      </c>
      <c r="J1523">
        <v>0</v>
      </c>
      <c r="K1523">
        <v>0</v>
      </c>
      <c r="L1523">
        <v>0</v>
      </c>
      <c r="M1523">
        <v>0</v>
      </c>
      <c r="N1523">
        <v>0</v>
      </c>
      <c r="O1523">
        <v>88800</v>
      </c>
      <c r="P1523">
        <v>0</v>
      </c>
      <c r="Q1523" t="str">
        <f>INDEX(pARTNER[#All],MATCH(#REF!,pARTNER[[#All],[Value.partnerSummary.id]],0),10)</f>
        <v>Slovenija (SI)</v>
      </c>
      <c r="R1523" t="str">
        <f>INDEX('Partner data'!$A$2:$DG$171,MATCH(#REF!,'Partner data'!$DG$2:$DG$171,0),83)</f>
        <v xml:space="preserve">Organismo di diritto pubblico </v>
      </c>
      <c r="S1523" s="86" t="b">
        <f>IF(#REF!="staff",INDEX('Partner data'!$DG$2:$DH$171,MATCH(#REF!,'Partner data'!$DG$2:$DG$171,0),2))</f>
        <v>0</v>
      </c>
    </row>
    <row r="1524" spans="1:19" x14ac:dyDescent="0.25">
      <c r="A1524" t="s">
        <v>57</v>
      </c>
      <c r="B1524" t="s">
        <v>27</v>
      </c>
      <c r="C1524">
        <v>309</v>
      </c>
      <c r="D1524">
        <v>64</v>
      </c>
      <c r="E1524" t="s">
        <v>232</v>
      </c>
      <c r="G1524">
        <v>16100</v>
      </c>
      <c r="H1524">
        <v>0</v>
      </c>
      <c r="I1524">
        <v>0</v>
      </c>
      <c r="J1524">
        <v>2993.25</v>
      </c>
      <c r="K1524">
        <v>0</v>
      </c>
      <c r="L1524">
        <v>2993.25</v>
      </c>
      <c r="M1524">
        <v>2993.25</v>
      </c>
      <c r="N1524">
        <v>18.59</v>
      </c>
      <c r="O1524">
        <v>13106.75</v>
      </c>
      <c r="P1524">
        <v>0</v>
      </c>
      <c r="Q1524" t="str">
        <f>INDEX(pARTNER[#All],MATCH(#REF!,pARTNER[[#All],[Value.partnerSummary.id]],0),10)</f>
        <v>Slovenija (SI)</v>
      </c>
      <c r="R1524" t="str">
        <f>INDEX('Partner data'!$A$2:$DG$171,MATCH(#REF!,'Partner data'!$DG$2:$DG$171,0),83)</f>
        <v xml:space="preserve">Organismo di diritto pubblico </v>
      </c>
      <c r="S1524" s="86" t="b">
        <f>IF(#REF!="staff",INDEX('Partner data'!$DG$2:$DH$171,MATCH(#REF!,'Partner data'!$DG$2:$DG$171,0),2))</f>
        <v>0</v>
      </c>
    </row>
    <row r="1525" spans="1:19" x14ac:dyDescent="0.25">
      <c r="A1525" t="s">
        <v>57</v>
      </c>
      <c r="B1525" t="s">
        <v>27</v>
      </c>
      <c r="C1525">
        <v>309</v>
      </c>
      <c r="D1525">
        <v>64</v>
      </c>
      <c r="E1525" t="s">
        <v>233</v>
      </c>
      <c r="G1525">
        <v>20200</v>
      </c>
      <c r="H1525">
        <v>0</v>
      </c>
      <c r="I1525">
        <v>0</v>
      </c>
      <c r="J1525">
        <v>0</v>
      </c>
      <c r="K1525">
        <v>0</v>
      </c>
      <c r="L1525">
        <v>0</v>
      </c>
      <c r="M1525">
        <v>0</v>
      </c>
      <c r="N1525">
        <v>0</v>
      </c>
      <c r="O1525">
        <v>20200</v>
      </c>
      <c r="P1525">
        <v>0</v>
      </c>
      <c r="Q1525" t="str">
        <f>INDEX(pARTNER[#All],MATCH(#REF!,pARTNER[[#All],[Value.partnerSummary.id]],0),10)</f>
        <v>Slovenija (SI)</v>
      </c>
      <c r="R1525" t="str">
        <f>INDEX('Partner data'!$A$2:$DG$171,MATCH(#REF!,'Partner data'!$DG$2:$DG$171,0),83)</f>
        <v xml:space="preserve">Organismo di diritto pubblico </v>
      </c>
      <c r="S1525" s="86" t="b">
        <f>IF(#REF!="staff",INDEX('Partner data'!$DG$2:$DH$171,MATCH(#REF!,'Partner data'!$DG$2:$DG$171,0),2))</f>
        <v>0</v>
      </c>
    </row>
    <row r="1526" spans="1:19" x14ac:dyDescent="0.25">
      <c r="A1526" t="s">
        <v>57</v>
      </c>
      <c r="B1526" t="s">
        <v>27</v>
      </c>
      <c r="C1526">
        <v>309</v>
      </c>
      <c r="D1526">
        <v>64</v>
      </c>
      <c r="E1526" t="s">
        <v>234</v>
      </c>
      <c r="G1526">
        <v>0</v>
      </c>
      <c r="H1526">
        <v>0</v>
      </c>
      <c r="I1526">
        <v>0</v>
      </c>
      <c r="J1526">
        <v>0</v>
      </c>
      <c r="K1526">
        <v>0</v>
      </c>
      <c r="L1526">
        <v>0</v>
      </c>
      <c r="M1526">
        <v>0</v>
      </c>
      <c r="N1526">
        <v>0</v>
      </c>
      <c r="O1526">
        <v>0</v>
      </c>
      <c r="P1526">
        <v>0</v>
      </c>
      <c r="Q1526" t="str">
        <f>INDEX(pARTNER[#All],MATCH(#REF!,pARTNER[[#All],[Value.partnerSummary.id]],0),10)</f>
        <v>Slovenija (SI)</v>
      </c>
      <c r="R1526" t="str">
        <f>INDEX('Partner data'!$A$2:$DG$171,MATCH(#REF!,'Partner data'!$DG$2:$DG$171,0),83)</f>
        <v xml:space="preserve">Organismo di diritto pubblico </v>
      </c>
      <c r="S1526" s="86" t="b">
        <f>IF(#REF!="staff",INDEX('Partner data'!$DG$2:$DH$171,MATCH(#REF!,'Partner data'!$DG$2:$DG$171,0),2))</f>
        <v>0</v>
      </c>
    </row>
    <row r="1527" spans="1:19" x14ac:dyDescent="0.25">
      <c r="A1527" t="s">
        <v>57</v>
      </c>
      <c r="B1527" t="s">
        <v>27</v>
      </c>
      <c r="C1527">
        <v>309</v>
      </c>
      <c r="D1527">
        <v>64</v>
      </c>
      <c r="E1527" t="s">
        <v>235</v>
      </c>
      <c r="G1527">
        <v>0</v>
      </c>
      <c r="H1527">
        <v>0</v>
      </c>
      <c r="I1527">
        <v>0</v>
      </c>
      <c r="J1527">
        <v>0</v>
      </c>
      <c r="K1527">
        <v>0</v>
      </c>
      <c r="L1527">
        <v>0</v>
      </c>
      <c r="M1527">
        <v>0</v>
      </c>
      <c r="N1527">
        <v>0</v>
      </c>
      <c r="O1527">
        <v>0</v>
      </c>
      <c r="P1527">
        <v>0</v>
      </c>
      <c r="Q1527" t="str">
        <f>INDEX(pARTNER[#All],MATCH(#REF!,pARTNER[[#All],[Value.partnerSummary.id]],0),10)</f>
        <v>Slovenija (SI)</v>
      </c>
      <c r="R1527" t="str">
        <f>INDEX('Partner data'!$A$2:$DG$171,MATCH(#REF!,'Partner data'!$DG$2:$DG$171,0),83)</f>
        <v xml:space="preserve">Organismo di diritto pubblico </v>
      </c>
      <c r="S1527" s="86" t="b">
        <f>IF(#REF!="staff",INDEX('Partner data'!$DG$2:$DH$171,MATCH(#REF!,'Partner data'!$DG$2:$DG$171,0),2))</f>
        <v>0</v>
      </c>
    </row>
    <row r="1528" spans="1:19" x14ac:dyDescent="0.25">
      <c r="A1528" t="s">
        <v>57</v>
      </c>
      <c r="B1528" t="s">
        <v>27</v>
      </c>
      <c r="C1528">
        <v>309</v>
      </c>
      <c r="D1528">
        <v>64</v>
      </c>
      <c r="E1528" t="s">
        <v>236</v>
      </c>
      <c r="G1528">
        <v>0</v>
      </c>
      <c r="H1528">
        <v>0</v>
      </c>
      <c r="I1528">
        <v>0</v>
      </c>
      <c r="J1528">
        <v>0</v>
      </c>
      <c r="K1528">
        <v>0</v>
      </c>
      <c r="L1528">
        <v>0</v>
      </c>
      <c r="M1528">
        <v>0</v>
      </c>
      <c r="N1528">
        <v>0</v>
      </c>
      <c r="O1528">
        <v>0</v>
      </c>
      <c r="P1528">
        <v>0</v>
      </c>
      <c r="Q1528" t="str">
        <f>INDEX(pARTNER[#All],MATCH(#REF!,pARTNER[[#All],[Value.partnerSummary.id]],0),10)</f>
        <v>Slovenija (SI)</v>
      </c>
      <c r="R1528" t="str">
        <f>INDEX('Partner data'!$A$2:$DG$171,MATCH(#REF!,'Partner data'!$DG$2:$DG$171,0),83)</f>
        <v xml:space="preserve">Organismo di diritto pubblico </v>
      </c>
      <c r="S1528" s="86" t="b">
        <f>IF(#REF!="staff",INDEX('Partner data'!$DG$2:$DH$171,MATCH(#REF!,'Partner data'!$DG$2:$DG$171,0),2))</f>
        <v>0</v>
      </c>
    </row>
    <row r="1529" spans="1:19" x14ac:dyDescent="0.25">
      <c r="A1529" t="s">
        <v>57</v>
      </c>
      <c r="B1529" t="s">
        <v>27</v>
      </c>
      <c r="C1529">
        <v>309</v>
      </c>
      <c r="D1529">
        <v>64</v>
      </c>
      <c r="E1529" t="s">
        <v>237</v>
      </c>
      <c r="G1529">
        <v>0</v>
      </c>
      <c r="H1529">
        <v>0</v>
      </c>
      <c r="I1529">
        <v>0</v>
      </c>
      <c r="J1529">
        <v>0</v>
      </c>
      <c r="K1529">
        <v>0</v>
      </c>
      <c r="L1529">
        <v>0</v>
      </c>
      <c r="M1529">
        <v>0</v>
      </c>
      <c r="N1529">
        <v>0</v>
      </c>
      <c r="O1529">
        <v>0</v>
      </c>
      <c r="P1529">
        <v>0</v>
      </c>
      <c r="Q1529" t="str">
        <f>INDEX(pARTNER[#All],MATCH(#REF!,pARTNER[[#All],[Value.partnerSummary.id]],0),10)</f>
        <v>Slovenija (SI)</v>
      </c>
      <c r="R1529" t="str">
        <f>INDEX('Partner data'!$A$2:$DG$171,MATCH(#REF!,'Partner data'!$DG$2:$DG$171,0),83)</f>
        <v xml:space="preserve">Organismo di diritto pubblico </v>
      </c>
      <c r="S1529" s="86" t="b">
        <f>IF(#REF!="staff",INDEX('Partner data'!$DG$2:$DH$171,MATCH(#REF!,'Partner data'!$DG$2:$DG$171,0),2))</f>
        <v>0</v>
      </c>
    </row>
    <row r="1530" spans="1:19" x14ac:dyDescent="0.25">
      <c r="A1530" t="s">
        <v>57</v>
      </c>
      <c r="B1530" t="s">
        <v>27</v>
      </c>
      <c r="C1530">
        <v>309</v>
      </c>
      <c r="D1530">
        <v>64</v>
      </c>
      <c r="E1530" t="s">
        <v>238</v>
      </c>
      <c r="G1530">
        <v>375000</v>
      </c>
      <c r="H1530">
        <v>0</v>
      </c>
      <c r="I1530">
        <v>0</v>
      </c>
      <c r="J1530">
        <v>54532.639999999999</v>
      </c>
      <c r="K1530">
        <v>0</v>
      </c>
      <c r="L1530">
        <v>54358.75</v>
      </c>
      <c r="M1530">
        <v>54532.639999999999</v>
      </c>
      <c r="N1530">
        <v>14.54</v>
      </c>
      <c r="O1530">
        <v>320467.36</v>
      </c>
      <c r="P1530">
        <v>0</v>
      </c>
      <c r="Q1530" t="str">
        <f>INDEX(pARTNER[#All],MATCH(#REF!,pARTNER[[#All],[Value.partnerSummary.id]],0),10)</f>
        <v>Slovenija (SI)</v>
      </c>
      <c r="R1530" t="str">
        <f>INDEX('Partner data'!$A$2:$DG$171,MATCH(#REF!,'Partner data'!$DG$2:$DG$171,0),83)</f>
        <v xml:space="preserve">Organismo di diritto pubblico </v>
      </c>
      <c r="S1530" s="86" t="b">
        <f>IF(#REF!="staff",INDEX('Partner data'!$DG$2:$DH$171,MATCH(#REF!,'Partner data'!$DG$2:$DG$171,0),2))</f>
        <v>0</v>
      </c>
    </row>
    <row r="1531" spans="1:19" x14ac:dyDescent="0.25">
      <c r="A1531" t="s">
        <v>57</v>
      </c>
      <c r="B1531" t="s">
        <v>20</v>
      </c>
      <c r="C1531">
        <v>304</v>
      </c>
      <c r="D1531">
        <v>243</v>
      </c>
      <c r="E1531" t="s">
        <v>228</v>
      </c>
      <c r="F1531">
        <v>20</v>
      </c>
      <c r="G1531">
        <v>70678.509999999995</v>
      </c>
      <c r="H1531">
        <v>61</v>
      </c>
      <c r="I1531">
        <v>0</v>
      </c>
      <c r="J1531">
        <v>2879.8</v>
      </c>
      <c r="K1531">
        <v>0</v>
      </c>
      <c r="L1531">
        <v>2841.24</v>
      </c>
      <c r="M1531">
        <v>2940.8</v>
      </c>
      <c r="N1531">
        <v>4.16</v>
      </c>
      <c r="O1531">
        <v>67737.710000000006</v>
      </c>
      <c r="P1531">
        <v>61</v>
      </c>
      <c r="Q1531" t="str">
        <f>INDEX(pARTNER[#All],MATCH(#REF!,pARTNER[[#All],[Value.partnerSummary.id]],0),10)</f>
        <v>Italia (IT)</v>
      </c>
      <c r="R1531" t="str">
        <f>INDEX('Partner data'!$A$2:$DG$171,MATCH(#REF!,'Partner data'!$DG$2:$DG$171,0),83)</f>
        <v>Soggetto pubblico</v>
      </c>
      <c r="S1531" s="86" t="str">
        <f>IF(#REF!="staff",INDEX('Partner data'!$DG$2:$DH$171,MATCH(#REF!,'Partner data'!$DG$2:$DG$171,0),2))</f>
        <v>Tasso Forfettario 20%</v>
      </c>
    </row>
    <row r="1532" spans="1:19" x14ac:dyDescent="0.25">
      <c r="A1532" t="s">
        <v>57</v>
      </c>
      <c r="B1532" t="s">
        <v>20</v>
      </c>
      <c r="C1532">
        <v>304</v>
      </c>
      <c r="D1532">
        <v>243</v>
      </c>
      <c r="E1532" t="s">
        <v>229</v>
      </c>
      <c r="F1532">
        <v>15</v>
      </c>
      <c r="G1532">
        <v>10601.77</v>
      </c>
      <c r="H1532">
        <v>9.15</v>
      </c>
      <c r="I1532">
        <v>0</v>
      </c>
      <c r="J1532">
        <v>431.97</v>
      </c>
      <c r="K1532">
        <v>0</v>
      </c>
      <c r="L1532">
        <v>426.18</v>
      </c>
      <c r="M1532">
        <v>441.12</v>
      </c>
      <c r="N1532">
        <v>4.16</v>
      </c>
      <c r="O1532">
        <v>10160.65</v>
      </c>
      <c r="P1532">
        <v>9.15</v>
      </c>
      <c r="Q1532" t="str">
        <f>INDEX(pARTNER[#All],MATCH(#REF!,pARTNER[[#All],[Value.partnerSummary.id]],0),10)</f>
        <v>Italia (IT)</v>
      </c>
      <c r="R1532" t="str">
        <f>INDEX('Partner data'!$A$2:$DG$171,MATCH(#REF!,'Partner data'!$DG$2:$DG$171,0),83)</f>
        <v>Soggetto pubblico</v>
      </c>
      <c r="S1532" s="86" t="b">
        <f>IF(#REF!="staff",INDEX('Partner data'!$DG$2:$DH$171,MATCH(#REF!,'Partner data'!$DG$2:$DG$171,0),2))</f>
        <v>0</v>
      </c>
    </row>
    <row r="1533" spans="1:19" x14ac:dyDescent="0.25">
      <c r="A1533" t="s">
        <v>57</v>
      </c>
      <c r="B1533" t="s">
        <v>20</v>
      </c>
      <c r="C1533">
        <v>304</v>
      </c>
      <c r="D1533">
        <v>243</v>
      </c>
      <c r="E1533" t="s">
        <v>230</v>
      </c>
      <c r="F1533">
        <v>4</v>
      </c>
      <c r="G1533">
        <v>2827.14</v>
      </c>
      <c r="H1533">
        <v>2.44</v>
      </c>
      <c r="I1533">
        <v>0</v>
      </c>
      <c r="J1533">
        <v>115.19</v>
      </c>
      <c r="K1533">
        <v>0</v>
      </c>
      <c r="L1533">
        <v>113.64</v>
      </c>
      <c r="M1533">
        <v>117.63</v>
      </c>
      <c r="N1533">
        <v>4.16</v>
      </c>
      <c r="O1533">
        <v>2709.51</v>
      </c>
      <c r="P1533">
        <v>2.44</v>
      </c>
      <c r="Q1533" t="str">
        <f>INDEX(pARTNER[#All],MATCH(#REF!,pARTNER[[#All],[Value.partnerSummary.id]],0),10)</f>
        <v>Italia (IT)</v>
      </c>
      <c r="R1533" t="str">
        <f>INDEX('Partner data'!$A$2:$DG$171,MATCH(#REF!,'Partner data'!$DG$2:$DG$171,0),83)</f>
        <v>Soggetto pubblico</v>
      </c>
      <c r="S1533" s="86" t="b">
        <f>IF(#REF!="staff",INDEX('Partner data'!$DG$2:$DH$171,MATCH(#REF!,'Partner data'!$DG$2:$DG$171,0),2))</f>
        <v>0</v>
      </c>
    </row>
    <row r="1534" spans="1:19" x14ac:dyDescent="0.25">
      <c r="A1534" t="s">
        <v>57</v>
      </c>
      <c r="B1534" t="s">
        <v>20</v>
      </c>
      <c r="C1534">
        <v>304</v>
      </c>
      <c r="D1534">
        <v>243</v>
      </c>
      <c r="E1534" t="s">
        <v>231</v>
      </c>
      <c r="G1534">
        <v>353392.58</v>
      </c>
      <c r="H1534">
        <v>305</v>
      </c>
      <c r="I1534">
        <v>0</v>
      </c>
      <c r="J1534">
        <v>14399</v>
      </c>
      <c r="K1534">
        <v>0</v>
      </c>
      <c r="L1534">
        <v>14206.22</v>
      </c>
      <c r="M1534">
        <v>14704</v>
      </c>
      <c r="N1534">
        <v>4.16</v>
      </c>
      <c r="O1534">
        <v>338688.58</v>
      </c>
      <c r="P1534">
        <v>305</v>
      </c>
      <c r="Q1534" t="str">
        <f>INDEX(pARTNER[#All],MATCH(#REF!,pARTNER[[#All],[Value.partnerSummary.id]],0),10)</f>
        <v>Italia (IT)</v>
      </c>
      <c r="R1534" t="str">
        <f>INDEX('Partner data'!$A$2:$DG$171,MATCH(#REF!,'Partner data'!$DG$2:$DG$171,0),83)</f>
        <v>Soggetto pubblico</v>
      </c>
      <c r="S1534" s="86" t="b">
        <f>IF(#REF!="staff",INDEX('Partner data'!$DG$2:$DH$171,MATCH(#REF!,'Partner data'!$DG$2:$DG$171,0),2))</f>
        <v>0</v>
      </c>
    </row>
    <row r="1535" spans="1:19" x14ac:dyDescent="0.25">
      <c r="A1535" t="s">
        <v>57</v>
      </c>
      <c r="B1535" t="s">
        <v>20</v>
      </c>
      <c r="C1535">
        <v>304</v>
      </c>
      <c r="D1535">
        <v>243</v>
      </c>
      <c r="E1535" t="s">
        <v>232</v>
      </c>
      <c r="G1535">
        <v>0</v>
      </c>
      <c r="H1535">
        <v>0</v>
      </c>
      <c r="I1535">
        <v>0</v>
      </c>
      <c r="J1535">
        <v>0</v>
      </c>
      <c r="K1535">
        <v>0</v>
      </c>
      <c r="L1535">
        <v>0</v>
      </c>
      <c r="M1535">
        <v>0</v>
      </c>
      <c r="N1535">
        <v>0</v>
      </c>
      <c r="O1535">
        <v>0</v>
      </c>
      <c r="P1535">
        <v>0</v>
      </c>
      <c r="Q1535" t="str">
        <f>INDEX(pARTNER[#All],MATCH(#REF!,pARTNER[[#All],[Value.partnerSummary.id]],0),10)</f>
        <v>Italia (IT)</v>
      </c>
      <c r="R1535" t="str">
        <f>INDEX('Partner data'!$A$2:$DG$171,MATCH(#REF!,'Partner data'!$DG$2:$DG$171,0),83)</f>
        <v>Soggetto pubblico</v>
      </c>
      <c r="S1535" s="86" t="b">
        <f>IF(#REF!="staff",INDEX('Partner data'!$DG$2:$DH$171,MATCH(#REF!,'Partner data'!$DG$2:$DG$171,0),2))</f>
        <v>0</v>
      </c>
    </row>
    <row r="1536" spans="1:19" x14ac:dyDescent="0.25">
      <c r="A1536" t="s">
        <v>57</v>
      </c>
      <c r="B1536" t="s">
        <v>20</v>
      </c>
      <c r="C1536">
        <v>304</v>
      </c>
      <c r="D1536">
        <v>243</v>
      </c>
      <c r="E1536" t="s">
        <v>233</v>
      </c>
      <c r="G1536">
        <v>0</v>
      </c>
      <c r="H1536">
        <v>0</v>
      </c>
      <c r="I1536">
        <v>0</v>
      </c>
      <c r="J1536">
        <v>0</v>
      </c>
      <c r="K1536">
        <v>0</v>
      </c>
      <c r="L1536">
        <v>0</v>
      </c>
      <c r="M1536">
        <v>0</v>
      </c>
      <c r="N1536">
        <v>0</v>
      </c>
      <c r="O1536">
        <v>0</v>
      </c>
      <c r="P1536">
        <v>0</v>
      </c>
      <c r="Q1536" t="str">
        <f>INDEX(pARTNER[#All],MATCH(#REF!,pARTNER[[#All],[Value.partnerSummary.id]],0),10)</f>
        <v>Italia (IT)</v>
      </c>
      <c r="R1536" t="str">
        <f>INDEX('Partner data'!$A$2:$DG$171,MATCH(#REF!,'Partner data'!$DG$2:$DG$171,0),83)</f>
        <v>Soggetto pubblico</v>
      </c>
      <c r="S1536" s="86" t="b">
        <f>IF(#REF!="staff",INDEX('Partner data'!$DG$2:$DH$171,MATCH(#REF!,'Partner data'!$DG$2:$DG$171,0),2))</f>
        <v>0</v>
      </c>
    </row>
    <row r="1537" spans="1:19" x14ac:dyDescent="0.25">
      <c r="A1537" t="s">
        <v>57</v>
      </c>
      <c r="B1537" t="s">
        <v>20</v>
      </c>
      <c r="C1537">
        <v>304</v>
      </c>
      <c r="D1537">
        <v>243</v>
      </c>
      <c r="E1537" t="s">
        <v>234</v>
      </c>
      <c r="G1537">
        <v>0</v>
      </c>
      <c r="H1537">
        <v>0</v>
      </c>
      <c r="I1537">
        <v>0</v>
      </c>
      <c r="J1537">
        <v>0</v>
      </c>
      <c r="K1537">
        <v>0</v>
      </c>
      <c r="L1537">
        <v>0</v>
      </c>
      <c r="M1537">
        <v>0</v>
      </c>
      <c r="N1537">
        <v>0</v>
      </c>
      <c r="O1537">
        <v>0</v>
      </c>
      <c r="P1537">
        <v>0</v>
      </c>
      <c r="Q1537" t="str">
        <f>INDEX(pARTNER[#All],MATCH(#REF!,pARTNER[[#All],[Value.partnerSummary.id]],0),10)</f>
        <v>Italia (IT)</v>
      </c>
      <c r="R1537" t="str">
        <f>INDEX('Partner data'!$A$2:$DG$171,MATCH(#REF!,'Partner data'!$DG$2:$DG$171,0),83)</f>
        <v>Soggetto pubblico</v>
      </c>
      <c r="S1537" s="86" t="b">
        <f>IF(#REF!="staff",INDEX('Partner data'!$DG$2:$DH$171,MATCH(#REF!,'Partner data'!$DG$2:$DG$171,0),2))</f>
        <v>0</v>
      </c>
    </row>
    <row r="1538" spans="1:19" x14ac:dyDescent="0.25">
      <c r="A1538" t="s">
        <v>57</v>
      </c>
      <c r="B1538" t="s">
        <v>20</v>
      </c>
      <c r="C1538">
        <v>304</v>
      </c>
      <c r="D1538">
        <v>243</v>
      </c>
      <c r="E1538" t="s">
        <v>235</v>
      </c>
      <c r="G1538">
        <v>0</v>
      </c>
      <c r="H1538">
        <v>0</v>
      </c>
      <c r="I1538">
        <v>0</v>
      </c>
      <c r="J1538">
        <v>0</v>
      </c>
      <c r="K1538">
        <v>0</v>
      </c>
      <c r="L1538">
        <v>0</v>
      </c>
      <c r="M1538">
        <v>0</v>
      </c>
      <c r="N1538">
        <v>0</v>
      </c>
      <c r="O1538">
        <v>0</v>
      </c>
      <c r="P1538">
        <v>0</v>
      </c>
      <c r="Q1538" t="str">
        <f>INDEX(pARTNER[#All],MATCH(#REF!,pARTNER[[#All],[Value.partnerSummary.id]],0),10)</f>
        <v>Italia (IT)</v>
      </c>
      <c r="R1538" t="str">
        <f>INDEX('Partner data'!$A$2:$DG$171,MATCH(#REF!,'Partner data'!$DG$2:$DG$171,0),83)</f>
        <v>Soggetto pubblico</v>
      </c>
      <c r="S1538" s="86" t="b">
        <f>IF(#REF!="staff",INDEX('Partner data'!$DG$2:$DH$171,MATCH(#REF!,'Partner data'!$DG$2:$DG$171,0),2))</f>
        <v>0</v>
      </c>
    </row>
    <row r="1539" spans="1:19" x14ac:dyDescent="0.25">
      <c r="A1539" t="s">
        <v>57</v>
      </c>
      <c r="B1539" t="s">
        <v>20</v>
      </c>
      <c r="C1539">
        <v>304</v>
      </c>
      <c r="D1539">
        <v>243</v>
      </c>
      <c r="E1539" t="s">
        <v>236</v>
      </c>
      <c r="G1539">
        <v>0</v>
      </c>
      <c r="H1539">
        <v>0</v>
      </c>
      <c r="I1539">
        <v>0</v>
      </c>
      <c r="J1539">
        <v>0</v>
      </c>
      <c r="K1539">
        <v>0</v>
      </c>
      <c r="L1539">
        <v>0</v>
      </c>
      <c r="M1539">
        <v>0</v>
      </c>
      <c r="N1539">
        <v>0</v>
      </c>
      <c r="O1539">
        <v>0</v>
      </c>
      <c r="P1539">
        <v>0</v>
      </c>
      <c r="Q1539" t="str">
        <f>INDEX(pARTNER[#All],MATCH(#REF!,pARTNER[[#All],[Value.partnerSummary.id]],0),10)</f>
        <v>Italia (IT)</v>
      </c>
      <c r="R1539" t="str">
        <f>INDEX('Partner data'!$A$2:$DG$171,MATCH(#REF!,'Partner data'!$DG$2:$DG$171,0),83)</f>
        <v>Soggetto pubblico</v>
      </c>
      <c r="S1539" s="86" t="b">
        <f>IF(#REF!="staff",INDEX('Partner data'!$DG$2:$DH$171,MATCH(#REF!,'Partner data'!$DG$2:$DG$171,0),2))</f>
        <v>0</v>
      </c>
    </row>
    <row r="1540" spans="1:19" x14ac:dyDescent="0.25">
      <c r="A1540" t="s">
        <v>57</v>
      </c>
      <c r="B1540" t="s">
        <v>20</v>
      </c>
      <c r="C1540">
        <v>304</v>
      </c>
      <c r="D1540">
        <v>243</v>
      </c>
      <c r="E1540" t="s">
        <v>237</v>
      </c>
      <c r="G1540">
        <v>0</v>
      </c>
      <c r="H1540">
        <v>0</v>
      </c>
      <c r="I1540">
        <v>0</v>
      </c>
      <c r="J1540">
        <v>0</v>
      </c>
      <c r="K1540">
        <v>0</v>
      </c>
      <c r="L1540">
        <v>0</v>
      </c>
      <c r="M1540">
        <v>0</v>
      </c>
      <c r="N1540">
        <v>0</v>
      </c>
      <c r="O1540">
        <v>0</v>
      </c>
      <c r="P1540">
        <v>0</v>
      </c>
      <c r="Q1540" t="str">
        <f>INDEX(pARTNER[#All],MATCH(#REF!,pARTNER[[#All],[Value.partnerSummary.id]],0),10)</f>
        <v>Italia (IT)</v>
      </c>
      <c r="R1540" t="str">
        <f>INDEX('Partner data'!$A$2:$DG$171,MATCH(#REF!,'Partner data'!$DG$2:$DG$171,0),83)</f>
        <v>Soggetto pubblico</v>
      </c>
      <c r="S1540" s="86" t="b">
        <f>IF(#REF!="staff",INDEX('Partner data'!$DG$2:$DH$171,MATCH(#REF!,'Partner data'!$DG$2:$DG$171,0),2))</f>
        <v>0</v>
      </c>
    </row>
    <row r="1541" spans="1:19" x14ac:dyDescent="0.25">
      <c r="A1541" t="s">
        <v>57</v>
      </c>
      <c r="B1541" t="s">
        <v>20</v>
      </c>
      <c r="C1541">
        <v>304</v>
      </c>
      <c r="D1541">
        <v>243</v>
      </c>
      <c r="E1541" t="s">
        <v>238</v>
      </c>
      <c r="G1541">
        <v>437500</v>
      </c>
      <c r="H1541">
        <v>377.59</v>
      </c>
      <c r="I1541">
        <v>0</v>
      </c>
      <c r="J1541">
        <v>17825.96</v>
      </c>
      <c r="K1541">
        <v>0</v>
      </c>
      <c r="L1541">
        <v>17587.28</v>
      </c>
      <c r="M1541">
        <v>18203.55</v>
      </c>
      <c r="N1541">
        <v>4.16</v>
      </c>
      <c r="O1541">
        <v>419296.45</v>
      </c>
      <c r="P1541">
        <v>377.59</v>
      </c>
      <c r="Q1541" t="str">
        <f>INDEX(pARTNER[#All],MATCH(#REF!,pARTNER[[#All],[Value.partnerSummary.id]],0),10)</f>
        <v>Italia (IT)</v>
      </c>
      <c r="R1541" t="str">
        <f>INDEX('Partner data'!$A$2:$DG$171,MATCH(#REF!,'Partner data'!$DG$2:$DG$171,0),83)</f>
        <v>Soggetto pubblico</v>
      </c>
      <c r="S1541" s="86" t="b">
        <f>IF(#REF!="staff",INDEX('Partner data'!$DG$2:$DH$171,MATCH(#REF!,'Partner data'!$DG$2:$DG$171,0),2))</f>
        <v>0</v>
      </c>
    </row>
    <row r="1542" spans="1:19" x14ac:dyDescent="0.25">
      <c r="A1542" t="s">
        <v>57</v>
      </c>
      <c r="B1542" t="s">
        <v>20</v>
      </c>
      <c r="C1542">
        <v>304</v>
      </c>
      <c r="D1542">
        <v>39</v>
      </c>
      <c r="E1542" t="s">
        <v>228</v>
      </c>
      <c r="F1542">
        <v>20</v>
      </c>
      <c r="G1542">
        <v>70678.509999999995</v>
      </c>
      <c r="H1542">
        <v>0</v>
      </c>
      <c r="I1542">
        <v>0</v>
      </c>
      <c r="J1542">
        <v>61</v>
      </c>
      <c r="K1542">
        <v>0</v>
      </c>
      <c r="L1542">
        <v>61</v>
      </c>
      <c r="M1542">
        <v>61</v>
      </c>
      <c r="N1542">
        <v>0.09</v>
      </c>
      <c r="O1542">
        <v>70617.509999999995</v>
      </c>
      <c r="P1542">
        <v>0</v>
      </c>
      <c r="Q1542" t="str">
        <f>INDEX(pARTNER[#All],MATCH(#REF!,pARTNER[[#All],[Value.partnerSummary.id]],0),10)</f>
        <v>Italia (IT)</v>
      </c>
      <c r="R1542" t="str">
        <f>INDEX('Partner data'!$A$2:$DG$171,MATCH(#REF!,'Partner data'!$DG$2:$DG$171,0),83)</f>
        <v>Soggetto pubblico</v>
      </c>
      <c r="S1542" s="86" t="str">
        <f>IF(#REF!="staff",INDEX('Partner data'!$DG$2:$DH$171,MATCH(#REF!,'Partner data'!$DG$2:$DG$171,0),2))</f>
        <v>Tasso Forfettario 20%</v>
      </c>
    </row>
    <row r="1543" spans="1:19" x14ac:dyDescent="0.25">
      <c r="A1543" t="s">
        <v>57</v>
      </c>
      <c r="B1543" t="s">
        <v>20</v>
      </c>
      <c r="C1543">
        <v>304</v>
      </c>
      <c r="D1543">
        <v>39</v>
      </c>
      <c r="E1543" t="s">
        <v>229</v>
      </c>
      <c r="F1543">
        <v>15</v>
      </c>
      <c r="G1543">
        <v>10601.77</v>
      </c>
      <c r="H1543">
        <v>0</v>
      </c>
      <c r="I1543">
        <v>0</v>
      </c>
      <c r="J1543">
        <v>9.15</v>
      </c>
      <c r="K1543">
        <v>0</v>
      </c>
      <c r="L1543">
        <v>9.15</v>
      </c>
      <c r="M1543">
        <v>9.15</v>
      </c>
      <c r="N1543">
        <v>0.09</v>
      </c>
      <c r="O1543">
        <v>10592.62</v>
      </c>
      <c r="P1543">
        <v>0</v>
      </c>
      <c r="Q1543" t="str">
        <f>INDEX(pARTNER[#All],MATCH(#REF!,pARTNER[[#All],[Value.partnerSummary.id]],0),10)</f>
        <v>Italia (IT)</v>
      </c>
      <c r="R1543" t="str">
        <f>INDEX('Partner data'!$A$2:$DG$171,MATCH(#REF!,'Partner data'!$DG$2:$DG$171,0),83)</f>
        <v>Soggetto pubblico</v>
      </c>
      <c r="S1543" s="86" t="b">
        <f>IF(#REF!="staff",INDEX('Partner data'!$DG$2:$DH$171,MATCH(#REF!,'Partner data'!$DG$2:$DG$171,0),2))</f>
        <v>0</v>
      </c>
    </row>
    <row r="1544" spans="1:19" x14ac:dyDescent="0.25">
      <c r="A1544" t="s">
        <v>57</v>
      </c>
      <c r="B1544" t="s">
        <v>20</v>
      </c>
      <c r="C1544">
        <v>304</v>
      </c>
      <c r="D1544">
        <v>39</v>
      </c>
      <c r="E1544" t="s">
        <v>230</v>
      </c>
      <c r="F1544">
        <v>4</v>
      </c>
      <c r="G1544">
        <v>2827.14</v>
      </c>
      <c r="H1544">
        <v>0</v>
      </c>
      <c r="I1544">
        <v>0</v>
      </c>
      <c r="J1544">
        <v>2.44</v>
      </c>
      <c r="K1544">
        <v>0</v>
      </c>
      <c r="L1544">
        <v>2.44</v>
      </c>
      <c r="M1544">
        <v>2.44</v>
      </c>
      <c r="N1544">
        <v>0.09</v>
      </c>
      <c r="O1544">
        <v>2824.7</v>
      </c>
      <c r="P1544">
        <v>0</v>
      </c>
      <c r="Q1544" t="str">
        <f>INDEX(pARTNER[#All],MATCH(#REF!,pARTNER[[#All],[Value.partnerSummary.id]],0),10)</f>
        <v>Italia (IT)</v>
      </c>
      <c r="R1544" t="str">
        <f>INDEX('Partner data'!$A$2:$DG$171,MATCH(#REF!,'Partner data'!$DG$2:$DG$171,0),83)</f>
        <v>Soggetto pubblico</v>
      </c>
      <c r="S1544" s="86" t="b">
        <f>IF(#REF!="staff",INDEX('Partner data'!$DG$2:$DH$171,MATCH(#REF!,'Partner data'!$DG$2:$DG$171,0),2))</f>
        <v>0</v>
      </c>
    </row>
    <row r="1545" spans="1:19" x14ac:dyDescent="0.25">
      <c r="A1545" t="s">
        <v>57</v>
      </c>
      <c r="B1545" t="s">
        <v>20</v>
      </c>
      <c r="C1545">
        <v>304</v>
      </c>
      <c r="D1545">
        <v>39</v>
      </c>
      <c r="E1545" t="s">
        <v>231</v>
      </c>
      <c r="G1545">
        <v>353392.58</v>
      </c>
      <c r="H1545">
        <v>0</v>
      </c>
      <c r="I1545">
        <v>0</v>
      </c>
      <c r="J1545">
        <v>305</v>
      </c>
      <c r="K1545">
        <v>0</v>
      </c>
      <c r="L1545">
        <v>305</v>
      </c>
      <c r="M1545">
        <v>305</v>
      </c>
      <c r="N1545">
        <v>0.09</v>
      </c>
      <c r="O1545">
        <v>353087.58</v>
      </c>
      <c r="P1545">
        <v>0</v>
      </c>
      <c r="Q1545" t="str">
        <f>INDEX(pARTNER[#All],MATCH(#REF!,pARTNER[[#All],[Value.partnerSummary.id]],0),10)</f>
        <v>Italia (IT)</v>
      </c>
      <c r="R1545" t="str">
        <f>INDEX('Partner data'!$A$2:$DG$171,MATCH(#REF!,'Partner data'!$DG$2:$DG$171,0),83)</f>
        <v>Soggetto pubblico</v>
      </c>
      <c r="S1545" s="86" t="b">
        <f>IF(#REF!="staff",INDEX('Partner data'!$DG$2:$DH$171,MATCH(#REF!,'Partner data'!$DG$2:$DG$171,0),2))</f>
        <v>0</v>
      </c>
    </row>
    <row r="1546" spans="1:19" x14ac:dyDescent="0.25">
      <c r="A1546" t="s">
        <v>57</v>
      </c>
      <c r="B1546" t="s">
        <v>20</v>
      </c>
      <c r="C1546">
        <v>304</v>
      </c>
      <c r="D1546">
        <v>39</v>
      </c>
      <c r="E1546" t="s">
        <v>232</v>
      </c>
      <c r="G1546">
        <v>0</v>
      </c>
      <c r="H1546">
        <v>0</v>
      </c>
      <c r="I1546">
        <v>0</v>
      </c>
      <c r="J1546">
        <v>0</v>
      </c>
      <c r="K1546">
        <v>0</v>
      </c>
      <c r="L1546">
        <v>0</v>
      </c>
      <c r="M1546">
        <v>0</v>
      </c>
      <c r="N1546">
        <v>0</v>
      </c>
      <c r="O1546">
        <v>0</v>
      </c>
      <c r="P1546">
        <v>0</v>
      </c>
      <c r="Q1546" t="str">
        <f>INDEX(pARTNER[#All],MATCH(#REF!,pARTNER[[#All],[Value.partnerSummary.id]],0),10)</f>
        <v>Italia (IT)</v>
      </c>
      <c r="R1546" t="str">
        <f>INDEX('Partner data'!$A$2:$DG$171,MATCH(#REF!,'Partner data'!$DG$2:$DG$171,0),83)</f>
        <v>Soggetto pubblico</v>
      </c>
      <c r="S1546" s="86" t="b">
        <f>IF(#REF!="staff",INDEX('Partner data'!$DG$2:$DH$171,MATCH(#REF!,'Partner data'!$DG$2:$DG$171,0),2))</f>
        <v>0</v>
      </c>
    </row>
    <row r="1547" spans="1:19" x14ac:dyDescent="0.25">
      <c r="A1547" t="s">
        <v>57</v>
      </c>
      <c r="B1547" t="s">
        <v>20</v>
      </c>
      <c r="C1547">
        <v>304</v>
      </c>
      <c r="D1547">
        <v>39</v>
      </c>
      <c r="E1547" t="s">
        <v>233</v>
      </c>
      <c r="G1547">
        <v>0</v>
      </c>
      <c r="H1547">
        <v>0</v>
      </c>
      <c r="I1547">
        <v>0</v>
      </c>
      <c r="J1547">
        <v>0</v>
      </c>
      <c r="K1547">
        <v>0</v>
      </c>
      <c r="L1547">
        <v>0</v>
      </c>
      <c r="M1547">
        <v>0</v>
      </c>
      <c r="N1547">
        <v>0</v>
      </c>
      <c r="O1547">
        <v>0</v>
      </c>
      <c r="P1547">
        <v>0</v>
      </c>
      <c r="Q1547" t="str">
        <f>INDEX(pARTNER[#All],MATCH(#REF!,pARTNER[[#All],[Value.partnerSummary.id]],0),10)</f>
        <v>Italia (IT)</v>
      </c>
      <c r="R1547" t="str">
        <f>INDEX('Partner data'!$A$2:$DG$171,MATCH(#REF!,'Partner data'!$DG$2:$DG$171,0),83)</f>
        <v>Soggetto pubblico</v>
      </c>
      <c r="S1547" s="86" t="b">
        <f>IF(#REF!="staff",INDEX('Partner data'!$DG$2:$DH$171,MATCH(#REF!,'Partner data'!$DG$2:$DG$171,0),2))</f>
        <v>0</v>
      </c>
    </row>
    <row r="1548" spans="1:19" x14ac:dyDescent="0.25">
      <c r="A1548" t="s">
        <v>57</v>
      </c>
      <c r="B1548" t="s">
        <v>20</v>
      </c>
      <c r="C1548">
        <v>304</v>
      </c>
      <c r="D1548">
        <v>39</v>
      </c>
      <c r="E1548" t="s">
        <v>234</v>
      </c>
      <c r="G1548">
        <v>0</v>
      </c>
      <c r="H1548">
        <v>0</v>
      </c>
      <c r="I1548">
        <v>0</v>
      </c>
      <c r="J1548">
        <v>0</v>
      </c>
      <c r="K1548">
        <v>0</v>
      </c>
      <c r="L1548">
        <v>0</v>
      </c>
      <c r="M1548">
        <v>0</v>
      </c>
      <c r="N1548">
        <v>0</v>
      </c>
      <c r="O1548">
        <v>0</v>
      </c>
      <c r="P1548">
        <v>0</v>
      </c>
      <c r="Q1548" t="str">
        <f>INDEX(pARTNER[#All],MATCH(#REF!,pARTNER[[#All],[Value.partnerSummary.id]],0),10)</f>
        <v>Italia (IT)</v>
      </c>
      <c r="R1548" t="str">
        <f>INDEX('Partner data'!$A$2:$DG$171,MATCH(#REF!,'Partner data'!$DG$2:$DG$171,0),83)</f>
        <v>Soggetto pubblico</v>
      </c>
      <c r="S1548" s="86" t="b">
        <f>IF(#REF!="staff",INDEX('Partner data'!$DG$2:$DH$171,MATCH(#REF!,'Partner data'!$DG$2:$DG$171,0),2))</f>
        <v>0</v>
      </c>
    </row>
    <row r="1549" spans="1:19" x14ac:dyDescent="0.25">
      <c r="A1549" t="s">
        <v>57</v>
      </c>
      <c r="B1549" t="s">
        <v>20</v>
      </c>
      <c r="C1549">
        <v>304</v>
      </c>
      <c r="D1549">
        <v>39</v>
      </c>
      <c r="E1549" t="s">
        <v>235</v>
      </c>
      <c r="G1549">
        <v>0</v>
      </c>
      <c r="H1549">
        <v>0</v>
      </c>
      <c r="I1549">
        <v>0</v>
      </c>
      <c r="J1549">
        <v>0</v>
      </c>
      <c r="K1549">
        <v>0</v>
      </c>
      <c r="L1549">
        <v>0</v>
      </c>
      <c r="M1549">
        <v>0</v>
      </c>
      <c r="N1549">
        <v>0</v>
      </c>
      <c r="O1549">
        <v>0</v>
      </c>
      <c r="P1549">
        <v>0</v>
      </c>
      <c r="Q1549" t="str">
        <f>INDEX(pARTNER[#All],MATCH(#REF!,pARTNER[[#All],[Value.partnerSummary.id]],0),10)</f>
        <v>Italia (IT)</v>
      </c>
      <c r="R1549" t="str">
        <f>INDEX('Partner data'!$A$2:$DG$171,MATCH(#REF!,'Partner data'!$DG$2:$DG$171,0),83)</f>
        <v>Soggetto pubblico</v>
      </c>
      <c r="S1549" s="86" t="b">
        <f>IF(#REF!="staff",INDEX('Partner data'!$DG$2:$DH$171,MATCH(#REF!,'Partner data'!$DG$2:$DG$171,0),2))</f>
        <v>0</v>
      </c>
    </row>
    <row r="1550" spans="1:19" x14ac:dyDescent="0.25">
      <c r="A1550" t="s">
        <v>57</v>
      </c>
      <c r="B1550" t="s">
        <v>20</v>
      </c>
      <c r="C1550">
        <v>304</v>
      </c>
      <c r="D1550">
        <v>39</v>
      </c>
      <c r="E1550" t="s">
        <v>236</v>
      </c>
      <c r="G1550">
        <v>0</v>
      </c>
      <c r="H1550">
        <v>0</v>
      </c>
      <c r="I1550">
        <v>0</v>
      </c>
      <c r="J1550">
        <v>0</v>
      </c>
      <c r="K1550">
        <v>0</v>
      </c>
      <c r="L1550">
        <v>0</v>
      </c>
      <c r="M1550">
        <v>0</v>
      </c>
      <c r="N1550">
        <v>0</v>
      </c>
      <c r="O1550">
        <v>0</v>
      </c>
      <c r="P1550">
        <v>0</v>
      </c>
      <c r="Q1550" t="str">
        <f>INDEX(pARTNER[#All],MATCH(#REF!,pARTNER[[#All],[Value.partnerSummary.id]],0),10)</f>
        <v>Italia (IT)</v>
      </c>
      <c r="R1550" t="str">
        <f>INDEX('Partner data'!$A$2:$DG$171,MATCH(#REF!,'Partner data'!$DG$2:$DG$171,0),83)</f>
        <v>Soggetto pubblico</v>
      </c>
      <c r="S1550" s="86" t="b">
        <f>IF(#REF!="staff",INDEX('Partner data'!$DG$2:$DH$171,MATCH(#REF!,'Partner data'!$DG$2:$DG$171,0),2))</f>
        <v>0</v>
      </c>
    </row>
    <row r="1551" spans="1:19" x14ac:dyDescent="0.25">
      <c r="A1551" t="s">
        <v>57</v>
      </c>
      <c r="B1551" t="s">
        <v>20</v>
      </c>
      <c r="C1551">
        <v>304</v>
      </c>
      <c r="D1551">
        <v>39</v>
      </c>
      <c r="E1551" t="s">
        <v>237</v>
      </c>
      <c r="G1551">
        <v>0</v>
      </c>
      <c r="H1551">
        <v>0</v>
      </c>
      <c r="I1551">
        <v>0</v>
      </c>
      <c r="J1551">
        <v>0</v>
      </c>
      <c r="K1551">
        <v>0</v>
      </c>
      <c r="L1551">
        <v>0</v>
      </c>
      <c r="M1551">
        <v>0</v>
      </c>
      <c r="N1551">
        <v>0</v>
      </c>
      <c r="O1551">
        <v>0</v>
      </c>
      <c r="P1551">
        <v>0</v>
      </c>
      <c r="Q1551" t="str">
        <f>INDEX(pARTNER[#All],MATCH(#REF!,pARTNER[[#All],[Value.partnerSummary.id]],0),10)</f>
        <v>Italia (IT)</v>
      </c>
      <c r="R1551" t="str">
        <f>INDEX('Partner data'!$A$2:$DG$171,MATCH(#REF!,'Partner data'!$DG$2:$DG$171,0),83)</f>
        <v>Soggetto pubblico</v>
      </c>
      <c r="S1551" s="86" t="b">
        <f>IF(#REF!="staff",INDEX('Partner data'!$DG$2:$DH$171,MATCH(#REF!,'Partner data'!$DG$2:$DG$171,0),2))</f>
        <v>0</v>
      </c>
    </row>
    <row r="1552" spans="1:19" x14ac:dyDescent="0.25">
      <c r="A1552" t="s">
        <v>57</v>
      </c>
      <c r="B1552" t="s">
        <v>20</v>
      </c>
      <c r="C1552">
        <v>304</v>
      </c>
      <c r="D1552">
        <v>39</v>
      </c>
      <c r="E1552" t="s">
        <v>238</v>
      </c>
      <c r="G1552">
        <v>437500</v>
      </c>
      <c r="H1552">
        <v>0</v>
      </c>
      <c r="I1552">
        <v>0</v>
      </c>
      <c r="J1552">
        <v>377.59</v>
      </c>
      <c r="K1552">
        <v>0</v>
      </c>
      <c r="L1552">
        <v>377.59</v>
      </c>
      <c r="M1552">
        <v>377.59</v>
      </c>
      <c r="N1552">
        <v>0.09</v>
      </c>
      <c r="O1552">
        <v>437122.41</v>
      </c>
      <c r="P1552">
        <v>0</v>
      </c>
      <c r="Q1552" t="str">
        <f>INDEX(pARTNER[#All],MATCH(#REF!,pARTNER[[#All],[Value.partnerSummary.id]],0),10)</f>
        <v>Italia (IT)</v>
      </c>
      <c r="R1552" t="str">
        <f>INDEX('Partner data'!$A$2:$DG$171,MATCH(#REF!,'Partner data'!$DG$2:$DG$171,0),83)</f>
        <v>Soggetto pubblico</v>
      </c>
      <c r="S1552" s="86" t="b">
        <f>IF(#REF!="staff",INDEX('Partner data'!$DG$2:$DH$171,MATCH(#REF!,'Partner data'!$DG$2:$DG$171,0),2))</f>
        <v>0</v>
      </c>
    </row>
    <row r="1553" spans="1:19" x14ac:dyDescent="0.25">
      <c r="A1553" t="s">
        <v>57</v>
      </c>
      <c r="B1553" t="s">
        <v>380</v>
      </c>
      <c r="C1553">
        <v>307</v>
      </c>
      <c r="D1553">
        <v>245</v>
      </c>
      <c r="E1553" t="s">
        <v>228</v>
      </c>
      <c r="F1553">
        <v>20</v>
      </c>
      <c r="G1553">
        <v>50483</v>
      </c>
      <c r="H1553">
        <v>0</v>
      </c>
      <c r="I1553">
        <v>0</v>
      </c>
      <c r="J1553">
        <v>0</v>
      </c>
      <c r="K1553">
        <v>0</v>
      </c>
      <c r="L1553">
        <v>0</v>
      </c>
      <c r="M1553">
        <v>0</v>
      </c>
      <c r="N1553">
        <v>0</v>
      </c>
      <c r="O1553">
        <v>50483</v>
      </c>
      <c r="P1553">
        <v>0</v>
      </c>
      <c r="Q1553" t="str">
        <f>INDEX(pARTNER[#All],MATCH(#REF!,pARTNER[[#All],[Value.partnerSummary.id]],0),10)</f>
        <v>Italia (IT)</v>
      </c>
      <c r="R1553" t="str">
        <f>INDEX('Partner data'!$A$2:$DG$171,MATCH(#REF!,'Partner data'!$DG$2:$DG$171,0),83)</f>
        <v>Soggetto pubblico</v>
      </c>
      <c r="S1553" s="86" t="str">
        <f>IF(#REF!="staff",INDEX('Partner data'!$DG$2:$DH$171,MATCH(#REF!,'Partner data'!$DG$2:$DG$171,0),2))</f>
        <v>Tasso Forfettario 20%</v>
      </c>
    </row>
    <row r="1554" spans="1:19" x14ac:dyDescent="0.25">
      <c r="A1554" t="s">
        <v>57</v>
      </c>
      <c r="B1554" t="s">
        <v>380</v>
      </c>
      <c r="C1554">
        <v>307</v>
      </c>
      <c r="D1554">
        <v>245</v>
      </c>
      <c r="E1554" t="s">
        <v>229</v>
      </c>
      <c r="F1554">
        <v>15</v>
      </c>
      <c r="G1554">
        <v>7572.45</v>
      </c>
      <c r="H1554">
        <v>0</v>
      </c>
      <c r="I1554">
        <v>0</v>
      </c>
      <c r="J1554">
        <v>0</v>
      </c>
      <c r="K1554">
        <v>0</v>
      </c>
      <c r="L1554">
        <v>0</v>
      </c>
      <c r="M1554">
        <v>0</v>
      </c>
      <c r="N1554">
        <v>0</v>
      </c>
      <c r="O1554">
        <v>7572.45</v>
      </c>
      <c r="P1554">
        <v>0</v>
      </c>
      <c r="Q1554" t="str">
        <f>INDEX(pARTNER[#All],MATCH(#REF!,pARTNER[[#All],[Value.partnerSummary.id]],0),10)</f>
        <v>Italia (IT)</v>
      </c>
      <c r="R1554" t="str">
        <f>INDEX('Partner data'!$A$2:$DG$171,MATCH(#REF!,'Partner data'!$DG$2:$DG$171,0),83)</f>
        <v>Soggetto pubblico</v>
      </c>
      <c r="S1554" s="86" t="b">
        <f>IF(#REF!="staff",INDEX('Partner data'!$DG$2:$DH$171,MATCH(#REF!,'Partner data'!$DG$2:$DG$171,0),2))</f>
        <v>0</v>
      </c>
    </row>
    <row r="1555" spans="1:19" x14ac:dyDescent="0.25">
      <c r="A1555" t="s">
        <v>57</v>
      </c>
      <c r="B1555" t="s">
        <v>380</v>
      </c>
      <c r="C1555">
        <v>307</v>
      </c>
      <c r="D1555">
        <v>245</v>
      </c>
      <c r="E1555" t="s">
        <v>230</v>
      </c>
      <c r="F1555">
        <v>4</v>
      </c>
      <c r="G1555">
        <v>2019.32</v>
      </c>
      <c r="H1555">
        <v>0</v>
      </c>
      <c r="I1555">
        <v>0</v>
      </c>
      <c r="J1555">
        <v>0</v>
      </c>
      <c r="K1555">
        <v>0</v>
      </c>
      <c r="L1555">
        <v>0</v>
      </c>
      <c r="M1555">
        <v>0</v>
      </c>
      <c r="N1555">
        <v>0</v>
      </c>
      <c r="O1555">
        <v>2019.32</v>
      </c>
      <c r="P1555">
        <v>0</v>
      </c>
      <c r="Q1555" t="str">
        <f>INDEX(pARTNER[#All],MATCH(#REF!,pARTNER[[#All],[Value.partnerSummary.id]],0),10)</f>
        <v>Italia (IT)</v>
      </c>
      <c r="R1555" t="str">
        <f>INDEX('Partner data'!$A$2:$DG$171,MATCH(#REF!,'Partner data'!$DG$2:$DG$171,0),83)</f>
        <v>Soggetto pubblico</v>
      </c>
      <c r="S1555" s="86" t="b">
        <f>IF(#REF!="staff",INDEX('Partner data'!$DG$2:$DH$171,MATCH(#REF!,'Partner data'!$DG$2:$DG$171,0),2))</f>
        <v>0</v>
      </c>
    </row>
    <row r="1556" spans="1:19" x14ac:dyDescent="0.25">
      <c r="A1556" t="s">
        <v>57</v>
      </c>
      <c r="B1556" t="s">
        <v>380</v>
      </c>
      <c r="C1556">
        <v>307</v>
      </c>
      <c r="D1556">
        <v>245</v>
      </c>
      <c r="E1556" t="s">
        <v>231</v>
      </c>
      <c r="G1556">
        <v>232415.02</v>
      </c>
      <c r="H1556">
        <v>0</v>
      </c>
      <c r="I1556">
        <v>0</v>
      </c>
      <c r="J1556">
        <v>0</v>
      </c>
      <c r="K1556">
        <v>0</v>
      </c>
      <c r="L1556">
        <v>0</v>
      </c>
      <c r="M1556">
        <v>0</v>
      </c>
      <c r="N1556">
        <v>0</v>
      </c>
      <c r="O1556">
        <v>232415.02</v>
      </c>
      <c r="P1556">
        <v>0</v>
      </c>
      <c r="Q1556" t="str">
        <f>INDEX(pARTNER[#All],MATCH(#REF!,pARTNER[[#All],[Value.partnerSummary.id]],0),10)</f>
        <v>Italia (IT)</v>
      </c>
      <c r="R1556" t="str">
        <f>INDEX('Partner data'!$A$2:$DG$171,MATCH(#REF!,'Partner data'!$DG$2:$DG$171,0),83)</f>
        <v>Soggetto pubblico</v>
      </c>
      <c r="S1556" s="86" t="b">
        <f>IF(#REF!="staff",INDEX('Partner data'!$DG$2:$DH$171,MATCH(#REF!,'Partner data'!$DG$2:$DG$171,0),2))</f>
        <v>0</v>
      </c>
    </row>
    <row r="1557" spans="1:19" x14ac:dyDescent="0.25">
      <c r="A1557" t="s">
        <v>57</v>
      </c>
      <c r="B1557" t="s">
        <v>380</v>
      </c>
      <c r="C1557">
        <v>307</v>
      </c>
      <c r="D1557">
        <v>245</v>
      </c>
      <c r="E1557" t="s">
        <v>232</v>
      </c>
      <c r="G1557">
        <v>0</v>
      </c>
      <c r="H1557">
        <v>0</v>
      </c>
      <c r="I1557">
        <v>0</v>
      </c>
      <c r="J1557">
        <v>0</v>
      </c>
      <c r="K1557">
        <v>0</v>
      </c>
      <c r="L1557">
        <v>0</v>
      </c>
      <c r="M1557">
        <v>0</v>
      </c>
      <c r="N1557">
        <v>0</v>
      </c>
      <c r="O1557">
        <v>0</v>
      </c>
      <c r="P1557">
        <v>0</v>
      </c>
      <c r="Q1557" t="str">
        <f>INDEX(pARTNER[#All],MATCH(#REF!,pARTNER[[#All],[Value.partnerSummary.id]],0),10)</f>
        <v>Italia (IT)</v>
      </c>
      <c r="R1557" t="str">
        <f>INDEX('Partner data'!$A$2:$DG$171,MATCH(#REF!,'Partner data'!$DG$2:$DG$171,0),83)</f>
        <v>Soggetto pubblico</v>
      </c>
      <c r="S1557" s="86" t="b">
        <f>IF(#REF!="staff",INDEX('Partner data'!$DG$2:$DH$171,MATCH(#REF!,'Partner data'!$DG$2:$DG$171,0),2))</f>
        <v>0</v>
      </c>
    </row>
    <row r="1558" spans="1:19" x14ac:dyDescent="0.25">
      <c r="A1558" t="s">
        <v>57</v>
      </c>
      <c r="B1558" t="s">
        <v>380</v>
      </c>
      <c r="C1558">
        <v>307</v>
      </c>
      <c r="D1558">
        <v>245</v>
      </c>
      <c r="E1558" t="s">
        <v>233</v>
      </c>
      <c r="G1558">
        <v>20000.009999999998</v>
      </c>
      <c r="H1558">
        <v>0</v>
      </c>
      <c r="I1558">
        <v>0</v>
      </c>
      <c r="J1558">
        <v>0</v>
      </c>
      <c r="K1558">
        <v>0</v>
      </c>
      <c r="L1558">
        <v>0</v>
      </c>
      <c r="M1558">
        <v>0</v>
      </c>
      <c r="N1558">
        <v>0</v>
      </c>
      <c r="O1558">
        <v>20000.009999999998</v>
      </c>
      <c r="P1558">
        <v>0</v>
      </c>
      <c r="Q1558" t="str">
        <f>INDEX(pARTNER[#All],MATCH(#REF!,pARTNER[[#All],[Value.partnerSummary.id]],0),10)</f>
        <v>Italia (IT)</v>
      </c>
      <c r="R1558" t="str">
        <f>INDEX('Partner data'!$A$2:$DG$171,MATCH(#REF!,'Partner data'!$DG$2:$DG$171,0),83)</f>
        <v>Soggetto pubblico</v>
      </c>
      <c r="S1558" s="86" t="b">
        <f>IF(#REF!="staff",INDEX('Partner data'!$DG$2:$DH$171,MATCH(#REF!,'Partner data'!$DG$2:$DG$171,0),2))</f>
        <v>0</v>
      </c>
    </row>
    <row r="1559" spans="1:19" x14ac:dyDescent="0.25">
      <c r="A1559" t="s">
        <v>57</v>
      </c>
      <c r="B1559" t="s">
        <v>380</v>
      </c>
      <c r="C1559">
        <v>307</v>
      </c>
      <c r="D1559">
        <v>245</v>
      </c>
      <c r="E1559" t="s">
        <v>234</v>
      </c>
      <c r="G1559">
        <v>0</v>
      </c>
      <c r="H1559">
        <v>0</v>
      </c>
      <c r="I1559">
        <v>0</v>
      </c>
      <c r="J1559">
        <v>0</v>
      </c>
      <c r="K1559">
        <v>0</v>
      </c>
      <c r="L1559">
        <v>0</v>
      </c>
      <c r="M1559">
        <v>0</v>
      </c>
      <c r="N1559">
        <v>0</v>
      </c>
      <c r="O1559">
        <v>0</v>
      </c>
      <c r="P1559">
        <v>0</v>
      </c>
      <c r="Q1559" t="str">
        <f>INDEX(pARTNER[#All],MATCH(#REF!,pARTNER[[#All],[Value.partnerSummary.id]],0),10)</f>
        <v>Italia (IT)</v>
      </c>
      <c r="R1559" t="str">
        <f>INDEX('Partner data'!$A$2:$DG$171,MATCH(#REF!,'Partner data'!$DG$2:$DG$171,0),83)</f>
        <v>Soggetto pubblico</v>
      </c>
      <c r="S1559" s="86" t="b">
        <f>IF(#REF!="staff",INDEX('Partner data'!$DG$2:$DH$171,MATCH(#REF!,'Partner data'!$DG$2:$DG$171,0),2))</f>
        <v>0</v>
      </c>
    </row>
    <row r="1560" spans="1:19" x14ac:dyDescent="0.25">
      <c r="A1560" t="s">
        <v>57</v>
      </c>
      <c r="B1560" t="s">
        <v>380</v>
      </c>
      <c r="C1560">
        <v>307</v>
      </c>
      <c r="D1560">
        <v>245</v>
      </c>
      <c r="E1560" t="s">
        <v>235</v>
      </c>
      <c r="G1560">
        <v>0</v>
      </c>
      <c r="H1560">
        <v>0</v>
      </c>
      <c r="I1560">
        <v>0</v>
      </c>
      <c r="J1560">
        <v>0</v>
      </c>
      <c r="K1560">
        <v>0</v>
      </c>
      <c r="L1560">
        <v>0</v>
      </c>
      <c r="M1560">
        <v>0</v>
      </c>
      <c r="N1560">
        <v>0</v>
      </c>
      <c r="O1560">
        <v>0</v>
      </c>
      <c r="P1560">
        <v>0</v>
      </c>
      <c r="Q1560" t="str">
        <f>INDEX(pARTNER[#All],MATCH(#REF!,pARTNER[[#All],[Value.partnerSummary.id]],0),10)</f>
        <v>Italia (IT)</v>
      </c>
      <c r="R1560" t="str">
        <f>INDEX('Partner data'!$A$2:$DG$171,MATCH(#REF!,'Partner data'!$DG$2:$DG$171,0),83)</f>
        <v>Soggetto pubblico</v>
      </c>
      <c r="S1560" s="86" t="b">
        <f>IF(#REF!="staff",INDEX('Partner data'!$DG$2:$DH$171,MATCH(#REF!,'Partner data'!$DG$2:$DG$171,0),2))</f>
        <v>0</v>
      </c>
    </row>
    <row r="1561" spans="1:19" x14ac:dyDescent="0.25">
      <c r="A1561" t="s">
        <v>57</v>
      </c>
      <c r="B1561" t="s">
        <v>380</v>
      </c>
      <c r="C1561">
        <v>307</v>
      </c>
      <c r="D1561">
        <v>245</v>
      </c>
      <c r="E1561" t="s">
        <v>236</v>
      </c>
      <c r="G1561">
        <v>0</v>
      </c>
      <c r="H1561">
        <v>0</v>
      </c>
      <c r="I1561">
        <v>0</v>
      </c>
      <c r="J1561">
        <v>0</v>
      </c>
      <c r="K1561">
        <v>0</v>
      </c>
      <c r="L1561">
        <v>0</v>
      </c>
      <c r="M1561">
        <v>0</v>
      </c>
      <c r="N1561">
        <v>0</v>
      </c>
      <c r="O1561">
        <v>0</v>
      </c>
      <c r="P1561">
        <v>0</v>
      </c>
      <c r="Q1561" t="str">
        <f>INDEX(pARTNER[#All],MATCH(#REF!,pARTNER[[#All],[Value.partnerSummary.id]],0),10)</f>
        <v>Italia (IT)</v>
      </c>
      <c r="R1561" t="str">
        <f>INDEX('Partner data'!$A$2:$DG$171,MATCH(#REF!,'Partner data'!$DG$2:$DG$171,0),83)</f>
        <v>Soggetto pubblico</v>
      </c>
      <c r="S1561" s="86" t="b">
        <f>IF(#REF!="staff",INDEX('Partner data'!$DG$2:$DH$171,MATCH(#REF!,'Partner data'!$DG$2:$DG$171,0),2))</f>
        <v>0</v>
      </c>
    </row>
    <row r="1562" spans="1:19" x14ac:dyDescent="0.25">
      <c r="A1562" t="s">
        <v>57</v>
      </c>
      <c r="B1562" t="s">
        <v>380</v>
      </c>
      <c r="C1562">
        <v>307</v>
      </c>
      <c r="D1562">
        <v>245</v>
      </c>
      <c r="E1562" t="s">
        <v>237</v>
      </c>
      <c r="G1562">
        <v>0</v>
      </c>
      <c r="H1562">
        <v>0</v>
      </c>
      <c r="I1562">
        <v>0</v>
      </c>
      <c r="J1562">
        <v>0</v>
      </c>
      <c r="K1562">
        <v>0</v>
      </c>
      <c r="L1562">
        <v>0</v>
      </c>
      <c r="M1562">
        <v>0</v>
      </c>
      <c r="N1562">
        <v>0</v>
      </c>
      <c r="O1562">
        <v>0</v>
      </c>
      <c r="P1562">
        <v>0</v>
      </c>
      <c r="Q1562" t="str">
        <f>INDEX(pARTNER[#All],MATCH(#REF!,pARTNER[[#All],[Value.partnerSummary.id]],0),10)</f>
        <v>Italia (IT)</v>
      </c>
      <c r="R1562" t="str">
        <f>INDEX('Partner data'!$A$2:$DG$171,MATCH(#REF!,'Partner data'!$DG$2:$DG$171,0),83)</f>
        <v>Soggetto pubblico</v>
      </c>
      <c r="S1562" s="86" t="b">
        <f>IF(#REF!="staff",INDEX('Partner data'!$DG$2:$DH$171,MATCH(#REF!,'Partner data'!$DG$2:$DG$171,0),2))</f>
        <v>0</v>
      </c>
    </row>
    <row r="1563" spans="1:19" x14ac:dyDescent="0.25">
      <c r="A1563" t="s">
        <v>57</v>
      </c>
      <c r="B1563" t="s">
        <v>380</v>
      </c>
      <c r="C1563">
        <v>307</v>
      </c>
      <c r="D1563">
        <v>245</v>
      </c>
      <c r="E1563" t="s">
        <v>238</v>
      </c>
      <c r="G1563">
        <v>312489.8</v>
      </c>
      <c r="H1563">
        <v>0</v>
      </c>
      <c r="I1563">
        <v>0</v>
      </c>
      <c r="J1563">
        <v>0</v>
      </c>
      <c r="K1563">
        <v>0</v>
      </c>
      <c r="L1563">
        <v>0</v>
      </c>
      <c r="M1563">
        <v>0</v>
      </c>
      <c r="N1563">
        <v>0</v>
      </c>
      <c r="O1563">
        <v>312489.8</v>
      </c>
      <c r="P1563">
        <v>0</v>
      </c>
      <c r="Q1563" t="str">
        <f>INDEX(pARTNER[#All],MATCH(#REF!,pARTNER[[#All],[Value.partnerSummary.id]],0),10)</f>
        <v>Italia (IT)</v>
      </c>
      <c r="R1563" t="str">
        <f>INDEX('Partner data'!$A$2:$DG$171,MATCH(#REF!,'Partner data'!$DG$2:$DG$171,0),83)</f>
        <v>Soggetto pubblico</v>
      </c>
      <c r="S1563" s="86" t="b">
        <f>IF(#REF!="staff",INDEX('Partner data'!$DG$2:$DH$171,MATCH(#REF!,'Partner data'!$DG$2:$DG$171,0),2))</f>
        <v>0</v>
      </c>
    </row>
    <row r="1564" spans="1:19" x14ac:dyDescent="0.25">
      <c r="A1564" t="s">
        <v>57</v>
      </c>
      <c r="B1564" t="s">
        <v>50</v>
      </c>
      <c r="C1564">
        <v>310</v>
      </c>
      <c r="D1564">
        <v>210</v>
      </c>
      <c r="E1564" t="s">
        <v>228</v>
      </c>
      <c r="G1564">
        <v>181452</v>
      </c>
      <c r="H1564">
        <v>30157.11</v>
      </c>
      <c r="I1564">
        <v>0</v>
      </c>
      <c r="J1564">
        <v>22503.98</v>
      </c>
      <c r="K1564">
        <v>0</v>
      </c>
      <c r="L1564">
        <v>22203.15</v>
      </c>
      <c r="M1564">
        <v>52661.09</v>
      </c>
      <c r="N1564">
        <v>29.02</v>
      </c>
      <c r="O1564">
        <v>128790.91</v>
      </c>
      <c r="P1564">
        <v>30094.63</v>
      </c>
      <c r="Q1564" t="str">
        <f>INDEX(pARTNER[#All],MATCH(#REF!,pARTNER[[#All],[Value.partnerSummary.id]],0),10)</f>
        <v>Slovenija (SI)</v>
      </c>
      <c r="R1564" t="str">
        <f>INDEX('Partner data'!$A$2:$DG$171,MATCH(#REF!,'Partner data'!$DG$2:$DG$171,0),83)</f>
        <v>Soggetto pubblico</v>
      </c>
      <c r="S1564" s="86" t="str">
        <f>IF(#REF!="staff",INDEX('Partner data'!$DG$2:$DH$171,MATCH(#REF!,'Partner data'!$DG$2:$DG$171,0),2))</f>
        <v>COSTO REALE</v>
      </c>
    </row>
    <row r="1565" spans="1:19" x14ac:dyDescent="0.25">
      <c r="A1565" t="s">
        <v>57</v>
      </c>
      <c r="B1565" t="s">
        <v>50</v>
      </c>
      <c r="C1565">
        <v>310</v>
      </c>
      <c r="D1565">
        <v>210</v>
      </c>
      <c r="E1565" t="s">
        <v>229</v>
      </c>
      <c r="F1565">
        <v>15</v>
      </c>
      <c r="G1565">
        <v>27217.8</v>
      </c>
      <c r="H1565">
        <v>4523.5600000000004</v>
      </c>
      <c r="I1565">
        <v>0</v>
      </c>
      <c r="J1565">
        <v>3375.59</v>
      </c>
      <c r="K1565">
        <v>0</v>
      </c>
      <c r="L1565">
        <v>3330.47</v>
      </c>
      <c r="M1565">
        <v>7899.15</v>
      </c>
      <c r="N1565">
        <v>29.02</v>
      </c>
      <c r="O1565">
        <v>19318.650000000001</v>
      </c>
      <c r="P1565">
        <v>4514.1899999999996</v>
      </c>
      <c r="Q1565" t="str">
        <f>INDEX(pARTNER[#All],MATCH(#REF!,pARTNER[[#All],[Value.partnerSummary.id]],0),10)</f>
        <v>Slovenija (SI)</v>
      </c>
      <c r="R1565" t="str">
        <f>INDEX('Partner data'!$A$2:$DG$171,MATCH(#REF!,'Partner data'!$DG$2:$DG$171,0),83)</f>
        <v>Soggetto pubblico</v>
      </c>
      <c r="S1565" s="86" t="b">
        <f>IF(#REF!="staff",INDEX('Partner data'!$DG$2:$DH$171,MATCH(#REF!,'Partner data'!$DG$2:$DG$171,0),2))</f>
        <v>0</v>
      </c>
    </row>
    <row r="1566" spans="1:19" x14ac:dyDescent="0.25">
      <c r="A1566" t="s">
        <v>57</v>
      </c>
      <c r="B1566" t="s">
        <v>50</v>
      </c>
      <c r="C1566">
        <v>310</v>
      </c>
      <c r="D1566">
        <v>210</v>
      </c>
      <c r="E1566" t="s">
        <v>230</v>
      </c>
      <c r="F1566">
        <v>4</v>
      </c>
      <c r="G1566">
        <v>7258.08</v>
      </c>
      <c r="H1566">
        <v>1206.28</v>
      </c>
      <c r="I1566">
        <v>0</v>
      </c>
      <c r="J1566">
        <v>900.15</v>
      </c>
      <c r="K1566">
        <v>0</v>
      </c>
      <c r="L1566">
        <v>888.12</v>
      </c>
      <c r="M1566">
        <v>2106.4299999999998</v>
      </c>
      <c r="N1566">
        <v>29.02</v>
      </c>
      <c r="O1566">
        <v>5151.6499999999996</v>
      </c>
      <c r="P1566">
        <v>1203.78</v>
      </c>
      <c r="Q1566" t="str">
        <f>INDEX(pARTNER[#All],MATCH(#REF!,pARTNER[[#All],[Value.partnerSummary.id]],0),10)</f>
        <v>Slovenija (SI)</v>
      </c>
      <c r="R1566" t="str">
        <f>INDEX('Partner data'!$A$2:$DG$171,MATCH(#REF!,'Partner data'!$DG$2:$DG$171,0),83)</f>
        <v>Soggetto pubblico</v>
      </c>
      <c r="S1566" s="86" t="b">
        <f>IF(#REF!="staff",INDEX('Partner data'!$DG$2:$DH$171,MATCH(#REF!,'Partner data'!$DG$2:$DG$171,0),2))</f>
        <v>0</v>
      </c>
    </row>
    <row r="1567" spans="1:19" x14ac:dyDescent="0.25">
      <c r="A1567" t="s">
        <v>57</v>
      </c>
      <c r="B1567" t="s">
        <v>50</v>
      </c>
      <c r="C1567">
        <v>310</v>
      </c>
      <c r="D1567">
        <v>210</v>
      </c>
      <c r="E1567" t="s">
        <v>231</v>
      </c>
      <c r="G1567">
        <v>54962.74</v>
      </c>
      <c r="H1567">
        <v>0</v>
      </c>
      <c r="I1567">
        <v>0</v>
      </c>
      <c r="J1567">
        <v>2866.41</v>
      </c>
      <c r="K1567">
        <v>0</v>
      </c>
      <c r="L1567">
        <v>2807.82</v>
      </c>
      <c r="M1567">
        <v>2866.41</v>
      </c>
      <c r="N1567">
        <v>5.22</v>
      </c>
      <c r="O1567">
        <v>52096.33</v>
      </c>
      <c r="P1567">
        <v>0</v>
      </c>
      <c r="Q1567" t="str">
        <f>INDEX(pARTNER[#All],MATCH(#REF!,pARTNER[[#All],[Value.partnerSummary.id]],0),10)</f>
        <v>Slovenija (SI)</v>
      </c>
      <c r="R1567" t="str">
        <f>INDEX('Partner data'!$A$2:$DG$171,MATCH(#REF!,'Partner data'!$DG$2:$DG$171,0),83)</f>
        <v>Soggetto pubblico</v>
      </c>
      <c r="S1567" s="86" t="b">
        <f>IF(#REF!="staff",INDEX('Partner data'!$DG$2:$DH$171,MATCH(#REF!,'Partner data'!$DG$2:$DG$171,0),2))</f>
        <v>0</v>
      </c>
    </row>
    <row r="1568" spans="1:19" x14ac:dyDescent="0.25">
      <c r="A1568" t="s">
        <v>57</v>
      </c>
      <c r="B1568" t="s">
        <v>50</v>
      </c>
      <c r="C1568">
        <v>310</v>
      </c>
      <c r="D1568">
        <v>210</v>
      </c>
      <c r="E1568" t="s">
        <v>232</v>
      </c>
      <c r="G1568">
        <v>9000</v>
      </c>
      <c r="H1568">
        <v>0</v>
      </c>
      <c r="I1568">
        <v>0</v>
      </c>
      <c r="J1568">
        <v>7917.8</v>
      </c>
      <c r="K1568">
        <v>0</v>
      </c>
      <c r="L1568">
        <v>7917.8</v>
      </c>
      <c r="M1568">
        <v>7917.8</v>
      </c>
      <c r="N1568">
        <v>87.98</v>
      </c>
      <c r="O1568">
        <v>1082.2</v>
      </c>
      <c r="P1568">
        <v>0</v>
      </c>
      <c r="Q1568" t="str">
        <f>INDEX(pARTNER[#All],MATCH(#REF!,pARTNER[[#All],[Value.partnerSummary.id]],0),10)</f>
        <v>Slovenija (SI)</v>
      </c>
      <c r="R1568" t="str">
        <f>INDEX('Partner data'!$A$2:$DG$171,MATCH(#REF!,'Partner data'!$DG$2:$DG$171,0),83)</f>
        <v>Soggetto pubblico</v>
      </c>
      <c r="S1568" s="86" t="b">
        <f>IF(#REF!="staff",INDEX('Partner data'!$DG$2:$DH$171,MATCH(#REF!,'Partner data'!$DG$2:$DG$171,0),2))</f>
        <v>0</v>
      </c>
    </row>
    <row r="1569" spans="1:19" x14ac:dyDescent="0.25">
      <c r="A1569" t="s">
        <v>57</v>
      </c>
      <c r="B1569" t="s">
        <v>50</v>
      </c>
      <c r="C1569">
        <v>310</v>
      </c>
      <c r="D1569">
        <v>210</v>
      </c>
      <c r="E1569" t="s">
        <v>233</v>
      </c>
      <c r="G1569">
        <v>32609.38</v>
      </c>
      <c r="H1569">
        <v>0</v>
      </c>
      <c r="I1569">
        <v>0</v>
      </c>
      <c r="J1569">
        <v>32609.38</v>
      </c>
      <c r="K1569">
        <v>0</v>
      </c>
      <c r="L1569">
        <v>32609.38</v>
      </c>
      <c r="M1569">
        <v>32609.38</v>
      </c>
      <c r="N1569">
        <v>100</v>
      </c>
      <c r="O1569">
        <v>0</v>
      </c>
      <c r="P1569">
        <v>0</v>
      </c>
      <c r="Q1569" t="str">
        <f>INDEX(pARTNER[#All],MATCH(#REF!,pARTNER[[#All],[Value.partnerSummary.id]],0),10)</f>
        <v>Slovenija (SI)</v>
      </c>
      <c r="R1569" t="str">
        <f>INDEX('Partner data'!$A$2:$DG$171,MATCH(#REF!,'Partner data'!$DG$2:$DG$171,0),83)</f>
        <v>Soggetto pubblico</v>
      </c>
      <c r="S1569" s="86" t="b">
        <f>IF(#REF!="staff",INDEX('Partner data'!$DG$2:$DH$171,MATCH(#REF!,'Partner data'!$DG$2:$DG$171,0),2))</f>
        <v>0</v>
      </c>
    </row>
    <row r="1570" spans="1:19" x14ac:dyDescent="0.25">
      <c r="A1570" t="s">
        <v>57</v>
      </c>
      <c r="B1570" t="s">
        <v>50</v>
      </c>
      <c r="C1570">
        <v>310</v>
      </c>
      <c r="D1570">
        <v>210</v>
      </c>
      <c r="E1570" t="s">
        <v>234</v>
      </c>
      <c r="G1570">
        <v>0</v>
      </c>
      <c r="H1570">
        <v>0</v>
      </c>
      <c r="I1570">
        <v>0</v>
      </c>
      <c r="J1570">
        <v>0</v>
      </c>
      <c r="K1570">
        <v>0</v>
      </c>
      <c r="L1570">
        <v>0</v>
      </c>
      <c r="M1570">
        <v>0</v>
      </c>
      <c r="N1570">
        <v>0</v>
      </c>
      <c r="O1570">
        <v>0</v>
      </c>
      <c r="P1570">
        <v>0</v>
      </c>
      <c r="Q1570" t="str">
        <f>INDEX(pARTNER[#All],MATCH(#REF!,pARTNER[[#All],[Value.partnerSummary.id]],0),10)</f>
        <v>Slovenija (SI)</v>
      </c>
      <c r="R1570" t="str">
        <f>INDEX('Partner data'!$A$2:$DG$171,MATCH(#REF!,'Partner data'!$DG$2:$DG$171,0),83)</f>
        <v>Soggetto pubblico</v>
      </c>
      <c r="S1570" s="86" t="b">
        <f>IF(#REF!="staff",INDEX('Partner data'!$DG$2:$DH$171,MATCH(#REF!,'Partner data'!$DG$2:$DG$171,0),2))</f>
        <v>0</v>
      </c>
    </row>
    <row r="1571" spans="1:19" x14ac:dyDescent="0.25">
      <c r="A1571" t="s">
        <v>57</v>
      </c>
      <c r="B1571" t="s">
        <v>50</v>
      </c>
      <c r="C1571">
        <v>310</v>
      </c>
      <c r="D1571">
        <v>210</v>
      </c>
      <c r="E1571" t="s">
        <v>235</v>
      </c>
      <c r="G1571">
        <v>0</v>
      </c>
      <c r="H1571">
        <v>0</v>
      </c>
      <c r="I1571">
        <v>0</v>
      </c>
      <c r="J1571">
        <v>0</v>
      </c>
      <c r="K1571">
        <v>0</v>
      </c>
      <c r="L1571">
        <v>0</v>
      </c>
      <c r="M1571">
        <v>0</v>
      </c>
      <c r="N1571">
        <v>0</v>
      </c>
      <c r="O1571">
        <v>0</v>
      </c>
      <c r="P1571">
        <v>0</v>
      </c>
      <c r="Q1571" t="str">
        <f>INDEX(pARTNER[#All],MATCH(#REF!,pARTNER[[#All],[Value.partnerSummary.id]],0),10)</f>
        <v>Slovenija (SI)</v>
      </c>
      <c r="R1571" t="str">
        <f>INDEX('Partner data'!$A$2:$DG$171,MATCH(#REF!,'Partner data'!$DG$2:$DG$171,0),83)</f>
        <v>Soggetto pubblico</v>
      </c>
      <c r="S1571" s="86" t="b">
        <f>IF(#REF!="staff",INDEX('Partner data'!$DG$2:$DH$171,MATCH(#REF!,'Partner data'!$DG$2:$DG$171,0),2))</f>
        <v>0</v>
      </c>
    </row>
    <row r="1572" spans="1:19" x14ac:dyDescent="0.25">
      <c r="A1572" t="s">
        <v>57</v>
      </c>
      <c r="B1572" t="s">
        <v>50</v>
      </c>
      <c r="C1572">
        <v>310</v>
      </c>
      <c r="D1572">
        <v>210</v>
      </c>
      <c r="E1572" t="s">
        <v>236</v>
      </c>
      <c r="G1572">
        <v>0</v>
      </c>
      <c r="H1572">
        <v>0</v>
      </c>
      <c r="I1572">
        <v>0</v>
      </c>
      <c r="J1572">
        <v>0</v>
      </c>
      <c r="K1572">
        <v>0</v>
      </c>
      <c r="L1572">
        <v>0</v>
      </c>
      <c r="M1572">
        <v>0</v>
      </c>
      <c r="N1572">
        <v>0</v>
      </c>
      <c r="O1572">
        <v>0</v>
      </c>
      <c r="P1572">
        <v>0</v>
      </c>
      <c r="Q1572" t="str">
        <f>INDEX(pARTNER[#All],MATCH(#REF!,pARTNER[[#All],[Value.partnerSummary.id]],0),10)</f>
        <v>Slovenija (SI)</v>
      </c>
      <c r="R1572" t="str">
        <f>INDEX('Partner data'!$A$2:$DG$171,MATCH(#REF!,'Partner data'!$DG$2:$DG$171,0),83)</f>
        <v>Soggetto pubblico</v>
      </c>
      <c r="S1572" s="86" t="b">
        <f>IF(#REF!="staff",INDEX('Partner data'!$DG$2:$DH$171,MATCH(#REF!,'Partner data'!$DG$2:$DG$171,0),2))</f>
        <v>0</v>
      </c>
    </row>
    <row r="1573" spans="1:19" x14ac:dyDescent="0.25">
      <c r="A1573" t="s">
        <v>57</v>
      </c>
      <c r="B1573" t="s">
        <v>50</v>
      </c>
      <c r="C1573">
        <v>310</v>
      </c>
      <c r="D1573">
        <v>210</v>
      </c>
      <c r="E1573" t="s">
        <v>237</v>
      </c>
      <c r="G1573">
        <v>0</v>
      </c>
      <c r="H1573">
        <v>0</v>
      </c>
      <c r="I1573">
        <v>0</v>
      </c>
      <c r="J1573">
        <v>0</v>
      </c>
      <c r="K1573">
        <v>0</v>
      </c>
      <c r="L1573">
        <v>0</v>
      </c>
      <c r="M1573">
        <v>0</v>
      </c>
      <c r="N1573">
        <v>0</v>
      </c>
      <c r="O1573">
        <v>0</v>
      </c>
      <c r="P1573">
        <v>0</v>
      </c>
      <c r="Q1573" t="str">
        <f>INDEX(pARTNER[#All],MATCH(#REF!,pARTNER[[#All],[Value.partnerSummary.id]],0),10)</f>
        <v>Slovenija (SI)</v>
      </c>
      <c r="R1573" t="str">
        <f>INDEX('Partner data'!$A$2:$DG$171,MATCH(#REF!,'Partner data'!$DG$2:$DG$171,0),83)</f>
        <v>Soggetto pubblico</v>
      </c>
      <c r="S1573" s="86" t="b">
        <f>IF(#REF!="staff",INDEX('Partner data'!$DG$2:$DH$171,MATCH(#REF!,'Partner data'!$DG$2:$DG$171,0),2))</f>
        <v>0</v>
      </c>
    </row>
    <row r="1574" spans="1:19" x14ac:dyDescent="0.25">
      <c r="A1574" t="s">
        <v>57</v>
      </c>
      <c r="B1574" t="s">
        <v>50</v>
      </c>
      <c r="C1574">
        <v>310</v>
      </c>
      <c r="D1574">
        <v>210</v>
      </c>
      <c r="E1574" t="s">
        <v>238</v>
      </c>
      <c r="G1574">
        <v>312500</v>
      </c>
      <c r="H1574">
        <v>35886.949999999997</v>
      </c>
      <c r="I1574">
        <v>0</v>
      </c>
      <c r="J1574">
        <v>70173.31</v>
      </c>
      <c r="K1574">
        <v>0</v>
      </c>
      <c r="L1574">
        <v>69756.740000000005</v>
      </c>
      <c r="M1574">
        <v>106060.26</v>
      </c>
      <c r="N1574">
        <v>33.94</v>
      </c>
      <c r="O1574">
        <v>206439.74</v>
      </c>
      <c r="P1574">
        <v>35812.6</v>
      </c>
      <c r="Q1574" t="str">
        <f>INDEX(pARTNER[#All],MATCH(#REF!,pARTNER[[#All],[Value.partnerSummary.id]],0),10)</f>
        <v>Slovenija (SI)</v>
      </c>
      <c r="R1574" t="str">
        <f>INDEX('Partner data'!$A$2:$DG$171,MATCH(#REF!,'Partner data'!$DG$2:$DG$171,0),83)</f>
        <v>Soggetto pubblico</v>
      </c>
      <c r="S1574" s="86" t="b">
        <f>IF(#REF!="staff",INDEX('Partner data'!$DG$2:$DH$171,MATCH(#REF!,'Partner data'!$DG$2:$DG$171,0),2))</f>
        <v>0</v>
      </c>
    </row>
    <row r="1575" spans="1:19" x14ac:dyDescent="0.25">
      <c r="A1575" t="s">
        <v>57</v>
      </c>
      <c r="B1575" t="s">
        <v>50</v>
      </c>
      <c r="C1575">
        <v>310</v>
      </c>
      <c r="D1575">
        <v>70</v>
      </c>
      <c r="E1575" t="s">
        <v>228</v>
      </c>
      <c r="G1575">
        <v>181452</v>
      </c>
      <c r="H1575">
        <v>0</v>
      </c>
      <c r="I1575">
        <v>0</v>
      </c>
      <c r="J1575">
        <v>30157.11</v>
      </c>
      <c r="K1575">
        <v>0</v>
      </c>
      <c r="L1575">
        <v>30094.63</v>
      </c>
      <c r="M1575">
        <v>30157.11</v>
      </c>
      <c r="N1575">
        <v>16.62</v>
      </c>
      <c r="O1575">
        <v>151294.89000000001</v>
      </c>
      <c r="P1575">
        <v>0</v>
      </c>
      <c r="Q1575" t="str">
        <f>INDEX(pARTNER[#All],MATCH(#REF!,pARTNER[[#All],[Value.partnerSummary.id]],0),10)</f>
        <v>Slovenija (SI)</v>
      </c>
      <c r="R1575" t="str">
        <f>INDEX('Partner data'!$A$2:$DG$171,MATCH(#REF!,'Partner data'!$DG$2:$DG$171,0),83)</f>
        <v>Soggetto pubblico</v>
      </c>
      <c r="S1575" s="86" t="str">
        <f>IF(#REF!="staff",INDEX('Partner data'!$DG$2:$DH$171,MATCH(#REF!,'Partner data'!$DG$2:$DG$171,0),2))</f>
        <v>COSTO REALE</v>
      </c>
    </row>
    <row r="1576" spans="1:19" x14ac:dyDescent="0.25">
      <c r="A1576" t="s">
        <v>57</v>
      </c>
      <c r="B1576" t="s">
        <v>50</v>
      </c>
      <c r="C1576">
        <v>310</v>
      </c>
      <c r="D1576">
        <v>70</v>
      </c>
      <c r="E1576" t="s">
        <v>229</v>
      </c>
      <c r="F1576">
        <v>15</v>
      </c>
      <c r="G1576">
        <v>27217.8</v>
      </c>
      <c r="H1576">
        <v>0</v>
      </c>
      <c r="I1576">
        <v>0</v>
      </c>
      <c r="J1576">
        <v>4523.5600000000004</v>
      </c>
      <c r="K1576">
        <v>0</v>
      </c>
      <c r="L1576">
        <v>4514.1899999999996</v>
      </c>
      <c r="M1576">
        <v>4523.5600000000004</v>
      </c>
      <c r="N1576">
        <v>16.62</v>
      </c>
      <c r="O1576">
        <v>22694.240000000002</v>
      </c>
      <c r="P1576">
        <v>0</v>
      </c>
      <c r="Q1576" t="str">
        <f>INDEX(pARTNER[#All],MATCH(#REF!,pARTNER[[#All],[Value.partnerSummary.id]],0),10)</f>
        <v>Slovenija (SI)</v>
      </c>
      <c r="R1576" t="str">
        <f>INDEX('Partner data'!$A$2:$DG$171,MATCH(#REF!,'Partner data'!$DG$2:$DG$171,0),83)</f>
        <v>Soggetto pubblico</v>
      </c>
      <c r="S1576" s="86" t="b">
        <f>IF(#REF!="staff",INDEX('Partner data'!$DG$2:$DH$171,MATCH(#REF!,'Partner data'!$DG$2:$DG$171,0),2))</f>
        <v>0</v>
      </c>
    </row>
    <row r="1577" spans="1:19" x14ac:dyDescent="0.25">
      <c r="A1577" t="s">
        <v>57</v>
      </c>
      <c r="B1577" t="s">
        <v>50</v>
      </c>
      <c r="C1577">
        <v>310</v>
      </c>
      <c r="D1577">
        <v>70</v>
      </c>
      <c r="E1577" t="s">
        <v>230</v>
      </c>
      <c r="F1577">
        <v>4</v>
      </c>
      <c r="G1577">
        <v>7258.08</v>
      </c>
      <c r="H1577">
        <v>0</v>
      </c>
      <c r="I1577">
        <v>0</v>
      </c>
      <c r="J1577">
        <v>1206.28</v>
      </c>
      <c r="K1577">
        <v>0</v>
      </c>
      <c r="L1577">
        <v>1203.78</v>
      </c>
      <c r="M1577">
        <v>1206.28</v>
      </c>
      <c r="N1577">
        <v>16.62</v>
      </c>
      <c r="O1577">
        <v>6051.8</v>
      </c>
      <c r="P1577">
        <v>0</v>
      </c>
      <c r="Q1577" t="str">
        <f>INDEX(pARTNER[#All],MATCH(#REF!,pARTNER[[#All],[Value.partnerSummary.id]],0),10)</f>
        <v>Slovenija (SI)</v>
      </c>
      <c r="R1577" t="str">
        <f>INDEX('Partner data'!$A$2:$DG$171,MATCH(#REF!,'Partner data'!$DG$2:$DG$171,0),83)</f>
        <v>Soggetto pubblico</v>
      </c>
      <c r="S1577" s="86" t="b">
        <f>IF(#REF!="staff",INDEX('Partner data'!$DG$2:$DH$171,MATCH(#REF!,'Partner data'!$DG$2:$DG$171,0),2))</f>
        <v>0</v>
      </c>
    </row>
    <row r="1578" spans="1:19" x14ac:dyDescent="0.25">
      <c r="A1578" t="s">
        <v>57</v>
      </c>
      <c r="B1578" t="s">
        <v>50</v>
      </c>
      <c r="C1578">
        <v>310</v>
      </c>
      <c r="D1578">
        <v>70</v>
      </c>
      <c r="E1578" t="s">
        <v>231</v>
      </c>
      <c r="G1578">
        <v>54962.74</v>
      </c>
      <c r="H1578">
        <v>0</v>
      </c>
      <c r="I1578">
        <v>0</v>
      </c>
      <c r="J1578">
        <v>0</v>
      </c>
      <c r="K1578">
        <v>0</v>
      </c>
      <c r="L1578">
        <v>0</v>
      </c>
      <c r="M1578">
        <v>0</v>
      </c>
      <c r="N1578">
        <v>0</v>
      </c>
      <c r="O1578">
        <v>54962.74</v>
      </c>
      <c r="P1578">
        <v>0</v>
      </c>
      <c r="Q1578" t="str">
        <f>INDEX(pARTNER[#All],MATCH(#REF!,pARTNER[[#All],[Value.partnerSummary.id]],0),10)</f>
        <v>Slovenija (SI)</v>
      </c>
      <c r="R1578" t="str">
        <f>INDEX('Partner data'!$A$2:$DG$171,MATCH(#REF!,'Partner data'!$DG$2:$DG$171,0),83)</f>
        <v>Soggetto pubblico</v>
      </c>
      <c r="S1578" s="86" t="b">
        <f>IF(#REF!="staff",INDEX('Partner data'!$DG$2:$DH$171,MATCH(#REF!,'Partner data'!$DG$2:$DG$171,0),2))</f>
        <v>0</v>
      </c>
    </row>
    <row r="1579" spans="1:19" x14ac:dyDescent="0.25">
      <c r="A1579" t="s">
        <v>57</v>
      </c>
      <c r="B1579" t="s">
        <v>50</v>
      </c>
      <c r="C1579">
        <v>310</v>
      </c>
      <c r="D1579">
        <v>70</v>
      </c>
      <c r="E1579" t="s">
        <v>232</v>
      </c>
      <c r="G1579">
        <v>9000</v>
      </c>
      <c r="H1579">
        <v>0</v>
      </c>
      <c r="I1579">
        <v>0</v>
      </c>
      <c r="J1579">
        <v>0</v>
      </c>
      <c r="K1579">
        <v>0</v>
      </c>
      <c r="L1579">
        <v>0</v>
      </c>
      <c r="M1579">
        <v>0</v>
      </c>
      <c r="N1579">
        <v>0</v>
      </c>
      <c r="O1579">
        <v>9000</v>
      </c>
      <c r="P1579">
        <v>0</v>
      </c>
      <c r="Q1579" t="str">
        <f>INDEX(pARTNER[#All],MATCH(#REF!,pARTNER[[#All],[Value.partnerSummary.id]],0),10)</f>
        <v>Slovenija (SI)</v>
      </c>
      <c r="R1579" t="str">
        <f>INDEX('Partner data'!$A$2:$DG$171,MATCH(#REF!,'Partner data'!$DG$2:$DG$171,0),83)</f>
        <v>Soggetto pubblico</v>
      </c>
      <c r="S1579" s="86" t="b">
        <f>IF(#REF!="staff",INDEX('Partner data'!$DG$2:$DH$171,MATCH(#REF!,'Partner data'!$DG$2:$DG$171,0),2))</f>
        <v>0</v>
      </c>
    </row>
    <row r="1580" spans="1:19" x14ac:dyDescent="0.25">
      <c r="A1580" t="s">
        <v>57</v>
      </c>
      <c r="B1580" t="s">
        <v>50</v>
      </c>
      <c r="C1580">
        <v>310</v>
      </c>
      <c r="D1580">
        <v>70</v>
      </c>
      <c r="E1580" t="s">
        <v>233</v>
      </c>
      <c r="G1580">
        <v>32609.38</v>
      </c>
      <c r="H1580">
        <v>0</v>
      </c>
      <c r="I1580">
        <v>0</v>
      </c>
      <c r="J1580">
        <v>0</v>
      </c>
      <c r="K1580">
        <v>0</v>
      </c>
      <c r="L1580">
        <v>0</v>
      </c>
      <c r="M1580">
        <v>0</v>
      </c>
      <c r="N1580">
        <v>0</v>
      </c>
      <c r="O1580">
        <v>32609.38</v>
      </c>
      <c r="P1580">
        <v>0</v>
      </c>
      <c r="Q1580" t="str">
        <f>INDEX(pARTNER[#All],MATCH(#REF!,pARTNER[[#All],[Value.partnerSummary.id]],0),10)</f>
        <v>Slovenija (SI)</v>
      </c>
      <c r="R1580" t="str">
        <f>INDEX('Partner data'!$A$2:$DG$171,MATCH(#REF!,'Partner data'!$DG$2:$DG$171,0),83)</f>
        <v>Soggetto pubblico</v>
      </c>
      <c r="S1580" s="86" t="b">
        <f>IF(#REF!="staff",INDEX('Partner data'!$DG$2:$DH$171,MATCH(#REF!,'Partner data'!$DG$2:$DG$171,0),2))</f>
        <v>0</v>
      </c>
    </row>
    <row r="1581" spans="1:19" x14ac:dyDescent="0.25">
      <c r="A1581" t="s">
        <v>57</v>
      </c>
      <c r="B1581" t="s">
        <v>50</v>
      </c>
      <c r="C1581">
        <v>310</v>
      </c>
      <c r="D1581">
        <v>70</v>
      </c>
      <c r="E1581" t="s">
        <v>234</v>
      </c>
      <c r="G1581">
        <v>0</v>
      </c>
      <c r="H1581">
        <v>0</v>
      </c>
      <c r="I1581">
        <v>0</v>
      </c>
      <c r="J1581">
        <v>0</v>
      </c>
      <c r="K1581">
        <v>0</v>
      </c>
      <c r="L1581">
        <v>0</v>
      </c>
      <c r="M1581">
        <v>0</v>
      </c>
      <c r="N1581">
        <v>0</v>
      </c>
      <c r="O1581">
        <v>0</v>
      </c>
      <c r="P1581">
        <v>0</v>
      </c>
      <c r="Q1581" t="str">
        <f>INDEX(pARTNER[#All],MATCH(#REF!,pARTNER[[#All],[Value.partnerSummary.id]],0),10)</f>
        <v>Slovenija (SI)</v>
      </c>
      <c r="R1581" t="str">
        <f>INDEX('Partner data'!$A$2:$DG$171,MATCH(#REF!,'Partner data'!$DG$2:$DG$171,0),83)</f>
        <v>Soggetto pubblico</v>
      </c>
      <c r="S1581" s="86" t="b">
        <f>IF(#REF!="staff",INDEX('Partner data'!$DG$2:$DH$171,MATCH(#REF!,'Partner data'!$DG$2:$DG$171,0),2))</f>
        <v>0</v>
      </c>
    </row>
    <row r="1582" spans="1:19" x14ac:dyDescent="0.25">
      <c r="A1582" t="s">
        <v>57</v>
      </c>
      <c r="B1582" t="s">
        <v>50</v>
      </c>
      <c r="C1582">
        <v>310</v>
      </c>
      <c r="D1582">
        <v>70</v>
      </c>
      <c r="E1582" t="s">
        <v>235</v>
      </c>
      <c r="G1582">
        <v>0</v>
      </c>
      <c r="H1582">
        <v>0</v>
      </c>
      <c r="I1582">
        <v>0</v>
      </c>
      <c r="J1582">
        <v>0</v>
      </c>
      <c r="K1582">
        <v>0</v>
      </c>
      <c r="L1582">
        <v>0</v>
      </c>
      <c r="M1582">
        <v>0</v>
      </c>
      <c r="N1582">
        <v>0</v>
      </c>
      <c r="O1582">
        <v>0</v>
      </c>
      <c r="P1582">
        <v>0</v>
      </c>
      <c r="Q1582" t="str">
        <f>INDEX(pARTNER[#All],MATCH(#REF!,pARTNER[[#All],[Value.partnerSummary.id]],0),10)</f>
        <v>Slovenija (SI)</v>
      </c>
      <c r="R1582" t="str">
        <f>INDEX('Partner data'!$A$2:$DG$171,MATCH(#REF!,'Partner data'!$DG$2:$DG$171,0),83)</f>
        <v>Soggetto pubblico</v>
      </c>
      <c r="S1582" s="86" t="b">
        <f>IF(#REF!="staff",INDEX('Partner data'!$DG$2:$DH$171,MATCH(#REF!,'Partner data'!$DG$2:$DG$171,0),2))</f>
        <v>0</v>
      </c>
    </row>
    <row r="1583" spans="1:19" x14ac:dyDescent="0.25">
      <c r="A1583" t="s">
        <v>57</v>
      </c>
      <c r="B1583" t="s">
        <v>50</v>
      </c>
      <c r="C1583">
        <v>310</v>
      </c>
      <c r="D1583">
        <v>70</v>
      </c>
      <c r="E1583" t="s">
        <v>236</v>
      </c>
      <c r="G1583">
        <v>0</v>
      </c>
      <c r="H1583">
        <v>0</v>
      </c>
      <c r="I1583">
        <v>0</v>
      </c>
      <c r="J1583">
        <v>0</v>
      </c>
      <c r="K1583">
        <v>0</v>
      </c>
      <c r="L1583">
        <v>0</v>
      </c>
      <c r="M1583">
        <v>0</v>
      </c>
      <c r="N1583">
        <v>0</v>
      </c>
      <c r="O1583">
        <v>0</v>
      </c>
      <c r="P1583">
        <v>0</v>
      </c>
      <c r="Q1583" t="str">
        <f>INDEX(pARTNER[#All],MATCH(#REF!,pARTNER[[#All],[Value.partnerSummary.id]],0),10)</f>
        <v>Slovenija (SI)</v>
      </c>
      <c r="R1583" t="str">
        <f>INDEX('Partner data'!$A$2:$DG$171,MATCH(#REF!,'Partner data'!$DG$2:$DG$171,0),83)</f>
        <v>Soggetto pubblico</v>
      </c>
      <c r="S1583" s="86" t="b">
        <f>IF(#REF!="staff",INDEX('Partner data'!$DG$2:$DH$171,MATCH(#REF!,'Partner data'!$DG$2:$DG$171,0),2))</f>
        <v>0</v>
      </c>
    </row>
    <row r="1584" spans="1:19" x14ac:dyDescent="0.25">
      <c r="A1584" t="s">
        <v>57</v>
      </c>
      <c r="B1584" t="s">
        <v>50</v>
      </c>
      <c r="C1584">
        <v>310</v>
      </c>
      <c r="D1584">
        <v>70</v>
      </c>
      <c r="E1584" t="s">
        <v>237</v>
      </c>
      <c r="G1584">
        <v>0</v>
      </c>
      <c r="H1584">
        <v>0</v>
      </c>
      <c r="I1584">
        <v>0</v>
      </c>
      <c r="J1584">
        <v>0</v>
      </c>
      <c r="K1584">
        <v>0</v>
      </c>
      <c r="L1584">
        <v>0</v>
      </c>
      <c r="M1584">
        <v>0</v>
      </c>
      <c r="N1584">
        <v>0</v>
      </c>
      <c r="O1584">
        <v>0</v>
      </c>
      <c r="P1584">
        <v>0</v>
      </c>
      <c r="Q1584" t="str">
        <f>INDEX(pARTNER[#All],MATCH(#REF!,pARTNER[[#All],[Value.partnerSummary.id]],0),10)</f>
        <v>Slovenija (SI)</v>
      </c>
      <c r="R1584" t="str">
        <f>INDEX('Partner data'!$A$2:$DG$171,MATCH(#REF!,'Partner data'!$DG$2:$DG$171,0),83)</f>
        <v>Soggetto pubblico</v>
      </c>
      <c r="S1584" s="86" t="b">
        <f>IF(#REF!="staff",INDEX('Partner data'!$DG$2:$DH$171,MATCH(#REF!,'Partner data'!$DG$2:$DG$171,0),2))</f>
        <v>0</v>
      </c>
    </row>
    <row r="1585" spans="1:19" x14ac:dyDescent="0.25">
      <c r="A1585" t="s">
        <v>57</v>
      </c>
      <c r="B1585" t="s">
        <v>50</v>
      </c>
      <c r="C1585">
        <v>310</v>
      </c>
      <c r="D1585">
        <v>70</v>
      </c>
      <c r="E1585" t="s">
        <v>238</v>
      </c>
      <c r="G1585">
        <v>312500</v>
      </c>
      <c r="H1585">
        <v>0</v>
      </c>
      <c r="I1585">
        <v>0</v>
      </c>
      <c r="J1585">
        <v>35886.949999999997</v>
      </c>
      <c r="K1585">
        <v>0</v>
      </c>
      <c r="L1585">
        <v>35812.6</v>
      </c>
      <c r="M1585">
        <v>35886.949999999997</v>
      </c>
      <c r="N1585">
        <v>11.48</v>
      </c>
      <c r="O1585">
        <v>276613.05</v>
      </c>
      <c r="P1585">
        <v>0</v>
      </c>
      <c r="Q1585" t="str">
        <f>INDEX(pARTNER[#All],MATCH(#REF!,pARTNER[[#All],[Value.partnerSummary.id]],0),10)</f>
        <v>Slovenija (SI)</v>
      </c>
      <c r="R1585" t="str">
        <f>INDEX('Partner data'!$A$2:$DG$171,MATCH(#REF!,'Partner data'!$DG$2:$DG$171,0),83)</f>
        <v>Soggetto pubblico</v>
      </c>
      <c r="S1585" s="86" t="b">
        <f>IF(#REF!="staff",INDEX('Partner data'!$DG$2:$DH$171,MATCH(#REF!,'Partner data'!$DG$2:$DG$171,0),2))</f>
        <v>0</v>
      </c>
    </row>
    <row r="1586" spans="1:19" x14ac:dyDescent="0.25">
      <c r="A1586" t="s">
        <v>57</v>
      </c>
      <c r="B1586" t="s">
        <v>39</v>
      </c>
      <c r="C1586">
        <v>303</v>
      </c>
      <c r="D1586">
        <v>217</v>
      </c>
      <c r="E1586" t="s">
        <v>228</v>
      </c>
      <c r="G1586">
        <v>174420</v>
      </c>
      <c r="H1586">
        <v>24327</v>
      </c>
      <c r="I1586">
        <v>0</v>
      </c>
      <c r="J1586">
        <v>13648.5</v>
      </c>
      <c r="K1586">
        <v>0</v>
      </c>
      <c r="L1586">
        <v>13648.5</v>
      </c>
      <c r="M1586">
        <v>37975.5</v>
      </c>
      <c r="N1586">
        <v>21.77</v>
      </c>
      <c r="O1586">
        <v>136444.5</v>
      </c>
      <c r="P1586">
        <v>24327</v>
      </c>
      <c r="Q1586" t="str">
        <f>INDEX(pARTNER[#All],MATCH(#REF!,pARTNER[[#All],[Value.partnerSummary.id]],0),10)</f>
        <v>Italia (IT)</v>
      </c>
      <c r="R1586" t="str">
        <f>INDEX('Partner data'!$A$2:$DG$171,MATCH(#REF!,'Partner data'!$DG$2:$DG$171,0),83)</f>
        <v xml:space="preserve">Organismo di diritto pubblico </v>
      </c>
      <c r="S1586" s="86" t="str">
        <f>IF(#REF!="staff",INDEX('Partner data'!$DG$2:$DH$171,MATCH(#REF!,'Partner data'!$DG$2:$DG$171,0),2))</f>
        <v>Costo Unitario Standard</v>
      </c>
    </row>
    <row r="1587" spans="1:19" x14ac:dyDescent="0.25">
      <c r="A1587" t="s">
        <v>57</v>
      </c>
      <c r="B1587" t="s">
        <v>39</v>
      </c>
      <c r="C1587">
        <v>303</v>
      </c>
      <c r="D1587">
        <v>217</v>
      </c>
      <c r="E1587" t="s">
        <v>229</v>
      </c>
      <c r="F1587">
        <v>15</v>
      </c>
      <c r="G1587">
        <v>26163</v>
      </c>
      <c r="H1587">
        <v>3649.05</v>
      </c>
      <c r="I1587">
        <v>0</v>
      </c>
      <c r="J1587">
        <v>2047.27</v>
      </c>
      <c r="K1587">
        <v>0</v>
      </c>
      <c r="L1587">
        <v>2047.27</v>
      </c>
      <c r="M1587">
        <v>5696.32</v>
      </c>
      <c r="N1587">
        <v>21.77</v>
      </c>
      <c r="O1587">
        <v>20466.68</v>
      </c>
      <c r="P1587">
        <v>3649.05</v>
      </c>
      <c r="Q1587" t="str">
        <f>INDEX(pARTNER[#All],MATCH(#REF!,pARTNER[[#All],[Value.partnerSummary.id]],0),10)</f>
        <v>Italia (IT)</v>
      </c>
      <c r="R1587" t="str">
        <f>INDEX('Partner data'!$A$2:$DG$171,MATCH(#REF!,'Partner data'!$DG$2:$DG$171,0),83)</f>
        <v xml:space="preserve">Organismo di diritto pubblico </v>
      </c>
      <c r="S1587" s="86" t="b">
        <f>IF(#REF!="staff",INDEX('Partner data'!$DG$2:$DH$171,MATCH(#REF!,'Partner data'!$DG$2:$DG$171,0),2))</f>
        <v>0</v>
      </c>
    </row>
    <row r="1588" spans="1:19" x14ac:dyDescent="0.25">
      <c r="A1588" t="s">
        <v>57</v>
      </c>
      <c r="B1588" t="s">
        <v>39</v>
      </c>
      <c r="C1588">
        <v>303</v>
      </c>
      <c r="D1588">
        <v>217</v>
      </c>
      <c r="E1588" t="s">
        <v>230</v>
      </c>
      <c r="F1588">
        <v>4</v>
      </c>
      <c r="G1588">
        <v>6976.8</v>
      </c>
      <c r="H1588">
        <v>973.08</v>
      </c>
      <c r="I1588">
        <v>0</v>
      </c>
      <c r="J1588">
        <v>545.94000000000005</v>
      </c>
      <c r="K1588">
        <v>0</v>
      </c>
      <c r="L1588">
        <v>545.94000000000005</v>
      </c>
      <c r="M1588">
        <v>1519.02</v>
      </c>
      <c r="N1588">
        <v>21.77</v>
      </c>
      <c r="O1588">
        <v>5457.78</v>
      </c>
      <c r="P1588">
        <v>973.08</v>
      </c>
      <c r="Q1588" t="str">
        <f>INDEX(pARTNER[#All],MATCH(#REF!,pARTNER[[#All],[Value.partnerSummary.id]],0),10)</f>
        <v>Italia (IT)</v>
      </c>
      <c r="R1588" t="str">
        <f>INDEX('Partner data'!$A$2:$DG$171,MATCH(#REF!,'Partner data'!$DG$2:$DG$171,0),83)</f>
        <v xml:space="preserve">Organismo di diritto pubblico </v>
      </c>
      <c r="S1588" s="86" t="b">
        <f>IF(#REF!="staff",INDEX('Partner data'!$DG$2:$DH$171,MATCH(#REF!,'Partner data'!$DG$2:$DG$171,0),2))</f>
        <v>0</v>
      </c>
    </row>
    <row r="1589" spans="1:19" x14ac:dyDescent="0.25">
      <c r="A1589" t="s">
        <v>57</v>
      </c>
      <c r="B1589" t="s">
        <v>39</v>
      </c>
      <c r="C1589">
        <v>303</v>
      </c>
      <c r="D1589">
        <v>217</v>
      </c>
      <c r="E1589" t="s">
        <v>231</v>
      </c>
      <c r="G1589">
        <v>379000</v>
      </c>
      <c r="H1589">
        <v>2989</v>
      </c>
      <c r="I1589">
        <v>0</v>
      </c>
      <c r="J1589">
        <v>10756.01</v>
      </c>
      <c r="K1589">
        <v>0</v>
      </c>
      <c r="L1589">
        <v>10756.01</v>
      </c>
      <c r="M1589">
        <v>13745.01</v>
      </c>
      <c r="N1589">
        <v>3.63</v>
      </c>
      <c r="O1589">
        <v>365254.99</v>
      </c>
      <c r="P1589">
        <v>2989</v>
      </c>
      <c r="Q1589" t="str">
        <f>INDEX(pARTNER[#All],MATCH(#REF!,pARTNER[[#All],[Value.partnerSummary.id]],0),10)</f>
        <v>Italia (IT)</v>
      </c>
      <c r="R1589" t="str">
        <f>INDEX('Partner data'!$A$2:$DG$171,MATCH(#REF!,'Partner data'!$DG$2:$DG$171,0),83)</f>
        <v xml:space="preserve">Organismo di diritto pubblico </v>
      </c>
      <c r="S1589" s="86" t="b">
        <f>IF(#REF!="staff",INDEX('Partner data'!$DG$2:$DH$171,MATCH(#REF!,'Partner data'!$DG$2:$DG$171,0),2))</f>
        <v>0</v>
      </c>
    </row>
    <row r="1590" spans="1:19" x14ac:dyDescent="0.25">
      <c r="A1590" t="s">
        <v>57</v>
      </c>
      <c r="B1590" t="s">
        <v>39</v>
      </c>
      <c r="C1590">
        <v>303</v>
      </c>
      <c r="D1590">
        <v>217</v>
      </c>
      <c r="E1590" t="s">
        <v>232</v>
      </c>
      <c r="G1590">
        <v>30004.6</v>
      </c>
      <c r="H1590">
        <v>0</v>
      </c>
      <c r="I1590">
        <v>0</v>
      </c>
      <c r="J1590">
        <v>0</v>
      </c>
      <c r="K1590">
        <v>0</v>
      </c>
      <c r="L1590">
        <v>0</v>
      </c>
      <c r="M1590">
        <v>0</v>
      </c>
      <c r="N1590">
        <v>0</v>
      </c>
      <c r="O1590">
        <v>30004.6</v>
      </c>
      <c r="P1590">
        <v>0</v>
      </c>
      <c r="Q1590" t="str">
        <f>INDEX(pARTNER[#All],MATCH(#REF!,pARTNER[[#All],[Value.partnerSummary.id]],0),10)</f>
        <v>Italia (IT)</v>
      </c>
      <c r="R1590" t="str">
        <f>INDEX('Partner data'!$A$2:$DG$171,MATCH(#REF!,'Partner data'!$DG$2:$DG$171,0),83)</f>
        <v xml:space="preserve">Organismo di diritto pubblico </v>
      </c>
      <c r="S1590" s="86" t="b">
        <f>IF(#REF!="staff",INDEX('Partner data'!$DG$2:$DH$171,MATCH(#REF!,'Partner data'!$DG$2:$DG$171,0),2))</f>
        <v>0</v>
      </c>
    </row>
    <row r="1591" spans="1:19" x14ac:dyDescent="0.25">
      <c r="A1591" t="s">
        <v>57</v>
      </c>
      <c r="B1591" t="s">
        <v>39</v>
      </c>
      <c r="C1591">
        <v>303</v>
      </c>
      <c r="D1591">
        <v>217</v>
      </c>
      <c r="E1591" t="s">
        <v>233</v>
      </c>
      <c r="G1591">
        <v>0</v>
      </c>
      <c r="H1591">
        <v>0</v>
      </c>
      <c r="I1591">
        <v>0</v>
      </c>
      <c r="J1591">
        <v>0</v>
      </c>
      <c r="K1591">
        <v>0</v>
      </c>
      <c r="L1591">
        <v>0</v>
      </c>
      <c r="M1591">
        <v>0</v>
      </c>
      <c r="N1591">
        <v>0</v>
      </c>
      <c r="O1591">
        <v>0</v>
      </c>
      <c r="P1591">
        <v>0</v>
      </c>
      <c r="Q1591" t="str">
        <f>INDEX(pARTNER[#All],MATCH(#REF!,pARTNER[[#All],[Value.partnerSummary.id]],0),10)</f>
        <v>Italia (IT)</v>
      </c>
      <c r="R1591" t="str">
        <f>INDEX('Partner data'!$A$2:$DG$171,MATCH(#REF!,'Partner data'!$DG$2:$DG$171,0),83)</f>
        <v xml:space="preserve">Organismo di diritto pubblico </v>
      </c>
      <c r="S1591" s="86" t="b">
        <f>IF(#REF!="staff",INDEX('Partner data'!$DG$2:$DH$171,MATCH(#REF!,'Partner data'!$DG$2:$DG$171,0),2))</f>
        <v>0</v>
      </c>
    </row>
    <row r="1592" spans="1:19" x14ac:dyDescent="0.25">
      <c r="A1592" t="s">
        <v>57</v>
      </c>
      <c r="B1592" t="s">
        <v>39</v>
      </c>
      <c r="C1592">
        <v>303</v>
      </c>
      <c r="D1592">
        <v>217</v>
      </c>
      <c r="E1592" t="s">
        <v>234</v>
      </c>
      <c r="G1592">
        <v>0</v>
      </c>
      <c r="H1592">
        <v>0</v>
      </c>
      <c r="I1592">
        <v>0</v>
      </c>
      <c r="J1592">
        <v>0</v>
      </c>
      <c r="K1592">
        <v>0</v>
      </c>
      <c r="L1592">
        <v>0</v>
      </c>
      <c r="M1592">
        <v>0</v>
      </c>
      <c r="N1592">
        <v>0</v>
      </c>
      <c r="O1592">
        <v>0</v>
      </c>
      <c r="P1592">
        <v>0</v>
      </c>
      <c r="Q1592" t="str">
        <f>INDEX(pARTNER[#All],MATCH(#REF!,pARTNER[[#All],[Value.partnerSummary.id]],0),10)</f>
        <v>Italia (IT)</v>
      </c>
      <c r="R1592" t="str">
        <f>INDEX('Partner data'!$A$2:$DG$171,MATCH(#REF!,'Partner data'!$DG$2:$DG$171,0),83)</f>
        <v xml:space="preserve">Organismo di diritto pubblico </v>
      </c>
      <c r="S1592" s="86" t="b">
        <f>IF(#REF!="staff",INDEX('Partner data'!$DG$2:$DH$171,MATCH(#REF!,'Partner data'!$DG$2:$DG$171,0),2))</f>
        <v>0</v>
      </c>
    </row>
    <row r="1593" spans="1:19" x14ac:dyDescent="0.25">
      <c r="A1593" t="s">
        <v>57</v>
      </c>
      <c r="B1593" t="s">
        <v>39</v>
      </c>
      <c r="C1593">
        <v>303</v>
      </c>
      <c r="D1593">
        <v>217</v>
      </c>
      <c r="E1593" t="s">
        <v>235</v>
      </c>
      <c r="G1593">
        <v>9000</v>
      </c>
      <c r="H1593">
        <v>9000</v>
      </c>
      <c r="I1593">
        <v>0</v>
      </c>
      <c r="J1593">
        <v>0</v>
      </c>
      <c r="K1593">
        <v>0</v>
      </c>
      <c r="L1593">
        <v>0</v>
      </c>
      <c r="M1593">
        <v>9000</v>
      </c>
      <c r="N1593">
        <v>100</v>
      </c>
      <c r="O1593">
        <v>0</v>
      </c>
      <c r="P1593">
        <v>9000</v>
      </c>
      <c r="Q1593" t="str">
        <f>INDEX(pARTNER[#All],MATCH(#REF!,pARTNER[[#All],[Value.partnerSummary.id]],0),10)</f>
        <v>Italia (IT)</v>
      </c>
      <c r="R1593" t="str">
        <f>INDEX('Partner data'!$A$2:$DG$171,MATCH(#REF!,'Partner data'!$DG$2:$DG$171,0),83)</f>
        <v xml:space="preserve">Organismo di diritto pubblico </v>
      </c>
      <c r="S1593" s="86" t="b">
        <f>IF(#REF!="staff",INDEX('Partner data'!$DG$2:$DH$171,MATCH(#REF!,'Partner data'!$DG$2:$DG$171,0),2))</f>
        <v>0</v>
      </c>
    </row>
    <row r="1594" spans="1:19" x14ac:dyDescent="0.25">
      <c r="A1594" t="s">
        <v>57</v>
      </c>
      <c r="B1594" t="s">
        <v>39</v>
      </c>
      <c r="C1594">
        <v>303</v>
      </c>
      <c r="D1594">
        <v>217</v>
      </c>
      <c r="E1594" t="s">
        <v>236</v>
      </c>
      <c r="G1594">
        <v>0</v>
      </c>
      <c r="H1594">
        <v>0</v>
      </c>
      <c r="I1594">
        <v>0</v>
      </c>
      <c r="J1594">
        <v>0</v>
      </c>
      <c r="K1594">
        <v>0</v>
      </c>
      <c r="L1594">
        <v>0</v>
      </c>
      <c r="M1594">
        <v>0</v>
      </c>
      <c r="N1594">
        <v>0</v>
      </c>
      <c r="O1594">
        <v>0</v>
      </c>
      <c r="P1594">
        <v>0</v>
      </c>
      <c r="Q1594" t="str">
        <f>INDEX(pARTNER[#All],MATCH(#REF!,pARTNER[[#All],[Value.partnerSummary.id]],0),10)</f>
        <v>Italia (IT)</v>
      </c>
      <c r="R1594" t="str">
        <f>INDEX('Partner data'!$A$2:$DG$171,MATCH(#REF!,'Partner data'!$DG$2:$DG$171,0),83)</f>
        <v xml:space="preserve">Organismo di diritto pubblico </v>
      </c>
      <c r="S1594" s="86" t="b">
        <f>IF(#REF!="staff",INDEX('Partner data'!$DG$2:$DH$171,MATCH(#REF!,'Partner data'!$DG$2:$DG$171,0),2))</f>
        <v>0</v>
      </c>
    </row>
    <row r="1595" spans="1:19" x14ac:dyDescent="0.25">
      <c r="A1595" t="s">
        <v>57</v>
      </c>
      <c r="B1595" t="s">
        <v>39</v>
      </c>
      <c r="C1595">
        <v>303</v>
      </c>
      <c r="D1595">
        <v>217</v>
      </c>
      <c r="E1595" t="s">
        <v>237</v>
      </c>
      <c r="G1595">
        <v>0</v>
      </c>
      <c r="H1595">
        <v>0</v>
      </c>
      <c r="I1595">
        <v>0</v>
      </c>
      <c r="J1595">
        <v>0</v>
      </c>
      <c r="K1595">
        <v>0</v>
      </c>
      <c r="L1595">
        <v>0</v>
      </c>
      <c r="M1595">
        <v>0</v>
      </c>
      <c r="N1595">
        <v>0</v>
      </c>
      <c r="O1595">
        <v>0</v>
      </c>
      <c r="P1595">
        <v>0</v>
      </c>
      <c r="Q1595" t="str">
        <f>INDEX(pARTNER[#All],MATCH(#REF!,pARTNER[[#All],[Value.partnerSummary.id]],0),10)</f>
        <v>Italia (IT)</v>
      </c>
      <c r="R1595" t="str">
        <f>INDEX('Partner data'!$A$2:$DG$171,MATCH(#REF!,'Partner data'!$DG$2:$DG$171,0),83)</f>
        <v xml:space="preserve">Organismo di diritto pubblico </v>
      </c>
      <c r="S1595" s="86" t="b">
        <f>IF(#REF!="staff",INDEX('Partner data'!$DG$2:$DH$171,MATCH(#REF!,'Partner data'!$DG$2:$DG$171,0),2))</f>
        <v>0</v>
      </c>
    </row>
    <row r="1596" spans="1:19" x14ac:dyDescent="0.25">
      <c r="A1596" t="s">
        <v>57</v>
      </c>
      <c r="B1596" t="s">
        <v>39</v>
      </c>
      <c r="C1596">
        <v>303</v>
      </c>
      <c r="D1596">
        <v>217</v>
      </c>
      <c r="E1596" t="s">
        <v>238</v>
      </c>
      <c r="G1596">
        <v>625564.4</v>
      </c>
      <c r="H1596">
        <v>40938.129999999997</v>
      </c>
      <c r="I1596">
        <v>0</v>
      </c>
      <c r="J1596">
        <v>26997.72</v>
      </c>
      <c r="K1596">
        <v>0</v>
      </c>
      <c r="L1596">
        <v>26997.72</v>
      </c>
      <c r="M1596">
        <v>67935.850000000006</v>
      </c>
      <c r="N1596">
        <v>10.86</v>
      </c>
      <c r="O1596">
        <v>557628.55000000005</v>
      </c>
      <c r="P1596">
        <v>40938.129999999997</v>
      </c>
      <c r="Q1596" t="str">
        <f>INDEX(pARTNER[#All],MATCH(#REF!,pARTNER[[#All],[Value.partnerSummary.id]],0),10)</f>
        <v>Italia (IT)</v>
      </c>
      <c r="R1596" t="str">
        <f>INDEX('Partner data'!$A$2:$DG$171,MATCH(#REF!,'Partner data'!$DG$2:$DG$171,0),83)</f>
        <v xml:space="preserve">Organismo di diritto pubblico </v>
      </c>
      <c r="S1596" s="86" t="b">
        <f>IF(#REF!="staff",INDEX('Partner data'!$DG$2:$DH$171,MATCH(#REF!,'Partner data'!$DG$2:$DG$171,0),2))</f>
        <v>0</v>
      </c>
    </row>
    <row r="1597" spans="1:19" x14ac:dyDescent="0.25">
      <c r="A1597" t="s">
        <v>57</v>
      </c>
      <c r="B1597" t="s">
        <v>39</v>
      </c>
      <c r="C1597">
        <v>303</v>
      </c>
      <c r="D1597">
        <v>87</v>
      </c>
      <c r="E1597" t="s">
        <v>228</v>
      </c>
      <c r="G1597">
        <v>174420</v>
      </c>
      <c r="H1597">
        <v>0</v>
      </c>
      <c r="I1597">
        <v>0</v>
      </c>
      <c r="J1597">
        <v>24327</v>
      </c>
      <c r="K1597">
        <v>0</v>
      </c>
      <c r="L1597">
        <v>24327</v>
      </c>
      <c r="M1597">
        <v>24327</v>
      </c>
      <c r="N1597">
        <v>13.95</v>
      </c>
      <c r="O1597">
        <v>150093</v>
      </c>
      <c r="P1597">
        <v>0</v>
      </c>
      <c r="Q1597" t="str">
        <f>INDEX(pARTNER[#All],MATCH(#REF!,pARTNER[[#All],[Value.partnerSummary.id]],0),10)</f>
        <v>Italia (IT)</v>
      </c>
      <c r="R1597" t="str">
        <f>INDEX('Partner data'!$A$2:$DG$171,MATCH(#REF!,'Partner data'!$DG$2:$DG$171,0),83)</f>
        <v xml:space="preserve">Organismo di diritto pubblico </v>
      </c>
      <c r="S1597" s="86" t="str">
        <f>IF(#REF!="staff",INDEX('Partner data'!$DG$2:$DH$171,MATCH(#REF!,'Partner data'!$DG$2:$DG$171,0),2))</f>
        <v>Costo Unitario Standard</v>
      </c>
    </row>
    <row r="1598" spans="1:19" x14ac:dyDescent="0.25">
      <c r="A1598" t="s">
        <v>57</v>
      </c>
      <c r="B1598" t="s">
        <v>39</v>
      </c>
      <c r="C1598">
        <v>303</v>
      </c>
      <c r="D1598">
        <v>87</v>
      </c>
      <c r="E1598" t="s">
        <v>229</v>
      </c>
      <c r="F1598">
        <v>15</v>
      </c>
      <c r="G1598">
        <v>26163</v>
      </c>
      <c r="H1598">
        <v>0</v>
      </c>
      <c r="I1598">
        <v>0</v>
      </c>
      <c r="J1598">
        <v>3649.05</v>
      </c>
      <c r="K1598">
        <v>0</v>
      </c>
      <c r="L1598">
        <v>3649.05</v>
      </c>
      <c r="M1598">
        <v>3649.05</v>
      </c>
      <c r="N1598">
        <v>13.95</v>
      </c>
      <c r="O1598">
        <v>22513.95</v>
      </c>
      <c r="P1598">
        <v>0</v>
      </c>
      <c r="Q1598" t="str">
        <f>INDEX(pARTNER[#All],MATCH(#REF!,pARTNER[[#All],[Value.partnerSummary.id]],0),10)</f>
        <v>Italia (IT)</v>
      </c>
      <c r="R1598" t="str">
        <f>INDEX('Partner data'!$A$2:$DG$171,MATCH(#REF!,'Partner data'!$DG$2:$DG$171,0),83)</f>
        <v xml:space="preserve">Organismo di diritto pubblico </v>
      </c>
      <c r="S1598" s="86" t="b">
        <f>IF(#REF!="staff",INDEX('Partner data'!$DG$2:$DH$171,MATCH(#REF!,'Partner data'!$DG$2:$DG$171,0),2))</f>
        <v>0</v>
      </c>
    </row>
    <row r="1599" spans="1:19" x14ac:dyDescent="0.25">
      <c r="A1599" t="s">
        <v>57</v>
      </c>
      <c r="B1599" t="s">
        <v>39</v>
      </c>
      <c r="C1599">
        <v>303</v>
      </c>
      <c r="D1599">
        <v>87</v>
      </c>
      <c r="E1599" t="s">
        <v>230</v>
      </c>
      <c r="F1599">
        <v>4</v>
      </c>
      <c r="G1599">
        <v>6976.8</v>
      </c>
      <c r="H1599">
        <v>0</v>
      </c>
      <c r="I1599">
        <v>0</v>
      </c>
      <c r="J1599">
        <v>973.08</v>
      </c>
      <c r="K1599">
        <v>0</v>
      </c>
      <c r="L1599">
        <v>973.08</v>
      </c>
      <c r="M1599">
        <v>973.08</v>
      </c>
      <c r="N1599">
        <v>13.95</v>
      </c>
      <c r="O1599">
        <v>6003.72</v>
      </c>
      <c r="P1599">
        <v>0</v>
      </c>
      <c r="Q1599" t="str">
        <f>INDEX(pARTNER[#All],MATCH(#REF!,pARTNER[[#All],[Value.partnerSummary.id]],0),10)</f>
        <v>Italia (IT)</v>
      </c>
      <c r="R1599" t="str">
        <f>INDEX('Partner data'!$A$2:$DG$171,MATCH(#REF!,'Partner data'!$DG$2:$DG$171,0),83)</f>
        <v xml:space="preserve">Organismo di diritto pubblico </v>
      </c>
      <c r="S1599" s="86" t="b">
        <f>IF(#REF!="staff",INDEX('Partner data'!$DG$2:$DH$171,MATCH(#REF!,'Partner data'!$DG$2:$DG$171,0),2))</f>
        <v>0</v>
      </c>
    </row>
    <row r="1600" spans="1:19" x14ac:dyDescent="0.25">
      <c r="A1600" t="s">
        <v>57</v>
      </c>
      <c r="B1600" t="s">
        <v>39</v>
      </c>
      <c r="C1600">
        <v>303</v>
      </c>
      <c r="D1600">
        <v>87</v>
      </c>
      <c r="E1600" t="s">
        <v>231</v>
      </c>
      <c r="G1600">
        <v>379000</v>
      </c>
      <c r="H1600">
        <v>0</v>
      </c>
      <c r="I1600">
        <v>0</v>
      </c>
      <c r="J1600">
        <v>2989</v>
      </c>
      <c r="K1600">
        <v>0</v>
      </c>
      <c r="L1600">
        <v>2989</v>
      </c>
      <c r="M1600">
        <v>2989</v>
      </c>
      <c r="N1600">
        <v>0.79</v>
      </c>
      <c r="O1600">
        <v>376011</v>
      </c>
      <c r="P1600">
        <v>0</v>
      </c>
      <c r="Q1600" t="str">
        <f>INDEX(pARTNER[#All],MATCH(#REF!,pARTNER[[#All],[Value.partnerSummary.id]],0),10)</f>
        <v>Italia (IT)</v>
      </c>
      <c r="R1600" t="str">
        <f>INDEX('Partner data'!$A$2:$DG$171,MATCH(#REF!,'Partner data'!$DG$2:$DG$171,0),83)</f>
        <v xml:space="preserve">Organismo di diritto pubblico </v>
      </c>
      <c r="S1600" s="86" t="b">
        <f>IF(#REF!="staff",INDEX('Partner data'!$DG$2:$DH$171,MATCH(#REF!,'Partner data'!$DG$2:$DG$171,0),2))</f>
        <v>0</v>
      </c>
    </row>
    <row r="1601" spans="1:19" x14ac:dyDescent="0.25">
      <c r="A1601" t="s">
        <v>57</v>
      </c>
      <c r="B1601" t="s">
        <v>39</v>
      </c>
      <c r="C1601">
        <v>303</v>
      </c>
      <c r="D1601">
        <v>87</v>
      </c>
      <c r="E1601" t="s">
        <v>232</v>
      </c>
      <c r="G1601">
        <v>30004.6</v>
      </c>
      <c r="H1601">
        <v>0</v>
      </c>
      <c r="I1601">
        <v>0</v>
      </c>
      <c r="J1601">
        <v>0</v>
      </c>
      <c r="K1601">
        <v>0</v>
      </c>
      <c r="L1601">
        <v>0</v>
      </c>
      <c r="M1601">
        <v>0</v>
      </c>
      <c r="N1601">
        <v>0</v>
      </c>
      <c r="O1601">
        <v>30004.6</v>
      </c>
      <c r="P1601">
        <v>0</v>
      </c>
      <c r="Q1601" t="str">
        <f>INDEX(pARTNER[#All],MATCH(#REF!,pARTNER[[#All],[Value.partnerSummary.id]],0),10)</f>
        <v>Italia (IT)</v>
      </c>
      <c r="R1601" t="str">
        <f>INDEX('Partner data'!$A$2:$DG$171,MATCH(#REF!,'Partner data'!$DG$2:$DG$171,0),83)</f>
        <v xml:space="preserve">Organismo di diritto pubblico </v>
      </c>
      <c r="S1601" s="86" t="b">
        <f>IF(#REF!="staff",INDEX('Partner data'!$DG$2:$DH$171,MATCH(#REF!,'Partner data'!$DG$2:$DG$171,0),2))</f>
        <v>0</v>
      </c>
    </row>
    <row r="1602" spans="1:19" x14ac:dyDescent="0.25">
      <c r="A1602" t="s">
        <v>57</v>
      </c>
      <c r="B1602" t="s">
        <v>39</v>
      </c>
      <c r="C1602">
        <v>303</v>
      </c>
      <c r="D1602">
        <v>87</v>
      </c>
      <c r="E1602" t="s">
        <v>233</v>
      </c>
      <c r="G1602">
        <v>0</v>
      </c>
      <c r="H1602">
        <v>0</v>
      </c>
      <c r="I1602">
        <v>0</v>
      </c>
      <c r="J1602">
        <v>0</v>
      </c>
      <c r="K1602">
        <v>0</v>
      </c>
      <c r="L1602">
        <v>0</v>
      </c>
      <c r="M1602">
        <v>0</v>
      </c>
      <c r="N1602">
        <v>0</v>
      </c>
      <c r="O1602">
        <v>0</v>
      </c>
      <c r="P1602">
        <v>0</v>
      </c>
      <c r="Q1602" t="str">
        <f>INDEX(pARTNER[#All],MATCH(#REF!,pARTNER[[#All],[Value.partnerSummary.id]],0),10)</f>
        <v>Italia (IT)</v>
      </c>
      <c r="R1602" t="str">
        <f>INDEX('Partner data'!$A$2:$DG$171,MATCH(#REF!,'Partner data'!$DG$2:$DG$171,0),83)</f>
        <v xml:space="preserve">Organismo di diritto pubblico </v>
      </c>
      <c r="S1602" s="86" t="b">
        <f>IF(#REF!="staff",INDEX('Partner data'!$DG$2:$DH$171,MATCH(#REF!,'Partner data'!$DG$2:$DG$171,0),2))</f>
        <v>0</v>
      </c>
    </row>
    <row r="1603" spans="1:19" x14ac:dyDescent="0.25">
      <c r="A1603" t="s">
        <v>57</v>
      </c>
      <c r="B1603" t="s">
        <v>39</v>
      </c>
      <c r="C1603">
        <v>303</v>
      </c>
      <c r="D1603">
        <v>87</v>
      </c>
      <c r="E1603" t="s">
        <v>234</v>
      </c>
      <c r="G1603">
        <v>0</v>
      </c>
      <c r="H1603">
        <v>0</v>
      </c>
      <c r="I1603">
        <v>0</v>
      </c>
      <c r="J1603">
        <v>0</v>
      </c>
      <c r="K1603">
        <v>0</v>
      </c>
      <c r="L1603">
        <v>0</v>
      </c>
      <c r="M1603">
        <v>0</v>
      </c>
      <c r="N1603">
        <v>0</v>
      </c>
      <c r="O1603">
        <v>0</v>
      </c>
      <c r="P1603">
        <v>0</v>
      </c>
      <c r="Q1603" t="str">
        <f>INDEX(pARTNER[#All],MATCH(#REF!,pARTNER[[#All],[Value.partnerSummary.id]],0),10)</f>
        <v>Italia (IT)</v>
      </c>
      <c r="R1603" t="str">
        <f>INDEX('Partner data'!$A$2:$DG$171,MATCH(#REF!,'Partner data'!$DG$2:$DG$171,0),83)</f>
        <v xml:space="preserve">Organismo di diritto pubblico </v>
      </c>
      <c r="S1603" s="86" t="b">
        <f>IF(#REF!="staff",INDEX('Partner data'!$DG$2:$DH$171,MATCH(#REF!,'Partner data'!$DG$2:$DG$171,0),2))</f>
        <v>0</v>
      </c>
    </row>
    <row r="1604" spans="1:19" x14ac:dyDescent="0.25">
      <c r="A1604" t="s">
        <v>57</v>
      </c>
      <c r="B1604" t="s">
        <v>39</v>
      </c>
      <c r="C1604">
        <v>303</v>
      </c>
      <c r="D1604">
        <v>87</v>
      </c>
      <c r="E1604" t="s">
        <v>235</v>
      </c>
      <c r="G1604">
        <v>9000</v>
      </c>
      <c r="H1604">
        <v>0</v>
      </c>
      <c r="I1604">
        <v>0</v>
      </c>
      <c r="J1604">
        <v>9000</v>
      </c>
      <c r="K1604">
        <v>0</v>
      </c>
      <c r="L1604">
        <v>9000</v>
      </c>
      <c r="M1604">
        <v>9000</v>
      </c>
      <c r="N1604">
        <v>100</v>
      </c>
      <c r="O1604">
        <v>0</v>
      </c>
      <c r="P1604">
        <v>0</v>
      </c>
      <c r="Q1604" t="str">
        <f>INDEX(pARTNER[#All],MATCH(#REF!,pARTNER[[#All],[Value.partnerSummary.id]],0),10)</f>
        <v>Italia (IT)</v>
      </c>
      <c r="R1604" t="str">
        <f>INDEX('Partner data'!$A$2:$DG$171,MATCH(#REF!,'Partner data'!$DG$2:$DG$171,0),83)</f>
        <v xml:space="preserve">Organismo di diritto pubblico </v>
      </c>
      <c r="S1604" s="86" t="b">
        <f>IF(#REF!="staff",INDEX('Partner data'!$DG$2:$DH$171,MATCH(#REF!,'Partner data'!$DG$2:$DG$171,0),2))</f>
        <v>0</v>
      </c>
    </row>
    <row r="1605" spans="1:19" x14ac:dyDescent="0.25">
      <c r="A1605" t="s">
        <v>57</v>
      </c>
      <c r="B1605" t="s">
        <v>39</v>
      </c>
      <c r="C1605">
        <v>303</v>
      </c>
      <c r="D1605">
        <v>87</v>
      </c>
      <c r="E1605" t="s">
        <v>236</v>
      </c>
      <c r="G1605">
        <v>0</v>
      </c>
      <c r="H1605">
        <v>0</v>
      </c>
      <c r="I1605">
        <v>0</v>
      </c>
      <c r="J1605">
        <v>0</v>
      </c>
      <c r="K1605">
        <v>0</v>
      </c>
      <c r="L1605">
        <v>0</v>
      </c>
      <c r="M1605">
        <v>0</v>
      </c>
      <c r="N1605">
        <v>0</v>
      </c>
      <c r="O1605">
        <v>0</v>
      </c>
      <c r="P1605">
        <v>0</v>
      </c>
      <c r="Q1605" t="str">
        <f>INDEX(pARTNER[#All],MATCH(#REF!,pARTNER[[#All],[Value.partnerSummary.id]],0),10)</f>
        <v>Italia (IT)</v>
      </c>
      <c r="R1605" t="str">
        <f>INDEX('Partner data'!$A$2:$DG$171,MATCH(#REF!,'Partner data'!$DG$2:$DG$171,0),83)</f>
        <v xml:space="preserve">Organismo di diritto pubblico </v>
      </c>
      <c r="S1605" s="86" t="b">
        <f>IF(#REF!="staff",INDEX('Partner data'!$DG$2:$DH$171,MATCH(#REF!,'Partner data'!$DG$2:$DG$171,0),2))</f>
        <v>0</v>
      </c>
    </row>
    <row r="1606" spans="1:19" x14ac:dyDescent="0.25">
      <c r="A1606" t="s">
        <v>57</v>
      </c>
      <c r="B1606" t="s">
        <v>39</v>
      </c>
      <c r="C1606">
        <v>303</v>
      </c>
      <c r="D1606">
        <v>87</v>
      </c>
      <c r="E1606" t="s">
        <v>237</v>
      </c>
      <c r="G1606">
        <v>0</v>
      </c>
      <c r="H1606">
        <v>0</v>
      </c>
      <c r="I1606">
        <v>0</v>
      </c>
      <c r="J1606">
        <v>0</v>
      </c>
      <c r="K1606">
        <v>0</v>
      </c>
      <c r="L1606">
        <v>0</v>
      </c>
      <c r="M1606">
        <v>0</v>
      </c>
      <c r="N1606">
        <v>0</v>
      </c>
      <c r="O1606">
        <v>0</v>
      </c>
      <c r="P1606">
        <v>0</v>
      </c>
      <c r="Q1606" t="str">
        <f>INDEX(pARTNER[#All],MATCH(#REF!,pARTNER[[#All],[Value.partnerSummary.id]],0),10)</f>
        <v>Italia (IT)</v>
      </c>
      <c r="R1606" t="str">
        <f>INDEX('Partner data'!$A$2:$DG$171,MATCH(#REF!,'Partner data'!$DG$2:$DG$171,0),83)</f>
        <v xml:space="preserve">Organismo di diritto pubblico </v>
      </c>
      <c r="S1606" s="86" t="b">
        <f>IF(#REF!="staff",INDEX('Partner data'!$DG$2:$DH$171,MATCH(#REF!,'Partner data'!$DG$2:$DG$171,0),2))</f>
        <v>0</v>
      </c>
    </row>
    <row r="1607" spans="1:19" x14ac:dyDescent="0.25">
      <c r="A1607" t="s">
        <v>57</v>
      </c>
      <c r="B1607" t="s">
        <v>39</v>
      </c>
      <c r="C1607">
        <v>303</v>
      </c>
      <c r="D1607">
        <v>87</v>
      </c>
      <c r="E1607" t="s">
        <v>238</v>
      </c>
      <c r="G1607">
        <v>625564.4</v>
      </c>
      <c r="H1607">
        <v>0</v>
      </c>
      <c r="I1607">
        <v>0</v>
      </c>
      <c r="J1607">
        <v>40938.129999999997</v>
      </c>
      <c r="K1607">
        <v>0</v>
      </c>
      <c r="L1607">
        <v>40938.129999999997</v>
      </c>
      <c r="M1607">
        <v>40938.129999999997</v>
      </c>
      <c r="N1607">
        <v>6.54</v>
      </c>
      <c r="O1607">
        <v>584626.27</v>
      </c>
      <c r="P1607">
        <v>0</v>
      </c>
      <c r="Q1607" t="str">
        <f>INDEX(pARTNER[#All],MATCH(#REF!,pARTNER[[#All],[Value.partnerSummary.id]],0),10)</f>
        <v>Italia (IT)</v>
      </c>
      <c r="R1607" t="str">
        <f>INDEX('Partner data'!$A$2:$DG$171,MATCH(#REF!,'Partner data'!$DG$2:$DG$171,0),83)</f>
        <v xml:space="preserve">Organismo di diritto pubblico </v>
      </c>
      <c r="S1607" s="86" t="b">
        <f>IF(#REF!="staff",INDEX('Partner data'!$DG$2:$DH$171,MATCH(#REF!,'Partner data'!$DG$2:$DG$171,0),2))</f>
        <v>0</v>
      </c>
    </row>
    <row r="1608" spans="1:19" x14ac:dyDescent="0.25">
      <c r="A1608" t="s">
        <v>57</v>
      </c>
      <c r="B1608" t="s">
        <v>23</v>
      </c>
      <c r="C1608">
        <v>308</v>
      </c>
      <c r="D1608">
        <v>309</v>
      </c>
      <c r="E1608" t="s">
        <v>228</v>
      </c>
      <c r="G1608">
        <v>143640</v>
      </c>
      <c r="H1608">
        <v>30230.880000000001</v>
      </c>
      <c r="I1608">
        <v>0</v>
      </c>
      <c r="J1608">
        <v>22800</v>
      </c>
      <c r="K1608">
        <v>0</v>
      </c>
      <c r="L1608">
        <v>22800</v>
      </c>
      <c r="M1608">
        <v>53030.879999999997</v>
      </c>
      <c r="N1608">
        <v>36.92</v>
      </c>
      <c r="O1608">
        <v>90609.12</v>
      </c>
      <c r="P1608">
        <v>30228</v>
      </c>
      <c r="Q1608" t="str">
        <f>INDEX(pARTNER[#All],MATCH(#REF!,pARTNER[[#All],[Value.partnerSummary.id]],0),10)</f>
        <v>Italia (IT)</v>
      </c>
      <c r="R1608" t="str">
        <f>INDEX('Partner data'!$A$2:$DG$171,MATCH(#REF!,'Partner data'!$DG$2:$DG$171,0),83)</f>
        <v>Soggetto privato</v>
      </c>
      <c r="S1608" s="86" t="str">
        <f>IF(#REF!="staff",INDEX('Partner data'!$DG$2:$DH$171,MATCH(#REF!,'Partner data'!$DG$2:$DG$171,0),2))</f>
        <v>Costo Unitario Standard</v>
      </c>
    </row>
    <row r="1609" spans="1:19" x14ac:dyDescent="0.25">
      <c r="A1609" t="s">
        <v>57</v>
      </c>
      <c r="B1609" t="s">
        <v>23</v>
      </c>
      <c r="C1609">
        <v>308</v>
      </c>
      <c r="D1609">
        <v>309</v>
      </c>
      <c r="E1609" t="s">
        <v>229</v>
      </c>
      <c r="F1609">
        <v>15</v>
      </c>
      <c r="G1609">
        <v>21546</v>
      </c>
      <c r="H1609">
        <v>4534.63</v>
      </c>
      <c r="I1609">
        <v>0</v>
      </c>
      <c r="J1609">
        <v>3420</v>
      </c>
      <c r="K1609">
        <v>0</v>
      </c>
      <c r="L1609">
        <v>3420</v>
      </c>
      <c r="M1609">
        <v>7954.63</v>
      </c>
      <c r="N1609">
        <v>36.92</v>
      </c>
      <c r="O1609">
        <v>13591.37</v>
      </c>
      <c r="P1609">
        <v>4534.2</v>
      </c>
      <c r="Q1609" t="str">
        <f>INDEX(pARTNER[#All],MATCH(#REF!,pARTNER[[#All],[Value.partnerSummary.id]],0),10)</f>
        <v>Italia (IT)</v>
      </c>
      <c r="R1609" t="str">
        <f>INDEX('Partner data'!$A$2:$DG$171,MATCH(#REF!,'Partner data'!$DG$2:$DG$171,0),83)</f>
        <v>Soggetto privato</v>
      </c>
      <c r="S1609" s="86" t="b">
        <f>IF(#REF!="staff",INDEX('Partner data'!$DG$2:$DH$171,MATCH(#REF!,'Partner data'!$DG$2:$DG$171,0),2))</f>
        <v>0</v>
      </c>
    </row>
    <row r="1610" spans="1:19" x14ac:dyDescent="0.25">
      <c r="A1610" t="s">
        <v>57</v>
      </c>
      <c r="B1610" t="s">
        <v>23</v>
      </c>
      <c r="C1610">
        <v>308</v>
      </c>
      <c r="D1610">
        <v>309</v>
      </c>
      <c r="E1610" t="s">
        <v>230</v>
      </c>
      <c r="F1610">
        <v>4</v>
      </c>
      <c r="G1610">
        <v>5745.6</v>
      </c>
      <c r="H1610">
        <v>1209.23</v>
      </c>
      <c r="I1610">
        <v>0</v>
      </c>
      <c r="J1610">
        <v>912</v>
      </c>
      <c r="K1610">
        <v>0</v>
      </c>
      <c r="L1610">
        <v>912</v>
      </c>
      <c r="M1610">
        <v>2121.23</v>
      </c>
      <c r="N1610">
        <v>36.92</v>
      </c>
      <c r="O1610">
        <v>3624.37</v>
      </c>
      <c r="P1610">
        <v>1209.1199999999999</v>
      </c>
      <c r="Q1610" t="str">
        <f>INDEX(pARTNER[#All],MATCH(#REF!,pARTNER[[#All],[Value.partnerSummary.id]],0),10)</f>
        <v>Italia (IT)</v>
      </c>
      <c r="R1610" t="str">
        <f>INDEX('Partner data'!$A$2:$DG$171,MATCH(#REF!,'Partner data'!$DG$2:$DG$171,0),83)</f>
        <v>Soggetto privato</v>
      </c>
      <c r="S1610" s="86" t="b">
        <f>IF(#REF!="staff",INDEX('Partner data'!$DG$2:$DH$171,MATCH(#REF!,'Partner data'!$DG$2:$DG$171,0),2))</f>
        <v>0</v>
      </c>
    </row>
    <row r="1611" spans="1:19" x14ac:dyDescent="0.25">
      <c r="A1611" t="s">
        <v>57</v>
      </c>
      <c r="B1611" t="s">
        <v>23</v>
      </c>
      <c r="C1611">
        <v>308</v>
      </c>
      <c r="D1611">
        <v>309</v>
      </c>
      <c r="E1611" t="s">
        <v>231</v>
      </c>
      <c r="G1611">
        <v>104068.5</v>
      </c>
      <c r="H1611">
        <v>0</v>
      </c>
      <c r="I1611">
        <v>0</v>
      </c>
      <c r="J1611">
        <v>24061.01</v>
      </c>
      <c r="K1611">
        <v>0</v>
      </c>
      <c r="L1611">
        <v>24061.01</v>
      </c>
      <c r="M1611">
        <v>24061.01</v>
      </c>
      <c r="N1611">
        <v>23.12</v>
      </c>
      <c r="O1611">
        <v>80007.490000000005</v>
      </c>
      <c r="P1611">
        <v>0</v>
      </c>
      <c r="Q1611" t="str">
        <f>INDEX(pARTNER[#All],MATCH(#REF!,pARTNER[[#All],[Value.partnerSummary.id]],0),10)</f>
        <v>Italia (IT)</v>
      </c>
      <c r="R1611" t="str">
        <f>INDEX('Partner data'!$A$2:$DG$171,MATCH(#REF!,'Partner data'!$DG$2:$DG$171,0),83)</f>
        <v>Soggetto privato</v>
      </c>
      <c r="S1611" s="86" t="b">
        <f>IF(#REF!="staff",INDEX('Partner data'!$DG$2:$DH$171,MATCH(#REF!,'Partner data'!$DG$2:$DG$171,0),2))</f>
        <v>0</v>
      </c>
    </row>
    <row r="1612" spans="1:19" x14ac:dyDescent="0.25">
      <c r="A1612" t="s">
        <v>57</v>
      </c>
      <c r="B1612" t="s">
        <v>23</v>
      </c>
      <c r="C1612">
        <v>308</v>
      </c>
      <c r="D1612">
        <v>309</v>
      </c>
      <c r="E1612" t="s">
        <v>232</v>
      </c>
      <c r="G1612">
        <v>0</v>
      </c>
      <c r="H1612">
        <v>0</v>
      </c>
      <c r="I1612">
        <v>0</v>
      </c>
      <c r="J1612">
        <v>0</v>
      </c>
      <c r="K1612">
        <v>0</v>
      </c>
      <c r="L1612">
        <v>0</v>
      </c>
      <c r="M1612">
        <v>0</v>
      </c>
      <c r="N1612">
        <v>0</v>
      </c>
      <c r="O1612">
        <v>0</v>
      </c>
      <c r="P1612">
        <v>0</v>
      </c>
      <c r="Q1612" t="str">
        <f>INDEX(pARTNER[#All],MATCH(#REF!,pARTNER[[#All],[Value.partnerSummary.id]],0),10)</f>
        <v>Italia (IT)</v>
      </c>
      <c r="R1612" t="str">
        <f>INDEX('Partner data'!$A$2:$DG$171,MATCH(#REF!,'Partner data'!$DG$2:$DG$171,0),83)</f>
        <v>Soggetto privato</v>
      </c>
      <c r="S1612" s="86" t="b">
        <f>IF(#REF!="staff",INDEX('Partner data'!$DG$2:$DH$171,MATCH(#REF!,'Partner data'!$DG$2:$DG$171,0),2))</f>
        <v>0</v>
      </c>
    </row>
    <row r="1613" spans="1:19" x14ac:dyDescent="0.25">
      <c r="A1613" t="s">
        <v>57</v>
      </c>
      <c r="B1613" t="s">
        <v>23</v>
      </c>
      <c r="C1613">
        <v>308</v>
      </c>
      <c r="D1613">
        <v>309</v>
      </c>
      <c r="E1613" t="s">
        <v>233</v>
      </c>
      <c r="G1613">
        <v>0</v>
      </c>
      <c r="H1613">
        <v>0</v>
      </c>
      <c r="I1613">
        <v>0</v>
      </c>
      <c r="J1613">
        <v>0</v>
      </c>
      <c r="K1613">
        <v>0</v>
      </c>
      <c r="L1613">
        <v>0</v>
      </c>
      <c r="M1613">
        <v>0</v>
      </c>
      <c r="N1613">
        <v>0</v>
      </c>
      <c r="O1613">
        <v>0</v>
      </c>
      <c r="P1613">
        <v>0</v>
      </c>
      <c r="Q1613" t="str">
        <f>INDEX(pARTNER[#All],MATCH(#REF!,pARTNER[[#All],[Value.partnerSummary.id]],0),10)</f>
        <v>Italia (IT)</v>
      </c>
      <c r="R1613" t="str">
        <f>INDEX('Partner data'!$A$2:$DG$171,MATCH(#REF!,'Partner data'!$DG$2:$DG$171,0),83)</f>
        <v>Soggetto privato</v>
      </c>
      <c r="S1613" s="86" t="b">
        <f>IF(#REF!="staff",INDEX('Partner data'!$DG$2:$DH$171,MATCH(#REF!,'Partner data'!$DG$2:$DG$171,0),2))</f>
        <v>0</v>
      </c>
    </row>
    <row r="1614" spans="1:19" x14ac:dyDescent="0.25">
      <c r="A1614" t="s">
        <v>57</v>
      </c>
      <c r="B1614" t="s">
        <v>23</v>
      </c>
      <c r="C1614">
        <v>308</v>
      </c>
      <c r="D1614">
        <v>309</v>
      </c>
      <c r="E1614" t="s">
        <v>234</v>
      </c>
      <c r="G1614">
        <v>0</v>
      </c>
      <c r="H1614">
        <v>0</v>
      </c>
      <c r="I1614">
        <v>0</v>
      </c>
      <c r="J1614">
        <v>0</v>
      </c>
      <c r="K1614">
        <v>0</v>
      </c>
      <c r="L1614">
        <v>0</v>
      </c>
      <c r="M1614">
        <v>0</v>
      </c>
      <c r="N1614">
        <v>0</v>
      </c>
      <c r="O1614">
        <v>0</v>
      </c>
      <c r="P1614">
        <v>0</v>
      </c>
      <c r="Q1614" t="str">
        <f>INDEX(pARTNER[#All],MATCH(#REF!,pARTNER[[#All],[Value.partnerSummary.id]],0),10)</f>
        <v>Italia (IT)</v>
      </c>
      <c r="R1614" t="str">
        <f>INDEX('Partner data'!$A$2:$DG$171,MATCH(#REF!,'Partner data'!$DG$2:$DG$171,0),83)</f>
        <v>Soggetto privato</v>
      </c>
      <c r="S1614" s="86" t="b">
        <f>IF(#REF!="staff",INDEX('Partner data'!$DG$2:$DH$171,MATCH(#REF!,'Partner data'!$DG$2:$DG$171,0),2))</f>
        <v>0</v>
      </c>
    </row>
    <row r="1615" spans="1:19" x14ac:dyDescent="0.25">
      <c r="A1615" t="s">
        <v>57</v>
      </c>
      <c r="B1615" t="s">
        <v>23</v>
      </c>
      <c r="C1615">
        <v>308</v>
      </c>
      <c r="D1615">
        <v>309</v>
      </c>
      <c r="E1615" t="s">
        <v>235</v>
      </c>
      <c r="G1615">
        <v>0</v>
      </c>
      <c r="H1615">
        <v>0</v>
      </c>
      <c r="I1615">
        <v>0</v>
      </c>
      <c r="J1615">
        <v>0</v>
      </c>
      <c r="K1615">
        <v>0</v>
      </c>
      <c r="L1615">
        <v>0</v>
      </c>
      <c r="M1615">
        <v>0</v>
      </c>
      <c r="N1615">
        <v>0</v>
      </c>
      <c r="O1615">
        <v>0</v>
      </c>
      <c r="P1615">
        <v>0</v>
      </c>
      <c r="Q1615" t="str">
        <f>INDEX(pARTNER[#All],MATCH(#REF!,pARTNER[[#All],[Value.partnerSummary.id]],0),10)</f>
        <v>Italia (IT)</v>
      </c>
      <c r="R1615" t="str">
        <f>INDEX('Partner data'!$A$2:$DG$171,MATCH(#REF!,'Partner data'!$DG$2:$DG$171,0),83)</f>
        <v>Soggetto privato</v>
      </c>
      <c r="S1615" s="86" t="b">
        <f>IF(#REF!="staff",INDEX('Partner data'!$DG$2:$DH$171,MATCH(#REF!,'Partner data'!$DG$2:$DG$171,0),2))</f>
        <v>0</v>
      </c>
    </row>
    <row r="1616" spans="1:19" x14ac:dyDescent="0.25">
      <c r="A1616" t="s">
        <v>57</v>
      </c>
      <c r="B1616" t="s">
        <v>23</v>
      </c>
      <c r="C1616">
        <v>308</v>
      </c>
      <c r="D1616">
        <v>309</v>
      </c>
      <c r="E1616" t="s">
        <v>236</v>
      </c>
      <c r="G1616">
        <v>0</v>
      </c>
      <c r="H1616">
        <v>0</v>
      </c>
      <c r="I1616">
        <v>0</v>
      </c>
      <c r="J1616">
        <v>0</v>
      </c>
      <c r="K1616">
        <v>0</v>
      </c>
      <c r="L1616">
        <v>0</v>
      </c>
      <c r="M1616">
        <v>0</v>
      </c>
      <c r="N1616">
        <v>0</v>
      </c>
      <c r="O1616">
        <v>0</v>
      </c>
      <c r="P1616">
        <v>0</v>
      </c>
      <c r="Q1616" t="str">
        <f>INDEX(pARTNER[#All],MATCH(#REF!,pARTNER[[#All],[Value.partnerSummary.id]],0),10)</f>
        <v>Italia (IT)</v>
      </c>
      <c r="R1616" t="str">
        <f>INDEX('Partner data'!$A$2:$DG$171,MATCH(#REF!,'Partner data'!$DG$2:$DG$171,0),83)</f>
        <v>Soggetto privato</v>
      </c>
      <c r="S1616" s="86" t="b">
        <f>IF(#REF!="staff",INDEX('Partner data'!$DG$2:$DH$171,MATCH(#REF!,'Partner data'!$DG$2:$DG$171,0),2))</f>
        <v>0</v>
      </c>
    </row>
    <row r="1617" spans="1:19" x14ac:dyDescent="0.25">
      <c r="A1617" t="s">
        <v>57</v>
      </c>
      <c r="B1617" t="s">
        <v>23</v>
      </c>
      <c r="C1617">
        <v>308</v>
      </c>
      <c r="D1617">
        <v>309</v>
      </c>
      <c r="E1617" t="s">
        <v>237</v>
      </c>
      <c r="G1617">
        <v>0</v>
      </c>
      <c r="H1617">
        <v>0</v>
      </c>
      <c r="I1617">
        <v>0</v>
      </c>
      <c r="J1617">
        <v>0</v>
      </c>
      <c r="K1617">
        <v>0</v>
      </c>
      <c r="L1617">
        <v>0</v>
      </c>
      <c r="M1617">
        <v>0</v>
      </c>
      <c r="N1617">
        <v>0</v>
      </c>
      <c r="O1617">
        <v>0</v>
      </c>
      <c r="P1617">
        <v>0</v>
      </c>
      <c r="Q1617" t="str">
        <f>INDEX(pARTNER[#All],MATCH(#REF!,pARTNER[[#All],[Value.partnerSummary.id]],0),10)</f>
        <v>Italia (IT)</v>
      </c>
      <c r="R1617" t="str">
        <f>INDEX('Partner data'!$A$2:$DG$171,MATCH(#REF!,'Partner data'!$DG$2:$DG$171,0),83)</f>
        <v>Soggetto privato</v>
      </c>
      <c r="S1617" s="86" t="b">
        <f>IF(#REF!="staff",INDEX('Partner data'!$DG$2:$DH$171,MATCH(#REF!,'Partner data'!$DG$2:$DG$171,0),2))</f>
        <v>0</v>
      </c>
    </row>
    <row r="1618" spans="1:19" x14ac:dyDescent="0.25">
      <c r="A1618" t="s">
        <v>57</v>
      </c>
      <c r="B1618" t="s">
        <v>23</v>
      </c>
      <c r="C1618">
        <v>308</v>
      </c>
      <c r="D1618">
        <v>309</v>
      </c>
      <c r="E1618" t="s">
        <v>238</v>
      </c>
      <c r="G1618">
        <v>275000.09999999998</v>
      </c>
      <c r="H1618">
        <v>35974.74</v>
      </c>
      <c r="I1618">
        <v>0</v>
      </c>
      <c r="J1618">
        <v>51193.01</v>
      </c>
      <c r="K1618">
        <v>0</v>
      </c>
      <c r="L1618">
        <v>51193.01</v>
      </c>
      <c r="M1618">
        <v>87167.75</v>
      </c>
      <c r="N1618">
        <v>31.7</v>
      </c>
      <c r="O1618">
        <v>187832.35</v>
      </c>
      <c r="P1618">
        <v>35971.32</v>
      </c>
      <c r="Q1618" t="str">
        <f>INDEX(pARTNER[#All],MATCH(#REF!,pARTNER[[#All],[Value.partnerSummary.id]],0),10)</f>
        <v>Italia (IT)</v>
      </c>
      <c r="R1618" t="str">
        <f>INDEX('Partner data'!$A$2:$DG$171,MATCH(#REF!,'Partner data'!$DG$2:$DG$171,0),83)</f>
        <v>Soggetto privato</v>
      </c>
      <c r="S1618" s="86" t="b">
        <f>IF(#REF!="staff",INDEX('Partner data'!$DG$2:$DH$171,MATCH(#REF!,'Partner data'!$DG$2:$DG$171,0),2))</f>
        <v>0</v>
      </c>
    </row>
    <row r="1619" spans="1:19" x14ac:dyDescent="0.25">
      <c r="A1619" t="s">
        <v>57</v>
      </c>
      <c r="B1619" t="s">
        <v>23</v>
      </c>
      <c r="C1619">
        <v>308</v>
      </c>
      <c r="D1619">
        <v>48</v>
      </c>
      <c r="E1619" t="s">
        <v>228</v>
      </c>
      <c r="G1619">
        <v>143640</v>
      </c>
      <c r="H1619">
        <v>0</v>
      </c>
      <c r="I1619">
        <v>0</v>
      </c>
      <c r="J1619">
        <v>30230.880000000001</v>
      </c>
      <c r="K1619">
        <v>0</v>
      </c>
      <c r="L1619">
        <v>30228</v>
      </c>
      <c r="M1619">
        <v>30230.880000000001</v>
      </c>
      <c r="N1619">
        <v>21.05</v>
      </c>
      <c r="O1619">
        <v>113409.12</v>
      </c>
      <c r="P1619">
        <v>0</v>
      </c>
      <c r="Q1619" t="str">
        <f>INDEX(pARTNER[#All],MATCH(#REF!,pARTNER[[#All],[Value.partnerSummary.id]],0),10)</f>
        <v>Italia (IT)</v>
      </c>
      <c r="R1619" t="str">
        <f>INDEX('Partner data'!$A$2:$DG$171,MATCH(#REF!,'Partner data'!$DG$2:$DG$171,0),83)</f>
        <v>Soggetto privato</v>
      </c>
      <c r="S1619" s="86" t="str">
        <f>IF(#REF!="staff",INDEX('Partner data'!$DG$2:$DH$171,MATCH(#REF!,'Partner data'!$DG$2:$DG$171,0),2))</f>
        <v>Costo Unitario Standard</v>
      </c>
    </row>
    <row r="1620" spans="1:19" x14ac:dyDescent="0.25">
      <c r="A1620" t="s">
        <v>57</v>
      </c>
      <c r="B1620" t="s">
        <v>23</v>
      </c>
      <c r="C1620">
        <v>308</v>
      </c>
      <c r="D1620">
        <v>48</v>
      </c>
      <c r="E1620" t="s">
        <v>229</v>
      </c>
      <c r="F1620">
        <v>15</v>
      </c>
      <c r="G1620">
        <v>21546</v>
      </c>
      <c r="H1620">
        <v>0</v>
      </c>
      <c r="I1620">
        <v>0</v>
      </c>
      <c r="J1620">
        <v>4534.63</v>
      </c>
      <c r="K1620">
        <v>0</v>
      </c>
      <c r="L1620">
        <v>4534.2</v>
      </c>
      <c r="M1620">
        <v>4534.63</v>
      </c>
      <c r="N1620">
        <v>21.05</v>
      </c>
      <c r="O1620">
        <v>17011.37</v>
      </c>
      <c r="P1620">
        <v>0</v>
      </c>
      <c r="Q1620" t="str">
        <f>INDEX(pARTNER[#All],MATCH(#REF!,pARTNER[[#All],[Value.partnerSummary.id]],0),10)</f>
        <v>Italia (IT)</v>
      </c>
      <c r="R1620" t="str">
        <f>INDEX('Partner data'!$A$2:$DG$171,MATCH(#REF!,'Partner data'!$DG$2:$DG$171,0),83)</f>
        <v>Soggetto privato</v>
      </c>
      <c r="S1620" s="86" t="b">
        <f>IF(#REF!="staff",INDEX('Partner data'!$DG$2:$DH$171,MATCH(#REF!,'Partner data'!$DG$2:$DG$171,0),2))</f>
        <v>0</v>
      </c>
    </row>
    <row r="1621" spans="1:19" x14ac:dyDescent="0.25">
      <c r="A1621" t="s">
        <v>57</v>
      </c>
      <c r="B1621" t="s">
        <v>23</v>
      </c>
      <c r="C1621">
        <v>308</v>
      </c>
      <c r="D1621">
        <v>48</v>
      </c>
      <c r="E1621" t="s">
        <v>230</v>
      </c>
      <c r="F1621">
        <v>4</v>
      </c>
      <c r="G1621">
        <v>5745.6</v>
      </c>
      <c r="H1621">
        <v>0</v>
      </c>
      <c r="I1621">
        <v>0</v>
      </c>
      <c r="J1621">
        <v>1209.23</v>
      </c>
      <c r="K1621">
        <v>0</v>
      </c>
      <c r="L1621">
        <v>1209.1199999999999</v>
      </c>
      <c r="M1621">
        <v>1209.23</v>
      </c>
      <c r="N1621">
        <v>21.05</v>
      </c>
      <c r="O1621">
        <v>4536.37</v>
      </c>
      <c r="P1621">
        <v>0</v>
      </c>
      <c r="Q1621" t="str">
        <f>INDEX(pARTNER[#All],MATCH(#REF!,pARTNER[[#All],[Value.partnerSummary.id]],0),10)</f>
        <v>Italia (IT)</v>
      </c>
      <c r="R1621" t="str">
        <f>INDEX('Partner data'!$A$2:$DG$171,MATCH(#REF!,'Partner data'!$DG$2:$DG$171,0),83)</f>
        <v>Soggetto privato</v>
      </c>
      <c r="S1621" s="86" t="b">
        <f>IF(#REF!="staff",INDEX('Partner data'!$DG$2:$DH$171,MATCH(#REF!,'Partner data'!$DG$2:$DG$171,0),2))</f>
        <v>0</v>
      </c>
    </row>
    <row r="1622" spans="1:19" x14ac:dyDescent="0.25">
      <c r="A1622" t="s">
        <v>57</v>
      </c>
      <c r="B1622" t="s">
        <v>23</v>
      </c>
      <c r="C1622">
        <v>308</v>
      </c>
      <c r="D1622">
        <v>48</v>
      </c>
      <c r="E1622" t="s">
        <v>231</v>
      </c>
      <c r="G1622">
        <v>104068.5</v>
      </c>
      <c r="H1622">
        <v>0</v>
      </c>
      <c r="I1622">
        <v>0</v>
      </c>
      <c r="J1622">
        <v>0</v>
      </c>
      <c r="K1622">
        <v>0</v>
      </c>
      <c r="L1622">
        <v>0</v>
      </c>
      <c r="M1622">
        <v>0</v>
      </c>
      <c r="N1622">
        <v>0</v>
      </c>
      <c r="O1622">
        <v>104068.5</v>
      </c>
      <c r="P1622">
        <v>0</v>
      </c>
      <c r="Q1622" t="str">
        <f>INDEX(pARTNER[#All],MATCH(#REF!,pARTNER[[#All],[Value.partnerSummary.id]],0),10)</f>
        <v>Italia (IT)</v>
      </c>
      <c r="R1622" t="str">
        <f>INDEX('Partner data'!$A$2:$DG$171,MATCH(#REF!,'Partner data'!$DG$2:$DG$171,0),83)</f>
        <v>Soggetto privato</v>
      </c>
      <c r="S1622" s="86" t="b">
        <f>IF(#REF!="staff",INDEX('Partner data'!$DG$2:$DH$171,MATCH(#REF!,'Partner data'!$DG$2:$DG$171,0),2))</f>
        <v>0</v>
      </c>
    </row>
    <row r="1623" spans="1:19" x14ac:dyDescent="0.25">
      <c r="A1623" t="s">
        <v>57</v>
      </c>
      <c r="B1623" t="s">
        <v>23</v>
      </c>
      <c r="C1623">
        <v>308</v>
      </c>
      <c r="D1623">
        <v>48</v>
      </c>
      <c r="E1623" t="s">
        <v>232</v>
      </c>
      <c r="G1623">
        <v>0</v>
      </c>
      <c r="H1623">
        <v>0</v>
      </c>
      <c r="I1623">
        <v>0</v>
      </c>
      <c r="J1623">
        <v>0</v>
      </c>
      <c r="K1623">
        <v>0</v>
      </c>
      <c r="L1623">
        <v>0</v>
      </c>
      <c r="M1623">
        <v>0</v>
      </c>
      <c r="N1623">
        <v>0</v>
      </c>
      <c r="O1623">
        <v>0</v>
      </c>
      <c r="P1623">
        <v>0</v>
      </c>
      <c r="Q1623" t="str">
        <f>INDEX(pARTNER[#All],MATCH(#REF!,pARTNER[[#All],[Value.partnerSummary.id]],0),10)</f>
        <v>Italia (IT)</v>
      </c>
      <c r="R1623" t="str">
        <f>INDEX('Partner data'!$A$2:$DG$171,MATCH(#REF!,'Partner data'!$DG$2:$DG$171,0),83)</f>
        <v>Soggetto privato</v>
      </c>
      <c r="S1623" s="86" t="b">
        <f>IF(#REF!="staff",INDEX('Partner data'!$DG$2:$DH$171,MATCH(#REF!,'Partner data'!$DG$2:$DG$171,0),2))</f>
        <v>0</v>
      </c>
    </row>
    <row r="1624" spans="1:19" x14ac:dyDescent="0.25">
      <c r="A1624" t="s">
        <v>57</v>
      </c>
      <c r="B1624" t="s">
        <v>23</v>
      </c>
      <c r="C1624">
        <v>308</v>
      </c>
      <c r="D1624">
        <v>48</v>
      </c>
      <c r="E1624" t="s">
        <v>233</v>
      </c>
      <c r="G1624">
        <v>0</v>
      </c>
      <c r="H1624">
        <v>0</v>
      </c>
      <c r="I1624">
        <v>0</v>
      </c>
      <c r="J1624">
        <v>0</v>
      </c>
      <c r="K1624">
        <v>0</v>
      </c>
      <c r="L1624">
        <v>0</v>
      </c>
      <c r="M1624">
        <v>0</v>
      </c>
      <c r="N1624">
        <v>0</v>
      </c>
      <c r="O1624">
        <v>0</v>
      </c>
      <c r="P1624">
        <v>0</v>
      </c>
      <c r="Q1624" t="str">
        <f>INDEX(pARTNER[#All],MATCH(#REF!,pARTNER[[#All],[Value.partnerSummary.id]],0),10)</f>
        <v>Italia (IT)</v>
      </c>
      <c r="R1624" t="str">
        <f>INDEX('Partner data'!$A$2:$DG$171,MATCH(#REF!,'Partner data'!$DG$2:$DG$171,0),83)</f>
        <v>Soggetto privato</v>
      </c>
      <c r="S1624" s="86" t="b">
        <f>IF(#REF!="staff",INDEX('Partner data'!$DG$2:$DH$171,MATCH(#REF!,'Partner data'!$DG$2:$DG$171,0),2))</f>
        <v>0</v>
      </c>
    </row>
    <row r="1625" spans="1:19" x14ac:dyDescent="0.25">
      <c r="A1625" t="s">
        <v>57</v>
      </c>
      <c r="B1625" t="s">
        <v>23</v>
      </c>
      <c r="C1625">
        <v>308</v>
      </c>
      <c r="D1625">
        <v>48</v>
      </c>
      <c r="E1625" t="s">
        <v>234</v>
      </c>
      <c r="G1625">
        <v>0</v>
      </c>
      <c r="H1625">
        <v>0</v>
      </c>
      <c r="I1625">
        <v>0</v>
      </c>
      <c r="J1625">
        <v>0</v>
      </c>
      <c r="K1625">
        <v>0</v>
      </c>
      <c r="L1625">
        <v>0</v>
      </c>
      <c r="M1625">
        <v>0</v>
      </c>
      <c r="N1625">
        <v>0</v>
      </c>
      <c r="O1625">
        <v>0</v>
      </c>
      <c r="P1625">
        <v>0</v>
      </c>
      <c r="Q1625" t="str">
        <f>INDEX(pARTNER[#All],MATCH(#REF!,pARTNER[[#All],[Value.partnerSummary.id]],0),10)</f>
        <v>Italia (IT)</v>
      </c>
      <c r="R1625" t="str">
        <f>INDEX('Partner data'!$A$2:$DG$171,MATCH(#REF!,'Partner data'!$DG$2:$DG$171,0),83)</f>
        <v>Soggetto privato</v>
      </c>
      <c r="S1625" s="86" t="b">
        <f>IF(#REF!="staff",INDEX('Partner data'!$DG$2:$DH$171,MATCH(#REF!,'Partner data'!$DG$2:$DG$171,0),2))</f>
        <v>0</v>
      </c>
    </row>
    <row r="1626" spans="1:19" x14ac:dyDescent="0.25">
      <c r="A1626" t="s">
        <v>57</v>
      </c>
      <c r="B1626" t="s">
        <v>23</v>
      </c>
      <c r="C1626">
        <v>308</v>
      </c>
      <c r="D1626">
        <v>48</v>
      </c>
      <c r="E1626" t="s">
        <v>235</v>
      </c>
      <c r="G1626">
        <v>0</v>
      </c>
      <c r="H1626">
        <v>0</v>
      </c>
      <c r="I1626">
        <v>0</v>
      </c>
      <c r="J1626">
        <v>0</v>
      </c>
      <c r="K1626">
        <v>0</v>
      </c>
      <c r="L1626">
        <v>0</v>
      </c>
      <c r="M1626">
        <v>0</v>
      </c>
      <c r="N1626">
        <v>0</v>
      </c>
      <c r="O1626">
        <v>0</v>
      </c>
      <c r="P1626">
        <v>0</v>
      </c>
      <c r="Q1626" t="str">
        <f>INDEX(pARTNER[#All],MATCH(#REF!,pARTNER[[#All],[Value.partnerSummary.id]],0),10)</f>
        <v>Italia (IT)</v>
      </c>
      <c r="R1626" t="str">
        <f>INDEX('Partner data'!$A$2:$DG$171,MATCH(#REF!,'Partner data'!$DG$2:$DG$171,0),83)</f>
        <v>Soggetto privato</v>
      </c>
      <c r="S1626" s="86" t="b">
        <f>IF(#REF!="staff",INDEX('Partner data'!$DG$2:$DH$171,MATCH(#REF!,'Partner data'!$DG$2:$DG$171,0),2))</f>
        <v>0</v>
      </c>
    </row>
    <row r="1627" spans="1:19" x14ac:dyDescent="0.25">
      <c r="A1627" t="s">
        <v>57</v>
      </c>
      <c r="B1627" t="s">
        <v>23</v>
      </c>
      <c r="C1627">
        <v>308</v>
      </c>
      <c r="D1627">
        <v>48</v>
      </c>
      <c r="E1627" t="s">
        <v>236</v>
      </c>
      <c r="G1627">
        <v>0</v>
      </c>
      <c r="H1627">
        <v>0</v>
      </c>
      <c r="I1627">
        <v>0</v>
      </c>
      <c r="J1627">
        <v>0</v>
      </c>
      <c r="K1627">
        <v>0</v>
      </c>
      <c r="L1627">
        <v>0</v>
      </c>
      <c r="M1627">
        <v>0</v>
      </c>
      <c r="N1627">
        <v>0</v>
      </c>
      <c r="O1627">
        <v>0</v>
      </c>
      <c r="P1627">
        <v>0</v>
      </c>
      <c r="Q1627" t="str">
        <f>INDEX(pARTNER[#All],MATCH(#REF!,pARTNER[[#All],[Value.partnerSummary.id]],0),10)</f>
        <v>Italia (IT)</v>
      </c>
      <c r="R1627" t="str">
        <f>INDEX('Partner data'!$A$2:$DG$171,MATCH(#REF!,'Partner data'!$DG$2:$DG$171,0),83)</f>
        <v>Soggetto privato</v>
      </c>
      <c r="S1627" s="86" t="b">
        <f>IF(#REF!="staff",INDEX('Partner data'!$DG$2:$DH$171,MATCH(#REF!,'Partner data'!$DG$2:$DG$171,0),2))</f>
        <v>0</v>
      </c>
    </row>
    <row r="1628" spans="1:19" x14ac:dyDescent="0.25">
      <c r="A1628" t="s">
        <v>57</v>
      </c>
      <c r="B1628" t="s">
        <v>23</v>
      </c>
      <c r="C1628">
        <v>308</v>
      </c>
      <c r="D1628">
        <v>48</v>
      </c>
      <c r="E1628" t="s">
        <v>237</v>
      </c>
      <c r="G1628">
        <v>0</v>
      </c>
      <c r="H1628">
        <v>0</v>
      </c>
      <c r="I1628">
        <v>0</v>
      </c>
      <c r="J1628">
        <v>0</v>
      </c>
      <c r="K1628">
        <v>0</v>
      </c>
      <c r="L1628">
        <v>0</v>
      </c>
      <c r="M1628">
        <v>0</v>
      </c>
      <c r="N1628">
        <v>0</v>
      </c>
      <c r="O1628">
        <v>0</v>
      </c>
      <c r="P1628">
        <v>0</v>
      </c>
      <c r="Q1628" t="str">
        <f>INDEX(pARTNER[#All],MATCH(#REF!,pARTNER[[#All],[Value.partnerSummary.id]],0),10)</f>
        <v>Italia (IT)</v>
      </c>
      <c r="R1628" t="str">
        <f>INDEX('Partner data'!$A$2:$DG$171,MATCH(#REF!,'Partner data'!$DG$2:$DG$171,0),83)</f>
        <v>Soggetto privato</v>
      </c>
      <c r="S1628" s="86" t="b">
        <f>IF(#REF!="staff",INDEX('Partner data'!$DG$2:$DH$171,MATCH(#REF!,'Partner data'!$DG$2:$DG$171,0),2))</f>
        <v>0</v>
      </c>
    </row>
    <row r="1629" spans="1:19" x14ac:dyDescent="0.25">
      <c r="A1629" t="s">
        <v>57</v>
      </c>
      <c r="B1629" t="s">
        <v>23</v>
      </c>
      <c r="C1629">
        <v>308</v>
      </c>
      <c r="D1629">
        <v>48</v>
      </c>
      <c r="E1629" t="s">
        <v>238</v>
      </c>
      <c r="G1629">
        <v>275000.09999999998</v>
      </c>
      <c r="H1629">
        <v>0</v>
      </c>
      <c r="I1629">
        <v>0</v>
      </c>
      <c r="J1629">
        <v>35974.74</v>
      </c>
      <c r="K1629">
        <v>0</v>
      </c>
      <c r="L1629">
        <v>35971.32</v>
      </c>
      <c r="M1629">
        <v>35974.74</v>
      </c>
      <c r="N1629">
        <v>13.08</v>
      </c>
      <c r="O1629">
        <v>239025.36</v>
      </c>
      <c r="P1629">
        <v>0</v>
      </c>
      <c r="Q1629" t="str">
        <f>INDEX(pARTNER[#All],MATCH(#REF!,pARTNER[[#All],[Value.partnerSummary.id]],0),10)</f>
        <v>Italia (IT)</v>
      </c>
      <c r="R1629" t="str">
        <f>INDEX('Partner data'!$A$2:$DG$171,MATCH(#REF!,'Partner data'!$DG$2:$DG$171,0),83)</f>
        <v>Soggetto privato</v>
      </c>
      <c r="S1629" s="86" t="b">
        <f>IF(#REF!="staff",INDEX('Partner data'!$DG$2:$DH$171,MATCH(#REF!,'Partner data'!$DG$2:$DG$171,0),2))</f>
        <v>0</v>
      </c>
    </row>
    <row r="1630" spans="1:19" x14ac:dyDescent="0.25">
      <c r="A1630" t="s">
        <v>57</v>
      </c>
      <c r="B1630" t="s">
        <v>24</v>
      </c>
      <c r="C1630">
        <v>313</v>
      </c>
      <c r="D1630">
        <v>237</v>
      </c>
      <c r="E1630" t="s">
        <v>228</v>
      </c>
      <c r="G1630">
        <v>236435.04</v>
      </c>
      <c r="H1630">
        <v>68977.78</v>
      </c>
      <c r="I1630">
        <v>7778.63</v>
      </c>
      <c r="J1630">
        <v>31650.69</v>
      </c>
      <c r="K1630">
        <v>7512.54</v>
      </c>
      <c r="L1630">
        <v>30792.31</v>
      </c>
      <c r="M1630">
        <v>100628.47</v>
      </c>
      <c r="N1630">
        <v>42.56</v>
      </c>
      <c r="O1630">
        <v>135806.57</v>
      </c>
      <c r="P1630">
        <v>59430.58</v>
      </c>
      <c r="Q1630" t="str">
        <f>INDEX(pARTNER[#All],MATCH(#REF!,pARTNER[[#All],[Value.partnerSummary.id]],0),10)</f>
        <v>Slovenija (SI)</v>
      </c>
      <c r="R1630" t="str">
        <f>INDEX('Partner data'!$A$2:$DG$171,MATCH(#REF!,'Partner data'!$DG$2:$DG$171,0),83)</f>
        <v>Soggetto pubblico</v>
      </c>
      <c r="S1630" s="86" t="str">
        <f>IF(#REF!="staff",INDEX('Partner data'!$DG$2:$DH$171,MATCH(#REF!,'Partner data'!$DG$2:$DG$171,0),2))</f>
        <v>COSTO REALE</v>
      </c>
    </row>
    <row r="1631" spans="1:19" x14ac:dyDescent="0.25">
      <c r="A1631" t="s">
        <v>57</v>
      </c>
      <c r="B1631" t="s">
        <v>24</v>
      </c>
      <c r="C1631">
        <v>313</v>
      </c>
      <c r="D1631">
        <v>237</v>
      </c>
      <c r="E1631" t="s">
        <v>229</v>
      </c>
      <c r="F1631">
        <v>15</v>
      </c>
      <c r="G1631">
        <v>35465.25</v>
      </c>
      <c r="H1631">
        <v>10346.66</v>
      </c>
      <c r="I1631">
        <v>1166.79</v>
      </c>
      <c r="J1631">
        <v>4747.6000000000004</v>
      </c>
      <c r="K1631">
        <v>1126.8800000000001</v>
      </c>
      <c r="L1631">
        <v>4618.84</v>
      </c>
      <c r="M1631">
        <v>15094.26</v>
      </c>
      <c r="N1631">
        <v>42.56</v>
      </c>
      <c r="O1631">
        <v>20370.990000000002</v>
      </c>
      <c r="P1631">
        <v>8914.58</v>
      </c>
      <c r="Q1631" t="str">
        <f>INDEX(pARTNER[#All],MATCH(#REF!,pARTNER[[#All],[Value.partnerSummary.id]],0),10)</f>
        <v>Slovenija (SI)</v>
      </c>
      <c r="R1631" t="str">
        <f>INDEX('Partner data'!$A$2:$DG$171,MATCH(#REF!,'Partner data'!$DG$2:$DG$171,0),83)</f>
        <v>Soggetto pubblico</v>
      </c>
      <c r="S1631" s="86" t="b">
        <f>IF(#REF!="staff",INDEX('Partner data'!$DG$2:$DH$171,MATCH(#REF!,'Partner data'!$DG$2:$DG$171,0),2))</f>
        <v>0</v>
      </c>
    </row>
    <row r="1632" spans="1:19" x14ac:dyDescent="0.25">
      <c r="A1632" t="s">
        <v>57</v>
      </c>
      <c r="B1632" t="s">
        <v>24</v>
      </c>
      <c r="C1632">
        <v>313</v>
      </c>
      <c r="D1632">
        <v>237</v>
      </c>
      <c r="E1632" t="s">
        <v>230</v>
      </c>
      <c r="F1632">
        <v>4</v>
      </c>
      <c r="G1632">
        <v>9457.4</v>
      </c>
      <c r="H1632">
        <v>2759.11</v>
      </c>
      <c r="I1632">
        <v>311.14</v>
      </c>
      <c r="J1632">
        <v>1266.02</v>
      </c>
      <c r="K1632">
        <v>300.5</v>
      </c>
      <c r="L1632">
        <v>1231.69</v>
      </c>
      <c r="M1632">
        <v>4025.13</v>
      </c>
      <c r="N1632">
        <v>42.56</v>
      </c>
      <c r="O1632">
        <v>5432.27</v>
      </c>
      <c r="P1632">
        <v>2377.2199999999998</v>
      </c>
      <c r="Q1632" t="str">
        <f>INDEX(pARTNER[#All],MATCH(#REF!,pARTNER[[#All],[Value.partnerSummary.id]],0),10)</f>
        <v>Slovenija (SI)</v>
      </c>
      <c r="R1632" t="str">
        <f>INDEX('Partner data'!$A$2:$DG$171,MATCH(#REF!,'Partner data'!$DG$2:$DG$171,0),83)</f>
        <v>Soggetto pubblico</v>
      </c>
      <c r="S1632" s="86" t="b">
        <f>IF(#REF!="staff",INDEX('Partner data'!$DG$2:$DH$171,MATCH(#REF!,'Partner data'!$DG$2:$DG$171,0),2))</f>
        <v>0</v>
      </c>
    </row>
    <row r="1633" spans="1:19" x14ac:dyDescent="0.25">
      <c r="A1633" t="s">
        <v>57</v>
      </c>
      <c r="B1633" t="s">
        <v>24</v>
      </c>
      <c r="C1633">
        <v>313</v>
      </c>
      <c r="D1633">
        <v>237</v>
      </c>
      <c r="E1633" t="s">
        <v>231</v>
      </c>
      <c r="G1633">
        <v>31000.01</v>
      </c>
      <c r="H1633">
        <v>0</v>
      </c>
      <c r="I1633">
        <v>0</v>
      </c>
      <c r="J1633">
        <v>173.13</v>
      </c>
      <c r="K1633">
        <v>0</v>
      </c>
      <c r="L1633">
        <v>173.13</v>
      </c>
      <c r="M1633">
        <v>173.13</v>
      </c>
      <c r="N1633">
        <v>0.56000000000000005</v>
      </c>
      <c r="O1633">
        <v>30826.880000000001</v>
      </c>
      <c r="P1633">
        <v>0</v>
      </c>
      <c r="Q1633" t="str">
        <f>INDEX(pARTNER[#All],MATCH(#REF!,pARTNER[[#All],[Value.partnerSummary.id]],0),10)</f>
        <v>Slovenija (SI)</v>
      </c>
      <c r="R1633" t="str">
        <f>INDEX('Partner data'!$A$2:$DG$171,MATCH(#REF!,'Partner data'!$DG$2:$DG$171,0),83)</f>
        <v>Soggetto pubblico</v>
      </c>
      <c r="S1633" s="86" t="b">
        <f>IF(#REF!="staff",INDEX('Partner data'!$DG$2:$DH$171,MATCH(#REF!,'Partner data'!$DG$2:$DG$171,0),2))</f>
        <v>0</v>
      </c>
    </row>
    <row r="1634" spans="1:19" x14ac:dyDescent="0.25">
      <c r="A1634" t="s">
        <v>57</v>
      </c>
      <c r="B1634" t="s">
        <v>24</v>
      </c>
      <c r="C1634">
        <v>313</v>
      </c>
      <c r="D1634">
        <v>237</v>
      </c>
      <c r="E1634" t="s">
        <v>232</v>
      </c>
      <c r="G1634">
        <v>0</v>
      </c>
      <c r="H1634">
        <v>0</v>
      </c>
      <c r="I1634">
        <v>0</v>
      </c>
      <c r="J1634">
        <v>0</v>
      </c>
      <c r="K1634">
        <v>0</v>
      </c>
      <c r="L1634">
        <v>0</v>
      </c>
      <c r="M1634">
        <v>0</v>
      </c>
      <c r="N1634">
        <v>0</v>
      </c>
      <c r="O1634">
        <v>0</v>
      </c>
      <c r="P1634">
        <v>0</v>
      </c>
      <c r="Q1634" t="str">
        <f>INDEX(pARTNER[#All],MATCH(#REF!,pARTNER[[#All],[Value.partnerSummary.id]],0),10)</f>
        <v>Slovenija (SI)</v>
      </c>
      <c r="R1634" t="str">
        <f>INDEX('Partner data'!$A$2:$DG$171,MATCH(#REF!,'Partner data'!$DG$2:$DG$171,0),83)</f>
        <v>Soggetto pubblico</v>
      </c>
      <c r="S1634" s="86" t="b">
        <f>IF(#REF!="staff",INDEX('Partner data'!$DG$2:$DH$171,MATCH(#REF!,'Partner data'!$DG$2:$DG$171,0),2))</f>
        <v>0</v>
      </c>
    </row>
    <row r="1635" spans="1:19" x14ac:dyDescent="0.25">
      <c r="A1635" t="s">
        <v>57</v>
      </c>
      <c r="B1635" t="s">
        <v>24</v>
      </c>
      <c r="C1635">
        <v>313</v>
      </c>
      <c r="D1635">
        <v>237</v>
      </c>
      <c r="E1635" t="s">
        <v>233</v>
      </c>
      <c r="G1635">
        <v>0</v>
      </c>
      <c r="H1635">
        <v>0</v>
      </c>
      <c r="I1635">
        <v>0</v>
      </c>
      <c r="J1635">
        <v>0</v>
      </c>
      <c r="K1635">
        <v>0</v>
      </c>
      <c r="L1635">
        <v>0</v>
      </c>
      <c r="M1635">
        <v>0</v>
      </c>
      <c r="N1635">
        <v>0</v>
      </c>
      <c r="O1635">
        <v>0</v>
      </c>
      <c r="P1635">
        <v>0</v>
      </c>
      <c r="Q1635" t="str">
        <f>INDEX(pARTNER[#All],MATCH(#REF!,pARTNER[[#All],[Value.partnerSummary.id]],0),10)</f>
        <v>Slovenija (SI)</v>
      </c>
      <c r="R1635" t="str">
        <f>INDEX('Partner data'!$A$2:$DG$171,MATCH(#REF!,'Partner data'!$DG$2:$DG$171,0),83)</f>
        <v>Soggetto pubblico</v>
      </c>
      <c r="S1635" s="86" t="b">
        <f>IF(#REF!="staff",INDEX('Partner data'!$DG$2:$DH$171,MATCH(#REF!,'Partner data'!$DG$2:$DG$171,0),2))</f>
        <v>0</v>
      </c>
    </row>
    <row r="1636" spans="1:19" x14ac:dyDescent="0.25">
      <c r="A1636" t="s">
        <v>57</v>
      </c>
      <c r="B1636" t="s">
        <v>24</v>
      </c>
      <c r="C1636">
        <v>313</v>
      </c>
      <c r="D1636">
        <v>237</v>
      </c>
      <c r="E1636" t="s">
        <v>234</v>
      </c>
      <c r="G1636">
        <v>0</v>
      </c>
      <c r="H1636">
        <v>0</v>
      </c>
      <c r="I1636">
        <v>0</v>
      </c>
      <c r="J1636">
        <v>0</v>
      </c>
      <c r="K1636">
        <v>0</v>
      </c>
      <c r="L1636">
        <v>0</v>
      </c>
      <c r="M1636">
        <v>0</v>
      </c>
      <c r="N1636">
        <v>0</v>
      </c>
      <c r="O1636">
        <v>0</v>
      </c>
      <c r="P1636">
        <v>0</v>
      </c>
      <c r="Q1636" t="str">
        <f>INDEX(pARTNER[#All],MATCH(#REF!,pARTNER[[#All],[Value.partnerSummary.id]],0),10)</f>
        <v>Slovenija (SI)</v>
      </c>
      <c r="R1636" t="str">
        <f>INDEX('Partner data'!$A$2:$DG$171,MATCH(#REF!,'Partner data'!$DG$2:$DG$171,0),83)</f>
        <v>Soggetto pubblico</v>
      </c>
      <c r="S1636" s="86" t="b">
        <f>IF(#REF!="staff",INDEX('Partner data'!$DG$2:$DH$171,MATCH(#REF!,'Partner data'!$DG$2:$DG$171,0),2))</f>
        <v>0</v>
      </c>
    </row>
    <row r="1637" spans="1:19" x14ac:dyDescent="0.25">
      <c r="A1637" t="s">
        <v>57</v>
      </c>
      <c r="B1637" t="s">
        <v>24</v>
      </c>
      <c r="C1637">
        <v>313</v>
      </c>
      <c r="D1637">
        <v>237</v>
      </c>
      <c r="E1637" t="s">
        <v>235</v>
      </c>
      <c r="G1637">
        <v>0</v>
      </c>
      <c r="H1637">
        <v>0</v>
      </c>
      <c r="I1637">
        <v>0</v>
      </c>
      <c r="J1637">
        <v>0</v>
      </c>
      <c r="K1637">
        <v>0</v>
      </c>
      <c r="L1637">
        <v>0</v>
      </c>
      <c r="M1637">
        <v>0</v>
      </c>
      <c r="N1637">
        <v>0</v>
      </c>
      <c r="O1637">
        <v>0</v>
      </c>
      <c r="P1637">
        <v>0</v>
      </c>
      <c r="Q1637" t="str">
        <f>INDEX(pARTNER[#All],MATCH(#REF!,pARTNER[[#All],[Value.partnerSummary.id]],0),10)</f>
        <v>Slovenija (SI)</v>
      </c>
      <c r="R1637" t="str">
        <f>INDEX('Partner data'!$A$2:$DG$171,MATCH(#REF!,'Partner data'!$DG$2:$DG$171,0),83)</f>
        <v>Soggetto pubblico</v>
      </c>
      <c r="S1637" s="86" t="b">
        <f>IF(#REF!="staff",INDEX('Partner data'!$DG$2:$DH$171,MATCH(#REF!,'Partner data'!$DG$2:$DG$171,0),2))</f>
        <v>0</v>
      </c>
    </row>
    <row r="1638" spans="1:19" x14ac:dyDescent="0.25">
      <c r="A1638" t="s">
        <v>57</v>
      </c>
      <c r="B1638" t="s">
        <v>24</v>
      </c>
      <c r="C1638">
        <v>313</v>
      </c>
      <c r="D1638">
        <v>237</v>
      </c>
      <c r="E1638" t="s">
        <v>236</v>
      </c>
      <c r="G1638">
        <v>0</v>
      </c>
      <c r="H1638">
        <v>0</v>
      </c>
      <c r="I1638">
        <v>0</v>
      </c>
      <c r="J1638">
        <v>0</v>
      </c>
      <c r="K1638">
        <v>0</v>
      </c>
      <c r="L1638">
        <v>0</v>
      </c>
      <c r="M1638">
        <v>0</v>
      </c>
      <c r="N1638">
        <v>0</v>
      </c>
      <c r="O1638">
        <v>0</v>
      </c>
      <c r="P1638">
        <v>0</v>
      </c>
      <c r="Q1638" t="str">
        <f>INDEX(pARTNER[#All],MATCH(#REF!,pARTNER[[#All],[Value.partnerSummary.id]],0),10)</f>
        <v>Slovenija (SI)</v>
      </c>
      <c r="R1638" t="str">
        <f>INDEX('Partner data'!$A$2:$DG$171,MATCH(#REF!,'Partner data'!$DG$2:$DG$171,0),83)</f>
        <v>Soggetto pubblico</v>
      </c>
      <c r="S1638" s="86" t="b">
        <f>IF(#REF!="staff",INDEX('Partner data'!$DG$2:$DH$171,MATCH(#REF!,'Partner data'!$DG$2:$DG$171,0),2))</f>
        <v>0</v>
      </c>
    </row>
    <row r="1639" spans="1:19" x14ac:dyDescent="0.25">
      <c r="A1639" t="s">
        <v>57</v>
      </c>
      <c r="B1639" t="s">
        <v>24</v>
      </c>
      <c r="C1639">
        <v>313</v>
      </c>
      <c r="D1639">
        <v>237</v>
      </c>
      <c r="E1639" t="s">
        <v>237</v>
      </c>
      <c r="G1639">
        <v>0</v>
      </c>
      <c r="H1639">
        <v>0</v>
      </c>
      <c r="I1639">
        <v>0</v>
      </c>
      <c r="J1639">
        <v>0</v>
      </c>
      <c r="K1639">
        <v>0</v>
      </c>
      <c r="L1639">
        <v>0</v>
      </c>
      <c r="M1639">
        <v>0</v>
      </c>
      <c r="N1639">
        <v>0</v>
      </c>
      <c r="O1639">
        <v>0</v>
      </c>
      <c r="P1639">
        <v>0</v>
      </c>
      <c r="Q1639" t="str">
        <f>INDEX(pARTNER[#All],MATCH(#REF!,pARTNER[[#All],[Value.partnerSummary.id]],0),10)</f>
        <v>Slovenija (SI)</v>
      </c>
      <c r="R1639" t="str">
        <f>INDEX('Partner data'!$A$2:$DG$171,MATCH(#REF!,'Partner data'!$DG$2:$DG$171,0),83)</f>
        <v>Soggetto pubblico</v>
      </c>
      <c r="S1639" s="86" t="b">
        <f>IF(#REF!="staff",INDEX('Partner data'!$DG$2:$DH$171,MATCH(#REF!,'Partner data'!$DG$2:$DG$171,0),2))</f>
        <v>0</v>
      </c>
    </row>
    <row r="1640" spans="1:19" x14ac:dyDescent="0.25">
      <c r="A1640" t="s">
        <v>57</v>
      </c>
      <c r="B1640" t="s">
        <v>24</v>
      </c>
      <c r="C1640">
        <v>313</v>
      </c>
      <c r="D1640">
        <v>237</v>
      </c>
      <c r="E1640" t="s">
        <v>238</v>
      </c>
      <c r="G1640">
        <v>312357.7</v>
      </c>
      <c r="H1640">
        <v>82083.55</v>
      </c>
      <c r="I1640">
        <v>9256.56</v>
      </c>
      <c r="J1640">
        <v>37837.440000000002</v>
      </c>
      <c r="K1640">
        <v>8939.92</v>
      </c>
      <c r="L1640">
        <v>36815.97</v>
      </c>
      <c r="M1640">
        <v>119920.99</v>
      </c>
      <c r="N1640">
        <v>38.39</v>
      </c>
      <c r="O1640">
        <v>192436.71</v>
      </c>
      <c r="P1640">
        <v>70722.38</v>
      </c>
      <c r="Q1640" t="str">
        <f>INDEX(pARTNER[#All],MATCH(#REF!,pARTNER[[#All],[Value.partnerSummary.id]],0),10)</f>
        <v>Slovenija (SI)</v>
      </c>
      <c r="R1640" t="str">
        <f>INDEX('Partner data'!$A$2:$DG$171,MATCH(#REF!,'Partner data'!$DG$2:$DG$171,0),83)</f>
        <v>Soggetto pubblico</v>
      </c>
      <c r="S1640" s="86" t="b">
        <f>IF(#REF!="staff",INDEX('Partner data'!$DG$2:$DH$171,MATCH(#REF!,'Partner data'!$DG$2:$DG$171,0),2))</f>
        <v>0</v>
      </c>
    </row>
    <row r="1641" spans="1:19" x14ac:dyDescent="0.25">
      <c r="A1641" t="s">
        <v>57</v>
      </c>
      <c r="B1641" t="s">
        <v>24</v>
      </c>
      <c r="C1641">
        <v>313</v>
      </c>
      <c r="D1641">
        <v>82</v>
      </c>
      <c r="E1641" t="s">
        <v>228</v>
      </c>
      <c r="G1641">
        <v>236435.04</v>
      </c>
      <c r="H1641">
        <v>0</v>
      </c>
      <c r="I1641">
        <v>0</v>
      </c>
      <c r="J1641">
        <v>68977.78</v>
      </c>
      <c r="K1641">
        <v>0</v>
      </c>
      <c r="L1641">
        <v>59430.58</v>
      </c>
      <c r="M1641">
        <v>68977.78</v>
      </c>
      <c r="N1641">
        <v>29.17</v>
      </c>
      <c r="O1641">
        <v>167457.26</v>
      </c>
      <c r="P1641">
        <v>0</v>
      </c>
      <c r="Q1641" t="str">
        <f>INDEX(pARTNER[#All],MATCH(#REF!,pARTNER[[#All],[Value.partnerSummary.id]],0),10)</f>
        <v>Slovenija (SI)</v>
      </c>
      <c r="R1641" t="str">
        <f>INDEX('Partner data'!$A$2:$DG$171,MATCH(#REF!,'Partner data'!$DG$2:$DG$171,0),83)</f>
        <v>Soggetto pubblico</v>
      </c>
      <c r="S1641" s="86" t="str">
        <f>IF(#REF!="staff",INDEX('Partner data'!$DG$2:$DH$171,MATCH(#REF!,'Partner data'!$DG$2:$DG$171,0),2))</f>
        <v>COSTO REALE</v>
      </c>
    </row>
    <row r="1642" spans="1:19" x14ac:dyDescent="0.25">
      <c r="A1642" t="s">
        <v>57</v>
      </c>
      <c r="B1642" t="s">
        <v>24</v>
      </c>
      <c r="C1642">
        <v>313</v>
      </c>
      <c r="D1642">
        <v>82</v>
      </c>
      <c r="E1642" t="s">
        <v>229</v>
      </c>
      <c r="F1642">
        <v>15</v>
      </c>
      <c r="G1642">
        <v>35465.25</v>
      </c>
      <c r="H1642">
        <v>0</v>
      </c>
      <c r="I1642">
        <v>0</v>
      </c>
      <c r="J1642">
        <v>10346.66</v>
      </c>
      <c r="K1642">
        <v>0</v>
      </c>
      <c r="L1642">
        <v>8914.58</v>
      </c>
      <c r="M1642">
        <v>10346.66</v>
      </c>
      <c r="N1642">
        <v>29.17</v>
      </c>
      <c r="O1642">
        <v>25118.59</v>
      </c>
      <c r="P1642">
        <v>0</v>
      </c>
      <c r="Q1642" t="str">
        <f>INDEX(pARTNER[#All],MATCH(#REF!,pARTNER[[#All],[Value.partnerSummary.id]],0),10)</f>
        <v>Slovenija (SI)</v>
      </c>
      <c r="R1642" t="str">
        <f>INDEX('Partner data'!$A$2:$DG$171,MATCH(#REF!,'Partner data'!$DG$2:$DG$171,0),83)</f>
        <v>Soggetto pubblico</v>
      </c>
      <c r="S1642" s="86" t="b">
        <f>IF(#REF!="staff",INDEX('Partner data'!$DG$2:$DH$171,MATCH(#REF!,'Partner data'!$DG$2:$DG$171,0),2))</f>
        <v>0</v>
      </c>
    </row>
    <row r="1643" spans="1:19" x14ac:dyDescent="0.25">
      <c r="A1643" t="s">
        <v>57</v>
      </c>
      <c r="B1643" t="s">
        <v>24</v>
      </c>
      <c r="C1643">
        <v>313</v>
      </c>
      <c r="D1643">
        <v>82</v>
      </c>
      <c r="E1643" t="s">
        <v>230</v>
      </c>
      <c r="F1643">
        <v>4</v>
      </c>
      <c r="G1643">
        <v>9457.4</v>
      </c>
      <c r="H1643">
        <v>0</v>
      </c>
      <c r="I1643">
        <v>0</v>
      </c>
      <c r="J1643">
        <v>2759.11</v>
      </c>
      <c r="K1643">
        <v>0</v>
      </c>
      <c r="L1643">
        <v>2377.2199999999998</v>
      </c>
      <c r="M1643">
        <v>2759.11</v>
      </c>
      <c r="N1643">
        <v>29.17</v>
      </c>
      <c r="O1643">
        <v>6698.29</v>
      </c>
      <c r="P1643">
        <v>0</v>
      </c>
      <c r="Q1643" t="str">
        <f>INDEX(pARTNER[#All],MATCH(#REF!,pARTNER[[#All],[Value.partnerSummary.id]],0),10)</f>
        <v>Slovenija (SI)</v>
      </c>
      <c r="R1643" t="str">
        <f>INDEX('Partner data'!$A$2:$DG$171,MATCH(#REF!,'Partner data'!$DG$2:$DG$171,0),83)</f>
        <v>Soggetto pubblico</v>
      </c>
      <c r="S1643" s="86" t="b">
        <f>IF(#REF!="staff",INDEX('Partner data'!$DG$2:$DH$171,MATCH(#REF!,'Partner data'!$DG$2:$DG$171,0),2))</f>
        <v>0</v>
      </c>
    </row>
    <row r="1644" spans="1:19" x14ac:dyDescent="0.25">
      <c r="A1644" t="s">
        <v>57</v>
      </c>
      <c r="B1644" t="s">
        <v>24</v>
      </c>
      <c r="C1644">
        <v>313</v>
      </c>
      <c r="D1644">
        <v>82</v>
      </c>
      <c r="E1644" t="s">
        <v>231</v>
      </c>
      <c r="G1644">
        <v>31000.01</v>
      </c>
      <c r="H1644">
        <v>0</v>
      </c>
      <c r="I1644">
        <v>0</v>
      </c>
      <c r="J1644">
        <v>0</v>
      </c>
      <c r="K1644">
        <v>0</v>
      </c>
      <c r="L1644">
        <v>0</v>
      </c>
      <c r="M1644">
        <v>0</v>
      </c>
      <c r="N1644">
        <v>0</v>
      </c>
      <c r="O1644">
        <v>31000.01</v>
      </c>
      <c r="P1644">
        <v>0</v>
      </c>
      <c r="Q1644" t="str">
        <f>INDEX(pARTNER[#All],MATCH(#REF!,pARTNER[[#All],[Value.partnerSummary.id]],0),10)</f>
        <v>Slovenija (SI)</v>
      </c>
      <c r="R1644" t="str">
        <f>INDEX('Partner data'!$A$2:$DG$171,MATCH(#REF!,'Partner data'!$DG$2:$DG$171,0),83)</f>
        <v>Soggetto pubblico</v>
      </c>
      <c r="S1644" s="86" t="b">
        <f>IF(#REF!="staff",INDEX('Partner data'!$DG$2:$DH$171,MATCH(#REF!,'Partner data'!$DG$2:$DG$171,0),2))</f>
        <v>0</v>
      </c>
    </row>
    <row r="1645" spans="1:19" x14ac:dyDescent="0.25">
      <c r="A1645" t="s">
        <v>57</v>
      </c>
      <c r="B1645" t="s">
        <v>24</v>
      </c>
      <c r="C1645">
        <v>313</v>
      </c>
      <c r="D1645">
        <v>82</v>
      </c>
      <c r="E1645" t="s">
        <v>232</v>
      </c>
      <c r="G1645">
        <v>0</v>
      </c>
      <c r="H1645">
        <v>0</v>
      </c>
      <c r="I1645">
        <v>0</v>
      </c>
      <c r="J1645">
        <v>0</v>
      </c>
      <c r="K1645">
        <v>0</v>
      </c>
      <c r="L1645">
        <v>0</v>
      </c>
      <c r="M1645">
        <v>0</v>
      </c>
      <c r="N1645">
        <v>0</v>
      </c>
      <c r="O1645">
        <v>0</v>
      </c>
      <c r="P1645">
        <v>0</v>
      </c>
      <c r="Q1645" t="str">
        <f>INDEX(pARTNER[#All],MATCH(#REF!,pARTNER[[#All],[Value.partnerSummary.id]],0),10)</f>
        <v>Slovenija (SI)</v>
      </c>
      <c r="R1645" t="str">
        <f>INDEX('Partner data'!$A$2:$DG$171,MATCH(#REF!,'Partner data'!$DG$2:$DG$171,0),83)</f>
        <v>Soggetto pubblico</v>
      </c>
      <c r="S1645" s="86" t="b">
        <f>IF(#REF!="staff",INDEX('Partner data'!$DG$2:$DH$171,MATCH(#REF!,'Partner data'!$DG$2:$DG$171,0),2))</f>
        <v>0</v>
      </c>
    </row>
    <row r="1646" spans="1:19" x14ac:dyDescent="0.25">
      <c r="A1646" t="s">
        <v>57</v>
      </c>
      <c r="B1646" t="s">
        <v>24</v>
      </c>
      <c r="C1646">
        <v>313</v>
      </c>
      <c r="D1646">
        <v>82</v>
      </c>
      <c r="E1646" t="s">
        <v>233</v>
      </c>
      <c r="G1646">
        <v>0</v>
      </c>
      <c r="H1646">
        <v>0</v>
      </c>
      <c r="I1646">
        <v>0</v>
      </c>
      <c r="J1646">
        <v>0</v>
      </c>
      <c r="K1646">
        <v>0</v>
      </c>
      <c r="L1646">
        <v>0</v>
      </c>
      <c r="M1646">
        <v>0</v>
      </c>
      <c r="N1646">
        <v>0</v>
      </c>
      <c r="O1646">
        <v>0</v>
      </c>
      <c r="P1646">
        <v>0</v>
      </c>
      <c r="Q1646" t="str">
        <f>INDEX(pARTNER[#All],MATCH(#REF!,pARTNER[[#All],[Value.partnerSummary.id]],0),10)</f>
        <v>Slovenija (SI)</v>
      </c>
      <c r="R1646" t="str">
        <f>INDEX('Partner data'!$A$2:$DG$171,MATCH(#REF!,'Partner data'!$DG$2:$DG$171,0),83)</f>
        <v>Soggetto pubblico</v>
      </c>
      <c r="S1646" s="86" t="b">
        <f>IF(#REF!="staff",INDEX('Partner data'!$DG$2:$DH$171,MATCH(#REF!,'Partner data'!$DG$2:$DG$171,0),2))</f>
        <v>0</v>
      </c>
    </row>
    <row r="1647" spans="1:19" x14ac:dyDescent="0.25">
      <c r="A1647" t="s">
        <v>57</v>
      </c>
      <c r="B1647" t="s">
        <v>24</v>
      </c>
      <c r="C1647">
        <v>313</v>
      </c>
      <c r="D1647">
        <v>82</v>
      </c>
      <c r="E1647" t="s">
        <v>234</v>
      </c>
      <c r="G1647">
        <v>0</v>
      </c>
      <c r="H1647">
        <v>0</v>
      </c>
      <c r="I1647">
        <v>0</v>
      </c>
      <c r="J1647">
        <v>0</v>
      </c>
      <c r="K1647">
        <v>0</v>
      </c>
      <c r="L1647">
        <v>0</v>
      </c>
      <c r="M1647">
        <v>0</v>
      </c>
      <c r="N1647">
        <v>0</v>
      </c>
      <c r="O1647">
        <v>0</v>
      </c>
      <c r="P1647">
        <v>0</v>
      </c>
      <c r="Q1647" t="str">
        <f>INDEX(pARTNER[#All],MATCH(#REF!,pARTNER[[#All],[Value.partnerSummary.id]],0),10)</f>
        <v>Slovenija (SI)</v>
      </c>
      <c r="R1647" t="str">
        <f>INDEX('Partner data'!$A$2:$DG$171,MATCH(#REF!,'Partner data'!$DG$2:$DG$171,0),83)</f>
        <v>Soggetto pubblico</v>
      </c>
      <c r="S1647" s="86" t="b">
        <f>IF(#REF!="staff",INDEX('Partner data'!$DG$2:$DH$171,MATCH(#REF!,'Partner data'!$DG$2:$DG$171,0),2))</f>
        <v>0</v>
      </c>
    </row>
    <row r="1648" spans="1:19" x14ac:dyDescent="0.25">
      <c r="A1648" t="s">
        <v>57</v>
      </c>
      <c r="B1648" t="s">
        <v>24</v>
      </c>
      <c r="C1648">
        <v>313</v>
      </c>
      <c r="D1648">
        <v>82</v>
      </c>
      <c r="E1648" t="s">
        <v>235</v>
      </c>
      <c r="G1648">
        <v>0</v>
      </c>
      <c r="H1648">
        <v>0</v>
      </c>
      <c r="I1648">
        <v>0</v>
      </c>
      <c r="J1648">
        <v>0</v>
      </c>
      <c r="K1648">
        <v>0</v>
      </c>
      <c r="L1648">
        <v>0</v>
      </c>
      <c r="M1648">
        <v>0</v>
      </c>
      <c r="N1648">
        <v>0</v>
      </c>
      <c r="O1648">
        <v>0</v>
      </c>
      <c r="P1648">
        <v>0</v>
      </c>
      <c r="Q1648" t="str">
        <f>INDEX(pARTNER[#All],MATCH(#REF!,pARTNER[[#All],[Value.partnerSummary.id]],0),10)</f>
        <v>Slovenija (SI)</v>
      </c>
      <c r="R1648" t="str">
        <f>INDEX('Partner data'!$A$2:$DG$171,MATCH(#REF!,'Partner data'!$DG$2:$DG$171,0),83)</f>
        <v>Soggetto pubblico</v>
      </c>
      <c r="S1648" s="86" t="b">
        <f>IF(#REF!="staff",INDEX('Partner data'!$DG$2:$DH$171,MATCH(#REF!,'Partner data'!$DG$2:$DG$171,0),2))</f>
        <v>0</v>
      </c>
    </row>
    <row r="1649" spans="1:19" x14ac:dyDescent="0.25">
      <c r="A1649" t="s">
        <v>57</v>
      </c>
      <c r="B1649" t="s">
        <v>24</v>
      </c>
      <c r="C1649">
        <v>313</v>
      </c>
      <c r="D1649">
        <v>82</v>
      </c>
      <c r="E1649" t="s">
        <v>236</v>
      </c>
      <c r="G1649">
        <v>0</v>
      </c>
      <c r="H1649">
        <v>0</v>
      </c>
      <c r="I1649">
        <v>0</v>
      </c>
      <c r="J1649">
        <v>0</v>
      </c>
      <c r="K1649">
        <v>0</v>
      </c>
      <c r="L1649">
        <v>0</v>
      </c>
      <c r="M1649">
        <v>0</v>
      </c>
      <c r="N1649">
        <v>0</v>
      </c>
      <c r="O1649">
        <v>0</v>
      </c>
      <c r="P1649">
        <v>0</v>
      </c>
      <c r="Q1649" t="str">
        <f>INDEX(pARTNER[#All],MATCH(#REF!,pARTNER[[#All],[Value.partnerSummary.id]],0),10)</f>
        <v>Slovenija (SI)</v>
      </c>
      <c r="R1649" t="str">
        <f>INDEX('Partner data'!$A$2:$DG$171,MATCH(#REF!,'Partner data'!$DG$2:$DG$171,0),83)</f>
        <v>Soggetto pubblico</v>
      </c>
      <c r="S1649" s="86" t="b">
        <f>IF(#REF!="staff",INDEX('Partner data'!$DG$2:$DH$171,MATCH(#REF!,'Partner data'!$DG$2:$DG$171,0),2))</f>
        <v>0</v>
      </c>
    </row>
    <row r="1650" spans="1:19" x14ac:dyDescent="0.25">
      <c r="A1650" t="s">
        <v>57</v>
      </c>
      <c r="B1650" t="s">
        <v>24</v>
      </c>
      <c r="C1650">
        <v>313</v>
      </c>
      <c r="D1650">
        <v>82</v>
      </c>
      <c r="E1650" t="s">
        <v>237</v>
      </c>
      <c r="G1650">
        <v>0</v>
      </c>
      <c r="H1650">
        <v>0</v>
      </c>
      <c r="I1650">
        <v>0</v>
      </c>
      <c r="J1650">
        <v>0</v>
      </c>
      <c r="K1650">
        <v>0</v>
      </c>
      <c r="L1650">
        <v>0</v>
      </c>
      <c r="M1650">
        <v>0</v>
      </c>
      <c r="N1650">
        <v>0</v>
      </c>
      <c r="O1650">
        <v>0</v>
      </c>
      <c r="P1650">
        <v>0</v>
      </c>
      <c r="Q1650" t="str">
        <f>INDEX(pARTNER[#All],MATCH(#REF!,pARTNER[[#All],[Value.partnerSummary.id]],0),10)</f>
        <v>Slovenija (SI)</v>
      </c>
      <c r="R1650" t="str">
        <f>INDEX('Partner data'!$A$2:$DG$171,MATCH(#REF!,'Partner data'!$DG$2:$DG$171,0),83)</f>
        <v>Soggetto pubblico</v>
      </c>
      <c r="S1650" s="86" t="b">
        <f>IF(#REF!="staff",INDEX('Partner data'!$DG$2:$DH$171,MATCH(#REF!,'Partner data'!$DG$2:$DG$171,0),2))</f>
        <v>0</v>
      </c>
    </row>
    <row r="1651" spans="1:19" x14ac:dyDescent="0.25">
      <c r="A1651" t="s">
        <v>57</v>
      </c>
      <c r="B1651" t="s">
        <v>24</v>
      </c>
      <c r="C1651">
        <v>313</v>
      </c>
      <c r="D1651">
        <v>82</v>
      </c>
      <c r="E1651" t="s">
        <v>238</v>
      </c>
      <c r="G1651">
        <v>312357.7</v>
      </c>
      <c r="H1651">
        <v>0</v>
      </c>
      <c r="I1651">
        <v>0</v>
      </c>
      <c r="J1651">
        <v>82083.55</v>
      </c>
      <c r="K1651">
        <v>0</v>
      </c>
      <c r="L1651">
        <v>70722.38</v>
      </c>
      <c r="M1651">
        <v>82083.55</v>
      </c>
      <c r="N1651">
        <v>26.28</v>
      </c>
      <c r="O1651">
        <v>230274.15</v>
      </c>
      <c r="P1651">
        <v>0</v>
      </c>
      <c r="Q1651" t="str">
        <f>INDEX(pARTNER[#All],MATCH(#REF!,pARTNER[[#All],[Value.partnerSummary.id]],0),10)</f>
        <v>Slovenija (SI)</v>
      </c>
      <c r="R1651" t="str">
        <f>INDEX('Partner data'!$A$2:$DG$171,MATCH(#REF!,'Partner data'!$DG$2:$DG$171,0),83)</f>
        <v>Soggetto pubblico</v>
      </c>
      <c r="S1651" s="86" t="b">
        <f>IF(#REF!="staff",INDEX('Partner data'!$DG$2:$DH$171,MATCH(#REF!,'Partner data'!$DG$2:$DG$171,0),2))</f>
        <v>0</v>
      </c>
    </row>
    <row r="1652" spans="1:19" x14ac:dyDescent="0.25">
      <c r="A1652" t="s">
        <v>331</v>
      </c>
      <c r="B1652" t="s">
        <v>332</v>
      </c>
      <c r="C1652">
        <v>252</v>
      </c>
      <c r="D1652">
        <v>305</v>
      </c>
      <c r="E1652" t="s">
        <v>228</v>
      </c>
      <c r="G1652">
        <v>39904</v>
      </c>
      <c r="H1652">
        <v>0</v>
      </c>
      <c r="I1652">
        <v>0</v>
      </c>
      <c r="J1652">
        <v>0</v>
      </c>
      <c r="K1652">
        <v>0</v>
      </c>
      <c r="L1652">
        <v>0</v>
      </c>
      <c r="M1652">
        <v>0</v>
      </c>
      <c r="N1652">
        <v>0</v>
      </c>
      <c r="O1652">
        <v>39904</v>
      </c>
      <c r="P1652">
        <v>0</v>
      </c>
      <c r="Q1652" t="str">
        <f>INDEX(pARTNER[#All],MATCH(#REF!,pARTNER[[#All],[Value.partnerSummary.id]],0),10)</f>
        <v>Italia (IT)</v>
      </c>
      <c r="R1652" t="str">
        <f>INDEX('Partner data'!$A$2:$DG$171,MATCH(#REF!,'Partner data'!$DG$2:$DG$171,0),83)</f>
        <v>Soggetto privato</v>
      </c>
      <c r="S1652" s="86" t="str">
        <f>IF(#REF!="staff",INDEX('Partner data'!$DG$2:$DH$171,MATCH(#REF!,'Partner data'!$DG$2:$DG$171,0),2))</f>
        <v>Costo Unitario Standard</v>
      </c>
    </row>
    <row r="1653" spans="1:19" x14ac:dyDescent="0.25">
      <c r="A1653" t="s">
        <v>331</v>
      </c>
      <c r="B1653" t="s">
        <v>332</v>
      </c>
      <c r="C1653">
        <v>252</v>
      </c>
      <c r="D1653">
        <v>305</v>
      </c>
      <c r="E1653" t="s">
        <v>229</v>
      </c>
      <c r="F1653">
        <v>15</v>
      </c>
      <c r="G1653">
        <v>5985.6</v>
      </c>
      <c r="H1653">
        <v>0</v>
      </c>
      <c r="I1653">
        <v>0</v>
      </c>
      <c r="J1653">
        <v>0</v>
      </c>
      <c r="K1653">
        <v>0</v>
      </c>
      <c r="L1653">
        <v>0</v>
      </c>
      <c r="M1653">
        <v>0</v>
      </c>
      <c r="N1653">
        <v>0</v>
      </c>
      <c r="O1653">
        <v>5985.6</v>
      </c>
      <c r="P1653">
        <v>0</v>
      </c>
      <c r="Q1653" t="str">
        <f>INDEX(pARTNER[#All],MATCH(#REF!,pARTNER[[#All],[Value.partnerSummary.id]],0),10)</f>
        <v>Italia (IT)</v>
      </c>
      <c r="R1653" t="str">
        <f>INDEX('Partner data'!$A$2:$DG$171,MATCH(#REF!,'Partner data'!$DG$2:$DG$171,0),83)</f>
        <v>Soggetto privato</v>
      </c>
      <c r="S1653" s="86" t="b">
        <f>IF(#REF!="staff",INDEX('Partner data'!$DG$2:$DH$171,MATCH(#REF!,'Partner data'!$DG$2:$DG$171,0),2))</f>
        <v>0</v>
      </c>
    </row>
    <row r="1654" spans="1:19" x14ac:dyDescent="0.25">
      <c r="A1654" t="s">
        <v>331</v>
      </c>
      <c r="B1654" t="s">
        <v>332</v>
      </c>
      <c r="C1654">
        <v>252</v>
      </c>
      <c r="D1654">
        <v>305</v>
      </c>
      <c r="E1654" t="s">
        <v>230</v>
      </c>
      <c r="F1654">
        <v>4</v>
      </c>
      <c r="G1654">
        <v>1596.16</v>
      </c>
      <c r="H1654">
        <v>0</v>
      </c>
      <c r="I1654">
        <v>0</v>
      </c>
      <c r="J1654">
        <v>0</v>
      </c>
      <c r="K1654">
        <v>0</v>
      </c>
      <c r="L1654">
        <v>0</v>
      </c>
      <c r="M1654">
        <v>0</v>
      </c>
      <c r="N1654">
        <v>0</v>
      </c>
      <c r="O1654">
        <v>1596.16</v>
      </c>
      <c r="P1654">
        <v>0</v>
      </c>
      <c r="Q1654" t="str">
        <f>INDEX(pARTNER[#All],MATCH(#REF!,pARTNER[[#All],[Value.partnerSummary.id]],0),10)</f>
        <v>Italia (IT)</v>
      </c>
      <c r="R1654" t="str">
        <f>INDEX('Partner data'!$A$2:$DG$171,MATCH(#REF!,'Partner data'!$DG$2:$DG$171,0),83)</f>
        <v>Soggetto privato</v>
      </c>
      <c r="S1654" s="86" t="b">
        <f>IF(#REF!="staff",INDEX('Partner data'!$DG$2:$DH$171,MATCH(#REF!,'Partner data'!$DG$2:$DG$171,0),2))</f>
        <v>0</v>
      </c>
    </row>
    <row r="1655" spans="1:19" x14ac:dyDescent="0.25">
      <c r="A1655" t="s">
        <v>331</v>
      </c>
      <c r="B1655" t="s">
        <v>332</v>
      </c>
      <c r="C1655">
        <v>252</v>
      </c>
      <c r="D1655">
        <v>305</v>
      </c>
      <c r="E1655" t="s">
        <v>231</v>
      </c>
      <c r="G1655">
        <v>53400</v>
      </c>
      <c r="H1655">
        <v>0</v>
      </c>
      <c r="I1655">
        <v>0</v>
      </c>
      <c r="J1655">
        <v>2440</v>
      </c>
      <c r="K1655">
        <v>0</v>
      </c>
      <c r="L1655">
        <v>2440</v>
      </c>
      <c r="M1655">
        <v>2440</v>
      </c>
      <c r="N1655">
        <v>4.57</v>
      </c>
      <c r="O1655">
        <v>50960</v>
      </c>
      <c r="P1655">
        <v>0</v>
      </c>
      <c r="Q1655" t="str">
        <f>INDEX(pARTNER[#All],MATCH(#REF!,pARTNER[[#All],[Value.partnerSummary.id]],0),10)</f>
        <v>Italia (IT)</v>
      </c>
      <c r="R1655" t="str">
        <f>INDEX('Partner data'!$A$2:$DG$171,MATCH(#REF!,'Partner data'!$DG$2:$DG$171,0),83)</f>
        <v>Soggetto privato</v>
      </c>
      <c r="S1655" s="86" t="b">
        <f>IF(#REF!="staff",INDEX('Partner data'!$DG$2:$DH$171,MATCH(#REF!,'Partner data'!$DG$2:$DG$171,0),2))</f>
        <v>0</v>
      </c>
    </row>
    <row r="1656" spans="1:19" x14ac:dyDescent="0.25">
      <c r="A1656" t="s">
        <v>331</v>
      </c>
      <c r="B1656" t="s">
        <v>332</v>
      </c>
      <c r="C1656">
        <v>252</v>
      </c>
      <c r="D1656">
        <v>305</v>
      </c>
      <c r="E1656" t="s">
        <v>232</v>
      </c>
      <c r="G1656">
        <v>0</v>
      </c>
      <c r="H1656">
        <v>0</v>
      </c>
      <c r="I1656">
        <v>0</v>
      </c>
      <c r="J1656">
        <v>0</v>
      </c>
      <c r="K1656">
        <v>0</v>
      </c>
      <c r="L1656">
        <v>0</v>
      </c>
      <c r="M1656">
        <v>0</v>
      </c>
      <c r="N1656">
        <v>0</v>
      </c>
      <c r="O1656">
        <v>0</v>
      </c>
      <c r="P1656">
        <v>0</v>
      </c>
      <c r="Q1656" t="str">
        <f>INDEX(pARTNER[#All],MATCH(#REF!,pARTNER[[#All],[Value.partnerSummary.id]],0),10)</f>
        <v>Italia (IT)</v>
      </c>
      <c r="R1656" t="str">
        <f>INDEX('Partner data'!$A$2:$DG$171,MATCH(#REF!,'Partner data'!$DG$2:$DG$171,0),83)</f>
        <v>Soggetto privato</v>
      </c>
      <c r="S1656" s="86" t="b">
        <f>IF(#REF!="staff",INDEX('Partner data'!$DG$2:$DH$171,MATCH(#REF!,'Partner data'!$DG$2:$DG$171,0),2))</f>
        <v>0</v>
      </c>
    </row>
    <row r="1657" spans="1:19" x14ac:dyDescent="0.25">
      <c r="A1657" t="s">
        <v>331</v>
      </c>
      <c r="B1657" t="s">
        <v>332</v>
      </c>
      <c r="C1657">
        <v>252</v>
      </c>
      <c r="D1657">
        <v>305</v>
      </c>
      <c r="E1657" t="s">
        <v>233</v>
      </c>
      <c r="G1657">
        <v>0</v>
      </c>
      <c r="H1657">
        <v>0</v>
      </c>
      <c r="I1657">
        <v>0</v>
      </c>
      <c r="J1657">
        <v>0</v>
      </c>
      <c r="K1657">
        <v>0</v>
      </c>
      <c r="L1657">
        <v>0</v>
      </c>
      <c r="M1657">
        <v>0</v>
      </c>
      <c r="N1657">
        <v>0</v>
      </c>
      <c r="O1657">
        <v>0</v>
      </c>
      <c r="P1657">
        <v>0</v>
      </c>
      <c r="Q1657" t="str">
        <f>INDEX(pARTNER[#All],MATCH(#REF!,pARTNER[[#All],[Value.partnerSummary.id]],0),10)</f>
        <v>Italia (IT)</v>
      </c>
      <c r="R1657" t="str">
        <f>INDEX('Partner data'!$A$2:$DG$171,MATCH(#REF!,'Partner data'!$DG$2:$DG$171,0),83)</f>
        <v>Soggetto privato</v>
      </c>
      <c r="S1657" s="86" t="b">
        <f>IF(#REF!="staff",INDEX('Partner data'!$DG$2:$DH$171,MATCH(#REF!,'Partner data'!$DG$2:$DG$171,0),2))</f>
        <v>0</v>
      </c>
    </row>
    <row r="1658" spans="1:19" x14ac:dyDescent="0.25">
      <c r="A1658" t="s">
        <v>331</v>
      </c>
      <c r="B1658" t="s">
        <v>332</v>
      </c>
      <c r="C1658">
        <v>252</v>
      </c>
      <c r="D1658">
        <v>305</v>
      </c>
      <c r="E1658" t="s">
        <v>234</v>
      </c>
      <c r="G1658">
        <v>0</v>
      </c>
      <c r="H1658">
        <v>0</v>
      </c>
      <c r="I1658">
        <v>0</v>
      </c>
      <c r="J1658">
        <v>0</v>
      </c>
      <c r="K1658">
        <v>0</v>
      </c>
      <c r="L1658">
        <v>0</v>
      </c>
      <c r="M1658">
        <v>0</v>
      </c>
      <c r="N1658">
        <v>0</v>
      </c>
      <c r="O1658">
        <v>0</v>
      </c>
      <c r="P1658">
        <v>0</v>
      </c>
      <c r="Q1658" t="str">
        <f>INDEX(pARTNER[#All],MATCH(#REF!,pARTNER[[#All],[Value.partnerSummary.id]],0),10)</f>
        <v>Italia (IT)</v>
      </c>
      <c r="R1658" t="str">
        <f>INDEX('Partner data'!$A$2:$DG$171,MATCH(#REF!,'Partner data'!$DG$2:$DG$171,0),83)</f>
        <v>Soggetto privato</v>
      </c>
      <c r="S1658" s="86" t="b">
        <f>IF(#REF!="staff",INDEX('Partner data'!$DG$2:$DH$171,MATCH(#REF!,'Partner data'!$DG$2:$DG$171,0),2))</f>
        <v>0</v>
      </c>
    </row>
    <row r="1659" spans="1:19" x14ac:dyDescent="0.25">
      <c r="A1659" t="s">
        <v>331</v>
      </c>
      <c r="B1659" t="s">
        <v>332</v>
      </c>
      <c r="C1659">
        <v>252</v>
      </c>
      <c r="D1659">
        <v>305</v>
      </c>
      <c r="E1659" t="s">
        <v>235</v>
      </c>
      <c r="G1659">
        <v>0</v>
      </c>
      <c r="H1659">
        <v>0</v>
      </c>
      <c r="I1659">
        <v>0</v>
      </c>
      <c r="J1659">
        <v>0</v>
      </c>
      <c r="K1659">
        <v>0</v>
      </c>
      <c r="L1659">
        <v>0</v>
      </c>
      <c r="M1659">
        <v>0</v>
      </c>
      <c r="N1659">
        <v>0</v>
      </c>
      <c r="O1659">
        <v>0</v>
      </c>
      <c r="P1659">
        <v>0</v>
      </c>
      <c r="Q1659" t="str">
        <f>INDEX(pARTNER[#All],MATCH(#REF!,pARTNER[[#All],[Value.partnerSummary.id]],0),10)</f>
        <v>Italia (IT)</v>
      </c>
      <c r="R1659" t="str">
        <f>INDEX('Partner data'!$A$2:$DG$171,MATCH(#REF!,'Partner data'!$DG$2:$DG$171,0),83)</f>
        <v>Soggetto privato</v>
      </c>
      <c r="S1659" s="86" t="b">
        <f>IF(#REF!="staff",INDEX('Partner data'!$DG$2:$DH$171,MATCH(#REF!,'Partner data'!$DG$2:$DG$171,0),2))</f>
        <v>0</v>
      </c>
    </row>
    <row r="1660" spans="1:19" x14ac:dyDescent="0.25">
      <c r="A1660" t="s">
        <v>331</v>
      </c>
      <c r="B1660" t="s">
        <v>332</v>
      </c>
      <c r="C1660">
        <v>252</v>
      </c>
      <c r="D1660">
        <v>305</v>
      </c>
      <c r="E1660" t="s">
        <v>236</v>
      </c>
      <c r="G1660">
        <v>0</v>
      </c>
      <c r="H1660">
        <v>0</v>
      </c>
      <c r="I1660">
        <v>0</v>
      </c>
      <c r="J1660">
        <v>0</v>
      </c>
      <c r="K1660">
        <v>0</v>
      </c>
      <c r="L1660">
        <v>0</v>
      </c>
      <c r="M1660">
        <v>0</v>
      </c>
      <c r="N1660">
        <v>0</v>
      </c>
      <c r="O1660">
        <v>0</v>
      </c>
      <c r="P1660">
        <v>0</v>
      </c>
      <c r="Q1660" t="str">
        <f>INDEX(pARTNER[#All],MATCH(#REF!,pARTNER[[#All],[Value.partnerSummary.id]],0),10)</f>
        <v>Italia (IT)</v>
      </c>
      <c r="R1660" t="str">
        <f>INDEX('Partner data'!$A$2:$DG$171,MATCH(#REF!,'Partner data'!$DG$2:$DG$171,0),83)</f>
        <v>Soggetto privato</v>
      </c>
      <c r="S1660" s="86" t="b">
        <f>IF(#REF!="staff",INDEX('Partner data'!$DG$2:$DH$171,MATCH(#REF!,'Partner data'!$DG$2:$DG$171,0),2))</f>
        <v>0</v>
      </c>
    </row>
    <row r="1661" spans="1:19" x14ac:dyDescent="0.25">
      <c r="A1661" t="s">
        <v>331</v>
      </c>
      <c r="B1661" t="s">
        <v>332</v>
      </c>
      <c r="C1661">
        <v>252</v>
      </c>
      <c r="D1661">
        <v>305</v>
      </c>
      <c r="E1661" t="s">
        <v>237</v>
      </c>
      <c r="G1661">
        <v>0</v>
      </c>
      <c r="H1661">
        <v>0</v>
      </c>
      <c r="I1661">
        <v>0</v>
      </c>
      <c r="J1661">
        <v>0</v>
      </c>
      <c r="K1661">
        <v>0</v>
      </c>
      <c r="L1661">
        <v>0</v>
      </c>
      <c r="M1661">
        <v>0</v>
      </c>
      <c r="N1661">
        <v>0</v>
      </c>
      <c r="O1661">
        <v>0</v>
      </c>
      <c r="P1661">
        <v>0</v>
      </c>
      <c r="Q1661" t="str">
        <f>INDEX(pARTNER[#All],MATCH(#REF!,pARTNER[[#All],[Value.partnerSummary.id]],0),10)</f>
        <v>Italia (IT)</v>
      </c>
      <c r="R1661" t="str">
        <f>INDEX('Partner data'!$A$2:$DG$171,MATCH(#REF!,'Partner data'!$DG$2:$DG$171,0),83)</f>
        <v>Soggetto privato</v>
      </c>
      <c r="S1661" s="86" t="b">
        <f>IF(#REF!="staff",INDEX('Partner data'!$DG$2:$DH$171,MATCH(#REF!,'Partner data'!$DG$2:$DG$171,0),2))</f>
        <v>0</v>
      </c>
    </row>
    <row r="1662" spans="1:19" x14ac:dyDescent="0.25">
      <c r="A1662" t="s">
        <v>331</v>
      </c>
      <c r="B1662" t="s">
        <v>332</v>
      </c>
      <c r="C1662">
        <v>252</v>
      </c>
      <c r="D1662">
        <v>305</v>
      </c>
      <c r="E1662" t="s">
        <v>238</v>
      </c>
      <c r="G1662">
        <v>100885.75999999999</v>
      </c>
      <c r="H1662">
        <v>0</v>
      </c>
      <c r="I1662">
        <v>0</v>
      </c>
      <c r="J1662">
        <v>2440</v>
      </c>
      <c r="K1662">
        <v>0</v>
      </c>
      <c r="L1662">
        <v>2440</v>
      </c>
      <c r="M1662">
        <v>2440</v>
      </c>
      <c r="N1662">
        <v>2.42</v>
      </c>
      <c r="O1662">
        <v>98445.759999999995</v>
      </c>
      <c r="P1662">
        <v>0</v>
      </c>
      <c r="Q1662" t="str">
        <f>INDEX(pARTNER[#All],MATCH(#REF!,pARTNER[[#All],[Value.partnerSummary.id]],0),10)</f>
        <v>Italia (IT)</v>
      </c>
      <c r="R1662" t="str">
        <f>INDEX('Partner data'!$A$2:$DG$171,MATCH(#REF!,'Partner data'!$DG$2:$DG$171,0),83)</f>
        <v>Soggetto privato</v>
      </c>
      <c r="S1662" s="86" t="b">
        <f>IF(#REF!="staff",INDEX('Partner data'!$DG$2:$DH$171,MATCH(#REF!,'Partner data'!$DG$2:$DG$171,0),2))</f>
        <v>0</v>
      </c>
    </row>
    <row r="1663" spans="1:19" x14ac:dyDescent="0.25">
      <c r="A1663" t="s">
        <v>331</v>
      </c>
      <c r="B1663" t="s">
        <v>333</v>
      </c>
      <c r="C1663">
        <v>256</v>
      </c>
      <c r="D1663">
        <v>247</v>
      </c>
      <c r="E1663" t="s">
        <v>228</v>
      </c>
      <c r="G1663">
        <v>109999.86</v>
      </c>
      <c r="H1663">
        <v>0</v>
      </c>
      <c r="I1663">
        <v>0</v>
      </c>
      <c r="J1663">
        <v>20442.29</v>
      </c>
      <c r="K1663">
        <v>0</v>
      </c>
      <c r="L1663">
        <v>15699.61</v>
      </c>
      <c r="M1663">
        <v>20442.29</v>
      </c>
      <c r="N1663">
        <v>18.579999999999998</v>
      </c>
      <c r="O1663">
        <v>89557.57</v>
      </c>
      <c r="P1663">
        <v>0</v>
      </c>
      <c r="Q1663" t="str">
        <f>INDEX(pARTNER[#All],MATCH(#REF!,pARTNER[[#All],[Value.partnerSummary.id]],0),10)</f>
        <v>Slovenija (SI)</v>
      </c>
      <c r="R1663" t="str">
        <f>INDEX('Partner data'!$A$2:$DG$171,MATCH(#REF!,'Partner data'!$DG$2:$DG$171,0),83)</f>
        <v>Soggetto pubblico</v>
      </c>
      <c r="S1663" s="86" t="str">
        <f>IF(#REF!="staff",INDEX('Partner data'!$DG$2:$DH$171,MATCH(#REF!,'Partner data'!$DG$2:$DG$171,0),2))</f>
        <v>COSTO REALE</v>
      </c>
    </row>
    <row r="1664" spans="1:19" x14ac:dyDescent="0.25">
      <c r="A1664" t="s">
        <v>331</v>
      </c>
      <c r="B1664" t="s">
        <v>333</v>
      </c>
      <c r="C1664">
        <v>256</v>
      </c>
      <c r="D1664">
        <v>247</v>
      </c>
      <c r="E1664" t="s">
        <v>229</v>
      </c>
      <c r="G1664">
        <v>0</v>
      </c>
      <c r="H1664">
        <v>0</v>
      </c>
      <c r="I1664">
        <v>0</v>
      </c>
      <c r="J1664">
        <v>0</v>
      </c>
      <c r="K1664">
        <v>0</v>
      </c>
      <c r="L1664">
        <v>0</v>
      </c>
      <c r="M1664">
        <v>0</v>
      </c>
      <c r="N1664">
        <v>0</v>
      </c>
      <c r="O1664">
        <v>0</v>
      </c>
      <c r="P1664">
        <v>0</v>
      </c>
      <c r="Q1664" t="str">
        <f>INDEX(pARTNER[#All],MATCH(#REF!,pARTNER[[#All],[Value.partnerSummary.id]],0),10)</f>
        <v>Slovenija (SI)</v>
      </c>
      <c r="R1664" t="str">
        <f>INDEX('Partner data'!$A$2:$DG$171,MATCH(#REF!,'Partner data'!$DG$2:$DG$171,0),83)</f>
        <v>Soggetto pubblico</v>
      </c>
      <c r="S1664" s="86" t="b">
        <f>IF(#REF!="staff",INDEX('Partner data'!$DG$2:$DH$171,MATCH(#REF!,'Partner data'!$DG$2:$DG$171,0),2))</f>
        <v>0</v>
      </c>
    </row>
    <row r="1665" spans="1:19" x14ac:dyDescent="0.25">
      <c r="A1665" t="s">
        <v>331</v>
      </c>
      <c r="B1665" t="s">
        <v>333</v>
      </c>
      <c r="C1665">
        <v>256</v>
      </c>
      <c r="D1665">
        <v>247</v>
      </c>
      <c r="E1665" t="s">
        <v>230</v>
      </c>
      <c r="G1665">
        <v>0</v>
      </c>
      <c r="H1665">
        <v>0</v>
      </c>
      <c r="I1665">
        <v>0</v>
      </c>
      <c r="J1665">
        <v>0</v>
      </c>
      <c r="K1665">
        <v>0</v>
      </c>
      <c r="L1665">
        <v>0</v>
      </c>
      <c r="M1665">
        <v>0</v>
      </c>
      <c r="N1665">
        <v>0</v>
      </c>
      <c r="O1665">
        <v>0</v>
      </c>
      <c r="P1665">
        <v>0</v>
      </c>
      <c r="Q1665" t="str">
        <f>INDEX(pARTNER[#All],MATCH(#REF!,pARTNER[[#All],[Value.partnerSummary.id]],0),10)</f>
        <v>Slovenija (SI)</v>
      </c>
      <c r="R1665" t="str">
        <f>INDEX('Partner data'!$A$2:$DG$171,MATCH(#REF!,'Partner data'!$DG$2:$DG$171,0),83)</f>
        <v>Soggetto pubblico</v>
      </c>
      <c r="S1665" s="86" t="b">
        <f>IF(#REF!="staff",INDEX('Partner data'!$DG$2:$DH$171,MATCH(#REF!,'Partner data'!$DG$2:$DG$171,0),2))</f>
        <v>0</v>
      </c>
    </row>
    <row r="1666" spans="1:19" x14ac:dyDescent="0.25">
      <c r="A1666" t="s">
        <v>331</v>
      </c>
      <c r="B1666" t="s">
        <v>333</v>
      </c>
      <c r="C1666">
        <v>256</v>
      </c>
      <c r="D1666">
        <v>247</v>
      </c>
      <c r="E1666" t="s">
        <v>231</v>
      </c>
      <c r="G1666">
        <v>0</v>
      </c>
      <c r="H1666">
        <v>0</v>
      </c>
      <c r="I1666">
        <v>0</v>
      </c>
      <c r="J1666">
        <v>0</v>
      </c>
      <c r="K1666">
        <v>0</v>
      </c>
      <c r="L1666">
        <v>0</v>
      </c>
      <c r="M1666">
        <v>0</v>
      </c>
      <c r="N1666">
        <v>0</v>
      </c>
      <c r="O1666">
        <v>0</v>
      </c>
      <c r="P1666">
        <v>0</v>
      </c>
      <c r="Q1666" t="str">
        <f>INDEX(pARTNER[#All],MATCH(#REF!,pARTNER[[#All],[Value.partnerSummary.id]],0),10)</f>
        <v>Slovenija (SI)</v>
      </c>
      <c r="R1666" t="str">
        <f>INDEX('Partner data'!$A$2:$DG$171,MATCH(#REF!,'Partner data'!$DG$2:$DG$171,0),83)</f>
        <v>Soggetto pubblico</v>
      </c>
      <c r="S1666" s="86" t="b">
        <f>IF(#REF!="staff",INDEX('Partner data'!$DG$2:$DH$171,MATCH(#REF!,'Partner data'!$DG$2:$DG$171,0),2))</f>
        <v>0</v>
      </c>
    </row>
    <row r="1667" spans="1:19" x14ac:dyDescent="0.25">
      <c r="A1667" t="s">
        <v>331</v>
      </c>
      <c r="B1667" t="s">
        <v>333</v>
      </c>
      <c r="C1667">
        <v>256</v>
      </c>
      <c r="D1667">
        <v>247</v>
      </c>
      <c r="E1667" t="s">
        <v>232</v>
      </c>
      <c r="G1667">
        <v>0</v>
      </c>
      <c r="H1667">
        <v>0</v>
      </c>
      <c r="I1667">
        <v>0</v>
      </c>
      <c r="J1667">
        <v>0</v>
      </c>
      <c r="K1667">
        <v>0</v>
      </c>
      <c r="L1667">
        <v>0</v>
      </c>
      <c r="M1667">
        <v>0</v>
      </c>
      <c r="N1667">
        <v>0</v>
      </c>
      <c r="O1667">
        <v>0</v>
      </c>
      <c r="P1667">
        <v>0</v>
      </c>
      <c r="Q1667" t="str">
        <f>INDEX(pARTNER[#All],MATCH(#REF!,pARTNER[[#All],[Value.partnerSummary.id]],0),10)</f>
        <v>Slovenija (SI)</v>
      </c>
      <c r="R1667" t="str">
        <f>INDEX('Partner data'!$A$2:$DG$171,MATCH(#REF!,'Partner data'!$DG$2:$DG$171,0),83)</f>
        <v>Soggetto pubblico</v>
      </c>
      <c r="S1667" s="86" t="b">
        <f>IF(#REF!="staff",INDEX('Partner data'!$DG$2:$DH$171,MATCH(#REF!,'Partner data'!$DG$2:$DG$171,0),2))</f>
        <v>0</v>
      </c>
    </row>
    <row r="1668" spans="1:19" x14ac:dyDescent="0.25">
      <c r="A1668" t="s">
        <v>331</v>
      </c>
      <c r="B1668" t="s">
        <v>333</v>
      </c>
      <c r="C1668">
        <v>256</v>
      </c>
      <c r="D1668">
        <v>247</v>
      </c>
      <c r="E1668" t="s">
        <v>233</v>
      </c>
      <c r="G1668">
        <v>0</v>
      </c>
      <c r="H1668">
        <v>0</v>
      </c>
      <c r="I1668">
        <v>0</v>
      </c>
      <c r="J1668">
        <v>0</v>
      </c>
      <c r="K1668">
        <v>0</v>
      </c>
      <c r="L1668">
        <v>0</v>
      </c>
      <c r="M1668">
        <v>0</v>
      </c>
      <c r="N1668">
        <v>0</v>
      </c>
      <c r="O1668">
        <v>0</v>
      </c>
      <c r="P1668">
        <v>0</v>
      </c>
      <c r="Q1668" t="str">
        <f>INDEX(pARTNER[#All],MATCH(#REF!,pARTNER[[#All],[Value.partnerSummary.id]],0),10)</f>
        <v>Slovenija (SI)</v>
      </c>
      <c r="R1668" t="str">
        <f>INDEX('Partner data'!$A$2:$DG$171,MATCH(#REF!,'Partner data'!$DG$2:$DG$171,0),83)</f>
        <v>Soggetto pubblico</v>
      </c>
      <c r="S1668" s="86" t="b">
        <f>IF(#REF!="staff",INDEX('Partner data'!$DG$2:$DH$171,MATCH(#REF!,'Partner data'!$DG$2:$DG$171,0),2))</f>
        <v>0</v>
      </c>
    </row>
    <row r="1669" spans="1:19" x14ac:dyDescent="0.25">
      <c r="A1669" t="s">
        <v>331</v>
      </c>
      <c r="B1669" t="s">
        <v>333</v>
      </c>
      <c r="C1669">
        <v>256</v>
      </c>
      <c r="D1669">
        <v>247</v>
      </c>
      <c r="E1669" t="s">
        <v>234</v>
      </c>
      <c r="F1669">
        <v>22</v>
      </c>
      <c r="G1669">
        <v>24199.96</v>
      </c>
      <c r="H1669">
        <v>0</v>
      </c>
      <c r="I1669">
        <v>0</v>
      </c>
      <c r="J1669">
        <v>4497.3</v>
      </c>
      <c r="K1669">
        <v>0</v>
      </c>
      <c r="L1669">
        <v>3453.91</v>
      </c>
      <c r="M1669">
        <v>4497.3</v>
      </c>
      <c r="N1669">
        <v>18.579999999999998</v>
      </c>
      <c r="O1669">
        <v>19702.66</v>
      </c>
      <c r="P1669">
        <v>0</v>
      </c>
      <c r="Q1669" t="str">
        <f>INDEX(pARTNER[#All],MATCH(#REF!,pARTNER[[#All],[Value.partnerSummary.id]],0),10)</f>
        <v>Slovenija (SI)</v>
      </c>
      <c r="R1669" t="str">
        <f>INDEX('Partner data'!$A$2:$DG$171,MATCH(#REF!,'Partner data'!$DG$2:$DG$171,0),83)</f>
        <v>Soggetto pubblico</v>
      </c>
      <c r="S1669" s="86" t="b">
        <f>IF(#REF!="staff",INDEX('Partner data'!$DG$2:$DH$171,MATCH(#REF!,'Partner data'!$DG$2:$DG$171,0),2))</f>
        <v>0</v>
      </c>
    </row>
    <row r="1670" spans="1:19" x14ac:dyDescent="0.25">
      <c r="A1670" t="s">
        <v>331</v>
      </c>
      <c r="B1670" t="s">
        <v>333</v>
      </c>
      <c r="C1670">
        <v>256</v>
      </c>
      <c r="D1670">
        <v>247</v>
      </c>
      <c r="E1670" t="s">
        <v>235</v>
      </c>
      <c r="G1670">
        <v>0</v>
      </c>
      <c r="H1670">
        <v>0</v>
      </c>
      <c r="I1670">
        <v>0</v>
      </c>
      <c r="J1670">
        <v>0</v>
      </c>
      <c r="K1670">
        <v>0</v>
      </c>
      <c r="L1670">
        <v>0</v>
      </c>
      <c r="M1670">
        <v>0</v>
      </c>
      <c r="N1670">
        <v>0</v>
      </c>
      <c r="O1670">
        <v>0</v>
      </c>
      <c r="P1670">
        <v>0</v>
      </c>
      <c r="Q1670" t="str">
        <f>INDEX(pARTNER[#All],MATCH(#REF!,pARTNER[[#All],[Value.partnerSummary.id]],0),10)</f>
        <v>Slovenija (SI)</v>
      </c>
      <c r="R1670" t="str">
        <f>INDEX('Partner data'!$A$2:$DG$171,MATCH(#REF!,'Partner data'!$DG$2:$DG$171,0),83)</f>
        <v>Soggetto pubblico</v>
      </c>
      <c r="S1670" s="86" t="b">
        <f>IF(#REF!="staff",INDEX('Partner data'!$DG$2:$DH$171,MATCH(#REF!,'Partner data'!$DG$2:$DG$171,0),2))</f>
        <v>0</v>
      </c>
    </row>
    <row r="1671" spans="1:19" x14ac:dyDescent="0.25">
      <c r="A1671" t="s">
        <v>331</v>
      </c>
      <c r="B1671" t="s">
        <v>333</v>
      </c>
      <c r="C1671">
        <v>256</v>
      </c>
      <c r="D1671">
        <v>247</v>
      </c>
      <c r="E1671" t="s">
        <v>236</v>
      </c>
      <c r="G1671">
        <v>0</v>
      </c>
      <c r="H1671">
        <v>0</v>
      </c>
      <c r="I1671">
        <v>0</v>
      </c>
      <c r="J1671">
        <v>0</v>
      </c>
      <c r="K1671">
        <v>0</v>
      </c>
      <c r="L1671">
        <v>0</v>
      </c>
      <c r="M1671">
        <v>0</v>
      </c>
      <c r="N1671">
        <v>0</v>
      </c>
      <c r="O1671">
        <v>0</v>
      </c>
      <c r="P1671">
        <v>0</v>
      </c>
      <c r="Q1671" t="str">
        <f>INDEX(pARTNER[#All],MATCH(#REF!,pARTNER[[#All],[Value.partnerSummary.id]],0),10)</f>
        <v>Slovenija (SI)</v>
      </c>
      <c r="R1671" t="str">
        <f>INDEX('Partner data'!$A$2:$DG$171,MATCH(#REF!,'Partner data'!$DG$2:$DG$171,0),83)</f>
        <v>Soggetto pubblico</v>
      </c>
      <c r="S1671" s="86" t="b">
        <f>IF(#REF!="staff",INDEX('Partner data'!$DG$2:$DH$171,MATCH(#REF!,'Partner data'!$DG$2:$DG$171,0),2))</f>
        <v>0</v>
      </c>
    </row>
    <row r="1672" spans="1:19" x14ac:dyDescent="0.25">
      <c r="A1672" t="s">
        <v>331</v>
      </c>
      <c r="B1672" t="s">
        <v>333</v>
      </c>
      <c r="C1672">
        <v>256</v>
      </c>
      <c r="D1672">
        <v>247</v>
      </c>
      <c r="E1672" t="s">
        <v>237</v>
      </c>
      <c r="G1672">
        <v>0</v>
      </c>
      <c r="H1672">
        <v>0</v>
      </c>
      <c r="I1672">
        <v>0</v>
      </c>
      <c r="J1672">
        <v>0</v>
      </c>
      <c r="K1672">
        <v>0</v>
      </c>
      <c r="L1672">
        <v>0</v>
      </c>
      <c r="M1672">
        <v>0</v>
      </c>
      <c r="N1672">
        <v>0</v>
      </c>
      <c r="O1672">
        <v>0</v>
      </c>
      <c r="P1672">
        <v>0</v>
      </c>
      <c r="Q1672" t="str">
        <f>INDEX(pARTNER[#All],MATCH(#REF!,pARTNER[[#All],[Value.partnerSummary.id]],0),10)</f>
        <v>Slovenija (SI)</v>
      </c>
      <c r="R1672" t="str">
        <f>INDEX('Partner data'!$A$2:$DG$171,MATCH(#REF!,'Partner data'!$DG$2:$DG$171,0),83)</f>
        <v>Soggetto pubblico</v>
      </c>
      <c r="S1672" s="86" t="b">
        <f>IF(#REF!="staff",INDEX('Partner data'!$DG$2:$DH$171,MATCH(#REF!,'Partner data'!$DG$2:$DG$171,0),2))</f>
        <v>0</v>
      </c>
    </row>
    <row r="1673" spans="1:19" x14ac:dyDescent="0.25">
      <c r="A1673" t="s">
        <v>331</v>
      </c>
      <c r="B1673" t="s">
        <v>333</v>
      </c>
      <c r="C1673">
        <v>256</v>
      </c>
      <c r="D1673">
        <v>247</v>
      </c>
      <c r="E1673" t="s">
        <v>238</v>
      </c>
      <c r="G1673">
        <v>134199.82</v>
      </c>
      <c r="H1673">
        <v>0</v>
      </c>
      <c r="I1673">
        <v>0</v>
      </c>
      <c r="J1673">
        <v>24939.59</v>
      </c>
      <c r="K1673">
        <v>0</v>
      </c>
      <c r="L1673">
        <v>19153.52</v>
      </c>
      <c r="M1673">
        <v>24939.59</v>
      </c>
      <c r="N1673">
        <v>18.579999999999998</v>
      </c>
      <c r="O1673">
        <v>109260.23</v>
      </c>
      <c r="P1673">
        <v>0</v>
      </c>
      <c r="Q1673" t="str">
        <f>INDEX(pARTNER[#All],MATCH(#REF!,pARTNER[[#All],[Value.partnerSummary.id]],0),10)</f>
        <v>Slovenija (SI)</v>
      </c>
      <c r="R1673" t="str">
        <f>INDEX('Partner data'!$A$2:$DG$171,MATCH(#REF!,'Partner data'!$DG$2:$DG$171,0),83)</f>
        <v>Soggetto pubblico</v>
      </c>
      <c r="S1673" s="86" t="b">
        <f>IF(#REF!="staff",INDEX('Partner data'!$DG$2:$DH$171,MATCH(#REF!,'Partner data'!$DG$2:$DG$171,0),2))</f>
        <v>0</v>
      </c>
    </row>
    <row r="1674" spans="1:19" x14ac:dyDescent="0.25">
      <c r="A1674" t="s">
        <v>331</v>
      </c>
      <c r="B1674" t="s">
        <v>334</v>
      </c>
      <c r="C1674">
        <v>253</v>
      </c>
      <c r="D1674">
        <v>236</v>
      </c>
      <c r="E1674" t="s">
        <v>228</v>
      </c>
      <c r="G1674">
        <v>44030</v>
      </c>
      <c r="H1674">
        <v>0</v>
      </c>
      <c r="I1674">
        <v>0</v>
      </c>
      <c r="J1674">
        <v>13326</v>
      </c>
      <c r="K1674">
        <v>0</v>
      </c>
      <c r="L1674">
        <v>13044.6</v>
      </c>
      <c r="M1674">
        <v>13326</v>
      </c>
      <c r="N1674">
        <v>30.27</v>
      </c>
      <c r="O1674">
        <v>30704</v>
      </c>
      <c r="P1674">
        <v>0</v>
      </c>
      <c r="Q1674" t="str">
        <f>INDEX(pARTNER[#All],MATCH(#REF!,pARTNER[[#All],[Value.partnerSummary.id]],0),10)</f>
        <v>Italia (IT)</v>
      </c>
      <c r="R1674" t="str">
        <f>INDEX('Partner data'!$A$2:$DG$171,MATCH(#REF!,'Partner data'!$DG$2:$DG$171,0),83)</f>
        <v>Soggetto pubblico</v>
      </c>
      <c r="S1674" s="86" t="str">
        <f>IF(#REF!="staff",INDEX('Partner data'!$DG$2:$DH$171,MATCH(#REF!,'Partner data'!$DG$2:$DG$171,0),2))</f>
        <v>Costo Unitario Standard</v>
      </c>
    </row>
    <row r="1675" spans="1:19" x14ac:dyDescent="0.25">
      <c r="A1675" t="s">
        <v>331</v>
      </c>
      <c r="B1675" t="s">
        <v>334</v>
      </c>
      <c r="C1675">
        <v>253</v>
      </c>
      <c r="D1675">
        <v>236</v>
      </c>
      <c r="E1675" t="s">
        <v>229</v>
      </c>
      <c r="F1675">
        <v>15</v>
      </c>
      <c r="G1675">
        <v>6604.5</v>
      </c>
      <c r="H1675">
        <v>0</v>
      </c>
      <c r="I1675">
        <v>0</v>
      </c>
      <c r="J1675">
        <v>1998.9</v>
      </c>
      <c r="K1675">
        <v>0</v>
      </c>
      <c r="L1675">
        <v>1956.69</v>
      </c>
      <c r="M1675">
        <v>1998.9</v>
      </c>
      <c r="N1675">
        <v>30.27</v>
      </c>
      <c r="O1675">
        <v>4605.6000000000004</v>
      </c>
      <c r="P1675">
        <v>0</v>
      </c>
      <c r="Q1675" t="str">
        <f>INDEX(pARTNER[#All],MATCH(#REF!,pARTNER[[#All],[Value.partnerSummary.id]],0),10)</f>
        <v>Italia (IT)</v>
      </c>
      <c r="R1675" t="str">
        <f>INDEX('Partner data'!$A$2:$DG$171,MATCH(#REF!,'Partner data'!$DG$2:$DG$171,0),83)</f>
        <v>Soggetto pubblico</v>
      </c>
      <c r="S1675" s="86" t="b">
        <f>IF(#REF!="staff",INDEX('Partner data'!$DG$2:$DH$171,MATCH(#REF!,'Partner data'!$DG$2:$DG$171,0),2))</f>
        <v>0</v>
      </c>
    </row>
    <row r="1676" spans="1:19" x14ac:dyDescent="0.25">
      <c r="A1676" t="s">
        <v>331</v>
      </c>
      <c r="B1676" t="s">
        <v>334</v>
      </c>
      <c r="C1676">
        <v>253</v>
      </c>
      <c r="D1676">
        <v>236</v>
      </c>
      <c r="E1676" t="s">
        <v>230</v>
      </c>
      <c r="F1676">
        <v>4</v>
      </c>
      <c r="G1676">
        <v>1761.2</v>
      </c>
      <c r="H1676">
        <v>0</v>
      </c>
      <c r="I1676">
        <v>0</v>
      </c>
      <c r="J1676">
        <v>533.04</v>
      </c>
      <c r="K1676">
        <v>0</v>
      </c>
      <c r="L1676">
        <v>521.78</v>
      </c>
      <c r="M1676">
        <v>533.04</v>
      </c>
      <c r="N1676">
        <v>30.27</v>
      </c>
      <c r="O1676">
        <v>1228.1600000000001</v>
      </c>
      <c r="P1676">
        <v>0</v>
      </c>
      <c r="Q1676" t="str">
        <f>INDEX(pARTNER[#All],MATCH(#REF!,pARTNER[[#All],[Value.partnerSummary.id]],0),10)</f>
        <v>Italia (IT)</v>
      </c>
      <c r="R1676" t="str">
        <f>INDEX('Partner data'!$A$2:$DG$171,MATCH(#REF!,'Partner data'!$DG$2:$DG$171,0),83)</f>
        <v>Soggetto pubblico</v>
      </c>
      <c r="S1676" s="86" t="b">
        <f>IF(#REF!="staff",INDEX('Partner data'!$DG$2:$DH$171,MATCH(#REF!,'Partner data'!$DG$2:$DG$171,0),2))</f>
        <v>0</v>
      </c>
    </row>
    <row r="1677" spans="1:19" x14ac:dyDescent="0.25">
      <c r="A1677" t="s">
        <v>331</v>
      </c>
      <c r="B1677" t="s">
        <v>334</v>
      </c>
      <c r="C1677">
        <v>253</v>
      </c>
      <c r="D1677">
        <v>236</v>
      </c>
      <c r="E1677" t="s">
        <v>231</v>
      </c>
      <c r="G1677">
        <v>47640</v>
      </c>
      <c r="H1677">
        <v>0</v>
      </c>
      <c r="I1677">
        <v>0</v>
      </c>
      <c r="J1677">
        <v>0</v>
      </c>
      <c r="K1677">
        <v>0</v>
      </c>
      <c r="L1677">
        <v>0</v>
      </c>
      <c r="M1677">
        <v>0</v>
      </c>
      <c r="N1677">
        <v>0</v>
      </c>
      <c r="O1677">
        <v>47640</v>
      </c>
      <c r="P1677">
        <v>0</v>
      </c>
      <c r="Q1677" t="str">
        <f>INDEX(pARTNER[#All],MATCH(#REF!,pARTNER[[#All],[Value.partnerSummary.id]],0),10)</f>
        <v>Italia (IT)</v>
      </c>
      <c r="R1677" t="str">
        <f>INDEX('Partner data'!$A$2:$DG$171,MATCH(#REF!,'Partner data'!$DG$2:$DG$171,0),83)</f>
        <v>Soggetto pubblico</v>
      </c>
      <c r="S1677" s="86" t="b">
        <f>IF(#REF!="staff",INDEX('Partner data'!$DG$2:$DH$171,MATCH(#REF!,'Partner data'!$DG$2:$DG$171,0),2))</f>
        <v>0</v>
      </c>
    </row>
    <row r="1678" spans="1:19" x14ac:dyDescent="0.25">
      <c r="A1678" t="s">
        <v>331</v>
      </c>
      <c r="B1678" t="s">
        <v>334</v>
      </c>
      <c r="C1678">
        <v>253</v>
      </c>
      <c r="D1678">
        <v>236</v>
      </c>
      <c r="E1678" t="s">
        <v>232</v>
      </c>
      <c r="G1678">
        <v>0</v>
      </c>
      <c r="H1678">
        <v>0</v>
      </c>
      <c r="I1678">
        <v>0</v>
      </c>
      <c r="J1678">
        <v>0</v>
      </c>
      <c r="K1678">
        <v>0</v>
      </c>
      <c r="L1678">
        <v>0</v>
      </c>
      <c r="M1678">
        <v>0</v>
      </c>
      <c r="N1678">
        <v>0</v>
      </c>
      <c r="O1678">
        <v>0</v>
      </c>
      <c r="P1678">
        <v>0</v>
      </c>
      <c r="Q1678" t="str">
        <f>INDEX(pARTNER[#All],MATCH(#REF!,pARTNER[[#All],[Value.partnerSummary.id]],0),10)</f>
        <v>Italia (IT)</v>
      </c>
      <c r="R1678" t="str">
        <f>INDEX('Partner data'!$A$2:$DG$171,MATCH(#REF!,'Partner data'!$DG$2:$DG$171,0),83)</f>
        <v>Soggetto pubblico</v>
      </c>
      <c r="S1678" s="86" t="b">
        <f>IF(#REF!="staff",INDEX('Partner data'!$DG$2:$DH$171,MATCH(#REF!,'Partner data'!$DG$2:$DG$171,0),2))</f>
        <v>0</v>
      </c>
    </row>
    <row r="1679" spans="1:19" x14ac:dyDescent="0.25">
      <c r="A1679" t="s">
        <v>331</v>
      </c>
      <c r="B1679" t="s">
        <v>334</v>
      </c>
      <c r="C1679">
        <v>253</v>
      </c>
      <c r="D1679">
        <v>236</v>
      </c>
      <c r="E1679" t="s">
        <v>233</v>
      </c>
      <c r="G1679">
        <v>0</v>
      </c>
      <c r="H1679">
        <v>0</v>
      </c>
      <c r="I1679">
        <v>0</v>
      </c>
      <c r="J1679">
        <v>0</v>
      </c>
      <c r="K1679">
        <v>0</v>
      </c>
      <c r="L1679">
        <v>0</v>
      </c>
      <c r="M1679">
        <v>0</v>
      </c>
      <c r="N1679">
        <v>0</v>
      </c>
      <c r="O1679">
        <v>0</v>
      </c>
      <c r="P1679">
        <v>0</v>
      </c>
      <c r="Q1679" t="str">
        <f>INDEX(pARTNER[#All],MATCH(#REF!,pARTNER[[#All],[Value.partnerSummary.id]],0),10)</f>
        <v>Italia (IT)</v>
      </c>
      <c r="R1679" t="str">
        <f>INDEX('Partner data'!$A$2:$DG$171,MATCH(#REF!,'Partner data'!$DG$2:$DG$171,0),83)</f>
        <v>Soggetto pubblico</v>
      </c>
      <c r="S1679" s="86" t="b">
        <f>IF(#REF!="staff",INDEX('Partner data'!$DG$2:$DH$171,MATCH(#REF!,'Partner data'!$DG$2:$DG$171,0),2))</f>
        <v>0</v>
      </c>
    </row>
    <row r="1680" spans="1:19" x14ac:dyDescent="0.25">
      <c r="A1680" t="s">
        <v>331</v>
      </c>
      <c r="B1680" t="s">
        <v>334</v>
      </c>
      <c r="C1680">
        <v>253</v>
      </c>
      <c r="D1680">
        <v>236</v>
      </c>
      <c r="E1680" t="s">
        <v>234</v>
      </c>
      <c r="G1680">
        <v>0</v>
      </c>
      <c r="H1680">
        <v>0</v>
      </c>
      <c r="I1680">
        <v>0</v>
      </c>
      <c r="J1680">
        <v>0</v>
      </c>
      <c r="K1680">
        <v>0</v>
      </c>
      <c r="L1680">
        <v>0</v>
      </c>
      <c r="M1680">
        <v>0</v>
      </c>
      <c r="N1680">
        <v>0</v>
      </c>
      <c r="O1680">
        <v>0</v>
      </c>
      <c r="P1680">
        <v>0</v>
      </c>
      <c r="Q1680" t="str">
        <f>INDEX(pARTNER[#All],MATCH(#REF!,pARTNER[[#All],[Value.partnerSummary.id]],0),10)</f>
        <v>Italia (IT)</v>
      </c>
      <c r="R1680" t="str">
        <f>INDEX('Partner data'!$A$2:$DG$171,MATCH(#REF!,'Partner data'!$DG$2:$DG$171,0),83)</f>
        <v>Soggetto pubblico</v>
      </c>
      <c r="S1680" s="86" t="b">
        <f>IF(#REF!="staff",INDEX('Partner data'!$DG$2:$DH$171,MATCH(#REF!,'Partner data'!$DG$2:$DG$171,0),2))</f>
        <v>0</v>
      </c>
    </row>
    <row r="1681" spans="1:19" x14ac:dyDescent="0.25">
      <c r="A1681" t="s">
        <v>331</v>
      </c>
      <c r="B1681" t="s">
        <v>334</v>
      </c>
      <c r="C1681">
        <v>253</v>
      </c>
      <c r="D1681">
        <v>236</v>
      </c>
      <c r="E1681" t="s">
        <v>235</v>
      </c>
      <c r="G1681">
        <v>0</v>
      </c>
      <c r="H1681">
        <v>0</v>
      </c>
      <c r="I1681">
        <v>0</v>
      </c>
      <c r="J1681">
        <v>0</v>
      </c>
      <c r="K1681">
        <v>0</v>
      </c>
      <c r="L1681">
        <v>0</v>
      </c>
      <c r="M1681">
        <v>0</v>
      </c>
      <c r="N1681">
        <v>0</v>
      </c>
      <c r="O1681">
        <v>0</v>
      </c>
      <c r="P1681">
        <v>0</v>
      </c>
      <c r="Q1681" t="str">
        <f>INDEX(pARTNER[#All],MATCH(#REF!,pARTNER[[#All],[Value.partnerSummary.id]],0),10)</f>
        <v>Italia (IT)</v>
      </c>
      <c r="R1681" t="str">
        <f>INDEX('Partner data'!$A$2:$DG$171,MATCH(#REF!,'Partner data'!$DG$2:$DG$171,0),83)</f>
        <v>Soggetto pubblico</v>
      </c>
      <c r="S1681" s="86" t="b">
        <f>IF(#REF!="staff",INDEX('Partner data'!$DG$2:$DH$171,MATCH(#REF!,'Partner data'!$DG$2:$DG$171,0),2))</f>
        <v>0</v>
      </c>
    </row>
    <row r="1682" spans="1:19" x14ac:dyDescent="0.25">
      <c r="A1682" t="s">
        <v>331</v>
      </c>
      <c r="B1682" t="s">
        <v>334</v>
      </c>
      <c r="C1682">
        <v>253</v>
      </c>
      <c r="D1682">
        <v>236</v>
      </c>
      <c r="E1682" t="s">
        <v>236</v>
      </c>
      <c r="G1682">
        <v>0</v>
      </c>
      <c r="H1682">
        <v>0</v>
      </c>
      <c r="I1682">
        <v>0</v>
      </c>
      <c r="J1682">
        <v>0</v>
      </c>
      <c r="K1682">
        <v>0</v>
      </c>
      <c r="L1682">
        <v>0</v>
      </c>
      <c r="M1682">
        <v>0</v>
      </c>
      <c r="N1682">
        <v>0</v>
      </c>
      <c r="O1682">
        <v>0</v>
      </c>
      <c r="P1682">
        <v>0</v>
      </c>
      <c r="Q1682" t="str">
        <f>INDEX(pARTNER[#All],MATCH(#REF!,pARTNER[[#All],[Value.partnerSummary.id]],0),10)</f>
        <v>Italia (IT)</v>
      </c>
      <c r="R1682" t="str">
        <f>INDEX('Partner data'!$A$2:$DG$171,MATCH(#REF!,'Partner data'!$DG$2:$DG$171,0),83)</f>
        <v>Soggetto pubblico</v>
      </c>
      <c r="S1682" s="86" t="b">
        <f>IF(#REF!="staff",INDEX('Partner data'!$DG$2:$DH$171,MATCH(#REF!,'Partner data'!$DG$2:$DG$171,0),2))</f>
        <v>0</v>
      </c>
    </row>
    <row r="1683" spans="1:19" x14ac:dyDescent="0.25">
      <c r="A1683" t="s">
        <v>331</v>
      </c>
      <c r="B1683" t="s">
        <v>334</v>
      </c>
      <c r="C1683">
        <v>253</v>
      </c>
      <c r="D1683">
        <v>236</v>
      </c>
      <c r="E1683" t="s">
        <v>237</v>
      </c>
      <c r="G1683">
        <v>0</v>
      </c>
      <c r="H1683">
        <v>0</v>
      </c>
      <c r="I1683">
        <v>0</v>
      </c>
      <c r="J1683">
        <v>0</v>
      </c>
      <c r="K1683">
        <v>0</v>
      </c>
      <c r="L1683">
        <v>0</v>
      </c>
      <c r="M1683">
        <v>0</v>
      </c>
      <c r="N1683">
        <v>0</v>
      </c>
      <c r="O1683">
        <v>0</v>
      </c>
      <c r="P1683">
        <v>0</v>
      </c>
      <c r="Q1683" t="str">
        <f>INDEX(pARTNER[#All],MATCH(#REF!,pARTNER[[#All],[Value.partnerSummary.id]],0),10)</f>
        <v>Italia (IT)</v>
      </c>
      <c r="R1683" t="str">
        <f>INDEX('Partner data'!$A$2:$DG$171,MATCH(#REF!,'Partner data'!$DG$2:$DG$171,0),83)</f>
        <v>Soggetto pubblico</v>
      </c>
      <c r="S1683" s="86" t="b">
        <f>IF(#REF!="staff",INDEX('Partner data'!$DG$2:$DH$171,MATCH(#REF!,'Partner data'!$DG$2:$DG$171,0),2))</f>
        <v>0</v>
      </c>
    </row>
    <row r="1684" spans="1:19" x14ac:dyDescent="0.25">
      <c r="A1684" t="s">
        <v>331</v>
      </c>
      <c r="B1684" t="s">
        <v>334</v>
      </c>
      <c r="C1684">
        <v>253</v>
      </c>
      <c r="D1684">
        <v>236</v>
      </c>
      <c r="E1684" t="s">
        <v>238</v>
      </c>
      <c r="G1684">
        <v>100035.7</v>
      </c>
      <c r="H1684">
        <v>0</v>
      </c>
      <c r="I1684">
        <v>0</v>
      </c>
      <c r="J1684">
        <v>15857.94</v>
      </c>
      <c r="K1684">
        <v>0</v>
      </c>
      <c r="L1684">
        <v>15523.07</v>
      </c>
      <c r="M1684">
        <v>15857.94</v>
      </c>
      <c r="N1684">
        <v>15.85</v>
      </c>
      <c r="O1684">
        <v>84177.76</v>
      </c>
      <c r="P1684">
        <v>0</v>
      </c>
      <c r="Q1684" t="str">
        <f>INDEX(pARTNER[#All],MATCH(#REF!,pARTNER[[#All],[Value.partnerSummary.id]],0),10)</f>
        <v>Italia (IT)</v>
      </c>
      <c r="R1684" t="str">
        <f>INDEX('Partner data'!$A$2:$DG$171,MATCH(#REF!,'Partner data'!$DG$2:$DG$171,0),83)</f>
        <v>Soggetto pubblico</v>
      </c>
      <c r="S1684" s="86" t="b">
        <f>IF(#REF!="staff",INDEX('Partner data'!$DG$2:$DH$171,MATCH(#REF!,'Partner data'!$DG$2:$DG$171,0),2))</f>
        <v>0</v>
      </c>
    </row>
    <row r="1685" spans="1:19" x14ac:dyDescent="0.25">
      <c r="A1685" t="s">
        <v>331</v>
      </c>
      <c r="B1685" t="s">
        <v>335</v>
      </c>
      <c r="C1685">
        <v>254</v>
      </c>
      <c r="D1685">
        <v>226</v>
      </c>
      <c r="E1685" t="s">
        <v>228</v>
      </c>
      <c r="F1685">
        <v>20</v>
      </c>
      <c r="G1685">
        <v>16155.09</v>
      </c>
      <c r="H1685">
        <v>0</v>
      </c>
      <c r="I1685">
        <v>0</v>
      </c>
      <c r="J1685">
        <v>0</v>
      </c>
      <c r="K1685">
        <v>0</v>
      </c>
      <c r="L1685">
        <v>0</v>
      </c>
      <c r="M1685">
        <v>0</v>
      </c>
      <c r="N1685">
        <v>0</v>
      </c>
      <c r="O1685">
        <v>16155.09</v>
      </c>
      <c r="P1685">
        <v>0</v>
      </c>
      <c r="Q1685" t="str">
        <f>INDEX(pARTNER[#All],MATCH(#REF!,pARTNER[[#All],[Value.partnerSummary.id]],0),10)</f>
        <v>Italia (IT)</v>
      </c>
      <c r="R1685" t="str">
        <f>INDEX('Partner data'!$A$2:$DG$171,MATCH(#REF!,'Partner data'!$DG$2:$DG$171,0),83)</f>
        <v>Soggetto pubblico</v>
      </c>
      <c r="S1685" s="86" t="str">
        <f>IF(#REF!="staff",INDEX('Partner data'!$DG$2:$DH$171,MATCH(#REF!,'Partner data'!$DG$2:$DG$171,0),2))</f>
        <v>Tasso Forfettario 20%</v>
      </c>
    </row>
    <row r="1686" spans="1:19" x14ac:dyDescent="0.25">
      <c r="A1686" t="s">
        <v>331</v>
      </c>
      <c r="B1686" t="s">
        <v>335</v>
      </c>
      <c r="C1686">
        <v>254</v>
      </c>
      <c r="D1686">
        <v>226</v>
      </c>
      <c r="E1686" t="s">
        <v>229</v>
      </c>
      <c r="F1686">
        <v>15</v>
      </c>
      <c r="G1686">
        <v>2423.2600000000002</v>
      </c>
      <c r="H1686">
        <v>0</v>
      </c>
      <c r="I1686">
        <v>0</v>
      </c>
      <c r="J1686">
        <v>0</v>
      </c>
      <c r="K1686">
        <v>0</v>
      </c>
      <c r="L1686">
        <v>0</v>
      </c>
      <c r="M1686">
        <v>0</v>
      </c>
      <c r="N1686">
        <v>0</v>
      </c>
      <c r="O1686">
        <v>2423.2600000000002</v>
      </c>
      <c r="P1686">
        <v>0</v>
      </c>
      <c r="Q1686" t="str">
        <f>INDEX(pARTNER[#All],MATCH(#REF!,pARTNER[[#All],[Value.partnerSummary.id]],0),10)</f>
        <v>Italia (IT)</v>
      </c>
      <c r="R1686" t="str">
        <f>INDEX('Partner data'!$A$2:$DG$171,MATCH(#REF!,'Partner data'!$DG$2:$DG$171,0),83)</f>
        <v>Soggetto pubblico</v>
      </c>
      <c r="S1686" s="86" t="b">
        <f>IF(#REF!="staff",INDEX('Partner data'!$DG$2:$DH$171,MATCH(#REF!,'Partner data'!$DG$2:$DG$171,0),2))</f>
        <v>0</v>
      </c>
    </row>
    <row r="1687" spans="1:19" x14ac:dyDescent="0.25">
      <c r="A1687" t="s">
        <v>331</v>
      </c>
      <c r="B1687" t="s">
        <v>335</v>
      </c>
      <c r="C1687">
        <v>254</v>
      </c>
      <c r="D1687">
        <v>226</v>
      </c>
      <c r="E1687" t="s">
        <v>230</v>
      </c>
      <c r="F1687">
        <v>4</v>
      </c>
      <c r="G1687">
        <v>646.20000000000005</v>
      </c>
      <c r="H1687">
        <v>0</v>
      </c>
      <c r="I1687">
        <v>0</v>
      </c>
      <c r="J1687">
        <v>0</v>
      </c>
      <c r="K1687">
        <v>0</v>
      </c>
      <c r="L1687">
        <v>0</v>
      </c>
      <c r="M1687">
        <v>0</v>
      </c>
      <c r="N1687">
        <v>0</v>
      </c>
      <c r="O1687">
        <v>646.20000000000005</v>
      </c>
      <c r="P1687">
        <v>0</v>
      </c>
      <c r="Q1687" t="str">
        <f>INDEX(pARTNER[#All],MATCH(#REF!,pARTNER[[#All],[Value.partnerSummary.id]],0),10)</f>
        <v>Italia (IT)</v>
      </c>
      <c r="R1687" t="str">
        <f>INDEX('Partner data'!$A$2:$DG$171,MATCH(#REF!,'Partner data'!$DG$2:$DG$171,0),83)</f>
        <v>Soggetto pubblico</v>
      </c>
      <c r="S1687" s="86" t="b">
        <f>IF(#REF!="staff",INDEX('Partner data'!$DG$2:$DH$171,MATCH(#REF!,'Partner data'!$DG$2:$DG$171,0),2))</f>
        <v>0</v>
      </c>
    </row>
    <row r="1688" spans="1:19" x14ac:dyDescent="0.25">
      <c r="A1688" t="s">
        <v>331</v>
      </c>
      <c r="B1688" t="s">
        <v>335</v>
      </c>
      <c r="C1688">
        <v>254</v>
      </c>
      <c r="D1688">
        <v>226</v>
      </c>
      <c r="E1688" t="s">
        <v>231</v>
      </c>
      <c r="G1688">
        <v>80775.45</v>
      </c>
      <c r="H1688">
        <v>0</v>
      </c>
      <c r="I1688">
        <v>0</v>
      </c>
      <c r="J1688">
        <v>0</v>
      </c>
      <c r="K1688">
        <v>0</v>
      </c>
      <c r="L1688">
        <v>0</v>
      </c>
      <c r="M1688">
        <v>0</v>
      </c>
      <c r="N1688">
        <v>0</v>
      </c>
      <c r="O1688">
        <v>80775.45</v>
      </c>
      <c r="P1688">
        <v>0</v>
      </c>
      <c r="Q1688" t="str">
        <f>INDEX(pARTNER[#All],MATCH(#REF!,pARTNER[[#All],[Value.partnerSummary.id]],0),10)</f>
        <v>Italia (IT)</v>
      </c>
      <c r="R1688" t="str">
        <f>INDEX('Partner data'!$A$2:$DG$171,MATCH(#REF!,'Partner data'!$DG$2:$DG$171,0),83)</f>
        <v>Soggetto pubblico</v>
      </c>
      <c r="S1688" s="86" t="b">
        <f>IF(#REF!="staff",INDEX('Partner data'!$DG$2:$DH$171,MATCH(#REF!,'Partner data'!$DG$2:$DG$171,0),2))</f>
        <v>0</v>
      </c>
    </row>
    <row r="1689" spans="1:19" x14ac:dyDescent="0.25">
      <c r="A1689" t="s">
        <v>331</v>
      </c>
      <c r="B1689" t="s">
        <v>335</v>
      </c>
      <c r="C1689">
        <v>254</v>
      </c>
      <c r="D1689">
        <v>226</v>
      </c>
      <c r="E1689" t="s">
        <v>232</v>
      </c>
      <c r="G1689">
        <v>0</v>
      </c>
      <c r="H1689">
        <v>0</v>
      </c>
      <c r="I1689">
        <v>0</v>
      </c>
      <c r="J1689">
        <v>0</v>
      </c>
      <c r="K1689">
        <v>0</v>
      </c>
      <c r="L1689">
        <v>0</v>
      </c>
      <c r="M1689">
        <v>0</v>
      </c>
      <c r="N1689">
        <v>0</v>
      </c>
      <c r="O1689">
        <v>0</v>
      </c>
      <c r="P1689">
        <v>0</v>
      </c>
      <c r="Q1689" t="str">
        <f>INDEX(pARTNER[#All],MATCH(#REF!,pARTNER[[#All],[Value.partnerSummary.id]],0),10)</f>
        <v>Italia (IT)</v>
      </c>
      <c r="R1689" t="str">
        <f>INDEX('Partner data'!$A$2:$DG$171,MATCH(#REF!,'Partner data'!$DG$2:$DG$171,0),83)</f>
        <v>Soggetto pubblico</v>
      </c>
      <c r="S1689" s="86" t="b">
        <f>IF(#REF!="staff",INDEX('Partner data'!$DG$2:$DH$171,MATCH(#REF!,'Partner data'!$DG$2:$DG$171,0),2))</f>
        <v>0</v>
      </c>
    </row>
    <row r="1690" spans="1:19" x14ac:dyDescent="0.25">
      <c r="A1690" t="s">
        <v>331</v>
      </c>
      <c r="B1690" t="s">
        <v>335</v>
      </c>
      <c r="C1690">
        <v>254</v>
      </c>
      <c r="D1690">
        <v>226</v>
      </c>
      <c r="E1690" t="s">
        <v>233</v>
      </c>
      <c r="G1690">
        <v>0</v>
      </c>
      <c r="H1690">
        <v>0</v>
      </c>
      <c r="I1690">
        <v>0</v>
      </c>
      <c r="J1690">
        <v>0</v>
      </c>
      <c r="K1690">
        <v>0</v>
      </c>
      <c r="L1690">
        <v>0</v>
      </c>
      <c r="M1690">
        <v>0</v>
      </c>
      <c r="N1690">
        <v>0</v>
      </c>
      <c r="O1690">
        <v>0</v>
      </c>
      <c r="P1690">
        <v>0</v>
      </c>
      <c r="Q1690" t="str">
        <f>INDEX(pARTNER[#All],MATCH(#REF!,pARTNER[[#All],[Value.partnerSummary.id]],0),10)</f>
        <v>Italia (IT)</v>
      </c>
      <c r="R1690" t="str">
        <f>INDEX('Partner data'!$A$2:$DG$171,MATCH(#REF!,'Partner data'!$DG$2:$DG$171,0),83)</f>
        <v>Soggetto pubblico</v>
      </c>
      <c r="S1690" s="86" t="b">
        <f>IF(#REF!="staff",INDEX('Partner data'!$DG$2:$DH$171,MATCH(#REF!,'Partner data'!$DG$2:$DG$171,0),2))</f>
        <v>0</v>
      </c>
    </row>
    <row r="1691" spans="1:19" x14ac:dyDescent="0.25">
      <c r="A1691" t="s">
        <v>331</v>
      </c>
      <c r="B1691" t="s">
        <v>335</v>
      </c>
      <c r="C1691">
        <v>254</v>
      </c>
      <c r="D1691">
        <v>226</v>
      </c>
      <c r="E1691" t="s">
        <v>234</v>
      </c>
      <c r="G1691">
        <v>0</v>
      </c>
      <c r="H1691">
        <v>0</v>
      </c>
      <c r="I1691">
        <v>0</v>
      </c>
      <c r="J1691">
        <v>0</v>
      </c>
      <c r="K1691">
        <v>0</v>
      </c>
      <c r="L1691">
        <v>0</v>
      </c>
      <c r="M1691">
        <v>0</v>
      </c>
      <c r="N1691">
        <v>0</v>
      </c>
      <c r="O1691">
        <v>0</v>
      </c>
      <c r="P1691">
        <v>0</v>
      </c>
      <c r="Q1691" t="str">
        <f>INDEX(pARTNER[#All],MATCH(#REF!,pARTNER[[#All],[Value.partnerSummary.id]],0),10)</f>
        <v>Italia (IT)</v>
      </c>
      <c r="R1691" t="str">
        <f>INDEX('Partner data'!$A$2:$DG$171,MATCH(#REF!,'Partner data'!$DG$2:$DG$171,0),83)</f>
        <v>Soggetto pubblico</v>
      </c>
      <c r="S1691" s="86" t="b">
        <f>IF(#REF!="staff",INDEX('Partner data'!$DG$2:$DH$171,MATCH(#REF!,'Partner data'!$DG$2:$DG$171,0),2))</f>
        <v>0</v>
      </c>
    </row>
    <row r="1692" spans="1:19" x14ac:dyDescent="0.25">
      <c r="A1692" t="s">
        <v>331</v>
      </c>
      <c r="B1692" t="s">
        <v>335</v>
      </c>
      <c r="C1692">
        <v>254</v>
      </c>
      <c r="D1692">
        <v>226</v>
      </c>
      <c r="E1692" t="s">
        <v>235</v>
      </c>
      <c r="G1692">
        <v>0</v>
      </c>
      <c r="H1692">
        <v>0</v>
      </c>
      <c r="I1692">
        <v>0</v>
      </c>
      <c r="J1692">
        <v>0</v>
      </c>
      <c r="K1692">
        <v>0</v>
      </c>
      <c r="L1692">
        <v>0</v>
      </c>
      <c r="M1692">
        <v>0</v>
      </c>
      <c r="N1692">
        <v>0</v>
      </c>
      <c r="O1692">
        <v>0</v>
      </c>
      <c r="P1692">
        <v>0</v>
      </c>
      <c r="Q1692" t="str">
        <f>INDEX(pARTNER[#All],MATCH(#REF!,pARTNER[[#All],[Value.partnerSummary.id]],0),10)</f>
        <v>Italia (IT)</v>
      </c>
      <c r="R1692" t="str">
        <f>INDEX('Partner data'!$A$2:$DG$171,MATCH(#REF!,'Partner data'!$DG$2:$DG$171,0),83)</f>
        <v>Soggetto pubblico</v>
      </c>
      <c r="S1692" s="86" t="b">
        <f>IF(#REF!="staff",INDEX('Partner data'!$DG$2:$DH$171,MATCH(#REF!,'Partner data'!$DG$2:$DG$171,0),2))</f>
        <v>0</v>
      </c>
    </row>
    <row r="1693" spans="1:19" x14ac:dyDescent="0.25">
      <c r="A1693" t="s">
        <v>331</v>
      </c>
      <c r="B1693" t="s">
        <v>335</v>
      </c>
      <c r="C1693">
        <v>254</v>
      </c>
      <c r="D1693">
        <v>226</v>
      </c>
      <c r="E1693" t="s">
        <v>236</v>
      </c>
      <c r="G1693">
        <v>0</v>
      </c>
      <c r="H1693">
        <v>0</v>
      </c>
      <c r="I1693">
        <v>0</v>
      </c>
      <c r="J1693">
        <v>0</v>
      </c>
      <c r="K1693">
        <v>0</v>
      </c>
      <c r="L1693">
        <v>0</v>
      </c>
      <c r="M1693">
        <v>0</v>
      </c>
      <c r="N1693">
        <v>0</v>
      </c>
      <c r="O1693">
        <v>0</v>
      </c>
      <c r="P1693">
        <v>0</v>
      </c>
      <c r="Q1693" t="str">
        <f>INDEX(pARTNER[#All],MATCH(#REF!,pARTNER[[#All],[Value.partnerSummary.id]],0),10)</f>
        <v>Italia (IT)</v>
      </c>
      <c r="R1693" t="str">
        <f>INDEX('Partner data'!$A$2:$DG$171,MATCH(#REF!,'Partner data'!$DG$2:$DG$171,0),83)</f>
        <v>Soggetto pubblico</v>
      </c>
      <c r="S1693" s="86" t="b">
        <f>IF(#REF!="staff",INDEX('Partner data'!$DG$2:$DH$171,MATCH(#REF!,'Partner data'!$DG$2:$DG$171,0),2))</f>
        <v>0</v>
      </c>
    </row>
    <row r="1694" spans="1:19" x14ac:dyDescent="0.25">
      <c r="A1694" t="s">
        <v>331</v>
      </c>
      <c r="B1694" t="s">
        <v>335</v>
      </c>
      <c r="C1694">
        <v>254</v>
      </c>
      <c r="D1694">
        <v>226</v>
      </c>
      <c r="E1694" t="s">
        <v>237</v>
      </c>
      <c r="G1694">
        <v>0</v>
      </c>
      <c r="H1694">
        <v>0</v>
      </c>
      <c r="I1694">
        <v>0</v>
      </c>
      <c r="J1694">
        <v>0</v>
      </c>
      <c r="K1694">
        <v>0</v>
      </c>
      <c r="L1694">
        <v>0</v>
      </c>
      <c r="M1694">
        <v>0</v>
      </c>
      <c r="N1694">
        <v>0</v>
      </c>
      <c r="O1694">
        <v>0</v>
      </c>
      <c r="P1694">
        <v>0</v>
      </c>
      <c r="Q1694" t="str">
        <f>INDEX(pARTNER[#All],MATCH(#REF!,pARTNER[[#All],[Value.partnerSummary.id]],0),10)</f>
        <v>Italia (IT)</v>
      </c>
      <c r="R1694" t="str">
        <f>INDEX('Partner data'!$A$2:$DG$171,MATCH(#REF!,'Partner data'!$DG$2:$DG$171,0),83)</f>
        <v>Soggetto pubblico</v>
      </c>
      <c r="S1694" s="86" t="b">
        <f>IF(#REF!="staff",INDEX('Partner data'!$DG$2:$DH$171,MATCH(#REF!,'Partner data'!$DG$2:$DG$171,0),2))</f>
        <v>0</v>
      </c>
    </row>
    <row r="1695" spans="1:19" x14ac:dyDescent="0.25">
      <c r="A1695" t="s">
        <v>331</v>
      </c>
      <c r="B1695" t="s">
        <v>335</v>
      </c>
      <c r="C1695">
        <v>254</v>
      </c>
      <c r="D1695">
        <v>226</v>
      </c>
      <c r="E1695" t="s">
        <v>238</v>
      </c>
      <c r="G1695">
        <v>100000</v>
      </c>
      <c r="H1695">
        <v>0</v>
      </c>
      <c r="I1695">
        <v>0</v>
      </c>
      <c r="J1695">
        <v>0</v>
      </c>
      <c r="K1695">
        <v>0</v>
      </c>
      <c r="L1695">
        <v>0</v>
      </c>
      <c r="M1695">
        <v>0</v>
      </c>
      <c r="N1695">
        <v>0</v>
      </c>
      <c r="O1695">
        <v>100000</v>
      </c>
      <c r="P1695">
        <v>0</v>
      </c>
      <c r="Q1695" t="str">
        <f>INDEX(pARTNER[#All],MATCH(#REF!,pARTNER[[#All],[Value.partnerSummary.id]],0),10)</f>
        <v>Italia (IT)</v>
      </c>
      <c r="R1695" t="str">
        <f>INDEX('Partner data'!$A$2:$DG$171,MATCH(#REF!,'Partner data'!$DG$2:$DG$171,0),83)</f>
        <v>Soggetto pubblico</v>
      </c>
      <c r="S1695" s="86" t="b">
        <f>IF(#REF!="staff",INDEX('Partner data'!$DG$2:$DH$171,MATCH(#REF!,'Partner data'!$DG$2:$DG$171,0),2))</f>
        <v>0</v>
      </c>
    </row>
    <row r="1696" spans="1:19" x14ac:dyDescent="0.25">
      <c r="A1696" t="s">
        <v>331</v>
      </c>
      <c r="B1696" t="s">
        <v>336</v>
      </c>
      <c r="C1696">
        <v>255</v>
      </c>
      <c r="D1696">
        <v>294</v>
      </c>
      <c r="E1696" t="s">
        <v>228</v>
      </c>
      <c r="G1696">
        <v>38884</v>
      </c>
      <c r="H1696">
        <v>0</v>
      </c>
      <c r="I1696">
        <v>0</v>
      </c>
      <c r="J1696">
        <v>9250</v>
      </c>
      <c r="K1696">
        <v>0</v>
      </c>
      <c r="L1696">
        <v>9142</v>
      </c>
      <c r="M1696">
        <v>9250</v>
      </c>
      <c r="N1696">
        <v>23.79</v>
      </c>
      <c r="O1696">
        <v>29634</v>
      </c>
      <c r="P1696">
        <v>0</v>
      </c>
      <c r="Q1696" t="str">
        <f>INDEX(pARTNER[#All],MATCH(#REF!,pARTNER[[#All],[Value.partnerSummary.id]],0),10)</f>
        <v>Italia (IT)</v>
      </c>
      <c r="R1696" t="str">
        <f>INDEX('Partner data'!$A$2:$DG$171,MATCH(#REF!,'Partner data'!$DG$2:$DG$171,0),83)</f>
        <v>Soggetto privato</v>
      </c>
      <c r="S1696" s="86" t="str">
        <f>IF(#REF!="staff",INDEX('Partner data'!$DG$2:$DH$171,MATCH(#REF!,'Partner data'!$DG$2:$DG$171,0),2))</f>
        <v>Costo Unitario Standard</v>
      </c>
    </row>
    <row r="1697" spans="1:19" x14ac:dyDescent="0.25">
      <c r="A1697" t="s">
        <v>331</v>
      </c>
      <c r="B1697" t="s">
        <v>336</v>
      </c>
      <c r="C1697">
        <v>255</v>
      </c>
      <c r="D1697">
        <v>294</v>
      </c>
      <c r="E1697" t="s">
        <v>229</v>
      </c>
      <c r="F1697">
        <v>15</v>
      </c>
      <c r="G1697">
        <v>5832.6</v>
      </c>
      <c r="H1697">
        <v>0</v>
      </c>
      <c r="I1697">
        <v>0</v>
      </c>
      <c r="J1697">
        <v>1387.5</v>
      </c>
      <c r="K1697">
        <v>0</v>
      </c>
      <c r="L1697">
        <v>1371.3</v>
      </c>
      <c r="M1697">
        <v>1387.5</v>
      </c>
      <c r="N1697">
        <v>23.79</v>
      </c>
      <c r="O1697">
        <v>4445.1000000000004</v>
      </c>
      <c r="P1697">
        <v>0</v>
      </c>
      <c r="Q1697" t="str">
        <f>INDEX(pARTNER[#All],MATCH(#REF!,pARTNER[[#All],[Value.partnerSummary.id]],0),10)</f>
        <v>Italia (IT)</v>
      </c>
      <c r="R1697" t="str">
        <f>INDEX('Partner data'!$A$2:$DG$171,MATCH(#REF!,'Partner data'!$DG$2:$DG$171,0),83)</f>
        <v>Soggetto privato</v>
      </c>
      <c r="S1697" s="86" t="b">
        <f>IF(#REF!="staff",INDEX('Partner data'!$DG$2:$DH$171,MATCH(#REF!,'Partner data'!$DG$2:$DG$171,0),2))</f>
        <v>0</v>
      </c>
    </row>
    <row r="1698" spans="1:19" x14ac:dyDescent="0.25">
      <c r="A1698" t="s">
        <v>331</v>
      </c>
      <c r="B1698" t="s">
        <v>336</v>
      </c>
      <c r="C1698">
        <v>255</v>
      </c>
      <c r="D1698">
        <v>294</v>
      </c>
      <c r="E1698" t="s">
        <v>230</v>
      </c>
      <c r="F1698">
        <v>4</v>
      </c>
      <c r="G1698">
        <v>1555.36</v>
      </c>
      <c r="H1698">
        <v>0</v>
      </c>
      <c r="I1698">
        <v>0</v>
      </c>
      <c r="J1698">
        <v>370</v>
      </c>
      <c r="K1698">
        <v>0</v>
      </c>
      <c r="L1698">
        <v>365.68</v>
      </c>
      <c r="M1698">
        <v>370</v>
      </c>
      <c r="N1698">
        <v>23.79</v>
      </c>
      <c r="O1698">
        <v>1185.3599999999999</v>
      </c>
      <c r="P1698">
        <v>0</v>
      </c>
      <c r="Q1698" t="str">
        <f>INDEX(pARTNER[#All],MATCH(#REF!,pARTNER[[#All],[Value.partnerSummary.id]],0),10)</f>
        <v>Italia (IT)</v>
      </c>
      <c r="R1698" t="str">
        <f>INDEX('Partner data'!$A$2:$DG$171,MATCH(#REF!,'Partner data'!$DG$2:$DG$171,0),83)</f>
        <v>Soggetto privato</v>
      </c>
      <c r="S1698" s="86" t="b">
        <f>IF(#REF!="staff",INDEX('Partner data'!$DG$2:$DH$171,MATCH(#REF!,'Partner data'!$DG$2:$DG$171,0),2))</f>
        <v>0</v>
      </c>
    </row>
    <row r="1699" spans="1:19" x14ac:dyDescent="0.25">
      <c r="A1699" t="s">
        <v>331</v>
      </c>
      <c r="B1699" t="s">
        <v>336</v>
      </c>
      <c r="C1699">
        <v>255</v>
      </c>
      <c r="D1699">
        <v>294</v>
      </c>
      <c r="E1699" t="s">
        <v>231</v>
      </c>
      <c r="G1699">
        <v>119478.04</v>
      </c>
      <c r="H1699">
        <v>0</v>
      </c>
      <c r="I1699">
        <v>0</v>
      </c>
      <c r="J1699">
        <v>0</v>
      </c>
      <c r="K1699">
        <v>0</v>
      </c>
      <c r="L1699">
        <v>0</v>
      </c>
      <c r="M1699">
        <v>0</v>
      </c>
      <c r="N1699">
        <v>0</v>
      </c>
      <c r="O1699">
        <v>119478.04</v>
      </c>
      <c r="P1699">
        <v>0</v>
      </c>
      <c r="Q1699" t="str">
        <f>INDEX(pARTNER[#All],MATCH(#REF!,pARTNER[[#All],[Value.partnerSummary.id]],0),10)</f>
        <v>Italia (IT)</v>
      </c>
      <c r="R1699" t="str">
        <f>INDEX('Partner data'!$A$2:$DG$171,MATCH(#REF!,'Partner data'!$DG$2:$DG$171,0),83)</f>
        <v>Soggetto privato</v>
      </c>
      <c r="S1699" s="86" t="b">
        <f>IF(#REF!="staff",INDEX('Partner data'!$DG$2:$DH$171,MATCH(#REF!,'Partner data'!$DG$2:$DG$171,0),2))</f>
        <v>0</v>
      </c>
    </row>
    <row r="1700" spans="1:19" x14ac:dyDescent="0.25">
      <c r="A1700" t="s">
        <v>331</v>
      </c>
      <c r="B1700" t="s">
        <v>336</v>
      </c>
      <c r="C1700">
        <v>255</v>
      </c>
      <c r="D1700">
        <v>294</v>
      </c>
      <c r="E1700" t="s">
        <v>232</v>
      </c>
      <c r="G1700">
        <v>8000</v>
      </c>
      <c r="H1700">
        <v>0</v>
      </c>
      <c r="I1700">
        <v>0</v>
      </c>
      <c r="J1700">
        <v>0</v>
      </c>
      <c r="K1700">
        <v>0</v>
      </c>
      <c r="L1700">
        <v>0</v>
      </c>
      <c r="M1700">
        <v>0</v>
      </c>
      <c r="N1700">
        <v>0</v>
      </c>
      <c r="O1700">
        <v>8000</v>
      </c>
      <c r="P1700">
        <v>0</v>
      </c>
      <c r="Q1700" t="str">
        <f>INDEX(pARTNER[#All],MATCH(#REF!,pARTNER[[#All],[Value.partnerSummary.id]],0),10)</f>
        <v>Italia (IT)</v>
      </c>
      <c r="R1700" t="str">
        <f>INDEX('Partner data'!$A$2:$DG$171,MATCH(#REF!,'Partner data'!$DG$2:$DG$171,0),83)</f>
        <v>Soggetto privato</v>
      </c>
      <c r="S1700" s="86" t="b">
        <f>IF(#REF!="staff",INDEX('Partner data'!$DG$2:$DH$171,MATCH(#REF!,'Partner data'!$DG$2:$DG$171,0),2))</f>
        <v>0</v>
      </c>
    </row>
    <row r="1701" spans="1:19" x14ac:dyDescent="0.25">
      <c r="A1701" t="s">
        <v>331</v>
      </c>
      <c r="B1701" t="s">
        <v>336</v>
      </c>
      <c r="C1701">
        <v>255</v>
      </c>
      <c r="D1701">
        <v>294</v>
      </c>
      <c r="E1701" t="s">
        <v>233</v>
      </c>
      <c r="G1701">
        <v>0</v>
      </c>
      <c r="H1701">
        <v>0</v>
      </c>
      <c r="I1701">
        <v>0</v>
      </c>
      <c r="J1701">
        <v>0</v>
      </c>
      <c r="K1701">
        <v>0</v>
      </c>
      <c r="L1701">
        <v>0</v>
      </c>
      <c r="M1701">
        <v>0</v>
      </c>
      <c r="N1701">
        <v>0</v>
      </c>
      <c r="O1701">
        <v>0</v>
      </c>
      <c r="P1701">
        <v>0</v>
      </c>
      <c r="Q1701" t="str">
        <f>INDEX(pARTNER[#All],MATCH(#REF!,pARTNER[[#All],[Value.partnerSummary.id]],0),10)</f>
        <v>Italia (IT)</v>
      </c>
      <c r="R1701" t="str">
        <f>INDEX('Partner data'!$A$2:$DG$171,MATCH(#REF!,'Partner data'!$DG$2:$DG$171,0),83)</f>
        <v>Soggetto privato</v>
      </c>
      <c r="S1701" s="86" t="b">
        <f>IF(#REF!="staff",INDEX('Partner data'!$DG$2:$DH$171,MATCH(#REF!,'Partner data'!$DG$2:$DG$171,0),2))</f>
        <v>0</v>
      </c>
    </row>
    <row r="1702" spans="1:19" x14ac:dyDescent="0.25">
      <c r="A1702" t="s">
        <v>331</v>
      </c>
      <c r="B1702" t="s">
        <v>336</v>
      </c>
      <c r="C1702">
        <v>255</v>
      </c>
      <c r="D1702">
        <v>294</v>
      </c>
      <c r="E1702" t="s">
        <v>234</v>
      </c>
      <c r="G1702">
        <v>0</v>
      </c>
      <c r="H1702">
        <v>0</v>
      </c>
      <c r="I1702">
        <v>0</v>
      </c>
      <c r="J1702">
        <v>0</v>
      </c>
      <c r="K1702">
        <v>0</v>
      </c>
      <c r="L1702">
        <v>0</v>
      </c>
      <c r="M1702">
        <v>0</v>
      </c>
      <c r="N1702">
        <v>0</v>
      </c>
      <c r="O1702">
        <v>0</v>
      </c>
      <c r="P1702">
        <v>0</v>
      </c>
      <c r="Q1702" t="str">
        <f>INDEX(pARTNER[#All],MATCH(#REF!,pARTNER[[#All],[Value.partnerSummary.id]],0),10)</f>
        <v>Italia (IT)</v>
      </c>
      <c r="R1702" t="str">
        <f>INDEX('Partner data'!$A$2:$DG$171,MATCH(#REF!,'Partner data'!$DG$2:$DG$171,0),83)</f>
        <v>Soggetto privato</v>
      </c>
      <c r="S1702" s="86" t="b">
        <f>IF(#REF!="staff",INDEX('Partner data'!$DG$2:$DH$171,MATCH(#REF!,'Partner data'!$DG$2:$DG$171,0),2))</f>
        <v>0</v>
      </c>
    </row>
    <row r="1703" spans="1:19" x14ac:dyDescent="0.25">
      <c r="A1703" t="s">
        <v>331</v>
      </c>
      <c r="B1703" t="s">
        <v>336</v>
      </c>
      <c r="C1703">
        <v>255</v>
      </c>
      <c r="D1703">
        <v>294</v>
      </c>
      <c r="E1703" t="s">
        <v>235</v>
      </c>
      <c r="G1703">
        <v>0</v>
      </c>
      <c r="H1703">
        <v>0</v>
      </c>
      <c r="I1703">
        <v>0</v>
      </c>
      <c r="J1703">
        <v>0</v>
      </c>
      <c r="K1703">
        <v>0</v>
      </c>
      <c r="L1703">
        <v>0</v>
      </c>
      <c r="M1703">
        <v>0</v>
      </c>
      <c r="N1703">
        <v>0</v>
      </c>
      <c r="O1703">
        <v>0</v>
      </c>
      <c r="P1703">
        <v>0</v>
      </c>
      <c r="Q1703" t="str">
        <f>INDEX(pARTNER[#All],MATCH(#REF!,pARTNER[[#All],[Value.partnerSummary.id]],0),10)</f>
        <v>Italia (IT)</v>
      </c>
      <c r="R1703" t="str">
        <f>INDEX('Partner data'!$A$2:$DG$171,MATCH(#REF!,'Partner data'!$DG$2:$DG$171,0),83)</f>
        <v>Soggetto privato</v>
      </c>
      <c r="S1703" s="86" t="b">
        <f>IF(#REF!="staff",INDEX('Partner data'!$DG$2:$DH$171,MATCH(#REF!,'Partner data'!$DG$2:$DG$171,0),2))</f>
        <v>0</v>
      </c>
    </row>
    <row r="1704" spans="1:19" x14ac:dyDescent="0.25">
      <c r="A1704" t="s">
        <v>331</v>
      </c>
      <c r="B1704" t="s">
        <v>336</v>
      </c>
      <c r="C1704">
        <v>255</v>
      </c>
      <c r="D1704">
        <v>294</v>
      </c>
      <c r="E1704" t="s">
        <v>236</v>
      </c>
      <c r="G1704">
        <v>0</v>
      </c>
      <c r="H1704">
        <v>0</v>
      </c>
      <c r="I1704">
        <v>0</v>
      </c>
      <c r="J1704">
        <v>0</v>
      </c>
      <c r="K1704">
        <v>0</v>
      </c>
      <c r="L1704">
        <v>0</v>
      </c>
      <c r="M1704">
        <v>0</v>
      </c>
      <c r="N1704">
        <v>0</v>
      </c>
      <c r="O1704">
        <v>0</v>
      </c>
      <c r="P1704">
        <v>0</v>
      </c>
      <c r="Q1704" t="str">
        <f>INDEX(pARTNER[#All],MATCH(#REF!,pARTNER[[#All],[Value.partnerSummary.id]],0),10)</f>
        <v>Italia (IT)</v>
      </c>
      <c r="R1704" t="str">
        <f>INDEX('Partner data'!$A$2:$DG$171,MATCH(#REF!,'Partner data'!$DG$2:$DG$171,0),83)</f>
        <v>Soggetto privato</v>
      </c>
      <c r="S1704" s="86" t="b">
        <f>IF(#REF!="staff",INDEX('Partner data'!$DG$2:$DH$171,MATCH(#REF!,'Partner data'!$DG$2:$DG$171,0),2))</f>
        <v>0</v>
      </c>
    </row>
    <row r="1705" spans="1:19" x14ac:dyDescent="0.25">
      <c r="A1705" t="s">
        <v>331</v>
      </c>
      <c r="B1705" t="s">
        <v>336</v>
      </c>
      <c r="C1705">
        <v>255</v>
      </c>
      <c r="D1705">
        <v>294</v>
      </c>
      <c r="E1705" t="s">
        <v>237</v>
      </c>
      <c r="G1705">
        <v>0</v>
      </c>
      <c r="H1705">
        <v>0</v>
      </c>
      <c r="I1705">
        <v>0</v>
      </c>
      <c r="J1705">
        <v>0</v>
      </c>
      <c r="K1705">
        <v>0</v>
      </c>
      <c r="L1705">
        <v>0</v>
      </c>
      <c r="M1705">
        <v>0</v>
      </c>
      <c r="N1705">
        <v>0</v>
      </c>
      <c r="O1705">
        <v>0</v>
      </c>
      <c r="P1705">
        <v>0</v>
      </c>
      <c r="Q1705" t="str">
        <f>INDEX(pARTNER[#All],MATCH(#REF!,pARTNER[[#All],[Value.partnerSummary.id]],0),10)</f>
        <v>Italia (IT)</v>
      </c>
      <c r="R1705" t="str">
        <f>INDEX('Partner data'!$A$2:$DG$171,MATCH(#REF!,'Partner data'!$DG$2:$DG$171,0),83)</f>
        <v>Soggetto privato</v>
      </c>
      <c r="S1705" s="86" t="b">
        <f>IF(#REF!="staff",INDEX('Partner data'!$DG$2:$DH$171,MATCH(#REF!,'Partner data'!$DG$2:$DG$171,0),2))</f>
        <v>0</v>
      </c>
    </row>
    <row r="1706" spans="1:19" x14ac:dyDescent="0.25">
      <c r="A1706" t="s">
        <v>331</v>
      </c>
      <c r="B1706" t="s">
        <v>336</v>
      </c>
      <c r="C1706">
        <v>255</v>
      </c>
      <c r="D1706">
        <v>294</v>
      </c>
      <c r="E1706" t="s">
        <v>238</v>
      </c>
      <c r="G1706">
        <v>173750</v>
      </c>
      <c r="H1706">
        <v>0</v>
      </c>
      <c r="I1706">
        <v>0</v>
      </c>
      <c r="J1706">
        <v>11007.5</v>
      </c>
      <c r="K1706">
        <v>0</v>
      </c>
      <c r="L1706">
        <v>10878.98</v>
      </c>
      <c r="M1706">
        <v>11007.5</v>
      </c>
      <c r="N1706">
        <v>6.34</v>
      </c>
      <c r="O1706">
        <v>162742.5</v>
      </c>
      <c r="P1706">
        <v>0</v>
      </c>
      <c r="Q1706" t="str">
        <f>INDEX(pARTNER[#All],MATCH(#REF!,pARTNER[[#All],[Value.partnerSummary.id]],0),10)</f>
        <v>Italia (IT)</v>
      </c>
      <c r="R1706" t="str">
        <f>INDEX('Partner data'!$A$2:$DG$171,MATCH(#REF!,'Partner data'!$DG$2:$DG$171,0),83)</f>
        <v>Soggetto privato</v>
      </c>
      <c r="S1706" s="86" t="b">
        <f>IF(#REF!="staff",INDEX('Partner data'!$DG$2:$DH$171,MATCH(#REF!,'Partner data'!$DG$2:$DG$171,0),2))</f>
        <v>0</v>
      </c>
    </row>
    <row r="1707" spans="1:19" x14ac:dyDescent="0.25">
      <c r="A1707" t="s">
        <v>331</v>
      </c>
      <c r="B1707" t="s">
        <v>330</v>
      </c>
      <c r="C1707">
        <v>189</v>
      </c>
      <c r="D1707">
        <v>343</v>
      </c>
      <c r="E1707" t="s">
        <v>228</v>
      </c>
      <c r="F1707">
        <v>20</v>
      </c>
      <c r="G1707">
        <v>21319.200000000001</v>
      </c>
      <c r="H1707">
        <v>0</v>
      </c>
      <c r="I1707">
        <v>0</v>
      </c>
      <c r="J1707">
        <v>0</v>
      </c>
      <c r="K1707">
        <v>0</v>
      </c>
      <c r="L1707">
        <v>0</v>
      </c>
      <c r="M1707">
        <v>0</v>
      </c>
      <c r="N1707">
        <v>0</v>
      </c>
      <c r="O1707">
        <v>21319.200000000001</v>
      </c>
      <c r="P1707">
        <v>0</v>
      </c>
      <c r="Q1707" t="str">
        <f>INDEX(pARTNER[#All],MATCH(#REF!,pARTNER[[#All],[Value.partnerSummary.id]],0),10)</f>
        <v>Slovenija (SI)</v>
      </c>
      <c r="R1707" t="str">
        <f>INDEX('Partner data'!$A$2:$DG$171,MATCH(#REF!,'Partner data'!$DG$2:$DG$171,0),83)</f>
        <v>Soggetto privato</v>
      </c>
      <c r="S1707" s="86" t="str">
        <f>IF(#REF!="staff",INDEX('Partner data'!$DG$2:$DH$171,MATCH(#REF!,'Partner data'!$DG$2:$DG$171,0),2))</f>
        <v>Tasso Forfettario 20%</v>
      </c>
    </row>
    <row r="1708" spans="1:19" x14ac:dyDescent="0.25">
      <c r="A1708" t="s">
        <v>331</v>
      </c>
      <c r="B1708" t="s">
        <v>330</v>
      </c>
      <c r="C1708">
        <v>189</v>
      </c>
      <c r="D1708">
        <v>343</v>
      </c>
      <c r="E1708" t="s">
        <v>229</v>
      </c>
      <c r="F1708">
        <v>15</v>
      </c>
      <c r="G1708">
        <v>3197.88</v>
      </c>
      <c r="H1708">
        <v>0</v>
      </c>
      <c r="I1708">
        <v>0</v>
      </c>
      <c r="J1708">
        <v>0</v>
      </c>
      <c r="K1708">
        <v>0</v>
      </c>
      <c r="L1708">
        <v>0</v>
      </c>
      <c r="M1708">
        <v>0</v>
      </c>
      <c r="N1708">
        <v>0</v>
      </c>
      <c r="O1708">
        <v>3197.88</v>
      </c>
      <c r="P1708">
        <v>0</v>
      </c>
      <c r="Q1708" t="str">
        <f>INDEX(pARTNER[#All],MATCH(#REF!,pARTNER[[#All],[Value.partnerSummary.id]],0),10)</f>
        <v>Slovenija (SI)</v>
      </c>
      <c r="R1708" t="str">
        <f>INDEX('Partner data'!$A$2:$DG$171,MATCH(#REF!,'Partner data'!$DG$2:$DG$171,0),83)</f>
        <v>Soggetto privato</v>
      </c>
      <c r="S1708" s="86" t="b">
        <f>IF(#REF!="staff",INDEX('Partner data'!$DG$2:$DH$171,MATCH(#REF!,'Partner data'!$DG$2:$DG$171,0),2))</f>
        <v>0</v>
      </c>
    </row>
    <row r="1709" spans="1:19" x14ac:dyDescent="0.25">
      <c r="A1709" t="s">
        <v>331</v>
      </c>
      <c r="B1709" t="s">
        <v>330</v>
      </c>
      <c r="C1709">
        <v>189</v>
      </c>
      <c r="D1709">
        <v>343</v>
      </c>
      <c r="E1709" t="s">
        <v>230</v>
      </c>
      <c r="F1709">
        <v>4</v>
      </c>
      <c r="G1709">
        <v>852.76</v>
      </c>
      <c r="H1709">
        <v>0</v>
      </c>
      <c r="I1709">
        <v>0</v>
      </c>
      <c r="J1709">
        <v>0</v>
      </c>
      <c r="K1709">
        <v>0</v>
      </c>
      <c r="L1709">
        <v>0</v>
      </c>
      <c r="M1709">
        <v>0</v>
      </c>
      <c r="N1709">
        <v>0</v>
      </c>
      <c r="O1709">
        <v>852.76</v>
      </c>
      <c r="P1709">
        <v>0</v>
      </c>
      <c r="Q1709" t="str">
        <f>INDEX(pARTNER[#All],MATCH(#REF!,pARTNER[[#All],[Value.partnerSummary.id]],0),10)</f>
        <v>Slovenija (SI)</v>
      </c>
      <c r="R1709" t="str">
        <f>INDEX('Partner data'!$A$2:$DG$171,MATCH(#REF!,'Partner data'!$DG$2:$DG$171,0),83)</f>
        <v>Soggetto privato</v>
      </c>
      <c r="S1709" s="86" t="b">
        <f>IF(#REF!="staff",INDEX('Partner data'!$DG$2:$DH$171,MATCH(#REF!,'Partner data'!$DG$2:$DG$171,0),2))</f>
        <v>0</v>
      </c>
    </row>
    <row r="1710" spans="1:19" x14ac:dyDescent="0.25">
      <c r="A1710" t="s">
        <v>331</v>
      </c>
      <c r="B1710" t="s">
        <v>330</v>
      </c>
      <c r="C1710">
        <v>189</v>
      </c>
      <c r="D1710">
        <v>343</v>
      </c>
      <c r="E1710" t="s">
        <v>231</v>
      </c>
      <c r="G1710">
        <v>83196</v>
      </c>
      <c r="H1710">
        <v>0</v>
      </c>
      <c r="I1710">
        <v>0</v>
      </c>
      <c r="J1710">
        <v>0</v>
      </c>
      <c r="K1710">
        <v>0</v>
      </c>
      <c r="L1710">
        <v>0</v>
      </c>
      <c r="M1710">
        <v>0</v>
      </c>
      <c r="N1710">
        <v>0</v>
      </c>
      <c r="O1710">
        <v>83196</v>
      </c>
      <c r="P1710">
        <v>0</v>
      </c>
      <c r="Q1710" t="str">
        <f>INDEX(pARTNER[#All],MATCH(#REF!,pARTNER[[#All],[Value.partnerSummary.id]],0),10)</f>
        <v>Slovenija (SI)</v>
      </c>
      <c r="R1710" t="str">
        <f>INDEX('Partner data'!$A$2:$DG$171,MATCH(#REF!,'Partner data'!$DG$2:$DG$171,0),83)</f>
        <v>Soggetto privato</v>
      </c>
      <c r="S1710" s="86" t="b">
        <f>IF(#REF!="staff",INDEX('Partner data'!$DG$2:$DH$171,MATCH(#REF!,'Partner data'!$DG$2:$DG$171,0),2))</f>
        <v>0</v>
      </c>
    </row>
    <row r="1711" spans="1:19" x14ac:dyDescent="0.25">
      <c r="A1711" t="s">
        <v>331</v>
      </c>
      <c r="B1711" t="s">
        <v>330</v>
      </c>
      <c r="C1711">
        <v>189</v>
      </c>
      <c r="D1711">
        <v>343</v>
      </c>
      <c r="E1711" t="s">
        <v>232</v>
      </c>
      <c r="G1711">
        <v>11200</v>
      </c>
      <c r="H1711">
        <v>0</v>
      </c>
      <c r="I1711">
        <v>0</v>
      </c>
      <c r="J1711">
        <v>0</v>
      </c>
      <c r="K1711">
        <v>0</v>
      </c>
      <c r="L1711">
        <v>0</v>
      </c>
      <c r="M1711">
        <v>0</v>
      </c>
      <c r="N1711">
        <v>0</v>
      </c>
      <c r="O1711">
        <v>11200</v>
      </c>
      <c r="P1711">
        <v>0</v>
      </c>
      <c r="Q1711" t="str">
        <f>INDEX(pARTNER[#All],MATCH(#REF!,pARTNER[[#All],[Value.partnerSummary.id]],0),10)</f>
        <v>Slovenija (SI)</v>
      </c>
      <c r="R1711" t="str">
        <f>INDEX('Partner data'!$A$2:$DG$171,MATCH(#REF!,'Partner data'!$DG$2:$DG$171,0),83)</f>
        <v>Soggetto privato</v>
      </c>
      <c r="S1711" s="86" t="b">
        <f>IF(#REF!="staff",INDEX('Partner data'!$DG$2:$DH$171,MATCH(#REF!,'Partner data'!$DG$2:$DG$171,0),2))</f>
        <v>0</v>
      </c>
    </row>
    <row r="1712" spans="1:19" x14ac:dyDescent="0.25">
      <c r="A1712" t="s">
        <v>331</v>
      </c>
      <c r="B1712" t="s">
        <v>330</v>
      </c>
      <c r="C1712">
        <v>189</v>
      </c>
      <c r="D1712">
        <v>343</v>
      </c>
      <c r="E1712" t="s">
        <v>233</v>
      </c>
      <c r="G1712">
        <v>12200</v>
      </c>
      <c r="H1712">
        <v>0</v>
      </c>
      <c r="I1712">
        <v>0</v>
      </c>
      <c r="J1712">
        <v>0</v>
      </c>
      <c r="K1712">
        <v>0</v>
      </c>
      <c r="L1712">
        <v>0</v>
      </c>
      <c r="M1712">
        <v>0</v>
      </c>
      <c r="N1712">
        <v>0</v>
      </c>
      <c r="O1712">
        <v>12200</v>
      </c>
      <c r="P1712">
        <v>0</v>
      </c>
      <c r="Q1712" t="str">
        <f>INDEX(pARTNER[#All],MATCH(#REF!,pARTNER[[#All],[Value.partnerSummary.id]],0),10)</f>
        <v>Slovenija (SI)</v>
      </c>
      <c r="R1712" t="str">
        <f>INDEX('Partner data'!$A$2:$DG$171,MATCH(#REF!,'Partner data'!$DG$2:$DG$171,0),83)</f>
        <v>Soggetto privato</v>
      </c>
      <c r="S1712" s="86" t="b">
        <f>IF(#REF!="staff",INDEX('Partner data'!$DG$2:$DH$171,MATCH(#REF!,'Partner data'!$DG$2:$DG$171,0),2))</f>
        <v>0</v>
      </c>
    </row>
    <row r="1713" spans="1:19" x14ac:dyDescent="0.25">
      <c r="A1713" t="s">
        <v>331</v>
      </c>
      <c r="B1713" t="s">
        <v>330</v>
      </c>
      <c r="C1713">
        <v>189</v>
      </c>
      <c r="D1713">
        <v>343</v>
      </c>
      <c r="E1713" t="s">
        <v>234</v>
      </c>
      <c r="G1713">
        <v>0</v>
      </c>
      <c r="H1713">
        <v>0</v>
      </c>
      <c r="I1713">
        <v>0</v>
      </c>
      <c r="J1713">
        <v>0</v>
      </c>
      <c r="K1713">
        <v>0</v>
      </c>
      <c r="L1713">
        <v>0</v>
      </c>
      <c r="M1713">
        <v>0</v>
      </c>
      <c r="N1713">
        <v>0</v>
      </c>
      <c r="O1713">
        <v>0</v>
      </c>
      <c r="P1713">
        <v>0</v>
      </c>
      <c r="Q1713" t="str">
        <f>INDEX(pARTNER[#All],MATCH(#REF!,pARTNER[[#All],[Value.partnerSummary.id]],0),10)</f>
        <v>Slovenija (SI)</v>
      </c>
      <c r="R1713" t="str">
        <f>INDEX('Partner data'!$A$2:$DG$171,MATCH(#REF!,'Partner data'!$DG$2:$DG$171,0),83)</f>
        <v>Soggetto privato</v>
      </c>
      <c r="S1713" s="86" t="b">
        <f>IF(#REF!="staff",INDEX('Partner data'!$DG$2:$DH$171,MATCH(#REF!,'Partner data'!$DG$2:$DG$171,0),2))</f>
        <v>0</v>
      </c>
    </row>
    <row r="1714" spans="1:19" x14ac:dyDescent="0.25">
      <c r="A1714" t="s">
        <v>331</v>
      </c>
      <c r="B1714" t="s">
        <v>330</v>
      </c>
      <c r="C1714">
        <v>189</v>
      </c>
      <c r="D1714">
        <v>343</v>
      </c>
      <c r="E1714" t="s">
        <v>235</v>
      </c>
      <c r="G1714">
        <v>9000</v>
      </c>
      <c r="H1714">
        <v>0</v>
      </c>
      <c r="I1714">
        <v>0</v>
      </c>
      <c r="J1714">
        <v>9000</v>
      </c>
      <c r="K1714">
        <v>0</v>
      </c>
      <c r="L1714">
        <v>0</v>
      </c>
      <c r="M1714">
        <v>9000</v>
      </c>
      <c r="N1714">
        <v>100</v>
      </c>
      <c r="O1714">
        <v>0</v>
      </c>
      <c r="P1714">
        <v>0</v>
      </c>
      <c r="Q1714" t="str">
        <f>INDEX(pARTNER[#All],MATCH(#REF!,pARTNER[[#All],[Value.partnerSummary.id]],0),10)</f>
        <v>Slovenija (SI)</v>
      </c>
      <c r="R1714" t="str">
        <f>INDEX('Partner data'!$A$2:$DG$171,MATCH(#REF!,'Partner data'!$DG$2:$DG$171,0),83)</f>
        <v>Soggetto privato</v>
      </c>
      <c r="S1714" s="86" t="b">
        <f>IF(#REF!="staff",INDEX('Partner data'!$DG$2:$DH$171,MATCH(#REF!,'Partner data'!$DG$2:$DG$171,0),2))</f>
        <v>0</v>
      </c>
    </row>
    <row r="1715" spans="1:19" x14ac:dyDescent="0.25">
      <c r="A1715" t="s">
        <v>331</v>
      </c>
      <c r="B1715" t="s">
        <v>330</v>
      </c>
      <c r="C1715">
        <v>189</v>
      </c>
      <c r="D1715">
        <v>343</v>
      </c>
      <c r="E1715" t="s">
        <v>236</v>
      </c>
      <c r="G1715">
        <v>0</v>
      </c>
      <c r="H1715">
        <v>0</v>
      </c>
      <c r="I1715">
        <v>0</v>
      </c>
      <c r="J1715">
        <v>0</v>
      </c>
      <c r="K1715">
        <v>0</v>
      </c>
      <c r="L1715">
        <v>0</v>
      </c>
      <c r="M1715">
        <v>0</v>
      </c>
      <c r="N1715">
        <v>0</v>
      </c>
      <c r="O1715">
        <v>0</v>
      </c>
      <c r="P1715">
        <v>0</v>
      </c>
      <c r="Q1715" t="str">
        <f>INDEX(pARTNER[#All],MATCH(#REF!,pARTNER[[#All],[Value.partnerSummary.id]],0),10)</f>
        <v>Slovenija (SI)</v>
      </c>
      <c r="R1715" t="str">
        <f>INDEX('Partner data'!$A$2:$DG$171,MATCH(#REF!,'Partner data'!$DG$2:$DG$171,0),83)</f>
        <v>Soggetto privato</v>
      </c>
      <c r="S1715" s="86" t="b">
        <f>IF(#REF!="staff",INDEX('Partner data'!$DG$2:$DH$171,MATCH(#REF!,'Partner data'!$DG$2:$DG$171,0),2))</f>
        <v>0</v>
      </c>
    </row>
    <row r="1716" spans="1:19" x14ac:dyDescent="0.25">
      <c r="A1716" t="s">
        <v>331</v>
      </c>
      <c r="B1716" t="s">
        <v>330</v>
      </c>
      <c r="C1716">
        <v>189</v>
      </c>
      <c r="D1716">
        <v>343</v>
      </c>
      <c r="E1716" t="s">
        <v>237</v>
      </c>
      <c r="G1716">
        <v>0</v>
      </c>
      <c r="H1716">
        <v>0</v>
      </c>
      <c r="I1716">
        <v>0</v>
      </c>
      <c r="J1716">
        <v>0</v>
      </c>
      <c r="K1716">
        <v>0</v>
      </c>
      <c r="L1716">
        <v>0</v>
      </c>
      <c r="M1716">
        <v>0</v>
      </c>
      <c r="N1716">
        <v>0</v>
      </c>
      <c r="O1716">
        <v>0</v>
      </c>
      <c r="P1716">
        <v>0</v>
      </c>
      <c r="Q1716" t="str">
        <f>INDEX(pARTNER[#All],MATCH(#REF!,pARTNER[[#All],[Value.partnerSummary.id]],0),10)</f>
        <v>Slovenija (SI)</v>
      </c>
      <c r="R1716" t="str">
        <f>INDEX('Partner data'!$A$2:$DG$171,MATCH(#REF!,'Partner data'!$DG$2:$DG$171,0),83)</f>
        <v>Soggetto privato</v>
      </c>
      <c r="S1716" s="86" t="b">
        <f>IF(#REF!="staff",INDEX('Partner data'!$DG$2:$DH$171,MATCH(#REF!,'Partner data'!$DG$2:$DG$171,0),2))</f>
        <v>0</v>
      </c>
    </row>
    <row r="1717" spans="1:19" x14ac:dyDescent="0.25">
      <c r="A1717" t="s">
        <v>331</v>
      </c>
      <c r="B1717" t="s">
        <v>330</v>
      </c>
      <c r="C1717">
        <v>189</v>
      </c>
      <c r="D1717">
        <v>343</v>
      </c>
      <c r="E1717" t="s">
        <v>238</v>
      </c>
      <c r="G1717">
        <v>140965.84</v>
      </c>
      <c r="H1717">
        <v>0</v>
      </c>
      <c r="I1717">
        <v>0</v>
      </c>
      <c r="J1717">
        <v>9000</v>
      </c>
      <c r="K1717">
        <v>0</v>
      </c>
      <c r="L1717">
        <v>0</v>
      </c>
      <c r="M1717">
        <v>9000</v>
      </c>
      <c r="N1717">
        <v>6.38</v>
      </c>
      <c r="O1717">
        <v>131965.84</v>
      </c>
      <c r="P1717">
        <v>0</v>
      </c>
      <c r="Q1717" t="str">
        <f>INDEX(pARTNER[#All],MATCH(#REF!,pARTNER[[#All],[Value.partnerSummary.id]],0),10)</f>
        <v>Slovenija (SI)</v>
      </c>
      <c r="R1717" t="str">
        <f>INDEX('Partner data'!$A$2:$DG$171,MATCH(#REF!,'Partner data'!$DG$2:$DG$171,0),83)</f>
        <v>Soggetto privato</v>
      </c>
      <c r="S1717" s="86" t="b">
        <f>IF(#REF!="staff",INDEX('Partner data'!$DG$2:$DH$171,MATCH(#REF!,'Partner data'!$DG$2:$DG$171,0),2))</f>
        <v>0</v>
      </c>
    </row>
    <row r="1718" spans="1:19" x14ac:dyDescent="0.25">
      <c r="A1718" t="s">
        <v>350</v>
      </c>
      <c r="B1718" t="s">
        <v>351</v>
      </c>
      <c r="C1718">
        <v>176</v>
      </c>
      <c r="D1718">
        <v>300</v>
      </c>
      <c r="E1718" t="s">
        <v>228</v>
      </c>
      <c r="G1718">
        <v>25100</v>
      </c>
      <c r="H1718">
        <v>0</v>
      </c>
      <c r="I1718">
        <v>0</v>
      </c>
      <c r="J1718">
        <v>4899</v>
      </c>
      <c r="K1718">
        <v>0</v>
      </c>
      <c r="L1718">
        <v>4899</v>
      </c>
      <c r="M1718">
        <v>4899</v>
      </c>
      <c r="N1718">
        <v>19.52</v>
      </c>
      <c r="O1718">
        <v>20201</v>
      </c>
      <c r="P1718">
        <v>0</v>
      </c>
      <c r="Q1718" t="str">
        <f>INDEX(pARTNER[#All],MATCH(#REF!,pARTNER[[#All],[Value.partnerSummary.id]],0),10)</f>
        <v>Italia (IT)</v>
      </c>
      <c r="R1718" t="str">
        <f>INDEX('Partner data'!$A$2:$DG$171,MATCH(#REF!,'Partner data'!$DG$2:$DG$171,0),83)</f>
        <v xml:space="preserve">Organismo di diritto pubblico </v>
      </c>
      <c r="S1718" s="86" t="str">
        <f>IF(#REF!="staff",INDEX('Partner data'!$DG$2:$DH$171,MATCH(#REF!,'Partner data'!$DG$2:$DG$171,0),2))</f>
        <v>Costo Unitario Standard</v>
      </c>
    </row>
    <row r="1719" spans="1:19" x14ac:dyDescent="0.25">
      <c r="A1719" t="s">
        <v>350</v>
      </c>
      <c r="B1719" t="s">
        <v>351</v>
      </c>
      <c r="C1719">
        <v>176</v>
      </c>
      <c r="D1719">
        <v>300</v>
      </c>
      <c r="E1719" t="s">
        <v>229</v>
      </c>
      <c r="F1719">
        <v>15</v>
      </c>
      <c r="G1719">
        <v>3765</v>
      </c>
      <c r="H1719">
        <v>0</v>
      </c>
      <c r="I1719">
        <v>0</v>
      </c>
      <c r="J1719">
        <v>734.85</v>
      </c>
      <c r="K1719">
        <v>0</v>
      </c>
      <c r="L1719">
        <v>734.85</v>
      </c>
      <c r="M1719">
        <v>734.85</v>
      </c>
      <c r="N1719">
        <v>19.52</v>
      </c>
      <c r="O1719">
        <v>3030.15</v>
      </c>
      <c r="P1719">
        <v>0</v>
      </c>
      <c r="Q1719" t="str">
        <f>INDEX(pARTNER[#All],MATCH(#REF!,pARTNER[[#All],[Value.partnerSummary.id]],0),10)</f>
        <v>Italia (IT)</v>
      </c>
      <c r="R1719" t="str">
        <f>INDEX('Partner data'!$A$2:$DG$171,MATCH(#REF!,'Partner data'!$DG$2:$DG$171,0),83)</f>
        <v xml:space="preserve">Organismo di diritto pubblico </v>
      </c>
      <c r="S1719" s="86" t="b">
        <f>IF(#REF!="staff",INDEX('Partner data'!$DG$2:$DH$171,MATCH(#REF!,'Partner data'!$DG$2:$DG$171,0),2))</f>
        <v>0</v>
      </c>
    </row>
    <row r="1720" spans="1:19" x14ac:dyDescent="0.25">
      <c r="A1720" t="s">
        <v>350</v>
      </c>
      <c r="B1720" t="s">
        <v>351</v>
      </c>
      <c r="C1720">
        <v>176</v>
      </c>
      <c r="D1720">
        <v>300</v>
      </c>
      <c r="E1720" t="s">
        <v>230</v>
      </c>
      <c r="F1720">
        <v>4</v>
      </c>
      <c r="G1720">
        <v>1004</v>
      </c>
      <c r="H1720">
        <v>0</v>
      </c>
      <c r="I1720">
        <v>0</v>
      </c>
      <c r="J1720">
        <v>195.96</v>
      </c>
      <c r="K1720">
        <v>0</v>
      </c>
      <c r="L1720">
        <v>195.96</v>
      </c>
      <c r="M1720">
        <v>195.96</v>
      </c>
      <c r="N1720">
        <v>19.52</v>
      </c>
      <c r="O1720">
        <v>808.04</v>
      </c>
      <c r="P1720">
        <v>0</v>
      </c>
      <c r="Q1720" t="str">
        <f>INDEX(pARTNER[#All],MATCH(#REF!,pARTNER[[#All],[Value.partnerSummary.id]],0),10)</f>
        <v>Italia (IT)</v>
      </c>
      <c r="R1720" t="str">
        <f>INDEX('Partner data'!$A$2:$DG$171,MATCH(#REF!,'Partner data'!$DG$2:$DG$171,0),83)</f>
        <v xml:space="preserve">Organismo di diritto pubblico </v>
      </c>
      <c r="S1720" s="86" t="b">
        <f>IF(#REF!="staff",INDEX('Partner data'!$DG$2:$DH$171,MATCH(#REF!,'Partner data'!$DG$2:$DG$171,0),2))</f>
        <v>0</v>
      </c>
    </row>
    <row r="1721" spans="1:19" x14ac:dyDescent="0.25">
      <c r="A1721" t="s">
        <v>350</v>
      </c>
      <c r="B1721" t="s">
        <v>351</v>
      </c>
      <c r="C1721">
        <v>176</v>
      </c>
      <c r="D1721">
        <v>300</v>
      </c>
      <c r="E1721" t="s">
        <v>231</v>
      </c>
      <c r="G1721">
        <v>41000</v>
      </c>
      <c r="H1721">
        <v>0</v>
      </c>
      <c r="I1721">
        <v>0</v>
      </c>
      <c r="J1721">
        <v>0</v>
      </c>
      <c r="K1721">
        <v>0</v>
      </c>
      <c r="L1721">
        <v>0</v>
      </c>
      <c r="M1721">
        <v>0</v>
      </c>
      <c r="N1721">
        <v>0</v>
      </c>
      <c r="O1721">
        <v>41000</v>
      </c>
      <c r="P1721">
        <v>0</v>
      </c>
      <c r="Q1721" t="str">
        <f>INDEX(pARTNER[#All],MATCH(#REF!,pARTNER[[#All],[Value.partnerSummary.id]],0),10)</f>
        <v>Italia (IT)</v>
      </c>
      <c r="R1721" t="str">
        <f>INDEX('Partner data'!$A$2:$DG$171,MATCH(#REF!,'Partner data'!$DG$2:$DG$171,0),83)</f>
        <v xml:space="preserve">Organismo di diritto pubblico </v>
      </c>
      <c r="S1721" s="86" t="b">
        <f>IF(#REF!="staff",INDEX('Partner data'!$DG$2:$DH$171,MATCH(#REF!,'Partner data'!$DG$2:$DG$171,0),2))</f>
        <v>0</v>
      </c>
    </row>
    <row r="1722" spans="1:19" x14ac:dyDescent="0.25">
      <c r="A1722" t="s">
        <v>350</v>
      </c>
      <c r="B1722" t="s">
        <v>351</v>
      </c>
      <c r="C1722">
        <v>176</v>
      </c>
      <c r="D1722">
        <v>300</v>
      </c>
      <c r="E1722" t="s">
        <v>232</v>
      </c>
      <c r="G1722">
        <v>0</v>
      </c>
      <c r="H1722">
        <v>0</v>
      </c>
      <c r="I1722">
        <v>0</v>
      </c>
      <c r="J1722">
        <v>0</v>
      </c>
      <c r="K1722">
        <v>0</v>
      </c>
      <c r="L1722">
        <v>0</v>
      </c>
      <c r="M1722">
        <v>0</v>
      </c>
      <c r="N1722">
        <v>0</v>
      </c>
      <c r="O1722">
        <v>0</v>
      </c>
      <c r="P1722">
        <v>0</v>
      </c>
      <c r="Q1722" t="str">
        <f>INDEX(pARTNER[#All],MATCH(#REF!,pARTNER[[#All],[Value.partnerSummary.id]],0),10)</f>
        <v>Italia (IT)</v>
      </c>
      <c r="R1722" t="str">
        <f>INDEX('Partner data'!$A$2:$DG$171,MATCH(#REF!,'Partner data'!$DG$2:$DG$171,0),83)</f>
        <v xml:space="preserve">Organismo di diritto pubblico </v>
      </c>
      <c r="S1722" s="86" t="b">
        <f>IF(#REF!="staff",INDEX('Partner data'!$DG$2:$DH$171,MATCH(#REF!,'Partner data'!$DG$2:$DG$171,0),2))</f>
        <v>0</v>
      </c>
    </row>
    <row r="1723" spans="1:19" x14ac:dyDescent="0.25">
      <c r="A1723" t="s">
        <v>350</v>
      </c>
      <c r="B1723" t="s">
        <v>351</v>
      </c>
      <c r="C1723">
        <v>176</v>
      </c>
      <c r="D1723">
        <v>300</v>
      </c>
      <c r="E1723" t="s">
        <v>233</v>
      </c>
      <c r="G1723">
        <v>0</v>
      </c>
      <c r="H1723">
        <v>0</v>
      </c>
      <c r="I1723">
        <v>0</v>
      </c>
      <c r="J1723">
        <v>0</v>
      </c>
      <c r="K1723">
        <v>0</v>
      </c>
      <c r="L1723">
        <v>0</v>
      </c>
      <c r="M1723">
        <v>0</v>
      </c>
      <c r="N1723">
        <v>0</v>
      </c>
      <c r="O1723">
        <v>0</v>
      </c>
      <c r="P1723">
        <v>0</v>
      </c>
      <c r="Q1723" t="str">
        <f>INDEX(pARTNER[#All],MATCH(#REF!,pARTNER[[#All],[Value.partnerSummary.id]],0),10)</f>
        <v>Italia (IT)</v>
      </c>
      <c r="R1723" t="str">
        <f>INDEX('Partner data'!$A$2:$DG$171,MATCH(#REF!,'Partner data'!$DG$2:$DG$171,0),83)</f>
        <v xml:space="preserve">Organismo di diritto pubblico </v>
      </c>
      <c r="S1723" s="86" t="b">
        <f>IF(#REF!="staff",INDEX('Partner data'!$DG$2:$DH$171,MATCH(#REF!,'Partner data'!$DG$2:$DG$171,0),2))</f>
        <v>0</v>
      </c>
    </row>
    <row r="1724" spans="1:19" x14ac:dyDescent="0.25">
      <c r="A1724" t="s">
        <v>350</v>
      </c>
      <c r="B1724" t="s">
        <v>351</v>
      </c>
      <c r="C1724">
        <v>176</v>
      </c>
      <c r="D1724">
        <v>300</v>
      </c>
      <c r="E1724" t="s">
        <v>234</v>
      </c>
      <c r="G1724">
        <v>0</v>
      </c>
      <c r="H1724">
        <v>0</v>
      </c>
      <c r="I1724">
        <v>0</v>
      </c>
      <c r="J1724">
        <v>0</v>
      </c>
      <c r="K1724">
        <v>0</v>
      </c>
      <c r="L1724">
        <v>0</v>
      </c>
      <c r="M1724">
        <v>0</v>
      </c>
      <c r="N1724">
        <v>0</v>
      </c>
      <c r="O1724">
        <v>0</v>
      </c>
      <c r="P1724">
        <v>0</v>
      </c>
      <c r="Q1724" t="str">
        <f>INDEX(pARTNER[#All],MATCH(#REF!,pARTNER[[#All],[Value.partnerSummary.id]],0),10)</f>
        <v>Italia (IT)</v>
      </c>
      <c r="R1724" t="str">
        <f>INDEX('Partner data'!$A$2:$DG$171,MATCH(#REF!,'Partner data'!$DG$2:$DG$171,0),83)</f>
        <v xml:space="preserve">Organismo di diritto pubblico </v>
      </c>
      <c r="S1724" s="86" t="b">
        <f>IF(#REF!="staff",INDEX('Partner data'!$DG$2:$DH$171,MATCH(#REF!,'Partner data'!$DG$2:$DG$171,0),2))</f>
        <v>0</v>
      </c>
    </row>
    <row r="1725" spans="1:19" x14ac:dyDescent="0.25">
      <c r="A1725" t="s">
        <v>350</v>
      </c>
      <c r="B1725" t="s">
        <v>351</v>
      </c>
      <c r="C1725">
        <v>176</v>
      </c>
      <c r="D1725">
        <v>300</v>
      </c>
      <c r="E1725" t="s">
        <v>235</v>
      </c>
      <c r="G1725">
        <v>0</v>
      </c>
      <c r="H1725">
        <v>0</v>
      </c>
      <c r="I1725">
        <v>0</v>
      </c>
      <c r="J1725">
        <v>0</v>
      </c>
      <c r="K1725">
        <v>0</v>
      </c>
      <c r="L1725">
        <v>0</v>
      </c>
      <c r="M1725">
        <v>0</v>
      </c>
      <c r="N1725">
        <v>0</v>
      </c>
      <c r="O1725">
        <v>0</v>
      </c>
      <c r="P1725">
        <v>0</v>
      </c>
      <c r="Q1725" t="str">
        <f>INDEX(pARTNER[#All],MATCH(#REF!,pARTNER[[#All],[Value.partnerSummary.id]],0),10)</f>
        <v>Italia (IT)</v>
      </c>
      <c r="R1725" t="str">
        <f>INDEX('Partner data'!$A$2:$DG$171,MATCH(#REF!,'Partner data'!$DG$2:$DG$171,0),83)</f>
        <v xml:space="preserve">Organismo di diritto pubblico </v>
      </c>
      <c r="S1725" s="86" t="b">
        <f>IF(#REF!="staff",INDEX('Partner data'!$DG$2:$DH$171,MATCH(#REF!,'Partner data'!$DG$2:$DG$171,0),2))</f>
        <v>0</v>
      </c>
    </row>
    <row r="1726" spans="1:19" x14ac:dyDescent="0.25">
      <c r="A1726" t="s">
        <v>350</v>
      </c>
      <c r="B1726" t="s">
        <v>351</v>
      </c>
      <c r="C1726">
        <v>176</v>
      </c>
      <c r="D1726">
        <v>300</v>
      </c>
      <c r="E1726" t="s">
        <v>236</v>
      </c>
      <c r="G1726">
        <v>0</v>
      </c>
      <c r="H1726">
        <v>0</v>
      </c>
      <c r="I1726">
        <v>0</v>
      </c>
      <c r="J1726">
        <v>0</v>
      </c>
      <c r="K1726">
        <v>0</v>
      </c>
      <c r="L1726">
        <v>0</v>
      </c>
      <c r="M1726">
        <v>0</v>
      </c>
      <c r="N1726">
        <v>0</v>
      </c>
      <c r="O1726">
        <v>0</v>
      </c>
      <c r="P1726">
        <v>0</v>
      </c>
      <c r="Q1726" t="str">
        <f>INDEX(pARTNER[#All],MATCH(#REF!,pARTNER[[#All],[Value.partnerSummary.id]],0),10)</f>
        <v>Italia (IT)</v>
      </c>
      <c r="R1726" t="str">
        <f>INDEX('Partner data'!$A$2:$DG$171,MATCH(#REF!,'Partner data'!$DG$2:$DG$171,0),83)</f>
        <v xml:space="preserve">Organismo di diritto pubblico </v>
      </c>
      <c r="S1726" s="86" t="b">
        <f>IF(#REF!="staff",INDEX('Partner data'!$DG$2:$DH$171,MATCH(#REF!,'Partner data'!$DG$2:$DG$171,0),2))</f>
        <v>0</v>
      </c>
    </row>
    <row r="1727" spans="1:19" x14ac:dyDescent="0.25">
      <c r="A1727" t="s">
        <v>350</v>
      </c>
      <c r="B1727" t="s">
        <v>351</v>
      </c>
      <c r="C1727">
        <v>176</v>
      </c>
      <c r="D1727">
        <v>300</v>
      </c>
      <c r="E1727" t="s">
        <v>237</v>
      </c>
      <c r="G1727">
        <v>0</v>
      </c>
      <c r="H1727">
        <v>0</v>
      </c>
      <c r="I1727">
        <v>0</v>
      </c>
      <c r="J1727">
        <v>0</v>
      </c>
      <c r="K1727">
        <v>0</v>
      </c>
      <c r="L1727">
        <v>0</v>
      </c>
      <c r="M1727">
        <v>0</v>
      </c>
      <c r="N1727">
        <v>0</v>
      </c>
      <c r="O1727">
        <v>0</v>
      </c>
      <c r="P1727">
        <v>0</v>
      </c>
      <c r="Q1727" t="str">
        <f>INDEX(pARTNER[#All],MATCH(#REF!,pARTNER[[#All],[Value.partnerSummary.id]],0),10)</f>
        <v>Italia (IT)</v>
      </c>
      <c r="R1727" t="str">
        <f>INDEX('Partner data'!$A$2:$DG$171,MATCH(#REF!,'Partner data'!$DG$2:$DG$171,0),83)</f>
        <v xml:space="preserve">Organismo di diritto pubblico </v>
      </c>
      <c r="S1727" s="86" t="b">
        <f>IF(#REF!="staff",INDEX('Partner data'!$DG$2:$DH$171,MATCH(#REF!,'Partner data'!$DG$2:$DG$171,0),2))</f>
        <v>0</v>
      </c>
    </row>
    <row r="1728" spans="1:19" x14ac:dyDescent="0.25">
      <c r="A1728" t="s">
        <v>350</v>
      </c>
      <c r="B1728" t="s">
        <v>351</v>
      </c>
      <c r="C1728">
        <v>176</v>
      </c>
      <c r="D1728">
        <v>300</v>
      </c>
      <c r="E1728" t="s">
        <v>238</v>
      </c>
      <c r="G1728">
        <v>70869</v>
      </c>
      <c r="H1728">
        <v>0</v>
      </c>
      <c r="I1728">
        <v>0</v>
      </c>
      <c r="J1728">
        <v>5829.81</v>
      </c>
      <c r="K1728">
        <v>0</v>
      </c>
      <c r="L1728">
        <v>5829.81</v>
      </c>
      <c r="M1728">
        <v>5829.81</v>
      </c>
      <c r="N1728">
        <v>8.23</v>
      </c>
      <c r="O1728">
        <v>65039.19</v>
      </c>
      <c r="P1728">
        <v>0</v>
      </c>
      <c r="Q1728" t="str">
        <f>INDEX(pARTNER[#All],MATCH(#REF!,pARTNER[[#All],[Value.partnerSummary.id]],0),10)</f>
        <v>Italia (IT)</v>
      </c>
      <c r="R1728" t="str">
        <f>INDEX('Partner data'!$A$2:$DG$171,MATCH(#REF!,'Partner data'!$DG$2:$DG$171,0),83)</f>
        <v xml:space="preserve">Organismo di diritto pubblico </v>
      </c>
      <c r="S1728" s="86" t="b">
        <f>IF(#REF!="staff",INDEX('Partner data'!$DG$2:$DH$171,MATCH(#REF!,'Partner data'!$DG$2:$DG$171,0),2))</f>
        <v>0</v>
      </c>
    </row>
    <row r="1729" spans="1:19" x14ac:dyDescent="0.25">
      <c r="A1729" t="s">
        <v>350</v>
      </c>
      <c r="B1729" t="s">
        <v>352</v>
      </c>
      <c r="C1729">
        <v>170</v>
      </c>
      <c r="D1729">
        <v>277</v>
      </c>
      <c r="E1729" t="s">
        <v>228</v>
      </c>
      <c r="G1729">
        <v>120161</v>
      </c>
      <c r="H1729">
        <v>0</v>
      </c>
      <c r="I1729">
        <v>0</v>
      </c>
      <c r="J1729">
        <v>14071</v>
      </c>
      <c r="K1729">
        <v>0</v>
      </c>
      <c r="L1729">
        <v>14071</v>
      </c>
      <c r="M1729">
        <v>14071</v>
      </c>
      <c r="N1729">
        <v>11.71</v>
      </c>
      <c r="O1729">
        <v>106090</v>
      </c>
      <c r="P1729">
        <v>0</v>
      </c>
      <c r="Q1729" t="str">
        <f>INDEX(pARTNER[#All],MATCH(#REF!,pARTNER[[#All],[Value.partnerSummary.id]],0),10)</f>
        <v>Italia (IT)</v>
      </c>
      <c r="R1729" t="str">
        <f>INDEX('Partner data'!$A$2:$DG$171,MATCH(#REF!,'Partner data'!$DG$2:$DG$171,0),83)</f>
        <v xml:space="preserve">Organismo di diritto pubblico </v>
      </c>
      <c r="S1729" s="86" t="str">
        <f>IF(#REF!="staff",INDEX('Partner data'!$DG$2:$DH$171,MATCH(#REF!,'Partner data'!$DG$2:$DG$171,0),2))</f>
        <v>Costo Unitario Standard</v>
      </c>
    </row>
    <row r="1730" spans="1:19" x14ac:dyDescent="0.25">
      <c r="A1730" t="s">
        <v>350</v>
      </c>
      <c r="B1730" t="s">
        <v>352</v>
      </c>
      <c r="C1730">
        <v>170</v>
      </c>
      <c r="D1730">
        <v>277</v>
      </c>
      <c r="E1730" t="s">
        <v>229</v>
      </c>
      <c r="G1730">
        <v>0</v>
      </c>
      <c r="H1730">
        <v>0</v>
      </c>
      <c r="I1730">
        <v>0</v>
      </c>
      <c r="J1730">
        <v>0</v>
      </c>
      <c r="K1730">
        <v>0</v>
      </c>
      <c r="L1730">
        <v>0</v>
      </c>
      <c r="M1730">
        <v>0</v>
      </c>
      <c r="N1730">
        <v>0</v>
      </c>
      <c r="O1730">
        <v>0</v>
      </c>
      <c r="P1730">
        <v>0</v>
      </c>
      <c r="Q1730" t="str">
        <f>INDEX(pARTNER[#All],MATCH(#REF!,pARTNER[[#All],[Value.partnerSummary.id]],0),10)</f>
        <v>Italia (IT)</v>
      </c>
      <c r="R1730" t="str">
        <f>INDEX('Partner data'!$A$2:$DG$171,MATCH(#REF!,'Partner data'!$DG$2:$DG$171,0),83)</f>
        <v xml:space="preserve">Organismo di diritto pubblico </v>
      </c>
      <c r="S1730" s="86" t="b">
        <f>IF(#REF!="staff",INDEX('Partner data'!$DG$2:$DH$171,MATCH(#REF!,'Partner data'!$DG$2:$DG$171,0),2))</f>
        <v>0</v>
      </c>
    </row>
    <row r="1731" spans="1:19" x14ac:dyDescent="0.25">
      <c r="A1731" t="s">
        <v>350</v>
      </c>
      <c r="B1731" t="s">
        <v>352</v>
      </c>
      <c r="C1731">
        <v>170</v>
      </c>
      <c r="D1731">
        <v>277</v>
      </c>
      <c r="E1731" t="s">
        <v>230</v>
      </c>
      <c r="G1731">
        <v>0</v>
      </c>
      <c r="H1731">
        <v>0</v>
      </c>
      <c r="I1731">
        <v>0</v>
      </c>
      <c r="J1731">
        <v>0</v>
      </c>
      <c r="K1731">
        <v>0</v>
      </c>
      <c r="L1731">
        <v>0</v>
      </c>
      <c r="M1731">
        <v>0</v>
      </c>
      <c r="N1731">
        <v>0</v>
      </c>
      <c r="O1731">
        <v>0</v>
      </c>
      <c r="P1731">
        <v>0</v>
      </c>
      <c r="Q1731" t="str">
        <f>INDEX(pARTNER[#All],MATCH(#REF!,pARTNER[[#All],[Value.partnerSummary.id]],0),10)</f>
        <v>Italia (IT)</v>
      </c>
      <c r="R1731" t="str">
        <f>INDEX('Partner data'!$A$2:$DG$171,MATCH(#REF!,'Partner data'!$DG$2:$DG$171,0),83)</f>
        <v xml:space="preserve">Organismo di diritto pubblico </v>
      </c>
      <c r="S1731" s="86" t="b">
        <f>IF(#REF!="staff",INDEX('Partner data'!$DG$2:$DH$171,MATCH(#REF!,'Partner data'!$DG$2:$DG$171,0),2))</f>
        <v>0</v>
      </c>
    </row>
    <row r="1732" spans="1:19" x14ac:dyDescent="0.25">
      <c r="A1732" t="s">
        <v>350</v>
      </c>
      <c r="B1732" t="s">
        <v>352</v>
      </c>
      <c r="C1732">
        <v>170</v>
      </c>
      <c r="D1732">
        <v>277</v>
      </c>
      <c r="E1732" t="s">
        <v>231</v>
      </c>
      <c r="G1732">
        <v>0</v>
      </c>
      <c r="H1732">
        <v>0</v>
      </c>
      <c r="I1732">
        <v>0</v>
      </c>
      <c r="J1732">
        <v>0</v>
      </c>
      <c r="K1732">
        <v>0</v>
      </c>
      <c r="L1732">
        <v>0</v>
      </c>
      <c r="M1732">
        <v>0</v>
      </c>
      <c r="N1732">
        <v>0</v>
      </c>
      <c r="O1732">
        <v>0</v>
      </c>
      <c r="P1732">
        <v>0</v>
      </c>
      <c r="Q1732" t="str">
        <f>INDEX(pARTNER[#All],MATCH(#REF!,pARTNER[[#All],[Value.partnerSummary.id]],0),10)</f>
        <v>Italia (IT)</v>
      </c>
      <c r="R1732" t="str">
        <f>INDEX('Partner data'!$A$2:$DG$171,MATCH(#REF!,'Partner data'!$DG$2:$DG$171,0),83)</f>
        <v xml:space="preserve">Organismo di diritto pubblico </v>
      </c>
      <c r="S1732" s="86" t="b">
        <f>IF(#REF!="staff",INDEX('Partner data'!$DG$2:$DH$171,MATCH(#REF!,'Partner data'!$DG$2:$DG$171,0),2))</f>
        <v>0</v>
      </c>
    </row>
    <row r="1733" spans="1:19" x14ac:dyDescent="0.25">
      <c r="A1733" t="s">
        <v>350</v>
      </c>
      <c r="B1733" t="s">
        <v>352</v>
      </c>
      <c r="C1733">
        <v>170</v>
      </c>
      <c r="D1733">
        <v>277</v>
      </c>
      <c r="E1733" t="s">
        <v>232</v>
      </c>
      <c r="G1733">
        <v>0</v>
      </c>
      <c r="H1733">
        <v>0</v>
      </c>
      <c r="I1733">
        <v>0</v>
      </c>
      <c r="J1733">
        <v>0</v>
      </c>
      <c r="K1733">
        <v>0</v>
      </c>
      <c r="L1733">
        <v>0</v>
      </c>
      <c r="M1733">
        <v>0</v>
      </c>
      <c r="N1733">
        <v>0</v>
      </c>
      <c r="O1733">
        <v>0</v>
      </c>
      <c r="P1733">
        <v>0</v>
      </c>
      <c r="Q1733" t="str">
        <f>INDEX(pARTNER[#All],MATCH(#REF!,pARTNER[[#All],[Value.partnerSummary.id]],0),10)</f>
        <v>Italia (IT)</v>
      </c>
      <c r="R1733" t="str">
        <f>INDEX('Partner data'!$A$2:$DG$171,MATCH(#REF!,'Partner data'!$DG$2:$DG$171,0),83)</f>
        <v xml:space="preserve">Organismo di diritto pubblico </v>
      </c>
      <c r="S1733" s="86" t="b">
        <f>IF(#REF!="staff",INDEX('Partner data'!$DG$2:$DH$171,MATCH(#REF!,'Partner data'!$DG$2:$DG$171,0),2))</f>
        <v>0</v>
      </c>
    </row>
    <row r="1734" spans="1:19" x14ac:dyDescent="0.25">
      <c r="A1734" t="s">
        <v>350</v>
      </c>
      <c r="B1734" t="s">
        <v>352</v>
      </c>
      <c r="C1734">
        <v>170</v>
      </c>
      <c r="D1734">
        <v>277</v>
      </c>
      <c r="E1734" t="s">
        <v>233</v>
      </c>
      <c r="G1734">
        <v>0</v>
      </c>
      <c r="H1734">
        <v>0</v>
      </c>
      <c r="I1734">
        <v>0</v>
      </c>
      <c r="J1734">
        <v>0</v>
      </c>
      <c r="K1734">
        <v>0</v>
      </c>
      <c r="L1734">
        <v>0</v>
      </c>
      <c r="M1734">
        <v>0</v>
      </c>
      <c r="N1734">
        <v>0</v>
      </c>
      <c r="O1734">
        <v>0</v>
      </c>
      <c r="P1734">
        <v>0</v>
      </c>
      <c r="Q1734" t="str">
        <f>INDEX(pARTNER[#All],MATCH(#REF!,pARTNER[[#All],[Value.partnerSummary.id]],0),10)</f>
        <v>Italia (IT)</v>
      </c>
      <c r="R1734" t="str">
        <f>INDEX('Partner data'!$A$2:$DG$171,MATCH(#REF!,'Partner data'!$DG$2:$DG$171,0),83)</f>
        <v xml:space="preserve">Organismo di diritto pubblico </v>
      </c>
      <c r="S1734" s="86" t="b">
        <f>IF(#REF!="staff",INDEX('Partner data'!$DG$2:$DH$171,MATCH(#REF!,'Partner data'!$DG$2:$DG$171,0),2))</f>
        <v>0</v>
      </c>
    </row>
    <row r="1735" spans="1:19" x14ac:dyDescent="0.25">
      <c r="A1735" t="s">
        <v>350</v>
      </c>
      <c r="B1735" t="s">
        <v>352</v>
      </c>
      <c r="C1735">
        <v>170</v>
      </c>
      <c r="D1735">
        <v>277</v>
      </c>
      <c r="E1735" t="s">
        <v>234</v>
      </c>
      <c r="F1735">
        <v>40</v>
      </c>
      <c r="G1735">
        <v>48064.4</v>
      </c>
      <c r="H1735">
        <v>0</v>
      </c>
      <c r="I1735">
        <v>0</v>
      </c>
      <c r="J1735">
        <v>5628.4</v>
      </c>
      <c r="K1735">
        <v>0</v>
      </c>
      <c r="L1735">
        <v>5628.4</v>
      </c>
      <c r="M1735">
        <v>5628.4</v>
      </c>
      <c r="N1735">
        <v>11.71</v>
      </c>
      <c r="O1735">
        <v>42436</v>
      </c>
      <c r="P1735">
        <v>0</v>
      </c>
      <c r="Q1735" t="str">
        <f>INDEX(pARTNER[#All],MATCH(#REF!,pARTNER[[#All],[Value.partnerSummary.id]],0),10)</f>
        <v>Italia (IT)</v>
      </c>
      <c r="R1735" t="str">
        <f>INDEX('Partner data'!$A$2:$DG$171,MATCH(#REF!,'Partner data'!$DG$2:$DG$171,0),83)</f>
        <v xml:space="preserve">Organismo di diritto pubblico </v>
      </c>
      <c r="S1735" s="86" t="b">
        <f>IF(#REF!="staff",INDEX('Partner data'!$DG$2:$DH$171,MATCH(#REF!,'Partner data'!$DG$2:$DG$171,0),2))</f>
        <v>0</v>
      </c>
    </row>
    <row r="1736" spans="1:19" x14ac:dyDescent="0.25">
      <c r="A1736" t="s">
        <v>350</v>
      </c>
      <c r="B1736" t="s">
        <v>352</v>
      </c>
      <c r="C1736">
        <v>170</v>
      </c>
      <c r="D1736">
        <v>277</v>
      </c>
      <c r="E1736" t="s">
        <v>235</v>
      </c>
      <c r="G1736">
        <v>9000</v>
      </c>
      <c r="H1736">
        <v>0</v>
      </c>
      <c r="I1736">
        <v>0</v>
      </c>
      <c r="J1736">
        <v>9000</v>
      </c>
      <c r="K1736">
        <v>0</v>
      </c>
      <c r="L1736">
        <v>9000</v>
      </c>
      <c r="M1736">
        <v>9000</v>
      </c>
      <c r="N1736">
        <v>100</v>
      </c>
      <c r="O1736">
        <v>0</v>
      </c>
      <c r="P1736">
        <v>0</v>
      </c>
      <c r="Q1736" t="str">
        <f>INDEX(pARTNER[#All],MATCH(#REF!,pARTNER[[#All],[Value.partnerSummary.id]],0),10)</f>
        <v>Italia (IT)</v>
      </c>
      <c r="R1736" t="str">
        <f>INDEX('Partner data'!$A$2:$DG$171,MATCH(#REF!,'Partner data'!$DG$2:$DG$171,0),83)</f>
        <v xml:space="preserve">Organismo di diritto pubblico </v>
      </c>
      <c r="S1736" s="86" t="b">
        <f>IF(#REF!="staff",INDEX('Partner data'!$DG$2:$DH$171,MATCH(#REF!,'Partner data'!$DG$2:$DG$171,0),2))</f>
        <v>0</v>
      </c>
    </row>
    <row r="1737" spans="1:19" x14ac:dyDescent="0.25">
      <c r="A1737" t="s">
        <v>350</v>
      </c>
      <c r="B1737" t="s">
        <v>352</v>
      </c>
      <c r="C1737">
        <v>170</v>
      </c>
      <c r="D1737">
        <v>277</v>
      </c>
      <c r="E1737" t="s">
        <v>236</v>
      </c>
      <c r="G1737">
        <v>0</v>
      </c>
      <c r="H1737">
        <v>0</v>
      </c>
      <c r="I1737">
        <v>0</v>
      </c>
      <c r="J1737">
        <v>0</v>
      </c>
      <c r="K1737">
        <v>0</v>
      </c>
      <c r="L1737">
        <v>0</v>
      </c>
      <c r="M1737">
        <v>0</v>
      </c>
      <c r="N1737">
        <v>0</v>
      </c>
      <c r="O1737">
        <v>0</v>
      </c>
      <c r="P1737">
        <v>0</v>
      </c>
      <c r="Q1737" t="str">
        <f>INDEX(pARTNER[#All],MATCH(#REF!,pARTNER[[#All],[Value.partnerSummary.id]],0),10)</f>
        <v>Italia (IT)</v>
      </c>
      <c r="R1737" t="str">
        <f>INDEX('Partner data'!$A$2:$DG$171,MATCH(#REF!,'Partner data'!$DG$2:$DG$171,0),83)</f>
        <v xml:space="preserve">Organismo di diritto pubblico </v>
      </c>
      <c r="S1737" s="86" t="b">
        <f>IF(#REF!="staff",INDEX('Partner data'!$DG$2:$DH$171,MATCH(#REF!,'Partner data'!$DG$2:$DG$171,0),2))</f>
        <v>0</v>
      </c>
    </row>
    <row r="1738" spans="1:19" x14ac:dyDescent="0.25">
      <c r="A1738" t="s">
        <v>350</v>
      </c>
      <c r="B1738" t="s">
        <v>352</v>
      </c>
      <c r="C1738">
        <v>170</v>
      </c>
      <c r="D1738">
        <v>277</v>
      </c>
      <c r="E1738" t="s">
        <v>237</v>
      </c>
      <c r="G1738">
        <v>0</v>
      </c>
      <c r="H1738">
        <v>0</v>
      </c>
      <c r="I1738">
        <v>0</v>
      </c>
      <c r="J1738">
        <v>0</v>
      </c>
      <c r="K1738">
        <v>0</v>
      </c>
      <c r="L1738">
        <v>0</v>
      </c>
      <c r="M1738">
        <v>0</v>
      </c>
      <c r="N1738">
        <v>0</v>
      </c>
      <c r="O1738">
        <v>0</v>
      </c>
      <c r="P1738">
        <v>0</v>
      </c>
      <c r="Q1738" t="str">
        <f>INDEX(pARTNER[#All],MATCH(#REF!,pARTNER[[#All],[Value.partnerSummary.id]],0),10)</f>
        <v>Italia (IT)</v>
      </c>
      <c r="R1738" t="str">
        <f>INDEX('Partner data'!$A$2:$DG$171,MATCH(#REF!,'Partner data'!$DG$2:$DG$171,0),83)</f>
        <v xml:space="preserve">Organismo di diritto pubblico </v>
      </c>
      <c r="S1738" s="86" t="b">
        <f>IF(#REF!="staff",INDEX('Partner data'!$DG$2:$DH$171,MATCH(#REF!,'Partner data'!$DG$2:$DG$171,0),2))</f>
        <v>0</v>
      </c>
    </row>
    <row r="1739" spans="1:19" x14ac:dyDescent="0.25">
      <c r="A1739" t="s">
        <v>350</v>
      </c>
      <c r="B1739" t="s">
        <v>352</v>
      </c>
      <c r="C1739">
        <v>170</v>
      </c>
      <c r="D1739">
        <v>277</v>
      </c>
      <c r="E1739" t="s">
        <v>238</v>
      </c>
      <c r="G1739">
        <v>177225.4</v>
      </c>
      <c r="H1739">
        <v>0</v>
      </c>
      <c r="I1739">
        <v>0</v>
      </c>
      <c r="J1739">
        <v>28699.4</v>
      </c>
      <c r="K1739">
        <v>0</v>
      </c>
      <c r="L1739">
        <v>28699.4</v>
      </c>
      <c r="M1739">
        <v>28699.4</v>
      </c>
      <c r="N1739">
        <v>16.190000000000001</v>
      </c>
      <c r="O1739">
        <v>148526</v>
      </c>
      <c r="P1739">
        <v>0</v>
      </c>
      <c r="Q1739" t="str">
        <f>INDEX(pARTNER[#All],MATCH(#REF!,pARTNER[[#All],[Value.partnerSummary.id]],0),10)</f>
        <v>Italia (IT)</v>
      </c>
      <c r="R1739" t="str">
        <f>INDEX('Partner data'!$A$2:$DG$171,MATCH(#REF!,'Partner data'!$DG$2:$DG$171,0),83)</f>
        <v xml:space="preserve">Organismo di diritto pubblico </v>
      </c>
      <c r="S1739" s="86" t="b">
        <f>IF(#REF!="staff",INDEX('Partner data'!$DG$2:$DH$171,MATCH(#REF!,'Partner data'!$DG$2:$DG$171,0),2))</f>
        <v>0</v>
      </c>
    </row>
    <row r="1740" spans="1:19" x14ac:dyDescent="0.25">
      <c r="A1740" t="s">
        <v>350</v>
      </c>
      <c r="B1740" t="s">
        <v>353</v>
      </c>
      <c r="C1740">
        <v>177</v>
      </c>
      <c r="D1740">
        <v>289</v>
      </c>
      <c r="E1740" t="s">
        <v>228</v>
      </c>
      <c r="G1740">
        <v>29287.5</v>
      </c>
      <c r="H1740">
        <v>0</v>
      </c>
      <c r="I1740">
        <v>0</v>
      </c>
      <c r="J1740">
        <v>7327.5</v>
      </c>
      <c r="K1740">
        <v>0</v>
      </c>
      <c r="L1740">
        <v>5862</v>
      </c>
      <c r="M1740">
        <v>7327.5</v>
      </c>
      <c r="N1740">
        <v>25.02</v>
      </c>
      <c r="O1740">
        <v>21960</v>
      </c>
      <c r="P1740">
        <v>0</v>
      </c>
      <c r="Q1740" t="str">
        <f>INDEX(pARTNER[#All],MATCH(#REF!,pARTNER[[#All],[Value.partnerSummary.id]],0),10)</f>
        <v>Italia (IT)</v>
      </c>
      <c r="R1740" t="str">
        <f>INDEX('Partner data'!$A$2:$DG$171,MATCH(#REF!,'Partner data'!$DG$2:$DG$171,0),83)</f>
        <v>Soggetto privato</v>
      </c>
      <c r="S1740" s="86" t="str">
        <f>IF(#REF!="staff",INDEX('Partner data'!$DG$2:$DH$171,MATCH(#REF!,'Partner data'!$DG$2:$DG$171,0),2))</f>
        <v>COSTO REALE</v>
      </c>
    </row>
    <row r="1741" spans="1:19" x14ac:dyDescent="0.25">
      <c r="A1741" t="s">
        <v>350</v>
      </c>
      <c r="B1741" t="s">
        <v>353</v>
      </c>
      <c r="C1741">
        <v>177</v>
      </c>
      <c r="D1741">
        <v>289</v>
      </c>
      <c r="E1741" t="s">
        <v>229</v>
      </c>
      <c r="F1741">
        <v>15</v>
      </c>
      <c r="G1741">
        <v>4393.12</v>
      </c>
      <c r="H1741">
        <v>0</v>
      </c>
      <c r="I1741">
        <v>0</v>
      </c>
      <c r="J1741">
        <v>1099.1199999999999</v>
      </c>
      <c r="K1741">
        <v>0</v>
      </c>
      <c r="L1741">
        <v>879.3</v>
      </c>
      <c r="M1741">
        <v>1099.1199999999999</v>
      </c>
      <c r="N1741">
        <v>25.02</v>
      </c>
      <c r="O1741">
        <v>3294</v>
      </c>
      <c r="P1741">
        <v>0</v>
      </c>
      <c r="Q1741" t="str">
        <f>INDEX(pARTNER[#All],MATCH(#REF!,pARTNER[[#All],[Value.partnerSummary.id]],0),10)</f>
        <v>Italia (IT)</v>
      </c>
      <c r="R1741" t="str">
        <f>INDEX('Partner data'!$A$2:$DG$171,MATCH(#REF!,'Partner data'!$DG$2:$DG$171,0),83)</f>
        <v>Soggetto privato</v>
      </c>
      <c r="S1741" s="86" t="b">
        <f>IF(#REF!="staff",INDEX('Partner data'!$DG$2:$DH$171,MATCH(#REF!,'Partner data'!$DG$2:$DG$171,0),2))</f>
        <v>0</v>
      </c>
    </row>
    <row r="1742" spans="1:19" x14ac:dyDescent="0.25">
      <c r="A1742" t="s">
        <v>350</v>
      </c>
      <c r="B1742" t="s">
        <v>353</v>
      </c>
      <c r="C1742">
        <v>177</v>
      </c>
      <c r="D1742">
        <v>289</v>
      </c>
      <c r="E1742" t="s">
        <v>230</v>
      </c>
      <c r="F1742">
        <v>4</v>
      </c>
      <c r="G1742">
        <v>1171.5</v>
      </c>
      <c r="H1742">
        <v>0</v>
      </c>
      <c r="I1742">
        <v>0</v>
      </c>
      <c r="J1742">
        <v>293.10000000000002</v>
      </c>
      <c r="K1742">
        <v>0</v>
      </c>
      <c r="L1742">
        <v>234.48</v>
      </c>
      <c r="M1742">
        <v>293.10000000000002</v>
      </c>
      <c r="N1742">
        <v>25.02</v>
      </c>
      <c r="O1742">
        <v>878.4</v>
      </c>
      <c r="P1742">
        <v>0</v>
      </c>
      <c r="Q1742" t="str">
        <f>INDEX(pARTNER[#All],MATCH(#REF!,pARTNER[[#All],[Value.partnerSummary.id]],0),10)</f>
        <v>Italia (IT)</v>
      </c>
      <c r="R1742" t="str">
        <f>INDEX('Partner data'!$A$2:$DG$171,MATCH(#REF!,'Partner data'!$DG$2:$DG$171,0),83)</f>
        <v>Soggetto privato</v>
      </c>
      <c r="S1742" s="86" t="b">
        <f>IF(#REF!="staff",INDEX('Partner data'!$DG$2:$DH$171,MATCH(#REF!,'Partner data'!$DG$2:$DG$171,0),2))</f>
        <v>0</v>
      </c>
    </row>
    <row r="1743" spans="1:19" x14ac:dyDescent="0.25">
      <c r="A1743" t="s">
        <v>350</v>
      </c>
      <c r="B1743" t="s">
        <v>353</v>
      </c>
      <c r="C1743">
        <v>177</v>
      </c>
      <c r="D1743">
        <v>289</v>
      </c>
      <c r="E1743" t="s">
        <v>231</v>
      </c>
      <c r="G1743">
        <v>34200</v>
      </c>
      <c r="H1743">
        <v>0</v>
      </c>
      <c r="I1743">
        <v>0</v>
      </c>
      <c r="J1743">
        <v>7320</v>
      </c>
      <c r="K1743">
        <v>0</v>
      </c>
      <c r="L1743">
        <v>0</v>
      </c>
      <c r="M1743">
        <v>7320</v>
      </c>
      <c r="N1743">
        <v>21.4</v>
      </c>
      <c r="O1743">
        <v>26880</v>
      </c>
      <c r="P1743">
        <v>0</v>
      </c>
      <c r="Q1743" t="str">
        <f>INDEX(pARTNER[#All],MATCH(#REF!,pARTNER[[#All],[Value.partnerSummary.id]],0),10)</f>
        <v>Italia (IT)</v>
      </c>
      <c r="R1743" t="str">
        <f>INDEX('Partner data'!$A$2:$DG$171,MATCH(#REF!,'Partner data'!$DG$2:$DG$171,0),83)</f>
        <v>Soggetto privato</v>
      </c>
      <c r="S1743" s="86" t="b">
        <f>IF(#REF!="staff",INDEX('Partner data'!$DG$2:$DH$171,MATCH(#REF!,'Partner data'!$DG$2:$DG$171,0),2))</f>
        <v>0</v>
      </c>
    </row>
    <row r="1744" spans="1:19" x14ac:dyDescent="0.25">
      <c r="A1744" t="s">
        <v>350</v>
      </c>
      <c r="B1744" t="s">
        <v>353</v>
      </c>
      <c r="C1744">
        <v>177</v>
      </c>
      <c r="D1744">
        <v>289</v>
      </c>
      <c r="E1744" t="s">
        <v>232</v>
      </c>
      <c r="G1744">
        <v>10800</v>
      </c>
      <c r="H1744">
        <v>0</v>
      </c>
      <c r="I1744">
        <v>0</v>
      </c>
      <c r="J1744">
        <v>13499.91</v>
      </c>
      <c r="K1744">
        <v>0</v>
      </c>
      <c r="L1744">
        <v>11065.5</v>
      </c>
      <c r="M1744">
        <v>13499.91</v>
      </c>
      <c r="N1744">
        <v>125</v>
      </c>
      <c r="O1744">
        <v>-2699.91</v>
      </c>
      <c r="P1744">
        <v>0</v>
      </c>
      <c r="Q1744" t="str">
        <f>INDEX(pARTNER[#All],MATCH(#REF!,pARTNER[[#All],[Value.partnerSummary.id]],0),10)</f>
        <v>Italia (IT)</v>
      </c>
      <c r="R1744" t="str">
        <f>INDEX('Partner data'!$A$2:$DG$171,MATCH(#REF!,'Partner data'!$DG$2:$DG$171,0),83)</f>
        <v>Soggetto privato</v>
      </c>
      <c r="S1744" s="86" t="b">
        <f>IF(#REF!="staff",INDEX('Partner data'!$DG$2:$DH$171,MATCH(#REF!,'Partner data'!$DG$2:$DG$171,0),2))</f>
        <v>0</v>
      </c>
    </row>
    <row r="1745" spans="1:19" x14ac:dyDescent="0.25">
      <c r="A1745" t="s">
        <v>350</v>
      </c>
      <c r="B1745" t="s">
        <v>353</v>
      </c>
      <c r="C1745">
        <v>177</v>
      </c>
      <c r="D1745">
        <v>289</v>
      </c>
      <c r="E1745" t="s">
        <v>233</v>
      </c>
      <c r="G1745">
        <v>0</v>
      </c>
      <c r="H1745">
        <v>0</v>
      </c>
      <c r="I1745">
        <v>0</v>
      </c>
      <c r="J1745">
        <v>0</v>
      </c>
      <c r="K1745">
        <v>0</v>
      </c>
      <c r="L1745">
        <v>0</v>
      </c>
      <c r="M1745">
        <v>0</v>
      </c>
      <c r="N1745">
        <v>0</v>
      </c>
      <c r="O1745">
        <v>0</v>
      </c>
      <c r="P1745">
        <v>0</v>
      </c>
      <c r="Q1745" t="str">
        <f>INDEX(pARTNER[#All],MATCH(#REF!,pARTNER[[#All],[Value.partnerSummary.id]],0),10)</f>
        <v>Italia (IT)</v>
      </c>
      <c r="R1745" t="str">
        <f>INDEX('Partner data'!$A$2:$DG$171,MATCH(#REF!,'Partner data'!$DG$2:$DG$171,0),83)</f>
        <v>Soggetto privato</v>
      </c>
      <c r="S1745" s="86" t="b">
        <f>IF(#REF!="staff",INDEX('Partner data'!$DG$2:$DH$171,MATCH(#REF!,'Partner data'!$DG$2:$DG$171,0),2))</f>
        <v>0</v>
      </c>
    </row>
    <row r="1746" spans="1:19" x14ac:dyDescent="0.25">
      <c r="A1746" t="s">
        <v>350</v>
      </c>
      <c r="B1746" t="s">
        <v>353</v>
      </c>
      <c r="C1746">
        <v>177</v>
      </c>
      <c r="D1746">
        <v>289</v>
      </c>
      <c r="E1746" t="s">
        <v>234</v>
      </c>
      <c r="G1746">
        <v>0</v>
      </c>
      <c r="H1746">
        <v>0</v>
      </c>
      <c r="I1746">
        <v>0</v>
      </c>
      <c r="J1746">
        <v>0</v>
      </c>
      <c r="K1746">
        <v>0</v>
      </c>
      <c r="L1746">
        <v>0</v>
      </c>
      <c r="M1746">
        <v>0</v>
      </c>
      <c r="N1746">
        <v>0</v>
      </c>
      <c r="O1746">
        <v>0</v>
      </c>
      <c r="P1746">
        <v>0</v>
      </c>
      <c r="Q1746" t="str">
        <f>INDEX(pARTNER[#All],MATCH(#REF!,pARTNER[[#All],[Value.partnerSummary.id]],0),10)</f>
        <v>Italia (IT)</v>
      </c>
      <c r="R1746" t="str">
        <f>INDEX('Partner data'!$A$2:$DG$171,MATCH(#REF!,'Partner data'!$DG$2:$DG$171,0),83)</f>
        <v>Soggetto privato</v>
      </c>
      <c r="S1746" s="86" t="b">
        <f>IF(#REF!="staff",INDEX('Partner data'!$DG$2:$DH$171,MATCH(#REF!,'Partner data'!$DG$2:$DG$171,0),2))</f>
        <v>0</v>
      </c>
    </row>
    <row r="1747" spans="1:19" x14ac:dyDescent="0.25">
      <c r="A1747" t="s">
        <v>350</v>
      </c>
      <c r="B1747" t="s">
        <v>353</v>
      </c>
      <c r="C1747">
        <v>177</v>
      </c>
      <c r="D1747">
        <v>289</v>
      </c>
      <c r="E1747" t="s">
        <v>235</v>
      </c>
      <c r="G1747">
        <v>0</v>
      </c>
      <c r="H1747">
        <v>0</v>
      </c>
      <c r="I1747">
        <v>0</v>
      </c>
      <c r="J1747">
        <v>0</v>
      </c>
      <c r="K1747">
        <v>0</v>
      </c>
      <c r="L1747">
        <v>0</v>
      </c>
      <c r="M1747">
        <v>0</v>
      </c>
      <c r="N1747">
        <v>0</v>
      </c>
      <c r="O1747">
        <v>0</v>
      </c>
      <c r="P1747">
        <v>0</v>
      </c>
      <c r="Q1747" t="str">
        <f>INDEX(pARTNER[#All],MATCH(#REF!,pARTNER[[#All],[Value.partnerSummary.id]],0),10)</f>
        <v>Italia (IT)</v>
      </c>
      <c r="R1747" t="str">
        <f>INDEX('Partner data'!$A$2:$DG$171,MATCH(#REF!,'Partner data'!$DG$2:$DG$171,0),83)</f>
        <v>Soggetto privato</v>
      </c>
      <c r="S1747" s="86" t="b">
        <f>IF(#REF!="staff",INDEX('Partner data'!$DG$2:$DH$171,MATCH(#REF!,'Partner data'!$DG$2:$DG$171,0),2))</f>
        <v>0</v>
      </c>
    </row>
    <row r="1748" spans="1:19" x14ac:dyDescent="0.25">
      <c r="A1748" t="s">
        <v>350</v>
      </c>
      <c r="B1748" t="s">
        <v>353</v>
      </c>
      <c r="C1748">
        <v>177</v>
      </c>
      <c r="D1748">
        <v>289</v>
      </c>
      <c r="E1748" t="s">
        <v>236</v>
      </c>
      <c r="G1748">
        <v>0</v>
      </c>
      <c r="H1748">
        <v>0</v>
      </c>
      <c r="I1748">
        <v>0</v>
      </c>
      <c r="J1748">
        <v>0</v>
      </c>
      <c r="K1748">
        <v>0</v>
      </c>
      <c r="L1748">
        <v>0</v>
      </c>
      <c r="M1748">
        <v>0</v>
      </c>
      <c r="N1748">
        <v>0</v>
      </c>
      <c r="O1748">
        <v>0</v>
      </c>
      <c r="P1748">
        <v>0</v>
      </c>
      <c r="Q1748" t="str">
        <f>INDEX(pARTNER[#All],MATCH(#REF!,pARTNER[[#All],[Value.partnerSummary.id]],0),10)</f>
        <v>Italia (IT)</v>
      </c>
      <c r="R1748" t="str">
        <f>INDEX('Partner data'!$A$2:$DG$171,MATCH(#REF!,'Partner data'!$DG$2:$DG$171,0),83)</f>
        <v>Soggetto privato</v>
      </c>
      <c r="S1748" s="86" t="b">
        <f>IF(#REF!="staff",INDEX('Partner data'!$DG$2:$DH$171,MATCH(#REF!,'Partner data'!$DG$2:$DG$171,0),2))</f>
        <v>0</v>
      </c>
    </row>
    <row r="1749" spans="1:19" x14ac:dyDescent="0.25">
      <c r="A1749" t="s">
        <v>350</v>
      </c>
      <c r="B1749" t="s">
        <v>353</v>
      </c>
      <c r="C1749">
        <v>177</v>
      </c>
      <c r="D1749">
        <v>289</v>
      </c>
      <c r="E1749" t="s">
        <v>237</v>
      </c>
      <c r="G1749">
        <v>0</v>
      </c>
      <c r="H1749">
        <v>0</v>
      </c>
      <c r="I1749">
        <v>0</v>
      </c>
      <c r="J1749">
        <v>0</v>
      </c>
      <c r="K1749">
        <v>0</v>
      </c>
      <c r="L1749">
        <v>0</v>
      </c>
      <c r="M1749">
        <v>0</v>
      </c>
      <c r="N1749">
        <v>0</v>
      </c>
      <c r="O1749">
        <v>0</v>
      </c>
      <c r="P1749">
        <v>0</v>
      </c>
      <c r="Q1749" t="str">
        <f>INDEX(pARTNER[#All],MATCH(#REF!,pARTNER[[#All],[Value.partnerSummary.id]],0),10)</f>
        <v>Italia (IT)</v>
      </c>
      <c r="R1749" t="str">
        <f>INDEX('Partner data'!$A$2:$DG$171,MATCH(#REF!,'Partner data'!$DG$2:$DG$171,0),83)</f>
        <v>Soggetto privato</v>
      </c>
      <c r="S1749" s="86" t="b">
        <f>IF(#REF!="staff",INDEX('Partner data'!$DG$2:$DH$171,MATCH(#REF!,'Partner data'!$DG$2:$DG$171,0),2))</f>
        <v>0</v>
      </c>
    </row>
    <row r="1750" spans="1:19" x14ac:dyDescent="0.25">
      <c r="A1750" t="s">
        <v>350</v>
      </c>
      <c r="B1750" t="s">
        <v>353</v>
      </c>
      <c r="C1750">
        <v>177</v>
      </c>
      <c r="D1750">
        <v>289</v>
      </c>
      <c r="E1750" t="s">
        <v>238</v>
      </c>
      <c r="G1750">
        <v>79852.12</v>
      </c>
      <c r="H1750">
        <v>0</v>
      </c>
      <c r="I1750">
        <v>0</v>
      </c>
      <c r="J1750">
        <v>29539.63</v>
      </c>
      <c r="K1750">
        <v>0</v>
      </c>
      <c r="L1750">
        <v>18041.28</v>
      </c>
      <c r="M1750">
        <v>29539.63</v>
      </c>
      <c r="N1750">
        <v>36.99</v>
      </c>
      <c r="O1750">
        <v>50312.49</v>
      </c>
      <c r="P1750">
        <v>0</v>
      </c>
      <c r="Q1750" t="str">
        <f>INDEX(pARTNER[#All],MATCH(#REF!,pARTNER[[#All],[Value.partnerSummary.id]],0),10)</f>
        <v>Italia (IT)</v>
      </c>
      <c r="R1750" t="str">
        <f>INDEX('Partner data'!$A$2:$DG$171,MATCH(#REF!,'Partner data'!$DG$2:$DG$171,0),83)</f>
        <v>Soggetto privato</v>
      </c>
      <c r="S1750" s="86" t="b">
        <f>IF(#REF!="staff",INDEX('Partner data'!$DG$2:$DH$171,MATCH(#REF!,'Partner data'!$DG$2:$DG$171,0),2))</f>
        <v>0</v>
      </c>
    </row>
    <row r="1751" spans="1:19" x14ac:dyDescent="0.25">
      <c r="A1751" t="s">
        <v>350</v>
      </c>
      <c r="B1751" t="s">
        <v>354</v>
      </c>
      <c r="C1751">
        <v>194</v>
      </c>
      <c r="D1751">
        <v>295</v>
      </c>
      <c r="E1751" t="s">
        <v>228</v>
      </c>
      <c r="G1751">
        <v>57140</v>
      </c>
      <c r="H1751">
        <v>0</v>
      </c>
      <c r="I1751">
        <v>0</v>
      </c>
      <c r="J1751">
        <v>7106.38</v>
      </c>
      <c r="K1751">
        <v>0</v>
      </c>
      <c r="L1751">
        <v>0</v>
      </c>
      <c r="M1751">
        <v>7106.38</v>
      </c>
      <c r="N1751">
        <v>12.44</v>
      </c>
      <c r="O1751">
        <v>50033.62</v>
      </c>
      <c r="P1751">
        <v>0</v>
      </c>
      <c r="Q1751" t="str">
        <f>INDEX(pARTNER[#All],MATCH(#REF!,pARTNER[[#All],[Value.partnerSummary.id]],0),10)</f>
        <v>Slovenija (SI)</v>
      </c>
      <c r="R1751" t="str">
        <f>INDEX('Partner data'!$A$2:$DG$171,MATCH(#REF!,'Partner data'!$DG$2:$DG$171,0),83)</f>
        <v>Soggetto privato</v>
      </c>
      <c r="S1751" s="86" t="str">
        <f>IF(#REF!="staff",INDEX('Partner data'!$DG$2:$DH$171,MATCH(#REF!,'Partner data'!$DG$2:$DG$171,0),2))</f>
        <v>COSTO REALE</v>
      </c>
    </row>
    <row r="1752" spans="1:19" x14ac:dyDescent="0.25">
      <c r="A1752" t="s">
        <v>350</v>
      </c>
      <c r="B1752" t="s">
        <v>354</v>
      </c>
      <c r="C1752">
        <v>194</v>
      </c>
      <c r="D1752">
        <v>295</v>
      </c>
      <c r="E1752" t="s">
        <v>229</v>
      </c>
      <c r="G1752">
        <v>0</v>
      </c>
      <c r="H1752">
        <v>0</v>
      </c>
      <c r="I1752">
        <v>0</v>
      </c>
      <c r="J1752">
        <v>0</v>
      </c>
      <c r="K1752">
        <v>0</v>
      </c>
      <c r="L1752">
        <v>0</v>
      </c>
      <c r="M1752">
        <v>0</v>
      </c>
      <c r="N1752">
        <v>0</v>
      </c>
      <c r="O1752">
        <v>0</v>
      </c>
      <c r="P1752">
        <v>0</v>
      </c>
      <c r="Q1752" t="str">
        <f>INDEX(pARTNER[#All],MATCH(#REF!,pARTNER[[#All],[Value.partnerSummary.id]],0),10)</f>
        <v>Slovenija (SI)</v>
      </c>
      <c r="R1752" t="str">
        <f>INDEX('Partner data'!$A$2:$DG$171,MATCH(#REF!,'Partner data'!$DG$2:$DG$171,0),83)</f>
        <v>Soggetto privato</v>
      </c>
      <c r="S1752" s="86" t="b">
        <f>IF(#REF!="staff",INDEX('Partner data'!$DG$2:$DH$171,MATCH(#REF!,'Partner data'!$DG$2:$DG$171,0),2))</f>
        <v>0</v>
      </c>
    </row>
    <row r="1753" spans="1:19" x14ac:dyDescent="0.25">
      <c r="A1753" t="s">
        <v>350</v>
      </c>
      <c r="B1753" t="s">
        <v>354</v>
      </c>
      <c r="C1753">
        <v>194</v>
      </c>
      <c r="D1753">
        <v>295</v>
      </c>
      <c r="E1753" t="s">
        <v>230</v>
      </c>
      <c r="G1753">
        <v>0</v>
      </c>
      <c r="H1753">
        <v>0</v>
      </c>
      <c r="I1753">
        <v>0</v>
      </c>
      <c r="J1753">
        <v>0</v>
      </c>
      <c r="K1753">
        <v>0</v>
      </c>
      <c r="L1753">
        <v>0</v>
      </c>
      <c r="M1753">
        <v>0</v>
      </c>
      <c r="N1753">
        <v>0</v>
      </c>
      <c r="O1753">
        <v>0</v>
      </c>
      <c r="P1753">
        <v>0</v>
      </c>
      <c r="Q1753" t="str">
        <f>INDEX(pARTNER[#All],MATCH(#REF!,pARTNER[[#All],[Value.partnerSummary.id]],0),10)</f>
        <v>Slovenija (SI)</v>
      </c>
      <c r="R1753" t="str">
        <f>INDEX('Partner data'!$A$2:$DG$171,MATCH(#REF!,'Partner data'!$DG$2:$DG$171,0),83)</f>
        <v>Soggetto privato</v>
      </c>
      <c r="S1753" s="86" t="b">
        <f>IF(#REF!="staff",INDEX('Partner data'!$DG$2:$DH$171,MATCH(#REF!,'Partner data'!$DG$2:$DG$171,0),2))</f>
        <v>0</v>
      </c>
    </row>
    <row r="1754" spans="1:19" x14ac:dyDescent="0.25">
      <c r="A1754" t="s">
        <v>350</v>
      </c>
      <c r="B1754" t="s">
        <v>354</v>
      </c>
      <c r="C1754">
        <v>194</v>
      </c>
      <c r="D1754">
        <v>295</v>
      </c>
      <c r="E1754" t="s">
        <v>231</v>
      </c>
      <c r="G1754">
        <v>0</v>
      </c>
      <c r="H1754">
        <v>0</v>
      </c>
      <c r="I1754">
        <v>0</v>
      </c>
      <c r="J1754">
        <v>0</v>
      </c>
      <c r="K1754">
        <v>0</v>
      </c>
      <c r="L1754">
        <v>0</v>
      </c>
      <c r="M1754">
        <v>0</v>
      </c>
      <c r="N1754">
        <v>0</v>
      </c>
      <c r="O1754">
        <v>0</v>
      </c>
      <c r="P1754">
        <v>0</v>
      </c>
      <c r="Q1754" t="str">
        <f>INDEX(pARTNER[#All],MATCH(#REF!,pARTNER[[#All],[Value.partnerSummary.id]],0),10)</f>
        <v>Slovenija (SI)</v>
      </c>
      <c r="R1754" t="str">
        <f>INDEX('Partner data'!$A$2:$DG$171,MATCH(#REF!,'Partner data'!$DG$2:$DG$171,0),83)</f>
        <v>Soggetto privato</v>
      </c>
      <c r="S1754" s="86" t="b">
        <f>IF(#REF!="staff",INDEX('Partner data'!$DG$2:$DH$171,MATCH(#REF!,'Partner data'!$DG$2:$DG$171,0),2))</f>
        <v>0</v>
      </c>
    </row>
    <row r="1755" spans="1:19" x14ac:dyDescent="0.25">
      <c r="A1755" t="s">
        <v>350</v>
      </c>
      <c r="B1755" t="s">
        <v>354</v>
      </c>
      <c r="C1755">
        <v>194</v>
      </c>
      <c r="D1755">
        <v>295</v>
      </c>
      <c r="E1755" t="s">
        <v>232</v>
      </c>
      <c r="G1755">
        <v>0</v>
      </c>
      <c r="H1755">
        <v>0</v>
      </c>
      <c r="I1755">
        <v>0</v>
      </c>
      <c r="J1755">
        <v>0</v>
      </c>
      <c r="K1755">
        <v>0</v>
      </c>
      <c r="L1755">
        <v>0</v>
      </c>
      <c r="M1755">
        <v>0</v>
      </c>
      <c r="N1755">
        <v>0</v>
      </c>
      <c r="O1755">
        <v>0</v>
      </c>
      <c r="P1755">
        <v>0</v>
      </c>
      <c r="Q1755" t="str">
        <f>INDEX(pARTNER[#All],MATCH(#REF!,pARTNER[[#All],[Value.partnerSummary.id]],0),10)</f>
        <v>Slovenija (SI)</v>
      </c>
      <c r="R1755" t="str">
        <f>INDEX('Partner data'!$A$2:$DG$171,MATCH(#REF!,'Partner data'!$DG$2:$DG$171,0),83)</f>
        <v>Soggetto privato</v>
      </c>
      <c r="S1755" s="86" t="b">
        <f>IF(#REF!="staff",INDEX('Partner data'!$DG$2:$DH$171,MATCH(#REF!,'Partner data'!$DG$2:$DG$171,0),2))</f>
        <v>0</v>
      </c>
    </row>
    <row r="1756" spans="1:19" x14ac:dyDescent="0.25">
      <c r="A1756" t="s">
        <v>350</v>
      </c>
      <c r="B1756" t="s">
        <v>354</v>
      </c>
      <c r="C1756">
        <v>194</v>
      </c>
      <c r="D1756">
        <v>295</v>
      </c>
      <c r="E1756" t="s">
        <v>233</v>
      </c>
      <c r="G1756">
        <v>0</v>
      </c>
      <c r="H1756">
        <v>0</v>
      </c>
      <c r="I1756">
        <v>0</v>
      </c>
      <c r="J1756">
        <v>0</v>
      </c>
      <c r="K1756">
        <v>0</v>
      </c>
      <c r="L1756">
        <v>0</v>
      </c>
      <c r="M1756">
        <v>0</v>
      </c>
      <c r="N1756">
        <v>0</v>
      </c>
      <c r="O1756">
        <v>0</v>
      </c>
      <c r="P1756">
        <v>0</v>
      </c>
      <c r="Q1756" t="str">
        <f>INDEX(pARTNER[#All],MATCH(#REF!,pARTNER[[#All],[Value.partnerSummary.id]],0),10)</f>
        <v>Slovenija (SI)</v>
      </c>
      <c r="R1756" t="str">
        <f>INDEX('Partner data'!$A$2:$DG$171,MATCH(#REF!,'Partner data'!$DG$2:$DG$171,0),83)</f>
        <v>Soggetto privato</v>
      </c>
      <c r="S1756" s="86" t="b">
        <f>IF(#REF!="staff",INDEX('Partner data'!$DG$2:$DH$171,MATCH(#REF!,'Partner data'!$DG$2:$DG$171,0),2))</f>
        <v>0</v>
      </c>
    </row>
    <row r="1757" spans="1:19" x14ac:dyDescent="0.25">
      <c r="A1757" t="s">
        <v>350</v>
      </c>
      <c r="B1757" t="s">
        <v>354</v>
      </c>
      <c r="C1757">
        <v>194</v>
      </c>
      <c r="D1757">
        <v>295</v>
      </c>
      <c r="E1757" t="s">
        <v>234</v>
      </c>
      <c r="F1757">
        <v>40</v>
      </c>
      <c r="G1757">
        <v>22856</v>
      </c>
      <c r="H1757">
        <v>0</v>
      </c>
      <c r="I1757">
        <v>0</v>
      </c>
      <c r="J1757">
        <v>2842.55</v>
      </c>
      <c r="K1757">
        <v>0</v>
      </c>
      <c r="L1757">
        <v>0</v>
      </c>
      <c r="M1757">
        <v>2842.55</v>
      </c>
      <c r="N1757">
        <v>12.44</v>
      </c>
      <c r="O1757">
        <v>20013.45</v>
      </c>
      <c r="P1757">
        <v>0</v>
      </c>
      <c r="Q1757" t="str">
        <f>INDEX(pARTNER[#All],MATCH(#REF!,pARTNER[[#All],[Value.partnerSummary.id]],0),10)</f>
        <v>Slovenija (SI)</v>
      </c>
      <c r="R1757" t="str">
        <f>INDEX('Partner data'!$A$2:$DG$171,MATCH(#REF!,'Partner data'!$DG$2:$DG$171,0),83)</f>
        <v>Soggetto privato</v>
      </c>
      <c r="S1757" s="86" t="b">
        <f>IF(#REF!="staff",INDEX('Partner data'!$DG$2:$DH$171,MATCH(#REF!,'Partner data'!$DG$2:$DG$171,0),2))</f>
        <v>0</v>
      </c>
    </row>
    <row r="1758" spans="1:19" x14ac:dyDescent="0.25">
      <c r="A1758" t="s">
        <v>350</v>
      </c>
      <c r="B1758" t="s">
        <v>354</v>
      </c>
      <c r="C1758">
        <v>194</v>
      </c>
      <c r="D1758">
        <v>295</v>
      </c>
      <c r="E1758" t="s">
        <v>235</v>
      </c>
      <c r="G1758">
        <v>0</v>
      </c>
      <c r="H1758">
        <v>0</v>
      </c>
      <c r="I1758">
        <v>0</v>
      </c>
      <c r="J1758">
        <v>0</v>
      </c>
      <c r="K1758">
        <v>0</v>
      </c>
      <c r="L1758">
        <v>0</v>
      </c>
      <c r="M1758">
        <v>0</v>
      </c>
      <c r="N1758">
        <v>0</v>
      </c>
      <c r="O1758">
        <v>0</v>
      </c>
      <c r="P1758">
        <v>0</v>
      </c>
      <c r="Q1758" t="str">
        <f>INDEX(pARTNER[#All],MATCH(#REF!,pARTNER[[#All],[Value.partnerSummary.id]],0),10)</f>
        <v>Slovenija (SI)</v>
      </c>
      <c r="R1758" t="str">
        <f>INDEX('Partner data'!$A$2:$DG$171,MATCH(#REF!,'Partner data'!$DG$2:$DG$171,0),83)</f>
        <v>Soggetto privato</v>
      </c>
      <c r="S1758" s="86" t="b">
        <f>IF(#REF!="staff",INDEX('Partner data'!$DG$2:$DH$171,MATCH(#REF!,'Partner data'!$DG$2:$DG$171,0),2))</f>
        <v>0</v>
      </c>
    </row>
    <row r="1759" spans="1:19" x14ac:dyDescent="0.25">
      <c r="A1759" t="s">
        <v>350</v>
      </c>
      <c r="B1759" t="s">
        <v>354</v>
      </c>
      <c r="C1759">
        <v>194</v>
      </c>
      <c r="D1759">
        <v>295</v>
      </c>
      <c r="E1759" t="s">
        <v>236</v>
      </c>
      <c r="G1759">
        <v>0</v>
      </c>
      <c r="H1759">
        <v>0</v>
      </c>
      <c r="I1759">
        <v>0</v>
      </c>
      <c r="J1759">
        <v>0</v>
      </c>
      <c r="K1759">
        <v>0</v>
      </c>
      <c r="L1759">
        <v>0</v>
      </c>
      <c r="M1759">
        <v>0</v>
      </c>
      <c r="N1759">
        <v>0</v>
      </c>
      <c r="O1759">
        <v>0</v>
      </c>
      <c r="P1759">
        <v>0</v>
      </c>
      <c r="Q1759" t="str">
        <f>INDEX(pARTNER[#All],MATCH(#REF!,pARTNER[[#All],[Value.partnerSummary.id]],0),10)</f>
        <v>Slovenija (SI)</v>
      </c>
      <c r="R1759" t="str">
        <f>INDEX('Partner data'!$A$2:$DG$171,MATCH(#REF!,'Partner data'!$DG$2:$DG$171,0),83)</f>
        <v>Soggetto privato</v>
      </c>
      <c r="S1759" s="86" t="b">
        <f>IF(#REF!="staff",INDEX('Partner data'!$DG$2:$DH$171,MATCH(#REF!,'Partner data'!$DG$2:$DG$171,0),2))</f>
        <v>0</v>
      </c>
    </row>
    <row r="1760" spans="1:19" x14ac:dyDescent="0.25">
      <c r="A1760" t="s">
        <v>350</v>
      </c>
      <c r="B1760" t="s">
        <v>354</v>
      </c>
      <c r="C1760">
        <v>194</v>
      </c>
      <c r="D1760">
        <v>295</v>
      </c>
      <c r="E1760" t="s">
        <v>237</v>
      </c>
      <c r="G1760">
        <v>0</v>
      </c>
      <c r="H1760">
        <v>0</v>
      </c>
      <c r="I1760">
        <v>0</v>
      </c>
      <c r="J1760">
        <v>0</v>
      </c>
      <c r="K1760">
        <v>0</v>
      </c>
      <c r="L1760">
        <v>0</v>
      </c>
      <c r="M1760">
        <v>0</v>
      </c>
      <c r="N1760">
        <v>0</v>
      </c>
      <c r="O1760">
        <v>0</v>
      </c>
      <c r="P1760">
        <v>0</v>
      </c>
      <c r="Q1760" t="str">
        <f>INDEX(pARTNER[#All],MATCH(#REF!,pARTNER[[#All],[Value.partnerSummary.id]],0),10)</f>
        <v>Slovenija (SI)</v>
      </c>
      <c r="R1760" t="str">
        <f>INDEX('Partner data'!$A$2:$DG$171,MATCH(#REF!,'Partner data'!$DG$2:$DG$171,0),83)</f>
        <v>Soggetto privato</v>
      </c>
      <c r="S1760" s="86" t="b">
        <f>IF(#REF!="staff",INDEX('Partner data'!$DG$2:$DH$171,MATCH(#REF!,'Partner data'!$DG$2:$DG$171,0),2))</f>
        <v>0</v>
      </c>
    </row>
    <row r="1761" spans="1:19" x14ac:dyDescent="0.25">
      <c r="A1761" t="s">
        <v>350</v>
      </c>
      <c r="B1761" t="s">
        <v>354</v>
      </c>
      <c r="C1761">
        <v>194</v>
      </c>
      <c r="D1761">
        <v>295</v>
      </c>
      <c r="E1761" t="s">
        <v>238</v>
      </c>
      <c r="G1761">
        <v>79996</v>
      </c>
      <c r="H1761">
        <v>0</v>
      </c>
      <c r="I1761">
        <v>0</v>
      </c>
      <c r="J1761">
        <v>9948.93</v>
      </c>
      <c r="K1761">
        <v>0</v>
      </c>
      <c r="L1761">
        <v>0</v>
      </c>
      <c r="M1761">
        <v>9948.93</v>
      </c>
      <c r="N1761">
        <v>12.44</v>
      </c>
      <c r="O1761">
        <v>70047.070000000007</v>
      </c>
      <c r="P1761">
        <v>0</v>
      </c>
      <c r="Q1761" t="str">
        <f>INDEX(pARTNER[#All],MATCH(#REF!,pARTNER[[#All],[Value.partnerSummary.id]],0),10)</f>
        <v>Slovenija (SI)</v>
      </c>
      <c r="R1761" t="str">
        <f>INDEX('Partner data'!$A$2:$DG$171,MATCH(#REF!,'Partner data'!$DG$2:$DG$171,0),83)</f>
        <v>Soggetto privato</v>
      </c>
      <c r="S1761" s="86" t="b">
        <f>IF(#REF!="staff",INDEX('Partner data'!$DG$2:$DH$171,MATCH(#REF!,'Partner data'!$DG$2:$DG$171,0),2))</f>
        <v>0</v>
      </c>
    </row>
    <row r="1762" spans="1:19" x14ac:dyDescent="0.25">
      <c r="A1762" t="s">
        <v>350</v>
      </c>
      <c r="B1762" t="s">
        <v>355</v>
      </c>
      <c r="C1762">
        <v>178</v>
      </c>
      <c r="D1762">
        <v>279</v>
      </c>
      <c r="E1762" t="s">
        <v>228</v>
      </c>
      <c r="G1762">
        <v>85700</v>
      </c>
      <c r="H1762">
        <v>0</v>
      </c>
      <c r="I1762">
        <v>0</v>
      </c>
      <c r="J1762">
        <v>11609.95</v>
      </c>
      <c r="K1762">
        <v>0</v>
      </c>
      <c r="L1762">
        <v>11609.95</v>
      </c>
      <c r="M1762">
        <v>11609.95</v>
      </c>
      <c r="N1762">
        <v>13.55</v>
      </c>
      <c r="O1762">
        <v>74090.05</v>
      </c>
      <c r="P1762">
        <v>0</v>
      </c>
      <c r="Q1762" t="str">
        <f>INDEX(pARTNER[#All],MATCH(#REF!,pARTNER[[#All],[Value.partnerSummary.id]],0),10)</f>
        <v>Slovenija (SI)</v>
      </c>
      <c r="R1762" t="str">
        <f>INDEX('Partner data'!$A$2:$DG$171,MATCH(#REF!,'Partner data'!$DG$2:$DG$171,0),83)</f>
        <v>Soggetto pubblico</v>
      </c>
      <c r="S1762" s="86" t="str">
        <f>IF(#REF!="staff",INDEX('Partner data'!$DG$2:$DH$171,MATCH(#REF!,'Partner data'!$DG$2:$DG$171,0),2))</f>
        <v>COSTO REALE</v>
      </c>
    </row>
    <row r="1763" spans="1:19" x14ac:dyDescent="0.25">
      <c r="A1763" t="s">
        <v>350</v>
      </c>
      <c r="B1763" t="s">
        <v>355</v>
      </c>
      <c r="C1763">
        <v>178</v>
      </c>
      <c r="D1763">
        <v>279</v>
      </c>
      <c r="E1763" t="s">
        <v>229</v>
      </c>
      <c r="G1763">
        <v>0</v>
      </c>
      <c r="H1763">
        <v>0</v>
      </c>
      <c r="I1763">
        <v>0</v>
      </c>
      <c r="J1763">
        <v>0</v>
      </c>
      <c r="K1763">
        <v>0</v>
      </c>
      <c r="L1763">
        <v>0</v>
      </c>
      <c r="M1763">
        <v>0</v>
      </c>
      <c r="N1763">
        <v>0</v>
      </c>
      <c r="O1763">
        <v>0</v>
      </c>
      <c r="P1763">
        <v>0</v>
      </c>
      <c r="Q1763" t="str">
        <f>INDEX(pARTNER[#All],MATCH(#REF!,pARTNER[[#All],[Value.partnerSummary.id]],0),10)</f>
        <v>Slovenija (SI)</v>
      </c>
      <c r="R1763" t="str">
        <f>INDEX('Partner data'!$A$2:$DG$171,MATCH(#REF!,'Partner data'!$DG$2:$DG$171,0),83)</f>
        <v>Soggetto pubblico</v>
      </c>
      <c r="S1763" s="86" t="b">
        <f>IF(#REF!="staff",INDEX('Partner data'!$DG$2:$DH$171,MATCH(#REF!,'Partner data'!$DG$2:$DG$171,0),2))</f>
        <v>0</v>
      </c>
    </row>
    <row r="1764" spans="1:19" x14ac:dyDescent="0.25">
      <c r="A1764" t="s">
        <v>350</v>
      </c>
      <c r="B1764" t="s">
        <v>355</v>
      </c>
      <c r="C1764">
        <v>178</v>
      </c>
      <c r="D1764">
        <v>279</v>
      </c>
      <c r="E1764" t="s">
        <v>230</v>
      </c>
      <c r="G1764">
        <v>0</v>
      </c>
      <c r="H1764">
        <v>0</v>
      </c>
      <c r="I1764">
        <v>0</v>
      </c>
      <c r="J1764">
        <v>0</v>
      </c>
      <c r="K1764">
        <v>0</v>
      </c>
      <c r="L1764">
        <v>0</v>
      </c>
      <c r="M1764">
        <v>0</v>
      </c>
      <c r="N1764">
        <v>0</v>
      </c>
      <c r="O1764">
        <v>0</v>
      </c>
      <c r="P1764">
        <v>0</v>
      </c>
      <c r="Q1764" t="str">
        <f>INDEX(pARTNER[#All],MATCH(#REF!,pARTNER[[#All],[Value.partnerSummary.id]],0),10)</f>
        <v>Slovenija (SI)</v>
      </c>
      <c r="R1764" t="str">
        <f>INDEX('Partner data'!$A$2:$DG$171,MATCH(#REF!,'Partner data'!$DG$2:$DG$171,0),83)</f>
        <v>Soggetto pubblico</v>
      </c>
      <c r="S1764" s="86" t="b">
        <f>IF(#REF!="staff",INDEX('Partner data'!$DG$2:$DH$171,MATCH(#REF!,'Partner data'!$DG$2:$DG$171,0),2))</f>
        <v>0</v>
      </c>
    </row>
    <row r="1765" spans="1:19" x14ac:dyDescent="0.25">
      <c r="A1765" t="s">
        <v>350</v>
      </c>
      <c r="B1765" t="s">
        <v>355</v>
      </c>
      <c r="C1765">
        <v>178</v>
      </c>
      <c r="D1765">
        <v>279</v>
      </c>
      <c r="E1765" t="s">
        <v>231</v>
      </c>
      <c r="G1765">
        <v>0</v>
      </c>
      <c r="H1765">
        <v>0</v>
      </c>
      <c r="I1765">
        <v>0</v>
      </c>
      <c r="J1765">
        <v>0</v>
      </c>
      <c r="K1765">
        <v>0</v>
      </c>
      <c r="L1765">
        <v>0</v>
      </c>
      <c r="M1765">
        <v>0</v>
      </c>
      <c r="N1765">
        <v>0</v>
      </c>
      <c r="O1765">
        <v>0</v>
      </c>
      <c r="P1765">
        <v>0</v>
      </c>
      <c r="Q1765" t="str">
        <f>INDEX(pARTNER[#All],MATCH(#REF!,pARTNER[[#All],[Value.partnerSummary.id]],0),10)</f>
        <v>Slovenija (SI)</v>
      </c>
      <c r="R1765" t="str">
        <f>INDEX('Partner data'!$A$2:$DG$171,MATCH(#REF!,'Partner data'!$DG$2:$DG$171,0),83)</f>
        <v>Soggetto pubblico</v>
      </c>
      <c r="S1765" s="86" t="b">
        <f>IF(#REF!="staff",INDEX('Partner data'!$DG$2:$DH$171,MATCH(#REF!,'Partner data'!$DG$2:$DG$171,0),2))</f>
        <v>0</v>
      </c>
    </row>
    <row r="1766" spans="1:19" x14ac:dyDescent="0.25">
      <c r="A1766" t="s">
        <v>350</v>
      </c>
      <c r="B1766" t="s">
        <v>355</v>
      </c>
      <c r="C1766">
        <v>178</v>
      </c>
      <c r="D1766">
        <v>279</v>
      </c>
      <c r="E1766" t="s">
        <v>232</v>
      </c>
      <c r="G1766">
        <v>0</v>
      </c>
      <c r="H1766">
        <v>0</v>
      </c>
      <c r="I1766">
        <v>0</v>
      </c>
      <c r="J1766">
        <v>0</v>
      </c>
      <c r="K1766">
        <v>0</v>
      </c>
      <c r="L1766">
        <v>0</v>
      </c>
      <c r="M1766">
        <v>0</v>
      </c>
      <c r="N1766">
        <v>0</v>
      </c>
      <c r="O1766">
        <v>0</v>
      </c>
      <c r="P1766">
        <v>0</v>
      </c>
      <c r="Q1766" t="str">
        <f>INDEX(pARTNER[#All],MATCH(#REF!,pARTNER[[#All],[Value.partnerSummary.id]],0),10)</f>
        <v>Slovenija (SI)</v>
      </c>
      <c r="R1766" t="str">
        <f>INDEX('Partner data'!$A$2:$DG$171,MATCH(#REF!,'Partner data'!$DG$2:$DG$171,0),83)</f>
        <v>Soggetto pubblico</v>
      </c>
      <c r="S1766" s="86" t="b">
        <f>IF(#REF!="staff",INDEX('Partner data'!$DG$2:$DH$171,MATCH(#REF!,'Partner data'!$DG$2:$DG$171,0),2))</f>
        <v>0</v>
      </c>
    </row>
    <row r="1767" spans="1:19" x14ac:dyDescent="0.25">
      <c r="A1767" t="s">
        <v>350</v>
      </c>
      <c r="B1767" t="s">
        <v>355</v>
      </c>
      <c r="C1767">
        <v>178</v>
      </c>
      <c r="D1767">
        <v>279</v>
      </c>
      <c r="E1767" t="s">
        <v>233</v>
      </c>
      <c r="G1767">
        <v>0</v>
      </c>
      <c r="H1767">
        <v>0</v>
      </c>
      <c r="I1767">
        <v>0</v>
      </c>
      <c r="J1767">
        <v>0</v>
      </c>
      <c r="K1767">
        <v>0</v>
      </c>
      <c r="L1767">
        <v>0</v>
      </c>
      <c r="M1767">
        <v>0</v>
      </c>
      <c r="N1767">
        <v>0</v>
      </c>
      <c r="O1767">
        <v>0</v>
      </c>
      <c r="P1767">
        <v>0</v>
      </c>
      <c r="Q1767" t="str">
        <f>INDEX(pARTNER[#All],MATCH(#REF!,pARTNER[[#All],[Value.partnerSummary.id]],0),10)</f>
        <v>Slovenija (SI)</v>
      </c>
      <c r="R1767" t="str">
        <f>INDEX('Partner data'!$A$2:$DG$171,MATCH(#REF!,'Partner data'!$DG$2:$DG$171,0),83)</f>
        <v>Soggetto pubblico</v>
      </c>
      <c r="S1767" s="86" t="b">
        <f>IF(#REF!="staff",INDEX('Partner data'!$DG$2:$DH$171,MATCH(#REF!,'Partner data'!$DG$2:$DG$171,0),2))</f>
        <v>0</v>
      </c>
    </row>
    <row r="1768" spans="1:19" x14ac:dyDescent="0.25">
      <c r="A1768" t="s">
        <v>350</v>
      </c>
      <c r="B1768" t="s">
        <v>355</v>
      </c>
      <c r="C1768">
        <v>178</v>
      </c>
      <c r="D1768">
        <v>279</v>
      </c>
      <c r="E1768" t="s">
        <v>234</v>
      </c>
      <c r="F1768">
        <v>40</v>
      </c>
      <c r="G1768">
        <v>34280</v>
      </c>
      <c r="H1768">
        <v>0</v>
      </c>
      <c r="I1768">
        <v>0</v>
      </c>
      <c r="J1768">
        <v>4643.9799999999996</v>
      </c>
      <c r="K1768">
        <v>0</v>
      </c>
      <c r="L1768">
        <v>4643.9799999999996</v>
      </c>
      <c r="M1768">
        <v>4643.9799999999996</v>
      </c>
      <c r="N1768">
        <v>13.55</v>
      </c>
      <c r="O1768">
        <v>29636.02</v>
      </c>
      <c r="P1768">
        <v>0</v>
      </c>
      <c r="Q1768" t="str">
        <f>INDEX(pARTNER[#All],MATCH(#REF!,pARTNER[[#All],[Value.partnerSummary.id]],0),10)</f>
        <v>Slovenija (SI)</v>
      </c>
      <c r="R1768" t="str">
        <f>INDEX('Partner data'!$A$2:$DG$171,MATCH(#REF!,'Partner data'!$DG$2:$DG$171,0),83)</f>
        <v>Soggetto pubblico</v>
      </c>
      <c r="S1768" s="86" t="b">
        <f>IF(#REF!="staff",INDEX('Partner data'!$DG$2:$DH$171,MATCH(#REF!,'Partner data'!$DG$2:$DG$171,0),2))</f>
        <v>0</v>
      </c>
    </row>
    <row r="1769" spans="1:19" x14ac:dyDescent="0.25">
      <c r="A1769" t="s">
        <v>350</v>
      </c>
      <c r="B1769" t="s">
        <v>355</v>
      </c>
      <c r="C1769">
        <v>178</v>
      </c>
      <c r="D1769">
        <v>279</v>
      </c>
      <c r="E1769" t="s">
        <v>235</v>
      </c>
      <c r="G1769">
        <v>0</v>
      </c>
      <c r="H1769">
        <v>0</v>
      </c>
      <c r="I1769">
        <v>0</v>
      </c>
      <c r="J1769">
        <v>0</v>
      </c>
      <c r="K1769">
        <v>0</v>
      </c>
      <c r="L1769">
        <v>0</v>
      </c>
      <c r="M1769">
        <v>0</v>
      </c>
      <c r="N1769">
        <v>0</v>
      </c>
      <c r="O1769">
        <v>0</v>
      </c>
      <c r="P1769">
        <v>0</v>
      </c>
      <c r="Q1769" t="str">
        <f>INDEX(pARTNER[#All],MATCH(#REF!,pARTNER[[#All],[Value.partnerSummary.id]],0),10)</f>
        <v>Slovenija (SI)</v>
      </c>
      <c r="R1769" t="str">
        <f>INDEX('Partner data'!$A$2:$DG$171,MATCH(#REF!,'Partner data'!$DG$2:$DG$171,0),83)</f>
        <v>Soggetto pubblico</v>
      </c>
      <c r="S1769" s="86" t="b">
        <f>IF(#REF!="staff",INDEX('Partner data'!$DG$2:$DH$171,MATCH(#REF!,'Partner data'!$DG$2:$DG$171,0),2))</f>
        <v>0</v>
      </c>
    </row>
    <row r="1770" spans="1:19" x14ac:dyDescent="0.25">
      <c r="A1770" t="s">
        <v>350</v>
      </c>
      <c r="B1770" t="s">
        <v>355</v>
      </c>
      <c r="C1770">
        <v>178</v>
      </c>
      <c r="D1770">
        <v>279</v>
      </c>
      <c r="E1770" t="s">
        <v>236</v>
      </c>
      <c r="G1770">
        <v>0</v>
      </c>
      <c r="H1770">
        <v>0</v>
      </c>
      <c r="I1770">
        <v>0</v>
      </c>
      <c r="J1770">
        <v>0</v>
      </c>
      <c r="K1770">
        <v>0</v>
      </c>
      <c r="L1770">
        <v>0</v>
      </c>
      <c r="M1770">
        <v>0</v>
      </c>
      <c r="N1770">
        <v>0</v>
      </c>
      <c r="O1770">
        <v>0</v>
      </c>
      <c r="P1770">
        <v>0</v>
      </c>
      <c r="Q1770" t="str">
        <f>INDEX(pARTNER[#All],MATCH(#REF!,pARTNER[[#All],[Value.partnerSummary.id]],0),10)</f>
        <v>Slovenija (SI)</v>
      </c>
      <c r="R1770" t="str">
        <f>INDEX('Partner data'!$A$2:$DG$171,MATCH(#REF!,'Partner data'!$DG$2:$DG$171,0),83)</f>
        <v>Soggetto pubblico</v>
      </c>
      <c r="S1770" s="86" t="b">
        <f>IF(#REF!="staff",INDEX('Partner data'!$DG$2:$DH$171,MATCH(#REF!,'Partner data'!$DG$2:$DG$171,0),2))</f>
        <v>0</v>
      </c>
    </row>
    <row r="1771" spans="1:19" x14ac:dyDescent="0.25">
      <c r="A1771" t="s">
        <v>350</v>
      </c>
      <c r="B1771" t="s">
        <v>355</v>
      </c>
      <c r="C1771">
        <v>178</v>
      </c>
      <c r="D1771">
        <v>279</v>
      </c>
      <c r="E1771" t="s">
        <v>237</v>
      </c>
      <c r="G1771">
        <v>0</v>
      </c>
      <c r="H1771">
        <v>0</v>
      </c>
      <c r="I1771">
        <v>0</v>
      </c>
      <c r="J1771">
        <v>0</v>
      </c>
      <c r="K1771">
        <v>0</v>
      </c>
      <c r="L1771">
        <v>0</v>
      </c>
      <c r="M1771">
        <v>0</v>
      </c>
      <c r="N1771">
        <v>0</v>
      </c>
      <c r="O1771">
        <v>0</v>
      </c>
      <c r="P1771">
        <v>0</v>
      </c>
      <c r="Q1771" t="str">
        <f>INDEX(pARTNER[#All],MATCH(#REF!,pARTNER[[#All],[Value.partnerSummary.id]],0),10)</f>
        <v>Slovenija (SI)</v>
      </c>
      <c r="R1771" t="str">
        <f>INDEX('Partner data'!$A$2:$DG$171,MATCH(#REF!,'Partner data'!$DG$2:$DG$171,0),83)</f>
        <v>Soggetto pubblico</v>
      </c>
      <c r="S1771" s="86" t="b">
        <f>IF(#REF!="staff",INDEX('Partner data'!$DG$2:$DH$171,MATCH(#REF!,'Partner data'!$DG$2:$DG$171,0),2))</f>
        <v>0</v>
      </c>
    </row>
    <row r="1772" spans="1:19" x14ac:dyDescent="0.25">
      <c r="A1772" t="s">
        <v>350</v>
      </c>
      <c r="B1772" t="s">
        <v>355</v>
      </c>
      <c r="C1772">
        <v>178</v>
      </c>
      <c r="D1772">
        <v>279</v>
      </c>
      <c r="E1772" t="s">
        <v>238</v>
      </c>
      <c r="G1772">
        <v>119980</v>
      </c>
      <c r="H1772">
        <v>0</v>
      </c>
      <c r="I1772">
        <v>0</v>
      </c>
      <c r="J1772">
        <v>16253.93</v>
      </c>
      <c r="K1772">
        <v>0</v>
      </c>
      <c r="L1772">
        <v>16253.93</v>
      </c>
      <c r="M1772">
        <v>16253.93</v>
      </c>
      <c r="N1772">
        <v>13.55</v>
      </c>
      <c r="O1772">
        <v>103726.07</v>
      </c>
      <c r="P1772">
        <v>0</v>
      </c>
      <c r="Q1772" t="str">
        <f>INDEX(pARTNER[#All],MATCH(#REF!,pARTNER[[#All],[Value.partnerSummary.id]],0),10)</f>
        <v>Slovenija (SI)</v>
      </c>
      <c r="R1772" t="str">
        <f>INDEX('Partner data'!$A$2:$DG$171,MATCH(#REF!,'Partner data'!$DG$2:$DG$171,0),83)</f>
        <v>Soggetto pubblico</v>
      </c>
      <c r="S1772" s="86" t="b">
        <f>IF(#REF!="staff",INDEX('Partner data'!$DG$2:$DH$171,MATCH(#REF!,'Partner data'!$DG$2:$DG$171,0),2))</f>
        <v>0</v>
      </c>
    </row>
    <row r="1773" spans="1:19" x14ac:dyDescent="0.25">
      <c r="A1773" t="s">
        <v>350</v>
      </c>
      <c r="B1773" t="s">
        <v>356</v>
      </c>
      <c r="C1773">
        <v>219</v>
      </c>
      <c r="D1773">
        <v>285</v>
      </c>
      <c r="E1773" t="s">
        <v>228</v>
      </c>
      <c r="G1773">
        <v>49980</v>
      </c>
      <c r="H1773">
        <v>0</v>
      </c>
      <c r="I1773">
        <v>0</v>
      </c>
      <c r="J1773">
        <v>2465.73</v>
      </c>
      <c r="K1773">
        <v>0</v>
      </c>
      <c r="L1773">
        <v>2465.73</v>
      </c>
      <c r="M1773">
        <v>2465.73</v>
      </c>
      <c r="N1773">
        <v>4.93</v>
      </c>
      <c r="O1773">
        <v>47514.27</v>
      </c>
      <c r="P1773">
        <v>0</v>
      </c>
      <c r="Q1773" t="str">
        <f>INDEX(pARTNER[#All],MATCH(#REF!,pARTNER[[#All],[Value.partnerSummary.id]],0),10)</f>
        <v>Slovenija (SI)</v>
      </c>
      <c r="R1773" t="str">
        <f>INDEX('Partner data'!$A$2:$DG$171,MATCH(#REF!,'Partner data'!$DG$2:$DG$171,0),83)</f>
        <v>Soggetto pubblico</v>
      </c>
      <c r="S1773" s="86" t="str">
        <f>IF(#REF!="staff",INDEX('Partner data'!$DG$2:$DH$171,MATCH(#REF!,'Partner data'!$DG$2:$DG$171,0),2))</f>
        <v>COSTO REALE</v>
      </c>
    </row>
    <row r="1774" spans="1:19" x14ac:dyDescent="0.25">
      <c r="A1774" t="s">
        <v>350</v>
      </c>
      <c r="B1774" t="s">
        <v>356</v>
      </c>
      <c r="C1774">
        <v>219</v>
      </c>
      <c r="D1774">
        <v>285</v>
      </c>
      <c r="E1774" t="s">
        <v>229</v>
      </c>
      <c r="G1774">
        <v>0</v>
      </c>
      <c r="H1774">
        <v>0</v>
      </c>
      <c r="I1774">
        <v>0</v>
      </c>
      <c r="J1774">
        <v>0</v>
      </c>
      <c r="K1774">
        <v>0</v>
      </c>
      <c r="L1774">
        <v>0</v>
      </c>
      <c r="M1774">
        <v>0</v>
      </c>
      <c r="N1774">
        <v>0</v>
      </c>
      <c r="O1774">
        <v>0</v>
      </c>
      <c r="P1774">
        <v>0</v>
      </c>
      <c r="Q1774" t="str">
        <f>INDEX(pARTNER[#All],MATCH(#REF!,pARTNER[[#All],[Value.partnerSummary.id]],0),10)</f>
        <v>Slovenija (SI)</v>
      </c>
      <c r="R1774" t="str">
        <f>INDEX('Partner data'!$A$2:$DG$171,MATCH(#REF!,'Partner data'!$DG$2:$DG$171,0),83)</f>
        <v>Soggetto pubblico</v>
      </c>
      <c r="S1774" s="86" t="b">
        <f>IF(#REF!="staff",INDEX('Partner data'!$DG$2:$DH$171,MATCH(#REF!,'Partner data'!$DG$2:$DG$171,0),2))</f>
        <v>0</v>
      </c>
    </row>
    <row r="1775" spans="1:19" x14ac:dyDescent="0.25">
      <c r="A1775" t="s">
        <v>350</v>
      </c>
      <c r="B1775" t="s">
        <v>356</v>
      </c>
      <c r="C1775">
        <v>219</v>
      </c>
      <c r="D1775">
        <v>285</v>
      </c>
      <c r="E1775" t="s">
        <v>230</v>
      </c>
      <c r="G1775">
        <v>0</v>
      </c>
      <c r="H1775">
        <v>0</v>
      </c>
      <c r="I1775">
        <v>0</v>
      </c>
      <c r="J1775">
        <v>0</v>
      </c>
      <c r="K1775">
        <v>0</v>
      </c>
      <c r="L1775">
        <v>0</v>
      </c>
      <c r="M1775">
        <v>0</v>
      </c>
      <c r="N1775">
        <v>0</v>
      </c>
      <c r="O1775">
        <v>0</v>
      </c>
      <c r="P1775">
        <v>0</v>
      </c>
      <c r="Q1775" t="str">
        <f>INDEX(pARTNER[#All],MATCH(#REF!,pARTNER[[#All],[Value.partnerSummary.id]],0),10)</f>
        <v>Slovenija (SI)</v>
      </c>
      <c r="R1775" t="str">
        <f>INDEX('Partner data'!$A$2:$DG$171,MATCH(#REF!,'Partner data'!$DG$2:$DG$171,0),83)</f>
        <v>Soggetto pubblico</v>
      </c>
      <c r="S1775" s="86" t="b">
        <f>IF(#REF!="staff",INDEX('Partner data'!$DG$2:$DH$171,MATCH(#REF!,'Partner data'!$DG$2:$DG$171,0),2))</f>
        <v>0</v>
      </c>
    </row>
    <row r="1776" spans="1:19" x14ac:dyDescent="0.25">
      <c r="A1776" t="s">
        <v>350</v>
      </c>
      <c r="B1776" t="s">
        <v>356</v>
      </c>
      <c r="C1776">
        <v>219</v>
      </c>
      <c r="D1776">
        <v>285</v>
      </c>
      <c r="E1776" t="s">
        <v>231</v>
      </c>
      <c r="G1776">
        <v>0</v>
      </c>
      <c r="H1776">
        <v>0</v>
      </c>
      <c r="I1776">
        <v>0</v>
      </c>
      <c r="J1776">
        <v>0</v>
      </c>
      <c r="K1776">
        <v>0</v>
      </c>
      <c r="L1776">
        <v>0</v>
      </c>
      <c r="M1776">
        <v>0</v>
      </c>
      <c r="N1776">
        <v>0</v>
      </c>
      <c r="O1776">
        <v>0</v>
      </c>
      <c r="P1776">
        <v>0</v>
      </c>
      <c r="Q1776" t="str">
        <f>INDEX(pARTNER[#All],MATCH(#REF!,pARTNER[[#All],[Value.partnerSummary.id]],0),10)</f>
        <v>Slovenija (SI)</v>
      </c>
      <c r="R1776" t="str">
        <f>INDEX('Partner data'!$A$2:$DG$171,MATCH(#REF!,'Partner data'!$DG$2:$DG$171,0),83)</f>
        <v>Soggetto pubblico</v>
      </c>
      <c r="S1776" s="86" t="b">
        <f>IF(#REF!="staff",INDEX('Partner data'!$DG$2:$DH$171,MATCH(#REF!,'Partner data'!$DG$2:$DG$171,0),2))</f>
        <v>0</v>
      </c>
    </row>
    <row r="1777" spans="1:19" x14ac:dyDescent="0.25">
      <c r="A1777" t="s">
        <v>350</v>
      </c>
      <c r="B1777" t="s">
        <v>356</v>
      </c>
      <c r="C1777">
        <v>219</v>
      </c>
      <c r="D1777">
        <v>285</v>
      </c>
      <c r="E1777" t="s">
        <v>232</v>
      </c>
      <c r="G1777">
        <v>0</v>
      </c>
      <c r="H1777">
        <v>0</v>
      </c>
      <c r="I1777">
        <v>0</v>
      </c>
      <c r="J1777">
        <v>0</v>
      </c>
      <c r="K1777">
        <v>0</v>
      </c>
      <c r="L1777">
        <v>0</v>
      </c>
      <c r="M1777">
        <v>0</v>
      </c>
      <c r="N1777">
        <v>0</v>
      </c>
      <c r="O1777">
        <v>0</v>
      </c>
      <c r="P1777">
        <v>0</v>
      </c>
      <c r="Q1777" t="str">
        <f>INDEX(pARTNER[#All],MATCH(#REF!,pARTNER[[#All],[Value.partnerSummary.id]],0),10)</f>
        <v>Slovenija (SI)</v>
      </c>
      <c r="R1777" t="str">
        <f>INDEX('Partner data'!$A$2:$DG$171,MATCH(#REF!,'Partner data'!$DG$2:$DG$171,0),83)</f>
        <v>Soggetto pubblico</v>
      </c>
      <c r="S1777" s="86" t="b">
        <f>IF(#REF!="staff",INDEX('Partner data'!$DG$2:$DH$171,MATCH(#REF!,'Partner data'!$DG$2:$DG$171,0),2))</f>
        <v>0</v>
      </c>
    </row>
    <row r="1778" spans="1:19" x14ac:dyDescent="0.25">
      <c r="A1778" t="s">
        <v>350</v>
      </c>
      <c r="B1778" t="s">
        <v>356</v>
      </c>
      <c r="C1778">
        <v>219</v>
      </c>
      <c r="D1778">
        <v>285</v>
      </c>
      <c r="E1778" t="s">
        <v>233</v>
      </c>
      <c r="G1778">
        <v>0</v>
      </c>
      <c r="H1778">
        <v>0</v>
      </c>
      <c r="I1778">
        <v>0</v>
      </c>
      <c r="J1778">
        <v>0</v>
      </c>
      <c r="K1778">
        <v>0</v>
      </c>
      <c r="L1778">
        <v>0</v>
      </c>
      <c r="M1778">
        <v>0</v>
      </c>
      <c r="N1778">
        <v>0</v>
      </c>
      <c r="O1778">
        <v>0</v>
      </c>
      <c r="P1778">
        <v>0</v>
      </c>
      <c r="Q1778" t="str">
        <f>INDEX(pARTNER[#All],MATCH(#REF!,pARTNER[[#All],[Value.partnerSummary.id]],0),10)</f>
        <v>Slovenija (SI)</v>
      </c>
      <c r="R1778" t="str">
        <f>INDEX('Partner data'!$A$2:$DG$171,MATCH(#REF!,'Partner data'!$DG$2:$DG$171,0),83)</f>
        <v>Soggetto pubblico</v>
      </c>
      <c r="S1778" s="86" t="b">
        <f>IF(#REF!="staff",INDEX('Partner data'!$DG$2:$DH$171,MATCH(#REF!,'Partner data'!$DG$2:$DG$171,0),2))</f>
        <v>0</v>
      </c>
    </row>
    <row r="1779" spans="1:19" x14ac:dyDescent="0.25">
      <c r="A1779" t="s">
        <v>350</v>
      </c>
      <c r="B1779" t="s">
        <v>356</v>
      </c>
      <c r="C1779">
        <v>219</v>
      </c>
      <c r="D1779">
        <v>285</v>
      </c>
      <c r="E1779" t="s">
        <v>234</v>
      </c>
      <c r="F1779">
        <v>40</v>
      </c>
      <c r="G1779">
        <v>19992</v>
      </c>
      <c r="H1779">
        <v>0</v>
      </c>
      <c r="I1779">
        <v>0</v>
      </c>
      <c r="J1779">
        <v>986.29</v>
      </c>
      <c r="K1779">
        <v>0</v>
      </c>
      <c r="L1779">
        <v>986.29</v>
      </c>
      <c r="M1779">
        <v>986.29</v>
      </c>
      <c r="N1779">
        <v>4.93</v>
      </c>
      <c r="O1779">
        <v>19005.71</v>
      </c>
      <c r="P1779">
        <v>0</v>
      </c>
      <c r="Q1779" t="str">
        <f>INDEX(pARTNER[#All],MATCH(#REF!,pARTNER[[#All],[Value.partnerSummary.id]],0),10)</f>
        <v>Slovenija (SI)</v>
      </c>
      <c r="R1779" t="str">
        <f>INDEX('Partner data'!$A$2:$DG$171,MATCH(#REF!,'Partner data'!$DG$2:$DG$171,0),83)</f>
        <v>Soggetto pubblico</v>
      </c>
      <c r="S1779" s="86" t="b">
        <f>IF(#REF!="staff",INDEX('Partner data'!$DG$2:$DH$171,MATCH(#REF!,'Partner data'!$DG$2:$DG$171,0),2))</f>
        <v>0</v>
      </c>
    </row>
    <row r="1780" spans="1:19" x14ac:dyDescent="0.25">
      <c r="A1780" t="s">
        <v>350</v>
      </c>
      <c r="B1780" t="s">
        <v>356</v>
      </c>
      <c r="C1780">
        <v>219</v>
      </c>
      <c r="D1780">
        <v>285</v>
      </c>
      <c r="E1780" t="s">
        <v>235</v>
      </c>
      <c r="G1780">
        <v>0</v>
      </c>
      <c r="H1780">
        <v>0</v>
      </c>
      <c r="I1780">
        <v>0</v>
      </c>
      <c r="J1780">
        <v>0</v>
      </c>
      <c r="K1780">
        <v>0</v>
      </c>
      <c r="L1780">
        <v>0</v>
      </c>
      <c r="M1780">
        <v>0</v>
      </c>
      <c r="N1780">
        <v>0</v>
      </c>
      <c r="O1780">
        <v>0</v>
      </c>
      <c r="P1780">
        <v>0</v>
      </c>
      <c r="Q1780" t="str">
        <f>INDEX(pARTNER[#All],MATCH(#REF!,pARTNER[[#All],[Value.partnerSummary.id]],0),10)</f>
        <v>Slovenija (SI)</v>
      </c>
      <c r="R1780" t="str">
        <f>INDEX('Partner data'!$A$2:$DG$171,MATCH(#REF!,'Partner data'!$DG$2:$DG$171,0),83)</f>
        <v>Soggetto pubblico</v>
      </c>
      <c r="S1780" s="86" t="b">
        <f>IF(#REF!="staff",INDEX('Partner data'!$DG$2:$DH$171,MATCH(#REF!,'Partner data'!$DG$2:$DG$171,0),2))</f>
        <v>0</v>
      </c>
    </row>
    <row r="1781" spans="1:19" x14ac:dyDescent="0.25">
      <c r="A1781" t="s">
        <v>350</v>
      </c>
      <c r="B1781" t="s">
        <v>356</v>
      </c>
      <c r="C1781">
        <v>219</v>
      </c>
      <c r="D1781">
        <v>285</v>
      </c>
      <c r="E1781" t="s">
        <v>236</v>
      </c>
      <c r="G1781">
        <v>0</v>
      </c>
      <c r="H1781">
        <v>0</v>
      </c>
      <c r="I1781">
        <v>0</v>
      </c>
      <c r="J1781">
        <v>0</v>
      </c>
      <c r="K1781">
        <v>0</v>
      </c>
      <c r="L1781">
        <v>0</v>
      </c>
      <c r="M1781">
        <v>0</v>
      </c>
      <c r="N1781">
        <v>0</v>
      </c>
      <c r="O1781">
        <v>0</v>
      </c>
      <c r="P1781">
        <v>0</v>
      </c>
      <c r="Q1781" t="str">
        <f>INDEX(pARTNER[#All],MATCH(#REF!,pARTNER[[#All],[Value.partnerSummary.id]],0),10)</f>
        <v>Slovenija (SI)</v>
      </c>
      <c r="R1781" t="str">
        <f>INDEX('Partner data'!$A$2:$DG$171,MATCH(#REF!,'Partner data'!$DG$2:$DG$171,0),83)</f>
        <v>Soggetto pubblico</v>
      </c>
      <c r="S1781" s="86" t="b">
        <f>IF(#REF!="staff",INDEX('Partner data'!$DG$2:$DH$171,MATCH(#REF!,'Partner data'!$DG$2:$DG$171,0),2))</f>
        <v>0</v>
      </c>
    </row>
    <row r="1782" spans="1:19" x14ac:dyDescent="0.25">
      <c r="A1782" t="s">
        <v>350</v>
      </c>
      <c r="B1782" t="s">
        <v>356</v>
      </c>
      <c r="C1782">
        <v>219</v>
      </c>
      <c r="D1782">
        <v>285</v>
      </c>
      <c r="E1782" t="s">
        <v>237</v>
      </c>
      <c r="G1782">
        <v>0</v>
      </c>
      <c r="H1782">
        <v>0</v>
      </c>
      <c r="I1782">
        <v>0</v>
      </c>
      <c r="J1782">
        <v>0</v>
      </c>
      <c r="K1782">
        <v>0</v>
      </c>
      <c r="L1782">
        <v>0</v>
      </c>
      <c r="M1782">
        <v>0</v>
      </c>
      <c r="N1782">
        <v>0</v>
      </c>
      <c r="O1782">
        <v>0</v>
      </c>
      <c r="P1782">
        <v>0</v>
      </c>
      <c r="Q1782" t="str">
        <f>INDEX(pARTNER[#All],MATCH(#REF!,pARTNER[[#All],[Value.partnerSummary.id]],0),10)</f>
        <v>Slovenija (SI)</v>
      </c>
      <c r="R1782" t="str">
        <f>INDEX('Partner data'!$A$2:$DG$171,MATCH(#REF!,'Partner data'!$DG$2:$DG$171,0),83)</f>
        <v>Soggetto pubblico</v>
      </c>
      <c r="S1782" s="86" t="b">
        <f>IF(#REF!="staff",INDEX('Partner data'!$DG$2:$DH$171,MATCH(#REF!,'Partner data'!$DG$2:$DG$171,0),2))</f>
        <v>0</v>
      </c>
    </row>
    <row r="1783" spans="1:19" x14ac:dyDescent="0.25">
      <c r="A1783" t="s">
        <v>350</v>
      </c>
      <c r="B1783" t="s">
        <v>356</v>
      </c>
      <c r="C1783">
        <v>219</v>
      </c>
      <c r="D1783">
        <v>285</v>
      </c>
      <c r="E1783" t="s">
        <v>238</v>
      </c>
      <c r="G1783">
        <v>69972</v>
      </c>
      <c r="H1783">
        <v>0</v>
      </c>
      <c r="I1783">
        <v>0</v>
      </c>
      <c r="J1783">
        <v>3452.02</v>
      </c>
      <c r="K1783">
        <v>0</v>
      </c>
      <c r="L1783">
        <v>3452.02</v>
      </c>
      <c r="M1783">
        <v>3452.02</v>
      </c>
      <c r="N1783">
        <v>4.93</v>
      </c>
      <c r="O1783">
        <v>66519.98</v>
      </c>
      <c r="P1783">
        <v>0</v>
      </c>
      <c r="Q1783" t="str">
        <f>INDEX(pARTNER[#All],MATCH(#REF!,pARTNER[[#All],[Value.partnerSummary.id]],0),10)</f>
        <v>Slovenija (SI)</v>
      </c>
      <c r="R1783" t="str">
        <f>INDEX('Partner data'!$A$2:$DG$171,MATCH(#REF!,'Partner data'!$DG$2:$DG$171,0),83)</f>
        <v>Soggetto pubblico</v>
      </c>
      <c r="S1783" s="86" t="b">
        <f>IF(#REF!="staff",INDEX('Partner data'!$DG$2:$DH$171,MATCH(#REF!,'Partner data'!$DG$2:$DG$171,0),2))</f>
        <v>0</v>
      </c>
    </row>
    <row r="1784" spans="1:19" x14ac:dyDescent="0.25">
      <c r="A1784" t="s">
        <v>63</v>
      </c>
      <c r="B1784" t="s">
        <v>37</v>
      </c>
      <c r="C1784">
        <v>288</v>
      </c>
      <c r="D1784">
        <v>266</v>
      </c>
      <c r="E1784" t="s">
        <v>228</v>
      </c>
      <c r="G1784">
        <v>125064</v>
      </c>
      <c r="H1784">
        <v>6919.41</v>
      </c>
      <c r="I1784">
        <v>0</v>
      </c>
      <c r="J1784">
        <v>10476.94</v>
      </c>
      <c r="K1784">
        <v>0</v>
      </c>
      <c r="L1784">
        <v>10476.94</v>
      </c>
      <c r="M1784">
        <v>17396.349999999999</v>
      </c>
      <c r="N1784">
        <v>13.91</v>
      </c>
      <c r="O1784">
        <v>107667.65</v>
      </c>
      <c r="P1784">
        <v>6919.41</v>
      </c>
      <c r="Q1784" t="str">
        <f>INDEX(pARTNER[#All],MATCH(#REF!,pARTNER[[#All],[Value.partnerSummary.id]],0),10)</f>
        <v>Italia (IT)</v>
      </c>
      <c r="R1784" t="str">
        <f>INDEX('Partner data'!$A$2:$DG$171,MATCH(#REF!,'Partner data'!$DG$2:$DG$171,0),83)</f>
        <v xml:space="preserve">Organismo di diritto pubblico </v>
      </c>
      <c r="S1784" s="86" t="str">
        <f>IF(#REF!="staff",INDEX('Partner data'!$DG$2:$DH$171,MATCH(#REF!,'Partner data'!$DG$2:$DG$171,0),2))</f>
        <v>COSTO REALE</v>
      </c>
    </row>
    <row r="1785" spans="1:19" x14ac:dyDescent="0.25">
      <c r="A1785" t="s">
        <v>63</v>
      </c>
      <c r="B1785" t="s">
        <v>37</v>
      </c>
      <c r="C1785">
        <v>288</v>
      </c>
      <c r="D1785">
        <v>266</v>
      </c>
      <c r="E1785" t="s">
        <v>229</v>
      </c>
      <c r="G1785">
        <v>0</v>
      </c>
      <c r="H1785">
        <v>0</v>
      </c>
      <c r="I1785">
        <v>0</v>
      </c>
      <c r="J1785">
        <v>0</v>
      </c>
      <c r="K1785">
        <v>0</v>
      </c>
      <c r="L1785">
        <v>0</v>
      </c>
      <c r="M1785">
        <v>0</v>
      </c>
      <c r="N1785">
        <v>0</v>
      </c>
      <c r="O1785">
        <v>0</v>
      </c>
      <c r="P1785">
        <v>0</v>
      </c>
      <c r="Q1785" t="str">
        <f>INDEX(pARTNER[#All],MATCH(#REF!,pARTNER[[#All],[Value.partnerSummary.id]],0),10)</f>
        <v>Italia (IT)</v>
      </c>
      <c r="R1785" t="str">
        <f>INDEX('Partner data'!$A$2:$DG$171,MATCH(#REF!,'Partner data'!$DG$2:$DG$171,0),83)</f>
        <v xml:space="preserve">Organismo di diritto pubblico </v>
      </c>
      <c r="S1785" s="86" t="b">
        <f>IF(#REF!="staff",INDEX('Partner data'!$DG$2:$DH$171,MATCH(#REF!,'Partner data'!$DG$2:$DG$171,0),2))</f>
        <v>0</v>
      </c>
    </row>
    <row r="1786" spans="1:19" x14ac:dyDescent="0.25">
      <c r="A1786" t="s">
        <v>63</v>
      </c>
      <c r="B1786" t="s">
        <v>37</v>
      </c>
      <c r="C1786">
        <v>288</v>
      </c>
      <c r="D1786">
        <v>266</v>
      </c>
      <c r="E1786" t="s">
        <v>230</v>
      </c>
      <c r="G1786">
        <v>0</v>
      </c>
      <c r="H1786">
        <v>0</v>
      </c>
      <c r="I1786">
        <v>0</v>
      </c>
      <c r="J1786">
        <v>0</v>
      </c>
      <c r="K1786">
        <v>0</v>
      </c>
      <c r="L1786">
        <v>0</v>
      </c>
      <c r="M1786">
        <v>0</v>
      </c>
      <c r="N1786">
        <v>0</v>
      </c>
      <c r="O1786">
        <v>0</v>
      </c>
      <c r="P1786">
        <v>0</v>
      </c>
      <c r="Q1786" t="str">
        <f>INDEX(pARTNER[#All],MATCH(#REF!,pARTNER[[#All],[Value.partnerSummary.id]],0),10)</f>
        <v>Italia (IT)</v>
      </c>
      <c r="R1786" t="str">
        <f>INDEX('Partner data'!$A$2:$DG$171,MATCH(#REF!,'Partner data'!$DG$2:$DG$171,0),83)</f>
        <v xml:space="preserve">Organismo di diritto pubblico </v>
      </c>
      <c r="S1786" s="86" t="b">
        <f>IF(#REF!="staff",INDEX('Partner data'!$DG$2:$DH$171,MATCH(#REF!,'Partner data'!$DG$2:$DG$171,0),2))</f>
        <v>0</v>
      </c>
    </row>
    <row r="1787" spans="1:19" x14ac:dyDescent="0.25">
      <c r="A1787" t="s">
        <v>63</v>
      </c>
      <c r="B1787" t="s">
        <v>37</v>
      </c>
      <c r="C1787">
        <v>288</v>
      </c>
      <c r="D1787">
        <v>266</v>
      </c>
      <c r="E1787" t="s">
        <v>231</v>
      </c>
      <c r="G1787">
        <v>0</v>
      </c>
      <c r="H1787">
        <v>0</v>
      </c>
      <c r="I1787">
        <v>0</v>
      </c>
      <c r="J1787">
        <v>0</v>
      </c>
      <c r="K1787">
        <v>0</v>
      </c>
      <c r="L1787">
        <v>0</v>
      </c>
      <c r="M1787">
        <v>0</v>
      </c>
      <c r="N1787">
        <v>0</v>
      </c>
      <c r="O1787">
        <v>0</v>
      </c>
      <c r="P1787">
        <v>0</v>
      </c>
      <c r="Q1787" t="str">
        <f>INDEX(pARTNER[#All],MATCH(#REF!,pARTNER[[#All],[Value.partnerSummary.id]],0),10)</f>
        <v>Italia (IT)</v>
      </c>
      <c r="R1787" t="str">
        <f>INDEX('Partner data'!$A$2:$DG$171,MATCH(#REF!,'Partner data'!$DG$2:$DG$171,0),83)</f>
        <v xml:space="preserve">Organismo di diritto pubblico </v>
      </c>
      <c r="S1787" s="86" t="b">
        <f>IF(#REF!="staff",INDEX('Partner data'!$DG$2:$DH$171,MATCH(#REF!,'Partner data'!$DG$2:$DG$171,0),2))</f>
        <v>0</v>
      </c>
    </row>
    <row r="1788" spans="1:19" x14ac:dyDescent="0.25">
      <c r="A1788" t="s">
        <v>63</v>
      </c>
      <c r="B1788" t="s">
        <v>37</v>
      </c>
      <c r="C1788">
        <v>288</v>
      </c>
      <c r="D1788">
        <v>266</v>
      </c>
      <c r="E1788" t="s">
        <v>232</v>
      </c>
      <c r="G1788">
        <v>0</v>
      </c>
      <c r="H1788">
        <v>0</v>
      </c>
      <c r="I1788">
        <v>0</v>
      </c>
      <c r="J1788">
        <v>0</v>
      </c>
      <c r="K1788">
        <v>0</v>
      </c>
      <c r="L1788">
        <v>0</v>
      </c>
      <c r="M1788">
        <v>0</v>
      </c>
      <c r="N1788">
        <v>0</v>
      </c>
      <c r="O1788">
        <v>0</v>
      </c>
      <c r="P1788">
        <v>0</v>
      </c>
      <c r="Q1788" t="str">
        <f>INDEX(pARTNER[#All],MATCH(#REF!,pARTNER[[#All],[Value.partnerSummary.id]],0),10)</f>
        <v>Italia (IT)</v>
      </c>
      <c r="R1788" t="str">
        <f>INDEX('Partner data'!$A$2:$DG$171,MATCH(#REF!,'Partner data'!$DG$2:$DG$171,0),83)</f>
        <v xml:space="preserve">Organismo di diritto pubblico </v>
      </c>
      <c r="S1788" s="86" t="b">
        <f>IF(#REF!="staff",INDEX('Partner data'!$DG$2:$DH$171,MATCH(#REF!,'Partner data'!$DG$2:$DG$171,0),2))</f>
        <v>0</v>
      </c>
    </row>
    <row r="1789" spans="1:19" x14ac:dyDescent="0.25">
      <c r="A1789" t="s">
        <v>63</v>
      </c>
      <c r="B1789" t="s">
        <v>37</v>
      </c>
      <c r="C1789">
        <v>288</v>
      </c>
      <c r="D1789">
        <v>266</v>
      </c>
      <c r="E1789" t="s">
        <v>233</v>
      </c>
      <c r="G1789">
        <v>0</v>
      </c>
      <c r="H1789">
        <v>0</v>
      </c>
      <c r="I1789">
        <v>0</v>
      </c>
      <c r="J1789">
        <v>0</v>
      </c>
      <c r="K1789">
        <v>0</v>
      </c>
      <c r="L1789">
        <v>0</v>
      </c>
      <c r="M1789">
        <v>0</v>
      </c>
      <c r="N1789">
        <v>0</v>
      </c>
      <c r="O1789">
        <v>0</v>
      </c>
      <c r="P1789">
        <v>0</v>
      </c>
      <c r="Q1789" t="str">
        <f>INDEX(pARTNER[#All],MATCH(#REF!,pARTNER[[#All],[Value.partnerSummary.id]],0),10)</f>
        <v>Italia (IT)</v>
      </c>
      <c r="R1789" t="str">
        <f>INDEX('Partner data'!$A$2:$DG$171,MATCH(#REF!,'Partner data'!$DG$2:$DG$171,0),83)</f>
        <v xml:space="preserve">Organismo di diritto pubblico </v>
      </c>
      <c r="S1789" s="86" t="b">
        <f>IF(#REF!="staff",INDEX('Partner data'!$DG$2:$DH$171,MATCH(#REF!,'Partner data'!$DG$2:$DG$171,0),2))</f>
        <v>0</v>
      </c>
    </row>
    <row r="1790" spans="1:19" x14ac:dyDescent="0.25">
      <c r="A1790" t="s">
        <v>63</v>
      </c>
      <c r="B1790" t="s">
        <v>37</v>
      </c>
      <c r="C1790">
        <v>288</v>
      </c>
      <c r="D1790">
        <v>266</v>
      </c>
      <c r="E1790" t="s">
        <v>234</v>
      </c>
      <c r="F1790">
        <v>40</v>
      </c>
      <c r="G1790">
        <v>50025.599999999999</v>
      </c>
      <c r="H1790">
        <v>2767.76</v>
      </c>
      <c r="I1790">
        <v>0</v>
      </c>
      <c r="J1790">
        <v>4190.7700000000004</v>
      </c>
      <c r="K1790">
        <v>0</v>
      </c>
      <c r="L1790">
        <v>4190.7700000000004</v>
      </c>
      <c r="M1790">
        <v>6958.53</v>
      </c>
      <c r="N1790">
        <v>13.91</v>
      </c>
      <c r="O1790">
        <v>43067.07</v>
      </c>
      <c r="P1790">
        <v>2767.76</v>
      </c>
      <c r="Q1790" t="str">
        <f>INDEX(pARTNER[#All],MATCH(#REF!,pARTNER[[#All],[Value.partnerSummary.id]],0),10)</f>
        <v>Italia (IT)</v>
      </c>
      <c r="R1790" t="str">
        <f>INDEX('Partner data'!$A$2:$DG$171,MATCH(#REF!,'Partner data'!$DG$2:$DG$171,0),83)</f>
        <v xml:space="preserve">Organismo di diritto pubblico </v>
      </c>
      <c r="S1790" s="86" t="b">
        <f>IF(#REF!="staff",INDEX('Partner data'!$DG$2:$DH$171,MATCH(#REF!,'Partner data'!$DG$2:$DG$171,0),2))</f>
        <v>0</v>
      </c>
    </row>
    <row r="1791" spans="1:19" x14ac:dyDescent="0.25">
      <c r="A1791" t="s">
        <v>63</v>
      </c>
      <c r="B1791" t="s">
        <v>37</v>
      </c>
      <c r="C1791">
        <v>288</v>
      </c>
      <c r="D1791">
        <v>266</v>
      </c>
      <c r="E1791" t="s">
        <v>235</v>
      </c>
      <c r="G1791">
        <v>0</v>
      </c>
      <c r="H1791">
        <v>0</v>
      </c>
      <c r="I1791">
        <v>0</v>
      </c>
      <c r="J1791">
        <v>0</v>
      </c>
      <c r="K1791">
        <v>0</v>
      </c>
      <c r="L1791">
        <v>0</v>
      </c>
      <c r="M1791">
        <v>0</v>
      </c>
      <c r="N1791">
        <v>0</v>
      </c>
      <c r="O1791">
        <v>0</v>
      </c>
      <c r="P1791">
        <v>0</v>
      </c>
      <c r="Q1791" t="str">
        <f>INDEX(pARTNER[#All],MATCH(#REF!,pARTNER[[#All],[Value.partnerSummary.id]],0),10)</f>
        <v>Italia (IT)</v>
      </c>
      <c r="R1791" t="str">
        <f>INDEX('Partner data'!$A$2:$DG$171,MATCH(#REF!,'Partner data'!$DG$2:$DG$171,0),83)</f>
        <v xml:space="preserve">Organismo di diritto pubblico </v>
      </c>
      <c r="S1791" s="86" t="b">
        <f>IF(#REF!="staff",INDEX('Partner data'!$DG$2:$DH$171,MATCH(#REF!,'Partner data'!$DG$2:$DG$171,0),2))</f>
        <v>0</v>
      </c>
    </row>
    <row r="1792" spans="1:19" x14ac:dyDescent="0.25">
      <c r="A1792" t="s">
        <v>63</v>
      </c>
      <c r="B1792" t="s">
        <v>37</v>
      </c>
      <c r="C1792">
        <v>288</v>
      </c>
      <c r="D1792">
        <v>266</v>
      </c>
      <c r="E1792" t="s">
        <v>236</v>
      </c>
      <c r="G1792">
        <v>0</v>
      </c>
      <c r="H1792">
        <v>0</v>
      </c>
      <c r="I1792">
        <v>0</v>
      </c>
      <c r="J1792">
        <v>0</v>
      </c>
      <c r="K1792">
        <v>0</v>
      </c>
      <c r="L1792">
        <v>0</v>
      </c>
      <c r="M1792">
        <v>0</v>
      </c>
      <c r="N1792">
        <v>0</v>
      </c>
      <c r="O1792">
        <v>0</v>
      </c>
      <c r="P1792">
        <v>0</v>
      </c>
      <c r="Q1792" t="str">
        <f>INDEX(pARTNER[#All],MATCH(#REF!,pARTNER[[#All],[Value.partnerSummary.id]],0),10)</f>
        <v>Italia (IT)</v>
      </c>
      <c r="R1792" t="str">
        <f>INDEX('Partner data'!$A$2:$DG$171,MATCH(#REF!,'Partner data'!$DG$2:$DG$171,0),83)</f>
        <v xml:space="preserve">Organismo di diritto pubblico </v>
      </c>
      <c r="S1792" s="86" t="b">
        <f>IF(#REF!="staff",INDEX('Partner data'!$DG$2:$DH$171,MATCH(#REF!,'Partner data'!$DG$2:$DG$171,0),2))</f>
        <v>0</v>
      </c>
    </row>
    <row r="1793" spans="1:19" x14ac:dyDescent="0.25">
      <c r="A1793" t="s">
        <v>63</v>
      </c>
      <c r="B1793" t="s">
        <v>37</v>
      </c>
      <c r="C1793">
        <v>288</v>
      </c>
      <c r="D1793">
        <v>266</v>
      </c>
      <c r="E1793" t="s">
        <v>237</v>
      </c>
      <c r="G1793">
        <v>0</v>
      </c>
      <c r="H1793">
        <v>0</v>
      </c>
      <c r="I1793">
        <v>0</v>
      </c>
      <c r="J1793">
        <v>0</v>
      </c>
      <c r="K1793">
        <v>0</v>
      </c>
      <c r="L1793">
        <v>0</v>
      </c>
      <c r="M1793">
        <v>0</v>
      </c>
      <c r="N1793">
        <v>0</v>
      </c>
      <c r="O1793">
        <v>0</v>
      </c>
      <c r="P1793">
        <v>0</v>
      </c>
      <c r="Q1793" t="str">
        <f>INDEX(pARTNER[#All],MATCH(#REF!,pARTNER[[#All],[Value.partnerSummary.id]],0),10)</f>
        <v>Italia (IT)</v>
      </c>
      <c r="R1793" t="str">
        <f>INDEX('Partner data'!$A$2:$DG$171,MATCH(#REF!,'Partner data'!$DG$2:$DG$171,0),83)</f>
        <v xml:space="preserve">Organismo di diritto pubblico </v>
      </c>
      <c r="S1793" s="86" t="b">
        <f>IF(#REF!="staff",INDEX('Partner data'!$DG$2:$DH$171,MATCH(#REF!,'Partner data'!$DG$2:$DG$171,0),2))</f>
        <v>0</v>
      </c>
    </row>
    <row r="1794" spans="1:19" x14ac:dyDescent="0.25">
      <c r="A1794" t="s">
        <v>63</v>
      </c>
      <c r="B1794" t="s">
        <v>37</v>
      </c>
      <c r="C1794">
        <v>288</v>
      </c>
      <c r="D1794">
        <v>266</v>
      </c>
      <c r="E1794" t="s">
        <v>238</v>
      </c>
      <c r="G1794">
        <v>175089.6</v>
      </c>
      <c r="H1794">
        <v>9687.17</v>
      </c>
      <c r="I1794">
        <v>0</v>
      </c>
      <c r="J1794">
        <v>14667.71</v>
      </c>
      <c r="K1794">
        <v>0</v>
      </c>
      <c r="L1794">
        <v>14667.71</v>
      </c>
      <c r="M1794">
        <v>24354.880000000001</v>
      </c>
      <c r="N1794">
        <v>13.91</v>
      </c>
      <c r="O1794">
        <v>150734.72</v>
      </c>
      <c r="P1794">
        <v>9687.17</v>
      </c>
      <c r="Q1794" t="str">
        <f>INDEX(pARTNER[#All],MATCH(#REF!,pARTNER[[#All],[Value.partnerSummary.id]],0),10)</f>
        <v>Italia (IT)</v>
      </c>
      <c r="R1794" t="str">
        <f>INDEX('Partner data'!$A$2:$DG$171,MATCH(#REF!,'Partner data'!$DG$2:$DG$171,0),83)</f>
        <v xml:space="preserve">Organismo di diritto pubblico </v>
      </c>
      <c r="S1794" s="86" t="b">
        <f>IF(#REF!="staff",INDEX('Partner data'!$DG$2:$DH$171,MATCH(#REF!,'Partner data'!$DG$2:$DG$171,0),2))</f>
        <v>0</v>
      </c>
    </row>
    <row r="1795" spans="1:19" x14ac:dyDescent="0.25">
      <c r="A1795" t="s">
        <v>63</v>
      </c>
      <c r="B1795" t="s">
        <v>37</v>
      </c>
      <c r="C1795">
        <v>288</v>
      </c>
      <c r="D1795">
        <v>49</v>
      </c>
      <c r="E1795" t="s">
        <v>228</v>
      </c>
      <c r="G1795">
        <v>125064</v>
      </c>
      <c r="H1795">
        <v>0</v>
      </c>
      <c r="I1795">
        <v>0</v>
      </c>
      <c r="J1795">
        <v>6919.41</v>
      </c>
      <c r="K1795">
        <v>0</v>
      </c>
      <c r="L1795">
        <v>6919.41</v>
      </c>
      <c r="M1795">
        <v>6919.41</v>
      </c>
      <c r="N1795">
        <v>5.53</v>
      </c>
      <c r="O1795">
        <v>118144.59</v>
      </c>
      <c r="P1795">
        <v>0</v>
      </c>
      <c r="Q1795" t="str">
        <f>INDEX(pARTNER[#All],MATCH(#REF!,pARTNER[[#All],[Value.partnerSummary.id]],0),10)</f>
        <v>Italia (IT)</v>
      </c>
      <c r="R1795" t="str">
        <f>INDEX('Partner data'!$A$2:$DG$171,MATCH(#REF!,'Partner data'!$DG$2:$DG$171,0),83)</f>
        <v xml:space="preserve">Organismo di diritto pubblico </v>
      </c>
      <c r="S1795" s="86" t="str">
        <f>IF(#REF!="staff",INDEX('Partner data'!$DG$2:$DH$171,MATCH(#REF!,'Partner data'!$DG$2:$DG$171,0),2))</f>
        <v>COSTO REALE</v>
      </c>
    </row>
    <row r="1796" spans="1:19" x14ac:dyDescent="0.25">
      <c r="A1796" t="s">
        <v>63</v>
      </c>
      <c r="B1796" t="s">
        <v>37</v>
      </c>
      <c r="C1796">
        <v>288</v>
      </c>
      <c r="D1796">
        <v>49</v>
      </c>
      <c r="E1796" t="s">
        <v>229</v>
      </c>
      <c r="G1796">
        <v>0</v>
      </c>
      <c r="H1796">
        <v>0</v>
      </c>
      <c r="I1796">
        <v>0</v>
      </c>
      <c r="J1796">
        <v>0</v>
      </c>
      <c r="K1796">
        <v>0</v>
      </c>
      <c r="L1796">
        <v>0</v>
      </c>
      <c r="M1796">
        <v>0</v>
      </c>
      <c r="N1796">
        <v>0</v>
      </c>
      <c r="O1796">
        <v>0</v>
      </c>
      <c r="P1796">
        <v>0</v>
      </c>
      <c r="Q1796" t="str">
        <f>INDEX(pARTNER[#All],MATCH(#REF!,pARTNER[[#All],[Value.partnerSummary.id]],0),10)</f>
        <v>Italia (IT)</v>
      </c>
      <c r="R1796" t="str">
        <f>INDEX('Partner data'!$A$2:$DG$171,MATCH(#REF!,'Partner data'!$DG$2:$DG$171,0),83)</f>
        <v xml:space="preserve">Organismo di diritto pubblico </v>
      </c>
      <c r="S1796" s="86" t="b">
        <f>IF(#REF!="staff",INDEX('Partner data'!$DG$2:$DH$171,MATCH(#REF!,'Partner data'!$DG$2:$DG$171,0),2))</f>
        <v>0</v>
      </c>
    </row>
    <row r="1797" spans="1:19" x14ac:dyDescent="0.25">
      <c r="A1797" t="s">
        <v>63</v>
      </c>
      <c r="B1797" t="s">
        <v>37</v>
      </c>
      <c r="C1797">
        <v>288</v>
      </c>
      <c r="D1797">
        <v>49</v>
      </c>
      <c r="E1797" t="s">
        <v>230</v>
      </c>
      <c r="G1797">
        <v>0</v>
      </c>
      <c r="H1797">
        <v>0</v>
      </c>
      <c r="I1797">
        <v>0</v>
      </c>
      <c r="J1797">
        <v>0</v>
      </c>
      <c r="K1797">
        <v>0</v>
      </c>
      <c r="L1797">
        <v>0</v>
      </c>
      <c r="M1797">
        <v>0</v>
      </c>
      <c r="N1797">
        <v>0</v>
      </c>
      <c r="O1797">
        <v>0</v>
      </c>
      <c r="P1797">
        <v>0</v>
      </c>
      <c r="Q1797" t="str">
        <f>INDEX(pARTNER[#All],MATCH(#REF!,pARTNER[[#All],[Value.partnerSummary.id]],0),10)</f>
        <v>Italia (IT)</v>
      </c>
      <c r="R1797" t="str">
        <f>INDEX('Partner data'!$A$2:$DG$171,MATCH(#REF!,'Partner data'!$DG$2:$DG$171,0),83)</f>
        <v xml:space="preserve">Organismo di diritto pubblico </v>
      </c>
      <c r="S1797" s="86" t="b">
        <f>IF(#REF!="staff",INDEX('Partner data'!$DG$2:$DH$171,MATCH(#REF!,'Partner data'!$DG$2:$DG$171,0),2))</f>
        <v>0</v>
      </c>
    </row>
    <row r="1798" spans="1:19" x14ac:dyDescent="0.25">
      <c r="A1798" t="s">
        <v>63</v>
      </c>
      <c r="B1798" t="s">
        <v>37</v>
      </c>
      <c r="C1798">
        <v>288</v>
      </c>
      <c r="D1798">
        <v>49</v>
      </c>
      <c r="E1798" t="s">
        <v>231</v>
      </c>
      <c r="G1798">
        <v>0</v>
      </c>
      <c r="H1798">
        <v>0</v>
      </c>
      <c r="I1798">
        <v>0</v>
      </c>
      <c r="J1798">
        <v>0</v>
      </c>
      <c r="K1798">
        <v>0</v>
      </c>
      <c r="L1798">
        <v>0</v>
      </c>
      <c r="M1798">
        <v>0</v>
      </c>
      <c r="N1798">
        <v>0</v>
      </c>
      <c r="O1798">
        <v>0</v>
      </c>
      <c r="P1798">
        <v>0</v>
      </c>
      <c r="Q1798" t="str">
        <f>INDEX(pARTNER[#All],MATCH(#REF!,pARTNER[[#All],[Value.partnerSummary.id]],0),10)</f>
        <v>Italia (IT)</v>
      </c>
      <c r="R1798" t="str">
        <f>INDEX('Partner data'!$A$2:$DG$171,MATCH(#REF!,'Partner data'!$DG$2:$DG$171,0),83)</f>
        <v xml:space="preserve">Organismo di diritto pubblico </v>
      </c>
      <c r="S1798" s="86" t="b">
        <f>IF(#REF!="staff",INDEX('Partner data'!$DG$2:$DH$171,MATCH(#REF!,'Partner data'!$DG$2:$DG$171,0),2))</f>
        <v>0</v>
      </c>
    </row>
    <row r="1799" spans="1:19" x14ac:dyDescent="0.25">
      <c r="A1799" t="s">
        <v>63</v>
      </c>
      <c r="B1799" t="s">
        <v>37</v>
      </c>
      <c r="C1799">
        <v>288</v>
      </c>
      <c r="D1799">
        <v>49</v>
      </c>
      <c r="E1799" t="s">
        <v>232</v>
      </c>
      <c r="G1799">
        <v>0</v>
      </c>
      <c r="H1799">
        <v>0</v>
      </c>
      <c r="I1799">
        <v>0</v>
      </c>
      <c r="J1799">
        <v>0</v>
      </c>
      <c r="K1799">
        <v>0</v>
      </c>
      <c r="L1799">
        <v>0</v>
      </c>
      <c r="M1799">
        <v>0</v>
      </c>
      <c r="N1799">
        <v>0</v>
      </c>
      <c r="O1799">
        <v>0</v>
      </c>
      <c r="P1799">
        <v>0</v>
      </c>
      <c r="Q1799" t="str">
        <f>INDEX(pARTNER[#All],MATCH(#REF!,pARTNER[[#All],[Value.partnerSummary.id]],0),10)</f>
        <v>Italia (IT)</v>
      </c>
      <c r="R1799" t="str">
        <f>INDEX('Partner data'!$A$2:$DG$171,MATCH(#REF!,'Partner data'!$DG$2:$DG$171,0),83)</f>
        <v xml:space="preserve">Organismo di diritto pubblico </v>
      </c>
      <c r="S1799" s="86" t="b">
        <f>IF(#REF!="staff",INDEX('Partner data'!$DG$2:$DH$171,MATCH(#REF!,'Partner data'!$DG$2:$DG$171,0),2))</f>
        <v>0</v>
      </c>
    </row>
    <row r="1800" spans="1:19" x14ac:dyDescent="0.25">
      <c r="A1800" t="s">
        <v>63</v>
      </c>
      <c r="B1800" t="s">
        <v>37</v>
      </c>
      <c r="C1800">
        <v>288</v>
      </c>
      <c r="D1800">
        <v>49</v>
      </c>
      <c r="E1800" t="s">
        <v>233</v>
      </c>
      <c r="G1800">
        <v>0</v>
      </c>
      <c r="H1800">
        <v>0</v>
      </c>
      <c r="I1800">
        <v>0</v>
      </c>
      <c r="J1800">
        <v>0</v>
      </c>
      <c r="K1800">
        <v>0</v>
      </c>
      <c r="L1800">
        <v>0</v>
      </c>
      <c r="M1800">
        <v>0</v>
      </c>
      <c r="N1800">
        <v>0</v>
      </c>
      <c r="O1800">
        <v>0</v>
      </c>
      <c r="P1800">
        <v>0</v>
      </c>
      <c r="Q1800" t="str">
        <f>INDEX(pARTNER[#All],MATCH(#REF!,pARTNER[[#All],[Value.partnerSummary.id]],0),10)</f>
        <v>Italia (IT)</v>
      </c>
      <c r="R1800" t="str">
        <f>INDEX('Partner data'!$A$2:$DG$171,MATCH(#REF!,'Partner data'!$DG$2:$DG$171,0),83)</f>
        <v xml:space="preserve">Organismo di diritto pubblico </v>
      </c>
      <c r="S1800" s="86" t="b">
        <f>IF(#REF!="staff",INDEX('Partner data'!$DG$2:$DH$171,MATCH(#REF!,'Partner data'!$DG$2:$DG$171,0),2))</f>
        <v>0</v>
      </c>
    </row>
    <row r="1801" spans="1:19" x14ac:dyDescent="0.25">
      <c r="A1801" t="s">
        <v>63</v>
      </c>
      <c r="B1801" t="s">
        <v>37</v>
      </c>
      <c r="C1801">
        <v>288</v>
      </c>
      <c r="D1801">
        <v>49</v>
      </c>
      <c r="E1801" t="s">
        <v>234</v>
      </c>
      <c r="F1801">
        <v>40</v>
      </c>
      <c r="G1801">
        <v>50025.599999999999</v>
      </c>
      <c r="H1801">
        <v>0</v>
      </c>
      <c r="I1801">
        <v>0</v>
      </c>
      <c r="J1801">
        <v>2767.76</v>
      </c>
      <c r="K1801">
        <v>0</v>
      </c>
      <c r="L1801">
        <v>2767.76</v>
      </c>
      <c r="M1801">
        <v>2767.76</v>
      </c>
      <c r="N1801">
        <v>5.53</v>
      </c>
      <c r="O1801">
        <v>47257.84</v>
      </c>
      <c r="P1801">
        <v>0</v>
      </c>
      <c r="Q1801" t="str">
        <f>INDEX(pARTNER[#All],MATCH(#REF!,pARTNER[[#All],[Value.partnerSummary.id]],0),10)</f>
        <v>Italia (IT)</v>
      </c>
      <c r="R1801" t="str">
        <f>INDEX('Partner data'!$A$2:$DG$171,MATCH(#REF!,'Partner data'!$DG$2:$DG$171,0),83)</f>
        <v xml:space="preserve">Organismo di diritto pubblico </v>
      </c>
      <c r="S1801" s="86" t="b">
        <f>IF(#REF!="staff",INDEX('Partner data'!$DG$2:$DH$171,MATCH(#REF!,'Partner data'!$DG$2:$DG$171,0),2))</f>
        <v>0</v>
      </c>
    </row>
    <row r="1802" spans="1:19" x14ac:dyDescent="0.25">
      <c r="A1802" t="s">
        <v>63</v>
      </c>
      <c r="B1802" t="s">
        <v>37</v>
      </c>
      <c r="C1802">
        <v>288</v>
      </c>
      <c r="D1802">
        <v>49</v>
      </c>
      <c r="E1802" t="s">
        <v>235</v>
      </c>
      <c r="G1802">
        <v>0</v>
      </c>
      <c r="H1802">
        <v>0</v>
      </c>
      <c r="I1802">
        <v>0</v>
      </c>
      <c r="J1802">
        <v>0</v>
      </c>
      <c r="K1802">
        <v>0</v>
      </c>
      <c r="L1802">
        <v>0</v>
      </c>
      <c r="M1802">
        <v>0</v>
      </c>
      <c r="N1802">
        <v>0</v>
      </c>
      <c r="O1802">
        <v>0</v>
      </c>
      <c r="P1802">
        <v>0</v>
      </c>
      <c r="Q1802" t="str">
        <f>INDEX(pARTNER[#All],MATCH(#REF!,pARTNER[[#All],[Value.partnerSummary.id]],0),10)</f>
        <v>Italia (IT)</v>
      </c>
      <c r="R1802" t="str">
        <f>INDEX('Partner data'!$A$2:$DG$171,MATCH(#REF!,'Partner data'!$DG$2:$DG$171,0),83)</f>
        <v xml:space="preserve">Organismo di diritto pubblico </v>
      </c>
      <c r="S1802" s="86" t="b">
        <f>IF(#REF!="staff",INDEX('Partner data'!$DG$2:$DH$171,MATCH(#REF!,'Partner data'!$DG$2:$DG$171,0),2))</f>
        <v>0</v>
      </c>
    </row>
    <row r="1803" spans="1:19" x14ac:dyDescent="0.25">
      <c r="A1803" t="s">
        <v>63</v>
      </c>
      <c r="B1803" t="s">
        <v>37</v>
      </c>
      <c r="C1803">
        <v>288</v>
      </c>
      <c r="D1803">
        <v>49</v>
      </c>
      <c r="E1803" t="s">
        <v>236</v>
      </c>
      <c r="G1803">
        <v>0</v>
      </c>
      <c r="H1803">
        <v>0</v>
      </c>
      <c r="I1803">
        <v>0</v>
      </c>
      <c r="J1803">
        <v>0</v>
      </c>
      <c r="K1803">
        <v>0</v>
      </c>
      <c r="L1803">
        <v>0</v>
      </c>
      <c r="M1803">
        <v>0</v>
      </c>
      <c r="N1803">
        <v>0</v>
      </c>
      <c r="O1803">
        <v>0</v>
      </c>
      <c r="P1803">
        <v>0</v>
      </c>
      <c r="Q1803" t="str">
        <f>INDEX(pARTNER[#All],MATCH(#REF!,pARTNER[[#All],[Value.partnerSummary.id]],0),10)</f>
        <v>Italia (IT)</v>
      </c>
      <c r="R1803" t="str">
        <f>INDEX('Partner data'!$A$2:$DG$171,MATCH(#REF!,'Partner data'!$DG$2:$DG$171,0),83)</f>
        <v xml:space="preserve">Organismo di diritto pubblico </v>
      </c>
      <c r="S1803" s="86" t="b">
        <f>IF(#REF!="staff",INDEX('Partner data'!$DG$2:$DH$171,MATCH(#REF!,'Partner data'!$DG$2:$DG$171,0),2))</f>
        <v>0</v>
      </c>
    </row>
    <row r="1804" spans="1:19" x14ac:dyDescent="0.25">
      <c r="A1804" t="s">
        <v>63</v>
      </c>
      <c r="B1804" t="s">
        <v>37</v>
      </c>
      <c r="C1804">
        <v>288</v>
      </c>
      <c r="D1804">
        <v>49</v>
      </c>
      <c r="E1804" t="s">
        <v>237</v>
      </c>
      <c r="G1804">
        <v>0</v>
      </c>
      <c r="H1804">
        <v>0</v>
      </c>
      <c r="I1804">
        <v>0</v>
      </c>
      <c r="J1804">
        <v>0</v>
      </c>
      <c r="K1804">
        <v>0</v>
      </c>
      <c r="L1804">
        <v>0</v>
      </c>
      <c r="M1804">
        <v>0</v>
      </c>
      <c r="N1804">
        <v>0</v>
      </c>
      <c r="O1804">
        <v>0</v>
      </c>
      <c r="P1804">
        <v>0</v>
      </c>
      <c r="Q1804" t="str">
        <f>INDEX(pARTNER[#All],MATCH(#REF!,pARTNER[[#All],[Value.partnerSummary.id]],0),10)</f>
        <v>Italia (IT)</v>
      </c>
      <c r="R1804" t="str">
        <f>INDEX('Partner data'!$A$2:$DG$171,MATCH(#REF!,'Partner data'!$DG$2:$DG$171,0),83)</f>
        <v xml:space="preserve">Organismo di diritto pubblico </v>
      </c>
      <c r="S1804" s="86" t="b">
        <f>IF(#REF!="staff",INDEX('Partner data'!$DG$2:$DH$171,MATCH(#REF!,'Partner data'!$DG$2:$DG$171,0),2))</f>
        <v>0</v>
      </c>
    </row>
    <row r="1805" spans="1:19" x14ac:dyDescent="0.25">
      <c r="A1805" t="s">
        <v>63</v>
      </c>
      <c r="B1805" t="s">
        <v>37</v>
      </c>
      <c r="C1805">
        <v>288</v>
      </c>
      <c r="D1805">
        <v>49</v>
      </c>
      <c r="E1805" t="s">
        <v>238</v>
      </c>
      <c r="G1805">
        <v>175089.6</v>
      </c>
      <c r="H1805">
        <v>0</v>
      </c>
      <c r="I1805">
        <v>0</v>
      </c>
      <c r="J1805">
        <v>9687.17</v>
      </c>
      <c r="K1805">
        <v>0</v>
      </c>
      <c r="L1805">
        <v>9687.17</v>
      </c>
      <c r="M1805">
        <v>9687.17</v>
      </c>
      <c r="N1805">
        <v>5.53</v>
      </c>
      <c r="O1805">
        <v>165402.43</v>
      </c>
      <c r="P1805">
        <v>0</v>
      </c>
      <c r="Q1805" t="str">
        <f>INDEX(pARTNER[#All],MATCH(#REF!,pARTNER[[#All],[Value.partnerSummary.id]],0),10)</f>
        <v>Italia (IT)</v>
      </c>
      <c r="R1805" t="str">
        <f>INDEX('Partner data'!$A$2:$DG$171,MATCH(#REF!,'Partner data'!$DG$2:$DG$171,0),83)</f>
        <v xml:space="preserve">Organismo di diritto pubblico </v>
      </c>
      <c r="S1805" s="86" t="b">
        <f>IF(#REF!="staff",INDEX('Partner data'!$DG$2:$DH$171,MATCH(#REF!,'Partner data'!$DG$2:$DG$171,0),2))</f>
        <v>0</v>
      </c>
    </row>
    <row r="1806" spans="1:19" x14ac:dyDescent="0.25">
      <c r="A1806" t="s">
        <v>63</v>
      </c>
      <c r="B1806" t="s">
        <v>4548</v>
      </c>
      <c r="C1806">
        <v>286</v>
      </c>
      <c r="D1806">
        <v>45</v>
      </c>
      <c r="E1806" t="s">
        <v>228</v>
      </c>
      <c r="G1806">
        <v>0</v>
      </c>
      <c r="H1806">
        <v>0</v>
      </c>
      <c r="I1806">
        <v>0</v>
      </c>
      <c r="J1806">
        <v>0</v>
      </c>
      <c r="K1806">
        <v>0</v>
      </c>
      <c r="L1806">
        <v>0</v>
      </c>
      <c r="M1806">
        <v>0</v>
      </c>
      <c r="N1806">
        <v>0</v>
      </c>
      <c r="O1806">
        <v>0</v>
      </c>
      <c r="P1806">
        <v>0</v>
      </c>
      <c r="Q1806" t="str">
        <f>INDEX(pARTNER[#All],MATCH(#REF!,pARTNER[[#All],[Value.partnerSummary.id]],0),10)</f>
        <v>Slovenija (SI)</v>
      </c>
      <c r="R1806" t="str">
        <f>INDEX('Partner data'!$A$2:$DG$171,MATCH(#REF!,'Partner data'!$DG$2:$DG$171,0),83)</f>
        <v>Soggetto pubblico</v>
      </c>
      <c r="S1806" s="86" t="str">
        <f>IF(#REF!="staff",INDEX('Partner data'!$DG$2:$DH$171,MATCH(#REF!,'Partner data'!$DG$2:$DG$171,0),2))</f>
        <v>BL1 non presente</v>
      </c>
    </row>
    <row r="1807" spans="1:19" x14ac:dyDescent="0.25">
      <c r="A1807" t="s">
        <v>63</v>
      </c>
      <c r="B1807" t="s">
        <v>4548</v>
      </c>
      <c r="C1807">
        <v>286</v>
      </c>
      <c r="D1807">
        <v>45</v>
      </c>
      <c r="E1807" t="s">
        <v>229</v>
      </c>
      <c r="G1807">
        <v>0</v>
      </c>
      <c r="H1807">
        <v>0</v>
      </c>
      <c r="I1807">
        <v>0</v>
      </c>
      <c r="J1807">
        <v>0</v>
      </c>
      <c r="K1807">
        <v>0</v>
      </c>
      <c r="L1807">
        <v>0</v>
      </c>
      <c r="M1807">
        <v>0</v>
      </c>
      <c r="N1807">
        <v>0</v>
      </c>
      <c r="O1807">
        <v>0</v>
      </c>
      <c r="P1807">
        <v>0</v>
      </c>
      <c r="Q1807" t="str">
        <f>INDEX(pARTNER[#All],MATCH(#REF!,pARTNER[[#All],[Value.partnerSummary.id]],0),10)</f>
        <v>Slovenija (SI)</v>
      </c>
      <c r="R1807" t="str">
        <f>INDEX('Partner data'!$A$2:$DG$171,MATCH(#REF!,'Partner data'!$DG$2:$DG$171,0),83)</f>
        <v>Soggetto pubblico</v>
      </c>
      <c r="S1807" s="86" t="b">
        <f>IF(#REF!="staff",INDEX('Partner data'!$DG$2:$DH$171,MATCH(#REF!,'Partner data'!$DG$2:$DG$171,0),2))</f>
        <v>0</v>
      </c>
    </row>
    <row r="1808" spans="1:19" x14ac:dyDescent="0.25">
      <c r="A1808" t="s">
        <v>63</v>
      </c>
      <c r="B1808" t="s">
        <v>4548</v>
      </c>
      <c r="C1808">
        <v>286</v>
      </c>
      <c r="D1808">
        <v>45</v>
      </c>
      <c r="E1808" t="s">
        <v>230</v>
      </c>
      <c r="G1808">
        <v>0</v>
      </c>
      <c r="H1808">
        <v>0</v>
      </c>
      <c r="I1808">
        <v>0</v>
      </c>
      <c r="J1808">
        <v>0</v>
      </c>
      <c r="K1808">
        <v>0</v>
      </c>
      <c r="L1808">
        <v>0</v>
      </c>
      <c r="M1808">
        <v>0</v>
      </c>
      <c r="N1808">
        <v>0</v>
      </c>
      <c r="O1808">
        <v>0</v>
      </c>
      <c r="P1808">
        <v>0</v>
      </c>
      <c r="Q1808" t="str">
        <f>INDEX(pARTNER[#All],MATCH(#REF!,pARTNER[[#All],[Value.partnerSummary.id]],0),10)</f>
        <v>Slovenija (SI)</v>
      </c>
      <c r="R1808" t="str">
        <f>INDEX('Partner data'!$A$2:$DG$171,MATCH(#REF!,'Partner data'!$DG$2:$DG$171,0),83)</f>
        <v>Soggetto pubblico</v>
      </c>
      <c r="S1808" s="86" t="b">
        <f>IF(#REF!="staff",INDEX('Partner data'!$DG$2:$DH$171,MATCH(#REF!,'Partner data'!$DG$2:$DG$171,0),2))</f>
        <v>0</v>
      </c>
    </row>
    <row r="1809" spans="1:19" x14ac:dyDescent="0.25">
      <c r="A1809" t="s">
        <v>63</v>
      </c>
      <c r="B1809" t="s">
        <v>4548</v>
      </c>
      <c r="C1809">
        <v>286</v>
      </c>
      <c r="D1809">
        <v>45</v>
      </c>
      <c r="E1809" t="s">
        <v>231</v>
      </c>
      <c r="G1809">
        <v>55000</v>
      </c>
      <c r="H1809">
        <v>0</v>
      </c>
      <c r="I1809">
        <v>0</v>
      </c>
      <c r="J1809">
        <v>0</v>
      </c>
      <c r="K1809">
        <v>0</v>
      </c>
      <c r="L1809">
        <v>0</v>
      </c>
      <c r="M1809">
        <v>0</v>
      </c>
      <c r="N1809">
        <v>0</v>
      </c>
      <c r="O1809">
        <v>55000</v>
      </c>
      <c r="P1809">
        <v>0</v>
      </c>
      <c r="Q1809" t="str">
        <f>INDEX(pARTNER[#All],MATCH(#REF!,pARTNER[[#All],[Value.partnerSummary.id]],0),10)</f>
        <v>Slovenija (SI)</v>
      </c>
      <c r="R1809" t="str">
        <f>INDEX('Partner data'!$A$2:$DG$171,MATCH(#REF!,'Partner data'!$DG$2:$DG$171,0),83)</f>
        <v>Soggetto pubblico</v>
      </c>
      <c r="S1809" s="86" t="b">
        <f>IF(#REF!="staff",INDEX('Partner data'!$DG$2:$DH$171,MATCH(#REF!,'Partner data'!$DG$2:$DG$171,0),2))</f>
        <v>0</v>
      </c>
    </row>
    <row r="1810" spans="1:19" x14ac:dyDescent="0.25">
      <c r="A1810" t="s">
        <v>63</v>
      </c>
      <c r="B1810" t="s">
        <v>4548</v>
      </c>
      <c r="C1810">
        <v>286</v>
      </c>
      <c r="D1810">
        <v>45</v>
      </c>
      <c r="E1810" t="s">
        <v>232</v>
      </c>
      <c r="G1810">
        <v>0</v>
      </c>
      <c r="H1810">
        <v>0</v>
      </c>
      <c r="I1810">
        <v>0</v>
      </c>
      <c r="J1810">
        <v>0</v>
      </c>
      <c r="K1810">
        <v>0</v>
      </c>
      <c r="L1810">
        <v>0</v>
      </c>
      <c r="M1810">
        <v>0</v>
      </c>
      <c r="N1810">
        <v>0</v>
      </c>
      <c r="O1810">
        <v>0</v>
      </c>
      <c r="P1810">
        <v>0</v>
      </c>
      <c r="Q1810" t="str">
        <f>INDEX(pARTNER[#All],MATCH(#REF!,pARTNER[[#All],[Value.partnerSummary.id]],0),10)</f>
        <v>Slovenija (SI)</v>
      </c>
      <c r="R1810" t="str">
        <f>INDEX('Partner data'!$A$2:$DG$171,MATCH(#REF!,'Partner data'!$DG$2:$DG$171,0),83)</f>
        <v>Soggetto pubblico</v>
      </c>
      <c r="S1810" s="86" t="b">
        <f>IF(#REF!="staff",INDEX('Partner data'!$DG$2:$DH$171,MATCH(#REF!,'Partner data'!$DG$2:$DG$171,0),2))</f>
        <v>0</v>
      </c>
    </row>
    <row r="1811" spans="1:19" x14ac:dyDescent="0.25">
      <c r="A1811" t="s">
        <v>63</v>
      </c>
      <c r="B1811" t="s">
        <v>4548</v>
      </c>
      <c r="C1811">
        <v>286</v>
      </c>
      <c r="D1811">
        <v>45</v>
      </c>
      <c r="E1811" t="s">
        <v>233</v>
      </c>
      <c r="G1811">
        <v>95000</v>
      </c>
      <c r="H1811">
        <v>0</v>
      </c>
      <c r="I1811">
        <v>0</v>
      </c>
      <c r="J1811">
        <v>0</v>
      </c>
      <c r="K1811">
        <v>0</v>
      </c>
      <c r="L1811">
        <v>0</v>
      </c>
      <c r="M1811">
        <v>0</v>
      </c>
      <c r="N1811">
        <v>0</v>
      </c>
      <c r="O1811">
        <v>95000</v>
      </c>
      <c r="P1811">
        <v>0</v>
      </c>
      <c r="Q1811" t="str">
        <f>INDEX(pARTNER[#All],MATCH(#REF!,pARTNER[[#All],[Value.partnerSummary.id]],0),10)</f>
        <v>Slovenija (SI)</v>
      </c>
      <c r="R1811" t="str">
        <f>INDEX('Partner data'!$A$2:$DG$171,MATCH(#REF!,'Partner data'!$DG$2:$DG$171,0),83)</f>
        <v>Soggetto pubblico</v>
      </c>
      <c r="S1811" s="86" t="b">
        <f>IF(#REF!="staff",INDEX('Partner data'!$DG$2:$DH$171,MATCH(#REF!,'Partner data'!$DG$2:$DG$171,0),2))</f>
        <v>0</v>
      </c>
    </row>
    <row r="1812" spans="1:19" x14ac:dyDescent="0.25">
      <c r="A1812" t="s">
        <v>63</v>
      </c>
      <c r="B1812" t="s">
        <v>4548</v>
      </c>
      <c r="C1812">
        <v>286</v>
      </c>
      <c r="D1812">
        <v>45</v>
      </c>
      <c r="E1812" t="s">
        <v>234</v>
      </c>
      <c r="G1812">
        <v>0</v>
      </c>
      <c r="H1812">
        <v>0</v>
      </c>
      <c r="I1812">
        <v>0</v>
      </c>
      <c r="J1812">
        <v>0</v>
      </c>
      <c r="K1812">
        <v>0</v>
      </c>
      <c r="L1812">
        <v>0</v>
      </c>
      <c r="M1812">
        <v>0</v>
      </c>
      <c r="N1812">
        <v>0</v>
      </c>
      <c r="O1812">
        <v>0</v>
      </c>
      <c r="P1812">
        <v>0</v>
      </c>
      <c r="Q1812" t="str">
        <f>INDEX(pARTNER[#All],MATCH(#REF!,pARTNER[[#All],[Value.partnerSummary.id]],0),10)</f>
        <v>Slovenija (SI)</v>
      </c>
      <c r="R1812" t="str">
        <f>INDEX('Partner data'!$A$2:$DG$171,MATCH(#REF!,'Partner data'!$DG$2:$DG$171,0),83)</f>
        <v>Soggetto pubblico</v>
      </c>
      <c r="S1812" s="86" t="b">
        <f>IF(#REF!="staff",INDEX('Partner data'!$DG$2:$DH$171,MATCH(#REF!,'Partner data'!$DG$2:$DG$171,0),2))</f>
        <v>0</v>
      </c>
    </row>
    <row r="1813" spans="1:19" x14ac:dyDescent="0.25">
      <c r="A1813" t="s">
        <v>63</v>
      </c>
      <c r="B1813" t="s">
        <v>4548</v>
      </c>
      <c r="C1813">
        <v>286</v>
      </c>
      <c r="D1813">
        <v>45</v>
      </c>
      <c r="E1813" t="s">
        <v>235</v>
      </c>
      <c r="G1813">
        <v>0</v>
      </c>
      <c r="H1813">
        <v>0</v>
      </c>
      <c r="I1813">
        <v>0</v>
      </c>
      <c r="J1813">
        <v>0</v>
      </c>
      <c r="K1813">
        <v>0</v>
      </c>
      <c r="L1813">
        <v>0</v>
      </c>
      <c r="M1813">
        <v>0</v>
      </c>
      <c r="N1813">
        <v>0</v>
      </c>
      <c r="O1813">
        <v>0</v>
      </c>
      <c r="P1813">
        <v>0</v>
      </c>
      <c r="Q1813" t="str">
        <f>INDEX(pARTNER[#All],MATCH(#REF!,pARTNER[[#All],[Value.partnerSummary.id]],0),10)</f>
        <v>Slovenija (SI)</v>
      </c>
      <c r="R1813" t="str">
        <f>INDEX('Partner data'!$A$2:$DG$171,MATCH(#REF!,'Partner data'!$DG$2:$DG$171,0),83)</f>
        <v>Soggetto pubblico</v>
      </c>
      <c r="S1813" s="86" t="b">
        <f>IF(#REF!="staff",INDEX('Partner data'!$DG$2:$DH$171,MATCH(#REF!,'Partner data'!$DG$2:$DG$171,0),2))</f>
        <v>0</v>
      </c>
    </row>
    <row r="1814" spans="1:19" x14ac:dyDescent="0.25">
      <c r="A1814" t="s">
        <v>63</v>
      </c>
      <c r="B1814" t="s">
        <v>4548</v>
      </c>
      <c r="C1814">
        <v>286</v>
      </c>
      <c r="D1814">
        <v>45</v>
      </c>
      <c r="E1814" t="s">
        <v>236</v>
      </c>
      <c r="G1814">
        <v>0</v>
      </c>
      <c r="H1814">
        <v>0</v>
      </c>
      <c r="I1814">
        <v>0</v>
      </c>
      <c r="J1814">
        <v>0</v>
      </c>
      <c r="K1814">
        <v>0</v>
      </c>
      <c r="L1814">
        <v>0</v>
      </c>
      <c r="M1814">
        <v>0</v>
      </c>
      <c r="N1814">
        <v>0</v>
      </c>
      <c r="O1814">
        <v>0</v>
      </c>
      <c r="P1814">
        <v>0</v>
      </c>
      <c r="Q1814" t="str">
        <f>INDEX(pARTNER[#All],MATCH(#REF!,pARTNER[[#All],[Value.partnerSummary.id]],0),10)</f>
        <v>Slovenija (SI)</v>
      </c>
      <c r="R1814" t="str">
        <f>INDEX('Partner data'!$A$2:$DG$171,MATCH(#REF!,'Partner data'!$DG$2:$DG$171,0),83)</f>
        <v>Soggetto pubblico</v>
      </c>
      <c r="S1814" s="86" t="b">
        <f>IF(#REF!="staff",INDEX('Partner data'!$DG$2:$DH$171,MATCH(#REF!,'Partner data'!$DG$2:$DG$171,0),2))</f>
        <v>0</v>
      </c>
    </row>
    <row r="1815" spans="1:19" x14ac:dyDescent="0.25">
      <c r="A1815" t="s">
        <v>63</v>
      </c>
      <c r="B1815" t="s">
        <v>4548</v>
      </c>
      <c r="C1815">
        <v>286</v>
      </c>
      <c r="D1815">
        <v>45</v>
      </c>
      <c r="E1815" t="s">
        <v>237</v>
      </c>
      <c r="G1815">
        <v>0</v>
      </c>
      <c r="H1815">
        <v>0</v>
      </c>
      <c r="I1815">
        <v>0</v>
      </c>
      <c r="J1815">
        <v>0</v>
      </c>
      <c r="K1815">
        <v>0</v>
      </c>
      <c r="L1815">
        <v>0</v>
      </c>
      <c r="M1815">
        <v>0</v>
      </c>
      <c r="N1815">
        <v>0</v>
      </c>
      <c r="O1815">
        <v>0</v>
      </c>
      <c r="P1815">
        <v>0</v>
      </c>
      <c r="Q1815" t="str">
        <f>INDEX(pARTNER[#All],MATCH(#REF!,pARTNER[[#All],[Value.partnerSummary.id]],0),10)</f>
        <v>Slovenija (SI)</v>
      </c>
      <c r="R1815" t="str">
        <f>INDEX('Partner data'!$A$2:$DG$171,MATCH(#REF!,'Partner data'!$DG$2:$DG$171,0),83)</f>
        <v>Soggetto pubblico</v>
      </c>
      <c r="S1815" s="86" t="b">
        <f>IF(#REF!="staff",INDEX('Partner data'!$DG$2:$DH$171,MATCH(#REF!,'Partner data'!$DG$2:$DG$171,0),2))</f>
        <v>0</v>
      </c>
    </row>
    <row r="1816" spans="1:19" x14ac:dyDescent="0.25">
      <c r="A1816" t="s">
        <v>63</v>
      </c>
      <c r="B1816" t="s">
        <v>4548</v>
      </c>
      <c r="C1816">
        <v>286</v>
      </c>
      <c r="D1816">
        <v>45</v>
      </c>
      <c r="E1816" t="s">
        <v>238</v>
      </c>
      <c r="G1816">
        <v>150000</v>
      </c>
      <c r="H1816">
        <v>0</v>
      </c>
      <c r="I1816">
        <v>0</v>
      </c>
      <c r="J1816">
        <v>0</v>
      </c>
      <c r="K1816">
        <v>0</v>
      </c>
      <c r="L1816">
        <v>0</v>
      </c>
      <c r="M1816">
        <v>0</v>
      </c>
      <c r="N1816">
        <v>0</v>
      </c>
      <c r="O1816">
        <v>150000</v>
      </c>
      <c r="P1816">
        <v>0</v>
      </c>
      <c r="Q1816" t="str">
        <f>INDEX(pARTNER[#All],MATCH(#REF!,pARTNER[[#All],[Value.partnerSummary.id]],0),10)</f>
        <v>Slovenija (SI)</v>
      </c>
      <c r="R1816" t="str">
        <f>INDEX('Partner data'!$A$2:$DG$171,MATCH(#REF!,'Partner data'!$DG$2:$DG$171,0),83)</f>
        <v>Soggetto pubblico</v>
      </c>
      <c r="S1816" s="86" t="b">
        <f>IF(#REF!="staff",INDEX('Partner data'!$DG$2:$DH$171,MATCH(#REF!,'Partner data'!$DG$2:$DG$171,0),2))</f>
        <v>0</v>
      </c>
    </row>
    <row r="1817" spans="1:19" x14ac:dyDescent="0.25">
      <c r="A1817" t="s">
        <v>63</v>
      </c>
      <c r="B1817" t="s">
        <v>4548</v>
      </c>
      <c r="C1817">
        <v>286</v>
      </c>
      <c r="D1817">
        <v>99</v>
      </c>
      <c r="E1817" t="s">
        <v>228</v>
      </c>
      <c r="G1817">
        <v>0</v>
      </c>
      <c r="H1817">
        <v>0</v>
      </c>
      <c r="I1817">
        <v>0</v>
      </c>
      <c r="J1817">
        <v>0</v>
      </c>
      <c r="K1817">
        <v>0</v>
      </c>
      <c r="L1817">
        <v>0</v>
      </c>
      <c r="M1817">
        <v>0</v>
      </c>
      <c r="N1817">
        <v>0</v>
      </c>
      <c r="O1817">
        <v>0</v>
      </c>
      <c r="P1817">
        <v>0</v>
      </c>
      <c r="Q1817" t="str">
        <f>INDEX(pARTNER[#All],MATCH(#REF!,pARTNER[[#All],[Value.partnerSummary.id]],0),10)</f>
        <v>Slovenija (SI)</v>
      </c>
      <c r="R1817" t="str">
        <f>INDEX('Partner data'!$A$2:$DG$171,MATCH(#REF!,'Partner data'!$DG$2:$DG$171,0),83)</f>
        <v>Soggetto pubblico</v>
      </c>
      <c r="S1817" s="86" t="str">
        <f>IF(#REF!="staff",INDEX('Partner data'!$DG$2:$DH$171,MATCH(#REF!,'Partner data'!$DG$2:$DG$171,0),2))</f>
        <v>BL1 non presente</v>
      </c>
    </row>
    <row r="1818" spans="1:19" x14ac:dyDescent="0.25">
      <c r="A1818" t="s">
        <v>63</v>
      </c>
      <c r="B1818" t="s">
        <v>4548</v>
      </c>
      <c r="C1818">
        <v>286</v>
      </c>
      <c r="D1818">
        <v>99</v>
      </c>
      <c r="E1818" t="s">
        <v>229</v>
      </c>
      <c r="G1818">
        <v>0</v>
      </c>
      <c r="H1818">
        <v>0</v>
      </c>
      <c r="I1818">
        <v>0</v>
      </c>
      <c r="J1818">
        <v>0</v>
      </c>
      <c r="K1818">
        <v>0</v>
      </c>
      <c r="L1818">
        <v>0</v>
      </c>
      <c r="M1818">
        <v>0</v>
      </c>
      <c r="N1818">
        <v>0</v>
      </c>
      <c r="O1818">
        <v>0</v>
      </c>
      <c r="P1818">
        <v>0</v>
      </c>
      <c r="Q1818" t="str">
        <f>INDEX(pARTNER[#All],MATCH(#REF!,pARTNER[[#All],[Value.partnerSummary.id]],0),10)</f>
        <v>Slovenija (SI)</v>
      </c>
      <c r="R1818" t="str">
        <f>INDEX('Partner data'!$A$2:$DG$171,MATCH(#REF!,'Partner data'!$DG$2:$DG$171,0),83)</f>
        <v>Soggetto pubblico</v>
      </c>
      <c r="S1818" s="86" t="b">
        <f>IF(#REF!="staff",INDEX('Partner data'!$DG$2:$DH$171,MATCH(#REF!,'Partner data'!$DG$2:$DG$171,0),2))</f>
        <v>0</v>
      </c>
    </row>
    <row r="1819" spans="1:19" x14ac:dyDescent="0.25">
      <c r="A1819" t="s">
        <v>63</v>
      </c>
      <c r="B1819" t="s">
        <v>4548</v>
      </c>
      <c r="C1819">
        <v>286</v>
      </c>
      <c r="D1819">
        <v>99</v>
      </c>
      <c r="E1819" t="s">
        <v>230</v>
      </c>
      <c r="G1819">
        <v>0</v>
      </c>
      <c r="H1819">
        <v>0</v>
      </c>
      <c r="I1819">
        <v>0</v>
      </c>
      <c r="J1819">
        <v>0</v>
      </c>
      <c r="K1819">
        <v>0</v>
      </c>
      <c r="L1819">
        <v>0</v>
      </c>
      <c r="M1819">
        <v>0</v>
      </c>
      <c r="N1819">
        <v>0</v>
      </c>
      <c r="O1819">
        <v>0</v>
      </c>
      <c r="P1819">
        <v>0</v>
      </c>
      <c r="Q1819" t="str">
        <f>INDEX(pARTNER[#All],MATCH(#REF!,pARTNER[[#All],[Value.partnerSummary.id]],0),10)</f>
        <v>Slovenija (SI)</v>
      </c>
      <c r="R1819" t="str">
        <f>INDEX('Partner data'!$A$2:$DG$171,MATCH(#REF!,'Partner data'!$DG$2:$DG$171,0),83)</f>
        <v>Soggetto pubblico</v>
      </c>
      <c r="S1819" s="86" t="b">
        <f>IF(#REF!="staff",INDEX('Partner data'!$DG$2:$DH$171,MATCH(#REF!,'Partner data'!$DG$2:$DG$171,0),2))</f>
        <v>0</v>
      </c>
    </row>
    <row r="1820" spans="1:19" x14ac:dyDescent="0.25">
      <c r="A1820" t="s">
        <v>63</v>
      </c>
      <c r="B1820" t="s">
        <v>4548</v>
      </c>
      <c r="C1820">
        <v>286</v>
      </c>
      <c r="D1820">
        <v>99</v>
      </c>
      <c r="E1820" t="s">
        <v>231</v>
      </c>
      <c r="G1820">
        <v>55000</v>
      </c>
      <c r="H1820">
        <v>0</v>
      </c>
      <c r="I1820">
        <v>0</v>
      </c>
      <c r="J1820">
        <v>0</v>
      </c>
      <c r="K1820">
        <v>0</v>
      </c>
      <c r="L1820">
        <v>0</v>
      </c>
      <c r="M1820">
        <v>0</v>
      </c>
      <c r="N1820">
        <v>0</v>
      </c>
      <c r="O1820">
        <v>55000</v>
      </c>
      <c r="P1820">
        <v>0</v>
      </c>
      <c r="Q1820" t="str">
        <f>INDEX(pARTNER[#All],MATCH(#REF!,pARTNER[[#All],[Value.partnerSummary.id]],0),10)</f>
        <v>Slovenija (SI)</v>
      </c>
      <c r="R1820" t="str">
        <f>INDEX('Partner data'!$A$2:$DG$171,MATCH(#REF!,'Partner data'!$DG$2:$DG$171,0),83)</f>
        <v>Soggetto pubblico</v>
      </c>
      <c r="S1820" s="86" t="b">
        <f>IF(#REF!="staff",INDEX('Partner data'!$DG$2:$DH$171,MATCH(#REF!,'Partner data'!$DG$2:$DG$171,0),2))</f>
        <v>0</v>
      </c>
    </row>
    <row r="1821" spans="1:19" x14ac:dyDescent="0.25">
      <c r="A1821" t="s">
        <v>63</v>
      </c>
      <c r="B1821" t="s">
        <v>4548</v>
      </c>
      <c r="C1821">
        <v>286</v>
      </c>
      <c r="D1821">
        <v>99</v>
      </c>
      <c r="E1821" t="s">
        <v>232</v>
      </c>
      <c r="G1821">
        <v>0</v>
      </c>
      <c r="H1821">
        <v>0</v>
      </c>
      <c r="I1821">
        <v>0</v>
      </c>
      <c r="J1821">
        <v>0</v>
      </c>
      <c r="K1821">
        <v>0</v>
      </c>
      <c r="L1821">
        <v>0</v>
      </c>
      <c r="M1821">
        <v>0</v>
      </c>
      <c r="N1821">
        <v>0</v>
      </c>
      <c r="O1821">
        <v>0</v>
      </c>
      <c r="P1821">
        <v>0</v>
      </c>
      <c r="Q1821" t="str">
        <f>INDEX(pARTNER[#All],MATCH(#REF!,pARTNER[[#All],[Value.partnerSummary.id]],0),10)</f>
        <v>Slovenija (SI)</v>
      </c>
      <c r="R1821" t="str">
        <f>INDEX('Partner data'!$A$2:$DG$171,MATCH(#REF!,'Partner data'!$DG$2:$DG$171,0),83)</f>
        <v>Soggetto pubblico</v>
      </c>
      <c r="S1821" s="86" t="b">
        <f>IF(#REF!="staff",INDEX('Partner data'!$DG$2:$DH$171,MATCH(#REF!,'Partner data'!$DG$2:$DG$171,0),2))</f>
        <v>0</v>
      </c>
    </row>
    <row r="1822" spans="1:19" x14ac:dyDescent="0.25">
      <c r="A1822" t="s">
        <v>63</v>
      </c>
      <c r="B1822" t="s">
        <v>4548</v>
      </c>
      <c r="C1822">
        <v>286</v>
      </c>
      <c r="D1822">
        <v>99</v>
      </c>
      <c r="E1822" t="s">
        <v>233</v>
      </c>
      <c r="G1822">
        <v>95000</v>
      </c>
      <c r="H1822">
        <v>0</v>
      </c>
      <c r="I1822">
        <v>0</v>
      </c>
      <c r="J1822">
        <v>0</v>
      </c>
      <c r="K1822">
        <v>0</v>
      </c>
      <c r="L1822">
        <v>0</v>
      </c>
      <c r="M1822">
        <v>0</v>
      </c>
      <c r="N1822">
        <v>0</v>
      </c>
      <c r="O1822">
        <v>95000</v>
      </c>
      <c r="P1822">
        <v>0</v>
      </c>
      <c r="Q1822" t="str">
        <f>INDEX(pARTNER[#All],MATCH(#REF!,pARTNER[[#All],[Value.partnerSummary.id]],0),10)</f>
        <v>Slovenija (SI)</v>
      </c>
      <c r="R1822" t="str">
        <f>INDEX('Partner data'!$A$2:$DG$171,MATCH(#REF!,'Partner data'!$DG$2:$DG$171,0),83)</f>
        <v>Soggetto pubblico</v>
      </c>
      <c r="S1822" s="86" t="b">
        <f>IF(#REF!="staff",INDEX('Partner data'!$DG$2:$DH$171,MATCH(#REF!,'Partner data'!$DG$2:$DG$171,0),2))</f>
        <v>0</v>
      </c>
    </row>
    <row r="1823" spans="1:19" x14ac:dyDescent="0.25">
      <c r="A1823" t="s">
        <v>63</v>
      </c>
      <c r="B1823" t="s">
        <v>4548</v>
      </c>
      <c r="C1823">
        <v>286</v>
      </c>
      <c r="D1823">
        <v>99</v>
      </c>
      <c r="E1823" t="s">
        <v>234</v>
      </c>
      <c r="G1823">
        <v>0</v>
      </c>
      <c r="H1823">
        <v>0</v>
      </c>
      <c r="I1823">
        <v>0</v>
      </c>
      <c r="J1823">
        <v>0</v>
      </c>
      <c r="K1823">
        <v>0</v>
      </c>
      <c r="L1823">
        <v>0</v>
      </c>
      <c r="M1823">
        <v>0</v>
      </c>
      <c r="N1823">
        <v>0</v>
      </c>
      <c r="O1823">
        <v>0</v>
      </c>
      <c r="P1823">
        <v>0</v>
      </c>
      <c r="Q1823" t="str">
        <f>INDEX(pARTNER[#All],MATCH(#REF!,pARTNER[[#All],[Value.partnerSummary.id]],0),10)</f>
        <v>Slovenija (SI)</v>
      </c>
      <c r="R1823" t="str">
        <f>INDEX('Partner data'!$A$2:$DG$171,MATCH(#REF!,'Partner data'!$DG$2:$DG$171,0),83)</f>
        <v>Soggetto pubblico</v>
      </c>
      <c r="S1823" s="86" t="b">
        <f>IF(#REF!="staff",INDEX('Partner data'!$DG$2:$DH$171,MATCH(#REF!,'Partner data'!$DG$2:$DG$171,0),2))</f>
        <v>0</v>
      </c>
    </row>
    <row r="1824" spans="1:19" x14ac:dyDescent="0.25">
      <c r="A1824" t="s">
        <v>63</v>
      </c>
      <c r="B1824" t="s">
        <v>4548</v>
      </c>
      <c r="C1824">
        <v>286</v>
      </c>
      <c r="D1824">
        <v>99</v>
      </c>
      <c r="E1824" t="s">
        <v>235</v>
      </c>
      <c r="G1824">
        <v>0</v>
      </c>
      <c r="H1824">
        <v>0</v>
      </c>
      <c r="I1824">
        <v>0</v>
      </c>
      <c r="J1824">
        <v>0</v>
      </c>
      <c r="K1824">
        <v>0</v>
      </c>
      <c r="L1824">
        <v>0</v>
      </c>
      <c r="M1824">
        <v>0</v>
      </c>
      <c r="N1824">
        <v>0</v>
      </c>
      <c r="O1824">
        <v>0</v>
      </c>
      <c r="P1824">
        <v>0</v>
      </c>
      <c r="Q1824" t="str">
        <f>INDEX(pARTNER[#All],MATCH(#REF!,pARTNER[[#All],[Value.partnerSummary.id]],0),10)</f>
        <v>Slovenija (SI)</v>
      </c>
      <c r="R1824" t="str">
        <f>INDEX('Partner data'!$A$2:$DG$171,MATCH(#REF!,'Partner data'!$DG$2:$DG$171,0),83)</f>
        <v>Soggetto pubblico</v>
      </c>
      <c r="S1824" s="86" t="b">
        <f>IF(#REF!="staff",INDEX('Partner data'!$DG$2:$DH$171,MATCH(#REF!,'Partner data'!$DG$2:$DG$171,0),2))</f>
        <v>0</v>
      </c>
    </row>
    <row r="1825" spans="1:19" x14ac:dyDescent="0.25">
      <c r="A1825" t="s">
        <v>63</v>
      </c>
      <c r="B1825" t="s">
        <v>4548</v>
      </c>
      <c r="C1825">
        <v>286</v>
      </c>
      <c r="D1825">
        <v>99</v>
      </c>
      <c r="E1825" t="s">
        <v>236</v>
      </c>
      <c r="G1825">
        <v>0</v>
      </c>
      <c r="H1825">
        <v>0</v>
      </c>
      <c r="I1825">
        <v>0</v>
      </c>
      <c r="J1825">
        <v>0</v>
      </c>
      <c r="K1825">
        <v>0</v>
      </c>
      <c r="L1825">
        <v>0</v>
      </c>
      <c r="M1825">
        <v>0</v>
      </c>
      <c r="N1825">
        <v>0</v>
      </c>
      <c r="O1825">
        <v>0</v>
      </c>
      <c r="P1825">
        <v>0</v>
      </c>
      <c r="Q1825" t="str">
        <f>INDEX(pARTNER[#All],MATCH(#REF!,pARTNER[[#All],[Value.partnerSummary.id]],0),10)</f>
        <v>Slovenija (SI)</v>
      </c>
      <c r="R1825" t="str">
        <f>INDEX('Partner data'!$A$2:$DG$171,MATCH(#REF!,'Partner data'!$DG$2:$DG$171,0),83)</f>
        <v>Soggetto pubblico</v>
      </c>
      <c r="S1825" s="86" t="b">
        <f>IF(#REF!="staff",INDEX('Partner data'!$DG$2:$DH$171,MATCH(#REF!,'Partner data'!$DG$2:$DG$171,0),2))</f>
        <v>0</v>
      </c>
    </row>
    <row r="1826" spans="1:19" x14ac:dyDescent="0.25">
      <c r="A1826" t="s">
        <v>63</v>
      </c>
      <c r="B1826" t="s">
        <v>4548</v>
      </c>
      <c r="C1826">
        <v>286</v>
      </c>
      <c r="D1826">
        <v>99</v>
      </c>
      <c r="E1826" t="s">
        <v>237</v>
      </c>
      <c r="G1826">
        <v>0</v>
      </c>
      <c r="H1826">
        <v>0</v>
      </c>
      <c r="I1826">
        <v>0</v>
      </c>
      <c r="J1826">
        <v>0</v>
      </c>
      <c r="K1826">
        <v>0</v>
      </c>
      <c r="L1826">
        <v>0</v>
      </c>
      <c r="M1826">
        <v>0</v>
      </c>
      <c r="N1826">
        <v>0</v>
      </c>
      <c r="O1826">
        <v>0</v>
      </c>
      <c r="P1826">
        <v>0</v>
      </c>
      <c r="Q1826" t="str">
        <f>INDEX(pARTNER[#All],MATCH(#REF!,pARTNER[[#All],[Value.partnerSummary.id]],0),10)</f>
        <v>Slovenija (SI)</v>
      </c>
      <c r="R1826" t="str">
        <f>INDEX('Partner data'!$A$2:$DG$171,MATCH(#REF!,'Partner data'!$DG$2:$DG$171,0),83)</f>
        <v>Soggetto pubblico</v>
      </c>
      <c r="S1826" s="86" t="b">
        <f>IF(#REF!="staff",INDEX('Partner data'!$DG$2:$DH$171,MATCH(#REF!,'Partner data'!$DG$2:$DG$171,0),2))</f>
        <v>0</v>
      </c>
    </row>
    <row r="1827" spans="1:19" x14ac:dyDescent="0.25">
      <c r="A1827" t="s">
        <v>63</v>
      </c>
      <c r="B1827" t="s">
        <v>4548</v>
      </c>
      <c r="C1827">
        <v>286</v>
      </c>
      <c r="D1827">
        <v>99</v>
      </c>
      <c r="E1827" t="s">
        <v>238</v>
      </c>
      <c r="G1827">
        <v>150000</v>
      </c>
      <c r="H1827">
        <v>0</v>
      </c>
      <c r="I1827">
        <v>0</v>
      </c>
      <c r="J1827">
        <v>0</v>
      </c>
      <c r="K1827">
        <v>0</v>
      </c>
      <c r="L1827">
        <v>0</v>
      </c>
      <c r="M1827">
        <v>0</v>
      </c>
      <c r="N1827">
        <v>0</v>
      </c>
      <c r="O1827">
        <v>150000</v>
      </c>
      <c r="P1827">
        <v>0</v>
      </c>
      <c r="Q1827" t="str">
        <f>INDEX(pARTNER[#All],MATCH(#REF!,pARTNER[[#All],[Value.partnerSummary.id]],0),10)</f>
        <v>Slovenija (SI)</v>
      </c>
      <c r="R1827" t="str">
        <f>INDEX('Partner data'!$A$2:$DG$171,MATCH(#REF!,'Partner data'!$DG$2:$DG$171,0),83)</f>
        <v>Soggetto pubblico</v>
      </c>
      <c r="S1827" s="86" t="b">
        <f>IF(#REF!="staff",INDEX('Partner data'!$DG$2:$DH$171,MATCH(#REF!,'Partner data'!$DG$2:$DG$171,0),2))</f>
        <v>0</v>
      </c>
    </row>
    <row r="1828" spans="1:19" x14ac:dyDescent="0.25">
      <c r="A1828" t="s">
        <v>63</v>
      </c>
      <c r="B1828" t="s">
        <v>51</v>
      </c>
      <c r="C1828">
        <v>287</v>
      </c>
      <c r="D1828">
        <v>326</v>
      </c>
      <c r="E1828" t="s">
        <v>228</v>
      </c>
      <c r="G1828">
        <v>106524.43</v>
      </c>
      <c r="H1828">
        <v>13346.81</v>
      </c>
      <c r="I1828">
        <v>0</v>
      </c>
      <c r="J1828">
        <v>18040.05</v>
      </c>
      <c r="K1828">
        <v>0</v>
      </c>
      <c r="L1828">
        <v>18040.05</v>
      </c>
      <c r="M1828">
        <v>31386.86</v>
      </c>
      <c r="N1828">
        <v>29.46</v>
      </c>
      <c r="O1828">
        <v>75137.570000000007</v>
      </c>
      <c r="P1828">
        <v>13102.63</v>
      </c>
      <c r="Q1828" t="str">
        <f>INDEX(pARTNER[#All],MATCH(#REF!,pARTNER[[#All],[Value.partnerSummary.id]],0),10)</f>
        <v>Italia (IT)</v>
      </c>
      <c r="R1828" t="str">
        <f>INDEX('Partner data'!$A$2:$DG$171,MATCH(#REF!,'Partner data'!$DG$2:$DG$171,0),83)</f>
        <v>Soggetto privato</v>
      </c>
      <c r="S1828" s="86" t="str">
        <f>IF(#REF!="staff",INDEX('Partner data'!$DG$2:$DH$171,MATCH(#REF!,'Partner data'!$DG$2:$DG$171,0),2))</f>
        <v>COSTO REALE</v>
      </c>
    </row>
    <row r="1829" spans="1:19" x14ac:dyDescent="0.25">
      <c r="A1829" t="s">
        <v>63</v>
      </c>
      <c r="B1829" t="s">
        <v>51</v>
      </c>
      <c r="C1829">
        <v>287</v>
      </c>
      <c r="D1829">
        <v>326</v>
      </c>
      <c r="E1829" t="s">
        <v>229</v>
      </c>
      <c r="F1829">
        <v>15</v>
      </c>
      <c r="G1829">
        <v>15978.66</v>
      </c>
      <c r="H1829">
        <v>2002.02</v>
      </c>
      <c r="I1829">
        <v>0</v>
      </c>
      <c r="J1829">
        <v>2706</v>
      </c>
      <c r="K1829">
        <v>0</v>
      </c>
      <c r="L1829">
        <v>2706</v>
      </c>
      <c r="M1829">
        <v>4708.0200000000004</v>
      </c>
      <c r="N1829">
        <v>29.46</v>
      </c>
      <c r="O1829">
        <v>11270.64</v>
      </c>
      <c r="P1829">
        <v>1965.39</v>
      </c>
      <c r="Q1829" t="str">
        <f>INDEX(pARTNER[#All],MATCH(#REF!,pARTNER[[#All],[Value.partnerSummary.id]],0),10)</f>
        <v>Italia (IT)</v>
      </c>
      <c r="R1829" t="str">
        <f>INDEX('Partner data'!$A$2:$DG$171,MATCH(#REF!,'Partner data'!$DG$2:$DG$171,0),83)</f>
        <v>Soggetto privato</v>
      </c>
      <c r="S1829" s="86" t="b">
        <f>IF(#REF!="staff",INDEX('Partner data'!$DG$2:$DH$171,MATCH(#REF!,'Partner data'!$DG$2:$DG$171,0),2))</f>
        <v>0</v>
      </c>
    </row>
    <row r="1830" spans="1:19" x14ac:dyDescent="0.25">
      <c r="A1830" t="s">
        <v>63</v>
      </c>
      <c r="B1830" t="s">
        <v>51</v>
      </c>
      <c r="C1830">
        <v>287</v>
      </c>
      <c r="D1830">
        <v>326</v>
      </c>
      <c r="E1830" t="s">
        <v>230</v>
      </c>
      <c r="F1830">
        <v>4</v>
      </c>
      <c r="G1830">
        <v>4260.97</v>
      </c>
      <c r="H1830">
        <v>533.87</v>
      </c>
      <c r="I1830">
        <v>0</v>
      </c>
      <c r="J1830">
        <v>721.6</v>
      </c>
      <c r="K1830">
        <v>0</v>
      </c>
      <c r="L1830">
        <v>721.6</v>
      </c>
      <c r="M1830">
        <v>1255.47</v>
      </c>
      <c r="N1830">
        <v>29.46</v>
      </c>
      <c r="O1830">
        <v>3005.5</v>
      </c>
      <c r="P1830">
        <v>524.1</v>
      </c>
      <c r="Q1830" t="str">
        <f>INDEX(pARTNER[#All],MATCH(#REF!,pARTNER[[#All],[Value.partnerSummary.id]],0),10)</f>
        <v>Italia (IT)</v>
      </c>
      <c r="R1830" t="str">
        <f>INDEX('Partner data'!$A$2:$DG$171,MATCH(#REF!,'Partner data'!$DG$2:$DG$171,0),83)</f>
        <v>Soggetto privato</v>
      </c>
      <c r="S1830" s="86" t="b">
        <f>IF(#REF!="staff",INDEX('Partner data'!$DG$2:$DH$171,MATCH(#REF!,'Partner data'!$DG$2:$DG$171,0),2))</f>
        <v>0</v>
      </c>
    </row>
    <row r="1831" spans="1:19" x14ac:dyDescent="0.25">
      <c r="A1831" t="s">
        <v>63</v>
      </c>
      <c r="B1831" t="s">
        <v>51</v>
      </c>
      <c r="C1831">
        <v>287</v>
      </c>
      <c r="D1831">
        <v>326</v>
      </c>
      <c r="E1831" t="s">
        <v>231</v>
      </c>
      <c r="G1831">
        <v>48000</v>
      </c>
      <c r="H1831">
        <v>0</v>
      </c>
      <c r="I1831">
        <v>0</v>
      </c>
      <c r="J1831">
        <v>0</v>
      </c>
      <c r="K1831">
        <v>0</v>
      </c>
      <c r="L1831">
        <v>0</v>
      </c>
      <c r="M1831">
        <v>0</v>
      </c>
      <c r="N1831">
        <v>0</v>
      </c>
      <c r="O1831">
        <v>48000</v>
      </c>
      <c r="P1831">
        <v>0</v>
      </c>
      <c r="Q1831" t="str">
        <f>INDEX(pARTNER[#All],MATCH(#REF!,pARTNER[[#All],[Value.partnerSummary.id]],0),10)</f>
        <v>Italia (IT)</v>
      </c>
      <c r="R1831" t="str">
        <f>INDEX('Partner data'!$A$2:$DG$171,MATCH(#REF!,'Partner data'!$DG$2:$DG$171,0),83)</f>
        <v>Soggetto privato</v>
      </c>
      <c r="S1831" s="86" t="b">
        <f>IF(#REF!="staff",INDEX('Partner data'!$DG$2:$DH$171,MATCH(#REF!,'Partner data'!$DG$2:$DG$171,0),2))</f>
        <v>0</v>
      </c>
    </row>
    <row r="1832" spans="1:19" x14ac:dyDescent="0.25">
      <c r="A1832" t="s">
        <v>63</v>
      </c>
      <c r="B1832" t="s">
        <v>51</v>
      </c>
      <c r="C1832">
        <v>287</v>
      </c>
      <c r="D1832">
        <v>326</v>
      </c>
      <c r="E1832" t="s">
        <v>232</v>
      </c>
      <c r="G1832">
        <v>550</v>
      </c>
      <c r="H1832">
        <v>0</v>
      </c>
      <c r="I1832">
        <v>0</v>
      </c>
      <c r="J1832">
        <v>0</v>
      </c>
      <c r="K1832">
        <v>0</v>
      </c>
      <c r="L1832">
        <v>0</v>
      </c>
      <c r="M1832">
        <v>0</v>
      </c>
      <c r="N1832">
        <v>0</v>
      </c>
      <c r="O1832">
        <v>550</v>
      </c>
      <c r="P1832">
        <v>0</v>
      </c>
      <c r="Q1832" t="str">
        <f>INDEX(pARTNER[#All],MATCH(#REF!,pARTNER[[#All],[Value.partnerSummary.id]],0),10)</f>
        <v>Italia (IT)</v>
      </c>
      <c r="R1832" t="str">
        <f>INDEX('Partner data'!$A$2:$DG$171,MATCH(#REF!,'Partner data'!$DG$2:$DG$171,0),83)</f>
        <v>Soggetto privato</v>
      </c>
      <c r="S1832" s="86" t="b">
        <f>IF(#REF!="staff",INDEX('Partner data'!$DG$2:$DH$171,MATCH(#REF!,'Partner data'!$DG$2:$DG$171,0),2))</f>
        <v>0</v>
      </c>
    </row>
    <row r="1833" spans="1:19" x14ac:dyDescent="0.25">
      <c r="A1833" t="s">
        <v>63</v>
      </c>
      <c r="B1833" t="s">
        <v>51</v>
      </c>
      <c r="C1833">
        <v>287</v>
      </c>
      <c r="D1833">
        <v>326</v>
      </c>
      <c r="E1833" t="s">
        <v>233</v>
      </c>
      <c r="G1833">
        <v>0</v>
      </c>
      <c r="H1833">
        <v>0</v>
      </c>
      <c r="I1833">
        <v>0</v>
      </c>
      <c r="J1833">
        <v>0</v>
      </c>
      <c r="K1833">
        <v>0</v>
      </c>
      <c r="L1833">
        <v>0</v>
      </c>
      <c r="M1833">
        <v>0</v>
      </c>
      <c r="N1833">
        <v>0</v>
      </c>
      <c r="O1833">
        <v>0</v>
      </c>
      <c r="P1833">
        <v>0</v>
      </c>
      <c r="Q1833" t="str">
        <f>INDEX(pARTNER[#All],MATCH(#REF!,pARTNER[[#All],[Value.partnerSummary.id]],0),10)</f>
        <v>Italia (IT)</v>
      </c>
      <c r="R1833" t="str">
        <f>INDEX('Partner data'!$A$2:$DG$171,MATCH(#REF!,'Partner data'!$DG$2:$DG$171,0),83)</f>
        <v>Soggetto privato</v>
      </c>
      <c r="S1833" s="86" t="b">
        <f>IF(#REF!="staff",INDEX('Partner data'!$DG$2:$DH$171,MATCH(#REF!,'Partner data'!$DG$2:$DG$171,0),2))</f>
        <v>0</v>
      </c>
    </row>
    <row r="1834" spans="1:19" x14ac:dyDescent="0.25">
      <c r="A1834" t="s">
        <v>63</v>
      </c>
      <c r="B1834" t="s">
        <v>51</v>
      </c>
      <c r="C1834">
        <v>287</v>
      </c>
      <c r="D1834">
        <v>326</v>
      </c>
      <c r="E1834" t="s">
        <v>234</v>
      </c>
      <c r="G1834">
        <v>0</v>
      </c>
      <c r="H1834">
        <v>0</v>
      </c>
      <c r="I1834">
        <v>0</v>
      </c>
      <c r="J1834">
        <v>0</v>
      </c>
      <c r="K1834">
        <v>0</v>
      </c>
      <c r="L1834">
        <v>0</v>
      </c>
      <c r="M1834">
        <v>0</v>
      </c>
      <c r="N1834">
        <v>0</v>
      </c>
      <c r="O1834">
        <v>0</v>
      </c>
      <c r="P1834">
        <v>0</v>
      </c>
      <c r="Q1834" t="str">
        <f>INDEX(pARTNER[#All],MATCH(#REF!,pARTNER[[#All],[Value.partnerSummary.id]],0),10)</f>
        <v>Italia (IT)</v>
      </c>
      <c r="R1834" t="str">
        <f>INDEX('Partner data'!$A$2:$DG$171,MATCH(#REF!,'Partner data'!$DG$2:$DG$171,0),83)</f>
        <v>Soggetto privato</v>
      </c>
      <c r="S1834" s="86" t="b">
        <f>IF(#REF!="staff",INDEX('Partner data'!$DG$2:$DH$171,MATCH(#REF!,'Partner data'!$DG$2:$DG$171,0),2))</f>
        <v>0</v>
      </c>
    </row>
    <row r="1835" spans="1:19" x14ac:dyDescent="0.25">
      <c r="A1835" t="s">
        <v>63</v>
      </c>
      <c r="B1835" t="s">
        <v>51</v>
      </c>
      <c r="C1835">
        <v>287</v>
      </c>
      <c r="D1835">
        <v>326</v>
      </c>
      <c r="E1835" t="s">
        <v>235</v>
      </c>
      <c r="G1835">
        <v>0</v>
      </c>
      <c r="H1835">
        <v>0</v>
      </c>
      <c r="I1835">
        <v>0</v>
      </c>
      <c r="J1835">
        <v>0</v>
      </c>
      <c r="K1835">
        <v>0</v>
      </c>
      <c r="L1835">
        <v>0</v>
      </c>
      <c r="M1835">
        <v>0</v>
      </c>
      <c r="N1835">
        <v>0</v>
      </c>
      <c r="O1835">
        <v>0</v>
      </c>
      <c r="P1835">
        <v>0</v>
      </c>
      <c r="Q1835" t="str">
        <f>INDEX(pARTNER[#All],MATCH(#REF!,pARTNER[[#All],[Value.partnerSummary.id]],0),10)</f>
        <v>Italia (IT)</v>
      </c>
      <c r="R1835" t="str">
        <f>INDEX('Partner data'!$A$2:$DG$171,MATCH(#REF!,'Partner data'!$DG$2:$DG$171,0),83)</f>
        <v>Soggetto privato</v>
      </c>
      <c r="S1835" s="86" t="b">
        <f>IF(#REF!="staff",INDEX('Partner data'!$DG$2:$DH$171,MATCH(#REF!,'Partner data'!$DG$2:$DG$171,0),2))</f>
        <v>0</v>
      </c>
    </row>
    <row r="1836" spans="1:19" x14ac:dyDescent="0.25">
      <c r="A1836" t="s">
        <v>63</v>
      </c>
      <c r="B1836" t="s">
        <v>51</v>
      </c>
      <c r="C1836">
        <v>287</v>
      </c>
      <c r="D1836">
        <v>326</v>
      </c>
      <c r="E1836" t="s">
        <v>236</v>
      </c>
      <c r="G1836">
        <v>0</v>
      </c>
      <c r="H1836">
        <v>0</v>
      </c>
      <c r="I1836">
        <v>0</v>
      </c>
      <c r="J1836">
        <v>0</v>
      </c>
      <c r="K1836">
        <v>0</v>
      </c>
      <c r="L1836">
        <v>0</v>
      </c>
      <c r="M1836">
        <v>0</v>
      </c>
      <c r="N1836">
        <v>0</v>
      </c>
      <c r="O1836">
        <v>0</v>
      </c>
      <c r="P1836">
        <v>0</v>
      </c>
      <c r="Q1836" t="str">
        <f>INDEX(pARTNER[#All],MATCH(#REF!,pARTNER[[#All],[Value.partnerSummary.id]],0),10)</f>
        <v>Italia (IT)</v>
      </c>
      <c r="R1836" t="str">
        <f>INDEX('Partner data'!$A$2:$DG$171,MATCH(#REF!,'Partner data'!$DG$2:$DG$171,0),83)</f>
        <v>Soggetto privato</v>
      </c>
      <c r="S1836" s="86" t="b">
        <f>IF(#REF!="staff",INDEX('Partner data'!$DG$2:$DH$171,MATCH(#REF!,'Partner data'!$DG$2:$DG$171,0),2))</f>
        <v>0</v>
      </c>
    </row>
    <row r="1837" spans="1:19" x14ac:dyDescent="0.25">
      <c r="A1837" t="s">
        <v>63</v>
      </c>
      <c r="B1837" t="s">
        <v>51</v>
      </c>
      <c r="C1837">
        <v>287</v>
      </c>
      <c r="D1837">
        <v>326</v>
      </c>
      <c r="E1837" t="s">
        <v>237</v>
      </c>
      <c r="G1837">
        <v>0</v>
      </c>
      <c r="H1837">
        <v>0</v>
      </c>
      <c r="I1837">
        <v>0</v>
      </c>
      <c r="J1837">
        <v>0</v>
      </c>
      <c r="K1837">
        <v>0</v>
      </c>
      <c r="L1837">
        <v>0</v>
      </c>
      <c r="M1837">
        <v>0</v>
      </c>
      <c r="N1837">
        <v>0</v>
      </c>
      <c r="O1837">
        <v>0</v>
      </c>
      <c r="P1837">
        <v>0</v>
      </c>
      <c r="Q1837" t="str">
        <f>INDEX(pARTNER[#All],MATCH(#REF!,pARTNER[[#All],[Value.partnerSummary.id]],0),10)</f>
        <v>Italia (IT)</v>
      </c>
      <c r="R1837" t="str">
        <f>INDEX('Partner data'!$A$2:$DG$171,MATCH(#REF!,'Partner data'!$DG$2:$DG$171,0),83)</f>
        <v>Soggetto privato</v>
      </c>
      <c r="S1837" s="86" t="b">
        <f>IF(#REF!="staff",INDEX('Partner data'!$DG$2:$DH$171,MATCH(#REF!,'Partner data'!$DG$2:$DG$171,0),2))</f>
        <v>0</v>
      </c>
    </row>
    <row r="1838" spans="1:19" x14ac:dyDescent="0.25">
      <c r="A1838" t="s">
        <v>63</v>
      </c>
      <c r="B1838" t="s">
        <v>51</v>
      </c>
      <c r="C1838">
        <v>287</v>
      </c>
      <c r="D1838">
        <v>326</v>
      </c>
      <c r="E1838" t="s">
        <v>238</v>
      </c>
      <c r="G1838">
        <v>175314.06</v>
      </c>
      <c r="H1838">
        <v>15882.7</v>
      </c>
      <c r="I1838">
        <v>0</v>
      </c>
      <c r="J1838">
        <v>21467.65</v>
      </c>
      <c r="K1838">
        <v>0</v>
      </c>
      <c r="L1838">
        <v>21467.65</v>
      </c>
      <c r="M1838">
        <v>37350.35</v>
      </c>
      <c r="N1838">
        <v>21.3</v>
      </c>
      <c r="O1838">
        <v>137963.71</v>
      </c>
      <c r="P1838">
        <v>15592.12</v>
      </c>
      <c r="Q1838" t="str">
        <f>INDEX(pARTNER[#All],MATCH(#REF!,pARTNER[[#All],[Value.partnerSummary.id]],0),10)</f>
        <v>Italia (IT)</v>
      </c>
      <c r="R1838" t="str">
        <f>INDEX('Partner data'!$A$2:$DG$171,MATCH(#REF!,'Partner data'!$DG$2:$DG$171,0),83)</f>
        <v>Soggetto privato</v>
      </c>
      <c r="S1838" s="86" t="b">
        <f>IF(#REF!="staff",INDEX('Partner data'!$DG$2:$DH$171,MATCH(#REF!,'Partner data'!$DG$2:$DG$171,0),2))</f>
        <v>0</v>
      </c>
    </row>
    <row r="1839" spans="1:19" x14ac:dyDescent="0.25">
      <c r="A1839" t="s">
        <v>63</v>
      </c>
      <c r="B1839" t="s">
        <v>51</v>
      </c>
      <c r="C1839">
        <v>287</v>
      </c>
      <c r="D1839">
        <v>62</v>
      </c>
      <c r="E1839" t="s">
        <v>228</v>
      </c>
      <c r="G1839">
        <v>106524.43</v>
      </c>
      <c r="H1839">
        <v>0</v>
      </c>
      <c r="I1839">
        <v>0</v>
      </c>
      <c r="J1839">
        <v>13346.81</v>
      </c>
      <c r="K1839">
        <v>0</v>
      </c>
      <c r="L1839">
        <v>13102.63</v>
      </c>
      <c r="M1839">
        <v>13346.81</v>
      </c>
      <c r="N1839">
        <v>12.53</v>
      </c>
      <c r="O1839">
        <v>93177.62</v>
      </c>
      <c r="P1839">
        <v>0</v>
      </c>
      <c r="Q1839" t="str">
        <f>INDEX(pARTNER[#All],MATCH(#REF!,pARTNER[[#All],[Value.partnerSummary.id]],0),10)</f>
        <v>Italia (IT)</v>
      </c>
      <c r="R1839" t="str">
        <f>INDEX('Partner data'!$A$2:$DG$171,MATCH(#REF!,'Partner data'!$DG$2:$DG$171,0),83)</f>
        <v>Soggetto privato</v>
      </c>
      <c r="S1839" s="86" t="str">
        <f>IF(#REF!="staff",INDEX('Partner data'!$DG$2:$DH$171,MATCH(#REF!,'Partner data'!$DG$2:$DG$171,0),2))</f>
        <v>COSTO REALE</v>
      </c>
    </row>
    <row r="1840" spans="1:19" x14ac:dyDescent="0.25">
      <c r="A1840" t="s">
        <v>63</v>
      </c>
      <c r="B1840" t="s">
        <v>51</v>
      </c>
      <c r="C1840">
        <v>287</v>
      </c>
      <c r="D1840">
        <v>62</v>
      </c>
      <c r="E1840" t="s">
        <v>229</v>
      </c>
      <c r="F1840">
        <v>15</v>
      </c>
      <c r="G1840">
        <v>15978.66</v>
      </c>
      <c r="H1840">
        <v>0</v>
      </c>
      <c r="I1840">
        <v>0</v>
      </c>
      <c r="J1840">
        <v>2002.02</v>
      </c>
      <c r="K1840">
        <v>0</v>
      </c>
      <c r="L1840">
        <v>1965.39</v>
      </c>
      <c r="M1840">
        <v>2002.02</v>
      </c>
      <c r="N1840">
        <v>12.53</v>
      </c>
      <c r="O1840">
        <v>13976.64</v>
      </c>
      <c r="P1840">
        <v>0</v>
      </c>
      <c r="Q1840" t="str">
        <f>INDEX(pARTNER[#All],MATCH(#REF!,pARTNER[[#All],[Value.partnerSummary.id]],0),10)</f>
        <v>Italia (IT)</v>
      </c>
      <c r="R1840" t="str">
        <f>INDEX('Partner data'!$A$2:$DG$171,MATCH(#REF!,'Partner data'!$DG$2:$DG$171,0),83)</f>
        <v>Soggetto privato</v>
      </c>
      <c r="S1840" s="86" t="b">
        <f>IF(#REF!="staff",INDEX('Partner data'!$DG$2:$DH$171,MATCH(#REF!,'Partner data'!$DG$2:$DG$171,0),2))</f>
        <v>0</v>
      </c>
    </row>
    <row r="1841" spans="1:19" x14ac:dyDescent="0.25">
      <c r="A1841" t="s">
        <v>63</v>
      </c>
      <c r="B1841" t="s">
        <v>51</v>
      </c>
      <c r="C1841">
        <v>287</v>
      </c>
      <c r="D1841">
        <v>62</v>
      </c>
      <c r="E1841" t="s">
        <v>230</v>
      </c>
      <c r="F1841">
        <v>4</v>
      </c>
      <c r="G1841">
        <v>4260.97</v>
      </c>
      <c r="H1841">
        <v>0</v>
      </c>
      <c r="I1841">
        <v>0</v>
      </c>
      <c r="J1841">
        <v>533.87</v>
      </c>
      <c r="K1841">
        <v>0</v>
      </c>
      <c r="L1841">
        <v>524.1</v>
      </c>
      <c r="M1841">
        <v>533.87</v>
      </c>
      <c r="N1841">
        <v>12.53</v>
      </c>
      <c r="O1841">
        <v>3727.1</v>
      </c>
      <c r="P1841">
        <v>0</v>
      </c>
      <c r="Q1841" t="str">
        <f>INDEX(pARTNER[#All],MATCH(#REF!,pARTNER[[#All],[Value.partnerSummary.id]],0),10)</f>
        <v>Italia (IT)</v>
      </c>
      <c r="R1841" t="str">
        <f>INDEX('Partner data'!$A$2:$DG$171,MATCH(#REF!,'Partner data'!$DG$2:$DG$171,0),83)</f>
        <v>Soggetto privato</v>
      </c>
      <c r="S1841" s="86" t="b">
        <f>IF(#REF!="staff",INDEX('Partner data'!$DG$2:$DH$171,MATCH(#REF!,'Partner data'!$DG$2:$DG$171,0),2))</f>
        <v>0</v>
      </c>
    </row>
    <row r="1842" spans="1:19" x14ac:dyDescent="0.25">
      <c r="A1842" t="s">
        <v>63</v>
      </c>
      <c r="B1842" t="s">
        <v>51</v>
      </c>
      <c r="C1842">
        <v>287</v>
      </c>
      <c r="D1842">
        <v>62</v>
      </c>
      <c r="E1842" t="s">
        <v>231</v>
      </c>
      <c r="G1842">
        <v>48000</v>
      </c>
      <c r="H1842">
        <v>0</v>
      </c>
      <c r="I1842">
        <v>0</v>
      </c>
      <c r="J1842">
        <v>0</v>
      </c>
      <c r="K1842">
        <v>0</v>
      </c>
      <c r="L1842">
        <v>0</v>
      </c>
      <c r="M1842">
        <v>0</v>
      </c>
      <c r="N1842">
        <v>0</v>
      </c>
      <c r="O1842">
        <v>48000</v>
      </c>
      <c r="P1842">
        <v>0</v>
      </c>
      <c r="Q1842" t="str">
        <f>INDEX(pARTNER[#All],MATCH(#REF!,pARTNER[[#All],[Value.partnerSummary.id]],0),10)</f>
        <v>Italia (IT)</v>
      </c>
      <c r="R1842" t="str">
        <f>INDEX('Partner data'!$A$2:$DG$171,MATCH(#REF!,'Partner data'!$DG$2:$DG$171,0),83)</f>
        <v>Soggetto privato</v>
      </c>
      <c r="S1842" s="86" t="b">
        <f>IF(#REF!="staff",INDEX('Partner data'!$DG$2:$DH$171,MATCH(#REF!,'Partner data'!$DG$2:$DG$171,0),2))</f>
        <v>0</v>
      </c>
    </row>
    <row r="1843" spans="1:19" x14ac:dyDescent="0.25">
      <c r="A1843" t="s">
        <v>63</v>
      </c>
      <c r="B1843" t="s">
        <v>51</v>
      </c>
      <c r="C1843">
        <v>287</v>
      </c>
      <c r="D1843">
        <v>62</v>
      </c>
      <c r="E1843" t="s">
        <v>232</v>
      </c>
      <c r="G1843">
        <v>550</v>
      </c>
      <c r="H1843">
        <v>0</v>
      </c>
      <c r="I1843">
        <v>0</v>
      </c>
      <c r="J1843">
        <v>0</v>
      </c>
      <c r="K1843">
        <v>0</v>
      </c>
      <c r="L1843">
        <v>0</v>
      </c>
      <c r="M1843">
        <v>0</v>
      </c>
      <c r="N1843">
        <v>0</v>
      </c>
      <c r="O1843">
        <v>550</v>
      </c>
      <c r="P1843">
        <v>0</v>
      </c>
      <c r="Q1843" t="str">
        <f>INDEX(pARTNER[#All],MATCH(#REF!,pARTNER[[#All],[Value.partnerSummary.id]],0),10)</f>
        <v>Italia (IT)</v>
      </c>
      <c r="R1843" t="str">
        <f>INDEX('Partner data'!$A$2:$DG$171,MATCH(#REF!,'Partner data'!$DG$2:$DG$171,0),83)</f>
        <v>Soggetto privato</v>
      </c>
      <c r="S1843" s="86" t="b">
        <f>IF(#REF!="staff",INDEX('Partner data'!$DG$2:$DH$171,MATCH(#REF!,'Partner data'!$DG$2:$DG$171,0),2))</f>
        <v>0</v>
      </c>
    </row>
    <row r="1844" spans="1:19" x14ac:dyDescent="0.25">
      <c r="A1844" t="s">
        <v>63</v>
      </c>
      <c r="B1844" t="s">
        <v>51</v>
      </c>
      <c r="C1844">
        <v>287</v>
      </c>
      <c r="D1844">
        <v>62</v>
      </c>
      <c r="E1844" t="s">
        <v>233</v>
      </c>
      <c r="G1844">
        <v>0</v>
      </c>
      <c r="H1844">
        <v>0</v>
      </c>
      <c r="I1844">
        <v>0</v>
      </c>
      <c r="J1844">
        <v>0</v>
      </c>
      <c r="K1844">
        <v>0</v>
      </c>
      <c r="L1844">
        <v>0</v>
      </c>
      <c r="M1844">
        <v>0</v>
      </c>
      <c r="N1844">
        <v>0</v>
      </c>
      <c r="O1844">
        <v>0</v>
      </c>
      <c r="P1844">
        <v>0</v>
      </c>
      <c r="Q1844" t="str">
        <f>INDEX(pARTNER[#All],MATCH(#REF!,pARTNER[[#All],[Value.partnerSummary.id]],0),10)</f>
        <v>Italia (IT)</v>
      </c>
      <c r="R1844" t="str">
        <f>INDEX('Partner data'!$A$2:$DG$171,MATCH(#REF!,'Partner data'!$DG$2:$DG$171,0),83)</f>
        <v>Soggetto privato</v>
      </c>
      <c r="S1844" s="86" t="b">
        <f>IF(#REF!="staff",INDEX('Partner data'!$DG$2:$DH$171,MATCH(#REF!,'Partner data'!$DG$2:$DG$171,0),2))</f>
        <v>0</v>
      </c>
    </row>
    <row r="1845" spans="1:19" x14ac:dyDescent="0.25">
      <c r="A1845" t="s">
        <v>63</v>
      </c>
      <c r="B1845" t="s">
        <v>51</v>
      </c>
      <c r="C1845">
        <v>287</v>
      </c>
      <c r="D1845">
        <v>62</v>
      </c>
      <c r="E1845" t="s">
        <v>234</v>
      </c>
      <c r="G1845">
        <v>0</v>
      </c>
      <c r="H1845">
        <v>0</v>
      </c>
      <c r="I1845">
        <v>0</v>
      </c>
      <c r="J1845">
        <v>0</v>
      </c>
      <c r="K1845">
        <v>0</v>
      </c>
      <c r="L1845">
        <v>0</v>
      </c>
      <c r="M1845">
        <v>0</v>
      </c>
      <c r="N1845">
        <v>0</v>
      </c>
      <c r="O1845">
        <v>0</v>
      </c>
      <c r="P1845">
        <v>0</v>
      </c>
      <c r="Q1845" t="str">
        <f>INDEX(pARTNER[#All],MATCH(#REF!,pARTNER[[#All],[Value.partnerSummary.id]],0),10)</f>
        <v>Italia (IT)</v>
      </c>
      <c r="R1845" t="str">
        <f>INDEX('Partner data'!$A$2:$DG$171,MATCH(#REF!,'Partner data'!$DG$2:$DG$171,0),83)</f>
        <v>Soggetto privato</v>
      </c>
      <c r="S1845" s="86" t="b">
        <f>IF(#REF!="staff",INDEX('Partner data'!$DG$2:$DH$171,MATCH(#REF!,'Partner data'!$DG$2:$DG$171,0),2))</f>
        <v>0</v>
      </c>
    </row>
    <row r="1846" spans="1:19" x14ac:dyDescent="0.25">
      <c r="A1846" t="s">
        <v>63</v>
      </c>
      <c r="B1846" t="s">
        <v>51</v>
      </c>
      <c r="C1846">
        <v>287</v>
      </c>
      <c r="D1846">
        <v>62</v>
      </c>
      <c r="E1846" t="s">
        <v>235</v>
      </c>
      <c r="G1846">
        <v>0</v>
      </c>
      <c r="H1846">
        <v>0</v>
      </c>
      <c r="I1846">
        <v>0</v>
      </c>
      <c r="J1846">
        <v>0</v>
      </c>
      <c r="K1846">
        <v>0</v>
      </c>
      <c r="L1846">
        <v>0</v>
      </c>
      <c r="M1846">
        <v>0</v>
      </c>
      <c r="N1846">
        <v>0</v>
      </c>
      <c r="O1846">
        <v>0</v>
      </c>
      <c r="P1846">
        <v>0</v>
      </c>
      <c r="Q1846" t="str">
        <f>INDEX(pARTNER[#All],MATCH(#REF!,pARTNER[[#All],[Value.partnerSummary.id]],0),10)</f>
        <v>Italia (IT)</v>
      </c>
      <c r="R1846" t="str">
        <f>INDEX('Partner data'!$A$2:$DG$171,MATCH(#REF!,'Partner data'!$DG$2:$DG$171,0),83)</f>
        <v>Soggetto privato</v>
      </c>
      <c r="S1846" s="86" t="b">
        <f>IF(#REF!="staff",INDEX('Partner data'!$DG$2:$DH$171,MATCH(#REF!,'Partner data'!$DG$2:$DG$171,0),2))</f>
        <v>0</v>
      </c>
    </row>
    <row r="1847" spans="1:19" x14ac:dyDescent="0.25">
      <c r="A1847" t="s">
        <v>63</v>
      </c>
      <c r="B1847" t="s">
        <v>51</v>
      </c>
      <c r="C1847">
        <v>287</v>
      </c>
      <c r="D1847">
        <v>62</v>
      </c>
      <c r="E1847" t="s">
        <v>236</v>
      </c>
      <c r="G1847">
        <v>0</v>
      </c>
      <c r="H1847">
        <v>0</v>
      </c>
      <c r="I1847">
        <v>0</v>
      </c>
      <c r="J1847">
        <v>0</v>
      </c>
      <c r="K1847">
        <v>0</v>
      </c>
      <c r="L1847">
        <v>0</v>
      </c>
      <c r="M1847">
        <v>0</v>
      </c>
      <c r="N1847">
        <v>0</v>
      </c>
      <c r="O1847">
        <v>0</v>
      </c>
      <c r="P1847">
        <v>0</v>
      </c>
      <c r="Q1847" t="str">
        <f>INDEX(pARTNER[#All],MATCH(#REF!,pARTNER[[#All],[Value.partnerSummary.id]],0),10)</f>
        <v>Italia (IT)</v>
      </c>
      <c r="R1847" t="str">
        <f>INDEX('Partner data'!$A$2:$DG$171,MATCH(#REF!,'Partner data'!$DG$2:$DG$171,0),83)</f>
        <v>Soggetto privato</v>
      </c>
      <c r="S1847" s="86" t="b">
        <f>IF(#REF!="staff",INDEX('Partner data'!$DG$2:$DH$171,MATCH(#REF!,'Partner data'!$DG$2:$DG$171,0),2))</f>
        <v>0</v>
      </c>
    </row>
    <row r="1848" spans="1:19" x14ac:dyDescent="0.25">
      <c r="A1848" t="s">
        <v>63</v>
      </c>
      <c r="B1848" t="s">
        <v>51</v>
      </c>
      <c r="C1848">
        <v>287</v>
      </c>
      <c r="D1848">
        <v>62</v>
      </c>
      <c r="E1848" t="s">
        <v>237</v>
      </c>
      <c r="G1848">
        <v>0</v>
      </c>
      <c r="H1848">
        <v>0</v>
      </c>
      <c r="I1848">
        <v>0</v>
      </c>
      <c r="J1848">
        <v>0</v>
      </c>
      <c r="K1848">
        <v>0</v>
      </c>
      <c r="L1848">
        <v>0</v>
      </c>
      <c r="M1848">
        <v>0</v>
      </c>
      <c r="N1848">
        <v>0</v>
      </c>
      <c r="O1848">
        <v>0</v>
      </c>
      <c r="P1848">
        <v>0</v>
      </c>
      <c r="Q1848" t="str">
        <f>INDEX(pARTNER[#All],MATCH(#REF!,pARTNER[[#All],[Value.partnerSummary.id]],0),10)</f>
        <v>Italia (IT)</v>
      </c>
      <c r="R1848" t="str">
        <f>INDEX('Partner data'!$A$2:$DG$171,MATCH(#REF!,'Partner data'!$DG$2:$DG$171,0),83)</f>
        <v>Soggetto privato</v>
      </c>
      <c r="S1848" s="86" t="b">
        <f>IF(#REF!="staff",INDEX('Partner data'!$DG$2:$DH$171,MATCH(#REF!,'Partner data'!$DG$2:$DG$171,0),2))</f>
        <v>0</v>
      </c>
    </row>
    <row r="1849" spans="1:19" x14ac:dyDescent="0.25">
      <c r="A1849" t="s">
        <v>63</v>
      </c>
      <c r="B1849" t="s">
        <v>51</v>
      </c>
      <c r="C1849">
        <v>287</v>
      </c>
      <c r="D1849">
        <v>62</v>
      </c>
      <c r="E1849" t="s">
        <v>238</v>
      </c>
      <c r="G1849">
        <v>175314.06</v>
      </c>
      <c r="H1849">
        <v>0</v>
      </c>
      <c r="I1849">
        <v>0</v>
      </c>
      <c r="J1849">
        <v>15882.7</v>
      </c>
      <c r="K1849">
        <v>0</v>
      </c>
      <c r="L1849">
        <v>15592.12</v>
      </c>
      <c r="M1849">
        <v>15882.7</v>
      </c>
      <c r="N1849">
        <v>9.06</v>
      </c>
      <c r="O1849">
        <v>159431.35999999999</v>
      </c>
      <c r="P1849">
        <v>0</v>
      </c>
      <c r="Q1849" t="str">
        <f>INDEX(pARTNER[#All],MATCH(#REF!,pARTNER[[#All],[Value.partnerSummary.id]],0),10)</f>
        <v>Italia (IT)</v>
      </c>
      <c r="R1849" t="str">
        <f>INDEX('Partner data'!$A$2:$DG$171,MATCH(#REF!,'Partner data'!$DG$2:$DG$171,0),83)</f>
        <v>Soggetto privato</v>
      </c>
      <c r="S1849" s="86" t="b">
        <f>IF(#REF!="staff",INDEX('Partner data'!$DG$2:$DH$171,MATCH(#REF!,'Partner data'!$DG$2:$DG$171,0),2))</f>
        <v>0</v>
      </c>
    </row>
    <row r="1850" spans="1:19" x14ac:dyDescent="0.25">
      <c r="A1850" t="s">
        <v>63</v>
      </c>
      <c r="B1850" t="s">
        <v>46</v>
      </c>
      <c r="C1850">
        <v>230</v>
      </c>
      <c r="D1850">
        <v>20</v>
      </c>
      <c r="E1850" t="s">
        <v>228</v>
      </c>
      <c r="G1850">
        <v>171406.82</v>
      </c>
      <c r="H1850">
        <v>0</v>
      </c>
      <c r="I1850">
        <v>0</v>
      </c>
      <c r="J1850">
        <v>18201.55</v>
      </c>
      <c r="K1850">
        <v>0</v>
      </c>
      <c r="L1850">
        <v>11419.24</v>
      </c>
      <c r="M1850">
        <v>18201.55</v>
      </c>
      <c r="N1850">
        <v>10.62</v>
      </c>
      <c r="O1850">
        <v>153205.26999999999</v>
      </c>
      <c r="P1850">
        <v>0</v>
      </c>
      <c r="Q1850" t="str">
        <f>INDEX(pARTNER[#All],MATCH(#REF!,pARTNER[[#All],[Value.partnerSummary.id]],0),10)</f>
        <v>Slovenija (SI)</v>
      </c>
      <c r="R1850" t="str">
        <f>INDEX('Partner data'!$A$2:$DG$171,MATCH(#REF!,'Partner data'!$DG$2:$DG$171,0),83)</f>
        <v>Soggetto pubblico</v>
      </c>
      <c r="S1850" s="86" t="str">
        <f>IF(#REF!="staff",INDEX('Partner data'!$DG$2:$DH$171,MATCH(#REF!,'Partner data'!$DG$2:$DG$171,0),2))</f>
        <v>COSTO REALE</v>
      </c>
    </row>
    <row r="1851" spans="1:19" x14ac:dyDescent="0.25">
      <c r="A1851" t="s">
        <v>63</v>
      </c>
      <c r="B1851" t="s">
        <v>46</v>
      </c>
      <c r="C1851">
        <v>230</v>
      </c>
      <c r="D1851">
        <v>20</v>
      </c>
      <c r="E1851" t="s">
        <v>229</v>
      </c>
      <c r="G1851">
        <v>0</v>
      </c>
      <c r="H1851">
        <v>0</v>
      </c>
      <c r="I1851">
        <v>0</v>
      </c>
      <c r="J1851">
        <v>0</v>
      </c>
      <c r="K1851">
        <v>0</v>
      </c>
      <c r="L1851">
        <v>0</v>
      </c>
      <c r="M1851">
        <v>0</v>
      </c>
      <c r="N1851">
        <v>0</v>
      </c>
      <c r="O1851">
        <v>0</v>
      </c>
      <c r="P1851">
        <v>0</v>
      </c>
      <c r="Q1851" t="str">
        <f>INDEX(pARTNER[#All],MATCH(#REF!,pARTNER[[#All],[Value.partnerSummary.id]],0),10)</f>
        <v>Slovenija (SI)</v>
      </c>
      <c r="R1851" t="str">
        <f>INDEX('Partner data'!$A$2:$DG$171,MATCH(#REF!,'Partner data'!$DG$2:$DG$171,0),83)</f>
        <v>Soggetto pubblico</v>
      </c>
      <c r="S1851" s="86" t="b">
        <f>IF(#REF!="staff",INDEX('Partner data'!$DG$2:$DH$171,MATCH(#REF!,'Partner data'!$DG$2:$DG$171,0),2))</f>
        <v>0</v>
      </c>
    </row>
    <row r="1852" spans="1:19" x14ac:dyDescent="0.25">
      <c r="A1852" t="s">
        <v>63</v>
      </c>
      <c r="B1852" t="s">
        <v>46</v>
      </c>
      <c r="C1852">
        <v>230</v>
      </c>
      <c r="D1852">
        <v>20</v>
      </c>
      <c r="E1852" t="s">
        <v>230</v>
      </c>
      <c r="G1852">
        <v>0</v>
      </c>
      <c r="H1852">
        <v>0</v>
      </c>
      <c r="I1852">
        <v>0</v>
      </c>
      <c r="J1852">
        <v>0</v>
      </c>
      <c r="K1852">
        <v>0</v>
      </c>
      <c r="L1852">
        <v>0</v>
      </c>
      <c r="M1852">
        <v>0</v>
      </c>
      <c r="N1852">
        <v>0</v>
      </c>
      <c r="O1852">
        <v>0</v>
      </c>
      <c r="P1852">
        <v>0</v>
      </c>
      <c r="Q1852" t="str">
        <f>INDEX(pARTNER[#All],MATCH(#REF!,pARTNER[[#All],[Value.partnerSummary.id]],0),10)</f>
        <v>Slovenija (SI)</v>
      </c>
      <c r="R1852" t="str">
        <f>INDEX('Partner data'!$A$2:$DG$171,MATCH(#REF!,'Partner data'!$DG$2:$DG$171,0),83)</f>
        <v>Soggetto pubblico</v>
      </c>
      <c r="S1852" s="86" t="b">
        <f>IF(#REF!="staff",INDEX('Partner data'!$DG$2:$DH$171,MATCH(#REF!,'Partner data'!$DG$2:$DG$171,0),2))</f>
        <v>0</v>
      </c>
    </row>
    <row r="1853" spans="1:19" x14ac:dyDescent="0.25">
      <c r="A1853" t="s">
        <v>63</v>
      </c>
      <c r="B1853" t="s">
        <v>46</v>
      </c>
      <c r="C1853">
        <v>230</v>
      </c>
      <c r="D1853">
        <v>20</v>
      </c>
      <c r="E1853" t="s">
        <v>231</v>
      </c>
      <c r="G1853">
        <v>0</v>
      </c>
      <c r="H1853">
        <v>0</v>
      </c>
      <c r="I1853">
        <v>0</v>
      </c>
      <c r="J1853">
        <v>0</v>
      </c>
      <c r="K1853">
        <v>0</v>
      </c>
      <c r="L1853">
        <v>0</v>
      </c>
      <c r="M1853">
        <v>0</v>
      </c>
      <c r="N1853">
        <v>0</v>
      </c>
      <c r="O1853">
        <v>0</v>
      </c>
      <c r="P1853">
        <v>0</v>
      </c>
      <c r="Q1853" t="str">
        <f>INDEX(pARTNER[#All],MATCH(#REF!,pARTNER[[#All],[Value.partnerSummary.id]],0),10)</f>
        <v>Slovenija (SI)</v>
      </c>
      <c r="R1853" t="str">
        <f>INDEX('Partner data'!$A$2:$DG$171,MATCH(#REF!,'Partner data'!$DG$2:$DG$171,0),83)</f>
        <v>Soggetto pubblico</v>
      </c>
      <c r="S1853" s="86" t="b">
        <f>IF(#REF!="staff",INDEX('Partner data'!$DG$2:$DH$171,MATCH(#REF!,'Partner data'!$DG$2:$DG$171,0),2))</f>
        <v>0</v>
      </c>
    </row>
    <row r="1854" spans="1:19" x14ac:dyDescent="0.25">
      <c r="A1854" t="s">
        <v>63</v>
      </c>
      <c r="B1854" t="s">
        <v>46</v>
      </c>
      <c r="C1854">
        <v>230</v>
      </c>
      <c r="D1854">
        <v>20</v>
      </c>
      <c r="E1854" t="s">
        <v>232</v>
      </c>
      <c r="G1854">
        <v>0</v>
      </c>
      <c r="H1854">
        <v>0</v>
      </c>
      <c r="I1854">
        <v>0</v>
      </c>
      <c r="J1854">
        <v>0</v>
      </c>
      <c r="K1854">
        <v>0</v>
      </c>
      <c r="L1854">
        <v>0</v>
      </c>
      <c r="M1854">
        <v>0</v>
      </c>
      <c r="N1854">
        <v>0</v>
      </c>
      <c r="O1854">
        <v>0</v>
      </c>
      <c r="P1854">
        <v>0</v>
      </c>
      <c r="Q1854" t="str">
        <f>INDEX(pARTNER[#All],MATCH(#REF!,pARTNER[[#All],[Value.partnerSummary.id]],0),10)</f>
        <v>Slovenija (SI)</v>
      </c>
      <c r="R1854" t="str">
        <f>INDEX('Partner data'!$A$2:$DG$171,MATCH(#REF!,'Partner data'!$DG$2:$DG$171,0),83)</f>
        <v>Soggetto pubblico</v>
      </c>
      <c r="S1854" s="86" t="b">
        <f>IF(#REF!="staff",INDEX('Partner data'!$DG$2:$DH$171,MATCH(#REF!,'Partner data'!$DG$2:$DG$171,0),2))</f>
        <v>0</v>
      </c>
    </row>
    <row r="1855" spans="1:19" x14ac:dyDescent="0.25">
      <c r="A1855" t="s">
        <v>63</v>
      </c>
      <c r="B1855" t="s">
        <v>46</v>
      </c>
      <c r="C1855">
        <v>230</v>
      </c>
      <c r="D1855">
        <v>20</v>
      </c>
      <c r="E1855" t="s">
        <v>233</v>
      </c>
      <c r="G1855">
        <v>0</v>
      </c>
      <c r="H1855">
        <v>0</v>
      </c>
      <c r="I1855">
        <v>0</v>
      </c>
      <c r="J1855">
        <v>0</v>
      </c>
      <c r="K1855">
        <v>0</v>
      </c>
      <c r="L1855">
        <v>0</v>
      </c>
      <c r="M1855">
        <v>0</v>
      </c>
      <c r="N1855">
        <v>0</v>
      </c>
      <c r="O1855">
        <v>0</v>
      </c>
      <c r="P1855">
        <v>0</v>
      </c>
      <c r="Q1855" t="str">
        <f>INDEX(pARTNER[#All],MATCH(#REF!,pARTNER[[#All],[Value.partnerSummary.id]],0),10)</f>
        <v>Slovenija (SI)</v>
      </c>
      <c r="R1855" t="str">
        <f>INDEX('Partner data'!$A$2:$DG$171,MATCH(#REF!,'Partner data'!$DG$2:$DG$171,0),83)</f>
        <v>Soggetto pubblico</v>
      </c>
      <c r="S1855" s="86" t="b">
        <f>IF(#REF!="staff",INDEX('Partner data'!$DG$2:$DH$171,MATCH(#REF!,'Partner data'!$DG$2:$DG$171,0),2))</f>
        <v>0</v>
      </c>
    </row>
    <row r="1856" spans="1:19" x14ac:dyDescent="0.25">
      <c r="A1856" t="s">
        <v>63</v>
      </c>
      <c r="B1856" t="s">
        <v>46</v>
      </c>
      <c r="C1856">
        <v>230</v>
      </c>
      <c r="D1856">
        <v>20</v>
      </c>
      <c r="E1856" t="s">
        <v>234</v>
      </c>
      <c r="F1856">
        <v>40</v>
      </c>
      <c r="G1856">
        <v>68562.720000000001</v>
      </c>
      <c r="H1856">
        <v>0</v>
      </c>
      <c r="I1856">
        <v>0</v>
      </c>
      <c r="J1856">
        <v>7280.62</v>
      </c>
      <c r="K1856">
        <v>0</v>
      </c>
      <c r="L1856">
        <v>4567.6899999999996</v>
      </c>
      <c r="M1856">
        <v>7280.62</v>
      </c>
      <c r="N1856">
        <v>10.62</v>
      </c>
      <c r="O1856">
        <v>61282.1</v>
      </c>
      <c r="P1856">
        <v>0</v>
      </c>
      <c r="Q1856" t="str">
        <f>INDEX(pARTNER[#All],MATCH(#REF!,pARTNER[[#All],[Value.partnerSummary.id]],0),10)</f>
        <v>Slovenija (SI)</v>
      </c>
      <c r="R1856" t="str">
        <f>INDEX('Partner data'!$A$2:$DG$171,MATCH(#REF!,'Partner data'!$DG$2:$DG$171,0),83)</f>
        <v>Soggetto pubblico</v>
      </c>
      <c r="S1856" s="86" t="b">
        <f>IF(#REF!="staff",INDEX('Partner data'!$DG$2:$DH$171,MATCH(#REF!,'Partner data'!$DG$2:$DG$171,0),2))</f>
        <v>0</v>
      </c>
    </row>
    <row r="1857" spans="1:19" x14ac:dyDescent="0.25">
      <c r="A1857" t="s">
        <v>63</v>
      </c>
      <c r="B1857" t="s">
        <v>46</v>
      </c>
      <c r="C1857">
        <v>230</v>
      </c>
      <c r="D1857">
        <v>20</v>
      </c>
      <c r="E1857" t="s">
        <v>235</v>
      </c>
      <c r="G1857">
        <v>9000</v>
      </c>
      <c r="H1857">
        <v>0</v>
      </c>
      <c r="I1857">
        <v>0</v>
      </c>
      <c r="J1857">
        <v>9000</v>
      </c>
      <c r="K1857">
        <v>0</v>
      </c>
      <c r="L1857">
        <v>9000</v>
      </c>
      <c r="M1857">
        <v>9000</v>
      </c>
      <c r="N1857">
        <v>100</v>
      </c>
      <c r="O1857">
        <v>0</v>
      </c>
      <c r="P1857">
        <v>0</v>
      </c>
      <c r="Q1857" t="str">
        <f>INDEX(pARTNER[#All],MATCH(#REF!,pARTNER[[#All],[Value.partnerSummary.id]],0),10)</f>
        <v>Slovenija (SI)</v>
      </c>
      <c r="R1857" t="str">
        <f>INDEX('Partner data'!$A$2:$DG$171,MATCH(#REF!,'Partner data'!$DG$2:$DG$171,0),83)</f>
        <v>Soggetto pubblico</v>
      </c>
      <c r="S1857" s="86" t="b">
        <f>IF(#REF!="staff",INDEX('Partner data'!$DG$2:$DH$171,MATCH(#REF!,'Partner data'!$DG$2:$DG$171,0),2))</f>
        <v>0</v>
      </c>
    </row>
    <row r="1858" spans="1:19" x14ac:dyDescent="0.25">
      <c r="A1858" t="s">
        <v>63</v>
      </c>
      <c r="B1858" t="s">
        <v>46</v>
      </c>
      <c r="C1858">
        <v>230</v>
      </c>
      <c r="D1858">
        <v>20</v>
      </c>
      <c r="E1858" t="s">
        <v>236</v>
      </c>
      <c r="G1858">
        <v>0</v>
      </c>
      <c r="H1858">
        <v>0</v>
      </c>
      <c r="I1858">
        <v>0</v>
      </c>
      <c r="J1858">
        <v>0</v>
      </c>
      <c r="K1858">
        <v>0</v>
      </c>
      <c r="L1858">
        <v>0</v>
      </c>
      <c r="M1858">
        <v>0</v>
      </c>
      <c r="N1858">
        <v>0</v>
      </c>
      <c r="O1858">
        <v>0</v>
      </c>
      <c r="P1858">
        <v>0</v>
      </c>
      <c r="Q1858" t="str">
        <f>INDEX(pARTNER[#All],MATCH(#REF!,pARTNER[[#All],[Value.partnerSummary.id]],0),10)</f>
        <v>Slovenija (SI)</v>
      </c>
      <c r="R1858" t="str">
        <f>INDEX('Partner data'!$A$2:$DG$171,MATCH(#REF!,'Partner data'!$DG$2:$DG$171,0),83)</f>
        <v>Soggetto pubblico</v>
      </c>
      <c r="S1858" s="86" t="b">
        <f>IF(#REF!="staff",INDEX('Partner data'!$DG$2:$DH$171,MATCH(#REF!,'Partner data'!$DG$2:$DG$171,0),2))</f>
        <v>0</v>
      </c>
    </row>
    <row r="1859" spans="1:19" x14ac:dyDescent="0.25">
      <c r="A1859" t="s">
        <v>63</v>
      </c>
      <c r="B1859" t="s">
        <v>46</v>
      </c>
      <c r="C1859">
        <v>230</v>
      </c>
      <c r="D1859">
        <v>20</v>
      </c>
      <c r="E1859" t="s">
        <v>237</v>
      </c>
      <c r="G1859">
        <v>0</v>
      </c>
      <c r="H1859">
        <v>0</v>
      </c>
      <c r="I1859">
        <v>0</v>
      </c>
      <c r="J1859">
        <v>0</v>
      </c>
      <c r="K1859">
        <v>0</v>
      </c>
      <c r="L1859">
        <v>0</v>
      </c>
      <c r="M1859">
        <v>0</v>
      </c>
      <c r="N1859">
        <v>0</v>
      </c>
      <c r="O1859">
        <v>0</v>
      </c>
      <c r="P1859">
        <v>0</v>
      </c>
      <c r="Q1859" t="str">
        <f>INDEX(pARTNER[#All],MATCH(#REF!,pARTNER[[#All],[Value.partnerSummary.id]],0),10)</f>
        <v>Slovenija (SI)</v>
      </c>
      <c r="R1859" t="str">
        <f>INDEX('Partner data'!$A$2:$DG$171,MATCH(#REF!,'Partner data'!$DG$2:$DG$171,0),83)</f>
        <v>Soggetto pubblico</v>
      </c>
      <c r="S1859" s="86" t="b">
        <f>IF(#REF!="staff",INDEX('Partner data'!$DG$2:$DH$171,MATCH(#REF!,'Partner data'!$DG$2:$DG$171,0),2))</f>
        <v>0</v>
      </c>
    </row>
    <row r="1860" spans="1:19" x14ac:dyDescent="0.25">
      <c r="A1860" t="s">
        <v>63</v>
      </c>
      <c r="B1860" t="s">
        <v>46</v>
      </c>
      <c r="C1860">
        <v>230</v>
      </c>
      <c r="D1860">
        <v>20</v>
      </c>
      <c r="E1860" t="s">
        <v>238</v>
      </c>
      <c r="G1860">
        <v>248969.54</v>
      </c>
      <c r="H1860">
        <v>0</v>
      </c>
      <c r="I1860">
        <v>0</v>
      </c>
      <c r="J1860">
        <v>34482.17</v>
      </c>
      <c r="K1860">
        <v>0</v>
      </c>
      <c r="L1860">
        <v>24986.93</v>
      </c>
      <c r="M1860">
        <v>34482.17</v>
      </c>
      <c r="N1860">
        <v>13.85</v>
      </c>
      <c r="O1860">
        <v>214487.37</v>
      </c>
      <c r="P1860">
        <v>0</v>
      </c>
      <c r="Q1860" t="str">
        <f>INDEX(pARTNER[#All],MATCH(#REF!,pARTNER[[#All],[Value.partnerSummary.id]],0),10)</f>
        <v>Slovenija (SI)</v>
      </c>
      <c r="R1860" t="str">
        <f>INDEX('Partner data'!$A$2:$DG$171,MATCH(#REF!,'Partner data'!$DG$2:$DG$171,0),83)</f>
        <v>Soggetto pubblico</v>
      </c>
      <c r="S1860" s="86" t="b">
        <f>IF(#REF!="staff",INDEX('Partner data'!$DG$2:$DH$171,MATCH(#REF!,'Partner data'!$DG$2:$DG$171,0),2))</f>
        <v>0</v>
      </c>
    </row>
    <row r="1861" spans="1:19" x14ac:dyDescent="0.25">
      <c r="A1861" t="s">
        <v>63</v>
      </c>
      <c r="B1861" t="s">
        <v>46</v>
      </c>
      <c r="C1861">
        <v>230</v>
      </c>
      <c r="D1861">
        <v>234</v>
      </c>
      <c r="E1861" t="s">
        <v>228</v>
      </c>
      <c r="G1861">
        <v>171406.82</v>
      </c>
      <c r="H1861">
        <v>18201.55</v>
      </c>
      <c r="I1861">
        <v>6372.95</v>
      </c>
      <c r="J1861">
        <v>30103.55</v>
      </c>
      <c r="K1861">
        <v>6420.08</v>
      </c>
      <c r="L1861">
        <v>29316.65</v>
      </c>
      <c r="M1861">
        <v>48305.1</v>
      </c>
      <c r="N1861">
        <v>28.18</v>
      </c>
      <c r="O1861">
        <v>123101.72</v>
      </c>
      <c r="P1861">
        <v>11419.24</v>
      </c>
      <c r="Q1861" t="str">
        <f>INDEX(pARTNER[#All],MATCH(#REF!,pARTNER[[#All],[Value.partnerSummary.id]],0),10)</f>
        <v>Slovenija (SI)</v>
      </c>
      <c r="R1861" t="str">
        <f>INDEX('Partner data'!$A$2:$DG$171,MATCH(#REF!,'Partner data'!$DG$2:$DG$171,0),83)</f>
        <v>Soggetto pubblico</v>
      </c>
      <c r="S1861" s="86" t="str">
        <f>IF(#REF!="staff",INDEX('Partner data'!$DG$2:$DH$171,MATCH(#REF!,'Partner data'!$DG$2:$DG$171,0),2))</f>
        <v>COSTO REALE</v>
      </c>
    </row>
    <row r="1862" spans="1:19" x14ac:dyDescent="0.25">
      <c r="A1862" t="s">
        <v>63</v>
      </c>
      <c r="B1862" t="s">
        <v>46</v>
      </c>
      <c r="C1862">
        <v>230</v>
      </c>
      <c r="D1862">
        <v>234</v>
      </c>
      <c r="E1862" t="s">
        <v>229</v>
      </c>
      <c r="G1862">
        <v>0</v>
      </c>
      <c r="H1862">
        <v>0</v>
      </c>
      <c r="I1862">
        <v>0</v>
      </c>
      <c r="J1862">
        <v>0</v>
      </c>
      <c r="K1862">
        <v>0</v>
      </c>
      <c r="L1862">
        <v>0</v>
      </c>
      <c r="M1862">
        <v>0</v>
      </c>
      <c r="N1862">
        <v>0</v>
      </c>
      <c r="O1862">
        <v>0</v>
      </c>
      <c r="P1862">
        <v>0</v>
      </c>
      <c r="Q1862" t="str">
        <f>INDEX(pARTNER[#All],MATCH(#REF!,pARTNER[[#All],[Value.partnerSummary.id]],0),10)</f>
        <v>Slovenija (SI)</v>
      </c>
      <c r="R1862" t="str">
        <f>INDEX('Partner data'!$A$2:$DG$171,MATCH(#REF!,'Partner data'!$DG$2:$DG$171,0),83)</f>
        <v>Soggetto pubblico</v>
      </c>
      <c r="S1862" s="86" t="b">
        <f>IF(#REF!="staff",INDEX('Partner data'!$DG$2:$DH$171,MATCH(#REF!,'Partner data'!$DG$2:$DG$171,0),2))</f>
        <v>0</v>
      </c>
    </row>
    <row r="1863" spans="1:19" x14ac:dyDescent="0.25">
      <c r="A1863" t="s">
        <v>63</v>
      </c>
      <c r="B1863" t="s">
        <v>46</v>
      </c>
      <c r="C1863">
        <v>230</v>
      </c>
      <c r="D1863">
        <v>234</v>
      </c>
      <c r="E1863" t="s">
        <v>230</v>
      </c>
      <c r="G1863">
        <v>0</v>
      </c>
      <c r="H1863">
        <v>0</v>
      </c>
      <c r="I1863">
        <v>0</v>
      </c>
      <c r="J1863">
        <v>0</v>
      </c>
      <c r="K1863">
        <v>0</v>
      </c>
      <c r="L1863">
        <v>0</v>
      </c>
      <c r="M1863">
        <v>0</v>
      </c>
      <c r="N1863">
        <v>0</v>
      </c>
      <c r="O1863">
        <v>0</v>
      </c>
      <c r="P1863">
        <v>0</v>
      </c>
      <c r="Q1863" t="str">
        <f>INDEX(pARTNER[#All],MATCH(#REF!,pARTNER[[#All],[Value.partnerSummary.id]],0),10)</f>
        <v>Slovenija (SI)</v>
      </c>
      <c r="R1863" t="str">
        <f>INDEX('Partner data'!$A$2:$DG$171,MATCH(#REF!,'Partner data'!$DG$2:$DG$171,0),83)</f>
        <v>Soggetto pubblico</v>
      </c>
      <c r="S1863" s="86" t="b">
        <f>IF(#REF!="staff",INDEX('Partner data'!$DG$2:$DH$171,MATCH(#REF!,'Partner data'!$DG$2:$DG$171,0),2))</f>
        <v>0</v>
      </c>
    </row>
    <row r="1864" spans="1:19" x14ac:dyDescent="0.25">
      <c r="A1864" t="s">
        <v>63</v>
      </c>
      <c r="B1864" t="s">
        <v>46</v>
      </c>
      <c r="C1864">
        <v>230</v>
      </c>
      <c r="D1864">
        <v>234</v>
      </c>
      <c r="E1864" t="s">
        <v>231</v>
      </c>
      <c r="G1864">
        <v>0</v>
      </c>
      <c r="H1864">
        <v>0</v>
      </c>
      <c r="I1864">
        <v>0</v>
      </c>
      <c r="J1864">
        <v>0</v>
      </c>
      <c r="K1864">
        <v>0</v>
      </c>
      <c r="L1864">
        <v>0</v>
      </c>
      <c r="M1864">
        <v>0</v>
      </c>
      <c r="N1864">
        <v>0</v>
      </c>
      <c r="O1864">
        <v>0</v>
      </c>
      <c r="P1864">
        <v>0</v>
      </c>
      <c r="Q1864" t="str">
        <f>INDEX(pARTNER[#All],MATCH(#REF!,pARTNER[[#All],[Value.partnerSummary.id]],0),10)</f>
        <v>Slovenija (SI)</v>
      </c>
      <c r="R1864" t="str">
        <f>INDEX('Partner data'!$A$2:$DG$171,MATCH(#REF!,'Partner data'!$DG$2:$DG$171,0),83)</f>
        <v>Soggetto pubblico</v>
      </c>
      <c r="S1864" s="86" t="b">
        <f>IF(#REF!="staff",INDEX('Partner data'!$DG$2:$DH$171,MATCH(#REF!,'Partner data'!$DG$2:$DG$171,0),2))</f>
        <v>0</v>
      </c>
    </row>
    <row r="1865" spans="1:19" x14ac:dyDescent="0.25">
      <c r="A1865" t="s">
        <v>63</v>
      </c>
      <c r="B1865" t="s">
        <v>46</v>
      </c>
      <c r="C1865">
        <v>230</v>
      </c>
      <c r="D1865">
        <v>234</v>
      </c>
      <c r="E1865" t="s">
        <v>232</v>
      </c>
      <c r="G1865">
        <v>0</v>
      </c>
      <c r="H1865">
        <v>0</v>
      </c>
      <c r="I1865">
        <v>0</v>
      </c>
      <c r="J1865">
        <v>0</v>
      </c>
      <c r="K1865">
        <v>0</v>
      </c>
      <c r="L1865">
        <v>0</v>
      </c>
      <c r="M1865">
        <v>0</v>
      </c>
      <c r="N1865">
        <v>0</v>
      </c>
      <c r="O1865">
        <v>0</v>
      </c>
      <c r="P1865">
        <v>0</v>
      </c>
      <c r="Q1865" t="str">
        <f>INDEX(pARTNER[#All],MATCH(#REF!,pARTNER[[#All],[Value.partnerSummary.id]],0),10)</f>
        <v>Slovenija (SI)</v>
      </c>
      <c r="R1865" t="str">
        <f>INDEX('Partner data'!$A$2:$DG$171,MATCH(#REF!,'Partner data'!$DG$2:$DG$171,0),83)</f>
        <v>Soggetto pubblico</v>
      </c>
      <c r="S1865" s="86" t="b">
        <f>IF(#REF!="staff",INDEX('Partner data'!$DG$2:$DH$171,MATCH(#REF!,'Partner data'!$DG$2:$DG$171,0),2))</f>
        <v>0</v>
      </c>
    </row>
    <row r="1866" spans="1:19" x14ac:dyDescent="0.25">
      <c r="A1866" t="s">
        <v>63</v>
      </c>
      <c r="B1866" t="s">
        <v>46</v>
      </c>
      <c r="C1866">
        <v>230</v>
      </c>
      <c r="D1866">
        <v>234</v>
      </c>
      <c r="E1866" t="s">
        <v>233</v>
      </c>
      <c r="G1866">
        <v>0</v>
      </c>
      <c r="H1866">
        <v>0</v>
      </c>
      <c r="I1866">
        <v>0</v>
      </c>
      <c r="J1866">
        <v>0</v>
      </c>
      <c r="K1866">
        <v>0</v>
      </c>
      <c r="L1866">
        <v>0</v>
      </c>
      <c r="M1866">
        <v>0</v>
      </c>
      <c r="N1866">
        <v>0</v>
      </c>
      <c r="O1866">
        <v>0</v>
      </c>
      <c r="P1866">
        <v>0</v>
      </c>
      <c r="Q1866" t="str">
        <f>INDEX(pARTNER[#All],MATCH(#REF!,pARTNER[[#All],[Value.partnerSummary.id]],0),10)</f>
        <v>Slovenija (SI)</v>
      </c>
      <c r="R1866" t="str">
        <f>INDEX('Partner data'!$A$2:$DG$171,MATCH(#REF!,'Partner data'!$DG$2:$DG$171,0),83)</f>
        <v>Soggetto pubblico</v>
      </c>
      <c r="S1866" s="86" t="b">
        <f>IF(#REF!="staff",INDEX('Partner data'!$DG$2:$DH$171,MATCH(#REF!,'Partner data'!$DG$2:$DG$171,0),2))</f>
        <v>0</v>
      </c>
    </row>
    <row r="1867" spans="1:19" x14ac:dyDescent="0.25">
      <c r="A1867" t="s">
        <v>63</v>
      </c>
      <c r="B1867" t="s">
        <v>46</v>
      </c>
      <c r="C1867">
        <v>230</v>
      </c>
      <c r="D1867">
        <v>234</v>
      </c>
      <c r="E1867" t="s">
        <v>234</v>
      </c>
      <c r="F1867">
        <v>40</v>
      </c>
      <c r="G1867">
        <v>68562.720000000001</v>
      </c>
      <c r="H1867">
        <v>7280.62</v>
      </c>
      <c r="I1867">
        <v>2549.1799999999998</v>
      </c>
      <c r="J1867">
        <v>12041.42</v>
      </c>
      <c r="K1867">
        <v>2568.0300000000002</v>
      </c>
      <c r="L1867">
        <v>11726.66</v>
      </c>
      <c r="M1867">
        <v>19322.04</v>
      </c>
      <c r="N1867">
        <v>28.18</v>
      </c>
      <c r="O1867">
        <v>49240.68</v>
      </c>
      <c r="P1867">
        <v>4567.6899999999996</v>
      </c>
      <c r="Q1867" t="str">
        <f>INDEX(pARTNER[#All],MATCH(#REF!,pARTNER[[#All],[Value.partnerSummary.id]],0),10)</f>
        <v>Slovenija (SI)</v>
      </c>
      <c r="R1867" t="str">
        <f>INDEX('Partner data'!$A$2:$DG$171,MATCH(#REF!,'Partner data'!$DG$2:$DG$171,0),83)</f>
        <v>Soggetto pubblico</v>
      </c>
      <c r="S1867" s="86" t="b">
        <f>IF(#REF!="staff",INDEX('Partner data'!$DG$2:$DH$171,MATCH(#REF!,'Partner data'!$DG$2:$DG$171,0),2))</f>
        <v>0</v>
      </c>
    </row>
    <row r="1868" spans="1:19" x14ac:dyDescent="0.25">
      <c r="A1868" t="s">
        <v>63</v>
      </c>
      <c r="B1868" t="s">
        <v>46</v>
      </c>
      <c r="C1868">
        <v>230</v>
      </c>
      <c r="D1868">
        <v>234</v>
      </c>
      <c r="E1868" t="s">
        <v>235</v>
      </c>
      <c r="G1868">
        <v>9000</v>
      </c>
      <c r="H1868">
        <v>9000</v>
      </c>
      <c r="I1868">
        <v>0</v>
      </c>
      <c r="J1868">
        <v>0</v>
      </c>
      <c r="K1868">
        <v>0</v>
      </c>
      <c r="L1868">
        <v>0</v>
      </c>
      <c r="M1868">
        <v>9000</v>
      </c>
      <c r="N1868">
        <v>100</v>
      </c>
      <c r="O1868">
        <v>0</v>
      </c>
      <c r="P1868">
        <v>9000</v>
      </c>
      <c r="Q1868" t="str">
        <f>INDEX(pARTNER[#All],MATCH(#REF!,pARTNER[[#All],[Value.partnerSummary.id]],0),10)</f>
        <v>Slovenija (SI)</v>
      </c>
      <c r="R1868" t="str">
        <f>INDEX('Partner data'!$A$2:$DG$171,MATCH(#REF!,'Partner data'!$DG$2:$DG$171,0),83)</f>
        <v>Soggetto pubblico</v>
      </c>
      <c r="S1868" s="86" t="b">
        <f>IF(#REF!="staff",INDEX('Partner data'!$DG$2:$DH$171,MATCH(#REF!,'Partner data'!$DG$2:$DG$171,0),2))</f>
        <v>0</v>
      </c>
    </row>
    <row r="1869" spans="1:19" x14ac:dyDescent="0.25">
      <c r="A1869" t="s">
        <v>63</v>
      </c>
      <c r="B1869" t="s">
        <v>46</v>
      </c>
      <c r="C1869">
        <v>230</v>
      </c>
      <c r="D1869">
        <v>234</v>
      </c>
      <c r="E1869" t="s">
        <v>236</v>
      </c>
      <c r="G1869">
        <v>0</v>
      </c>
      <c r="H1869">
        <v>0</v>
      </c>
      <c r="I1869">
        <v>0</v>
      </c>
      <c r="J1869">
        <v>0</v>
      </c>
      <c r="K1869">
        <v>0</v>
      </c>
      <c r="L1869">
        <v>0</v>
      </c>
      <c r="M1869">
        <v>0</v>
      </c>
      <c r="N1869">
        <v>0</v>
      </c>
      <c r="O1869">
        <v>0</v>
      </c>
      <c r="P1869">
        <v>0</v>
      </c>
      <c r="Q1869" t="str">
        <f>INDEX(pARTNER[#All],MATCH(#REF!,pARTNER[[#All],[Value.partnerSummary.id]],0),10)</f>
        <v>Slovenija (SI)</v>
      </c>
      <c r="R1869" t="str">
        <f>INDEX('Partner data'!$A$2:$DG$171,MATCH(#REF!,'Partner data'!$DG$2:$DG$171,0),83)</f>
        <v>Soggetto pubblico</v>
      </c>
      <c r="S1869" s="86" t="b">
        <f>IF(#REF!="staff",INDEX('Partner data'!$DG$2:$DH$171,MATCH(#REF!,'Partner data'!$DG$2:$DG$171,0),2))</f>
        <v>0</v>
      </c>
    </row>
    <row r="1870" spans="1:19" x14ac:dyDescent="0.25">
      <c r="A1870" t="s">
        <v>63</v>
      </c>
      <c r="B1870" t="s">
        <v>46</v>
      </c>
      <c r="C1870">
        <v>230</v>
      </c>
      <c r="D1870">
        <v>234</v>
      </c>
      <c r="E1870" t="s">
        <v>237</v>
      </c>
      <c r="G1870">
        <v>0</v>
      </c>
      <c r="H1870">
        <v>0</v>
      </c>
      <c r="I1870">
        <v>0</v>
      </c>
      <c r="J1870">
        <v>0</v>
      </c>
      <c r="K1870">
        <v>0</v>
      </c>
      <c r="L1870">
        <v>0</v>
      </c>
      <c r="M1870">
        <v>0</v>
      </c>
      <c r="N1870">
        <v>0</v>
      </c>
      <c r="O1870">
        <v>0</v>
      </c>
      <c r="P1870">
        <v>0</v>
      </c>
      <c r="Q1870" t="str">
        <f>INDEX(pARTNER[#All],MATCH(#REF!,pARTNER[[#All],[Value.partnerSummary.id]],0),10)</f>
        <v>Slovenija (SI)</v>
      </c>
      <c r="R1870" t="str">
        <f>INDEX('Partner data'!$A$2:$DG$171,MATCH(#REF!,'Partner data'!$DG$2:$DG$171,0),83)</f>
        <v>Soggetto pubblico</v>
      </c>
      <c r="S1870" s="86" t="b">
        <f>IF(#REF!="staff",INDEX('Partner data'!$DG$2:$DH$171,MATCH(#REF!,'Partner data'!$DG$2:$DG$171,0),2))</f>
        <v>0</v>
      </c>
    </row>
    <row r="1871" spans="1:19" x14ac:dyDescent="0.25">
      <c r="A1871" t="s">
        <v>63</v>
      </c>
      <c r="B1871" t="s">
        <v>46</v>
      </c>
      <c r="C1871">
        <v>230</v>
      </c>
      <c r="D1871">
        <v>234</v>
      </c>
      <c r="E1871" t="s">
        <v>238</v>
      </c>
      <c r="G1871">
        <v>248969.54</v>
      </c>
      <c r="H1871">
        <v>34482.17</v>
      </c>
      <c r="I1871">
        <v>8922.1299999999992</v>
      </c>
      <c r="J1871">
        <v>42144.97</v>
      </c>
      <c r="K1871">
        <v>8988.11</v>
      </c>
      <c r="L1871">
        <v>41043.31</v>
      </c>
      <c r="M1871">
        <v>76627.14</v>
      </c>
      <c r="N1871">
        <v>30.78</v>
      </c>
      <c r="O1871">
        <v>172342.39999999999</v>
      </c>
      <c r="P1871">
        <v>24986.93</v>
      </c>
      <c r="Q1871" t="str">
        <f>INDEX(pARTNER[#All],MATCH(#REF!,pARTNER[[#All],[Value.partnerSummary.id]],0),10)</f>
        <v>Slovenija (SI)</v>
      </c>
      <c r="R1871" t="str">
        <f>INDEX('Partner data'!$A$2:$DG$171,MATCH(#REF!,'Partner data'!$DG$2:$DG$171,0),83)</f>
        <v>Soggetto pubblico</v>
      </c>
      <c r="S1871" s="86" t="b">
        <f>IF(#REF!="staff",INDEX('Partner data'!$DG$2:$DH$171,MATCH(#REF!,'Partner data'!$DG$2:$DG$171,0),2))</f>
        <v>0</v>
      </c>
    </row>
    <row r="1872" spans="1:19" x14ac:dyDescent="0.25">
      <c r="A1872" t="s">
        <v>373</v>
      </c>
      <c r="B1872" t="s">
        <v>375</v>
      </c>
      <c r="C1872">
        <v>299</v>
      </c>
      <c r="D1872">
        <v>221</v>
      </c>
      <c r="E1872" t="s">
        <v>228</v>
      </c>
      <c r="G1872">
        <v>37500</v>
      </c>
      <c r="H1872">
        <v>0</v>
      </c>
      <c r="I1872">
        <v>0</v>
      </c>
      <c r="J1872">
        <v>8632.7000000000007</v>
      </c>
      <c r="K1872">
        <v>0</v>
      </c>
      <c r="L1872">
        <v>7177.14</v>
      </c>
      <c r="M1872">
        <v>8632.7000000000007</v>
      </c>
      <c r="N1872">
        <v>23.02</v>
      </c>
      <c r="O1872">
        <v>28867.3</v>
      </c>
      <c r="P1872">
        <v>0</v>
      </c>
      <c r="Q1872" t="str">
        <f>INDEX(pARTNER[#All],MATCH(#REF!,pARTNER[[#All],[Value.partnerSummary.id]],0),10)</f>
        <v>Slovenija (SI)</v>
      </c>
      <c r="R1872" t="str">
        <f>INDEX('Partner data'!$A$2:$DG$171,MATCH(#REF!,'Partner data'!$DG$2:$DG$171,0),83)</f>
        <v>Soggetto privato</v>
      </c>
      <c r="S1872" s="86" t="str">
        <f>IF(#REF!="staff",INDEX('Partner data'!$DG$2:$DH$171,MATCH(#REF!,'Partner data'!$DG$2:$DG$171,0),2))</f>
        <v>COSTO REALE</v>
      </c>
    </row>
    <row r="1873" spans="1:19" x14ac:dyDescent="0.25">
      <c r="A1873" t="s">
        <v>373</v>
      </c>
      <c r="B1873" t="s">
        <v>375</v>
      </c>
      <c r="C1873">
        <v>299</v>
      </c>
      <c r="D1873">
        <v>221</v>
      </c>
      <c r="E1873" t="s">
        <v>229</v>
      </c>
      <c r="F1873">
        <v>15</v>
      </c>
      <c r="G1873">
        <v>5625</v>
      </c>
      <c r="H1873">
        <v>0</v>
      </c>
      <c r="I1873">
        <v>0</v>
      </c>
      <c r="J1873">
        <v>1294.9000000000001</v>
      </c>
      <c r="K1873">
        <v>0</v>
      </c>
      <c r="L1873">
        <v>1076.57</v>
      </c>
      <c r="M1873">
        <v>1294.9000000000001</v>
      </c>
      <c r="N1873">
        <v>23.02</v>
      </c>
      <c r="O1873">
        <v>4330.1000000000004</v>
      </c>
      <c r="P1873">
        <v>0</v>
      </c>
      <c r="Q1873" t="str">
        <f>INDEX(pARTNER[#All],MATCH(#REF!,pARTNER[[#All],[Value.partnerSummary.id]],0),10)</f>
        <v>Slovenija (SI)</v>
      </c>
      <c r="R1873" t="str">
        <f>INDEX('Partner data'!$A$2:$DG$171,MATCH(#REF!,'Partner data'!$DG$2:$DG$171,0),83)</f>
        <v>Soggetto privato</v>
      </c>
      <c r="S1873" s="86" t="b">
        <f>IF(#REF!="staff",INDEX('Partner data'!$DG$2:$DH$171,MATCH(#REF!,'Partner data'!$DG$2:$DG$171,0),2))</f>
        <v>0</v>
      </c>
    </row>
    <row r="1874" spans="1:19" x14ac:dyDescent="0.25">
      <c r="A1874" t="s">
        <v>373</v>
      </c>
      <c r="B1874" t="s">
        <v>375</v>
      </c>
      <c r="C1874">
        <v>299</v>
      </c>
      <c r="D1874">
        <v>221</v>
      </c>
      <c r="E1874" t="s">
        <v>230</v>
      </c>
      <c r="F1874">
        <v>4</v>
      </c>
      <c r="G1874">
        <v>1500</v>
      </c>
      <c r="H1874">
        <v>0</v>
      </c>
      <c r="I1874">
        <v>0</v>
      </c>
      <c r="J1874">
        <v>345.3</v>
      </c>
      <c r="K1874">
        <v>0</v>
      </c>
      <c r="L1874">
        <v>287.08</v>
      </c>
      <c r="M1874">
        <v>345.3</v>
      </c>
      <c r="N1874">
        <v>23.02</v>
      </c>
      <c r="O1874">
        <v>1154.7</v>
      </c>
      <c r="P1874">
        <v>0</v>
      </c>
      <c r="Q1874" t="str">
        <f>INDEX(pARTNER[#All],MATCH(#REF!,pARTNER[[#All],[Value.partnerSummary.id]],0),10)</f>
        <v>Slovenija (SI)</v>
      </c>
      <c r="R1874" t="str">
        <f>INDEX('Partner data'!$A$2:$DG$171,MATCH(#REF!,'Partner data'!$DG$2:$DG$171,0),83)</f>
        <v>Soggetto privato</v>
      </c>
      <c r="S1874" s="86" t="b">
        <f>IF(#REF!="staff",INDEX('Partner data'!$DG$2:$DH$171,MATCH(#REF!,'Partner data'!$DG$2:$DG$171,0),2))</f>
        <v>0</v>
      </c>
    </row>
    <row r="1875" spans="1:19" x14ac:dyDescent="0.25">
      <c r="A1875" t="s">
        <v>373</v>
      </c>
      <c r="B1875" t="s">
        <v>375</v>
      </c>
      <c r="C1875">
        <v>299</v>
      </c>
      <c r="D1875">
        <v>221</v>
      </c>
      <c r="E1875" t="s">
        <v>231</v>
      </c>
      <c r="G1875">
        <v>0</v>
      </c>
      <c r="H1875">
        <v>0</v>
      </c>
      <c r="I1875">
        <v>0</v>
      </c>
      <c r="J1875">
        <v>0</v>
      </c>
      <c r="K1875">
        <v>0</v>
      </c>
      <c r="L1875">
        <v>0</v>
      </c>
      <c r="M1875">
        <v>0</v>
      </c>
      <c r="N1875">
        <v>0</v>
      </c>
      <c r="O1875">
        <v>0</v>
      </c>
      <c r="P1875">
        <v>0</v>
      </c>
      <c r="Q1875" t="str">
        <f>INDEX(pARTNER[#All],MATCH(#REF!,pARTNER[[#All],[Value.partnerSummary.id]],0),10)</f>
        <v>Slovenija (SI)</v>
      </c>
      <c r="R1875" t="str">
        <f>INDEX('Partner data'!$A$2:$DG$171,MATCH(#REF!,'Partner data'!$DG$2:$DG$171,0),83)</f>
        <v>Soggetto privato</v>
      </c>
      <c r="S1875" s="86" t="b">
        <f>IF(#REF!="staff",INDEX('Partner data'!$DG$2:$DH$171,MATCH(#REF!,'Partner data'!$DG$2:$DG$171,0),2))</f>
        <v>0</v>
      </c>
    </row>
    <row r="1876" spans="1:19" x14ac:dyDescent="0.25">
      <c r="A1876" t="s">
        <v>373</v>
      </c>
      <c r="B1876" t="s">
        <v>375</v>
      </c>
      <c r="C1876">
        <v>299</v>
      </c>
      <c r="D1876">
        <v>221</v>
      </c>
      <c r="E1876" t="s">
        <v>232</v>
      </c>
      <c r="G1876">
        <v>0</v>
      </c>
      <c r="H1876">
        <v>0</v>
      </c>
      <c r="I1876">
        <v>0</v>
      </c>
      <c r="J1876">
        <v>0</v>
      </c>
      <c r="K1876">
        <v>0</v>
      </c>
      <c r="L1876">
        <v>0</v>
      </c>
      <c r="M1876">
        <v>0</v>
      </c>
      <c r="N1876">
        <v>0</v>
      </c>
      <c r="O1876">
        <v>0</v>
      </c>
      <c r="P1876">
        <v>0</v>
      </c>
      <c r="Q1876" t="str">
        <f>INDEX(pARTNER[#All],MATCH(#REF!,pARTNER[[#All],[Value.partnerSummary.id]],0),10)</f>
        <v>Slovenija (SI)</v>
      </c>
      <c r="R1876" t="str">
        <f>INDEX('Partner data'!$A$2:$DG$171,MATCH(#REF!,'Partner data'!$DG$2:$DG$171,0),83)</f>
        <v>Soggetto privato</v>
      </c>
      <c r="S1876" s="86" t="b">
        <f>IF(#REF!="staff",INDEX('Partner data'!$DG$2:$DH$171,MATCH(#REF!,'Partner data'!$DG$2:$DG$171,0),2))</f>
        <v>0</v>
      </c>
    </row>
    <row r="1877" spans="1:19" x14ac:dyDescent="0.25">
      <c r="A1877" t="s">
        <v>373</v>
      </c>
      <c r="B1877" t="s">
        <v>375</v>
      </c>
      <c r="C1877">
        <v>299</v>
      </c>
      <c r="D1877">
        <v>221</v>
      </c>
      <c r="E1877" t="s">
        <v>233</v>
      </c>
      <c r="G1877">
        <v>0</v>
      </c>
      <c r="H1877">
        <v>0</v>
      </c>
      <c r="I1877">
        <v>0</v>
      </c>
      <c r="J1877">
        <v>0</v>
      </c>
      <c r="K1877">
        <v>0</v>
      </c>
      <c r="L1877">
        <v>0</v>
      </c>
      <c r="M1877">
        <v>0</v>
      </c>
      <c r="N1877">
        <v>0</v>
      </c>
      <c r="O1877">
        <v>0</v>
      </c>
      <c r="P1877">
        <v>0</v>
      </c>
      <c r="Q1877" t="str">
        <f>INDEX(pARTNER[#All],MATCH(#REF!,pARTNER[[#All],[Value.partnerSummary.id]],0),10)</f>
        <v>Slovenija (SI)</v>
      </c>
      <c r="R1877" t="str">
        <f>INDEX('Partner data'!$A$2:$DG$171,MATCH(#REF!,'Partner data'!$DG$2:$DG$171,0),83)</f>
        <v>Soggetto privato</v>
      </c>
      <c r="S1877" s="86" t="b">
        <f>IF(#REF!="staff",INDEX('Partner data'!$DG$2:$DH$171,MATCH(#REF!,'Partner data'!$DG$2:$DG$171,0),2))</f>
        <v>0</v>
      </c>
    </row>
    <row r="1878" spans="1:19" x14ac:dyDescent="0.25">
      <c r="A1878" t="s">
        <v>373</v>
      </c>
      <c r="B1878" t="s">
        <v>375</v>
      </c>
      <c r="C1878">
        <v>299</v>
      </c>
      <c r="D1878">
        <v>221</v>
      </c>
      <c r="E1878" t="s">
        <v>234</v>
      </c>
      <c r="G1878">
        <v>0</v>
      </c>
      <c r="H1878">
        <v>0</v>
      </c>
      <c r="I1878">
        <v>0</v>
      </c>
      <c r="J1878">
        <v>0</v>
      </c>
      <c r="K1878">
        <v>0</v>
      </c>
      <c r="L1878">
        <v>0</v>
      </c>
      <c r="M1878">
        <v>0</v>
      </c>
      <c r="N1878">
        <v>0</v>
      </c>
      <c r="O1878">
        <v>0</v>
      </c>
      <c r="P1878">
        <v>0</v>
      </c>
      <c r="Q1878" t="str">
        <f>INDEX(pARTNER[#All],MATCH(#REF!,pARTNER[[#All],[Value.partnerSummary.id]],0),10)</f>
        <v>Slovenija (SI)</v>
      </c>
      <c r="R1878" t="str">
        <f>INDEX('Partner data'!$A$2:$DG$171,MATCH(#REF!,'Partner data'!$DG$2:$DG$171,0),83)</f>
        <v>Soggetto privato</v>
      </c>
      <c r="S1878" s="86" t="b">
        <f>IF(#REF!="staff",INDEX('Partner data'!$DG$2:$DH$171,MATCH(#REF!,'Partner data'!$DG$2:$DG$171,0),2))</f>
        <v>0</v>
      </c>
    </row>
    <row r="1879" spans="1:19" x14ac:dyDescent="0.25">
      <c r="A1879" t="s">
        <v>373</v>
      </c>
      <c r="B1879" t="s">
        <v>375</v>
      </c>
      <c r="C1879">
        <v>299</v>
      </c>
      <c r="D1879">
        <v>221</v>
      </c>
      <c r="E1879" t="s">
        <v>235</v>
      </c>
      <c r="G1879">
        <v>0</v>
      </c>
      <c r="H1879">
        <v>0</v>
      </c>
      <c r="I1879">
        <v>0</v>
      </c>
      <c r="J1879">
        <v>0</v>
      </c>
      <c r="K1879">
        <v>0</v>
      </c>
      <c r="L1879">
        <v>0</v>
      </c>
      <c r="M1879">
        <v>0</v>
      </c>
      <c r="N1879">
        <v>0</v>
      </c>
      <c r="O1879">
        <v>0</v>
      </c>
      <c r="P1879">
        <v>0</v>
      </c>
      <c r="Q1879" t="str">
        <f>INDEX(pARTNER[#All],MATCH(#REF!,pARTNER[[#All],[Value.partnerSummary.id]],0),10)</f>
        <v>Slovenija (SI)</v>
      </c>
      <c r="R1879" t="str">
        <f>INDEX('Partner data'!$A$2:$DG$171,MATCH(#REF!,'Partner data'!$DG$2:$DG$171,0),83)</f>
        <v>Soggetto privato</v>
      </c>
      <c r="S1879" s="86" t="b">
        <f>IF(#REF!="staff",INDEX('Partner data'!$DG$2:$DH$171,MATCH(#REF!,'Partner data'!$DG$2:$DG$171,0),2))</f>
        <v>0</v>
      </c>
    </row>
    <row r="1880" spans="1:19" x14ac:dyDescent="0.25">
      <c r="A1880" t="s">
        <v>373</v>
      </c>
      <c r="B1880" t="s">
        <v>375</v>
      </c>
      <c r="C1880">
        <v>299</v>
      </c>
      <c r="D1880">
        <v>221</v>
      </c>
      <c r="E1880" t="s">
        <v>236</v>
      </c>
      <c r="G1880">
        <v>0</v>
      </c>
      <c r="H1880">
        <v>0</v>
      </c>
      <c r="I1880">
        <v>0</v>
      </c>
      <c r="J1880">
        <v>0</v>
      </c>
      <c r="K1880">
        <v>0</v>
      </c>
      <c r="L1880">
        <v>0</v>
      </c>
      <c r="M1880">
        <v>0</v>
      </c>
      <c r="N1880">
        <v>0</v>
      </c>
      <c r="O1880">
        <v>0</v>
      </c>
      <c r="P1880">
        <v>0</v>
      </c>
      <c r="Q1880" t="str">
        <f>INDEX(pARTNER[#All],MATCH(#REF!,pARTNER[[#All],[Value.partnerSummary.id]],0),10)</f>
        <v>Slovenija (SI)</v>
      </c>
      <c r="R1880" t="str">
        <f>INDEX('Partner data'!$A$2:$DG$171,MATCH(#REF!,'Partner data'!$DG$2:$DG$171,0),83)</f>
        <v>Soggetto privato</v>
      </c>
      <c r="S1880" s="86" t="b">
        <f>IF(#REF!="staff",INDEX('Partner data'!$DG$2:$DH$171,MATCH(#REF!,'Partner data'!$DG$2:$DG$171,0),2))</f>
        <v>0</v>
      </c>
    </row>
    <row r="1881" spans="1:19" x14ac:dyDescent="0.25">
      <c r="A1881" t="s">
        <v>373</v>
      </c>
      <c r="B1881" t="s">
        <v>375</v>
      </c>
      <c r="C1881">
        <v>299</v>
      </c>
      <c r="D1881">
        <v>221</v>
      </c>
      <c r="E1881" t="s">
        <v>237</v>
      </c>
      <c r="G1881">
        <v>0</v>
      </c>
      <c r="H1881">
        <v>0</v>
      </c>
      <c r="I1881">
        <v>0</v>
      </c>
      <c r="J1881">
        <v>0</v>
      </c>
      <c r="K1881">
        <v>0</v>
      </c>
      <c r="L1881">
        <v>0</v>
      </c>
      <c r="M1881">
        <v>0</v>
      </c>
      <c r="N1881">
        <v>0</v>
      </c>
      <c r="O1881">
        <v>0</v>
      </c>
      <c r="P1881">
        <v>0</v>
      </c>
      <c r="Q1881" t="str">
        <f>INDEX(pARTNER[#All],MATCH(#REF!,pARTNER[[#All],[Value.partnerSummary.id]],0),10)</f>
        <v>Slovenija (SI)</v>
      </c>
      <c r="R1881" t="str">
        <f>INDEX('Partner data'!$A$2:$DG$171,MATCH(#REF!,'Partner data'!$DG$2:$DG$171,0),83)</f>
        <v>Soggetto privato</v>
      </c>
      <c r="S1881" s="86" t="b">
        <f>IF(#REF!="staff",INDEX('Partner data'!$DG$2:$DH$171,MATCH(#REF!,'Partner data'!$DG$2:$DG$171,0),2))</f>
        <v>0</v>
      </c>
    </row>
    <row r="1882" spans="1:19" x14ac:dyDescent="0.25">
      <c r="A1882" t="s">
        <v>373</v>
      </c>
      <c r="B1882" t="s">
        <v>375</v>
      </c>
      <c r="C1882">
        <v>299</v>
      </c>
      <c r="D1882">
        <v>221</v>
      </c>
      <c r="E1882" t="s">
        <v>238</v>
      </c>
      <c r="G1882">
        <v>44625</v>
      </c>
      <c r="H1882">
        <v>0</v>
      </c>
      <c r="I1882">
        <v>0</v>
      </c>
      <c r="J1882">
        <v>10272.9</v>
      </c>
      <c r="K1882">
        <v>0</v>
      </c>
      <c r="L1882">
        <v>8540.7900000000009</v>
      </c>
      <c r="M1882">
        <v>10272.9</v>
      </c>
      <c r="N1882">
        <v>23.02</v>
      </c>
      <c r="O1882">
        <v>34352.1</v>
      </c>
      <c r="P1882">
        <v>0</v>
      </c>
      <c r="Q1882" t="str">
        <f>INDEX(pARTNER[#All],MATCH(#REF!,pARTNER[[#All],[Value.partnerSummary.id]],0),10)</f>
        <v>Slovenija (SI)</v>
      </c>
      <c r="R1882" t="str">
        <f>INDEX('Partner data'!$A$2:$DG$171,MATCH(#REF!,'Partner data'!$DG$2:$DG$171,0),83)</f>
        <v>Soggetto privato</v>
      </c>
      <c r="S1882" s="86" t="b">
        <f>IF(#REF!="staff",INDEX('Partner data'!$DG$2:$DH$171,MATCH(#REF!,'Partner data'!$DG$2:$DG$171,0),2))</f>
        <v>0</v>
      </c>
    </row>
    <row r="1883" spans="1:19" x14ac:dyDescent="0.25">
      <c r="A1883" t="s">
        <v>373</v>
      </c>
      <c r="B1883" t="s">
        <v>376</v>
      </c>
      <c r="C1883">
        <v>297</v>
      </c>
      <c r="D1883">
        <v>214</v>
      </c>
      <c r="E1883" t="s">
        <v>228</v>
      </c>
      <c r="G1883">
        <v>91261.72</v>
      </c>
      <c r="H1883">
        <v>0</v>
      </c>
      <c r="I1883">
        <v>0</v>
      </c>
      <c r="J1883">
        <v>20987.66</v>
      </c>
      <c r="K1883">
        <v>0</v>
      </c>
      <c r="L1883">
        <v>0</v>
      </c>
      <c r="M1883">
        <v>20987.66</v>
      </c>
      <c r="N1883">
        <v>23</v>
      </c>
      <c r="O1883">
        <v>70274.06</v>
      </c>
      <c r="P1883">
        <v>0</v>
      </c>
      <c r="Q1883" t="str">
        <f>INDEX(pARTNER[#All],MATCH(#REF!,pARTNER[[#All],[Value.partnerSummary.id]],0),10)</f>
        <v>Italia (IT)</v>
      </c>
      <c r="R1883" t="str">
        <f>INDEX('Partner data'!$A$2:$DG$171,MATCH(#REF!,'Partner data'!$DG$2:$DG$171,0),83)</f>
        <v xml:space="preserve">Organismo di diritto pubblico </v>
      </c>
      <c r="S1883" s="86" t="str">
        <f>IF(#REF!="staff",INDEX('Partner data'!$DG$2:$DH$171,MATCH(#REF!,'Partner data'!$DG$2:$DG$171,0),2))</f>
        <v>COSTO REALE</v>
      </c>
    </row>
    <row r="1884" spans="1:19" x14ac:dyDescent="0.25">
      <c r="A1884" t="s">
        <v>373</v>
      </c>
      <c r="B1884" t="s">
        <v>376</v>
      </c>
      <c r="C1884">
        <v>297</v>
      </c>
      <c r="D1884">
        <v>214</v>
      </c>
      <c r="E1884" t="s">
        <v>229</v>
      </c>
      <c r="F1884">
        <v>15</v>
      </c>
      <c r="G1884">
        <v>13689.25</v>
      </c>
      <c r="H1884">
        <v>0</v>
      </c>
      <c r="I1884">
        <v>0</v>
      </c>
      <c r="J1884">
        <v>3148.14</v>
      </c>
      <c r="K1884">
        <v>0</v>
      </c>
      <c r="L1884">
        <v>0</v>
      </c>
      <c r="M1884">
        <v>3148.14</v>
      </c>
      <c r="N1884">
        <v>23</v>
      </c>
      <c r="O1884">
        <v>10541.11</v>
      </c>
      <c r="P1884">
        <v>0</v>
      </c>
      <c r="Q1884" t="str">
        <f>INDEX(pARTNER[#All],MATCH(#REF!,pARTNER[[#All],[Value.partnerSummary.id]],0),10)</f>
        <v>Italia (IT)</v>
      </c>
      <c r="R1884" t="str">
        <f>INDEX('Partner data'!$A$2:$DG$171,MATCH(#REF!,'Partner data'!$DG$2:$DG$171,0),83)</f>
        <v xml:space="preserve">Organismo di diritto pubblico </v>
      </c>
      <c r="S1884" s="86" t="b">
        <f>IF(#REF!="staff",INDEX('Partner data'!$DG$2:$DH$171,MATCH(#REF!,'Partner data'!$DG$2:$DG$171,0),2))</f>
        <v>0</v>
      </c>
    </row>
    <row r="1885" spans="1:19" x14ac:dyDescent="0.25">
      <c r="A1885" t="s">
        <v>373</v>
      </c>
      <c r="B1885" t="s">
        <v>376</v>
      </c>
      <c r="C1885">
        <v>297</v>
      </c>
      <c r="D1885">
        <v>214</v>
      </c>
      <c r="E1885" t="s">
        <v>230</v>
      </c>
      <c r="F1885">
        <v>4</v>
      </c>
      <c r="G1885">
        <v>3650.46</v>
      </c>
      <c r="H1885">
        <v>0</v>
      </c>
      <c r="I1885">
        <v>0</v>
      </c>
      <c r="J1885">
        <v>839.5</v>
      </c>
      <c r="K1885">
        <v>0</v>
      </c>
      <c r="L1885">
        <v>0</v>
      </c>
      <c r="M1885">
        <v>839.5</v>
      </c>
      <c r="N1885">
        <v>23</v>
      </c>
      <c r="O1885">
        <v>2810.96</v>
      </c>
      <c r="P1885">
        <v>0</v>
      </c>
      <c r="Q1885" t="str">
        <f>INDEX(pARTNER[#All],MATCH(#REF!,pARTNER[[#All],[Value.partnerSummary.id]],0),10)</f>
        <v>Italia (IT)</v>
      </c>
      <c r="R1885" t="str">
        <f>INDEX('Partner data'!$A$2:$DG$171,MATCH(#REF!,'Partner data'!$DG$2:$DG$171,0),83)</f>
        <v xml:space="preserve">Organismo di diritto pubblico </v>
      </c>
      <c r="S1885" s="86" t="b">
        <f>IF(#REF!="staff",INDEX('Partner data'!$DG$2:$DH$171,MATCH(#REF!,'Partner data'!$DG$2:$DG$171,0),2))</f>
        <v>0</v>
      </c>
    </row>
    <row r="1886" spans="1:19" x14ac:dyDescent="0.25">
      <c r="A1886" t="s">
        <v>373</v>
      </c>
      <c r="B1886" t="s">
        <v>376</v>
      </c>
      <c r="C1886">
        <v>297</v>
      </c>
      <c r="D1886">
        <v>214</v>
      </c>
      <c r="E1886" t="s">
        <v>231</v>
      </c>
      <c r="G1886">
        <v>19398.57</v>
      </c>
      <c r="H1886">
        <v>0</v>
      </c>
      <c r="I1886">
        <v>0</v>
      </c>
      <c r="J1886">
        <v>634</v>
      </c>
      <c r="K1886">
        <v>0</v>
      </c>
      <c r="L1886">
        <v>634</v>
      </c>
      <c r="M1886">
        <v>634</v>
      </c>
      <c r="N1886">
        <v>3.27</v>
      </c>
      <c r="O1886">
        <v>18764.57</v>
      </c>
      <c r="P1886">
        <v>0</v>
      </c>
      <c r="Q1886" t="str">
        <f>INDEX(pARTNER[#All],MATCH(#REF!,pARTNER[[#All],[Value.partnerSummary.id]],0),10)</f>
        <v>Italia (IT)</v>
      </c>
      <c r="R1886" t="str">
        <f>INDEX('Partner data'!$A$2:$DG$171,MATCH(#REF!,'Partner data'!$DG$2:$DG$171,0),83)</f>
        <v xml:space="preserve">Organismo di diritto pubblico </v>
      </c>
      <c r="S1886" s="86" t="b">
        <f>IF(#REF!="staff",INDEX('Partner data'!$DG$2:$DH$171,MATCH(#REF!,'Partner data'!$DG$2:$DG$171,0),2))</f>
        <v>0</v>
      </c>
    </row>
    <row r="1887" spans="1:19" x14ac:dyDescent="0.25">
      <c r="A1887" t="s">
        <v>373</v>
      </c>
      <c r="B1887" t="s">
        <v>376</v>
      </c>
      <c r="C1887">
        <v>297</v>
      </c>
      <c r="D1887">
        <v>214</v>
      </c>
      <c r="E1887" t="s">
        <v>232</v>
      </c>
      <c r="G1887">
        <v>0</v>
      </c>
      <c r="H1887">
        <v>0</v>
      </c>
      <c r="I1887">
        <v>0</v>
      </c>
      <c r="J1887">
        <v>0</v>
      </c>
      <c r="K1887">
        <v>0</v>
      </c>
      <c r="L1887">
        <v>0</v>
      </c>
      <c r="M1887">
        <v>0</v>
      </c>
      <c r="N1887">
        <v>0</v>
      </c>
      <c r="O1887">
        <v>0</v>
      </c>
      <c r="P1887">
        <v>0</v>
      </c>
      <c r="Q1887" t="str">
        <f>INDEX(pARTNER[#All],MATCH(#REF!,pARTNER[[#All],[Value.partnerSummary.id]],0),10)</f>
        <v>Italia (IT)</v>
      </c>
      <c r="R1887" t="str">
        <f>INDEX('Partner data'!$A$2:$DG$171,MATCH(#REF!,'Partner data'!$DG$2:$DG$171,0),83)</f>
        <v xml:space="preserve">Organismo di diritto pubblico </v>
      </c>
      <c r="S1887" s="86" t="b">
        <f>IF(#REF!="staff",INDEX('Partner data'!$DG$2:$DH$171,MATCH(#REF!,'Partner data'!$DG$2:$DG$171,0),2))</f>
        <v>0</v>
      </c>
    </row>
    <row r="1888" spans="1:19" x14ac:dyDescent="0.25">
      <c r="A1888" t="s">
        <v>373</v>
      </c>
      <c r="B1888" t="s">
        <v>376</v>
      </c>
      <c r="C1888">
        <v>297</v>
      </c>
      <c r="D1888">
        <v>214</v>
      </c>
      <c r="E1888" t="s">
        <v>233</v>
      </c>
      <c r="G1888">
        <v>0</v>
      </c>
      <c r="H1888">
        <v>0</v>
      </c>
      <c r="I1888">
        <v>0</v>
      </c>
      <c r="J1888">
        <v>0</v>
      </c>
      <c r="K1888">
        <v>0</v>
      </c>
      <c r="L1888">
        <v>0</v>
      </c>
      <c r="M1888">
        <v>0</v>
      </c>
      <c r="N1888">
        <v>0</v>
      </c>
      <c r="O1888">
        <v>0</v>
      </c>
      <c r="P1888">
        <v>0</v>
      </c>
      <c r="Q1888" t="str">
        <f>INDEX(pARTNER[#All],MATCH(#REF!,pARTNER[[#All],[Value.partnerSummary.id]],0),10)</f>
        <v>Italia (IT)</v>
      </c>
      <c r="R1888" t="str">
        <f>INDEX('Partner data'!$A$2:$DG$171,MATCH(#REF!,'Partner data'!$DG$2:$DG$171,0),83)</f>
        <v xml:space="preserve">Organismo di diritto pubblico </v>
      </c>
      <c r="S1888" s="86" t="b">
        <f>IF(#REF!="staff",INDEX('Partner data'!$DG$2:$DH$171,MATCH(#REF!,'Partner data'!$DG$2:$DG$171,0),2))</f>
        <v>0</v>
      </c>
    </row>
    <row r="1889" spans="1:19" x14ac:dyDescent="0.25">
      <c r="A1889" t="s">
        <v>373</v>
      </c>
      <c r="B1889" t="s">
        <v>376</v>
      </c>
      <c r="C1889">
        <v>297</v>
      </c>
      <c r="D1889">
        <v>214</v>
      </c>
      <c r="E1889" t="s">
        <v>234</v>
      </c>
      <c r="G1889">
        <v>0</v>
      </c>
      <c r="H1889">
        <v>0</v>
      </c>
      <c r="I1889">
        <v>0</v>
      </c>
      <c r="J1889">
        <v>0</v>
      </c>
      <c r="K1889">
        <v>0</v>
      </c>
      <c r="L1889">
        <v>0</v>
      </c>
      <c r="M1889">
        <v>0</v>
      </c>
      <c r="N1889">
        <v>0</v>
      </c>
      <c r="O1889">
        <v>0</v>
      </c>
      <c r="P1889">
        <v>0</v>
      </c>
      <c r="Q1889" t="str">
        <f>INDEX(pARTNER[#All],MATCH(#REF!,pARTNER[[#All],[Value.partnerSummary.id]],0),10)</f>
        <v>Italia (IT)</v>
      </c>
      <c r="R1889" t="str">
        <f>INDEX('Partner data'!$A$2:$DG$171,MATCH(#REF!,'Partner data'!$DG$2:$DG$171,0),83)</f>
        <v xml:space="preserve">Organismo di diritto pubblico </v>
      </c>
      <c r="S1889" s="86" t="b">
        <f>IF(#REF!="staff",INDEX('Partner data'!$DG$2:$DH$171,MATCH(#REF!,'Partner data'!$DG$2:$DG$171,0),2))</f>
        <v>0</v>
      </c>
    </row>
    <row r="1890" spans="1:19" x14ac:dyDescent="0.25">
      <c r="A1890" t="s">
        <v>373</v>
      </c>
      <c r="B1890" t="s">
        <v>376</v>
      </c>
      <c r="C1890">
        <v>297</v>
      </c>
      <c r="D1890">
        <v>214</v>
      </c>
      <c r="E1890" t="s">
        <v>235</v>
      </c>
      <c r="G1890">
        <v>0</v>
      </c>
      <c r="H1890">
        <v>0</v>
      </c>
      <c r="I1890">
        <v>0</v>
      </c>
      <c r="J1890">
        <v>0</v>
      </c>
      <c r="K1890">
        <v>0</v>
      </c>
      <c r="L1890">
        <v>0</v>
      </c>
      <c r="M1890">
        <v>0</v>
      </c>
      <c r="N1890">
        <v>0</v>
      </c>
      <c r="O1890">
        <v>0</v>
      </c>
      <c r="P1890">
        <v>0</v>
      </c>
      <c r="Q1890" t="str">
        <f>INDEX(pARTNER[#All],MATCH(#REF!,pARTNER[[#All],[Value.partnerSummary.id]],0),10)</f>
        <v>Italia (IT)</v>
      </c>
      <c r="R1890" t="str">
        <f>INDEX('Partner data'!$A$2:$DG$171,MATCH(#REF!,'Partner data'!$DG$2:$DG$171,0),83)</f>
        <v xml:space="preserve">Organismo di diritto pubblico </v>
      </c>
      <c r="S1890" s="86" t="b">
        <f>IF(#REF!="staff",INDEX('Partner data'!$DG$2:$DH$171,MATCH(#REF!,'Partner data'!$DG$2:$DG$171,0),2))</f>
        <v>0</v>
      </c>
    </row>
    <row r="1891" spans="1:19" x14ac:dyDescent="0.25">
      <c r="A1891" t="s">
        <v>373</v>
      </c>
      <c r="B1891" t="s">
        <v>376</v>
      </c>
      <c r="C1891">
        <v>297</v>
      </c>
      <c r="D1891">
        <v>214</v>
      </c>
      <c r="E1891" t="s">
        <v>236</v>
      </c>
      <c r="G1891">
        <v>0</v>
      </c>
      <c r="H1891">
        <v>0</v>
      </c>
      <c r="I1891">
        <v>0</v>
      </c>
      <c r="J1891">
        <v>0</v>
      </c>
      <c r="K1891">
        <v>0</v>
      </c>
      <c r="L1891">
        <v>0</v>
      </c>
      <c r="M1891">
        <v>0</v>
      </c>
      <c r="N1891">
        <v>0</v>
      </c>
      <c r="O1891">
        <v>0</v>
      </c>
      <c r="P1891">
        <v>0</v>
      </c>
      <c r="Q1891" t="str">
        <f>INDEX(pARTNER[#All],MATCH(#REF!,pARTNER[[#All],[Value.partnerSummary.id]],0),10)</f>
        <v>Italia (IT)</v>
      </c>
      <c r="R1891" t="str">
        <f>INDEX('Partner data'!$A$2:$DG$171,MATCH(#REF!,'Partner data'!$DG$2:$DG$171,0),83)</f>
        <v xml:space="preserve">Organismo di diritto pubblico </v>
      </c>
      <c r="S1891" s="86" t="b">
        <f>IF(#REF!="staff",INDEX('Partner data'!$DG$2:$DH$171,MATCH(#REF!,'Partner data'!$DG$2:$DG$171,0),2))</f>
        <v>0</v>
      </c>
    </row>
    <row r="1892" spans="1:19" x14ac:dyDescent="0.25">
      <c r="A1892" t="s">
        <v>373</v>
      </c>
      <c r="B1892" t="s">
        <v>376</v>
      </c>
      <c r="C1892">
        <v>297</v>
      </c>
      <c r="D1892">
        <v>214</v>
      </c>
      <c r="E1892" t="s">
        <v>237</v>
      </c>
      <c r="G1892">
        <v>0</v>
      </c>
      <c r="H1892">
        <v>0</v>
      </c>
      <c r="I1892">
        <v>0</v>
      </c>
      <c r="J1892">
        <v>0</v>
      </c>
      <c r="K1892">
        <v>0</v>
      </c>
      <c r="L1892">
        <v>0</v>
      </c>
      <c r="M1892">
        <v>0</v>
      </c>
      <c r="N1892">
        <v>0</v>
      </c>
      <c r="O1892">
        <v>0</v>
      </c>
      <c r="P1892">
        <v>0</v>
      </c>
      <c r="Q1892" t="str">
        <f>INDEX(pARTNER[#All],MATCH(#REF!,pARTNER[[#All],[Value.partnerSummary.id]],0),10)</f>
        <v>Italia (IT)</v>
      </c>
      <c r="R1892" t="str">
        <f>INDEX('Partner data'!$A$2:$DG$171,MATCH(#REF!,'Partner data'!$DG$2:$DG$171,0),83)</f>
        <v xml:space="preserve">Organismo di diritto pubblico </v>
      </c>
      <c r="S1892" s="86" t="b">
        <f>IF(#REF!="staff",INDEX('Partner data'!$DG$2:$DH$171,MATCH(#REF!,'Partner data'!$DG$2:$DG$171,0),2))</f>
        <v>0</v>
      </c>
    </row>
    <row r="1893" spans="1:19" x14ac:dyDescent="0.25">
      <c r="A1893" t="s">
        <v>373</v>
      </c>
      <c r="B1893" t="s">
        <v>376</v>
      </c>
      <c r="C1893">
        <v>297</v>
      </c>
      <c r="D1893">
        <v>214</v>
      </c>
      <c r="E1893" t="s">
        <v>238</v>
      </c>
      <c r="G1893">
        <v>128000</v>
      </c>
      <c r="H1893">
        <v>0</v>
      </c>
      <c r="I1893">
        <v>0</v>
      </c>
      <c r="J1893">
        <v>25609.3</v>
      </c>
      <c r="K1893">
        <v>0</v>
      </c>
      <c r="L1893">
        <v>634</v>
      </c>
      <c r="M1893">
        <v>25609.3</v>
      </c>
      <c r="N1893">
        <v>20.010000000000002</v>
      </c>
      <c r="O1893">
        <v>102390.7</v>
      </c>
      <c r="P1893">
        <v>0</v>
      </c>
      <c r="Q1893" t="str">
        <f>INDEX(pARTNER[#All],MATCH(#REF!,pARTNER[[#All],[Value.partnerSummary.id]],0),10)</f>
        <v>Italia (IT)</v>
      </c>
      <c r="R1893" t="str">
        <f>INDEX('Partner data'!$A$2:$DG$171,MATCH(#REF!,'Partner data'!$DG$2:$DG$171,0),83)</f>
        <v xml:space="preserve">Organismo di diritto pubblico </v>
      </c>
      <c r="S1893" s="86" t="b">
        <f>IF(#REF!="staff",INDEX('Partner data'!$DG$2:$DH$171,MATCH(#REF!,'Partner data'!$DG$2:$DG$171,0),2))</f>
        <v>0</v>
      </c>
    </row>
    <row r="1894" spans="1:19" x14ac:dyDescent="0.25">
      <c r="A1894" t="s">
        <v>373</v>
      </c>
      <c r="B1894" t="s">
        <v>377</v>
      </c>
      <c r="C1894">
        <v>302</v>
      </c>
      <c r="D1894">
        <v>228</v>
      </c>
      <c r="E1894" t="s">
        <v>228</v>
      </c>
      <c r="G1894">
        <v>38684.559999999998</v>
      </c>
      <c r="H1894">
        <v>0</v>
      </c>
      <c r="I1894">
        <v>0</v>
      </c>
      <c r="J1894">
        <v>2915</v>
      </c>
      <c r="K1894">
        <v>0</v>
      </c>
      <c r="L1894">
        <v>2915</v>
      </c>
      <c r="M1894">
        <v>2915</v>
      </c>
      <c r="N1894">
        <v>7.54</v>
      </c>
      <c r="O1894">
        <v>35769.56</v>
      </c>
      <c r="P1894">
        <v>0</v>
      </c>
      <c r="Q1894" t="str">
        <f>INDEX(pARTNER[#All],MATCH(#REF!,pARTNER[[#All],[Value.partnerSummary.id]],0),10)</f>
        <v>Italia (IT)</v>
      </c>
      <c r="R1894" t="str">
        <f>INDEX('Partner data'!$A$2:$DG$171,MATCH(#REF!,'Partner data'!$DG$2:$DG$171,0),83)</f>
        <v>Soggetto privato</v>
      </c>
      <c r="S1894" s="86" t="str">
        <f>IF(#REF!="staff",INDEX('Partner data'!$DG$2:$DH$171,MATCH(#REF!,'Partner data'!$DG$2:$DG$171,0),2))</f>
        <v>Tasso Forfettario 20%</v>
      </c>
    </row>
    <row r="1895" spans="1:19" x14ac:dyDescent="0.25">
      <c r="A1895" t="s">
        <v>373</v>
      </c>
      <c r="B1895" t="s">
        <v>377</v>
      </c>
      <c r="C1895">
        <v>302</v>
      </c>
      <c r="D1895">
        <v>228</v>
      </c>
      <c r="E1895" t="s">
        <v>229</v>
      </c>
      <c r="G1895">
        <v>0</v>
      </c>
      <c r="H1895">
        <v>0</v>
      </c>
      <c r="I1895">
        <v>0</v>
      </c>
      <c r="J1895">
        <v>0</v>
      </c>
      <c r="K1895">
        <v>0</v>
      </c>
      <c r="L1895">
        <v>0</v>
      </c>
      <c r="M1895">
        <v>0</v>
      </c>
      <c r="N1895">
        <v>0</v>
      </c>
      <c r="O1895">
        <v>0</v>
      </c>
      <c r="P1895">
        <v>0</v>
      </c>
      <c r="Q1895" t="str">
        <f>INDEX(pARTNER[#All],MATCH(#REF!,pARTNER[[#All],[Value.partnerSummary.id]],0),10)</f>
        <v>Italia (IT)</v>
      </c>
      <c r="R1895" t="str">
        <f>INDEX('Partner data'!$A$2:$DG$171,MATCH(#REF!,'Partner data'!$DG$2:$DG$171,0),83)</f>
        <v>Soggetto privato</v>
      </c>
      <c r="S1895" s="86" t="b">
        <f>IF(#REF!="staff",INDEX('Partner data'!$DG$2:$DH$171,MATCH(#REF!,'Partner data'!$DG$2:$DG$171,0),2))</f>
        <v>0</v>
      </c>
    </row>
    <row r="1896" spans="1:19" x14ac:dyDescent="0.25">
      <c r="A1896" t="s">
        <v>373</v>
      </c>
      <c r="B1896" t="s">
        <v>377</v>
      </c>
      <c r="C1896">
        <v>302</v>
      </c>
      <c r="D1896">
        <v>228</v>
      </c>
      <c r="E1896" t="s">
        <v>230</v>
      </c>
      <c r="F1896">
        <v>4</v>
      </c>
      <c r="G1896">
        <v>1547.38</v>
      </c>
      <c r="H1896">
        <v>0</v>
      </c>
      <c r="I1896">
        <v>0</v>
      </c>
      <c r="J1896">
        <v>116.6</v>
      </c>
      <c r="K1896">
        <v>0</v>
      </c>
      <c r="L1896">
        <v>116.6</v>
      </c>
      <c r="M1896">
        <v>116.6</v>
      </c>
      <c r="N1896">
        <v>7.54</v>
      </c>
      <c r="O1896">
        <v>1430.78</v>
      </c>
      <c r="P1896">
        <v>0</v>
      </c>
      <c r="Q1896" t="str">
        <f>INDEX(pARTNER[#All],MATCH(#REF!,pARTNER[[#All],[Value.partnerSummary.id]],0),10)</f>
        <v>Italia (IT)</v>
      </c>
      <c r="R1896" t="str">
        <f>INDEX('Partner data'!$A$2:$DG$171,MATCH(#REF!,'Partner data'!$DG$2:$DG$171,0),83)</f>
        <v>Soggetto privato</v>
      </c>
      <c r="S1896" s="86" t="b">
        <f>IF(#REF!="staff",INDEX('Partner data'!$DG$2:$DH$171,MATCH(#REF!,'Partner data'!$DG$2:$DG$171,0),2))</f>
        <v>0</v>
      </c>
    </row>
    <row r="1897" spans="1:19" x14ac:dyDescent="0.25">
      <c r="A1897" t="s">
        <v>373</v>
      </c>
      <c r="B1897" t="s">
        <v>377</v>
      </c>
      <c r="C1897">
        <v>302</v>
      </c>
      <c r="D1897">
        <v>228</v>
      </c>
      <c r="E1897" t="s">
        <v>231</v>
      </c>
      <c r="G1897">
        <v>25000.06</v>
      </c>
      <c r="H1897">
        <v>0</v>
      </c>
      <c r="I1897">
        <v>0</v>
      </c>
      <c r="J1897">
        <v>0</v>
      </c>
      <c r="K1897">
        <v>0</v>
      </c>
      <c r="L1897">
        <v>0</v>
      </c>
      <c r="M1897">
        <v>0</v>
      </c>
      <c r="N1897">
        <v>0</v>
      </c>
      <c r="O1897">
        <v>25000.06</v>
      </c>
      <c r="P1897">
        <v>0</v>
      </c>
      <c r="Q1897" t="str">
        <f>INDEX(pARTNER[#All],MATCH(#REF!,pARTNER[[#All],[Value.partnerSummary.id]],0),10)</f>
        <v>Italia (IT)</v>
      </c>
      <c r="R1897" t="str">
        <f>INDEX('Partner data'!$A$2:$DG$171,MATCH(#REF!,'Partner data'!$DG$2:$DG$171,0),83)</f>
        <v>Soggetto privato</v>
      </c>
      <c r="S1897" s="86" t="b">
        <f>IF(#REF!="staff",INDEX('Partner data'!$DG$2:$DH$171,MATCH(#REF!,'Partner data'!$DG$2:$DG$171,0),2))</f>
        <v>0</v>
      </c>
    </row>
    <row r="1898" spans="1:19" x14ac:dyDescent="0.25">
      <c r="A1898" t="s">
        <v>373</v>
      </c>
      <c r="B1898" t="s">
        <v>377</v>
      </c>
      <c r="C1898">
        <v>302</v>
      </c>
      <c r="D1898">
        <v>228</v>
      </c>
      <c r="E1898" t="s">
        <v>232</v>
      </c>
      <c r="G1898">
        <v>0</v>
      </c>
      <c r="H1898">
        <v>0</v>
      </c>
      <c r="I1898">
        <v>0</v>
      </c>
      <c r="J1898">
        <v>0</v>
      </c>
      <c r="K1898">
        <v>0</v>
      </c>
      <c r="L1898">
        <v>0</v>
      </c>
      <c r="M1898">
        <v>0</v>
      </c>
      <c r="N1898">
        <v>0</v>
      </c>
      <c r="O1898">
        <v>0</v>
      </c>
      <c r="P1898">
        <v>0</v>
      </c>
      <c r="Q1898" t="str">
        <f>INDEX(pARTNER[#All],MATCH(#REF!,pARTNER[[#All],[Value.partnerSummary.id]],0),10)</f>
        <v>Italia (IT)</v>
      </c>
      <c r="R1898" t="str">
        <f>INDEX('Partner data'!$A$2:$DG$171,MATCH(#REF!,'Partner data'!$DG$2:$DG$171,0),83)</f>
        <v>Soggetto privato</v>
      </c>
      <c r="S1898" s="86" t="b">
        <f>IF(#REF!="staff",INDEX('Partner data'!$DG$2:$DH$171,MATCH(#REF!,'Partner data'!$DG$2:$DG$171,0),2))</f>
        <v>0</v>
      </c>
    </row>
    <row r="1899" spans="1:19" x14ac:dyDescent="0.25">
      <c r="A1899" t="s">
        <v>373</v>
      </c>
      <c r="B1899" t="s">
        <v>377</v>
      </c>
      <c r="C1899">
        <v>302</v>
      </c>
      <c r="D1899">
        <v>228</v>
      </c>
      <c r="E1899" t="s">
        <v>233</v>
      </c>
      <c r="G1899">
        <v>0</v>
      </c>
      <c r="H1899">
        <v>0</v>
      </c>
      <c r="I1899">
        <v>0</v>
      </c>
      <c r="J1899">
        <v>0</v>
      </c>
      <c r="K1899">
        <v>0</v>
      </c>
      <c r="L1899">
        <v>0</v>
      </c>
      <c r="M1899">
        <v>0</v>
      </c>
      <c r="N1899">
        <v>0</v>
      </c>
      <c r="O1899">
        <v>0</v>
      </c>
      <c r="P1899">
        <v>0</v>
      </c>
      <c r="Q1899" t="str">
        <f>INDEX(pARTNER[#All],MATCH(#REF!,pARTNER[[#All],[Value.partnerSummary.id]],0),10)</f>
        <v>Italia (IT)</v>
      </c>
      <c r="R1899" t="str">
        <f>INDEX('Partner data'!$A$2:$DG$171,MATCH(#REF!,'Partner data'!$DG$2:$DG$171,0),83)</f>
        <v>Soggetto privato</v>
      </c>
      <c r="S1899" s="86" t="b">
        <f>IF(#REF!="staff",INDEX('Partner data'!$DG$2:$DH$171,MATCH(#REF!,'Partner data'!$DG$2:$DG$171,0),2))</f>
        <v>0</v>
      </c>
    </row>
    <row r="1900" spans="1:19" x14ac:dyDescent="0.25">
      <c r="A1900" t="s">
        <v>373</v>
      </c>
      <c r="B1900" t="s">
        <v>377</v>
      </c>
      <c r="C1900">
        <v>302</v>
      </c>
      <c r="D1900">
        <v>228</v>
      </c>
      <c r="E1900" t="s">
        <v>234</v>
      </c>
      <c r="G1900">
        <v>0</v>
      </c>
      <c r="H1900">
        <v>0</v>
      </c>
      <c r="I1900">
        <v>0</v>
      </c>
      <c r="J1900">
        <v>0</v>
      </c>
      <c r="K1900">
        <v>0</v>
      </c>
      <c r="L1900">
        <v>0</v>
      </c>
      <c r="M1900">
        <v>0</v>
      </c>
      <c r="N1900">
        <v>0</v>
      </c>
      <c r="O1900">
        <v>0</v>
      </c>
      <c r="P1900">
        <v>0</v>
      </c>
      <c r="Q1900" t="str">
        <f>INDEX(pARTNER[#All],MATCH(#REF!,pARTNER[[#All],[Value.partnerSummary.id]],0),10)</f>
        <v>Italia (IT)</v>
      </c>
      <c r="R1900" t="str">
        <f>INDEX('Partner data'!$A$2:$DG$171,MATCH(#REF!,'Partner data'!$DG$2:$DG$171,0),83)</f>
        <v>Soggetto privato</v>
      </c>
      <c r="S1900" s="86" t="b">
        <f>IF(#REF!="staff",INDEX('Partner data'!$DG$2:$DH$171,MATCH(#REF!,'Partner data'!$DG$2:$DG$171,0),2))</f>
        <v>0</v>
      </c>
    </row>
    <row r="1901" spans="1:19" x14ac:dyDescent="0.25">
      <c r="A1901" t="s">
        <v>373</v>
      </c>
      <c r="B1901" t="s">
        <v>377</v>
      </c>
      <c r="C1901">
        <v>302</v>
      </c>
      <c r="D1901">
        <v>228</v>
      </c>
      <c r="E1901" t="s">
        <v>235</v>
      </c>
      <c r="G1901">
        <v>0</v>
      </c>
      <c r="H1901">
        <v>0</v>
      </c>
      <c r="I1901">
        <v>0</v>
      </c>
      <c r="J1901">
        <v>0</v>
      </c>
      <c r="K1901">
        <v>0</v>
      </c>
      <c r="L1901">
        <v>0</v>
      </c>
      <c r="M1901">
        <v>0</v>
      </c>
      <c r="N1901">
        <v>0</v>
      </c>
      <c r="O1901">
        <v>0</v>
      </c>
      <c r="P1901">
        <v>0</v>
      </c>
      <c r="Q1901" t="str">
        <f>INDEX(pARTNER[#All],MATCH(#REF!,pARTNER[[#All],[Value.partnerSummary.id]],0),10)</f>
        <v>Italia (IT)</v>
      </c>
      <c r="R1901" t="str">
        <f>INDEX('Partner data'!$A$2:$DG$171,MATCH(#REF!,'Partner data'!$DG$2:$DG$171,0),83)</f>
        <v>Soggetto privato</v>
      </c>
      <c r="S1901" s="86" t="b">
        <f>IF(#REF!="staff",INDEX('Partner data'!$DG$2:$DH$171,MATCH(#REF!,'Partner data'!$DG$2:$DG$171,0),2))</f>
        <v>0</v>
      </c>
    </row>
    <row r="1902" spans="1:19" x14ac:dyDescent="0.25">
      <c r="A1902" t="s">
        <v>373</v>
      </c>
      <c r="B1902" t="s">
        <v>377</v>
      </c>
      <c r="C1902">
        <v>302</v>
      </c>
      <c r="D1902">
        <v>228</v>
      </c>
      <c r="E1902" t="s">
        <v>236</v>
      </c>
      <c r="G1902">
        <v>0</v>
      </c>
      <c r="H1902">
        <v>0</v>
      </c>
      <c r="I1902">
        <v>0</v>
      </c>
      <c r="J1902">
        <v>0</v>
      </c>
      <c r="K1902">
        <v>0</v>
      </c>
      <c r="L1902">
        <v>0</v>
      </c>
      <c r="M1902">
        <v>0</v>
      </c>
      <c r="N1902">
        <v>0</v>
      </c>
      <c r="O1902">
        <v>0</v>
      </c>
      <c r="P1902">
        <v>0</v>
      </c>
      <c r="Q1902" t="str">
        <f>INDEX(pARTNER[#All],MATCH(#REF!,pARTNER[[#All],[Value.partnerSummary.id]],0),10)</f>
        <v>Italia (IT)</v>
      </c>
      <c r="R1902" t="str">
        <f>INDEX('Partner data'!$A$2:$DG$171,MATCH(#REF!,'Partner data'!$DG$2:$DG$171,0),83)</f>
        <v>Soggetto privato</v>
      </c>
      <c r="S1902" s="86" t="b">
        <f>IF(#REF!="staff",INDEX('Partner data'!$DG$2:$DH$171,MATCH(#REF!,'Partner data'!$DG$2:$DG$171,0),2))</f>
        <v>0</v>
      </c>
    </row>
    <row r="1903" spans="1:19" x14ac:dyDescent="0.25">
      <c r="A1903" t="s">
        <v>373</v>
      </c>
      <c r="B1903" t="s">
        <v>377</v>
      </c>
      <c r="C1903">
        <v>302</v>
      </c>
      <c r="D1903">
        <v>228</v>
      </c>
      <c r="E1903" t="s">
        <v>237</v>
      </c>
      <c r="G1903">
        <v>0</v>
      </c>
      <c r="H1903">
        <v>0</v>
      </c>
      <c r="I1903">
        <v>0</v>
      </c>
      <c r="J1903">
        <v>0</v>
      </c>
      <c r="K1903">
        <v>0</v>
      </c>
      <c r="L1903">
        <v>0</v>
      </c>
      <c r="M1903">
        <v>0</v>
      </c>
      <c r="N1903">
        <v>0</v>
      </c>
      <c r="O1903">
        <v>0</v>
      </c>
      <c r="P1903">
        <v>0</v>
      </c>
      <c r="Q1903" t="str">
        <f>INDEX(pARTNER[#All],MATCH(#REF!,pARTNER[[#All],[Value.partnerSummary.id]],0),10)</f>
        <v>Italia (IT)</v>
      </c>
      <c r="R1903" t="str">
        <f>INDEX('Partner data'!$A$2:$DG$171,MATCH(#REF!,'Partner data'!$DG$2:$DG$171,0),83)</f>
        <v>Soggetto privato</v>
      </c>
      <c r="S1903" s="86" t="b">
        <f>IF(#REF!="staff",INDEX('Partner data'!$DG$2:$DH$171,MATCH(#REF!,'Partner data'!$DG$2:$DG$171,0),2))</f>
        <v>0</v>
      </c>
    </row>
    <row r="1904" spans="1:19" x14ac:dyDescent="0.25">
      <c r="A1904" t="s">
        <v>373</v>
      </c>
      <c r="B1904" t="s">
        <v>377</v>
      </c>
      <c r="C1904">
        <v>302</v>
      </c>
      <c r="D1904">
        <v>228</v>
      </c>
      <c r="E1904" t="s">
        <v>238</v>
      </c>
      <c r="G1904">
        <v>65232</v>
      </c>
      <c r="H1904">
        <v>0</v>
      </c>
      <c r="I1904">
        <v>0</v>
      </c>
      <c r="J1904">
        <v>3031.6</v>
      </c>
      <c r="K1904">
        <v>0</v>
      </c>
      <c r="L1904">
        <v>3031.6</v>
      </c>
      <c r="M1904">
        <v>3031.6</v>
      </c>
      <c r="N1904">
        <v>4.6500000000000004</v>
      </c>
      <c r="O1904">
        <v>62200.4</v>
      </c>
      <c r="P1904">
        <v>0</v>
      </c>
      <c r="Q1904" t="str">
        <f>INDEX(pARTNER[#All],MATCH(#REF!,pARTNER[[#All],[Value.partnerSummary.id]],0),10)</f>
        <v>Italia (IT)</v>
      </c>
      <c r="R1904" t="str">
        <f>INDEX('Partner data'!$A$2:$DG$171,MATCH(#REF!,'Partner data'!$DG$2:$DG$171,0),83)</f>
        <v>Soggetto privato</v>
      </c>
      <c r="S1904" s="86" t="b">
        <f>IF(#REF!="staff",INDEX('Partner data'!$DG$2:$DH$171,MATCH(#REF!,'Partner data'!$DG$2:$DG$171,0),2))</f>
        <v>0</v>
      </c>
    </row>
    <row r="1905" spans="1:19" x14ac:dyDescent="0.25">
      <c r="A1905" t="s">
        <v>373</v>
      </c>
      <c r="B1905" t="s">
        <v>378</v>
      </c>
      <c r="C1905">
        <v>301</v>
      </c>
      <c r="D1905">
        <v>282</v>
      </c>
      <c r="E1905" t="s">
        <v>228</v>
      </c>
      <c r="G1905">
        <v>25030</v>
      </c>
      <c r="H1905">
        <v>0</v>
      </c>
      <c r="I1905">
        <v>0</v>
      </c>
      <c r="J1905">
        <v>4490.84</v>
      </c>
      <c r="K1905">
        <v>0</v>
      </c>
      <c r="L1905">
        <v>4490.84</v>
      </c>
      <c r="M1905">
        <v>4490.84</v>
      </c>
      <c r="N1905">
        <v>17.940000000000001</v>
      </c>
      <c r="O1905">
        <v>20539.16</v>
      </c>
      <c r="P1905">
        <v>0</v>
      </c>
      <c r="Q1905" t="str">
        <f>INDEX(pARTNER[#All],MATCH(#REF!,pARTNER[[#All],[Value.partnerSummary.id]],0),10)</f>
        <v>Italia (IT)</v>
      </c>
      <c r="R1905" t="str">
        <f>INDEX('Partner data'!$A$2:$DG$171,MATCH(#REF!,'Partner data'!$DG$2:$DG$171,0),83)</f>
        <v>Soggetto pubblico</v>
      </c>
      <c r="S1905" s="86" t="str">
        <f>IF(#REF!="staff",INDEX('Partner data'!$DG$2:$DH$171,MATCH(#REF!,'Partner data'!$DG$2:$DG$171,0),2))</f>
        <v>COSTO REALE</v>
      </c>
    </row>
    <row r="1906" spans="1:19" x14ac:dyDescent="0.25">
      <c r="A1906" t="s">
        <v>373</v>
      </c>
      <c r="B1906" t="s">
        <v>378</v>
      </c>
      <c r="C1906">
        <v>301</v>
      </c>
      <c r="D1906">
        <v>282</v>
      </c>
      <c r="E1906" t="s">
        <v>229</v>
      </c>
      <c r="F1906">
        <v>15</v>
      </c>
      <c r="G1906">
        <v>3754.5</v>
      </c>
      <c r="H1906">
        <v>0</v>
      </c>
      <c r="I1906">
        <v>0</v>
      </c>
      <c r="J1906">
        <v>673.62</v>
      </c>
      <c r="K1906">
        <v>0</v>
      </c>
      <c r="L1906">
        <v>673.62</v>
      </c>
      <c r="M1906">
        <v>673.62</v>
      </c>
      <c r="N1906">
        <v>17.940000000000001</v>
      </c>
      <c r="O1906">
        <v>3080.88</v>
      </c>
      <c r="P1906">
        <v>0</v>
      </c>
      <c r="Q1906" t="str">
        <f>INDEX(pARTNER[#All],MATCH(#REF!,pARTNER[[#All],[Value.partnerSummary.id]],0),10)</f>
        <v>Italia (IT)</v>
      </c>
      <c r="R1906" t="str">
        <f>INDEX('Partner data'!$A$2:$DG$171,MATCH(#REF!,'Partner data'!$DG$2:$DG$171,0),83)</f>
        <v>Soggetto pubblico</v>
      </c>
      <c r="S1906" s="86" t="b">
        <f>IF(#REF!="staff",INDEX('Partner data'!$DG$2:$DH$171,MATCH(#REF!,'Partner data'!$DG$2:$DG$171,0),2))</f>
        <v>0</v>
      </c>
    </row>
    <row r="1907" spans="1:19" x14ac:dyDescent="0.25">
      <c r="A1907" t="s">
        <v>373</v>
      </c>
      <c r="B1907" t="s">
        <v>378</v>
      </c>
      <c r="C1907">
        <v>301</v>
      </c>
      <c r="D1907">
        <v>282</v>
      </c>
      <c r="E1907" t="s">
        <v>230</v>
      </c>
      <c r="F1907">
        <v>4</v>
      </c>
      <c r="G1907">
        <v>1001.2</v>
      </c>
      <c r="H1907">
        <v>0</v>
      </c>
      <c r="I1907">
        <v>0</v>
      </c>
      <c r="J1907">
        <v>179.63</v>
      </c>
      <c r="K1907">
        <v>0</v>
      </c>
      <c r="L1907">
        <v>179.63</v>
      </c>
      <c r="M1907">
        <v>179.63</v>
      </c>
      <c r="N1907">
        <v>17.940000000000001</v>
      </c>
      <c r="O1907">
        <v>821.57</v>
      </c>
      <c r="P1907">
        <v>0</v>
      </c>
      <c r="Q1907" t="str">
        <f>INDEX(pARTNER[#All],MATCH(#REF!,pARTNER[[#All],[Value.partnerSummary.id]],0),10)</f>
        <v>Italia (IT)</v>
      </c>
      <c r="R1907" t="str">
        <f>INDEX('Partner data'!$A$2:$DG$171,MATCH(#REF!,'Partner data'!$DG$2:$DG$171,0),83)</f>
        <v>Soggetto pubblico</v>
      </c>
      <c r="S1907" s="86" t="b">
        <f>IF(#REF!="staff",INDEX('Partner data'!$DG$2:$DH$171,MATCH(#REF!,'Partner data'!$DG$2:$DG$171,0),2))</f>
        <v>0</v>
      </c>
    </row>
    <row r="1908" spans="1:19" x14ac:dyDescent="0.25">
      <c r="A1908" t="s">
        <v>373</v>
      </c>
      <c r="B1908" t="s">
        <v>378</v>
      </c>
      <c r="C1908">
        <v>301</v>
      </c>
      <c r="D1908">
        <v>282</v>
      </c>
      <c r="E1908" t="s">
        <v>231</v>
      </c>
      <c r="G1908">
        <v>38250</v>
      </c>
      <c r="H1908">
        <v>0</v>
      </c>
      <c r="I1908">
        <v>0</v>
      </c>
      <c r="J1908">
        <v>0</v>
      </c>
      <c r="K1908">
        <v>0</v>
      </c>
      <c r="L1908">
        <v>0</v>
      </c>
      <c r="M1908">
        <v>0</v>
      </c>
      <c r="N1908">
        <v>0</v>
      </c>
      <c r="O1908">
        <v>38250</v>
      </c>
      <c r="P1908">
        <v>0</v>
      </c>
      <c r="Q1908" t="str">
        <f>INDEX(pARTNER[#All],MATCH(#REF!,pARTNER[[#All],[Value.partnerSummary.id]],0),10)</f>
        <v>Italia (IT)</v>
      </c>
      <c r="R1908" t="str">
        <f>INDEX('Partner data'!$A$2:$DG$171,MATCH(#REF!,'Partner data'!$DG$2:$DG$171,0),83)</f>
        <v>Soggetto pubblico</v>
      </c>
      <c r="S1908" s="86" t="b">
        <f>IF(#REF!="staff",INDEX('Partner data'!$DG$2:$DH$171,MATCH(#REF!,'Partner data'!$DG$2:$DG$171,0),2))</f>
        <v>0</v>
      </c>
    </row>
    <row r="1909" spans="1:19" x14ac:dyDescent="0.25">
      <c r="A1909" t="s">
        <v>373</v>
      </c>
      <c r="B1909" t="s">
        <v>378</v>
      </c>
      <c r="C1909">
        <v>301</v>
      </c>
      <c r="D1909">
        <v>282</v>
      </c>
      <c r="E1909" t="s">
        <v>232</v>
      </c>
      <c r="G1909">
        <v>2000</v>
      </c>
      <c r="H1909">
        <v>0</v>
      </c>
      <c r="I1909">
        <v>0</v>
      </c>
      <c r="J1909">
        <v>0</v>
      </c>
      <c r="K1909">
        <v>0</v>
      </c>
      <c r="L1909">
        <v>0</v>
      </c>
      <c r="M1909">
        <v>0</v>
      </c>
      <c r="N1909">
        <v>0</v>
      </c>
      <c r="O1909">
        <v>2000</v>
      </c>
      <c r="P1909">
        <v>0</v>
      </c>
      <c r="Q1909" t="str">
        <f>INDEX(pARTNER[#All],MATCH(#REF!,pARTNER[[#All],[Value.partnerSummary.id]],0),10)</f>
        <v>Italia (IT)</v>
      </c>
      <c r="R1909" t="str">
        <f>INDEX('Partner data'!$A$2:$DG$171,MATCH(#REF!,'Partner data'!$DG$2:$DG$171,0),83)</f>
        <v>Soggetto pubblico</v>
      </c>
      <c r="S1909" s="86" t="b">
        <f>IF(#REF!="staff",INDEX('Partner data'!$DG$2:$DH$171,MATCH(#REF!,'Partner data'!$DG$2:$DG$171,0),2))</f>
        <v>0</v>
      </c>
    </row>
    <row r="1910" spans="1:19" x14ac:dyDescent="0.25">
      <c r="A1910" t="s">
        <v>373</v>
      </c>
      <c r="B1910" t="s">
        <v>378</v>
      </c>
      <c r="C1910">
        <v>301</v>
      </c>
      <c r="D1910">
        <v>282</v>
      </c>
      <c r="E1910" t="s">
        <v>233</v>
      </c>
      <c r="G1910">
        <v>0</v>
      </c>
      <c r="H1910">
        <v>0</v>
      </c>
      <c r="I1910">
        <v>0</v>
      </c>
      <c r="J1910">
        <v>0</v>
      </c>
      <c r="K1910">
        <v>0</v>
      </c>
      <c r="L1910">
        <v>0</v>
      </c>
      <c r="M1910">
        <v>0</v>
      </c>
      <c r="N1910">
        <v>0</v>
      </c>
      <c r="O1910">
        <v>0</v>
      </c>
      <c r="P1910">
        <v>0</v>
      </c>
      <c r="Q1910" t="str">
        <f>INDEX(pARTNER[#All],MATCH(#REF!,pARTNER[[#All],[Value.partnerSummary.id]],0),10)</f>
        <v>Italia (IT)</v>
      </c>
      <c r="R1910" t="str">
        <f>INDEX('Partner data'!$A$2:$DG$171,MATCH(#REF!,'Partner data'!$DG$2:$DG$171,0),83)</f>
        <v>Soggetto pubblico</v>
      </c>
      <c r="S1910" s="86" t="b">
        <f>IF(#REF!="staff",INDEX('Partner data'!$DG$2:$DH$171,MATCH(#REF!,'Partner data'!$DG$2:$DG$171,0),2))</f>
        <v>0</v>
      </c>
    </row>
    <row r="1911" spans="1:19" x14ac:dyDescent="0.25">
      <c r="A1911" t="s">
        <v>373</v>
      </c>
      <c r="B1911" t="s">
        <v>378</v>
      </c>
      <c r="C1911">
        <v>301</v>
      </c>
      <c r="D1911">
        <v>282</v>
      </c>
      <c r="E1911" t="s">
        <v>234</v>
      </c>
      <c r="G1911">
        <v>0</v>
      </c>
      <c r="H1911">
        <v>0</v>
      </c>
      <c r="I1911">
        <v>0</v>
      </c>
      <c r="J1911">
        <v>0</v>
      </c>
      <c r="K1911">
        <v>0</v>
      </c>
      <c r="L1911">
        <v>0</v>
      </c>
      <c r="M1911">
        <v>0</v>
      </c>
      <c r="N1911">
        <v>0</v>
      </c>
      <c r="O1911">
        <v>0</v>
      </c>
      <c r="P1911">
        <v>0</v>
      </c>
      <c r="Q1911" t="str">
        <f>INDEX(pARTNER[#All],MATCH(#REF!,pARTNER[[#All],[Value.partnerSummary.id]],0),10)</f>
        <v>Italia (IT)</v>
      </c>
      <c r="R1911" t="str">
        <f>INDEX('Partner data'!$A$2:$DG$171,MATCH(#REF!,'Partner data'!$DG$2:$DG$171,0),83)</f>
        <v>Soggetto pubblico</v>
      </c>
      <c r="S1911" s="86" t="b">
        <f>IF(#REF!="staff",INDEX('Partner data'!$DG$2:$DH$171,MATCH(#REF!,'Partner data'!$DG$2:$DG$171,0),2))</f>
        <v>0</v>
      </c>
    </row>
    <row r="1912" spans="1:19" x14ac:dyDescent="0.25">
      <c r="A1912" t="s">
        <v>373</v>
      </c>
      <c r="B1912" t="s">
        <v>378</v>
      </c>
      <c r="C1912">
        <v>301</v>
      </c>
      <c r="D1912">
        <v>282</v>
      </c>
      <c r="E1912" t="s">
        <v>235</v>
      </c>
      <c r="G1912">
        <v>0</v>
      </c>
      <c r="H1912">
        <v>0</v>
      </c>
      <c r="I1912">
        <v>0</v>
      </c>
      <c r="J1912">
        <v>0</v>
      </c>
      <c r="K1912">
        <v>0</v>
      </c>
      <c r="L1912">
        <v>0</v>
      </c>
      <c r="M1912">
        <v>0</v>
      </c>
      <c r="N1912">
        <v>0</v>
      </c>
      <c r="O1912">
        <v>0</v>
      </c>
      <c r="P1912">
        <v>0</v>
      </c>
      <c r="Q1912" t="str">
        <f>INDEX(pARTNER[#All],MATCH(#REF!,pARTNER[[#All],[Value.partnerSummary.id]],0),10)</f>
        <v>Italia (IT)</v>
      </c>
      <c r="R1912" t="str">
        <f>INDEX('Partner data'!$A$2:$DG$171,MATCH(#REF!,'Partner data'!$DG$2:$DG$171,0),83)</f>
        <v>Soggetto pubblico</v>
      </c>
      <c r="S1912" s="86" t="b">
        <f>IF(#REF!="staff",INDEX('Partner data'!$DG$2:$DH$171,MATCH(#REF!,'Partner data'!$DG$2:$DG$171,0),2))</f>
        <v>0</v>
      </c>
    </row>
    <row r="1913" spans="1:19" x14ac:dyDescent="0.25">
      <c r="A1913" t="s">
        <v>373</v>
      </c>
      <c r="B1913" t="s">
        <v>378</v>
      </c>
      <c r="C1913">
        <v>301</v>
      </c>
      <c r="D1913">
        <v>282</v>
      </c>
      <c r="E1913" t="s">
        <v>236</v>
      </c>
      <c r="G1913">
        <v>0</v>
      </c>
      <c r="H1913">
        <v>0</v>
      </c>
      <c r="I1913">
        <v>0</v>
      </c>
      <c r="J1913">
        <v>0</v>
      </c>
      <c r="K1913">
        <v>0</v>
      </c>
      <c r="L1913">
        <v>0</v>
      </c>
      <c r="M1913">
        <v>0</v>
      </c>
      <c r="N1913">
        <v>0</v>
      </c>
      <c r="O1913">
        <v>0</v>
      </c>
      <c r="P1913">
        <v>0</v>
      </c>
      <c r="Q1913" t="str">
        <f>INDEX(pARTNER[#All],MATCH(#REF!,pARTNER[[#All],[Value.partnerSummary.id]],0),10)</f>
        <v>Italia (IT)</v>
      </c>
      <c r="R1913" t="str">
        <f>INDEX('Partner data'!$A$2:$DG$171,MATCH(#REF!,'Partner data'!$DG$2:$DG$171,0),83)</f>
        <v>Soggetto pubblico</v>
      </c>
      <c r="S1913" s="86" t="b">
        <f>IF(#REF!="staff",INDEX('Partner data'!$DG$2:$DH$171,MATCH(#REF!,'Partner data'!$DG$2:$DG$171,0),2))</f>
        <v>0</v>
      </c>
    </row>
    <row r="1914" spans="1:19" x14ac:dyDescent="0.25">
      <c r="A1914" t="s">
        <v>373</v>
      </c>
      <c r="B1914" t="s">
        <v>378</v>
      </c>
      <c r="C1914">
        <v>301</v>
      </c>
      <c r="D1914">
        <v>282</v>
      </c>
      <c r="E1914" t="s">
        <v>237</v>
      </c>
      <c r="G1914">
        <v>0</v>
      </c>
      <c r="H1914">
        <v>0</v>
      </c>
      <c r="I1914">
        <v>0</v>
      </c>
      <c r="J1914">
        <v>0</v>
      </c>
      <c r="K1914">
        <v>0</v>
      </c>
      <c r="L1914">
        <v>0</v>
      </c>
      <c r="M1914">
        <v>0</v>
      </c>
      <c r="N1914">
        <v>0</v>
      </c>
      <c r="O1914">
        <v>0</v>
      </c>
      <c r="P1914">
        <v>0</v>
      </c>
      <c r="Q1914" t="str">
        <f>INDEX(pARTNER[#All],MATCH(#REF!,pARTNER[[#All],[Value.partnerSummary.id]],0),10)</f>
        <v>Italia (IT)</v>
      </c>
      <c r="R1914" t="str">
        <f>INDEX('Partner data'!$A$2:$DG$171,MATCH(#REF!,'Partner data'!$DG$2:$DG$171,0),83)</f>
        <v>Soggetto pubblico</v>
      </c>
      <c r="S1914" s="86" t="b">
        <f>IF(#REF!="staff",INDEX('Partner data'!$DG$2:$DH$171,MATCH(#REF!,'Partner data'!$DG$2:$DG$171,0),2))</f>
        <v>0</v>
      </c>
    </row>
    <row r="1915" spans="1:19" x14ac:dyDescent="0.25">
      <c r="A1915" t="s">
        <v>373</v>
      </c>
      <c r="B1915" t="s">
        <v>378</v>
      </c>
      <c r="C1915">
        <v>301</v>
      </c>
      <c r="D1915">
        <v>282</v>
      </c>
      <c r="E1915" t="s">
        <v>238</v>
      </c>
      <c r="G1915">
        <v>70035.7</v>
      </c>
      <c r="H1915">
        <v>0</v>
      </c>
      <c r="I1915">
        <v>0</v>
      </c>
      <c r="J1915">
        <v>5344.09</v>
      </c>
      <c r="K1915">
        <v>0</v>
      </c>
      <c r="L1915">
        <v>5344.09</v>
      </c>
      <c r="M1915">
        <v>5344.09</v>
      </c>
      <c r="N1915">
        <v>7.63</v>
      </c>
      <c r="O1915">
        <v>64691.61</v>
      </c>
      <c r="P1915">
        <v>0</v>
      </c>
      <c r="Q1915" t="str">
        <f>INDEX(pARTNER[#All],MATCH(#REF!,pARTNER[[#All],[Value.partnerSummary.id]],0),10)</f>
        <v>Italia (IT)</v>
      </c>
      <c r="R1915" t="str">
        <f>INDEX('Partner data'!$A$2:$DG$171,MATCH(#REF!,'Partner data'!$DG$2:$DG$171,0),83)</f>
        <v>Soggetto pubblico</v>
      </c>
      <c r="S1915" s="86" t="b">
        <f>IF(#REF!="staff",INDEX('Partner data'!$DG$2:$DH$171,MATCH(#REF!,'Partner data'!$DG$2:$DG$171,0),2))</f>
        <v>0</v>
      </c>
    </row>
    <row r="1916" spans="1:19" x14ac:dyDescent="0.25">
      <c r="A1916" t="s">
        <v>373</v>
      </c>
      <c r="B1916" t="s">
        <v>379</v>
      </c>
      <c r="C1916">
        <v>300</v>
      </c>
      <c r="D1916">
        <v>260</v>
      </c>
      <c r="E1916" t="s">
        <v>228</v>
      </c>
      <c r="G1916">
        <v>32500</v>
      </c>
      <c r="H1916">
        <v>0</v>
      </c>
      <c r="I1916">
        <v>0</v>
      </c>
      <c r="J1916">
        <v>0</v>
      </c>
      <c r="K1916">
        <v>0</v>
      </c>
      <c r="L1916">
        <v>0</v>
      </c>
      <c r="M1916">
        <v>0</v>
      </c>
      <c r="N1916">
        <v>0</v>
      </c>
      <c r="O1916">
        <v>32500</v>
      </c>
      <c r="P1916">
        <v>0</v>
      </c>
      <c r="Q1916" t="str">
        <f>INDEX(pARTNER[#All],MATCH(#REF!,pARTNER[[#All],[Value.partnerSummary.id]],0),10)</f>
        <v>Slovenija (SI)</v>
      </c>
      <c r="R1916" t="str">
        <f>INDEX('Partner data'!$A$2:$DG$171,MATCH(#REF!,'Partner data'!$DG$2:$DG$171,0),83)</f>
        <v>Soggetto privato</v>
      </c>
      <c r="S1916" s="86" t="str">
        <f>IF(#REF!="staff",INDEX('Partner data'!$DG$2:$DH$171,MATCH(#REF!,'Partner data'!$DG$2:$DG$171,0),2))</f>
        <v>COSTO REALE</v>
      </c>
    </row>
    <row r="1917" spans="1:19" x14ac:dyDescent="0.25">
      <c r="A1917" t="s">
        <v>373</v>
      </c>
      <c r="B1917" t="s">
        <v>379</v>
      </c>
      <c r="C1917">
        <v>300</v>
      </c>
      <c r="D1917">
        <v>260</v>
      </c>
      <c r="E1917" t="s">
        <v>229</v>
      </c>
      <c r="G1917">
        <v>0</v>
      </c>
      <c r="H1917">
        <v>0</v>
      </c>
      <c r="I1917">
        <v>0</v>
      </c>
      <c r="J1917">
        <v>0</v>
      </c>
      <c r="K1917">
        <v>0</v>
      </c>
      <c r="L1917">
        <v>0</v>
      </c>
      <c r="M1917">
        <v>0</v>
      </c>
      <c r="N1917">
        <v>0</v>
      </c>
      <c r="O1917">
        <v>0</v>
      </c>
      <c r="P1917">
        <v>0</v>
      </c>
      <c r="Q1917" t="str">
        <f>INDEX(pARTNER[#All],MATCH(#REF!,pARTNER[[#All],[Value.partnerSummary.id]],0),10)</f>
        <v>Slovenija (SI)</v>
      </c>
      <c r="R1917" t="str">
        <f>INDEX('Partner data'!$A$2:$DG$171,MATCH(#REF!,'Partner data'!$DG$2:$DG$171,0),83)</f>
        <v>Soggetto privato</v>
      </c>
      <c r="S1917" s="86" t="b">
        <f>IF(#REF!="staff",INDEX('Partner data'!$DG$2:$DH$171,MATCH(#REF!,'Partner data'!$DG$2:$DG$171,0),2))</f>
        <v>0</v>
      </c>
    </row>
    <row r="1918" spans="1:19" x14ac:dyDescent="0.25">
      <c r="A1918" t="s">
        <v>373</v>
      </c>
      <c r="B1918" t="s">
        <v>379</v>
      </c>
      <c r="C1918">
        <v>300</v>
      </c>
      <c r="D1918">
        <v>260</v>
      </c>
      <c r="E1918" t="s">
        <v>230</v>
      </c>
      <c r="G1918">
        <v>0</v>
      </c>
      <c r="H1918">
        <v>0</v>
      </c>
      <c r="I1918">
        <v>0</v>
      </c>
      <c r="J1918">
        <v>0</v>
      </c>
      <c r="K1918">
        <v>0</v>
      </c>
      <c r="L1918">
        <v>0</v>
      </c>
      <c r="M1918">
        <v>0</v>
      </c>
      <c r="N1918">
        <v>0</v>
      </c>
      <c r="O1918">
        <v>0</v>
      </c>
      <c r="P1918">
        <v>0</v>
      </c>
      <c r="Q1918" t="str">
        <f>INDEX(pARTNER[#All],MATCH(#REF!,pARTNER[[#All],[Value.partnerSummary.id]],0),10)</f>
        <v>Slovenija (SI)</v>
      </c>
      <c r="R1918" t="str">
        <f>INDEX('Partner data'!$A$2:$DG$171,MATCH(#REF!,'Partner data'!$DG$2:$DG$171,0),83)</f>
        <v>Soggetto privato</v>
      </c>
      <c r="S1918" s="86" t="b">
        <f>IF(#REF!="staff",INDEX('Partner data'!$DG$2:$DH$171,MATCH(#REF!,'Partner data'!$DG$2:$DG$171,0),2))</f>
        <v>0</v>
      </c>
    </row>
    <row r="1919" spans="1:19" x14ac:dyDescent="0.25">
      <c r="A1919" t="s">
        <v>373</v>
      </c>
      <c r="B1919" t="s">
        <v>379</v>
      </c>
      <c r="C1919">
        <v>300</v>
      </c>
      <c r="D1919">
        <v>260</v>
      </c>
      <c r="E1919" t="s">
        <v>231</v>
      </c>
      <c r="G1919">
        <v>0</v>
      </c>
      <c r="H1919">
        <v>0</v>
      </c>
      <c r="I1919">
        <v>0</v>
      </c>
      <c r="J1919">
        <v>0</v>
      </c>
      <c r="K1919">
        <v>0</v>
      </c>
      <c r="L1919">
        <v>0</v>
      </c>
      <c r="M1919">
        <v>0</v>
      </c>
      <c r="N1919">
        <v>0</v>
      </c>
      <c r="O1919">
        <v>0</v>
      </c>
      <c r="P1919">
        <v>0</v>
      </c>
      <c r="Q1919" t="str">
        <f>INDEX(pARTNER[#All],MATCH(#REF!,pARTNER[[#All],[Value.partnerSummary.id]],0),10)</f>
        <v>Slovenija (SI)</v>
      </c>
      <c r="R1919" t="str">
        <f>INDEX('Partner data'!$A$2:$DG$171,MATCH(#REF!,'Partner data'!$DG$2:$DG$171,0),83)</f>
        <v>Soggetto privato</v>
      </c>
      <c r="S1919" s="86" t="b">
        <f>IF(#REF!="staff",INDEX('Partner data'!$DG$2:$DH$171,MATCH(#REF!,'Partner data'!$DG$2:$DG$171,0),2))</f>
        <v>0</v>
      </c>
    </row>
    <row r="1920" spans="1:19" x14ac:dyDescent="0.25">
      <c r="A1920" t="s">
        <v>373</v>
      </c>
      <c r="B1920" t="s">
        <v>379</v>
      </c>
      <c r="C1920">
        <v>300</v>
      </c>
      <c r="D1920">
        <v>260</v>
      </c>
      <c r="E1920" t="s">
        <v>232</v>
      </c>
      <c r="G1920">
        <v>0</v>
      </c>
      <c r="H1920">
        <v>0</v>
      </c>
      <c r="I1920">
        <v>0</v>
      </c>
      <c r="J1920">
        <v>0</v>
      </c>
      <c r="K1920">
        <v>0</v>
      </c>
      <c r="L1920">
        <v>0</v>
      </c>
      <c r="M1920">
        <v>0</v>
      </c>
      <c r="N1920">
        <v>0</v>
      </c>
      <c r="O1920">
        <v>0</v>
      </c>
      <c r="P1920">
        <v>0</v>
      </c>
      <c r="Q1920" t="str">
        <f>INDEX(pARTNER[#All],MATCH(#REF!,pARTNER[[#All],[Value.partnerSummary.id]],0),10)</f>
        <v>Slovenija (SI)</v>
      </c>
      <c r="R1920" t="str">
        <f>INDEX('Partner data'!$A$2:$DG$171,MATCH(#REF!,'Partner data'!$DG$2:$DG$171,0),83)</f>
        <v>Soggetto privato</v>
      </c>
      <c r="S1920" s="86" t="b">
        <f>IF(#REF!="staff",INDEX('Partner data'!$DG$2:$DH$171,MATCH(#REF!,'Partner data'!$DG$2:$DG$171,0),2))</f>
        <v>0</v>
      </c>
    </row>
    <row r="1921" spans="1:19" x14ac:dyDescent="0.25">
      <c r="A1921" t="s">
        <v>373</v>
      </c>
      <c r="B1921" t="s">
        <v>379</v>
      </c>
      <c r="C1921">
        <v>300</v>
      </c>
      <c r="D1921">
        <v>260</v>
      </c>
      <c r="E1921" t="s">
        <v>233</v>
      </c>
      <c r="G1921">
        <v>0</v>
      </c>
      <c r="H1921">
        <v>0</v>
      </c>
      <c r="I1921">
        <v>0</v>
      </c>
      <c r="J1921">
        <v>0</v>
      </c>
      <c r="K1921">
        <v>0</v>
      </c>
      <c r="L1921">
        <v>0</v>
      </c>
      <c r="M1921">
        <v>0</v>
      </c>
      <c r="N1921">
        <v>0</v>
      </c>
      <c r="O1921">
        <v>0</v>
      </c>
      <c r="P1921">
        <v>0</v>
      </c>
      <c r="Q1921" t="str">
        <f>INDEX(pARTNER[#All],MATCH(#REF!,pARTNER[[#All],[Value.partnerSummary.id]],0),10)</f>
        <v>Slovenija (SI)</v>
      </c>
      <c r="R1921" t="str">
        <f>INDEX('Partner data'!$A$2:$DG$171,MATCH(#REF!,'Partner data'!$DG$2:$DG$171,0),83)</f>
        <v>Soggetto privato</v>
      </c>
      <c r="S1921" s="86" t="b">
        <f>IF(#REF!="staff",INDEX('Partner data'!$DG$2:$DH$171,MATCH(#REF!,'Partner data'!$DG$2:$DG$171,0),2))</f>
        <v>0</v>
      </c>
    </row>
    <row r="1922" spans="1:19" x14ac:dyDescent="0.25">
      <c r="A1922" t="s">
        <v>373</v>
      </c>
      <c r="B1922" t="s">
        <v>379</v>
      </c>
      <c r="C1922">
        <v>300</v>
      </c>
      <c r="D1922">
        <v>260</v>
      </c>
      <c r="E1922" t="s">
        <v>234</v>
      </c>
      <c r="F1922">
        <v>20</v>
      </c>
      <c r="G1922">
        <v>6500</v>
      </c>
      <c r="H1922">
        <v>0</v>
      </c>
      <c r="I1922">
        <v>0</v>
      </c>
      <c r="J1922">
        <v>0</v>
      </c>
      <c r="K1922">
        <v>0</v>
      </c>
      <c r="L1922">
        <v>0</v>
      </c>
      <c r="M1922">
        <v>0</v>
      </c>
      <c r="N1922">
        <v>0</v>
      </c>
      <c r="O1922">
        <v>6500</v>
      </c>
      <c r="P1922">
        <v>0</v>
      </c>
      <c r="Q1922" t="str">
        <f>INDEX(pARTNER[#All],MATCH(#REF!,pARTNER[[#All],[Value.partnerSummary.id]],0),10)</f>
        <v>Slovenija (SI)</v>
      </c>
      <c r="R1922" t="str">
        <f>INDEX('Partner data'!$A$2:$DG$171,MATCH(#REF!,'Partner data'!$DG$2:$DG$171,0),83)</f>
        <v>Soggetto privato</v>
      </c>
      <c r="S1922" s="86" t="b">
        <f>IF(#REF!="staff",INDEX('Partner data'!$DG$2:$DH$171,MATCH(#REF!,'Partner data'!$DG$2:$DG$171,0),2))</f>
        <v>0</v>
      </c>
    </row>
    <row r="1923" spans="1:19" x14ac:dyDescent="0.25">
      <c r="A1923" t="s">
        <v>373</v>
      </c>
      <c r="B1923" t="s">
        <v>379</v>
      </c>
      <c r="C1923">
        <v>300</v>
      </c>
      <c r="D1923">
        <v>260</v>
      </c>
      <c r="E1923" t="s">
        <v>235</v>
      </c>
      <c r="G1923">
        <v>0</v>
      </c>
      <c r="H1923">
        <v>0</v>
      </c>
      <c r="I1923">
        <v>0</v>
      </c>
      <c r="J1923">
        <v>0</v>
      </c>
      <c r="K1923">
        <v>0</v>
      </c>
      <c r="L1923">
        <v>0</v>
      </c>
      <c r="M1923">
        <v>0</v>
      </c>
      <c r="N1923">
        <v>0</v>
      </c>
      <c r="O1923">
        <v>0</v>
      </c>
      <c r="P1923">
        <v>0</v>
      </c>
      <c r="Q1923" t="str">
        <f>INDEX(pARTNER[#All],MATCH(#REF!,pARTNER[[#All],[Value.partnerSummary.id]],0),10)</f>
        <v>Slovenija (SI)</v>
      </c>
      <c r="R1923" t="str">
        <f>INDEX('Partner data'!$A$2:$DG$171,MATCH(#REF!,'Partner data'!$DG$2:$DG$171,0),83)</f>
        <v>Soggetto privato</v>
      </c>
      <c r="S1923" s="86" t="b">
        <f>IF(#REF!="staff",INDEX('Partner data'!$DG$2:$DH$171,MATCH(#REF!,'Partner data'!$DG$2:$DG$171,0),2))</f>
        <v>0</v>
      </c>
    </row>
    <row r="1924" spans="1:19" x14ac:dyDescent="0.25">
      <c r="A1924" t="s">
        <v>373</v>
      </c>
      <c r="B1924" t="s">
        <v>379</v>
      </c>
      <c r="C1924">
        <v>300</v>
      </c>
      <c r="D1924">
        <v>260</v>
      </c>
      <c r="E1924" t="s">
        <v>236</v>
      </c>
      <c r="G1924">
        <v>0</v>
      </c>
      <c r="H1924">
        <v>0</v>
      </c>
      <c r="I1924">
        <v>0</v>
      </c>
      <c r="J1924">
        <v>0</v>
      </c>
      <c r="K1924">
        <v>0</v>
      </c>
      <c r="L1924">
        <v>0</v>
      </c>
      <c r="M1924">
        <v>0</v>
      </c>
      <c r="N1924">
        <v>0</v>
      </c>
      <c r="O1924">
        <v>0</v>
      </c>
      <c r="P1924">
        <v>0</v>
      </c>
      <c r="Q1924" t="str">
        <f>INDEX(pARTNER[#All],MATCH(#REF!,pARTNER[[#All],[Value.partnerSummary.id]],0),10)</f>
        <v>Slovenija (SI)</v>
      </c>
      <c r="R1924" t="str">
        <f>INDEX('Partner data'!$A$2:$DG$171,MATCH(#REF!,'Partner data'!$DG$2:$DG$171,0),83)</f>
        <v>Soggetto privato</v>
      </c>
      <c r="S1924" s="86" t="b">
        <f>IF(#REF!="staff",INDEX('Partner data'!$DG$2:$DH$171,MATCH(#REF!,'Partner data'!$DG$2:$DG$171,0),2))</f>
        <v>0</v>
      </c>
    </row>
    <row r="1925" spans="1:19" x14ac:dyDescent="0.25">
      <c r="A1925" t="s">
        <v>373</v>
      </c>
      <c r="B1925" t="s">
        <v>379</v>
      </c>
      <c r="C1925">
        <v>300</v>
      </c>
      <c r="D1925">
        <v>260</v>
      </c>
      <c r="E1925" t="s">
        <v>237</v>
      </c>
      <c r="G1925">
        <v>0</v>
      </c>
      <c r="H1925">
        <v>0</v>
      </c>
      <c r="I1925">
        <v>0</v>
      </c>
      <c r="J1925">
        <v>0</v>
      </c>
      <c r="K1925">
        <v>0</v>
      </c>
      <c r="L1925">
        <v>0</v>
      </c>
      <c r="M1925">
        <v>0</v>
      </c>
      <c r="N1925">
        <v>0</v>
      </c>
      <c r="O1925">
        <v>0</v>
      </c>
      <c r="P1925">
        <v>0</v>
      </c>
      <c r="Q1925" t="str">
        <f>INDEX(pARTNER[#All],MATCH(#REF!,pARTNER[[#All],[Value.partnerSummary.id]],0),10)</f>
        <v>Slovenija (SI)</v>
      </c>
      <c r="R1925" t="str">
        <f>INDEX('Partner data'!$A$2:$DG$171,MATCH(#REF!,'Partner data'!$DG$2:$DG$171,0),83)</f>
        <v>Soggetto privato</v>
      </c>
      <c r="S1925" s="86" t="b">
        <f>IF(#REF!="staff",INDEX('Partner data'!$DG$2:$DH$171,MATCH(#REF!,'Partner data'!$DG$2:$DG$171,0),2))</f>
        <v>0</v>
      </c>
    </row>
    <row r="1926" spans="1:19" x14ac:dyDescent="0.25">
      <c r="A1926" t="s">
        <v>373</v>
      </c>
      <c r="B1926" t="s">
        <v>379</v>
      </c>
      <c r="C1926">
        <v>300</v>
      </c>
      <c r="D1926">
        <v>260</v>
      </c>
      <c r="E1926" t="s">
        <v>238</v>
      </c>
      <c r="G1926">
        <v>39000</v>
      </c>
      <c r="H1926">
        <v>0</v>
      </c>
      <c r="I1926">
        <v>0</v>
      </c>
      <c r="J1926">
        <v>0</v>
      </c>
      <c r="K1926">
        <v>0</v>
      </c>
      <c r="L1926">
        <v>0</v>
      </c>
      <c r="M1926">
        <v>0</v>
      </c>
      <c r="N1926">
        <v>0</v>
      </c>
      <c r="O1926">
        <v>39000</v>
      </c>
      <c r="P1926">
        <v>0</v>
      </c>
      <c r="Q1926" t="str">
        <f>INDEX(pARTNER[#All],MATCH(#REF!,pARTNER[[#All],[Value.partnerSummary.id]],0),10)</f>
        <v>Slovenija (SI)</v>
      </c>
      <c r="R1926" t="str">
        <f>INDEX('Partner data'!$A$2:$DG$171,MATCH(#REF!,'Partner data'!$DG$2:$DG$171,0),83)</f>
        <v>Soggetto privato</v>
      </c>
      <c r="S1926" s="86" t="b">
        <f>IF(#REF!="staff",INDEX('Partner data'!$DG$2:$DH$171,MATCH(#REF!,'Partner data'!$DG$2:$DG$171,0),2))</f>
        <v>0</v>
      </c>
    </row>
    <row r="1927" spans="1:19" x14ac:dyDescent="0.25">
      <c r="A1927" t="s">
        <v>64</v>
      </c>
      <c r="B1927" t="s">
        <v>79</v>
      </c>
      <c r="C1927">
        <v>333</v>
      </c>
      <c r="D1927">
        <v>263</v>
      </c>
      <c r="E1927" t="s">
        <v>228</v>
      </c>
      <c r="G1927">
        <v>799073</v>
      </c>
      <c r="H1927">
        <v>124331.53</v>
      </c>
      <c r="I1927">
        <v>0</v>
      </c>
      <c r="J1927">
        <v>59780.35</v>
      </c>
      <c r="K1927">
        <v>0</v>
      </c>
      <c r="L1927">
        <v>59780.35</v>
      </c>
      <c r="M1927">
        <v>184111.88</v>
      </c>
      <c r="N1927">
        <v>23.04</v>
      </c>
      <c r="O1927">
        <v>614961.12</v>
      </c>
      <c r="P1927">
        <v>111211.51</v>
      </c>
      <c r="Q1927" t="str">
        <f>INDEX(pARTNER[#All],MATCH(#REF!,pARTNER[[#All],[Value.partnerSummary.id]],0),10)</f>
        <v>Italia (IT)</v>
      </c>
      <c r="R1927" t="str">
        <f>INDEX('Partner data'!$A$2:$DG$171,MATCH(#REF!,'Partner data'!$DG$2:$DG$171,0),83)</f>
        <v xml:space="preserve">Organismo di diritto pubblico </v>
      </c>
      <c r="S1927" s="86" t="str">
        <f>IF(#REF!="staff",INDEX('Partner data'!$DG$2:$DH$171,MATCH(#REF!,'Partner data'!$DG$2:$DG$171,0),2))</f>
        <v>COSTO REALE</v>
      </c>
    </row>
    <row r="1928" spans="1:19" x14ac:dyDescent="0.25">
      <c r="A1928" t="s">
        <v>64</v>
      </c>
      <c r="B1928" t="s">
        <v>79</v>
      </c>
      <c r="C1928">
        <v>333</v>
      </c>
      <c r="D1928">
        <v>263</v>
      </c>
      <c r="E1928" t="s">
        <v>229</v>
      </c>
      <c r="F1928">
        <v>15</v>
      </c>
      <c r="G1928">
        <v>119860.95</v>
      </c>
      <c r="H1928">
        <v>18649.72</v>
      </c>
      <c r="I1928">
        <v>0</v>
      </c>
      <c r="J1928">
        <v>8967.0499999999993</v>
      </c>
      <c r="K1928">
        <v>0</v>
      </c>
      <c r="L1928">
        <v>8967.0499999999993</v>
      </c>
      <c r="M1928">
        <v>27616.77</v>
      </c>
      <c r="N1928">
        <v>23.04</v>
      </c>
      <c r="O1928">
        <v>92244.18</v>
      </c>
      <c r="P1928">
        <v>16681.72</v>
      </c>
      <c r="Q1928" t="str">
        <f>INDEX(pARTNER[#All],MATCH(#REF!,pARTNER[[#All],[Value.partnerSummary.id]],0),10)</f>
        <v>Italia (IT)</v>
      </c>
      <c r="R1928" t="str">
        <f>INDEX('Partner data'!$A$2:$DG$171,MATCH(#REF!,'Partner data'!$DG$2:$DG$171,0),83)</f>
        <v xml:space="preserve">Organismo di diritto pubblico </v>
      </c>
      <c r="S1928" s="86" t="b">
        <f>IF(#REF!="staff",INDEX('Partner data'!$DG$2:$DH$171,MATCH(#REF!,'Partner data'!$DG$2:$DG$171,0),2))</f>
        <v>0</v>
      </c>
    </row>
    <row r="1929" spans="1:19" x14ac:dyDescent="0.25">
      <c r="A1929" t="s">
        <v>64</v>
      </c>
      <c r="B1929" t="s">
        <v>79</v>
      </c>
      <c r="C1929">
        <v>333</v>
      </c>
      <c r="D1929">
        <v>263</v>
      </c>
      <c r="E1929" t="s">
        <v>230</v>
      </c>
      <c r="F1929">
        <v>4</v>
      </c>
      <c r="G1929">
        <v>31962.92</v>
      </c>
      <c r="H1929">
        <v>4973.26</v>
      </c>
      <c r="I1929">
        <v>0</v>
      </c>
      <c r="J1929">
        <v>2391.21</v>
      </c>
      <c r="K1929">
        <v>0</v>
      </c>
      <c r="L1929">
        <v>2391.21</v>
      </c>
      <c r="M1929">
        <v>7364.47</v>
      </c>
      <c r="N1929">
        <v>23.04</v>
      </c>
      <c r="O1929">
        <v>24598.45</v>
      </c>
      <c r="P1929">
        <v>4448.46</v>
      </c>
      <c r="Q1929" t="str">
        <f>INDEX(pARTNER[#All],MATCH(#REF!,pARTNER[[#All],[Value.partnerSummary.id]],0),10)</f>
        <v>Italia (IT)</v>
      </c>
      <c r="R1929" t="str">
        <f>INDEX('Partner data'!$A$2:$DG$171,MATCH(#REF!,'Partner data'!$DG$2:$DG$171,0),83)</f>
        <v xml:space="preserve">Organismo di diritto pubblico </v>
      </c>
      <c r="S1929" s="86" t="b">
        <f>IF(#REF!="staff",INDEX('Partner data'!$DG$2:$DH$171,MATCH(#REF!,'Partner data'!$DG$2:$DG$171,0),2))</f>
        <v>0</v>
      </c>
    </row>
    <row r="1930" spans="1:19" x14ac:dyDescent="0.25">
      <c r="A1930" t="s">
        <v>64</v>
      </c>
      <c r="B1930" t="s">
        <v>79</v>
      </c>
      <c r="C1930">
        <v>333</v>
      </c>
      <c r="D1930">
        <v>263</v>
      </c>
      <c r="E1930" t="s">
        <v>231</v>
      </c>
      <c r="G1930">
        <v>285398.63</v>
      </c>
      <c r="H1930">
        <v>9453.66</v>
      </c>
      <c r="I1930">
        <v>0</v>
      </c>
      <c r="J1930">
        <v>0</v>
      </c>
      <c r="K1930">
        <v>0</v>
      </c>
      <c r="L1930">
        <v>0</v>
      </c>
      <c r="M1930">
        <v>9453.66</v>
      </c>
      <c r="N1930">
        <v>3.31</v>
      </c>
      <c r="O1930">
        <v>275944.96999999997</v>
      </c>
      <c r="P1930">
        <v>9453.66</v>
      </c>
      <c r="Q1930" t="str">
        <f>INDEX(pARTNER[#All],MATCH(#REF!,pARTNER[[#All],[Value.partnerSummary.id]],0),10)</f>
        <v>Italia (IT)</v>
      </c>
      <c r="R1930" t="str">
        <f>INDEX('Partner data'!$A$2:$DG$171,MATCH(#REF!,'Partner data'!$DG$2:$DG$171,0),83)</f>
        <v xml:space="preserve">Organismo di diritto pubblico </v>
      </c>
      <c r="S1930" s="86" t="b">
        <f>IF(#REF!="staff",INDEX('Partner data'!$DG$2:$DH$171,MATCH(#REF!,'Partner data'!$DG$2:$DG$171,0),2))</f>
        <v>0</v>
      </c>
    </row>
    <row r="1931" spans="1:19" x14ac:dyDescent="0.25">
      <c r="A1931" t="s">
        <v>64</v>
      </c>
      <c r="B1931" t="s">
        <v>79</v>
      </c>
      <c r="C1931">
        <v>333</v>
      </c>
      <c r="D1931">
        <v>263</v>
      </c>
      <c r="E1931" t="s">
        <v>232</v>
      </c>
      <c r="G1931">
        <v>0</v>
      </c>
      <c r="H1931">
        <v>0</v>
      </c>
      <c r="I1931">
        <v>0</v>
      </c>
      <c r="J1931">
        <v>0</v>
      </c>
      <c r="K1931">
        <v>0</v>
      </c>
      <c r="L1931">
        <v>0</v>
      </c>
      <c r="M1931">
        <v>0</v>
      </c>
      <c r="N1931">
        <v>0</v>
      </c>
      <c r="O1931">
        <v>0</v>
      </c>
      <c r="P1931">
        <v>0</v>
      </c>
      <c r="Q1931" t="str">
        <f>INDEX(pARTNER[#All],MATCH(#REF!,pARTNER[[#All],[Value.partnerSummary.id]],0),10)</f>
        <v>Italia (IT)</v>
      </c>
      <c r="R1931" t="str">
        <f>INDEX('Partner data'!$A$2:$DG$171,MATCH(#REF!,'Partner data'!$DG$2:$DG$171,0),83)</f>
        <v xml:space="preserve">Organismo di diritto pubblico </v>
      </c>
      <c r="S1931" s="86" t="b">
        <f>IF(#REF!="staff",INDEX('Partner data'!$DG$2:$DH$171,MATCH(#REF!,'Partner data'!$DG$2:$DG$171,0),2))</f>
        <v>0</v>
      </c>
    </row>
    <row r="1932" spans="1:19" x14ac:dyDescent="0.25">
      <c r="A1932" t="s">
        <v>64</v>
      </c>
      <c r="B1932" t="s">
        <v>79</v>
      </c>
      <c r="C1932">
        <v>333</v>
      </c>
      <c r="D1932">
        <v>263</v>
      </c>
      <c r="E1932" t="s">
        <v>233</v>
      </c>
      <c r="G1932">
        <v>0</v>
      </c>
      <c r="H1932">
        <v>0</v>
      </c>
      <c r="I1932">
        <v>0</v>
      </c>
      <c r="J1932">
        <v>0</v>
      </c>
      <c r="K1932">
        <v>0</v>
      </c>
      <c r="L1932">
        <v>0</v>
      </c>
      <c r="M1932">
        <v>0</v>
      </c>
      <c r="N1932">
        <v>0</v>
      </c>
      <c r="O1932">
        <v>0</v>
      </c>
      <c r="P1932">
        <v>0</v>
      </c>
      <c r="Q1932" t="str">
        <f>INDEX(pARTNER[#All],MATCH(#REF!,pARTNER[[#All],[Value.partnerSummary.id]],0),10)</f>
        <v>Italia (IT)</v>
      </c>
      <c r="R1932" t="str">
        <f>INDEX('Partner data'!$A$2:$DG$171,MATCH(#REF!,'Partner data'!$DG$2:$DG$171,0),83)</f>
        <v xml:space="preserve">Organismo di diritto pubblico </v>
      </c>
      <c r="S1932" s="86" t="b">
        <f>IF(#REF!="staff",INDEX('Partner data'!$DG$2:$DH$171,MATCH(#REF!,'Partner data'!$DG$2:$DG$171,0),2))</f>
        <v>0</v>
      </c>
    </row>
    <row r="1933" spans="1:19" x14ac:dyDescent="0.25">
      <c r="A1933" t="s">
        <v>64</v>
      </c>
      <c r="B1933" t="s">
        <v>79</v>
      </c>
      <c r="C1933">
        <v>333</v>
      </c>
      <c r="D1933">
        <v>263</v>
      </c>
      <c r="E1933" t="s">
        <v>234</v>
      </c>
      <c r="G1933">
        <v>0</v>
      </c>
      <c r="H1933">
        <v>0</v>
      </c>
      <c r="I1933">
        <v>0</v>
      </c>
      <c r="J1933">
        <v>0</v>
      </c>
      <c r="K1933">
        <v>0</v>
      </c>
      <c r="L1933">
        <v>0</v>
      </c>
      <c r="M1933">
        <v>0</v>
      </c>
      <c r="N1933">
        <v>0</v>
      </c>
      <c r="O1933">
        <v>0</v>
      </c>
      <c r="P1933">
        <v>0</v>
      </c>
      <c r="Q1933" t="str">
        <f>INDEX(pARTNER[#All],MATCH(#REF!,pARTNER[[#All],[Value.partnerSummary.id]],0),10)</f>
        <v>Italia (IT)</v>
      </c>
      <c r="R1933" t="str">
        <f>INDEX('Partner data'!$A$2:$DG$171,MATCH(#REF!,'Partner data'!$DG$2:$DG$171,0),83)</f>
        <v xml:space="preserve">Organismo di diritto pubblico </v>
      </c>
      <c r="S1933" s="86" t="b">
        <f>IF(#REF!="staff",INDEX('Partner data'!$DG$2:$DH$171,MATCH(#REF!,'Partner data'!$DG$2:$DG$171,0),2))</f>
        <v>0</v>
      </c>
    </row>
    <row r="1934" spans="1:19" x14ac:dyDescent="0.25">
      <c r="A1934" t="s">
        <v>64</v>
      </c>
      <c r="B1934" t="s">
        <v>79</v>
      </c>
      <c r="C1934">
        <v>333</v>
      </c>
      <c r="D1934">
        <v>263</v>
      </c>
      <c r="E1934" t="s">
        <v>235</v>
      </c>
      <c r="G1934">
        <v>0</v>
      </c>
      <c r="H1934">
        <v>0</v>
      </c>
      <c r="I1934">
        <v>0</v>
      </c>
      <c r="J1934">
        <v>0</v>
      </c>
      <c r="K1934">
        <v>0</v>
      </c>
      <c r="L1934">
        <v>0</v>
      </c>
      <c r="M1934">
        <v>0</v>
      </c>
      <c r="N1934">
        <v>0</v>
      </c>
      <c r="O1934">
        <v>0</v>
      </c>
      <c r="P1934">
        <v>0</v>
      </c>
      <c r="Q1934" t="str">
        <f>INDEX(pARTNER[#All],MATCH(#REF!,pARTNER[[#All],[Value.partnerSummary.id]],0),10)</f>
        <v>Italia (IT)</v>
      </c>
      <c r="R1934" t="str">
        <f>INDEX('Partner data'!$A$2:$DG$171,MATCH(#REF!,'Partner data'!$DG$2:$DG$171,0),83)</f>
        <v xml:space="preserve">Organismo di diritto pubblico </v>
      </c>
      <c r="S1934" s="86" t="b">
        <f>IF(#REF!="staff",INDEX('Partner data'!$DG$2:$DH$171,MATCH(#REF!,'Partner data'!$DG$2:$DG$171,0),2))</f>
        <v>0</v>
      </c>
    </row>
    <row r="1935" spans="1:19" x14ac:dyDescent="0.25">
      <c r="A1935" t="s">
        <v>64</v>
      </c>
      <c r="B1935" t="s">
        <v>79</v>
      </c>
      <c r="C1935">
        <v>333</v>
      </c>
      <c r="D1935">
        <v>263</v>
      </c>
      <c r="E1935" t="s">
        <v>236</v>
      </c>
      <c r="G1935">
        <v>0</v>
      </c>
      <c r="H1935">
        <v>0</v>
      </c>
      <c r="I1935">
        <v>0</v>
      </c>
      <c r="J1935">
        <v>0</v>
      </c>
      <c r="K1935">
        <v>0</v>
      </c>
      <c r="L1935">
        <v>0</v>
      </c>
      <c r="M1935">
        <v>0</v>
      </c>
      <c r="N1935">
        <v>0</v>
      </c>
      <c r="O1935">
        <v>0</v>
      </c>
      <c r="P1935">
        <v>0</v>
      </c>
      <c r="Q1935" t="str">
        <f>INDEX(pARTNER[#All],MATCH(#REF!,pARTNER[[#All],[Value.partnerSummary.id]],0),10)</f>
        <v>Italia (IT)</v>
      </c>
      <c r="R1935" t="str">
        <f>INDEX('Partner data'!$A$2:$DG$171,MATCH(#REF!,'Partner data'!$DG$2:$DG$171,0),83)</f>
        <v xml:space="preserve">Organismo di diritto pubblico </v>
      </c>
      <c r="S1935" s="86" t="b">
        <f>IF(#REF!="staff",INDEX('Partner data'!$DG$2:$DH$171,MATCH(#REF!,'Partner data'!$DG$2:$DG$171,0),2))</f>
        <v>0</v>
      </c>
    </row>
    <row r="1936" spans="1:19" x14ac:dyDescent="0.25">
      <c r="A1936" t="s">
        <v>64</v>
      </c>
      <c r="B1936" t="s">
        <v>79</v>
      </c>
      <c r="C1936">
        <v>333</v>
      </c>
      <c r="D1936">
        <v>263</v>
      </c>
      <c r="E1936" t="s">
        <v>237</v>
      </c>
      <c r="G1936">
        <v>10205674.5</v>
      </c>
      <c r="H1936">
        <v>0</v>
      </c>
      <c r="I1936">
        <v>0</v>
      </c>
      <c r="J1936">
        <v>0</v>
      </c>
      <c r="K1936">
        <v>0</v>
      </c>
      <c r="L1936">
        <v>0</v>
      </c>
      <c r="M1936">
        <v>0</v>
      </c>
      <c r="N1936">
        <v>0</v>
      </c>
      <c r="O1936">
        <v>10205674.5</v>
      </c>
      <c r="P1936">
        <v>0</v>
      </c>
      <c r="Q1936" t="str">
        <f>INDEX(pARTNER[#All],MATCH(#REF!,pARTNER[[#All],[Value.partnerSummary.id]],0),10)</f>
        <v>Italia (IT)</v>
      </c>
      <c r="R1936" t="str">
        <f>INDEX('Partner data'!$A$2:$DG$171,MATCH(#REF!,'Partner data'!$DG$2:$DG$171,0),83)</f>
        <v xml:space="preserve">Organismo di diritto pubblico </v>
      </c>
      <c r="S1936" s="86" t="b">
        <f>IF(#REF!="staff",INDEX('Partner data'!$DG$2:$DH$171,MATCH(#REF!,'Partner data'!$DG$2:$DG$171,0),2))</f>
        <v>0</v>
      </c>
    </row>
    <row r="1937" spans="1:19" x14ac:dyDescent="0.25">
      <c r="A1937" t="s">
        <v>64</v>
      </c>
      <c r="B1937" t="s">
        <v>79</v>
      </c>
      <c r="C1937">
        <v>333</v>
      </c>
      <c r="D1937">
        <v>263</v>
      </c>
      <c r="E1937" t="s">
        <v>238</v>
      </c>
      <c r="G1937">
        <v>11441970</v>
      </c>
      <c r="H1937">
        <v>157408.17000000001</v>
      </c>
      <c r="I1937">
        <v>0</v>
      </c>
      <c r="J1937">
        <v>71138.61</v>
      </c>
      <c r="K1937">
        <v>0</v>
      </c>
      <c r="L1937">
        <v>71138.61</v>
      </c>
      <c r="M1937">
        <v>228546.78</v>
      </c>
      <c r="N1937">
        <v>2</v>
      </c>
      <c r="O1937">
        <v>11213423.220000001</v>
      </c>
      <c r="P1937">
        <v>141795.35</v>
      </c>
      <c r="Q1937" t="str">
        <f>INDEX(pARTNER[#All],MATCH(#REF!,pARTNER[[#All],[Value.partnerSummary.id]],0),10)</f>
        <v>Italia (IT)</v>
      </c>
      <c r="R1937" t="str">
        <f>INDEX('Partner data'!$A$2:$DG$171,MATCH(#REF!,'Partner data'!$DG$2:$DG$171,0),83)</f>
        <v xml:space="preserve">Organismo di diritto pubblico </v>
      </c>
      <c r="S1937" s="86" t="b">
        <f>IF(#REF!="staff",INDEX('Partner data'!$DG$2:$DH$171,MATCH(#REF!,'Partner data'!$DG$2:$DG$171,0),2))</f>
        <v>0</v>
      </c>
    </row>
    <row r="1938" spans="1:19" x14ac:dyDescent="0.25">
      <c r="A1938" t="s">
        <v>64</v>
      </c>
      <c r="B1938" t="s">
        <v>79</v>
      </c>
      <c r="C1938">
        <v>333</v>
      </c>
      <c r="D1938">
        <v>80</v>
      </c>
      <c r="E1938" t="s">
        <v>228</v>
      </c>
      <c r="G1938">
        <v>799073</v>
      </c>
      <c r="H1938">
        <v>0</v>
      </c>
      <c r="I1938">
        <v>0</v>
      </c>
      <c r="J1938">
        <v>124331.53</v>
      </c>
      <c r="K1938">
        <v>0</v>
      </c>
      <c r="L1938">
        <v>111211.51</v>
      </c>
      <c r="M1938">
        <v>124331.53</v>
      </c>
      <c r="N1938">
        <v>15.56</v>
      </c>
      <c r="O1938">
        <v>674741.47</v>
      </c>
      <c r="P1938">
        <v>0</v>
      </c>
      <c r="Q1938" t="str">
        <f>INDEX(pARTNER[#All],MATCH(#REF!,pARTNER[[#All],[Value.partnerSummary.id]],0),10)</f>
        <v>Italia (IT)</v>
      </c>
      <c r="R1938" t="str">
        <f>INDEX('Partner data'!$A$2:$DG$171,MATCH(#REF!,'Partner data'!$DG$2:$DG$171,0),83)</f>
        <v xml:space="preserve">Organismo di diritto pubblico </v>
      </c>
      <c r="S1938" s="86" t="str">
        <f>IF(#REF!="staff",INDEX('Partner data'!$DG$2:$DH$171,MATCH(#REF!,'Partner data'!$DG$2:$DG$171,0),2))</f>
        <v>COSTO REALE</v>
      </c>
    </row>
    <row r="1939" spans="1:19" x14ac:dyDescent="0.25">
      <c r="A1939" t="s">
        <v>64</v>
      </c>
      <c r="B1939" t="s">
        <v>79</v>
      </c>
      <c r="C1939">
        <v>333</v>
      </c>
      <c r="D1939">
        <v>80</v>
      </c>
      <c r="E1939" t="s">
        <v>229</v>
      </c>
      <c r="F1939">
        <v>15</v>
      </c>
      <c r="G1939">
        <v>119860.95</v>
      </c>
      <c r="H1939">
        <v>0</v>
      </c>
      <c r="I1939">
        <v>0</v>
      </c>
      <c r="J1939">
        <v>18649.72</v>
      </c>
      <c r="K1939">
        <v>0</v>
      </c>
      <c r="L1939">
        <v>16681.72</v>
      </c>
      <c r="M1939">
        <v>18649.72</v>
      </c>
      <c r="N1939">
        <v>15.56</v>
      </c>
      <c r="O1939">
        <v>101211.23</v>
      </c>
      <c r="P1939">
        <v>0</v>
      </c>
      <c r="Q1939" t="str">
        <f>INDEX(pARTNER[#All],MATCH(#REF!,pARTNER[[#All],[Value.partnerSummary.id]],0),10)</f>
        <v>Italia (IT)</v>
      </c>
      <c r="R1939" t="str">
        <f>INDEX('Partner data'!$A$2:$DG$171,MATCH(#REF!,'Partner data'!$DG$2:$DG$171,0),83)</f>
        <v xml:space="preserve">Organismo di diritto pubblico </v>
      </c>
      <c r="S1939" s="86" t="b">
        <f>IF(#REF!="staff",INDEX('Partner data'!$DG$2:$DH$171,MATCH(#REF!,'Partner data'!$DG$2:$DG$171,0),2))</f>
        <v>0</v>
      </c>
    </row>
    <row r="1940" spans="1:19" x14ac:dyDescent="0.25">
      <c r="A1940" t="s">
        <v>64</v>
      </c>
      <c r="B1940" t="s">
        <v>79</v>
      </c>
      <c r="C1940">
        <v>333</v>
      </c>
      <c r="D1940">
        <v>80</v>
      </c>
      <c r="E1940" t="s">
        <v>230</v>
      </c>
      <c r="F1940">
        <v>4</v>
      </c>
      <c r="G1940">
        <v>31962.92</v>
      </c>
      <c r="H1940">
        <v>0</v>
      </c>
      <c r="I1940">
        <v>0</v>
      </c>
      <c r="J1940">
        <v>4973.26</v>
      </c>
      <c r="K1940">
        <v>0</v>
      </c>
      <c r="L1940">
        <v>4448.46</v>
      </c>
      <c r="M1940">
        <v>4973.26</v>
      </c>
      <c r="N1940">
        <v>15.56</v>
      </c>
      <c r="O1940">
        <v>26989.66</v>
      </c>
      <c r="P1940">
        <v>0</v>
      </c>
      <c r="Q1940" t="str">
        <f>INDEX(pARTNER[#All],MATCH(#REF!,pARTNER[[#All],[Value.partnerSummary.id]],0),10)</f>
        <v>Italia (IT)</v>
      </c>
      <c r="R1940" t="str">
        <f>INDEX('Partner data'!$A$2:$DG$171,MATCH(#REF!,'Partner data'!$DG$2:$DG$171,0),83)</f>
        <v xml:space="preserve">Organismo di diritto pubblico </v>
      </c>
      <c r="S1940" s="86" t="b">
        <f>IF(#REF!="staff",INDEX('Partner data'!$DG$2:$DH$171,MATCH(#REF!,'Partner data'!$DG$2:$DG$171,0),2))</f>
        <v>0</v>
      </c>
    </row>
    <row r="1941" spans="1:19" x14ac:dyDescent="0.25">
      <c r="A1941" t="s">
        <v>64</v>
      </c>
      <c r="B1941" t="s">
        <v>79</v>
      </c>
      <c r="C1941">
        <v>333</v>
      </c>
      <c r="D1941">
        <v>80</v>
      </c>
      <c r="E1941" t="s">
        <v>231</v>
      </c>
      <c r="G1941">
        <v>285398.63</v>
      </c>
      <c r="H1941">
        <v>0</v>
      </c>
      <c r="I1941">
        <v>0</v>
      </c>
      <c r="J1941">
        <v>9453.66</v>
      </c>
      <c r="K1941">
        <v>0</v>
      </c>
      <c r="L1941">
        <v>9453.66</v>
      </c>
      <c r="M1941">
        <v>9453.66</v>
      </c>
      <c r="N1941">
        <v>3.31</v>
      </c>
      <c r="O1941">
        <v>275944.96999999997</v>
      </c>
      <c r="P1941">
        <v>0</v>
      </c>
      <c r="Q1941" t="str">
        <f>INDEX(pARTNER[#All],MATCH(#REF!,pARTNER[[#All],[Value.partnerSummary.id]],0),10)</f>
        <v>Italia (IT)</v>
      </c>
      <c r="R1941" t="str">
        <f>INDEX('Partner data'!$A$2:$DG$171,MATCH(#REF!,'Partner data'!$DG$2:$DG$171,0),83)</f>
        <v xml:space="preserve">Organismo di diritto pubblico </v>
      </c>
      <c r="S1941" s="86" t="b">
        <f>IF(#REF!="staff",INDEX('Partner data'!$DG$2:$DH$171,MATCH(#REF!,'Partner data'!$DG$2:$DG$171,0),2))</f>
        <v>0</v>
      </c>
    </row>
    <row r="1942" spans="1:19" x14ac:dyDescent="0.25">
      <c r="A1942" t="s">
        <v>64</v>
      </c>
      <c r="B1942" t="s">
        <v>79</v>
      </c>
      <c r="C1942">
        <v>333</v>
      </c>
      <c r="D1942">
        <v>80</v>
      </c>
      <c r="E1942" t="s">
        <v>232</v>
      </c>
      <c r="G1942">
        <v>0</v>
      </c>
      <c r="H1942">
        <v>0</v>
      </c>
      <c r="I1942">
        <v>0</v>
      </c>
      <c r="J1942">
        <v>0</v>
      </c>
      <c r="K1942">
        <v>0</v>
      </c>
      <c r="L1942">
        <v>0</v>
      </c>
      <c r="M1942">
        <v>0</v>
      </c>
      <c r="N1942">
        <v>0</v>
      </c>
      <c r="O1942">
        <v>0</v>
      </c>
      <c r="P1942">
        <v>0</v>
      </c>
      <c r="Q1942" t="str">
        <f>INDEX(pARTNER[#All],MATCH(#REF!,pARTNER[[#All],[Value.partnerSummary.id]],0),10)</f>
        <v>Italia (IT)</v>
      </c>
      <c r="R1942" t="str">
        <f>INDEX('Partner data'!$A$2:$DG$171,MATCH(#REF!,'Partner data'!$DG$2:$DG$171,0),83)</f>
        <v xml:space="preserve">Organismo di diritto pubblico </v>
      </c>
      <c r="S1942" s="86" t="b">
        <f>IF(#REF!="staff",INDEX('Partner data'!$DG$2:$DH$171,MATCH(#REF!,'Partner data'!$DG$2:$DG$171,0),2))</f>
        <v>0</v>
      </c>
    </row>
    <row r="1943" spans="1:19" x14ac:dyDescent="0.25">
      <c r="A1943" t="s">
        <v>64</v>
      </c>
      <c r="B1943" t="s">
        <v>79</v>
      </c>
      <c r="C1943">
        <v>333</v>
      </c>
      <c r="D1943">
        <v>80</v>
      </c>
      <c r="E1943" t="s">
        <v>233</v>
      </c>
      <c r="G1943">
        <v>0</v>
      </c>
      <c r="H1943">
        <v>0</v>
      </c>
      <c r="I1943">
        <v>0</v>
      </c>
      <c r="J1943">
        <v>0</v>
      </c>
      <c r="K1943">
        <v>0</v>
      </c>
      <c r="L1943">
        <v>0</v>
      </c>
      <c r="M1943">
        <v>0</v>
      </c>
      <c r="N1943">
        <v>0</v>
      </c>
      <c r="O1943">
        <v>0</v>
      </c>
      <c r="P1943">
        <v>0</v>
      </c>
      <c r="Q1943" t="str">
        <f>INDEX(pARTNER[#All],MATCH(#REF!,pARTNER[[#All],[Value.partnerSummary.id]],0),10)</f>
        <v>Italia (IT)</v>
      </c>
      <c r="R1943" t="str">
        <f>INDEX('Partner data'!$A$2:$DG$171,MATCH(#REF!,'Partner data'!$DG$2:$DG$171,0),83)</f>
        <v xml:space="preserve">Organismo di diritto pubblico </v>
      </c>
      <c r="S1943" s="86" t="b">
        <f>IF(#REF!="staff",INDEX('Partner data'!$DG$2:$DH$171,MATCH(#REF!,'Partner data'!$DG$2:$DG$171,0),2))</f>
        <v>0</v>
      </c>
    </row>
    <row r="1944" spans="1:19" x14ac:dyDescent="0.25">
      <c r="A1944" t="s">
        <v>64</v>
      </c>
      <c r="B1944" t="s">
        <v>79</v>
      </c>
      <c r="C1944">
        <v>333</v>
      </c>
      <c r="D1944">
        <v>80</v>
      </c>
      <c r="E1944" t="s">
        <v>234</v>
      </c>
      <c r="G1944">
        <v>0</v>
      </c>
      <c r="H1944">
        <v>0</v>
      </c>
      <c r="I1944">
        <v>0</v>
      </c>
      <c r="J1944">
        <v>0</v>
      </c>
      <c r="K1944">
        <v>0</v>
      </c>
      <c r="L1944">
        <v>0</v>
      </c>
      <c r="M1944">
        <v>0</v>
      </c>
      <c r="N1944">
        <v>0</v>
      </c>
      <c r="O1944">
        <v>0</v>
      </c>
      <c r="P1944">
        <v>0</v>
      </c>
      <c r="Q1944" t="str">
        <f>INDEX(pARTNER[#All],MATCH(#REF!,pARTNER[[#All],[Value.partnerSummary.id]],0),10)</f>
        <v>Italia (IT)</v>
      </c>
      <c r="R1944" t="str">
        <f>INDEX('Partner data'!$A$2:$DG$171,MATCH(#REF!,'Partner data'!$DG$2:$DG$171,0),83)</f>
        <v xml:space="preserve">Organismo di diritto pubblico </v>
      </c>
      <c r="S1944" s="86" t="b">
        <f>IF(#REF!="staff",INDEX('Partner data'!$DG$2:$DH$171,MATCH(#REF!,'Partner data'!$DG$2:$DG$171,0),2))</f>
        <v>0</v>
      </c>
    </row>
    <row r="1945" spans="1:19" x14ac:dyDescent="0.25">
      <c r="A1945" t="s">
        <v>64</v>
      </c>
      <c r="B1945" t="s">
        <v>79</v>
      </c>
      <c r="C1945">
        <v>333</v>
      </c>
      <c r="D1945">
        <v>80</v>
      </c>
      <c r="E1945" t="s">
        <v>235</v>
      </c>
      <c r="G1945">
        <v>0</v>
      </c>
      <c r="H1945">
        <v>0</v>
      </c>
      <c r="I1945">
        <v>0</v>
      </c>
      <c r="J1945">
        <v>0</v>
      </c>
      <c r="K1945">
        <v>0</v>
      </c>
      <c r="L1945">
        <v>0</v>
      </c>
      <c r="M1945">
        <v>0</v>
      </c>
      <c r="N1945">
        <v>0</v>
      </c>
      <c r="O1945">
        <v>0</v>
      </c>
      <c r="P1945">
        <v>0</v>
      </c>
      <c r="Q1945" t="str">
        <f>INDEX(pARTNER[#All],MATCH(#REF!,pARTNER[[#All],[Value.partnerSummary.id]],0),10)</f>
        <v>Italia (IT)</v>
      </c>
      <c r="R1945" t="str">
        <f>INDEX('Partner data'!$A$2:$DG$171,MATCH(#REF!,'Partner data'!$DG$2:$DG$171,0),83)</f>
        <v xml:space="preserve">Organismo di diritto pubblico </v>
      </c>
      <c r="S1945" s="86" t="b">
        <f>IF(#REF!="staff",INDEX('Partner data'!$DG$2:$DH$171,MATCH(#REF!,'Partner data'!$DG$2:$DG$171,0),2))</f>
        <v>0</v>
      </c>
    </row>
    <row r="1946" spans="1:19" x14ac:dyDescent="0.25">
      <c r="A1946" t="s">
        <v>64</v>
      </c>
      <c r="B1946" t="s">
        <v>79</v>
      </c>
      <c r="C1946">
        <v>333</v>
      </c>
      <c r="D1946">
        <v>80</v>
      </c>
      <c r="E1946" t="s">
        <v>236</v>
      </c>
      <c r="G1946">
        <v>0</v>
      </c>
      <c r="H1946">
        <v>0</v>
      </c>
      <c r="I1946">
        <v>0</v>
      </c>
      <c r="J1946">
        <v>0</v>
      </c>
      <c r="K1946">
        <v>0</v>
      </c>
      <c r="L1946">
        <v>0</v>
      </c>
      <c r="M1946">
        <v>0</v>
      </c>
      <c r="N1946">
        <v>0</v>
      </c>
      <c r="O1946">
        <v>0</v>
      </c>
      <c r="P1946">
        <v>0</v>
      </c>
      <c r="Q1946" t="str">
        <f>INDEX(pARTNER[#All],MATCH(#REF!,pARTNER[[#All],[Value.partnerSummary.id]],0),10)</f>
        <v>Italia (IT)</v>
      </c>
      <c r="R1946" t="str">
        <f>INDEX('Partner data'!$A$2:$DG$171,MATCH(#REF!,'Partner data'!$DG$2:$DG$171,0),83)</f>
        <v xml:space="preserve">Organismo di diritto pubblico </v>
      </c>
      <c r="S1946" s="86" t="b">
        <f>IF(#REF!="staff",INDEX('Partner data'!$DG$2:$DH$171,MATCH(#REF!,'Partner data'!$DG$2:$DG$171,0),2))</f>
        <v>0</v>
      </c>
    </row>
    <row r="1947" spans="1:19" x14ac:dyDescent="0.25">
      <c r="A1947" t="s">
        <v>64</v>
      </c>
      <c r="B1947" t="s">
        <v>79</v>
      </c>
      <c r="C1947">
        <v>333</v>
      </c>
      <c r="D1947">
        <v>80</v>
      </c>
      <c r="E1947" t="s">
        <v>237</v>
      </c>
      <c r="G1947">
        <v>0</v>
      </c>
      <c r="H1947">
        <v>0</v>
      </c>
      <c r="I1947">
        <v>0</v>
      </c>
      <c r="J1947">
        <v>0</v>
      </c>
      <c r="K1947">
        <v>0</v>
      </c>
      <c r="L1947">
        <v>0</v>
      </c>
      <c r="M1947">
        <v>0</v>
      </c>
      <c r="N1947">
        <v>0</v>
      </c>
      <c r="O1947">
        <v>0</v>
      </c>
      <c r="P1947">
        <v>0</v>
      </c>
      <c r="Q1947" t="str">
        <f>INDEX(pARTNER[#All],MATCH(#REF!,pARTNER[[#All],[Value.partnerSummary.id]],0),10)</f>
        <v>Italia (IT)</v>
      </c>
      <c r="R1947" t="str">
        <f>INDEX('Partner data'!$A$2:$DG$171,MATCH(#REF!,'Partner data'!$DG$2:$DG$171,0),83)</f>
        <v xml:space="preserve">Organismo di diritto pubblico </v>
      </c>
      <c r="S1947" s="86" t="b">
        <f>IF(#REF!="staff",INDEX('Partner data'!$DG$2:$DH$171,MATCH(#REF!,'Partner data'!$DG$2:$DG$171,0),2))</f>
        <v>0</v>
      </c>
    </row>
    <row r="1948" spans="1:19" x14ac:dyDescent="0.25">
      <c r="A1948" t="s">
        <v>64</v>
      </c>
      <c r="B1948" t="s">
        <v>79</v>
      </c>
      <c r="C1948">
        <v>333</v>
      </c>
      <c r="D1948">
        <v>80</v>
      </c>
      <c r="E1948" t="s">
        <v>238</v>
      </c>
      <c r="G1948">
        <v>1236295.5</v>
      </c>
      <c r="H1948">
        <v>0</v>
      </c>
      <c r="I1948">
        <v>0</v>
      </c>
      <c r="J1948">
        <v>157408.17000000001</v>
      </c>
      <c r="K1948">
        <v>0</v>
      </c>
      <c r="L1948">
        <v>141795.35</v>
      </c>
      <c r="M1948">
        <v>157408.17000000001</v>
      </c>
      <c r="N1948">
        <v>12.73</v>
      </c>
      <c r="O1948">
        <v>1078887.33</v>
      </c>
      <c r="P1948">
        <v>0</v>
      </c>
      <c r="Q1948" t="str">
        <f>INDEX(pARTNER[#All],MATCH(#REF!,pARTNER[[#All],[Value.partnerSummary.id]],0),10)</f>
        <v>Italia (IT)</v>
      </c>
      <c r="R1948" t="str">
        <f>INDEX('Partner data'!$A$2:$DG$171,MATCH(#REF!,'Partner data'!$DG$2:$DG$171,0),83)</f>
        <v xml:space="preserve">Organismo di diritto pubblico </v>
      </c>
      <c r="S1948" s="86" t="b">
        <f>IF(#REF!="staff",INDEX('Partner data'!$DG$2:$DH$171,MATCH(#REF!,'Partner data'!$DG$2:$DG$171,0),2))</f>
        <v>0</v>
      </c>
    </row>
    <row r="1949" spans="1:19" x14ac:dyDescent="0.25">
      <c r="A1949" t="s">
        <v>60</v>
      </c>
      <c r="B1949" t="s">
        <v>328</v>
      </c>
      <c r="C1949">
        <v>138</v>
      </c>
      <c r="D1949">
        <v>318</v>
      </c>
      <c r="E1949" t="s">
        <v>228</v>
      </c>
      <c r="F1949">
        <v>20</v>
      </c>
      <c r="G1949">
        <v>16140</v>
      </c>
      <c r="H1949">
        <v>0</v>
      </c>
      <c r="I1949">
        <v>0</v>
      </c>
      <c r="J1949">
        <v>0</v>
      </c>
      <c r="K1949">
        <v>0</v>
      </c>
      <c r="L1949">
        <v>0</v>
      </c>
      <c r="M1949">
        <v>0</v>
      </c>
      <c r="N1949">
        <v>0</v>
      </c>
      <c r="O1949">
        <v>16140</v>
      </c>
      <c r="P1949">
        <v>0</v>
      </c>
      <c r="Q1949" t="str">
        <f>INDEX(pARTNER[#All],MATCH(#REF!,pARTNER[[#All],[Value.partnerSummary.id]],0),10)</f>
        <v>Italia (IT)</v>
      </c>
      <c r="R1949" t="str">
        <f>INDEX('Partner data'!$A$2:$DG$171,MATCH(#REF!,'Partner data'!$DG$2:$DG$171,0),83)</f>
        <v>Soggetto privato</v>
      </c>
      <c r="S1949" s="86" t="str">
        <f>IF(#REF!="staff",INDEX('Partner data'!$DG$2:$DH$171,MATCH(#REF!,'Partner data'!$DG$2:$DG$171,0),2))</f>
        <v>Tasso Forfettario 20%</v>
      </c>
    </row>
    <row r="1950" spans="1:19" x14ac:dyDescent="0.25">
      <c r="A1950" t="s">
        <v>60</v>
      </c>
      <c r="B1950" t="s">
        <v>328</v>
      </c>
      <c r="C1950">
        <v>138</v>
      </c>
      <c r="D1950">
        <v>318</v>
      </c>
      <c r="E1950" t="s">
        <v>229</v>
      </c>
      <c r="F1950">
        <v>15</v>
      </c>
      <c r="G1950">
        <v>2421</v>
      </c>
      <c r="H1950">
        <v>0</v>
      </c>
      <c r="I1950">
        <v>0</v>
      </c>
      <c r="J1950">
        <v>0</v>
      </c>
      <c r="K1950">
        <v>0</v>
      </c>
      <c r="L1950">
        <v>0</v>
      </c>
      <c r="M1950">
        <v>0</v>
      </c>
      <c r="N1950">
        <v>0</v>
      </c>
      <c r="O1950">
        <v>2421</v>
      </c>
      <c r="P1950">
        <v>0</v>
      </c>
      <c r="Q1950" t="str">
        <f>INDEX(pARTNER[#All],MATCH(#REF!,pARTNER[[#All],[Value.partnerSummary.id]],0),10)</f>
        <v>Italia (IT)</v>
      </c>
      <c r="R1950" t="str">
        <f>INDEX('Partner data'!$A$2:$DG$171,MATCH(#REF!,'Partner data'!$DG$2:$DG$171,0),83)</f>
        <v>Soggetto privato</v>
      </c>
      <c r="S1950" s="86" t="b">
        <f>IF(#REF!="staff",INDEX('Partner data'!$DG$2:$DH$171,MATCH(#REF!,'Partner data'!$DG$2:$DG$171,0),2))</f>
        <v>0</v>
      </c>
    </row>
    <row r="1951" spans="1:19" x14ac:dyDescent="0.25">
      <c r="A1951" t="s">
        <v>60</v>
      </c>
      <c r="B1951" t="s">
        <v>328</v>
      </c>
      <c r="C1951">
        <v>138</v>
      </c>
      <c r="D1951">
        <v>318</v>
      </c>
      <c r="E1951" t="s">
        <v>230</v>
      </c>
      <c r="F1951">
        <v>4</v>
      </c>
      <c r="G1951">
        <v>645.6</v>
      </c>
      <c r="H1951">
        <v>0</v>
      </c>
      <c r="I1951">
        <v>0</v>
      </c>
      <c r="J1951">
        <v>0</v>
      </c>
      <c r="K1951">
        <v>0</v>
      </c>
      <c r="L1951">
        <v>0</v>
      </c>
      <c r="M1951">
        <v>0</v>
      </c>
      <c r="N1951">
        <v>0</v>
      </c>
      <c r="O1951">
        <v>645.6</v>
      </c>
      <c r="P1951">
        <v>0</v>
      </c>
      <c r="Q1951" t="str">
        <f>INDEX(pARTNER[#All],MATCH(#REF!,pARTNER[[#All],[Value.partnerSummary.id]],0),10)</f>
        <v>Italia (IT)</v>
      </c>
      <c r="R1951" t="str">
        <f>INDEX('Partner data'!$A$2:$DG$171,MATCH(#REF!,'Partner data'!$DG$2:$DG$171,0),83)</f>
        <v>Soggetto privato</v>
      </c>
      <c r="S1951" s="86" t="b">
        <f>IF(#REF!="staff",INDEX('Partner data'!$DG$2:$DH$171,MATCH(#REF!,'Partner data'!$DG$2:$DG$171,0),2))</f>
        <v>0</v>
      </c>
    </row>
    <row r="1952" spans="1:19" x14ac:dyDescent="0.25">
      <c r="A1952" t="s">
        <v>60</v>
      </c>
      <c r="B1952" t="s">
        <v>328</v>
      </c>
      <c r="C1952">
        <v>138</v>
      </c>
      <c r="D1952">
        <v>318</v>
      </c>
      <c r="E1952" t="s">
        <v>231</v>
      </c>
      <c r="G1952">
        <v>80700</v>
      </c>
      <c r="H1952">
        <v>0</v>
      </c>
      <c r="I1952">
        <v>0</v>
      </c>
      <c r="J1952">
        <v>0</v>
      </c>
      <c r="K1952">
        <v>0</v>
      </c>
      <c r="L1952">
        <v>0</v>
      </c>
      <c r="M1952">
        <v>0</v>
      </c>
      <c r="N1952">
        <v>0</v>
      </c>
      <c r="O1952">
        <v>80700</v>
      </c>
      <c r="P1952">
        <v>0</v>
      </c>
      <c r="Q1952" t="str">
        <f>INDEX(pARTNER[#All],MATCH(#REF!,pARTNER[[#All],[Value.partnerSummary.id]],0),10)</f>
        <v>Italia (IT)</v>
      </c>
      <c r="R1952" t="str">
        <f>INDEX('Partner data'!$A$2:$DG$171,MATCH(#REF!,'Partner data'!$DG$2:$DG$171,0),83)</f>
        <v>Soggetto privato</v>
      </c>
      <c r="S1952" s="86" t="b">
        <f>IF(#REF!="staff",INDEX('Partner data'!$DG$2:$DH$171,MATCH(#REF!,'Partner data'!$DG$2:$DG$171,0),2))</f>
        <v>0</v>
      </c>
    </row>
    <row r="1953" spans="1:19" x14ac:dyDescent="0.25">
      <c r="A1953" t="s">
        <v>60</v>
      </c>
      <c r="B1953" t="s">
        <v>328</v>
      </c>
      <c r="C1953">
        <v>138</v>
      </c>
      <c r="D1953">
        <v>318</v>
      </c>
      <c r="E1953" t="s">
        <v>232</v>
      </c>
      <c r="G1953">
        <v>0</v>
      </c>
      <c r="H1953">
        <v>0</v>
      </c>
      <c r="I1953">
        <v>0</v>
      </c>
      <c r="J1953">
        <v>0</v>
      </c>
      <c r="K1953">
        <v>0</v>
      </c>
      <c r="L1953">
        <v>0</v>
      </c>
      <c r="M1953">
        <v>0</v>
      </c>
      <c r="N1953">
        <v>0</v>
      </c>
      <c r="O1953">
        <v>0</v>
      </c>
      <c r="P1953">
        <v>0</v>
      </c>
      <c r="Q1953" t="str">
        <f>INDEX(pARTNER[#All],MATCH(#REF!,pARTNER[[#All],[Value.partnerSummary.id]],0),10)</f>
        <v>Italia (IT)</v>
      </c>
      <c r="R1953" t="str">
        <f>INDEX('Partner data'!$A$2:$DG$171,MATCH(#REF!,'Partner data'!$DG$2:$DG$171,0),83)</f>
        <v>Soggetto privato</v>
      </c>
      <c r="S1953" s="86" t="b">
        <f>IF(#REF!="staff",INDEX('Partner data'!$DG$2:$DH$171,MATCH(#REF!,'Partner data'!$DG$2:$DG$171,0),2))</f>
        <v>0</v>
      </c>
    </row>
    <row r="1954" spans="1:19" x14ac:dyDescent="0.25">
      <c r="A1954" t="s">
        <v>60</v>
      </c>
      <c r="B1954" t="s">
        <v>328</v>
      </c>
      <c r="C1954">
        <v>138</v>
      </c>
      <c r="D1954">
        <v>318</v>
      </c>
      <c r="E1954" t="s">
        <v>233</v>
      </c>
      <c r="G1954">
        <v>0</v>
      </c>
      <c r="H1954">
        <v>0</v>
      </c>
      <c r="I1954">
        <v>0</v>
      </c>
      <c r="J1954">
        <v>0</v>
      </c>
      <c r="K1954">
        <v>0</v>
      </c>
      <c r="L1954">
        <v>0</v>
      </c>
      <c r="M1954">
        <v>0</v>
      </c>
      <c r="N1954">
        <v>0</v>
      </c>
      <c r="O1954">
        <v>0</v>
      </c>
      <c r="P1954">
        <v>0</v>
      </c>
      <c r="Q1954" t="str">
        <f>INDEX(pARTNER[#All],MATCH(#REF!,pARTNER[[#All],[Value.partnerSummary.id]],0),10)</f>
        <v>Italia (IT)</v>
      </c>
      <c r="R1954" t="str">
        <f>INDEX('Partner data'!$A$2:$DG$171,MATCH(#REF!,'Partner data'!$DG$2:$DG$171,0),83)</f>
        <v>Soggetto privato</v>
      </c>
      <c r="S1954" s="86" t="b">
        <f>IF(#REF!="staff",INDEX('Partner data'!$DG$2:$DH$171,MATCH(#REF!,'Partner data'!$DG$2:$DG$171,0),2))</f>
        <v>0</v>
      </c>
    </row>
    <row r="1955" spans="1:19" x14ac:dyDescent="0.25">
      <c r="A1955" t="s">
        <v>60</v>
      </c>
      <c r="B1955" t="s">
        <v>328</v>
      </c>
      <c r="C1955">
        <v>138</v>
      </c>
      <c r="D1955">
        <v>318</v>
      </c>
      <c r="E1955" t="s">
        <v>234</v>
      </c>
      <c r="G1955">
        <v>0</v>
      </c>
      <c r="H1955">
        <v>0</v>
      </c>
      <c r="I1955">
        <v>0</v>
      </c>
      <c r="J1955">
        <v>0</v>
      </c>
      <c r="K1955">
        <v>0</v>
      </c>
      <c r="L1955">
        <v>0</v>
      </c>
      <c r="M1955">
        <v>0</v>
      </c>
      <c r="N1955">
        <v>0</v>
      </c>
      <c r="O1955">
        <v>0</v>
      </c>
      <c r="P1955">
        <v>0</v>
      </c>
      <c r="Q1955" t="str">
        <f>INDEX(pARTNER[#All],MATCH(#REF!,pARTNER[[#All],[Value.partnerSummary.id]],0),10)</f>
        <v>Italia (IT)</v>
      </c>
      <c r="R1955" t="str">
        <f>INDEX('Partner data'!$A$2:$DG$171,MATCH(#REF!,'Partner data'!$DG$2:$DG$171,0),83)</f>
        <v>Soggetto privato</v>
      </c>
      <c r="S1955" s="86" t="b">
        <f>IF(#REF!="staff",INDEX('Partner data'!$DG$2:$DH$171,MATCH(#REF!,'Partner data'!$DG$2:$DG$171,0),2))</f>
        <v>0</v>
      </c>
    </row>
    <row r="1956" spans="1:19" x14ac:dyDescent="0.25">
      <c r="A1956" t="s">
        <v>60</v>
      </c>
      <c r="B1956" t="s">
        <v>328</v>
      </c>
      <c r="C1956">
        <v>138</v>
      </c>
      <c r="D1956">
        <v>318</v>
      </c>
      <c r="E1956" t="s">
        <v>235</v>
      </c>
      <c r="G1956">
        <v>0</v>
      </c>
      <c r="H1956">
        <v>0</v>
      </c>
      <c r="I1956">
        <v>0</v>
      </c>
      <c r="J1956">
        <v>0</v>
      </c>
      <c r="K1956">
        <v>0</v>
      </c>
      <c r="L1956">
        <v>0</v>
      </c>
      <c r="M1956">
        <v>0</v>
      </c>
      <c r="N1956">
        <v>0</v>
      </c>
      <c r="O1956">
        <v>0</v>
      </c>
      <c r="P1956">
        <v>0</v>
      </c>
      <c r="Q1956" t="str">
        <f>INDEX(pARTNER[#All],MATCH(#REF!,pARTNER[[#All],[Value.partnerSummary.id]],0),10)</f>
        <v>Italia (IT)</v>
      </c>
      <c r="R1956" t="str">
        <f>INDEX('Partner data'!$A$2:$DG$171,MATCH(#REF!,'Partner data'!$DG$2:$DG$171,0),83)</f>
        <v>Soggetto privato</v>
      </c>
      <c r="S1956" s="86" t="b">
        <f>IF(#REF!="staff",INDEX('Partner data'!$DG$2:$DH$171,MATCH(#REF!,'Partner data'!$DG$2:$DG$171,0),2))</f>
        <v>0</v>
      </c>
    </row>
    <row r="1957" spans="1:19" x14ac:dyDescent="0.25">
      <c r="A1957" t="s">
        <v>60</v>
      </c>
      <c r="B1957" t="s">
        <v>328</v>
      </c>
      <c r="C1957">
        <v>138</v>
      </c>
      <c r="D1957">
        <v>318</v>
      </c>
      <c r="E1957" t="s">
        <v>236</v>
      </c>
      <c r="G1957">
        <v>0</v>
      </c>
      <c r="H1957">
        <v>0</v>
      </c>
      <c r="I1957">
        <v>0</v>
      </c>
      <c r="J1957">
        <v>0</v>
      </c>
      <c r="K1957">
        <v>0</v>
      </c>
      <c r="L1957">
        <v>0</v>
      </c>
      <c r="M1957">
        <v>0</v>
      </c>
      <c r="N1957">
        <v>0</v>
      </c>
      <c r="O1957">
        <v>0</v>
      </c>
      <c r="P1957">
        <v>0</v>
      </c>
      <c r="Q1957" t="str">
        <f>INDEX(pARTNER[#All],MATCH(#REF!,pARTNER[[#All],[Value.partnerSummary.id]],0),10)</f>
        <v>Italia (IT)</v>
      </c>
      <c r="R1957" t="str">
        <f>INDEX('Partner data'!$A$2:$DG$171,MATCH(#REF!,'Partner data'!$DG$2:$DG$171,0),83)</f>
        <v>Soggetto privato</v>
      </c>
      <c r="S1957" s="86" t="b">
        <f>IF(#REF!="staff",INDEX('Partner data'!$DG$2:$DH$171,MATCH(#REF!,'Partner data'!$DG$2:$DG$171,0),2))</f>
        <v>0</v>
      </c>
    </row>
    <row r="1958" spans="1:19" x14ac:dyDescent="0.25">
      <c r="A1958" t="s">
        <v>60</v>
      </c>
      <c r="B1958" t="s">
        <v>328</v>
      </c>
      <c r="C1958">
        <v>138</v>
      </c>
      <c r="D1958">
        <v>318</v>
      </c>
      <c r="E1958" t="s">
        <v>237</v>
      </c>
      <c r="G1958">
        <v>0</v>
      </c>
      <c r="H1958">
        <v>0</v>
      </c>
      <c r="I1958">
        <v>0</v>
      </c>
      <c r="J1958">
        <v>0</v>
      </c>
      <c r="K1958">
        <v>0</v>
      </c>
      <c r="L1958">
        <v>0</v>
      </c>
      <c r="M1958">
        <v>0</v>
      </c>
      <c r="N1958">
        <v>0</v>
      </c>
      <c r="O1958">
        <v>0</v>
      </c>
      <c r="P1958">
        <v>0</v>
      </c>
      <c r="Q1958" t="str">
        <f>INDEX(pARTNER[#All],MATCH(#REF!,pARTNER[[#All],[Value.partnerSummary.id]],0),10)</f>
        <v>Italia (IT)</v>
      </c>
      <c r="R1958" t="str">
        <f>INDEX('Partner data'!$A$2:$DG$171,MATCH(#REF!,'Partner data'!$DG$2:$DG$171,0),83)</f>
        <v>Soggetto privato</v>
      </c>
      <c r="S1958" s="86" t="b">
        <f>IF(#REF!="staff",INDEX('Partner data'!$DG$2:$DH$171,MATCH(#REF!,'Partner data'!$DG$2:$DG$171,0),2))</f>
        <v>0</v>
      </c>
    </row>
    <row r="1959" spans="1:19" x14ac:dyDescent="0.25">
      <c r="A1959" t="s">
        <v>60</v>
      </c>
      <c r="B1959" t="s">
        <v>328</v>
      </c>
      <c r="C1959">
        <v>138</v>
      </c>
      <c r="D1959">
        <v>318</v>
      </c>
      <c r="E1959" t="s">
        <v>238</v>
      </c>
      <c r="G1959">
        <v>99906.6</v>
      </c>
      <c r="H1959">
        <v>0</v>
      </c>
      <c r="I1959">
        <v>0</v>
      </c>
      <c r="J1959">
        <v>0</v>
      </c>
      <c r="K1959">
        <v>0</v>
      </c>
      <c r="L1959">
        <v>0</v>
      </c>
      <c r="M1959">
        <v>0</v>
      </c>
      <c r="N1959">
        <v>0</v>
      </c>
      <c r="O1959">
        <v>99906.6</v>
      </c>
      <c r="P1959">
        <v>0</v>
      </c>
      <c r="Q1959" t="str">
        <f>INDEX(pARTNER[#All],MATCH(#REF!,pARTNER[[#All],[Value.partnerSummary.id]],0),10)</f>
        <v>Italia (IT)</v>
      </c>
      <c r="R1959" t="str">
        <f>INDEX('Partner data'!$A$2:$DG$171,MATCH(#REF!,'Partner data'!$DG$2:$DG$171,0),83)</f>
        <v>Soggetto privato</v>
      </c>
      <c r="S1959" s="86" t="b">
        <f>IF(#REF!="staff",INDEX('Partner data'!$DG$2:$DH$171,MATCH(#REF!,'Partner data'!$DG$2:$DG$171,0),2))</f>
        <v>0</v>
      </c>
    </row>
    <row r="1960" spans="1:19" x14ac:dyDescent="0.25">
      <c r="A1960" t="s">
        <v>60</v>
      </c>
      <c r="B1960" t="s">
        <v>328</v>
      </c>
      <c r="C1960">
        <v>138</v>
      </c>
      <c r="D1960">
        <v>77</v>
      </c>
      <c r="E1960" t="s">
        <v>228</v>
      </c>
      <c r="F1960">
        <v>20</v>
      </c>
      <c r="G1960">
        <v>16140</v>
      </c>
      <c r="H1960">
        <v>0</v>
      </c>
      <c r="I1960">
        <v>0</v>
      </c>
      <c r="J1960">
        <v>0</v>
      </c>
      <c r="K1960">
        <v>0</v>
      </c>
      <c r="L1960">
        <v>0</v>
      </c>
      <c r="M1960">
        <v>0</v>
      </c>
      <c r="N1960">
        <v>0</v>
      </c>
      <c r="O1960">
        <v>16140</v>
      </c>
      <c r="P1960">
        <v>0</v>
      </c>
      <c r="Q1960" t="str">
        <f>INDEX(pARTNER[#All],MATCH(#REF!,pARTNER[[#All],[Value.partnerSummary.id]],0),10)</f>
        <v>Italia (IT)</v>
      </c>
      <c r="R1960" t="str">
        <f>INDEX('Partner data'!$A$2:$DG$171,MATCH(#REF!,'Partner data'!$DG$2:$DG$171,0),83)</f>
        <v>Soggetto privato</v>
      </c>
      <c r="S1960" s="86" t="str">
        <f>IF(#REF!="staff",INDEX('Partner data'!$DG$2:$DH$171,MATCH(#REF!,'Partner data'!$DG$2:$DG$171,0),2))</f>
        <v>Tasso Forfettario 20%</v>
      </c>
    </row>
    <row r="1961" spans="1:19" x14ac:dyDescent="0.25">
      <c r="A1961" t="s">
        <v>60</v>
      </c>
      <c r="B1961" t="s">
        <v>328</v>
      </c>
      <c r="C1961">
        <v>138</v>
      </c>
      <c r="D1961">
        <v>77</v>
      </c>
      <c r="E1961" t="s">
        <v>229</v>
      </c>
      <c r="F1961">
        <v>15</v>
      </c>
      <c r="G1961">
        <v>2421</v>
      </c>
      <c r="H1961">
        <v>0</v>
      </c>
      <c r="I1961">
        <v>0</v>
      </c>
      <c r="J1961">
        <v>0</v>
      </c>
      <c r="K1961">
        <v>0</v>
      </c>
      <c r="L1961">
        <v>0</v>
      </c>
      <c r="M1961">
        <v>0</v>
      </c>
      <c r="N1961">
        <v>0</v>
      </c>
      <c r="O1961">
        <v>2421</v>
      </c>
      <c r="P1961">
        <v>0</v>
      </c>
      <c r="Q1961" t="str">
        <f>INDEX(pARTNER[#All],MATCH(#REF!,pARTNER[[#All],[Value.partnerSummary.id]],0),10)</f>
        <v>Italia (IT)</v>
      </c>
      <c r="R1961" t="str">
        <f>INDEX('Partner data'!$A$2:$DG$171,MATCH(#REF!,'Partner data'!$DG$2:$DG$171,0),83)</f>
        <v>Soggetto privato</v>
      </c>
      <c r="S1961" s="86" t="b">
        <f>IF(#REF!="staff",INDEX('Partner data'!$DG$2:$DH$171,MATCH(#REF!,'Partner data'!$DG$2:$DG$171,0),2))</f>
        <v>0</v>
      </c>
    </row>
    <row r="1962" spans="1:19" x14ac:dyDescent="0.25">
      <c r="A1962" t="s">
        <v>60</v>
      </c>
      <c r="B1962" t="s">
        <v>328</v>
      </c>
      <c r="C1962">
        <v>138</v>
      </c>
      <c r="D1962">
        <v>77</v>
      </c>
      <c r="E1962" t="s">
        <v>230</v>
      </c>
      <c r="F1962">
        <v>4</v>
      </c>
      <c r="G1962">
        <v>645.6</v>
      </c>
      <c r="H1962">
        <v>0</v>
      </c>
      <c r="I1962">
        <v>0</v>
      </c>
      <c r="J1962">
        <v>0</v>
      </c>
      <c r="K1962">
        <v>0</v>
      </c>
      <c r="L1962">
        <v>0</v>
      </c>
      <c r="M1962">
        <v>0</v>
      </c>
      <c r="N1962">
        <v>0</v>
      </c>
      <c r="O1962">
        <v>645.6</v>
      </c>
      <c r="P1962">
        <v>0</v>
      </c>
      <c r="Q1962" t="str">
        <f>INDEX(pARTNER[#All],MATCH(#REF!,pARTNER[[#All],[Value.partnerSummary.id]],0),10)</f>
        <v>Italia (IT)</v>
      </c>
      <c r="R1962" t="str">
        <f>INDEX('Partner data'!$A$2:$DG$171,MATCH(#REF!,'Partner data'!$DG$2:$DG$171,0),83)</f>
        <v>Soggetto privato</v>
      </c>
      <c r="S1962" s="86" t="b">
        <f>IF(#REF!="staff",INDEX('Partner data'!$DG$2:$DH$171,MATCH(#REF!,'Partner data'!$DG$2:$DG$171,0),2))</f>
        <v>0</v>
      </c>
    </row>
    <row r="1963" spans="1:19" x14ac:dyDescent="0.25">
      <c r="A1963" t="s">
        <v>60</v>
      </c>
      <c r="B1963" t="s">
        <v>328</v>
      </c>
      <c r="C1963">
        <v>138</v>
      </c>
      <c r="D1963">
        <v>77</v>
      </c>
      <c r="E1963" t="s">
        <v>231</v>
      </c>
      <c r="G1963">
        <v>80700</v>
      </c>
      <c r="H1963">
        <v>0</v>
      </c>
      <c r="I1963">
        <v>0</v>
      </c>
      <c r="J1963">
        <v>0</v>
      </c>
      <c r="K1963">
        <v>0</v>
      </c>
      <c r="L1963">
        <v>0</v>
      </c>
      <c r="M1963">
        <v>0</v>
      </c>
      <c r="N1963">
        <v>0</v>
      </c>
      <c r="O1963">
        <v>80700</v>
      </c>
      <c r="P1963">
        <v>0</v>
      </c>
      <c r="Q1963" t="str">
        <f>INDEX(pARTNER[#All],MATCH(#REF!,pARTNER[[#All],[Value.partnerSummary.id]],0),10)</f>
        <v>Italia (IT)</v>
      </c>
      <c r="R1963" t="str">
        <f>INDEX('Partner data'!$A$2:$DG$171,MATCH(#REF!,'Partner data'!$DG$2:$DG$171,0),83)</f>
        <v>Soggetto privato</v>
      </c>
      <c r="S1963" s="86" t="b">
        <f>IF(#REF!="staff",INDEX('Partner data'!$DG$2:$DH$171,MATCH(#REF!,'Partner data'!$DG$2:$DG$171,0),2))</f>
        <v>0</v>
      </c>
    </row>
    <row r="1964" spans="1:19" x14ac:dyDescent="0.25">
      <c r="A1964" t="s">
        <v>60</v>
      </c>
      <c r="B1964" t="s">
        <v>328</v>
      </c>
      <c r="C1964">
        <v>138</v>
      </c>
      <c r="D1964">
        <v>77</v>
      </c>
      <c r="E1964" t="s">
        <v>232</v>
      </c>
      <c r="G1964">
        <v>0</v>
      </c>
      <c r="H1964">
        <v>0</v>
      </c>
      <c r="I1964">
        <v>0</v>
      </c>
      <c r="J1964">
        <v>0</v>
      </c>
      <c r="K1964">
        <v>0</v>
      </c>
      <c r="L1964">
        <v>0</v>
      </c>
      <c r="M1964">
        <v>0</v>
      </c>
      <c r="N1964">
        <v>0</v>
      </c>
      <c r="O1964">
        <v>0</v>
      </c>
      <c r="P1964">
        <v>0</v>
      </c>
      <c r="Q1964" t="str">
        <f>INDEX(pARTNER[#All],MATCH(#REF!,pARTNER[[#All],[Value.partnerSummary.id]],0),10)</f>
        <v>Italia (IT)</v>
      </c>
      <c r="R1964" t="str">
        <f>INDEX('Partner data'!$A$2:$DG$171,MATCH(#REF!,'Partner data'!$DG$2:$DG$171,0),83)</f>
        <v>Soggetto privato</v>
      </c>
      <c r="S1964" s="86" t="b">
        <f>IF(#REF!="staff",INDEX('Partner data'!$DG$2:$DH$171,MATCH(#REF!,'Partner data'!$DG$2:$DG$171,0),2))</f>
        <v>0</v>
      </c>
    </row>
    <row r="1965" spans="1:19" x14ac:dyDescent="0.25">
      <c r="A1965" t="s">
        <v>60</v>
      </c>
      <c r="B1965" t="s">
        <v>328</v>
      </c>
      <c r="C1965">
        <v>138</v>
      </c>
      <c r="D1965">
        <v>77</v>
      </c>
      <c r="E1965" t="s">
        <v>233</v>
      </c>
      <c r="G1965">
        <v>0</v>
      </c>
      <c r="H1965">
        <v>0</v>
      </c>
      <c r="I1965">
        <v>0</v>
      </c>
      <c r="J1965">
        <v>0</v>
      </c>
      <c r="K1965">
        <v>0</v>
      </c>
      <c r="L1965">
        <v>0</v>
      </c>
      <c r="M1965">
        <v>0</v>
      </c>
      <c r="N1965">
        <v>0</v>
      </c>
      <c r="O1965">
        <v>0</v>
      </c>
      <c r="P1965">
        <v>0</v>
      </c>
      <c r="Q1965" t="str">
        <f>INDEX(pARTNER[#All],MATCH(#REF!,pARTNER[[#All],[Value.partnerSummary.id]],0),10)</f>
        <v>Italia (IT)</v>
      </c>
      <c r="R1965" t="str">
        <f>INDEX('Partner data'!$A$2:$DG$171,MATCH(#REF!,'Partner data'!$DG$2:$DG$171,0),83)</f>
        <v>Soggetto privato</v>
      </c>
      <c r="S1965" s="86" t="b">
        <f>IF(#REF!="staff",INDEX('Partner data'!$DG$2:$DH$171,MATCH(#REF!,'Partner data'!$DG$2:$DG$171,0),2))</f>
        <v>0</v>
      </c>
    </row>
    <row r="1966" spans="1:19" x14ac:dyDescent="0.25">
      <c r="A1966" t="s">
        <v>60</v>
      </c>
      <c r="B1966" t="s">
        <v>328</v>
      </c>
      <c r="C1966">
        <v>138</v>
      </c>
      <c r="D1966">
        <v>77</v>
      </c>
      <c r="E1966" t="s">
        <v>234</v>
      </c>
      <c r="G1966">
        <v>0</v>
      </c>
      <c r="H1966">
        <v>0</v>
      </c>
      <c r="I1966">
        <v>0</v>
      </c>
      <c r="J1966">
        <v>0</v>
      </c>
      <c r="K1966">
        <v>0</v>
      </c>
      <c r="L1966">
        <v>0</v>
      </c>
      <c r="M1966">
        <v>0</v>
      </c>
      <c r="N1966">
        <v>0</v>
      </c>
      <c r="O1966">
        <v>0</v>
      </c>
      <c r="P1966">
        <v>0</v>
      </c>
      <c r="Q1966" t="str">
        <f>INDEX(pARTNER[#All],MATCH(#REF!,pARTNER[[#All],[Value.partnerSummary.id]],0),10)</f>
        <v>Italia (IT)</v>
      </c>
      <c r="R1966" t="str">
        <f>INDEX('Partner data'!$A$2:$DG$171,MATCH(#REF!,'Partner data'!$DG$2:$DG$171,0),83)</f>
        <v>Soggetto privato</v>
      </c>
      <c r="S1966" s="86" t="b">
        <f>IF(#REF!="staff",INDEX('Partner data'!$DG$2:$DH$171,MATCH(#REF!,'Partner data'!$DG$2:$DG$171,0),2))</f>
        <v>0</v>
      </c>
    </row>
    <row r="1967" spans="1:19" x14ac:dyDescent="0.25">
      <c r="A1967" t="s">
        <v>60</v>
      </c>
      <c r="B1967" t="s">
        <v>328</v>
      </c>
      <c r="C1967">
        <v>138</v>
      </c>
      <c r="D1967">
        <v>77</v>
      </c>
      <c r="E1967" t="s">
        <v>235</v>
      </c>
      <c r="G1967">
        <v>0</v>
      </c>
      <c r="H1967">
        <v>0</v>
      </c>
      <c r="I1967">
        <v>0</v>
      </c>
      <c r="J1967">
        <v>0</v>
      </c>
      <c r="K1967">
        <v>0</v>
      </c>
      <c r="L1967">
        <v>0</v>
      </c>
      <c r="M1967">
        <v>0</v>
      </c>
      <c r="N1967">
        <v>0</v>
      </c>
      <c r="O1967">
        <v>0</v>
      </c>
      <c r="P1967">
        <v>0</v>
      </c>
      <c r="Q1967" t="str">
        <f>INDEX(pARTNER[#All],MATCH(#REF!,pARTNER[[#All],[Value.partnerSummary.id]],0),10)</f>
        <v>Italia (IT)</v>
      </c>
      <c r="R1967" t="str">
        <f>INDEX('Partner data'!$A$2:$DG$171,MATCH(#REF!,'Partner data'!$DG$2:$DG$171,0),83)</f>
        <v>Soggetto privato</v>
      </c>
      <c r="S1967" s="86" t="b">
        <f>IF(#REF!="staff",INDEX('Partner data'!$DG$2:$DH$171,MATCH(#REF!,'Partner data'!$DG$2:$DG$171,0),2))</f>
        <v>0</v>
      </c>
    </row>
    <row r="1968" spans="1:19" x14ac:dyDescent="0.25">
      <c r="A1968" t="s">
        <v>60</v>
      </c>
      <c r="B1968" t="s">
        <v>328</v>
      </c>
      <c r="C1968">
        <v>138</v>
      </c>
      <c r="D1968">
        <v>77</v>
      </c>
      <c r="E1968" t="s">
        <v>236</v>
      </c>
      <c r="G1968">
        <v>0</v>
      </c>
      <c r="H1968">
        <v>0</v>
      </c>
      <c r="I1968">
        <v>0</v>
      </c>
      <c r="J1968">
        <v>0</v>
      </c>
      <c r="K1968">
        <v>0</v>
      </c>
      <c r="L1968">
        <v>0</v>
      </c>
      <c r="M1968">
        <v>0</v>
      </c>
      <c r="N1968">
        <v>0</v>
      </c>
      <c r="O1968">
        <v>0</v>
      </c>
      <c r="P1968">
        <v>0</v>
      </c>
      <c r="Q1968" t="str">
        <f>INDEX(pARTNER[#All],MATCH(#REF!,pARTNER[[#All],[Value.partnerSummary.id]],0),10)</f>
        <v>Italia (IT)</v>
      </c>
      <c r="R1968" t="str">
        <f>INDEX('Partner data'!$A$2:$DG$171,MATCH(#REF!,'Partner data'!$DG$2:$DG$171,0),83)</f>
        <v>Soggetto privato</v>
      </c>
      <c r="S1968" s="86" t="b">
        <f>IF(#REF!="staff",INDEX('Partner data'!$DG$2:$DH$171,MATCH(#REF!,'Partner data'!$DG$2:$DG$171,0),2))</f>
        <v>0</v>
      </c>
    </row>
    <row r="1969" spans="1:19" x14ac:dyDescent="0.25">
      <c r="A1969" t="s">
        <v>60</v>
      </c>
      <c r="B1969" t="s">
        <v>328</v>
      </c>
      <c r="C1969">
        <v>138</v>
      </c>
      <c r="D1969">
        <v>77</v>
      </c>
      <c r="E1969" t="s">
        <v>237</v>
      </c>
      <c r="G1969">
        <v>0</v>
      </c>
      <c r="H1969">
        <v>0</v>
      </c>
      <c r="I1969">
        <v>0</v>
      </c>
      <c r="J1969">
        <v>0</v>
      </c>
      <c r="K1969">
        <v>0</v>
      </c>
      <c r="L1969">
        <v>0</v>
      </c>
      <c r="M1969">
        <v>0</v>
      </c>
      <c r="N1969">
        <v>0</v>
      </c>
      <c r="O1969">
        <v>0</v>
      </c>
      <c r="P1969">
        <v>0</v>
      </c>
      <c r="Q1969" t="str">
        <f>INDEX(pARTNER[#All],MATCH(#REF!,pARTNER[[#All],[Value.partnerSummary.id]],0),10)</f>
        <v>Italia (IT)</v>
      </c>
      <c r="R1969" t="str">
        <f>INDEX('Partner data'!$A$2:$DG$171,MATCH(#REF!,'Partner data'!$DG$2:$DG$171,0),83)</f>
        <v>Soggetto privato</v>
      </c>
      <c r="S1969" s="86" t="b">
        <f>IF(#REF!="staff",INDEX('Partner data'!$DG$2:$DH$171,MATCH(#REF!,'Partner data'!$DG$2:$DG$171,0),2))</f>
        <v>0</v>
      </c>
    </row>
    <row r="1970" spans="1:19" x14ac:dyDescent="0.25">
      <c r="A1970" t="s">
        <v>60</v>
      </c>
      <c r="B1970" t="s">
        <v>328</v>
      </c>
      <c r="C1970">
        <v>138</v>
      </c>
      <c r="D1970">
        <v>77</v>
      </c>
      <c r="E1970" t="s">
        <v>238</v>
      </c>
      <c r="G1970">
        <v>99906.6</v>
      </c>
      <c r="H1970">
        <v>0</v>
      </c>
      <c r="I1970">
        <v>0</v>
      </c>
      <c r="J1970">
        <v>0</v>
      </c>
      <c r="K1970">
        <v>0</v>
      </c>
      <c r="L1970">
        <v>0</v>
      </c>
      <c r="M1970">
        <v>0</v>
      </c>
      <c r="N1970">
        <v>0</v>
      </c>
      <c r="O1970">
        <v>99906.6</v>
      </c>
      <c r="P1970">
        <v>0</v>
      </c>
      <c r="Q1970" t="str">
        <f>INDEX(pARTNER[#All],MATCH(#REF!,pARTNER[[#All],[Value.partnerSummary.id]],0),10)</f>
        <v>Italia (IT)</v>
      </c>
      <c r="R1970" t="str">
        <f>INDEX('Partner data'!$A$2:$DG$171,MATCH(#REF!,'Partner data'!$DG$2:$DG$171,0),83)</f>
        <v>Soggetto privato</v>
      </c>
      <c r="S1970" s="86" t="b">
        <f>IF(#REF!="staff",INDEX('Partner data'!$DG$2:$DH$171,MATCH(#REF!,'Partner data'!$DG$2:$DG$171,0),2))</f>
        <v>0</v>
      </c>
    </row>
    <row r="1971" spans="1:19" x14ac:dyDescent="0.25">
      <c r="A1971" t="s">
        <v>60</v>
      </c>
      <c r="B1971" t="s">
        <v>68</v>
      </c>
      <c r="C1971">
        <v>94</v>
      </c>
      <c r="D1971">
        <v>30</v>
      </c>
      <c r="E1971" t="s">
        <v>228</v>
      </c>
      <c r="F1971">
        <v>20</v>
      </c>
      <c r="G1971">
        <v>18220</v>
      </c>
      <c r="H1971">
        <v>0</v>
      </c>
      <c r="I1971">
        <v>0</v>
      </c>
      <c r="J1971">
        <v>0</v>
      </c>
      <c r="K1971">
        <v>0</v>
      </c>
      <c r="L1971">
        <v>0</v>
      </c>
      <c r="M1971">
        <v>0</v>
      </c>
      <c r="N1971">
        <v>0</v>
      </c>
      <c r="O1971">
        <v>18220</v>
      </c>
      <c r="P1971">
        <v>0</v>
      </c>
      <c r="Q1971" t="str">
        <f>INDEX(pARTNER[#All],MATCH(#REF!,pARTNER[[#All],[Value.partnerSummary.id]],0),10)</f>
        <v>Italia (IT)</v>
      </c>
      <c r="R1971" t="str">
        <f>INDEX('Partner data'!$A$2:$DG$171,MATCH(#REF!,'Partner data'!$DG$2:$DG$171,0),83)</f>
        <v>Soggetto pubblico</v>
      </c>
      <c r="S1971" s="86" t="str">
        <f>IF(#REF!="staff",INDEX('Partner data'!$DG$2:$DH$171,MATCH(#REF!,'Partner data'!$DG$2:$DG$171,0),2))</f>
        <v>Tasso Forfettario 20%</v>
      </c>
    </row>
    <row r="1972" spans="1:19" x14ac:dyDescent="0.25">
      <c r="A1972" t="s">
        <v>60</v>
      </c>
      <c r="B1972" t="s">
        <v>68</v>
      </c>
      <c r="C1972">
        <v>94</v>
      </c>
      <c r="D1972">
        <v>30</v>
      </c>
      <c r="E1972" t="s">
        <v>229</v>
      </c>
      <c r="F1972">
        <v>15</v>
      </c>
      <c r="G1972">
        <v>2733</v>
      </c>
      <c r="H1972">
        <v>0</v>
      </c>
      <c r="I1972">
        <v>0</v>
      </c>
      <c r="J1972">
        <v>0</v>
      </c>
      <c r="K1972">
        <v>0</v>
      </c>
      <c r="L1972">
        <v>0</v>
      </c>
      <c r="M1972">
        <v>0</v>
      </c>
      <c r="N1972">
        <v>0</v>
      </c>
      <c r="O1972">
        <v>2733</v>
      </c>
      <c r="P1972">
        <v>0</v>
      </c>
      <c r="Q1972" t="str">
        <f>INDEX(pARTNER[#All],MATCH(#REF!,pARTNER[[#All],[Value.partnerSummary.id]],0),10)</f>
        <v>Italia (IT)</v>
      </c>
      <c r="R1972" t="str">
        <f>INDEX('Partner data'!$A$2:$DG$171,MATCH(#REF!,'Partner data'!$DG$2:$DG$171,0),83)</f>
        <v>Soggetto pubblico</v>
      </c>
      <c r="S1972" s="86" t="b">
        <f>IF(#REF!="staff",INDEX('Partner data'!$DG$2:$DH$171,MATCH(#REF!,'Partner data'!$DG$2:$DG$171,0),2))</f>
        <v>0</v>
      </c>
    </row>
    <row r="1973" spans="1:19" x14ac:dyDescent="0.25">
      <c r="A1973" t="s">
        <v>60</v>
      </c>
      <c r="B1973" t="s">
        <v>68</v>
      </c>
      <c r="C1973">
        <v>94</v>
      </c>
      <c r="D1973">
        <v>30</v>
      </c>
      <c r="E1973" t="s">
        <v>230</v>
      </c>
      <c r="F1973">
        <v>4</v>
      </c>
      <c r="G1973">
        <v>728.8</v>
      </c>
      <c r="H1973">
        <v>0</v>
      </c>
      <c r="I1973">
        <v>0</v>
      </c>
      <c r="J1973">
        <v>0</v>
      </c>
      <c r="K1973">
        <v>0</v>
      </c>
      <c r="L1973">
        <v>0</v>
      </c>
      <c r="M1973">
        <v>0</v>
      </c>
      <c r="N1973">
        <v>0</v>
      </c>
      <c r="O1973">
        <v>728.8</v>
      </c>
      <c r="P1973">
        <v>0</v>
      </c>
      <c r="Q1973" t="str">
        <f>INDEX(pARTNER[#All],MATCH(#REF!,pARTNER[[#All],[Value.partnerSummary.id]],0),10)</f>
        <v>Italia (IT)</v>
      </c>
      <c r="R1973" t="str">
        <f>INDEX('Partner data'!$A$2:$DG$171,MATCH(#REF!,'Partner data'!$DG$2:$DG$171,0),83)</f>
        <v>Soggetto pubblico</v>
      </c>
      <c r="S1973" s="86" t="b">
        <f>IF(#REF!="staff",INDEX('Partner data'!$DG$2:$DH$171,MATCH(#REF!,'Partner data'!$DG$2:$DG$171,0),2))</f>
        <v>0</v>
      </c>
    </row>
    <row r="1974" spans="1:19" x14ac:dyDescent="0.25">
      <c r="A1974" t="s">
        <v>60</v>
      </c>
      <c r="B1974" t="s">
        <v>68</v>
      </c>
      <c r="C1974">
        <v>94</v>
      </c>
      <c r="D1974">
        <v>30</v>
      </c>
      <c r="E1974" t="s">
        <v>231</v>
      </c>
      <c r="G1974">
        <v>91100</v>
      </c>
      <c r="H1974">
        <v>0</v>
      </c>
      <c r="I1974">
        <v>0</v>
      </c>
      <c r="J1974">
        <v>0</v>
      </c>
      <c r="K1974">
        <v>0</v>
      </c>
      <c r="L1974">
        <v>0</v>
      </c>
      <c r="M1974">
        <v>0</v>
      </c>
      <c r="N1974">
        <v>0</v>
      </c>
      <c r="O1974">
        <v>91100</v>
      </c>
      <c r="P1974">
        <v>0</v>
      </c>
      <c r="Q1974" t="str">
        <f>INDEX(pARTNER[#All],MATCH(#REF!,pARTNER[[#All],[Value.partnerSummary.id]],0),10)</f>
        <v>Italia (IT)</v>
      </c>
      <c r="R1974" t="str">
        <f>INDEX('Partner data'!$A$2:$DG$171,MATCH(#REF!,'Partner data'!$DG$2:$DG$171,0),83)</f>
        <v>Soggetto pubblico</v>
      </c>
      <c r="S1974" s="86" t="b">
        <f>IF(#REF!="staff",INDEX('Partner data'!$DG$2:$DH$171,MATCH(#REF!,'Partner data'!$DG$2:$DG$171,0),2))</f>
        <v>0</v>
      </c>
    </row>
    <row r="1975" spans="1:19" x14ac:dyDescent="0.25">
      <c r="A1975" t="s">
        <v>60</v>
      </c>
      <c r="B1975" t="s">
        <v>68</v>
      </c>
      <c r="C1975">
        <v>94</v>
      </c>
      <c r="D1975">
        <v>30</v>
      </c>
      <c r="E1975" t="s">
        <v>232</v>
      </c>
      <c r="G1975">
        <v>0</v>
      </c>
      <c r="H1975">
        <v>0</v>
      </c>
      <c r="I1975">
        <v>0</v>
      </c>
      <c r="J1975">
        <v>0</v>
      </c>
      <c r="K1975">
        <v>0</v>
      </c>
      <c r="L1975">
        <v>0</v>
      </c>
      <c r="M1975">
        <v>0</v>
      </c>
      <c r="N1975">
        <v>0</v>
      </c>
      <c r="O1975">
        <v>0</v>
      </c>
      <c r="P1975">
        <v>0</v>
      </c>
      <c r="Q1975" t="str">
        <f>INDEX(pARTNER[#All],MATCH(#REF!,pARTNER[[#All],[Value.partnerSummary.id]],0),10)</f>
        <v>Italia (IT)</v>
      </c>
      <c r="R1975" t="str">
        <f>INDEX('Partner data'!$A$2:$DG$171,MATCH(#REF!,'Partner data'!$DG$2:$DG$171,0),83)</f>
        <v>Soggetto pubblico</v>
      </c>
      <c r="S1975" s="86" t="b">
        <f>IF(#REF!="staff",INDEX('Partner data'!$DG$2:$DH$171,MATCH(#REF!,'Partner data'!$DG$2:$DG$171,0),2))</f>
        <v>0</v>
      </c>
    </row>
    <row r="1976" spans="1:19" x14ac:dyDescent="0.25">
      <c r="A1976" t="s">
        <v>60</v>
      </c>
      <c r="B1976" t="s">
        <v>68</v>
      </c>
      <c r="C1976">
        <v>94</v>
      </c>
      <c r="D1976">
        <v>30</v>
      </c>
      <c r="E1976" t="s">
        <v>233</v>
      </c>
      <c r="G1976">
        <v>0</v>
      </c>
      <c r="H1976">
        <v>0</v>
      </c>
      <c r="I1976">
        <v>0</v>
      </c>
      <c r="J1976">
        <v>0</v>
      </c>
      <c r="K1976">
        <v>0</v>
      </c>
      <c r="L1976">
        <v>0</v>
      </c>
      <c r="M1976">
        <v>0</v>
      </c>
      <c r="N1976">
        <v>0</v>
      </c>
      <c r="O1976">
        <v>0</v>
      </c>
      <c r="P1976">
        <v>0</v>
      </c>
      <c r="Q1976" t="str">
        <f>INDEX(pARTNER[#All],MATCH(#REF!,pARTNER[[#All],[Value.partnerSummary.id]],0),10)</f>
        <v>Italia (IT)</v>
      </c>
      <c r="R1976" t="str">
        <f>INDEX('Partner data'!$A$2:$DG$171,MATCH(#REF!,'Partner data'!$DG$2:$DG$171,0),83)</f>
        <v>Soggetto pubblico</v>
      </c>
      <c r="S1976" s="86" t="b">
        <f>IF(#REF!="staff",INDEX('Partner data'!$DG$2:$DH$171,MATCH(#REF!,'Partner data'!$DG$2:$DG$171,0),2))</f>
        <v>0</v>
      </c>
    </row>
    <row r="1977" spans="1:19" x14ac:dyDescent="0.25">
      <c r="A1977" t="s">
        <v>60</v>
      </c>
      <c r="B1977" t="s">
        <v>68</v>
      </c>
      <c r="C1977">
        <v>94</v>
      </c>
      <c r="D1977">
        <v>30</v>
      </c>
      <c r="E1977" t="s">
        <v>234</v>
      </c>
      <c r="G1977">
        <v>0</v>
      </c>
      <c r="H1977">
        <v>0</v>
      </c>
      <c r="I1977">
        <v>0</v>
      </c>
      <c r="J1977">
        <v>0</v>
      </c>
      <c r="K1977">
        <v>0</v>
      </c>
      <c r="L1977">
        <v>0</v>
      </c>
      <c r="M1977">
        <v>0</v>
      </c>
      <c r="N1977">
        <v>0</v>
      </c>
      <c r="O1977">
        <v>0</v>
      </c>
      <c r="P1977">
        <v>0</v>
      </c>
      <c r="Q1977" t="str">
        <f>INDEX(pARTNER[#All],MATCH(#REF!,pARTNER[[#All],[Value.partnerSummary.id]],0),10)</f>
        <v>Italia (IT)</v>
      </c>
      <c r="R1977" t="str">
        <f>INDEX('Partner data'!$A$2:$DG$171,MATCH(#REF!,'Partner data'!$DG$2:$DG$171,0),83)</f>
        <v>Soggetto pubblico</v>
      </c>
      <c r="S1977" s="86" t="b">
        <f>IF(#REF!="staff",INDEX('Partner data'!$DG$2:$DH$171,MATCH(#REF!,'Partner data'!$DG$2:$DG$171,0),2))</f>
        <v>0</v>
      </c>
    </row>
    <row r="1978" spans="1:19" x14ac:dyDescent="0.25">
      <c r="A1978" t="s">
        <v>60</v>
      </c>
      <c r="B1978" t="s">
        <v>68</v>
      </c>
      <c r="C1978">
        <v>94</v>
      </c>
      <c r="D1978">
        <v>30</v>
      </c>
      <c r="E1978" t="s">
        <v>235</v>
      </c>
      <c r="G1978">
        <v>9000</v>
      </c>
      <c r="H1978">
        <v>0</v>
      </c>
      <c r="I1978">
        <v>0</v>
      </c>
      <c r="J1978">
        <v>9000</v>
      </c>
      <c r="K1978">
        <v>0</v>
      </c>
      <c r="L1978">
        <v>0</v>
      </c>
      <c r="M1978">
        <v>9000</v>
      </c>
      <c r="N1978">
        <v>100</v>
      </c>
      <c r="O1978">
        <v>0</v>
      </c>
      <c r="P1978">
        <v>0</v>
      </c>
      <c r="Q1978" t="str">
        <f>INDEX(pARTNER[#All],MATCH(#REF!,pARTNER[[#All],[Value.partnerSummary.id]],0),10)</f>
        <v>Italia (IT)</v>
      </c>
      <c r="R1978" t="str">
        <f>INDEX('Partner data'!$A$2:$DG$171,MATCH(#REF!,'Partner data'!$DG$2:$DG$171,0),83)</f>
        <v>Soggetto pubblico</v>
      </c>
      <c r="S1978" s="86" t="b">
        <f>IF(#REF!="staff",INDEX('Partner data'!$DG$2:$DH$171,MATCH(#REF!,'Partner data'!$DG$2:$DG$171,0),2))</f>
        <v>0</v>
      </c>
    </row>
    <row r="1979" spans="1:19" x14ac:dyDescent="0.25">
      <c r="A1979" t="s">
        <v>60</v>
      </c>
      <c r="B1979" t="s">
        <v>68</v>
      </c>
      <c r="C1979">
        <v>94</v>
      </c>
      <c r="D1979">
        <v>30</v>
      </c>
      <c r="E1979" t="s">
        <v>236</v>
      </c>
      <c r="G1979">
        <v>0</v>
      </c>
      <c r="H1979">
        <v>0</v>
      </c>
      <c r="I1979">
        <v>0</v>
      </c>
      <c r="J1979">
        <v>0</v>
      </c>
      <c r="K1979">
        <v>0</v>
      </c>
      <c r="L1979">
        <v>0</v>
      </c>
      <c r="M1979">
        <v>0</v>
      </c>
      <c r="N1979">
        <v>0</v>
      </c>
      <c r="O1979">
        <v>0</v>
      </c>
      <c r="P1979">
        <v>0</v>
      </c>
      <c r="Q1979" t="str">
        <f>INDEX(pARTNER[#All],MATCH(#REF!,pARTNER[[#All],[Value.partnerSummary.id]],0),10)</f>
        <v>Italia (IT)</v>
      </c>
      <c r="R1979" t="str">
        <f>INDEX('Partner data'!$A$2:$DG$171,MATCH(#REF!,'Partner data'!$DG$2:$DG$171,0),83)</f>
        <v>Soggetto pubblico</v>
      </c>
      <c r="S1979" s="86" t="b">
        <f>IF(#REF!="staff",INDEX('Partner data'!$DG$2:$DH$171,MATCH(#REF!,'Partner data'!$DG$2:$DG$171,0),2))</f>
        <v>0</v>
      </c>
    </row>
    <row r="1980" spans="1:19" x14ac:dyDescent="0.25">
      <c r="A1980" t="s">
        <v>60</v>
      </c>
      <c r="B1980" t="s">
        <v>68</v>
      </c>
      <c r="C1980">
        <v>94</v>
      </c>
      <c r="D1980">
        <v>30</v>
      </c>
      <c r="E1980" t="s">
        <v>237</v>
      </c>
      <c r="G1980">
        <v>0</v>
      </c>
      <c r="H1980">
        <v>0</v>
      </c>
      <c r="I1980">
        <v>0</v>
      </c>
      <c r="J1980">
        <v>0</v>
      </c>
      <c r="K1980">
        <v>0</v>
      </c>
      <c r="L1980">
        <v>0</v>
      </c>
      <c r="M1980">
        <v>0</v>
      </c>
      <c r="N1980">
        <v>0</v>
      </c>
      <c r="O1980">
        <v>0</v>
      </c>
      <c r="P1980">
        <v>0</v>
      </c>
      <c r="Q1980" t="str">
        <f>INDEX(pARTNER[#All],MATCH(#REF!,pARTNER[[#All],[Value.partnerSummary.id]],0),10)</f>
        <v>Italia (IT)</v>
      </c>
      <c r="R1980" t="str">
        <f>INDEX('Partner data'!$A$2:$DG$171,MATCH(#REF!,'Partner data'!$DG$2:$DG$171,0),83)</f>
        <v>Soggetto pubblico</v>
      </c>
      <c r="S1980" s="86" t="b">
        <f>IF(#REF!="staff",INDEX('Partner data'!$DG$2:$DH$171,MATCH(#REF!,'Partner data'!$DG$2:$DG$171,0),2))</f>
        <v>0</v>
      </c>
    </row>
    <row r="1981" spans="1:19" x14ac:dyDescent="0.25">
      <c r="A1981" t="s">
        <v>60</v>
      </c>
      <c r="B1981" t="s">
        <v>68</v>
      </c>
      <c r="C1981">
        <v>94</v>
      </c>
      <c r="D1981">
        <v>30</v>
      </c>
      <c r="E1981" t="s">
        <v>238</v>
      </c>
      <c r="G1981">
        <v>121781.8</v>
      </c>
      <c r="H1981">
        <v>0</v>
      </c>
      <c r="I1981">
        <v>0</v>
      </c>
      <c r="J1981">
        <v>9000</v>
      </c>
      <c r="K1981">
        <v>0</v>
      </c>
      <c r="L1981">
        <v>0</v>
      </c>
      <c r="M1981">
        <v>9000</v>
      </c>
      <c r="N1981">
        <v>7.39</v>
      </c>
      <c r="O1981">
        <v>112781.8</v>
      </c>
      <c r="P1981">
        <v>0</v>
      </c>
      <c r="Q1981" t="str">
        <f>INDEX(pARTNER[#All],MATCH(#REF!,pARTNER[[#All],[Value.partnerSummary.id]],0),10)</f>
        <v>Italia (IT)</v>
      </c>
      <c r="R1981" t="str">
        <f>INDEX('Partner data'!$A$2:$DG$171,MATCH(#REF!,'Partner data'!$DG$2:$DG$171,0),83)</f>
        <v>Soggetto pubblico</v>
      </c>
      <c r="S1981" s="86" t="b">
        <f>IF(#REF!="staff",INDEX('Partner data'!$DG$2:$DH$171,MATCH(#REF!,'Partner data'!$DG$2:$DG$171,0),2))</f>
        <v>0</v>
      </c>
    </row>
    <row r="1982" spans="1:19" x14ac:dyDescent="0.25">
      <c r="A1982" t="s">
        <v>60</v>
      </c>
      <c r="B1982" t="s">
        <v>68</v>
      </c>
      <c r="C1982">
        <v>94</v>
      </c>
      <c r="D1982">
        <v>308</v>
      </c>
      <c r="E1982" t="s">
        <v>228</v>
      </c>
      <c r="F1982">
        <v>20</v>
      </c>
      <c r="G1982">
        <v>18220</v>
      </c>
      <c r="H1982">
        <v>0</v>
      </c>
      <c r="I1982">
        <v>0</v>
      </c>
      <c r="J1982">
        <v>1119.0899999999999</v>
      </c>
      <c r="K1982">
        <v>0</v>
      </c>
      <c r="L1982">
        <v>1119.0899999999999</v>
      </c>
      <c r="M1982">
        <v>1119.0899999999999</v>
      </c>
      <c r="N1982">
        <v>6.14</v>
      </c>
      <c r="O1982">
        <v>17100.91</v>
      </c>
      <c r="P1982">
        <v>0</v>
      </c>
      <c r="Q1982" t="str">
        <f>INDEX(pARTNER[#All],MATCH(#REF!,pARTNER[[#All],[Value.partnerSummary.id]],0),10)</f>
        <v>Italia (IT)</v>
      </c>
      <c r="R1982" t="str">
        <f>INDEX('Partner data'!$A$2:$DG$171,MATCH(#REF!,'Partner data'!$DG$2:$DG$171,0),83)</f>
        <v>Soggetto pubblico</v>
      </c>
      <c r="S1982" s="86" t="str">
        <f>IF(#REF!="staff",INDEX('Partner data'!$DG$2:$DH$171,MATCH(#REF!,'Partner data'!$DG$2:$DG$171,0),2))</f>
        <v>Tasso Forfettario 20%</v>
      </c>
    </row>
    <row r="1983" spans="1:19" x14ac:dyDescent="0.25">
      <c r="A1983" t="s">
        <v>60</v>
      </c>
      <c r="B1983" t="s">
        <v>68</v>
      </c>
      <c r="C1983">
        <v>94</v>
      </c>
      <c r="D1983">
        <v>308</v>
      </c>
      <c r="E1983" t="s">
        <v>229</v>
      </c>
      <c r="F1983">
        <v>15</v>
      </c>
      <c r="G1983">
        <v>2733</v>
      </c>
      <c r="H1983">
        <v>0</v>
      </c>
      <c r="I1983">
        <v>0</v>
      </c>
      <c r="J1983">
        <v>167.86</v>
      </c>
      <c r="K1983">
        <v>0</v>
      </c>
      <c r="L1983">
        <v>167.86</v>
      </c>
      <c r="M1983">
        <v>167.86</v>
      </c>
      <c r="N1983">
        <v>6.14</v>
      </c>
      <c r="O1983">
        <v>2565.14</v>
      </c>
      <c r="P1983">
        <v>0</v>
      </c>
      <c r="Q1983" t="str">
        <f>INDEX(pARTNER[#All],MATCH(#REF!,pARTNER[[#All],[Value.partnerSummary.id]],0),10)</f>
        <v>Italia (IT)</v>
      </c>
      <c r="R1983" t="str">
        <f>INDEX('Partner data'!$A$2:$DG$171,MATCH(#REF!,'Partner data'!$DG$2:$DG$171,0),83)</f>
        <v>Soggetto pubblico</v>
      </c>
      <c r="S1983" s="86" t="b">
        <f>IF(#REF!="staff",INDEX('Partner data'!$DG$2:$DH$171,MATCH(#REF!,'Partner data'!$DG$2:$DG$171,0),2))</f>
        <v>0</v>
      </c>
    </row>
    <row r="1984" spans="1:19" x14ac:dyDescent="0.25">
      <c r="A1984" t="s">
        <v>60</v>
      </c>
      <c r="B1984" t="s">
        <v>68</v>
      </c>
      <c r="C1984">
        <v>94</v>
      </c>
      <c r="D1984">
        <v>308</v>
      </c>
      <c r="E1984" t="s">
        <v>230</v>
      </c>
      <c r="F1984">
        <v>4</v>
      </c>
      <c r="G1984">
        <v>728.8</v>
      </c>
      <c r="H1984">
        <v>0</v>
      </c>
      <c r="I1984">
        <v>0</v>
      </c>
      <c r="J1984">
        <v>44.76</v>
      </c>
      <c r="K1984">
        <v>0</v>
      </c>
      <c r="L1984">
        <v>44.76</v>
      </c>
      <c r="M1984">
        <v>44.76</v>
      </c>
      <c r="N1984">
        <v>6.14</v>
      </c>
      <c r="O1984">
        <v>684.04</v>
      </c>
      <c r="P1984">
        <v>0</v>
      </c>
      <c r="Q1984" t="str">
        <f>INDEX(pARTNER[#All],MATCH(#REF!,pARTNER[[#All],[Value.partnerSummary.id]],0),10)</f>
        <v>Italia (IT)</v>
      </c>
      <c r="R1984" t="str">
        <f>INDEX('Partner data'!$A$2:$DG$171,MATCH(#REF!,'Partner data'!$DG$2:$DG$171,0),83)</f>
        <v>Soggetto pubblico</v>
      </c>
      <c r="S1984" s="86" t="b">
        <f>IF(#REF!="staff",INDEX('Partner data'!$DG$2:$DH$171,MATCH(#REF!,'Partner data'!$DG$2:$DG$171,0),2))</f>
        <v>0</v>
      </c>
    </row>
    <row r="1985" spans="1:19" x14ac:dyDescent="0.25">
      <c r="A1985" t="s">
        <v>60</v>
      </c>
      <c r="B1985" t="s">
        <v>68</v>
      </c>
      <c r="C1985">
        <v>94</v>
      </c>
      <c r="D1985">
        <v>308</v>
      </c>
      <c r="E1985" t="s">
        <v>231</v>
      </c>
      <c r="G1985">
        <v>91100</v>
      </c>
      <c r="H1985">
        <v>0</v>
      </c>
      <c r="I1985">
        <v>0</v>
      </c>
      <c r="J1985">
        <v>5595.46</v>
      </c>
      <c r="K1985">
        <v>0</v>
      </c>
      <c r="L1985">
        <v>5595.46</v>
      </c>
      <c r="M1985">
        <v>5595.46</v>
      </c>
      <c r="N1985">
        <v>6.14</v>
      </c>
      <c r="O1985">
        <v>85504.54</v>
      </c>
      <c r="P1985">
        <v>0</v>
      </c>
      <c r="Q1985" t="str">
        <f>INDEX(pARTNER[#All],MATCH(#REF!,pARTNER[[#All],[Value.partnerSummary.id]],0),10)</f>
        <v>Italia (IT)</v>
      </c>
      <c r="R1985" t="str">
        <f>INDEX('Partner data'!$A$2:$DG$171,MATCH(#REF!,'Partner data'!$DG$2:$DG$171,0),83)</f>
        <v>Soggetto pubblico</v>
      </c>
      <c r="S1985" s="86" t="b">
        <f>IF(#REF!="staff",INDEX('Partner data'!$DG$2:$DH$171,MATCH(#REF!,'Partner data'!$DG$2:$DG$171,0),2))</f>
        <v>0</v>
      </c>
    </row>
    <row r="1986" spans="1:19" x14ac:dyDescent="0.25">
      <c r="A1986" t="s">
        <v>60</v>
      </c>
      <c r="B1986" t="s">
        <v>68</v>
      </c>
      <c r="C1986">
        <v>94</v>
      </c>
      <c r="D1986">
        <v>308</v>
      </c>
      <c r="E1986" t="s">
        <v>232</v>
      </c>
      <c r="G1986">
        <v>0</v>
      </c>
      <c r="H1986">
        <v>0</v>
      </c>
      <c r="I1986">
        <v>0</v>
      </c>
      <c r="J1986">
        <v>0</v>
      </c>
      <c r="K1986">
        <v>0</v>
      </c>
      <c r="L1986">
        <v>0</v>
      </c>
      <c r="M1986">
        <v>0</v>
      </c>
      <c r="N1986">
        <v>0</v>
      </c>
      <c r="O1986">
        <v>0</v>
      </c>
      <c r="P1986">
        <v>0</v>
      </c>
      <c r="Q1986" t="str">
        <f>INDEX(pARTNER[#All],MATCH(#REF!,pARTNER[[#All],[Value.partnerSummary.id]],0),10)</f>
        <v>Italia (IT)</v>
      </c>
      <c r="R1986" t="str">
        <f>INDEX('Partner data'!$A$2:$DG$171,MATCH(#REF!,'Partner data'!$DG$2:$DG$171,0),83)</f>
        <v>Soggetto pubblico</v>
      </c>
      <c r="S1986" s="86" t="b">
        <f>IF(#REF!="staff",INDEX('Partner data'!$DG$2:$DH$171,MATCH(#REF!,'Partner data'!$DG$2:$DG$171,0),2))</f>
        <v>0</v>
      </c>
    </row>
    <row r="1987" spans="1:19" x14ac:dyDescent="0.25">
      <c r="A1987" t="s">
        <v>60</v>
      </c>
      <c r="B1987" t="s">
        <v>68</v>
      </c>
      <c r="C1987">
        <v>94</v>
      </c>
      <c r="D1987">
        <v>308</v>
      </c>
      <c r="E1987" t="s">
        <v>233</v>
      </c>
      <c r="G1987">
        <v>0</v>
      </c>
      <c r="H1987">
        <v>0</v>
      </c>
      <c r="I1987">
        <v>0</v>
      </c>
      <c r="J1987">
        <v>0</v>
      </c>
      <c r="K1987">
        <v>0</v>
      </c>
      <c r="L1987">
        <v>0</v>
      </c>
      <c r="M1987">
        <v>0</v>
      </c>
      <c r="N1987">
        <v>0</v>
      </c>
      <c r="O1987">
        <v>0</v>
      </c>
      <c r="P1987">
        <v>0</v>
      </c>
      <c r="Q1987" t="str">
        <f>INDEX(pARTNER[#All],MATCH(#REF!,pARTNER[[#All],[Value.partnerSummary.id]],0),10)</f>
        <v>Italia (IT)</v>
      </c>
      <c r="R1987" t="str">
        <f>INDEX('Partner data'!$A$2:$DG$171,MATCH(#REF!,'Partner data'!$DG$2:$DG$171,0),83)</f>
        <v>Soggetto pubblico</v>
      </c>
      <c r="S1987" s="86" t="b">
        <f>IF(#REF!="staff",INDEX('Partner data'!$DG$2:$DH$171,MATCH(#REF!,'Partner data'!$DG$2:$DG$171,0),2))</f>
        <v>0</v>
      </c>
    </row>
    <row r="1988" spans="1:19" x14ac:dyDescent="0.25">
      <c r="A1988" t="s">
        <v>60</v>
      </c>
      <c r="B1988" t="s">
        <v>68</v>
      </c>
      <c r="C1988">
        <v>94</v>
      </c>
      <c r="D1988">
        <v>308</v>
      </c>
      <c r="E1988" t="s">
        <v>234</v>
      </c>
      <c r="G1988">
        <v>0</v>
      </c>
      <c r="H1988">
        <v>0</v>
      </c>
      <c r="I1988">
        <v>0</v>
      </c>
      <c r="J1988">
        <v>0</v>
      </c>
      <c r="K1988">
        <v>0</v>
      </c>
      <c r="L1988">
        <v>0</v>
      </c>
      <c r="M1988">
        <v>0</v>
      </c>
      <c r="N1988">
        <v>0</v>
      </c>
      <c r="O1988">
        <v>0</v>
      </c>
      <c r="P1988">
        <v>0</v>
      </c>
      <c r="Q1988" t="str">
        <f>INDEX(pARTNER[#All],MATCH(#REF!,pARTNER[[#All],[Value.partnerSummary.id]],0),10)</f>
        <v>Italia (IT)</v>
      </c>
      <c r="R1988" t="str">
        <f>INDEX('Partner data'!$A$2:$DG$171,MATCH(#REF!,'Partner data'!$DG$2:$DG$171,0),83)</f>
        <v>Soggetto pubblico</v>
      </c>
      <c r="S1988" s="86" t="b">
        <f>IF(#REF!="staff",INDEX('Partner data'!$DG$2:$DH$171,MATCH(#REF!,'Partner data'!$DG$2:$DG$171,0),2))</f>
        <v>0</v>
      </c>
    </row>
    <row r="1989" spans="1:19" x14ac:dyDescent="0.25">
      <c r="A1989" t="s">
        <v>60</v>
      </c>
      <c r="B1989" t="s">
        <v>68</v>
      </c>
      <c r="C1989">
        <v>94</v>
      </c>
      <c r="D1989">
        <v>308</v>
      </c>
      <c r="E1989" t="s">
        <v>235</v>
      </c>
      <c r="G1989">
        <v>9000</v>
      </c>
      <c r="H1989">
        <v>9000</v>
      </c>
      <c r="I1989">
        <v>9000</v>
      </c>
      <c r="J1989">
        <v>9000</v>
      </c>
      <c r="K1989">
        <v>9000</v>
      </c>
      <c r="L1989">
        <v>9000</v>
      </c>
      <c r="M1989">
        <v>18000</v>
      </c>
      <c r="N1989">
        <v>200</v>
      </c>
      <c r="O1989">
        <v>-9000</v>
      </c>
      <c r="P1989">
        <v>0</v>
      </c>
      <c r="Q1989" t="str">
        <f>INDEX(pARTNER[#All],MATCH(#REF!,pARTNER[[#All],[Value.partnerSummary.id]],0),10)</f>
        <v>Italia (IT)</v>
      </c>
      <c r="R1989" t="str">
        <f>INDEX('Partner data'!$A$2:$DG$171,MATCH(#REF!,'Partner data'!$DG$2:$DG$171,0),83)</f>
        <v>Soggetto pubblico</v>
      </c>
      <c r="S1989" s="86" t="b">
        <f>IF(#REF!="staff",INDEX('Partner data'!$DG$2:$DH$171,MATCH(#REF!,'Partner data'!$DG$2:$DG$171,0),2))</f>
        <v>0</v>
      </c>
    </row>
    <row r="1990" spans="1:19" x14ac:dyDescent="0.25">
      <c r="A1990" t="s">
        <v>60</v>
      </c>
      <c r="B1990" t="s">
        <v>68</v>
      </c>
      <c r="C1990">
        <v>94</v>
      </c>
      <c r="D1990">
        <v>308</v>
      </c>
      <c r="E1990" t="s">
        <v>236</v>
      </c>
      <c r="G1990">
        <v>0</v>
      </c>
      <c r="H1990">
        <v>0</v>
      </c>
      <c r="I1990">
        <v>0</v>
      </c>
      <c r="J1990">
        <v>0</v>
      </c>
      <c r="K1990">
        <v>0</v>
      </c>
      <c r="L1990">
        <v>0</v>
      </c>
      <c r="M1990">
        <v>0</v>
      </c>
      <c r="N1990">
        <v>0</v>
      </c>
      <c r="O1990">
        <v>0</v>
      </c>
      <c r="P1990">
        <v>0</v>
      </c>
      <c r="Q1990" t="str">
        <f>INDEX(pARTNER[#All],MATCH(#REF!,pARTNER[[#All],[Value.partnerSummary.id]],0),10)</f>
        <v>Italia (IT)</v>
      </c>
      <c r="R1990" t="str">
        <f>INDEX('Partner data'!$A$2:$DG$171,MATCH(#REF!,'Partner data'!$DG$2:$DG$171,0),83)</f>
        <v>Soggetto pubblico</v>
      </c>
      <c r="S1990" s="86" t="b">
        <f>IF(#REF!="staff",INDEX('Partner data'!$DG$2:$DH$171,MATCH(#REF!,'Partner data'!$DG$2:$DG$171,0),2))</f>
        <v>0</v>
      </c>
    </row>
    <row r="1991" spans="1:19" x14ac:dyDescent="0.25">
      <c r="A1991" t="s">
        <v>60</v>
      </c>
      <c r="B1991" t="s">
        <v>68</v>
      </c>
      <c r="C1991">
        <v>94</v>
      </c>
      <c r="D1991">
        <v>308</v>
      </c>
      <c r="E1991" t="s">
        <v>237</v>
      </c>
      <c r="G1991">
        <v>0</v>
      </c>
      <c r="H1991">
        <v>0</v>
      </c>
      <c r="I1991">
        <v>0</v>
      </c>
      <c r="J1991">
        <v>0</v>
      </c>
      <c r="K1991">
        <v>0</v>
      </c>
      <c r="L1991">
        <v>0</v>
      </c>
      <c r="M1991">
        <v>0</v>
      </c>
      <c r="N1991">
        <v>0</v>
      </c>
      <c r="O1991">
        <v>0</v>
      </c>
      <c r="P1991">
        <v>0</v>
      </c>
      <c r="Q1991" t="str">
        <f>INDEX(pARTNER[#All],MATCH(#REF!,pARTNER[[#All],[Value.partnerSummary.id]],0),10)</f>
        <v>Italia (IT)</v>
      </c>
      <c r="R1991" t="str">
        <f>INDEX('Partner data'!$A$2:$DG$171,MATCH(#REF!,'Partner data'!$DG$2:$DG$171,0),83)</f>
        <v>Soggetto pubblico</v>
      </c>
      <c r="S1991" s="86" t="b">
        <f>IF(#REF!="staff",INDEX('Partner data'!$DG$2:$DH$171,MATCH(#REF!,'Partner data'!$DG$2:$DG$171,0),2))</f>
        <v>0</v>
      </c>
    </row>
    <row r="1992" spans="1:19" x14ac:dyDescent="0.25">
      <c r="A1992" t="s">
        <v>60</v>
      </c>
      <c r="B1992" t="s">
        <v>68</v>
      </c>
      <c r="C1992">
        <v>94</v>
      </c>
      <c r="D1992">
        <v>308</v>
      </c>
      <c r="E1992" t="s">
        <v>238</v>
      </c>
      <c r="G1992">
        <v>121781.8</v>
      </c>
      <c r="H1992">
        <v>9000</v>
      </c>
      <c r="I1992">
        <v>9000</v>
      </c>
      <c r="J1992">
        <v>15927.17</v>
      </c>
      <c r="K1992">
        <v>9000</v>
      </c>
      <c r="L1992">
        <v>15927.17</v>
      </c>
      <c r="M1992">
        <v>24927.17</v>
      </c>
      <c r="N1992">
        <v>20.47</v>
      </c>
      <c r="O1992">
        <v>96854.63</v>
      </c>
      <c r="P1992">
        <v>0</v>
      </c>
      <c r="Q1992" t="str">
        <f>INDEX(pARTNER[#All],MATCH(#REF!,pARTNER[[#All],[Value.partnerSummary.id]],0),10)</f>
        <v>Italia (IT)</v>
      </c>
      <c r="R1992" t="str">
        <f>INDEX('Partner data'!$A$2:$DG$171,MATCH(#REF!,'Partner data'!$DG$2:$DG$171,0),83)</f>
        <v>Soggetto pubblico</v>
      </c>
      <c r="S1992" s="86" t="b">
        <f>IF(#REF!="staff",INDEX('Partner data'!$DG$2:$DH$171,MATCH(#REF!,'Partner data'!$DG$2:$DG$171,0),2))</f>
        <v>0</v>
      </c>
    </row>
    <row r="1993" spans="1:19" x14ac:dyDescent="0.25">
      <c r="A1993" t="s">
        <v>60</v>
      </c>
      <c r="B1993" t="s">
        <v>329</v>
      </c>
      <c r="C1993">
        <v>173</v>
      </c>
      <c r="D1993">
        <v>276</v>
      </c>
      <c r="E1993" t="s">
        <v>228</v>
      </c>
      <c r="F1993">
        <v>20</v>
      </c>
      <c r="G1993">
        <v>16250</v>
      </c>
      <c r="H1993">
        <v>0</v>
      </c>
      <c r="I1993">
        <v>0</v>
      </c>
      <c r="J1993">
        <v>0</v>
      </c>
      <c r="K1993">
        <v>0</v>
      </c>
      <c r="L1993">
        <v>0</v>
      </c>
      <c r="M1993">
        <v>0</v>
      </c>
      <c r="N1993">
        <v>0</v>
      </c>
      <c r="O1993">
        <v>16250</v>
      </c>
      <c r="P1993">
        <v>0</v>
      </c>
      <c r="Q1993" t="str">
        <f>INDEX(pARTNER[#All],MATCH(#REF!,pARTNER[[#All],[Value.partnerSummary.id]],0),10)</f>
        <v>Italia (IT)</v>
      </c>
      <c r="R1993" t="str">
        <f>INDEX('Partner data'!$A$2:$DG$171,MATCH(#REF!,'Partner data'!$DG$2:$DG$171,0),83)</f>
        <v>Soggetto pubblico</v>
      </c>
      <c r="S1993" s="86" t="str">
        <f>IF(#REF!="staff",INDEX('Partner data'!$DG$2:$DH$171,MATCH(#REF!,'Partner data'!$DG$2:$DG$171,0),2))</f>
        <v>Tasso Forfettario 20%</v>
      </c>
    </row>
    <row r="1994" spans="1:19" x14ac:dyDescent="0.25">
      <c r="A1994" t="s">
        <v>60</v>
      </c>
      <c r="B1994" t="s">
        <v>329</v>
      </c>
      <c r="C1994">
        <v>173</v>
      </c>
      <c r="D1994">
        <v>276</v>
      </c>
      <c r="E1994" t="s">
        <v>229</v>
      </c>
      <c r="F1994">
        <v>15</v>
      </c>
      <c r="G1994">
        <v>2437.5</v>
      </c>
      <c r="H1994">
        <v>0</v>
      </c>
      <c r="I1994">
        <v>0</v>
      </c>
      <c r="J1994">
        <v>0</v>
      </c>
      <c r="K1994">
        <v>0</v>
      </c>
      <c r="L1994">
        <v>0</v>
      </c>
      <c r="M1994">
        <v>0</v>
      </c>
      <c r="N1994">
        <v>0</v>
      </c>
      <c r="O1994">
        <v>2437.5</v>
      </c>
      <c r="P1994">
        <v>0</v>
      </c>
      <c r="Q1994" t="str">
        <f>INDEX(pARTNER[#All],MATCH(#REF!,pARTNER[[#All],[Value.partnerSummary.id]],0),10)</f>
        <v>Italia (IT)</v>
      </c>
      <c r="R1994" t="str">
        <f>INDEX('Partner data'!$A$2:$DG$171,MATCH(#REF!,'Partner data'!$DG$2:$DG$171,0),83)</f>
        <v>Soggetto pubblico</v>
      </c>
      <c r="S1994" s="86" t="b">
        <f>IF(#REF!="staff",INDEX('Partner data'!$DG$2:$DH$171,MATCH(#REF!,'Partner data'!$DG$2:$DG$171,0),2))</f>
        <v>0</v>
      </c>
    </row>
    <row r="1995" spans="1:19" x14ac:dyDescent="0.25">
      <c r="A1995" t="s">
        <v>60</v>
      </c>
      <c r="B1995" t="s">
        <v>329</v>
      </c>
      <c r="C1995">
        <v>173</v>
      </c>
      <c r="D1995">
        <v>276</v>
      </c>
      <c r="E1995" t="s">
        <v>230</v>
      </c>
      <c r="F1995">
        <v>4</v>
      </c>
      <c r="G1995">
        <v>650</v>
      </c>
      <c r="H1995">
        <v>0</v>
      </c>
      <c r="I1995">
        <v>0</v>
      </c>
      <c r="J1995">
        <v>0</v>
      </c>
      <c r="K1995">
        <v>0</v>
      </c>
      <c r="L1995">
        <v>0</v>
      </c>
      <c r="M1995">
        <v>0</v>
      </c>
      <c r="N1995">
        <v>0</v>
      </c>
      <c r="O1995">
        <v>650</v>
      </c>
      <c r="P1995">
        <v>0</v>
      </c>
      <c r="Q1995" t="str">
        <f>INDEX(pARTNER[#All],MATCH(#REF!,pARTNER[[#All],[Value.partnerSummary.id]],0),10)</f>
        <v>Italia (IT)</v>
      </c>
      <c r="R1995" t="str">
        <f>INDEX('Partner data'!$A$2:$DG$171,MATCH(#REF!,'Partner data'!$DG$2:$DG$171,0),83)</f>
        <v>Soggetto pubblico</v>
      </c>
      <c r="S1995" s="86" t="b">
        <f>IF(#REF!="staff",INDEX('Partner data'!$DG$2:$DH$171,MATCH(#REF!,'Partner data'!$DG$2:$DG$171,0),2))</f>
        <v>0</v>
      </c>
    </row>
    <row r="1996" spans="1:19" x14ac:dyDescent="0.25">
      <c r="A1996" t="s">
        <v>60</v>
      </c>
      <c r="B1996" t="s">
        <v>329</v>
      </c>
      <c r="C1996">
        <v>173</v>
      </c>
      <c r="D1996">
        <v>276</v>
      </c>
      <c r="E1996" t="s">
        <v>231</v>
      </c>
      <c r="G1996">
        <v>81250</v>
      </c>
      <c r="H1996">
        <v>0</v>
      </c>
      <c r="I1996">
        <v>0</v>
      </c>
      <c r="J1996">
        <v>0</v>
      </c>
      <c r="K1996">
        <v>0</v>
      </c>
      <c r="L1996">
        <v>0</v>
      </c>
      <c r="M1996">
        <v>0</v>
      </c>
      <c r="N1996">
        <v>0</v>
      </c>
      <c r="O1996">
        <v>81250</v>
      </c>
      <c r="P1996">
        <v>0</v>
      </c>
      <c r="Q1996" t="str">
        <f>INDEX(pARTNER[#All],MATCH(#REF!,pARTNER[[#All],[Value.partnerSummary.id]],0),10)</f>
        <v>Italia (IT)</v>
      </c>
      <c r="R1996" t="str">
        <f>INDEX('Partner data'!$A$2:$DG$171,MATCH(#REF!,'Partner data'!$DG$2:$DG$171,0),83)</f>
        <v>Soggetto pubblico</v>
      </c>
      <c r="S1996" s="86" t="b">
        <f>IF(#REF!="staff",INDEX('Partner data'!$DG$2:$DH$171,MATCH(#REF!,'Partner data'!$DG$2:$DG$171,0),2))</f>
        <v>0</v>
      </c>
    </row>
    <row r="1997" spans="1:19" x14ac:dyDescent="0.25">
      <c r="A1997" t="s">
        <v>60</v>
      </c>
      <c r="B1997" t="s">
        <v>329</v>
      </c>
      <c r="C1997">
        <v>173</v>
      </c>
      <c r="D1997">
        <v>276</v>
      </c>
      <c r="E1997" t="s">
        <v>232</v>
      </c>
      <c r="G1997">
        <v>0</v>
      </c>
      <c r="H1997">
        <v>0</v>
      </c>
      <c r="I1997">
        <v>0</v>
      </c>
      <c r="J1997">
        <v>0</v>
      </c>
      <c r="K1997">
        <v>0</v>
      </c>
      <c r="L1997">
        <v>0</v>
      </c>
      <c r="M1997">
        <v>0</v>
      </c>
      <c r="N1997">
        <v>0</v>
      </c>
      <c r="O1997">
        <v>0</v>
      </c>
      <c r="P1997">
        <v>0</v>
      </c>
      <c r="Q1997" t="str">
        <f>INDEX(pARTNER[#All],MATCH(#REF!,pARTNER[[#All],[Value.partnerSummary.id]],0),10)</f>
        <v>Italia (IT)</v>
      </c>
      <c r="R1997" t="str">
        <f>INDEX('Partner data'!$A$2:$DG$171,MATCH(#REF!,'Partner data'!$DG$2:$DG$171,0),83)</f>
        <v>Soggetto pubblico</v>
      </c>
      <c r="S1997" s="86" t="b">
        <f>IF(#REF!="staff",INDEX('Partner data'!$DG$2:$DH$171,MATCH(#REF!,'Partner data'!$DG$2:$DG$171,0),2))</f>
        <v>0</v>
      </c>
    </row>
    <row r="1998" spans="1:19" x14ac:dyDescent="0.25">
      <c r="A1998" t="s">
        <v>60</v>
      </c>
      <c r="B1998" t="s">
        <v>329</v>
      </c>
      <c r="C1998">
        <v>173</v>
      </c>
      <c r="D1998">
        <v>276</v>
      </c>
      <c r="E1998" t="s">
        <v>233</v>
      </c>
      <c r="G1998">
        <v>0</v>
      </c>
      <c r="H1998">
        <v>0</v>
      </c>
      <c r="I1998">
        <v>0</v>
      </c>
      <c r="J1998">
        <v>0</v>
      </c>
      <c r="K1998">
        <v>0</v>
      </c>
      <c r="L1998">
        <v>0</v>
      </c>
      <c r="M1998">
        <v>0</v>
      </c>
      <c r="N1998">
        <v>0</v>
      </c>
      <c r="O1998">
        <v>0</v>
      </c>
      <c r="P1998">
        <v>0</v>
      </c>
      <c r="Q1998" t="str">
        <f>INDEX(pARTNER[#All],MATCH(#REF!,pARTNER[[#All],[Value.partnerSummary.id]],0),10)</f>
        <v>Italia (IT)</v>
      </c>
      <c r="R1998" t="str">
        <f>INDEX('Partner data'!$A$2:$DG$171,MATCH(#REF!,'Partner data'!$DG$2:$DG$171,0),83)</f>
        <v>Soggetto pubblico</v>
      </c>
      <c r="S1998" s="86" t="b">
        <f>IF(#REF!="staff",INDEX('Partner data'!$DG$2:$DH$171,MATCH(#REF!,'Partner data'!$DG$2:$DG$171,0),2))</f>
        <v>0</v>
      </c>
    </row>
    <row r="1999" spans="1:19" x14ac:dyDescent="0.25">
      <c r="A1999" t="s">
        <v>60</v>
      </c>
      <c r="B1999" t="s">
        <v>329</v>
      </c>
      <c r="C1999">
        <v>173</v>
      </c>
      <c r="D1999">
        <v>276</v>
      </c>
      <c r="E1999" t="s">
        <v>234</v>
      </c>
      <c r="G1999">
        <v>0</v>
      </c>
      <c r="H1999">
        <v>0</v>
      </c>
      <c r="I1999">
        <v>0</v>
      </c>
      <c r="J1999">
        <v>0</v>
      </c>
      <c r="K1999">
        <v>0</v>
      </c>
      <c r="L1999">
        <v>0</v>
      </c>
      <c r="M1999">
        <v>0</v>
      </c>
      <c r="N1999">
        <v>0</v>
      </c>
      <c r="O1999">
        <v>0</v>
      </c>
      <c r="P1999">
        <v>0</v>
      </c>
      <c r="Q1999" t="str">
        <f>INDEX(pARTNER[#All],MATCH(#REF!,pARTNER[[#All],[Value.partnerSummary.id]],0),10)</f>
        <v>Italia (IT)</v>
      </c>
      <c r="R1999" t="str">
        <f>INDEX('Partner data'!$A$2:$DG$171,MATCH(#REF!,'Partner data'!$DG$2:$DG$171,0),83)</f>
        <v>Soggetto pubblico</v>
      </c>
      <c r="S1999" s="86" t="b">
        <f>IF(#REF!="staff",INDEX('Partner data'!$DG$2:$DH$171,MATCH(#REF!,'Partner data'!$DG$2:$DG$171,0),2))</f>
        <v>0</v>
      </c>
    </row>
    <row r="2000" spans="1:19" x14ac:dyDescent="0.25">
      <c r="A2000" t="s">
        <v>60</v>
      </c>
      <c r="B2000" t="s">
        <v>329</v>
      </c>
      <c r="C2000">
        <v>173</v>
      </c>
      <c r="D2000">
        <v>276</v>
      </c>
      <c r="E2000" t="s">
        <v>235</v>
      </c>
      <c r="G2000">
        <v>0</v>
      </c>
      <c r="H2000">
        <v>0</v>
      </c>
      <c r="I2000">
        <v>0</v>
      </c>
      <c r="J2000">
        <v>0</v>
      </c>
      <c r="K2000">
        <v>0</v>
      </c>
      <c r="L2000">
        <v>0</v>
      </c>
      <c r="M2000">
        <v>0</v>
      </c>
      <c r="N2000">
        <v>0</v>
      </c>
      <c r="O2000">
        <v>0</v>
      </c>
      <c r="P2000">
        <v>0</v>
      </c>
      <c r="Q2000" t="str">
        <f>INDEX(pARTNER[#All],MATCH(#REF!,pARTNER[[#All],[Value.partnerSummary.id]],0),10)</f>
        <v>Italia (IT)</v>
      </c>
      <c r="R2000" t="str">
        <f>INDEX('Partner data'!$A$2:$DG$171,MATCH(#REF!,'Partner data'!$DG$2:$DG$171,0),83)</f>
        <v>Soggetto pubblico</v>
      </c>
      <c r="S2000" s="86" t="b">
        <f>IF(#REF!="staff",INDEX('Partner data'!$DG$2:$DH$171,MATCH(#REF!,'Partner data'!$DG$2:$DG$171,0),2))</f>
        <v>0</v>
      </c>
    </row>
    <row r="2001" spans="1:19" x14ac:dyDescent="0.25">
      <c r="A2001" t="s">
        <v>60</v>
      </c>
      <c r="B2001" t="s">
        <v>329</v>
      </c>
      <c r="C2001">
        <v>173</v>
      </c>
      <c r="D2001">
        <v>276</v>
      </c>
      <c r="E2001" t="s">
        <v>236</v>
      </c>
      <c r="G2001">
        <v>0</v>
      </c>
      <c r="H2001">
        <v>0</v>
      </c>
      <c r="I2001">
        <v>0</v>
      </c>
      <c r="J2001">
        <v>0</v>
      </c>
      <c r="K2001">
        <v>0</v>
      </c>
      <c r="L2001">
        <v>0</v>
      </c>
      <c r="M2001">
        <v>0</v>
      </c>
      <c r="N2001">
        <v>0</v>
      </c>
      <c r="O2001">
        <v>0</v>
      </c>
      <c r="P2001">
        <v>0</v>
      </c>
      <c r="Q2001" t="str">
        <f>INDEX(pARTNER[#All],MATCH(#REF!,pARTNER[[#All],[Value.partnerSummary.id]],0),10)</f>
        <v>Italia (IT)</v>
      </c>
      <c r="R2001" t="str">
        <f>INDEX('Partner data'!$A$2:$DG$171,MATCH(#REF!,'Partner data'!$DG$2:$DG$171,0),83)</f>
        <v>Soggetto pubblico</v>
      </c>
      <c r="S2001" s="86" t="b">
        <f>IF(#REF!="staff",INDEX('Partner data'!$DG$2:$DH$171,MATCH(#REF!,'Partner data'!$DG$2:$DG$171,0),2))</f>
        <v>0</v>
      </c>
    </row>
    <row r="2002" spans="1:19" x14ac:dyDescent="0.25">
      <c r="A2002" t="s">
        <v>60</v>
      </c>
      <c r="B2002" t="s">
        <v>329</v>
      </c>
      <c r="C2002">
        <v>173</v>
      </c>
      <c r="D2002">
        <v>276</v>
      </c>
      <c r="E2002" t="s">
        <v>237</v>
      </c>
      <c r="G2002">
        <v>0</v>
      </c>
      <c r="H2002">
        <v>0</v>
      </c>
      <c r="I2002">
        <v>0</v>
      </c>
      <c r="J2002">
        <v>0</v>
      </c>
      <c r="K2002">
        <v>0</v>
      </c>
      <c r="L2002">
        <v>0</v>
      </c>
      <c r="M2002">
        <v>0</v>
      </c>
      <c r="N2002">
        <v>0</v>
      </c>
      <c r="O2002">
        <v>0</v>
      </c>
      <c r="P2002">
        <v>0</v>
      </c>
      <c r="Q2002" t="str">
        <f>INDEX(pARTNER[#All],MATCH(#REF!,pARTNER[[#All],[Value.partnerSummary.id]],0),10)</f>
        <v>Italia (IT)</v>
      </c>
      <c r="R2002" t="str">
        <f>INDEX('Partner data'!$A$2:$DG$171,MATCH(#REF!,'Partner data'!$DG$2:$DG$171,0),83)</f>
        <v>Soggetto pubblico</v>
      </c>
      <c r="S2002" s="86" t="b">
        <f>IF(#REF!="staff",INDEX('Partner data'!$DG$2:$DH$171,MATCH(#REF!,'Partner data'!$DG$2:$DG$171,0),2))</f>
        <v>0</v>
      </c>
    </row>
    <row r="2003" spans="1:19" x14ac:dyDescent="0.25">
      <c r="A2003" t="s">
        <v>60</v>
      </c>
      <c r="B2003" t="s">
        <v>329</v>
      </c>
      <c r="C2003">
        <v>173</v>
      </c>
      <c r="D2003">
        <v>276</v>
      </c>
      <c r="E2003" t="s">
        <v>238</v>
      </c>
      <c r="G2003">
        <v>100587.5</v>
      </c>
      <c r="H2003">
        <v>0</v>
      </c>
      <c r="I2003">
        <v>0</v>
      </c>
      <c r="J2003">
        <v>0</v>
      </c>
      <c r="K2003">
        <v>0</v>
      </c>
      <c r="L2003">
        <v>0</v>
      </c>
      <c r="M2003">
        <v>0</v>
      </c>
      <c r="N2003">
        <v>0</v>
      </c>
      <c r="O2003">
        <v>100587.5</v>
      </c>
      <c r="P2003">
        <v>0</v>
      </c>
      <c r="Q2003" t="str">
        <f>INDEX(pARTNER[#All],MATCH(#REF!,pARTNER[[#All],[Value.partnerSummary.id]],0),10)</f>
        <v>Italia (IT)</v>
      </c>
      <c r="R2003" t="str">
        <f>INDEX('Partner data'!$A$2:$DG$171,MATCH(#REF!,'Partner data'!$DG$2:$DG$171,0),83)</f>
        <v>Soggetto pubblico</v>
      </c>
      <c r="S2003" s="86" t="b">
        <f>IF(#REF!="staff",INDEX('Partner data'!$DG$2:$DH$171,MATCH(#REF!,'Partner data'!$DG$2:$DG$171,0),2))</f>
        <v>0</v>
      </c>
    </row>
    <row r="2004" spans="1:19" x14ac:dyDescent="0.25">
      <c r="A2004" t="s">
        <v>60</v>
      </c>
      <c r="B2004" t="s">
        <v>329</v>
      </c>
      <c r="C2004">
        <v>173</v>
      </c>
      <c r="D2004">
        <v>78</v>
      </c>
      <c r="E2004" t="s">
        <v>228</v>
      </c>
      <c r="F2004">
        <v>20</v>
      </c>
      <c r="G2004">
        <v>16250</v>
      </c>
      <c r="H2004">
        <v>0</v>
      </c>
      <c r="I2004">
        <v>0</v>
      </c>
      <c r="J2004">
        <v>0</v>
      </c>
      <c r="K2004">
        <v>0</v>
      </c>
      <c r="L2004">
        <v>0</v>
      </c>
      <c r="M2004">
        <v>0</v>
      </c>
      <c r="N2004">
        <v>0</v>
      </c>
      <c r="O2004">
        <v>16250</v>
      </c>
      <c r="P2004">
        <v>0</v>
      </c>
      <c r="Q2004" t="str">
        <f>INDEX(pARTNER[#All],MATCH(#REF!,pARTNER[[#All],[Value.partnerSummary.id]],0),10)</f>
        <v>Italia (IT)</v>
      </c>
      <c r="R2004" t="str">
        <f>INDEX('Partner data'!$A$2:$DG$171,MATCH(#REF!,'Partner data'!$DG$2:$DG$171,0),83)</f>
        <v>Soggetto pubblico</v>
      </c>
      <c r="S2004" s="86" t="str">
        <f>IF(#REF!="staff",INDEX('Partner data'!$DG$2:$DH$171,MATCH(#REF!,'Partner data'!$DG$2:$DG$171,0),2))</f>
        <v>Tasso Forfettario 20%</v>
      </c>
    </row>
    <row r="2005" spans="1:19" x14ac:dyDescent="0.25">
      <c r="A2005" t="s">
        <v>60</v>
      </c>
      <c r="B2005" t="s">
        <v>329</v>
      </c>
      <c r="C2005">
        <v>173</v>
      </c>
      <c r="D2005">
        <v>78</v>
      </c>
      <c r="E2005" t="s">
        <v>229</v>
      </c>
      <c r="F2005">
        <v>15</v>
      </c>
      <c r="G2005">
        <v>2437.5</v>
      </c>
      <c r="H2005">
        <v>0</v>
      </c>
      <c r="I2005">
        <v>0</v>
      </c>
      <c r="J2005">
        <v>0</v>
      </c>
      <c r="K2005">
        <v>0</v>
      </c>
      <c r="L2005">
        <v>0</v>
      </c>
      <c r="M2005">
        <v>0</v>
      </c>
      <c r="N2005">
        <v>0</v>
      </c>
      <c r="O2005">
        <v>2437.5</v>
      </c>
      <c r="P2005">
        <v>0</v>
      </c>
      <c r="Q2005" t="str">
        <f>INDEX(pARTNER[#All],MATCH(#REF!,pARTNER[[#All],[Value.partnerSummary.id]],0),10)</f>
        <v>Italia (IT)</v>
      </c>
      <c r="R2005" t="str">
        <f>INDEX('Partner data'!$A$2:$DG$171,MATCH(#REF!,'Partner data'!$DG$2:$DG$171,0),83)</f>
        <v>Soggetto pubblico</v>
      </c>
      <c r="S2005" s="86" t="b">
        <f>IF(#REF!="staff",INDEX('Partner data'!$DG$2:$DH$171,MATCH(#REF!,'Partner data'!$DG$2:$DG$171,0),2))</f>
        <v>0</v>
      </c>
    </row>
    <row r="2006" spans="1:19" x14ac:dyDescent="0.25">
      <c r="A2006" t="s">
        <v>60</v>
      </c>
      <c r="B2006" t="s">
        <v>329</v>
      </c>
      <c r="C2006">
        <v>173</v>
      </c>
      <c r="D2006">
        <v>78</v>
      </c>
      <c r="E2006" t="s">
        <v>230</v>
      </c>
      <c r="F2006">
        <v>4</v>
      </c>
      <c r="G2006">
        <v>650</v>
      </c>
      <c r="H2006">
        <v>0</v>
      </c>
      <c r="I2006">
        <v>0</v>
      </c>
      <c r="J2006">
        <v>0</v>
      </c>
      <c r="K2006">
        <v>0</v>
      </c>
      <c r="L2006">
        <v>0</v>
      </c>
      <c r="M2006">
        <v>0</v>
      </c>
      <c r="N2006">
        <v>0</v>
      </c>
      <c r="O2006">
        <v>650</v>
      </c>
      <c r="P2006">
        <v>0</v>
      </c>
      <c r="Q2006" t="str">
        <f>INDEX(pARTNER[#All],MATCH(#REF!,pARTNER[[#All],[Value.partnerSummary.id]],0),10)</f>
        <v>Italia (IT)</v>
      </c>
      <c r="R2006" t="str">
        <f>INDEX('Partner data'!$A$2:$DG$171,MATCH(#REF!,'Partner data'!$DG$2:$DG$171,0),83)</f>
        <v>Soggetto pubblico</v>
      </c>
      <c r="S2006" s="86" t="b">
        <f>IF(#REF!="staff",INDEX('Partner data'!$DG$2:$DH$171,MATCH(#REF!,'Partner data'!$DG$2:$DG$171,0),2))</f>
        <v>0</v>
      </c>
    </row>
    <row r="2007" spans="1:19" x14ac:dyDescent="0.25">
      <c r="A2007" t="s">
        <v>60</v>
      </c>
      <c r="B2007" t="s">
        <v>329</v>
      </c>
      <c r="C2007">
        <v>173</v>
      </c>
      <c r="D2007">
        <v>78</v>
      </c>
      <c r="E2007" t="s">
        <v>231</v>
      </c>
      <c r="G2007">
        <v>81250</v>
      </c>
      <c r="H2007">
        <v>0</v>
      </c>
      <c r="I2007">
        <v>0</v>
      </c>
      <c r="J2007">
        <v>0</v>
      </c>
      <c r="K2007">
        <v>0</v>
      </c>
      <c r="L2007">
        <v>0</v>
      </c>
      <c r="M2007">
        <v>0</v>
      </c>
      <c r="N2007">
        <v>0</v>
      </c>
      <c r="O2007">
        <v>81250</v>
      </c>
      <c r="P2007">
        <v>0</v>
      </c>
      <c r="Q2007" t="str">
        <f>INDEX(pARTNER[#All],MATCH(#REF!,pARTNER[[#All],[Value.partnerSummary.id]],0),10)</f>
        <v>Italia (IT)</v>
      </c>
      <c r="R2007" t="str">
        <f>INDEX('Partner data'!$A$2:$DG$171,MATCH(#REF!,'Partner data'!$DG$2:$DG$171,0),83)</f>
        <v>Soggetto pubblico</v>
      </c>
      <c r="S2007" s="86" t="b">
        <f>IF(#REF!="staff",INDEX('Partner data'!$DG$2:$DH$171,MATCH(#REF!,'Partner data'!$DG$2:$DG$171,0),2))</f>
        <v>0</v>
      </c>
    </row>
    <row r="2008" spans="1:19" x14ac:dyDescent="0.25">
      <c r="A2008" t="s">
        <v>60</v>
      </c>
      <c r="B2008" t="s">
        <v>329</v>
      </c>
      <c r="C2008">
        <v>173</v>
      </c>
      <c r="D2008">
        <v>78</v>
      </c>
      <c r="E2008" t="s">
        <v>232</v>
      </c>
      <c r="G2008">
        <v>0</v>
      </c>
      <c r="H2008">
        <v>0</v>
      </c>
      <c r="I2008">
        <v>0</v>
      </c>
      <c r="J2008">
        <v>0</v>
      </c>
      <c r="K2008">
        <v>0</v>
      </c>
      <c r="L2008">
        <v>0</v>
      </c>
      <c r="M2008">
        <v>0</v>
      </c>
      <c r="N2008">
        <v>0</v>
      </c>
      <c r="O2008">
        <v>0</v>
      </c>
      <c r="P2008">
        <v>0</v>
      </c>
      <c r="Q2008" t="str">
        <f>INDEX(pARTNER[#All],MATCH(#REF!,pARTNER[[#All],[Value.partnerSummary.id]],0),10)</f>
        <v>Italia (IT)</v>
      </c>
      <c r="R2008" t="str">
        <f>INDEX('Partner data'!$A$2:$DG$171,MATCH(#REF!,'Partner data'!$DG$2:$DG$171,0),83)</f>
        <v>Soggetto pubblico</v>
      </c>
      <c r="S2008" s="86" t="b">
        <f>IF(#REF!="staff",INDEX('Partner data'!$DG$2:$DH$171,MATCH(#REF!,'Partner data'!$DG$2:$DG$171,0),2))</f>
        <v>0</v>
      </c>
    </row>
    <row r="2009" spans="1:19" x14ac:dyDescent="0.25">
      <c r="A2009" t="s">
        <v>60</v>
      </c>
      <c r="B2009" t="s">
        <v>329</v>
      </c>
      <c r="C2009">
        <v>173</v>
      </c>
      <c r="D2009">
        <v>78</v>
      </c>
      <c r="E2009" t="s">
        <v>233</v>
      </c>
      <c r="G2009">
        <v>0</v>
      </c>
      <c r="H2009">
        <v>0</v>
      </c>
      <c r="I2009">
        <v>0</v>
      </c>
      <c r="J2009">
        <v>0</v>
      </c>
      <c r="K2009">
        <v>0</v>
      </c>
      <c r="L2009">
        <v>0</v>
      </c>
      <c r="M2009">
        <v>0</v>
      </c>
      <c r="N2009">
        <v>0</v>
      </c>
      <c r="O2009">
        <v>0</v>
      </c>
      <c r="P2009">
        <v>0</v>
      </c>
      <c r="Q2009" t="str">
        <f>INDEX(pARTNER[#All],MATCH(#REF!,pARTNER[[#All],[Value.partnerSummary.id]],0),10)</f>
        <v>Italia (IT)</v>
      </c>
      <c r="R2009" t="str">
        <f>INDEX('Partner data'!$A$2:$DG$171,MATCH(#REF!,'Partner data'!$DG$2:$DG$171,0),83)</f>
        <v>Soggetto pubblico</v>
      </c>
      <c r="S2009" s="86" t="b">
        <f>IF(#REF!="staff",INDEX('Partner data'!$DG$2:$DH$171,MATCH(#REF!,'Partner data'!$DG$2:$DG$171,0),2))</f>
        <v>0</v>
      </c>
    </row>
    <row r="2010" spans="1:19" x14ac:dyDescent="0.25">
      <c r="A2010" t="s">
        <v>60</v>
      </c>
      <c r="B2010" t="s">
        <v>329</v>
      </c>
      <c r="C2010">
        <v>173</v>
      </c>
      <c r="D2010">
        <v>78</v>
      </c>
      <c r="E2010" t="s">
        <v>234</v>
      </c>
      <c r="G2010">
        <v>0</v>
      </c>
      <c r="H2010">
        <v>0</v>
      </c>
      <c r="I2010">
        <v>0</v>
      </c>
      <c r="J2010">
        <v>0</v>
      </c>
      <c r="K2010">
        <v>0</v>
      </c>
      <c r="L2010">
        <v>0</v>
      </c>
      <c r="M2010">
        <v>0</v>
      </c>
      <c r="N2010">
        <v>0</v>
      </c>
      <c r="O2010">
        <v>0</v>
      </c>
      <c r="P2010">
        <v>0</v>
      </c>
      <c r="Q2010" t="str">
        <f>INDEX(pARTNER[#All],MATCH(#REF!,pARTNER[[#All],[Value.partnerSummary.id]],0),10)</f>
        <v>Italia (IT)</v>
      </c>
      <c r="R2010" t="str">
        <f>INDEX('Partner data'!$A$2:$DG$171,MATCH(#REF!,'Partner data'!$DG$2:$DG$171,0),83)</f>
        <v>Soggetto pubblico</v>
      </c>
      <c r="S2010" s="86" t="b">
        <f>IF(#REF!="staff",INDEX('Partner data'!$DG$2:$DH$171,MATCH(#REF!,'Partner data'!$DG$2:$DG$171,0),2))</f>
        <v>0</v>
      </c>
    </row>
    <row r="2011" spans="1:19" x14ac:dyDescent="0.25">
      <c r="A2011" t="s">
        <v>60</v>
      </c>
      <c r="B2011" t="s">
        <v>329</v>
      </c>
      <c r="C2011">
        <v>173</v>
      </c>
      <c r="D2011">
        <v>78</v>
      </c>
      <c r="E2011" t="s">
        <v>235</v>
      </c>
      <c r="G2011">
        <v>0</v>
      </c>
      <c r="H2011">
        <v>0</v>
      </c>
      <c r="I2011">
        <v>0</v>
      </c>
      <c r="J2011">
        <v>0</v>
      </c>
      <c r="K2011">
        <v>0</v>
      </c>
      <c r="L2011">
        <v>0</v>
      </c>
      <c r="M2011">
        <v>0</v>
      </c>
      <c r="N2011">
        <v>0</v>
      </c>
      <c r="O2011">
        <v>0</v>
      </c>
      <c r="P2011">
        <v>0</v>
      </c>
      <c r="Q2011" t="str">
        <f>INDEX(pARTNER[#All],MATCH(#REF!,pARTNER[[#All],[Value.partnerSummary.id]],0),10)</f>
        <v>Italia (IT)</v>
      </c>
      <c r="R2011" t="str">
        <f>INDEX('Partner data'!$A$2:$DG$171,MATCH(#REF!,'Partner data'!$DG$2:$DG$171,0),83)</f>
        <v>Soggetto pubblico</v>
      </c>
      <c r="S2011" s="86" t="b">
        <f>IF(#REF!="staff",INDEX('Partner data'!$DG$2:$DH$171,MATCH(#REF!,'Partner data'!$DG$2:$DG$171,0),2))</f>
        <v>0</v>
      </c>
    </row>
    <row r="2012" spans="1:19" x14ac:dyDescent="0.25">
      <c r="A2012" t="s">
        <v>60</v>
      </c>
      <c r="B2012" t="s">
        <v>329</v>
      </c>
      <c r="C2012">
        <v>173</v>
      </c>
      <c r="D2012">
        <v>78</v>
      </c>
      <c r="E2012" t="s">
        <v>236</v>
      </c>
      <c r="G2012">
        <v>0</v>
      </c>
      <c r="H2012">
        <v>0</v>
      </c>
      <c r="I2012">
        <v>0</v>
      </c>
      <c r="J2012">
        <v>0</v>
      </c>
      <c r="K2012">
        <v>0</v>
      </c>
      <c r="L2012">
        <v>0</v>
      </c>
      <c r="M2012">
        <v>0</v>
      </c>
      <c r="N2012">
        <v>0</v>
      </c>
      <c r="O2012">
        <v>0</v>
      </c>
      <c r="P2012">
        <v>0</v>
      </c>
      <c r="Q2012" t="str">
        <f>INDEX(pARTNER[#All],MATCH(#REF!,pARTNER[[#All],[Value.partnerSummary.id]],0),10)</f>
        <v>Italia (IT)</v>
      </c>
      <c r="R2012" t="str">
        <f>INDEX('Partner data'!$A$2:$DG$171,MATCH(#REF!,'Partner data'!$DG$2:$DG$171,0),83)</f>
        <v>Soggetto pubblico</v>
      </c>
      <c r="S2012" s="86" t="b">
        <f>IF(#REF!="staff",INDEX('Partner data'!$DG$2:$DH$171,MATCH(#REF!,'Partner data'!$DG$2:$DG$171,0),2))</f>
        <v>0</v>
      </c>
    </row>
    <row r="2013" spans="1:19" x14ac:dyDescent="0.25">
      <c r="A2013" t="s">
        <v>60</v>
      </c>
      <c r="B2013" t="s">
        <v>329</v>
      </c>
      <c r="C2013">
        <v>173</v>
      </c>
      <c r="D2013">
        <v>78</v>
      </c>
      <c r="E2013" t="s">
        <v>237</v>
      </c>
      <c r="G2013">
        <v>0</v>
      </c>
      <c r="H2013">
        <v>0</v>
      </c>
      <c r="I2013">
        <v>0</v>
      </c>
      <c r="J2013">
        <v>0</v>
      </c>
      <c r="K2013">
        <v>0</v>
      </c>
      <c r="L2013">
        <v>0</v>
      </c>
      <c r="M2013">
        <v>0</v>
      </c>
      <c r="N2013">
        <v>0</v>
      </c>
      <c r="O2013">
        <v>0</v>
      </c>
      <c r="P2013">
        <v>0</v>
      </c>
      <c r="Q2013" t="str">
        <f>INDEX(pARTNER[#All],MATCH(#REF!,pARTNER[[#All],[Value.partnerSummary.id]],0),10)</f>
        <v>Italia (IT)</v>
      </c>
      <c r="R2013" t="str">
        <f>INDEX('Partner data'!$A$2:$DG$171,MATCH(#REF!,'Partner data'!$DG$2:$DG$171,0),83)</f>
        <v>Soggetto pubblico</v>
      </c>
      <c r="S2013" s="86" t="b">
        <f>IF(#REF!="staff",INDEX('Partner data'!$DG$2:$DH$171,MATCH(#REF!,'Partner data'!$DG$2:$DG$171,0),2))</f>
        <v>0</v>
      </c>
    </row>
    <row r="2014" spans="1:19" x14ac:dyDescent="0.25">
      <c r="A2014" t="s">
        <v>60</v>
      </c>
      <c r="B2014" t="s">
        <v>329</v>
      </c>
      <c r="C2014">
        <v>173</v>
      </c>
      <c r="D2014">
        <v>78</v>
      </c>
      <c r="E2014" t="s">
        <v>238</v>
      </c>
      <c r="G2014">
        <v>100587.5</v>
      </c>
      <c r="H2014">
        <v>0</v>
      </c>
      <c r="I2014">
        <v>0</v>
      </c>
      <c r="J2014">
        <v>0</v>
      </c>
      <c r="K2014">
        <v>0</v>
      </c>
      <c r="L2014">
        <v>0</v>
      </c>
      <c r="M2014">
        <v>0</v>
      </c>
      <c r="N2014">
        <v>0</v>
      </c>
      <c r="O2014">
        <v>100587.5</v>
      </c>
      <c r="P2014">
        <v>0</v>
      </c>
      <c r="Q2014" t="str">
        <f>INDEX(pARTNER[#All],MATCH(#REF!,pARTNER[[#All],[Value.partnerSummary.id]],0),10)</f>
        <v>Italia (IT)</v>
      </c>
      <c r="R2014" t="str">
        <f>INDEX('Partner data'!$A$2:$DG$171,MATCH(#REF!,'Partner data'!$DG$2:$DG$171,0),83)</f>
        <v>Soggetto pubblico</v>
      </c>
      <c r="S2014" s="86" t="b">
        <f>IF(#REF!="staff",INDEX('Partner data'!$DG$2:$DH$171,MATCH(#REF!,'Partner data'!$DG$2:$DG$171,0),2))</f>
        <v>0</v>
      </c>
    </row>
    <row r="2015" spans="1:19" x14ac:dyDescent="0.25">
      <c r="A2015" t="s">
        <v>60</v>
      </c>
      <c r="B2015" t="s">
        <v>35</v>
      </c>
      <c r="C2015">
        <v>95</v>
      </c>
      <c r="D2015">
        <v>258</v>
      </c>
      <c r="E2015" t="s">
        <v>228</v>
      </c>
      <c r="G2015">
        <v>61650</v>
      </c>
      <c r="H2015">
        <v>9965.98</v>
      </c>
      <c r="I2015">
        <v>0</v>
      </c>
      <c r="J2015">
        <v>11133.01</v>
      </c>
      <c r="K2015">
        <v>0</v>
      </c>
      <c r="L2015">
        <v>11133.01</v>
      </c>
      <c r="M2015">
        <v>21098.99</v>
      </c>
      <c r="N2015">
        <v>34.22</v>
      </c>
      <c r="O2015">
        <v>40551.01</v>
      </c>
      <c r="P2015">
        <v>7830.36</v>
      </c>
      <c r="Q2015" t="str">
        <f>INDEX(pARTNER[#All],MATCH(#REF!,pARTNER[[#All],[Value.partnerSummary.id]],0),10)</f>
        <v>Slovenija (SI)</v>
      </c>
      <c r="R2015" t="str">
        <f>INDEX('Partner data'!$A$2:$DG$171,MATCH(#REF!,'Partner data'!$DG$2:$DG$171,0),83)</f>
        <v>Soggetto pubblico</v>
      </c>
      <c r="S2015" s="86" t="str">
        <f>IF(#REF!="staff",INDEX('Partner data'!$DG$2:$DH$171,MATCH(#REF!,'Partner data'!$DG$2:$DG$171,0),2))</f>
        <v>COSTO REALE</v>
      </c>
    </row>
    <row r="2016" spans="1:19" x14ac:dyDescent="0.25">
      <c r="A2016" t="s">
        <v>60</v>
      </c>
      <c r="B2016" t="s">
        <v>35</v>
      </c>
      <c r="C2016">
        <v>95</v>
      </c>
      <c r="D2016">
        <v>258</v>
      </c>
      <c r="E2016" t="s">
        <v>229</v>
      </c>
      <c r="F2016">
        <v>15</v>
      </c>
      <c r="G2016">
        <v>9247.5</v>
      </c>
      <c r="H2016">
        <v>1494.89</v>
      </c>
      <c r="I2016">
        <v>0</v>
      </c>
      <c r="J2016">
        <v>1669.95</v>
      </c>
      <c r="K2016">
        <v>0</v>
      </c>
      <c r="L2016">
        <v>1669.95</v>
      </c>
      <c r="M2016">
        <v>3164.84</v>
      </c>
      <c r="N2016">
        <v>34.22</v>
      </c>
      <c r="O2016">
        <v>6082.66</v>
      </c>
      <c r="P2016">
        <v>1174.55</v>
      </c>
      <c r="Q2016" t="str">
        <f>INDEX(pARTNER[#All],MATCH(#REF!,pARTNER[[#All],[Value.partnerSummary.id]],0),10)</f>
        <v>Slovenija (SI)</v>
      </c>
      <c r="R2016" t="str">
        <f>INDEX('Partner data'!$A$2:$DG$171,MATCH(#REF!,'Partner data'!$DG$2:$DG$171,0),83)</f>
        <v>Soggetto pubblico</v>
      </c>
      <c r="S2016" s="86" t="b">
        <f>IF(#REF!="staff",INDEX('Partner data'!$DG$2:$DH$171,MATCH(#REF!,'Partner data'!$DG$2:$DG$171,0),2))</f>
        <v>0</v>
      </c>
    </row>
    <row r="2017" spans="1:19" x14ac:dyDescent="0.25">
      <c r="A2017" t="s">
        <v>60</v>
      </c>
      <c r="B2017" t="s">
        <v>35</v>
      </c>
      <c r="C2017">
        <v>95</v>
      </c>
      <c r="D2017">
        <v>258</v>
      </c>
      <c r="E2017" t="s">
        <v>230</v>
      </c>
      <c r="F2017">
        <v>4</v>
      </c>
      <c r="G2017">
        <v>2466</v>
      </c>
      <c r="H2017">
        <v>398.63</v>
      </c>
      <c r="I2017">
        <v>0</v>
      </c>
      <c r="J2017">
        <v>445.32</v>
      </c>
      <c r="K2017">
        <v>0</v>
      </c>
      <c r="L2017">
        <v>445.32</v>
      </c>
      <c r="M2017">
        <v>843.95</v>
      </c>
      <c r="N2017">
        <v>34.22</v>
      </c>
      <c r="O2017">
        <v>1622.05</v>
      </c>
      <c r="P2017">
        <v>313.20999999999998</v>
      </c>
      <c r="Q2017" t="str">
        <f>INDEX(pARTNER[#All],MATCH(#REF!,pARTNER[[#All],[Value.partnerSummary.id]],0),10)</f>
        <v>Slovenija (SI)</v>
      </c>
      <c r="R2017" t="str">
        <f>INDEX('Partner data'!$A$2:$DG$171,MATCH(#REF!,'Partner data'!$DG$2:$DG$171,0),83)</f>
        <v>Soggetto pubblico</v>
      </c>
      <c r="S2017" s="86" t="b">
        <f>IF(#REF!="staff",INDEX('Partner data'!$DG$2:$DH$171,MATCH(#REF!,'Partner data'!$DG$2:$DG$171,0),2))</f>
        <v>0</v>
      </c>
    </row>
    <row r="2018" spans="1:19" x14ac:dyDescent="0.25">
      <c r="A2018" t="s">
        <v>60</v>
      </c>
      <c r="B2018" t="s">
        <v>35</v>
      </c>
      <c r="C2018">
        <v>95</v>
      </c>
      <c r="D2018">
        <v>258</v>
      </c>
      <c r="E2018" t="s">
        <v>231</v>
      </c>
      <c r="G2018">
        <v>37000</v>
      </c>
      <c r="H2018">
        <v>0</v>
      </c>
      <c r="I2018">
        <v>0</v>
      </c>
      <c r="J2018">
        <v>2055.1999999999998</v>
      </c>
      <c r="K2018">
        <v>0</v>
      </c>
      <c r="L2018">
        <v>2055.1999999999998</v>
      </c>
      <c r="M2018">
        <v>2055.1999999999998</v>
      </c>
      <c r="N2018">
        <v>5.55</v>
      </c>
      <c r="O2018">
        <v>34944.800000000003</v>
      </c>
      <c r="P2018">
        <v>0</v>
      </c>
      <c r="Q2018" t="str">
        <f>INDEX(pARTNER[#All],MATCH(#REF!,pARTNER[[#All],[Value.partnerSummary.id]],0),10)</f>
        <v>Slovenija (SI)</v>
      </c>
      <c r="R2018" t="str">
        <f>INDEX('Partner data'!$A$2:$DG$171,MATCH(#REF!,'Partner data'!$DG$2:$DG$171,0),83)</f>
        <v>Soggetto pubblico</v>
      </c>
      <c r="S2018" s="86" t="b">
        <f>IF(#REF!="staff",INDEX('Partner data'!$DG$2:$DH$171,MATCH(#REF!,'Partner data'!$DG$2:$DG$171,0),2))</f>
        <v>0</v>
      </c>
    </row>
    <row r="2019" spans="1:19" x14ac:dyDescent="0.25">
      <c r="A2019" t="s">
        <v>60</v>
      </c>
      <c r="B2019" t="s">
        <v>35</v>
      </c>
      <c r="C2019">
        <v>95</v>
      </c>
      <c r="D2019">
        <v>258</v>
      </c>
      <c r="E2019" t="s">
        <v>232</v>
      </c>
      <c r="G2019">
        <v>0</v>
      </c>
      <c r="H2019">
        <v>0</v>
      </c>
      <c r="I2019">
        <v>0</v>
      </c>
      <c r="J2019">
        <v>0</v>
      </c>
      <c r="K2019">
        <v>0</v>
      </c>
      <c r="L2019">
        <v>0</v>
      </c>
      <c r="M2019">
        <v>0</v>
      </c>
      <c r="N2019">
        <v>0</v>
      </c>
      <c r="O2019">
        <v>0</v>
      </c>
      <c r="P2019">
        <v>0</v>
      </c>
      <c r="Q2019" t="str">
        <f>INDEX(pARTNER[#All],MATCH(#REF!,pARTNER[[#All],[Value.partnerSummary.id]],0),10)</f>
        <v>Slovenija (SI)</v>
      </c>
      <c r="R2019" t="str">
        <f>INDEX('Partner data'!$A$2:$DG$171,MATCH(#REF!,'Partner data'!$DG$2:$DG$171,0),83)</f>
        <v>Soggetto pubblico</v>
      </c>
      <c r="S2019" s="86" t="b">
        <f>IF(#REF!="staff",INDEX('Partner data'!$DG$2:$DH$171,MATCH(#REF!,'Partner data'!$DG$2:$DG$171,0),2))</f>
        <v>0</v>
      </c>
    </row>
    <row r="2020" spans="1:19" x14ac:dyDescent="0.25">
      <c r="A2020" t="s">
        <v>60</v>
      </c>
      <c r="B2020" t="s">
        <v>35</v>
      </c>
      <c r="C2020">
        <v>95</v>
      </c>
      <c r="D2020">
        <v>258</v>
      </c>
      <c r="E2020" t="s">
        <v>233</v>
      </c>
      <c r="G2020">
        <v>0</v>
      </c>
      <c r="H2020">
        <v>0</v>
      </c>
      <c r="I2020">
        <v>0</v>
      </c>
      <c r="J2020">
        <v>0</v>
      </c>
      <c r="K2020">
        <v>0</v>
      </c>
      <c r="L2020">
        <v>0</v>
      </c>
      <c r="M2020">
        <v>0</v>
      </c>
      <c r="N2020">
        <v>0</v>
      </c>
      <c r="O2020">
        <v>0</v>
      </c>
      <c r="P2020">
        <v>0</v>
      </c>
      <c r="Q2020" t="str">
        <f>INDEX(pARTNER[#All],MATCH(#REF!,pARTNER[[#All],[Value.partnerSummary.id]],0),10)</f>
        <v>Slovenija (SI)</v>
      </c>
      <c r="R2020" t="str">
        <f>INDEX('Partner data'!$A$2:$DG$171,MATCH(#REF!,'Partner data'!$DG$2:$DG$171,0),83)</f>
        <v>Soggetto pubblico</v>
      </c>
      <c r="S2020" s="86" t="b">
        <f>IF(#REF!="staff",INDEX('Partner data'!$DG$2:$DH$171,MATCH(#REF!,'Partner data'!$DG$2:$DG$171,0),2))</f>
        <v>0</v>
      </c>
    </row>
    <row r="2021" spans="1:19" x14ac:dyDescent="0.25">
      <c r="A2021" t="s">
        <v>60</v>
      </c>
      <c r="B2021" t="s">
        <v>35</v>
      </c>
      <c r="C2021">
        <v>95</v>
      </c>
      <c r="D2021">
        <v>258</v>
      </c>
      <c r="E2021" t="s">
        <v>234</v>
      </c>
      <c r="G2021">
        <v>0</v>
      </c>
      <c r="H2021">
        <v>0</v>
      </c>
      <c r="I2021">
        <v>0</v>
      </c>
      <c r="J2021">
        <v>0</v>
      </c>
      <c r="K2021">
        <v>0</v>
      </c>
      <c r="L2021">
        <v>0</v>
      </c>
      <c r="M2021">
        <v>0</v>
      </c>
      <c r="N2021">
        <v>0</v>
      </c>
      <c r="O2021">
        <v>0</v>
      </c>
      <c r="P2021">
        <v>0</v>
      </c>
      <c r="Q2021" t="str">
        <f>INDEX(pARTNER[#All],MATCH(#REF!,pARTNER[[#All],[Value.partnerSummary.id]],0),10)</f>
        <v>Slovenija (SI)</v>
      </c>
      <c r="R2021" t="str">
        <f>INDEX('Partner data'!$A$2:$DG$171,MATCH(#REF!,'Partner data'!$DG$2:$DG$171,0),83)</f>
        <v>Soggetto pubblico</v>
      </c>
      <c r="S2021" s="86" t="b">
        <f>IF(#REF!="staff",INDEX('Partner data'!$DG$2:$DH$171,MATCH(#REF!,'Partner data'!$DG$2:$DG$171,0),2))</f>
        <v>0</v>
      </c>
    </row>
    <row r="2022" spans="1:19" x14ac:dyDescent="0.25">
      <c r="A2022" t="s">
        <v>60</v>
      </c>
      <c r="B2022" t="s">
        <v>35</v>
      </c>
      <c r="C2022">
        <v>95</v>
      </c>
      <c r="D2022">
        <v>258</v>
      </c>
      <c r="E2022" t="s">
        <v>235</v>
      </c>
      <c r="G2022">
        <v>0</v>
      </c>
      <c r="H2022">
        <v>0</v>
      </c>
      <c r="I2022">
        <v>0</v>
      </c>
      <c r="J2022">
        <v>0</v>
      </c>
      <c r="K2022">
        <v>0</v>
      </c>
      <c r="L2022">
        <v>0</v>
      </c>
      <c r="M2022">
        <v>0</v>
      </c>
      <c r="N2022">
        <v>0</v>
      </c>
      <c r="O2022">
        <v>0</v>
      </c>
      <c r="P2022">
        <v>0</v>
      </c>
      <c r="Q2022" t="str">
        <f>INDEX(pARTNER[#All],MATCH(#REF!,pARTNER[[#All],[Value.partnerSummary.id]],0),10)</f>
        <v>Slovenija (SI)</v>
      </c>
      <c r="R2022" t="str">
        <f>INDEX('Partner data'!$A$2:$DG$171,MATCH(#REF!,'Partner data'!$DG$2:$DG$171,0),83)</f>
        <v>Soggetto pubblico</v>
      </c>
      <c r="S2022" s="86" t="b">
        <f>IF(#REF!="staff",INDEX('Partner data'!$DG$2:$DH$171,MATCH(#REF!,'Partner data'!$DG$2:$DG$171,0),2))</f>
        <v>0</v>
      </c>
    </row>
    <row r="2023" spans="1:19" x14ac:dyDescent="0.25">
      <c r="A2023" t="s">
        <v>60</v>
      </c>
      <c r="B2023" t="s">
        <v>35</v>
      </c>
      <c r="C2023">
        <v>95</v>
      </c>
      <c r="D2023">
        <v>258</v>
      </c>
      <c r="E2023" t="s">
        <v>236</v>
      </c>
      <c r="G2023">
        <v>0</v>
      </c>
      <c r="H2023">
        <v>0</v>
      </c>
      <c r="I2023">
        <v>0</v>
      </c>
      <c r="J2023">
        <v>0</v>
      </c>
      <c r="K2023">
        <v>0</v>
      </c>
      <c r="L2023">
        <v>0</v>
      </c>
      <c r="M2023">
        <v>0</v>
      </c>
      <c r="N2023">
        <v>0</v>
      </c>
      <c r="O2023">
        <v>0</v>
      </c>
      <c r="P2023">
        <v>0</v>
      </c>
      <c r="Q2023" t="str">
        <f>INDEX(pARTNER[#All],MATCH(#REF!,pARTNER[[#All],[Value.partnerSummary.id]],0),10)</f>
        <v>Slovenija (SI)</v>
      </c>
      <c r="R2023" t="str">
        <f>INDEX('Partner data'!$A$2:$DG$171,MATCH(#REF!,'Partner data'!$DG$2:$DG$171,0),83)</f>
        <v>Soggetto pubblico</v>
      </c>
      <c r="S2023" s="86" t="b">
        <f>IF(#REF!="staff",INDEX('Partner data'!$DG$2:$DH$171,MATCH(#REF!,'Partner data'!$DG$2:$DG$171,0),2))</f>
        <v>0</v>
      </c>
    </row>
    <row r="2024" spans="1:19" x14ac:dyDescent="0.25">
      <c r="A2024" t="s">
        <v>60</v>
      </c>
      <c r="B2024" t="s">
        <v>35</v>
      </c>
      <c r="C2024">
        <v>95</v>
      </c>
      <c r="D2024">
        <v>258</v>
      </c>
      <c r="E2024" t="s">
        <v>237</v>
      </c>
      <c r="G2024">
        <v>0</v>
      </c>
      <c r="H2024">
        <v>0</v>
      </c>
      <c r="I2024">
        <v>0</v>
      </c>
      <c r="J2024">
        <v>0</v>
      </c>
      <c r="K2024">
        <v>0</v>
      </c>
      <c r="L2024">
        <v>0</v>
      </c>
      <c r="M2024">
        <v>0</v>
      </c>
      <c r="N2024">
        <v>0</v>
      </c>
      <c r="O2024">
        <v>0</v>
      </c>
      <c r="P2024">
        <v>0</v>
      </c>
      <c r="Q2024" t="str">
        <f>INDEX(pARTNER[#All],MATCH(#REF!,pARTNER[[#All],[Value.partnerSummary.id]],0),10)</f>
        <v>Slovenija (SI)</v>
      </c>
      <c r="R2024" t="str">
        <f>INDEX('Partner data'!$A$2:$DG$171,MATCH(#REF!,'Partner data'!$DG$2:$DG$171,0),83)</f>
        <v>Soggetto pubblico</v>
      </c>
      <c r="S2024" s="86" t="b">
        <f>IF(#REF!="staff",INDEX('Partner data'!$DG$2:$DH$171,MATCH(#REF!,'Partner data'!$DG$2:$DG$171,0),2))</f>
        <v>0</v>
      </c>
    </row>
    <row r="2025" spans="1:19" x14ac:dyDescent="0.25">
      <c r="A2025" t="s">
        <v>60</v>
      </c>
      <c r="B2025" t="s">
        <v>35</v>
      </c>
      <c r="C2025">
        <v>95</v>
      </c>
      <c r="D2025">
        <v>258</v>
      </c>
      <c r="E2025" t="s">
        <v>238</v>
      </c>
      <c r="G2025">
        <v>110363.5</v>
      </c>
      <c r="H2025">
        <v>11859.5</v>
      </c>
      <c r="I2025">
        <v>0</v>
      </c>
      <c r="J2025">
        <v>15303.48</v>
      </c>
      <c r="K2025">
        <v>0</v>
      </c>
      <c r="L2025">
        <v>15303.48</v>
      </c>
      <c r="M2025">
        <v>27162.98</v>
      </c>
      <c r="N2025">
        <v>24.61</v>
      </c>
      <c r="O2025">
        <v>83200.52</v>
      </c>
      <c r="P2025">
        <v>9318.1200000000008</v>
      </c>
      <c r="Q2025" t="str">
        <f>INDEX(pARTNER[#All],MATCH(#REF!,pARTNER[[#All],[Value.partnerSummary.id]],0),10)</f>
        <v>Slovenija (SI)</v>
      </c>
      <c r="R2025" t="str">
        <f>INDEX('Partner data'!$A$2:$DG$171,MATCH(#REF!,'Partner data'!$DG$2:$DG$171,0),83)</f>
        <v>Soggetto pubblico</v>
      </c>
      <c r="S2025" s="86" t="b">
        <f>IF(#REF!="staff",INDEX('Partner data'!$DG$2:$DH$171,MATCH(#REF!,'Partner data'!$DG$2:$DG$171,0),2))</f>
        <v>0</v>
      </c>
    </row>
    <row r="2026" spans="1:19" x14ac:dyDescent="0.25">
      <c r="A2026" t="s">
        <v>60</v>
      </c>
      <c r="B2026" t="s">
        <v>35</v>
      </c>
      <c r="C2026">
        <v>95</v>
      </c>
      <c r="D2026">
        <v>42</v>
      </c>
      <c r="E2026" t="s">
        <v>228</v>
      </c>
      <c r="G2026">
        <v>61650</v>
      </c>
      <c r="H2026">
        <v>0</v>
      </c>
      <c r="I2026">
        <v>0</v>
      </c>
      <c r="J2026">
        <v>9965.98</v>
      </c>
      <c r="K2026">
        <v>0</v>
      </c>
      <c r="L2026">
        <v>7830.36</v>
      </c>
      <c r="M2026">
        <v>9965.98</v>
      </c>
      <c r="N2026">
        <v>16.170000000000002</v>
      </c>
      <c r="O2026">
        <v>51684.02</v>
      </c>
      <c r="P2026">
        <v>0</v>
      </c>
      <c r="Q2026" t="str">
        <f>INDEX(pARTNER[#All],MATCH(#REF!,pARTNER[[#All],[Value.partnerSummary.id]],0),10)</f>
        <v>Slovenija (SI)</v>
      </c>
      <c r="R2026" t="str">
        <f>INDEX('Partner data'!$A$2:$DG$171,MATCH(#REF!,'Partner data'!$DG$2:$DG$171,0),83)</f>
        <v>Soggetto pubblico</v>
      </c>
      <c r="S2026" s="86" t="str">
        <f>IF(#REF!="staff",INDEX('Partner data'!$DG$2:$DH$171,MATCH(#REF!,'Partner data'!$DG$2:$DG$171,0),2))</f>
        <v>COSTO REALE</v>
      </c>
    </row>
    <row r="2027" spans="1:19" x14ac:dyDescent="0.25">
      <c r="A2027" t="s">
        <v>60</v>
      </c>
      <c r="B2027" t="s">
        <v>35</v>
      </c>
      <c r="C2027">
        <v>95</v>
      </c>
      <c r="D2027">
        <v>42</v>
      </c>
      <c r="E2027" t="s">
        <v>229</v>
      </c>
      <c r="F2027">
        <v>15</v>
      </c>
      <c r="G2027">
        <v>9247.5</v>
      </c>
      <c r="H2027">
        <v>0</v>
      </c>
      <c r="I2027">
        <v>0</v>
      </c>
      <c r="J2027">
        <v>1494.89</v>
      </c>
      <c r="K2027">
        <v>0</v>
      </c>
      <c r="L2027">
        <v>1174.55</v>
      </c>
      <c r="M2027">
        <v>1494.89</v>
      </c>
      <c r="N2027">
        <v>16.170000000000002</v>
      </c>
      <c r="O2027">
        <v>7752.61</v>
      </c>
      <c r="P2027">
        <v>0</v>
      </c>
      <c r="Q2027" t="str">
        <f>INDEX(pARTNER[#All],MATCH(#REF!,pARTNER[[#All],[Value.partnerSummary.id]],0),10)</f>
        <v>Slovenija (SI)</v>
      </c>
      <c r="R2027" t="str">
        <f>INDEX('Partner data'!$A$2:$DG$171,MATCH(#REF!,'Partner data'!$DG$2:$DG$171,0),83)</f>
        <v>Soggetto pubblico</v>
      </c>
      <c r="S2027" s="86" t="b">
        <f>IF(#REF!="staff",INDEX('Partner data'!$DG$2:$DH$171,MATCH(#REF!,'Partner data'!$DG$2:$DG$171,0),2))</f>
        <v>0</v>
      </c>
    </row>
    <row r="2028" spans="1:19" x14ac:dyDescent="0.25">
      <c r="A2028" t="s">
        <v>60</v>
      </c>
      <c r="B2028" t="s">
        <v>35</v>
      </c>
      <c r="C2028">
        <v>95</v>
      </c>
      <c r="D2028">
        <v>42</v>
      </c>
      <c r="E2028" t="s">
        <v>230</v>
      </c>
      <c r="F2028">
        <v>4</v>
      </c>
      <c r="G2028">
        <v>2466</v>
      </c>
      <c r="H2028">
        <v>0</v>
      </c>
      <c r="I2028">
        <v>0</v>
      </c>
      <c r="J2028">
        <v>398.63</v>
      </c>
      <c r="K2028">
        <v>0</v>
      </c>
      <c r="L2028">
        <v>313.20999999999998</v>
      </c>
      <c r="M2028">
        <v>398.63</v>
      </c>
      <c r="N2028">
        <v>16.170000000000002</v>
      </c>
      <c r="O2028">
        <v>2067.37</v>
      </c>
      <c r="P2028">
        <v>0</v>
      </c>
      <c r="Q2028" t="str">
        <f>INDEX(pARTNER[#All],MATCH(#REF!,pARTNER[[#All],[Value.partnerSummary.id]],0),10)</f>
        <v>Slovenija (SI)</v>
      </c>
      <c r="R2028" t="str">
        <f>INDEX('Partner data'!$A$2:$DG$171,MATCH(#REF!,'Partner data'!$DG$2:$DG$171,0),83)</f>
        <v>Soggetto pubblico</v>
      </c>
      <c r="S2028" s="86" t="b">
        <f>IF(#REF!="staff",INDEX('Partner data'!$DG$2:$DH$171,MATCH(#REF!,'Partner data'!$DG$2:$DG$171,0),2))</f>
        <v>0</v>
      </c>
    </row>
    <row r="2029" spans="1:19" x14ac:dyDescent="0.25">
      <c r="A2029" t="s">
        <v>60</v>
      </c>
      <c r="B2029" t="s">
        <v>35</v>
      </c>
      <c r="C2029">
        <v>95</v>
      </c>
      <c r="D2029">
        <v>42</v>
      </c>
      <c r="E2029" t="s">
        <v>231</v>
      </c>
      <c r="G2029">
        <v>37000</v>
      </c>
      <c r="H2029">
        <v>0</v>
      </c>
      <c r="I2029">
        <v>0</v>
      </c>
      <c r="J2029">
        <v>0</v>
      </c>
      <c r="K2029">
        <v>0</v>
      </c>
      <c r="L2029">
        <v>0</v>
      </c>
      <c r="M2029">
        <v>0</v>
      </c>
      <c r="N2029">
        <v>0</v>
      </c>
      <c r="O2029">
        <v>37000</v>
      </c>
      <c r="P2029">
        <v>0</v>
      </c>
      <c r="Q2029" t="str">
        <f>INDEX(pARTNER[#All],MATCH(#REF!,pARTNER[[#All],[Value.partnerSummary.id]],0),10)</f>
        <v>Slovenija (SI)</v>
      </c>
      <c r="R2029" t="str">
        <f>INDEX('Partner data'!$A$2:$DG$171,MATCH(#REF!,'Partner data'!$DG$2:$DG$171,0),83)</f>
        <v>Soggetto pubblico</v>
      </c>
      <c r="S2029" s="86" t="b">
        <f>IF(#REF!="staff",INDEX('Partner data'!$DG$2:$DH$171,MATCH(#REF!,'Partner data'!$DG$2:$DG$171,0),2))</f>
        <v>0</v>
      </c>
    </row>
    <row r="2030" spans="1:19" x14ac:dyDescent="0.25">
      <c r="A2030" t="s">
        <v>60</v>
      </c>
      <c r="B2030" t="s">
        <v>35</v>
      </c>
      <c r="C2030">
        <v>95</v>
      </c>
      <c r="D2030">
        <v>42</v>
      </c>
      <c r="E2030" t="s">
        <v>232</v>
      </c>
      <c r="G2030">
        <v>0</v>
      </c>
      <c r="H2030">
        <v>0</v>
      </c>
      <c r="I2030">
        <v>0</v>
      </c>
      <c r="J2030">
        <v>0</v>
      </c>
      <c r="K2030">
        <v>0</v>
      </c>
      <c r="L2030">
        <v>0</v>
      </c>
      <c r="M2030">
        <v>0</v>
      </c>
      <c r="N2030">
        <v>0</v>
      </c>
      <c r="O2030">
        <v>0</v>
      </c>
      <c r="P2030">
        <v>0</v>
      </c>
      <c r="Q2030" t="str">
        <f>INDEX(pARTNER[#All],MATCH(#REF!,pARTNER[[#All],[Value.partnerSummary.id]],0),10)</f>
        <v>Slovenija (SI)</v>
      </c>
      <c r="R2030" t="str">
        <f>INDEX('Partner data'!$A$2:$DG$171,MATCH(#REF!,'Partner data'!$DG$2:$DG$171,0),83)</f>
        <v>Soggetto pubblico</v>
      </c>
      <c r="S2030" s="86" t="b">
        <f>IF(#REF!="staff",INDEX('Partner data'!$DG$2:$DH$171,MATCH(#REF!,'Partner data'!$DG$2:$DG$171,0),2))</f>
        <v>0</v>
      </c>
    </row>
    <row r="2031" spans="1:19" x14ac:dyDescent="0.25">
      <c r="A2031" t="s">
        <v>60</v>
      </c>
      <c r="B2031" t="s">
        <v>35</v>
      </c>
      <c r="C2031">
        <v>95</v>
      </c>
      <c r="D2031">
        <v>42</v>
      </c>
      <c r="E2031" t="s">
        <v>233</v>
      </c>
      <c r="G2031">
        <v>0</v>
      </c>
      <c r="H2031">
        <v>0</v>
      </c>
      <c r="I2031">
        <v>0</v>
      </c>
      <c r="J2031">
        <v>0</v>
      </c>
      <c r="K2031">
        <v>0</v>
      </c>
      <c r="L2031">
        <v>0</v>
      </c>
      <c r="M2031">
        <v>0</v>
      </c>
      <c r="N2031">
        <v>0</v>
      </c>
      <c r="O2031">
        <v>0</v>
      </c>
      <c r="P2031">
        <v>0</v>
      </c>
      <c r="Q2031" t="str">
        <f>INDEX(pARTNER[#All],MATCH(#REF!,pARTNER[[#All],[Value.partnerSummary.id]],0),10)</f>
        <v>Slovenija (SI)</v>
      </c>
      <c r="R2031" t="str">
        <f>INDEX('Partner data'!$A$2:$DG$171,MATCH(#REF!,'Partner data'!$DG$2:$DG$171,0),83)</f>
        <v>Soggetto pubblico</v>
      </c>
      <c r="S2031" s="86" t="b">
        <f>IF(#REF!="staff",INDEX('Partner data'!$DG$2:$DH$171,MATCH(#REF!,'Partner data'!$DG$2:$DG$171,0),2))</f>
        <v>0</v>
      </c>
    </row>
    <row r="2032" spans="1:19" x14ac:dyDescent="0.25">
      <c r="A2032" t="s">
        <v>60</v>
      </c>
      <c r="B2032" t="s">
        <v>35</v>
      </c>
      <c r="C2032">
        <v>95</v>
      </c>
      <c r="D2032">
        <v>42</v>
      </c>
      <c r="E2032" t="s">
        <v>234</v>
      </c>
      <c r="G2032">
        <v>0</v>
      </c>
      <c r="H2032">
        <v>0</v>
      </c>
      <c r="I2032">
        <v>0</v>
      </c>
      <c r="J2032">
        <v>0</v>
      </c>
      <c r="K2032">
        <v>0</v>
      </c>
      <c r="L2032">
        <v>0</v>
      </c>
      <c r="M2032">
        <v>0</v>
      </c>
      <c r="N2032">
        <v>0</v>
      </c>
      <c r="O2032">
        <v>0</v>
      </c>
      <c r="P2032">
        <v>0</v>
      </c>
      <c r="Q2032" t="str">
        <f>INDEX(pARTNER[#All],MATCH(#REF!,pARTNER[[#All],[Value.partnerSummary.id]],0),10)</f>
        <v>Slovenija (SI)</v>
      </c>
      <c r="R2032" t="str">
        <f>INDEX('Partner data'!$A$2:$DG$171,MATCH(#REF!,'Partner data'!$DG$2:$DG$171,0),83)</f>
        <v>Soggetto pubblico</v>
      </c>
      <c r="S2032" s="86" t="b">
        <f>IF(#REF!="staff",INDEX('Partner data'!$DG$2:$DH$171,MATCH(#REF!,'Partner data'!$DG$2:$DG$171,0),2))</f>
        <v>0</v>
      </c>
    </row>
    <row r="2033" spans="1:19" x14ac:dyDescent="0.25">
      <c r="A2033" t="s">
        <v>60</v>
      </c>
      <c r="B2033" t="s">
        <v>35</v>
      </c>
      <c r="C2033">
        <v>95</v>
      </c>
      <c r="D2033">
        <v>42</v>
      </c>
      <c r="E2033" t="s">
        <v>235</v>
      </c>
      <c r="G2033">
        <v>0</v>
      </c>
      <c r="H2033">
        <v>0</v>
      </c>
      <c r="I2033">
        <v>0</v>
      </c>
      <c r="J2033">
        <v>0</v>
      </c>
      <c r="K2033">
        <v>0</v>
      </c>
      <c r="L2033">
        <v>0</v>
      </c>
      <c r="M2033">
        <v>0</v>
      </c>
      <c r="N2033">
        <v>0</v>
      </c>
      <c r="O2033">
        <v>0</v>
      </c>
      <c r="P2033">
        <v>0</v>
      </c>
      <c r="Q2033" t="str">
        <f>INDEX(pARTNER[#All],MATCH(#REF!,pARTNER[[#All],[Value.partnerSummary.id]],0),10)</f>
        <v>Slovenija (SI)</v>
      </c>
      <c r="R2033" t="str">
        <f>INDEX('Partner data'!$A$2:$DG$171,MATCH(#REF!,'Partner data'!$DG$2:$DG$171,0),83)</f>
        <v>Soggetto pubblico</v>
      </c>
      <c r="S2033" s="86" t="b">
        <f>IF(#REF!="staff",INDEX('Partner data'!$DG$2:$DH$171,MATCH(#REF!,'Partner data'!$DG$2:$DG$171,0),2))</f>
        <v>0</v>
      </c>
    </row>
    <row r="2034" spans="1:19" x14ac:dyDescent="0.25">
      <c r="A2034" t="s">
        <v>60</v>
      </c>
      <c r="B2034" t="s">
        <v>35</v>
      </c>
      <c r="C2034">
        <v>95</v>
      </c>
      <c r="D2034">
        <v>42</v>
      </c>
      <c r="E2034" t="s">
        <v>236</v>
      </c>
      <c r="G2034">
        <v>0</v>
      </c>
      <c r="H2034">
        <v>0</v>
      </c>
      <c r="I2034">
        <v>0</v>
      </c>
      <c r="J2034">
        <v>0</v>
      </c>
      <c r="K2034">
        <v>0</v>
      </c>
      <c r="L2034">
        <v>0</v>
      </c>
      <c r="M2034">
        <v>0</v>
      </c>
      <c r="N2034">
        <v>0</v>
      </c>
      <c r="O2034">
        <v>0</v>
      </c>
      <c r="P2034">
        <v>0</v>
      </c>
      <c r="Q2034" t="str">
        <f>INDEX(pARTNER[#All],MATCH(#REF!,pARTNER[[#All],[Value.partnerSummary.id]],0),10)</f>
        <v>Slovenija (SI)</v>
      </c>
      <c r="R2034" t="str">
        <f>INDEX('Partner data'!$A$2:$DG$171,MATCH(#REF!,'Partner data'!$DG$2:$DG$171,0),83)</f>
        <v>Soggetto pubblico</v>
      </c>
      <c r="S2034" s="86" t="b">
        <f>IF(#REF!="staff",INDEX('Partner data'!$DG$2:$DH$171,MATCH(#REF!,'Partner data'!$DG$2:$DG$171,0),2))</f>
        <v>0</v>
      </c>
    </row>
    <row r="2035" spans="1:19" x14ac:dyDescent="0.25">
      <c r="A2035" t="s">
        <v>60</v>
      </c>
      <c r="B2035" t="s">
        <v>35</v>
      </c>
      <c r="C2035">
        <v>95</v>
      </c>
      <c r="D2035">
        <v>42</v>
      </c>
      <c r="E2035" t="s">
        <v>237</v>
      </c>
      <c r="G2035">
        <v>0</v>
      </c>
      <c r="H2035">
        <v>0</v>
      </c>
      <c r="I2035">
        <v>0</v>
      </c>
      <c r="J2035">
        <v>0</v>
      </c>
      <c r="K2035">
        <v>0</v>
      </c>
      <c r="L2035">
        <v>0</v>
      </c>
      <c r="M2035">
        <v>0</v>
      </c>
      <c r="N2035">
        <v>0</v>
      </c>
      <c r="O2035">
        <v>0</v>
      </c>
      <c r="P2035">
        <v>0</v>
      </c>
      <c r="Q2035" t="str">
        <f>INDEX(pARTNER[#All],MATCH(#REF!,pARTNER[[#All],[Value.partnerSummary.id]],0),10)</f>
        <v>Slovenija (SI)</v>
      </c>
      <c r="R2035" t="str">
        <f>INDEX('Partner data'!$A$2:$DG$171,MATCH(#REF!,'Partner data'!$DG$2:$DG$171,0),83)</f>
        <v>Soggetto pubblico</v>
      </c>
      <c r="S2035" s="86" t="b">
        <f>IF(#REF!="staff",INDEX('Partner data'!$DG$2:$DH$171,MATCH(#REF!,'Partner data'!$DG$2:$DG$171,0),2))</f>
        <v>0</v>
      </c>
    </row>
    <row r="2036" spans="1:19" x14ac:dyDescent="0.25">
      <c r="A2036" t="s">
        <v>60</v>
      </c>
      <c r="B2036" t="s">
        <v>35</v>
      </c>
      <c r="C2036">
        <v>95</v>
      </c>
      <c r="D2036">
        <v>42</v>
      </c>
      <c r="E2036" t="s">
        <v>238</v>
      </c>
      <c r="G2036">
        <v>110363.5</v>
      </c>
      <c r="H2036">
        <v>0</v>
      </c>
      <c r="I2036">
        <v>0</v>
      </c>
      <c r="J2036">
        <v>11859.5</v>
      </c>
      <c r="K2036">
        <v>0</v>
      </c>
      <c r="L2036">
        <v>9318.1200000000008</v>
      </c>
      <c r="M2036">
        <v>11859.5</v>
      </c>
      <c r="N2036">
        <v>10.75</v>
      </c>
      <c r="O2036">
        <v>98504</v>
      </c>
      <c r="P2036">
        <v>0</v>
      </c>
    </row>
    <row r="2037" spans="1:19" x14ac:dyDescent="0.25">
      <c r="A2037" t="s">
        <v>60</v>
      </c>
      <c r="B2037" t="s">
        <v>26</v>
      </c>
      <c r="C2037">
        <v>172</v>
      </c>
      <c r="D2037">
        <v>251</v>
      </c>
      <c r="E2037" t="s">
        <v>228</v>
      </c>
      <c r="G2037">
        <v>63000</v>
      </c>
      <c r="H2037">
        <v>9272.2900000000009</v>
      </c>
      <c r="I2037">
        <v>0</v>
      </c>
      <c r="J2037">
        <v>15096.91</v>
      </c>
      <c r="K2037">
        <v>0</v>
      </c>
      <c r="L2037">
        <v>15096.91</v>
      </c>
      <c r="M2037">
        <v>24369.200000000001</v>
      </c>
      <c r="N2037">
        <v>38.68</v>
      </c>
      <c r="O2037">
        <v>38630.800000000003</v>
      </c>
      <c r="P2037">
        <v>8501.9</v>
      </c>
      <c r="S2037"/>
    </row>
    <row r="2038" spans="1:19" x14ac:dyDescent="0.25">
      <c r="A2038" t="s">
        <v>60</v>
      </c>
      <c r="B2038" t="s">
        <v>26</v>
      </c>
      <c r="C2038">
        <v>172</v>
      </c>
      <c r="D2038">
        <v>251</v>
      </c>
      <c r="E2038" t="s">
        <v>229</v>
      </c>
      <c r="F2038">
        <v>15</v>
      </c>
      <c r="G2038">
        <v>9450</v>
      </c>
      <c r="H2038">
        <v>1390.84</v>
      </c>
      <c r="I2038">
        <v>0</v>
      </c>
      <c r="J2038">
        <v>2264.5300000000002</v>
      </c>
      <c r="K2038">
        <v>0</v>
      </c>
      <c r="L2038">
        <v>2264.5300000000002</v>
      </c>
      <c r="M2038">
        <v>3655.37</v>
      </c>
      <c r="N2038">
        <v>38.68</v>
      </c>
      <c r="O2038">
        <v>5794.63</v>
      </c>
      <c r="P2038">
        <v>1275.28</v>
      </c>
      <c r="S2038"/>
    </row>
    <row r="2039" spans="1:19" x14ac:dyDescent="0.25">
      <c r="A2039" t="s">
        <v>60</v>
      </c>
      <c r="B2039" t="s">
        <v>26</v>
      </c>
      <c r="C2039">
        <v>172</v>
      </c>
      <c r="D2039">
        <v>251</v>
      </c>
      <c r="E2039" t="s">
        <v>230</v>
      </c>
      <c r="F2039">
        <v>4</v>
      </c>
      <c r="G2039">
        <v>2520</v>
      </c>
      <c r="H2039">
        <v>370.89</v>
      </c>
      <c r="I2039">
        <v>0</v>
      </c>
      <c r="J2039">
        <v>603.87</v>
      </c>
      <c r="K2039">
        <v>0</v>
      </c>
      <c r="L2039">
        <v>603.87</v>
      </c>
      <c r="M2039">
        <v>974.76</v>
      </c>
      <c r="N2039">
        <v>38.68</v>
      </c>
      <c r="O2039">
        <v>1545.24</v>
      </c>
      <c r="P2039">
        <v>340.07</v>
      </c>
      <c r="S2039"/>
    </row>
    <row r="2040" spans="1:19" x14ac:dyDescent="0.25">
      <c r="A2040" t="s">
        <v>60</v>
      </c>
      <c r="B2040" t="s">
        <v>26</v>
      </c>
      <c r="C2040">
        <v>172</v>
      </c>
      <c r="D2040">
        <v>251</v>
      </c>
      <c r="E2040" t="s">
        <v>231</v>
      </c>
      <c r="G2040">
        <v>44200</v>
      </c>
      <c r="H2040">
        <v>9.7799999999999994</v>
      </c>
      <c r="I2040">
        <v>0</v>
      </c>
      <c r="J2040">
        <v>204</v>
      </c>
      <c r="K2040">
        <v>0</v>
      </c>
      <c r="L2040">
        <v>204</v>
      </c>
      <c r="M2040">
        <v>213.78</v>
      </c>
      <c r="N2040">
        <v>0.48</v>
      </c>
      <c r="O2040">
        <v>43986.22</v>
      </c>
      <c r="P2040">
        <v>9.7799999999999994</v>
      </c>
      <c r="S2040"/>
    </row>
    <row r="2041" spans="1:19" x14ac:dyDescent="0.25">
      <c r="A2041" t="s">
        <v>60</v>
      </c>
      <c r="B2041" t="s">
        <v>26</v>
      </c>
      <c r="C2041">
        <v>172</v>
      </c>
      <c r="D2041">
        <v>251</v>
      </c>
      <c r="E2041" t="s">
        <v>232</v>
      </c>
      <c r="G2041">
        <v>0</v>
      </c>
      <c r="H2041">
        <v>0</v>
      </c>
      <c r="I2041">
        <v>0</v>
      </c>
      <c r="J2041">
        <v>0</v>
      </c>
      <c r="K2041">
        <v>0</v>
      </c>
      <c r="L2041">
        <v>0</v>
      </c>
      <c r="M2041">
        <v>0</v>
      </c>
      <c r="N2041">
        <v>0</v>
      </c>
      <c r="O2041">
        <v>0</v>
      </c>
      <c r="P2041">
        <v>0</v>
      </c>
      <c r="S2041"/>
    </row>
    <row r="2042" spans="1:19" x14ac:dyDescent="0.25">
      <c r="A2042" t="s">
        <v>60</v>
      </c>
      <c r="B2042" t="s">
        <v>26</v>
      </c>
      <c r="C2042">
        <v>172</v>
      </c>
      <c r="D2042">
        <v>251</v>
      </c>
      <c r="E2042" t="s">
        <v>233</v>
      </c>
      <c r="G2042">
        <v>0</v>
      </c>
      <c r="H2042">
        <v>0</v>
      </c>
      <c r="I2042">
        <v>0</v>
      </c>
      <c r="J2042">
        <v>0</v>
      </c>
      <c r="K2042">
        <v>0</v>
      </c>
      <c r="L2042">
        <v>0</v>
      </c>
      <c r="M2042">
        <v>0</v>
      </c>
      <c r="N2042">
        <v>0</v>
      </c>
      <c r="O2042">
        <v>0</v>
      </c>
      <c r="P2042">
        <v>0</v>
      </c>
      <c r="S2042"/>
    </row>
    <row r="2043" spans="1:19" x14ac:dyDescent="0.25">
      <c r="A2043" t="s">
        <v>60</v>
      </c>
      <c r="B2043" t="s">
        <v>26</v>
      </c>
      <c r="C2043">
        <v>172</v>
      </c>
      <c r="D2043">
        <v>251</v>
      </c>
      <c r="E2043" t="s">
        <v>234</v>
      </c>
      <c r="G2043">
        <v>0</v>
      </c>
      <c r="H2043">
        <v>0</v>
      </c>
      <c r="I2043">
        <v>0</v>
      </c>
      <c r="J2043">
        <v>0</v>
      </c>
      <c r="K2043">
        <v>0</v>
      </c>
      <c r="L2043">
        <v>0</v>
      </c>
      <c r="M2043">
        <v>0</v>
      </c>
      <c r="N2043">
        <v>0</v>
      </c>
      <c r="O2043">
        <v>0</v>
      </c>
      <c r="P2043">
        <v>0</v>
      </c>
      <c r="S2043"/>
    </row>
    <row r="2044" spans="1:19" x14ac:dyDescent="0.25">
      <c r="A2044" t="s">
        <v>60</v>
      </c>
      <c r="B2044" t="s">
        <v>26</v>
      </c>
      <c r="C2044">
        <v>172</v>
      </c>
      <c r="D2044">
        <v>251</v>
      </c>
      <c r="E2044" t="s">
        <v>235</v>
      </c>
      <c r="G2044">
        <v>0</v>
      </c>
      <c r="H2044">
        <v>0</v>
      </c>
      <c r="I2044">
        <v>0</v>
      </c>
      <c r="J2044">
        <v>0</v>
      </c>
      <c r="K2044">
        <v>0</v>
      </c>
      <c r="L2044">
        <v>0</v>
      </c>
      <c r="M2044">
        <v>0</v>
      </c>
      <c r="N2044">
        <v>0</v>
      </c>
      <c r="O2044">
        <v>0</v>
      </c>
      <c r="P2044">
        <v>0</v>
      </c>
      <c r="S2044"/>
    </row>
    <row r="2045" spans="1:19" x14ac:dyDescent="0.25">
      <c r="A2045" t="s">
        <v>60</v>
      </c>
      <c r="B2045" t="s">
        <v>26</v>
      </c>
      <c r="C2045">
        <v>172</v>
      </c>
      <c r="D2045">
        <v>251</v>
      </c>
      <c r="E2045" t="s">
        <v>236</v>
      </c>
      <c r="G2045">
        <v>0</v>
      </c>
      <c r="H2045">
        <v>0</v>
      </c>
      <c r="I2045">
        <v>0</v>
      </c>
      <c r="J2045">
        <v>0</v>
      </c>
      <c r="K2045">
        <v>0</v>
      </c>
      <c r="L2045">
        <v>0</v>
      </c>
      <c r="M2045">
        <v>0</v>
      </c>
      <c r="N2045">
        <v>0</v>
      </c>
      <c r="O2045">
        <v>0</v>
      </c>
      <c r="P2045">
        <v>0</v>
      </c>
      <c r="S2045"/>
    </row>
    <row r="2046" spans="1:19" x14ac:dyDescent="0.25">
      <c r="A2046" t="s">
        <v>60</v>
      </c>
      <c r="B2046" t="s">
        <v>26</v>
      </c>
      <c r="C2046">
        <v>172</v>
      </c>
      <c r="D2046">
        <v>251</v>
      </c>
      <c r="E2046" t="s">
        <v>237</v>
      </c>
      <c r="G2046">
        <v>0</v>
      </c>
      <c r="H2046">
        <v>0</v>
      </c>
      <c r="I2046">
        <v>0</v>
      </c>
      <c r="J2046">
        <v>0</v>
      </c>
      <c r="K2046">
        <v>0</v>
      </c>
      <c r="L2046">
        <v>0</v>
      </c>
      <c r="M2046">
        <v>0</v>
      </c>
      <c r="N2046">
        <v>0</v>
      </c>
      <c r="O2046">
        <v>0</v>
      </c>
      <c r="P2046">
        <v>0</v>
      </c>
      <c r="S2046"/>
    </row>
    <row r="2047" spans="1:19" x14ac:dyDescent="0.25">
      <c r="A2047" t="s">
        <v>60</v>
      </c>
      <c r="B2047" t="s">
        <v>26</v>
      </c>
      <c r="C2047">
        <v>172</v>
      </c>
      <c r="D2047">
        <v>251</v>
      </c>
      <c r="E2047" t="s">
        <v>238</v>
      </c>
      <c r="G2047">
        <v>119170</v>
      </c>
      <c r="H2047">
        <v>11043.8</v>
      </c>
      <c r="I2047">
        <v>0</v>
      </c>
      <c r="J2047">
        <v>18169.310000000001</v>
      </c>
      <c r="K2047">
        <v>0</v>
      </c>
      <c r="L2047">
        <v>18169.310000000001</v>
      </c>
      <c r="M2047">
        <v>29213.11</v>
      </c>
      <c r="N2047">
        <v>24.51</v>
      </c>
      <c r="O2047">
        <v>89956.89</v>
      </c>
      <c r="P2047">
        <v>10127.030000000001</v>
      </c>
      <c r="S2047"/>
    </row>
    <row r="2048" spans="1:19" x14ac:dyDescent="0.25">
      <c r="A2048" t="s">
        <v>60</v>
      </c>
      <c r="B2048" t="s">
        <v>26</v>
      </c>
      <c r="C2048">
        <v>172</v>
      </c>
      <c r="D2048">
        <v>43</v>
      </c>
      <c r="E2048" t="s">
        <v>228</v>
      </c>
      <c r="G2048">
        <v>63000</v>
      </c>
      <c r="H2048">
        <v>0</v>
      </c>
      <c r="I2048">
        <v>0</v>
      </c>
      <c r="J2048">
        <v>9272.2900000000009</v>
      </c>
      <c r="K2048">
        <v>0</v>
      </c>
      <c r="L2048">
        <v>8501.9</v>
      </c>
      <c r="M2048">
        <v>9272.2900000000009</v>
      </c>
      <c r="N2048">
        <v>14.72</v>
      </c>
      <c r="O2048">
        <v>53727.71</v>
      </c>
      <c r="P2048">
        <v>0</v>
      </c>
      <c r="S2048"/>
    </row>
    <row r="2049" spans="1:19" x14ac:dyDescent="0.25">
      <c r="A2049" t="s">
        <v>60</v>
      </c>
      <c r="B2049" t="s">
        <v>26</v>
      </c>
      <c r="C2049">
        <v>172</v>
      </c>
      <c r="D2049">
        <v>43</v>
      </c>
      <c r="E2049" t="s">
        <v>229</v>
      </c>
      <c r="F2049">
        <v>15</v>
      </c>
      <c r="G2049">
        <v>9450</v>
      </c>
      <c r="H2049">
        <v>0</v>
      </c>
      <c r="I2049">
        <v>0</v>
      </c>
      <c r="J2049">
        <v>1390.84</v>
      </c>
      <c r="K2049">
        <v>0</v>
      </c>
      <c r="L2049">
        <v>1275.28</v>
      </c>
      <c r="M2049">
        <v>1390.84</v>
      </c>
      <c r="N2049">
        <v>14.72</v>
      </c>
      <c r="O2049">
        <v>8059.16</v>
      </c>
      <c r="P2049">
        <v>0</v>
      </c>
      <c r="S2049"/>
    </row>
    <row r="2050" spans="1:19" x14ac:dyDescent="0.25">
      <c r="A2050" t="s">
        <v>60</v>
      </c>
      <c r="B2050" t="s">
        <v>26</v>
      </c>
      <c r="C2050">
        <v>172</v>
      </c>
      <c r="D2050">
        <v>43</v>
      </c>
      <c r="E2050" t="s">
        <v>230</v>
      </c>
      <c r="F2050">
        <v>4</v>
      </c>
      <c r="G2050">
        <v>2520</v>
      </c>
      <c r="H2050">
        <v>0</v>
      </c>
      <c r="I2050">
        <v>0</v>
      </c>
      <c r="J2050">
        <v>370.89</v>
      </c>
      <c r="K2050">
        <v>0</v>
      </c>
      <c r="L2050">
        <v>340.07</v>
      </c>
      <c r="M2050">
        <v>370.89</v>
      </c>
      <c r="N2050">
        <v>14.72</v>
      </c>
      <c r="O2050">
        <v>2149.11</v>
      </c>
      <c r="P2050">
        <v>0</v>
      </c>
      <c r="S2050"/>
    </row>
    <row r="2051" spans="1:19" x14ac:dyDescent="0.25">
      <c r="A2051" t="s">
        <v>60</v>
      </c>
      <c r="B2051" t="s">
        <v>26</v>
      </c>
      <c r="C2051">
        <v>172</v>
      </c>
      <c r="D2051">
        <v>43</v>
      </c>
      <c r="E2051" t="s">
        <v>231</v>
      </c>
      <c r="G2051">
        <v>44200</v>
      </c>
      <c r="H2051">
        <v>0</v>
      </c>
      <c r="I2051">
        <v>0</v>
      </c>
      <c r="J2051">
        <v>9.7799999999999994</v>
      </c>
      <c r="K2051">
        <v>0</v>
      </c>
      <c r="L2051">
        <v>9.7799999999999994</v>
      </c>
      <c r="M2051">
        <v>9.7799999999999994</v>
      </c>
      <c r="N2051">
        <v>0.02</v>
      </c>
      <c r="O2051">
        <v>44190.22</v>
      </c>
      <c r="P2051">
        <v>0</v>
      </c>
      <c r="S2051"/>
    </row>
    <row r="2052" spans="1:19" x14ac:dyDescent="0.25">
      <c r="A2052" t="s">
        <v>60</v>
      </c>
      <c r="B2052" t="s">
        <v>26</v>
      </c>
      <c r="C2052">
        <v>172</v>
      </c>
      <c r="D2052">
        <v>43</v>
      </c>
      <c r="E2052" t="s">
        <v>232</v>
      </c>
      <c r="G2052">
        <v>0</v>
      </c>
      <c r="H2052">
        <v>0</v>
      </c>
      <c r="I2052">
        <v>0</v>
      </c>
      <c r="J2052">
        <v>0</v>
      </c>
      <c r="K2052">
        <v>0</v>
      </c>
      <c r="L2052">
        <v>0</v>
      </c>
      <c r="M2052">
        <v>0</v>
      </c>
      <c r="N2052">
        <v>0</v>
      </c>
      <c r="O2052">
        <v>0</v>
      </c>
      <c r="P2052">
        <v>0</v>
      </c>
      <c r="S2052"/>
    </row>
    <row r="2053" spans="1:19" x14ac:dyDescent="0.25">
      <c r="A2053" t="s">
        <v>60</v>
      </c>
      <c r="B2053" t="s">
        <v>26</v>
      </c>
      <c r="C2053">
        <v>172</v>
      </c>
      <c r="D2053">
        <v>43</v>
      </c>
      <c r="E2053" t="s">
        <v>233</v>
      </c>
      <c r="G2053">
        <v>0</v>
      </c>
      <c r="H2053">
        <v>0</v>
      </c>
      <c r="I2053">
        <v>0</v>
      </c>
      <c r="J2053">
        <v>0</v>
      </c>
      <c r="K2053">
        <v>0</v>
      </c>
      <c r="L2053">
        <v>0</v>
      </c>
      <c r="M2053">
        <v>0</v>
      </c>
      <c r="N2053">
        <v>0</v>
      </c>
      <c r="O2053">
        <v>0</v>
      </c>
      <c r="P2053">
        <v>0</v>
      </c>
      <c r="S2053"/>
    </row>
    <row r="2054" spans="1:19" x14ac:dyDescent="0.25">
      <c r="A2054" t="s">
        <v>60</v>
      </c>
      <c r="B2054" t="s">
        <v>26</v>
      </c>
      <c r="C2054">
        <v>172</v>
      </c>
      <c r="D2054">
        <v>43</v>
      </c>
      <c r="E2054" t="s">
        <v>234</v>
      </c>
      <c r="G2054">
        <v>0</v>
      </c>
      <c r="H2054">
        <v>0</v>
      </c>
      <c r="I2054">
        <v>0</v>
      </c>
      <c r="J2054">
        <v>0</v>
      </c>
      <c r="K2054">
        <v>0</v>
      </c>
      <c r="L2054">
        <v>0</v>
      </c>
      <c r="M2054">
        <v>0</v>
      </c>
      <c r="N2054">
        <v>0</v>
      </c>
      <c r="O2054">
        <v>0</v>
      </c>
      <c r="P2054">
        <v>0</v>
      </c>
      <c r="S2054"/>
    </row>
    <row r="2055" spans="1:19" x14ac:dyDescent="0.25">
      <c r="A2055" t="s">
        <v>60</v>
      </c>
      <c r="B2055" t="s">
        <v>26</v>
      </c>
      <c r="C2055">
        <v>172</v>
      </c>
      <c r="D2055">
        <v>43</v>
      </c>
      <c r="E2055" t="s">
        <v>235</v>
      </c>
      <c r="G2055">
        <v>0</v>
      </c>
      <c r="H2055">
        <v>0</v>
      </c>
      <c r="I2055">
        <v>0</v>
      </c>
      <c r="J2055">
        <v>0</v>
      </c>
      <c r="K2055">
        <v>0</v>
      </c>
      <c r="L2055">
        <v>0</v>
      </c>
      <c r="M2055">
        <v>0</v>
      </c>
      <c r="N2055">
        <v>0</v>
      </c>
      <c r="O2055">
        <v>0</v>
      </c>
      <c r="P2055">
        <v>0</v>
      </c>
      <c r="S2055"/>
    </row>
    <row r="2056" spans="1:19" x14ac:dyDescent="0.25">
      <c r="A2056" t="s">
        <v>60</v>
      </c>
      <c r="B2056" t="s">
        <v>26</v>
      </c>
      <c r="C2056">
        <v>172</v>
      </c>
      <c r="D2056">
        <v>43</v>
      </c>
      <c r="E2056" t="s">
        <v>236</v>
      </c>
      <c r="G2056">
        <v>0</v>
      </c>
      <c r="H2056">
        <v>0</v>
      </c>
      <c r="I2056">
        <v>0</v>
      </c>
      <c r="J2056">
        <v>0</v>
      </c>
      <c r="K2056">
        <v>0</v>
      </c>
      <c r="L2056">
        <v>0</v>
      </c>
      <c r="M2056">
        <v>0</v>
      </c>
      <c r="N2056">
        <v>0</v>
      </c>
      <c r="O2056">
        <v>0</v>
      </c>
      <c r="P2056">
        <v>0</v>
      </c>
      <c r="S2056"/>
    </row>
    <row r="2057" spans="1:19" x14ac:dyDescent="0.25">
      <c r="A2057" t="s">
        <v>60</v>
      </c>
      <c r="B2057" t="s">
        <v>26</v>
      </c>
      <c r="C2057">
        <v>172</v>
      </c>
      <c r="D2057">
        <v>43</v>
      </c>
      <c r="E2057" t="s">
        <v>237</v>
      </c>
      <c r="G2057">
        <v>0</v>
      </c>
      <c r="H2057">
        <v>0</v>
      </c>
      <c r="I2057">
        <v>0</v>
      </c>
      <c r="J2057">
        <v>0</v>
      </c>
      <c r="K2057">
        <v>0</v>
      </c>
      <c r="L2057">
        <v>0</v>
      </c>
      <c r="M2057">
        <v>0</v>
      </c>
      <c r="N2057">
        <v>0</v>
      </c>
      <c r="O2057">
        <v>0</v>
      </c>
      <c r="P2057">
        <v>0</v>
      </c>
      <c r="S2057"/>
    </row>
    <row r="2058" spans="1:19" x14ac:dyDescent="0.25">
      <c r="A2058" t="s">
        <v>60</v>
      </c>
      <c r="B2058" t="s">
        <v>26</v>
      </c>
      <c r="C2058">
        <v>172</v>
      </c>
      <c r="D2058">
        <v>43</v>
      </c>
      <c r="E2058" t="s">
        <v>238</v>
      </c>
      <c r="G2058">
        <v>119170</v>
      </c>
      <c r="H2058">
        <v>0</v>
      </c>
      <c r="I2058">
        <v>0</v>
      </c>
      <c r="J2058">
        <v>11043.8</v>
      </c>
      <c r="K2058">
        <v>0</v>
      </c>
      <c r="L2058">
        <v>10127.030000000001</v>
      </c>
      <c r="M2058">
        <v>11043.8</v>
      </c>
      <c r="N2058">
        <v>9.27</v>
      </c>
      <c r="O2058">
        <v>108126.2</v>
      </c>
      <c r="P2058">
        <v>0</v>
      </c>
      <c r="S2058"/>
    </row>
    <row r="2059" spans="1:19" x14ac:dyDescent="0.25">
      <c r="A2059" t="s">
        <v>60</v>
      </c>
      <c r="B2059" t="s">
        <v>330</v>
      </c>
      <c r="C2059">
        <v>137</v>
      </c>
      <c r="D2059">
        <v>104</v>
      </c>
      <c r="E2059" t="s">
        <v>228</v>
      </c>
      <c r="F2059">
        <v>20</v>
      </c>
      <c r="G2059">
        <v>17660</v>
      </c>
      <c r="H2059">
        <v>0</v>
      </c>
      <c r="I2059">
        <v>0</v>
      </c>
      <c r="J2059">
        <v>0</v>
      </c>
      <c r="K2059">
        <v>0</v>
      </c>
      <c r="L2059">
        <v>0</v>
      </c>
      <c r="M2059">
        <v>0</v>
      </c>
      <c r="N2059">
        <v>0</v>
      </c>
      <c r="O2059">
        <v>17660</v>
      </c>
      <c r="P2059">
        <v>0</v>
      </c>
      <c r="S2059"/>
    </row>
    <row r="2060" spans="1:19" x14ac:dyDescent="0.25">
      <c r="A2060" t="s">
        <v>60</v>
      </c>
      <c r="B2060" t="s">
        <v>330</v>
      </c>
      <c r="C2060">
        <v>137</v>
      </c>
      <c r="D2060">
        <v>104</v>
      </c>
      <c r="E2060" t="s">
        <v>229</v>
      </c>
      <c r="F2060">
        <v>15</v>
      </c>
      <c r="G2060">
        <v>2649</v>
      </c>
      <c r="H2060">
        <v>0</v>
      </c>
      <c r="I2060">
        <v>0</v>
      </c>
      <c r="J2060">
        <v>0</v>
      </c>
      <c r="K2060">
        <v>0</v>
      </c>
      <c r="L2060">
        <v>0</v>
      </c>
      <c r="M2060">
        <v>0</v>
      </c>
      <c r="N2060">
        <v>0</v>
      </c>
      <c r="O2060">
        <v>2649</v>
      </c>
      <c r="P2060">
        <v>0</v>
      </c>
      <c r="S2060"/>
    </row>
    <row r="2061" spans="1:19" x14ac:dyDescent="0.25">
      <c r="A2061" t="s">
        <v>60</v>
      </c>
      <c r="B2061" t="s">
        <v>330</v>
      </c>
      <c r="C2061">
        <v>137</v>
      </c>
      <c r="D2061">
        <v>104</v>
      </c>
      <c r="E2061" t="s">
        <v>230</v>
      </c>
      <c r="F2061">
        <v>4</v>
      </c>
      <c r="G2061">
        <v>706.4</v>
      </c>
      <c r="H2061">
        <v>0</v>
      </c>
      <c r="I2061">
        <v>0</v>
      </c>
      <c r="J2061">
        <v>0</v>
      </c>
      <c r="K2061">
        <v>0</v>
      </c>
      <c r="L2061">
        <v>0</v>
      </c>
      <c r="M2061">
        <v>0</v>
      </c>
      <c r="N2061">
        <v>0</v>
      </c>
      <c r="O2061">
        <v>706.4</v>
      </c>
      <c r="P2061">
        <v>0</v>
      </c>
      <c r="S2061"/>
    </row>
    <row r="2062" spans="1:19" x14ac:dyDescent="0.25">
      <c r="A2062" t="s">
        <v>60</v>
      </c>
      <c r="B2062" t="s">
        <v>330</v>
      </c>
      <c r="C2062">
        <v>137</v>
      </c>
      <c r="D2062">
        <v>104</v>
      </c>
      <c r="E2062" t="s">
        <v>231</v>
      </c>
      <c r="G2062">
        <v>88300</v>
      </c>
      <c r="H2062">
        <v>0</v>
      </c>
      <c r="I2062">
        <v>0</v>
      </c>
      <c r="J2062">
        <v>0</v>
      </c>
      <c r="K2062">
        <v>0</v>
      </c>
      <c r="L2062">
        <v>0</v>
      </c>
      <c r="M2062">
        <v>0</v>
      </c>
      <c r="N2062">
        <v>0</v>
      </c>
      <c r="O2062">
        <v>88300</v>
      </c>
      <c r="P2062">
        <v>0</v>
      </c>
      <c r="S2062"/>
    </row>
    <row r="2063" spans="1:19" x14ac:dyDescent="0.25">
      <c r="A2063" t="s">
        <v>60</v>
      </c>
      <c r="B2063" t="s">
        <v>330</v>
      </c>
      <c r="C2063">
        <v>137</v>
      </c>
      <c r="D2063">
        <v>104</v>
      </c>
      <c r="E2063" t="s">
        <v>232</v>
      </c>
      <c r="G2063">
        <v>0</v>
      </c>
      <c r="H2063">
        <v>0</v>
      </c>
      <c r="I2063">
        <v>0</v>
      </c>
      <c r="J2063">
        <v>0</v>
      </c>
      <c r="K2063">
        <v>0</v>
      </c>
      <c r="L2063">
        <v>0</v>
      </c>
      <c r="M2063">
        <v>0</v>
      </c>
      <c r="N2063">
        <v>0</v>
      </c>
      <c r="O2063">
        <v>0</v>
      </c>
      <c r="P2063">
        <v>0</v>
      </c>
      <c r="S2063"/>
    </row>
    <row r="2064" spans="1:19" x14ac:dyDescent="0.25">
      <c r="A2064" t="s">
        <v>60</v>
      </c>
      <c r="B2064" t="s">
        <v>330</v>
      </c>
      <c r="C2064">
        <v>137</v>
      </c>
      <c r="D2064">
        <v>104</v>
      </c>
      <c r="E2064" t="s">
        <v>233</v>
      </c>
      <c r="G2064">
        <v>0</v>
      </c>
      <c r="H2064">
        <v>0</v>
      </c>
      <c r="I2064">
        <v>0</v>
      </c>
      <c r="J2064">
        <v>0</v>
      </c>
      <c r="K2064">
        <v>0</v>
      </c>
      <c r="L2064">
        <v>0</v>
      </c>
      <c r="M2064">
        <v>0</v>
      </c>
      <c r="N2064">
        <v>0</v>
      </c>
      <c r="O2064">
        <v>0</v>
      </c>
      <c r="P2064">
        <v>0</v>
      </c>
      <c r="S2064"/>
    </row>
    <row r="2065" spans="1:19" x14ac:dyDescent="0.25">
      <c r="A2065" t="s">
        <v>60</v>
      </c>
      <c r="B2065" t="s">
        <v>330</v>
      </c>
      <c r="C2065">
        <v>137</v>
      </c>
      <c r="D2065">
        <v>104</v>
      </c>
      <c r="E2065" t="s">
        <v>234</v>
      </c>
      <c r="G2065">
        <v>0</v>
      </c>
      <c r="H2065">
        <v>0</v>
      </c>
      <c r="I2065">
        <v>0</v>
      </c>
      <c r="J2065">
        <v>0</v>
      </c>
      <c r="K2065">
        <v>0</v>
      </c>
      <c r="L2065">
        <v>0</v>
      </c>
      <c r="M2065">
        <v>0</v>
      </c>
      <c r="N2065">
        <v>0</v>
      </c>
      <c r="O2065">
        <v>0</v>
      </c>
      <c r="P2065">
        <v>0</v>
      </c>
      <c r="S2065"/>
    </row>
    <row r="2066" spans="1:19" x14ac:dyDescent="0.25">
      <c r="A2066" t="s">
        <v>60</v>
      </c>
      <c r="B2066" t="s">
        <v>330</v>
      </c>
      <c r="C2066">
        <v>137</v>
      </c>
      <c r="D2066">
        <v>104</v>
      </c>
      <c r="E2066" t="s">
        <v>235</v>
      </c>
      <c r="G2066">
        <v>0</v>
      </c>
      <c r="H2066">
        <v>0</v>
      </c>
      <c r="I2066">
        <v>0</v>
      </c>
      <c r="J2066">
        <v>0</v>
      </c>
      <c r="K2066">
        <v>0</v>
      </c>
      <c r="L2066">
        <v>0</v>
      </c>
      <c r="M2066">
        <v>0</v>
      </c>
      <c r="N2066">
        <v>0</v>
      </c>
      <c r="O2066">
        <v>0</v>
      </c>
      <c r="P2066">
        <v>0</v>
      </c>
      <c r="S2066"/>
    </row>
    <row r="2067" spans="1:19" x14ac:dyDescent="0.25">
      <c r="A2067" t="s">
        <v>60</v>
      </c>
      <c r="B2067" t="s">
        <v>330</v>
      </c>
      <c r="C2067">
        <v>137</v>
      </c>
      <c r="D2067">
        <v>104</v>
      </c>
      <c r="E2067" t="s">
        <v>236</v>
      </c>
      <c r="G2067">
        <v>0</v>
      </c>
      <c r="H2067">
        <v>0</v>
      </c>
      <c r="I2067">
        <v>0</v>
      </c>
      <c r="J2067">
        <v>0</v>
      </c>
      <c r="K2067">
        <v>0</v>
      </c>
      <c r="L2067">
        <v>0</v>
      </c>
      <c r="M2067">
        <v>0</v>
      </c>
      <c r="N2067">
        <v>0</v>
      </c>
      <c r="O2067">
        <v>0</v>
      </c>
      <c r="P2067">
        <v>0</v>
      </c>
      <c r="S2067"/>
    </row>
    <row r="2068" spans="1:19" x14ac:dyDescent="0.25">
      <c r="A2068" t="s">
        <v>60</v>
      </c>
      <c r="B2068" t="s">
        <v>330</v>
      </c>
      <c r="C2068">
        <v>137</v>
      </c>
      <c r="D2068">
        <v>104</v>
      </c>
      <c r="E2068" t="s">
        <v>237</v>
      </c>
      <c r="G2068">
        <v>0</v>
      </c>
      <c r="H2068">
        <v>0</v>
      </c>
      <c r="I2068">
        <v>0</v>
      </c>
      <c r="J2068">
        <v>0</v>
      </c>
      <c r="K2068">
        <v>0</v>
      </c>
      <c r="L2068">
        <v>0</v>
      </c>
      <c r="M2068">
        <v>0</v>
      </c>
      <c r="N2068">
        <v>0</v>
      </c>
      <c r="O2068">
        <v>0</v>
      </c>
      <c r="P2068">
        <v>0</v>
      </c>
      <c r="S2068"/>
    </row>
    <row r="2069" spans="1:19" x14ac:dyDescent="0.25">
      <c r="A2069" t="s">
        <v>60</v>
      </c>
      <c r="B2069" t="s">
        <v>330</v>
      </c>
      <c r="C2069">
        <v>137</v>
      </c>
      <c r="D2069">
        <v>104</v>
      </c>
      <c r="E2069" t="s">
        <v>238</v>
      </c>
      <c r="G2069">
        <v>109315.4</v>
      </c>
      <c r="H2069">
        <v>0</v>
      </c>
      <c r="I2069">
        <v>0</v>
      </c>
      <c r="J2069">
        <v>0</v>
      </c>
      <c r="K2069">
        <v>0</v>
      </c>
      <c r="L2069">
        <v>0</v>
      </c>
      <c r="M2069">
        <v>0</v>
      </c>
      <c r="N2069">
        <v>0</v>
      </c>
      <c r="O2069">
        <v>109315.4</v>
      </c>
      <c r="P2069">
        <v>0</v>
      </c>
      <c r="S2069"/>
    </row>
    <row r="2070" spans="1:19" x14ac:dyDescent="0.25">
      <c r="A2070" t="s">
        <v>60</v>
      </c>
      <c r="B2070" t="s">
        <v>330</v>
      </c>
      <c r="C2070">
        <v>137</v>
      </c>
      <c r="D2070">
        <v>337</v>
      </c>
      <c r="E2070" t="s">
        <v>228</v>
      </c>
      <c r="F2070">
        <v>20</v>
      </c>
      <c r="G2070">
        <v>17660</v>
      </c>
      <c r="H2070">
        <v>0</v>
      </c>
      <c r="I2070">
        <v>0</v>
      </c>
      <c r="J2070">
        <v>0</v>
      </c>
      <c r="K2070">
        <v>0</v>
      </c>
      <c r="L2070">
        <v>0</v>
      </c>
      <c r="M2070">
        <v>0</v>
      </c>
      <c r="N2070">
        <v>0</v>
      </c>
      <c r="O2070">
        <v>17660</v>
      </c>
      <c r="P2070">
        <v>0</v>
      </c>
      <c r="S2070"/>
    </row>
    <row r="2071" spans="1:19" x14ac:dyDescent="0.25">
      <c r="A2071" t="s">
        <v>60</v>
      </c>
      <c r="B2071" t="s">
        <v>330</v>
      </c>
      <c r="C2071">
        <v>137</v>
      </c>
      <c r="D2071">
        <v>337</v>
      </c>
      <c r="E2071" t="s">
        <v>229</v>
      </c>
      <c r="F2071">
        <v>15</v>
      </c>
      <c r="G2071">
        <v>2649</v>
      </c>
      <c r="H2071">
        <v>0</v>
      </c>
      <c r="I2071">
        <v>0</v>
      </c>
      <c r="J2071">
        <v>0</v>
      </c>
      <c r="K2071">
        <v>0</v>
      </c>
      <c r="L2071">
        <v>0</v>
      </c>
      <c r="M2071">
        <v>0</v>
      </c>
      <c r="N2071">
        <v>0</v>
      </c>
      <c r="O2071">
        <v>2649</v>
      </c>
      <c r="P2071">
        <v>0</v>
      </c>
      <c r="S2071"/>
    </row>
    <row r="2072" spans="1:19" x14ac:dyDescent="0.25">
      <c r="A2072" t="s">
        <v>60</v>
      </c>
      <c r="B2072" t="s">
        <v>330</v>
      </c>
      <c r="C2072">
        <v>137</v>
      </c>
      <c r="D2072">
        <v>337</v>
      </c>
      <c r="E2072" t="s">
        <v>230</v>
      </c>
      <c r="F2072">
        <v>4</v>
      </c>
      <c r="G2072">
        <v>706.4</v>
      </c>
      <c r="H2072">
        <v>0</v>
      </c>
      <c r="I2072">
        <v>0</v>
      </c>
      <c r="J2072">
        <v>0</v>
      </c>
      <c r="K2072">
        <v>0</v>
      </c>
      <c r="L2072">
        <v>0</v>
      </c>
      <c r="M2072">
        <v>0</v>
      </c>
      <c r="N2072">
        <v>0</v>
      </c>
      <c r="O2072">
        <v>706.4</v>
      </c>
      <c r="P2072">
        <v>0</v>
      </c>
      <c r="S2072"/>
    </row>
    <row r="2073" spans="1:19" x14ac:dyDescent="0.25">
      <c r="A2073" t="s">
        <v>60</v>
      </c>
      <c r="B2073" t="s">
        <v>330</v>
      </c>
      <c r="C2073">
        <v>137</v>
      </c>
      <c r="D2073">
        <v>337</v>
      </c>
      <c r="E2073" t="s">
        <v>231</v>
      </c>
      <c r="G2073">
        <v>88300</v>
      </c>
      <c r="H2073">
        <v>0</v>
      </c>
      <c r="I2073">
        <v>0</v>
      </c>
      <c r="J2073">
        <v>0</v>
      </c>
      <c r="K2073">
        <v>0</v>
      </c>
      <c r="L2073">
        <v>0</v>
      </c>
      <c r="M2073">
        <v>0</v>
      </c>
      <c r="N2073">
        <v>0</v>
      </c>
      <c r="O2073">
        <v>88300</v>
      </c>
      <c r="P2073">
        <v>0</v>
      </c>
      <c r="S2073"/>
    </row>
    <row r="2074" spans="1:19" x14ac:dyDescent="0.25">
      <c r="A2074" t="s">
        <v>60</v>
      </c>
      <c r="B2074" t="s">
        <v>330</v>
      </c>
      <c r="C2074">
        <v>137</v>
      </c>
      <c r="D2074">
        <v>337</v>
      </c>
      <c r="E2074" t="s">
        <v>232</v>
      </c>
      <c r="G2074">
        <v>0</v>
      </c>
      <c r="H2074">
        <v>0</v>
      </c>
      <c r="I2074">
        <v>0</v>
      </c>
      <c r="J2074">
        <v>0</v>
      </c>
      <c r="K2074">
        <v>0</v>
      </c>
      <c r="L2074">
        <v>0</v>
      </c>
      <c r="M2074">
        <v>0</v>
      </c>
      <c r="N2074">
        <v>0</v>
      </c>
      <c r="O2074">
        <v>0</v>
      </c>
      <c r="P2074">
        <v>0</v>
      </c>
      <c r="S2074"/>
    </row>
    <row r="2075" spans="1:19" x14ac:dyDescent="0.25">
      <c r="A2075" t="s">
        <v>60</v>
      </c>
      <c r="B2075" t="s">
        <v>330</v>
      </c>
      <c r="C2075">
        <v>137</v>
      </c>
      <c r="D2075">
        <v>337</v>
      </c>
      <c r="E2075" t="s">
        <v>233</v>
      </c>
      <c r="G2075">
        <v>0</v>
      </c>
      <c r="H2075">
        <v>0</v>
      </c>
      <c r="I2075">
        <v>0</v>
      </c>
      <c r="J2075">
        <v>0</v>
      </c>
      <c r="K2075">
        <v>0</v>
      </c>
      <c r="L2075">
        <v>0</v>
      </c>
      <c r="M2075">
        <v>0</v>
      </c>
      <c r="N2075">
        <v>0</v>
      </c>
      <c r="O2075">
        <v>0</v>
      </c>
      <c r="P2075">
        <v>0</v>
      </c>
      <c r="S2075"/>
    </row>
    <row r="2076" spans="1:19" x14ac:dyDescent="0.25">
      <c r="A2076" t="s">
        <v>60</v>
      </c>
      <c r="B2076" t="s">
        <v>330</v>
      </c>
      <c r="C2076">
        <v>137</v>
      </c>
      <c r="D2076">
        <v>337</v>
      </c>
      <c r="E2076" t="s">
        <v>234</v>
      </c>
      <c r="G2076">
        <v>0</v>
      </c>
      <c r="H2076">
        <v>0</v>
      </c>
      <c r="I2076">
        <v>0</v>
      </c>
      <c r="J2076">
        <v>0</v>
      </c>
      <c r="K2076">
        <v>0</v>
      </c>
      <c r="L2076">
        <v>0</v>
      </c>
      <c r="M2076">
        <v>0</v>
      </c>
      <c r="N2076">
        <v>0</v>
      </c>
      <c r="O2076">
        <v>0</v>
      </c>
      <c r="P2076">
        <v>0</v>
      </c>
      <c r="S2076"/>
    </row>
    <row r="2077" spans="1:19" x14ac:dyDescent="0.25">
      <c r="A2077" t="s">
        <v>60</v>
      </c>
      <c r="B2077" t="s">
        <v>330</v>
      </c>
      <c r="C2077">
        <v>137</v>
      </c>
      <c r="D2077">
        <v>337</v>
      </c>
      <c r="E2077" t="s">
        <v>235</v>
      </c>
      <c r="G2077">
        <v>0</v>
      </c>
      <c r="H2077">
        <v>0</v>
      </c>
      <c r="I2077">
        <v>0</v>
      </c>
      <c r="J2077">
        <v>0</v>
      </c>
      <c r="K2077">
        <v>0</v>
      </c>
      <c r="L2077">
        <v>0</v>
      </c>
      <c r="M2077">
        <v>0</v>
      </c>
      <c r="N2077">
        <v>0</v>
      </c>
      <c r="O2077">
        <v>0</v>
      </c>
      <c r="P2077">
        <v>0</v>
      </c>
      <c r="S2077"/>
    </row>
    <row r="2078" spans="1:19" x14ac:dyDescent="0.25">
      <c r="A2078" t="s">
        <v>60</v>
      </c>
      <c r="B2078" t="s">
        <v>330</v>
      </c>
      <c r="C2078">
        <v>137</v>
      </c>
      <c r="D2078">
        <v>337</v>
      </c>
      <c r="E2078" t="s">
        <v>236</v>
      </c>
      <c r="G2078">
        <v>0</v>
      </c>
      <c r="H2078">
        <v>0</v>
      </c>
      <c r="I2078">
        <v>0</v>
      </c>
      <c r="J2078">
        <v>0</v>
      </c>
      <c r="K2078">
        <v>0</v>
      </c>
      <c r="L2078">
        <v>0</v>
      </c>
      <c r="M2078">
        <v>0</v>
      </c>
      <c r="N2078">
        <v>0</v>
      </c>
      <c r="O2078">
        <v>0</v>
      </c>
      <c r="P2078">
        <v>0</v>
      </c>
      <c r="S2078"/>
    </row>
    <row r="2079" spans="1:19" x14ac:dyDescent="0.25">
      <c r="A2079" t="s">
        <v>60</v>
      </c>
      <c r="B2079" t="s">
        <v>330</v>
      </c>
      <c r="C2079">
        <v>137</v>
      </c>
      <c r="D2079">
        <v>337</v>
      </c>
      <c r="E2079" t="s">
        <v>237</v>
      </c>
      <c r="G2079">
        <v>0</v>
      </c>
      <c r="H2079">
        <v>0</v>
      </c>
      <c r="I2079">
        <v>0</v>
      </c>
      <c r="J2079">
        <v>0</v>
      </c>
      <c r="K2079">
        <v>0</v>
      </c>
      <c r="L2079">
        <v>0</v>
      </c>
      <c r="M2079">
        <v>0</v>
      </c>
      <c r="N2079">
        <v>0</v>
      </c>
      <c r="O2079">
        <v>0</v>
      </c>
      <c r="P2079">
        <v>0</v>
      </c>
      <c r="S2079"/>
    </row>
    <row r="2080" spans="1:19" x14ac:dyDescent="0.25">
      <c r="A2080" t="s">
        <v>60</v>
      </c>
      <c r="B2080" t="s">
        <v>330</v>
      </c>
      <c r="C2080">
        <v>137</v>
      </c>
      <c r="D2080">
        <v>337</v>
      </c>
      <c r="E2080" t="s">
        <v>238</v>
      </c>
      <c r="G2080">
        <v>109315.4</v>
      </c>
      <c r="H2080">
        <v>0</v>
      </c>
      <c r="I2080">
        <v>0</v>
      </c>
      <c r="J2080">
        <v>0</v>
      </c>
      <c r="K2080">
        <v>0</v>
      </c>
      <c r="L2080">
        <v>0</v>
      </c>
      <c r="M2080">
        <v>0</v>
      </c>
      <c r="N2080">
        <v>0</v>
      </c>
      <c r="O2080">
        <v>109315.4</v>
      </c>
      <c r="P2080">
        <v>0</v>
      </c>
      <c r="S2080"/>
    </row>
    <row r="2081" spans="1:19" x14ac:dyDescent="0.25">
      <c r="A2081" t="s">
        <v>67</v>
      </c>
      <c r="B2081" t="s">
        <v>323</v>
      </c>
      <c r="C2081">
        <v>169</v>
      </c>
      <c r="D2081">
        <v>174</v>
      </c>
      <c r="E2081" t="s">
        <v>228</v>
      </c>
      <c r="G2081">
        <v>60518</v>
      </c>
      <c r="H2081">
        <v>0</v>
      </c>
      <c r="I2081">
        <v>0</v>
      </c>
      <c r="J2081">
        <v>9008.9</v>
      </c>
      <c r="K2081">
        <v>0</v>
      </c>
      <c r="L2081">
        <v>9008.9</v>
      </c>
      <c r="M2081">
        <v>9008.9</v>
      </c>
      <c r="N2081">
        <v>14.89</v>
      </c>
      <c r="O2081">
        <v>51509.1</v>
      </c>
      <c r="P2081">
        <v>0</v>
      </c>
      <c r="S2081"/>
    </row>
    <row r="2082" spans="1:19" x14ac:dyDescent="0.25">
      <c r="A2082" t="s">
        <v>67</v>
      </c>
      <c r="B2082" t="s">
        <v>323</v>
      </c>
      <c r="C2082">
        <v>169</v>
      </c>
      <c r="D2082">
        <v>174</v>
      </c>
      <c r="E2082" t="s">
        <v>229</v>
      </c>
      <c r="G2082">
        <v>0</v>
      </c>
      <c r="H2082">
        <v>0</v>
      </c>
      <c r="I2082">
        <v>0</v>
      </c>
      <c r="J2082">
        <v>0</v>
      </c>
      <c r="K2082">
        <v>0</v>
      </c>
      <c r="L2082">
        <v>0</v>
      </c>
      <c r="M2082">
        <v>0</v>
      </c>
      <c r="N2082">
        <v>0</v>
      </c>
      <c r="O2082">
        <v>0</v>
      </c>
      <c r="P2082">
        <v>0</v>
      </c>
      <c r="S2082"/>
    </row>
    <row r="2083" spans="1:19" x14ac:dyDescent="0.25">
      <c r="A2083" t="s">
        <v>67</v>
      </c>
      <c r="B2083" t="s">
        <v>323</v>
      </c>
      <c r="C2083">
        <v>169</v>
      </c>
      <c r="D2083">
        <v>174</v>
      </c>
      <c r="E2083" t="s">
        <v>230</v>
      </c>
      <c r="G2083">
        <v>0</v>
      </c>
      <c r="H2083">
        <v>0</v>
      </c>
      <c r="I2083">
        <v>0</v>
      </c>
      <c r="J2083">
        <v>0</v>
      </c>
      <c r="K2083">
        <v>0</v>
      </c>
      <c r="L2083">
        <v>0</v>
      </c>
      <c r="M2083">
        <v>0</v>
      </c>
      <c r="N2083">
        <v>0</v>
      </c>
      <c r="O2083">
        <v>0</v>
      </c>
      <c r="P2083">
        <v>0</v>
      </c>
      <c r="S2083"/>
    </row>
    <row r="2084" spans="1:19" x14ac:dyDescent="0.25">
      <c r="A2084" t="s">
        <v>67</v>
      </c>
      <c r="B2084" t="s">
        <v>323</v>
      </c>
      <c r="C2084">
        <v>169</v>
      </c>
      <c r="D2084">
        <v>174</v>
      </c>
      <c r="E2084" t="s">
        <v>231</v>
      </c>
      <c r="G2084">
        <v>0</v>
      </c>
      <c r="H2084">
        <v>0</v>
      </c>
      <c r="I2084">
        <v>0</v>
      </c>
      <c r="J2084">
        <v>0</v>
      </c>
      <c r="K2084">
        <v>0</v>
      </c>
      <c r="L2084">
        <v>0</v>
      </c>
      <c r="M2084">
        <v>0</v>
      </c>
      <c r="N2084">
        <v>0</v>
      </c>
      <c r="O2084">
        <v>0</v>
      </c>
      <c r="P2084">
        <v>0</v>
      </c>
      <c r="S2084"/>
    </row>
    <row r="2085" spans="1:19" x14ac:dyDescent="0.25">
      <c r="A2085" t="s">
        <v>67</v>
      </c>
      <c r="B2085" t="s">
        <v>323</v>
      </c>
      <c r="C2085">
        <v>169</v>
      </c>
      <c r="D2085">
        <v>174</v>
      </c>
      <c r="E2085" t="s">
        <v>232</v>
      </c>
      <c r="G2085">
        <v>0</v>
      </c>
      <c r="H2085">
        <v>0</v>
      </c>
      <c r="I2085">
        <v>0</v>
      </c>
      <c r="J2085">
        <v>0</v>
      </c>
      <c r="K2085">
        <v>0</v>
      </c>
      <c r="L2085">
        <v>0</v>
      </c>
      <c r="M2085">
        <v>0</v>
      </c>
      <c r="N2085">
        <v>0</v>
      </c>
      <c r="O2085">
        <v>0</v>
      </c>
      <c r="P2085">
        <v>0</v>
      </c>
      <c r="S2085"/>
    </row>
    <row r="2086" spans="1:19" x14ac:dyDescent="0.25">
      <c r="A2086" t="s">
        <v>67</v>
      </c>
      <c r="B2086" t="s">
        <v>323</v>
      </c>
      <c r="C2086">
        <v>169</v>
      </c>
      <c r="D2086">
        <v>174</v>
      </c>
      <c r="E2086" t="s">
        <v>233</v>
      </c>
      <c r="G2086">
        <v>0</v>
      </c>
      <c r="H2086">
        <v>0</v>
      </c>
      <c r="I2086">
        <v>0</v>
      </c>
      <c r="J2086">
        <v>0</v>
      </c>
      <c r="K2086">
        <v>0</v>
      </c>
      <c r="L2086">
        <v>0</v>
      </c>
      <c r="M2086">
        <v>0</v>
      </c>
      <c r="N2086">
        <v>0</v>
      </c>
      <c r="O2086">
        <v>0</v>
      </c>
      <c r="P2086">
        <v>0</v>
      </c>
      <c r="S2086"/>
    </row>
    <row r="2087" spans="1:19" x14ac:dyDescent="0.25">
      <c r="A2087" t="s">
        <v>67</v>
      </c>
      <c r="B2087" t="s">
        <v>323</v>
      </c>
      <c r="C2087">
        <v>169</v>
      </c>
      <c r="D2087">
        <v>174</v>
      </c>
      <c r="E2087" t="s">
        <v>234</v>
      </c>
      <c r="F2087">
        <v>40</v>
      </c>
      <c r="G2087">
        <v>24207.200000000001</v>
      </c>
      <c r="H2087">
        <v>0</v>
      </c>
      <c r="I2087">
        <v>0</v>
      </c>
      <c r="J2087">
        <v>3603.56</v>
      </c>
      <c r="K2087">
        <v>0</v>
      </c>
      <c r="L2087">
        <v>3603.56</v>
      </c>
      <c r="M2087">
        <v>3603.56</v>
      </c>
      <c r="N2087">
        <v>14.89</v>
      </c>
      <c r="O2087">
        <v>20603.64</v>
      </c>
      <c r="P2087">
        <v>0</v>
      </c>
      <c r="S2087"/>
    </row>
    <row r="2088" spans="1:19" x14ac:dyDescent="0.25">
      <c r="A2088" t="s">
        <v>67</v>
      </c>
      <c r="B2088" t="s">
        <v>323</v>
      </c>
      <c r="C2088">
        <v>169</v>
      </c>
      <c r="D2088">
        <v>174</v>
      </c>
      <c r="E2088" t="s">
        <v>235</v>
      </c>
      <c r="G2088">
        <v>0</v>
      </c>
      <c r="H2088">
        <v>0</v>
      </c>
      <c r="I2088">
        <v>0</v>
      </c>
      <c r="J2088">
        <v>0</v>
      </c>
      <c r="K2088">
        <v>0</v>
      </c>
      <c r="L2088">
        <v>0</v>
      </c>
      <c r="M2088">
        <v>0</v>
      </c>
      <c r="N2088">
        <v>0</v>
      </c>
      <c r="O2088">
        <v>0</v>
      </c>
      <c r="P2088">
        <v>0</v>
      </c>
      <c r="S2088"/>
    </row>
    <row r="2089" spans="1:19" x14ac:dyDescent="0.25">
      <c r="A2089" t="s">
        <v>67</v>
      </c>
      <c r="B2089" t="s">
        <v>323</v>
      </c>
      <c r="C2089">
        <v>169</v>
      </c>
      <c r="D2089">
        <v>174</v>
      </c>
      <c r="E2089" t="s">
        <v>236</v>
      </c>
      <c r="G2089">
        <v>0</v>
      </c>
      <c r="H2089">
        <v>0</v>
      </c>
      <c r="I2089">
        <v>0</v>
      </c>
      <c r="J2089">
        <v>0</v>
      </c>
      <c r="K2089">
        <v>0</v>
      </c>
      <c r="L2089">
        <v>0</v>
      </c>
      <c r="M2089">
        <v>0</v>
      </c>
      <c r="N2089">
        <v>0</v>
      </c>
      <c r="O2089">
        <v>0</v>
      </c>
      <c r="P2089">
        <v>0</v>
      </c>
      <c r="S2089"/>
    </row>
    <row r="2090" spans="1:19" x14ac:dyDescent="0.25">
      <c r="A2090" t="s">
        <v>67</v>
      </c>
      <c r="B2090" t="s">
        <v>323</v>
      </c>
      <c r="C2090">
        <v>169</v>
      </c>
      <c r="D2090">
        <v>174</v>
      </c>
      <c r="E2090" t="s">
        <v>237</v>
      </c>
      <c r="G2090">
        <v>0</v>
      </c>
      <c r="H2090">
        <v>0</v>
      </c>
      <c r="I2090">
        <v>0</v>
      </c>
      <c r="J2090">
        <v>0</v>
      </c>
      <c r="K2090">
        <v>0</v>
      </c>
      <c r="L2090">
        <v>0</v>
      </c>
      <c r="M2090">
        <v>0</v>
      </c>
      <c r="N2090">
        <v>0</v>
      </c>
      <c r="O2090">
        <v>0</v>
      </c>
      <c r="P2090">
        <v>0</v>
      </c>
      <c r="S2090"/>
    </row>
    <row r="2091" spans="1:19" x14ac:dyDescent="0.25">
      <c r="A2091" t="s">
        <v>67</v>
      </c>
      <c r="B2091" t="s">
        <v>323</v>
      </c>
      <c r="C2091">
        <v>169</v>
      </c>
      <c r="D2091">
        <v>174</v>
      </c>
      <c r="E2091" t="s">
        <v>238</v>
      </c>
      <c r="G2091">
        <v>84725.2</v>
      </c>
      <c r="H2091">
        <v>0</v>
      </c>
      <c r="I2091">
        <v>0</v>
      </c>
      <c r="J2091">
        <v>12612.46</v>
      </c>
      <c r="K2091">
        <v>0</v>
      </c>
      <c r="L2091">
        <v>12612.46</v>
      </c>
      <c r="M2091">
        <v>12612.46</v>
      </c>
      <c r="N2091">
        <v>14.89</v>
      </c>
      <c r="O2091">
        <v>72112.740000000005</v>
      </c>
      <c r="P2091">
        <v>0</v>
      </c>
      <c r="S2091"/>
    </row>
    <row r="2092" spans="1:19" x14ac:dyDescent="0.25">
      <c r="A2092" t="s">
        <v>67</v>
      </c>
      <c r="B2092" t="s">
        <v>324</v>
      </c>
      <c r="C2092">
        <v>166</v>
      </c>
      <c r="D2092">
        <v>148</v>
      </c>
      <c r="E2092" t="s">
        <v>228</v>
      </c>
      <c r="G2092">
        <v>71523</v>
      </c>
      <c r="H2092">
        <v>0</v>
      </c>
      <c r="I2092">
        <v>0</v>
      </c>
      <c r="J2092">
        <v>17874</v>
      </c>
      <c r="K2092">
        <v>0</v>
      </c>
      <c r="L2092">
        <v>17874</v>
      </c>
      <c r="M2092">
        <v>17874</v>
      </c>
      <c r="N2092">
        <v>24.99</v>
      </c>
      <c r="O2092">
        <v>53649</v>
      </c>
      <c r="P2092">
        <v>0</v>
      </c>
      <c r="S2092"/>
    </row>
    <row r="2093" spans="1:19" x14ac:dyDescent="0.25">
      <c r="A2093" t="s">
        <v>67</v>
      </c>
      <c r="B2093" t="s">
        <v>324</v>
      </c>
      <c r="C2093">
        <v>166</v>
      </c>
      <c r="D2093">
        <v>148</v>
      </c>
      <c r="E2093" t="s">
        <v>229</v>
      </c>
      <c r="G2093">
        <v>0</v>
      </c>
      <c r="H2093">
        <v>0</v>
      </c>
      <c r="I2093">
        <v>0</v>
      </c>
      <c r="J2093">
        <v>0</v>
      </c>
      <c r="K2093">
        <v>0</v>
      </c>
      <c r="L2093">
        <v>0</v>
      </c>
      <c r="M2093">
        <v>0</v>
      </c>
      <c r="N2093">
        <v>0</v>
      </c>
      <c r="O2093">
        <v>0</v>
      </c>
      <c r="P2093">
        <v>0</v>
      </c>
      <c r="S2093"/>
    </row>
    <row r="2094" spans="1:19" x14ac:dyDescent="0.25">
      <c r="A2094" t="s">
        <v>67</v>
      </c>
      <c r="B2094" t="s">
        <v>324</v>
      </c>
      <c r="C2094">
        <v>166</v>
      </c>
      <c r="D2094">
        <v>148</v>
      </c>
      <c r="E2094" t="s">
        <v>230</v>
      </c>
      <c r="G2094">
        <v>0</v>
      </c>
      <c r="H2094">
        <v>0</v>
      </c>
      <c r="I2094">
        <v>0</v>
      </c>
      <c r="J2094">
        <v>0</v>
      </c>
      <c r="K2094">
        <v>0</v>
      </c>
      <c r="L2094">
        <v>0</v>
      </c>
      <c r="M2094">
        <v>0</v>
      </c>
      <c r="N2094">
        <v>0</v>
      </c>
      <c r="O2094">
        <v>0</v>
      </c>
      <c r="P2094">
        <v>0</v>
      </c>
      <c r="S2094"/>
    </row>
    <row r="2095" spans="1:19" x14ac:dyDescent="0.25">
      <c r="A2095" t="s">
        <v>67</v>
      </c>
      <c r="B2095" t="s">
        <v>324</v>
      </c>
      <c r="C2095">
        <v>166</v>
      </c>
      <c r="D2095">
        <v>148</v>
      </c>
      <c r="E2095" t="s">
        <v>231</v>
      </c>
      <c r="G2095">
        <v>0</v>
      </c>
      <c r="H2095">
        <v>0</v>
      </c>
      <c r="I2095">
        <v>0</v>
      </c>
      <c r="J2095">
        <v>0</v>
      </c>
      <c r="K2095">
        <v>0</v>
      </c>
      <c r="L2095">
        <v>0</v>
      </c>
      <c r="M2095">
        <v>0</v>
      </c>
      <c r="N2095">
        <v>0</v>
      </c>
      <c r="O2095">
        <v>0</v>
      </c>
      <c r="P2095">
        <v>0</v>
      </c>
      <c r="S2095"/>
    </row>
    <row r="2096" spans="1:19" x14ac:dyDescent="0.25">
      <c r="A2096" t="s">
        <v>67</v>
      </c>
      <c r="B2096" t="s">
        <v>324</v>
      </c>
      <c r="C2096">
        <v>166</v>
      </c>
      <c r="D2096">
        <v>148</v>
      </c>
      <c r="E2096" t="s">
        <v>232</v>
      </c>
      <c r="G2096">
        <v>0</v>
      </c>
      <c r="H2096">
        <v>0</v>
      </c>
      <c r="I2096">
        <v>0</v>
      </c>
      <c r="J2096">
        <v>0</v>
      </c>
      <c r="K2096">
        <v>0</v>
      </c>
      <c r="L2096">
        <v>0</v>
      </c>
      <c r="M2096">
        <v>0</v>
      </c>
      <c r="N2096">
        <v>0</v>
      </c>
      <c r="O2096">
        <v>0</v>
      </c>
      <c r="P2096">
        <v>0</v>
      </c>
      <c r="S2096"/>
    </row>
    <row r="2097" spans="1:19" x14ac:dyDescent="0.25">
      <c r="A2097" t="s">
        <v>67</v>
      </c>
      <c r="B2097" t="s">
        <v>324</v>
      </c>
      <c r="C2097">
        <v>166</v>
      </c>
      <c r="D2097">
        <v>148</v>
      </c>
      <c r="E2097" t="s">
        <v>233</v>
      </c>
      <c r="G2097">
        <v>0</v>
      </c>
      <c r="H2097">
        <v>0</v>
      </c>
      <c r="I2097">
        <v>0</v>
      </c>
      <c r="J2097">
        <v>0</v>
      </c>
      <c r="K2097">
        <v>0</v>
      </c>
      <c r="L2097">
        <v>0</v>
      </c>
      <c r="M2097">
        <v>0</v>
      </c>
      <c r="N2097">
        <v>0</v>
      </c>
      <c r="O2097">
        <v>0</v>
      </c>
      <c r="P2097">
        <v>0</v>
      </c>
      <c r="S2097"/>
    </row>
    <row r="2098" spans="1:19" x14ac:dyDescent="0.25">
      <c r="A2098" t="s">
        <v>67</v>
      </c>
      <c r="B2098" t="s">
        <v>324</v>
      </c>
      <c r="C2098">
        <v>166</v>
      </c>
      <c r="D2098">
        <v>148</v>
      </c>
      <c r="E2098" t="s">
        <v>234</v>
      </c>
      <c r="F2098">
        <v>40</v>
      </c>
      <c r="G2098">
        <v>28609.200000000001</v>
      </c>
      <c r="H2098">
        <v>0</v>
      </c>
      <c r="I2098">
        <v>0</v>
      </c>
      <c r="J2098">
        <v>7149.6</v>
      </c>
      <c r="K2098">
        <v>0</v>
      </c>
      <c r="L2098">
        <v>7149.6</v>
      </c>
      <c r="M2098">
        <v>7149.6</v>
      </c>
      <c r="N2098">
        <v>24.99</v>
      </c>
      <c r="O2098">
        <v>21459.599999999999</v>
      </c>
      <c r="P2098">
        <v>0</v>
      </c>
      <c r="S2098"/>
    </row>
    <row r="2099" spans="1:19" x14ac:dyDescent="0.25">
      <c r="A2099" t="s">
        <v>67</v>
      </c>
      <c r="B2099" t="s">
        <v>324</v>
      </c>
      <c r="C2099">
        <v>166</v>
      </c>
      <c r="D2099">
        <v>148</v>
      </c>
      <c r="E2099" t="s">
        <v>235</v>
      </c>
      <c r="G2099">
        <v>0</v>
      </c>
      <c r="H2099">
        <v>0</v>
      </c>
      <c r="I2099">
        <v>0</v>
      </c>
      <c r="J2099">
        <v>0</v>
      </c>
      <c r="K2099">
        <v>0</v>
      </c>
      <c r="L2099">
        <v>0</v>
      </c>
      <c r="M2099">
        <v>0</v>
      </c>
      <c r="N2099">
        <v>0</v>
      </c>
      <c r="O2099">
        <v>0</v>
      </c>
      <c r="P2099">
        <v>0</v>
      </c>
      <c r="S2099"/>
    </row>
    <row r="2100" spans="1:19" x14ac:dyDescent="0.25">
      <c r="A2100" t="s">
        <v>67</v>
      </c>
      <c r="B2100" t="s">
        <v>324</v>
      </c>
      <c r="C2100">
        <v>166</v>
      </c>
      <c r="D2100">
        <v>148</v>
      </c>
      <c r="E2100" t="s">
        <v>236</v>
      </c>
      <c r="G2100">
        <v>0</v>
      </c>
      <c r="H2100">
        <v>0</v>
      </c>
      <c r="I2100">
        <v>0</v>
      </c>
      <c r="J2100">
        <v>0</v>
      </c>
      <c r="K2100">
        <v>0</v>
      </c>
      <c r="L2100">
        <v>0</v>
      </c>
      <c r="M2100">
        <v>0</v>
      </c>
      <c r="N2100">
        <v>0</v>
      </c>
      <c r="O2100">
        <v>0</v>
      </c>
      <c r="P2100">
        <v>0</v>
      </c>
      <c r="S2100"/>
    </row>
    <row r="2101" spans="1:19" x14ac:dyDescent="0.25">
      <c r="A2101" t="s">
        <v>67</v>
      </c>
      <c r="B2101" t="s">
        <v>324</v>
      </c>
      <c r="C2101">
        <v>166</v>
      </c>
      <c r="D2101">
        <v>148</v>
      </c>
      <c r="E2101" t="s">
        <v>237</v>
      </c>
      <c r="G2101">
        <v>0</v>
      </c>
      <c r="H2101">
        <v>0</v>
      </c>
      <c r="I2101">
        <v>0</v>
      </c>
      <c r="J2101">
        <v>0</v>
      </c>
      <c r="K2101">
        <v>0</v>
      </c>
      <c r="L2101">
        <v>0</v>
      </c>
      <c r="M2101">
        <v>0</v>
      </c>
      <c r="N2101">
        <v>0</v>
      </c>
      <c r="O2101">
        <v>0</v>
      </c>
      <c r="P2101">
        <v>0</v>
      </c>
      <c r="S2101"/>
    </row>
    <row r="2102" spans="1:19" x14ac:dyDescent="0.25">
      <c r="A2102" t="s">
        <v>67</v>
      </c>
      <c r="B2102" t="s">
        <v>324</v>
      </c>
      <c r="C2102">
        <v>166</v>
      </c>
      <c r="D2102">
        <v>148</v>
      </c>
      <c r="E2102" t="s">
        <v>238</v>
      </c>
      <c r="G2102">
        <v>100132.2</v>
      </c>
      <c r="H2102">
        <v>0</v>
      </c>
      <c r="I2102">
        <v>0</v>
      </c>
      <c r="J2102">
        <v>25023.599999999999</v>
      </c>
      <c r="K2102">
        <v>0</v>
      </c>
      <c r="L2102">
        <v>25023.599999999999</v>
      </c>
      <c r="M2102">
        <v>25023.599999999999</v>
      </c>
      <c r="N2102">
        <v>24.99</v>
      </c>
      <c r="O2102">
        <v>75108.600000000006</v>
      </c>
      <c r="P2102">
        <v>0</v>
      </c>
      <c r="S2102"/>
    </row>
    <row r="2103" spans="1:19" x14ac:dyDescent="0.25">
      <c r="A2103" t="s">
        <v>67</v>
      </c>
      <c r="B2103" t="s">
        <v>56</v>
      </c>
      <c r="C2103">
        <v>165</v>
      </c>
      <c r="D2103">
        <v>121</v>
      </c>
      <c r="E2103" t="s">
        <v>228</v>
      </c>
      <c r="G2103">
        <v>71500</v>
      </c>
      <c r="H2103">
        <v>0</v>
      </c>
      <c r="I2103">
        <v>0</v>
      </c>
      <c r="J2103">
        <v>3372.7</v>
      </c>
      <c r="K2103">
        <v>0</v>
      </c>
      <c r="L2103">
        <v>3372.7</v>
      </c>
      <c r="M2103">
        <v>3372.7</v>
      </c>
      <c r="N2103">
        <v>4.72</v>
      </c>
      <c r="O2103">
        <v>68127.3</v>
      </c>
      <c r="P2103">
        <v>0</v>
      </c>
      <c r="S2103"/>
    </row>
    <row r="2104" spans="1:19" x14ac:dyDescent="0.25">
      <c r="A2104" t="s">
        <v>67</v>
      </c>
      <c r="B2104" t="s">
        <v>56</v>
      </c>
      <c r="C2104">
        <v>165</v>
      </c>
      <c r="D2104">
        <v>121</v>
      </c>
      <c r="E2104" t="s">
        <v>229</v>
      </c>
      <c r="G2104">
        <v>0</v>
      </c>
      <c r="H2104">
        <v>0</v>
      </c>
      <c r="I2104">
        <v>0</v>
      </c>
      <c r="J2104">
        <v>0</v>
      </c>
      <c r="K2104">
        <v>0</v>
      </c>
      <c r="L2104">
        <v>0</v>
      </c>
      <c r="M2104">
        <v>0</v>
      </c>
      <c r="N2104">
        <v>0</v>
      </c>
      <c r="O2104">
        <v>0</v>
      </c>
      <c r="P2104">
        <v>0</v>
      </c>
      <c r="S2104"/>
    </row>
    <row r="2105" spans="1:19" x14ac:dyDescent="0.25">
      <c r="A2105" t="s">
        <v>67</v>
      </c>
      <c r="B2105" t="s">
        <v>56</v>
      </c>
      <c r="C2105">
        <v>165</v>
      </c>
      <c r="D2105">
        <v>121</v>
      </c>
      <c r="E2105" t="s">
        <v>230</v>
      </c>
      <c r="G2105">
        <v>0</v>
      </c>
      <c r="H2105">
        <v>0</v>
      </c>
      <c r="I2105">
        <v>0</v>
      </c>
      <c r="J2105">
        <v>0</v>
      </c>
      <c r="K2105">
        <v>0</v>
      </c>
      <c r="L2105">
        <v>0</v>
      </c>
      <c r="M2105">
        <v>0</v>
      </c>
      <c r="N2105">
        <v>0</v>
      </c>
      <c r="O2105">
        <v>0</v>
      </c>
      <c r="P2105">
        <v>0</v>
      </c>
      <c r="S2105"/>
    </row>
    <row r="2106" spans="1:19" x14ac:dyDescent="0.25">
      <c r="A2106" t="s">
        <v>67</v>
      </c>
      <c r="B2106" t="s">
        <v>56</v>
      </c>
      <c r="C2106">
        <v>165</v>
      </c>
      <c r="D2106">
        <v>121</v>
      </c>
      <c r="E2106" t="s">
        <v>231</v>
      </c>
      <c r="G2106">
        <v>0</v>
      </c>
      <c r="H2106">
        <v>0</v>
      </c>
      <c r="I2106">
        <v>0</v>
      </c>
      <c r="J2106">
        <v>0</v>
      </c>
      <c r="K2106">
        <v>0</v>
      </c>
      <c r="L2106">
        <v>0</v>
      </c>
      <c r="M2106">
        <v>0</v>
      </c>
      <c r="N2106">
        <v>0</v>
      </c>
      <c r="O2106">
        <v>0</v>
      </c>
      <c r="P2106">
        <v>0</v>
      </c>
      <c r="S2106"/>
    </row>
    <row r="2107" spans="1:19" x14ac:dyDescent="0.25">
      <c r="A2107" t="s">
        <v>67</v>
      </c>
      <c r="B2107" t="s">
        <v>56</v>
      </c>
      <c r="C2107">
        <v>165</v>
      </c>
      <c r="D2107">
        <v>121</v>
      </c>
      <c r="E2107" t="s">
        <v>232</v>
      </c>
      <c r="G2107">
        <v>0</v>
      </c>
      <c r="H2107">
        <v>0</v>
      </c>
      <c r="I2107">
        <v>0</v>
      </c>
      <c r="J2107">
        <v>0</v>
      </c>
      <c r="K2107">
        <v>0</v>
      </c>
      <c r="L2107">
        <v>0</v>
      </c>
      <c r="M2107">
        <v>0</v>
      </c>
      <c r="N2107">
        <v>0</v>
      </c>
      <c r="O2107">
        <v>0</v>
      </c>
      <c r="P2107">
        <v>0</v>
      </c>
      <c r="S2107"/>
    </row>
    <row r="2108" spans="1:19" x14ac:dyDescent="0.25">
      <c r="A2108" t="s">
        <v>67</v>
      </c>
      <c r="B2108" t="s">
        <v>56</v>
      </c>
      <c r="C2108">
        <v>165</v>
      </c>
      <c r="D2108">
        <v>121</v>
      </c>
      <c r="E2108" t="s">
        <v>233</v>
      </c>
      <c r="G2108">
        <v>0</v>
      </c>
      <c r="H2108">
        <v>0</v>
      </c>
      <c r="I2108">
        <v>0</v>
      </c>
      <c r="J2108">
        <v>0</v>
      </c>
      <c r="K2108">
        <v>0</v>
      </c>
      <c r="L2108">
        <v>0</v>
      </c>
      <c r="M2108">
        <v>0</v>
      </c>
      <c r="N2108">
        <v>0</v>
      </c>
      <c r="O2108">
        <v>0</v>
      </c>
      <c r="P2108">
        <v>0</v>
      </c>
      <c r="S2108"/>
    </row>
    <row r="2109" spans="1:19" x14ac:dyDescent="0.25">
      <c r="A2109" t="s">
        <v>67</v>
      </c>
      <c r="B2109" t="s">
        <v>56</v>
      </c>
      <c r="C2109">
        <v>165</v>
      </c>
      <c r="D2109">
        <v>121</v>
      </c>
      <c r="E2109" t="s">
        <v>234</v>
      </c>
      <c r="F2109">
        <v>40</v>
      </c>
      <c r="G2109">
        <v>28600</v>
      </c>
      <c r="H2109">
        <v>0</v>
      </c>
      <c r="I2109">
        <v>0</v>
      </c>
      <c r="J2109">
        <v>1349.08</v>
      </c>
      <c r="K2109">
        <v>0</v>
      </c>
      <c r="L2109">
        <v>1349.08</v>
      </c>
      <c r="M2109">
        <v>1349.08</v>
      </c>
      <c r="N2109">
        <v>4.72</v>
      </c>
      <c r="O2109">
        <v>27250.92</v>
      </c>
      <c r="P2109">
        <v>0</v>
      </c>
      <c r="S2109"/>
    </row>
    <row r="2110" spans="1:19" x14ac:dyDescent="0.25">
      <c r="A2110" t="s">
        <v>67</v>
      </c>
      <c r="B2110" t="s">
        <v>56</v>
      </c>
      <c r="C2110">
        <v>165</v>
      </c>
      <c r="D2110">
        <v>121</v>
      </c>
      <c r="E2110" t="s">
        <v>235</v>
      </c>
      <c r="G2110">
        <v>0</v>
      </c>
      <c r="H2110">
        <v>0</v>
      </c>
      <c r="I2110">
        <v>0</v>
      </c>
      <c r="J2110">
        <v>0</v>
      </c>
      <c r="K2110">
        <v>0</v>
      </c>
      <c r="L2110">
        <v>0</v>
      </c>
      <c r="M2110">
        <v>0</v>
      </c>
      <c r="N2110">
        <v>0</v>
      </c>
      <c r="O2110">
        <v>0</v>
      </c>
      <c r="P2110">
        <v>0</v>
      </c>
      <c r="S2110"/>
    </row>
    <row r="2111" spans="1:19" x14ac:dyDescent="0.25">
      <c r="A2111" t="s">
        <v>67</v>
      </c>
      <c r="B2111" t="s">
        <v>56</v>
      </c>
      <c r="C2111">
        <v>165</v>
      </c>
      <c r="D2111">
        <v>121</v>
      </c>
      <c r="E2111" t="s">
        <v>236</v>
      </c>
      <c r="G2111">
        <v>0</v>
      </c>
      <c r="H2111">
        <v>0</v>
      </c>
      <c r="I2111">
        <v>0</v>
      </c>
      <c r="J2111">
        <v>0</v>
      </c>
      <c r="K2111">
        <v>0</v>
      </c>
      <c r="L2111">
        <v>0</v>
      </c>
      <c r="M2111">
        <v>0</v>
      </c>
      <c r="N2111">
        <v>0</v>
      </c>
      <c r="O2111">
        <v>0</v>
      </c>
      <c r="P2111">
        <v>0</v>
      </c>
      <c r="S2111"/>
    </row>
    <row r="2112" spans="1:19" x14ac:dyDescent="0.25">
      <c r="A2112" t="s">
        <v>67</v>
      </c>
      <c r="B2112" t="s">
        <v>56</v>
      </c>
      <c r="C2112">
        <v>165</v>
      </c>
      <c r="D2112">
        <v>121</v>
      </c>
      <c r="E2112" t="s">
        <v>237</v>
      </c>
      <c r="G2112">
        <v>0</v>
      </c>
      <c r="H2112">
        <v>0</v>
      </c>
      <c r="I2112">
        <v>0</v>
      </c>
      <c r="J2112">
        <v>0</v>
      </c>
      <c r="K2112">
        <v>0</v>
      </c>
      <c r="L2112">
        <v>0</v>
      </c>
      <c r="M2112">
        <v>0</v>
      </c>
      <c r="N2112">
        <v>0</v>
      </c>
      <c r="O2112">
        <v>0</v>
      </c>
      <c r="P2112">
        <v>0</v>
      </c>
      <c r="S2112"/>
    </row>
    <row r="2113" spans="1:19" x14ac:dyDescent="0.25">
      <c r="A2113" t="s">
        <v>67</v>
      </c>
      <c r="B2113" t="s">
        <v>56</v>
      </c>
      <c r="C2113">
        <v>165</v>
      </c>
      <c r="D2113">
        <v>121</v>
      </c>
      <c r="E2113" t="s">
        <v>238</v>
      </c>
      <c r="G2113">
        <v>100100</v>
      </c>
      <c r="H2113">
        <v>0</v>
      </c>
      <c r="I2113">
        <v>0</v>
      </c>
      <c r="J2113">
        <v>4721.78</v>
      </c>
      <c r="K2113">
        <v>0</v>
      </c>
      <c r="L2113">
        <v>4721.78</v>
      </c>
      <c r="M2113">
        <v>4721.78</v>
      </c>
      <c r="N2113">
        <v>4.72</v>
      </c>
      <c r="O2113">
        <v>95378.22</v>
      </c>
      <c r="P2113">
        <v>0</v>
      </c>
      <c r="S2113"/>
    </row>
    <row r="2114" spans="1:19" x14ac:dyDescent="0.25">
      <c r="A2114" t="s">
        <v>67</v>
      </c>
      <c r="B2114" t="s">
        <v>325</v>
      </c>
      <c r="C2114">
        <v>162</v>
      </c>
      <c r="D2114">
        <v>115</v>
      </c>
      <c r="E2114" t="s">
        <v>228</v>
      </c>
      <c r="G2114">
        <v>84752</v>
      </c>
      <c r="H2114">
        <v>0</v>
      </c>
      <c r="I2114">
        <v>0</v>
      </c>
      <c r="J2114">
        <v>21330</v>
      </c>
      <c r="K2114">
        <v>0</v>
      </c>
      <c r="L2114">
        <v>21330</v>
      </c>
      <c r="M2114">
        <v>21330</v>
      </c>
      <c r="N2114">
        <v>25.17</v>
      </c>
      <c r="O2114">
        <v>63422</v>
      </c>
      <c r="P2114">
        <v>0</v>
      </c>
      <c r="S2114"/>
    </row>
    <row r="2115" spans="1:19" x14ac:dyDescent="0.25">
      <c r="A2115" t="s">
        <v>67</v>
      </c>
      <c r="B2115" t="s">
        <v>325</v>
      </c>
      <c r="C2115">
        <v>162</v>
      </c>
      <c r="D2115">
        <v>115</v>
      </c>
      <c r="E2115" t="s">
        <v>229</v>
      </c>
      <c r="G2115">
        <v>0</v>
      </c>
      <c r="H2115">
        <v>0</v>
      </c>
      <c r="I2115">
        <v>0</v>
      </c>
      <c r="J2115">
        <v>0</v>
      </c>
      <c r="K2115">
        <v>0</v>
      </c>
      <c r="L2115">
        <v>0</v>
      </c>
      <c r="M2115">
        <v>0</v>
      </c>
      <c r="N2115">
        <v>0</v>
      </c>
      <c r="O2115">
        <v>0</v>
      </c>
      <c r="P2115">
        <v>0</v>
      </c>
      <c r="S2115"/>
    </row>
    <row r="2116" spans="1:19" x14ac:dyDescent="0.25">
      <c r="A2116" t="s">
        <v>67</v>
      </c>
      <c r="B2116" t="s">
        <v>325</v>
      </c>
      <c r="C2116">
        <v>162</v>
      </c>
      <c r="D2116">
        <v>115</v>
      </c>
      <c r="E2116" t="s">
        <v>230</v>
      </c>
      <c r="G2116">
        <v>0</v>
      </c>
      <c r="H2116">
        <v>0</v>
      </c>
      <c r="I2116">
        <v>0</v>
      </c>
      <c r="J2116">
        <v>0</v>
      </c>
      <c r="K2116">
        <v>0</v>
      </c>
      <c r="L2116">
        <v>0</v>
      </c>
      <c r="M2116">
        <v>0</v>
      </c>
      <c r="N2116">
        <v>0</v>
      </c>
      <c r="O2116">
        <v>0</v>
      </c>
      <c r="P2116">
        <v>0</v>
      </c>
      <c r="S2116"/>
    </row>
    <row r="2117" spans="1:19" x14ac:dyDescent="0.25">
      <c r="A2117" t="s">
        <v>67</v>
      </c>
      <c r="B2117" t="s">
        <v>325</v>
      </c>
      <c r="C2117">
        <v>162</v>
      </c>
      <c r="D2117">
        <v>115</v>
      </c>
      <c r="E2117" t="s">
        <v>231</v>
      </c>
      <c r="G2117">
        <v>0</v>
      </c>
      <c r="H2117">
        <v>0</v>
      </c>
      <c r="I2117">
        <v>0</v>
      </c>
      <c r="J2117">
        <v>0</v>
      </c>
      <c r="K2117">
        <v>0</v>
      </c>
      <c r="L2117">
        <v>0</v>
      </c>
      <c r="M2117">
        <v>0</v>
      </c>
      <c r="N2117">
        <v>0</v>
      </c>
      <c r="O2117">
        <v>0</v>
      </c>
      <c r="P2117">
        <v>0</v>
      </c>
      <c r="S2117"/>
    </row>
    <row r="2118" spans="1:19" x14ac:dyDescent="0.25">
      <c r="A2118" t="s">
        <v>67</v>
      </c>
      <c r="B2118" t="s">
        <v>325</v>
      </c>
      <c r="C2118">
        <v>162</v>
      </c>
      <c r="D2118">
        <v>115</v>
      </c>
      <c r="E2118" t="s">
        <v>232</v>
      </c>
      <c r="G2118">
        <v>0</v>
      </c>
      <c r="H2118">
        <v>0</v>
      </c>
      <c r="I2118">
        <v>0</v>
      </c>
      <c r="J2118">
        <v>0</v>
      </c>
      <c r="K2118">
        <v>0</v>
      </c>
      <c r="L2118">
        <v>0</v>
      </c>
      <c r="M2118">
        <v>0</v>
      </c>
      <c r="N2118">
        <v>0</v>
      </c>
      <c r="O2118">
        <v>0</v>
      </c>
      <c r="P2118">
        <v>0</v>
      </c>
      <c r="S2118"/>
    </row>
    <row r="2119" spans="1:19" x14ac:dyDescent="0.25">
      <c r="A2119" t="s">
        <v>67</v>
      </c>
      <c r="B2119" t="s">
        <v>325</v>
      </c>
      <c r="C2119">
        <v>162</v>
      </c>
      <c r="D2119">
        <v>115</v>
      </c>
      <c r="E2119" t="s">
        <v>233</v>
      </c>
      <c r="G2119">
        <v>0</v>
      </c>
      <c r="H2119">
        <v>0</v>
      </c>
      <c r="I2119">
        <v>0</v>
      </c>
      <c r="J2119">
        <v>0</v>
      </c>
      <c r="K2119">
        <v>0</v>
      </c>
      <c r="L2119">
        <v>0</v>
      </c>
      <c r="M2119">
        <v>0</v>
      </c>
      <c r="N2119">
        <v>0</v>
      </c>
      <c r="O2119">
        <v>0</v>
      </c>
      <c r="P2119">
        <v>0</v>
      </c>
      <c r="S2119"/>
    </row>
    <row r="2120" spans="1:19" x14ac:dyDescent="0.25">
      <c r="A2120" t="s">
        <v>67</v>
      </c>
      <c r="B2120" t="s">
        <v>325</v>
      </c>
      <c r="C2120">
        <v>162</v>
      </c>
      <c r="D2120">
        <v>115</v>
      </c>
      <c r="E2120" t="s">
        <v>234</v>
      </c>
      <c r="F2120">
        <v>40</v>
      </c>
      <c r="G2120">
        <v>33900.800000000003</v>
      </c>
      <c r="H2120">
        <v>0</v>
      </c>
      <c r="I2120">
        <v>0</v>
      </c>
      <c r="J2120">
        <v>8532</v>
      </c>
      <c r="K2120">
        <v>0</v>
      </c>
      <c r="L2120">
        <v>8532</v>
      </c>
      <c r="M2120">
        <v>8532</v>
      </c>
      <c r="N2120">
        <v>25.17</v>
      </c>
      <c r="O2120">
        <v>25368.799999999999</v>
      </c>
      <c r="P2120">
        <v>0</v>
      </c>
      <c r="S2120"/>
    </row>
    <row r="2121" spans="1:19" x14ac:dyDescent="0.25">
      <c r="A2121" t="s">
        <v>67</v>
      </c>
      <c r="B2121" t="s">
        <v>325</v>
      </c>
      <c r="C2121">
        <v>162</v>
      </c>
      <c r="D2121">
        <v>115</v>
      </c>
      <c r="E2121" t="s">
        <v>235</v>
      </c>
      <c r="G2121">
        <v>9000</v>
      </c>
      <c r="H2121">
        <v>0</v>
      </c>
      <c r="I2121">
        <v>0</v>
      </c>
      <c r="J2121">
        <v>9000</v>
      </c>
      <c r="K2121">
        <v>0</v>
      </c>
      <c r="L2121">
        <v>9000</v>
      </c>
      <c r="M2121">
        <v>9000</v>
      </c>
      <c r="N2121">
        <v>100</v>
      </c>
      <c r="O2121">
        <v>0</v>
      </c>
      <c r="P2121">
        <v>0</v>
      </c>
      <c r="S2121"/>
    </row>
    <row r="2122" spans="1:19" x14ac:dyDescent="0.25">
      <c r="A2122" t="s">
        <v>67</v>
      </c>
      <c r="B2122" t="s">
        <v>325</v>
      </c>
      <c r="C2122">
        <v>162</v>
      </c>
      <c r="D2122">
        <v>115</v>
      </c>
      <c r="E2122" t="s">
        <v>236</v>
      </c>
      <c r="G2122">
        <v>0</v>
      </c>
      <c r="H2122">
        <v>0</v>
      </c>
      <c r="I2122">
        <v>0</v>
      </c>
      <c r="J2122">
        <v>0</v>
      </c>
      <c r="K2122">
        <v>0</v>
      </c>
      <c r="L2122">
        <v>0</v>
      </c>
      <c r="M2122">
        <v>0</v>
      </c>
      <c r="N2122">
        <v>0</v>
      </c>
      <c r="O2122">
        <v>0</v>
      </c>
      <c r="P2122">
        <v>0</v>
      </c>
      <c r="S2122"/>
    </row>
    <row r="2123" spans="1:19" x14ac:dyDescent="0.25">
      <c r="A2123" t="s">
        <v>67</v>
      </c>
      <c r="B2123" t="s">
        <v>325</v>
      </c>
      <c r="C2123">
        <v>162</v>
      </c>
      <c r="D2123">
        <v>115</v>
      </c>
      <c r="E2123" t="s">
        <v>237</v>
      </c>
      <c r="G2123">
        <v>0</v>
      </c>
      <c r="H2123">
        <v>0</v>
      </c>
      <c r="I2123">
        <v>0</v>
      </c>
      <c r="J2123">
        <v>0</v>
      </c>
      <c r="K2123">
        <v>0</v>
      </c>
      <c r="L2123">
        <v>0</v>
      </c>
      <c r="M2123">
        <v>0</v>
      </c>
      <c r="N2123">
        <v>0</v>
      </c>
      <c r="O2123">
        <v>0</v>
      </c>
      <c r="P2123">
        <v>0</v>
      </c>
      <c r="S2123"/>
    </row>
    <row r="2124" spans="1:19" x14ac:dyDescent="0.25">
      <c r="A2124" t="s">
        <v>67</v>
      </c>
      <c r="B2124" t="s">
        <v>325</v>
      </c>
      <c r="C2124">
        <v>162</v>
      </c>
      <c r="D2124">
        <v>115</v>
      </c>
      <c r="E2124" t="s">
        <v>238</v>
      </c>
      <c r="G2124">
        <v>127652.8</v>
      </c>
      <c r="H2124">
        <v>0</v>
      </c>
      <c r="I2124">
        <v>0</v>
      </c>
      <c r="J2124">
        <v>38862</v>
      </c>
      <c r="K2124">
        <v>0</v>
      </c>
      <c r="L2124">
        <v>38862</v>
      </c>
      <c r="M2124">
        <v>38862</v>
      </c>
      <c r="N2124">
        <v>30.44</v>
      </c>
      <c r="O2124">
        <v>88790.8</v>
      </c>
      <c r="P2124">
        <v>0</v>
      </c>
      <c r="S2124"/>
    </row>
    <row r="2125" spans="1:19" x14ac:dyDescent="0.25">
      <c r="A2125" t="s">
        <v>67</v>
      </c>
      <c r="B2125" t="s">
        <v>326</v>
      </c>
      <c r="C2125">
        <v>164</v>
      </c>
      <c r="D2125">
        <v>116</v>
      </c>
      <c r="E2125" t="s">
        <v>228</v>
      </c>
      <c r="G2125">
        <v>68940</v>
      </c>
      <c r="H2125">
        <v>0</v>
      </c>
      <c r="I2125">
        <v>0</v>
      </c>
      <c r="J2125">
        <v>16770</v>
      </c>
      <c r="K2125">
        <v>0</v>
      </c>
      <c r="L2125">
        <v>16770</v>
      </c>
      <c r="M2125">
        <v>16770</v>
      </c>
      <c r="N2125">
        <v>24.33</v>
      </c>
      <c r="O2125">
        <v>52170</v>
      </c>
      <c r="P2125">
        <v>0</v>
      </c>
      <c r="S2125"/>
    </row>
    <row r="2126" spans="1:19" x14ac:dyDescent="0.25">
      <c r="A2126" t="s">
        <v>67</v>
      </c>
      <c r="B2126" t="s">
        <v>326</v>
      </c>
      <c r="C2126">
        <v>164</v>
      </c>
      <c r="D2126">
        <v>116</v>
      </c>
      <c r="E2126" t="s">
        <v>229</v>
      </c>
      <c r="G2126">
        <v>0</v>
      </c>
      <c r="H2126">
        <v>0</v>
      </c>
      <c r="I2126">
        <v>0</v>
      </c>
      <c r="J2126">
        <v>0</v>
      </c>
      <c r="K2126">
        <v>0</v>
      </c>
      <c r="L2126">
        <v>0</v>
      </c>
      <c r="M2126">
        <v>0</v>
      </c>
      <c r="N2126">
        <v>0</v>
      </c>
      <c r="O2126">
        <v>0</v>
      </c>
      <c r="P2126">
        <v>0</v>
      </c>
      <c r="S2126"/>
    </row>
    <row r="2127" spans="1:19" x14ac:dyDescent="0.25">
      <c r="A2127" t="s">
        <v>67</v>
      </c>
      <c r="B2127" t="s">
        <v>326</v>
      </c>
      <c r="C2127">
        <v>164</v>
      </c>
      <c r="D2127">
        <v>116</v>
      </c>
      <c r="E2127" t="s">
        <v>230</v>
      </c>
      <c r="G2127">
        <v>0</v>
      </c>
      <c r="H2127">
        <v>0</v>
      </c>
      <c r="I2127">
        <v>0</v>
      </c>
      <c r="J2127">
        <v>0</v>
      </c>
      <c r="K2127">
        <v>0</v>
      </c>
      <c r="L2127">
        <v>0</v>
      </c>
      <c r="M2127">
        <v>0</v>
      </c>
      <c r="N2127">
        <v>0</v>
      </c>
      <c r="O2127">
        <v>0</v>
      </c>
      <c r="P2127">
        <v>0</v>
      </c>
      <c r="S2127"/>
    </row>
    <row r="2128" spans="1:19" x14ac:dyDescent="0.25">
      <c r="A2128" t="s">
        <v>67</v>
      </c>
      <c r="B2128" t="s">
        <v>326</v>
      </c>
      <c r="C2128">
        <v>164</v>
      </c>
      <c r="D2128">
        <v>116</v>
      </c>
      <c r="E2128" t="s">
        <v>231</v>
      </c>
      <c r="G2128">
        <v>0</v>
      </c>
      <c r="H2128">
        <v>0</v>
      </c>
      <c r="I2128">
        <v>0</v>
      </c>
      <c r="J2128">
        <v>0</v>
      </c>
      <c r="K2128">
        <v>0</v>
      </c>
      <c r="L2128">
        <v>0</v>
      </c>
      <c r="M2128">
        <v>0</v>
      </c>
      <c r="N2128">
        <v>0</v>
      </c>
      <c r="O2128">
        <v>0</v>
      </c>
      <c r="P2128">
        <v>0</v>
      </c>
      <c r="S2128"/>
    </row>
    <row r="2129" spans="1:19" x14ac:dyDescent="0.25">
      <c r="A2129" t="s">
        <v>67</v>
      </c>
      <c r="B2129" t="s">
        <v>326</v>
      </c>
      <c r="C2129">
        <v>164</v>
      </c>
      <c r="D2129">
        <v>116</v>
      </c>
      <c r="E2129" t="s">
        <v>232</v>
      </c>
      <c r="G2129">
        <v>0</v>
      </c>
      <c r="H2129">
        <v>0</v>
      </c>
      <c r="I2129">
        <v>0</v>
      </c>
      <c r="J2129">
        <v>0</v>
      </c>
      <c r="K2129">
        <v>0</v>
      </c>
      <c r="L2129">
        <v>0</v>
      </c>
      <c r="M2129">
        <v>0</v>
      </c>
      <c r="N2129">
        <v>0</v>
      </c>
      <c r="O2129">
        <v>0</v>
      </c>
      <c r="P2129">
        <v>0</v>
      </c>
      <c r="S2129"/>
    </row>
    <row r="2130" spans="1:19" x14ac:dyDescent="0.25">
      <c r="A2130" t="s">
        <v>67</v>
      </c>
      <c r="B2130" t="s">
        <v>326</v>
      </c>
      <c r="C2130">
        <v>164</v>
      </c>
      <c r="D2130">
        <v>116</v>
      </c>
      <c r="E2130" t="s">
        <v>233</v>
      </c>
      <c r="G2130">
        <v>0</v>
      </c>
      <c r="H2130">
        <v>0</v>
      </c>
      <c r="I2130">
        <v>0</v>
      </c>
      <c r="J2130">
        <v>0</v>
      </c>
      <c r="K2130">
        <v>0</v>
      </c>
      <c r="L2130">
        <v>0</v>
      </c>
      <c r="M2130">
        <v>0</v>
      </c>
      <c r="N2130">
        <v>0</v>
      </c>
      <c r="O2130">
        <v>0</v>
      </c>
      <c r="P2130">
        <v>0</v>
      </c>
      <c r="S2130"/>
    </row>
    <row r="2131" spans="1:19" x14ac:dyDescent="0.25">
      <c r="A2131" t="s">
        <v>67</v>
      </c>
      <c r="B2131" t="s">
        <v>326</v>
      </c>
      <c r="C2131">
        <v>164</v>
      </c>
      <c r="D2131">
        <v>116</v>
      </c>
      <c r="E2131" t="s">
        <v>234</v>
      </c>
      <c r="F2131">
        <v>40</v>
      </c>
      <c r="G2131">
        <v>27576</v>
      </c>
      <c r="H2131">
        <v>0</v>
      </c>
      <c r="I2131">
        <v>0</v>
      </c>
      <c r="J2131">
        <v>6708</v>
      </c>
      <c r="K2131">
        <v>0</v>
      </c>
      <c r="L2131">
        <v>6708</v>
      </c>
      <c r="M2131">
        <v>6708</v>
      </c>
      <c r="N2131">
        <v>24.33</v>
      </c>
      <c r="O2131">
        <v>20868</v>
      </c>
      <c r="P2131">
        <v>0</v>
      </c>
      <c r="S2131"/>
    </row>
    <row r="2132" spans="1:19" x14ac:dyDescent="0.25">
      <c r="A2132" t="s">
        <v>67</v>
      </c>
      <c r="B2132" t="s">
        <v>326</v>
      </c>
      <c r="C2132">
        <v>164</v>
      </c>
      <c r="D2132">
        <v>116</v>
      </c>
      <c r="E2132" t="s">
        <v>235</v>
      </c>
      <c r="G2132">
        <v>0</v>
      </c>
      <c r="H2132">
        <v>0</v>
      </c>
      <c r="I2132">
        <v>0</v>
      </c>
      <c r="J2132">
        <v>0</v>
      </c>
      <c r="K2132">
        <v>0</v>
      </c>
      <c r="L2132">
        <v>0</v>
      </c>
      <c r="M2132">
        <v>0</v>
      </c>
      <c r="N2132">
        <v>0</v>
      </c>
      <c r="O2132">
        <v>0</v>
      </c>
      <c r="P2132">
        <v>0</v>
      </c>
      <c r="S2132"/>
    </row>
    <row r="2133" spans="1:19" x14ac:dyDescent="0.25">
      <c r="A2133" t="s">
        <v>67</v>
      </c>
      <c r="B2133" t="s">
        <v>326</v>
      </c>
      <c r="C2133">
        <v>164</v>
      </c>
      <c r="D2133">
        <v>116</v>
      </c>
      <c r="E2133" t="s">
        <v>236</v>
      </c>
      <c r="G2133">
        <v>0</v>
      </c>
      <c r="H2133">
        <v>0</v>
      </c>
      <c r="I2133">
        <v>0</v>
      </c>
      <c r="J2133">
        <v>0</v>
      </c>
      <c r="K2133">
        <v>0</v>
      </c>
      <c r="L2133">
        <v>0</v>
      </c>
      <c r="M2133">
        <v>0</v>
      </c>
      <c r="N2133">
        <v>0</v>
      </c>
      <c r="O2133">
        <v>0</v>
      </c>
      <c r="P2133">
        <v>0</v>
      </c>
      <c r="S2133"/>
    </row>
    <row r="2134" spans="1:19" x14ac:dyDescent="0.25">
      <c r="A2134" t="s">
        <v>67</v>
      </c>
      <c r="B2134" t="s">
        <v>326</v>
      </c>
      <c r="C2134">
        <v>164</v>
      </c>
      <c r="D2134">
        <v>116</v>
      </c>
      <c r="E2134" t="s">
        <v>237</v>
      </c>
      <c r="G2134">
        <v>0</v>
      </c>
      <c r="H2134">
        <v>0</v>
      </c>
      <c r="I2134">
        <v>0</v>
      </c>
      <c r="J2134">
        <v>0</v>
      </c>
      <c r="K2134">
        <v>0</v>
      </c>
      <c r="L2134">
        <v>0</v>
      </c>
      <c r="M2134">
        <v>0</v>
      </c>
      <c r="N2134">
        <v>0</v>
      </c>
      <c r="O2134">
        <v>0</v>
      </c>
      <c r="P2134">
        <v>0</v>
      </c>
      <c r="S2134"/>
    </row>
    <row r="2135" spans="1:19" x14ac:dyDescent="0.25">
      <c r="A2135" t="s">
        <v>67</v>
      </c>
      <c r="B2135" t="s">
        <v>326</v>
      </c>
      <c r="C2135">
        <v>164</v>
      </c>
      <c r="D2135">
        <v>116</v>
      </c>
      <c r="E2135" t="s">
        <v>238</v>
      </c>
      <c r="G2135">
        <v>96516</v>
      </c>
      <c r="H2135">
        <v>0</v>
      </c>
      <c r="I2135">
        <v>0</v>
      </c>
      <c r="J2135">
        <v>23478</v>
      </c>
      <c r="K2135">
        <v>0</v>
      </c>
      <c r="L2135">
        <v>23478</v>
      </c>
      <c r="M2135">
        <v>23478</v>
      </c>
      <c r="N2135">
        <v>24.33</v>
      </c>
      <c r="O2135">
        <v>73038</v>
      </c>
      <c r="P2135">
        <v>0</v>
      </c>
      <c r="S2135"/>
    </row>
    <row r="2136" spans="1:19" x14ac:dyDescent="0.25">
      <c r="A2136" t="s">
        <v>67</v>
      </c>
      <c r="B2136" t="s">
        <v>327</v>
      </c>
      <c r="C2136">
        <v>168</v>
      </c>
      <c r="D2136">
        <v>117</v>
      </c>
      <c r="E2136" t="s">
        <v>228</v>
      </c>
      <c r="G2136">
        <v>60632.6</v>
      </c>
      <c r="H2136">
        <v>0</v>
      </c>
      <c r="I2136">
        <v>0</v>
      </c>
      <c r="J2136">
        <v>15440.66</v>
      </c>
      <c r="K2136">
        <v>0</v>
      </c>
      <c r="L2136">
        <v>15437.89</v>
      </c>
      <c r="M2136">
        <v>15440.66</v>
      </c>
      <c r="N2136">
        <v>25.47</v>
      </c>
      <c r="O2136">
        <v>45191.94</v>
      </c>
      <c r="P2136">
        <v>0</v>
      </c>
      <c r="S2136"/>
    </row>
    <row r="2137" spans="1:19" x14ac:dyDescent="0.25">
      <c r="A2137" t="s">
        <v>67</v>
      </c>
      <c r="B2137" t="s">
        <v>327</v>
      </c>
      <c r="C2137">
        <v>168</v>
      </c>
      <c r="D2137">
        <v>117</v>
      </c>
      <c r="E2137" t="s">
        <v>229</v>
      </c>
      <c r="G2137">
        <v>0</v>
      </c>
      <c r="H2137">
        <v>0</v>
      </c>
      <c r="I2137">
        <v>0</v>
      </c>
      <c r="J2137">
        <v>0</v>
      </c>
      <c r="K2137">
        <v>0</v>
      </c>
      <c r="L2137">
        <v>0</v>
      </c>
      <c r="M2137">
        <v>0</v>
      </c>
      <c r="N2137">
        <v>0</v>
      </c>
      <c r="O2137">
        <v>0</v>
      </c>
      <c r="P2137">
        <v>0</v>
      </c>
      <c r="S2137"/>
    </row>
    <row r="2138" spans="1:19" x14ac:dyDescent="0.25">
      <c r="A2138" t="s">
        <v>67</v>
      </c>
      <c r="B2138" t="s">
        <v>327</v>
      </c>
      <c r="C2138">
        <v>168</v>
      </c>
      <c r="D2138">
        <v>117</v>
      </c>
      <c r="E2138" t="s">
        <v>230</v>
      </c>
      <c r="G2138">
        <v>0</v>
      </c>
      <c r="H2138">
        <v>0</v>
      </c>
      <c r="I2138">
        <v>0</v>
      </c>
      <c r="J2138">
        <v>0</v>
      </c>
      <c r="K2138">
        <v>0</v>
      </c>
      <c r="L2138">
        <v>0</v>
      </c>
      <c r="M2138">
        <v>0</v>
      </c>
      <c r="N2138">
        <v>0</v>
      </c>
      <c r="O2138">
        <v>0</v>
      </c>
      <c r="P2138">
        <v>0</v>
      </c>
      <c r="S2138"/>
    </row>
    <row r="2139" spans="1:19" x14ac:dyDescent="0.25">
      <c r="A2139" t="s">
        <v>67</v>
      </c>
      <c r="B2139" t="s">
        <v>327</v>
      </c>
      <c r="C2139">
        <v>168</v>
      </c>
      <c r="D2139">
        <v>117</v>
      </c>
      <c r="E2139" t="s">
        <v>231</v>
      </c>
      <c r="G2139">
        <v>0</v>
      </c>
      <c r="H2139">
        <v>0</v>
      </c>
      <c r="I2139">
        <v>0</v>
      </c>
      <c r="J2139">
        <v>0</v>
      </c>
      <c r="K2139">
        <v>0</v>
      </c>
      <c r="L2139">
        <v>0</v>
      </c>
      <c r="M2139">
        <v>0</v>
      </c>
      <c r="N2139">
        <v>0</v>
      </c>
      <c r="O2139">
        <v>0</v>
      </c>
      <c r="P2139">
        <v>0</v>
      </c>
      <c r="S2139"/>
    </row>
    <row r="2140" spans="1:19" x14ac:dyDescent="0.25">
      <c r="A2140" t="s">
        <v>67</v>
      </c>
      <c r="B2140" t="s">
        <v>327</v>
      </c>
      <c r="C2140">
        <v>168</v>
      </c>
      <c r="D2140">
        <v>117</v>
      </c>
      <c r="E2140" t="s">
        <v>232</v>
      </c>
      <c r="G2140">
        <v>0</v>
      </c>
      <c r="H2140">
        <v>0</v>
      </c>
      <c r="I2140">
        <v>0</v>
      </c>
      <c r="J2140">
        <v>0</v>
      </c>
      <c r="K2140">
        <v>0</v>
      </c>
      <c r="L2140">
        <v>0</v>
      </c>
      <c r="M2140">
        <v>0</v>
      </c>
      <c r="N2140">
        <v>0</v>
      </c>
      <c r="O2140">
        <v>0</v>
      </c>
      <c r="P2140">
        <v>0</v>
      </c>
      <c r="S2140"/>
    </row>
    <row r="2141" spans="1:19" x14ac:dyDescent="0.25">
      <c r="A2141" t="s">
        <v>67</v>
      </c>
      <c r="B2141" t="s">
        <v>327</v>
      </c>
      <c r="C2141">
        <v>168</v>
      </c>
      <c r="D2141">
        <v>117</v>
      </c>
      <c r="E2141" t="s">
        <v>233</v>
      </c>
      <c r="G2141">
        <v>0</v>
      </c>
      <c r="H2141">
        <v>0</v>
      </c>
      <c r="I2141">
        <v>0</v>
      </c>
      <c r="J2141">
        <v>0</v>
      </c>
      <c r="K2141">
        <v>0</v>
      </c>
      <c r="L2141">
        <v>0</v>
      </c>
      <c r="M2141">
        <v>0</v>
      </c>
      <c r="N2141">
        <v>0</v>
      </c>
      <c r="O2141">
        <v>0</v>
      </c>
      <c r="P2141">
        <v>0</v>
      </c>
      <c r="S2141"/>
    </row>
    <row r="2142" spans="1:19" x14ac:dyDescent="0.25">
      <c r="A2142" t="s">
        <v>67</v>
      </c>
      <c r="B2142" t="s">
        <v>327</v>
      </c>
      <c r="C2142">
        <v>168</v>
      </c>
      <c r="D2142">
        <v>117</v>
      </c>
      <c r="E2142" t="s">
        <v>234</v>
      </c>
      <c r="F2142">
        <v>40</v>
      </c>
      <c r="G2142">
        <v>24253.040000000001</v>
      </c>
      <c r="H2142">
        <v>0</v>
      </c>
      <c r="I2142">
        <v>0</v>
      </c>
      <c r="J2142">
        <v>6176.26</v>
      </c>
      <c r="K2142">
        <v>0</v>
      </c>
      <c r="L2142">
        <v>6175.15</v>
      </c>
      <c r="M2142">
        <v>6176.26</v>
      </c>
      <c r="N2142">
        <v>25.47</v>
      </c>
      <c r="O2142">
        <v>18076.78</v>
      </c>
      <c r="P2142">
        <v>0</v>
      </c>
      <c r="S2142"/>
    </row>
    <row r="2143" spans="1:19" x14ac:dyDescent="0.25">
      <c r="A2143" t="s">
        <v>67</v>
      </c>
      <c r="B2143" t="s">
        <v>327</v>
      </c>
      <c r="C2143">
        <v>168</v>
      </c>
      <c r="D2143">
        <v>117</v>
      </c>
      <c r="E2143" t="s">
        <v>235</v>
      </c>
      <c r="G2143">
        <v>0</v>
      </c>
      <c r="H2143">
        <v>0</v>
      </c>
      <c r="I2143">
        <v>0</v>
      </c>
      <c r="J2143">
        <v>0</v>
      </c>
      <c r="K2143">
        <v>0</v>
      </c>
      <c r="L2143">
        <v>0</v>
      </c>
      <c r="M2143">
        <v>0</v>
      </c>
      <c r="N2143">
        <v>0</v>
      </c>
      <c r="O2143">
        <v>0</v>
      </c>
      <c r="P2143">
        <v>0</v>
      </c>
      <c r="S2143"/>
    </row>
    <row r="2144" spans="1:19" x14ac:dyDescent="0.25">
      <c r="A2144" t="s">
        <v>67</v>
      </c>
      <c r="B2144" t="s">
        <v>327</v>
      </c>
      <c r="C2144">
        <v>168</v>
      </c>
      <c r="D2144">
        <v>117</v>
      </c>
      <c r="E2144" t="s">
        <v>236</v>
      </c>
      <c r="G2144">
        <v>0</v>
      </c>
      <c r="H2144">
        <v>0</v>
      </c>
      <c r="I2144">
        <v>0</v>
      </c>
      <c r="J2144">
        <v>0</v>
      </c>
      <c r="K2144">
        <v>0</v>
      </c>
      <c r="L2144">
        <v>0</v>
      </c>
      <c r="M2144">
        <v>0</v>
      </c>
      <c r="N2144">
        <v>0</v>
      </c>
      <c r="O2144">
        <v>0</v>
      </c>
      <c r="P2144">
        <v>0</v>
      </c>
      <c r="S2144"/>
    </row>
    <row r="2145" spans="1:19" x14ac:dyDescent="0.25">
      <c r="A2145" t="s">
        <v>67</v>
      </c>
      <c r="B2145" t="s">
        <v>327</v>
      </c>
      <c r="C2145">
        <v>168</v>
      </c>
      <c r="D2145">
        <v>117</v>
      </c>
      <c r="E2145" t="s">
        <v>237</v>
      </c>
      <c r="G2145">
        <v>0</v>
      </c>
      <c r="H2145">
        <v>0</v>
      </c>
      <c r="I2145">
        <v>0</v>
      </c>
      <c r="J2145">
        <v>0</v>
      </c>
      <c r="K2145">
        <v>0</v>
      </c>
      <c r="L2145">
        <v>0</v>
      </c>
      <c r="M2145">
        <v>0</v>
      </c>
      <c r="N2145">
        <v>0</v>
      </c>
      <c r="O2145">
        <v>0</v>
      </c>
      <c r="P2145">
        <v>0</v>
      </c>
      <c r="S2145"/>
    </row>
    <row r="2146" spans="1:19" x14ac:dyDescent="0.25">
      <c r="A2146" t="s">
        <v>67</v>
      </c>
      <c r="B2146" t="s">
        <v>327</v>
      </c>
      <c r="C2146">
        <v>168</v>
      </c>
      <c r="D2146">
        <v>117</v>
      </c>
      <c r="E2146" t="s">
        <v>238</v>
      </c>
      <c r="G2146">
        <v>84885.64</v>
      </c>
      <c r="H2146">
        <v>0</v>
      </c>
      <c r="I2146">
        <v>0</v>
      </c>
      <c r="J2146">
        <v>21616.92</v>
      </c>
      <c r="K2146">
        <v>0</v>
      </c>
      <c r="L2146">
        <v>21613.040000000001</v>
      </c>
      <c r="M2146">
        <v>21616.92</v>
      </c>
      <c r="N2146">
        <v>25.47</v>
      </c>
      <c r="O2146">
        <v>63268.72</v>
      </c>
      <c r="P2146">
        <v>0</v>
      </c>
      <c r="S2146"/>
    </row>
    <row r="2147" spans="1:19" x14ac:dyDescent="0.25">
      <c r="A2147" t="s">
        <v>66</v>
      </c>
      <c r="B2147" t="s">
        <v>371</v>
      </c>
      <c r="C2147">
        <v>262</v>
      </c>
      <c r="D2147">
        <v>302</v>
      </c>
      <c r="E2147" t="s">
        <v>228</v>
      </c>
      <c r="F2147">
        <v>20</v>
      </c>
      <c r="G2147">
        <v>20800</v>
      </c>
      <c r="H2147">
        <v>0</v>
      </c>
      <c r="I2147">
        <v>0</v>
      </c>
      <c r="J2147">
        <v>0</v>
      </c>
      <c r="K2147">
        <v>0</v>
      </c>
      <c r="L2147">
        <v>0</v>
      </c>
      <c r="M2147">
        <v>0</v>
      </c>
      <c r="N2147">
        <v>0</v>
      </c>
      <c r="O2147">
        <v>20800</v>
      </c>
      <c r="P2147">
        <v>0</v>
      </c>
      <c r="S2147"/>
    </row>
    <row r="2148" spans="1:19" x14ac:dyDescent="0.25">
      <c r="A2148" t="s">
        <v>66</v>
      </c>
      <c r="B2148" t="s">
        <v>371</v>
      </c>
      <c r="C2148">
        <v>262</v>
      </c>
      <c r="D2148">
        <v>302</v>
      </c>
      <c r="E2148" t="s">
        <v>229</v>
      </c>
      <c r="G2148">
        <v>0</v>
      </c>
      <c r="H2148">
        <v>0</v>
      </c>
      <c r="I2148">
        <v>0</v>
      </c>
      <c r="J2148">
        <v>0</v>
      </c>
      <c r="K2148">
        <v>0</v>
      </c>
      <c r="L2148">
        <v>0</v>
      </c>
      <c r="M2148">
        <v>0</v>
      </c>
      <c r="N2148">
        <v>0</v>
      </c>
      <c r="O2148">
        <v>0</v>
      </c>
      <c r="P2148">
        <v>0</v>
      </c>
      <c r="S2148"/>
    </row>
    <row r="2149" spans="1:19" x14ac:dyDescent="0.25">
      <c r="A2149" t="s">
        <v>66</v>
      </c>
      <c r="B2149" t="s">
        <v>371</v>
      </c>
      <c r="C2149">
        <v>262</v>
      </c>
      <c r="D2149">
        <v>302</v>
      </c>
      <c r="E2149" t="s">
        <v>230</v>
      </c>
      <c r="G2149">
        <v>0</v>
      </c>
      <c r="H2149">
        <v>0</v>
      </c>
      <c r="I2149">
        <v>0</v>
      </c>
      <c r="J2149">
        <v>0</v>
      </c>
      <c r="K2149">
        <v>0</v>
      </c>
      <c r="L2149">
        <v>0</v>
      </c>
      <c r="M2149">
        <v>0</v>
      </c>
      <c r="N2149">
        <v>0</v>
      </c>
      <c r="O2149">
        <v>0</v>
      </c>
      <c r="P2149">
        <v>0</v>
      </c>
      <c r="S2149"/>
    </row>
    <row r="2150" spans="1:19" x14ac:dyDescent="0.25">
      <c r="A2150" t="s">
        <v>66</v>
      </c>
      <c r="B2150" t="s">
        <v>371</v>
      </c>
      <c r="C2150">
        <v>262</v>
      </c>
      <c r="D2150">
        <v>302</v>
      </c>
      <c r="E2150" t="s">
        <v>231</v>
      </c>
      <c r="G2150">
        <v>104000</v>
      </c>
      <c r="H2150">
        <v>0</v>
      </c>
      <c r="I2150">
        <v>0</v>
      </c>
      <c r="J2150">
        <v>0</v>
      </c>
      <c r="K2150">
        <v>0</v>
      </c>
      <c r="L2150">
        <v>0</v>
      </c>
      <c r="M2150">
        <v>0</v>
      </c>
      <c r="N2150">
        <v>0</v>
      </c>
      <c r="O2150">
        <v>104000</v>
      </c>
      <c r="P2150">
        <v>0</v>
      </c>
      <c r="S2150"/>
    </row>
    <row r="2151" spans="1:19" x14ac:dyDescent="0.25">
      <c r="A2151" t="s">
        <v>66</v>
      </c>
      <c r="B2151" t="s">
        <v>371</v>
      </c>
      <c r="C2151">
        <v>262</v>
      </c>
      <c r="D2151">
        <v>302</v>
      </c>
      <c r="E2151" t="s">
        <v>232</v>
      </c>
      <c r="G2151">
        <v>0</v>
      </c>
      <c r="H2151">
        <v>0</v>
      </c>
      <c r="I2151">
        <v>0</v>
      </c>
      <c r="J2151">
        <v>0</v>
      </c>
      <c r="K2151">
        <v>0</v>
      </c>
      <c r="L2151">
        <v>0</v>
      </c>
      <c r="M2151">
        <v>0</v>
      </c>
      <c r="N2151">
        <v>0</v>
      </c>
      <c r="O2151">
        <v>0</v>
      </c>
      <c r="P2151">
        <v>0</v>
      </c>
      <c r="S2151"/>
    </row>
    <row r="2152" spans="1:19" x14ac:dyDescent="0.25">
      <c r="A2152" t="s">
        <v>66</v>
      </c>
      <c r="B2152" t="s">
        <v>371</v>
      </c>
      <c r="C2152">
        <v>262</v>
      </c>
      <c r="D2152">
        <v>302</v>
      </c>
      <c r="E2152" t="s">
        <v>233</v>
      </c>
      <c r="G2152">
        <v>0</v>
      </c>
      <c r="H2152">
        <v>0</v>
      </c>
      <c r="I2152">
        <v>0</v>
      </c>
      <c r="J2152">
        <v>0</v>
      </c>
      <c r="K2152">
        <v>0</v>
      </c>
      <c r="L2152">
        <v>0</v>
      </c>
      <c r="M2152">
        <v>0</v>
      </c>
      <c r="N2152">
        <v>0</v>
      </c>
      <c r="O2152">
        <v>0</v>
      </c>
      <c r="P2152">
        <v>0</v>
      </c>
      <c r="S2152"/>
    </row>
    <row r="2153" spans="1:19" x14ac:dyDescent="0.25">
      <c r="A2153" t="s">
        <v>66</v>
      </c>
      <c r="B2153" t="s">
        <v>371</v>
      </c>
      <c r="C2153">
        <v>262</v>
      </c>
      <c r="D2153">
        <v>302</v>
      </c>
      <c r="E2153" t="s">
        <v>234</v>
      </c>
      <c r="G2153">
        <v>0</v>
      </c>
      <c r="H2153">
        <v>0</v>
      </c>
      <c r="I2153">
        <v>0</v>
      </c>
      <c r="J2153">
        <v>0</v>
      </c>
      <c r="K2153">
        <v>0</v>
      </c>
      <c r="L2153">
        <v>0</v>
      </c>
      <c r="M2153">
        <v>0</v>
      </c>
      <c r="N2153">
        <v>0</v>
      </c>
      <c r="O2153">
        <v>0</v>
      </c>
      <c r="P2153">
        <v>0</v>
      </c>
      <c r="S2153"/>
    </row>
    <row r="2154" spans="1:19" x14ac:dyDescent="0.25">
      <c r="A2154" t="s">
        <v>66</v>
      </c>
      <c r="B2154" t="s">
        <v>371</v>
      </c>
      <c r="C2154">
        <v>262</v>
      </c>
      <c r="D2154">
        <v>302</v>
      </c>
      <c r="E2154" t="s">
        <v>235</v>
      </c>
      <c r="G2154">
        <v>0</v>
      </c>
      <c r="H2154">
        <v>0</v>
      </c>
      <c r="I2154">
        <v>0</v>
      </c>
      <c r="J2154">
        <v>0</v>
      </c>
      <c r="K2154">
        <v>0</v>
      </c>
      <c r="L2154">
        <v>0</v>
      </c>
      <c r="M2154">
        <v>0</v>
      </c>
      <c r="N2154">
        <v>0</v>
      </c>
      <c r="O2154">
        <v>0</v>
      </c>
      <c r="P2154">
        <v>0</v>
      </c>
      <c r="S2154"/>
    </row>
    <row r="2155" spans="1:19" x14ac:dyDescent="0.25">
      <c r="A2155" t="s">
        <v>66</v>
      </c>
      <c r="B2155" t="s">
        <v>371</v>
      </c>
      <c r="C2155">
        <v>262</v>
      </c>
      <c r="D2155">
        <v>302</v>
      </c>
      <c r="E2155" t="s">
        <v>236</v>
      </c>
      <c r="G2155">
        <v>0</v>
      </c>
      <c r="H2155">
        <v>0</v>
      </c>
      <c r="I2155">
        <v>0</v>
      </c>
      <c r="J2155">
        <v>0</v>
      </c>
      <c r="K2155">
        <v>0</v>
      </c>
      <c r="L2155">
        <v>0</v>
      </c>
      <c r="M2155">
        <v>0</v>
      </c>
      <c r="N2155">
        <v>0</v>
      </c>
      <c r="O2155">
        <v>0</v>
      </c>
      <c r="P2155">
        <v>0</v>
      </c>
      <c r="S2155"/>
    </row>
    <row r="2156" spans="1:19" x14ac:dyDescent="0.25">
      <c r="A2156" t="s">
        <v>66</v>
      </c>
      <c r="B2156" t="s">
        <v>371</v>
      </c>
      <c r="C2156">
        <v>262</v>
      </c>
      <c r="D2156">
        <v>302</v>
      </c>
      <c r="E2156" t="s">
        <v>237</v>
      </c>
      <c r="G2156">
        <v>0</v>
      </c>
      <c r="H2156">
        <v>0</v>
      </c>
      <c r="I2156">
        <v>0</v>
      </c>
      <c r="J2156">
        <v>0</v>
      </c>
      <c r="K2156">
        <v>0</v>
      </c>
      <c r="L2156">
        <v>0</v>
      </c>
      <c r="M2156">
        <v>0</v>
      </c>
      <c r="N2156">
        <v>0</v>
      </c>
      <c r="O2156">
        <v>0</v>
      </c>
      <c r="P2156">
        <v>0</v>
      </c>
      <c r="S2156"/>
    </row>
    <row r="2157" spans="1:19" x14ac:dyDescent="0.25">
      <c r="A2157" t="s">
        <v>66</v>
      </c>
      <c r="B2157" t="s">
        <v>371</v>
      </c>
      <c r="C2157">
        <v>262</v>
      </c>
      <c r="D2157">
        <v>302</v>
      </c>
      <c r="E2157" t="s">
        <v>238</v>
      </c>
      <c r="G2157">
        <v>124800</v>
      </c>
      <c r="H2157">
        <v>0</v>
      </c>
      <c r="I2157">
        <v>0</v>
      </c>
      <c r="J2157">
        <v>0</v>
      </c>
      <c r="K2157">
        <v>0</v>
      </c>
      <c r="L2157">
        <v>0</v>
      </c>
      <c r="M2157">
        <v>0</v>
      </c>
      <c r="N2157">
        <v>0</v>
      </c>
      <c r="O2157">
        <v>124800</v>
      </c>
      <c r="P2157">
        <v>0</v>
      </c>
      <c r="S2157"/>
    </row>
    <row r="2158" spans="1:19" x14ac:dyDescent="0.25">
      <c r="A2158" t="s">
        <v>66</v>
      </c>
      <c r="B2158" t="s">
        <v>55</v>
      </c>
      <c r="C2158">
        <v>259</v>
      </c>
      <c r="D2158">
        <v>100</v>
      </c>
      <c r="E2158" t="s">
        <v>228</v>
      </c>
      <c r="G2158">
        <v>100000</v>
      </c>
      <c r="H2158">
        <v>0</v>
      </c>
      <c r="I2158">
        <v>0</v>
      </c>
      <c r="J2158">
        <v>22213.19</v>
      </c>
      <c r="K2158">
        <v>0</v>
      </c>
      <c r="L2158">
        <v>21363.16</v>
      </c>
      <c r="M2158">
        <v>22213.19</v>
      </c>
      <c r="N2158">
        <v>22.21</v>
      </c>
      <c r="O2158">
        <v>77786.81</v>
      </c>
      <c r="P2158">
        <v>0</v>
      </c>
      <c r="S2158"/>
    </row>
    <row r="2159" spans="1:19" x14ac:dyDescent="0.25">
      <c r="A2159" t="s">
        <v>66</v>
      </c>
      <c r="B2159" t="s">
        <v>55</v>
      </c>
      <c r="C2159">
        <v>259</v>
      </c>
      <c r="D2159">
        <v>100</v>
      </c>
      <c r="E2159" t="s">
        <v>229</v>
      </c>
      <c r="G2159">
        <v>0</v>
      </c>
      <c r="H2159">
        <v>0</v>
      </c>
      <c r="I2159">
        <v>0</v>
      </c>
      <c r="J2159">
        <v>0</v>
      </c>
      <c r="K2159">
        <v>0</v>
      </c>
      <c r="L2159">
        <v>0</v>
      </c>
      <c r="M2159">
        <v>0</v>
      </c>
      <c r="N2159">
        <v>0</v>
      </c>
      <c r="O2159">
        <v>0</v>
      </c>
      <c r="P2159">
        <v>0</v>
      </c>
      <c r="S2159"/>
    </row>
    <row r="2160" spans="1:19" x14ac:dyDescent="0.25">
      <c r="A2160" t="s">
        <v>66</v>
      </c>
      <c r="B2160" t="s">
        <v>55</v>
      </c>
      <c r="C2160">
        <v>259</v>
      </c>
      <c r="D2160">
        <v>100</v>
      </c>
      <c r="E2160" t="s">
        <v>230</v>
      </c>
      <c r="G2160">
        <v>0</v>
      </c>
      <c r="H2160">
        <v>0</v>
      </c>
      <c r="I2160">
        <v>0</v>
      </c>
      <c r="J2160">
        <v>0</v>
      </c>
      <c r="K2160">
        <v>0</v>
      </c>
      <c r="L2160">
        <v>0</v>
      </c>
      <c r="M2160">
        <v>0</v>
      </c>
      <c r="N2160">
        <v>0</v>
      </c>
      <c r="O2160">
        <v>0</v>
      </c>
      <c r="P2160">
        <v>0</v>
      </c>
      <c r="S2160"/>
    </row>
    <row r="2161" spans="1:19" x14ac:dyDescent="0.25">
      <c r="A2161" t="s">
        <v>66</v>
      </c>
      <c r="B2161" t="s">
        <v>55</v>
      </c>
      <c r="C2161">
        <v>259</v>
      </c>
      <c r="D2161">
        <v>100</v>
      </c>
      <c r="E2161" t="s">
        <v>231</v>
      </c>
      <c r="G2161">
        <v>0</v>
      </c>
      <c r="H2161">
        <v>0</v>
      </c>
      <c r="I2161">
        <v>0</v>
      </c>
      <c r="J2161">
        <v>0</v>
      </c>
      <c r="K2161">
        <v>0</v>
      </c>
      <c r="L2161">
        <v>0</v>
      </c>
      <c r="M2161">
        <v>0</v>
      </c>
      <c r="N2161">
        <v>0</v>
      </c>
      <c r="O2161">
        <v>0</v>
      </c>
      <c r="P2161">
        <v>0</v>
      </c>
      <c r="S2161"/>
    </row>
    <row r="2162" spans="1:19" x14ac:dyDescent="0.25">
      <c r="A2162" t="s">
        <v>66</v>
      </c>
      <c r="B2162" t="s">
        <v>55</v>
      </c>
      <c r="C2162">
        <v>259</v>
      </c>
      <c r="D2162">
        <v>100</v>
      </c>
      <c r="E2162" t="s">
        <v>232</v>
      </c>
      <c r="G2162">
        <v>0</v>
      </c>
      <c r="H2162">
        <v>0</v>
      </c>
      <c r="I2162">
        <v>0</v>
      </c>
      <c r="J2162">
        <v>0</v>
      </c>
      <c r="K2162">
        <v>0</v>
      </c>
      <c r="L2162">
        <v>0</v>
      </c>
      <c r="M2162">
        <v>0</v>
      </c>
      <c r="N2162">
        <v>0</v>
      </c>
      <c r="O2162">
        <v>0</v>
      </c>
      <c r="P2162">
        <v>0</v>
      </c>
      <c r="S2162"/>
    </row>
    <row r="2163" spans="1:19" x14ac:dyDescent="0.25">
      <c r="A2163" t="s">
        <v>66</v>
      </c>
      <c r="B2163" t="s">
        <v>55</v>
      </c>
      <c r="C2163">
        <v>259</v>
      </c>
      <c r="D2163">
        <v>100</v>
      </c>
      <c r="E2163" t="s">
        <v>233</v>
      </c>
      <c r="G2163">
        <v>0</v>
      </c>
      <c r="H2163">
        <v>0</v>
      </c>
      <c r="I2163">
        <v>0</v>
      </c>
      <c r="J2163">
        <v>0</v>
      </c>
      <c r="K2163">
        <v>0</v>
      </c>
      <c r="L2163">
        <v>0</v>
      </c>
      <c r="M2163">
        <v>0</v>
      </c>
      <c r="N2163">
        <v>0</v>
      </c>
      <c r="O2163">
        <v>0</v>
      </c>
      <c r="P2163">
        <v>0</v>
      </c>
      <c r="S2163"/>
    </row>
    <row r="2164" spans="1:19" x14ac:dyDescent="0.25">
      <c r="A2164" t="s">
        <v>66</v>
      </c>
      <c r="B2164" t="s">
        <v>55</v>
      </c>
      <c r="C2164">
        <v>259</v>
      </c>
      <c r="D2164">
        <v>100</v>
      </c>
      <c r="E2164" t="s">
        <v>234</v>
      </c>
      <c r="F2164">
        <v>40</v>
      </c>
      <c r="G2164">
        <v>40000</v>
      </c>
      <c r="H2164">
        <v>0</v>
      </c>
      <c r="I2164">
        <v>0</v>
      </c>
      <c r="J2164">
        <v>8885.27</v>
      </c>
      <c r="K2164">
        <v>0</v>
      </c>
      <c r="L2164">
        <v>8545.26</v>
      </c>
      <c r="M2164">
        <v>8885.27</v>
      </c>
      <c r="N2164">
        <v>22.21</v>
      </c>
      <c r="O2164">
        <v>31114.73</v>
      </c>
      <c r="P2164">
        <v>0</v>
      </c>
      <c r="S2164"/>
    </row>
    <row r="2165" spans="1:19" x14ac:dyDescent="0.25">
      <c r="A2165" t="s">
        <v>66</v>
      </c>
      <c r="B2165" t="s">
        <v>55</v>
      </c>
      <c r="C2165">
        <v>259</v>
      </c>
      <c r="D2165">
        <v>100</v>
      </c>
      <c r="E2165" t="s">
        <v>235</v>
      </c>
      <c r="G2165">
        <v>0</v>
      </c>
      <c r="H2165">
        <v>0</v>
      </c>
      <c r="I2165">
        <v>0</v>
      </c>
      <c r="J2165">
        <v>0</v>
      </c>
      <c r="K2165">
        <v>0</v>
      </c>
      <c r="L2165">
        <v>0</v>
      </c>
      <c r="M2165">
        <v>0</v>
      </c>
      <c r="N2165">
        <v>0</v>
      </c>
      <c r="O2165">
        <v>0</v>
      </c>
      <c r="P2165">
        <v>0</v>
      </c>
      <c r="S2165"/>
    </row>
    <row r="2166" spans="1:19" x14ac:dyDescent="0.25">
      <c r="A2166" t="s">
        <v>66</v>
      </c>
      <c r="B2166" t="s">
        <v>55</v>
      </c>
      <c r="C2166">
        <v>259</v>
      </c>
      <c r="D2166">
        <v>100</v>
      </c>
      <c r="E2166" t="s">
        <v>236</v>
      </c>
      <c r="G2166">
        <v>0</v>
      </c>
      <c r="H2166">
        <v>0</v>
      </c>
      <c r="I2166">
        <v>0</v>
      </c>
      <c r="J2166">
        <v>0</v>
      </c>
      <c r="K2166">
        <v>0</v>
      </c>
      <c r="L2166">
        <v>0</v>
      </c>
      <c r="M2166">
        <v>0</v>
      </c>
      <c r="N2166">
        <v>0</v>
      </c>
      <c r="O2166">
        <v>0</v>
      </c>
      <c r="P2166">
        <v>0</v>
      </c>
      <c r="S2166"/>
    </row>
    <row r="2167" spans="1:19" x14ac:dyDescent="0.25">
      <c r="A2167" t="s">
        <v>66</v>
      </c>
      <c r="B2167" t="s">
        <v>55</v>
      </c>
      <c r="C2167">
        <v>259</v>
      </c>
      <c r="D2167">
        <v>100</v>
      </c>
      <c r="E2167" t="s">
        <v>237</v>
      </c>
      <c r="G2167">
        <v>0</v>
      </c>
      <c r="H2167">
        <v>0</v>
      </c>
      <c r="I2167">
        <v>0</v>
      </c>
      <c r="J2167">
        <v>0</v>
      </c>
      <c r="K2167">
        <v>0</v>
      </c>
      <c r="L2167">
        <v>0</v>
      </c>
      <c r="M2167">
        <v>0</v>
      </c>
      <c r="N2167">
        <v>0</v>
      </c>
      <c r="O2167">
        <v>0</v>
      </c>
      <c r="P2167">
        <v>0</v>
      </c>
      <c r="S2167"/>
    </row>
    <row r="2168" spans="1:19" x14ac:dyDescent="0.25">
      <c r="A2168" t="s">
        <v>66</v>
      </c>
      <c r="B2168" t="s">
        <v>55</v>
      </c>
      <c r="C2168">
        <v>259</v>
      </c>
      <c r="D2168">
        <v>100</v>
      </c>
      <c r="E2168" t="s">
        <v>238</v>
      </c>
      <c r="G2168">
        <v>140000</v>
      </c>
      <c r="H2168">
        <v>0</v>
      </c>
      <c r="I2168">
        <v>0</v>
      </c>
      <c r="J2168">
        <v>31098.46</v>
      </c>
      <c r="K2168">
        <v>0</v>
      </c>
      <c r="L2168">
        <v>29908.42</v>
      </c>
      <c r="M2168">
        <v>31098.46</v>
      </c>
      <c r="N2168">
        <v>22.21</v>
      </c>
      <c r="O2168">
        <v>108901.54</v>
      </c>
      <c r="P2168">
        <v>0</v>
      </c>
      <c r="S2168"/>
    </row>
    <row r="2169" spans="1:19" x14ac:dyDescent="0.25">
      <c r="A2169" t="s">
        <v>66</v>
      </c>
      <c r="B2169" t="s">
        <v>372</v>
      </c>
      <c r="C2169">
        <v>261</v>
      </c>
      <c r="D2169">
        <v>215</v>
      </c>
      <c r="E2169" t="s">
        <v>228</v>
      </c>
      <c r="F2169">
        <v>20</v>
      </c>
      <c r="G2169">
        <v>20832</v>
      </c>
      <c r="H2169">
        <v>0</v>
      </c>
      <c r="I2169">
        <v>0</v>
      </c>
      <c r="J2169">
        <v>0</v>
      </c>
      <c r="K2169">
        <v>0</v>
      </c>
      <c r="L2169">
        <v>0</v>
      </c>
      <c r="M2169">
        <v>0</v>
      </c>
      <c r="N2169">
        <v>0</v>
      </c>
      <c r="O2169">
        <v>20832</v>
      </c>
      <c r="P2169">
        <v>0</v>
      </c>
      <c r="S2169"/>
    </row>
    <row r="2170" spans="1:19" x14ac:dyDescent="0.25">
      <c r="A2170" t="s">
        <v>66</v>
      </c>
      <c r="B2170" t="s">
        <v>372</v>
      </c>
      <c r="C2170">
        <v>261</v>
      </c>
      <c r="D2170">
        <v>215</v>
      </c>
      <c r="E2170" t="s">
        <v>229</v>
      </c>
      <c r="G2170">
        <v>0</v>
      </c>
      <c r="H2170">
        <v>0</v>
      </c>
      <c r="I2170">
        <v>0</v>
      </c>
      <c r="J2170">
        <v>0</v>
      </c>
      <c r="K2170">
        <v>0</v>
      </c>
      <c r="L2170">
        <v>0</v>
      </c>
      <c r="M2170">
        <v>0</v>
      </c>
      <c r="N2170">
        <v>0</v>
      </c>
      <c r="O2170">
        <v>0</v>
      </c>
      <c r="P2170">
        <v>0</v>
      </c>
      <c r="S2170"/>
    </row>
    <row r="2171" spans="1:19" x14ac:dyDescent="0.25">
      <c r="A2171" t="s">
        <v>66</v>
      </c>
      <c r="B2171" t="s">
        <v>372</v>
      </c>
      <c r="C2171">
        <v>261</v>
      </c>
      <c r="D2171">
        <v>215</v>
      </c>
      <c r="E2171" t="s">
        <v>230</v>
      </c>
      <c r="G2171">
        <v>0</v>
      </c>
      <c r="H2171">
        <v>0</v>
      </c>
      <c r="I2171">
        <v>0</v>
      </c>
      <c r="J2171">
        <v>0</v>
      </c>
      <c r="K2171">
        <v>0</v>
      </c>
      <c r="L2171">
        <v>0</v>
      </c>
      <c r="M2171">
        <v>0</v>
      </c>
      <c r="N2171">
        <v>0</v>
      </c>
      <c r="O2171">
        <v>0</v>
      </c>
      <c r="P2171">
        <v>0</v>
      </c>
      <c r="S2171"/>
    </row>
    <row r="2172" spans="1:19" x14ac:dyDescent="0.25">
      <c r="A2172" t="s">
        <v>66</v>
      </c>
      <c r="B2172" t="s">
        <v>372</v>
      </c>
      <c r="C2172">
        <v>261</v>
      </c>
      <c r="D2172">
        <v>215</v>
      </c>
      <c r="E2172" t="s">
        <v>231</v>
      </c>
      <c r="G2172">
        <v>104160</v>
      </c>
      <c r="H2172">
        <v>0</v>
      </c>
      <c r="I2172">
        <v>0</v>
      </c>
      <c r="J2172">
        <v>0</v>
      </c>
      <c r="K2172">
        <v>0</v>
      </c>
      <c r="L2172">
        <v>0</v>
      </c>
      <c r="M2172">
        <v>0</v>
      </c>
      <c r="N2172">
        <v>0</v>
      </c>
      <c r="O2172">
        <v>104160</v>
      </c>
      <c r="P2172">
        <v>0</v>
      </c>
      <c r="S2172"/>
    </row>
    <row r="2173" spans="1:19" x14ac:dyDescent="0.25">
      <c r="A2173" t="s">
        <v>66</v>
      </c>
      <c r="B2173" t="s">
        <v>372</v>
      </c>
      <c r="C2173">
        <v>261</v>
      </c>
      <c r="D2173">
        <v>215</v>
      </c>
      <c r="E2173" t="s">
        <v>232</v>
      </c>
      <c r="G2173">
        <v>0</v>
      </c>
      <c r="H2173">
        <v>0</v>
      </c>
      <c r="I2173">
        <v>0</v>
      </c>
      <c r="J2173">
        <v>0</v>
      </c>
      <c r="K2173">
        <v>0</v>
      </c>
      <c r="L2173">
        <v>0</v>
      </c>
      <c r="M2173">
        <v>0</v>
      </c>
      <c r="N2173">
        <v>0</v>
      </c>
      <c r="O2173">
        <v>0</v>
      </c>
      <c r="P2173">
        <v>0</v>
      </c>
      <c r="S2173"/>
    </row>
    <row r="2174" spans="1:19" x14ac:dyDescent="0.25">
      <c r="A2174" t="s">
        <v>66</v>
      </c>
      <c r="B2174" t="s">
        <v>372</v>
      </c>
      <c r="C2174">
        <v>261</v>
      </c>
      <c r="D2174">
        <v>215</v>
      </c>
      <c r="E2174" t="s">
        <v>233</v>
      </c>
      <c r="G2174">
        <v>0</v>
      </c>
      <c r="H2174">
        <v>0</v>
      </c>
      <c r="I2174">
        <v>0</v>
      </c>
      <c r="J2174">
        <v>0</v>
      </c>
      <c r="K2174">
        <v>0</v>
      </c>
      <c r="L2174">
        <v>0</v>
      </c>
      <c r="M2174">
        <v>0</v>
      </c>
      <c r="N2174">
        <v>0</v>
      </c>
      <c r="O2174">
        <v>0</v>
      </c>
      <c r="P2174">
        <v>0</v>
      </c>
      <c r="S2174"/>
    </row>
    <row r="2175" spans="1:19" x14ac:dyDescent="0.25">
      <c r="A2175" t="s">
        <v>66</v>
      </c>
      <c r="B2175" t="s">
        <v>372</v>
      </c>
      <c r="C2175">
        <v>261</v>
      </c>
      <c r="D2175">
        <v>215</v>
      </c>
      <c r="E2175" t="s">
        <v>234</v>
      </c>
      <c r="G2175">
        <v>0</v>
      </c>
      <c r="H2175">
        <v>0</v>
      </c>
      <c r="I2175">
        <v>0</v>
      </c>
      <c r="J2175">
        <v>0</v>
      </c>
      <c r="K2175">
        <v>0</v>
      </c>
      <c r="L2175">
        <v>0</v>
      </c>
      <c r="M2175">
        <v>0</v>
      </c>
      <c r="N2175">
        <v>0</v>
      </c>
      <c r="O2175">
        <v>0</v>
      </c>
      <c r="P2175">
        <v>0</v>
      </c>
      <c r="S2175"/>
    </row>
    <row r="2176" spans="1:19" x14ac:dyDescent="0.25">
      <c r="A2176" t="s">
        <v>66</v>
      </c>
      <c r="B2176" t="s">
        <v>372</v>
      </c>
      <c r="C2176">
        <v>261</v>
      </c>
      <c r="D2176">
        <v>215</v>
      </c>
      <c r="E2176" t="s">
        <v>235</v>
      </c>
      <c r="G2176">
        <v>0</v>
      </c>
      <c r="H2176">
        <v>0</v>
      </c>
      <c r="I2176">
        <v>0</v>
      </c>
      <c r="J2176">
        <v>0</v>
      </c>
      <c r="K2176">
        <v>0</v>
      </c>
      <c r="L2176">
        <v>0</v>
      </c>
      <c r="M2176">
        <v>0</v>
      </c>
      <c r="N2176">
        <v>0</v>
      </c>
      <c r="O2176">
        <v>0</v>
      </c>
      <c r="P2176">
        <v>0</v>
      </c>
      <c r="S2176"/>
    </row>
    <row r="2177" spans="1:19" x14ac:dyDescent="0.25">
      <c r="A2177" t="s">
        <v>66</v>
      </c>
      <c r="B2177" t="s">
        <v>372</v>
      </c>
      <c r="C2177">
        <v>261</v>
      </c>
      <c r="D2177">
        <v>215</v>
      </c>
      <c r="E2177" t="s">
        <v>236</v>
      </c>
      <c r="G2177">
        <v>0</v>
      </c>
      <c r="H2177">
        <v>0</v>
      </c>
      <c r="I2177">
        <v>0</v>
      </c>
      <c r="J2177">
        <v>0</v>
      </c>
      <c r="K2177">
        <v>0</v>
      </c>
      <c r="L2177">
        <v>0</v>
      </c>
      <c r="M2177">
        <v>0</v>
      </c>
      <c r="N2177">
        <v>0</v>
      </c>
      <c r="O2177">
        <v>0</v>
      </c>
      <c r="P2177">
        <v>0</v>
      </c>
      <c r="S2177"/>
    </row>
    <row r="2178" spans="1:19" x14ac:dyDescent="0.25">
      <c r="A2178" t="s">
        <v>66</v>
      </c>
      <c r="B2178" t="s">
        <v>372</v>
      </c>
      <c r="C2178">
        <v>261</v>
      </c>
      <c r="D2178">
        <v>215</v>
      </c>
      <c r="E2178" t="s">
        <v>237</v>
      </c>
      <c r="G2178">
        <v>0</v>
      </c>
      <c r="H2178">
        <v>0</v>
      </c>
      <c r="I2178">
        <v>0</v>
      </c>
      <c r="J2178">
        <v>0</v>
      </c>
      <c r="K2178">
        <v>0</v>
      </c>
      <c r="L2178">
        <v>0</v>
      </c>
      <c r="M2178">
        <v>0</v>
      </c>
      <c r="N2178">
        <v>0</v>
      </c>
      <c r="O2178">
        <v>0</v>
      </c>
      <c r="P2178">
        <v>0</v>
      </c>
      <c r="S2178"/>
    </row>
    <row r="2179" spans="1:19" x14ac:dyDescent="0.25">
      <c r="A2179" t="s">
        <v>66</v>
      </c>
      <c r="B2179" t="s">
        <v>372</v>
      </c>
      <c r="C2179">
        <v>261</v>
      </c>
      <c r="D2179">
        <v>215</v>
      </c>
      <c r="E2179" t="s">
        <v>238</v>
      </c>
      <c r="G2179">
        <v>124992</v>
      </c>
      <c r="H2179">
        <v>0</v>
      </c>
      <c r="I2179">
        <v>0</v>
      </c>
      <c r="J2179">
        <v>0</v>
      </c>
      <c r="K2179">
        <v>0</v>
      </c>
      <c r="L2179">
        <v>0</v>
      </c>
      <c r="M2179">
        <v>0</v>
      </c>
      <c r="N2179">
        <v>0</v>
      </c>
      <c r="O2179">
        <v>124992</v>
      </c>
      <c r="P2179">
        <v>0</v>
      </c>
      <c r="S2179"/>
    </row>
    <row r="2180" spans="1:19" x14ac:dyDescent="0.25">
      <c r="A2180" t="s">
        <v>66</v>
      </c>
      <c r="B2180" t="s">
        <v>36</v>
      </c>
      <c r="C2180">
        <v>260</v>
      </c>
      <c r="D2180">
        <v>207</v>
      </c>
      <c r="E2180" t="s">
        <v>228</v>
      </c>
      <c r="G2180">
        <v>51120</v>
      </c>
      <c r="H2180">
        <v>0</v>
      </c>
      <c r="I2180">
        <v>0</v>
      </c>
      <c r="J2180">
        <v>8996.16</v>
      </c>
      <c r="K2180">
        <v>0</v>
      </c>
      <c r="L2180">
        <v>8996.16</v>
      </c>
      <c r="M2180">
        <v>8996.16</v>
      </c>
      <c r="N2180">
        <v>17.600000000000001</v>
      </c>
      <c r="O2180">
        <v>42123.839999999997</v>
      </c>
      <c r="P2180">
        <v>0</v>
      </c>
      <c r="S2180"/>
    </row>
    <row r="2181" spans="1:19" x14ac:dyDescent="0.25">
      <c r="A2181" t="s">
        <v>66</v>
      </c>
      <c r="B2181" t="s">
        <v>36</v>
      </c>
      <c r="C2181">
        <v>260</v>
      </c>
      <c r="D2181">
        <v>207</v>
      </c>
      <c r="E2181" t="s">
        <v>229</v>
      </c>
      <c r="F2181">
        <v>15</v>
      </c>
      <c r="G2181">
        <v>7668</v>
      </c>
      <c r="H2181">
        <v>0</v>
      </c>
      <c r="I2181">
        <v>0</v>
      </c>
      <c r="J2181">
        <v>1349.42</v>
      </c>
      <c r="K2181">
        <v>0</v>
      </c>
      <c r="L2181">
        <v>1349.42</v>
      </c>
      <c r="M2181">
        <v>1349.42</v>
      </c>
      <c r="N2181">
        <v>17.600000000000001</v>
      </c>
      <c r="O2181">
        <v>6318.58</v>
      </c>
      <c r="P2181">
        <v>0</v>
      </c>
      <c r="S2181"/>
    </row>
    <row r="2182" spans="1:19" x14ac:dyDescent="0.25">
      <c r="A2182" t="s">
        <v>66</v>
      </c>
      <c r="B2182" t="s">
        <v>36</v>
      </c>
      <c r="C2182">
        <v>260</v>
      </c>
      <c r="D2182">
        <v>207</v>
      </c>
      <c r="E2182" t="s">
        <v>230</v>
      </c>
      <c r="F2182">
        <v>4</v>
      </c>
      <c r="G2182">
        <v>2044.8</v>
      </c>
      <c r="H2182">
        <v>0</v>
      </c>
      <c r="I2182">
        <v>0</v>
      </c>
      <c r="J2182">
        <v>359.84</v>
      </c>
      <c r="K2182">
        <v>0</v>
      </c>
      <c r="L2182">
        <v>359.84</v>
      </c>
      <c r="M2182">
        <v>359.84</v>
      </c>
      <c r="N2182">
        <v>17.600000000000001</v>
      </c>
      <c r="O2182">
        <v>1684.96</v>
      </c>
      <c r="P2182">
        <v>0</v>
      </c>
      <c r="S2182"/>
    </row>
    <row r="2183" spans="1:19" x14ac:dyDescent="0.25">
      <c r="A2183" t="s">
        <v>66</v>
      </c>
      <c r="B2183" t="s">
        <v>36</v>
      </c>
      <c r="C2183">
        <v>260</v>
      </c>
      <c r="D2183">
        <v>207</v>
      </c>
      <c r="E2183" t="s">
        <v>231</v>
      </c>
      <c r="G2183">
        <v>45608.6</v>
      </c>
      <c r="H2183">
        <v>0</v>
      </c>
      <c r="I2183">
        <v>0</v>
      </c>
      <c r="J2183">
        <v>137.49</v>
      </c>
      <c r="K2183">
        <v>0</v>
      </c>
      <c r="L2183">
        <v>137.49</v>
      </c>
      <c r="M2183">
        <v>137.49</v>
      </c>
      <c r="N2183">
        <v>0.3</v>
      </c>
      <c r="O2183">
        <v>45471.11</v>
      </c>
      <c r="P2183">
        <v>0</v>
      </c>
      <c r="S2183"/>
    </row>
    <row r="2184" spans="1:19" x14ac:dyDescent="0.25">
      <c r="A2184" t="s">
        <v>66</v>
      </c>
      <c r="B2184" t="s">
        <v>36</v>
      </c>
      <c r="C2184">
        <v>260</v>
      </c>
      <c r="D2184">
        <v>207</v>
      </c>
      <c r="E2184" t="s">
        <v>232</v>
      </c>
      <c r="G2184">
        <v>3558.6</v>
      </c>
      <c r="H2184">
        <v>0</v>
      </c>
      <c r="I2184">
        <v>0</v>
      </c>
      <c r="J2184">
        <v>2997.54</v>
      </c>
      <c r="K2184">
        <v>0</v>
      </c>
      <c r="L2184">
        <v>2997.54</v>
      </c>
      <c r="M2184">
        <v>2997.54</v>
      </c>
      <c r="N2184">
        <v>84.23</v>
      </c>
      <c r="O2184">
        <v>561.05999999999995</v>
      </c>
      <c r="P2184">
        <v>0</v>
      </c>
      <c r="S2184"/>
    </row>
    <row r="2185" spans="1:19" x14ac:dyDescent="0.25">
      <c r="A2185" t="s">
        <v>66</v>
      </c>
      <c r="B2185" t="s">
        <v>36</v>
      </c>
      <c r="C2185">
        <v>260</v>
      </c>
      <c r="D2185">
        <v>207</v>
      </c>
      <c r="E2185" t="s">
        <v>233</v>
      </c>
      <c r="G2185">
        <v>0</v>
      </c>
      <c r="H2185">
        <v>0</v>
      </c>
      <c r="I2185">
        <v>0</v>
      </c>
      <c r="J2185">
        <v>0</v>
      </c>
      <c r="K2185">
        <v>0</v>
      </c>
      <c r="L2185">
        <v>0</v>
      </c>
      <c r="M2185">
        <v>0</v>
      </c>
      <c r="N2185">
        <v>0</v>
      </c>
      <c r="O2185">
        <v>0</v>
      </c>
      <c r="P2185">
        <v>0</v>
      </c>
      <c r="S2185"/>
    </row>
    <row r="2186" spans="1:19" x14ac:dyDescent="0.25">
      <c r="A2186" t="s">
        <v>66</v>
      </c>
      <c r="B2186" t="s">
        <v>36</v>
      </c>
      <c r="C2186">
        <v>260</v>
      </c>
      <c r="D2186">
        <v>207</v>
      </c>
      <c r="E2186" t="s">
        <v>234</v>
      </c>
      <c r="G2186">
        <v>0</v>
      </c>
      <c r="H2186">
        <v>0</v>
      </c>
      <c r="I2186">
        <v>0</v>
      </c>
      <c r="J2186">
        <v>0</v>
      </c>
      <c r="K2186">
        <v>0</v>
      </c>
      <c r="L2186">
        <v>0</v>
      </c>
      <c r="M2186">
        <v>0</v>
      </c>
      <c r="N2186">
        <v>0</v>
      </c>
      <c r="O2186">
        <v>0</v>
      </c>
      <c r="P2186">
        <v>0</v>
      </c>
      <c r="S2186"/>
    </row>
    <row r="2187" spans="1:19" x14ac:dyDescent="0.25">
      <c r="A2187" t="s">
        <v>66</v>
      </c>
      <c r="B2187" t="s">
        <v>36</v>
      </c>
      <c r="C2187">
        <v>260</v>
      </c>
      <c r="D2187">
        <v>207</v>
      </c>
      <c r="E2187" t="s">
        <v>235</v>
      </c>
      <c r="G2187">
        <v>0</v>
      </c>
      <c r="H2187">
        <v>0</v>
      </c>
      <c r="I2187">
        <v>0</v>
      </c>
      <c r="J2187">
        <v>0</v>
      </c>
      <c r="K2187">
        <v>0</v>
      </c>
      <c r="L2187">
        <v>0</v>
      </c>
      <c r="M2187">
        <v>0</v>
      </c>
      <c r="N2187">
        <v>0</v>
      </c>
      <c r="O2187">
        <v>0</v>
      </c>
      <c r="P2187">
        <v>0</v>
      </c>
      <c r="S2187"/>
    </row>
    <row r="2188" spans="1:19" x14ac:dyDescent="0.25">
      <c r="A2188" t="s">
        <v>66</v>
      </c>
      <c r="B2188" t="s">
        <v>36</v>
      </c>
      <c r="C2188">
        <v>260</v>
      </c>
      <c r="D2188">
        <v>207</v>
      </c>
      <c r="E2188" t="s">
        <v>236</v>
      </c>
      <c r="G2188">
        <v>0</v>
      </c>
      <c r="H2188">
        <v>0</v>
      </c>
      <c r="I2188">
        <v>0</v>
      </c>
      <c r="J2188">
        <v>0</v>
      </c>
      <c r="K2188">
        <v>0</v>
      </c>
      <c r="L2188">
        <v>0</v>
      </c>
      <c r="M2188">
        <v>0</v>
      </c>
      <c r="N2188">
        <v>0</v>
      </c>
      <c r="O2188">
        <v>0</v>
      </c>
      <c r="P2188">
        <v>0</v>
      </c>
      <c r="S2188"/>
    </row>
    <row r="2189" spans="1:19" x14ac:dyDescent="0.25">
      <c r="A2189" t="s">
        <v>66</v>
      </c>
      <c r="B2189" t="s">
        <v>36</v>
      </c>
      <c r="C2189">
        <v>260</v>
      </c>
      <c r="D2189">
        <v>207</v>
      </c>
      <c r="E2189" t="s">
        <v>237</v>
      </c>
      <c r="G2189">
        <v>0</v>
      </c>
      <c r="H2189">
        <v>0</v>
      </c>
      <c r="I2189">
        <v>0</v>
      </c>
      <c r="J2189">
        <v>0</v>
      </c>
      <c r="K2189">
        <v>0</v>
      </c>
      <c r="L2189">
        <v>0</v>
      </c>
      <c r="M2189">
        <v>0</v>
      </c>
      <c r="N2189">
        <v>0</v>
      </c>
      <c r="O2189">
        <v>0</v>
      </c>
      <c r="P2189">
        <v>0</v>
      </c>
      <c r="S2189"/>
    </row>
    <row r="2190" spans="1:19" x14ac:dyDescent="0.25">
      <c r="A2190" t="s">
        <v>66</v>
      </c>
      <c r="B2190" t="s">
        <v>36</v>
      </c>
      <c r="C2190">
        <v>260</v>
      </c>
      <c r="D2190">
        <v>207</v>
      </c>
      <c r="E2190" t="s">
        <v>238</v>
      </c>
      <c r="G2190">
        <v>110000</v>
      </c>
      <c r="H2190">
        <v>0</v>
      </c>
      <c r="I2190">
        <v>0</v>
      </c>
      <c r="J2190">
        <v>13840.45</v>
      </c>
      <c r="K2190">
        <v>0</v>
      </c>
      <c r="L2190">
        <v>13840.45</v>
      </c>
      <c r="M2190">
        <v>13840.45</v>
      </c>
      <c r="N2190">
        <v>12.58</v>
      </c>
      <c r="O2190">
        <v>96159.55</v>
      </c>
      <c r="P2190">
        <v>0</v>
      </c>
      <c r="S2190"/>
    </row>
    <row r="2191" spans="1:19" x14ac:dyDescent="0.25">
      <c r="A2191" t="s">
        <v>66</v>
      </c>
      <c r="B2191" t="s">
        <v>21</v>
      </c>
      <c r="C2191">
        <v>258</v>
      </c>
      <c r="D2191">
        <v>161</v>
      </c>
      <c r="E2191" t="s">
        <v>228</v>
      </c>
      <c r="F2191">
        <v>20</v>
      </c>
      <c r="G2191">
        <v>38933.760000000002</v>
      </c>
      <c r="H2191">
        <v>0</v>
      </c>
      <c r="I2191">
        <v>0</v>
      </c>
      <c r="J2191">
        <v>1843.92</v>
      </c>
      <c r="K2191">
        <v>0</v>
      </c>
      <c r="L2191">
        <v>1843.92</v>
      </c>
      <c r="M2191">
        <v>1843.92</v>
      </c>
      <c r="N2191">
        <v>4.74</v>
      </c>
      <c r="O2191">
        <v>37089.839999999997</v>
      </c>
      <c r="P2191">
        <v>0</v>
      </c>
      <c r="S2191"/>
    </row>
    <row r="2192" spans="1:19" x14ac:dyDescent="0.25">
      <c r="A2192" t="s">
        <v>66</v>
      </c>
      <c r="B2192" t="s">
        <v>21</v>
      </c>
      <c r="C2192">
        <v>258</v>
      </c>
      <c r="D2192">
        <v>161</v>
      </c>
      <c r="E2192" t="s">
        <v>229</v>
      </c>
      <c r="F2192">
        <v>15</v>
      </c>
      <c r="G2192">
        <v>5840.06</v>
      </c>
      <c r="H2192">
        <v>0</v>
      </c>
      <c r="I2192">
        <v>0</v>
      </c>
      <c r="J2192">
        <v>276.58</v>
      </c>
      <c r="K2192">
        <v>0</v>
      </c>
      <c r="L2192">
        <v>276.58</v>
      </c>
      <c r="M2192">
        <v>276.58</v>
      </c>
      <c r="N2192">
        <v>4.74</v>
      </c>
      <c r="O2192">
        <v>5563.48</v>
      </c>
      <c r="P2192">
        <v>0</v>
      </c>
      <c r="S2192"/>
    </row>
    <row r="2193" spans="1:19" x14ac:dyDescent="0.25">
      <c r="A2193" t="s">
        <v>66</v>
      </c>
      <c r="B2193" t="s">
        <v>21</v>
      </c>
      <c r="C2193">
        <v>258</v>
      </c>
      <c r="D2193">
        <v>161</v>
      </c>
      <c r="E2193" t="s">
        <v>230</v>
      </c>
      <c r="F2193">
        <v>4</v>
      </c>
      <c r="G2193">
        <v>1557.35</v>
      </c>
      <c r="H2193">
        <v>0</v>
      </c>
      <c r="I2193">
        <v>0</v>
      </c>
      <c r="J2193">
        <v>73.75</v>
      </c>
      <c r="K2193">
        <v>0</v>
      </c>
      <c r="L2193">
        <v>73.75</v>
      </c>
      <c r="M2193">
        <v>73.75</v>
      </c>
      <c r="N2193">
        <v>4.74</v>
      </c>
      <c r="O2193">
        <v>1483.6</v>
      </c>
      <c r="P2193">
        <v>0</v>
      </c>
      <c r="S2193"/>
    </row>
    <row r="2194" spans="1:19" x14ac:dyDescent="0.25">
      <c r="A2194" t="s">
        <v>66</v>
      </c>
      <c r="B2194" t="s">
        <v>21</v>
      </c>
      <c r="C2194">
        <v>258</v>
      </c>
      <c r="D2194">
        <v>161</v>
      </c>
      <c r="E2194" t="s">
        <v>231</v>
      </c>
      <c r="G2194">
        <v>194668.79999999999</v>
      </c>
      <c r="H2194">
        <v>0</v>
      </c>
      <c r="I2194">
        <v>0</v>
      </c>
      <c r="J2194">
        <v>9219.6299999999992</v>
      </c>
      <c r="K2194">
        <v>0</v>
      </c>
      <c r="L2194">
        <v>9219.6299999999992</v>
      </c>
      <c r="M2194">
        <v>9219.6299999999992</v>
      </c>
      <c r="N2194">
        <v>4.74</v>
      </c>
      <c r="O2194">
        <v>185449.17</v>
      </c>
      <c r="P2194">
        <v>0</v>
      </c>
      <c r="S2194"/>
    </row>
    <row r="2195" spans="1:19" x14ac:dyDescent="0.25">
      <c r="A2195" t="s">
        <v>66</v>
      </c>
      <c r="B2195" t="s">
        <v>21</v>
      </c>
      <c r="C2195">
        <v>258</v>
      </c>
      <c r="D2195">
        <v>161</v>
      </c>
      <c r="E2195" t="s">
        <v>232</v>
      </c>
      <c r="G2195">
        <v>0</v>
      </c>
      <c r="H2195">
        <v>0</v>
      </c>
      <c r="I2195">
        <v>0</v>
      </c>
      <c r="J2195">
        <v>0</v>
      </c>
      <c r="K2195">
        <v>0</v>
      </c>
      <c r="L2195">
        <v>0</v>
      </c>
      <c r="M2195">
        <v>0</v>
      </c>
      <c r="N2195">
        <v>0</v>
      </c>
      <c r="O2195">
        <v>0</v>
      </c>
      <c r="P2195">
        <v>0</v>
      </c>
      <c r="S2195"/>
    </row>
    <row r="2196" spans="1:19" x14ac:dyDescent="0.25">
      <c r="A2196" t="s">
        <v>66</v>
      </c>
      <c r="B2196" t="s">
        <v>21</v>
      </c>
      <c r="C2196">
        <v>258</v>
      </c>
      <c r="D2196">
        <v>161</v>
      </c>
      <c r="E2196" t="s">
        <v>233</v>
      </c>
      <c r="G2196">
        <v>0</v>
      </c>
      <c r="H2196">
        <v>0</v>
      </c>
      <c r="I2196">
        <v>0</v>
      </c>
      <c r="J2196">
        <v>0</v>
      </c>
      <c r="K2196">
        <v>0</v>
      </c>
      <c r="L2196">
        <v>0</v>
      </c>
      <c r="M2196">
        <v>0</v>
      </c>
      <c r="N2196">
        <v>0</v>
      </c>
      <c r="O2196">
        <v>0</v>
      </c>
      <c r="P2196">
        <v>0</v>
      </c>
      <c r="S2196"/>
    </row>
    <row r="2197" spans="1:19" x14ac:dyDescent="0.25">
      <c r="A2197" t="s">
        <v>66</v>
      </c>
      <c r="B2197" t="s">
        <v>21</v>
      </c>
      <c r="C2197">
        <v>258</v>
      </c>
      <c r="D2197">
        <v>161</v>
      </c>
      <c r="E2197" t="s">
        <v>234</v>
      </c>
      <c r="G2197">
        <v>0</v>
      </c>
      <c r="H2197">
        <v>0</v>
      </c>
      <c r="I2197">
        <v>0</v>
      </c>
      <c r="J2197">
        <v>0</v>
      </c>
      <c r="K2197">
        <v>0</v>
      </c>
      <c r="L2197">
        <v>0</v>
      </c>
      <c r="M2197">
        <v>0</v>
      </c>
      <c r="N2197">
        <v>0</v>
      </c>
      <c r="O2197">
        <v>0</v>
      </c>
      <c r="P2197">
        <v>0</v>
      </c>
      <c r="S2197"/>
    </row>
    <row r="2198" spans="1:19" x14ac:dyDescent="0.25">
      <c r="A2198" t="s">
        <v>66</v>
      </c>
      <c r="B2198" t="s">
        <v>21</v>
      </c>
      <c r="C2198">
        <v>258</v>
      </c>
      <c r="D2198">
        <v>161</v>
      </c>
      <c r="E2198" t="s">
        <v>235</v>
      </c>
      <c r="G2198">
        <v>9000</v>
      </c>
      <c r="H2198">
        <v>0</v>
      </c>
      <c r="I2198">
        <v>0</v>
      </c>
      <c r="J2198">
        <v>9000</v>
      </c>
      <c r="K2198">
        <v>0</v>
      </c>
      <c r="L2198">
        <v>9000</v>
      </c>
      <c r="M2198">
        <v>9000</v>
      </c>
      <c r="N2198">
        <v>100</v>
      </c>
      <c r="O2198">
        <v>0</v>
      </c>
      <c r="P2198">
        <v>0</v>
      </c>
      <c r="S2198"/>
    </row>
    <row r="2199" spans="1:19" x14ac:dyDescent="0.25">
      <c r="A2199" t="s">
        <v>66</v>
      </c>
      <c r="B2199" t="s">
        <v>21</v>
      </c>
      <c r="C2199">
        <v>258</v>
      </c>
      <c r="D2199">
        <v>161</v>
      </c>
      <c r="E2199" t="s">
        <v>236</v>
      </c>
      <c r="G2199">
        <v>0</v>
      </c>
      <c r="H2199">
        <v>0</v>
      </c>
      <c r="I2199">
        <v>0</v>
      </c>
      <c r="J2199">
        <v>0</v>
      </c>
      <c r="K2199">
        <v>0</v>
      </c>
      <c r="L2199">
        <v>0</v>
      </c>
      <c r="M2199">
        <v>0</v>
      </c>
      <c r="N2199">
        <v>0</v>
      </c>
      <c r="O2199">
        <v>0</v>
      </c>
      <c r="P2199">
        <v>0</v>
      </c>
      <c r="S2199"/>
    </row>
    <row r="2200" spans="1:19" x14ac:dyDescent="0.25">
      <c r="A2200" t="s">
        <v>66</v>
      </c>
      <c r="B2200" t="s">
        <v>21</v>
      </c>
      <c r="C2200">
        <v>258</v>
      </c>
      <c r="D2200">
        <v>161</v>
      </c>
      <c r="E2200" t="s">
        <v>237</v>
      </c>
      <c r="G2200">
        <v>0</v>
      </c>
      <c r="H2200">
        <v>0</v>
      </c>
      <c r="I2200">
        <v>0</v>
      </c>
      <c r="J2200">
        <v>0</v>
      </c>
      <c r="K2200">
        <v>0</v>
      </c>
      <c r="L2200">
        <v>0</v>
      </c>
      <c r="M2200">
        <v>0</v>
      </c>
      <c r="N2200">
        <v>0</v>
      </c>
      <c r="O2200">
        <v>0</v>
      </c>
      <c r="P2200">
        <v>0</v>
      </c>
      <c r="S2200"/>
    </row>
    <row r="2201" spans="1:19" x14ac:dyDescent="0.25">
      <c r="A2201" t="s">
        <v>66</v>
      </c>
      <c r="B2201" t="s">
        <v>21</v>
      </c>
      <c r="C2201">
        <v>258</v>
      </c>
      <c r="D2201">
        <v>161</v>
      </c>
      <c r="E2201" t="s">
        <v>238</v>
      </c>
      <c r="G2201">
        <v>249999.97</v>
      </c>
      <c r="H2201">
        <v>0</v>
      </c>
      <c r="I2201">
        <v>0</v>
      </c>
      <c r="J2201">
        <v>20413.88</v>
      </c>
      <c r="K2201">
        <v>0</v>
      </c>
      <c r="L2201">
        <v>20413.88</v>
      </c>
      <c r="M2201">
        <v>20413.88</v>
      </c>
      <c r="N2201">
        <v>8.17</v>
      </c>
      <c r="O2201">
        <v>229586.09</v>
      </c>
      <c r="P2201">
        <v>0</v>
      </c>
      <c r="S2201"/>
    </row>
    <row r="2202" spans="1:19" x14ac:dyDescent="0.25">
      <c r="A2202" t="s">
        <v>277</v>
      </c>
      <c r="B2202" t="s">
        <v>278</v>
      </c>
      <c r="C2202">
        <v>233</v>
      </c>
      <c r="D2202">
        <v>179</v>
      </c>
      <c r="E2202" t="s">
        <v>228</v>
      </c>
      <c r="F2202">
        <v>20</v>
      </c>
      <c r="G2202">
        <v>13753.2</v>
      </c>
      <c r="H2202">
        <v>0</v>
      </c>
      <c r="I2202">
        <v>0</v>
      </c>
      <c r="J2202">
        <v>0</v>
      </c>
      <c r="K2202">
        <v>0</v>
      </c>
      <c r="L2202">
        <v>0</v>
      </c>
      <c r="M2202">
        <v>0</v>
      </c>
      <c r="N2202">
        <v>0</v>
      </c>
      <c r="O2202">
        <v>13753.2</v>
      </c>
      <c r="P2202">
        <v>0</v>
      </c>
      <c r="S2202"/>
    </row>
    <row r="2203" spans="1:19" x14ac:dyDescent="0.25">
      <c r="A2203" t="s">
        <v>277</v>
      </c>
      <c r="B2203" t="s">
        <v>278</v>
      </c>
      <c r="C2203">
        <v>233</v>
      </c>
      <c r="D2203">
        <v>179</v>
      </c>
      <c r="E2203" t="s">
        <v>229</v>
      </c>
      <c r="F2203">
        <v>15</v>
      </c>
      <c r="G2203">
        <v>2062.98</v>
      </c>
      <c r="H2203">
        <v>0</v>
      </c>
      <c r="I2203">
        <v>0</v>
      </c>
      <c r="J2203">
        <v>0</v>
      </c>
      <c r="K2203">
        <v>0</v>
      </c>
      <c r="L2203">
        <v>0</v>
      </c>
      <c r="M2203">
        <v>0</v>
      </c>
      <c r="N2203">
        <v>0</v>
      </c>
      <c r="O2203">
        <v>2062.98</v>
      </c>
      <c r="P2203">
        <v>0</v>
      </c>
      <c r="S2203"/>
    </row>
    <row r="2204" spans="1:19" x14ac:dyDescent="0.25">
      <c r="A2204" t="s">
        <v>277</v>
      </c>
      <c r="B2204" t="s">
        <v>278</v>
      </c>
      <c r="C2204">
        <v>233</v>
      </c>
      <c r="D2204">
        <v>179</v>
      </c>
      <c r="E2204" t="s">
        <v>230</v>
      </c>
      <c r="F2204">
        <v>4</v>
      </c>
      <c r="G2204">
        <v>550.12</v>
      </c>
      <c r="H2204">
        <v>0</v>
      </c>
      <c r="I2204">
        <v>0</v>
      </c>
      <c r="J2204">
        <v>0</v>
      </c>
      <c r="K2204">
        <v>0</v>
      </c>
      <c r="L2204">
        <v>0</v>
      </c>
      <c r="M2204">
        <v>0</v>
      </c>
      <c r="N2204">
        <v>0</v>
      </c>
      <c r="O2204">
        <v>550.12</v>
      </c>
      <c r="P2204">
        <v>0</v>
      </c>
      <c r="S2204"/>
    </row>
    <row r="2205" spans="1:19" x14ac:dyDescent="0.25">
      <c r="A2205" t="s">
        <v>277</v>
      </c>
      <c r="B2205" t="s">
        <v>278</v>
      </c>
      <c r="C2205">
        <v>233</v>
      </c>
      <c r="D2205">
        <v>179</v>
      </c>
      <c r="E2205" t="s">
        <v>231</v>
      </c>
      <c r="G2205">
        <v>44000</v>
      </c>
      <c r="H2205">
        <v>0</v>
      </c>
      <c r="I2205">
        <v>0</v>
      </c>
      <c r="J2205">
        <v>0</v>
      </c>
      <c r="K2205">
        <v>0</v>
      </c>
      <c r="L2205">
        <v>0</v>
      </c>
      <c r="M2205">
        <v>0</v>
      </c>
      <c r="N2205">
        <v>0</v>
      </c>
      <c r="O2205">
        <v>44000</v>
      </c>
      <c r="P2205">
        <v>0</v>
      </c>
      <c r="S2205"/>
    </row>
    <row r="2206" spans="1:19" x14ac:dyDescent="0.25">
      <c r="A2206" t="s">
        <v>277</v>
      </c>
      <c r="B2206" t="s">
        <v>278</v>
      </c>
      <c r="C2206">
        <v>233</v>
      </c>
      <c r="D2206">
        <v>179</v>
      </c>
      <c r="E2206" t="s">
        <v>232</v>
      </c>
      <c r="G2206">
        <v>24766</v>
      </c>
      <c r="H2206">
        <v>0</v>
      </c>
      <c r="I2206">
        <v>0</v>
      </c>
      <c r="J2206">
        <v>0</v>
      </c>
      <c r="K2206">
        <v>0</v>
      </c>
      <c r="L2206">
        <v>0</v>
      </c>
      <c r="M2206">
        <v>0</v>
      </c>
      <c r="N2206">
        <v>0</v>
      </c>
      <c r="O2206">
        <v>24766</v>
      </c>
      <c r="P2206">
        <v>0</v>
      </c>
      <c r="S2206"/>
    </row>
    <row r="2207" spans="1:19" x14ac:dyDescent="0.25">
      <c r="A2207" t="s">
        <v>277</v>
      </c>
      <c r="B2207" t="s">
        <v>278</v>
      </c>
      <c r="C2207">
        <v>233</v>
      </c>
      <c r="D2207">
        <v>179</v>
      </c>
      <c r="E2207" t="s">
        <v>233</v>
      </c>
      <c r="G2207">
        <v>0</v>
      </c>
      <c r="H2207">
        <v>0</v>
      </c>
      <c r="I2207">
        <v>0</v>
      </c>
      <c r="J2207">
        <v>0</v>
      </c>
      <c r="K2207">
        <v>0</v>
      </c>
      <c r="L2207">
        <v>0</v>
      </c>
      <c r="M2207">
        <v>0</v>
      </c>
      <c r="N2207">
        <v>0</v>
      </c>
      <c r="O2207">
        <v>0</v>
      </c>
      <c r="P2207">
        <v>0</v>
      </c>
      <c r="S2207"/>
    </row>
    <row r="2208" spans="1:19" x14ac:dyDescent="0.25">
      <c r="A2208" t="s">
        <v>277</v>
      </c>
      <c r="B2208" t="s">
        <v>278</v>
      </c>
      <c r="C2208">
        <v>233</v>
      </c>
      <c r="D2208">
        <v>179</v>
      </c>
      <c r="E2208" t="s">
        <v>234</v>
      </c>
      <c r="G2208">
        <v>0</v>
      </c>
      <c r="H2208">
        <v>0</v>
      </c>
      <c r="I2208">
        <v>0</v>
      </c>
      <c r="J2208">
        <v>0</v>
      </c>
      <c r="K2208">
        <v>0</v>
      </c>
      <c r="L2208">
        <v>0</v>
      </c>
      <c r="M2208">
        <v>0</v>
      </c>
      <c r="N2208">
        <v>0</v>
      </c>
      <c r="O2208">
        <v>0</v>
      </c>
      <c r="P2208">
        <v>0</v>
      </c>
      <c r="S2208"/>
    </row>
    <row r="2209" spans="1:19" x14ac:dyDescent="0.25">
      <c r="A2209" t="s">
        <v>277</v>
      </c>
      <c r="B2209" t="s">
        <v>278</v>
      </c>
      <c r="C2209">
        <v>233</v>
      </c>
      <c r="D2209">
        <v>179</v>
      </c>
      <c r="E2209" t="s">
        <v>235</v>
      </c>
      <c r="G2209">
        <v>0</v>
      </c>
      <c r="H2209">
        <v>0</v>
      </c>
      <c r="I2209">
        <v>0</v>
      </c>
      <c r="J2209">
        <v>0</v>
      </c>
      <c r="K2209">
        <v>0</v>
      </c>
      <c r="L2209">
        <v>0</v>
      </c>
      <c r="M2209">
        <v>0</v>
      </c>
      <c r="N2209">
        <v>0</v>
      </c>
      <c r="O2209">
        <v>0</v>
      </c>
      <c r="P2209">
        <v>0</v>
      </c>
      <c r="S2209"/>
    </row>
    <row r="2210" spans="1:19" x14ac:dyDescent="0.25">
      <c r="A2210" t="s">
        <v>277</v>
      </c>
      <c r="B2210" t="s">
        <v>278</v>
      </c>
      <c r="C2210">
        <v>233</v>
      </c>
      <c r="D2210">
        <v>179</v>
      </c>
      <c r="E2210" t="s">
        <v>236</v>
      </c>
      <c r="G2210">
        <v>0</v>
      </c>
      <c r="H2210">
        <v>0</v>
      </c>
      <c r="I2210">
        <v>0</v>
      </c>
      <c r="J2210">
        <v>0</v>
      </c>
      <c r="K2210">
        <v>0</v>
      </c>
      <c r="L2210">
        <v>0</v>
      </c>
      <c r="M2210">
        <v>0</v>
      </c>
      <c r="N2210">
        <v>0</v>
      </c>
      <c r="O2210">
        <v>0</v>
      </c>
      <c r="P2210">
        <v>0</v>
      </c>
      <c r="S2210"/>
    </row>
    <row r="2211" spans="1:19" x14ac:dyDescent="0.25">
      <c r="A2211" t="s">
        <v>277</v>
      </c>
      <c r="B2211" t="s">
        <v>278</v>
      </c>
      <c r="C2211">
        <v>233</v>
      </c>
      <c r="D2211">
        <v>179</v>
      </c>
      <c r="E2211" t="s">
        <v>237</v>
      </c>
      <c r="G2211">
        <v>0</v>
      </c>
      <c r="H2211">
        <v>0</v>
      </c>
      <c r="I2211">
        <v>0</v>
      </c>
      <c r="J2211">
        <v>0</v>
      </c>
      <c r="K2211">
        <v>0</v>
      </c>
      <c r="L2211">
        <v>0</v>
      </c>
      <c r="M2211">
        <v>0</v>
      </c>
      <c r="N2211">
        <v>0</v>
      </c>
      <c r="O2211">
        <v>0</v>
      </c>
      <c r="P2211">
        <v>0</v>
      </c>
      <c r="S2211"/>
    </row>
    <row r="2212" spans="1:19" x14ac:dyDescent="0.25">
      <c r="A2212" t="s">
        <v>277</v>
      </c>
      <c r="B2212" t="s">
        <v>278</v>
      </c>
      <c r="C2212">
        <v>233</v>
      </c>
      <c r="D2212">
        <v>179</v>
      </c>
      <c r="E2212" t="s">
        <v>238</v>
      </c>
      <c r="G2212">
        <v>85132.3</v>
      </c>
      <c r="H2212">
        <v>0</v>
      </c>
      <c r="I2212">
        <v>0</v>
      </c>
      <c r="J2212">
        <v>0</v>
      </c>
      <c r="K2212">
        <v>0</v>
      </c>
      <c r="L2212">
        <v>0</v>
      </c>
      <c r="M2212">
        <v>0</v>
      </c>
      <c r="N2212">
        <v>0</v>
      </c>
      <c r="O2212">
        <v>85132.3</v>
      </c>
      <c r="P2212">
        <v>0</v>
      </c>
      <c r="S2212"/>
    </row>
    <row r="2213" spans="1:19" x14ac:dyDescent="0.25">
      <c r="A2213" t="s">
        <v>277</v>
      </c>
      <c r="B2213" t="s">
        <v>279</v>
      </c>
      <c r="C2213">
        <v>120</v>
      </c>
      <c r="D2213">
        <v>177</v>
      </c>
      <c r="E2213" t="s">
        <v>228</v>
      </c>
      <c r="G2213">
        <v>86112.5</v>
      </c>
      <c r="H2213">
        <v>0</v>
      </c>
      <c r="I2213">
        <v>0</v>
      </c>
      <c r="J2213">
        <v>9322.34</v>
      </c>
      <c r="K2213">
        <v>0</v>
      </c>
      <c r="L2213">
        <v>9319.76</v>
      </c>
      <c r="M2213">
        <v>9322.34</v>
      </c>
      <c r="N2213">
        <v>10.83</v>
      </c>
      <c r="O2213">
        <v>76790.16</v>
      </c>
      <c r="P2213">
        <v>0</v>
      </c>
      <c r="S2213"/>
    </row>
    <row r="2214" spans="1:19" x14ac:dyDescent="0.25">
      <c r="A2214" t="s">
        <v>277</v>
      </c>
      <c r="B2214" t="s">
        <v>279</v>
      </c>
      <c r="C2214">
        <v>120</v>
      </c>
      <c r="D2214">
        <v>177</v>
      </c>
      <c r="E2214" t="s">
        <v>229</v>
      </c>
      <c r="G2214">
        <v>0</v>
      </c>
      <c r="H2214">
        <v>0</v>
      </c>
      <c r="I2214">
        <v>0</v>
      </c>
      <c r="J2214">
        <v>0</v>
      </c>
      <c r="K2214">
        <v>0</v>
      </c>
      <c r="L2214">
        <v>0</v>
      </c>
      <c r="M2214">
        <v>0</v>
      </c>
      <c r="N2214">
        <v>0</v>
      </c>
      <c r="O2214">
        <v>0</v>
      </c>
      <c r="P2214">
        <v>0</v>
      </c>
      <c r="S2214"/>
    </row>
    <row r="2215" spans="1:19" x14ac:dyDescent="0.25">
      <c r="A2215" t="s">
        <v>277</v>
      </c>
      <c r="B2215" t="s">
        <v>279</v>
      </c>
      <c r="C2215">
        <v>120</v>
      </c>
      <c r="D2215">
        <v>177</v>
      </c>
      <c r="E2215" t="s">
        <v>230</v>
      </c>
      <c r="G2215">
        <v>0</v>
      </c>
      <c r="H2215">
        <v>0</v>
      </c>
      <c r="I2215">
        <v>0</v>
      </c>
      <c r="J2215">
        <v>0</v>
      </c>
      <c r="K2215">
        <v>0</v>
      </c>
      <c r="L2215">
        <v>0</v>
      </c>
      <c r="M2215">
        <v>0</v>
      </c>
      <c r="N2215">
        <v>0</v>
      </c>
      <c r="O2215">
        <v>0</v>
      </c>
      <c r="P2215">
        <v>0</v>
      </c>
      <c r="S2215"/>
    </row>
    <row r="2216" spans="1:19" x14ac:dyDescent="0.25">
      <c r="A2216" t="s">
        <v>277</v>
      </c>
      <c r="B2216" t="s">
        <v>279</v>
      </c>
      <c r="C2216">
        <v>120</v>
      </c>
      <c r="D2216">
        <v>177</v>
      </c>
      <c r="E2216" t="s">
        <v>231</v>
      </c>
      <c r="G2216">
        <v>0</v>
      </c>
      <c r="H2216">
        <v>0</v>
      </c>
      <c r="I2216">
        <v>0</v>
      </c>
      <c r="J2216">
        <v>0</v>
      </c>
      <c r="K2216">
        <v>0</v>
      </c>
      <c r="L2216">
        <v>0</v>
      </c>
      <c r="M2216">
        <v>0</v>
      </c>
      <c r="N2216">
        <v>0</v>
      </c>
      <c r="O2216">
        <v>0</v>
      </c>
      <c r="P2216">
        <v>0</v>
      </c>
      <c r="S2216"/>
    </row>
    <row r="2217" spans="1:19" x14ac:dyDescent="0.25">
      <c r="A2217" t="s">
        <v>277</v>
      </c>
      <c r="B2217" t="s">
        <v>279</v>
      </c>
      <c r="C2217">
        <v>120</v>
      </c>
      <c r="D2217">
        <v>177</v>
      </c>
      <c r="E2217" t="s">
        <v>232</v>
      </c>
      <c r="G2217">
        <v>0</v>
      </c>
      <c r="H2217">
        <v>0</v>
      </c>
      <c r="I2217">
        <v>0</v>
      </c>
      <c r="J2217">
        <v>0</v>
      </c>
      <c r="K2217">
        <v>0</v>
      </c>
      <c r="L2217">
        <v>0</v>
      </c>
      <c r="M2217">
        <v>0</v>
      </c>
      <c r="N2217">
        <v>0</v>
      </c>
      <c r="O2217">
        <v>0</v>
      </c>
      <c r="P2217">
        <v>0</v>
      </c>
      <c r="S2217"/>
    </row>
    <row r="2218" spans="1:19" x14ac:dyDescent="0.25">
      <c r="A2218" t="s">
        <v>277</v>
      </c>
      <c r="B2218" t="s">
        <v>279</v>
      </c>
      <c r="C2218">
        <v>120</v>
      </c>
      <c r="D2218">
        <v>177</v>
      </c>
      <c r="E2218" t="s">
        <v>233</v>
      </c>
      <c r="G2218">
        <v>0</v>
      </c>
      <c r="H2218">
        <v>0</v>
      </c>
      <c r="I2218">
        <v>0</v>
      </c>
      <c r="J2218">
        <v>0</v>
      </c>
      <c r="K2218">
        <v>0</v>
      </c>
      <c r="L2218">
        <v>0</v>
      </c>
      <c r="M2218">
        <v>0</v>
      </c>
      <c r="N2218">
        <v>0</v>
      </c>
      <c r="O2218">
        <v>0</v>
      </c>
      <c r="P2218">
        <v>0</v>
      </c>
      <c r="S2218"/>
    </row>
    <row r="2219" spans="1:19" x14ac:dyDescent="0.25">
      <c r="A2219" t="s">
        <v>277</v>
      </c>
      <c r="B2219" t="s">
        <v>279</v>
      </c>
      <c r="C2219">
        <v>120</v>
      </c>
      <c r="D2219">
        <v>177</v>
      </c>
      <c r="E2219" t="s">
        <v>234</v>
      </c>
      <c r="F2219">
        <v>40</v>
      </c>
      <c r="G2219">
        <v>34445</v>
      </c>
      <c r="H2219">
        <v>0</v>
      </c>
      <c r="I2219">
        <v>0</v>
      </c>
      <c r="J2219">
        <v>3728.93</v>
      </c>
      <c r="K2219">
        <v>0</v>
      </c>
      <c r="L2219">
        <v>3727.9</v>
      </c>
      <c r="M2219">
        <v>3728.93</v>
      </c>
      <c r="N2219">
        <v>10.83</v>
      </c>
      <c r="O2219">
        <v>30716.07</v>
      </c>
      <c r="P2219">
        <v>0</v>
      </c>
      <c r="S2219"/>
    </row>
    <row r="2220" spans="1:19" x14ac:dyDescent="0.25">
      <c r="A2220" t="s">
        <v>277</v>
      </c>
      <c r="B2220" t="s">
        <v>279</v>
      </c>
      <c r="C2220">
        <v>120</v>
      </c>
      <c r="D2220">
        <v>177</v>
      </c>
      <c r="E2220" t="s">
        <v>235</v>
      </c>
      <c r="G2220">
        <v>0</v>
      </c>
      <c r="H2220">
        <v>0</v>
      </c>
      <c r="I2220">
        <v>0</v>
      </c>
      <c r="J2220">
        <v>0</v>
      </c>
      <c r="K2220">
        <v>0</v>
      </c>
      <c r="L2220">
        <v>0</v>
      </c>
      <c r="M2220">
        <v>0</v>
      </c>
      <c r="N2220">
        <v>0</v>
      </c>
      <c r="O2220">
        <v>0</v>
      </c>
      <c r="P2220">
        <v>0</v>
      </c>
      <c r="S2220"/>
    </row>
    <row r="2221" spans="1:19" x14ac:dyDescent="0.25">
      <c r="A2221" t="s">
        <v>277</v>
      </c>
      <c r="B2221" t="s">
        <v>279</v>
      </c>
      <c r="C2221">
        <v>120</v>
      </c>
      <c r="D2221">
        <v>177</v>
      </c>
      <c r="E2221" t="s">
        <v>236</v>
      </c>
      <c r="G2221">
        <v>0</v>
      </c>
      <c r="H2221">
        <v>0</v>
      </c>
      <c r="I2221">
        <v>0</v>
      </c>
      <c r="J2221">
        <v>0</v>
      </c>
      <c r="K2221">
        <v>0</v>
      </c>
      <c r="L2221">
        <v>0</v>
      </c>
      <c r="M2221">
        <v>0</v>
      </c>
      <c r="N2221">
        <v>0</v>
      </c>
      <c r="O2221">
        <v>0</v>
      </c>
      <c r="P2221">
        <v>0</v>
      </c>
      <c r="S2221"/>
    </row>
    <row r="2222" spans="1:19" x14ac:dyDescent="0.25">
      <c r="A2222" t="s">
        <v>277</v>
      </c>
      <c r="B2222" t="s">
        <v>279</v>
      </c>
      <c r="C2222">
        <v>120</v>
      </c>
      <c r="D2222">
        <v>177</v>
      </c>
      <c r="E2222" t="s">
        <v>237</v>
      </c>
      <c r="G2222">
        <v>0</v>
      </c>
      <c r="H2222">
        <v>0</v>
      </c>
      <c r="I2222">
        <v>0</v>
      </c>
      <c r="J2222">
        <v>0</v>
      </c>
      <c r="K2222">
        <v>0</v>
      </c>
      <c r="L2222">
        <v>0</v>
      </c>
      <c r="M2222">
        <v>0</v>
      </c>
      <c r="N2222">
        <v>0</v>
      </c>
      <c r="O2222">
        <v>0</v>
      </c>
      <c r="P2222">
        <v>0</v>
      </c>
      <c r="S2222"/>
    </row>
    <row r="2223" spans="1:19" x14ac:dyDescent="0.25">
      <c r="A2223" t="s">
        <v>277</v>
      </c>
      <c r="B2223" t="s">
        <v>279</v>
      </c>
      <c r="C2223">
        <v>120</v>
      </c>
      <c r="D2223">
        <v>177</v>
      </c>
      <c r="E2223" t="s">
        <v>238</v>
      </c>
      <c r="G2223">
        <v>120557.5</v>
      </c>
      <c r="H2223">
        <v>0</v>
      </c>
      <c r="I2223">
        <v>0</v>
      </c>
      <c r="J2223">
        <v>13051.27</v>
      </c>
      <c r="K2223">
        <v>0</v>
      </c>
      <c r="L2223">
        <v>13047.66</v>
      </c>
      <c r="M2223">
        <v>13051.27</v>
      </c>
      <c r="N2223">
        <v>10.83</v>
      </c>
      <c r="O2223">
        <v>107506.23</v>
      </c>
      <c r="P2223">
        <v>0</v>
      </c>
      <c r="S2223"/>
    </row>
    <row r="2224" spans="1:19" x14ac:dyDescent="0.25">
      <c r="A2224" t="s">
        <v>277</v>
      </c>
      <c r="B2224" t="s">
        <v>280</v>
      </c>
      <c r="C2224">
        <v>118</v>
      </c>
      <c r="D2224">
        <v>155</v>
      </c>
      <c r="E2224" t="s">
        <v>228</v>
      </c>
      <c r="F2224">
        <v>20</v>
      </c>
      <c r="G2224">
        <v>30000</v>
      </c>
      <c r="H2224">
        <v>0</v>
      </c>
      <c r="I2224">
        <v>0</v>
      </c>
      <c r="J2224">
        <v>0</v>
      </c>
      <c r="K2224">
        <v>0</v>
      </c>
      <c r="L2224">
        <v>0</v>
      </c>
      <c r="M2224">
        <v>0</v>
      </c>
      <c r="N2224">
        <v>0</v>
      </c>
      <c r="O2224">
        <v>30000</v>
      </c>
      <c r="P2224">
        <v>0</v>
      </c>
      <c r="S2224"/>
    </row>
    <row r="2225" spans="1:19" x14ac:dyDescent="0.25">
      <c r="A2225" t="s">
        <v>277</v>
      </c>
      <c r="B2225" t="s">
        <v>280</v>
      </c>
      <c r="C2225">
        <v>118</v>
      </c>
      <c r="D2225">
        <v>155</v>
      </c>
      <c r="E2225" t="s">
        <v>229</v>
      </c>
      <c r="F2225">
        <v>15</v>
      </c>
      <c r="G2225">
        <v>4500</v>
      </c>
      <c r="H2225">
        <v>0</v>
      </c>
      <c r="I2225">
        <v>0</v>
      </c>
      <c r="J2225">
        <v>0</v>
      </c>
      <c r="K2225">
        <v>0</v>
      </c>
      <c r="L2225">
        <v>0</v>
      </c>
      <c r="M2225">
        <v>0</v>
      </c>
      <c r="N2225">
        <v>0</v>
      </c>
      <c r="O2225">
        <v>4500</v>
      </c>
      <c r="P2225">
        <v>0</v>
      </c>
      <c r="S2225"/>
    </row>
    <row r="2226" spans="1:19" x14ac:dyDescent="0.25">
      <c r="A2226" t="s">
        <v>277</v>
      </c>
      <c r="B2226" t="s">
        <v>280</v>
      </c>
      <c r="C2226">
        <v>118</v>
      </c>
      <c r="D2226">
        <v>155</v>
      </c>
      <c r="E2226" t="s">
        <v>230</v>
      </c>
      <c r="F2226">
        <v>4</v>
      </c>
      <c r="G2226">
        <v>1200</v>
      </c>
      <c r="H2226">
        <v>0</v>
      </c>
      <c r="I2226">
        <v>0</v>
      </c>
      <c r="J2226">
        <v>0</v>
      </c>
      <c r="K2226">
        <v>0</v>
      </c>
      <c r="L2226">
        <v>0</v>
      </c>
      <c r="M2226">
        <v>0</v>
      </c>
      <c r="N2226">
        <v>0</v>
      </c>
      <c r="O2226">
        <v>1200</v>
      </c>
      <c r="P2226">
        <v>0</v>
      </c>
      <c r="S2226"/>
    </row>
    <row r="2227" spans="1:19" x14ac:dyDescent="0.25">
      <c r="A2227" t="s">
        <v>277</v>
      </c>
      <c r="B2227" t="s">
        <v>280</v>
      </c>
      <c r="C2227">
        <v>118</v>
      </c>
      <c r="D2227">
        <v>155</v>
      </c>
      <c r="E2227" t="s">
        <v>231</v>
      </c>
      <c r="G2227">
        <v>25000</v>
      </c>
      <c r="H2227">
        <v>0</v>
      </c>
      <c r="I2227">
        <v>0</v>
      </c>
      <c r="J2227">
        <v>0</v>
      </c>
      <c r="K2227">
        <v>0</v>
      </c>
      <c r="L2227">
        <v>0</v>
      </c>
      <c r="M2227">
        <v>0</v>
      </c>
      <c r="N2227">
        <v>0</v>
      </c>
      <c r="O2227">
        <v>25000</v>
      </c>
      <c r="P2227">
        <v>0</v>
      </c>
      <c r="S2227"/>
    </row>
    <row r="2228" spans="1:19" x14ac:dyDescent="0.25">
      <c r="A2228" t="s">
        <v>277</v>
      </c>
      <c r="B2228" t="s">
        <v>280</v>
      </c>
      <c r="C2228">
        <v>118</v>
      </c>
      <c r="D2228">
        <v>155</v>
      </c>
      <c r="E2228" t="s">
        <v>232</v>
      </c>
      <c r="G2228">
        <v>50000</v>
      </c>
      <c r="H2228">
        <v>0</v>
      </c>
      <c r="I2228">
        <v>0</v>
      </c>
      <c r="J2228">
        <v>0</v>
      </c>
      <c r="K2228">
        <v>0</v>
      </c>
      <c r="L2228">
        <v>0</v>
      </c>
      <c r="M2228">
        <v>0</v>
      </c>
      <c r="N2228">
        <v>0</v>
      </c>
      <c r="O2228">
        <v>50000</v>
      </c>
      <c r="P2228">
        <v>0</v>
      </c>
      <c r="S2228"/>
    </row>
    <row r="2229" spans="1:19" x14ac:dyDescent="0.25">
      <c r="A2229" t="s">
        <v>277</v>
      </c>
      <c r="B2229" t="s">
        <v>280</v>
      </c>
      <c r="C2229">
        <v>118</v>
      </c>
      <c r="D2229">
        <v>155</v>
      </c>
      <c r="E2229" t="s">
        <v>233</v>
      </c>
      <c r="G2229">
        <v>75000</v>
      </c>
      <c r="H2229">
        <v>0</v>
      </c>
      <c r="I2229">
        <v>0</v>
      </c>
      <c r="J2229">
        <v>0</v>
      </c>
      <c r="K2229">
        <v>0</v>
      </c>
      <c r="L2229">
        <v>0</v>
      </c>
      <c r="M2229">
        <v>0</v>
      </c>
      <c r="N2229">
        <v>0</v>
      </c>
      <c r="O2229">
        <v>75000</v>
      </c>
      <c r="P2229">
        <v>0</v>
      </c>
      <c r="S2229"/>
    </row>
    <row r="2230" spans="1:19" x14ac:dyDescent="0.25">
      <c r="A2230" t="s">
        <v>277</v>
      </c>
      <c r="B2230" t="s">
        <v>280</v>
      </c>
      <c r="C2230">
        <v>118</v>
      </c>
      <c r="D2230">
        <v>155</v>
      </c>
      <c r="E2230" t="s">
        <v>234</v>
      </c>
      <c r="G2230">
        <v>0</v>
      </c>
      <c r="H2230">
        <v>0</v>
      </c>
      <c r="I2230">
        <v>0</v>
      </c>
      <c r="J2230">
        <v>0</v>
      </c>
      <c r="K2230">
        <v>0</v>
      </c>
      <c r="L2230">
        <v>0</v>
      </c>
      <c r="M2230">
        <v>0</v>
      </c>
      <c r="N2230">
        <v>0</v>
      </c>
      <c r="O2230">
        <v>0</v>
      </c>
      <c r="P2230">
        <v>0</v>
      </c>
      <c r="S2230"/>
    </row>
    <row r="2231" spans="1:19" x14ac:dyDescent="0.25">
      <c r="A2231" t="s">
        <v>277</v>
      </c>
      <c r="B2231" t="s">
        <v>280</v>
      </c>
      <c r="C2231">
        <v>118</v>
      </c>
      <c r="D2231">
        <v>155</v>
      </c>
      <c r="E2231" t="s">
        <v>235</v>
      </c>
      <c r="G2231">
        <v>0</v>
      </c>
      <c r="H2231">
        <v>0</v>
      </c>
      <c r="I2231">
        <v>0</v>
      </c>
      <c r="J2231">
        <v>0</v>
      </c>
      <c r="K2231">
        <v>0</v>
      </c>
      <c r="L2231">
        <v>0</v>
      </c>
      <c r="M2231">
        <v>0</v>
      </c>
      <c r="N2231">
        <v>0</v>
      </c>
      <c r="O2231">
        <v>0</v>
      </c>
      <c r="P2231">
        <v>0</v>
      </c>
      <c r="S2231"/>
    </row>
    <row r="2232" spans="1:19" x14ac:dyDescent="0.25">
      <c r="A2232" t="s">
        <v>277</v>
      </c>
      <c r="B2232" t="s">
        <v>280</v>
      </c>
      <c r="C2232">
        <v>118</v>
      </c>
      <c r="D2232">
        <v>155</v>
      </c>
      <c r="E2232" t="s">
        <v>236</v>
      </c>
      <c r="G2232">
        <v>0</v>
      </c>
      <c r="H2232">
        <v>0</v>
      </c>
      <c r="I2232">
        <v>0</v>
      </c>
      <c r="J2232">
        <v>0</v>
      </c>
      <c r="K2232">
        <v>0</v>
      </c>
      <c r="L2232">
        <v>0</v>
      </c>
      <c r="M2232">
        <v>0</v>
      </c>
      <c r="N2232">
        <v>0</v>
      </c>
      <c r="O2232">
        <v>0</v>
      </c>
      <c r="P2232">
        <v>0</v>
      </c>
      <c r="S2232"/>
    </row>
    <row r="2233" spans="1:19" x14ac:dyDescent="0.25">
      <c r="A2233" t="s">
        <v>277</v>
      </c>
      <c r="B2233" t="s">
        <v>280</v>
      </c>
      <c r="C2233">
        <v>118</v>
      </c>
      <c r="D2233">
        <v>155</v>
      </c>
      <c r="E2233" t="s">
        <v>237</v>
      </c>
      <c r="G2233">
        <v>0</v>
      </c>
      <c r="H2233">
        <v>0</v>
      </c>
      <c r="I2233">
        <v>0</v>
      </c>
      <c r="J2233">
        <v>0</v>
      </c>
      <c r="K2233">
        <v>0</v>
      </c>
      <c r="L2233">
        <v>0</v>
      </c>
      <c r="M2233">
        <v>0</v>
      </c>
      <c r="N2233">
        <v>0</v>
      </c>
      <c r="O2233">
        <v>0</v>
      </c>
      <c r="P2233">
        <v>0</v>
      </c>
      <c r="S2233"/>
    </row>
    <row r="2234" spans="1:19" x14ac:dyDescent="0.25">
      <c r="A2234" t="s">
        <v>277</v>
      </c>
      <c r="B2234" t="s">
        <v>280</v>
      </c>
      <c r="C2234">
        <v>118</v>
      </c>
      <c r="D2234">
        <v>155</v>
      </c>
      <c r="E2234" t="s">
        <v>238</v>
      </c>
      <c r="G2234">
        <v>185700</v>
      </c>
      <c r="H2234">
        <v>0</v>
      </c>
      <c r="I2234">
        <v>0</v>
      </c>
      <c r="J2234">
        <v>0</v>
      </c>
      <c r="K2234">
        <v>0</v>
      </c>
      <c r="L2234">
        <v>0</v>
      </c>
      <c r="M2234">
        <v>0</v>
      </c>
      <c r="N2234">
        <v>0</v>
      </c>
      <c r="O2234">
        <v>185700</v>
      </c>
      <c r="P2234">
        <v>0</v>
      </c>
      <c r="S2234"/>
    </row>
    <row r="2235" spans="1:19" x14ac:dyDescent="0.25">
      <c r="A2235" t="s">
        <v>277</v>
      </c>
      <c r="B2235" t="s">
        <v>275</v>
      </c>
      <c r="C2235">
        <v>119</v>
      </c>
      <c r="D2235">
        <v>272</v>
      </c>
      <c r="E2235" t="s">
        <v>228</v>
      </c>
      <c r="F2235">
        <v>20</v>
      </c>
      <c r="G2235">
        <v>17400</v>
      </c>
      <c r="H2235">
        <v>0</v>
      </c>
      <c r="I2235">
        <v>0</v>
      </c>
      <c r="J2235">
        <v>3989.4</v>
      </c>
      <c r="K2235">
        <v>0</v>
      </c>
      <c r="L2235">
        <v>3989.4</v>
      </c>
      <c r="M2235">
        <v>3989.4</v>
      </c>
      <c r="N2235">
        <v>22.93</v>
      </c>
      <c r="O2235">
        <v>13410.6</v>
      </c>
      <c r="P2235">
        <v>0</v>
      </c>
      <c r="S2235"/>
    </row>
    <row r="2236" spans="1:19" x14ac:dyDescent="0.25">
      <c r="A2236" t="s">
        <v>277</v>
      </c>
      <c r="B2236" t="s">
        <v>275</v>
      </c>
      <c r="C2236">
        <v>119</v>
      </c>
      <c r="D2236">
        <v>272</v>
      </c>
      <c r="E2236" t="s">
        <v>229</v>
      </c>
      <c r="F2236">
        <v>15</v>
      </c>
      <c r="G2236">
        <v>2610</v>
      </c>
      <c r="H2236">
        <v>0</v>
      </c>
      <c r="I2236">
        <v>0</v>
      </c>
      <c r="J2236">
        <v>598.41</v>
      </c>
      <c r="K2236">
        <v>0</v>
      </c>
      <c r="L2236">
        <v>598.41</v>
      </c>
      <c r="M2236">
        <v>598.41</v>
      </c>
      <c r="N2236">
        <v>22.93</v>
      </c>
      <c r="O2236">
        <v>2011.59</v>
      </c>
      <c r="P2236">
        <v>0</v>
      </c>
      <c r="S2236"/>
    </row>
    <row r="2237" spans="1:19" x14ac:dyDescent="0.25">
      <c r="A2237" t="s">
        <v>277</v>
      </c>
      <c r="B2237" t="s">
        <v>275</v>
      </c>
      <c r="C2237">
        <v>119</v>
      </c>
      <c r="D2237">
        <v>272</v>
      </c>
      <c r="E2237" t="s">
        <v>230</v>
      </c>
      <c r="F2237">
        <v>4</v>
      </c>
      <c r="G2237">
        <v>696</v>
      </c>
      <c r="H2237">
        <v>0</v>
      </c>
      <c r="I2237">
        <v>0</v>
      </c>
      <c r="J2237">
        <v>159.57</v>
      </c>
      <c r="K2237">
        <v>0</v>
      </c>
      <c r="L2237">
        <v>159.57</v>
      </c>
      <c r="M2237">
        <v>159.57</v>
      </c>
      <c r="N2237">
        <v>22.93</v>
      </c>
      <c r="O2237">
        <v>536.42999999999995</v>
      </c>
      <c r="P2237">
        <v>0</v>
      </c>
      <c r="S2237"/>
    </row>
    <row r="2238" spans="1:19" x14ac:dyDescent="0.25">
      <c r="A2238" t="s">
        <v>277</v>
      </c>
      <c r="B2238" t="s">
        <v>275</v>
      </c>
      <c r="C2238">
        <v>119</v>
      </c>
      <c r="D2238">
        <v>272</v>
      </c>
      <c r="E2238" t="s">
        <v>231</v>
      </c>
      <c r="G2238">
        <v>30000</v>
      </c>
      <c r="H2238">
        <v>0</v>
      </c>
      <c r="I2238">
        <v>0</v>
      </c>
      <c r="J2238">
        <v>19947</v>
      </c>
      <c r="K2238">
        <v>0</v>
      </c>
      <c r="L2238">
        <v>19947</v>
      </c>
      <c r="M2238">
        <v>19947</v>
      </c>
      <c r="N2238">
        <v>66.489999999999995</v>
      </c>
      <c r="O2238">
        <v>10053</v>
      </c>
      <c r="P2238">
        <v>0</v>
      </c>
      <c r="S2238"/>
    </row>
    <row r="2239" spans="1:19" x14ac:dyDescent="0.25">
      <c r="A2239" t="s">
        <v>277</v>
      </c>
      <c r="B2239" t="s">
        <v>275</v>
      </c>
      <c r="C2239">
        <v>119</v>
      </c>
      <c r="D2239">
        <v>272</v>
      </c>
      <c r="E2239" t="s">
        <v>232</v>
      </c>
      <c r="G2239">
        <v>37000</v>
      </c>
      <c r="H2239">
        <v>0</v>
      </c>
      <c r="I2239">
        <v>0</v>
      </c>
      <c r="J2239">
        <v>0</v>
      </c>
      <c r="K2239">
        <v>0</v>
      </c>
      <c r="L2239">
        <v>0</v>
      </c>
      <c r="M2239">
        <v>0</v>
      </c>
      <c r="N2239">
        <v>0</v>
      </c>
      <c r="O2239">
        <v>37000</v>
      </c>
      <c r="P2239">
        <v>0</v>
      </c>
      <c r="S2239"/>
    </row>
    <row r="2240" spans="1:19" x14ac:dyDescent="0.25">
      <c r="A2240" t="s">
        <v>277</v>
      </c>
      <c r="B2240" t="s">
        <v>275</v>
      </c>
      <c r="C2240">
        <v>119</v>
      </c>
      <c r="D2240">
        <v>272</v>
      </c>
      <c r="E2240" t="s">
        <v>233</v>
      </c>
      <c r="G2240">
        <v>20000</v>
      </c>
      <c r="H2240">
        <v>0</v>
      </c>
      <c r="I2240">
        <v>0</v>
      </c>
      <c r="J2240">
        <v>0</v>
      </c>
      <c r="K2240">
        <v>0</v>
      </c>
      <c r="L2240">
        <v>0</v>
      </c>
      <c r="M2240">
        <v>0</v>
      </c>
      <c r="N2240">
        <v>0</v>
      </c>
      <c r="O2240">
        <v>20000</v>
      </c>
      <c r="P2240">
        <v>0</v>
      </c>
      <c r="S2240"/>
    </row>
    <row r="2241" spans="1:19" x14ac:dyDescent="0.25">
      <c r="A2241" t="s">
        <v>277</v>
      </c>
      <c r="B2241" t="s">
        <v>275</v>
      </c>
      <c r="C2241">
        <v>119</v>
      </c>
      <c r="D2241">
        <v>272</v>
      </c>
      <c r="E2241" t="s">
        <v>234</v>
      </c>
      <c r="G2241">
        <v>0</v>
      </c>
      <c r="H2241">
        <v>0</v>
      </c>
      <c r="I2241">
        <v>0</v>
      </c>
      <c r="J2241">
        <v>0</v>
      </c>
      <c r="K2241">
        <v>0</v>
      </c>
      <c r="L2241">
        <v>0</v>
      </c>
      <c r="M2241">
        <v>0</v>
      </c>
      <c r="N2241">
        <v>0</v>
      </c>
      <c r="O2241">
        <v>0</v>
      </c>
      <c r="P2241">
        <v>0</v>
      </c>
      <c r="S2241"/>
    </row>
    <row r="2242" spans="1:19" x14ac:dyDescent="0.25">
      <c r="A2242" t="s">
        <v>277</v>
      </c>
      <c r="B2242" t="s">
        <v>275</v>
      </c>
      <c r="C2242">
        <v>119</v>
      </c>
      <c r="D2242">
        <v>272</v>
      </c>
      <c r="E2242" t="s">
        <v>235</v>
      </c>
      <c r="G2242">
        <v>0</v>
      </c>
      <c r="H2242">
        <v>0</v>
      </c>
      <c r="I2242">
        <v>0</v>
      </c>
      <c r="J2242">
        <v>0</v>
      </c>
      <c r="K2242">
        <v>0</v>
      </c>
      <c r="L2242">
        <v>0</v>
      </c>
      <c r="M2242">
        <v>0</v>
      </c>
      <c r="N2242">
        <v>0</v>
      </c>
      <c r="O2242">
        <v>0</v>
      </c>
      <c r="P2242">
        <v>0</v>
      </c>
      <c r="S2242"/>
    </row>
    <row r="2243" spans="1:19" x14ac:dyDescent="0.25">
      <c r="A2243" t="s">
        <v>277</v>
      </c>
      <c r="B2243" t="s">
        <v>275</v>
      </c>
      <c r="C2243">
        <v>119</v>
      </c>
      <c r="D2243">
        <v>272</v>
      </c>
      <c r="E2243" t="s">
        <v>236</v>
      </c>
      <c r="G2243">
        <v>0</v>
      </c>
      <c r="H2243">
        <v>0</v>
      </c>
      <c r="I2243">
        <v>0</v>
      </c>
      <c r="J2243">
        <v>0</v>
      </c>
      <c r="K2243">
        <v>0</v>
      </c>
      <c r="L2243">
        <v>0</v>
      </c>
      <c r="M2243">
        <v>0</v>
      </c>
      <c r="N2243">
        <v>0</v>
      </c>
      <c r="O2243">
        <v>0</v>
      </c>
      <c r="P2243">
        <v>0</v>
      </c>
      <c r="S2243"/>
    </row>
    <row r="2244" spans="1:19" x14ac:dyDescent="0.25">
      <c r="A2244" t="s">
        <v>277</v>
      </c>
      <c r="B2244" t="s">
        <v>275</v>
      </c>
      <c r="C2244">
        <v>119</v>
      </c>
      <c r="D2244">
        <v>272</v>
      </c>
      <c r="E2244" t="s">
        <v>237</v>
      </c>
      <c r="G2244">
        <v>0</v>
      </c>
      <c r="H2244">
        <v>0</v>
      </c>
      <c r="I2244">
        <v>0</v>
      </c>
      <c r="J2244">
        <v>0</v>
      </c>
      <c r="K2244">
        <v>0</v>
      </c>
      <c r="L2244">
        <v>0</v>
      </c>
      <c r="M2244">
        <v>0</v>
      </c>
      <c r="N2244">
        <v>0</v>
      </c>
      <c r="O2244">
        <v>0</v>
      </c>
      <c r="P2244">
        <v>0</v>
      </c>
      <c r="S2244"/>
    </row>
    <row r="2245" spans="1:19" x14ac:dyDescent="0.25">
      <c r="A2245" t="s">
        <v>277</v>
      </c>
      <c r="B2245" t="s">
        <v>275</v>
      </c>
      <c r="C2245">
        <v>119</v>
      </c>
      <c r="D2245">
        <v>272</v>
      </c>
      <c r="E2245" t="s">
        <v>238</v>
      </c>
      <c r="G2245">
        <v>107706</v>
      </c>
      <c r="H2245">
        <v>0</v>
      </c>
      <c r="I2245">
        <v>0</v>
      </c>
      <c r="J2245">
        <v>24694.38</v>
      </c>
      <c r="K2245">
        <v>0</v>
      </c>
      <c r="L2245">
        <v>24694.38</v>
      </c>
      <c r="M2245">
        <v>24694.38</v>
      </c>
      <c r="N2245">
        <v>22.93</v>
      </c>
      <c r="O2245">
        <v>83011.62</v>
      </c>
      <c r="P2245">
        <v>0</v>
      </c>
      <c r="S2245"/>
    </row>
    <row r="2246" spans="1:19" x14ac:dyDescent="0.25">
      <c r="A2246" t="s">
        <v>277</v>
      </c>
      <c r="B2246" t="s">
        <v>281</v>
      </c>
      <c r="C2246">
        <v>93</v>
      </c>
      <c r="D2246">
        <v>145</v>
      </c>
      <c r="E2246" t="s">
        <v>228</v>
      </c>
      <c r="F2246">
        <v>20</v>
      </c>
      <c r="G2246">
        <v>37300</v>
      </c>
      <c r="H2246">
        <v>0</v>
      </c>
      <c r="I2246">
        <v>0</v>
      </c>
      <c r="J2246">
        <v>2880.18</v>
      </c>
      <c r="K2246">
        <v>0</v>
      </c>
      <c r="L2246">
        <v>2757.18</v>
      </c>
      <c r="M2246">
        <v>2880.18</v>
      </c>
      <c r="N2246">
        <v>7.72</v>
      </c>
      <c r="O2246">
        <v>34419.82</v>
      </c>
      <c r="P2246">
        <v>0</v>
      </c>
      <c r="S2246"/>
    </row>
    <row r="2247" spans="1:19" x14ac:dyDescent="0.25">
      <c r="A2247" t="s">
        <v>277</v>
      </c>
      <c r="B2247" t="s">
        <v>281</v>
      </c>
      <c r="C2247">
        <v>93</v>
      </c>
      <c r="D2247">
        <v>145</v>
      </c>
      <c r="E2247" t="s">
        <v>229</v>
      </c>
      <c r="F2247">
        <v>15</v>
      </c>
      <c r="G2247">
        <v>5595</v>
      </c>
      <c r="H2247">
        <v>0</v>
      </c>
      <c r="I2247">
        <v>0</v>
      </c>
      <c r="J2247">
        <v>432.02</v>
      </c>
      <c r="K2247">
        <v>0</v>
      </c>
      <c r="L2247">
        <v>413.57</v>
      </c>
      <c r="M2247">
        <v>432.02</v>
      </c>
      <c r="N2247">
        <v>7.72</v>
      </c>
      <c r="O2247">
        <v>5162.9799999999996</v>
      </c>
      <c r="P2247">
        <v>0</v>
      </c>
      <c r="S2247"/>
    </row>
    <row r="2248" spans="1:19" x14ac:dyDescent="0.25">
      <c r="A2248" t="s">
        <v>277</v>
      </c>
      <c r="B2248" t="s">
        <v>281</v>
      </c>
      <c r="C2248">
        <v>93</v>
      </c>
      <c r="D2248">
        <v>145</v>
      </c>
      <c r="E2248" t="s">
        <v>230</v>
      </c>
      <c r="F2248">
        <v>4</v>
      </c>
      <c r="G2248">
        <v>1492</v>
      </c>
      <c r="H2248">
        <v>0</v>
      </c>
      <c r="I2248">
        <v>0</v>
      </c>
      <c r="J2248">
        <v>115.2</v>
      </c>
      <c r="K2248">
        <v>0</v>
      </c>
      <c r="L2248">
        <v>110.28</v>
      </c>
      <c r="M2248">
        <v>115.2</v>
      </c>
      <c r="N2248">
        <v>7.72</v>
      </c>
      <c r="O2248">
        <v>1376.8</v>
      </c>
      <c r="P2248">
        <v>0</v>
      </c>
      <c r="S2248"/>
    </row>
    <row r="2249" spans="1:19" x14ac:dyDescent="0.25">
      <c r="A2249" t="s">
        <v>277</v>
      </c>
      <c r="B2249" t="s">
        <v>281</v>
      </c>
      <c r="C2249">
        <v>93</v>
      </c>
      <c r="D2249">
        <v>145</v>
      </c>
      <c r="E2249" t="s">
        <v>231</v>
      </c>
      <c r="G2249">
        <v>64500</v>
      </c>
      <c r="H2249">
        <v>0</v>
      </c>
      <c r="I2249">
        <v>0</v>
      </c>
      <c r="J2249">
        <v>14400.9</v>
      </c>
      <c r="K2249">
        <v>0</v>
      </c>
      <c r="L2249">
        <v>13785.9</v>
      </c>
      <c r="M2249">
        <v>14400.9</v>
      </c>
      <c r="N2249">
        <v>22.33</v>
      </c>
      <c r="O2249">
        <v>50099.1</v>
      </c>
      <c r="P2249">
        <v>0</v>
      </c>
      <c r="S2249"/>
    </row>
    <row r="2250" spans="1:19" x14ac:dyDescent="0.25">
      <c r="A2250" t="s">
        <v>277</v>
      </c>
      <c r="B2250" t="s">
        <v>281</v>
      </c>
      <c r="C2250">
        <v>93</v>
      </c>
      <c r="D2250">
        <v>145</v>
      </c>
      <c r="E2250" t="s">
        <v>232</v>
      </c>
      <c r="G2250">
        <v>92000</v>
      </c>
      <c r="H2250">
        <v>0</v>
      </c>
      <c r="I2250">
        <v>0</v>
      </c>
      <c r="J2250">
        <v>0</v>
      </c>
      <c r="K2250">
        <v>0</v>
      </c>
      <c r="L2250">
        <v>0</v>
      </c>
      <c r="M2250">
        <v>0</v>
      </c>
      <c r="N2250">
        <v>0</v>
      </c>
      <c r="O2250">
        <v>92000</v>
      </c>
      <c r="P2250">
        <v>0</v>
      </c>
      <c r="S2250"/>
    </row>
    <row r="2251" spans="1:19" x14ac:dyDescent="0.25">
      <c r="A2251" t="s">
        <v>277</v>
      </c>
      <c r="B2251" t="s">
        <v>281</v>
      </c>
      <c r="C2251">
        <v>93</v>
      </c>
      <c r="D2251">
        <v>145</v>
      </c>
      <c r="E2251" t="s">
        <v>233</v>
      </c>
      <c r="G2251">
        <v>30000</v>
      </c>
      <c r="H2251">
        <v>0</v>
      </c>
      <c r="I2251">
        <v>0</v>
      </c>
      <c r="J2251">
        <v>0</v>
      </c>
      <c r="K2251">
        <v>0</v>
      </c>
      <c r="L2251">
        <v>0</v>
      </c>
      <c r="M2251">
        <v>0</v>
      </c>
      <c r="N2251">
        <v>0</v>
      </c>
      <c r="O2251">
        <v>30000</v>
      </c>
      <c r="P2251">
        <v>0</v>
      </c>
      <c r="S2251"/>
    </row>
    <row r="2252" spans="1:19" x14ac:dyDescent="0.25">
      <c r="A2252" t="s">
        <v>277</v>
      </c>
      <c r="B2252" t="s">
        <v>281</v>
      </c>
      <c r="C2252">
        <v>93</v>
      </c>
      <c r="D2252">
        <v>145</v>
      </c>
      <c r="E2252" t="s">
        <v>234</v>
      </c>
      <c r="G2252">
        <v>0</v>
      </c>
      <c r="H2252">
        <v>0</v>
      </c>
      <c r="I2252">
        <v>0</v>
      </c>
      <c r="J2252">
        <v>0</v>
      </c>
      <c r="K2252">
        <v>0</v>
      </c>
      <c r="L2252">
        <v>0</v>
      </c>
      <c r="M2252">
        <v>0</v>
      </c>
      <c r="N2252">
        <v>0</v>
      </c>
      <c r="O2252">
        <v>0</v>
      </c>
      <c r="P2252">
        <v>0</v>
      </c>
      <c r="S2252"/>
    </row>
    <row r="2253" spans="1:19" x14ac:dyDescent="0.25">
      <c r="A2253" t="s">
        <v>277</v>
      </c>
      <c r="B2253" t="s">
        <v>281</v>
      </c>
      <c r="C2253">
        <v>93</v>
      </c>
      <c r="D2253">
        <v>145</v>
      </c>
      <c r="E2253" t="s">
        <v>235</v>
      </c>
      <c r="G2253">
        <v>9000</v>
      </c>
      <c r="H2253">
        <v>0</v>
      </c>
      <c r="I2253">
        <v>0</v>
      </c>
      <c r="J2253">
        <v>9000</v>
      </c>
      <c r="K2253">
        <v>0</v>
      </c>
      <c r="L2253">
        <v>9000</v>
      </c>
      <c r="M2253">
        <v>9000</v>
      </c>
      <c r="N2253">
        <v>100</v>
      </c>
      <c r="O2253">
        <v>0</v>
      </c>
      <c r="P2253">
        <v>0</v>
      </c>
      <c r="S2253"/>
    </row>
    <row r="2254" spans="1:19" x14ac:dyDescent="0.25">
      <c r="A2254" t="s">
        <v>277</v>
      </c>
      <c r="B2254" t="s">
        <v>281</v>
      </c>
      <c r="C2254">
        <v>93</v>
      </c>
      <c r="D2254">
        <v>145</v>
      </c>
      <c r="E2254" t="s">
        <v>236</v>
      </c>
      <c r="G2254">
        <v>0</v>
      </c>
      <c r="H2254">
        <v>0</v>
      </c>
      <c r="I2254">
        <v>0</v>
      </c>
      <c r="J2254">
        <v>0</v>
      </c>
      <c r="K2254">
        <v>0</v>
      </c>
      <c r="L2254">
        <v>0</v>
      </c>
      <c r="M2254">
        <v>0</v>
      </c>
      <c r="N2254">
        <v>0</v>
      </c>
      <c r="O2254">
        <v>0</v>
      </c>
      <c r="P2254">
        <v>0</v>
      </c>
      <c r="S2254"/>
    </row>
    <row r="2255" spans="1:19" x14ac:dyDescent="0.25">
      <c r="A2255" t="s">
        <v>277</v>
      </c>
      <c r="B2255" t="s">
        <v>281</v>
      </c>
      <c r="C2255">
        <v>93</v>
      </c>
      <c r="D2255">
        <v>145</v>
      </c>
      <c r="E2255" t="s">
        <v>237</v>
      </c>
      <c r="G2255">
        <v>0</v>
      </c>
      <c r="H2255">
        <v>0</v>
      </c>
      <c r="I2255">
        <v>0</v>
      </c>
      <c r="J2255">
        <v>0</v>
      </c>
      <c r="K2255">
        <v>0</v>
      </c>
      <c r="L2255">
        <v>0</v>
      </c>
      <c r="M2255">
        <v>0</v>
      </c>
      <c r="N2255">
        <v>0</v>
      </c>
      <c r="O2255">
        <v>0</v>
      </c>
      <c r="P2255">
        <v>0</v>
      </c>
      <c r="S2255"/>
    </row>
    <row r="2256" spans="1:19" x14ac:dyDescent="0.25">
      <c r="A2256" t="s">
        <v>277</v>
      </c>
      <c r="B2256" t="s">
        <v>281</v>
      </c>
      <c r="C2256">
        <v>93</v>
      </c>
      <c r="D2256">
        <v>145</v>
      </c>
      <c r="E2256" t="s">
        <v>238</v>
      </c>
      <c r="G2256">
        <v>239887</v>
      </c>
      <c r="H2256">
        <v>0</v>
      </c>
      <c r="I2256">
        <v>0</v>
      </c>
      <c r="J2256">
        <v>26828.3</v>
      </c>
      <c r="K2256">
        <v>0</v>
      </c>
      <c r="L2256">
        <v>26066.93</v>
      </c>
      <c r="M2256">
        <v>26828.3</v>
      </c>
      <c r="N2256">
        <v>11.18</v>
      </c>
      <c r="O2256">
        <v>213058.7</v>
      </c>
      <c r="P2256">
        <v>0</v>
      </c>
      <c r="S2256"/>
    </row>
    <row r="2257" spans="1:19" x14ac:dyDescent="0.25">
      <c r="A2257" t="s">
        <v>310</v>
      </c>
      <c r="B2257" t="s">
        <v>311</v>
      </c>
      <c r="C2257">
        <v>181</v>
      </c>
      <c r="D2257">
        <v>192</v>
      </c>
      <c r="E2257" t="s">
        <v>228</v>
      </c>
      <c r="G2257">
        <v>48460</v>
      </c>
      <c r="H2257">
        <v>0</v>
      </c>
      <c r="I2257">
        <v>0</v>
      </c>
      <c r="J2257">
        <v>3954</v>
      </c>
      <c r="K2257">
        <v>0</v>
      </c>
      <c r="L2257">
        <v>3954</v>
      </c>
      <c r="M2257">
        <v>3954</v>
      </c>
      <c r="N2257">
        <v>8.16</v>
      </c>
      <c r="O2257">
        <v>44506</v>
      </c>
      <c r="P2257">
        <v>0</v>
      </c>
      <c r="S2257"/>
    </row>
    <row r="2258" spans="1:19" x14ac:dyDescent="0.25">
      <c r="A2258" t="s">
        <v>310</v>
      </c>
      <c r="B2258" t="s">
        <v>311</v>
      </c>
      <c r="C2258">
        <v>181</v>
      </c>
      <c r="D2258">
        <v>192</v>
      </c>
      <c r="E2258" t="s">
        <v>229</v>
      </c>
      <c r="F2258">
        <v>15</v>
      </c>
      <c r="G2258">
        <v>7269</v>
      </c>
      <c r="H2258">
        <v>0</v>
      </c>
      <c r="I2258">
        <v>0</v>
      </c>
      <c r="J2258">
        <v>593.1</v>
      </c>
      <c r="K2258">
        <v>0</v>
      </c>
      <c r="L2258">
        <v>593.1</v>
      </c>
      <c r="M2258">
        <v>593.1</v>
      </c>
      <c r="N2258">
        <v>8.16</v>
      </c>
      <c r="O2258">
        <v>6675.9</v>
      </c>
      <c r="P2258">
        <v>0</v>
      </c>
      <c r="S2258"/>
    </row>
    <row r="2259" spans="1:19" x14ac:dyDescent="0.25">
      <c r="A2259" t="s">
        <v>310</v>
      </c>
      <c r="B2259" t="s">
        <v>311</v>
      </c>
      <c r="C2259">
        <v>181</v>
      </c>
      <c r="D2259">
        <v>192</v>
      </c>
      <c r="E2259" t="s">
        <v>230</v>
      </c>
      <c r="G2259">
        <v>0</v>
      </c>
      <c r="H2259">
        <v>0</v>
      </c>
      <c r="I2259">
        <v>0</v>
      </c>
      <c r="J2259">
        <v>0</v>
      </c>
      <c r="K2259">
        <v>0</v>
      </c>
      <c r="L2259">
        <v>0</v>
      </c>
      <c r="M2259">
        <v>0</v>
      </c>
      <c r="N2259">
        <v>0</v>
      </c>
      <c r="O2259">
        <v>0</v>
      </c>
      <c r="P2259">
        <v>0</v>
      </c>
      <c r="S2259"/>
    </row>
    <row r="2260" spans="1:19" x14ac:dyDescent="0.25">
      <c r="A2260" t="s">
        <v>310</v>
      </c>
      <c r="B2260" t="s">
        <v>311</v>
      </c>
      <c r="C2260">
        <v>181</v>
      </c>
      <c r="D2260">
        <v>192</v>
      </c>
      <c r="E2260" t="s">
        <v>231</v>
      </c>
      <c r="G2260">
        <v>7000</v>
      </c>
      <c r="H2260">
        <v>0</v>
      </c>
      <c r="I2260">
        <v>0</v>
      </c>
      <c r="J2260">
        <v>0</v>
      </c>
      <c r="K2260">
        <v>0</v>
      </c>
      <c r="L2260">
        <v>0</v>
      </c>
      <c r="M2260">
        <v>0</v>
      </c>
      <c r="N2260">
        <v>0</v>
      </c>
      <c r="O2260">
        <v>7000</v>
      </c>
      <c r="P2260">
        <v>0</v>
      </c>
      <c r="S2260"/>
    </row>
    <row r="2261" spans="1:19" x14ac:dyDescent="0.25">
      <c r="A2261" t="s">
        <v>310</v>
      </c>
      <c r="B2261" t="s">
        <v>311</v>
      </c>
      <c r="C2261">
        <v>181</v>
      </c>
      <c r="D2261">
        <v>192</v>
      </c>
      <c r="E2261" t="s">
        <v>232</v>
      </c>
      <c r="G2261">
        <v>82000</v>
      </c>
      <c r="H2261">
        <v>0</v>
      </c>
      <c r="I2261">
        <v>0</v>
      </c>
      <c r="J2261">
        <v>0</v>
      </c>
      <c r="K2261">
        <v>0</v>
      </c>
      <c r="L2261">
        <v>0</v>
      </c>
      <c r="M2261">
        <v>0</v>
      </c>
      <c r="N2261">
        <v>0</v>
      </c>
      <c r="O2261">
        <v>82000</v>
      </c>
      <c r="P2261">
        <v>0</v>
      </c>
      <c r="S2261"/>
    </row>
    <row r="2262" spans="1:19" x14ac:dyDescent="0.25">
      <c r="A2262" t="s">
        <v>310</v>
      </c>
      <c r="B2262" t="s">
        <v>311</v>
      </c>
      <c r="C2262">
        <v>181</v>
      </c>
      <c r="D2262">
        <v>192</v>
      </c>
      <c r="E2262" t="s">
        <v>233</v>
      </c>
      <c r="G2262">
        <v>0</v>
      </c>
      <c r="H2262">
        <v>0</v>
      </c>
      <c r="I2262">
        <v>0</v>
      </c>
      <c r="J2262">
        <v>0</v>
      </c>
      <c r="K2262">
        <v>0</v>
      </c>
      <c r="L2262">
        <v>0</v>
      </c>
      <c r="M2262">
        <v>0</v>
      </c>
      <c r="N2262">
        <v>0</v>
      </c>
      <c r="O2262">
        <v>0</v>
      </c>
      <c r="P2262">
        <v>0</v>
      </c>
      <c r="S2262"/>
    </row>
    <row r="2263" spans="1:19" x14ac:dyDescent="0.25">
      <c r="A2263" t="s">
        <v>310</v>
      </c>
      <c r="B2263" t="s">
        <v>311</v>
      </c>
      <c r="C2263">
        <v>181</v>
      </c>
      <c r="D2263">
        <v>192</v>
      </c>
      <c r="E2263" t="s">
        <v>234</v>
      </c>
      <c r="G2263">
        <v>0</v>
      </c>
      <c r="H2263">
        <v>0</v>
      </c>
      <c r="I2263">
        <v>0</v>
      </c>
      <c r="J2263">
        <v>0</v>
      </c>
      <c r="K2263">
        <v>0</v>
      </c>
      <c r="L2263">
        <v>0</v>
      </c>
      <c r="M2263">
        <v>0</v>
      </c>
      <c r="N2263">
        <v>0</v>
      </c>
      <c r="O2263">
        <v>0</v>
      </c>
      <c r="P2263">
        <v>0</v>
      </c>
      <c r="S2263"/>
    </row>
    <row r="2264" spans="1:19" x14ac:dyDescent="0.25">
      <c r="A2264" t="s">
        <v>310</v>
      </c>
      <c r="B2264" t="s">
        <v>311</v>
      </c>
      <c r="C2264">
        <v>181</v>
      </c>
      <c r="D2264">
        <v>192</v>
      </c>
      <c r="E2264" t="s">
        <v>235</v>
      </c>
      <c r="G2264">
        <v>0</v>
      </c>
      <c r="H2264">
        <v>0</v>
      </c>
      <c r="I2264">
        <v>0</v>
      </c>
      <c r="J2264">
        <v>0</v>
      </c>
      <c r="K2264">
        <v>0</v>
      </c>
      <c r="L2264">
        <v>0</v>
      </c>
      <c r="M2264">
        <v>0</v>
      </c>
      <c r="N2264">
        <v>0</v>
      </c>
      <c r="O2264">
        <v>0</v>
      </c>
      <c r="P2264">
        <v>0</v>
      </c>
      <c r="S2264"/>
    </row>
    <row r="2265" spans="1:19" x14ac:dyDescent="0.25">
      <c r="A2265" t="s">
        <v>310</v>
      </c>
      <c r="B2265" t="s">
        <v>311</v>
      </c>
      <c r="C2265">
        <v>181</v>
      </c>
      <c r="D2265">
        <v>192</v>
      </c>
      <c r="E2265" t="s">
        <v>236</v>
      </c>
      <c r="G2265">
        <v>0</v>
      </c>
      <c r="H2265">
        <v>0</v>
      </c>
      <c r="I2265">
        <v>0</v>
      </c>
      <c r="J2265">
        <v>0</v>
      </c>
      <c r="K2265">
        <v>0</v>
      </c>
      <c r="L2265">
        <v>0</v>
      </c>
      <c r="M2265">
        <v>0</v>
      </c>
      <c r="N2265">
        <v>0</v>
      </c>
      <c r="O2265">
        <v>0</v>
      </c>
      <c r="P2265">
        <v>0</v>
      </c>
      <c r="S2265"/>
    </row>
    <row r="2266" spans="1:19" x14ac:dyDescent="0.25">
      <c r="A2266" t="s">
        <v>310</v>
      </c>
      <c r="B2266" t="s">
        <v>311</v>
      </c>
      <c r="C2266">
        <v>181</v>
      </c>
      <c r="D2266">
        <v>192</v>
      </c>
      <c r="E2266" t="s">
        <v>237</v>
      </c>
      <c r="G2266">
        <v>0</v>
      </c>
      <c r="H2266">
        <v>0</v>
      </c>
      <c r="I2266">
        <v>0</v>
      </c>
      <c r="J2266">
        <v>0</v>
      </c>
      <c r="K2266">
        <v>0</v>
      </c>
      <c r="L2266">
        <v>0</v>
      </c>
      <c r="M2266">
        <v>0</v>
      </c>
      <c r="N2266">
        <v>0</v>
      </c>
      <c r="O2266">
        <v>0</v>
      </c>
      <c r="P2266">
        <v>0</v>
      </c>
      <c r="S2266"/>
    </row>
    <row r="2267" spans="1:19" x14ac:dyDescent="0.25">
      <c r="A2267" t="s">
        <v>310</v>
      </c>
      <c r="B2267" t="s">
        <v>311</v>
      </c>
      <c r="C2267">
        <v>181</v>
      </c>
      <c r="D2267">
        <v>192</v>
      </c>
      <c r="E2267" t="s">
        <v>238</v>
      </c>
      <c r="G2267">
        <v>144729</v>
      </c>
      <c r="H2267">
        <v>0</v>
      </c>
      <c r="I2267">
        <v>0</v>
      </c>
      <c r="J2267">
        <v>4547.1000000000004</v>
      </c>
      <c r="K2267">
        <v>0</v>
      </c>
      <c r="L2267">
        <v>4547.1000000000004</v>
      </c>
      <c r="M2267">
        <v>4547.1000000000004</v>
      </c>
      <c r="N2267">
        <v>3.14</v>
      </c>
      <c r="O2267">
        <v>140181.9</v>
      </c>
      <c r="P2267">
        <v>0</v>
      </c>
      <c r="S2267"/>
    </row>
    <row r="2268" spans="1:19" x14ac:dyDescent="0.25">
      <c r="A2268" t="s">
        <v>310</v>
      </c>
      <c r="B2268" t="s">
        <v>32</v>
      </c>
      <c r="C2268">
        <v>80</v>
      </c>
      <c r="D2268">
        <v>338</v>
      </c>
      <c r="E2268" t="s">
        <v>228</v>
      </c>
      <c r="G2268">
        <v>92644</v>
      </c>
      <c r="H2268">
        <v>9352</v>
      </c>
      <c r="I2268">
        <v>0</v>
      </c>
      <c r="J2268">
        <v>14830</v>
      </c>
      <c r="K2268">
        <v>0</v>
      </c>
      <c r="L2268">
        <v>14830</v>
      </c>
      <c r="M2268">
        <v>24182</v>
      </c>
      <c r="N2268">
        <v>26.1</v>
      </c>
      <c r="O2268">
        <v>68462</v>
      </c>
      <c r="P2268">
        <v>9352</v>
      </c>
      <c r="S2268"/>
    </row>
    <row r="2269" spans="1:19" x14ac:dyDescent="0.25">
      <c r="A2269" t="s">
        <v>310</v>
      </c>
      <c r="B2269" t="s">
        <v>32</v>
      </c>
      <c r="C2269">
        <v>80</v>
      </c>
      <c r="D2269">
        <v>338</v>
      </c>
      <c r="E2269" t="s">
        <v>229</v>
      </c>
      <c r="F2269">
        <v>15</v>
      </c>
      <c r="G2269">
        <v>13896.6</v>
      </c>
      <c r="H2269">
        <v>1402.8</v>
      </c>
      <c r="I2269">
        <v>0</v>
      </c>
      <c r="J2269">
        <v>2224.5</v>
      </c>
      <c r="K2269">
        <v>0</v>
      </c>
      <c r="L2269">
        <v>2224.5</v>
      </c>
      <c r="M2269">
        <v>3627.3</v>
      </c>
      <c r="N2269">
        <v>26.1</v>
      </c>
      <c r="O2269">
        <v>10269.299999999999</v>
      </c>
      <c r="P2269">
        <v>1402.8</v>
      </c>
      <c r="S2269"/>
    </row>
    <row r="2270" spans="1:19" x14ac:dyDescent="0.25">
      <c r="A2270" t="s">
        <v>310</v>
      </c>
      <c r="B2270" t="s">
        <v>32</v>
      </c>
      <c r="C2270">
        <v>80</v>
      </c>
      <c r="D2270">
        <v>338</v>
      </c>
      <c r="E2270" t="s">
        <v>230</v>
      </c>
      <c r="F2270">
        <v>4</v>
      </c>
      <c r="G2270">
        <v>3705.76</v>
      </c>
      <c r="H2270">
        <v>374.08</v>
      </c>
      <c r="I2270">
        <v>0</v>
      </c>
      <c r="J2270">
        <v>593.20000000000005</v>
      </c>
      <c r="K2270">
        <v>0</v>
      </c>
      <c r="L2270">
        <v>593.20000000000005</v>
      </c>
      <c r="M2270">
        <v>967.28</v>
      </c>
      <c r="N2270">
        <v>26.1</v>
      </c>
      <c r="O2270">
        <v>2738.48</v>
      </c>
      <c r="P2270">
        <v>374.08</v>
      </c>
      <c r="S2270"/>
    </row>
    <row r="2271" spans="1:19" x14ac:dyDescent="0.25">
      <c r="A2271" t="s">
        <v>310</v>
      </c>
      <c r="B2271" t="s">
        <v>32</v>
      </c>
      <c r="C2271">
        <v>80</v>
      </c>
      <c r="D2271">
        <v>338</v>
      </c>
      <c r="E2271" t="s">
        <v>231</v>
      </c>
      <c r="G2271">
        <v>33000</v>
      </c>
      <c r="H2271">
        <v>0</v>
      </c>
      <c r="I2271">
        <v>0</v>
      </c>
      <c r="J2271">
        <v>178.75</v>
      </c>
      <c r="K2271">
        <v>0</v>
      </c>
      <c r="L2271">
        <v>178.75</v>
      </c>
      <c r="M2271">
        <v>178.75</v>
      </c>
      <c r="N2271">
        <v>0.54</v>
      </c>
      <c r="O2271">
        <v>32821.25</v>
      </c>
      <c r="P2271">
        <v>0</v>
      </c>
      <c r="S2271"/>
    </row>
    <row r="2272" spans="1:19" x14ac:dyDescent="0.25">
      <c r="A2272" t="s">
        <v>310</v>
      </c>
      <c r="B2272" t="s">
        <v>32</v>
      </c>
      <c r="C2272">
        <v>80</v>
      </c>
      <c r="D2272">
        <v>338</v>
      </c>
      <c r="E2272" t="s">
        <v>232</v>
      </c>
      <c r="G2272">
        <v>7000</v>
      </c>
      <c r="H2272">
        <v>0</v>
      </c>
      <c r="I2272">
        <v>0</v>
      </c>
      <c r="J2272">
        <v>0</v>
      </c>
      <c r="K2272">
        <v>0</v>
      </c>
      <c r="L2272">
        <v>0</v>
      </c>
      <c r="M2272">
        <v>0</v>
      </c>
      <c r="N2272">
        <v>0</v>
      </c>
      <c r="O2272">
        <v>7000</v>
      </c>
      <c r="P2272">
        <v>0</v>
      </c>
      <c r="S2272"/>
    </row>
    <row r="2273" spans="1:19" x14ac:dyDescent="0.25">
      <c r="A2273" t="s">
        <v>310</v>
      </c>
      <c r="B2273" t="s">
        <v>32</v>
      </c>
      <c r="C2273">
        <v>80</v>
      </c>
      <c r="D2273">
        <v>338</v>
      </c>
      <c r="E2273" t="s">
        <v>233</v>
      </c>
      <c r="G2273">
        <v>0</v>
      </c>
      <c r="H2273">
        <v>0</v>
      </c>
      <c r="I2273">
        <v>0</v>
      </c>
      <c r="J2273">
        <v>0</v>
      </c>
      <c r="K2273">
        <v>0</v>
      </c>
      <c r="L2273">
        <v>0</v>
      </c>
      <c r="M2273">
        <v>0</v>
      </c>
      <c r="N2273">
        <v>0</v>
      </c>
      <c r="O2273">
        <v>0</v>
      </c>
      <c r="P2273">
        <v>0</v>
      </c>
      <c r="S2273"/>
    </row>
    <row r="2274" spans="1:19" x14ac:dyDescent="0.25">
      <c r="A2274" t="s">
        <v>310</v>
      </c>
      <c r="B2274" t="s">
        <v>32</v>
      </c>
      <c r="C2274">
        <v>80</v>
      </c>
      <c r="D2274">
        <v>338</v>
      </c>
      <c r="E2274" t="s">
        <v>234</v>
      </c>
      <c r="G2274">
        <v>0</v>
      </c>
      <c r="H2274">
        <v>0</v>
      </c>
      <c r="I2274">
        <v>0</v>
      </c>
      <c r="J2274">
        <v>0</v>
      </c>
      <c r="K2274">
        <v>0</v>
      </c>
      <c r="L2274">
        <v>0</v>
      </c>
      <c r="M2274">
        <v>0</v>
      </c>
      <c r="N2274">
        <v>0</v>
      </c>
      <c r="O2274">
        <v>0</v>
      </c>
      <c r="P2274">
        <v>0</v>
      </c>
      <c r="S2274"/>
    </row>
    <row r="2275" spans="1:19" x14ac:dyDescent="0.25">
      <c r="A2275" t="s">
        <v>310</v>
      </c>
      <c r="B2275" t="s">
        <v>32</v>
      </c>
      <c r="C2275">
        <v>80</v>
      </c>
      <c r="D2275">
        <v>338</v>
      </c>
      <c r="E2275" t="s">
        <v>235</v>
      </c>
      <c r="G2275">
        <v>0</v>
      </c>
      <c r="H2275">
        <v>0</v>
      </c>
      <c r="I2275">
        <v>0</v>
      </c>
      <c r="J2275">
        <v>0</v>
      </c>
      <c r="K2275">
        <v>0</v>
      </c>
      <c r="L2275">
        <v>0</v>
      </c>
      <c r="M2275">
        <v>0</v>
      </c>
      <c r="N2275">
        <v>0</v>
      </c>
      <c r="O2275">
        <v>0</v>
      </c>
      <c r="P2275">
        <v>0</v>
      </c>
      <c r="S2275"/>
    </row>
    <row r="2276" spans="1:19" x14ac:dyDescent="0.25">
      <c r="A2276" t="s">
        <v>310</v>
      </c>
      <c r="B2276" t="s">
        <v>32</v>
      </c>
      <c r="C2276">
        <v>80</v>
      </c>
      <c r="D2276">
        <v>338</v>
      </c>
      <c r="E2276" t="s">
        <v>236</v>
      </c>
      <c r="G2276">
        <v>0</v>
      </c>
      <c r="H2276">
        <v>0</v>
      </c>
      <c r="I2276">
        <v>0</v>
      </c>
      <c r="J2276">
        <v>0</v>
      </c>
      <c r="K2276">
        <v>0</v>
      </c>
      <c r="L2276">
        <v>0</v>
      </c>
      <c r="M2276">
        <v>0</v>
      </c>
      <c r="N2276">
        <v>0</v>
      </c>
      <c r="O2276">
        <v>0</v>
      </c>
      <c r="P2276">
        <v>0</v>
      </c>
      <c r="S2276"/>
    </row>
    <row r="2277" spans="1:19" x14ac:dyDescent="0.25">
      <c r="A2277" t="s">
        <v>310</v>
      </c>
      <c r="B2277" t="s">
        <v>32</v>
      </c>
      <c r="C2277">
        <v>80</v>
      </c>
      <c r="D2277">
        <v>338</v>
      </c>
      <c r="E2277" t="s">
        <v>237</v>
      </c>
      <c r="G2277">
        <v>0</v>
      </c>
      <c r="H2277">
        <v>0</v>
      </c>
      <c r="I2277">
        <v>0</v>
      </c>
      <c r="J2277">
        <v>0</v>
      </c>
      <c r="K2277">
        <v>0</v>
      </c>
      <c r="L2277">
        <v>0</v>
      </c>
      <c r="M2277">
        <v>0</v>
      </c>
      <c r="N2277">
        <v>0</v>
      </c>
      <c r="O2277">
        <v>0</v>
      </c>
      <c r="P2277">
        <v>0</v>
      </c>
      <c r="S2277"/>
    </row>
    <row r="2278" spans="1:19" x14ac:dyDescent="0.25">
      <c r="A2278" t="s">
        <v>310</v>
      </c>
      <c r="B2278" t="s">
        <v>32</v>
      </c>
      <c r="C2278">
        <v>80</v>
      </c>
      <c r="D2278">
        <v>338</v>
      </c>
      <c r="E2278" t="s">
        <v>238</v>
      </c>
      <c r="G2278">
        <v>150246.35999999999</v>
      </c>
      <c r="H2278">
        <v>11128.88</v>
      </c>
      <c r="I2278">
        <v>0</v>
      </c>
      <c r="J2278">
        <v>17826.45</v>
      </c>
      <c r="K2278">
        <v>0</v>
      </c>
      <c r="L2278">
        <v>17826.45</v>
      </c>
      <c r="M2278">
        <v>28955.33</v>
      </c>
      <c r="N2278">
        <v>19.27</v>
      </c>
      <c r="O2278">
        <v>121291.03</v>
      </c>
      <c r="P2278">
        <v>11128.88</v>
      </c>
      <c r="S2278"/>
    </row>
    <row r="2279" spans="1:19" x14ac:dyDescent="0.25">
      <c r="A2279" t="s">
        <v>310</v>
      </c>
      <c r="B2279" t="s">
        <v>32</v>
      </c>
      <c r="C2279">
        <v>80</v>
      </c>
      <c r="D2279">
        <v>86</v>
      </c>
      <c r="E2279" t="s">
        <v>228</v>
      </c>
      <c r="G2279">
        <v>92644</v>
      </c>
      <c r="H2279">
        <v>0</v>
      </c>
      <c r="I2279">
        <v>0</v>
      </c>
      <c r="J2279">
        <v>9352</v>
      </c>
      <c r="K2279">
        <v>0</v>
      </c>
      <c r="L2279">
        <v>9352</v>
      </c>
      <c r="M2279">
        <v>9352</v>
      </c>
      <c r="N2279">
        <v>10.09</v>
      </c>
      <c r="O2279">
        <v>83292</v>
      </c>
      <c r="P2279">
        <v>0</v>
      </c>
      <c r="S2279"/>
    </row>
    <row r="2280" spans="1:19" x14ac:dyDescent="0.25">
      <c r="A2280" t="s">
        <v>310</v>
      </c>
      <c r="B2280" t="s">
        <v>32</v>
      </c>
      <c r="C2280">
        <v>80</v>
      </c>
      <c r="D2280">
        <v>86</v>
      </c>
      <c r="E2280" t="s">
        <v>229</v>
      </c>
      <c r="F2280">
        <v>15</v>
      </c>
      <c r="G2280">
        <v>13896.6</v>
      </c>
      <c r="H2280">
        <v>0</v>
      </c>
      <c r="I2280">
        <v>0</v>
      </c>
      <c r="J2280">
        <v>1402.8</v>
      </c>
      <c r="K2280">
        <v>0</v>
      </c>
      <c r="L2280">
        <v>1402.8</v>
      </c>
      <c r="M2280">
        <v>1402.8</v>
      </c>
      <c r="N2280">
        <v>10.09</v>
      </c>
      <c r="O2280">
        <v>12493.8</v>
      </c>
      <c r="P2280">
        <v>0</v>
      </c>
      <c r="S2280"/>
    </row>
    <row r="2281" spans="1:19" x14ac:dyDescent="0.25">
      <c r="A2281" t="s">
        <v>310</v>
      </c>
      <c r="B2281" t="s">
        <v>32</v>
      </c>
      <c r="C2281">
        <v>80</v>
      </c>
      <c r="D2281">
        <v>86</v>
      </c>
      <c r="E2281" t="s">
        <v>230</v>
      </c>
      <c r="F2281">
        <v>4</v>
      </c>
      <c r="G2281">
        <v>3705.76</v>
      </c>
      <c r="H2281">
        <v>0</v>
      </c>
      <c r="I2281">
        <v>0</v>
      </c>
      <c r="J2281">
        <v>374.08</v>
      </c>
      <c r="K2281">
        <v>0</v>
      </c>
      <c r="L2281">
        <v>374.08</v>
      </c>
      <c r="M2281">
        <v>374.08</v>
      </c>
      <c r="N2281">
        <v>10.09</v>
      </c>
      <c r="O2281">
        <v>3331.68</v>
      </c>
      <c r="P2281">
        <v>0</v>
      </c>
      <c r="S2281"/>
    </row>
    <row r="2282" spans="1:19" x14ac:dyDescent="0.25">
      <c r="A2282" t="s">
        <v>310</v>
      </c>
      <c r="B2282" t="s">
        <v>32</v>
      </c>
      <c r="C2282">
        <v>80</v>
      </c>
      <c r="D2282">
        <v>86</v>
      </c>
      <c r="E2282" t="s">
        <v>231</v>
      </c>
      <c r="G2282">
        <v>33000</v>
      </c>
      <c r="H2282">
        <v>0</v>
      </c>
      <c r="I2282">
        <v>0</v>
      </c>
      <c r="J2282">
        <v>0</v>
      </c>
      <c r="K2282">
        <v>0</v>
      </c>
      <c r="L2282">
        <v>0</v>
      </c>
      <c r="M2282">
        <v>0</v>
      </c>
      <c r="N2282">
        <v>0</v>
      </c>
      <c r="O2282">
        <v>33000</v>
      </c>
      <c r="P2282">
        <v>0</v>
      </c>
      <c r="S2282"/>
    </row>
    <row r="2283" spans="1:19" x14ac:dyDescent="0.25">
      <c r="A2283" t="s">
        <v>310</v>
      </c>
      <c r="B2283" t="s">
        <v>32</v>
      </c>
      <c r="C2283">
        <v>80</v>
      </c>
      <c r="D2283">
        <v>86</v>
      </c>
      <c r="E2283" t="s">
        <v>232</v>
      </c>
      <c r="G2283">
        <v>7000</v>
      </c>
      <c r="H2283">
        <v>0</v>
      </c>
      <c r="I2283">
        <v>0</v>
      </c>
      <c r="J2283">
        <v>0</v>
      </c>
      <c r="K2283">
        <v>0</v>
      </c>
      <c r="L2283">
        <v>0</v>
      </c>
      <c r="M2283">
        <v>0</v>
      </c>
      <c r="N2283">
        <v>0</v>
      </c>
      <c r="O2283">
        <v>7000</v>
      </c>
      <c r="P2283">
        <v>0</v>
      </c>
      <c r="S2283"/>
    </row>
    <row r="2284" spans="1:19" x14ac:dyDescent="0.25">
      <c r="A2284" t="s">
        <v>310</v>
      </c>
      <c r="B2284" t="s">
        <v>32</v>
      </c>
      <c r="C2284">
        <v>80</v>
      </c>
      <c r="D2284">
        <v>86</v>
      </c>
      <c r="E2284" t="s">
        <v>233</v>
      </c>
      <c r="G2284">
        <v>0</v>
      </c>
      <c r="H2284">
        <v>0</v>
      </c>
      <c r="I2284">
        <v>0</v>
      </c>
      <c r="J2284">
        <v>0</v>
      </c>
      <c r="K2284">
        <v>0</v>
      </c>
      <c r="L2284">
        <v>0</v>
      </c>
      <c r="M2284">
        <v>0</v>
      </c>
      <c r="N2284">
        <v>0</v>
      </c>
      <c r="O2284">
        <v>0</v>
      </c>
      <c r="P2284">
        <v>0</v>
      </c>
      <c r="S2284"/>
    </row>
    <row r="2285" spans="1:19" x14ac:dyDescent="0.25">
      <c r="A2285" t="s">
        <v>310</v>
      </c>
      <c r="B2285" t="s">
        <v>32</v>
      </c>
      <c r="C2285">
        <v>80</v>
      </c>
      <c r="D2285">
        <v>86</v>
      </c>
      <c r="E2285" t="s">
        <v>234</v>
      </c>
      <c r="G2285">
        <v>0</v>
      </c>
      <c r="H2285">
        <v>0</v>
      </c>
      <c r="I2285">
        <v>0</v>
      </c>
      <c r="J2285">
        <v>0</v>
      </c>
      <c r="K2285">
        <v>0</v>
      </c>
      <c r="L2285">
        <v>0</v>
      </c>
      <c r="M2285">
        <v>0</v>
      </c>
      <c r="N2285">
        <v>0</v>
      </c>
      <c r="O2285">
        <v>0</v>
      </c>
      <c r="P2285">
        <v>0</v>
      </c>
      <c r="S2285"/>
    </row>
    <row r="2286" spans="1:19" x14ac:dyDescent="0.25">
      <c r="A2286" t="s">
        <v>310</v>
      </c>
      <c r="B2286" t="s">
        <v>32</v>
      </c>
      <c r="C2286">
        <v>80</v>
      </c>
      <c r="D2286">
        <v>86</v>
      </c>
      <c r="E2286" t="s">
        <v>235</v>
      </c>
      <c r="G2286">
        <v>0</v>
      </c>
      <c r="H2286">
        <v>0</v>
      </c>
      <c r="I2286">
        <v>0</v>
      </c>
      <c r="J2286">
        <v>0</v>
      </c>
      <c r="K2286">
        <v>0</v>
      </c>
      <c r="L2286">
        <v>0</v>
      </c>
      <c r="M2286">
        <v>0</v>
      </c>
      <c r="N2286">
        <v>0</v>
      </c>
      <c r="O2286">
        <v>0</v>
      </c>
      <c r="P2286">
        <v>0</v>
      </c>
      <c r="S2286"/>
    </row>
    <row r="2287" spans="1:19" x14ac:dyDescent="0.25">
      <c r="A2287" t="s">
        <v>310</v>
      </c>
      <c r="B2287" t="s">
        <v>32</v>
      </c>
      <c r="C2287">
        <v>80</v>
      </c>
      <c r="D2287">
        <v>86</v>
      </c>
      <c r="E2287" t="s">
        <v>236</v>
      </c>
      <c r="G2287">
        <v>0</v>
      </c>
      <c r="H2287">
        <v>0</v>
      </c>
      <c r="I2287">
        <v>0</v>
      </c>
      <c r="J2287">
        <v>0</v>
      </c>
      <c r="K2287">
        <v>0</v>
      </c>
      <c r="L2287">
        <v>0</v>
      </c>
      <c r="M2287">
        <v>0</v>
      </c>
      <c r="N2287">
        <v>0</v>
      </c>
      <c r="O2287">
        <v>0</v>
      </c>
      <c r="P2287">
        <v>0</v>
      </c>
      <c r="S2287"/>
    </row>
    <row r="2288" spans="1:19" x14ac:dyDescent="0.25">
      <c r="A2288" t="s">
        <v>310</v>
      </c>
      <c r="B2288" t="s">
        <v>32</v>
      </c>
      <c r="C2288">
        <v>80</v>
      </c>
      <c r="D2288">
        <v>86</v>
      </c>
      <c r="E2288" t="s">
        <v>237</v>
      </c>
      <c r="G2288">
        <v>0</v>
      </c>
      <c r="H2288">
        <v>0</v>
      </c>
      <c r="I2288">
        <v>0</v>
      </c>
      <c r="J2288">
        <v>0</v>
      </c>
      <c r="K2288">
        <v>0</v>
      </c>
      <c r="L2288">
        <v>0</v>
      </c>
      <c r="M2288">
        <v>0</v>
      </c>
      <c r="N2288">
        <v>0</v>
      </c>
      <c r="O2288">
        <v>0</v>
      </c>
      <c r="P2288">
        <v>0</v>
      </c>
      <c r="S2288"/>
    </row>
    <row r="2289" spans="1:19" x14ac:dyDescent="0.25">
      <c r="A2289" t="s">
        <v>310</v>
      </c>
      <c r="B2289" t="s">
        <v>32</v>
      </c>
      <c r="C2289">
        <v>80</v>
      </c>
      <c r="D2289">
        <v>86</v>
      </c>
      <c r="E2289" t="s">
        <v>238</v>
      </c>
      <c r="G2289">
        <v>150246.35999999999</v>
      </c>
      <c r="H2289">
        <v>0</v>
      </c>
      <c r="I2289">
        <v>0</v>
      </c>
      <c r="J2289">
        <v>11128.88</v>
      </c>
      <c r="K2289">
        <v>0</v>
      </c>
      <c r="L2289">
        <v>11128.88</v>
      </c>
      <c r="M2289">
        <v>11128.88</v>
      </c>
      <c r="N2289">
        <v>7.41</v>
      </c>
      <c r="O2289">
        <v>139117.48000000001</v>
      </c>
      <c r="P2289">
        <v>0</v>
      </c>
      <c r="S2289"/>
    </row>
    <row r="2290" spans="1:19" x14ac:dyDescent="0.25">
      <c r="A2290" t="s">
        <v>310</v>
      </c>
      <c r="B2290" t="s">
        <v>38</v>
      </c>
      <c r="C2290">
        <v>182</v>
      </c>
      <c r="D2290">
        <v>154</v>
      </c>
      <c r="E2290" t="s">
        <v>228</v>
      </c>
      <c r="G2290">
        <v>99289.77</v>
      </c>
      <c r="H2290">
        <v>12777.24</v>
      </c>
      <c r="I2290">
        <v>0</v>
      </c>
      <c r="J2290">
        <v>23762.69</v>
      </c>
      <c r="K2290">
        <v>0</v>
      </c>
      <c r="L2290">
        <v>23111.98</v>
      </c>
      <c r="M2290">
        <v>36539.93</v>
      </c>
      <c r="N2290">
        <v>36.799999999999997</v>
      </c>
      <c r="O2290">
        <v>62749.84</v>
      </c>
      <c r="P2290">
        <v>0</v>
      </c>
      <c r="S2290"/>
    </row>
    <row r="2291" spans="1:19" x14ac:dyDescent="0.25">
      <c r="A2291" t="s">
        <v>310</v>
      </c>
      <c r="B2291" t="s">
        <v>38</v>
      </c>
      <c r="C2291">
        <v>182</v>
      </c>
      <c r="D2291">
        <v>154</v>
      </c>
      <c r="E2291" t="s">
        <v>229</v>
      </c>
      <c r="F2291">
        <v>15</v>
      </c>
      <c r="G2291">
        <v>14893.46</v>
      </c>
      <c r="H2291">
        <v>1916.58</v>
      </c>
      <c r="I2291">
        <v>0</v>
      </c>
      <c r="J2291">
        <v>3564.4</v>
      </c>
      <c r="K2291">
        <v>0</v>
      </c>
      <c r="L2291">
        <v>3466.79</v>
      </c>
      <c r="M2291">
        <v>5480.98</v>
      </c>
      <c r="N2291">
        <v>36.799999999999997</v>
      </c>
      <c r="O2291">
        <v>9412.48</v>
      </c>
      <c r="P2291">
        <v>0</v>
      </c>
      <c r="S2291"/>
    </row>
    <row r="2292" spans="1:19" x14ac:dyDescent="0.25">
      <c r="A2292" t="s">
        <v>310</v>
      </c>
      <c r="B2292" t="s">
        <v>38</v>
      </c>
      <c r="C2292">
        <v>182</v>
      </c>
      <c r="D2292">
        <v>154</v>
      </c>
      <c r="E2292" t="s">
        <v>230</v>
      </c>
      <c r="F2292">
        <v>4</v>
      </c>
      <c r="G2292">
        <v>3971.59</v>
      </c>
      <c r="H2292">
        <v>511.08</v>
      </c>
      <c r="I2292">
        <v>0</v>
      </c>
      <c r="J2292">
        <v>950.5</v>
      </c>
      <c r="K2292">
        <v>0</v>
      </c>
      <c r="L2292">
        <v>924.47</v>
      </c>
      <c r="M2292">
        <v>1461.58</v>
      </c>
      <c r="N2292">
        <v>36.799999999999997</v>
      </c>
      <c r="O2292">
        <v>2510.0100000000002</v>
      </c>
      <c r="P2292">
        <v>0</v>
      </c>
      <c r="S2292"/>
    </row>
    <row r="2293" spans="1:19" x14ac:dyDescent="0.25">
      <c r="A2293" t="s">
        <v>310</v>
      </c>
      <c r="B2293" t="s">
        <v>38</v>
      </c>
      <c r="C2293">
        <v>182</v>
      </c>
      <c r="D2293">
        <v>154</v>
      </c>
      <c r="E2293" t="s">
        <v>231</v>
      </c>
      <c r="G2293">
        <v>3500</v>
      </c>
      <c r="H2293">
        <v>0</v>
      </c>
      <c r="I2293">
        <v>0</v>
      </c>
      <c r="J2293">
        <v>42.19</v>
      </c>
      <c r="K2293">
        <v>0</v>
      </c>
      <c r="L2293">
        <v>42.19</v>
      </c>
      <c r="M2293">
        <v>42.19</v>
      </c>
      <c r="N2293">
        <v>1.21</v>
      </c>
      <c r="O2293">
        <v>3457.81</v>
      </c>
      <c r="P2293">
        <v>0</v>
      </c>
      <c r="S2293"/>
    </row>
    <row r="2294" spans="1:19" x14ac:dyDescent="0.25">
      <c r="A2294" t="s">
        <v>310</v>
      </c>
      <c r="B2294" t="s">
        <v>38</v>
      </c>
      <c r="C2294">
        <v>182</v>
      </c>
      <c r="D2294">
        <v>154</v>
      </c>
      <c r="E2294" t="s">
        <v>232</v>
      </c>
      <c r="G2294">
        <v>108345.18</v>
      </c>
      <c r="H2294">
        <v>0</v>
      </c>
      <c r="I2294">
        <v>0</v>
      </c>
      <c r="J2294">
        <v>32884.6</v>
      </c>
      <c r="K2294">
        <v>0</v>
      </c>
      <c r="L2294">
        <v>32614.2</v>
      </c>
      <c r="M2294">
        <v>32884.6</v>
      </c>
      <c r="N2294">
        <v>30.35</v>
      </c>
      <c r="O2294">
        <v>75460.58</v>
      </c>
      <c r="P2294">
        <v>0</v>
      </c>
      <c r="S2294"/>
    </row>
    <row r="2295" spans="1:19" x14ac:dyDescent="0.25">
      <c r="A2295" t="s">
        <v>310</v>
      </c>
      <c r="B2295" t="s">
        <v>38</v>
      </c>
      <c r="C2295">
        <v>182</v>
      </c>
      <c r="D2295">
        <v>154</v>
      </c>
      <c r="E2295" t="s">
        <v>233</v>
      </c>
      <c r="G2295">
        <v>0</v>
      </c>
      <c r="H2295">
        <v>0</v>
      </c>
      <c r="I2295">
        <v>0</v>
      </c>
      <c r="J2295">
        <v>0</v>
      </c>
      <c r="K2295">
        <v>0</v>
      </c>
      <c r="L2295">
        <v>0</v>
      </c>
      <c r="M2295">
        <v>0</v>
      </c>
      <c r="N2295">
        <v>0</v>
      </c>
      <c r="O2295">
        <v>0</v>
      </c>
      <c r="P2295">
        <v>0</v>
      </c>
      <c r="S2295"/>
    </row>
    <row r="2296" spans="1:19" x14ac:dyDescent="0.25">
      <c r="A2296" t="s">
        <v>310</v>
      </c>
      <c r="B2296" t="s">
        <v>38</v>
      </c>
      <c r="C2296">
        <v>182</v>
      </c>
      <c r="D2296">
        <v>154</v>
      </c>
      <c r="E2296" t="s">
        <v>234</v>
      </c>
      <c r="G2296">
        <v>0</v>
      </c>
      <c r="H2296">
        <v>0</v>
      </c>
      <c r="I2296">
        <v>0</v>
      </c>
      <c r="J2296">
        <v>0</v>
      </c>
      <c r="K2296">
        <v>0</v>
      </c>
      <c r="L2296">
        <v>0</v>
      </c>
      <c r="M2296">
        <v>0</v>
      </c>
      <c r="N2296">
        <v>0</v>
      </c>
      <c r="O2296">
        <v>0</v>
      </c>
      <c r="P2296">
        <v>0</v>
      </c>
      <c r="S2296"/>
    </row>
    <row r="2297" spans="1:19" x14ac:dyDescent="0.25">
      <c r="A2297" t="s">
        <v>310</v>
      </c>
      <c r="B2297" t="s">
        <v>38</v>
      </c>
      <c r="C2297">
        <v>182</v>
      </c>
      <c r="D2297">
        <v>154</v>
      </c>
      <c r="E2297" t="s">
        <v>235</v>
      </c>
      <c r="G2297">
        <v>0</v>
      </c>
      <c r="H2297">
        <v>0</v>
      </c>
      <c r="I2297">
        <v>0</v>
      </c>
      <c r="J2297">
        <v>0</v>
      </c>
      <c r="K2297">
        <v>0</v>
      </c>
      <c r="L2297">
        <v>0</v>
      </c>
      <c r="M2297">
        <v>0</v>
      </c>
      <c r="N2297">
        <v>0</v>
      </c>
      <c r="O2297">
        <v>0</v>
      </c>
      <c r="P2297">
        <v>0</v>
      </c>
      <c r="S2297"/>
    </row>
    <row r="2298" spans="1:19" x14ac:dyDescent="0.25">
      <c r="A2298" t="s">
        <v>310</v>
      </c>
      <c r="B2298" t="s">
        <v>38</v>
      </c>
      <c r="C2298">
        <v>182</v>
      </c>
      <c r="D2298">
        <v>154</v>
      </c>
      <c r="E2298" t="s">
        <v>236</v>
      </c>
      <c r="G2298">
        <v>0</v>
      </c>
      <c r="H2298">
        <v>0</v>
      </c>
      <c r="I2298">
        <v>0</v>
      </c>
      <c r="J2298">
        <v>0</v>
      </c>
      <c r="K2298">
        <v>0</v>
      </c>
      <c r="L2298">
        <v>0</v>
      </c>
      <c r="M2298">
        <v>0</v>
      </c>
      <c r="N2298">
        <v>0</v>
      </c>
      <c r="O2298">
        <v>0</v>
      </c>
      <c r="P2298">
        <v>0</v>
      </c>
      <c r="S2298"/>
    </row>
    <row r="2299" spans="1:19" x14ac:dyDescent="0.25">
      <c r="A2299" t="s">
        <v>310</v>
      </c>
      <c r="B2299" t="s">
        <v>38</v>
      </c>
      <c r="C2299">
        <v>182</v>
      </c>
      <c r="D2299">
        <v>154</v>
      </c>
      <c r="E2299" t="s">
        <v>237</v>
      </c>
      <c r="G2299">
        <v>0</v>
      </c>
      <c r="H2299">
        <v>0</v>
      </c>
      <c r="I2299">
        <v>0</v>
      </c>
      <c r="J2299">
        <v>0</v>
      </c>
      <c r="K2299">
        <v>0</v>
      </c>
      <c r="L2299">
        <v>0</v>
      </c>
      <c r="M2299">
        <v>0</v>
      </c>
      <c r="N2299">
        <v>0</v>
      </c>
      <c r="O2299">
        <v>0</v>
      </c>
      <c r="P2299">
        <v>0</v>
      </c>
      <c r="S2299"/>
    </row>
    <row r="2300" spans="1:19" x14ac:dyDescent="0.25">
      <c r="A2300" t="s">
        <v>310</v>
      </c>
      <c r="B2300" t="s">
        <v>38</v>
      </c>
      <c r="C2300">
        <v>182</v>
      </c>
      <c r="D2300">
        <v>154</v>
      </c>
      <c r="E2300" t="s">
        <v>238</v>
      </c>
      <c r="G2300">
        <v>230000</v>
      </c>
      <c r="H2300">
        <v>15204.9</v>
      </c>
      <c r="I2300">
        <v>0</v>
      </c>
      <c r="J2300">
        <v>61204.38</v>
      </c>
      <c r="K2300">
        <v>0</v>
      </c>
      <c r="L2300">
        <v>60159.63</v>
      </c>
      <c r="M2300">
        <v>76409.279999999999</v>
      </c>
      <c r="N2300">
        <v>33.22</v>
      </c>
      <c r="O2300">
        <v>153590.72</v>
      </c>
      <c r="P2300">
        <v>0</v>
      </c>
      <c r="S2300"/>
    </row>
    <row r="2301" spans="1:19" x14ac:dyDescent="0.25">
      <c r="A2301" t="s">
        <v>310</v>
      </c>
      <c r="B2301" t="s">
        <v>38</v>
      </c>
      <c r="C2301">
        <v>182</v>
      </c>
      <c r="D2301">
        <v>44</v>
      </c>
      <c r="E2301" t="s">
        <v>228</v>
      </c>
      <c r="G2301">
        <v>99289.77</v>
      </c>
      <c r="H2301">
        <v>0</v>
      </c>
      <c r="I2301">
        <v>0</v>
      </c>
      <c r="J2301">
        <v>12777.24</v>
      </c>
      <c r="K2301">
        <v>0</v>
      </c>
      <c r="L2301">
        <v>12015.49</v>
      </c>
      <c r="M2301">
        <v>12777.24</v>
      </c>
      <c r="N2301">
        <v>12.87</v>
      </c>
      <c r="O2301">
        <v>86512.53</v>
      </c>
      <c r="P2301">
        <v>0</v>
      </c>
      <c r="S2301"/>
    </row>
    <row r="2302" spans="1:19" x14ac:dyDescent="0.25">
      <c r="A2302" t="s">
        <v>310</v>
      </c>
      <c r="B2302" t="s">
        <v>38</v>
      </c>
      <c r="C2302">
        <v>182</v>
      </c>
      <c r="D2302">
        <v>44</v>
      </c>
      <c r="E2302" t="s">
        <v>229</v>
      </c>
      <c r="F2302">
        <v>15</v>
      </c>
      <c r="G2302">
        <v>14893.46</v>
      </c>
      <c r="H2302">
        <v>0</v>
      </c>
      <c r="I2302">
        <v>0</v>
      </c>
      <c r="J2302">
        <v>1916.58</v>
      </c>
      <c r="K2302">
        <v>0</v>
      </c>
      <c r="L2302">
        <v>1802.32</v>
      </c>
      <c r="M2302">
        <v>1916.58</v>
      </c>
      <c r="N2302">
        <v>12.87</v>
      </c>
      <c r="O2302">
        <v>12976.88</v>
      </c>
      <c r="P2302">
        <v>0</v>
      </c>
      <c r="S2302"/>
    </row>
    <row r="2303" spans="1:19" x14ac:dyDescent="0.25">
      <c r="A2303" t="s">
        <v>310</v>
      </c>
      <c r="B2303" t="s">
        <v>38</v>
      </c>
      <c r="C2303">
        <v>182</v>
      </c>
      <c r="D2303">
        <v>44</v>
      </c>
      <c r="E2303" t="s">
        <v>230</v>
      </c>
      <c r="F2303">
        <v>4</v>
      </c>
      <c r="G2303">
        <v>3971.59</v>
      </c>
      <c r="H2303">
        <v>0</v>
      </c>
      <c r="I2303">
        <v>0</v>
      </c>
      <c r="J2303">
        <v>511.08</v>
      </c>
      <c r="K2303">
        <v>0</v>
      </c>
      <c r="L2303">
        <v>480.61</v>
      </c>
      <c r="M2303">
        <v>511.08</v>
      </c>
      <c r="N2303">
        <v>12.87</v>
      </c>
      <c r="O2303">
        <v>3460.51</v>
      </c>
      <c r="P2303">
        <v>0</v>
      </c>
      <c r="S2303"/>
    </row>
    <row r="2304" spans="1:19" x14ac:dyDescent="0.25">
      <c r="A2304" t="s">
        <v>310</v>
      </c>
      <c r="B2304" t="s">
        <v>38</v>
      </c>
      <c r="C2304">
        <v>182</v>
      </c>
      <c r="D2304">
        <v>44</v>
      </c>
      <c r="E2304" t="s">
        <v>231</v>
      </c>
      <c r="G2304">
        <v>3500</v>
      </c>
      <c r="H2304">
        <v>0</v>
      </c>
      <c r="I2304">
        <v>0</v>
      </c>
      <c r="J2304">
        <v>0</v>
      </c>
      <c r="K2304">
        <v>0</v>
      </c>
      <c r="L2304">
        <v>0</v>
      </c>
      <c r="M2304">
        <v>0</v>
      </c>
      <c r="N2304">
        <v>0</v>
      </c>
      <c r="O2304">
        <v>3500</v>
      </c>
      <c r="P2304">
        <v>0</v>
      </c>
      <c r="S2304"/>
    </row>
    <row r="2305" spans="1:19" x14ac:dyDescent="0.25">
      <c r="A2305" t="s">
        <v>310</v>
      </c>
      <c r="B2305" t="s">
        <v>38</v>
      </c>
      <c r="C2305">
        <v>182</v>
      </c>
      <c r="D2305">
        <v>44</v>
      </c>
      <c r="E2305" t="s">
        <v>232</v>
      </c>
      <c r="G2305">
        <v>108345.18</v>
      </c>
      <c r="H2305">
        <v>0</v>
      </c>
      <c r="I2305">
        <v>0</v>
      </c>
      <c r="J2305">
        <v>0</v>
      </c>
      <c r="K2305">
        <v>0</v>
      </c>
      <c r="L2305">
        <v>0</v>
      </c>
      <c r="M2305">
        <v>0</v>
      </c>
      <c r="N2305">
        <v>0</v>
      </c>
      <c r="O2305">
        <v>108345.18</v>
      </c>
      <c r="P2305">
        <v>0</v>
      </c>
      <c r="S2305"/>
    </row>
    <row r="2306" spans="1:19" x14ac:dyDescent="0.25">
      <c r="A2306" t="s">
        <v>310</v>
      </c>
      <c r="B2306" t="s">
        <v>38</v>
      </c>
      <c r="C2306">
        <v>182</v>
      </c>
      <c r="D2306">
        <v>44</v>
      </c>
      <c r="E2306" t="s">
        <v>233</v>
      </c>
      <c r="G2306">
        <v>0</v>
      </c>
      <c r="H2306">
        <v>0</v>
      </c>
      <c r="I2306">
        <v>0</v>
      </c>
      <c r="J2306">
        <v>0</v>
      </c>
      <c r="K2306">
        <v>0</v>
      </c>
      <c r="L2306">
        <v>0</v>
      </c>
      <c r="M2306">
        <v>0</v>
      </c>
      <c r="N2306">
        <v>0</v>
      </c>
      <c r="O2306">
        <v>0</v>
      </c>
      <c r="P2306">
        <v>0</v>
      </c>
      <c r="S2306"/>
    </row>
    <row r="2307" spans="1:19" x14ac:dyDescent="0.25">
      <c r="A2307" t="s">
        <v>310</v>
      </c>
      <c r="B2307" t="s">
        <v>38</v>
      </c>
      <c r="C2307">
        <v>182</v>
      </c>
      <c r="D2307">
        <v>44</v>
      </c>
      <c r="E2307" t="s">
        <v>234</v>
      </c>
      <c r="G2307">
        <v>0</v>
      </c>
      <c r="H2307">
        <v>0</v>
      </c>
      <c r="I2307">
        <v>0</v>
      </c>
      <c r="J2307">
        <v>0</v>
      </c>
      <c r="K2307">
        <v>0</v>
      </c>
      <c r="L2307">
        <v>0</v>
      </c>
      <c r="M2307">
        <v>0</v>
      </c>
      <c r="N2307">
        <v>0</v>
      </c>
      <c r="O2307">
        <v>0</v>
      </c>
      <c r="P2307">
        <v>0</v>
      </c>
      <c r="S2307"/>
    </row>
    <row r="2308" spans="1:19" x14ac:dyDescent="0.25">
      <c r="A2308" t="s">
        <v>310</v>
      </c>
      <c r="B2308" t="s">
        <v>38</v>
      </c>
      <c r="C2308">
        <v>182</v>
      </c>
      <c r="D2308">
        <v>44</v>
      </c>
      <c r="E2308" t="s">
        <v>235</v>
      </c>
      <c r="G2308">
        <v>0</v>
      </c>
      <c r="H2308">
        <v>0</v>
      </c>
      <c r="I2308">
        <v>0</v>
      </c>
      <c r="J2308">
        <v>0</v>
      </c>
      <c r="K2308">
        <v>0</v>
      </c>
      <c r="L2308">
        <v>0</v>
      </c>
      <c r="M2308">
        <v>0</v>
      </c>
      <c r="N2308">
        <v>0</v>
      </c>
      <c r="O2308">
        <v>0</v>
      </c>
      <c r="P2308">
        <v>0</v>
      </c>
      <c r="S2308"/>
    </row>
    <row r="2309" spans="1:19" x14ac:dyDescent="0.25">
      <c r="A2309" t="s">
        <v>310</v>
      </c>
      <c r="B2309" t="s">
        <v>38</v>
      </c>
      <c r="C2309">
        <v>182</v>
      </c>
      <c r="D2309">
        <v>44</v>
      </c>
      <c r="E2309" t="s">
        <v>236</v>
      </c>
      <c r="G2309">
        <v>0</v>
      </c>
      <c r="H2309">
        <v>0</v>
      </c>
      <c r="I2309">
        <v>0</v>
      </c>
      <c r="J2309">
        <v>0</v>
      </c>
      <c r="K2309">
        <v>0</v>
      </c>
      <c r="L2309">
        <v>0</v>
      </c>
      <c r="M2309">
        <v>0</v>
      </c>
      <c r="N2309">
        <v>0</v>
      </c>
      <c r="O2309">
        <v>0</v>
      </c>
      <c r="P2309">
        <v>0</v>
      </c>
      <c r="S2309"/>
    </row>
    <row r="2310" spans="1:19" x14ac:dyDescent="0.25">
      <c r="A2310" t="s">
        <v>310</v>
      </c>
      <c r="B2310" t="s">
        <v>38</v>
      </c>
      <c r="C2310">
        <v>182</v>
      </c>
      <c r="D2310">
        <v>44</v>
      </c>
      <c r="E2310" t="s">
        <v>237</v>
      </c>
      <c r="G2310">
        <v>0</v>
      </c>
      <c r="H2310">
        <v>0</v>
      </c>
      <c r="I2310">
        <v>0</v>
      </c>
      <c r="J2310">
        <v>0</v>
      </c>
      <c r="K2310">
        <v>0</v>
      </c>
      <c r="L2310">
        <v>0</v>
      </c>
      <c r="M2310">
        <v>0</v>
      </c>
      <c r="N2310">
        <v>0</v>
      </c>
      <c r="O2310">
        <v>0</v>
      </c>
      <c r="P2310">
        <v>0</v>
      </c>
      <c r="S2310"/>
    </row>
    <row r="2311" spans="1:19" x14ac:dyDescent="0.25">
      <c r="A2311" t="s">
        <v>310</v>
      </c>
      <c r="B2311" t="s">
        <v>38</v>
      </c>
      <c r="C2311">
        <v>182</v>
      </c>
      <c r="D2311">
        <v>44</v>
      </c>
      <c r="E2311" t="s">
        <v>238</v>
      </c>
      <c r="G2311">
        <v>230000</v>
      </c>
      <c r="H2311">
        <v>0</v>
      </c>
      <c r="I2311">
        <v>0</v>
      </c>
      <c r="J2311">
        <v>15204.9</v>
      </c>
      <c r="K2311">
        <v>0</v>
      </c>
      <c r="L2311">
        <v>14298.42</v>
      </c>
      <c r="M2311">
        <v>15204.9</v>
      </c>
      <c r="N2311">
        <v>6.61</v>
      </c>
      <c r="O2311">
        <v>214795.1</v>
      </c>
      <c r="P2311">
        <v>0</v>
      </c>
      <c r="S2311"/>
    </row>
    <row r="2312" spans="1:19" x14ac:dyDescent="0.25">
      <c r="A2312" t="s">
        <v>310</v>
      </c>
      <c r="B2312" t="s">
        <v>46</v>
      </c>
      <c r="C2312">
        <v>86</v>
      </c>
      <c r="D2312">
        <v>213</v>
      </c>
      <c r="E2312" t="s">
        <v>228</v>
      </c>
      <c r="G2312">
        <v>134382.5</v>
      </c>
      <c r="H2312">
        <v>21253.22</v>
      </c>
      <c r="I2312">
        <v>6016.33</v>
      </c>
      <c r="J2312">
        <v>28281.13</v>
      </c>
      <c r="K2312">
        <v>4492.0200000000004</v>
      </c>
      <c r="L2312">
        <v>28128.04</v>
      </c>
      <c r="M2312">
        <v>49534.35</v>
      </c>
      <c r="N2312">
        <v>36.86</v>
      </c>
      <c r="O2312">
        <v>84848.15</v>
      </c>
      <c r="P2312">
        <v>13597.07</v>
      </c>
      <c r="S2312"/>
    </row>
    <row r="2313" spans="1:19" x14ac:dyDescent="0.25">
      <c r="A2313" t="s">
        <v>310</v>
      </c>
      <c r="B2313" t="s">
        <v>46</v>
      </c>
      <c r="C2313">
        <v>86</v>
      </c>
      <c r="D2313">
        <v>213</v>
      </c>
      <c r="E2313" t="s">
        <v>229</v>
      </c>
      <c r="F2313">
        <v>15</v>
      </c>
      <c r="G2313">
        <v>20157.37</v>
      </c>
      <c r="H2313">
        <v>3187.98</v>
      </c>
      <c r="I2313">
        <v>902.44</v>
      </c>
      <c r="J2313">
        <v>4242.16</v>
      </c>
      <c r="K2313">
        <v>673.8</v>
      </c>
      <c r="L2313">
        <v>4219.2</v>
      </c>
      <c r="M2313">
        <v>7430.14</v>
      </c>
      <c r="N2313">
        <v>36.86</v>
      </c>
      <c r="O2313">
        <v>12727.23</v>
      </c>
      <c r="P2313">
        <v>2039.56</v>
      </c>
      <c r="S2313"/>
    </row>
    <row r="2314" spans="1:19" x14ac:dyDescent="0.25">
      <c r="A2314" t="s">
        <v>310</v>
      </c>
      <c r="B2314" t="s">
        <v>46</v>
      </c>
      <c r="C2314">
        <v>86</v>
      </c>
      <c r="D2314">
        <v>213</v>
      </c>
      <c r="E2314" t="s">
        <v>230</v>
      </c>
      <c r="F2314">
        <v>4</v>
      </c>
      <c r="G2314">
        <v>5375.3</v>
      </c>
      <c r="H2314">
        <v>850.12</v>
      </c>
      <c r="I2314">
        <v>240.65</v>
      </c>
      <c r="J2314">
        <v>1131.24</v>
      </c>
      <c r="K2314">
        <v>179.68</v>
      </c>
      <c r="L2314">
        <v>1125.1199999999999</v>
      </c>
      <c r="M2314">
        <v>1981.36</v>
      </c>
      <c r="N2314">
        <v>36.86</v>
      </c>
      <c r="O2314">
        <v>3393.94</v>
      </c>
      <c r="P2314">
        <v>543.88</v>
      </c>
      <c r="S2314"/>
    </row>
    <row r="2315" spans="1:19" x14ac:dyDescent="0.25">
      <c r="A2315" t="s">
        <v>310</v>
      </c>
      <c r="B2315" t="s">
        <v>46</v>
      </c>
      <c r="C2315">
        <v>86</v>
      </c>
      <c r="D2315">
        <v>213</v>
      </c>
      <c r="E2315" t="s">
        <v>231</v>
      </c>
      <c r="G2315">
        <v>42500</v>
      </c>
      <c r="H2315">
        <v>694</v>
      </c>
      <c r="I2315">
        <v>0</v>
      </c>
      <c r="J2315">
        <v>22457.89</v>
      </c>
      <c r="K2315">
        <v>0</v>
      </c>
      <c r="L2315">
        <v>22457.89</v>
      </c>
      <c r="M2315">
        <v>23151.89</v>
      </c>
      <c r="N2315">
        <v>54.48</v>
      </c>
      <c r="O2315">
        <v>19348.11</v>
      </c>
      <c r="P2315">
        <v>694</v>
      </c>
      <c r="S2315"/>
    </row>
    <row r="2316" spans="1:19" x14ac:dyDescent="0.25">
      <c r="A2316" t="s">
        <v>310</v>
      </c>
      <c r="B2316" t="s">
        <v>46</v>
      </c>
      <c r="C2316">
        <v>86</v>
      </c>
      <c r="D2316">
        <v>213</v>
      </c>
      <c r="E2316" t="s">
        <v>232</v>
      </c>
      <c r="G2316">
        <v>22550</v>
      </c>
      <c r="H2316">
        <v>2641</v>
      </c>
      <c r="I2316">
        <v>0</v>
      </c>
      <c r="J2316">
        <v>0</v>
      </c>
      <c r="K2316">
        <v>0</v>
      </c>
      <c r="L2316">
        <v>0</v>
      </c>
      <c r="M2316">
        <v>2641</v>
      </c>
      <c r="N2316">
        <v>11.71</v>
      </c>
      <c r="O2316">
        <v>19909</v>
      </c>
      <c r="P2316">
        <v>2641</v>
      </c>
      <c r="S2316"/>
    </row>
    <row r="2317" spans="1:19" x14ac:dyDescent="0.25">
      <c r="A2317" t="s">
        <v>310</v>
      </c>
      <c r="B2317" t="s">
        <v>46</v>
      </c>
      <c r="C2317">
        <v>86</v>
      </c>
      <c r="D2317">
        <v>213</v>
      </c>
      <c r="E2317" t="s">
        <v>233</v>
      </c>
      <c r="G2317">
        <v>0</v>
      </c>
      <c r="H2317">
        <v>0</v>
      </c>
      <c r="I2317">
        <v>0</v>
      </c>
      <c r="J2317">
        <v>0</v>
      </c>
      <c r="K2317">
        <v>0</v>
      </c>
      <c r="L2317">
        <v>0</v>
      </c>
      <c r="M2317">
        <v>0</v>
      </c>
      <c r="N2317">
        <v>0</v>
      </c>
      <c r="O2317">
        <v>0</v>
      </c>
      <c r="P2317">
        <v>0</v>
      </c>
      <c r="S2317"/>
    </row>
    <row r="2318" spans="1:19" x14ac:dyDescent="0.25">
      <c r="A2318" t="s">
        <v>310</v>
      </c>
      <c r="B2318" t="s">
        <v>46</v>
      </c>
      <c r="C2318">
        <v>86</v>
      </c>
      <c r="D2318">
        <v>213</v>
      </c>
      <c r="E2318" t="s">
        <v>234</v>
      </c>
      <c r="G2318">
        <v>0</v>
      </c>
      <c r="H2318">
        <v>0</v>
      </c>
      <c r="I2318">
        <v>0</v>
      </c>
      <c r="J2318">
        <v>0</v>
      </c>
      <c r="K2318">
        <v>0</v>
      </c>
      <c r="L2318">
        <v>0</v>
      </c>
      <c r="M2318">
        <v>0</v>
      </c>
      <c r="N2318">
        <v>0</v>
      </c>
      <c r="O2318">
        <v>0</v>
      </c>
      <c r="P2318">
        <v>0</v>
      </c>
      <c r="S2318"/>
    </row>
    <row r="2319" spans="1:19" x14ac:dyDescent="0.25">
      <c r="A2319" t="s">
        <v>310</v>
      </c>
      <c r="B2319" t="s">
        <v>46</v>
      </c>
      <c r="C2319">
        <v>86</v>
      </c>
      <c r="D2319">
        <v>213</v>
      </c>
      <c r="E2319" t="s">
        <v>235</v>
      </c>
      <c r="G2319">
        <v>0</v>
      </c>
      <c r="H2319">
        <v>0</v>
      </c>
      <c r="I2319">
        <v>0</v>
      </c>
      <c r="J2319">
        <v>0</v>
      </c>
      <c r="K2319">
        <v>0</v>
      </c>
      <c r="L2319">
        <v>0</v>
      </c>
      <c r="M2319">
        <v>0</v>
      </c>
      <c r="N2319">
        <v>0</v>
      </c>
      <c r="O2319">
        <v>0</v>
      </c>
      <c r="P2319">
        <v>0</v>
      </c>
      <c r="S2319"/>
    </row>
    <row r="2320" spans="1:19" x14ac:dyDescent="0.25">
      <c r="A2320" t="s">
        <v>310</v>
      </c>
      <c r="B2320" t="s">
        <v>46</v>
      </c>
      <c r="C2320">
        <v>86</v>
      </c>
      <c r="D2320">
        <v>213</v>
      </c>
      <c r="E2320" t="s">
        <v>236</v>
      </c>
      <c r="G2320">
        <v>0</v>
      </c>
      <c r="H2320">
        <v>0</v>
      </c>
      <c r="I2320">
        <v>0</v>
      </c>
      <c r="J2320">
        <v>0</v>
      </c>
      <c r="K2320">
        <v>0</v>
      </c>
      <c r="L2320">
        <v>0</v>
      </c>
      <c r="M2320">
        <v>0</v>
      </c>
      <c r="N2320">
        <v>0</v>
      </c>
      <c r="O2320">
        <v>0</v>
      </c>
      <c r="P2320">
        <v>0</v>
      </c>
      <c r="S2320"/>
    </row>
    <row r="2321" spans="1:19" x14ac:dyDescent="0.25">
      <c r="A2321" t="s">
        <v>310</v>
      </c>
      <c r="B2321" t="s">
        <v>46</v>
      </c>
      <c r="C2321">
        <v>86</v>
      </c>
      <c r="D2321">
        <v>213</v>
      </c>
      <c r="E2321" t="s">
        <v>237</v>
      </c>
      <c r="G2321">
        <v>0</v>
      </c>
      <c r="H2321">
        <v>0</v>
      </c>
      <c r="I2321">
        <v>0</v>
      </c>
      <c r="J2321">
        <v>0</v>
      </c>
      <c r="K2321">
        <v>0</v>
      </c>
      <c r="L2321">
        <v>0</v>
      </c>
      <c r="M2321">
        <v>0</v>
      </c>
      <c r="N2321">
        <v>0</v>
      </c>
      <c r="O2321">
        <v>0</v>
      </c>
      <c r="P2321">
        <v>0</v>
      </c>
      <c r="S2321"/>
    </row>
    <row r="2322" spans="1:19" x14ac:dyDescent="0.25">
      <c r="A2322" t="s">
        <v>310</v>
      </c>
      <c r="B2322" t="s">
        <v>46</v>
      </c>
      <c r="C2322">
        <v>86</v>
      </c>
      <c r="D2322">
        <v>213</v>
      </c>
      <c r="E2322" t="s">
        <v>238</v>
      </c>
      <c r="G2322">
        <v>224965.17</v>
      </c>
      <c r="H2322">
        <v>28626.32</v>
      </c>
      <c r="I2322">
        <v>7159.42</v>
      </c>
      <c r="J2322">
        <v>56112.42</v>
      </c>
      <c r="K2322">
        <v>5345.5</v>
      </c>
      <c r="L2322">
        <v>55930.25</v>
      </c>
      <c r="M2322">
        <v>84738.74</v>
      </c>
      <c r="N2322">
        <v>37.67</v>
      </c>
      <c r="O2322">
        <v>140226.43</v>
      </c>
      <c r="P2322">
        <v>19515.509999999998</v>
      </c>
      <c r="S2322"/>
    </row>
    <row r="2323" spans="1:19" x14ac:dyDescent="0.25">
      <c r="A2323" t="s">
        <v>310</v>
      </c>
      <c r="B2323" t="s">
        <v>46</v>
      </c>
      <c r="C2323">
        <v>86</v>
      </c>
      <c r="D2323">
        <v>33</v>
      </c>
      <c r="E2323" t="s">
        <v>228</v>
      </c>
      <c r="G2323">
        <v>134382.5</v>
      </c>
      <c r="H2323">
        <v>0</v>
      </c>
      <c r="I2323">
        <v>0</v>
      </c>
      <c r="J2323">
        <v>21253.22</v>
      </c>
      <c r="K2323">
        <v>0</v>
      </c>
      <c r="L2323">
        <v>13597.07</v>
      </c>
      <c r="M2323">
        <v>21253.22</v>
      </c>
      <c r="N2323">
        <v>15.82</v>
      </c>
      <c r="O2323">
        <v>113129.28</v>
      </c>
      <c r="P2323">
        <v>0</v>
      </c>
      <c r="S2323"/>
    </row>
    <row r="2324" spans="1:19" x14ac:dyDescent="0.25">
      <c r="A2324" t="s">
        <v>310</v>
      </c>
      <c r="B2324" t="s">
        <v>46</v>
      </c>
      <c r="C2324">
        <v>86</v>
      </c>
      <c r="D2324">
        <v>33</v>
      </c>
      <c r="E2324" t="s">
        <v>229</v>
      </c>
      <c r="F2324">
        <v>15</v>
      </c>
      <c r="G2324">
        <v>20157.37</v>
      </c>
      <c r="H2324">
        <v>0</v>
      </c>
      <c r="I2324">
        <v>0</v>
      </c>
      <c r="J2324">
        <v>3187.98</v>
      </c>
      <c r="K2324">
        <v>0</v>
      </c>
      <c r="L2324">
        <v>2039.56</v>
      </c>
      <c r="M2324">
        <v>3187.98</v>
      </c>
      <c r="N2324">
        <v>15.82</v>
      </c>
      <c r="O2324">
        <v>16969.39</v>
      </c>
      <c r="P2324">
        <v>0</v>
      </c>
      <c r="S2324"/>
    </row>
    <row r="2325" spans="1:19" x14ac:dyDescent="0.25">
      <c r="A2325" t="s">
        <v>310</v>
      </c>
      <c r="B2325" t="s">
        <v>46</v>
      </c>
      <c r="C2325">
        <v>86</v>
      </c>
      <c r="D2325">
        <v>33</v>
      </c>
      <c r="E2325" t="s">
        <v>230</v>
      </c>
      <c r="F2325">
        <v>4</v>
      </c>
      <c r="G2325">
        <v>5375.3</v>
      </c>
      <c r="H2325">
        <v>0</v>
      </c>
      <c r="I2325">
        <v>0</v>
      </c>
      <c r="J2325">
        <v>850.12</v>
      </c>
      <c r="K2325">
        <v>0</v>
      </c>
      <c r="L2325">
        <v>543.88</v>
      </c>
      <c r="M2325">
        <v>850.12</v>
      </c>
      <c r="N2325">
        <v>15.82</v>
      </c>
      <c r="O2325">
        <v>4525.18</v>
      </c>
      <c r="P2325">
        <v>0</v>
      </c>
      <c r="S2325"/>
    </row>
    <row r="2326" spans="1:19" x14ac:dyDescent="0.25">
      <c r="A2326" t="s">
        <v>310</v>
      </c>
      <c r="B2326" t="s">
        <v>46</v>
      </c>
      <c r="C2326">
        <v>86</v>
      </c>
      <c r="D2326">
        <v>33</v>
      </c>
      <c r="E2326" t="s">
        <v>231</v>
      </c>
      <c r="G2326">
        <v>42500</v>
      </c>
      <c r="H2326">
        <v>0</v>
      </c>
      <c r="I2326">
        <v>0</v>
      </c>
      <c r="J2326">
        <v>694</v>
      </c>
      <c r="K2326">
        <v>0</v>
      </c>
      <c r="L2326">
        <v>694</v>
      </c>
      <c r="M2326">
        <v>694</v>
      </c>
      <c r="N2326">
        <v>1.63</v>
      </c>
      <c r="O2326">
        <v>41806</v>
      </c>
      <c r="P2326">
        <v>0</v>
      </c>
      <c r="S2326"/>
    </row>
    <row r="2327" spans="1:19" x14ac:dyDescent="0.25">
      <c r="A2327" t="s">
        <v>310</v>
      </c>
      <c r="B2327" t="s">
        <v>46</v>
      </c>
      <c r="C2327">
        <v>86</v>
      </c>
      <c r="D2327">
        <v>33</v>
      </c>
      <c r="E2327" t="s">
        <v>232</v>
      </c>
      <c r="G2327">
        <v>22550</v>
      </c>
      <c r="H2327">
        <v>0</v>
      </c>
      <c r="I2327">
        <v>0</v>
      </c>
      <c r="J2327">
        <v>2641</v>
      </c>
      <c r="K2327">
        <v>0</v>
      </c>
      <c r="L2327">
        <v>2641</v>
      </c>
      <c r="M2327">
        <v>2641</v>
      </c>
      <c r="N2327">
        <v>11.71</v>
      </c>
      <c r="O2327">
        <v>19909</v>
      </c>
      <c r="P2327">
        <v>0</v>
      </c>
      <c r="S2327"/>
    </row>
    <row r="2328" spans="1:19" x14ac:dyDescent="0.25">
      <c r="A2328" t="s">
        <v>310</v>
      </c>
      <c r="B2328" t="s">
        <v>46</v>
      </c>
      <c r="C2328">
        <v>86</v>
      </c>
      <c r="D2328">
        <v>33</v>
      </c>
      <c r="E2328" t="s">
        <v>233</v>
      </c>
      <c r="G2328">
        <v>0</v>
      </c>
      <c r="H2328">
        <v>0</v>
      </c>
      <c r="I2328">
        <v>0</v>
      </c>
      <c r="J2328">
        <v>0</v>
      </c>
      <c r="K2328">
        <v>0</v>
      </c>
      <c r="L2328">
        <v>0</v>
      </c>
      <c r="M2328">
        <v>0</v>
      </c>
      <c r="N2328">
        <v>0</v>
      </c>
      <c r="O2328">
        <v>0</v>
      </c>
      <c r="P2328">
        <v>0</v>
      </c>
      <c r="S2328"/>
    </row>
    <row r="2329" spans="1:19" x14ac:dyDescent="0.25">
      <c r="A2329" t="s">
        <v>310</v>
      </c>
      <c r="B2329" t="s">
        <v>46</v>
      </c>
      <c r="C2329">
        <v>86</v>
      </c>
      <c r="D2329">
        <v>33</v>
      </c>
      <c r="E2329" t="s">
        <v>234</v>
      </c>
      <c r="G2329">
        <v>0</v>
      </c>
      <c r="H2329">
        <v>0</v>
      </c>
      <c r="I2329">
        <v>0</v>
      </c>
      <c r="J2329">
        <v>0</v>
      </c>
      <c r="K2329">
        <v>0</v>
      </c>
      <c r="L2329">
        <v>0</v>
      </c>
      <c r="M2329">
        <v>0</v>
      </c>
      <c r="N2329">
        <v>0</v>
      </c>
      <c r="O2329">
        <v>0</v>
      </c>
      <c r="P2329">
        <v>0</v>
      </c>
      <c r="S2329"/>
    </row>
    <row r="2330" spans="1:19" x14ac:dyDescent="0.25">
      <c r="A2330" t="s">
        <v>310</v>
      </c>
      <c r="B2330" t="s">
        <v>46</v>
      </c>
      <c r="C2330">
        <v>86</v>
      </c>
      <c r="D2330">
        <v>33</v>
      </c>
      <c r="E2330" t="s">
        <v>235</v>
      </c>
      <c r="G2330">
        <v>0</v>
      </c>
      <c r="H2330">
        <v>0</v>
      </c>
      <c r="I2330">
        <v>0</v>
      </c>
      <c r="J2330">
        <v>0</v>
      </c>
      <c r="K2330">
        <v>0</v>
      </c>
      <c r="L2330">
        <v>0</v>
      </c>
      <c r="M2330">
        <v>0</v>
      </c>
      <c r="N2330">
        <v>0</v>
      </c>
      <c r="O2330">
        <v>0</v>
      </c>
      <c r="P2330">
        <v>0</v>
      </c>
      <c r="S2330"/>
    </row>
    <row r="2331" spans="1:19" x14ac:dyDescent="0.25">
      <c r="A2331" t="s">
        <v>310</v>
      </c>
      <c r="B2331" t="s">
        <v>46</v>
      </c>
      <c r="C2331">
        <v>86</v>
      </c>
      <c r="D2331">
        <v>33</v>
      </c>
      <c r="E2331" t="s">
        <v>236</v>
      </c>
      <c r="G2331">
        <v>0</v>
      </c>
      <c r="H2331">
        <v>0</v>
      </c>
      <c r="I2331">
        <v>0</v>
      </c>
      <c r="J2331">
        <v>0</v>
      </c>
      <c r="K2331">
        <v>0</v>
      </c>
      <c r="L2331">
        <v>0</v>
      </c>
      <c r="M2331">
        <v>0</v>
      </c>
      <c r="N2331">
        <v>0</v>
      </c>
      <c r="O2331">
        <v>0</v>
      </c>
      <c r="P2331">
        <v>0</v>
      </c>
      <c r="S2331"/>
    </row>
    <row r="2332" spans="1:19" x14ac:dyDescent="0.25">
      <c r="A2332" t="s">
        <v>310</v>
      </c>
      <c r="B2332" t="s">
        <v>46</v>
      </c>
      <c r="C2332">
        <v>86</v>
      </c>
      <c r="D2332">
        <v>33</v>
      </c>
      <c r="E2332" t="s">
        <v>237</v>
      </c>
      <c r="G2332">
        <v>0</v>
      </c>
      <c r="H2332">
        <v>0</v>
      </c>
      <c r="I2332">
        <v>0</v>
      </c>
      <c r="J2332">
        <v>0</v>
      </c>
      <c r="K2332">
        <v>0</v>
      </c>
      <c r="L2332">
        <v>0</v>
      </c>
      <c r="M2332">
        <v>0</v>
      </c>
      <c r="N2332">
        <v>0</v>
      </c>
      <c r="O2332">
        <v>0</v>
      </c>
      <c r="P2332">
        <v>0</v>
      </c>
      <c r="S2332"/>
    </row>
    <row r="2333" spans="1:19" x14ac:dyDescent="0.25">
      <c r="A2333" t="s">
        <v>310</v>
      </c>
      <c r="B2333" t="s">
        <v>46</v>
      </c>
      <c r="C2333">
        <v>86</v>
      </c>
      <c r="D2333">
        <v>33</v>
      </c>
      <c r="E2333" t="s">
        <v>238</v>
      </c>
      <c r="G2333">
        <v>224965.17</v>
      </c>
      <c r="H2333">
        <v>0</v>
      </c>
      <c r="I2333">
        <v>0</v>
      </c>
      <c r="J2333">
        <v>28626.32</v>
      </c>
      <c r="K2333">
        <v>0</v>
      </c>
      <c r="L2333">
        <v>19515.509999999998</v>
      </c>
      <c r="M2333">
        <v>28626.32</v>
      </c>
      <c r="N2333">
        <v>12.72</v>
      </c>
      <c r="O2333">
        <v>196338.85</v>
      </c>
      <c r="P2333">
        <v>0</v>
      </c>
      <c r="Q2333" t="str">
        <f>INDEX(pARTNER[#All],MATCH(#REF!,pARTNER[[#All],[Value.partnerSummary.id]],0),10)</f>
        <v>Slovenija (SI)</v>
      </c>
      <c r="R2333" t="str">
        <f>INDEX('Partner data'!$A$2:$DG$171,MATCH(#REF!,'Partner data'!$DG$2:$DG$171,0),83)</f>
        <v>Soggetto pubblico</v>
      </c>
      <c r="S2333" t="b">
        <f>IF(#REF!="staff",INDEX('Partner data'!$DG$2:$DH$171,MATCH(#REF!,'Partner data'!$DG$2:$DG$171,0),2))</f>
        <v>0</v>
      </c>
    </row>
  </sheetData>
  <phoneticPr fontId="10"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18"/>
  <dimension ref="A1:J59"/>
  <sheetViews>
    <sheetView workbookViewId="0">
      <selection activeCell="H9" sqref="H9"/>
    </sheetView>
  </sheetViews>
  <sheetFormatPr defaultRowHeight="15" x14ac:dyDescent="0.25"/>
  <cols>
    <col min="1" max="1" width="13.42578125" bestFit="1" customWidth="1"/>
    <col min="2" max="2" width="27" bestFit="1" customWidth="1"/>
    <col min="3" max="3" width="81.140625" bestFit="1" customWidth="1"/>
    <col min="4" max="4" width="16.5703125" bestFit="1" customWidth="1"/>
    <col min="5" max="5" width="19.5703125" bestFit="1" customWidth="1"/>
    <col min="6" max="6" width="23.85546875" bestFit="1" customWidth="1"/>
    <col min="7" max="7" width="30.140625" bestFit="1" customWidth="1"/>
    <col min="8" max="8" width="32" bestFit="1" customWidth="1"/>
    <col min="9" max="9" width="32.28515625" bestFit="1" customWidth="1"/>
    <col min="10" max="10" width="33.85546875" bestFit="1" customWidth="1"/>
  </cols>
  <sheetData>
    <row r="1" spans="1:10" x14ac:dyDescent="0.25">
      <c r="A1" t="s">
        <v>1</v>
      </c>
      <c r="B1" t="s">
        <v>6034</v>
      </c>
      <c r="C1" t="s">
        <v>6035</v>
      </c>
      <c r="D1" t="s">
        <v>6036</v>
      </c>
      <c r="E1" t="s">
        <v>6000</v>
      </c>
      <c r="F1" t="s">
        <v>6037</v>
      </c>
      <c r="G1" t="s">
        <v>6038</v>
      </c>
      <c r="H1" t="s">
        <v>6039</v>
      </c>
      <c r="I1" t="s">
        <v>6040</v>
      </c>
      <c r="J1" t="s">
        <v>6041</v>
      </c>
    </row>
    <row r="2" spans="1:10" x14ac:dyDescent="0.25">
      <c r="A2">
        <v>7</v>
      </c>
      <c r="B2" t="s">
        <v>488</v>
      </c>
      <c r="C2" t="s">
        <v>487</v>
      </c>
      <c r="D2">
        <v>1</v>
      </c>
      <c r="E2" t="s">
        <v>6004</v>
      </c>
      <c r="F2" t="s">
        <v>6042</v>
      </c>
      <c r="G2" t="s">
        <v>6043</v>
      </c>
      <c r="H2" t="s">
        <v>6044</v>
      </c>
      <c r="I2" t="s">
        <v>493</v>
      </c>
      <c r="J2" t="s">
        <v>492</v>
      </c>
    </row>
    <row r="3" spans="1:10" x14ac:dyDescent="0.25">
      <c r="A3">
        <v>13</v>
      </c>
      <c r="B3" t="s">
        <v>2371</v>
      </c>
      <c r="C3" t="s">
        <v>2370</v>
      </c>
      <c r="D3">
        <v>2</v>
      </c>
      <c r="E3" t="s">
        <v>58</v>
      </c>
      <c r="F3" t="s">
        <v>6042</v>
      </c>
      <c r="G3" t="s">
        <v>6045</v>
      </c>
      <c r="H3" t="s">
        <v>6046</v>
      </c>
      <c r="I3" t="s">
        <v>767</v>
      </c>
      <c r="J3" t="s">
        <v>766</v>
      </c>
    </row>
    <row r="4" spans="1:10" x14ac:dyDescent="0.25">
      <c r="A4">
        <v>30</v>
      </c>
      <c r="B4" t="s">
        <v>764</v>
      </c>
      <c r="C4" t="s">
        <v>487</v>
      </c>
      <c r="D4">
        <v>1</v>
      </c>
      <c r="E4" t="s">
        <v>271</v>
      </c>
      <c r="F4" t="s">
        <v>6042</v>
      </c>
      <c r="G4" t="s">
        <v>6047</v>
      </c>
      <c r="H4" t="s">
        <v>6048</v>
      </c>
      <c r="I4" t="s">
        <v>767</v>
      </c>
      <c r="J4" t="s">
        <v>766</v>
      </c>
    </row>
    <row r="5" spans="1:10" x14ac:dyDescent="0.25">
      <c r="A5">
        <v>33</v>
      </c>
      <c r="B5" t="s">
        <v>825</v>
      </c>
      <c r="C5" t="s">
        <v>487</v>
      </c>
      <c r="D5">
        <v>1</v>
      </c>
      <c r="E5" t="s">
        <v>6005</v>
      </c>
      <c r="F5" t="s">
        <v>6042</v>
      </c>
      <c r="G5" t="s">
        <v>6049</v>
      </c>
      <c r="H5" t="s">
        <v>6050</v>
      </c>
      <c r="I5" t="s">
        <v>692</v>
      </c>
      <c r="J5" t="s">
        <v>691</v>
      </c>
    </row>
    <row r="6" spans="1:10" x14ac:dyDescent="0.25">
      <c r="A6">
        <v>36</v>
      </c>
      <c r="B6" t="s">
        <v>943</v>
      </c>
      <c r="C6" t="s">
        <v>487</v>
      </c>
      <c r="D6">
        <v>1</v>
      </c>
      <c r="E6" t="s">
        <v>283</v>
      </c>
      <c r="F6" t="s">
        <v>6042</v>
      </c>
      <c r="G6" t="s">
        <v>6051</v>
      </c>
      <c r="I6" t="s">
        <v>945</v>
      </c>
      <c r="J6" t="s">
        <v>691</v>
      </c>
    </row>
    <row r="7" spans="1:10" x14ac:dyDescent="0.25">
      <c r="A7">
        <v>43</v>
      </c>
      <c r="B7" t="s">
        <v>1041</v>
      </c>
      <c r="C7" t="s">
        <v>487</v>
      </c>
      <c r="D7">
        <v>1</v>
      </c>
      <c r="E7" t="s">
        <v>65</v>
      </c>
      <c r="F7" t="s">
        <v>6042</v>
      </c>
      <c r="G7" t="s">
        <v>6052</v>
      </c>
      <c r="H7" t="s">
        <v>6053</v>
      </c>
      <c r="I7" t="s">
        <v>1044</v>
      </c>
      <c r="J7" t="s">
        <v>691</v>
      </c>
    </row>
    <row r="8" spans="1:10" x14ac:dyDescent="0.25">
      <c r="A8">
        <v>44</v>
      </c>
      <c r="B8" t="s">
        <v>1116</v>
      </c>
      <c r="C8" t="s">
        <v>487</v>
      </c>
      <c r="D8">
        <v>1</v>
      </c>
      <c r="E8" t="s">
        <v>61</v>
      </c>
      <c r="F8" t="s">
        <v>6042</v>
      </c>
      <c r="G8" t="s">
        <v>6054</v>
      </c>
      <c r="H8" t="s">
        <v>6055</v>
      </c>
      <c r="I8" t="s">
        <v>595</v>
      </c>
      <c r="J8" t="s">
        <v>594</v>
      </c>
    </row>
    <row r="9" spans="1:10" x14ac:dyDescent="0.25">
      <c r="A9">
        <v>45</v>
      </c>
      <c r="B9" t="s">
        <v>1197</v>
      </c>
      <c r="C9" t="s">
        <v>487</v>
      </c>
      <c r="D9">
        <v>1</v>
      </c>
      <c r="E9" t="s">
        <v>296</v>
      </c>
      <c r="F9" t="s">
        <v>6042</v>
      </c>
      <c r="G9" t="s">
        <v>6056</v>
      </c>
      <c r="H9" t="s">
        <v>6057</v>
      </c>
      <c r="I9" t="s">
        <v>945</v>
      </c>
      <c r="J9" t="s">
        <v>691</v>
      </c>
    </row>
    <row r="10" spans="1:10" x14ac:dyDescent="0.25">
      <c r="A10">
        <v>48</v>
      </c>
      <c r="B10" t="s">
        <v>1261</v>
      </c>
      <c r="C10" t="s">
        <v>487</v>
      </c>
      <c r="D10">
        <v>1</v>
      </c>
      <c r="E10" t="s">
        <v>71</v>
      </c>
      <c r="F10" t="s">
        <v>6042</v>
      </c>
      <c r="G10" t="s">
        <v>6058</v>
      </c>
      <c r="H10" t="s">
        <v>6059</v>
      </c>
      <c r="I10" t="s">
        <v>767</v>
      </c>
      <c r="J10" t="s">
        <v>766</v>
      </c>
    </row>
    <row r="11" spans="1:10" x14ac:dyDescent="0.25">
      <c r="A11">
        <v>53</v>
      </c>
      <c r="B11" t="s">
        <v>1364</v>
      </c>
      <c r="C11" t="s">
        <v>487</v>
      </c>
      <c r="D11">
        <v>1</v>
      </c>
      <c r="E11" t="s">
        <v>304</v>
      </c>
      <c r="F11" t="s">
        <v>6042</v>
      </c>
      <c r="G11" t="s">
        <v>6060</v>
      </c>
      <c r="H11" t="s">
        <v>6061</v>
      </c>
      <c r="I11" t="s">
        <v>1044</v>
      </c>
      <c r="J11" t="s">
        <v>691</v>
      </c>
    </row>
    <row r="12" spans="1:10" x14ac:dyDescent="0.25">
      <c r="A12">
        <v>54</v>
      </c>
      <c r="B12" t="s">
        <v>1435</v>
      </c>
      <c r="C12" t="s">
        <v>487</v>
      </c>
      <c r="D12">
        <v>1</v>
      </c>
      <c r="E12" t="s">
        <v>62</v>
      </c>
      <c r="F12" t="s">
        <v>6042</v>
      </c>
      <c r="G12" t="s">
        <v>6062</v>
      </c>
      <c r="I12" t="s">
        <v>595</v>
      </c>
      <c r="J12" t="s">
        <v>594</v>
      </c>
    </row>
    <row r="13" spans="1:10" x14ac:dyDescent="0.25">
      <c r="A13">
        <v>58</v>
      </c>
      <c r="B13" t="s">
        <v>1501</v>
      </c>
      <c r="C13" t="s">
        <v>487</v>
      </c>
      <c r="D13">
        <v>1</v>
      </c>
      <c r="E13" t="s">
        <v>312</v>
      </c>
      <c r="F13" t="s">
        <v>6042</v>
      </c>
      <c r="G13" t="s">
        <v>6063</v>
      </c>
      <c r="H13" t="s">
        <v>6064</v>
      </c>
      <c r="I13" t="s">
        <v>493</v>
      </c>
      <c r="J13" t="s">
        <v>492</v>
      </c>
    </row>
    <row r="14" spans="1:10" x14ac:dyDescent="0.25">
      <c r="A14">
        <v>60</v>
      </c>
      <c r="B14" t="s">
        <v>1551</v>
      </c>
      <c r="C14" t="s">
        <v>487</v>
      </c>
      <c r="D14">
        <v>1</v>
      </c>
      <c r="E14" t="s">
        <v>317</v>
      </c>
      <c r="F14" t="s">
        <v>6042</v>
      </c>
      <c r="G14" t="s">
        <v>6065</v>
      </c>
      <c r="H14" t="s">
        <v>6066</v>
      </c>
      <c r="I14" t="s">
        <v>767</v>
      </c>
      <c r="J14" t="s">
        <v>766</v>
      </c>
    </row>
    <row r="15" spans="1:10" x14ac:dyDescent="0.25">
      <c r="A15">
        <v>62</v>
      </c>
      <c r="B15" t="s">
        <v>1622</v>
      </c>
      <c r="C15" t="s">
        <v>487</v>
      </c>
      <c r="D15">
        <v>1</v>
      </c>
      <c r="E15" t="s">
        <v>67</v>
      </c>
      <c r="F15" t="s">
        <v>6042</v>
      </c>
      <c r="G15" t="s">
        <v>6067</v>
      </c>
      <c r="H15" t="s">
        <v>6068</v>
      </c>
      <c r="I15" t="s">
        <v>1044</v>
      </c>
      <c r="J15" t="s">
        <v>691</v>
      </c>
    </row>
    <row r="16" spans="1:10" x14ac:dyDescent="0.25">
      <c r="A16">
        <v>65</v>
      </c>
      <c r="B16" t="s">
        <v>1693</v>
      </c>
      <c r="C16" t="s">
        <v>487</v>
      </c>
      <c r="D16">
        <v>1</v>
      </c>
      <c r="E16" t="s">
        <v>60</v>
      </c>
      <c r="F16" t="s">
        <v>6042</v>
      </c>
      <c r="G16" t="s">
        <v>6069</v>
      </c>
      <c r="H16" t="s">
        <v>6070</v>
      </c>
      <c r="I16" t="s">
        <v>767</v>
      </c>
      <c r="J16" t="s">
        <v>766</v>
      </c>
    </row>
    <row r="17" spans="1:10" x14ac:dyDescent="0.25">
      <c r="A17">
        <v>68</v>
      </c>
      <c r="B17" t="s">
        <v>1774</v>
      </c>
      <c r="C17" t="s">
        <v>487</v>
      </c>
      <c r="D17">
        <v>1</v>
      </c>
      <c r="E17" t="s">
        <v>331</v>
      </c>
      <c r="F17" t="s">
        <v>6042</v>
      </c>
      <c r="G17" t="s">
        <v>6071</v>
      </c>
      <c r="I17" t="s">
        <v>767</v>
      </c>
      <c r="J17" t="s">
        <v>766</v>
      </c>
    </row>
    <row r="18" spans="1:10" x14ac:dyDescent="0.25">
      <c r="A18">
        <v>69</v>
      </c>
      <c r="B18" t="s">
        <v>1849</v>
      </c>
      <c r="C18" t="s">
        <v>487</v>
      </c>
      <c r="D18">
        <v>1</v>
      </c>
      <c r="E18" t="s">
        <v>337</v>
      </c>
      <c r="F18" t="s">
        <v>6042</v>
      </c>
      <c r="G18" t="s">
        <v>6072</v>
      </c>
      <c r="H18" t="s">
        <v>6073</v>
      </c>
      <c r="I18" t="s">
        <v>692</v>
      </c>
      <c r="J18" t="s">
        <v>691</v>
      </c>
    </row>
    <row r="19" spans="1:10" x14ac:dyDescent="0.25">
      <c r="A19">
        <v>71</v>
      </c>
      <c r="B19" t="s">
        <v>1911</v>
      </c>
      <c r="C19" t="s">
        <v>487</v>
      </c>
      <c r="D19">
        <v>1</v>
      </c>
      <c r="E19" t="s">
        <v>341</v>
      </c>
      <c r="F19" t="s">
        <v>6042</v>
      </c>
      <c r="G19" t="s">
        <v>6074</v>
      </c>
      <c r="H19" t="s">
        <v>6075</v>
      </c>
      <c r="I19" t="s">
        <v>1044</v>
      </c>
      <c r="J19" t="s">
        <v>691</v>
      </c>
    </row>
    <row r="20" spans="1:10" x14ac:dyDescent="0.25">
      <c r="A20">
        <v>74</v>
      </c>
      <c r="B20" t="s">
        <v>1972</v>
      </c>
      <c r="C20" t="s">
        <v>487</v>
      </c>
      <c r="D20">
        <v>1</v>
      </c>
      <c r="E20" t="s">
        <v>346</v>
      </c>
      <c r="F20" t="s">
        <v>6042</v>
      </c>
      <c r="G20" t="s">
        <v>6076</v>
      </c>
      <c r="H20" t="s">
        <v>6077</v>
      </c>
      <c r="I20" t="s">
        <v>945</v>
      </c>
      <c r="J20" t="s">
        <v>691</v>
      </c>
    </row>
    <row r="21" spans="1:10" x14ac:dyDescent="0.25">
      <c r="A21">
        <v>75</v>
      </c>
      <c r="B21" t="s">
        <v>2013</v>
      </c>
      <c r="C21" t="s">
        <v>487</v>
      </c>
      <c r="D21">
        <v>1</v>
      </c>
      <c r="E21" t="s">
        <v>350</v>
      </c>
      <c r="F21" t="s">
        <v>6042</v>
      </c>
      <c r="G21" t="s">
        <v>6078</v>
      </c>
      <c r="H21" t="s">
        <v>6079</v>
      </c>
      <c r="I21" t="s">
        <v>595</v>
      </c>
      <c r="J21" t="s">
        <v>594</v>
      </c>
    </row>
    <row r="22" spans="1:10" x14ac:dyDescent="0.25">
      <c r="A22">
        <v>76</v>
      </c>
      <c r="B22" t="s">
        <v>2087</v>
      </c>
      <c r="C22" t="s">
        <v>487</v>
      </c>
      <c r="D22">
        <v>1</v>
      </c>
      <c r="E22" t="s">
        <v>357</v>
      </c>
      <c r="F22" t="s">
        <v>6042</v>
      </c>
      <c r="G22" t="s">
        <v>6080</v>
      </c>
      <c r="H22" t="s">
        <v>6081</v>
      </c>
      <c r="I22" t="s">
        <v>945</v>
      </c>
      <c r="J22" t="s">
        <v>691</v>
      </c>
    </row>
    <row r="23" spans="1:10" x14ac:dyDescent="0.25">
      <c r="A23">
        <v>80</v>
      </c>
      <c r="B23" t="s">
        <v>2132</v>
      </c>
      <c r="C23" t="s">
        <v>487</v>
      </c>
      <c r="D23">
        <v>1</v>
      </c>
      <c r="E23" t="s">
        <v>63</v>
      </c>
      <c r="F23" t="s">
        <v>6042</v>
      </c>
      <c r="G23" t="s">
        <v>6082</v>
      </c>
      <c r="H23" t="s">
        <v>6083</v>
      </c>
      <c r="I23" t="s">
        <v>767</v>
      </c>
      <c r="J23" t="s">
        <v>766</v>
      </c>
    </row>
    <row r="24" spans="1:10" x14ac:dyDescent="0.25">
      <c r="A24">
        <v>83</v>
      </c>
      <c r="B24" t="s">
        <v>2171</v>
      </c>
      <c r="C24" t="s">
        <v>487</v>
      </c>
      <c r="D24">
        <v>1</v>
      </c>
      <c r="E24" t="s">
        <v>361</v>
      </c>
      <c r="F24" t="s">
        <v>6042</v>
      </c>
      <c r="G24" t="s">
        <v>6084</v>
      </c>
      <c r="H24" t="s">
        <v>6085</v>
      </c>
      <c r="I24" t="s">
        <v>1044</v>
      </c>
      <c r="J24" t="s">
        <v>691</v>
      </c>
    </row>
    <row r="25" spans="1:10" x14ac:dyDescent="0.25">
      <c r="A25">
        <v>84</v>
      </c>
      <c r="B25" t="s">
        <v>2214</v>
      </c>
      <c r="C25" t="s">
        <v>487</v>
      </c>
      <c r="D25">
        <v>1</v>
      </c>
      <c r="E25" t="s">
        <v>365</v>
      </c>
      <c r="F25" t="s">
        <v>6042</v>
      </c>
      <c r="G25" t="s">
        <v>6086</v>
      </c>
      <c r="H25" t="s">
        <v>6087</v>
      </c>
      <c r="I25" t="s">
        <v>595</v>
      </c>
      <c r="J25" t="s">
        <v>594</v>
      </c>
    </row>
    <row r="26" spans="1:10" x14ac:dyDescent="0.25">
      <c r="A26">
        <v>86</v>
      </c>
      <c r="B26" t="s">
        <v>2270</v>
      </c>
      <c r="C26" t="s">
        <v>487</v>
      </c>
      <c r="D26">
        <v>1</v>
      </c>
      <c r="E26" t="s">
        <v>66</v>
      </c>
      <c r="F26" t="s">
        <v>6042</v>
      </c>
      <c r="G26" t="s">
        <v>6088</v>
      </c>
      <c r="H26" t="s">
        <v>6089</v>
      </c>
      <c r="I26" t="s">
        <v>767</v>
      </c>
      <c r="J26" t="s">
        <v>766</v>
      </c>
    </row>
    <row r="27" spans="1:10" x14ac:dyDescent="0.25">
      <c r="A27">
        <v>90</v>
      </c>
      <c r="B27" t="s">
        <v>2319</v>
      </c>
      <c r="C27" t="s">
        <v>487</v>
      </c>
      <c r="D27">
        <v>1</v>
      </c>
      <c r="E27" t="s">
        <v>373</v>
      </c>
      <c r="F27" t="s">
        <v>6042</v>
      </c>
      <c r="G27" t="s">
        <v>6090</v>
      </c>
      <c r="H27" t="s">
        <v>6091</v>
      </c>
      <c r="I27" t="s">
        <v>692</v>
      </c>
      <c r="J27" t="s">
        <v>691</v>
      </c>
    </row>
    <row r="28" spans="1:10" x14ac:dyDescent="0.25">
      <c r="A28">
        <v>91</v>
      </c>
      <c r="B28" t="s">
        <v>2561</v>
      </c>
      <c r="C28" t="s">
        <v>2560</v>
      </c>
      <c r="D28">
        <v>4</v>
      </c>
      <c r="E28" t="s">
        <v>57</v>
      </c>
      <c r="F28" t="s">
        <v>6042</v>
      </c>
      <c r="G28" t="s">
        <v>6092</v>
      </c>
      <c r="H28" t="s">
        <v>6093</v>
      </c>
      <c r="I28" t="s">
        <v>945</v>
      </c>
      <c r="J28" t="s">
        <v>691</v>
      </c>
    </row>
    <row r="29" spans="1:10" x14ac:dyDescent="0.25">
      <c r="A29">
        <v>92</v>
      </c>
      <c r="B29" t="s">
        <v>2433</v>
      </c>
      <c r="C29" t="s">
        <v>2432</v>
      </c>
      <c r="D29">
        <v>3</v>
      </c>
      <c r="E29" t="s">
        <v>59</v>
      </c>
      <c r="F29" t="s">
        <v>6042</v>
      </c>
      <c r="G29" t="s">
        <v>6094</v>
      </c>
      <c r="H29" t="s">
        <v>6095</v>
      </c>
      <c r="I29" t="s">
        <v>767</v>
      </c>
      <c r="J29" t="s">
        <v>766</v>
      </c>
    </row>
    <row r="30" spans="1:10" x14ac:dyDescent="0.25">
      <c r="A30">
        <v>103</v>
      </c>
      <c r="B30" t="s">
        <v>2680</v>
      </c>
      <c r="C30" t="s">
        <v>2679</v>
      </c>
      <c r="D30">
        <v>5</v>
      </c>
      <c r="E30" t="s">
        <v>64</v>
      </c>
      <c r="F30" t="s">
        <v>6042</v>
      </c>
      <c r="G30" t="s">
        <v>6096</v>
      </c>
      <c r="H30" t="s">
        <v>6097</v>
      </c>
      <c r="I30" t="s">
        <v>767</v>
      </c>
      <c r="J30" t="s">
        <v>766</v>
      </c>
    </row>
    <row r="31" spans="1:10" x14ac:dyDescent="0.25">
      <c r="A31">
        <v>113</v>
      </c>
      <c r="B31" t="s">
        <v>2703</v>
      </c>
      <c r="C31" t="s">
        <v>2688</v>
      </c>
      <c r="D31">
        <v>6</v>
      </c>
      <c r="E31" t="s">
        <v>2704</v>
      </c>
      <c r="F31" t="s">
        <v>6416</v>
      </c>
      <c r="G31" t="s">
        <v>6417</v>
      </c>
      <c r="H31" t="s">
        <v>6418</v>
      </c>
      <c r="I31" t="s">
        <v>767</v>
      </c>
      <c r="J31" t="s">
        <v>766</v>
      </c>
    </row>
    <row r="32" spans="1:10" x14ac:dyDescent="0.25">
      <c r="A32">
        <v>129</v>
      </c>
      <c r="B32" t="s">
        <v>2793</v>
      </c>
      <c r="C32" t="s">
        <v>2688</v>
      </c>
      <c r="D32">
        <v>6</v>
      </c>
      <c r="E32" t="s">
        <v>2794</v>
      </c>
      <c r="F32" t="s">
        <v>6416</v>
      </c>
      <c r="G32" t="s">
        <v>6419</v>
      </c>
      <c r="H32" t="s">
        <v>6420</v>
      </c>
      <c r="I32" t="s">
        <v>767</v>
      </c>
      <c r="J32" t="s">
        <v>766</v>
      </c>
    </row>
    <row r="33" spans="1:10" x14ac:dyDescent="0.25">
      <c r="A33">
        <v>132</v>
      </c>
      <c r="B33" t="s">
        <v>2859</v>
      </c>
      <c r="C33" t="s">
        <v>2688</v>
      </c>
      <c r="D33">
        <v>6</v>
      </c>
      <c r="E33" t="s">
        <v>2860</v>
      </c>
      <c r="F33" t="s">
        <v>6042</v>
      </c>
      <c r="G33" t="s">
        <v>6098</v>
      </c>
      <c r="H33" t="s">
        <v>6099</v>
      </c>
      <c r="I33" t="s">
        <v>692</v>
      </c>
      <c r="J33" t="s">
        <v>691</v>
      </c>
    </row>
    <row r="34" spans="1:10" x14ac:dyDescent="0.25">
      <c r="A34">
        <v>136</v>
      </c>
      <c r="B34" t="s">
        <v>2918</v>
      </c>
      <c r="C34" t="s">
        <v>2688</v>
      </c>
      <c r="D34">
        <v>6</v>
      </c>
      <c r="E34" t="s">
        <v>2919</v>
      </c>
      <c r="F34" t="s">
        <v>6416</v>
      </c>
      <c r="G34" t="s">
        <v>6421</v>
      </c>
      <c r="H34" t="s">
        <v>6422</v>
      </c>
      <c r="I34" t="s">
        <v>595</v>
      </c>
      <c r="J34" t="s">
        <v>594</v>
      </c>
    </row>
    <row r="35" spans="1:10" x14ac:dyDescent="0.25">
      <c r="A35">
        <v>146</v>
      </c>
      <c r="B35" t="s">
        <v>3035</v>
      </c>
      <c r="C35" t="s">
        <v>2688</v>
      </c>
      <c r="D35">
        <v>6</v>
      </c>
      <c r="E35" t="s">
        <v>3036</v>
      </c>
      <c r="F35" t="s">
        <v>6416</v>
      </c>
      <c r="G35" t="s">
        <v>6423</v>
      </c>
      <c r="H35" t="s">
        <v>6424</v>
      </c>
      <c r="I35" t="s">
        <v>1044</v>
      </c>
      <c r="J35" t="s">
        <v>691</v>
      </c>
    </row>
    <row r="36" spans="1:10" x14ac:dyDescent="0.25">
      <c r="A36">
        <v>150</v>
      </c>
      <c r="B36" t="s">
        <v>3090</v>
      </c>
      <c r="C36" t="s">
        <v>2688</v>
      </c>
      <c r="D36">
        <v>6</v>
      </c>
      <c r="E36" t="s">
        <v>3091</v>
      </c>
      <c r="F36" t="s">
        <v>6042</v>
      </c>
      <c r="G36" t="s">
        <v>6100</v>
      </c>
      <c r="H36" t="s">
        <v>6101</v>
      </c>
      <c r="I36" t="s">
        <v>1044</v>
      </c>
      <c r="J36" t="s">
        <v>691</v>
      </c>
    </row>
    <row r="37" spans="1:10" x14ac:dyDescent="0.25">
      <c r="A37">
        <v>151</v>
      </c>
      <c r="B37" t="s">
        <v>3115</v>
      </c>
      <c r="C37" t="s">
        <v>2688</v>
      </c>
      <c r="D37">
        <v>6</v>
      </c>
      <c r="E37" t="s">
        <v>3116</v>
      </c>
      <c r="F37" t="s">
        <v>6042</v>
      </c>
      <c r="G37" t="s">
        <v>6102</v>
      </c>
      <c r="H37" t="s">
        <v>6103</v>
      </c>
      <c r="I37" t="s">
        <v>1044</v>
      </c>
      <c r="J37" t="s">
        <v>691</v>
      </c>
    </row>
    <row r="38" spans="1:10" x14ac:dyDescent="0.25">
      <c r="A38">
        <v>152</v>
      </c>
      <c r="B38" t="s">
        <v>3153</v>
      </c>
      <c r="C38" t="s">
        <v>2688</v>
      </c>
      <c r="D38">
        <v>6</v>
      </c>
      <c r="E38" t="s">
        <v>3154</v>
      </c>
      <c r="F38" t="s">
        <v>6416</v>
      </c>
      <c r="G38" t="s">
        <v>6425</v>
      </c>
      <c r="H38" t="s">
        <v>6426</v>
      </c>
      <c r="I38" t="s">
        <v>692</v>
      </c>
      <c r="J38" t="s">
        <v>691</v>
      </c>
    </row>
    <row r="39" spans="1:10" x14ac:dyDescent="0.25">
      <c r="A39">
        <v>154</v>
      </c>
      <c r="B39" t="s">
        <v>3208</v>
      </c>
      <c r="C39" t="s">
        <v>2688</v>
      </c>
      <c r="D39">
        <v>6</v>
      </c>
      <c r="E39" t="s">
        <v>3209</v>
      </c>
      <c r="F39" t="s">
        <v>6416</v>
      </c>
      <c r="G39" t="s">
        <v>6427</v>
      </c>
      <c r="H39" t="s">
        <v>6428</v>
      </c>
      <c r="I39" t="s">
        <v>945</v>
      </c>
      <c r="J39" t="s">
        <v>691</v>
      </c>
    </row>
    <row r="40" spans="1:10" x14ac:dyDescent="0.25">
      <c r="A40">
        <v>155</v>
      </c>
      <c r="B40" t="s">
        <v>3247</v>
      </c>
      <c r="C40" t="s">
        <v>2688</v>
      </c>
      <c r="D40">
        <v>6</v>
      </c>
      <c r="E40" t="s">
        <v>3248</v>
      </c>
      <c r="F40" t="s">
        <v>6416</v>
      </c>
      <c r="G40" t="s">
        <v>6429</v>
      </c>
      <c r="H40" t="s">
        <v>6430</v>
      </c>
      <c r="I40" t="s">
        <v>1044</v>
      </c>
      <c r="J40" t="s">
        <v>691</v>
      </c>
    </row>
    <row r="41" spans="1:10" x14ac:dyDescent="0.25">
      <c r="A41">
        <v>159</v>
      </c>
      <c r="B41" t="s">
        <v>3304</v>
      </c>
      <c r="C41" t="s">
        <v>2688</v>
      </c>
      <c r="D41">
        <v>6</v>
      </c>
      <c r="E41" t="s">
        <v>3305</v>
      </c>
      <c r="F41" t="s">
        <v>6042</v>
      </c>
      <c r="G41" t="s">
        <v>6104</v>
      </c>
      <c r="I41" t="s">
        <v>767</v>
      </c>
      <c r="J41" t="s">
        <v>766</v>
      </c>
    </row>
    <row r="42" spans="1:10" x14ac:dyDescent="0.25">
      <c r="A42">
        <v>166</v>
      </c>
      <c r="B42" t="s">
        <v>3375</v>
      </c>
      <c r="C42" t="s">
        <v>2688</v>
      </c>
      <c r="D42">
        <v>6</v>
      </c>
      <c r="E42" t="s">
        <v>3376</v>
      </c>
      <c r="F42" t="s">
        <v>6416</v>
      </c>
      <c r="G42" t="s">
        <v>6431</v>
      </c>
      <c r="H42" t="s">
        <v>6432</v>
      </c>
      <c r="I42" t="s">
        <v>595</v>
      </c>
      <c r="J42" t="s">
        <v>594</v>
      </c>
    </row>
    <row r="43" spans="1:10" x14ac:dyDescent="0.25">
      <c r="A43">
        <v>168</v>
      </c>
      <c r="B43" t="s">
        <v>3428</v>
      </c>
      <c r="C43" t="s">
        <v>2688</v>
      </c>
      <c r="D43">
        <v>6</v>
      </c>
      <c r="E43" t="s">
        <v>3429</v>
      </c>
      <c r="F43" t="s">
        <v>6042</v>
      </c>
      <c r="G43" t="s">
        <v>6105</v>
      </c>
      <c r="H43" t="s">
        <v>6106</v>
      </c>
      <c r="I43" t="s">
        <v>767</v>
      </c>
      <c r="J43" t="s">
        <v>766</v>
      </c>
    </row>
    <row r="44" spans="1:10" x14ac:dyDescent="0.25">
      <c r="A44">
        <v>170</v>
      </c>
      <c r="B44" t="s">
        <v>3450</v>
      </c>
      <c r="C44" t="s">
        <v>2688</v>
      </c>
      <c r="D44">
        <v>6</v>
      </c>
      <c r="E44" t="s">
        <v>3451</v>
      </c>
      <c r="F44" t="s">
        <v>6042</v>
      </c>
      <c r="G44" t="s">
        <v>6107</v>
      </c>
      <c r="H44" t="s">
        <v>6108</v>
      </c>
      <c r="I44" t="s">
        <v>767</v>
      </c>
      <c r="J44" t="s">
        <v>766</v>
      </c>
    </row>
    <row r="45" spans="1:10" x14ac:dyDescent="0.25">
      <c r="A45">
        <v>180</v>
      </c>
      <c r="B45" t="s">
        <v>3497</v>
      </c>
      <c r="C45" t="s">
        <v>2688</v>
      </c>
      <c r="D45">
        <v>6</v>
      </c>
      <c r="E45" t="s">
        <v>3498</v>
      </c>
      <c r="F45" t="s">
        <v>6416</v>
      </c>
      <c r="G45" t="s">
        <v>6433</v>
      </c>
      <c r="H45" t="s">
        <v>6434</v>
      </c>
      <c r="I45" t="s">
        <v>595</v>
      </c>
      <c r="J45" t="s">
        <v>594</v>
      </c>
    </row>
    <row r="46" spans="1:10" x14ac:dyDescent="0.25">
      <c r="A46">
        <v>183</v>
      </c>
      <c r="B46" t="s">
        <v>3539</v>
      </c>
      <c r="C46" t="s">
        <v>2688</v>
      </c>
      <c r="D46">
        <v>6</v>
      </c>
      <c r="E46" t="s">
        <v>3540</v>
      </c>
      <c r="F46" t="s">
        <v>6042</v>
      </c>
      <c r="G46" t="s">
        <v>6109</v>
      </c>
      <c r="I46" t="s">
        <v>692</v>
      </c>
      <c r="J46" t="s">
        <v>691</v>
      </c>
    </row>
    <row r="47" spans="1:10" x14ac:dyDescent="0.25">
      <c r="A47">
        <v>185</v>
      </c>
      <c r="B47" t="s">
        <v>3593</v>
      </c>
      <c r="C47" t="s">
        <v>2688</v>
      </c>
      <c r="D47">
        <v>6</v>
      </c>
      <c r="E47" t="s">
        <v>3594</v>
      </c>
      <c r="F47" t="s">
        <v>6416</v>
      </c>
      <c r="G47" t="s">
        <v>6435</v>
      </c>
      <c r="H47" t="s">
        <v>6436</v>
      </c>
      <c r="I47" t="s">
        <v>493</v>
      </c>
      <c r="J47" t="s">
        <v>492</v>
      </c>
    </row>
    <row r="48" spans="1:10" x14ac:dyDescent="0.25">
      <c r="A48">
        <v>189</v>
      </c>
      <c r="B48" t="s">
        <v>3654</v>
      </c>
      <c r="C48" t="s">
        <v>2688</v>
      </c>
      <c r="D48">
        <v>6</v>
      </c>
      <c r="E48" t="s">
        <v>3655</v>
      </c>
      <c r="F48" t="s">
        <v>6416</v>
      </c>
      <c r="G48" t="s">
        <v>6437</v>
      </c>
      <c r="H48" t="s">
        <v>6438</v>
      </c>
      <c r="I48" t="s">
        <v>767</v>
      </c>
      <c r="J48" t="s">
        <v>766</v>
      </c>
    </row>
    <row r="49" spans="1:10" x14ac:dyDescent="0.25">
      <c r="A49">
        <v>194</v>
      </c>
      <c r="B49" t="s">
        <v>3700</v>
      </c>
      <c r="C49" t="s">
        <v>2688</v>
      </c>
      <c r="D49">
        <v>6</v>
      </c>
      <c r="E49" t="s">
        <v>3701</v>
      </c>
      <c r="F49" t="s">
        <v>6416</v>
      </c>
      <c r="G49" t="s">
        <v>6439</v>
      </c>
      <c r="H49" t="s">
        <v>6440</v>
      </c>
      <c r="I49" t="s">
        <v>493</v>
      </c>
      <c r="J49" t="s">
        <v>492</v>
      </c>
    </row>
    <row r="50" spans="1:10" x14ac:dyDescent="0.25">
      <c r="A50">
        <v>204</v>
      </c>
      <c r="B50" t="s">
        <v>3756</v>
      </c>
      <c r="C50" t="s">
        <v>2688</v>
      </c>
      <c r="D50">
        <v>6</v>
      </c>
      <c r="E50" t="s">
        <v>3757</v>
      </c>
      <c r="F50" t="s">
        <v>6416</v>
      </c>
      <c r="G50" t="s">
        <v>6441</v>
      </c>
      <c r="H50" t="s">
        <v>6442</v>
      </c>
      <c r="I50" t="s">
        <v>595</v>
      </c>
      <c r="J50" t="s">
        <v>594</v>
      </c>
    </row>
    <row r="51" spans="1:10" x14ac:dyDescent="0.25">
      <c r="A51">
        <v>208</v>
      </c>
      <c r="B51" t="s">
        <v>3812</v>
      </c>
      <c r="C51" t="s">
        <v>2688</v>
      </c>
      <c r="D51">
        <v>6</v>
      </c>
      <c r="E51" t="s">
        <v>3813</v>
      </c>
      <c r="F51" t="s">
        <v>6042</v>
      </c>
      <c r="G51" t="s">
        <v>6110</v>
      </c>
      <c r="H51" t="s">
        <v>6111</v>
      </c>
      <c r="I51" t="s">
        <v>493</v>
      </c>
      <c r="J51" t="s">
        <v>492</v>
      </c>
    </row>
    <row r="52" spans="1:10" x14ac:dyDescent="0.25">
      <c r="A52">
        <v>209</v>
      </c>
      <c r="B52" t="s">
        <v>3839</v>
      </c>
      <c r="C52" t="s">
        <v>2688</v>
      </c>
      <c r="D52">
        <v>6</v>
      </c>
      <c r="E52" t="s">
        <v>3840</v>
      </c>
      <c r="F52" t="s">
        <v>6416</v>
      </c>
      <c r="G52" t="s">
        <v>6443</v>
      </c>
      <c r="H52" t="s">
        <v>6444</v>
      </c>
      <c r="I52" t="s">
        <v>1044</v>
      </c>
      <c r="J52" t="s">
        <v>691</v>
      </c>
    </row>
    <row r="53" spans="1:10" x14ac:dyDescent="0.25">
      <c r="A53">
        <v>212</v>
      </c>
      <c r="B53" t="s">
        <v>3872</v>
      </c>
      <c r="C53" t="s">
        <v>2688</v>
      </c>
      <c r="D53">
        <v>6</v>
      </c>
      <c r="E53" t="s">
        <v>3873</v>
      </c>
      <c r="F53" t="s">
        <v>6416</v>
      </c>
      <c r="G53" t="s">
        <v>6445</v>
      </c>
      <c r="H53" t="s">
        <v>6446</v>
      </c>
      <c r="I53" t="s">
        <v>767</v>
      </c>
      <c r="J53" t="s">
        <v>766</v>
      </c>
    </row>
    <row r="54" spans="1:10" x14ac:dyDescent="0.25">
      <c r="A54">
        <v>226</v>
      </c>
      <c r="B54" t="s">
        <v>3947</v>
      </c>
      <c r="C54" t="s">
        <v>2688</v>
      </c>
      <c r="D54">
        <v>6</v>
      </c>
      <c r="E54" t="s">
        <v>3948</v>
      </c>
      <c r="F54" t="s">
        <v>6042</v>
      </c>
      <c r="G54" t="s">
        <v>6112</v>
      </c>
      <c r="H54" t="s">
        <v>6113</v>
      </c>
      <c r="I54" t="s">
        <v>767</v>
      </c>
      <c r="J54" t="s">
        <v>766</v>
      </c>
    </row>
    <row r="55" spans="1:10" x14ac:dyDescent="0.25">
      <c r="A55">
        <v>229</v>
      </c>
      <c r="B55" t="s">
        <v>3994</v>
      </c>
      <c r="C55" t="s">
        <v>2688</v>
      </c>
      <c r="D55">
        <v>6</v>
      </c>
      <c r="E55" t="s">
        <v>3995</v>
      </c>
      <c r="F55" t="s">
        <v>6416</v>
      </c>
      <c r="G55" t="s">
        <v>6447</v>
      </c>
      <c r="H55" t="s">
        <v>6448</v>
      </c>
      <c r="I55" t="s">
        <v>945</v>
      </c>
      <c r="J55" t="s">
        <v>691</v>
      </c>
    </row>
    <row r="56" spans="1:10" x14ac:dyDescent="0.25">
      <c r="A56">
        <v>260</v>
      </c>
      <c r="B56" t="s">
        <v>4067</v>
      </c>
      <c r="C56" t="s">
        <v>2688</v>
      </c>
      <c r="D56">
        <v>6</v>
      </c>
      <c r="E56" t="s">
        <v>4068</v>
      </c>
      <c r="F56" t="s">
        <v>6042</v>
      </c>
      <c r="G56" t="s">
        <v>6114</v>
      </c>
      <c r="H56" t="s">
        <v>6115</v>
      </c>
      <c r="I56" t="s">
        <v>1044</v>
      </c>
      <c r="J56" t="s">
        <v>691</v>
      </c>
    </row>
    <row r="57" spans="1:10" x14ac:dyDescent="0.25">
      <c r="A57">
        <v>267</v>
      </c>
      <c r="B57" t="s">
        <v>4127</v>
      </c>
      <c r="C57" t="s">
        <v>2688</v>
      </c>
      <c r="D57">
        <v>6</v>
      </c>
      <c r="E57" t="s">
        <v>4128</v>
      </c>
      <c r="F57" t="s">
        <v>6416</v>
      </c>
      <c r="G57" t="s">
        <v>6449</v>
      </c>
      <c r="H57" t="s">
        <v>6450</v>
      </c>
      <c r="I57" t="s">
        <v>945</v>
      </c>
      <c r="J57" t="s">
        <v>691</v>
      </c>
    </row>
    <row r="58" spans="1:10" x14ac:dyDescent="0.25">
      <c r="A58">
        <v>271</v>
      </c>
      <c r="B58" t="s">
        <v>4184</v>
      </c>
      <c r="C58" t="s">
        <v>2688</v>
      </c>
      <c r="D58">
        <v>6</v>
      </c>
      <c r="E58" t="s">
        <v>4185</v>
      </c>
      <c r="F58" t="s">
        <v>6416</v>
      </c>
      <c r="G58" t="s">
        <v>6451</v>
      </c>
      <c r="H58" t="s">
        <v>6452</v>
      </c>
      <c r="I58" t="s">
        <v>945</v>
      </c>
      <c r="J58" t="s">
        <v>691</v>
      </c>
    </row>
    <row r="59" spans="1:10" x14ac:dyDescent="0.25">
      <c r="A59">
        <v>276</v>
      </c>
      <c r="B59" t="s">
        <v>4218</v>
      </c>
      <c r="C59" t="s">
        <v>2688</v>
      </c>
      <c r="D59">
        <v>6</v>
      </c>
      <c r="E59" t="s">
        <v>4219</v>
      </c>
      <c r="F59" t="s">
        <v>6416</v>
      </c>
      <c r="G59" t="s">
        <v>6453</v>
      </c>
      <c r="I59" t="s">
        <v>595</v>
      </c>
      <c r="J59" t="s">
        <v>594</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7">
    <pageSetUpPr fitToPage="1"/>
  </sheetPr>
  <dimension ref="A1:K105"/>
  <sheetViews>
    <sheetView workbookViewId="0">
      <selection activeCell="A25" sqref="A25"/>
    </sheetView>
  </sheetViews>
  <sheetFormatPr defaultRowHeight="15" x14ac:dyDescent="0.25"/>
  <cols>
    <col min="1" max="1" width="25.140625" customWidth="1"/>
    <col min="2" max="2" width="18.28515625" customWidth="1"/>
    <col min="3" max="3" width="28.5703125" customWidth="1"/>
    <col min="4" max="4" width="29" customWidth="1"/>
    <col min="5" max="5" width="30.7109375" customWidth="1"/>
    <col min="6" max="6" width="36.140625" style="2" customWidth="1"/>
    <col min="7" max="7" width="27.140625" style="2" customWidth="1"/>
    <col min="8" max="8" width="26" style="2" bestFit="1" customWidth="1"/>
    <col min="9" max="9" width="28.85546875" style="2" customWidth="1"/>
    <col min="10" max="10" width="32.85546875" style="2" customWidth="1"/>
    <col min="11" max="11" width="14.7109375" bestFit="1" customWidth="1"/>
  </cols>
  <sheetData>
    <row r="1" spans="1:11" x14ac:dyDescent="0.25">
      <c r="A1" s="35" t="s">
        <v>7455</v>
      </c>
      <c r="B1" s="36" t="s">
        <v>4273</v>
      </c>
      <c r="C1" s="36" t="s">
        <v>7457</v>
      </c>
      <c r="D1" s="36" t="s">
        <v>7484</v>
      </c>
      <c r="E1" s="36" t="s">
        <v>7485</v>
      </c>
      <c r="F1" s="37" t="s">
        <v>7483</v>
      </c>
      <c r="G1" s="97" t="s">
        <v>7459</v>
      </c>
      <c r="H1" s="38"/>
      <c r="I1" s="38"/>
    </row>
    <row r="2" spans="1:11" x14ac:dyDescent="0.25">
      <c r="A2" s="39" t="s">
        <v>228</v>
      </c>
      <c r="B2" s="40" t="s">
        <v>4274</v>
      </c>
      <c r="C2" s="41">
        <f>SUMIFS(#REF!,#REF!,A2)</f>
        <v>2499616.4400000009</v>
      </c>
      <c r="D2" s="41">
        <f>SUMIFS(#REF!,#REF!,A2)</f>
        <v>2309020.3400000003</v>
      </c>
      <c r="E2" s="50">
        <f t="shared" ref="E2:E9" si="0">C2-D2</f>
        <v>190596.10000000056</v>
      </c>
      <c r="F2" s="90">
        <f>Tabella2[[#This Row],[not validated Amount]]/Tabella2[[#This Row],[TOTAL reported amount]]</f>
        <v>7.6250138601264963E-2</v>
      </c>
      <c r="G2" s="40" t="str" cm="1">
        <f t="array" ref="G2">INDEX($G$18:$I$21,MATCH(1,(Tabella2[[#This Row],[Not validated per bl percentage]]&gt;=$H$18:$H$21)*(Tabella2[[#This Row],[Not validated per bl percentage]]&lt;=$I$18:$I$21)),1)</f>
        <v>medio</v>
      </c>
      <c r="I2" s="42"/>
      <c r="J2" s="42"/>
      <c r="K2" s="14"/>
    </row>
    <row r="3" spans="1:11" x14ac:dyDescent="0.25">
      <c r="A3" s="39" t="s">
        <v>230</v>
      </c>
      <c r="B3" s="40" t="s">
        <v>4275</v>
      </c>
      <c r="C3" s="41">
        <f>SUMIFS(#REF!,#REF!,A3)</f>
        <v>65981.73</v>
      </c>
      <c r="D3" s="41">
        <f>SUMIFS(#REF!,#REF!,A3)</f>
        <v>61817.44999999999</v>
      </c>
      <c r="E3" s="50">
        <f t="shared" si="0"/>
        <v>4164.2800000000061</v>
      </c>
      <c r="F3" s="90">
        <f>Tabella2[[#This Row],[not validated Amount]]/Tabella2[[#This Row],[TOTAL reported amount]]</f>
        <v>6.3112622236488891E-2</v>
      </c>
      <c r="G3" s="40" t="str" cm="1">
        <f t="array" ref="G3">INDEX($G$18:$I$21,MATCH(1,(Tabella2[[#This Row],[Not validated per bl percentage]]&gt;=$H$18:$H$21)*(Tabella2[[#This Row],[Not validated per bl percentage]]&lt;=$I$18:$I$21)),1)</f>
        <v>medio</v>
      </c>
      <c r="I3" s="42"/>
      <c r="J3" s="42"/>
      <c r="K3" s="14"/>
    </row>
    <row r="4" spans="1:11" x14ac:dyDescent="0.25">
      <c r="A4" s="39" t="s">
        <v>229</v>
      </c>
      <c r="B4" s="40" t="s">
        <v>4276</v>
      </c>
      <c r="C4" s="41">
        <f>SUMIFS(#REF!,#REF!,A4)</f>
        <v>248719.87999999995</v>
      </c>
      <c r="D4" s="41">
        <f>SUMIFS(#REF!,#REF!,A4)</f>
        <v>232189.84</v>
      </c>
      <c r="E4" s="50">
        <f t="shared" si="0"/>
        <v>16530.03999999995</v>
      </c>
      <c r="F4" s="90">
        <f>Tabella2[[#This Row],[not validated Amount]]/Tabella2[[#This Row],[TOTAL reported amount]]</f>
        <v>6.6460469504890221E-2</v>
      </c>
      <c r="G4" s="40" t="str" cm="1">
        <f t="array" ref="G4">INDEX($G$18:$I$21,MATCH(1,(Tabella2[[#This Row],[Not validated per bl percentage]]&gt;=$H$18:$H$21)*(Tabella2[[#This Row],[Not validated per bl percentage]]&lt;=$I$18:$I$21)),1)</f>
        <v>medio</v>
      </c>
      <c r="I4" s="42"/>
      <c r="J4" s="42"/>
      <c r="K4" s="14"/>
    </row>
    <row r="5" spans="1:11" x14ac:dyDescent="0.25">
      <c r="A5" s="39" t="s">
        <v>231</v>
      </c>
      <c r="B5" s="40" t="s">
        <v>4277</v>
      </c>
      <c r="C5" s="41">
        <f>SUMIFS(#REF!,#REF!,A5)</f>
        <v>606261.72000000009</v>
      </c>
      <c r="D5" s="41">
        <f>SUMIFS(#REF!,#REF!,A5)</f>
        <v>572446.90000000014</v>
      </c>
      <c r="E5" s="50">
        <f t="shared" si="0"/>
        <v>33814.819999999949</v>
      </c>
      <c r="F5" s="90">
        <f>Tabella2[[#This Row],[not validated Amount]]/Tabella2[[#This Row],[TOTAL reported amount]]</f>
        <v>5.577594442215475E-2</v>
      </c>
      <c r="G5" s="40" t="str" cm="1">
        <f t="array" ref="G5">INDEX($G$18:$I$21,MATCH(1,(Tabella2[[#This Row],[Not validated per bl percentage]]&gt;=$H$18:$H$21)*(Tabella2[[#This Row],[Not validated per bl percentage]]&lt;=$I$18:$I$21)),1)</f>
        <v>medio</v>
      </c>
      <c r="I5" s="42"/>
      <c r="J5" s="42"/>
      <c r="K5" s="14"/>
    </row>
    <row r="6" spans="1:11" x14ac:dyDescent="0.25">
      <c r="A6" s="39" t="s">
        <v>232</v>
      </c>
      <c r="B6" s="40" t="s">
        <v>4278</v>
      </c>
      <c r="C6" s="41">
        <f>SUMIFS(#REF!,#REF!,A6)</f>
        <v>334166.50999999989</v>
      </c>
      <c r="D6" s="41">
        <f>SUMIFS(#REF!,#REF!,A6)</f>
        <v>330483.43</v>
      </c>
      <c r="E6" s="50">
        <f t="shared" si="0"/>
        <v>3683.0799999998999</v>
      </c>
      <c r="F6" s="90">
        <f>Tabella2[[#This Row],[not validated Amount]]/Tabella2[[#This Row],[TOTAL reported amount]]</f>
        <v>1.102169095281242E-2</v>
      </c>
      <c r="G6" s="40" t="str" cm="1">
        <f t="array" ref="G6">INDEX($G$18:$I$21,MATCH(1,(Tabella2[[#This Row],[Not validated per bl percentage]]&gt;=$H$18:$H$21)*(Tabella2[[#This Row],[Not validated per bl percentage]]&lt;=$I$18:$I$21)),1)</f>
        <v>basso</v>
      </c>
      <c r="I6" s="42"/>
      <c r="J6" s="42"/>
      <c r="K6" s="14"/>
    </row>
    <row r="7" spans="1:11" x14ac:dyDescent="0.25">
      <c r="A7" s="39" t="s">
        <v>233</v>
      </c>
      <c r="B7" s="40" t="s">
        <v>4279</v>
      </c>
      <c r="C7" s="41">
        <f>SUMIFS(#REF!,#REF!,A7)</f>
        <v>157371.24</v>
      </c>
      <c r="D7" s="41">
        <f>SUMIFS(#REF!,#REF!,A7)</f>
        <v>157371.24</v>
      </c>
      <c r="E7" s="50">
        <f t="shared" si="0"/>
        <v>0</v>
      </c>
      <c r="F7" s="90">
        <f>Tabella2[[#This Row],[not validated Amount]]/Tabella2[[#This Row],[TOTAL reported amount]]</f>
        <v>0</v>
      </c>
      <c r="G7" s="40" t="str" cm="1">
        <f t="array" ref="G7">INDEX($G$18:$I$21,MATCH(1,(Tabella2[[#This Row],[Not validated per bl percentage]]&gt;=$H$18:$H$21)*(Tabella2[[#This Row],[Not validated per bl percentage]]&lt;=$I$18:$I$21)),1)</f>
        <v>basso</v>
      </c>
      <c r="I7" s="42"/>
      <c r="J7" s="42"/>
      <c r="K7" s="14"/>
    </row>
    <row r="8" spans="1:11" x14ac:dyDescent="0.25">
      <c r="A8" s="39" t="s">
        <v>235</v>
      </c>
      <c r="B8" s="40" t="s">
        <v>4280</v>
      </c>
      <c r="C8" s="41">
        <f>SUMIFS(#REF!,#REF!,A8)</f>
        <v>225000</v>
      </c>
      <c r="D8" s="41">
        <f>SUMIFS(#REF!,#REF!,A8)</f>
        <v>198000</v>
      </c>
      <c r="E8" s="50">
        <f t="shared" si="0"/>
        <v>27000</v>
      </c>
      <c r="F8" s="90">
        <f>Tabella2[[#This Row],[not validated Amount]]/Tabella2[[#This Row],[TOTAL reported amount]]</f>
        <v>0.12</v>
      </c>
      <c r="G8" s="40" t="str" cm="1">
        <f t="array" ref="G8">INDEX($G$18:$I$21,MATCH(1,(Tabella2[[#This Row],[Not validated per bl percentage]]&gt;=$H$18:$H$21)*(Tabella2[[#This Row],[Not validated per bl percentage]]&lt;=$I$18:$I$21)),1)</f>
        <v>alto</v>
      </c>
      <c r="I8" s="42"/>
      <c r="J8" s="42"/>
      <c r="K8" s="14"/>
    </row>
    <row r="9" spans="1:11" x14ac:dyDescent="0.25">
      <c r="A9" s="39" t="s">
        <v>234</v>
      </c>
      <c r="B9" s="40" t="s">
        <v>446</v>
      </c>
      <c r="C9" s="41">
        <f>SUMIFS(#REF!,#REF!,A9)</f>
        <v>321396.78000000003</v>
      </c>
      <c r="D9" s="41">
        <f>SUMIFS(#REF!,#REF!,A9)</f>
        <v>293227.85000000009</v>
      </c>
      <c r="E9" s="50">
        <f t="shared" si="0"/>
        <v>28168.929999999935</v>
      </c>
      <c r="F9" s="90">
        <f>Tabella2[[#This Row],[not validated Amount]]/Tabella2[[#This Row],[TOTAL reported amount]]</f>
        <v>8.7645339819521315E-2</v>
      </c>
      <c r="G9" s="40" t="str" cm="1">
        <f t="array" ref="G9">INDEX($G$18:$I$21,MATCH(1,(Tabella2[[#This Row],[Not validated per bl percentage]]&gt;=$H$18:$H$21)*(Tabella2[[#This Row],[Not validated per bl percentage]]&lt;=$I$18:$I$21)),1)</f>
        <v>medio</v>
      </c>
      <c r="I9" s="42"/>
      <c r="J9" s="42"/>
      <c r="K9" s="14"/>
    </row>
    <row r="10" spans="1:11" x14ac:dyDescent="0.25">
      <c r="A10" s="43" t="s">
        <v>4281</v>
      </c>
      <c r="B10" s="91" t="s">
        <v>4281</v>
      </c>
      <c r="C10" s="44">
        <f>SUM(C2:C9)</f>
        <v>4458514.3000000007</v>
      </c>
      <c r="D10" s="44">
        <f>SUM(D2:D9)</f>
        <v>4154557.0500000003</v>
      </c>
      <c r="E10" s="44">
        <f>SUM(E2:E9)</f>
        <v>303957.25000000029</v>
      </c>
      <c r="F10" s="92">
        <f>Tabella2[[#This Row],[not validated Amount]]/Tabella2[[#This Row],[TOTAL reported amount]]</f>
        <v>6.8174559852819186E-2</v>
      </c>
      <c r="G10" s="40" t="str" cm="1">
        <f t="array" ref="G10">INDEX($G$18:$I$21,MATCH(1,(Tabella2[[#This Row],[Not validated per bl percentage]]&gt;=$H$18:$H$21)*(Tabella2[[#This Row],[Not validated per bl percentage]]&lt;=$I$18:$I$21)),1)</f>
        <v>medio</v>
      </c>
      <c r="I10" s="42"/>
      <c r="J10" s="42"/>
      <c r="K10" s="14"/>
    </row>
    <row r="11" spans="1:11" x14ac:dyDescent="0.25">
      <c r="E11" s="10"/>
    </row>
    <row r="13" spans="1:11" x14ac:dyDescent="0.25">
      <c r="A13" s="85" t="s">
        <v>228</v>
      </c>
      <c r="B13" s="85" t="s">
        <v>4273</v>
      </c>
      <c r="C13" s="85" t="s">
        <v>7457</v>
      </c>
      <c r="D13" s="85" t="s">
        <v>7484</v>
      </c>
      <c r="E13" s="85" t="s">
        <v>7485</v>
      </c>
      <c r="F13" s="160" t="s">
        <v>7483</v>
      </c>
      <c r="G13" s="85" t="s">
        <v>7459</v>
      </c>
    </row>
    <row r="14" spans="1:11" x14ac:dyDescent="0.25">
      <c r="A14" s="84" t="s">
        <v>4542</v>
      </c>
      <c r="B14" s="84" t="s">
        <v>4274</v>
      </c>
      <c r="C14" s="87">
        <f>SUMIFS(#REF!,#REF!,"staff",#REF!,A14)</f>
        <v>1833389.8700000003</v>
      </c>
      <c r="D14" s="95">
        <f>SUMIFS(#REF!,#REF!,"staff",#REF!,A14)</f>
        <v>1665443.78</v>
      </c>
      <c r="E14" s="95">
        <f>C14-D14</f>
        <v>167946.09000000032</v>
      </c>
      <c r="F14" s="93">
        <f>E14/C14</f>
        <v>9.1604133276901048E-2</v>
      </c>
      <c r="G14" s="84" t="str" cm="1">
        <f t="array" ref="G14">INDEX($G$18:$I$21,MATCH(1,(F14&gt;=$H$18:$H$21)*(F14&lt;=$I$18:$I$21)),1)</f>
        <v>medio</v>
      </c>
    </row>
    <row r="15" spans="1:11" x14ac:dyDescent="0.25">
      <c r="A15" s="88" t="s">
        <v>4543</v>
      </c>
      <c r="B15" s="88" t="s">
        <v>4274</v>
      </c>
      <c r="C15" s="89">
        <f>SUMIFS(#REF!,#REF!,"staff",#REF!,A15)</f>
        <v>344671.06</v>
      </c>
      <c r="D15" s="96">
        <f>SUMIFS(#REF!,#REF!,"staff",#REF!,A15)</f>
        <v>333623.36</v>
      </c>
      <c r="E15" s="96">
        <f t="shared" ref="E15:E16" si="1">C15-D15</f>
        <v>11047.700000000012</v>
      </c>
      <c r="F15" s="94">
        <f t="shared" ref="F15:F16" si="2">E15/C15</f>
        <v>3.2052879635441428E-2</v>
      </c>
      <c r="G15" s="84" t="str" cm="1">
        <f t="array" ref="G15">INDEX($G$18:$I$21,MATCH(1,(F15&gt;=$H$18:$H$21)*(F15&lt;=$I$18:$I$21)),1)</f>
        <v>basso</v>
      </c>
    </row>
    <row r="16" spans="1:11" x14ac:dyDescent="0.25">
      <c r="A16" s="84" t="s">
        <v>4544</v>
      </c>
      <c r="B16" s="84" t="s">
        <v>4274</v>
      </c>
      <c r="C16" s="87">
        <f>SUMIFS(#REF!,#REF!,"staff",#REF!,A16)</f>
        <v>49934.58</v>
      </c>
      <c r="D16" s="95">
        <f>SUMIFS(#REF!,#REF!,"staff",#REF!,A16)</f>
        <v>49302.74</v>
      </c>
      <c r="E16" s="95">
        <f t="shared" si="1"/>
        <v>631.84000000000378</v>
      </c>
      <c r="F16" s="93">
        <f t="shared" si="2"/>
        <v>1.2653355650533233E-2</v>
      </c>
      <c r="G16" s="84" t="str" cm="1">
        <f t="array" ref="G16">INDEX($G$18:$I$21,MATCH(1,(F16&gt;=$H$18:$H$21)*(F16&lt;=$I$18:$I$21)),1)</f>
        <v>basso</v>
      </c>
    </row>
    <row r="18" spans="1:10" x14ac:dyDescent="0.25">
      <c r="G18" s="9"/>
      <c r="H18" s="40" t="s">
        <v>4318</v>
      </c>
      <c r="I18" s="40" t="s">
        <v>4319</v>
      </c>
    </row>
    <row r="19" spans="1:10" x14ac:dyDescent="0.25">
      <c r="G19" s="9" t="s">
        <v>4315</v>
      </c>
      <c r="H19" s="40">
        <v>0</v>
      </c>
      <c r="I19" s="77">
        <v>0.05</v>
      </c>
    </row>
    <row r="20" spans="1:10" x14ac:dyDescent="0.25">
      <c r="G20" s="9" t="s">
        <v>4316</v>
      </c>
      <c r="H20" s="77">
        <v>0.05</v>
      </c>
      <c r="I20" s="77">
        <v>0.1</v>
      </c>
    </row>
    <row r="21" spans="1:10" x14ac:dyDescent="0.25">
      <c r="G21" s="9" t="s">
        <v>4317</v>
      </c>
      <c r="H21" s="77">
        <v>0.1</v>
      </c>
      <c r="I21" s="77">
        <v>1</v>
      </c>
    </row>
    <row r="22" spans="1:10" x14ac:dyDescent="0.25">
      <c r="A22" s="45"/>
      <c r="B22" s="45"/>
    </row>
    <row r="23" spans="1:10" ht="30" x14ac:dyDescent="0.25">
      <c r="A23" s="35" t="s">
        <v>7455</v>
      </c>
      <c r="B23" s="46" t="s">
        <v>4273</v>
      </c>
      <c r="C23" s="36" t="s">
        <v>7460</v>
      </c>
      <c r="D23" s="36" t="s">
        <v>7461</v>
      </c>
      <c r="E23" s="46" t="s">
        <v>7456</v>
      </c>
      <c r="F23" s="37" t="s">
        <v>7458</v>
      </c>
      <c r="G23" s="36" t="s">
        <v>7462</v>
      </c>
      <c r="H23" s="36" t="s">
        <v>7463</v>
      </c>
      <c r="I23" s="46" t="s">
        <v>7464</v>
      </c>
      <c r="J23" s="47" t="s">
        <v>7465</v>
      </c>
    </row>
    <row r="24" spans="1:10" x14ac:dyDescent="0.25">
      <c r="A24" s="48" t="s">
        <v>228</v>
      </c>
      <c r="B24" s="40" t="s">
        <v>4274</v>
      </c>
      <c r="C24" s="6">
        <f>SUMIFS(ReportValidatedBL!J:J,ReportValidatedBL!E:E,Tabella8[[#This Row],[ROW]],ReportValidatedBL!R:R,"Soggetto pubblico")+SUMIFS(ReportValidatedBL!J:J,ReportValidatedBL!E:E,Tabella8[[#This Row],[ROW]],ReportValidatedBL!R:R,"Organismo di diritto pubblico ")</f>
        <v>1800866.62</v>
      </c>
      <c r="D24" s="6">
        <f>SUMIFS(ReportValidatedBL!L:L,ReportValidatedBL!E:E,Tabella8[[#This Row],[ROW]],ReportValidatedBL!R:R,"Soggetto pubblico")+SUMIFS(ReportValidatedBL!L:L,ReportValidatedBL!E:E,Tabella8[[#This Row],[ROW]],ReportValidatedBL!R:R,"Organismo di diritto pubblico ")</f>
        <v>1656761.1799999997</v>
      </c>
      <c r="E24" s="8">
        <f>C24-D24</f>
        <v>144105.44000000041</v>
      </c>
      <c r="F24" s="93">
        <f>E24/C24</f>
        <v>8.0020051679341134E-2</v>
      </c>
      <c r="G24" s="41">
        <f>SUMIFS(ReportValidatedBL!J:J,ReportValidatedBL!E:E,Tabella8[[#This Row],[ROW]],ReportValidatedBL!R:R,"Soggetto privato")</f>
        <v>427128.89</v>
      </c>
      <c r="H24" s="41">
        <f>SUMIFS(ReportValidatedBL!L:L,ReportValidatedBL!E:E,Tabella8[[#This Row],[ROW]],ReportValidatedBL!R:R,"Soggetto privato")</f>
        <v>391608.70000000007</v>
      </c>
      <c r="I24" s="50">
        <f>G24-H24</f>
        <v>35520.189999999944</v>
      </c>
      <c r="J24" s="93">
        <f>IFERROR(I24/G24,0)</f>
        <v>8.3160354711665468E-2</v>
      </c>
    </row>
    <row r="25" spans="1:10" x14ac:dyDescent="0.25">
      <c r="A25" s="48" t="s">
        <v>230</v>
      </c>
      <c r="B25" s="40" t="s">
        <v>4275</v>
      </c>
      <c r="C25" s="6">
        <f>SUMIFS(ReportValidatedBL!J:J,ReportValidatedBL!E:E,Tabella8[[#This Row],[ROW]],ReportValidatedBL!R:R,"Soggetto pubblico")+SUMIFS(ReportValidatedBL!J:J,ReportValidatedBL!E:E,Tabella8[[#This Row],[ROW]],ReportValidatedBL!R:R,"Organismo di diritto pubblico ")</f>
        <v>49170.97</v>
      </c>
      <c r="D25" s="6">
        <f>SUMIFS(ReportValidatedBL!L:L,ReportValidatedBL!E:E,Tabella8[[#This Row],[ROW]],ReportValidatedBL!R:R,"Soggetto pubblico")+SUMIFS(ReportValidatedBL!L:L,ReportValidatedBL!E:E,Tabella8[[#This Row],[ROW]],ReportValidatedBL!R:R,"Organismo di diritto pubblico ")</f>
        <v>46111.549999999988</v>
      </c>
      <c r="E25" s="8">
        <f t="shared" ref="E25:E31" si="3">C25-D25</f>
        <v>3059.4200000000128</v>
      </c>
      <c r="F25" s="93"/>
      <c r="G25" s="41">
        <f>SUMIFS(ReportValidatedBL!J:J,ReportValidatedBL!E:E,Tabella8[[#This Row],[ROW]],ReportValidatedBL!R:R,"Soggetto privato")</f>
        <v>10717.420000000002</v>
      </c>
      <c r="H25" s="41">
        <f>SUMIFS(ReportValidatedBL!L:L,ReportValidatedBL!E:E,Tabella8[[#This Row],[ROW]],ReportValidatedBL!R:R,"Soggetto privato")</f>
        <v>10017.160000000002</v>
      </c>
      <c r="I25" s="50">
        <f t="shared" ref="I25:I31" si="4">G25-H25</f>
        <v>700.26000000000022</v>
      </c>
      <c r="J25" s="93"/>
    </row>
    <row r="26" spans="1:10" x14ac:dyDescent="0.25">
      <c r="A26" s="48" t="s">
        <v>229</v>
      </c>
      <c r="B26" s="40" t="s">
        <v>4276</v>
      </c>
      <c r="C26" s="6">
        <f>SUMIFS(ReportValidatedBL!J:J,ReportValidatedBL!E:E,Tabella8[[#This Row],[ROW]],ReportValidatedBL!R:R,"Soggetto pubblico")+SUMIFS(ReportValidatedBL!J:J,ReportValidatedBL!E:E,Tabella8[[#This Row],[ROW]],ReportValidatedBL!R:R,"Organismo di diritto pubblico ")</f>
        <v>184611.38999999998</v>
      </c>
      <c r="D26" s="6">
        <f>SUMIFS(ReportValidatedBL!L:L,ReportValidatedBL!E:E,Tabella8[[#This Row],[ROW]],ReportValidatedBL!R:R,"Soggetto pubblico")+SUMIFS(ReportValidatedBL!L:L,ReportValidatedBL!E:E,Tabella8[[#This Row],[ROW]],ReportValidatedBL!R:R,"Organismo di diritto pubblico ")</f>
        <v>173136.53999999998</v>
      </c>
      <c r="E26" s="8">
        <f t="shared" si="3"/>
        <v>11474.850000000006</v>
      </c>
      <c r="F26" s="93"/>
      <c r="G26" s="41">
        <f>SUMIFS(ReportValidatedBL!J:J,ReportValidatedBL!E:E,Tabella8[[#This Row],[ROW]],ReportValidatedBL!R:R,"Soggetto privato")</f>
        <v>40665.170000000006</v>
      </c>
      <c r="H26" s="41">
        <f>SUMIFS(ReportValidatedBL!L:L,ReportValidatedBL!E:E,Tabella8[[#This Row],[ROW]],ReportValidatedBL!R:R,"Soggetto privato")</f>
        <v>37127.24</v>
      </c>
      <c r="I26" s="50">
        <f t="shared" si="4"/>
        <v>3537.9300000000076</v>
      </c>
      <c r="J26" s="93"/>
    </row>
    <row r="27" spans="1:10" x14ac:dyDescent="0.25">
      <c r="A27" s="48" t="s">
        <v>231</v>
      </c>
      <c r="B27" s="40" t="s">
        <v>4277</v>
      </c>
      <c r="C27" s="6">
        <f>SUMIFS(ReportValidatedBL!J:J,ReportValidatedBL!E:E,Tabella8[[#This Row],[ROW]],ReportValidatedBL!R:R,"Soggetto pubblico")+SUMIFS(ReportValidatedBL!J:J,ReportValidatedBL!E:E,Tabella8[[#This Row],[ROW]],ReportValidatedBL!R:R,"Organismo di diritto pubblico ")</f>
        <v>450801.50999999995</v>
      </c>
      <c r="D27" s="6">
        <f>SUMIFS(ReportValidatedBL!L:L,ReportValidatedBL!E:E,Tabella8[[#This Row],[ROW]],ReportValidatedBL!R:R,"Soggetto pubblico")+SUMIFS(ReportValidatedBL!L:L,ReportValidatedBL!E:E,Tabella8[[#This Row],[ROW]],ReportValidatedBL!R:R,"Organismo di diritto pubblico ")</f>
        <v>429954.22000000003</v>
      </c>
      <c r="E27" s="8">
        <f t="shared" si="3"/>
        <v>20847.289999999921</v>
      </c>
      <c r="F27" s="93">
        <f t="shared" ref="F27:F32" si="5">E27/C27</f>
        <v>4.6244942702166024E-2</v>
      </c>
      <c r="G27" s="41">
        <f>SUMIFS(ReportValidatedBL!J:J,ReportValidatedBL!E:E,Tabella8[[#This Row],[ROW]],ReportValidatedBL!R:R,"Soggetto privato")</f>
        <v>88168.58</v>
      </c>
      <c r="H27" s="41">
        <f>SUMIFS(ReportValidatedBL!L:L,ReportValidatedBL!E:E,Tabella8[[#This Row],[ROW]],ReportValidatedBL!R:R,"Soggetto privato")</f>
        <v>75816.05</v>
      </c>
      <c r="I27" s="50">
        <f t="shared" si="4"/>
        <v>12352.529999999999</v>
      </c>
      <c r="J27" s="93">
        <f t="shared" ref="J27:J32" si="6">IFERROR(I27/G27,0)</f>
        <v>0.14010126963596328</v>
      </c>
    </row>
    <row r="28" spans="1:10" x14ac:dyDescent="0.25">
      <c r="A28" s="48" t="s">
        <v>232</v>
      </c>
      <c r="B28" s="40" t="s">
        <v>4278</v>
      </c>
      <c r="C28" s="6">
        <f>SUMIFS(ReportValidatedBL!J:J,ReportValidatedBL!E:E,Tabella8[[#This Row],[ROW]],ReportValidatedBL!R:R,"Soggetto pubblico")+SUMIFS(ReportValidatedBL!J:J,ReportValidatedBL!E:E,Tabella8[[#This Row],[ROW]],ReportValidatedBL!R:R,"Organismo di diritto pubblico ")</f>
        <v>270321.65999999997</v>
      </c>
      <c r="D28" s="6">
        <f>SUMIFS(ReportValidatedBL!L:L,ReportValidatedBL!E:E,Tabella8[[#This Row],[ROW]],ReportValidatedBL!R:R,"Soggetto pubblico")+SUMIFS(ReportValidatedBL!L:L,ReportValidatedBL!E:E,Tabella8[[#This Row],[ROW]],ReportValidatedBL!R:R,"Organismo di diritto pubblico ")</f>
        <v>269343.38999999996</v>
      </c>
      <c r="E28" s="8">
        <f t="shared" si="3"/>
        <v>978.27000000001863</v>
      </c>
      <c r="F28" s="93">
        <f t="shared" si="5"/>
        <v>3.6189108930450441E-3</v>
      </c>
      <c r="G28" s="41">
        <f>SUMIFS(ReportValidatedBL!J:J,ReportValidatedBL!E:E,Tabella8[[#This Row],[ROW]],ReportValidatedBL!R:R,"Soggetto privato")</f>
        <v>25321.71</v>
      </c>
      <c r="H28" s="41">
        <f>SUMIFS(ReportValidatedBL!L:L,ReportValidatedBL!E:E,Tabella8[[#This Row],[ROW]],ReportValidatedBL!R:R,"Soggetto privato")</f>
        <v>22887.3</v>
      </c>
      <c r="I28" s="50">
        <f t="shared" si="4"/>
        <v>2434.41</v>
      </c>
      <c r="J28" s="93">
        <f t="shared" si="6"/>
        <v>9.6139241781064547E-2</v>
      </c>
    </row>
    <row r="29" spans="1:10" x14ac:dyDescent="0.25">
      <c r="A29" s="48" t="s">
        <v>233</v>
      </c>
      <c r="B29" s="40" t="s">
        <v>4279</v>
      </c>
      <c r="C29" s="6">
        <f>SUMIFS(ReportValidatedBL!J:J,ReportValidatedBL!E:E,Tabella8[[#This Row],[ROW]],ReportValidatedBL!R:R,"Soggetto pubblico")+SUMIFS(ReportValidatedBL!J:J,ReportValidatedBL!E:E,Tabella8[[#This Row],[ROW]],ReportValidatedBL!R:R,"Organismo di diritto pubblico ")</f>
        <v>65180.55</v>
      </c>
      <c r="D29" s="6">
        <f>SUMIFS(ReportValidatedBL!L:L,ReportValidatedBL!E:E,Tabella8[[#This Row],[ROW]],ReportValidatedBL!R:R,"Soggetto pubblico")+SUMIFS(ReportValidatedBL!L:L,ReportValidatedBL!E:E,Tabella8[[#This Row],[ROW]],ReportValidatedBL!R:R,"Organismo di diritto pubblico ")</f>
        <v>65180.55</v>
      </c>
      <c r="E29" s="8">
        <f t="shared" si="3"/>
        <v>0</v>
      </c>
      <c r="F29" s="93">
        <f t="shared" si="5"/>
        <v>0</v>
      </c>
      <c r="G29" s="41">
        <f>SUMIFS(ReportValidatedBL!J:J,ReportValidatedBL!E:E,Tabella8[[#This Row],[ROW]],ReportValidatedBL!R:R,"Soggetto privato")</f>
        <v>92190.69</v>
      </c>
      <c r="H29" s="41">
        <f>SUMIFS(ReportValidatedBL!L:L,ReportValidatedBL!E:E,Tabella8[[#This Row],[ROW]],ReportValidatedBL!R:R,"Soggetto privato")</f>
        <v>92190.69</v>
      </c>
      <c r="I29" s="50">
        <f t="shared" si="4"/>
        <v>0</v>
      </c>
      <c r="J29" s="93">
        <f t="shared" si="6"/>
        <v>0</v>
      </c>
    </row>
    <row r="30" spans="1:10" x14ac:dyDescent="0.25">
      <c r="A30" s="48" t="s">
        <v>235</v>
      </c>
      <c r="B30" s="40" t="s">
        <v>4280</v>
      </c>
      <c r="C30" s="6">
        <f>SUMIFS(ReportValidatedBL!J:J,ReportValidatedBL!E:E,Tabella8[[#This Row],[ROW]],ReportValidatedBL!R:R,"Soggetto pubblico")+SUMIFS(ReportValidatedBL!J:J,ReportValidatedBL!E:E,Tabella8[[#This Row],[ROW]],ReportValidatedBL!R:R,"Organismo di diritto pubblico ")</f>
        <v>171000</v>
      </c>
      <c r="D30" s="6">
        <f>SUMIFS(ReportValidatedBL!L:L,ReportValidatedBL!E:E,Tabella8[[#This Row],[ROW]],ReportValidatedBL!R:R,"Soggetto pubblico")+SUMIFS(ReportValidatedBL!L:L,ReportValidatedBL!E:E,Tabella8[[#This Row],[ROW]],ReportValidatedBL!R:R,"Organismo di diritto pubblico ")</f>
        <v>153000</v>
      </c>
      <c r="E30" s="8">
        <f t="shared" si="3"/>
        <v>18000</v>
      </c>
      <c r="F30" s="93">
        <f t="shared" si="5"/>
        <v>0.10526315789473684</v>
      </c>
      <c r="G30" s="41">
        <f>SUMIFS(ReportValidatedBL!J:J,ReportValidatedBL!E:E,Tabella8[[#This Row],[ROW]],ReportValidatedBL!R:R,"Soggetto privato")</f>
        <v>27000</v>
      </c>
      <c r="H30" s="41">
        <f>SUMIFS(ReportValidatedBL!L:L,ReportValidatedBL!E:E,Tabella8[[#This Row],[ROW]],ReportValidatedBL!R:R,"Soggetto privato")</f>
        <v>18000</v>
      </c>
      <c r="I30" s="50">
        <f t="shared" si="4"/>
        <v>9000</v>
      </c>
      <c r="J30" s="93">
        <f t="shared" si="6"/>
        <v>0.33333333333333331</v>
      </c>
    </row>
    <row r="31" spans="1:10" x14ac:dyDescent="0.25">
      <c r="A31" s="48" t="s">
        <v>234</v>
      </c>
      <c r="B31" s="40" t="s">
        <v>446</v>
      </c>
      <c r="C31" s="6">
        <f>SUMIFS(ReportValidatedBL!J:J,ReportValidatedBL!E:E,Tabella8[[#This Row],[ROW]],ReportValidatedBL!R:R,"Soggetto pubblico")+SUMIFS(ReportValidatedBL!J:J,ReportValidatedBL!E:E,Tabella8[[#This Row],[ROW]],ReportValidatedBL!R:R,"Organismo di diritto pubblico ")</f>
        <v>214019.17</v>
      </c>
      <c r="D31" s="6">
        <f>SUMIFS(ReportValidatedBL!L:L,ReportValidatedBL!E:E,Tabella8[[#This Row],[ROW]],ReportValidatedBL!R:R,"Soggetto pubblico")+SUMIFS(ReportValidatedBL!L:L,ReportValidatedBL!E:E,Tabella8[[#This Row],[ROW]],ReportValidatedBL!R:R,"Organismo di diritto pubblico ")</f>
        <v>190965.93</v>
      </c>
      <c r="E31" s="8">
        <f t="shared" si="3"/>
        <v>23053.24000000002</v>
      </c>
      <c r="F31" s="93"/>
      <c r="G31" s="41">
        <f>SUMIFS(ReportValidatedBL!J:J,ReportValidatedBL!E:E,Tabella8[[#This Row],[ROW]],ReportValidatedBL!R:R,"Soggetto privato")</f>
        <v>61244.909999999996</v>
      </c>
      <c r="H31" s="41">
        <f>SUMIFS(ReportValidatedBL!L:L,ReportValidatedBL!E:E,Tabella8[[#This Row],[ROW]],ReportValidatedBL!R:R,"Soggetto privato")</f>
        <v>56471.369999999995</v>
      </c>
      <c r="I31" s="50">
        <f t="shared" si="4"/>
        <v>4773.5400000000009</v>
      </c>
      <c r="J31" s="93"/>
    </row>
    <row r="32" spans="1:10" x14ac:dyDescent="0.25">
      <c r="A32" s="52"/>
      <c r="B32" s="53"/>
      <c r="C32" s="54">
        <f>SUM(C24:C31)</f>
        <v>3205971.8699999996</v>
      </c>
      <c r="D32" s="54">
        <f>SUM(D24:D31)</f>
        <v>2984453.36</v>
      </c>
      <c r="E32" s="55">
        <f>SUM(E24:E31)</f>
        <v>221518.51000000039</v>
      </c>
      <c r="F32" s="93">
        <f t="shared" si="5"/>
        <v>6.9095587541758569E-2</v>
      </c>
      <c r="G32" s="44">
        <f>SUM(G24:G31)</f>
        <v>772437.37</v>
      </c>
      <c r="H32" s="57">
        <f>SUM(H24:H31)</f>
        <v>704118.51000000013</v>
      </c>
      <c r="I32" s="58">
        <f>SUM(I24:I31)</f>
        <v>68318.859999999957</v>
      </c>
      <c r="J32" s="93">
        <f t="shared" si="6"/>
        <v>8.8445824416806706E-2</v>
      </c>
    </row>
    <row r="33" spans="1:10" x14ac:dyDescent="0.25">
      <c r="A33" s="52"/>
      <c r="B33" s="53"/>
      <c r="C33" s="98"/>
      <c r="D33" s="98"/>
      <c r="E33" s="99"/>
      <c r="F33" s="100"/>
      <c r="G33" s="101"/>
      <c r="H33" s="102"/>
      <c r="I33" s="103"/>
      <c r="J33" s="100"/>
    </row>
    <row r="34" spans="1:10" x14ac:dyDescent="0.25">
      <c r="A34" s="85"/>
      <c r="B34" s="85"/>
      <c r="C34" s="85"/>
      <c r="D34" s="85"/>
      <c r="E34" s="85"/>
      <c r="F34" s="85"/>
      <c r="G34" s="85"/>
      <c r="H34" s="85"/>
      <c r="I34" s="85"/>
      <c r="J34" s="85"/>
    </row>
    <row r="35" spans="1:10" x14ac:dyDescent="0.25">
      <c r="A35" s="84" t="s">
        <v>4542</v>
      </c>
      <c r="B35" s="84" t="s">
        <v>4274</v>
      </c>
      <c r="C35" s="104">
        <f>SUMIFS(ReportValidatedBL!J:J,ReportValidatedBL!R:R,"Soggetto pubblico",ReportValidatedBL!S:S,'SummaryNOT_VALIDATED-BL'!A35)+SUMIFS(ReportValidatedBL!J:J,ReportValidatedBL!R:R,"Organismo di diritto pubblico ",ReportValidatedBL!S:S,'SummaryNOT_VALIDATED-BL'!A35)</f>
        <v>1517816.9</v>
      </c>
      <c r="D35" s="95">
        <f>SUMIFS(ReportValidatedBL!L:L,ReportValidatedBL!R:R,"Soggetto pubblico",ReportValidatedBL!S:S,'SummaryNOT_VALIDATED-BL'!A35)+SUMIFS(ReportValidatedBL!L:L,ReportValidatedBL!R:R,"Organismo di diritto pubblico ",ReportValidatedBL!S:S,'SummaryNOT_VALIDATED-BL'!A35)</f>
        <v>1375221.7899999996</v>
      </c>
      <c r="E35" s="95">
        <f>C35-D35</f>
        <v>142595.11000000034</v>
      </c>
      <c r="F35" s="93">
        <f>E35/C35</f>
        <v>9.394750447171879E-2</v>
      </c>
      <c r="G35" s="104">
        <f>SUMIFS(ReportValidatedBL!J:J,ReportValidatedBL!R:R,"Soggetto privato",ReportValidatedBL!S:S,'SummaryNOT_VALIDATED-BL'!A35)</f>
        <v>315572.96999999991</v>
      </c>
      <c r="H35" s="95">
        <f>SUMIFS(ReportValidatedBL!L:L,ReportValidatedBL!R:R,"Soggetto privato",ReportValidatedBL!S:S,'SummaryNOT_VALIDATED-BL'!A35)</f>
        <v>290221.99000000005</v>
      </c>
      <c r="I35" s="95">
        <f>G35-H35</f>
        <v>25350.979999999865</v>
      </c>
      <c r="J35" s="93">
        <f>I35/G35</f>
        <v>8.0333179359435861E-2</v>
      </c>
    </row>
    <row r="36" spans="1:10" x14ac:dyDescent="0.25">
      <c r="A36" s="88" t="s">
        <v>4543</v>
      </c>
      <c r="B36" s="88" t="s">
        <v>4274</v>
      </c>
      <c r="C36" s="104">
        <f>SUMIFS(ReportValidatedBL!J:J,ReportValidatedBL!R:R,"Soggetto pubblico",ReportValidatedBL!S:S,'SummaryNOT_VALIDATED-BL'!A36)+SUMIFS(ReportValidatedBL!J:J,ReportValidatedBL!R:R,"Organismo di diritto pubblico ",ReportValidatedBL!S:S,'SummaryNOT_VALIDATED-BL'!A36)</f>
        <v>242726.18</v>
      </c>
      <c r="D36" s="95">
        <f>SUMIFS(ReportValidatedBL!L:L,ReportValidatedBL!R:R,"Soggetto pubblico",ReportValidatedBL!S:S,'SummaryNOT_VALIDATED-BL'!A36)+SUMIFS(ReportValidatedBL!L:L,ReportValidatedBL!R:R,"Organismo di diritto pubblico ",ReportValidatedBL!S:S,'SummaryNOT_VALIDATED-BL'!A36)</f>
        <v>241847.69</v>
      </c>
      <c r="E36" s="96">
        <f t="shared" ref="E36:E37" si="7">C36-D36</f>
        <v>878.48999999999069</v>
      </c>
      <c r="F36" s="94">
        <f t="shared" ref="F36" si="8">E36/C36</f>
        <v>3.6192634844745249E-3</v>
      </c>
      <c r="G36" s="104">
        <f>SUMIFS(ReportValidatedBL!J:J,ReportValidatedBL!R:R,"Soggetto privato",ReportValidatedBL!S:S,'SummaryNOT_VALIDATED-BL'!A36)</f>
        <v>101944.88</v>
      </c>
      <c r="H36" s="95">
        <f>SUMIFS(ReportValidatedBL!L:L,ReportValidatedBL!R:R,"Soggetto privato",ReportValidatedBL!S:S,'SummaryNOT_VALIDATED-BL'!A36)</f>
        <v>91775.67</v>
      </c>
      <c r="I36" s="96">
        <f t="shared" ref="I36:I37" si="9">G36-H36</f>
        <v>10169.210000000006</v>
      </c>
      <c r="J36" s="94">
        <f t="shared" ref="J36" si="10">I36/G36</f>
        <v>9.9752042476287245E-2</v>
      </c>
    </row>
    <row r="37" spans="1:10" x14ac:dyDescent="0.25">
      <c r="A37" s="84" t="s">
        <v>4544</v>
      </c>
      <c r="B37" s="84" t="s">
        <v>4274</v>
      </c>
      <c r="C37" s="104">
        <f>SUMIFS(ReportValidatedBL!J:J,ReportValidatedBL!R:R,"Soggetto pubblico",ReportValidatedBL!S:S,'SummaryNOT_VALIDATED-BL'!A37)+SUMIFS(ReportValidatedBL!J:J,ReportValidatedBL!R:R,"Organismo di diritto pubblico ",ReportValidatedBL!S:S,'SummaryNOT_VALIDATED-BL'!A37)</f>
        <v>40323.54</v>
      </c>
      <c r="D37" s="95">
        <f>SUMIFS(ReportValidatedBL!L:L,ReportValidatedBL!R:R,"Soggetto pubblico",ReportValidatedBL!S:S,'SummaryNOT_VALIDATED-BL'!A37)+SUMIFS(ReportValidatedBL!L:L,ReportValidatedBL!R:R,"Organismo di diritto pubblico ",ReportValidatedBL!S:S,'SummaryNOT_VALIDATED-BL'!A37)</f>
        <v>39691.699999999997</v>
      </c>
      <c r="E37" s="95">
        <f t="shared" si="7"/>
        <v>631.84000000000378</v>
      </c>
      <c r="F37" s="93"/>
      <c r="G37" s="104">
        <f>SUMIFS(ReportValidatedBL!J:J,ReportValidatedBL!R:R,"Soggetto privato",ReportValidatedBL!S:S,'SummaryNOT_VALIDATED-BL'!A37)</f>
        <v>9611.0400000000009</v>
      </c>
      <c r="H37" s="95">
        <f>SUMIFS(ReportValidatedBL!L:L,ReportValidatedBL!R:R,"Soggetto privato",ReportValidatedBL!S:S,'SummaryNOT_VALIDATED-BL'!A37)</f>
        <v>9611.0400000000009</v>
      </c>
      <c r="I37" s="95">
        <f t="shared" si="9"/>
        <v>0</v>
      </c>
      <c r="J37" s="93"/>
    </row>
    <row r="38" spans="1:10" x14ac:dyDescent="0.25">
      <c r="A38" s="60" t="s">
        <v>4282</v>
      </c>
      <c r="B38" s="61" t="str">
        <f>IF(C32+G32=C10,"ok","Controlla rendicontato")</f>
        <v>Controlla rendicontato</v>
      </c>
    </row>
    <row r="39" spans="1:10" x14ac:dyDescent="0.25">
      <c r="A39" s="60" t="s">
        <v>4283</v>
      </c>
      <c r="B39" s="9" t="str">
        <f>IF(D32+H32=D10,"ok","ControllaCovalidato")</f>
        <v>ControllaCovalidato</v>
      </c>
    </row>
    <row r="40" spans="1:10" x14ac:dyDescent="0.25">
      <c r="A40" s="62"/>
      <c r="B40" s="63"/>
    </row>
    <row r="41" spans="1:10" x14ac:dyDescent="0.25">
      <c r="A41" s="62"/>
      <c r="B41" s="63"/>
    </row>
    <row r="42" spans="1:10" x14ac:dyDescent="0.25">
      <c r="A42" s="62"/>
      <c r="B42" s="63"/>
    </row>
    <row r="43" spans="1:10" x14ac:dyDescent="0.25">
      <c r="A43" s="62"/>
      <c r="B43" s="63"/>
    </row>
    <row r="44" spans="1:10" x14ac:dyDescent="0.25">
      <c r="A44" s="62"/>
      <c r="B44" s="63"/>
    </row>
    <row r="45" spans="1:10" x14ac:dyDescent="0.25">
      <c r="A45" s="62"/>
      <c r="B45" s="63"/>
    </row>
    <row r="46" spans="1:10" x14ac:dyDescent="0.25">
      <c r="A46" s="62"/>
      <c r="B46" s="63"/>
    </row>
    <row r="47" spans="1:10" x14ac:dyDescent="0.25">
      <c r="A47" s="62"/>
      <c r="B47" s="63"/>
    </row>
    <row r="48" spans="1:10" x14ac:dyDescent="0.25">
      <c r="A48" s="62"/>
      <c r="B48" s="63"/>
    </row>
    <row r="49" spans="1:10" x14ac:dyDescent="0.25">
      <c r="A49" s="62"/>
      <c r="B49" s="63"/>
    </row>
    <row r="50" spans="1:10" x14ac:dyDescent="0.25">
      <c r="A50" s="62"/>
      <c r="B50" s="63"/>
    </row>
    <row r="51" spans="1:10" x14ac:dyDescent="0.25">
      <c r="A51" s="62"/>
      <c r="B51" s="63"/>
    </row>
    <row r="52" spans="1:10" x14ac:dyDescent="0.25">
      <c r="A52" s="62"/>
      <c r="B52" s="63"/>
    </row>
    <row r="53" spans="1:10" x14ac:dyDescent="0.25">
      <c r="A53" s="62"/>
      <c r="B53" s="63"/>
    </row>
    <row r="54" spans="1:10" x14ac:dyDescent="0.25">
      <c r="A54" s="62"/>
      <c r="B54" s="62"/>
    </row>
    <row r="55" spans="1:10" x14ac:dyDescent="0.25">
      <c r="A55" s="62"/>
      <c r="B55" s="62"/>
    </row>
    <row r="56" spans="1:10" x14ac:dyDescent="0.25">
      <c r="A56" s="36" t="s">
        <v>4272</v>
      </c>
      <c r="B56" s="36" t="s">
        <v>4273</v>
      </c>
      <c r="C56" s="36" t="s">
        <v>4284</v>
      </c>
      <c r="D56" s="36" t="s">
        <v>4285</v>
      </c>
      <c r="E56" s="36" t="s">
        <v>4286</v>
      </c>
      <c r="F56" s="64" t="s">
        <v>4287</v>
      </c>
      <c r="G56" s="36" t="s">
        <v>4288</v>
      </c>
      <c r="H56" s="36" t="s">
        <v>4289</v>
      </c>
      <c r="I56" s="36" t="s">
        <v>4290</v>
      </c>
      <c r="J56" s="37" t="s">
        <v>4291</v>
      </c>
    </row>
    <row r="57" spans="1:10" x14ac:dyDescent="0.25">
      <c r="A57" s="48" t="s">
        <v>228</v>
      </c>
      <c r="B57" s="60" t="s">
        <v>4274</v>
      </c>
      <c r="C57" s="41">
        <f>SUMIFS(ReportValidatedBL!J:J,ReportValidatedBL!Q:Q,"Italia (IT)",ReportValidatedBL!E:E,Tabella9[[#This Row],[Etichette di riga]])</f>
        <v>1016884.0900000001</v>
      </c>
      <c r="D57" s="41">
        <f>SUMIFS(ReportValidatedBL!L:L,ReportValidatedBL!Q:Q,"Italia (IT)",ReportValidatedBL!E:E,Tabella9[[#This Row],[Etichette di riga]])</f>
        <v>926375.54999999993</v>
      </c>
      <c r="E57" s="41">
        <f>C57-D57</f>
        <v>90508.540000000154</v>
      </c>
      <c r="F57" s="65">
        <f>IFERROR(D57/C57,0)</f>
        <v>0.91099424124139838</v>
      </c>
      <c r="G57" s="41">
        <f>SUMIFS(ReportValidatedBL!J:J,ReportValidatedBL!Q:Q,"Slovenija (SI)",ReportValidatedBL!E:E,Tabella9[[#This Row],[Etichette di riga]])</f>
        <v>1211111.4199999997</v>
      </c>
      <c r="H57" s="41">
        <f>SUMIFS(ReportValidatedBL!L:L,ReportValidatedBL!Q:Q,"Slovenija (SI)",ReportValidatedBL!E:E,Tabella9[[#This Row],[Etichette di riga]])</f>
        <v>1121994.3299999998</v>
      </c>
      <c r="I57" s="41">
        <f>G57-H57</f>
        <v>89117.089999999851</v>
      </c>
      <c r="J57" s="51">
        <f>H57/G57</f>
        <v>0.92641710041839098</v>
      </c>
    </row>
    <row r="58" spans="1:10" x14ac:dyDescent="0.25">
      <c r="A58" s="48" t="s">
        <v>230</v>
      </c>
      <c r="B58" s="60" t="s">
        <v>4275</v>
      </c>
      <c r="C58" s="41">
        <f>SUMIFS(ReportValidatedBL!J:J,ReportValidatedBL!Q:Q,"Italia (IT)",ReportValidatedBL!E:E,Tabella9[[#This Row],[Etichette di riga]])</f>
        <v>28380.589999999993</v>
      </c>
      <c r="D58" s="41">
        <f>SUMIFS(ReportValidatedBL!L:L,ReportValidatedBL!Q:Q,"Italia (IT)",ReportValidatedBL!E:E,Tabella9[[#This Row],[Etichette di riga]])</f>
        <v>26197.599999999991</v>
      </c>
      <c r="E58" s="41">
        <f t="shared" ref="E58:E64" si="11">C58-D58</f>
        <v>2182.9900000000016</v>
      </c>
      <c r="F58" s="65">
        <f t="shared" ref="F58:F65" si="12">IFERROR(D58/C58,0)</f>
        <v>0.9230815849846673</v>
      </c>
      <c r="G58" s="41">
        <f>SUMIFS(ReportValidatedBL!J:J,ReportValidatedBL!Q:Q,"Slovenija (SI)",ReportValidatedBL!E:E,Tabella9[[#This Row],[Etichette di riga]])</f>
        <v>31507.8</v>
      </c>
      <c r="H58" s="41">
        <f>SUMIFS(ReportValidatedBL!L:L,ReportValidatedBL!Q:Q,"Slovenija (SI)",ReportValidatedBL!E:E,Tabella9[[#This Row],[Etichette di riga]])</f>
        <v>29931.109999999997</v>
      </c>
      <c r="I58" s="41">
        <f t="shared" ref="I58:I64" si="13">G58-H58</f>
        <v>1576.6900000000023</v>
      </c>
      <c r="J58" s="51">
        <f t="shared" ref="J58:J65" si="14">H58/G58</f>
        <v>0.94995874037539907</v>
      </c>
    </row>
    <row r="59" spans="1:10" x14ac:dyDescent="0.25">
      <c r="A59" s="48" t="s">
        <v>229</v>
      </c>
      <c r="B59" s="60" t="s">
        <v>4276</v>
      </c>
      <c r="C59" s="41">
        <f>SUMIFS(ReportValidatedBL!J:J,ReportValidatedBL!Q:Q,"Italia (IT)",ReportValidatedBL!E:E,Tabella9[[#This Row],[Etichette di riga]])</f>
        <v>106902.24</v>
      </c>
      <c r="D59" s="41">
        <f>SUMIFS(ReportValidatedBL!L:L,ReportValidatedBL!Q:Q,"Italia (IT)",ReportValidatedBL!E:E,Tabella9[[#This Row],[Etichette di riga]])</f>
        <v>97804.020000000019</v>
      </c>
      <c r="E59" s="41">
        <f t="shared" si="11"/>
        <v>9098.2199999999866</v>
      </c>
      <c r="F59" s="65">
        <f t="shared" si="12"/>
        <v>0.91489214819072096</v>
      </c>
      <c r="G59" s="41">
        <f>SUMIFS(ReportValidatedBL!J:J,ReportValidatedBL!Q:Q,"Slovenija (SI)",ReportValidatedBL!E:E,Tabella9[[#This Row],[Etichette di riga]])</f>
        <v>118374.31999999999</v>
      </c>
      <c r="H59" s="41">
        <f>SUMIFS(ReportValidatedBL!L:L,ReportValidatedBL!Q:Q,"Slovenija (SI)",ReportValidatedBL!E:E,Tabella9[[#This Row],[Etichette di riga]])</f>
        <v>112459.76000000001</v>
      </c>
      <c r="I59" s="41">
        <f t="shared" si="13"/>
        <v>5914.5599999999831</v>
      </c>
      <c r="J59" s="51">
        <f t="shared" si="14"/>
        <v>0.95003510896620158</v>
      </c>
    </row>
    <row r="60" spans="1:10" x14ac:dyDescent="0.25">
      <c r="A60" s="48" t="s">
        <v>231</v>
      </c>
      <c r="B60" s="60" t="s">
        <v>4277</v>
      </c>
      <c r="C60" s="41">
        <f>SUMIFS(ReportValidatedBL!J:J,ReportValidatedBL!Q:Q,"Italia (IT)",ReportValidatedBL!E:E,Tabella9[[#This Row],[Etichette di riga]])</f>
        <v>239226.65</v>
      </c>
      <c r="D60" s="41">
        <f>SUMIFS(ReportValidatedBL!L:L,ReportValidatedBL!Q:Q,"Italia (IT)",ReportValidatedBL!E:E,Tabella9[[#This Row],[Etichette di riga]])</f>
        <v>208961.49000000002</v>
      </c>
      <c r="E60" s="41">
        <f t="shared" si="11"/>
        <v>30265.159999999974</v>
      </c>
      <c r="F60" s="65">
        <f t="shared" si="12"/>
        <v>0.87348750651317497</v>
      </c>
      <c r="G60" s="41">
        <f>SUMIFS(ReportValidatedBL!J:J,ReportValidatedBL!Q:Q,"Slovenija (SI)",ReportValidatedBL!E:E,Tabella9[[#This Row],[Etichette di riga]])</f>
        <v>299743.44</v>
      </c>
      <c r="H60" s="41">
        <f>SUMIFS(ReportValidatedBL!L:L,ReportValidatedBL!Q:Q,"Slovenija (SI)",ReportValidatedBL!E:E,Tabella9[[#This Row],[Etichette di riga]])</f>
        <v>296808.78000000003</v>
      </c>
      <c r="I60" s="41">
        <f t="shared" si="13"/>
        <v>2934.6599999999744</v>
      </c>
      <c r="J60" s="51">
        <f t="shared" si="14"/>
        <v>0.99020942710205773</v>
      </c>
    </row>
    <row r="61" spans="1:10" x14ac:dyDescent="0.25">
      <c r="A61" s="48" t="s">
        <v>232</v>
      </c>
      <c r="B61" s="60" t="s">
        <v>4278</v>
      </c>
      <c r="C61" s="41">
        <f>SUMIFS(ReportValidatedBL!J:J,ReportValidatedBL!Q:Q,"Italia (IT)",ReportValidatedBL!E:E,Tabella9[[#This Row],[Etichette di riga]])</f>
        <v>44602.59</v>
      </c>
      <c r="D61" s="41">
        <f>SUMIFS(ReportValidatedBL!L:L,ReportValidatedBL!Q:Q,"Italia (IT)",ReportValidatedBL!E:E,Tabella9[[#This Row],[Etichette di riga]])</f>
        <v>42168.18</v>
      </c>
      <c r="E61" s="41">
        <f t="shared" si="11"/>
        <v>2434.4099999999962</v>
      </c>
      <c r="F61" s="65">
        <f t="shared" si="12"/>
        <v>0.9454199857003821</v>
      </c>
      <c r="G61" s="41">
        <f>SUMIFS(ReportValidatedBL!J:J,ReportValidatedBL!Q:Q,"Slovenija (SI)",ReportValidatedBL!E:E,Tabella9[[#This Row],[Etichette di riga]])</f>
        <v>251040.77999999997</v>
      </c>
      <c r="H61" s="41">
        <f>SUMIFS(ReportValidatedBL!L:L,ReportValidatedBL!Q:Q,"Slovenija (SI)",ReportValidatedBL!E:E,Tabella9[[#This Row],[Etichette di riga]])</f>
        <v>250062.50999999995</v>
      </c>
      <c r="I61" s="41">
        <f t="shared" si="13"/>
        <v>978.27000000001863</v>
      </c>
      <c r="J61" s="51">
        <f t="shared" si="14"/>
        <v>0.99610314308296832</v>
      </c>
    </row>
    <row r="62" spans="1:10" x14ac:dyDescent="0.25">
      <c r="A62" s="48" t="s">
        <v>233</v>
      </c>
      <c r="B62" s="60" t="s">
        <v>4279</v>
      </c>
      <c r="C62" s="41">
        <f>SUMIFS(ReportValidatedBL!J:J,ReportValidatedBL!Q:Q,"Italia (IT)",ReportValidatedBL!E:E,Tabella9[[#This Row],[Etichette di riga]])</f>
        <v>16724.419999999998</v>
      </c>
      <c r="D62" s="41">
        <f>SUMIFS(ReportValidatedBL!L:L,ReportValidatedBL!Q:Q,"Italia (IT)",ReportValidatedBL!E:E,Tabella9[[#This Row],[Etichette di riga]])</f>
        <v>16724.419999999998</v>
      </c>
      <c r="E62" s="41">
        <f t="shared" si="11"/>
        <v>0</v>
      </c>
      <c r="F62" s="65">
        <f t="shared" si="12"/>
        <v>1</v>
      </c>
      <c r="G62" s="41">
        <f>SUMIFS(ReportValidatedBL!J:J,ReportValidatedBL!Q:Q,"Slovenija (SI)",ReportValidatedBL!E:E,Tabella9[[#This Row],[Etichette di riga]])</f>
        <v>140646.82</v>
      </c>
      <c r="H62" s="41">
        <f>SUMIFS(ReportValidatedBL!L:L,ReportValidatedBL!Q:Q,"Slovenija (SI)",ReportValidatedBL!E:E,Tabella9[[#This Row],[Etichette di riga]])</f>
        <v>140646.82</v>
      </c>
      <c r="I62" s="41">
        <f t="shared" si="13"/>
        <v>0</v>
      </c>
      <c r="J62" s="51">
        <f t="shared" si="14"/>
        <v>1</v>
      </c>
    </row>
    <row r="63" spans="1:10" x14ac:dyDescent="0.25">
      <c r="A63" s="48" t="s">
        <v>235</v>
      </c>
      <c r="B63" s="60" t="s">
        <v>4280</v>
      </c>
      <c r="C63" s="41">
        <f>SUMIFS(ReportValidatedBL!J:J,ReportValidatedBL!Q:Q,"Italia (IT)",ReportValidatedBL!E:E,Tabella9[[#This Row],[Etichette di riga]])</f>
        <v>99000</v>
      </c>
      <c r="D63" s="41">
        <f>SUMIFS(ReportValidatedBL!L:L,ReportValidatedBL!Q:Q,"Italia (IT)",ReportValidatedBL!E:E,Tabella9[[#This Row],[Etichette di riga]])</f>
        <v>90000</v>
      </c>
      <c r="E63" s="41">
        <f t="shared" si="11"/>
        <v>9000</v>
      </c>
      <c r="F63" s="65">
        <f t="shared" si="12"/>
        <v>0.90909090909090906</v>
      </c>
      <c r="G63" s="41">
        <f>SUMIFS(ReportValidatedBL!J:J,ReportValidatedBL!Q:Q,"Slovenija (SI)",ReportValidatedBL!E:E,Tabella9[[#This Row],[Etichette di riga]])</f>
        <v>99000</v>
      </c>
      <c r="H63" s="41">
        <f>SUMIFS(ReportValidatedBL!L:L,ReportValidatedBL!Q:Q,"Slovenija (SI)",ReportValidatedBL!E:E,Tabella9[[#This Row],[Etichette di riga]])</f>
        <v>81000</v>
      </c>
      <c r="I63" s="41">
        <f t="shared" si="13"/>
        <v>18000</v>
      </c>
      <c r="J63" s="51">
        <f t="shared" si="14"/>
        <v>0.81818181818181823</v>
      </c>
    </row>
    <row r="64" spans="1:10" x14ac:dyDescent="0.25">
      <c r="A64" s="48" t="s">
        <v>234</v>
      </c>
      <c r="B64" s="60" t="s">
        <v>446</v>
      </c>
      <c r="C64" s="41">
        <f>SUMIFS(ReportValidatedBL!J:J,ReportValidatedBL!Q:Q,"Italia (IT)",ReportValidatedBL!E:E,Tabella9[[#This Row],[Etichette di riga]])</f>
        <v>112225.97999999998</v>
      </c>
      <c r="D64" s="41">
        <f>SUMIFS(ReportValidatedBL!L:L,ReportValidatedBL!Q:Q,"Italia (IT)",ReportValidatedBL!E:E,Tabella9[[#This Row],[Etichette di riga]])</f>
        <v>103371.6</v>
      </c>
      <c r="E64" s="41">
        <f t="shared" si="11"/>
        <v>8854.3799999999756</v>
      </c>
      <c r="F64" s="65">
        <f t="shared" si="12"/>
        <v>0.9211022260620938</v>
      </c>
      <c r="G64" s="41">
        <f>SUMIFS(ReportValidatedBL!J:J,ReportValidatedBL!Q:Q,"Slovenija (SI)",ReportValidatedBL!E:E,Tabella9[[#This Row],[Etichette di riga]])</f>
        <v>163038.1</v>
      </c>
      <c r="H64" s="41">
        <f>SUMIFS(ReportValidatedBL!L:L,ReportValidatedBL!Q:Q,"Slovenija (SI)",ReportValidatedBL!E:E,Tabella9[[#This Row],[Etichette di riga]])</f>
        <v>144065.69999999998</v>
      </c>
      <c r="I64" s="41">
        <f t="shared" si="13"/>
        <v>18972.400000000023</v>
      </c>
      <c r="J64" s="51">
        <f t="shared" si="14"/>
        <v>0.88363210807780501</v>
      </c>
    </row>
    <row r="65" spans="1:10" x14ac:dyDescent="0.25">
      <c r="A65" s="52"/>
      <c r="B65" s="53"/>
      <c r="C65" s="44">
        <f>SUM(C57:C64)</f>
        <v>1663946.56</v>
      </c>
      <c r="D65" s="44">
        <f>SUM(D57:D64)</f>
        <v>1511602.8599999999</v>
      </c>
      <c r="E65" s="44">
        <f t="shared" ref="E65" si="15">SUM(E57:E64)</f>
        <v>152343.7000000001</v>
      </c>
      <c r="F65" s="66">
        <f t="shared" si="12"/>
        <v>0.90844435532833445</v>
      </c>
      <c r="G65" s="44">
        <f>SUM(G57:G64)</f>
        <v>2314462.6800000002</v>
      </c>
      <c r="H65" s="57">
        <f>SUM(H57:H64)</f>
        <v>2176969.0100000002</v>
      </c>
      <c r="I65" s="44">
        <f>SUM(I57:I64)</f>
        <v>137493.66999999987</v>
      </c>
      <c r="J65" s="59">
        <f t="shared" si="14"/>
        <v>0.94059369754019972</v>
      </c>
    </row>
    <row r="66" spans="1:10" x14ac:dyDescent="0.25">
      <c r="A66" s="62" t="s">
        <v>4282</v>
      </c>
      <c r="B66" s="62" t="str">
        <f>IF(C10=C65+G65,"ok","controlla")</f>
        <v>controlla</v>
      </c>
    </row>
    <row r="67" spans="1:10" x14ac:dyDescent="0.25">
      <c r="A67" s="62" t="s">
        <v>4283</v>
      </c>
      <c r="B67" s="62" t="str">
        <f>IF(D65+H65=D10,"ok","controlla convalidato")</f>
        <v>controlla convalidato</v>
      </c>
      <c r="C67" s="10"/>
    </row>
    <row r="68" spans="1:10" x14ac:dyDescent="0.25">
      <c r="A68" s="62"/>
      <c r="B68" s="62"/>
      <c r="C68" s="10"/>
    </row>
    <row r="69" spans="1:10" x14ac:dyDescent="0.25">
      <c r="A69" s="62"/>
      <c r="B69" s="62"/>
      <c r="C69" s="10"/>
    </row>
    <row r="70" spans="1:10" x14ac:dyDescent="0.25">
      <c r="A70" s="62"/>
      <c r="B70" s="62"/>
      <c r="C70" s="10"/>
    </row>
    <row r="71" spans="1:10" x14ac:dyDescent="0.25">
      <c r="A71" s="62"/>
      <c r="B71" s="62"/>
      <c r="C71" s="10"/>
    </row>
    <row r="72" spans="1:10" x14ac:dyDescent="0.25">
      <c r="A72" s="62"/>
      <c r="B72" s="62"/>
      <c r="C72" s="10"/>
    </row>
    <row r="73" spans="1:10" x14ac:dyDescent="0.25">
      <c r="A73" s="62"/>
      <c r="B73" s="62"/>
      <c r="C73" s="10"/>
    </row>
    <row r="74" spans="1:10" x14ac:dyDescent="0.25">
      <c r="A74" s="62"/>
      <c r="B74" s="62"/>
      <c r="C74" s="10"/>
    </row>
    <row r="75" spans="1:10" x14ac:dyDescent="0.25">
      <c r="A75" s="62"/>
      <c r="B75" s="62"/>
      <c r="C75" s="10"/>
    </row>
    <row r="76" spans="1:10" x14ac:dyDescent="0.25">
      <c r="A76" s="62"/>
      <c r="B76" s="62"/>
      <c r="C76" s="10"/>
    </row>
    <row r="77" spans="1:10" x14ac:dyDescent="0.25">
      <c r="A77" s="62"/>
      <c r="B77" s="62"/>
      <c r="C77" s="10"/>
    </row>
    <row r="78" spans="1:10" x14ac:dyDescent="0.25">
      <c r="A78" s="62"/>
      <c r="B78" s="62"/>
      <c r="C78" s="10"/>
    </row>
    <row r="79" spans="1:10" x14ac:dyDescent="0.25">
      <c r="A79" s="62"/>
      <c r="B79" s="62"/>
      <c r="C79" s="10"/>
    </row>
    <row r="80" spans="1:10" x14ac:dyDescent="0.25">
      <c r="A80" s="62"/>
      <c r="B80" s="62"/>
      <c r="C80" s="10"/>
    </row>
    <row r="81" spans="1:10" x14ac:dyDescent="0.25">
      <c r="A81" s="62"/>
      <c r="B81" s="62"/>
      <c r="C81" s="10"/>
    </row>
    <row r="82" spans="1:10" x14ac:dyDescent="0.25">
      <c r="A82" s="62"/>
      <c r="B82" s="62"/>
      <c r="C82" s="10"/>
    </row>
    <row r="83" spans="1:10" x14ac:dyDescent="0.25">
      <c r="B83" s="62"/>
      <c r="C83" s="10"/>
    </row>
    <row r="84" spans="1:10" x14ac:dyDescent="0.25">
      <c r="A84" s="62" t="s">
        <v>4292</v>
      </c>
      <c r="B84" s="40" t="s">
        <v>4273</v>
      </c>
      <c r="C84" s="40" t="s">
        <v>4293</v>
      </c>
      <c r="D84" s="40" t="s">
        <v>4294</v>
      </c>
      <c r="E84" s="40" t="s">
        <v>4295</v>
      </c>
      <c r="F84" s="40" t="s">
        <v>4296</v>
      </c>
      <c r="G84" s="67" t="s">
        <v>4297</v>
      </c>
      <c r="H84" s="68"/>
      <c r="I84" s="68"/>
      <c r="J84" s="68"/>
    </row>
    <row r="85" spans="1:10" x14ac:dyDescent="0.25">
      <c r="A85" s="60" t="s">
        <v>228</v>
      </c>
      <c r="B85" s="60" t="s">
        <v>4274</v>
      </c>
      <c r="C85" s="49">
        <f t="shared" ref="C85:C92" si="16">C2/$C$10</f>
        <v>0.56063887470317197</v>
      </c>
      <c r="D85" s="49">
        <f t="shared" ref="D85:D92" si="17">C24/$C$32</f>
        <v>0.56172252690414293</v>
      </c>
      <c r="E85" s="49">
        <f t="shared" ref="E85:E92" si="18">G24/$G$32</f>
        <v>0.55296248807848336</v>
      </c>
      <c r="F85" s="49">
        <f t="shared" ref="F85:F92" si="19">C57/$C$65</f>
        <v>0.6111278537695346</v>
      </c>
      <c r="G85" s="51">
        <f t="shared" ref="G85:G92" si="20">G57/$G$65</f>
        <v>0.52327973592557542</v>
      </c>
      <c r="H85" s="68"/>
      <c r="I85" s="68"/>
      <c r="J85" s="68"/>
    </row>
    <row r="86" spans="1:10" x14ac:dyDescent="0.25">
      <c r="A86" s="60" t="s">
        <v>230</v>
      </c>
      <c r="B86" s="60" t="s">
        <v>4275</v>
      </c>
      <c r="C86" s="49">
        <f t="shared" si="16"/>
        <v>1.4799039671129907E-2</v>
      </c>
      <c r="D86" s="49">
        <f t="shared" si="17"/>
        <v>1.5337305501685517E-2</v>
      </c>
      <c r="E86" s="49">
        <f t="shared" si="18"/>
        <v>1.3874807740076069E-2</v>
      </c>
      <c r="F86" s="49">
        <f t="shared" si="19"/>
        <v>1.7056190794973603E-2</v>
      </c>
      <c r="G86" s="51">
        <f t="shared" si="20"/>
        <v>1.3613440507064039E-2</v>
      </c>
      <c r="H86" s="68"/>
      <c r="I86" s="68"/>
      <c r="J86" s="68"/>
    </row>
    <row r="87" spans="1:10" x14ac:dyDescent="0.25">
      <c r="A87" s="60" t="s">
        <v>229</v>
      </c>
      <c r="B87" s="60" t="s">
        <v>4276</v>
      </c>
      <c r="C87" s="49">
        <f t="shared" si="16"/>
        <v>5.5785372270758422E-2</v>
      </c>
      <c r="D87" s="49">
        <f t="shared" si="17"/>
        <v>5.7583596327687059E-2</v>
      </c>
      <c r="E87" s="49">
        <f t="shared" si="18"/>
        <v>5.2645264948794498E-2</v>
      </c>
      <c r="F87" s="49">
        <f t="shared" si="19"/>
        <v>6.4246197906740465E-2</v>
      </c>
      <c r="G87" s="51">
        <f t="shared" si="20"/>
        <v>5.1145486605988388E-2</v>
      </c>
      <c r="H87" s="68"/>
      <c r="I87" s="68"/>
      <c r="J87" s="68"/>
    </row>
    <row r="88" spans="1:10" x14ac:dyDescent="0.25">
      <c r="A88" s="60" t="s">
        <v>231</v>
      </c>
      <c r="B88" s="60" t="s">
        <v>4277</v>
      </c>
      <c r="C88" s="49">
        <f t="shared" si="16"/>
        <v>0.13597841774332764</v>
      </c>
      <c r="D88" s="49">
        <f t="shared" si="17"/>
        <v>0.14061305846704139</v>
      </c>
      <c r="E88" s="49">
        <f t="shared" si="18"/>
        <v>0.11414333824889906</v>
      </c>
      <c r="F88" s="49">
        <f t="shared" si="19"/>
        <v>0.14377063287417113</v>
      </c>
      <c r="G88" s="51">
        <f t="shared" si="20"/>
        <v>0.1295088672589873</v>
      </c>
      <c r="H88" s="68"/>
      <c r="I88" s="68"/>
      <c r="J88" s="68"/>
    </row>
    <row r="89" spans="1:10" x14ac:dyDescent="0.25">
      <c r="A89" s="60" t="s">
        <v>232</v>
      </c>
      <c r="B89" s="60" t="s">
        <v>4278</v>
      </c>
      <c r="C89" s="49">
        <f t="shared" si="16"/>
        <v>7.4950193610458946E-2</v>
      </c>
      <c r="D89" s="49">
        <f t="shared" si="17"/>
        <v>8.4318163402974586E-2</v>
      </c>
      <c r="E89" s="49">
        <f t="shared" si="18"/>
        <v>3.2781570368611242E-2</v>
      </c>
      <c r="F89" s="49">
        <f t="shared" si="19"/>
        <v>2.6805301968351673E-2</v>
      </c>
      <c r="G89" s="51">
        <f t="shared" si="20"/>
        <v>0.10846611706869257</v>
      </c>
      <c r="H89" s="68"/>
      <c r="I89" s="68"/>
      <c r="J89" s="68"/>
    </row>
    <row r="90" spans="1:10" x14ac:dyDescent="0.25">
      <c r="A90" s="60" t="s">
        <v>233</v>
      </c>
      <c r="B90" s="60" t="s">
        <v>4279</v>
      </c>
      <c r="C90" s="49">
        <f t="shared" si="16"/>
        <v>3.5296789336304243E-2</v>
      </c>
      <c r="D90" s="49">
        <f t="shared" si="17"/>
        <v>2.0330980009503331E-2</v>
      </c>
      <c r="E90" s="49">
        <f t="shared" si="18"/>
        <v>0.11935037529320985</v>
      </c>
      <c r="F90" s="49">
        <f t="shared" si="19"/>
        <v>1.005105596660508E-2</v>
      </c>
      <c r="G90" s="51">
        <f t="shared" si="20"/>
        <v>6.0768670506279238E-2</v>
      </c>
      <c r="H90" s="68"/>
      <c r="I90" s="68"/>
      <c r="J90" s="68"/>
    </row>
    <row r="91" spans="1:10" x14ac:dyDescent="0.25">
      <c r="A91" s="60" t="s">
        <v>235</v>
      </c>
      <c r="B91" s="60" t="s">
        <v>4280</v>
      </c>
      <c r="C91" s="49">
        <f t="shared" si="16"/>
        <v>5.0465241302467045E-2</v>
      </c>
      <c r="D91" s="49">
        <f t="shared" si="17"/>
        <v>5.3337960198633939E-2</v>
      </c>
      <c r="E91" s="49">
        <f t="shared" si="18"/>
        <v>3.4954290209962269E-2</v>
      </c>
      <c r="F91" s="49">
        <f t="shared" si="19"/>
        <v>5.9497103080041219E-2</v>
      </c>
      <c r="G91" s="51">
        <f t="shared" si="20"/>
        <v>4.2774506953812706E-2</v>
      </c>
      <c r="H91" s="68"/>
      <c r="I91" s="68"/>
      <c r="J91" s="68"/>
    </row>
    <row r="92" spans="1:10" x14ac:dyDescent="0.25">
      <c r="A92" s="53" t="s">
        <v>234</v>
      </c>
      <c r="B92" s="53" t="s">
        <v>446</v>
      </c>
      <c r="C92" s="56">
        <f t="shared" si="16"/>
        <v>7.2086071362381848E-2</v>
      </c>
      <c r="D92" s="56">
        <f t="shared" si="17"/>
        <v>6.6756409188331409E-2</v>
      </c>
      <c r="E92" s="56">
        <f t="shared" si="18"/>
        <v>7.9287865111963701E-2</v>
      </c>
      <c r="F92" s="56">
        <f t="shared" si="19"/>
        <v>6.7445663639582251E-2</v>
      </c>
      <c r="G92" s="59">
        <f t="shared" si="20"/>
        <v>7.0443175173600117E-2</v>
      </c>
      <c r="H92" s="68"/>
      <c r="I92" s="68"/>
      <c r="J92" s="68"/>
    </row>
    <row r="93" spans="1:10" x14ac:dyDescent="0.25">
      <c r="A93" s="53"/>
      <c r="B93" s="53" t="s">
        <v>425</v>
      </c>
      <c r="C93" s="69">
        <f>SUM(C85:C92)</f>
        <v>1</v>
      </c>
      <c r="D93" s="69">
        <f t="shared" ref="D93:G93" si="21">SUM(D85:D92)</f>
        <v>1.0000000000000002</v>
      </c>
      <c r="E93" s="69">
        <f t="shared" si="21"/>
        <v>1.0000000000000002</v>
      </c>
      <c r="F93" s="69">
        <f t="shared" si="21"/>
        <v>0.99999999999999989</v>
      </c>
      <c r="G93" s="69">
        <f t="shared" si="21"/>
        <v>0.99999999999999967</v>
      </c>
      <c r="H93" s="68"/>
      <c r="I93" s="68"/>
      <c r="J93" s="68"/>
    </row>
    <row r="94" spans="1:10" x14ac:dyDescent="0.25">
      <c r="C94" s="63"/>
      <c r="D94" s="63"/>
      <c r="E94" s="63"/>
      <c r="F94" s="68"/>
      <c r="G94" s="68"/>
      <c r="H94" s="68"/>
      <c r="I94" s="68"/>
      <c r="J94" s="68"/>
    </row>
    <row r="95" spans="1:10" x14ac:dyDescent="0.25">
      <c r="A95" s="62"/>
      <c r="B95" s="62"/>
    </row>
    <row r="97" spans="1:2" x14ac:dyDescent="0.25">
      <c r="B97" s="70"/>
    </row>
    <row r="99" spans="1:2" x14ac:dyDescent="0.25">
      <c r="A99" s="71"/>
      <c r="B99" s="71"/>
    </row>
    <row r="105" spans="1:2" x14ac:dyDescent="0.25">
      <c r="A105" s="72"/>
    </row>
  </sheetData>
  <pageMargins left="0.7" right="0.7" top="0.75" bottom="0.75" header="0.3" footer="0.3"/>
  <pageSetup paperSize="8" scale="57" orientation="landscape" r:id="rId1"/>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4">
    <pageSetUpPr fitToPage="1"/>
  </sheetPr>
  <dimension ref="A1:K105"/>
  <sheetViews>
    <sheetView topLeftCell="A73" workbookViewId="0">
      <selection activeCell="H108" sqref="H108"/>
    </sheetView>
  </sheetViews>
  <sheetFormatPr defaultRowHeight="15" x14ac:dyDescent="0.25"/>
  <cols>
    <col min="1" max="1" width="13.42578125" bestFit="1" customWidth="1"/>
    <col min="2" max="2" width="22" bestFit="1" customWidth="1"/>
    <col min="3" max="3" width="17.7109375" style="2" bestFit="1" customWidth="1"/>
    <col min="4" max="4" width="19.28515625" style="2" bestFit="1" customWidth="1"/>
    <col min="5" max="5" width="13.140625" style="14" bestFit="1" customWidth="1"/>
    <col min="6" max="7" width="16.140625" style="2" customWidth="1"/>
    <col min="8" max="8" width="14.7109375" style="2" customWidth="1"/>
    <col min="9" max="9" width="16.140625" style="79" customWidth="1"/>
    <col min="10" max="10" width="22.140625" style="81" customWidth="1"/>
    <col min="11" max="11" width="17.140625" customWidth="1"/>
    <col min="12" max="12" width="23.28515625" customWidth="1"/>
  </cols>
  <sheetData>
    <row r="1" spans="1:11" s="79" customFormat="1" ht="30" x14ac:dyDescent="0.25">
      <c r="A1" s="157" t="s">
        <v>1</v>
      </c>
      <c r="B1" s="157" t="s">
        <v>2</v>
      </c>
      <c r="C1" s="157" t="s">
        <v>7417</v>
      </c>
      <c r="D1" s="157" t="s">
        <v>7418</v>
      </c>
      <c r="E1" s="158" t="s">
        <v>7419</v>
      </c>
      <c r="F1" s="81" t="s">
        <v>7420</v>
      </c>
      <c r="G1" s="81" t="s">
        <v>7424</v>
      </c>
      <c r="H1" s="81" t="s">
        <v>7423</v>
      </c>
      <c r="I1" s="79" t="s">
        <v>7421</v>
      </c>
      <c r="J1" s="81" t="s">
        <v>7422</v>
      </c>
      <c r="K1" s="79" t="s">
        <v>7425</v>
      </c>
    </row>
    <row r="2" spans="1:11" x14ac:dyDescent="0.25">
      <c r="A2" s="13">
        <v>1</v>
      </c>
      <c r="B2" s="13" t="s">
        <v>17</v>
      </c>
      <c r="C2" s="13">
        <v>1</v>
      </c>
      <c r="D2" s="13" t="s">
        <v>101</v>
      </c>
      <c r="E2" s="42">
        <f>SUMIFS(ERRORI__3[[#All],[Value.total]],ERRORI__3[[#All],[Value.typologyOfErrorId]],ListaERRORI[[#This Row],[Column1.id]])</f>
        <v>1151.94</v>
      </c>
      <c r="F2" s="2">
        <f>COUNTIFS(Errors!G:G,ListaERRORI[[#This Row],[Column1.description]])</f>
        <v>2</v>
      </c>
      <c r="G2" s="16">
        <f>ListaERRORI[[#This Row],[Attendance]]/ListaERRORI[[#Totals],[Attendance]]</f>
        <v>2.5316455696202531E-2</v>
      </c>
      <c r="H2" s="16">
        <f>IFERROR(ListaERRORI[[#This Row],[Amount]]/$E$103,0)</f>
        <v>7.2614462301612568E-3</v>
      </c>
      <c r="I2" s="81" cm="1">
        <f t="array" ref="I2">INDEX('Weight tables'!$A$4:$C$7,MATCH(1,(ListaERRORI[[#This Row],[Percentage of attendance]]&gt;='Weight tables'!$B$4:$B$7)*(ListaERRORI[[#This Row],[Percentage of attendance]]&lt;='Weight tables'!$C$4:$C$7),0),1)</f>
        <v>2</v>
      </c>
      <c r="J2" s="81" cm="1">
        <f t="array" ref="J2">INDEX('Weight tables'!$A$10:$C$13,MATCH(1,(ListaERRORI[[#This Row],[Percentage of error ammount]]&gt;='Weight tables'!$B$10:$B$13)*(ListaERRORI[[#This Row],[Percentage of error ammount]]&lt;='Weight tables'!$C$10:$C$13),0),1)</f>
        <v>0</v>
      </c>
      <c r="K2" s="2">
        <f>SUM(I2:J2)</f>
        <v>2</v>
      </c>
    </row>
    <row r="3" spans="1:11" x14ac:dyDescent="0.25">
      <c r="A3" s="13">
        <v>2</v>
      </c>
      <c r="B3" s="13" t="s">
        <v>102</v>
      </c>
      <c r="C3" s="13">
        <v>1</v>
      </c>
      <c r="D3" s="13" t="s">
        <v>103</v>
      </c>
      <c r="E3" s="42">
        <f>SUMIFS(ERRORI__3[[#All],[Value.total]],ERRORI__3[[#All],[Value.typologyOfErrorId]],ListaERRORI[[#This Row],[Column1.id]])</f>
        <v>65.790000000000006</v>
      </c>
      <c r="F3" s="2">
        <f>COUNTIFS(Errors!G:G,ListaERRORI[[#This Row],[Column1.description]])</f>
        <v>1</v>
      </c>
      <c r="G3" s="16">
        <f>ListaERRORI[[#This Row],[Attendance]]/ListaERRORI[[#Totals],[Attendance]]</f>
        <v>1.2658227848101266E-2</v>
      </c>
      <c r="H3" s="16">
        <f>IFERROR(ListaERRORI[[#This Row],[Amount]]/$E$103,0)</f>
        <v>4.1471825570976706E-4</v>
      </c>
      <c r="I3" s="81" cm="1">
        <f t="array" ref="I3">INDEX('Weight tables'!$A$4:$C$7,MATCH(1,(ListaERRORI[[#This Row],[Percentage of attendance]]&gt;='Weight tables'!$B$4:$B$7)*(ListaERRORI[[#This Row],[Percentage of attendance]]&lt;='Weight tables'!$C$4:$C$7),0),1)</f>
        <v>0</v>
      </c>
      <c r="J3" s="81" cm="1">
        <f t="array" ref="J3">INDEX('Weight tables'!$A$10:$C$13,MATCH(1,(ListaERRORI[[#This Row],[Percentage of error ammount]]&gt;='Weight tables'!$B$10:$B$13)*(ListaERRORI[[#This Row],[Percentage of error ammount]]&lt;='Weight tables'!$C$10:$C$13),0),1)</f>
        <v>0</v>
      </c>
      <c r="K3" s="2">
        <f t="shared" ref="K3:K66" si="0">SUM(I3:J3)</f>
        <v>0</v>
      </c>
    </row>
    <row r="4" spans="1:11" x14ac:dyDescent="0.25">
      <c r="A4" s="13">
        <v>3</v>
      </c>
      <c r="B4" s="13" t="s">
        <v>77</v>
      </c>
      <c r="C4" s="13">
        <v>1</v>
      </c>
      <c r="D4" s="13" t="s">
        <v>104</v>
      </c>
      <c r="E4" s="42">
        <f>SUMIFS(ERRORI__3[[#All],[Value.total]],ERRORI__3[[#All],[Value.typologyOfErrorId]],ListaERRORI[[#This Row],[Column1.id]])</f>
        <v>178.10999999999999</v>
      </c>
      <c r="F4" s="2">
        <f>COUNTIFS(Errors!G:G,ListaERRORI[[#This Row],[Column1.description]])</f>
        <v>3</v>
      </c>
      <c r="G4" s="16">
        <f>ListaERRORI[[#This Row],[Attendance]]/ListaERRORI[[#Totals],[Attendance]]</f>
        <v>3.7974683544303799E-2</v>
      </c>
      <c r="H4" s="16">
        <f>IFERROR(ListaERRORI[[#This Row],[Amount]]/$E$103,0)</f>
        <v>1.1227461396027755E-3</v>
      </c>
      <c r="I4" s="81" cm="1">
        <f t="array" ref="I4">INDEX('Weight tables'!$A$4:$C$7,MATCH(1,(ListaERRORI[[#This Row],[Percentage of attendance]]&gt;='Weight tables'!$B$4:$B$7)*(ListaERRORI[[#This Row],[Percentage of attendance]]&lt;='Weight tables'!$C$4:$C$7),0),1)</f>
        <v>2</v>
      </c>
      <c r="J4" s="81" cm="1">
        <f t="array" ref="J4">INDEX('Weight tables'!$A$10:$C$13,MATCH(1,(ListaERRORI[[#This Row],[Percentage of error ammount]]&gt;='Weight tables'!$B$10:$B$13)*(ListaERRORI[[#This Row],[Percentage of error ammount]]&lt;='Weight tables'!$C$10:$C$13),0),1)</f>
        <v>0</v>
      </c>
      <c r="K4" s="2">
        <f t="shared" si="0"/>
        <v>2</v>
      </c>
    </row>
    <row r="5" spans="1:11" x14ac:dyDescent="0.25">
      <c r="A5" s="13">
        <v>4</v>
      </c>
      <c r="B5" s="13" t="s">
        <v>105</v>
      </c>
      <c r="C5" s="13">
        <v>1</v>
      </c>
      <c r="D5" s="13" t="s">
        <v>106</v>
      </c>
      <c r="E5" s="42">
        <f>SUMIFS(ERRORI__3[[#All],[Value.total]],ERRORI__3[[#All],[Value.typologyOfErrorId]],ListaERRORI[[#This Row],[Column1.id]])</f>
        <v>0</v>
      </c>
      <c r="F5" s="2">
        <f>COUNTIFS(Errors!G:G,ListaERRORI[[#This Row],[Column1.description]])</f>
        <v>0</v>
      </c>
      <c r="G5" s="16">
        <f>ListaERRORI[[#This Row],[Attendance]]/ListaERRORI[[#Totals],[Attendance]]</f>
        <v>0</v>
      </c>
      <c r="H5" s="16">
        <f>IFERROR(ListaERRORI[[#This Row],[Amount]]/$E$103,0)</f>
        <v>0</v>
      </c>
      <c r="I5" s="81" cm="1">
        <f t="array" ref="I5">INDEX('Weight tables'!$A$4:$C$7,MATCH(1,(ListaERRORI[[#This Row],[Percentage of attendance]]&gt;='Weight tables'!$B$4:$B$7)*(ListaERRORI[[#This Row],[Percentage of attendance]]&lt;='Weight tables'!$C$4:$C$7),0),1)</f>
        <v>0</v>
      </c>
      <c r="J5" s="81" cm="1">
        <f t="array" ref="J5">INDEX('Weight tables'!$A$10:$C$13,MATCH(1,(ListaERRORI[[#This Row],[Percentage of error ammount]]&gt;='Weight tables'!$B$10:$B$13)*(ListaERRORI[[#This Row],[Percentage of error ammount]]&lt;='Weight tables'!$C$10:$C$13),0),1)</f>
        <v>0</v>
      </c>
      <c r="K5" s="2">
        <f t="shared" si="0"/>
        <v>0</v>
      </c>
    </row>
    <row r="6" spans="1:11" x14ac:dyDescent="0.25">
      <c r="A6" s="13">
        <v>5</v>
      </c>
      <c r="B6" s="13" t="s">
        <v>107</v>
      </c>
      <c r="C6" s="13">
        <v>1</v>
      </c>
      <c r="D6" s="13" t="s">
        <v>108</v>
      </c>
      <c r="E6" s="42">
        <f>SUMIFS(ERRORI__3[[#All],[Value.total]],ERRORI__3[[#All],[Value.typologyOfErrorId]],ListaERRORI[[#This Row],[Column1.id]])</f>
        <v>0</v>
      </c>
      <c r="F6" s="2">
        <f>COUNTIFS(Errors!G:G,ListaERRORI[[#This Row],[Column1.description]])</f>
        <v>0</v>
      </c>
      <c r="G6" s="16">
        <f>ListaERRORI[[#This Row],[Attendance]]/ListaERRORI[[#Totals],[Attendance]]</f>
        <v>0</v>
      </c>
      <c r="H6" s="16">
        <f>IFERROR(ListaERRORI[[#This Row],[Amount]]/$E$103,0)</f>
        <v>0</v>
      </c>
      <c r="I6" s="81" cm="1">
        <f t="array" ref="I6">INDEX('Weight tables'!$A$4:$C$7,MATCH(1,(ListaERRORI[[#This Row],[Percentage of attendance]]&gt;='Weight tables'!$B$4:$B$7)*(ListaERRORI[[#This Row],[Percentage of attendance]]&lt;='Weight tables'!$C$4:$C$7),0),1)</f>
        <v>0</v>
      </c>
      <c r="J6" s="81" cm="1">
        <f t="array" ref="J6">INDEX('Weight tables'!$A$10:$C$13,MATCH(1,(ListaERRORI[[#This Row],[Percentage of error ammount]]&gt;='Weight tables'!$B$10:$B$13)*(ListaERRORI[[#This Row],[Percentage of error ammount]]&lt;='Weight tables'!$C$10:$C$13),0),1)</f>
        <v>0</v>
      </c>
      <c r="K6" s="2">
        <f t="shared" si="0"/>
        <v>0</v>
      </c>
    </row>
    <row r="7" spans="1:11" x14ac:dyDescent="0.25">
      <c r="A7" s="13">
        <v>6</v>
      </c>
      <c r="B7" s="13" t="s">
        <v>109</v>
      </c>
      <c r="C7" s="13">
        <v>1</v>
      </c>
      <c r="D7" s="13" t="s">
        <v>110</v>
      </c>
      <c r="E7" s="42">
        <f>SUMIFS(ERRORI__3[[#All],[Value.total]],ERRORI__3[[#All],[Value.typologyOfErrorId]],ListaERRORI[[#This Row],[Column1.id]])</f>
        <v>0</v>
      </c>
      <c r="F7" s="2">
        <f>COUNTIFS(Errors!G:G,ListaERRORI[[#This Row],[Column1.description]])</f>
        <v>0</v>
      </c>
      <c r="G7" s="16">
        <f>ListaERRORI[[#This Row],[Attendance]]/ListaERRORI[[#Totals],[Attendance]]</f>
        <v>0</v>
      </c>
      <c r="H7" s="16">
        <f>IFERROR(ListaERRORI[[#This Row],[Amount]]/$E$103,0)</f>
        <v>0</v>
      </c>
      <c r="I7" s="81" cm="1">
        <f t="array" ref="I7">INDEX('Weight tables'!$A$4:$C$7,MATCH(1,(ListaERRORI[[#This Row],[Percentage of attendance]]&gt;='Weight tables'!$B$4:$B$7)*(ListaERRORI[[#This Row],[Percentage of attendance]]&lt;='Weight tables'!$C$4:$C$7),0),1)</f>
        <v>0</v>
      </c>
      <c r="J7" s="81" cm="1">
        <f t="array" ref="J7">INDEX('Weight tables'!$A$10:$C$13,MATCH(1,(ListaERRORI[[#This Row],[Percentage of error ammount]]&gt;='Weight tables'!$B$10:$B$13)*(ListaERRORI[[#This Row],[Percentage of error ammount]]&lt;='Weight tables'!$C$10:$C$13),0),1)</f>
        <v>0</v>
      </c>
      <c r="K7" s="2">
        <f t="shared" si="0"/>
        <v>0</v>
      </c>
    </row>
    <row r="8" spans="1:11" x14ac:dyDescent="0.25">
      <c r="A8" s="13">
        <v>7</v>
      </c>
      <c r="B8" s="13" t="s">
        <v>111</v>
      </c>
      <c r="C8" s="13">
        <v>1</v>
      </c>
      <c r="D8" s="13" t="s">
        <v>112</v>
      </c>
      <c r="E8" s="42">
        <f>SUMIFS(ERRORI__3[[#All],[Value.total]],ERRORI__3[[#All],[Value.typologyOfErrorId]],ListaERRORI[[#This Row],[Column1.id]])</f>
        <v>401.12</v>
      </c>
      <c r="F8" s="2">
        <f>COUNTIFS(Errors!G:G,ListaERRORI[[#This Row],[Column1.description]])</f>
        <v>1</v>
      </c>
      <c r="G8" s="16">
        <f>ListaERRORI[[#This Row],[Attendance]]/ListaERRORI[[#Totals],[Attendance]]</f>
        <v>1.2658227848101266E-2</v>
      </c>
      <c r="H8" s="16">
        <f>IFERROR(ListaERRORI[[#This Row],[Amount]]/$E$103,0)</f>
        <v>2.5285269300851462E-3</v>
      </c>
      <c r="I8" s="81" cm="1">
        <f t="array" ref="I8">INDEX('Weight tables'!$A$4:$C$7,MATCH(1,(ListaERRORI[[#This Row],[Percentage of attendance]]&gt;='Weight tables'!$B$4:$B$7)*(ListaERRORI[[#This Row],[Percentage of attendance]]&lt;='Weight tables'!$C$4:$C$7),0),1)</f>
        <v>0</v>
      </c>
      <c r="J8" s="81" cm="1">
        <f t="array" ref="J8">INDEX('Weight tables'!$A$10:$C$13,MATCH(1,(ListaERRORI[[#This Row],[Percentage of error ammount]]&gt;='Weight tables'!$B$10:$B$13)*(ListaERRORI[[#This Row],[Percentage of error ammount]]&lt;='Weight tables'!$C$10:$C$13),0),1)</f>
        <v>0</v>
      </c>
      <c r="K8" s="2">
        <f t="shared" si="0"/>
        <v>0</v>
      </c>
    </row>
    <row r="9" spans="1:11" x14ac:dyDescent="0.25">
      <c r="A9" s="13">
        <v>8</v>
      </c>
      <c r="B9" s="13" t="s">
        <v>76</v>
      </c>
      <c r="C9" s="13">
        <v>1</v>
      </c>
      <c r="D9" s="13" t="s">
        <v>113</v>
      </c>
      <c r="E9" s="42">
        <f>SUMIFS(ERRORI__3[[#All],[Value.total]],ERRORI__3[[#All],[Value.typologyOfErrorId]],ListaERRORI[[#This Row],[Column1.id]])</f>
        <v>17787.829999999998</v>
      </c>
      <c r="F9" s="2">
        <f>COUNTIFS(Errors!G:G,ListaERRORI[[#This Row],[Column1.description]])</f>
        <v>11</v>
      </c>
      <c r="G9" s="16">
        <f>ListaERRORI[[#This Row],[Attendance]]/ListaERRORI[[#Totals],[Attendance]]</f>
        <v>0.13924050632911392</v>
      </c>
      <c r="H9" s="16">
        <f>IFERROR(ListaERRORI[[#This Row],[Amount]]/$E$103,0)</f>
        <v>0.11212855799455639</v>
      </c>
      <c r="I9" s="81" cm="1">
        <f t="array" ref="I9">INDEX('Weight tables'!$A$4:$C$7,MATCH(1,(ListaERRORI[[#This Row],[Percentage of attendance]]&gt;='Weight tables'!$B$4:$B$7)*(ListaERRORI[[#This Row],[Percentage of attendance]]&lt;='Weight tables'!$C$4:$C$7),0),1)</f>
        <v>4</v>
      </c>
      <c r="J9" s="81" cm="1">
        <f t="array" ref="J9">INDEX('Weight tables'!$A$10:$C$13,MATCH(1,(ListaERRORI[[#This Row],[Percentage of error ammount]]&gt;='Weight tables'!$B$10:$B$13)*(ListaERRORI[[#This Row],[Percentage of error ammount]]&lt;='Weight tables'!$C$10:$C$13),0),1)</f>
        <v>4</v>
      </c>
      <c r="K9" s="2">
        <f t="shared" si="0"/>
        <v>8</v>
      </c>
    </row>
    <row r="10" spans="1:11" x14ac:dyDescent="0.25">
      <c r="A10" s="13">
        <v>9</v>
      </c>
      <c r="B10" s="13" t="s">
        <v>114</v>
      </c>
      <c r="C10" s="13">
        <v>1</v>
      </c>
      <c r="D10" s="13" t="s">
        <v>115</v>
      </c>
      <c r="E10" s="42">
        <f>SUMIFS(ERRORI__3[[#All],[Value.total]],ERRORI__3[[#All],[Value.typologyOfErrorId]],ListaERRORI[[#This Row],[Column1.id]])</f>
        <v>0</v>
      </c>
      <c r="F10" s="2">
        <f>COUNTIFS(Errors!G:G,ListaERRORI[[#This Row],[Column1.description]])</f>
        <v>0</v>
      </c>
      <c r="G10" s="16">
        <f>ListaERRORI[[#This Row],[Attendance]]/ListaERRORI[[#Totals],[Attendance]]</f>
        <v>0</v>
      </c>
      <c r="H10" s="16">
        <f>IFERROR(ListaERRORI[[#This Row],[Amount]]/$E$103,0)</f>
        <v>0</v>
      </c>
      <c r="I10" s="81" cm="1">
        <f t="array" ref="I10">INDEX('Weight tables'!$A$4:$C$7,MATCH(1,(ListaERRORI[[#This Row],[Percentage of attendance]]&gt;='Weight tables'!$B$4:$B$7)*(ListaERRORI[[#This Row],[Percentage of attendance]]&lt;='Weight tables'!$C$4:$C$7),0),1)</f>
        <v>0</v>
      </c>
      <c r="J10" s="81" cm="1">
        <f t="array" ref="J10">INDEX('Weight tables'!$A$10:$C$13,MATCH(1,(ListaERRORI[[#This Row],[Percentage of error ammount]]&gt;='Weight tables'!$B$10:$B$13)*(ListaERRORI[[#This Row],[Percentage of error ammount]]&lt;='Weight tables'!$C$10:$C$13),0),1)</f>
        <v>0</v>
      </c>
      <c r="K10" s="2">
        <f t="shared" si="0"/>
        <v>0</v>
      </c>
    </row>
    <row r="11" spans="1:11" x14ac:dyDescent="0.25">
      <c r="A11" s="13">
        <v>10</v>
      </c>
      <c r="B11" s="13" t="s">
        <v>116</v>
      </c>
      <c r="C11" s="13">
        <v>1</v>
      </c>
      <c r="D11" s="13" t="s">
        <v>117</v>
      </c>
      <c r="E11" s="42">
        <f>SUMIFS(ERRORI__3[[#All],[Value.total]],ERRORI__3[[#All],[Value.typologyOfErrorId]],ListaERRORI[[#This Row],[Column1.id]])</f>
        <v>0</v>
      </c>
      <c r="F11" s="2">
        <f>COUNTIFS(Errors!G:G,ListaERRORI[[#This Row],[Column1.description]])</f>
        <v>0</v>
      </c>
      <c r="G11" s="16">
        <f>ListaERRORI[[#This Row],[Attendance]]/ListaERRORI[[#Totals],[Attendance]]</f>
        <v>0</v>
      </c>
      <c r="H11" s="16">
        <f>IFERROR(ListaERRORI[[#This Row],[Amount]]/$E$103,0)</f>
        <v>0</v>
      </c>
      <c r="I11" s="81" cm="1">
        <f t="array" ref="I11">INDEX('Weight tables'!$A$4:$C$7,MATCH(1,(ListaERRORI[[#This Row],[Percentage of attendance]]&gt;='Weight tables'!$B$4:$B$7)*(ListaERRORI[[#This Row],[Percentage of attendance]]&lt;='Weight tables'!$C$4:$C$7),0),1)</f>
        <v>0</v>
      </c>
      <c r="J11" s="81" cm="1">
        <f t="array" ref="J11">INDEX('Weight tables'!$A$10:$C$13,MATCH(1,(ListaERRORI[[#This Row],[Percentage of error ammount]]&gt;='Weight tables'!$B$10:$B$13)*(ListaERRORI[[#This Row],[Percentage of error ammount]]&lt;='Weight tables'!$C$10:$C$13),0),1)</f>
        <v>0</v>
      </c>
      <c r="K11" s="2">
        <f t="shared" si="0"/>
        <v>0</v>
      </c>
    </row>
    <row r="12" spans="1:11" x14ac:dyDescent="0.25">
      <c r="A12" s="13">
        <v>11</v>
      </c>
      <c r="B12" s="13" t="s">
        <v>118</v>
      </c>
      <c r="C12" s="13">
        <v>1</v>
      </c>
      <c r="D12" s="13" t="s">
        <v>119</v>
      </c>
      <c r="E12" s="42">
        <f>SUMIFS(ERRORI__3[[#All],[Value.total]],ERRORI__3[[#All],[Value.typologyOfErrorId]],ListaERRORI[[#This Row],[Column1.id]])</f>
        <v>0</v>
      </c>
      <c r="F12" s="2">
        <f>COUNTIFS(Errors!G:G,ListaERRORI[[#This Row],[Column1.description]])</f>
        <v>0</v>
      </c>
      <c r="G12" s="16">
        <f>ListaERRORI[[#This Row],[Attendance]]/ListaERRORI[[#Totals],[Attendance]]</f>
        <v>0</v>
      </c>
      <c r="H12" s="16">
        <f>IFERROR(ListaERRORI[[#This Row],[Amount]]/$E$103,0)</f>
        <v>0</v>
      </c>
      <c r="I12" s="81" cm="1">
        <f t="array" ref="I12">INDEX('Weight tables'!$A$4:$C$7,MATCH(1,(ListaERRORI[[#This Row],[Percentage of attendance]]&gt;='Weight tables'!$B$4:$B$7)*(ListaERRORI[[#This Row],[Percentage of attendance]]&lt;='Weight tables'!$C$4:$C$7),0),1)</f>
        <v>0</v>
      </c>
      <c r="J12" s="81" cm="1">
        <f t="array" ref="J12">INDEX('Weight tables'!$A$10:$C$13,MATCH(1,(ListaERRORI[[#This Row],[Percentage of error ammount]]&gt;='Weight tables'!$B$10:$B$13)*(ListaERRORI[[#This Row],[Percentage of error ammount]]&lt;='Weight tables'!$C$10:$C$13),0),1)</f>
        <v>0</v>
      </c>
      <c r="K12" s="2">
        <f t="shared" si="0"/>
        <v>0</v>
      </c>
    </row>
    <row r="13" spans="1:11" x14ac:dyDescent="0.25">
      <c r="A13" s="13">
        <v>12</v>
      </c>
      <c r="B13" s="13" t="s">
        <v>82</v>
      </c>
      <c r="C13" s="13">
        <v>1</v>
      </c>
      <c r="D13" s="13" t="s">
        <v>120</v>
      </c>
      <c r="E13" s="42">
        <f>SUMIFS(ERRORI__3[[#All],[Value.total]],ERRORI__3[[#All],[Value.typologyOfErrorId]],ListaERRORI[[#This Row],[Column1.id]])</f>
        <v>30781.94</v>
      </c>
      <c r="F13" s="2">
        <f>COUNTIFS(Errors!G:G,ListaERRORI[[#This Row],[Column1.description]])</f>
        <v>3</v>
      </c>
      <c r="G13" s="16">
        <f>ListaERRORI[[#This Row],[Attendance]]/ListaERRORI[[#Totals],[Attendance]]</f>
        <v>3.7974683544303799E-2</v>
      </c>
      <c r="H13" s="16">
        <f>IFERROR(ListaERRORI[[#This Row],[Amount]]/$E$103,0)</f>
        <v>0.194039101142464</v>
      </c>
      <c r="I13" s="81" cm="1">
        <f t="array" ref="I13">INDEX('Weight tables'!$A$4:$C$7,MATCH(1,(ListaERRORI[[#This Row],[Percentage of attendance]]&gt;='Weight tables'!$B$4:$B$7)*(ListaERRORI[[#This Row],[Percentage of attendance]]&lt;='Weight tables'!$C$4:$C$7),0),1)</f>
        <v>2</v>
      </c>
      <c r="J13" s="81" cm="1">
        <f t="array" ref="J13">INDEX('Weight tables'!$A$10:$C$13,MATCH(1,(ListaERRORI[[#This Row],[Percentage of error ammount]]&gt;='Weight tables'!$B$10:$B$13)*(ListaERRORI[[#This Row],[Percentage of error ammount]]&lt;='Weight tables'!$C$10:$C$13),0),1)</f>
        <v>4</v>
      </c>
      <c r="K13" s="2">
        <f t="shared" si="0"/>
        <v>6</v>
      </c>
    </row>
    <row r="14" spans="1:11" x14ac:dyDescent="0.25">
      <c r="A14" s="13">
        <v>13</v>
      </c>
      <c r="B14" s="13" t="s">
        <v>80</v>
      </c>
      <c r="C14" s="13">
        <v>1</v>
      </c>
      <c r="D14" s="13" t="s">
        <v>121</v>
      </c>
      <c r="E14" s="42">
        <f>SUMIFS(ERRORI__3[[#All],[Value.total]],ERRORI__3[[#All],[Value.typologyOfErrorId]],ListaERRORI[[#This Row],[Column1.id]])</f>
        <v>13036.449999999999</v>
      </c>
      <c r="F14" s="2">
        <f>COUNTIFS(Errors!G:G,ListaERRORI[[#This Row],[Column1.description]])</f>
        <v>13</v>
      </c>
      <c r="G14" s="149">
        <f>ListaERRORI[[#This Row],[Attendance]]/ListaERRORI[[#Totals],[Attendance]]</f>
        <v>0.16455696202531644</v>
      </c>
      <c r="H14" s="16">
        <f>IFERROR(ListaERRORI[[#This Row],[Amount]]/$E$103,0)</f>
        <v>8.2177440411120115E-2</v>
      </c>
      <c r="I14" s="81" cm="1">
        <f t="array" ref="I14">INDEX('Weight tables'!$A$4:$C$7,MATCH(1,(ListaERRORI[[#This Row],[Percentage of attendance]]&gt;='Weight tables'!$B$4:$B$7)*(ListaERRORI[[#This Row],[Percentage of attendance]]&lt;='Weight tables'!$C$4:$C$7),0),1)</f>
        <v>4</v>
      </c>
      <c r="J14" s="81" cm="1">
        <f t="array" ref="J14">INDEX('Weight tables'!$A$10:$C$13,MATCH(1,(ListaERRORI[[#This Row],[Percentage of error ammount]]&gt;='Weight tables'!$B$10:$B$13)*(ListaERRORI[[#This Row],[Percentage of error ammount]]&lt;='Weight tables'!$C$10:$C$13),0),1)</f>
        <v>2</v>
      </c>
      <c r="K14" s="2">
        <f t="shared" si="0"/>
        <v>6</v>
      </c>
    </row>
    <row r="15" spans="1:11" x14ac:dyDescent="0.25">
      <c r="A15" s="13">
        <v>14</v>
      </c>
      <c r="B15" s="13" t="s">
        <v>78</v>
      </c>
      <c r="C15" s="13">
        <v>1</v>
      </c>
      <c r="D15" s="13" t="s">
        <v>122</v>
      </c>
      <c r="E15" s="42">
        <f>SUMIFS(ERRORI__3[[#All],[Value.total]],ERRORI__3[[#All],[Value.typologyOfErrorId]],ListaERRORI[[#This Row],[Column1.id]])</f>
        <v>43633.439999999995</v>
      </c>
      <c r="F15" s="2">
        <f>COUNTIFS(Errors!G:G,ListaERRORI[[#This Row],[Column1.description]])</f>
        <v>35</v>
      </c>
      <c r="G15" s="16">
        <f>ListaERRORI[[#This Row],[Attendance]]/ListaERRORI[[#Totals],[Attendance]]</f>
        <v>0.44303797468354428</v>
      </c>
      <c r="H15" s="16">
        <f>IFERROR(ListaERRORI[[#This Row],[Amount]]/$E$103,0)</f>
        <v>0.27505067833130836</v>
      </c>
      <c r="I15" s="81" cm="1">
        <f t="array" ref="I15">INDEX('Weight tables'!$A$4:$C$7,MATCH(1,(ListaERRORI[[#This Row],[Percentage of attendance]]&gt;='Weight tables'!$B$4:$B$7)*(ListaERRORI[[#This Row],[Percentage of attendance]]&lt;='Weight tables'!$C$4:$C$7),0),1)</f>
        <v>4</v>
      </c>
      <c r="J15" s="81" cm="1">
        <f t="array" ref="J15">INDEX('Weight tables'!$A$10:$C$13,MATCH(1,(ListaERRORI[[#This Row],[Percentage of error ammount]]&gt;='Weight tables'!$B$10:$B$13)*(ListaERRORI[[#This Row],[Percentage of error ammount]]&lt;='Weight tables'!$C$10:$C$13),0),1)</f>
        <v>4</v>
      </c>
      <c r="K15" s="2">
        <f t="shared" si="0"/>
        <v>8</v>
      </c>
    </row>
    <row r="16" spans="1:11" x14ac:dyDescent="0.25">
      <c r="A16" s="13">
        <v>15</v>
      </c>
      <c r="B16" s="13" t="s">
        <v>123</v>
      </c>
      <c r="C16" s="13">
        <v>2</v>
      </c>
      <c r="D16" s="13" t="s">
        <v>101</v>
      </c>
      <c r="E16" s="42">
        <f>SUMIFS(ERRORI__3[[#All],[Value.total]],ERRORI__3[[#All],[Value.typologyOfErrorId]],ListaERRORI[[#This Row],[Column1.id]])</f>
        <v>0</v>
      </c>
      <c r="F16" s="2">
        <f>COUNTIFS(Errors!G:G,ListaERRORI[[#This Row],[Column1.description]])</f>
        <v>0</v>
      </c>
      <c r="G16" s="16">
        <f>ListaERRORI[[#This Row],[Attendance]]/ListaERRORI[[#Totals],[Attendance]]</f>
        <v>0</v>
      </c>
      <c r="H16" s="16">
        <f>IFERROR(ListaERRORI[[#This Row],[Amount]]/$E$103,0)</f>
        <v>0</v>
      </c>
      <c r="I16" s="81" cm="1">
        <f t="array" ref="I16">INDEX('Weight tables'!$A$4:$C$7,MATCH(1,(ListaERRORI[[#This Row],[Percentage of attendance]]&gt;='Weight tables'!$B$4:$B$7)*(ListaERRORI[[#This Row],[Percentage of attendance]]&lt;='Weight tables'!$C$4:$C$7),0),1)</f>
        <v>0</v>
      </c>
      <c r="J16" s="81" cm="1">
        <f t="array" ref="J16">INDEX('Weight tables'!$A$10:$C$13,MATCH(1,(ListaERRORI[[#This Row],[Percentage of error ammount]]&gt;='Weight tables'!$B$10:$B$13)*(ListaERRORI[[#This Row],[Percentage of error ammount]]&lt;='Weight tables'!$C$10:$C$13),0),1)</f>
        <v>0</v>
      </c>
      <c r="K16" s="2">
        <f t="shared" si="0"/>
        <v>0</v>
      </c>
    </row>
    <row r="17" spans="1:11" x14ac:dyDescent="0.25">
      <c r="A17" s="13">
        <v>16</v>
      </c>
      <c r="B17" s="13" t="s">
        <v>124</v>
      </c>
      <c r="C17" s="13">
        <v>2</v>
      </c>
      <c r="D17" s="13" t="s">
        <v>103</v>
      </c>
      <c r="E17" s="42">
        <f>SUMIFS(ERRORI__3[[#All],[Value.total]],ERRORI__3[[#All],[Value.typologyOfErrorId]],ListaERRORI[[#This Row],[Column1.id]])</f>
        <v>0</v>
      </c>
      <c r="F17" s="2">
        <f>COUNTIFS(Errors!G:G,ListaERRORI[[#This Row],[Column1.description]])</f>
        <v>0</v>
      </c>
      <c r="G17" s="16">
        <f>ListaERRORI[[#This Row],[Attendance]]/ListaERRORI[[#Totals],[Attendance]]</f>
        <v>0</v>
      </c>
      <c r="H17" s="16">
        <f>IFERROR(ListaERRORI[[#This Row],[Amount]]/$E$103,0)</f>
        <v>0</v>
      </c>
      <c r="I17" s="81" cm="1">
        <f t="array" ref="I17">INDEX('Weight tables'!$A$4:$C$7,MATCH(1,(ListaERRORI[[#This Row],[Percentage of attendance]]&gt;='Weight tables'!$B$4:$B$7)*(ListaERRORI[[#This Row],[Percentage of attendance]]&lt;='Weight tables'!$C$4:$C$7),0),1)</f>
        <v>0</v>
      </c>
      <c r="J17" s="81" cm="1">
        <f t="array" ref="J17">INDEX('Weight tables'!$A$10:$C$13,MATCH(1,(ListaERRORI[[#This Row],[Percentage of error ammount]]&gt;='Weight tables'!$B$10:$B$13)*(ListaERRORI[[#This Row],[Percentage of error ammount]]&lt;='Weight tables'!$C$10:$C$13),0),1)</f>
        <v>0</v>
      </c>
      <c r="K17" s="2">
        <f t="shared" si="0"/>
        <v>0</v>
      </c>
    </row>
    <row r="18" spans="1:11" x14ac:dyDescent="0.25">
      <c r="A18" s="13">
        <v>17</v>
      </c>
      <c r="B18" s="13" t="s">
        <v>125</v>
      </c>
      <c r="C18" s="13">
        <v>2</v>
      </c>
      <c r="D18" s="13" t="s">
        <v>104</v>
      </c>
      <c r="E18" s="42">
        <f>SUMIFS(ERRORI__3[[#All],[Value.total]],ERRORI__3[[#All],[Value.typologyOfErrorId]],ListaERRORI[[#This Row],[Column1.id]])</f>
        <v>0</v>
      </c>
      <c r="F18" s="2">
        <f>COUNTIFS(Errors!G:G,ListaERRORI[[#This Row],[Column1.description]])</f>
        <v>0</v>
      </c>
      <c r="G18" s="16">
        <f>ListaERRORI[[#This Row],[Attendance]]/ListaERRORI[[#Totals],[Attendance]]</f>
        <v>0</v>
      </c>
      <c r="H18" s="16">
        <f>IFERROR(ListaERRORI[[#This Row],[Amount]]/$E$103,0)</f>
        <v>0</v>
      </c>
      <c r="I18" s="81" cm="1">
        <f t="array" ref="I18">INDEX('Weight tables'!$A$4:$C$7,MATCH(1,(ListaERRORI[[#This Row],[Percentage of attendance]]&gt;='Weight tables'!$B$4:$B$7)*(ListaERRORI[[#This Row],[Percentage of attendance]]&lt;='Weight tables'!$C$4:$C$7),0),1)</f>
        <v>0</v>
      </c>
      <c r="J18" s="81" cm="1">
        <f t="array" ref="J18">INDEX('Weight tables'!$A$10:$C$13,MATCH(1,(ListaERRORI[[#This Row],[Percentage of error ammount]]&gt;='Weight tables'!$B$10:$B$13)*(ListaERRORI[[#This Row],[Percentage of error ammount]]&lt;='Weight tables'!$C$10:$C$13),0),1)</f>
        <v>0</v>
      </c>
      <c r="K18" s="2">
        <f t="shared" si="0"/>
        <v>0</v>
      </c>
    </row>
    <row r="19" spans="1:11" x14ac:dyDescent="0.25">
      <c r="A19" s="13">
        <v>18</v>
      </c>
      <c r="B19" s="13" t="s">
        <v>126</v>
      </c>
      <c r="C19" s="13">
        <v>2</v>
      </c>
      <c r="D19" s="13" t="s">
        <v>106</v>
      </c>
      <c r="E19" s="42">
        <f>SUMIFS(ERRORI__3[[#All],[Value.total]],ERRORI__3[[#All],[Value.typologyOfErrorId]],ListaERRORI[[#This Row],[Column1.id]])</f>
        <v>0</v>
      </c>
      <c r="F19" s="2">
        <f>COUNTIFS(Errors!G:G,ListaERRORI[[#This Row],[Column1.description]])</f>
        <v>0</v>
      </c>
      <c r="G19" s="16">
        <f>ListaERRORI[[#This Row],[Attendance]]/ListaERRORI[[#Totals],[Attendance]]</f>
        <v>0</v>
      </c>
      <c r="H19" s="16">
        <f>IFERROR(ListaERRORI[[#This Row],[Amount]]/$E$103,0)</f>
        <v>0</v>
      </c>
      <c r="I19" s="81" cm="1">
        <f t="array" ref="I19">INDEX('Weight tables'!$A$4:$C$7,MATCH(1,(ListaERRORI[[#This Row],[Percentage of attendance]]&gt;='Weight tables'!$B$4:$B$7)*(ListaERRORI[[#This Row],[Percentage of attendance]]&lt;='Weight tables'!$C$4:$C$7),0),1)</f>
        <v>0</v>
      </c>
      <c r="J19" s="81" cm="1">
        <f t="array" ref="J19">INDEX('Weight tables'!$A$10:$C$13,MATCH(1,(ListaERRORI[[#This Row],[Percentage of error ammount]]&gt;='Weight tables'!$B$10:$B$13)*(ListaERRORI[[#This Row],[Percentage of error ammount]]&lt;='Weight tables'!$C$10:$C$13),0),1)</f>
        <v>0</v>
      </c>
      <c r="K19" s="2">
        <f t="shared" si="0"/>
        <v>0</v>
      </c>
    </row>
    <row r="20" spans="1:11" x14ac:dyDescent="0.25">
      <c r="A20" s="13">
        <v>19</v>
      </c>
      <c r="B20" s="13" t="s">
        <v>127</v>
      </c>
      <c r="C20" s="13">
        <v>2</v>
      </c>
      <c r="D20" s="13" t="s">
        <v>108</v>
      </c>
      <c r="E20" s="42">
        <f>SUMIFS(ERRORI__3[[#All],[Value.total]],ERRORI__3[[#All],[Value.typologyOfErrorId]],ListaERRORI[[#This Row],[Column1.id]])</f>
        <v>0</v>
      </c>
      <c r="F20" s="2">
        <f>COUNTIFS(Errors!G:G,ListaERRORI[[#This Row],[Column1.description]])</f>
        <v>0</v>
      </c>
      <c r="G20" s="16">
        <f>ListaERRORI[[#This Row],[Attendance]]/ListaERRORI[[#Totals],[Attendance]]</f>
        <v>0</v>
      </c>
      <c r="H20" s="16">
        <f>IFERROR(ListaERRORI[[#This Row],[Amount]]/$E$103,0)</f>
        <v>0</v>
      </c>
      <c r="I20" s="81" cm="1">
        <f t="array" ref="I20">INDEX('Weight tables'!$A$4:$C$7,MATCH(1,(ListaERRORI[[#This Row],[Percentage of attendance]]&gt;='Weight tables'!$B$4:$B$7)*(ListaERRORI[[#This Row],[Percentage of attendance]]&lt;='Weight tables'!$C$4:$C$7),0),1)</f>
        <v>0</v>
      </c>
      <c r="J20" s="81" cm="1">
        <f t="array" ref="J20">INDEX('Weight tables'!$A$10:$C$13,MATCH(1,(ListaERRORI[[#This Row],[Percentage of error ammount]]&gt;='Weight tables'!$B$10:$B$13)*(ListaERRORI[[#This Row],[Percentage of error ammount]]&lt;='Weight tables'!$C$10:$C$13),0),1)</f>
        <v>0</v>
      </c>
      <c r="K20" s="2">
        <f t="shared" si="0"/>
        <v>0</v>
      </c>
    </row>
    <row r="21" spans="1:11" x14ac:dyDescent="0.25">
      <c r="A21" s="13">
        <v>20</v>
      </c>
      <c r="B21" s="13" t="s">
        <v>128</v>
      </c>
      <c r="C21" s="13">
        <v>2</v>
      </c>
      <c r="D21" s="13" t="s">
        <v>110</v>
      </c>
      <c r="E21" s="42">
        <f>SUMIFS(ERRORI__3[[#All],[Value.total]],ERRORI__3[[#All],[Value.typologyOfErrorId]],ListaERRORI[[#This Row],[Column1.id]])</f>
        <v>0</v>
      </c>
      <c r="F21" s="2">
        <f>COUNTIFS(Errors!G:G,ListaERRORI[[#This Row],[Column1.description]])</f>
        <v>0</v>
      </c>
      <c r="G21" s="16">
        <f>ListaERRORI[[#This Row],[Attendance]]/ListaERRORI[[#Totals],[Attendance]]</f>
        <v>0</v>
      </c>
      <c r="H21" s="16">
        <f>IFERROR(ListaERRORI[[#This Row],[Amount]]/$E$103,0)</f>
        <v>0</v>
      </c>
      <c r="I21" s="81" cm="1">
        <f t="array" ref="I21">INDEX('Weight tables'!$A$4:$C$7,MATCH(1,(ListaERRORI[[#This Row],[Percentage of attendance]]&gt;='Weight tables'!$B$4:$B$7)*(ListaERRORI[[#This Row],[Percentage of attendance]]&lt;='Weight tables'!$C$4:$C$7),0),1)</f>
        <v>0</v>
      </c>
      <c r="J21" s="81" cm="1">
        <f t="array" ref="J21">INDEX('Weight tables'!$A$10:$C$13,MATCH(1,(ListaERRORI[[#This Row],[Percentage of error ammount]]&gt;='Weight tables'!$B$10:$B$13)*(ListaERRORI[[#This Row],[Percentage of error ammount]]&lt;='Weight tables'!$C$10:$C$13),0),1)</f>
        <v>0</v>
      </c>
      <c r="K21" s="2">
        <f t="shared" si="0"/>
        <v>0</v>
      </c>
    </row>
    <row r="22" spans="1:11" x14ac:dyDescent="0.25">
      <c r="A22" s="13">
        <v>21</v>
      </c>
      <c r="B22" s="13" t="s">
        <v>129</v>
      </c>
      <c r="C22" s="13">
        <v>2</v>
      </c>
      <c r="D22" s="13" t="s">
        <v>112</v>
      </c>
      <c r="E22" s="42">
        <f>SUMIFS(ERRORI__3[[#All],[Value.total]],ERRORI__3[[#All],[Value.typologyOfErrorId]],ListaERRORI[[#This Row],[Column1.id]])</f>
        <v>0</v>
      </c>
      <c r="F22" s="2">
        <f>COUNTIFS(Errors!G:G,ListaERRORI[[#This Row],[Column1.description]])</f>
        <v>0</v>
      </c>
      <c r="G22" s="16">
        <f>ListaERRORI[[#This Row],[Attendance]]/ListaERRORI[[#Totals],[Attendance]]</f>
        <v>0</v>
      </c>
      <c r="H22" s="16">
        <f>IFERROR(ListaERRORI[[#This Row],[Amount]]/$E$103,0)</f>
        <v>0</v>
      </c>
      <c r="I22" s="81" cm="1">
        <f t="array" ref="I22">INDEX('Weight tables'!$A$4:$C$7,MATCH(1,(ListaERRORI[[#This Row],[Percentage of attendance]]&gt;='Weight tables'!$B$4:$B$7)*(ListaERRORI[[#This Row],[Percentage of attendance]]&lt;='Weight tables'!$C$4:$C$7),0),1)</f>
        <v>0</v>
      </c>
      <c r="J22" s="81" cm="1">
        <f t="array" ref="J22">INDEX('Weight tables'!$A$10:$C$13,MATCH(1,(ListaERRORI[[#This Row],[Percentage of error ammount]]&gt;='Weight tables'!$B$10:$B$13)*(ListaERRORI[[#This Row],[Percentage of error ammount]]&lt;='Weight tables'!$C$10:$C$13),0),1)</f>
        <v>0</v>
      </c>
      <c r="K22" s="2">
        <f t="shared" si="0"/>
        <v>0</v>
      </c>
    </row>
    <row r="23" spans="1:11" x14ac:dyDescent="0.25">
      <c r="A23" s="13">
        <v>22</v>
      </c>
      <c r="B23" s="13" t="s">
        <v>130</v>
      </c>
      <c r="C23" s="13">
        <v>2</v>
      </c>
      <c r="D23" s="13" t="s">
        <v>113</v>
      </c>
      <c r="E23" s="42">
        <f>SUMIFS(ERRORI__3[[#All],[Value.total]],ERRORI__3[[#All],[Value.typologyOfErrorId]],ListaERRORI[[#This Row],[Column1.id]])</f>
        <v>0</v>
      </c>
      <c r="F23" s="2">
        <f>COUNTIFS(Errors!G:G,ListaERRORI[[#This Row],[Column1.description]])</f>
        <v>0</v>
      </c>
      <c r="G23" s="16">
        <f>ListaERRORI[[#This Row],[Attendance]]/ListaERRORI[[#Totals],[Attendance]]</f>
        <v>0</v>
      </c>
      <c r="H23" s="16">
        <f>IFERROR(ListaERRORI[[#This Row],[Amount]]/$E$103,0)</f>
        <v>0</v>
      </c>
      <c r="I23" s="81" cm="1">
        <f t="array" ref="I23">INDEX('Weight tables'!$A$4:$C$7,MATCH(1,(ListaERRORI[[#This Row],[Percentage of attendance]]&gt;='Weight tables'!$B$4:$B$7)*(ListaERRORI[[#This Row],[Percentage of attendance]]&lt;='Weight tables'!$C$4:$C$7),0),1)</f>
        <v>0</v>
      </c>
      <c r="J23" s="81" cm="1">
        <f t="array" ref="J23">INDEX('Weight tables'!$A$10:$C$13,MATCH(1,(ListaERRORI[[#This Row],[Percentage of error ammount]]&gt;='Weight tables'!$B$10:$B$13)*(ListaERRORI[[#This Row],[Percentage of error ammount]]&lt;='Weight tables'!$C$10:$C$13),0),1)</f>
        <v>0</v>
      </c>
      <c r="K23" s="2">
        <f t="shared" si="0"/>
        <v>0</v>
      </c>
    </row>
    <row r="24" spans="1:11" x14ac:dyDescent="0.25">
      <c r="A24" s="13">
        <v>23</v>
      </c>
      <c r="B24" s="13" t="s">
        <v>131</v>
      </c>
      <c r="C24" s="13">
        <v>3</v>
      </c>
      <c r="D24" s="13" t="s">
        <v>101</v>
      </c>
      <c r="E24" s="42">
        <f>SUMIFS(ERRORI__3[[#All],[Value.total]],ERRORI__3[[#All],[Value.typologyOfErrorId]],ListaERRORI[[#This Row],[Column1.id]])</f>
        <v>0</v>
      </c>
      <c r="F24" s="2">
        <f>COUNTIFS(Errors!G:G,ListaERRORI[[#This Row],[Column1.description]])</f>
        <v>0</v>
      </c>
      <c r="G24" s="16">
        <f>ListaERRORI[[#This Row],[Attendance]]/ListaERRORI[[#Totals],[Attendance]]</f>
        <v>0</v>
      </c>
      <c r="H24" s="16">
        <f>IFERROR(ListaERRORI[[#This Row],[Amount]]/$E$103,0)</f>
        <v>0</v>
      </c>
      <c r="I24" s="81" cm="1">
        <f t="array" ref="I24">INDEX('Weight tables'!$A$4:$C$7,MATCH(1,(ListaERRORI[[#This Row],[Percentage of attendance]]&gt;='Weight tables'!$B$4:$B$7)*(ListaERRORI[[#This Row],[Percentage of attendance]]&lt;='Weight tables'!$C$4:$C$7),0),1)</f>
        <v>0</v>
      </c>
      <c r="J24" s="81" cm="1">
        <f t="array" ref="J24">INDEX('Weight tables'!$A$10:$C$13,MATCH(1,(ListaERRORI[[#This Row],[Percentage of error ammount]]&gt;='Weight tables'!$B$10:$B$13)*(ListaERRORI[[#This Row],[Percentage of error ammount]]&lt;='Weight tables'!$C$10:$C$13),0),1)</f>
        <v>0</v>
      </c>
      <c r="K24" s="2">
        <f t="shared" si="0"/>
        <v>0</v>
      </c>
    </row>
    <row r="25" spans="1:11" x14ac:dyDescent="0.25">
      <c r="A25" s="13">
        <v>24</v>
      </c>
      <c r="B25" s="13" t="s">
        <v>132</v>
      </c>
      <c r="C25" s="13">
        <v>3</v>
      </c>
      <c r="D25" s="13" t="s">
        <v>103</v>
      </c>
      <c r="E25" s="42">
        <f>SUMIFS(ERRORI__3[[#All],[Value.total]],ERRORI__3[[#All],[Value.typologyOfErrorId]],ListaERRORI[[#This Row],[Column1.id]])</f>
        <v>1266.08</v>
      </c>
      <c r="F25" s="2">
        <f>COUNTIFS(Errors!G:G,ListaERRORI[[#This Row],[Column1.description]])</f>
        <v>2</v>
      </c>
      <c r="G25" s="16">
        <f>ListaERRORI[[#This Row],[Attendance]]/ListaERRORI[[#Totals],[Attendance]]</f>
        <v>2.5316455696202531E-2</v>
      </c>
      <c r="H25" s="16">
        <f>IFERROR(ListaERRORI[[#This Row],[Amount]]/$E$103,0)</f>
        <v>7.9809467880988267E-3</v>
      </c>
      <c r="I25" s="81" cm="1">
        <f t="array" ref="I25">INDEX('Weight tables'!$A$4:$C$7,MATCH(1,(ListaERRORI[[#This Row],[Percentage of attendance]]&gt;='Weight tables'!$B$4:$B$7)*(ListaERRORI[[#This Row],[Percentage of attendance]]&lt;='Weight tables'!$C$4:$C$7),0),1)</f>
        <v>2</v>
      </c>
      <c r="J25" s="81" cm="1">
        <f t="array" ref="J25">INDEX('Weight tables'!$A$10:$C$13,MATCH(1,(ListaERRORI[[#This Row],[Percentage of error ammount]]&gt;='Weight tables'!$B$10:$B$13)*(ListaERRORI[[#This Row],[Percentage of error ammount]]&lt;='Weight tables'!$C$10:$C$13),0),1)</f>
        <v>0</v>
      </c>
      <c r="K25" s="2">
        <f t="shared" si="0"/>
        <v>2</v>
      </c>
    </row>
    <row r="26" spans="1:11" x14ac:dyDescent="0.25">
      <c r="A26" s="13">
        <v>25</v>
      </c>
      <c r="B26" s="13" t="s">
        <v>84</v>
      </c>
      <c r="C26" s="13">
        <v>3</v>
      </c>
      <c r="D26" s="13" t="s">
        <v>104</v>
      </c>
      <c r="E26" s="42">
        <f>SUMIFS(ERRORI__3[[#All],[Value.total]],ERRORI__3[[#All],[Value.typologyOfErrorId]],ListaERRORI[[#This Row],[Column1.id]])</f>
        <v>1229.19</v>
      </c>
      <c r="F26" s="2">
        <f>COUNTIFS(Errors!G:G,ListaERRORI[[#This Row],[Column1.description]])</f>
        <v>1</v>
      </c>
      <c r="G26" s="16">
        <f>ListaERRORI[[#This Row],[Attendance]]/ListaERRORI[[#Totals],[Attendance]]</f>
        <v>1.2658227848101266E-2</v>
      </c>
      <c r="H26" s="16">
        <f>IFERROR(ListaERRORI[[#This Row],[Amount]]/$E$103,0)</f>
        <v>7.7484045103494237E-3</v>
      </c>
      <c r="I26" s="81" cm="1">
        <f t="array" ref="I26">INDEX('Weight tables'!$A$4:$C$7,MATCH(1,(ListaERRORI[[#This Row],[Percentage of attendance]]&gt;='Weight tables'!$B$4:$B$7)*(ListaERRORI[[#This Row],[Percentage of attendance]]&lt;='Weight tables'!$C$4:$C$7),0),1)</f>
        <v>0</v>
      </c>
      <c r="J26" s="81" cm="1">
        <f t="array" ref="J26">INDEX('Weight tables'!$A$10:$C$13,MATCH(1,(ListaERRORI[[#This Row],[Percentage of error ammount]]&gt;='Weight tables'!$B$10:$B$13)*(ListaERRORI[[#This Row],[Percentage of error ammount]]&lt;='Weight tables'!$C$10:$C$13),0),1)</f>
        <v>0</v>
      </c>
      <c r="K26" s="2">
        <f t="shared" si="0"/>
        <v>0</v>
      </c>
    </row>
    <row r="27" spans="1:11" x14ac:dyDescent="0.25">
      <c r="A27" s="13">
        <v>26</v>
      </c>
      <c r="B27" s="13" t="s">
        <v>133</v>
      </c>
      <c r="C27" s="13">
        <v>3</v>
      </c>
      <c r="D27" s="13" t="s">
        <v>106</v>
      </c>
      <c r="E27" s="42">
        <f>SUMIFS(ERRORI__3[[#All],[Value.total]],ERRORI__3[[#All],[Value.typologyOfErrorId]],ListaERRORI[[#This Row],[Column1.id]])</f>
        <v>16071.5</v>
      </c>
      <c r="F27" s="2">
        <f>COUNTIFS(Errors!G:G,ListaERRORI[[#This Row],[Column1.description]])</f>
        <v>2</v>
      </c>
      <c r="G27" s="16">
        <f>ListaERRORI[[#This Row],[Attendance]]/ListaERRORI[[#Totals],[Attendance]]</f>
        <v>2.5316455696202531E-2</v>
      </c>
      <c r="H27" s="16">
        <f>IFERROR(ListaERRORI[[#This Row],[Amount]]/$E$103,0)</f>
        <v>0.10130938511383981</v>
      </c>
      <c r="I27" s="81" cm="1">
        <f t="array" ref="I27">INDEX('Weight tables'!$A$4:$C$7,MATCH(1,(ListaERRORI[[#This Row],[Percentage of attendance]]&gt;='Weight tables'!$B$4:$B$7)*(ListaERRORI[[#This Row],[Percentage of attendance]]&lt;='Weight tables'!$C$4:$C$7),0),1)</f>
        <v>2</v>
      </c>
      <c r="J27" s="81" cm="1">
        <f t="array" ref="J27">INDEX('Weight tables'!$A$10:$C$13,MATCH(1,(ListaERRORI[[#This Row],[Percentage of error ammount]]&gt;='Weight tables'!$B$10:$B$13)*(ListaERRORI[[#This Row],[Percentage of error ammount]]&lt;='Weight tables'!$C$10:$C$13),0),1)</f>
        <v>4</v>
      </c>
      <c r="K27" s="2">
        <f t="shared" si="0"/>
        <v>6</v>
      </c>
    </row>
    <row r="28" spans="1:11" x14ac:dyDescent="0.25">
      <c r="A28" s="13">
        <v>27</v>
      </c>
      <c r="B28" s="13" t="s">
        <v>81</v>
      </c>
      <c r="C28" s="13">
        <v>3</v>
      </c>
      <c r="D28" s="13" t="s">
        <v>108</v>
      </c>
      <c r="E28" s="42">
        <f>SUMIFS(ERRORI__3[[#All],[Value.total]],ERRORI__3[[#All],[Value.typologyOfErrorId]],ListaERRORI[[#This Row],[Column1.id]])</f>
        <v>1701.94</v>
      </c>
      <c r="F28" s="2">
        <f>COUNTIFS(Errors!G:G,ListaERRORI[[#This Row],[Column1.description]])</f>
        <v>2</v>
      </c>
      <c r="G28" s="16">
        <f>ListaERRORI[[#This Row],[Attendance]]/ListaERRORI[[#Totals],[Attendance]]</f>
        <v>2.5316455696202531E-2</v>
      </c>
      <c r="H28" s="16">
        <f>IFERROR(ListaERRORI[[#This Row],[Amount]]/$E$103,0)</f>
        <v>1.0728463111759857E-2</v>
      </c>
      <c r="I28" s="81" cm="1">
        <f t="array" ref="I28">INDEX('Weight tables'!$A$4:$C$7,MATCH(1,(ListaERRORI[[#This Row],[Percentage of attendance]]&gt;='Weight tables'!$B$4:$B$7)*(ListaERRORI[[#This Row],[Percentage of attendance]]&lt;='Weight tables'!$C$4:$C$7),0),1)</f>
        <v>2</v>
      </c>
      <c r="J28" s="81" cm="1">
        <f t="array" ref="J28">INDEX('Weight tables'!$A$10:$C$13,MATCH(1,(ListaERRORI[[#This Row],[Percentage of error ammount]]&gt;='Weight tables'!$B$10:$B$13)*(ListaERRORI[[#This Row],[Percentage of error ammount]]&lt;='Weight tables'!$C$10:$C$13),0),1)</f>
        <v>0</v>
      </c>
      <c r="K28" s="2">
        <f t="shared" si="0"/>
        <v>2</v>
      </c>
    </row>
    <row r="29" spans="1:11" x14ac:dyDescent="0.25">
      <c r="A29" s="13">
        <v>28</v>
      </c>
      <c r="B29" s="13" t="s">
        <v>134</v>
      </c>
      <c r="C29" s="13">
        <v>4</v>
      </c>
      <c r="D29" s="13" t="s">
        <v>101</v>
      </c>
      <c r="E29" s="42">
        <f>SUMIFS(ERRORI__3[[#All],[Value.total]],ERRORI__3[[#All],[Value.typologyOfErrorId]],ListaERRORI[[#This Row],[Column1.id]])</f>
        <v>0</v>
      </c>
      <c r="F29" s="2">
        <f>COUNTIFS(Errors!G:G,ListaERRORI[[#This Row],[Column1.description]])</f>
        <v>0</v>
      </c>
      <c r="G29" s="16">
        <f>ListaERRORI[[#This Row],[Attendance]]/ListaERRORI[[#Totals],[Attendance]]</f>
        <v>0</v>
      </c>
      <c r="H29" s="16">
        <f>IFERROR(ListaERRORI[[#This Row],[Amount]]/$E$103,0)</f>
        <v>0</v>
      </c>
      <c r="I29" s="81" cm="1">
        <f t="array" ref="I29">INDEX('Weight tables'!$A$4:$C$7,MATCH(1,(ListaERRORI[[#This Row],[Percentage of attendance]]&gt;='Weight tables'!$B$4:$B$7)*(ListaERRORI[[#This Row],[Percentage of attendance]]&lt;='Weight tables'!$C$4:$C$7),0),1)</f>
        <v>0</v>
      </c>
      <c r="J29" s="81" cm="1">
        <f t="array" ref="J29">INDEX('Weight tables'!$A$10:$C$13,MATCH(1,(ListaERRORI[[#This Row],[Percentage of error ammount]]&gt;='Weight tables'!$B$10:$B$13)*(ListaERRORI[[#This Row],[Percentage of error ammount]]&lt;='Weight tables'!$C$10:$C$13),0),1)</f>
        <v>0</v>
      </c>
      <c r="K29" s="2">
        <f t="shared" si="0"/>
        <v>0</v>
      </c>
    </row>
    <row r="30" spans="1:11" x14ac:dyDescent="0.25">
      <c r="A30" s="13">
        <v>29</v>
      </c>
      <c r="B30" s="13" t="s">
        <v>135</v>
      </c>
      <c r="C30" s="13">
        <v>4</v>
      </c>
      <c r="D30" s="13" t="s">
        <v>103</v>
      </c>
      <c r="E30" s="42">
        <f>SUMIFS(ERRORI__3[[#All],[Value.total]],ERRORI__3[[#All],[Value.typologyOfErrorId]],ListaERRORI[[#This Row],[Column1.id]])</f>
        <v>0</v>
      </c>
      <c r="F30" s="2">
        <f>COUNTIFS(Errors!G:G,ListaERRORI[[#This Row],[Column1.description]])</f>
        <v>0</v>
      </c>
      <c r="G30" s="16">
        <f>ListaERRORI[[#This Row],[Attendance]]/ListaERRORI[[#Totals],[Attendance]]</f>
        <v>0</v>
      </c>
      <c r="H30" s="16">
        <f>IFERROR(ListaERRORI[[#This Row],[Amount]]/$E$103,0)</f>
        <v>0</v>
      </c>
      <c r="I30" s="81" cm="1">
        <f t="array" ref="I30">INDEX('Weight tables'!$A$4:$C$7,MATCH(1,(ListaERRORI[[#This Row],[Percentage of attendance]]&gt;='Weight tables'!$B$4:$B$7)*(ListaERRORI[[#This Row],[Percentage of attendance]]&lt;='Weight tables'!$C$4:$C$7),0),1)</f>
        <v>0</v>
      </c>
      <c r="J30" s="81" cm="1">
        <f t="array" ref="J30">INDEX('Weight tables'!$A$10:$C$13,MATCH(1,(ListaERRORI[[#This Row],[Percentage of error ammount]]&gt;='Weight tables'!$B$10:$B$13)*(ListaERRORI[[#This Row],[Percentage of error ammount]]&lt;='Weight tables'!$C$10:$C$13),0),1)</f>
        <v>0</v>
      </c>
      <c r="K30" s="2">
        <f t="shared" si="0"/>
        <v>0</v>
      </c>
    </row>
    <row r="31" spans="1:11" x14ac:dyDescent="0.25">
      <c r="A31" s="13">
        <v>30</v>
      </c>
      <c r="B31" s="13" t="s">
        <v>136</v>
      </c>
      <c r="C31" s="13">
        <v>4</v>
      </c>
      <c r="D31" s="13" t="s">
        <v>104</v>
      </c>
      <c r="E31" s="42">
        <f>SUMIFS(ERRORI__3[[#All],[Value.total]],ERRORI__3[[#All],[Value.typologyOfErrorId]],ListaERRORI[[#This Row],[Column1.id]])</f>
        <v>0</v>
      </c>
      <c r="F31" s="2">
        <f>COUNTIFS(Errors!G:G,ListaERRORI[[#This Row],[Column1.description]])</f>
        <v>0</v>
      </c>
      <c r="G31" s="16">
        <f>ListaERRORI[[#This Row],[Attendance]]/ListaERRORI[[#Totals],[Attendance]]</f>
        <v>0</v>
      </c>
      <c r="H31" s="16">
        <f>IFERROR(ListaERRORI[[#This Row],[Amount]]/$E$103,0)</f>
        <v>0</v>
      </c>
      <c r="I31" s="81" cm="1">
        <f t="array" ref="I31">INDEX('Weight tables'!$A$4:$C$7,MATCH(1,(ListaERRORI[[#This Row],[Percentage of attendance]]&gt;='Weight tables'!$B$4:$B$7)*(ListaERRORI[[#This Row],[Percentage of attendance]]&lt;='Weight tables'!$C$4:$C$7),0),1)</f>
        <v>0</v>
      </c>
      <c r="J31" s="81" cm="1">
        <f t="array" ref="J31">INDEX('Weight tables'!$A$10:$C$13,MATCH(1,(ListaERRORI[[#This Row],[Percentage of error ammount]]&gt;='Weight tables'!$B$10:$B$13)*(ListaERRORI[[#This Row],[Percentage of error ammount]]&lt;='Weight tables'!$C$10:$C$13),0),1)</f>
        <v>0</v>
      </c>
      <c r="K31" s="2">
        <f t="shared" si="0"/>
        <v>0</v>
      </c>
    </row>
    <row r="32" spans="1:11" x14ac:dyDescent="0.25">
      <c r="A32" s="13">
        <v>31</v>
      </c>
      <c r="B32" s="13" t="s">
        <v>137</v>
      </c>
      <c r="C32" s="13">
        <v>4</v>
      </c>
      <c r="D32" s="13" t="s">
        <v>106</v>
      </c>
      <c r="E32" s="42">
        <f>SUMIFS(ERRORI__3[[#All],[Value.total]],ERRORI__3[[#All],[Value.typologyOfErrorId]],ListaERRORI[[#This Row],[Column1.id]])</f>
        <v>0</v>
      </c>
      <c r="F32" s="2">
        <f>COUNTIFS(Errors!G:G,ListaERRORI[[#This Row],[Column1.description]])</f>
        <v>0</v>
      </c>
      <c r="G32" s="16">
        <f>ListaERRORI[[#This Row],[Attendance]]/ListaERRORI[[#Totals],[Attendance]]</f>
        <v>0</v>
      </c>
      <c r="H32" s="16">
        <f>IFERROR(ListaERRORI[[#This Row],[Amount]]/$E$103,0)</f>
        <v>0</v>
      </c>
      <c r="I32" s="81" cm="1">
        <f t="array" ref="I32">INDEX('Weight tables'!$A$4:$C$7,MATCH(1,(ListaERRORI[[#This Row],[Percentage of attendance]]&gt;='Weight tables'!$B$4:$B$7)*(ListaERRORI[[#This Row],[Percentage of attendance]]&lt;='Weight tables'!$C$4:$C$7),0),1)</f>
        <v>0</v>
      </c>
      <c r="J32" s="81" cm="1">
        <f t="array" ref="J32">INDEX('Weight tables'!$A$10:$C$13,MATCH(1,(ListaERRORI[[#This Row],[Percentage of error ammount]]&gt;='Weight tables'!$B$10:$B$13)*(ListaERRORI[[#This Row],[Percentage of error ammount]]&lt;='Weight tables'!$C$10:$C$13),0),1)</f>
        <v>0</v>
      </c>
      <c r="K32" s="2">
        <f t="shared" si="0"/>
        <v>0</v>
      </c>
    </row>
    <row r="33" spans="1:11" x14ac:dyDescent="0.25">
      <c r="A33" s="13">
        <v>32</v>
      </c>
      <c r="B33" s="13" t="s">
        <v>138</v>
      </c>
      <c r="C33" s="13">
        <v>4</v>
      </c>
      <c r="D33" s="13" t="s">
        <v>108</v>
      </c>
      <c r="E33" s="42">
        <f>SUMIFS(ERRORI__3[[#All],[Value.total]],ERRORI__3[[#All],[Value.typologyOfErrorId]],ListaERRORI[[#This Row],[Column1.id]])</f>
        <v>0</v>
      </c>
      <c r="F33" s="2">
        <f>COUNTIFS(Errors!G:G,ListaERRORI[[#This Row],[Column1.description]])</f>
        <v>0</v>
      </c>
      <c r="G33" s="16">
        <f>ListaERRORI[[#This Row],[Attendance]]/ListaERRORI[[#Totals],[Attendance]]</f>
        <v>0</v>
      </c>
      <c r="H33" s="16">
        <f>IFERROR(ListaERRORI[[#This Row],[Amount]]/$E$103,0)</f>
        <v>0</v>
      </c>
      <c r="I33" s="81" cm="1">
        <f t="array" ref="I33">INDEX('Weight tables'!$A$4:$C$7,MATCH(1,(ListaERRORI[[#This Row],[Percentage of attendance]]&gt;='Weight tables'!$B$4:$B$7)*(ListaERRORI[[#This Row],[Percentage of attendance]]&lt;='Weight tables'!$C$4:$C$7),0),1)</f>
        <v>0</v>
      </c>
      <c r="J33" s="81" cm="1">
        <f t="array" ref="J33">INDEX('Weight tables'!$A$10:$C$13,MATCH(1,(ListaERRORI[[#This Row],[Percentage of error ammount]]&gt;='Weight tables'!$B$10:$B$13)*(ListaERRORI[[#This Row],[Percentage of error ammount]]&lt;='Weight tables'!$C$10:$C$13),0),1)</f>
        <v>0</v>
      </c>
      <c r="K33" s="2">
        <f t="shared" si="0"/>
        <v>0</v>
      </c>
    </row>
    <row r="34" spans="1:11" x14ac:dyDescent="0.25">
      <c r="A34" s="13">
        <v>33</v>
      </c>
      <c r="B34" s="13" t="s">
        <v>139</v>
      </c>
      <c r="C34" s="13">
        <v>4</v>
      </c>
      <c r="D34" s="13" t="s">
        <v>110</v>
      </c>
      <c r="E34" s="42">
        <f>SUMIFS(ERRORI__3[[#All],[Value.total]],ERRORI__3[[#All],[Value.typologyOfErrorId]],ListaERRORI[[#This Row],[Column1.id]])</f>
        <v>0</v>
      </c>
      <c r="F34" s="2">
        <f>COUNTIFS(Errors!G:G,ListaERRORI[[#This Row],[Column1.description]])</f>
        <v>0</v>
      </c>
      <c r="G34" s="16">
        <f>ListaERRORI[[#This Row],[Attendance]]/ListaERRORI[[#Totals],[Attendance]]</f>
        <v>0</v>
      </c>
      <c r="H34" s="16">
        <f>IFERROR(ListaERRORI[[#This Row],[Amount]]/$E$103,0)</f>
        <v>0</v>
      </c>
      <c r="I34" s="81" cm="1">
        <f t="array" ref="I34">INDEX('Weight tables'!$A$4:$C$7,MATCH(1,(ListaERRORI[[#This Row],[Percentage of attendance]]&gt;='Weight tables'!$B$4:$B$7)*(ListaERRORI[[#This Row],[Percentage of attendance]]&lt;='Weight tables'!$C$4:$C$7),0),1)</f>
        <v>0</v>
      </c>
      <c r="J34" s="81" cm="1">
        <f t="array" ref="J34">INDEX('Weight tables'!$A$10:$C$13,MATCH(1,(ListaERRORI[[#This Row],[Percentage of error ammount]]&gt;='Weight tables'!$B$10:$B$13)*(ListaERRORI[[#This Row],[Percentage of error ammount]]&lt;='Weight tables'!$C$10:$C$13),0),1)</f>
        <v>0</v>
      </c>
      <c r="K34" s="2">
        <f t="shared" si="0"/>
        <v>0</v>
      </c>
    </row>
    <row r="35" spans="1:11" x14ac:dyDescent="0.25">
      <c r="A35" s="13">
        <v>34</v>
      </c>
      <c r="B35" s="13" t="s">
        <v>140</v>
      </c>
      <c r="C35" s="13">
        <v>4</v>
      </c>
      <c r="D35" s="13" t="s">
        <v>112</v>
      </c>
      <c r="E35" s="42">
        <f>SUMIFS(ERRORI__3[[#All],[Value.total]],ERRORI__3[[#All],[Value.typologyOfErrorId]],ListaERRORI[[#This Row],[Column1.id]])</f>
        <v>0</v>
      </c>
      <c r="F35" s="2">
        <f>COUNTIFS(Errors!G:G,ListaERRORI[[#This Row],[Column1.description]])</f>
        <v>0</v>
      </c>
      <c r="G35" s="16">
        <f>ListaERRORI[[#This Row],[Attendance]]/ListaERRORI[[#Totals],[Attendance]]</f>
        <v>0</v>
      </c>
      <c r="H35" s="16">
        <f>IFERROR(ListaERRORI[[#This Row],[Amount]]/$E$103,0)</f>
        <v>0</v>
      </c>
      <c r="I35" s="81" cm="1">
        <f t="array" ref="I35">INDEX('Weight tables'!$A$4:$C$7,MATCH(1,(ListaERRORI[[#This Row],[Percentage of attendance]]&gt;='Weight tables'!$B$4:$B$7)*(ListaERRORI[[#This Row],[Percentage of attendance]]&lt;='Weight tables'!$C$4:$C$7),0),1)</f>
        <v>0</v>
      </c>
      <c r="J35" s="81" cm="1">
        <f t="array" ref="J35">INDEX('Weight tables'!$A$10:$C$13,MATCH(1,(ListaERRORI[[#This Row],[Percentage of error ammount]]&gt;='Weight tables'!$B$10:$B$13)*(ListaERRORI[[#This Row],[Percentage of error ammount]]&lt;='Weight tables'!$C$10:$C$13),0),1)</f>
        <v>0</v>
      </c>
      <c r="K35" s="2">
        <f t="shared" si="0"/>
        <v>0</v>
      </c>
    </row>
    <row r="36" spans="1:11" x14ac:dyDescent="0.25">
      <c r="A36" s="13">
        <v>35</v>
      </c>
      <c r="B36" s="13" t="s">
        <v>141</v>
      </c>
      <c r="C36" s="13">
        <v>4</v>
      </c>
      <c r="D36" s="13" t="s">
        <v>113</v>
      </c>
      <c r="E36" s="42">
        <f>SUMIFS(ERRORI__3[[#All],[Value.total]],ERRORI__3[[#All],[Value.typologyOfErrorId]],ListaERRORI[[#This Row],[Column1.id]])</f>
        <v>0</v>
      </c>
      <c r="F36" s="2">
        <f>COUNTIFS(Errors!G:G,ListaERRORI[[#This Row],[Column1.description]])</f>
        <v>0</v>
      </c>
      <c r="G36" s="16">
        <f>ListaERRORI[[#This Row],[Attendance]]/ListaERRORI[[#Totals],[Attendance]]</f>
        <v>0</v>
      </c>
      <c r="H36" s="16">
        <f>IFERROR(ListaERRORI[[#This Row],[Amount]]/$E$103,0)</f>
        <v>0</v>
      </c>
      <c r="I36" s="81" cm="1">
        <f t="array" ref="I36">INDEX('Weight tables'!$A$4:$C$7,MATCH(1,(ListaERRORI[[#This Row],[Percentage of attendance]]&gt;='Weight tables'!$B$4:$B$7)*(ListaERRORI[[#This Row],[Percentage of attendance]]&lt;='Weight tables'!$C$4:$C$7),0),1)</f>
        <v>0</v>
      </c>
      <c r="J36" s="81" cm="1">
        <f t="array" ref="J36">INDEX('Weight tables'!$A$10:$C$13,MATCH(1,(ListaERRORI[[#This Row],[Percentage of error ammount]]&gt;='Weight tables'!$B$10:$B$13)*(ListaERRORI[[#This Row],[Percentage of error ammount]]&lt;='Weight tables'!$C$10:$C$13),0),1)</f>
        <v>0</v>
      </c>
      <c r="K36" s="2">
        <f t="shared" si="0"/>
        <v>0</v>
      </c>
    </row>
    <row r="37" spans="1:11" x14ac:dyDescent="0.25">
      <c r="A37" s="13">
        <v>36</v>
      </c>
      <c r="B37" s="13" t="s">
        <v>142</v>
      </c>
      <c r="C37" s="13">
        <v>4</v>
      </c>
      <c r="D37" s="13" t="s">
        <v>115</v>
      </c>
      <c r="E37" s="42">
        <f>SUMIFS(ERRORI__3[[#All],[Value.total]],ERRORI__3[[#All],[Value.typologyOfErrorId]],ListaERRORI[[#This Row],[Column1.id]])</f>
        <v>0</v>
      </c>
      <c r="F37" s="2">
        <f>COUNTIFS(Errors!G:G,ListaERRORI[[#This Row],[Column1.description]])</f>
        <v>0</v>
      </c>
      <c r="G37" s="16">
        <f>ListaERRORI[[#This Row],[Attendance]]/ListaERRORI[[#Totals],[Attendance]]</f>
        <v>0</v>
      </c>
      <c r="H37" s="16">
        <f>IFERROR(ListaERRORI[[#This Row],[Amount]]/$E$103,0)</f>
        <v>0</v>
      </c>
      <c r="I37" s="81" cm="1">
        <f t="array" ref="I37">INDEX('Weight tables'!$A$4:$C$7,MATCH(1,(ListaERRORI[[#This Row],[Percentage of attendance]]&gt;='Weight tables'!$B$4:$B$7)*(ListaERRORI[[#This Row],[Percentage of attendance]]&lt;='Weight tables'!$C$4:$C$7),0),1)</f>
        <v>0</v>
      </c>
      <c r="J37" s="81" cm="1">
        <f t="array" ref="J37">INDEX('Weight tables'!$A$10:$C$13,MATCH(1,(ListaERRORI[[#This Row],[Percentage of error ammount]]&gt;='Weight tables'!$B$10:$B$13)*(ListaERRORI[[#This Row],[Percentage of error ammount]]&lt;='Weight tables'!$C$10:$C$13),0),1)</f>
        <v>0</v>
      </c>
      <c r="K37" s="2">
        <f t="shared" si="0"/>
        <v>0</v>
      </c>
    </row>
    <row r="38" spans="1:11" x14ac:dyDescent="0.25">
      <c r="A38" s="13">
        <v>37</v>
      </c>
      <c r="B38" s="13" t="s">
        <v>143</v>
      </c>
      <c r="C38" s="13">
        <v>4</v>
      </c>
      <c r="D38" s="13" t="s">
        <v>117</v>
      </c>
      <c r="E38" s="42">
        <f>SUMIFS(ERRORI__3[[#All],[Value.total]],ERRORI__3[[#All],[Value.typologyOfErrorId]],ListaERRORI[[#This Row],[Column1.id]])</f>
        <v>0</v>
      </c>
      <c r="F38" s="2">
        <f>COUNTIFS(Errors!G:G,ListaERRORI[[#This Row],[Column1.description]])</f>
        <v>0</v>
      </c>
      <c r="G38" s="16">
        <f>ListaERRORI[[#This Row],[Attendance]]/ListaERRORI[[#Totals],[Attendance]]</f>
        <v>0</v>
      </c>
      <c r="H38" s="16">
        <f>IFERROR(ListaERRORI[[#This Row],[Amount]]/$E$103,0)</f>
        <v>0</v>
      </c>
      <c r="I38" s="81" cm="1">
        <f t="array" ref="I38">INDEX('Weight tables'!$A$4:$C$7,MATCH(1,(ListaERRORI[[#This Row],[Percentage of attendance]]&gt;='Weight tables'!$B$4:$B$7)*(ListaERRORI[[#This Row],[Percentage of attendance]]&lt;='Weight tables'!$C$4:$C$7),0),1)</f>
        <v>0</v>
      </c>
      <c r="J38" s="81" cm="1">
        <f t="array" ref="J38">INDEX('Weight tables'!$A$10:$C$13,MATCH(1,(ListaERRORI[[#This Row],[Percentage of error ammount]]&gt;='Weight tables'!$B$10:$B$13)*(ListaERRORI[[#This Row],[Percentage of error ammount]]&lt;='Weight tables'!$C$10:$C$13),0),1)</f>
        <v>0</v>
      </c>
      <c r="K38" s="2">
        <f t="shared" si="0"/>
        <v>0</v>
      </c>
    </row>
    <row r="39" spans="1:11" x14ac:dyDescent="0.25">
      <c r="A39" s="13">
        <v>38</v>
      </c>
      <c r="B39" s="13" t="s">
        <v>144</v>
      </c>
      <c r="C39" s="13">
        <v>4</v>
      </c>
      <c r="D39" s="13" t="s">
        <v>119</v>
      </c>
      <c r="E39" s="42">
        <f>SUMIFS(ERRORI__3[[#All],[Value.total]],ERRORI__3[[#All],[Value.typologyOfErrorId]],ListaERRORI[[#This Row],[Column1.id]])</f>
        <v>0</v>
      </c>
      <c r="F39" s="2">
        <f>COUNTIFS(Errors!G:G,ListaERRORI[[#This Row],[Column1.description]])</f>
        <v>0</v>
      </c>
      <c r="G39" s="16">
        <f>ListaERRORI[[#This Row],[Attendance]]/ListaERRORI[[#Totals],[Attendance]]</f>
        <v>0</v>
      </c>
      <c r="H39" s="16">
        <f>IFERROR(ListaERRORI[[#This Row],[Amount]]/$E$103,0)</f>
        <v>0</v>
      </c>
      <c r="I39" s="81" cm="1">
        <f t="array" ref="I39">INDEX('Weight tables'!$A$4:$C$7,MATCH(1,(ListaERRORI[[#This Row],[Percentage of attendance]]&gt;='Weight tables'!$B$4:$B$7)*(ListaERRORI[[#This Row],[Percentage of attendance]]&lt;='Weight tables'!$C$4:$C$7),0),1)</f>
        <v>0</v>
      </c>
      <c r="J39" s="81" cm="1">
        <f t="array" ref="J39">INDEX('Weight tables'!$A$10:$C$13,MATCH(1,(ListaERRORI[[#This Row],[Percentage of error ammount]]&gt;='Weight tables'!$B$10:$B$13)*(ListaERRORI[[#This Row],[Percentage of error ammount]]&lt;='Weight tables'!$C$10:$C$13),0),1)</f>
        <v>0</v>
      </c>
      <c r="K39" s="2">
        <f t="shared" si="0"/>
        <v>0</v>
      </c>
    </row>
    <row r="40" spans="1:11" x14ac:dyDescent="0.25">
      <c r="A40" s="13">
        <v>39</v>
      </c>
      <c r="B40" s="13" t="s">
        <v>145</v>
      </c>
      <c r="C40" s="13">
        <v>4</v>
      </c>
      <c r="D40" s="13" t="s">
        <v>120</v>
      </c>
      <c r="E40" s="42">
        <f>SUMIFS(ERRORI__3[[#All],[Value.total]],ERRORI__3[[#All],[Value.typologyOfErrorId]],ListaERRORI[[#This Row],[Column1.id]])</f>
        <v>0</v>
      </c>
      <c r="F40" s="2">
        <f>COUNTIFS(Errors!G:G,ListaERRORI[[#This Row],[Column1.description]])</f>
        <v>0</v>
      </c>
      <c r="G40" s="16">
        <f>ListaERRORI[[#This Row],[Attendance]]/ListaERRORI[[#Totals],[Attendance]]</f>
        <v>0</v>
      </c>
      <c r="H40" s="16">
        <f>IFERROR(ListaERRORI[[#This Row],[Amount]]/$E$103,0)</f>
        <v>0</v>
      </c>
      <c r="I40" s="81" cm="1">
        <f t="array" ref="I40">INDEX('Weight tables'!$A$4:$C$7,MATCH(1,(ListaERRORI[[#This Row],[Percentage of attendance]]&gt;='Weight tables'!$B$4:$B$7)*(ListaERRORI[[#This Row],[Percentage of attendance]]&lt;='Weight tables'!$C$4:$C$7),0),1)</f>
        <v>0</v>
      </c>
      <c r="J40" s="81" cm="1">
        <f t="array" ref="J40">INDEX('Weight tables'!$A$10:$C$13,MATCH(1,(ListaERRORI[[#This Row],[Percentage of error ammount]]&gt;='Weight tables'!$B$10:$B$13)*(ListaERRORI[[#This Row],[Percentage of error ammount]]&lt;='Weight tables'!$C$10:$C$13),0),1)</f>
        <v>0</v>
      </c>
      <c r="K40" s="2">
        <f t="shared" si="0"/>
        <v>0</v>
      </c>
    </row>
    <row r="41" spans="1:11" x14ac:dyDescent="0.25">
      <c r="A41" s="13">
        <v>40</v>
      </c>
      <c r="B41" s="13" t="s">
        <v>146</v>
      </c>
      <c r="C41" s="13">
        <v>4</v>
      </c>
      <c r="D41" s="13" t="s">
        <v>121</v>
      </c>
      <c r="E41" s="42">
        <f>SUMIFS(ERRORI__3[[#All],[Value.total]],ERRORI__3[[#All],[Value.typologyOfErrorId]],ListaERRORI[[#This Row],[Column1.id]])</f>
        <v>0</v>
      </c>
      <c r="F41" s="2">
        <f>COUNTIFS(Errors!G:G,ListaERRORI[[#This Row],[Column1.description]])</f>
        <v>0</v>
      </c>
      <c r="G41" s="16">
        <f>ListaERRORI[[#This Row],[Attendance]]/ListaERRORI[[#Totals],[Attendance]]</f>
        <v>0</v>
      </c>
      <c r="H41" s="16">
        <f>IFERROR(ListaERRORI[[#This Row],[Amount]]/$E$103,0)</f>
        <v>0</v>
      </c>
      <c r="I41" s="81" cm="1">
        <f t="array" ref="I41">INDEX('Weight tables'!$A$4:$C$7,MATCH(1,(ListaERRORI[[#This Row],[Percentage of attendance]]&gt;='Weight tables'!$B$4:$B$7)*(ListaERRORI[[#This Row],[Percentage of attendance]]&lt;='Weight tables'!$C$4:$C$7),0),1)</f>
        <v>0</v>
      </c>
      <c r="J41" s="81" cm="1">
        <f t="array" ref="J41">INDEX('Weight tables'!$A$10:$C$13,MATCH(1,(ListaERRORI[[#This Row],[Percentage of error ammount]]&gt;='Weight tables'!$B$10:$B$13)*(ListaERRORI[[#This Row],[Percentage of error ammount]]&lt;='Weight tables'!$C$10:$C$13),0),1)</f>
        <v>0</v>
      </c>
      <c r="K41" s="2">
        <f t="shared" si="0"/>
        <v>0</v>
      </c>
    </row>
    <row r="42" spans="1:11" x14ac:dyDescent="0.25">
      <c r="A42" s="13">
        <v>41</v>
      </c>
      <c r="B42" s="13" t="s">
        <v>147</v>
      </c>
      <c r="C42" s="13">
        <v>4</v>
      </c>
      <c r="D42" s="13" t="s">
        <v>122</v>
      </c>
      <c r="E42" s="42">
        <f>SUMIFS(ERRORI__3[[#All],[Value.total]],ERRORI__3[[#All],[Value.typologyOfErrorId]],ListaERRORI[[#This Row],[Column1.id]])</f>
        <v>0</v>
      </c>
      <c r="F42" s="2">
        <f>COUNTIFS(Errors!G:G,ListaERRORI[[#This Row],[Column1.description]])</f>
        <v>0</v>
      </c>
      <c r="G42" s="16">
        <f>ListaERRORI[[#This Row],[Attendance]]/ListaERRORI[[#Totals],[Attendance]]</f>
        <v>0</v>
      </c>
      <c r="H42" s="16">
        <f>IFERROR(ListaERRORI[[#This Row],[Amount]]/$E$103,0)</f>
        <v>0</v>
      </c>
      <c r="I42" s="81" cm="1">
        <f t="array" ref="I42">INDEX('Weight tables'!$A$4:$C$7,MATCH(1,(ListaERRORI[[#This Row],[Percentage of attendance]]&gt;='Weight tables'!$B$4:$B$7)*(ListaERRORI[[#This Row],[Percentage of attendance]]&lt;='Weight tables'!$C$4:$C$7),0),1)</f>
        <v>0</v>
      </c>
      <c r="J42" s="81" cm="1">
        <f t="array" ref="J42">INDEX('Weight tables'!$A$10:$C$13,MATCH(1,(ListaERRORI[[#This Row],[Percentage of error ammount]]&gt;='Weight tables'!$B$10:$B$13)*(ListaERRORI[[#This Row],[Percentage of error ammount]]&lt;='Weight tables'!$C$10:$C$13),0),1)</f>
        <v>0</v>
      </c>
      <c r="K42" s="2">
        <f t="shared" si="0"/>
        <v>0</v>
      </c>
    </row>
    <row r="43" spans="1:11" x14ac:dyDescent="0.25">
      <c r="A43" s="13">
        <v>42</v>
      </c>
      <c r="B43" s="13" t="s">
        <v>148</v>
      </c>
      <c r="C43" s="13">
        <v>4</v>
      </c>
      <c r="D43" s="13" t="s">
        <v>149</v>
      </c>
      <c r="E43" s="42">
        <f>SUMIFS(ERRORI__3[[#All],[Value.total]],ERRORI__3[[#All],[Value.typologyOfErrorId]],ListaERRORI[[#This Row],[Column1.id]])</f>
        <v>0</v>
      </c>
      <c r="F43" s="2">
        <f>COUNTIFS(Errors!G:G,ListaERRORI[[#This Row],[Column1.description]])</f>
        <v>0</v>
      </c>
      <c r="G43" s="16">
        <f>ListaERRORI[[#This Row],[Attendance]]/ListaERRORI[[#Totals],[Attendance]]</f>
        <v>0</v>
      </c>
      <c r="H43" s="16">
        <f>IFERROR(ListaERRORI[[#This Row],[Amount]]/$E$103,0)</f>
        <v>0</v>
      </c>
      <c r="I43" s="81" cm="1">
        <f t="array" ref="I43">INDEX('Weight tables'!$A$4:$C$7,MATCH(1,(ListaERRORI[[#This Row],[Percentage of attendance]]&gt;='Weight tables'!$B$4:$B$7)*(ListaERRORI[[#This Row],[Percentage of attendance]]&lt;='Weight tables'!$C$4:$C$7),0),1)</f>
        <v>0</v>
      </c>
      <c r="J43" s="81" cm="1">
        <f t="array" ref="J43">INDEX('Weight tables'!$A$10:$C$13,MATCH(1,(ListaERRORI[[#This Row],[Percentage of error ammount]]&gt;='Weight tables'!$B$10:$B$13)*(ListaERRORI[[#This Row],[Percentage of error ammount]]&lt;='Weight tables'!$C$10:$C$13),0),1)</f>
        <v>0</v>
      </c>
      <c r="K43" s="2">
        <f t="shared" si="0"/>
        <v>0</v>
      </c>
    </row>
    <row r="44" spans="1:11" x14ac:dyDescent="0.25">
      <c r="A44" s="13">
        <v>43</v>
      </c>
      <c r="B44" s="13" t="s">
        <v>150</v>
      </c>
      <c r="C44" s="13">
        <v>4</v>
      </c>
      <c r="D44" s="13" t="s">
        <v>151</v>
      </c>
      <c r="E44" s="42">
        <f>SUMIFS(ERRORI__3[[#All],[Value.total]],ERRORI__3[[#All],[Value.typologyOfErrorId]],ListaERRORI[[#This Row],[Column1.id]])</f>
        <v>0</v>
      </c>
      <c r="F44" s="2">
        <f>COUNTIFS(Errors!G:G,ListaERRORI[[#This Row],[Column1.description]])</f>
        <v>0</v>
      </c>
      <c r="G44" s="16">
        <f>ListaERRORI[[#This Row],[Attendance]]/ListaERRORI[[#Totals],[Attendance]]</f>
        <v>0</v>
      </c>
      <c r="H44" s="16">
        <f>IFERROR(ListaERRORI[[#This Row],[Amount]]/$E$103,0)</f>
        <v>0</v>
      </c>
      <c r="I44" s="81" cm="1">
        <f t="array" ref="I44">INDEX('Weight tables'!$A$4:$C$7,MATCH(1,(ListaERRORI[[#This Row],[Percentage of attendance]]&gt;='Weight tables'!$B$4:$B$7)*(ListaERRORI[[#This Row],[Percentage of attendance]]&lt;='Weight tables'!$C$4:$C$7),0),1)</f>
        <v>0</v>
      </c>
      <c r="J44" s="81" cm="1">
        <f t="array" ref="J44">INDEX('Weight tables'!$A$10:$C$13,MATCH(1,(ListaERRORI[[#This Row],[Percentage of error ammount]]&gt;='Weight tables'!$B$10:$B$13)*(ListaERRORI[[#This Row],[Percentage of error ammount]]&lt;='Weight tables'!$C$10:$C$13),0),1)</f>
        <v>0</v>
      </c>
      <c r="K44" s="2">
        <f t="shared" si="0"/>
        <v>0</v>
      </c>
    </row>
    <row r="45" spans="1:11" x14ac:dyDescent="0.25">
      <c r="A45" s="13">
        <v>44</v>
      </c>
      <c r="B45" s="13" t="s">
        <v>152</v>
      </c>
      <c r="C45" s="13">
        <v>4</v>
      </c>
      <c r="D45" s="13" t="s">
        <v>153</v>
      </c>
      <c r="E45" s="42">
        <f>SUMIFS(ERRORI__3[[#All],[Value.total]],ERRORI__3[[#All],[Value.typologyOfErrorId]],ListaERRORI[[#This Row],[Column1.id]])</f>
        <v>0</v>
      </c>
      <c r="F45" s="2">
        <f>COUNTIFS(Errors!G:G,ListaERRORI[[#This Row],[Column1.description]])</f>
        <v>0</v>
      </c>
      <c r="G45" s="16">
        <f>ListaERRORI[[#This Row],[Attendance]]/ListaERRORI[[#Totals],[Attendance]]</f>
        <v>0</v>
      </c>
      <c r="H45" s="16">
        <f>IFERROR(ListaERRORI[[#This Row],[Amount]]/$E$103,0)</f>
        <v>0</v>
      </c>
      <c r="I45" s="81" cm="1">
        <f t="array" ref="I45">INDEX('Weight tables'!$A$4:$C$7,MATCH(1,(ListaERRORI[[#This Row],[Percentage of attendance]]&gt;='Weight tables'!$B$4:$B$7)*(ListaERRORI[[#This Row],[Percentage of attendance]]&lt;='Weight tables'!$C$4:$C$7),0),1)</f>
        <v>0</v>
      </c>
      <c r="J45" s="81" cm="1">
        <f t="array" ref="J45">INDEX('Weight tables'!$A$10:$C$13,MATCH(1,(ListaERRORI[[#This Row],[Percentage of error ammount]]&gt;='Weight tables'!$B$10:$B$13)*(ListaERRORI[[#This Row],[Percentage of error ammount]]&lt;='Weight tables'!$C$10:$C$13),0),1)</f>
        <v>0</v>
      </c>
      <c r="K45" s="2">
        <f t="shared" si="0"/>
        <v>0</v>
      </c>
    </row>
    <row r="46" spans="1:11" x14ac:dyDescent="0.25">
      <c r="A46" s="13">
        <v>45</v>
      </c>
      <c r="B46" s="13" t="s">
        <v>154</v>
      </c>
      <c r="C46" s="13">
        <v>4</v>
      </c>
      <c r="D46" s="13" t="s">
        <v>155</v>
      </c>
      <c r="E46" s="42">
        <f>SUMIFS(ERRORI__3[[#All],[Value.total]],ERRORI__3[[#All],[Value.typologyOfErrorId]],ListaERRORI[[#This Row],[Column1.id]])</f>
        <v>0</v>
      </c>
      <c r="F46" s="2">
        <f>COUNTIFS(Errors!G:G,ListaERRORI[[#This Row],[Column1.description]])</f>
        <v>0</v>
      </c>
      <c r="G46" s="16">
        <f>ListaERRORI[[#This Row],[Attendance]]/ListaERRORI[[#Totals],[Attendance]]</f>
        <v>0</v>
      </c>
      <c r="H46" s="16">
        <f>IFERROR(ListaERRORI[[#This Row],[Amount]]/$E$103,0)</f>
        <v>0</v>
      </c>
      <c r="I46" s="81" cm="1">
        <f t="array" ref="I46">INDEX('Weight tables'!$A$4:$C$7,MATCH(1,(ListaERRORI[[#This Row],[Percentage of attendance]]&gt;='Weight tables'!$B$4:$B$7)*(ListaERRORI[[#This Row],[Percentage of attendance]]&lt;='Weight tables'!$C$4:$C$7),0),1)</f>
        <v>0</v>
      </c>
      <c r="J46" s="81" cm="1">
        <f t="array" ref="J46">INDEX('Weight tables'!$A$10:$C$13,MATCH(1,(ListaERRORI[[#This Row],[Percentage of error ammount]]&gt;='Weight tables'!$B$10:$B$13)*(ListaERRORI[[#This Row],[Percentage of error ammount]]&lt;='Weight tables'!$C$10:$C$13),0),1)</f>
        <v>0</v>
      </c>
      <c r="K46" s="2">
        <f t="shared" si="0"/>
        <v>0</v>
      </c>
    </row>
    <row r="47" spans="1:11" x14ac:dyDescent="0.25">
      <c r="A47" s="13">
        <v>46</v>
      </c>
      <c r="B47" s="13" t="s">
        <v>156</v>
      </c>
      <c r="C47" s="13">
        <v>4</v>
      </c>
      <c r="D47" s="13" t="s">
        <v>157</v>
      </c>
      <c r="E47" s="42">
        <f>SUMIFS(ERRORI__3[[#All],[Value.total]],ERRORI__3[[#All],[Value.typologyOfErrorId]],ListaERRORI[[#This Row],[Column1.id]])</f>
        <v>0</v>
      </c>
      <c r="F47" s="2">
        <f>COUNTIFS(Errors!G:G,ListaERRORI[[#This Row],[Column1.description]])</f>
        <v>0</v>
      </c>
      <c r="G47" s="16">
        <f>ListaERRORI[[#This Row],[Attendance]]/ListaERRORI[[#Totals],[Attendance]]</f>
        <v>0</v>
      </c>
      <c r="H47" s="16">
        <f>IFERROR(ListaERRORI[[#This Row],[Amount]]/$E$103,0)</f>
        <v>0</v>
      </c>
      <c r="I47" s="81" cm="1">
        <f t="array" ref="I47">INDEX('Weight tables'!$A$4:$C$7,MATCH(1,(ListaERRORI[[#This Row],[Percentage of attendance]]&gt;='Weight tables'!$B$4:$B$7)*(ListaERRORI[[#This Row],[Percentage of attendance]]&lt;='Weight tables'!$C$4:$C$7),0),1)</f>
        <v>0</v>
      </c>
      <c r="J47" s="81" cm="1">
        <f t="array" ref="J47">INDEX('Weight tables'!$A$10:$C$13,MATCH(1,(ListaERRORI[[#This Row],[Percentage of error ammount]]&gt;='Weight tables'!$B$10:$B$13)*(ListaERRORI[[#This Row],[Percentage of error ammount]]&lt;='Weight tables'!$C$10:$C$13),0),1)</f>
        <v>0</v>
      </c>
      <c r="K47" s="2">
        <f t="shared" si="0"/>
        <v>0</v>
      </c>
    </row>
    <row r="48" spans="1:11" x14ac:dyDescent="0.25">
      <c r="A48" s="13">
        <v>47</v>
      </c>
      <c r="B48" s="13" t="s">
        <v>158</v>
      </c>
      <c r="C48" s="13">
        <v>4</v>
      </c>
      <c r="D48" s="13" t="s">
        <v>159</v>
      </c>
      <c r="E48" s="42">
        <f>SUMIFS(ERRORI__3[[#All],[Value.total]],ERRORI__3[[#All],[Value.typologyOfErrorId]],ListaERRORI[[#This Row],[Column1.id]])</f>
        <v>0</v>
      </c>
      <c r="F48" s="2">
        <f>COUNTIFS(Errors!G:G,ListaERRORI[[#This Row],[Column1.description]])</f>
        <v>0</v>
      </c>
      <c r="G48" s="16">
        <f>ListaERRORI[[#This Row],[Attendance]]/ListaERRORI[[#Totals],[Attendance]]</f>
        <v>0</v>
      </c>
      <c r="H48" s="16">
        <f>IFERROR(ListaERRORI[[#This Row],[Amount]]/$E$103,0)</f>
        <v>0</v>
      </c>
      <c r="I48" s="81" cm="1">
        <f t="array" ref="I48">INDEX('Weight tables'!$A$4:$C$7,MATCH(1,(ListaERRORI[[#This Row],[Percentage of attendance]]&gt;='Weight tables'!$B$4:$B$7)*(ListaERRORI[[#This Row],[Percentage of attendance]]&lt;='Weight tables'!$C$4:$C$7),0),1)</f>
        <v>0</v>
      </c>
      <c r="J48" s="81" cm="1">
        <f t="array" ref="J48">INDEX('Weight tables'!$A$10:$C$13,MATCH(1,(ListaERRORI[[#This Row],[Percentage of error ammount]]&gt;='Weight tables'!$B$10:$B$13)*(ListaERRORI[[#This Row],[Percentage of error ammount]]&lt;='Weight tables'!$C$10:$C$13),0),1)</f>
        <v>0</v>
      </c>
      <c r="K48" s="2">
        <f t="shared" si="0"/>
        <v>0</v>
      </c>
    </row>
    <row r="49" spans="1:11" x14ac:dyDescent="0.25">
      <c r="A49" s="13">
        <v>48</v>
      </c>
      <c r="B49" s="13" t="s">
        <v>160</v>
      </c>
      <c r="C49" s="13">
        <v>4</v>
      </c>
      <c r="D49" s="13" t="s">
        <v>161</v>
      </c>
      <c r="E49" s="42">
        <f>SUMIFS(ERRORI__3[[#All],[Value.total]],ERRORI__3[[#All],[Value.typologyOfErrorId]],ListaERRORI[[#This Row],[Column1.id]])</f>
        <v>0</v>
      </c>
      <c r="F49" s="2">
        <f>COUNTIFS(Errors!G:G,ListaERRORI[[#This Row],[Column1.description]])</f>
        <v>0</v>
      </c>
      <c r="G49" s="16">
        <f>ListaERRORI[[#This Row],[Attendance]]/ListaERRORI[[#Totals],[Attendance]]</f>
        <v>0</v>
      </c>
      <c r="H49" s="16">
        <f>IFERROR(ListaERRORI[[#This Row],[Amount]]/$E$103,0)</f>
        <v>0</v>
      </c>
      <c r="I49" s="81" cm="1">
        <f t="array" ref="I49">INDEX('Weight tables'!$A$4:$C$7,MATCH(1,(ListaERRORI[[#This Row],[Percentage of attendance]]&gt;='Weight tables'!$B$4:$B$7)*(ListaERRORI[[#This Row],[Percentage of attendance]]&lt;='Weight tables'!$C$4:$C$7),0),1)</f>
        <v>0</v>
      </c>
      <c r="J49" s="81" cm="1">
        <f t="array" ref="J49">INDEX('Weight tables'!$A$10:$C$13,MATCH(1,(ListaERRORI[[#This Row],[Percentage of error ammount]]&gt;='Weight tables'!$B$10:$B$13)*(ListaERRORI[[#This Row],[Percentage of error ammount]]&lt;='Weight tables'!$C$10:$C$13),0),1)</f>
        <v>0</v>
      </c>
      <c r="K49" s="2">
        <f t="shared" si="0"/>
        <v>0</v>
      </c>
    </row>
    <row r="50" spans="1:11" x14ac:dyDescent="0.25">
      <c r="A50" s="13">
        <v>49</v>
      </c>
      <c r="B50" s="13" t="s">
        <v>162</v>
      </c>
      <c r="C50" s="13">
        <v>4</v>
      </c>
      <c r="D50" s="13" t="s">
        <v>163</v>
      </c>
      <c r="E50" s="42">
        <f>SUMIFS(ERRORI__3[[#All],[Value.total]],ERRORI__3[[#All],[Value.typologyOfErrorId]],ListaERRORI[[#This Row],[Column1.id]])</f>
        <v>0</v>
      </c>
      <c r="F50" s="2">
        <f>COUNTIFS(Errors!G:G,ListaERRORI[[#This Row],[Column1.description]])</f>
        <v>0</v>
      </c>
      <c r="G50" s="16">
        <f>ListaERRORI[[#This Row],[Attendance]]/ListaERRORI[[#Totals],[Attendance]]</f>
        <v>0</v>
      </c>
      <c r="H50" s="16">
        <f>IFERROR(ListaERRORI[[#This Row],[Amount]]/$E$103,0)</f>
        <v>0</v>
      </c>
      <c r="I50" s="81" cm="1">
        <f t="array" ref="I50">INDEX('Weight tables'!$A$4:$C$7,MATCH(1,(ListaERRORI[[#This Row],[Percentage of attendance]]&gt;='Weight tables'!$B$4:$B$7)*(ListaERRORI[[#This Row],[Percentage of attendance]]&lt;='Weight tables'!$C$4:$C$7),0),1)</f>
        <v>0</v>
      </c>
      <c r="J50" s="81" cm="1">
        <f t="array" ref="J50">INDEX('Weight tables'!$A$10:$C$13,MATCH(1,(ListaERRORI[[#This Row],[Percentage of error ammount]]&gt;='Weight tables'!$B$10:$B$13)*(ListaERRORI[[#This Row],[Percentage of error ammount]]&lt;='Weight tables'!$C$10:$C$13),0),1)</f>
        <v>0</v>
      </c>
      <c r="K50" s="2">
        <f t="shared" si="0"/>
        <v>0</v>
      </c>
    </row>
    <row r="51" spans="1:11" x14ac:dyDescent="0.25">
      <c r="A51" s="13">
        <v>50</v>
      </c>
      <c r="B51" s="13" t="s">
        <v>164</v>
      </c>
      <c r="C51" s="13">
        <v>4</v>
      </c>
      <c r="D51" s="13" t="s">
        <v>165</v>
      </c>
      <c r="E51" s="42">
        <f>SUMIFS(ERRORI__3[[#All],[Value.total]],ERRORI__3[[#All],[Value.typologyOfErrorId]],ListaERRORI[[#This Row],[Column1.id]])</f>
        <v>0</v>
      </c>
      <c r="F51" s="2">
        <f>COUNTIFS(Errors!G:G,ListaERRORI[[#This Row],[Column1.description]])</f>
        <v>0</v>
      </c>
      <c r="G51" s="16">
        <f>ListaERRORI[[#This Row],[Attendance]]/ListaERRORI[[#Totals],[Attendance]]</f>
        <v>0</v>
      </c>
      <c r="H51" s="16">
        <f>IFERROR(ListaERRORI[[#This Row],[Amount]]/$E$103,0)</f>
        <v>0</v>
      </c>
      <c r="I51" s="81" cm="1">
        <f t="array" ref="I51">INDEX('Weight tables'!$A$4:$C$7,MATCH(1,(ListaERRORI[[#This Row],[Percentage of attendance]]&gt;='Weight tables'!$B$4:$B$7)*(ListaERRORI[[#This Row],[Percentage of attendance]]&lt;='Weight tables'!$C$4:$C$7),0),1)</f>
        <v>0</v>
      </c>
      <c r="J51" s="81" cm="1">
        <f t="array" ref="J51">INDEX('Weight tables'!$A$10:$C$13,MATCH(1,(ListaERRORI[[#This Row],[Percentage of error ammount]]&gt;='Weight tables'!$B$10:$B$13)*(ListaERRORI[[#This Row],[Percentage of error ammount]]&lt;='Weight tables'!$C$10:$C$13),0),1)</f>
        <v>0</v>
      </c>
      <c r="K51" s="2">
        <f t="shared" si="0"/>
        <v>0</v>
      </c>
    </row>
    <row r="52" spans="1:11" x14ac:dyDescent="0.25">
      <c r="A52" s="13">
        <v>51</v>
      </c>
      <c r="B52" s="13" t="s">
        <v>166</v>
      </c>
      <c r="C52" s="13">
        <v>4</v>
      </c>
      <c r="D52" s="13" t="s">
        <v>167</v>
      </c>
      <c r="E52" s="42">
        <f>SUMIFS(ERRORI__3[[#All],[Value.total]],ERRORI__3[[#All],[Value.typologyOfErrorId]],ListaERRORI[[#This Row],[Column1.id]])</f>
        <v>0</v>
      </c>
      <c r="F52" s="2">
        <f>COUNTIFS(Errors!G:G,ListaERRORI[[#This Row],[Column1.description]])</f>
        <v>0</v>
      </c>
      <c r="G52" s="16">
        <f>ListaERRORI[[#This Row],[Attendance]]/ListaERRORI[[#Totals],[Attendance]]</f>
        <v>0</v>
      </c>
      <c r="H52" s="16">
        <f>IFERROR(ListaERRORI[[#This Row],[Amount]]/$E$103,0)</f>
        <v>0</v>
      </c>
      <c r="I52" s="81" cm="1">
        <f t="array" ref="I52">INDEX('Weight tables'!$A$4:$C$7,MATCH(1,(ListaERRORI[[#This Row],[Percentage of attendance]]&gt;='Weight tables'!$B$4:$B$7)*(ListaERRORI[[#This Row],[Percentage of attendance]]&lt;='Weight tables'!$C$4:$C$7),0),1)</f>
        <v>0</v>
      </c>
      <c r="J52" s="81" cm="1">
        <f t="array" ref="J52">INDEX('Weight tables'!$A$10:$C$13,MATCH(1,(ListaERRORI[[#This Row],[Percentage of error ammount]]&gt;='Weight tables'!$B$10:$B$13)*(ListaERRORI[[#This Row],[Percentage of error ammount]]&lt;='Weight tables'!$C$10:$C$13),0),1)</f>
        <v>0</v>
      </c>
      <c r="K52" s="2">
        <f t="shared" si="0"/>
        <v>0</v>
      </c>
    </row>
    <row r="53" spans="1:11" x14ac:dyDescent="0.25">
      <c r="A53" s="13">
        <v>52</v>
      </c>
      <c r="B53" s="13" t="s">
        <v>168</v>
      </c>
      <c r="C53" s="13">
        <v>4</v>
      </c>
      <c r="D53" s="13" t="s">
        <v>169</v>
      </c>
      <c r="E53" s="42">
        <f>SUMIFS(ERRORI__3[[#All],[Value.total]],ERRORI__3[[#All],[Value.typologyOfErrorId]],ListaERRORI[[#This Row],[Column1.id]])</f>
        <v>0</v>
      </c>
      <c r="F53" s="2">
        <f>COUNTIFS(Errors!G:G,ListaERRORI[[#This Row],[Column1.description]])</f>
        <v>0</v>
      </c>
      <c r="G53" s="16">
        <f>ListaERRORI[[#This Row],[Attendance]]/ListaERRORI[[#Totals],[Attendance]]</f>
        <v>0</v>
      </c>
      <c r="H53" s="16">
        <f>IFERROR(ListaERRORI[[#This Row],[Amount]]/$E$103,0)</f>
        <v>0</v>
      </c>
      <c r="I53" s="81" cm="1">
        <f t="array" ref="I53">INDEX('Weight tables'!$A$4:$C$7,MATCH(1,(ListaERRORI[[#This Row],[Percentage of attendance]]&gt;='Weight tables'!$B$4:$B$7)*(ListaERRORI[[#This Row],[Percentage of attendance]]&lt;='Weight tables'!$C$4:$C$7),0),1)</f>
        <v>0</v>
      </c>
      <c r="J53" s="81" cm="1">
        <f t="array" ref="J53">INDEX('Weight tables'!$A$10:$C$13,MATCH(1,(ListaERRORI[[#This Row],[Percentage of error ammount]]&gt;='Weight tables'!$B$10:$B$13)*(ListaERRORI[[#This Row],[Percentage of error ammount]]&lt;='Weight tables'!$C$10:$C$13),0),1)</f>
        <v>0</v>
      </c>
      <c r="K53" s="2">
        <f t="shared" si="0"/>
        <v>0</v>
      </c>
    </row>
    <row r="54" spans="1:11" x14ac:dyDescent="0.25">
      <c r="A54" s="13">
        <v>53</v>
      </c>
      <c r="B54" s="13" t="s">
        <v>170</v>
      </c>
      <c r="C54" s="13">
        <v>4</v>
      </c>
      <c r="D54" s="13" t="s">
        <v>171</v>
      </c>
      <c r="E54" s="42">
        <f>SUMIFS(ERRORI__3[[#All],[Value.total]],ERRORI__3[[#All],[Value.typologyOfErrorId]],ListaERRORI[[#This Row],[Column1.id]])</f>
        <v>0</v>
      </c>
      <c r="F54" s="2">
        <f>COUNTIFS(Errors!G:G,ListaERRORI[[#This Row],[Column1.description]])</f>
        <v>0</v>
      </c>
      <c r="G54" s="16">
        <f>ListaERRORI[[#This Row],[Attendance]]/ListaERRORI[[#Totals],[Attendance]]</f>
        <v>0</v>
      </c>
      <c r="H54" s="16">
        <f>IFERROR(ListaERRORI[[#This Row],[Amount]]/$E$103,0)</f>
        <v>0</v>
      </c>
      <c r="I54" s="81" cm="1">
        <f t="array" ref="I54">INDEX('Weight tables'!$A$4:$C$7,MATCH(1,(ListaERRORI[[#This Row],[Percentage of attendance]]&gt;='Weight tables'!$B$4:$B$7)*(ListaERRORI[[#This Row],[Percentage of attendance]]&lt;='Weight tables'!$C$4:$C$7),0),1)</f>
        <v>0</v>
      </c>
      <c r="J54" s="81" cm="1">
        <f t="array" ref="J54">INDEX('Weight tables'!$A$10:$C$13,MATCH(1,(ListaERRORI[[#This Row],[Percentage of error ammount]]&gt;='Weight tables'!$B$10:$B$13)*(ListaERRORI[[#This Row],[Percentage of error ammount]]&lt;='Weight tables'!$C$10:$C$13),0),1)</f>
        <v>0</v>
      </c>
      <c r="K54" s="2">
        <f t="shared" si="0"/>
        <v>0</v>
      </c>
    </row>
    <row r="55" spans="1:11" x14ac:dyDescent="0.25">
      <c r="A55" s="13">
        <v>54</v>
      </c>
      <c r="B55" s="13" t="s">
        <v>172</v>
      </c>
      <c r="C55" s="13">
        <v>5</v>
      </c>
      <c r="D55" s="13" t="s">
        <v>101</v>
      </c>
      <c r="E55" s="42">
        <f>SUMIFS(ERRORI__3[[#All],[Value.total]],ERRORI__3[[#All],[Value.typologyOfErrorId]],ListaERRORI[[#This Row],[Column1.id]])</f>
        <v>0</v>
      </c>
      <c r="F55" s="2">
        <f>COUNTIFS(Errors!G:G,ListaERRORI[[#This Row],[Column1.description]])</f>
        <v>0</v>
      </c>
      <c r="G55" s="16">
        <f>ListaERRORI[[#This Row],[Attendance]]/ListaERRORI[[#Totals],[Attendance]]</f>
        <v>0</v>
      </c>
      <c r="H55" s="16">
        <f>IFERROR(ListaERRORI[[#This Row],[Amount]]/$E$103,0)</f>
        <v>0</v>
      </c>
      <c r="I55" s="81" cm="1">
        <f t="array" ref="I55">INDEX('Weight tables'!$A$4:$C$7,MATCH(1,(ListaERRORI[[#This Row],[Percentage of attendance]]&gt;='Weight tables'!$B$4:$B$7)*(ListaERRORI[[#This Row],[Percentage of attendance]]&lt;='Weight tables'!$C$4:$C$7),0),1)</f>
        <v>0</v>
      </c>
      <c r="J55" s="81" cm="1">
        <f t="array" ref="J55">INDEX('Weight tables'!$A$10:$C$13,MATCH(1,(ListaERRORI[[#This Row],[Percentage of error ammount]]&gt;='Weight tables'!$B$10:$B$13)*(ListaERRORI[[#This Row],[Percentage of error ammount]]&lt;='Weight tables'!$C$10:$C$13),0),1)</f>
        <v>0</v>
      </c>
      <c r="K55" s="2">
        <f t="shared" si="0"/>
        <v>0</v>
      </c>
    </row>
    <row r="56" spans="1:11" x14ac:dyDescent="0.25">
      <c r="A56" s="13">
        <v>55</v>
      </c>
      <c r="B56" s="13" t="s">
        <v>173</v>
      </c>
      <c r="C56" s="13">
        <v>5</v>
      </c>
      <c r="D56" s="13" t="s">
        <v>103</v>
      </c>
      <c r="E56" s="42">
        <f>SUMIFS(ERRORI__3[[#All],[Value.total]],ERRORI__3[[#All],[Value.typologyOfErrorId]],ListaERRORI[[#This Row],[Column1.id]])</f>
        <v>0</v>
      </c>
      <c r="F56" s="2">
        <f>COUNTIFS(Errors!G:G,ListaERRORI[[#This Row],[Column1.description]])</f>
        <v>0</v>
      </c>
      <c r="G56" s="16">
        <f>ListaERRORI[[#This Row],[Attendance]]/ListaERRORI[[#Totals],[Attendance]]</f>
        <v>0</v>
      </c>
      <c r="H56" s="16">
        <f>IFERROR(ListaERRORI[[#This Row],[Amount]]/$E$103,0)</f>
        <v>0</v>
      </c>
      <c r="I56" s="81" cm="1">
        <f t="array" ref="I56">INDEX('Weight tables'!$A$4:$C$7,MATCH(1,(ListaERRORI[[#This Row],[Percentage of attendance]]&gt;='Weight tables'!$B$4:$B$7)*(ListaERRORI[[#This Row],[Percentage of attendance]]&lt;='Weight tables'!$C$4:$C$7),0),1)</f>
        <v>0</v>
      </c>
      <c r="J56" s="81" cm="1">
        <f t="array" ref="J56">INDEX('Weight tables'!$A$10:$C$13,MATCH(1,(ListaERRORI[[#This Row],[Percentage of error ammount]]&gt;='Weight tables'!$B$10:$B$13)*(ListaERRORI[[#This Row],[Percentage of error ammount]]&lt;='Weight tables'!$C$10:$C$13),0),1)</f>
        <v>0</v>
      </c>
      <c r="K56" s="2">
        <f t="shared" si="0"/>
        <v>0</v>
      </c>
    </row>
    <row r="57" spans="1:11" x14ac:dyDescent="0.25">
      <c r="A57" s="13">
        <v>56</v>
      </c>
      <c r="B57" s="13" t="s">
        <v>174</v>
      </c>
      <c r="C57" s="13">
        <v>5</v>
      </c>
      <c r="D57" s="13" t="s">
        <v>104</v>
      </c>
      <c r="E57" s="42">
        <f>SUMIFS(ERRORI__3[[#All],[Value.total]],ERRORI__3[[#All],[Value.typologyOfErrorId]],ListaERRORI[[#This Row],[Column1.id]])</f>
        <v>0</v>
      </c>
      <c r="F57" s="2">
        <f>COUNTIFS(Errors!G:G,ListaERRORI[[#This Row],[Column1.description]])</f>
        <v>0</v>
      </c>
      <c r="G57" s="16">
        <f>ListaERRORI[[#This Row],[Attendance]]/ListaERRORI[[#Totals],[Attendance]]</f>
        <v>0</v>
      </c>
      <c r="H57" s="16">
        <f>IFERROR(ListaERRORI[[#This Row],[Amount]]/$E$103,0)</f>
        <v>0</v>
      </c>
      <c r="I57" s="81" cm="1">
        <f t="array" ref="I57">INDEX('Weight tables'!$A$4:$C$7,MATCH(1,(ListaERRORI[[#This Row],[Percentage of attendance]]&gt;='Weight tables'!$B$4:$B$7)*(ListaERRORI[[#This Row],[Percentage of attendance]]&lt;='Weight tables'!$C$4:$C$7),0),1)</f>
        <v>0</v>
      </c>
      <c r="J57" s="81" cm="1">
        <f t="array" ref="J57">INDEX('Weight tables'!$A$10:$C$13,MATCH(1,(ListaERRORI[[#This Row],[Percentage of error ammount]]&gt;='Weight tables'!$B$10:$B$13)*(ListaERRORI[[#This Row],[Percentage of error ammount]]&lt;='Weight tables'!$C$10:$C$13),0),1)</f>
        <v>0</v>
      </c>
      <c r="K57" s="2">
        <f t="shared" si="0"/>
        <v>0</v>
      </c>
    </row>
    <row r="58" spans="1:11" x14ac:dyDescent="0.25">
      <c r="A58" s="13">
        <v>57</v>
      </c>
      <c r="B58" s="13" t="s">
        <v>175</v>
      </c>
      <c r="C58" s="13">
        <v>5</v>
      </c>
      <c r="D58" s="13" t="s">
        <v>106</v>
      </c>
      <c r="E58" s="42">
        <f>SUMIFS(ERRORI__3[[#All],[Value.total]],ERRORI__3[[#All],[Value.typologyOfErrorId]],ListaERRORI[[#This Row],[Column1.id]])</f>
        <v>0</v>
      </c>
      <c r="F58" s="2">
        <f>COUNTIFS(Errors!G:G,ListaERRORI[[#This Row],[Column1.description]])</f>
        <v>0</v>
      </c>
      <c r="G58" s="16">
        <f>ListaERRORI[[#This Row],[Attendance]]/ListaERRORI[[#Totals],[Attendance]]</f>
        <v>0</v>
      </c>
      <c r="H58" s="16">
        <f>IFERROR(ListaERRORI[[#This Row],[Amount]]/$E$103,0)</f>
        <v>0</v>
      </c>
      <c r="I58" s="81" cm="1">
        <f t="array" ref="I58">INDEX('Weight tables'!$A$4:$C$7,MATCH(1,(ListaERRORI[[#This Row],[Percentage of attendance]]&gt;='Weight tables'!$B$4:$B$7)*(ListaERRORI[[#This Row],[Percentage of attendance]]&lt;='Weight tables'!$C$4:$C$7),0),1)</f>
        <v>0</v>
      </c>
      <c r="J58" s="81" cm="1">
        <f t="array" ref="J58">INDEX('Weight tables'!$A$10:$C$13,MATCH(1,(ListaERRORI[[#This Row],[Percentage of error ammount]]&gt;='Weight tables'!$B$10:$B$13)*(ListaERRORI[[#This Row],[Percentage of error ammount]]&lt;='Weight tables'!$C$10:$C$13),0),1)</f>
        <v>0</v>
      </c>
      <c r="K58" s="2">
        <f t="shared" si="0"/>
        <v>0</v>
      </c>
    </row>
    <row r="59" spans="1:11" x14ac:dyDescent="0.25">
      <c r="A59" s="13">
        <v>58</v>
      </c>
      <c r="B59" s="13" t="s">
        <v>176</v>
      </c>
      <c r="C59" s="13">
        <v>5</v>
      </c>
      <c r="D59" s="13" t="s">
        <v>108</v>
      </c>
      <c r="E59" s="42">
        <f>SUMIFS(ERRORI__3[[#All],[Value.total]],ERRORI__3[[#All],[Value.typologyOfErrorId]],ListaERRORI[[#This Row],[Column1.id]])</f>
        <v>0</v>
      </c>
      <c r="F59" s="2">
        <f>COUNTIFS(Errors!G:G,ListaERRORI[[#This Row],[Column1.description]])</f>
        <v>0</v>
      </c>
      <c r="G59" s="16">
        <f>ListaERRORI[[#This Row],[Attendance]]/ListaERRORI[[#Totals],[Attendance]]</f>
        <v>0</v>
      </c>
      <c r="H59" s="16">
        <f>IFERROR(ListaERRORI[[#This Row],[Amount]]/$E$103,0)</f>
        <v>0</v>
      </c>
      <c r="I59" s="81" cm="1">
        <f t="array" ref="I59">INDEX('Weight tables'!$A$4:$C$7,MATCH(1,(ListaERRORI[[#This Row],[Percentage of attendance]]&gt;='Weight tables'!$B$4:$B$7)*(ListaERRORI[[#This Row],[Percentage of attendance]]&lt;='Weight tables'!$C$4:$C$7),0),1)</f>
        <v>0</v>
      </c>
      <c r="J59" s="81" cm="1">
        <f t="array" ref="J59">INDEX('Weight tables'!$A$10:$C$13,MATCH(1,(ListaERRORI[[#This Row],[Percentage of error ammount]]&gt;='Weight tables'!$B$10:$B$13)*(ListaERRORI[[#This Row],[Percentage of error ammount]]&lt;='Weight tables'!$C$10:$C$13),0),1)</f>
        <v>0</v>
      </c>
      <c r="K59" s="2">
        <f t="shared" si="0"/>
        <v>0</v>
      </c>
    </row>
    <row r="60" spans="1:11" x14ac:dyDescent="0.25">
      <c r="A60" s="13">
        <v>59</v>
      </c>
      <c r="B60" s="13" t="s">
        <v>177</v>
      </c>
      <c r="C60" s="13">
        <v>5</v>
      </c>
      <c r="D60" s="13" t="s">
        <v>110</v>
      </c>
      <c r="E60" s="42">
        <f>SUMIFS(ERRORI__3[[#All],[Value.total]],ERRORI__3[[#All],[Value.typologyOfErrorId]],ListaERRORI[[#This Row],[Column1.id]])</f>
        <v>0</v>
      </c>
      <c r="F60" s="2">
        <f>COUNTIFS(Errors!G:G,ListaERRORI[[#This Row],[Column1.description]])</f>
        <v>0</v>
      </c>
      <c r="G60" s="16">
        <f>ListaERRORI[[#This Row],[Attendance]]/ListaERRORI[[#Totals],[Attendance]]</f>
        <v>0</v>
      </c>
      <c r="H60" s="16">
        <f>IFERROR(ListaERRORI[[#This Row],[Amount]]/$E$103,0)</f>
        <v>0</v>
      </c>
      <c r="I60" s="81" cm="1">
        <f t="array" ref="I60">INDEX('Weight tables'!$A$4:$C$7,MATCH(1,(ListaERRORI[[#This Row],[Percentage of attendance]]&gt;='Weight tables'!$B$4:$B$7)*(ListaERRORI[[#This Row],[Percentage of attendance]]&lt;='Weight tables'!$C$4:$C$7),0),1)</f>
        <v>0</v>
      </c>
      <c r="J60" s="81" cm="1">
        <f t="array" ref="J60">INDEX('Weight tables'!$A$10:$C$13,MATCH(1,(ListaERRORI[[#This Row],[Percentage of error ammount]]&gt;='Weight tables'!$B$10:$B$13)*(ListaERRORI[[#This Row],[Percentage of error ammount]]&lt;='Weight tables'!$C$10:$C$13),0),1)</f>
        <v>0</v>
      </c>
      <c r="K60" s="2">
        <f t="shared" si="0"/>
        <v>0</v>
      </c>
    </row>
    <row r="61" spans="1:11" x14ac:dyDescent="0.25">
      <c r="A61" s="13">
        <v>60</v>
      </c>
      <c r="B61" s="13" t="s">
        <v>178</v>
      </c>
      <c r="C61" s="13">
        <v>5</v>
      </c>
      <c r="D61" s="13" t="s">
        <v>112</v>
      </c>
      <c r="E61" s="42">
        <f>SUMIFS(ERRORI__3[[#All],[Value.total]],ERRORI__3[[#All],[Value.typologyOfErrorId]],ListaERRORI[[#This Row],[Column1.id]])</f>
        <v>0</v>
      </c>
      <c r="F61" s="2">
        <f>COUNTIFS(Errors!G:G,ListaERRORI[[#This Row],[Column1.description]])</f>
        <v>0</v>
      </c>
      <c r="G61" s="16">
        <f>ListaERRORI[[#This Row],[Attendance]]/ListaERRORI[[#Totals],[Attendance]]</f>
        <v>0</v>
      </c>
      <c r="H61" s="16">
        <f>IFERROR(ListaERRORI[[#This Row],[Amount]]/$E$103,0)</f>
        <v>0</v>
      </c>
      <c r="I61" s="81" cm="1">
        <f t="array" ref="I61">INDEX('Weight tables'!$A$4:$C$7,MATCH(1,(ListaERRORI[[#This Row],[Percentage of attendance]]&gt;='Weight tables'!$B$4:$B$7)*(ListaERRORI[[#This Row],[Percentage of attendance]]&lt;='Weight tables'!$C$4:$C$7),0),1)</f>
        <v>0</v>
      </c>
      <c r="J61" s="81" cm="1">
        <f t="array" ref="J61">INDEX('Weight tables'!$A$10:$C$13,MATCH(1,(ListaERRORI[[#This Row],[Percentage of error ammount]]&gt;='Weight tables'!$B$10:$B$13)*(ListaERRORI[[#This Row],[Percentage of error ammount]]&lt;='Weight tables'!$C$10:$C$13),0),1)</f>
        <v>0</v>
      </c>
      <c r="K61" s="2">
        <f t="shared" si="0"/>
        <v>0</v>
      </c>
    </row>
    <row r="62" spans="1:11" x14ac:dyDescent="0.25">
      <c r="A62" s="13">
        <v>61</v>
      </c>
      <c r="B62" s="13" t="s">
        <v>179</v>
      </c>
      <c r="C62" s="13">
        <v>5</v>
      </c>
      <c r="D62" s="13" t="s">
        <v>113</v>
      </c>
      <c r="E62" s="42">
        <f>SUMIFS(ERRORI__3[[#All],[Value.total]],ERRORI__3[[#All],[Value.typologyOfErrorId]],ListaERRORI[[#This Row],[Column1.id]])</f>
        <v>0</v>
      </c>
      <c r="F62" s="2">
        <f>COUNTIFS(Errors!G:G,ListaERRORI[[#This Row],[Column1.description]])</f>
        <v>0</v>
      </c>
      <c r="G62" s="16">
        <f>ListaERRORI[[#This Row],[Attendance]]/ListaERRORI[[#Totals],[Attendance]]</f>
        <v>0</v>
      </c>
      <c r="H62" s="16">
        <f>IFERROR(ListaERRORI[[#This Row],[Amount]]/$E$103,0)</f>
        <v>0</v>
      </c>
      <c r="I62" s="81" cm="1">
        <f t="array" ref="I62">INDEX('Weight tables'!$A$4:$C$7,MATCH(1,(ListaERRORI[[#This Row],[Percentage of attendance]]&gt;='Weight tables'!$B$4:$B$7)*(ListaERRORI[[#This Row],[Percentage of attendance]]&lt;='Weight tables'!$C$4:$C$7),0),1)</f>
        <v>0</v>
      </c>
      <c r="J62" s="81" cm="1">
        <f t="array" ref="J62">INDEX('Weight tables'!$A$10:$C$13,MATCH(1,(ListaERRORI[[#This Row],[Percentage of error ammount]]&gt;='Weight tables'!$B$10:$B$13)*(ListaERRORI[[#This Row],[Percentage of error ammount]]&lt;='Weight tables'!$C$10:$C$13),0),1)</f>
        <v>0</v>
      </c>
      <c r="K62" s="2">
        <f t="shared" si="0"/>
        <v>0</v>
      </c>
    </row>
    <row r="63" spans="1:11" x14ac:dyDescent="0.25">
      <c r="A63" s="13">
        <v>62</v>
      </c>
      <c r="B63" s="13" t="s">
        <v>180</v>
      </c>
      <c r="C63" s="13">
        <v>6</v>
      </c>
      <c r="D63" s="13" t="s">
        <v>101</v>
      </c>
      <c r="E63" s="42">
        <f>SUMIFS(ERRORI__3[[#All],[Value.total]],ERRORI__3[[#All],[Value.typologyOfErrorId]],ListaERRORI[[#This Row],[Column1.id]])</f>
        <v>0</v>
      </c>
      <c r="F63" s="2">
        <f>COUNTIFS(Errors!G:G,ListaERRORI[[#This Row],[Column1.description]])</f>
        <v>0</v>
      </c>
      <c r="G63" s="16">
        <f>ListaERRORI[[#This Row],[Attendance]]/ListaERRORI[[#Totals],[Attendance]]</f>
        <v>0</v>
      </c>
      <c r="H63" s="16">
        <f>IFERROR(ListaERRORI[[#This Row],[Amount]]/$E$103,0)</f>
        <v>0</v>
      </c>
      <c r="I63" s="81" cm="1">
        <f t="array" ref="I63">INDEX('Weight tables'!$A$4:$C$7,MATCH(1,(ListaERRORI[[#This Row],[Percentage of attendance]]&gt;='Weight tables'!$B$4:$B$7)*(ListaERRORI[[#This Row],[Percentage of attendance]]&lt;='Weight tables'!$C$4:$C$7),0),1)</f>
        <v>0</v>
      </c>
      <c r="J63" s="81" cm="1">
        <f t="array" ref="J63">INDEX('Weight tables'!$A$10:$C$13,MATCH(1,(ListaERRORI[[#This Row],[Percentage of error ammount]]&gt;='Weight tables'!$B$10:$B$13)*(ListaERRORI[[#This Row],[Percentage of error ammount]]&lt;='Weight tables'!$C$10:$C$13),0),1)</f>
        <v>0</v>
      </c>
      <c r="K63" s="2">
        <f t="shared" si="0"/>
        <v>0</v>
      </c>
    </row>
    <row r="64" spans="1:11" x14ac:dyDescent="0.25">
      <c r="A64" s="13">
        <v>63</v>
      </c>
      <c r="B64" s="13" t="s">
        <v>181</v>
      </c>
      <c r="C64" s="13">
        <v>6</v>
      </c>
      <c r="D64" s="13" t="s">
        <v>103</v>
      </c>
      <c r="E64" s="42">
        <f>SUMIFS(ERRORI__3[[#All],[Value.total]],ERRORI__3[[#All],[Value.typologyOfErrorId]],ListaERRORI[[#This Row],[Column1.id]])</f>
        <v>0</v>
      </c>
      <c r="F64" s="2">
        <f>COUNTIFS(Errors!G:G,ListaERRORI[[#This Row],[Column1.description]])</f>
        <v>0</v>
      </c>
      <c r="G64" s="16">
        <f>ListaERRORI[[#This Row],[Attendance]]/ListaERRORI[[#Totals],[Attendance]]</f>
        <v>0</v>
      </c>
      <c r="H64" s="16">
        <f>IFERROR(ListaERRORI[[#This Row],[Amount]]/$E$103,0)</f>
        <v>0</v>
      </c>
      <c r="I64" s="81" cm="1">
        <f t="array" ref="I64">INDEX('Weight tables'!$A$4:$C$7,MATCH(1,(ListaERRORI[[#This Row],[Percentage of attendance]]&gt;='Weight tables'!$B$4:$B$7)*(ListaERRORI[[#This Row],[Percentage of attendance]]&lt;='Weight tables'!$C$4:$C$7),0),1)</f>
        <v>0</v>
      </c>
      <c r="J64" s="81" cm="1">
        <f t="array" ref="J64">INDEX('Weight tables'!$A$10:$C$13,MATCH(1,(ListaERRORI[[#This Row],[Percentage of error ammount]]&gt;='Weight tables'!$B$10:$B$13)*(ListaERRORI[[#This Row],[Percentage of error ammount]]&lt;='Weight tables'!$C$10:$C$13),0),1)</f>
        <v>0</v>
      </c>
      <c r="K64" s="2">
        <f t="shared" si="0"/>
        <v>0</v>
      </c>
    </row>
    <row r="65" spans="1:11" x14ac:dyDescent="0.25">
      <c r="A65" s="13">
        <v>64</v>
      </c>
      <c r="B65" s="13" t="s">
        <v>182</v>
      </c>
      <c r="C65" s="13">
        <v>7</v>
      </c>
      <c r="D65" s="13" t="s">
        <v>101</v>
      </c>
      <c r="E65" s="42">
        <f>SUMIFS(ERRORI__3[[#All],[Value.total]],ERRORI__3[[#All],[Value.typologyOfErrorId]],ListaERRORI[[#This Row],[Column1.id]])</f>
        <v>0</v>
      </c>
      <c r="F65" s="2">
        <f>COUNTIFS(Errors!G:G,ListaERRORI[[#This Row],[Column1.description]])</f>
        <v>0</v>
      </c>
      <c r="G65" s="16">
        <f>ListaERRORI[[#This Row],[Attendance]]/ListaERRORI[[#Totals],[Attendance]]</f>
        <v>0</v>
      </c>
      <c r="H65" s="16">
        <f>IFERROR(ListaERRORI[[#This Row],[Amount]]/$E$103,0)</f>
        <v>0</v>
      </c>
      <c r="I65" s="81" cm="1">
        <f t="array" ref="I65">INDEX('Weight tables'!$A$4:$C$7,MATCH(1,(ListaERRORI[[#This Row],[Percentage of attendance]]&gt;='Weight tables'!$B$4:$B$7)*(ListaERRORI[[#This Row],[Percentage of attendance]]&lt;='Weight tables'!$C$4:$C$7),0),1)</f>
        <v>0</v>
      </c>
      <c r="J65" s="81" cm="1">
        <f t="array" ref="J65">INDEX('Weight tables'!$A$10:$C$13,MATCH(1,(ListaERRORI[[#This Row],[Percentage of error ammount]]&gt;='Weight tables'!$B$10:$B$13)*(ListaERRORI[[#This Row],[Percentage of error ammount]]&lt;='Weight tables'!$C$10:$C$13),0),1)</f>
        <v>0</v>
      </c>
      <c r="K65" s="2">
        <f t="shared" si="0"/>
        <v>0</v>
      </c>
    </row>
    <row r="66" spans="1:11" x14ac:dyDescent="0.25">
      <c r="A66" s="13">
        <v>65</v>
      </c>
      <c r="B66" s="13" t="s">
        <v>183</v>
      </c>
      <c r="C66" s="13">
        <v>7</v>
      </c>
      <c r="D66" s="13" t="s">
        <v>103</v>
      </c>
      <c r="E66" s="42">
        <f>SUMIFS(ERRORI__3[[#All],[Value.total]],ERRORI__3[[#All],[Value.typologyOfErrorId]],ListaERRORI[[#This Row],[Column1.id]])</f>
        <v>0</v>
      </c>
      <c r="F66" s="2">
        <f>COUNTIFS(Errors!G:G,ListaERRORI[[#This Row],[Column1.description]])</f>
        <v>0</v>
      </c>
      <c r="G66" s="16">
        <f>ListaERRORI[[#This Row],[Attendance]]/ListaERRORI[[#Totals],[Attendance]]</f>
        <v>0</v>
      </c>
      <c r="H66" s="16">
        <f>IFERROR(ListaERRORI[[#This Row],[Amount]]/$E$103,0)</f>
        <v>0</v>
      </c>
      <c r="I66" s="81" cm="1">
        <f t="array" ref="I66">INDEX('Weight tables'!$A$4:$C$7,MATCH(1,(ListaERRORI[[#This Row],[Percentage of attendance]]&gt;='Weight tables'!$B$4:$B$7)*(ListaERRORI[[#This Row],[Percentage of attendance]]&lt;='Weight tables'!$C$4:$C$7),0),1)</f>
        <v>0</v>
      </c>
      <c r="J66" s="81" cm="1">
        <f t="array" ref="J66">INDEX('Weight tables'!$A$10:$C$13,MATCH(1,(ListaERRORI[[#This Row],[Percentage of error ammount]]&gt;='Weight tables'!$B$10:$B$13)*(ListaERRORI[[#This Row],[Percentage of error ammount]]&lt;='Weight tables'!$C$10:$C$13),0),1)</f>
        <v>0</v>
      </c>
      <c r="K66" s="2">
        <f t="shared" si="0"/>
        <v>0</v>
      </c>
    </row>
    <row r="67" spans="1:11" x14ac:dyDescent="0.25">
      <c r="A67" s="13">
        <v>66</v>
      </c>
      <c r="B67" s="13" t="s">
        <v>184</v>
      </c>
      <c r="C67" s="13">
        <v>8</v>
      </c>
      <c r="D67" s="13" t="s">
        <v>101</v>
      </c>
      <c r="E67" s="42">
        <f>SUMIFS(ERRORI__3[[#All],[Value.total]],ERRORI__3[[#All],[Value.typologyOfErrorId]],ListaERRORI[[#This Row],[Column1.id]])</f>
        <v>0</v>
      </c>
      <c r="F67" s="2">
        <f>COUNTIFS(Errors!G:G,ListaERRORI[[#This Row],[Column1.description]])</f>
        <v>0</v>
      </c>
      <c r="G67" s="16">
        <f>ListaERRORI[[#This Row],[Attendance]]/ListaERRORI[[#Totals],[Attendance]]</f>
        <v>0</v>
      </c>
      <c r="H67" s="16">
        <f>IFERROR(ListaERRORI[[#This Row],[Amount]]/$E$103,0)</f>
        <v>0</v>
      </c>
      <c r="I67" s="81" cm="1">
        <f t="array" ref="I67">INDEX('Weight tables'!$A$4:$C$7,MATCH(1,(ListaERRORI[[#This Row],[Percentage of attendance]]&gt;='Weight tables'!$B$4:$B$7)*(ListaERRORI[[#This Row],[Percentage of attendance]]&lt;='Weight tables'!$C$4:$C$7),0),1)</f>
        <v>0</v>
      </c>
      <c r="J67" s="81" cm="1">
        <f t="array" ref="J67">INDEX('Weight tables'!$A$10:$C$13,MATCH(1,(ListaERRORI[[#This Row],[Percentage of error ammount]]&gt;='Weight tables'!$B$10:$B$13)*(ListaERRORI[[#This Row],[Percentage of error ammount]]&lt;='Weight tables'!$C$10:$C$13),0),1)</f>
        <v>0</v>
      </c>
      <c r="K67" s="2">
        <f t="shared" ref="K67:K102" si="1">SUM(I67:J67)</f>
        <v>0</v>
      </c>
    </row>
    <row r="68" spans="1:11" x14ac:dyDescent="0.25">
      <c r="A68" s="13">
        <v>67</v>
      </c>
      <c r="B68" s="13" t="s">
        <v>185</v>
      </c>
      <c r="C68" s="13">
        <v>8</v>
      </c>
      <c r="D68" s="13" t="s">
        <v>103</v>
      </c>
      <c r="E68" s="42">
        <f>SUMIFS(ERRORI__3[[#All],[Value.total]],ERRORI__3[[#All],[Value.typologyOfErrorId]],ListaERRORI[[#This Row],[Column1.id]])</f>
        <v>0</v>
      </c>
      <c r="F68" s="2">
        <f>COUNTIFS(Errors!G:G,ListaERRORI[[#This Row],[Column1.description]])</f>
        <v>0</v>
      </c>
      <c r="G68" s="16">
        <f>ListaERRORI[[#This Row],[Attendance]]/ListaERRORI[[#Totals],[Attendance]]</f>
        <v>0</v>
      </c>
      <c r="H68" s="16">
        <f>IFERROR(ListaERRORI[[#This Row],[Amount]]/$E$103,0)</f>
        <v>0</v>
      </c>
      <c r="I68" s="81" cm="1">
        <f t="array" ref="I68">INDEX('Weight tables'!$A$4:$C$7,MATCH(1,(ListaERRORI[[#This Row],[Percentage of attendance]]&gt;='Weight tables'!$B$4:$B$7)*(ListaERRORI[[#This Row],[Percentage of attendance]]&lt;='Weight tables'!$C$4:$C$7),0),1)</f>
        <v>0</v>
      </c>
      <c r="J68" s="81" cm="1">
        <f t="array" ref="J68">INDEX('Weight tables'!$A$10:$C$13,MATCH(1,(ListaERRORI[[#This Row],[Percentage of error ammount]]&gt;='Weight tables'!$B$10:$B$13)*(ListaERRORI[[#This Row],[Percentage of error ammount]]&lt;='Weight tables'!$C$10:$C$13),0),1)</f>
        <v>0</v>
      </c>
      <c r="K68" s="2">
        <f t="shared" si="1"/>
        <v>0</v>
      </c>
    </row>
    <row r="69" spans="1:11" x14ac:dyDescent="0.25">
      <c r="A69" s="13">
        <v>68</v>
      </c>
      <c r="B69" s="13" t="s">
        <v>83</v>
      </c>
      <c r="C69" s="13">
        <v>9</v>
      </c>
      <c r="D69" s="13" t="s">
        <v>101</v>
      </c>
      <c r="E69" s="42">
        <f>SUMIFS(ERRORI__3[[#All],[Value.total]],ERRORI__3[[#All],[Value.typologyOfErrorId]],ListaERRORI[[#This Row],[Column1.id]])</f>
        <v>288.38</v>
      </c>
      <c r="F69" s="2">
        <f>COUNTIFS(Errors!G:G,ListaERRORI[[#This Row],[Column1.description]])</f>
        <v>3</v>
      </c>
      <c r="G69" s="16">
        <f>ListaERRORI[[#This Row],[Attendance]]/ListaERRORI[[#Totals],[Attendance]]</f>
        <v>3.7974683544303799E-2</v>
      </c>
      <c r="H69" s="16">
        <f>IFERROR(ListaERRORI[[#This Row],[Amount]]/$E$103,0)</f>
        <v>1.8178515060280076E-3</v>
      </c>
      <c r="I69" s="81" cm="1">
        <f t="array" ref="I69">INDEX('Weight tables'!$A$4:$C$7,MATCH(1,(ListaERRORI[[#This Row],[Percentage of attendance]]&gt;='Weight tables'!$B$4:$B$7)*(ListaERRORI[[#This Row],[Percentage of attendance]]&lt;='Weight tables'!$C$4:$C$7),0),1)</f>
        <v>2</v>
      </c>
      <c r="J69" s="81" cm="1">
        <f t="array" ref="J69">INDEX('Weight tables'!$A$10:$C$13,MATCH(1,(ListaERRORI[[#This Row],[Percentage of error ammount]]&gt;='Weight tables'!$B$10:$B$13)*(ListaERRORI[[#This Row],[Percentage of error ammount]]&lt;='Weight tables'!$C$10:$C$13),0),1)</f>
        <v>0</v>
      </c>
      <c r="K69" s="2">
        <f t="shared" si="1"/>
        <v>2</v>
      </c>
    </row>
    <row r="70" spans="1:11" x14ac:dyDescent="0.25">
      <c r="A70" s="13">
        <v>69</v>
      </c>
      <c r="B70" s="13" t="s">
        <v>186</v>
      </c>
      <c r="C70" s="13">
        <v>9</v>
      </c>
      <c r="D70" s="13" t="s">
        <v>103</v>
      </c>
      <c r="E70" s="42">
        <f>SUMIFS(ERRORI__3[[#All],[Value.total]],ERRORI__3[[#All],[Value.typologyOfErrorId]],ListaERRORI[[#This Row],[Column1.id]])</f>
        <v>0</v>
      </c>
      <c r="F70" s="2">
        <f>COUNTIFS(Errors!G:G,ListaERRORI[[#This Row],[Column1.description]])</f>
        <v>0</v>
      </c>
      <c r="G70" s="16">
        <f>ListaERRORI[[#This Row],[Attendance]]/ListaERRORI[[#Totals],[Attendance]]</f>
        <v>0</v>
      </c>
      <c r="H70" s="16">
        <f>IFERROR(ListaERRORI[[#This Row],[Amount]]/$E$103,0)</f>
        <v>0</v>
      </c>
      <c r="I70" s="81" cm="1">
        <f t="array" ref="I70">INDEX('Weight tables'!$A$4:$C$7,MATCH(1,(ListaERRORI[[#This Row],[Percentage of attendance]]&gt;='Weight tables'!$B$4:$B$7)*(ListaERRORI[[#This Row],[Percentage of attendance]]&lt;='Weight tables'!$C$4:$C$7),0),1)</f>
        <v>0</v>
      </c>
      <c r="J70" s="81" cm="1">
        <f t="array" ref="J70">INDEX('Weight tables'!$A$10:$C$13,MATCH(1,(ListaERRORI[[#This Row],[Percentage of error ammount]]&gt;='Weight tables'!$B$10:$B$13)*(ListaERRORI[[#This Row],[Percentage of error ammount]]&lt;='Weight tables'!$C$10:$C$13),0),1)</f>
        <v>0</v>
      </c>
      <c r="K70" s="2">
        <f t="shared" si="1"/>
        <v>0</v>
      </c>
    </row>
    <row r="71" spans="1:11" x14ac:dyDescent="0.25">
      <c r="A71" s="13">
        <v>70</v>
      </c>
      <c r="B71" s="13" t="s">
        <v>187</v>
      </c>
      <c r="C71" s="13">
        <v>9</v>
      </c>
      <c r="D71" s="13" t="s">
        <v>104</v>
      </c>
      <c r="E71" s="42">
        <f>SUMIFS(ERRORI__3[[#All],[Value.total]],ERRORI__3[[#All],[Value.typologyOfErrorId]],ListaERRORI[[#This Row],[Column1.id]])</f>
        <v>0</v>
      </c>
      <c r="F71" s="2">
        <f>COUNTIFS(Errors!G:G,ListaERRORI[[#This Row],[Column1.description]])</f>
        <v>0</v>
      </c>
      <c r="G71" s="16">
        <f>ListaERRORI[[#This Row],[Attendance]]/ListaERRORI[[#Totals],[Attendance]]</f>
        <v>0</v>
      </c>
      <c r="H71" s="16">
        <f>IFERROR(ListaERRORI[[#This Row],[Amount]]/$E$103,0)</f>
        <v>0</v>
      </c>
      <c r="I71" s="81" cm="1">
        <f t="array" ref="I71">INDEX('Weight tables'!$A$4:$C$7,MATCH(1,(ListaERRORI[[#This Row],[Percentage of attendance]]&gt;='Weight tables'!$B$4:$B$7)*(ListaERRORI[[#This Row],[Percentage of attendance]]&lt;='Weight tables'!$C$4:$C$7),0),1)</f>
        <v>0</v>
      </c>
      <c r="J71" s="81" cm="1">
        <f t="array" ref="J71">INDEX('Weight tables'!$A$10:$C$13,MATCH(1,(ListaERRORI[[#This Row],[Percentage of error ammount]]&gt;='Weight tables'!$B$10:$B$13)*(ListaERRORI[[#This Row],[Percentage of error ammount]]&lt;='Weight tables'!$C$10:$C$13),0),1)</f>
        <v>0</v>
      </c>
      <c r="K71" s="2">
        <f t="shared" si="1"/>
        <v>0</v>
      </c>
    </row>
    <row r="72" spans="1:11" x14ac:dyDescent="0.25">
      <c r="A72" s="13">
        <v>71</v>
      </c>
      <c r="B72" s="13" t="s">
        <v>188</v>
      </c>
      <c r="C72" s="13">
        <v>9</v>
      </c>
      <c r="D72" s="13" t="s">
        <v>106</v>
      </c>
      <c r="E72" s="42">
        <f>SUMIFS(ERRORI__3[[#All],[Value.total]],ERRORI__3[[#All],[Value.typologyOfErrorId]],ListaERRORI[[#This Row],[Column1.id]])</f>
        <v>0</v>
      </c>
      <c r="F72" s="2">
        <f>COUNTIFS(Errors!G:G,ListaERRORI[[#This Row],[Column1.description]])</f>
        <v>0</v>
      </c>
      <c r="G72" s="16">
        <f>ListaERRORI[[#This Row],[Attendance]]/ListaERRORI[[#Totals],[Attendance]]</f>
        <v>0</v>
      </c>
      <c r="H72" s="16">
        <f>IFERROR(ListaERRORI[[#This Row],[Amount]]/$E$103,0)</f>
        <v>0</v>
      </c>
      <c r="I72" s="81" cm="1">
        <f t="array" ref="I72">INDEX('Weight tables'!$A$4:$C$7,MATCH(1,(ListaERRORI[[#This Row],[Percentage of attendance]]&gt;='Weight tables'!$B$4:$B$7)*(ListaERRORI[[#This Row],[Percentage of attendance]]&lt;='Weight tables'!$C$4:$C$7),0),1)</f>
        <v>0</v>
      </c>
      <c r="J72" s="81" cm="1">
        <f t="array" ref="J72">INDEX('Weight tables'!$A$10:$C$13,MATCH(1,(ListaERRORI[[#This Row],[Percentage of error ammount]]&gt;='Weight tables'!$B$10:$B$13)*(ListaERRORI[[#This Row],[Percentage of error ammount]]&lt;='Weight tables'!$C$10:$C$13),0),1)</f>
        <v>0</v>
      </c>
      <c r="K72" s="2">
        <f t="shared" si="1"/>
        <v>0</v>
      </c>
    </row>
    <row r="73" spans="1:11" x14ac:dyDescent="0.25">
      <c r="A73" s="13">
        <v>72</v>
      </c>
      <c r="B73" s="13" t="s">
        <v>189</v>
      </c>
      <c r="C73" s="13">
        <v>10</v>
      </c>
      <c r="D73" s="13" t="s">
        <v>101</v>
      </c>
      <c r="E73" s="42">
        <f>SUMIFS(ERRORI__3[[#All],[Value.total]],ERRORI__3[[#All],[Value.typologyOfErrorId]],ListaERRORI[[#This Row],[Column1.id]])</f>
        <v>0</v>
      </c>
      <c r="F73" s="2">
        <f>COUNTIFS(Errors!G:G,ListaERRORI[[#This Row],[Column1.description]])</f>
        <v>0</v>
      </c>
      <c r="G73" s="16">
        <f>ListaERRORI[[#This Row],[Attendance]]/ListaERRORI[[#Totals],[Attendance]]</f>
        <v>0</v>
      </c>
      <c r="H73" s="16">
        <f>IFERROR(ListaERRORI[[#This Row],[Amount]]/$E$103,0)</f>
        <v>0</v>
      </c>
      <c r="I73" s="81" cm="1">
        <f t="array" ref="I73">INDEX('Weight tables'!$A$4:$C$7,MATCH(1,(ListaERRORI[[#This Row],[Percentage of attendance]]&gt;='Weight tables'!$B$4:$B$7)*(ListaERRORI[[#This Row],[Percentage of attendance]]&lt;='Weight tables'!$C$4:$C$7),0),1)</f>
        <v>0</v>
      </c>
      <c r="J73" s="81" cm="1">
        <f t="array" ref="J73">INDEX('Weight tables'!$A$10:$C$13,MATCH(1,(ListaERRORI[[#This Row],[Percentage of error ammount]]&gt;='Weight tables'!$B$10:$B$13)*(ListaERRORI[[#This Row],[Percentage of error ammount]]&lt;='Weight tables'!$C$10:$C$13),0),1)</f>
        <v>0</v>
      </c>
      <c r="K73" s="2">
        <f t="shared" si="1"/>
        <v>0</v>
      </c>
    </row>
    <row r="74" spans="1:11" x14ac:dyDescent="0.25">
      <c r="A74" s="13">
        <v>73</v>
      </c>
      <c r="B74" s="13" t="s">
        <v>190</v>
      </c>
      <c r="C74" s="13">
        <v>10</v>
      </c>
      <c r="D74" s="13" t="s">
        <v>103</v>
      </c>
      <c r="E74" s="42">
        <f>SUMIFS(ERRORI__3[[#All],[Value.total]],ERRORI__3[[#All],[Value.typologyOfErrorId]],ListaERRORI[[#This Row],[Column1.id]])</f>
        <v>0</v>
      </c>
      <c r="F74" s="2">
        <f>COUNTIFS(Errors!G:G,ListaERRORI[[#This Row],[Column1.description]])</f>
        <v>0</v>
      </c>
      <c r="G74" s="16">
        <f>ListaERRORI[[#This Row],[Attendance]]/ListaERRORI[[#Totals],[Attendance]]</f>
        <v>0</v>
      </c>
      <c r="H74" s="16">
        <f>IFERROR(ListaERRORI[[#This Row],[Amount]]/$E$103,0)</f>
        <v>0</v>
      </c>
      <c r="I74" s="81" cm="1">
        <f t="array" ref="I74">INDEX('Weight tables'!$A$4:$C$7,MATCH(1,(ListaERRORI[[#This Row],[Percentage of attendance]]&gt;='Weight tables'!$B$4:$B$7)*(ListaERRORI[[#This Row],[Percentage of attendance]]&lt;='Weight tables'!$C$4:$C$7),0),1)</f>
        <v>0</v>
      </c>
      <c r="J74" s="81" cm="1">
        <f t="array" ref="J74">INDEX('Weight tables'!$A$10:$C$13,MATCH(1,(ListaERRORI[[#This Row],[Percentage of error ammount]]&gt;='Weight tables'!$B$10:$B$13)*(ListaERRORI[[#This Row],[Percentage of error ammount]]&lt;='Weight tables'!$C$10:$C$13),0),1)</f>
        <v>0</v>
      </c>
      <c r="K74" s="2">
        <f t="shared" si="1"/>
        <v>0</v>
      </c>
    </row>
    <row r="75" spans="1:11" x14ac:dyDescent="0.25">
      <c r="A75" s="13">
        <v>74</v>
      </c>
      <c r="B75" s="13" t="s">
        <v>191</v>
      </c>
      <c r="C75" s="13">
        <v>10</v>
      </c>
      <c r="D75" s="13" t="s">
        <v>104</v>
      </c>
      <c r="E75" s="42">
        <f>SUMIFS(ERRORI__3[[#All],[Value.total]],ERRORI__3[[#All],[Value.typologyOfErrorId]],ListaERRORI[[#This Row],[Column1.id]])</f>
        <v>0</v>
      </c>
      <c r="F75" s="2">
        <f>COUNTIFS(Errors!G:G,ListaERRORI[[#This Row],[Column1.description]])</f>
        <v>0</v>
      </c>
      <c r="G75" s="16">
        <f>ListaERRORI[[#This Row],[Attendance]]/ListaERRORI[[#Totals],[Attendance]]</f>
        <v>0</v>
      </c>
      <c r="H75" s="16">
        <f>IFERROR(ListaERRORI[[#This Row],[Amount]]/$E$103,0)</f>
        <v>0</v>
      </c>
      <c r="I75" s="81" cm="1">
        <f t="array" ref="I75">INDEX('Weight tables'!$A$4:$C$7,MATCH(1,(ListaERRORI[[#This Row],[Percentage of attendance]]&gt;='Weight tables'!$B$4:$B$7)*(ListaERRORI[[#This Row],[Percentage of attendance]]&lt;='Weight tables'!$C$4:$C$7),0),1)</f>
        <v>0</v>
      </c>
      <c r="J75" s="81" cm="1">
        <f t="array" ref="J75">INDEX('Weight tables'!$A$10:$C$13,MATCH(1,(ListaERRORI[[#This Row],[Percentage of error ammount]]&gt;='Weight tables'!$B$10:$B$13)*(ListaERRORI[[#This Row],[Percentage of error ammount]]&lt;='Weight tables'!$C$10:$C$13),0),1)</f>
        <v>0</v>
      </c>
      <c r="K75" s="2">
        <f t="shared" si="1"/>
        <v>0</v>
      </c>
    </row>
    <row r="76" spans="1:11" x14ac:dyDescent="0.25">
      <c r="A76" s="13">
        <v>75</v>
      </c>
      <c r="B76" s="13" t="s">
        <v>192</v>
      </c>
      <c r="C76" s="13">
        <v>10</v>
      </c>
      <c r="D76" s="13" t="s">
        <v>106</v>
      </c>
      <c r="E76" s="42">
        <f>SUMIFS(ERRORI__3[[#All],[Value.total]],ERRORI__3[[#All],[Value.typologyOfErrorId]],ListaERRORI[[#This Row],[Column1.id]])</f>
        <v>0</v>
      </c>
      <c r="F76" s="2">
        <f>COUNTIFS(Errors!G:G,ListaERRORI[[#This Row],[Column1.description]])</f>
        <v>0</v>
      </c>
      <c r="G76" s="16">
        <f>ListaERRORI[[#This Row],[Attendance]]/ListaERRORI[[#Totals],[Attendance]]</f>
        <v>0</v>
      </c>
      <c r="H76" s="16">
        <f>IFERROR(ListaERRORI[[#This Row],[Amount]]/$E$103,0)</f>
        <v>0</v>
      </c>
      <c r="I76" s="81" cm="1">
        <f t="array" ref="I76">INDEX('Weight tables'!$A$4:$C$7,MATCH(1,(ListaERRORI[[#This Row],[Percentage of attendance]]&gt;='Weight tables'!$B$4:$B$7)*(ListaERRORI[[#This Row],[Percentage of attendance]]&lt;='Weight tables'!$C$4:$C$7),0),1)</f>
        <v>0</v>
      </c>
      <c r="J76" s="81" cm="1">
        <f t="array" ref="J76">INDEX('Weight tables'!$A$10:$C$13,MATCH(1,(ListaERRORI[[#This Row],[Percentage of error ammount]]&gt;='Weight tables'!$B$10:$B$13)*(ListaERRORI[[#This Row],[Percentage of error ammount]]&lt;='Weight tables'!$C$10:$C$13),0),1)</f>
        <v>0</v>
      </c>
      <c r="K76" s="2">
        <f t="shared" si="1"/>
        <v>0</v>
      </c>
    </row>
    <row r="77" spans="1:11" x14ac:dyDescent="0.25">
      <c r="A77" s="13">
        <v>76</v>
      </c>
      <c r="B77" s="13" t="s">
        <v>193</v>
      </c>
      <c r="C77" s="13">
        <v>11</v>
      </c>
      <c r="D77" s="13" t="s">
        <v>101</v>
      </c>
      <c r="E77" s="42">
        <f>SUMIFS(ERRORI__3[[#All],[Value.total]],ERRORI__3[[#All],[Value.typologyOfErrorId]],ListaERRORI[[#This Row],[Column1.id]])</f>
        <v>0</v>
      </c>
      <c r="F77" s="2">
        <f>COUNTIFS(Errors!G:G,ListaERRORI[[#This Row],[Column1.description]])</f>
        <v>0</v>
      </c>
      <c r="G77" s="16">
        <f>ListaERRORI[[#This Row],[Attendance]]/ListaERRORI[[#Totals],[Attendance]]</f>
        <v>0</v>
      </c>
      <c r="H77" s="16">
        <f>IFERROR(ListaERRORI[[#This Row],[Amount]]/$E$103,0)</f>
        <v>0</v>
      </c>
      <c r="I77" s="81" cm="1">
        <f t="array" ref="I77">INDEX('Weight tables'!$A$4:$C$7,MATCH(1,(ListaERRORI[[#This Row],[Percentage of attendance]]&gt;='Weight tables'!$B$4:$B$7)*(ListaERRORI[[#This Row],[Percentage of attendance]]&lt;='Weight tables'!$C$4:$C$7),0),1)</f>
        <v>0</v>
      </c>
      <c r="J77" s="81" cm="1">
        <f t="array" ref="J77">INDEX('Weight tables'!$A$10:$C$13,MATCH(1,(ListaERRORI[[#This Row],[Percentage of error ammount]]&gt;='Weight tables'!$B$10:$B$13)*(ListaERRORI[[#This Row],[Percentage of error ammount]]&lt;='Weight tables'!$C$10:$C$13),0),1)</f>
        <v>0</v>
      </c>
      <c r="K77" s="2">
        <f t="shared" si="1"/>
        <v>0</v>
      </c>
    </row>
    <row r="78" spans="1:11" x14ac:dyDescent="0.25">
      <c r="A78" s="13">
        <v>77</v>
      </c>
      <c r="B78" s="13" t="s">
        <v>194</v>
      </c>
      <c r="C78" s="13">
        <v>11</v>
      </c>
      <c r="D78" s="13" t="s">
        <v>103</v>
      </c>
      <c r="E78" s="42">
        <f>SUMIFS(ERRORI__3[[#All],[Value.total]],ERRORI__3[[#All],[Value.typologyOfErrorId]],ListaERRORI[[#This Row],[Column1.id]])</f>
        <v>0</v>
      </c>
      <c r="F78" s="2">
        <f>COUNTIFS(Errors!G:G,ListaERRORI[[#This Row],[Column1.description]])</f>
        <v>0</v>
      </c>
      <c r="G78" s="16">
        <f>ListaERRORI[[#This Row],[Attendance]]/ListaERRORI[[#Totals],[Attendance]]</f>
        <v>0</v>
      </c>
      <c r="H78" s="16">
        <f>IFERROR(ListaERRORI[[#This Row],[Amount]]/$E$103,0)</f>
        <v>0</v>
      </c>
      <c r="I78" s="81" cm="1">
        <f t="array" ref="I78">INDEX('Weight tables'!$A$4:$C$7,MATCH(1,(ListaERRORI[[#This Row],[Percentage of attendance]]&gt;='Weight tables'!$B$4:$B$7)*(ListaERRORI[[#This Row],[Percentage of attendance]]&lt;='Weight tables'!$C$4:$C$7),0),1)</f>
        <v>0</v>
      </c>
      <c r="J78" s="81" cm="1">
        <f t="array" ref="J78">INDEX('Weight tables'!$A$10:$C$13,MATCH(1,(ListaERRORI[[#This Row],[Percentage of error ammount]]&gt;='Weight tables'!$B$10:$B$13)*(ListaERRORI[[#This Row],[Percentage of error ammount]]&lt;='Weight tables'!$C$10:$C$13),0),1)</f>
        <v>0</v>
      </c>
      <c r="K78" s="2">
        <f t="shared" si="1"/>
        <v>0</v>
      </c>
    </row>
    <row r="79" spans="1:11" x14ac:dyDescent="0.25">
      <c r="A79" s="13">
        <v>78</v>
      </c>
      <c r="B79" s="13" t="s">
        <v>195</v>
      </c>
      <c r="C79" s="13">
        <v>11</v>
      </c>
      <c r="D79" s="13" t="s">
        <v>104</v>
      </c>
      <c r="E79" s="42">
        <f>SUMIFS(ERRORI__3[[#All],[Value.total]],ERRORI__3[[#All],[Value.typologyOfErrorId]],ListaERRORI[[#This Row],[Column1.id]])</f>
        <v>0</v>
      </c>
      <c r="F79" s="2">
        <f>COUNTIFS(Errors!G:G,ListaERRORI[[#This Row],[Column1.description]])</f>
        <v>0</v>
      </c>
      <c r="G79" s="16">
        <f>ListaERRORI[[#This Row],[Attendance]]/ListaERRORI[[#Totals],[Attendance]]</f>
        <v>0</v>
      </c>
      <c r="H79" s="16">
        <f>IFERROR(ListaERRORI[[#This Row],[Amount]]/$E$103,0)</f>
        <v>0</v>
      </c>
      <c r="I79" s="81" cm="1">
        <f t="array" ref="I79">INDEX('Weight tables'!$A$4:$C$7,MATCH(1,(ListaERRORI[[#This Row],[Percentage of attendance]]&gt;='Weight tables'!$B$4:$B$7)*(ListaERRORI[[#This Row],[Percentage of attendance]]&lt;='Weight tables'!$C$4:$C$7),0),1)</f>
        <v>0</v>
      </c>
      <c r="J79" s="81" cm="1">
        <f t="array" ref="J79">INDEX('Weight tables'!$A$10:$C$13,MATCH(1,(ListaERRORI[[#This Row],[Percentage of error ammount]]&gt;='Weight tables'!$B$10:$B$13)*(ListaERRORI[[#This Row],[Percentage of error ammount]]&lt;='Weight tables'!$C$10:$C$13),0),1)</f>
        <v>0</v>
      </c>
      <c r="K79" s="2">
        <f t="shared" si="1"/>
        <v>0</v>
      </c>
    </row>
    <row r="80" spans="1:11" x14ac:dyDescent="0.25">
      <c r="A80" s="13">
        <v>79</v>
      </c>
      <c r="B80" s="13" t="s">
        <v>196</v>
      </c>
      <c r="C80" s="13">
        <v>11</v>
      </c>
      <c r="D80" s="13" t="s">
        <v>106</v>
      </c>
      <c r="E80" s="42">
        <f>SUMIFS(ERRORI__3[[#All],[Value.total]],ERRORI__3[[#All],[Value.typologyOfErrorId]],ListaERRORI[[#This Row],[Column1.id]])</f>
        <v>0</v>
      </c>
      <c r="F80" s="2">
        <f>COUNTIFS(Errors!G:G,ListaERRORI[[#This Row],[Column1.description]])</f>
        <v>0</v>
      </c>
      <c r="G80" s="16">
        <f>ListaERRORI[[#This Row],[Attendance]]/ListaERRORI[[#Totals],[Attendance]]</f>
        <v>0</v>
      </c>
      <c r="H80" s="16">
        <f>IFERROR(ListaERRORI[[#This Row],[Amount]]/$E$103,0)</f>
        <v>0</v>
      </c>
      <c r="I80" s="81" cm="1">
        <f t="array" ref="I80">INDEX('Weight tables'!$A$4:$C$7,MATCH(1,(ListaERRORI[[#This Row],[Percentage of attendance]]&gt;='Weight tables'!$B$4:$B$7)*(ListaERRORI[[#This Row],[Percentage of attendance]]&lt;='Weight tables'!$C$4:$C$7),0),1)</f>
        <v>0</v>
      </c>
      <c r="J80" s="81" cm="1">
        <f t="array" ref="J80">INDEX('Weight tables'!$A$10:$C$13,MATCH(1,(ListaERRORI[[#This Row],[Percentage of error ammount]]&gt;='Weight tables'!$B$10:$B$13)*(ListaERRORI[[#This Row],[Percentage of error ammount]]&lt;='Weight tables'!$C$10:$C$13),0),1)</f>
        <v>0</v>
      </c>
      <c r="K80" s="2">
        <f t="shared" si="1"/>
        <v>0</v>
      </c>
    </row>
    <row r="81" spans="1:11" x14ac:dyDescent="0.25">
      <c r="A81" s="13">
        <v>80</v>
      </c>
      <c r="B81" s="13" t="s">
        <v>197</v>
      </c>
      <c r="C81" s="13">
        <v>11</v>
      </c>
      <c r="D81" s="13" t="s">
        <v>108</v>
      </c>
      <c r="E81" s="42">
        <f>SUMIFS(ERRORI__3[[#All],[Value.total]],ERRORI__3[[#All],[Value.typologyOfErrorId]],ListaERRORI[[#This Row],[Column1.id]])</f>
        <v>0</v>
      </c>
      <c r="F81" s="2">
        <f>COUNTIFS(Errors!G:G,ListaERRORI[[#This Row],[Column1.description]])</f>
        <v>0</v>
      </c>
      <c r="G81" s="16">
        <f>ListaERRORI[[#This Row],[Attendance]]/ListaERRORI[[#Totals],[Attendance]]</f>
        <v>0</v>
      </c>
      <c r="H81" s="16">
        <f>IFERROR(ListaERRORI[[#This Row],[Amount]]/$E$103,0)</f>
        <v>0</v>
      </c>
      <c r="I81" s="81" cm="1">
        <f t="array" ref="I81">INDEX('Weight tables'!$A$4:$C$7,MATCH(1,(ListaERRORI[[#This Row],[Percentage of attendance]]&gt;='Weight tables'!$B$4:$B$7)*(ListaERRORI[[#This Row],[Percentage of attendance]]&lt;='Weight tables'!$C$4:$C$7),0),1)</f>
        <v>0</v>
      </c>
      <c r="J81" s="81" cm="1">
        <f t="array" ref="J81">INDEX('Weight tables'!$A$10:$C$13,MATCH(1,(ListaERRORI[[#This Row],[Percentage of error ammount]]&gt;='Weight tables'!$B$10:$B$13)*(ListaERRORI[[#This Row],[Percentage of error ammount]]&lt;='Weight tables'!$C$10:$C$13),0),1)</f>
        <v>0</v>
      </c>
      <c r="K81" s="2">
        <f t="shared" si="1"/>
        <v>0</v>
      </c>
    </row>
    <row r="82" spans="1:11" x14ac:dyDescent="0.25">
      <c r="A82" s="13">
        <v>81</v>
      </c>
      <c r="B82" s="13" t="s">
        <v>198</v>
      </c>
      <c r="C82" s="13">
        <v>11</v>
      </c>
      <c r="D82" s="13" t="s">
        <v>110</v>
      </c>
      <c r="E82" s="42">
        <f>SUMIFS(ERRORI__3[[#All],[Value.total]],ERRORI__3[[#All],[Value.typologyOfErrorId]],ListaERRORI[[#This Row],[Column1.id]])</f>
        <v>0</v>
      </c>
      <c r="F82" s="2">
        <f>COUNTIFS(Errors!G:G,ListaERRORI[[#This Row],[Column1.description]])</f>
        <v>0</v>
      </c>
      <c r="G82" s="16">
        <f>ListaERRORI[[#This Row],[Attendance]]/ListaERRORI[[#Totals],[Attendance]]</f>
        <v>0</v>
      </c>
      <c r="H82" s="16">
        <f>IFERROR(ListaERRORI[[#This Row],[Amount]]/$E$103,0)</f>
        <v>0</v>
      </c>
      <c r="I82" s="81" cm="1">
        <f t="array" ref="I82">INDEX('Weight tables'!$A$4:$C$7,MATCH(1,(ListaERRORI[[#This Row],[Percentage of attendance]]&gt;='Weight tables'!$B$4:$B$7)*(ListaERRORI[[#This Row],[Percentage of attendance]]&lt;='Weight tables'!$C$4:$C$7),0),1)</f>
        <v>0</v>
      </c>
      <c r="J82" s="81" cm="1">
        <f t="array" ref="J82">INDEX('Weight tables'!$A$10:$C$13,MATCH(1,(ListaERRORI[[#This Row],[Percentage of error ammount]]&gt;='Weight tables'!$B$10:$B$13)*(ListaERRORI[[#This Row],[Percentage of error ammount]]&lt;='Weight tables'!$C$10:$C$13),0),1)</f>
        <v>0</v>
      </c>
      <c r="K82" s="2">
        <f t="shared" si="1"/>
        <v>0</v>
      </c>
    </row>
    <row r="83" spans="1:11" x14ac:dyDescent="0.25">
      <c r="A83" s="13">
        <v>82</v>
      </c>
      <c r="B83" s="13" t="s">
        <v>199</v>
      </c>
      <c r="C83" s="13">
        <v>11</v>
      </c>
      <c r="D83" s="13" t="s">
        <v>112</v>
      </c>
      <c r="E83" s="42">
        <f>SUMIFS(ERRORI__3[[#All],[Value.total]],ERRORI__3[[#All],[Value.typologyOfErrorId]],ListaERRORI[[#This Row],[Column1.id]])</f>
        <v>0</v>
      </c>
      <c r="F83" s="2">
        <f>COUNTIFS(Errors!G:G,ListaERRORI[[#This Row],[Column1.description]])</f>
        <v>0</v>
      </c>
      <c r="G83" s="16">
        <f>ListaERRORI[[#This Row],[Attendance]]/ListaERRORI[[#Totals],[Attendance]]</f>
        <v>0</v>
      </c>
      <c r="H83" s="16">
        <f>IFERROR(ListaERRORI[[#This Row],[Amount]]/$E$103,0)</f>
        <v>0</v>
      </c>
      <c r="I83" s="81" cm="1">
        <f t="array" ref="I83">INDEX('Weight tables'!$A$4:$C$7,MATCH(1,(ListaERRORI[[#This Row],[Percentage of attendance]]&gt;='Weight tables'!$B$4:$B$7)*(ListaERRORI[[#This Row],[Percentage of attendance]]&lt;='Weight tables'!$C$4:$C$7),0),1)</f>
        <v>0</v>
      </c>
      <c r="J83" s="81" cm="1">
        <f t="array" ref="J83">INDEX('Weight tables'!$A$10:$C$13,MATCH(1,(ListaERRORI[[#This Row],[Percentage of error ammount]]&gt;='Weight tables'!$B$10:$B$13)*(ListaERRORI[[#This Row],[Percentage of error ammount]]&lt;='Weight tables'!$C$10:$C$13),0),1)</f>
        <v>0</v>
      </c>
      <c r="K83" s="2">
        <f t="shared" si="1"/>
        <v>0</v>
      </c>
    </row>
    <row r="84" spans="1:11" x14ac:dyDescent="0.25">
      <c r="A84" s="13">
        <v>83</v>
      </c>
      <c r="B84" s="13" t="s">
        <v>200</v>
      </c>
      <c r="C84" s="13">
        <v>11</v>
      </c>
      <c r="D84" s="13" t="s">
        <v>113</v>
      </c>
      <c r="E84" s="42">
        <f>SUMIFS(ERRORI__3[[#All],[Value.total]],ERRORI__3[[#All],[Value.typologyOfErrorId]],ListaERRORI[[#This Row],[Column1.id]])</f>
        <v>0</v>
      </c>
      <c r="F84" s="2">
        <f>COUNTIFS(Errors!G:G,ListaERRORI[[#This Row],[Column1.description]])</f>
        <v>0</v>
      </c>
      <c r="G84" s="16">
        <f>ListaERRORI[[#This Row],[Attendance]]/ListaERRORI[[#Totals],[Attendance]]</f>
        <v>0</v>
      </c>
      <c r="H84" s="16">
        <f>IFERROR(ListaERRORI[[#This Row],[Amount]]/$E$103,0)</f>
        <v>0</v>
      </c>
      <c r="I84" s="81" cm="1">
        <f t="array" ref="I84">INDEX('Weight tables'!$A$4:$C$7,MATCH(1,(ListaERRORI[[#This Row],[Percentage of attendance]]&gt;='Weight tables'!$B$4:$B$7)*(ListaERRORI[[#This Row],[Percentage of attendance]]&lt;='Weight tables'!$C$4:$C$7),0),1)</f>
        <v>0</v>
      </c>
      <c r="J84" s="81" cm="1">
        <f t="array" ref="J84">INDEX('Weight tables'!$A$10:$C$13,MATCH(1,(ListaERRORI[[#This Row],[Percentage of error ammount]]&gt;='Weight tables'!$B$10:$B$13)*(ListaERRORI[[#This Row],[Percentage of error ammount]]&lt;='Weight tables'!$C$10:$C$13),0),1)</f>
        <v>0</v>
      </c>
      <c r="K84" s="2">
        <f t="shared" si="1"/>
        <v>0</v>
      </c>
    </row>
    <row r="85" spans="1:11" x14ac:dyDescent="0.25">
      <c r="A85" s="13">
        <v>84</v>
      </c>
      <c r="B85" s="13" t="s">
        <v>201</v>
      </c>
      <c r="C85" s="13">
        <v>11</v>
      </c>
      <c r="D85" s="13" t="s">
        <v>115</v>
      </c>
      <c r="E85" s="42">
        <f>SUMIFS(ERRORI__3[[#All],[Value.total]],ERRORI__3[[#All],[Value.typologyOfErrorId]],ListaERRORI[[#This Row],[Column1.id]])</f>
        <v>0</v>
      </c>
      <c r="F85" s="2">
        <f>COUNTIFS(Errors!G:G,ListaERRORI[[#This Row],[Column1.description]])</f>
        <v>0</v>
      </c>
      <c r="G85" s="16">
        <f>ListaERRORI[[#This Row],[Attendance]]/ListaERRORI[[#Totals],[Attendance]]</f>
        <v>0</v>
      </c>
      <c r="H85" s="16">
        <f>IFERROR(ListaERRORI[[#This Row],[Amount]]/$E$103,0)</f>
        <v>0</v>
      </c>
      <c r="I85" s="81" cm="1">
        <f t="array" ref="I85">INDEX('Weight tables'!$A$4:$C$7,MATCH(1,(ListaERRORI[[#This Row],[Percentage of attendance]]&gt;='Weight tables'!$B$4:$B$7)*(ListaERRORI[[#This Row],[Percentage of attendance]]&lt;='Weight tables'!$C$4:$C$7),0),1)</f>
        <v>0</v>
      </c>
      <c r="J85" s="81" cm="1">
        <f t="array" ref="J85">INDEX('Weight tables'!$A$10:$C$13,MATCH(1,(ListaERRORI[[#This Row],[Percentage of error ammount]]&gt;='Weight tables'!$B$10:$B$13)*(ListaERRORI[[#This Row],[Percentage of error ammount]]&lt;='Weight tables'!$C$10:$C$13),0),1)</f>
        <v>0</v>
      </c>
      <c r="K85" s="2">
        <f t="shared" si="1"/>
        <v>0</v>
      </c>
    </row>
    <row r="86" spans="1:11" x14ac:dyDescent="0.25">
      <c r="A86" s="13">
        <v>85</v>
      </c>
      <c r="B86" s="13" t="s">
        <v>202</v>
      </c>
      <c r="C86" s="13">
        <v>11</v>
      </c>
      <c r="D86" s="13" t="s">
        <v>117</v>
      </c>
      <c r="E86" s="42">
        <f>SUMIFS(ERRORI__3[[#All],[Value.total]],ERRORI__3[[#All],[Value.typologyOfErrorId]],ListaERRORI[[#This Row],[Column1.id]])</f>
        <v>0</v>
      </c>
      <c r="F86" s="2">
        <f>COUNTIFS(Errors!G:G,ListaERRORI[[#This Row],[Column1.description]])</f>
        <v>0</v>
      </c>
      <c r="G86" s="16">
        <f>ListaERRORI[[#This Row],[Attendance]]/ListaERRORI[[#Totals],[Attendance]]</f>
        <v>0</v>
      </c>
      <c r="H86" s="16">
        <f>IFERROR(ListaERRORI[[#This Row],[Amount]]/$E$103,0)</f>
        <v>0</v>
      </c>
      <c r="I86" s="81" cm="1">
        <f t="array" ref="I86">INDEX('Weight tables'!$A$4:$C$7,MATCH(1,(ListaERRORI[[#This Row],[Percentage of attendance]]&gt;='Weight tables'!$B$4:$B$7)*(ListaERRORI[[#This Row],[Percentage of attendance]]&lt;='Weight tables'!$C$4:$C$7),0),1)</f>
        <v>0</v>
      </c>
      <c r="J86" s="81" cm="1">
        <f t="array" ref="J86">INDEX('Weight tables'!$A$10:$C$13,MATCH(1,(ListaERRORI[[#This Row],[Percentage of error ammount]]&gt;='Weight tables'!$B$10:$B$13)*(ListaERRORI[[#This Row],[Percentage of error ammount]]&lt;='Weight tables'!$C$10:$C$13),0),1)</f>
        <v>0</v>
      </c>
      <c r="K86" s="2">
        <f t="shared" si="1"/>
        <v>0</v>
      </c>
    </row>
    <row r="87" spans="1:11" x14ac:dyDescent="0.25">
      <c r="A87" s="13">
        <v>86</v>
      </c>
      <c r="B87" s="13" t="s">
        <v>203</v>
      </c>
      <c r="C87" s="13">
        <v>11</v>
      </c>
      <c r="D87" s="13" t="s">
        <v>119</v>
      </c>
      <c r="E87" s="42">
        <f>SUMIFS(ERRORI__3[[#All],[Value.total]],ERRORI__3[[#All],[Value.typologyOfErrorId]],ListaERRORI[[#This Row],[Column1.id]])</f>
        <v>0</v>
      </c>
      <c r="F87" s="2">
        <f>COUNTIFS(Errors!G:G,ListaERRORI[[#This Row],[Column1.description]])</f>
        <v>0</v>
      </c>
      <c r="G87" s="16">
        <f>ListaERRORI[[#This Row],[Attendance]]/ListaERRORI[[#Totals],[Attendance]]</f>
        <v>0</v>
      </c>
      <c r="H87" s="16">
        <f>IFERROR(ListaERRORI[[#This Row],[Amount]]/$E$103,0)</f>
        <v>0</v>
      </c>
      <c r="I87" s="81" cm="1">
        <f t="array" ref="I87">INDEX('Weight tables'!$A$4:$C$7,MATCH(1,(ListaERRORI[[#This Row],[Percentage of attendance]]&gt;='Weight tables'!$B$4:$B$7)*(ListaERRORI[[#This Row],[Percentage of attendance]]&lt;='Weight tables'!$C$4:$C$7),0),1)</f>
        <v>0</v>
      </c>
      <c r="J87" s="81" cm="1">
        <f t="array" ref="J87">INDEX('Weight tables'!$A$10:$C$13,MATCH(1,(ListaERRORI[[#This Row],[Percentage of error ammount]]&gt;='Weight tables'!$B$10:$B$13)*(ListaERRORI[[#This Row],[Percentage of error ammount]]&lt;='Weight tables'!$C$10:$C$13),0),1)</f>
        <v>0</v>
      </c>
      <c r="K87" s="2">
        <f t="shared" si="1"/>
        <v>0</v>
      </c>
    </row>
    <row r="88" spans="1:11" x14ac:dyDescent="0.25">
      <c r="A88" s="13">
        <v>87</v>
      </c>
      <c r="B88" s="13" t="s">
        <v>204</v>
      </c>
      <c r="C88" s="13">
        <v>11</v>
      </c>
      <c r="D88" s="13" t="s">
        <v>120</v>
      </c>
      <c r="E88" s="42">
        <f>SUMIFS(ERRORI__3[[#All],[Value.total]],ERRORI__3[[#All],[Value.typologyOfErrorId]],ListaERRORI[[#This Row],[Column1.id]])</f>
        <v>0</v>
      </c>
      <c r="F88" s="2">
        <f>COUNTIFS(Errors!G:G,ListaERRORI[[#This Row],[Column1.description]])</f>
        <v>0</v>
      </c>
      <c r="G88" s="16">
        <f>ListaERRORI[[#This Row],[Attendance]]/ListaERRORI[[#Totals],[Attendance]]</f>
        <v>0</v>
      </c>
      <c r="H88" s="16">
        <f>IFERROR(ListaERRORI[[#This Row],[Amount]]/$E$103,0)</f>
        <v>0</v>
      </c>
      <c r="I88" s="81" cm="1">
        <f t="array" ref="I88">INDEX('Weight tables'!$A$4:$C$7,MATCH(1,(ListaERRORI[[#This Row],[Percentage of attendance]]&gt;='Weight tables'!$B$4:$B$7)*(ListaERRORI[[#This Row],[Percentage of attendance]]&lt;='Weight tables'!$C$4:$C$7),0),1)</f>
        <v>0</v>
      </c>
      <c r="J88" s="81" cm="1">
        <f t="array" ref="J88">INDEX('Weight tables'!$A$10:$C$13,MATCH(1,(ListaERRORI[[#This Row],[Percentage of error ammount]]&gt;='Weight tables'!$B$10:$B$13)*(ListaERRORI[[#This Row],[Percentage of error ammount]]&lt;='Weight tables'!$C$10:$C$13),0),1)</f>
        <v>0</v>
      </c>
      <c r="K88" s="2">
        <f t="shared" si="1"/>
        <v>0</v>
      </c>
    </row>
    <row r="89" spans="1:11" x14ac:dyDescent="0.25">
      <c r="A89" s="13">
        <v>88</v>
      </c>
      <c r="B89" s="13" t="s">
        <v>205</v>
      </c>
      <c r="C89" s="13">
        <v>11</v>
      </c>
      <c r="D89" s="13" t="s">
        <v>121</v>
      </c>
      <c r="E89" s="42">
        <f>SUMIFS(ERRORI__3[[#All],[Value.total]],ERRORI__3[[#All],[Value.typologyOfErrorId]],ListaERRORI[[#This Row],[Column1.id]])</f>
        <v>0</v>
      </c>
      <c r="F89" s="2">
        <f>COUNTIFS(Errors!G:G,ListaERRORI[[#This Row],[Column1.description]])</f>
        <v>0</v>
      </c>
      <c r="G89" s="16">
        <f>ListaERRORI[[#This Row],[Attendance]]/ListaERRORI[[#Totals],[Attendance]]</f>
        <v>0</v>
      </c>
      <c r="H89" s="16">
        <f>IFERROR(ListaERRORI[[#This Row],[Amount]]/$E$103,0)</f>
        <v>0</v>
      </c>
      <c r="I89" s="81" cm="1">
        <f t="array" ref="I89">INDEX('Weight tables'!$A$4:$C$7,MATCH(1,(ListaERRORI[[#This Row],[Percentage of attendance]]&gt;='Weight tables'!$B$4:$B$7)*(ListaERRORI[[#This Row],[Percentage of attendance]]&lt;='Weight tables'!$C$4:$C$7),0),1)</f>
        <v>0</v>
      </c>
      <c r="J89" s="81" cm="1">
        <f t="array" ref="J89">INDEX('Weight tables'!$A$10:$C$13,MATCH(1,(ListaERRORI[[#This Row],[Percentage of error ammount]]&gt;='Weight tables'!$B$10:$B$13)*(ListaERRORI[[#This Row],[Percentage of error ammount]]&lt;='Weight tables'!$C$10:$C$13),0),1)</f>
        <v>0</v>
      </c>
      <c r="K89" s="2">
        <f t="shared" si="1"/>
        <v>0</v>
      </c>
    </row>
    <row r="90" spans="1:11" x14ac:dyDescent="0.25">
      <c r="A90" s="13">
        <v>89</v>
      </c>
      <c r="B90" s="13" t="s">
        <v>206</v>
      </c>
      <c r="C90" s="13">
        <v>11</v>
      </c>
      <c r="D90" s="13" t="s">
        <v>122</v>
      </c>
      <c r="E90" s="42">
        <f>SUMIFS(ERRORI__3[[#All],[Value.total]],ERRORI__3[[#All],[Value.typologyOfErrorId]],ListaERRORI[[#This Row],[Column1.id]])</f>
        <v>0</v>
      </c>
      <c r="F90" s="2">
        <f>COUNTIFS(Errors!G:G,ListaERRORI[[#This Row],[Column1.description]])</f>
        <v>0</v>
      </c>
      <c r="G90" s="16">
        <f>ListaERRORI[[#This Row],[Attendance]]/ListaERRORI[[#Totals],[Attendance]]</f>
        <v>0</v>
      </c>
      <c r="H90" s="16">
        <f>IFERROR(ListaERRORI[[#This Row],[Amount]]/$E$103,0)</f>
        <v>0</v>
      </c>
      <c r="I90" s="81" cm="1">
        <f t="array" ref="I90">INDEX('Weight tables'!$A$4:$C$7,MATCH(1,(ListaERRORI[[#This Row],[Percentage of attendance]]&gt;='Weight tables'!$B$4:$B$7)*(ListaERRORI[[#This Row],[Percentage of attendance]]&lt;='Weight tables'!$C$4:$C$7),0),1)</f>
        <v>0</v>
      </c>
      <c r="J90" s="81" cm="1">
        <f t="array" ref="J90">INDEX('Weight tables'!$A$10:$C$13,MATCH(1,(ListaERRORI[[#This Row],[Percentage of error ammount]]&gt;='Weight tables'!$B$10:$B$13)*(ListaERRORI[[#This Row],[Percentage of error ammount]]&lt;='Weight tables'!$C$10:$C$13),0),1)</f>
        <v>0</v>
      </c>
      <c r="K90" s="2">
        <f t="shared" si="1"/>
        <v>0</v>
      </c>
    </row>
    <row r="91" spans="1:11" x14ac:dyDescent="0.25">
      <c r="A91" s="13">
        <v>90</v>
      </c>
      <c r="B91" s="13" t="s">
        <v>207</v>
      </c>
      <c r="C91" s="13">
        <v>11</v>
      </c>
      <c r="D91" s="13" t="s">
        <v>149</v>
      </c>
      <c r="E91" s="42">
        <f>SUMIFS(ERRORI__3[[#All],[Value.total]],ERRORI__3[[#All],[Value.typologyOfErrorId]],ListaERRORI[[#This Row],[Column1.id]])</f>
        <v>0</v>
      </c>
      <c r="F91" s="2">
        <f>COUNTIFS(Errors!G:G,ListaERRORI[[#This Row],[Column1.description]])</f>
        <v>0</v>
      </c>
      <c r="G91" s="16">
        <f>ListaERRORI[[#This Row],[Attendance]]/ListaERRORI[[#Totals],[Attendance]]</f>
        <v>0</v>
      </c>
      <c r="H91" s="16">
        <f>IFERROR(ListaERRORI[[#This Row],[Amount]]/$E$103,0)</f>
        <v>0</v>
      </c>
      <c r="I91" s="81" cm="1">
        <f t="array" ref="I91">INDEX('Weight tables'!$A$4:$C$7,MATCH(1,(ListaERRORI[[#This Row],[Percentage of attendance]]&gt;='Weight tables'!$B$4:$B$7)*(ListaERRORI[[#This Row],[Percentage of attendance]]&lt;='Weight tables'!$C$4:$C$7),0),1)</f>
        <v>0</v>
      </c>
      <c r="J91" s="81" cm="1">
        <f t="array" ref="J91">INDEX('Weight tables'!$A$10:$C$13,MATCH(1,(ListaERRORI[[#This Row],[Percentage of error ammount]]&gt;='Weight tables'!$B$10:$B$13)*(ListaERRORI[[#This Row],[Percentage of error ammount]]&lt;='Weight tables'!$C$10:$C$13),0),1)</f>
        <v>0</v>
      </c>
      <c r="K91" s="2">
        <f t="shared" si="1"/>
        <v>0</v>
      </c>
    </row>
    <row r="92" spans="1:11" x14ac:dyDescent="0.25">
      <c r="A92" s="13">
        <v>91</v>
      </c>
      <c r="B92" s="13" t="s">
        <v>208</v>
      </c>
      <c r="C92" s="13">
        <v>11</v>
      </c>
      <c r="D92" s="13" t="s">
        <v>151</v>
      </c>
      <c r="E92" s="42">
        <f>SUMIFS(ERRORI__3[[#All],[Value.total]],ERRORI__3[[#All],[Value.typologyOfErrorId]],ListaERRORI[[#This Row],[Column1.id]])</f>
        <v>0</v>
      </c>
      <c r="F92" s="2">
        <f>COUNTIFS(Errors!G:G,ListaERRORI[[#This Row],[Column1.description]])</f>
        <v>0</v>
      </c>
      <c r="G92" s="16">
        <f>ListaERRORI[[#This Row],[Attendance]]/ListaERRORI[[#Totals],[Attendance]]</f>
        <v>0</v>
      </c>
      <c r="H92" s="16">
        <f>IFERROR(ListaERRORI[[#This Row],[Amount]]/$E$103,0)</f>
        <v>0</v>
      </c>
      <c r="I92" s="81" cm="1">
        <f t="array" ref="I92">INDEX('Weight tables'!$A$4:$C$7,MATCH(1,(ListaERRORI[[#This Row],[Percentage of attendance]]&gt;='Weight tables'!$B$4:$B$7)*(ListaERRORI[[#This Row],[Percentage of attendance]]&lt;='Weight tables'!$C$4:$C$7),0),1)</f>
        <v>0</v>
      </c>
      <c r="J92" s="81" cm="1">
        <f t="array" ref="J92">INDEX('Weight tables'!$A$10:$C$13,MATCH(1,(ListaERRORI[[#This Row],[Percentage of error ammount]]&gt;='Weight tables'!$B$10:$B$13)*(ListaERRORI[[#This Row],[Percentage of error ammount]]&lt;='Weight tables'!$C$10:$C$13),0),1)</f>
        <v>0</v>
      </c>
      <c r="K92" s="2">
        <f t="shared" si="1"/>
        <v>0</v>
      </c>
    </row>
    <row r="93" spans="1:11" x14ac:dyDescent="0.25">
      <c r="A93" s="13">
        <v>92</v>
      </c>
      <c r="B93" s="13" t="s">
        <v>209</v>
      </c>
      <c r="C93" s="13">
        <v>11</v>
      </c>
      <c r="D93" s="13" t="s">
        <v>153</v>
      </c>
      <c r="E93" s="42">
        <f>SUMIFS(ERRORI__3[[#All],[Value.total]],ERRORI__3[[#All],[Value.typologyOfErrorId]],ListaERRORI[[#This Row],[Column1.id]])</f>
        <v>0</v>
      </c>
      <c r="F93" s="2">
        <f>COUNTIFS(Errors!G:G,ListaERRORI[[#This Row],[Column1.description]])</f>
        <v>0</v>
      </c>
      <c r="G93" s="16">
        <f>ListaERRORI[[#This Row],[Attendance]]/ListaERRORI[[#Totals],[Attendance]]</f>
        <v>0</v>
      </c>
      <c r="H93" s="16">
        <f>IFERROR(ListaERRORI[[#This Row],[Amount]]/$E$103,0)</f>
        <v>0</v>
      </c>
      <c r="I93" s="81" cm="1">
        <f t="array" ref="I93">INDEX('Weight tables'!$A$4:$C$7,MATCH(1,(ListaERRORI[[#This Row],[Percentage of attendance]]&gt;='Weight tables'!$B$4:$B$7)*(ListaERRORI[[#This Row],[Percentage of attendance]]&lt;='Weight tables'!$C$4:$C$7),0),1)</f>
        <v>0</v>
      </c>
      <c r="J93" s="81" cm="1">
        <f t="array" ref="J93">INDEX('Weight tables'!$A$10:$C$13,MATCH(1,(ListaERRORI[[#This Row],[Percentage of error ammount]]&gt;='Weight tables'!$B$10:$B$13)*(ListaERRORI[[#This Row],[Percentage of error ammount]]&lt;='Weight tables'!$C$10:$C$13),0),1)</f>
        <v>0</v>
      </c>
      <c r="K93" s="2">
        <f t="shared" si="1"/>
        <v>0</v>
      </c>
    </row>
    <row r="94" spans="1:11" x14ac:dyDescent="0.25">
      <c r="A94" s="13">
        <v>93</v>
      </c>
      <c r="B94" s="13" t="s">
        <v>210</v>
      </c>
      <c r="C94" s="13">
        <v>12</v>
      </c>
      <c r="D94" s="13" t="s">
        <v>101</v>
      </c>
      <c r="E94" s="42">
        <f>SUMIFS(ERRORI__3[[#All],[Value.total]],ERRORI__3[[#All],[Value.typologyOfErrorId]],ListaERRORI[[#This Row],[Column1.id]])</f>
        <v>0</v>
      </c>
      <c r="F94" s="2">
        <f>COUNTIFS(Errors!G:G,ListaERRORI[[#This Row],[Column1.description]])</f>
        <v>0</v>
      </c>
      <c r="G94" s="16">
        <f>ListaERRORI[[#This Row],[Attendance]]/ListaERRORI[[#Totals],[Attendance]]</f>
        <v>0</v>
      </c>
      <c r="H94" s="16">
        <f>IFERROR(ListaERRORI[[#This Row],[Amount]]/$E$103,0)</f>
        <v>0</v>
      </c>
      <c r="I94" s="81" cm="1">
        <f t="array" ref="I94">INDEX('Weight tables'!$A$4:$C$7,MATCH(1,(ListaERRORI[[#This Row],[Percentage of attendance]]&gt;='Weight tables'!$B$4:$B$7)*(ListaERRORI[[#This Row],[Percentage of attendance]]&lt;='Weight tables'!$C$4:$C$7),0),1)</f>
        <v>0</v>
      </c>
      <c r="J94" s="81" cm="1">
        <f t="array" ref="J94">INDEX('Weight tables'!$A$10:$C$13,MATCH(1,(ListaERRORI[[#This Row],[Percentage of error ammount]]&gt;='Weight tables'!$B$10:$B$13)*(ListaERRORI[[#This Row],[Percentage of error ammount]]&lt;='Weight tables'!$C$10:$C$13),0),1)</f>
        <v>0</v>
      </c>
      <c r="K94" s="2">
        <f t="shared" si="1"/>
        <v>0</v>
      </c>
    </row>
    <row r="95" spans="1:11" x14ac:dyDescent="0.25">
      <c r="A95" s="13">
        <v>94</v>
      </c>
      <c r="B95" s="13" t="s">
        <v>211</v>
      </c>
      <c r="C95" s="13">
        <v>12</v>
      </c>
      <c r="D95" s="13" t="s">
        <v>103</v>
      </c>
      <c r="E95" s="42">
        <f>SUMIFS(ERRORI__3[[#All],[Value.total]],ERRORI__3[[#All],[Value.typologyOfErrorId]],ListaERRORI[[#This Row],[Column1.id]])</f>
        <v>0</v>
      </c>
      <c r="F95" s="2">
        <f>COUNTIFS(Errors!G:G,ListaERRORI[[#This Row],[Column1.description]])</f>
        <v>0</v>
      </c>
      <c r="G95" s="16">
        <f>ListaERRORI[[#This Row],[Attendance]]/ListaERRORI[[#Totals],[Attendance]]</f>
        <v>0</v>
      </c>
      <c r="H95" s="16">
        <f>IFERROR(ListaERRORI[[#This Row],[Amount]]/$E$103,0)</f>
        <v>0</v>
      </c>
      <c r="I95" s="81" cm="1">
        <f t="array" ref="I95">INDEX('Weight tables'!$A$4:$C$7,MATCH(1,(ListaERRORI[[#This Row],[Percentage of attendance]]&gt;='Weight tables'!$B$4:$B$7)*(ListaERRORI[[#This Row],[Percentage of attendance]]&lt;='Weight tables'!$C$4:$C$7),0),1)</f>
        <v>0</v>
      </c>
      <c r="J95" s="81" cm="1">
        <f t="array" ref="J95">INDEX('Weight tables'!$A$10:$C$13,MATCH(1,(ListaERRORI[[#This Row],[Percentage of error ammount]]&gt;='Weight tables'!$B$10:$B$13)*(ListaERRORI[[#This Row],[Percentage of error ammount]]&lt;='Weight tables'!$C$10:$C$13),0),1)</f>
        <v>0</v>
      </c>
      <c r="K95" s="2">
        <f t="shared" si="1"/>
        <v>0</v>
      </c>
    </row>
    <row r="96" spans="1:11" x14ac:dyDescent="0.25">
      <c r="A96" s="13">
        <v>95</v>
      </c>
      <c r="B96" s="13" t="s">
        <v>212</v>
      </c>
      <c r="C96" s="13"/>
      <c r="D96" s="13"/>
      <c r="E96" s="42">
        <f>SUMIFS(ERRORI__3[[#All],[Value.total]],ERRORI__3[[#All],[Value.typologyOfErrorId]],ListaERRORI[[#This Row],[Column1.id]])</f>
        <v>0</v>
      </c>
      <c r="G96" s="16">
        <f>ListaERRORI[[#This Row],[Attendance]]/ListaERRORI[[#Totals],[Attendance]]</f>
        <v>0</v>
      </c>
      <c r="H96" s="16">
        <f>IFERROR(ListaERRORI[[#This Row],[Amount]]/$E$103,0)</f>
        <v>0</v>
      </c>
      <c r="I96" s="81" cm="1">
        <f t="array" ref="I96">INDEX('Weight tables'!$A$4:$C$7,MATCH(1,(ListaERRORI[[#This Row],[Percentage of attendance]]&gt;='Weight tables'!$B$4:$B$7)*(ListaERRORI[[#This Row],[Percentage of attendance]]&lt;='Weight tables'!$C$4:$C$7),0),1)</f>
        <v>0</v>
      </c>
      <c r="J96" s="81" cm="1">
        <f t="array" ref="J96">INDEX('Weight tables'!$A$10:$C$13,MATCH(1,(ListaERRORI[[#This Row],[Percentage of error ammount]]&gt;='Weight tables'!$B$10:$B$13)*(ListaERRORI[[#This Row],[Percentage of error ammount]]&lt;='Weight tables'!$C$10:$C$13),0),1)</f>
        <v>0</v>
      </c>
      <c r="K96" s="2">
        <f t="shared" si="1"/>
        <v>0</v>
      </c>
    </row>
    <row r="97" spans="1:11" x14ac:dyDescent="0.25">
      <c r="A97" s="13">
        <v>96</v>
      </c>
      <c r="B97" s="13" t="s">
        <v>212</v>
      </c>
      <c r="C97" s="13"/>
      <c r="D97" s="13"/>
      <c r="E97" s="42">
        <f>SUMIFS(ERRORI__3[[#All],[Value.total]],ERRORI__3[[#All],[Value.typologyOfErrorId]],ListaERRORI[[#This Row],[Column1.id]])</f>
        <v>0</v>
      </c>
      <c r="G97" s="16">
        <f>ListaERRORI[[#This Row],[Attendance]]/ListaERRORI[[#Totals],[Attendance]]</f>
        <v>0</v>
      </c>
      <c r="H97" s="16">
        <f>IFERROR(ListaERRORI[[#This Row],[Amount]]/$E$103,0)</f>
        <v>0</v>
      </c>
      <c r="I97" s="81" cm="1">
        <f t="array" ref="I97">INDEX('Weight tables'!$A$4:$C$7,MATCH(1,(ListaERRORI[[#This Row],[Percentage of attendance]]&gt;='Weight tables'!$B$4:$B$7)*(ListaERRORI[[#This Row],[Percentage of attendance]]&lt;='Weight tables'!$C$4:$C$7),0),1)</f>
        <v>0</v>
      </c>
      <c r="J97" s="81" cm="1">
        <f t="array" ref="J97">INDEX('Weight tables'!$A$10:$C$13,MATCH(1,(ListaERRORI[[#This Row],[Percentage of error ammount]]&gt;='Weight tables'!$B$10:$B$13)*(ListaERRORI[[#This Row],[Percentage of error ammount]]&lt;='Weight tables'!$C$10:$C$13),0),1)</f>
        <v>0</v>
      </c>
      <c r="K97" s="2">
        <f t="shared" si="1"/>
        <v>0</v>
      </c>
    </row>
    <row r="98" spans="1:11" x14ac:dyDescent="0.25">
      <c r="A98" s="13">
        <v>97</v>
      </c>
      <c r="B98" s="13" t="s">
        <v>212</v>
      </c>
      <c r="C98" s="13"/>
      <c r="D98" s="13"/>
      <c r="E98" s="42">
        <f>SUMIFS(ERRORI__3[[#All],[Value.total]],ERRORI__3[[#All],[Value.typologyOfErrorId]],ListaERRORI[[#This Row],[Column1.id]])</f>
        <v>0</v>
      </c>
      <c r="G98" s="16">
        <f>ListaERRORI[[#This Row],[Attendance]]/ListaERRORI[[#Totals],[Attendance]]</f>
        <v>0</v>
      </c>
      <c r="H98" s="16">
        <f>IFERROR(ListaERRORI[[#This Row],[Amount]]/$E$103,0)</f>
        <v>0</v>
      </c>
      <c r="I98" s="81" cm="1">
        <f t="array" ref="I98">INDEX('Weight tables'!$A$4:$C$7,MATCH(1,(ListaERRORI[[#This Row],[Percentage of attendance]]&gt;='Weight tables'!$B$4:$B$7)*(ListaERRORI[[#This Row],[Percentage of attendance]]&lt;='Weight tables'!$C$4:$C$7),0),1)</f>
        <v>0</v>
      </c>
      <c r="J98" s="81" cm="1">
        <f t="array" ref="J98">INDEX('Weight tables'!$A$10:$C$13,MATCH(1,(ListaERRORI[[#This Row],[Percentage of error ammount]]&gt;='Weight tables'!$B$10:$B$13)*(ListaERRORI[[#This Row],[Percentage of error ammount]]&lt;='Weight tables'!$C$10:$C$13),0),1)</f>
        <v>0</v>
      </c>
      <c r="K98" s="2">
        <f t="shared" si="1"/>
        <v>0</v>
      </c>
    </row>
    <row r="99" spans="1:11" x14ac:dyDescent="0.25">
      <c r="A99" s="13">
        <v>98</v>
      </c>
      <c r="B99" s="13" t="s">
        <v>212</v>
      </c>
      <c r="C99" s="13"/>
      <c r="D99" s="13"/>
      <c r="E99" s="42">
        <f>SUMIFS(ERRORI__3[[#All],[Value.total]],ERRORI__3[[#All],[Value.typologyOfErrorId]],ListaERRORI[[#This Row],[Column1.id]])</f>
        <v>0</v>
      </c>
      <c r="G99" s="16">
        <f>ListaERRORI[[#This Row],[Attendance]]/ListaERRORI[[#Totals],[Attendance]]</f>
        <v>0</v>
      </c>
      <c r="H99" s="16">
        <f>IFERROR(ListaERRORI[[#This Row],[Amount]]/$E$103,0)</f>
        <v>0</v>
      </c>
      <c r="I99" s="81" cm="1">
        <f t="array" ref="I99">INDEX('Weight tables'!$A$4:$C$7,MATCH(1,(ListaERRORI[[#This Row],[Percentage of attendance]]&gt;='Weight tables'!$B$4:$B$7)*(ListaERRORI[[#This Row],[Percentage of attendance]]&lt;='Weight tables'!$C$4:$C$7),0),1)</f>
        <v>0</v>
      </c>
      <c r="J99" s="81" cm="1">
        <f t="array" ref="J99">INDEX('Weight tables'!$A$10:$C$13,MATCH(1,(ListaERRORI[[#This Row],[Percentage of error ammount]]&gt;='Weight tables'!$B$10:$B$13)*(ListaERRORI[[#This Row],[Percentage of error ammount]]&lt;='Weight tables'!$C$10:$C$13),0),1)</f>
        <v>0</v>
      </c>
      <c r="K99" s="2">
        <f t="shared" si="1"/>
        <v>0</v>
      </c>
    </row>
    <row r="100" spans="1:11" x14ac:dyDescent="0.25">
      <c r="A100" s="13">
        <v>99</v>
      </c>
      <c r="B100" s="13" t="s">
        <v>212</v>
      </c>
      <c r="C100" s="13"/>
      <c r="D100" s="13"/>
      <c r="E100" s="42">
        <f>SUMIFS(ERRORI__3[[#All],[Value.total]],ERRORI__3[[#All],[Value.typologyOfErrorId]],ListaERRORI[[#This Row],[Column1.id]])</f>
        <v>0</v>
      </c>
      <c r="G100" s="16">
        <f>ListaERRORI[[#This Row],[Attendance]]/ListaERRORI[[#Totals],[Attendance]]</f>
        <v>0</v>
      </c>
      <c r="H100" s="16">
        <f>IFERROR(ListaERRORI[[#This Row],[Amount]]/$E$103,0)</f>
        <v>0</v>
      </c>
      <c r="I100" s="81" cm="1">
        <f t="array" ref="I100">INDEX('Weight tables'!$A$4:$C$7,MATCH(1,(ListaERRORI[[#This Row],[Percentage of attendance]]&gt;='Weight tables'!$B$4:$B$7)*(ListaERRORI[[#This Row],[Percentage of attendance]]&lt;='Weight tables'!$C$4:$C$7),0),1)</f>
        <v>0</v>
      </c>
      <c r="J100" s="81" cm="1">
        <f t="array" ref="J100">INDEX('Weight tables'!$A$10:$C$13,MATCH(1,(ListaERRORI[[#This Row],[Percentage of error ammount]]&gt;='Weight tables'!$B$10:$B$13)*(ListaERRORI[[#This Row],[Percentage of error ammount]]&lt;='Weight tables'!$C$10:$C$13),0),1)</f>
        <v>0</v>
      </c>
      <c r="K100" s="2">
        <f t="shared" si="1"/>
        <v>0</v>
      </c>
    </row>
    <row r="101" spans="1:11" x14ac:dyDescent="0.25">
      <c r="A101" s="13">
        <v>100</v>
      </c>
      <c r="B101" s="13" t="s">
        <v>212</v>
      </c>
      <c r="C101" s="13"/>
      <c r="D101" s="13"/>
      <c r="E101" s="42">
        <f>SUMIFS(ERRORI__3[[#All],[Value.total]],ERRORI__3[[#All],[Value.typologyOfErrorId]],ListaERRORI[[#This Row],[Column1.id]])</f>
        <v>0</v>
      </c>
      <c r="G101" s="16">
        <f>ListaERRORI[[#This Row],[Attendance]]/ListaERRORI[[#Totals],[Attendance]]</f>
        <v>0</v>
      </c>
      <c r="H101" s="16">
        <f>IFERROR(ListaERRORI[[#This Row],[Amount]]/$E$103,0)</f>
        <v>0</v>
      </c>
      <c r="I101" s="81" cm="1">
        <f t="array" ref="I101">INDEX('Weight tables'!$A$4:$C$7,MATCH(1,(ListaERRORI[[#This Row],[Percentage of attendance]]&gt;='Weight tables'!$B$4:$B$7)*(ListaERRORI[[#This Row],[Percentage of attendance]]&lt;='Weight tables'!$C$4:$C$7),0),1)</f>
        <v>0</v>
      </c>
      <c r="J101" s="81" cm="1">
        <f t="array" ref="J101">INDEX('Weight tables'!$A$10:$C$13,MATCH(1,(ListaERRORI[[#This Row],[Percentage of error ammount]]&gt;='Weight tables'!$B$10:$B$13)*(ListaERRORI[[#This Row],[Percentage of error ammount]]&lt;='Weight tables'!$C$10:$C$13),0),1)</f>
        <v>0</v>
      </c>
      <c r="K101" s="2">
        <f t="shared" si="1"/>
        <v>0</v>
      </c>
    </row>
    <row r="102" spans="1:11" x14ac:dyDescent="0.25">
      <c r="A102" s="1" t="s">
        <v>215</v>
      </c>
      <c r="B102" s="1"/>
      <c r="C102" s="13" t="s">
        <v>214</v>
      </c>
      <c r="D102" s="13"/>
      <c r="E102" s="14">
        <f>SUMIFS(ERRORI__3[[#All],[Value.total]],ERRORI__3[[#All],[Value.typologyOfErrorId]],"")</f>
        <v>31044.11</v>
      </c>
      <c r="F102" s="2">
        <f>COUNTIFS(Errors!G:G,ListaERRORI[[#This Row],[Column1.description]])</f>
        <v>0</v>
      </c>
      <c r="H102" s="16">
        <f>IFERROR(ListaERRORI[[#This Row],[Amount]]/$E$103,0)</f>
        <v>0.1956917335349162</v>
      </c>
      <c r="I102" s="81" cm="1">
        <f t="array" ref="I102">INDEX('Weight tables'!$A$4:$C$7,MATCH(1,(ListaERRORI[[#This Row],[Percentage of attendance]]&gt;='Weight tables'!$B$4:$B$7)*(ListaERRORI[[#This Row],[Percentage of attendance]]&lt;='Weight tables'!$C$4:$C$7),0),1)</f>
        <v>0</v>
      </c>
      <c r="J102" s="81" cm="1">
        <f t="array" ref="J102">INDEX('Weight tables'!$A$10:$C$13,MATCH(1,(ListaERRORI[[#This Row],[Percentage of error ammount]]&gt;='Weight tables'!$B$10:$B$13)*(ListaERRORI[[#This Row],[Percentage of error ammount]]&lt;='Weight tables'!$C$10:$C$13),0),1)</f>
        <v>4</v>
      </c>
      <c r="K102" s="2">
        <f t="shared" si="1"/>
        <v>4</v>
      </c>
    </row>
    <row r="103" spans="1:11" x14ac:dyDescent="0.25">
      <c r="A103" s="1"/>
      <c r="B103" s="1"/>
      <c r="C103" s="13"/>
      <c r="D103" s="13" t="s">
        <v>213</v>
      </c>
      <c r="E103" s="15">
        <f>SUM(E2:E102)</f>
        <v>158637.82</v>
      </c>
      <c r="F103" s="2">
        <f>SUM(F2:F102)</f>
        <v>79</v>
      </c>
      <c r="H103" s="153">
        <f>SUM(H2:H102)</f>
        <v>0.99999999999999989</v>
      </c>
      <c r="K103" s="2"/>
    </row>
    <row r="104" spans="1:11" x14ac:dyDescent="0.25">
      <c r="E104" s="14">
        <f>ListaERRORI[[#Totals],[Amount]]-E102</f>
        <v>127593.71</v>
      </c>
    </row>
    <row r="105" spans="1:11" x14ac:dyDescent="0.25">
      <c r="A105" s="74" t="s">
        <v>4310</v>
      </c>
      <c r="B105" s="73" t="s">
        <v>4306</v>
      </c>
      <c r="C105" s="42">
        <f>SUMIFS(Spese_Sopsese[[#All],[Value]],Spese_Sopsese[[#All],[Name]],ListOFErrors!B105)</f>
        <v>72573.990000000005</v>
      </c>
      <c r="E105" s="14">
        <f>E14/E104</f>
        <v>0.10217157256419614</v>
      </c>
    </row>
  </sheetData>
  <phoneticPr fontId="10" type="noConversion"/>
  <pageMargins left="0.7" right="0.7" top="0.75" bottom="0.75" header="0.3" footer="0.3"/>
  <pageSetup paperSize="9" scale="73" fitToHeight="0"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  s t a n d a l o n e = " n o " ? > < D a t a M a s h u p   x m l n s = " h t t p : / / s c h e m a s . m i c r o s o f t . c o m / D a t a M a s h u p " > A A A A A P k b 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T z X t n q 4 A A A D 4 A A A A E g A A A E N v b m Z p Z y 9 Q Y W N r Y W d l L n h t b H q / e 7 + N f U V u j k J Z a l F x Z n 6 e r Z K h n o G S Q n F J Y l 5 K Y k 5 + X q q t U l 6 + k r 0 d L 5 d N Q G J y d m J 6 q g J Q d V 6 x V U V x i q 1 S R k l J g Z W + f n l 5 u V 6 5 s V 5 + U b q + k Y G B o X 6 E r 0 9 w c k Z q b q I S X H E m Y c W 6 m X k g a 5 N T l e x s w i C u s T P S M z Q y 0 D M 1 N T P V M 7 D R h 4 n a + G b m I V Q Y A V 0 M k k U S t H E u z S k p L U q 1 y y z R 9 Q y x 0 Y d x b f S h n r A D A A A A / / 8 D A F B L A w Q U A A I A C A A A A C E A 1 3 x D l Q c X A A B 3 5 g A A E w A A A E Z v c m 1 1 b G F z L 1 N l Y 3 R p b 2 4 x L m 3 s X e t y 4 z a y / p + q f Q e W 8 u P Y V R 5 l q J v t 7 J m d 8 t i e i n I Z e y 0 n p 0 7 N T L l o E r Y x p g g t L 0 o 8 U 3 6 0 r f N I 5 x W 2 A f A C g I B I S Z R t 2 U o l s Q i A Q H e j A X R / a A I R c m N M A m v E / 9 p / / + 6 7 6 M Y J k W c d n 5 2 d n A 2 t N 5 a P 4 r 9 9 Z 8 E / J y G + x g G C p P f E 9 1 D Y f o 9 9 F G 2 1 j n 7 8 9 P P x b 6 N X x 9 G E h L H z F e r B n 8 5 Q 4 G G X B D H + x G t q b e / w a r 5 v 0 f e s w I l c E s X Y u s J + H D o x t l t Q 8 7 l z 6 a P 2 C P l A z x n 5 M 9 p K G 9 2 x k O P e W B 8 P 4 j j E l 0 m M o s 9 v P / 6 E P Q 8 F n 9 9 a / / 0 P K w 4 T V L R w h t 0 b 7 I w d 6 y o J K D 3 I m q A w I o H j 4 6 9 f n d g R 2 j r w v E P i J + N g y 0 z Y j t U 6 D 5 3 o i o S 0 S l r I c 1 I B t V L K v j e X 2 P p 4 C H J A Q f x 5 W 6 Q w I G M c O D G y X O K T I E A C T S A 8 Z 4 w 4 W d F W H X Z 2 r G + t D / A O J X V E k t B F b f Z 4 L 7 Y 4 J l G E L A e 4 0 j X K h S 4 2 W q a Q N i N W P 0 s w Q t O g G U 4 Q O W k 9 j h X T B o W m j / + C f I / 9 z v v C Q O 7 s r u D V 8 T o o g Z Q P c 7 + k H e 5 h C 0 V o P M G k t S 3 0 0 G / E w 1 f Y d W J i x X h C C m q h w o D V y N s 5 v 5 u w d g x M 7 n x T R R b D C 1 a M / o r v h V 6 T E / 9 w / C R P d Y K 7 + 3 t p 9 F C 1 R B a M j B u k H T R l 4 l M t 3 f p I m / s M 7 7 Q 8 5 C V s z N M 3 W g L f U B v y f c d i N I B k G F d q X / 2 K o 1 g c N i J F 0 E W c / o o 6 S w p w h l w S F q N R T 0 h e O 5 U T y A e k f X 1 3 c n U c h i Q c e j R b S c w U N Y q d q 6 t D G N n 0 g V y B d N B B 4 B 1 4 o O P A D B 3 o J G C v h 8 4 U + T T L d c l 4 T L w 8 B 3 o H h T D o g F o U x j h i 1 a J / J X g y h t F N H 3 B w B d o G c 5 E b J y G t / n 9 I e B v R H O B p M k r G 7 H c S 4 J g S w h 5 I f I P C / C k m s e O 3 C h 1 o a z n U Z m V 8 8 k y J W 5 4 0 g + e 0 Q i P n P F / L f 5 o l S o E n m W X B 8 0 W J 8 B R J L i n N k n R S M r m M t v / 2 H Q 4 q F K x Y z s p j f Q V L 2 w d n i q 9 Z K W R D X W m t 3 1 7 f 5 y t A Q b N Y V i T z 1 A m h I + O Q W B 7 y 0 y k r J 5 o N G Q 0 r 8 I J j f R x G 6 c s o / G e C w r s 3 d F H c s d 7 B J B 7 e D W G p j G F O Q O G b c g U w c 8 J M 8 6 b F i 8 K j W t U Z 7 W A g k F X 5 G e i d M a / q B b t V z Z o T W Z e M g G 3 r z T + K O u R 6 f o Z 1 r 3 1 E 3 I R q W 3 W l W d d w N Y F u m M L K y Z Z Q H N A p m m o N k y q f f N r n h M 1 I m d 2 x z d / O O m 1 2 L U X n p m + L / Z r a U 1 u d 7 d b G q K o w q p i U K g 0 r V u p l G l e M 9 Q c 3 s N J u m c f I 4 n 1 U m n B Y 8 s b Y 2 h h b G 2 P r R R h b q 1 r 2 V m 5 w d b Q G F 2 d n S a M r m 0 3 n N L x y u t U p t 6 h Y n n 3 1 Y p / L j O o I s 8 s i J l S h O q a 3 g b G P 1 v s k Y J M k Y x w k 4 u H g m s 6 e 3 1 o w G w A h v h O + B 4 Y T 3 2 H D r / V j q 7 Y Q W v c t 6 / N 3 F e v U Y o Z r Z x W G a + f p G a 7 d j e F a w 3 D t 1 j J c u y / X c O 0 + i u H a n d 9 w 7 e o N 1 + 7 G c K X 1 j x L P w 1 M M k s k 4 g Q n l 0 m H d Q i c 0 P M Y x 1 B u K T U 9 8 P M u O l f l n p W E V 5 K + d A 8 / v 7 o 5 4 v S j c a l 1 A k X 8 m J E a j + I 5 2 a j T d V t S w b S u V t j t q Q l d N 6 K k J f V F Z F X H Z l Z 1 d X 0 h K / z P a 5 c 5 W G T H n d m f m U h a H Q T z o t S m V p e y + 9 L J m o k j H m z g t j c l U m J Z K U t p R W b t f Q I 1 s k x 6 p d J U 6 s F K V 2 t W q 1 C 8 r U x 9 6 w a w b n e Z 0 o z Q 5 p N T M 6 k R F Q 8 z d a N f u x 4 7 a j 4 o A 5 v d k S 6 R s f N m N L 7 s O v m x 3 P X 3 Z r s G X 7 T b h y 3 Z X 7 8 t 2 G / F l u + v t y 3 b r + L L d R X 3 Z 7 i p 8 2 e 5 T 8 W W L s U d f B j e J z l P v f m 1 i L B u q f n Z u r o n P G T 6 v 6 Z W X 5 g C b 5 P C A 3 r C 5 9 + q 5 x s a u 1 C w I v f X w k 5 f 2 Y 8 s + 9 M a R 3 T i y G 0 d 2 b R 3 Z 8 g Q / a w V S X V g t h 6 1 8 4 i Q W 9 l p a V W 5 N n D A O U K g t w M a 3 c 0 v C A B q 0 0 p I t 7 X B q H d y G h B c L y T W K Y 9 K 6 n 9 d N V / x p j U Q k Z / r K d + I z y M 3 9 0 G M f 7 B e o 7 l 3 i A Q W M u R B N M U k i H 5 w A a k E h T 5 8 K h u Q t z 3 O T M A T j g G e U E s 7 Q M H D 9 x O N l p U Y P r m L q + Q V g j f p 5 Z l b / i L x 3 Q n 3 q K Q I 5 B r F z z f g I 0 d g B X z e 4 1 v H w B 1 / 6 k C c 6 3 K I U B H + z L A u e q Z e I K a + Q C y 9 R k o 4 m W Z a R h i R V U k K R k r x M e b L U e C m N 7 F S + B A l W u + O z v f F e M 9 5 4 l Q W / c v e 8 Z 3 D P e 0 2 4 5 7 3 V u e c m w T X g q / f W 0 1 c 3 S c T s u M 8 n w 2 q x r c C L 7 z 2 d H e k R G B 7 I G p F J B H 8 b G f x y j c / N a Z e 5 m + G q y w V f m o M u c / + A b r n a P / W c c a W z N J N + / 4 m 6 4 E E y v k T h x g v f e O E b L 3 z j h T + A F y 7 6 x d Q t / g I L h s H J z k u Z f G w 2 p r F n L p B 2 L h Q J u X d 2 L 7 s 4 G s 5 m + j f 9 7 R W a O C v 3 a v o G r 6 b f h F f T X 5 1 X U 8 f G n M t + 7 q + n L y P L w e z B 1 J F X t Y h W 4 L f 0 n 4 r f M r z 4 D S N 8 U Q z J O k p F V b 6 d D k U Y 5 I c / f v o 9 g n Y / 7 b 7 e G + z a n 7 J y U f 4 L B j q d 5 2 H u y Z p 5 d Z D E Z M z H 7 a c S E e 0 v 0 F 4 R 2 O f y p o q p 4 G O a 8 r l C e Y v Z + X 1 I x j T O Z y t 9 U 1 0 w 3 9 1 9 I P E N q O U W r I t B 4 v v Z / 4 / / A i e G G Y p R m w W m l F F L P u f b N X F L A 6 U w O a f 1 M L 8 A p 1 A k W x V 4 m E w 6 t w / F n M M k A j E W 8 5 F Q 7 o z 4 S H j 8 w M x b I e H g 8 p I C X 3 l Q D F 8 X i m I R 9 F j C g 3 1 w c I s 8 O k D / 4 I T T x C s c R v E o u R z j K E v y n S g + Q 3 K a y 4 G 8 4 4 D D p y G i 8 N p B n D Y Q x k c p N g l d n / 0 E b w w T 7 w i m Y e w L r H K A T + L + T C G 5 G n F l i Y z C O M U 2 Y X A i 5 k P w N T P t g z a X f / Y k 9 U O e K P a H U l L X L 8 p 7 W f 8 o y Q U 3 S o b a X 1 m 2 2 m 9 Z e t F / W Y q 2 H 7 N M T X / m 7 2 n 6 N c u T + z d P F f t Z I K j o 7 y x R 6 P e c X 6 X / F d G K e q D N K o t i p l 5 I h c r 6 k W U L e l L M A C e h x 2 0 m N Z 4 Z y N g y T x D U E j T L H S q F W e k g c h F b J + / v F 3 e W F f p m t 8 t M a Q p / x 3 i M v s L 0 J A 0 I q a P L R U V 3 h 6 I / c Y K B y K n j S + 4 x d J D v u I h N p z r / u P U D / P e q t Z O W C 7 M X q D u z 8 2 3 m i J g 3 y r x M Z R 5 n P k M j P l O s 7 P W 2 Z P k o z e k i e 6 h l M k Y g 6 K b j e o S K n x V A a M I D X x T 8 9 1 B o X y 1 w T 4 v l D d Y j n G a R 7 W U N d r f Z W 9 7 s L T e y t 9 w c w m z 8 q G C D M 2 9 w 5 g 3 O v M G Z s 5 F 6 y j 0 k K 0 W S D T j z a R r t Z S z V E 0 o N j 4 w w c + q j H S 2 L M g + a j q L R 2 c v L o 8 0 5 1 G f r Y e V B E 7 D y Y D W w c i 0 U u W B w 7 e D i F B 0 2 C M K E C Q s 9 u g D 4 W x b X o 0 e n X B w c n Q 1 P P h z + 7 + G v x + c n v 5 9 d v B s d W r / A b P r l w u 5 d 2 K / t 1 g L A r 3 b c H d 6 g W 8 v H U f z p 2 E e B S y 5 c S L h g C Z V E K L j v H L B u 7 s a u A 6 x b Q H N 0 W a F / g 9 Q B Z M A Z C Y / H K f Y l A W l X 9 D P H G 5 Q D Z i H y a e Y 5 y U H R a 9 A 7 W B t u k H t L B c 7 T Y e K L S G Z 8 w v M U R 9 Q W 5 u B n 5 I Z 4 w g E U M / x Z h h I z u r P n j H 4 J A B T 4 m A k M q n w V y K b E n w D 2 a f k U k C q J 3 y x d 4 L s A 9 Q T + t S G f q h I I R x E r 2 r 3 w Q m U e M M 8 r 5 m v W 8 X k v 7 t C 8 h z w q r / Y B e a Z j 8 X Y Z z C M O D w O 9 M 4 2 5 3 S W M u R p j p E E z r q M 3 4 3 a b M O N 2 V x Q d U P d Q r Y L J 9 d v 5 L 8 7 M M g l k x o F Z Q u 8 u Y 9 J 1 n s 4 R W O o C t N R x d k 9 k F T r I J m t i / T w 6 + W D 0 / K N Z S w / b 5 m J j H g a X 1 I 8 6 V D g t W u t 0 E J U 8 Z k v w l i o r r n t A i E q P 0 M Z 6 m J C M 1 t y E 5 E + i C c l T C h O S P x c m J H 8 u m 5 B C e m F C 8 s S y C c n T S y Y k T z a b k G k b J R O S p 0 s m J E + S T c j 5 E T 6 j s u x 8 a 4 G T g o J s x 5 2 y Z j m u i 6 B a L 0 8 Y M 2 B J S E j F w 6 I G 8 y F H n / g c A I t c f N M o B K 3 B D J d C n Q u 4 u U C v C o S q Q K E q I e W G E W U D l G z A k A 3 g s Q k 1 n g s u r o 8 z U i U q 4 8 R L o 4 t C + K p b + q x T 4 r 7 l 5 A X E y F R 9 z G r D U L b u 8 9 A l Y W w R 4 6 w B X N t N A 9 d m x L o a q p 7 D j 9 L s O s i 8 S 2 H E J j X t m N V U 6 z N 9 a + m h c J I F s W i U l d B Y G a O 2 M p h d X o 8 E f Z P 4 0 O q y T n 9 f 9 J q m 9 l p n 1 s R R 6 j f B L s u s g 8 z o t P h e w X w h P D p 6 h C C e o g t Y 1 A 7 F / S y w u q x y V u t n Z w p D D z w C 4 m J Y i 1 9 Z v / A 9 4 g B b 3 A K u F / C j c f f 2 1 s b p 7 e q d 3 r 0 m n N 6 9 V T m 9 3 T m d 3 u 4 a O r 3 d S q e 3 W + 3 0 d p d y e r t P x u k 9 / O n 4 F + v X 4 e j c b m J c C b U 9 L 6 i 1 N w N q 7 b 0 0 q L X 3 g F B r r y 7 U 2 t N D r f s v 6 i B n l 4 w n o D t B v L b X j 2 B P x G A m J M J Z f H 5 u j / 0 G q y d Y X Q 4 / U R W M x s A t 0 o R w O i w f h i q E l 4 n V Z n F l m s q z g 0 r V J g x S K F d S c 6 v T I M u Z x H 3 L Z f S v B E W x + B H J y S R 7 j K C d w C u e 4 x s c C o 9 f k i j m C p U m T F k 3 C C I s t a w K s p Q v U m M q o 1 B p K q Z S b y R J 5 s p U r M S t q W A q B V M v q / q w S C f P U B W z 3 o m d D k X / 5 M 6 T z J a o / s r 7 S t e V s o s q D Q W U l k y T l 2 2 Y v W p K M Z / U q j S M T X j d t r 3 3 / Z Z / t f 3 / / / d v i / q P j g U 2 E K f S s a C 1 S Q h L Q f A V n B H W O P X 1 + P I K i 4 Q T x 3 i K Y / o q + I t 8 o W W m U / o N B 4 z F H 4 j l M F c V u X i S v u l 4 F p p S 6 / y t x Z p m / z v w s f U F 0 e a g / S + w u M N P H J E 4 A N s C b A w r 8 h N o 5 x K B B z Q h Y G 3 g 4 A d o 0 U r o Z z A 0 g 3 p L l k e u i X e L b 3 b g Y Y o 8 W s s U i j M v C t 9 Y x C K T 0 J n 6 U D 0 8 g W l A r p 2 b t y 2 L h F Z d a f U Y s U P f A k o Q S A k 7 I a y S N 7 C I 0 l P H Y G E B G X F v N Z U S S A 2 J g o q m x I / R W 2 5 y 0 r o s k f 2 E 0 o d d q N u l o v B 8 A u 9 g 3 z p l n y B h N y A Z O 2 Q e u n f b X e u A t x P x 3 o T e K 7 o y S r R E U g v K m m L n + h r s g a x P c b v o s w 8 4 o 8 Y B 2 T q 3 8 D 7 t L p A t / s r E z 6 S s 6 T r 6 l 0 y d 4 A u + a c / J x j u V D S 9 1 D l J e 6 A o e 0 r q B f p k p T E O x w W Y K E A W 3 q M U K q o 2 9 x M y R R 2 5 5 1 S 7 + g n e s W 9 r Y r f M 1 g Y 4 q m N 2 x p r f + l 4 T 2 G V W 2 E E G i A y 1 H 4 K Z A s 7 e o 3 d p e A I Z X 5 4 S d b / q V e O 4 F Z i 0 W D / M k y t h b 8 X b B 0 4 x V V x I G L z F 4 f U b 2 o P H N i g c O b r f L P d x E d P u g r H 6 D x 4 t u H 1 R F t w 9 q R 7 d 3 F o 9 u H x S 7 e A 3 t Q 3 V m n 6 Z y O v M 0 l f T I 0 o r T V I Z H M 0 5 T S Q t k m y A G J Y A S h z 8 d H / 6 y b B j 8 / v a K w K 4 G 4 e O e H j 7 e b w I + 3 l 8 V f N y b E z 7 u r S F 8 3 K u E j 3 v V 8 H F v K f i 4 9 2 T g 4 5 J q 2 a 8 b G V t u v p H V W c X g 6 u s H F y N + 6 d F F a 1 n N 8 O r P O b z 6 a z i 8 + p X D q 1 8 9 v P p L D a / + E x 5 e d s P D q 7 u K 4 T U w D C + 7 k e F l r 2 p 4 D e Y c X o M 1 H F 6 D y u E 1 q B 5 e g 6 W G 1 + D J D C 9 x G K x o V D 2 P 7 c / d G d u f u y 9 t + 3 P 3 A b c / d + t u f + 7 q t z / t z m b / 8 + X c Y r u B 2 B q B 2 N b l + I g N w L a q 4 y M G 6 3 z r 7 S a E 4 r F C K F 5 E 5 M Q m M K J 2 Y M Q 8 g H z d 8 A g D T I + r D z 1 3 l j / 0 X P l W w b C U Q A n q C r m 3 j X 3 N k H 3 M Y J y N 1 n I b e e 4 Q m v K m z V z B M p 1 2 p z 1 Y y w C Q T r v X 7 m z i f O q K C 8 Z h u 8 v I H W H Q K B 9 N m Y y g U + h R T U w Q I J Y r 4 v v k T + g y F i j j / 5 e z d G z N 2 7 K c C H i 4 I I 2 i s R 3 r F l 4 N G g i 9 m V c i v W U k s n y Y z l z C E U N 3 0 M K h O 2 9 n f m h T c b y E 3 V k H q H n X A D V 3 G o G a O 6 u C m n f n h J p 3 1 x B q 3 q 2 E m n e r o e b d p a D m 3 S c C N V P f 8 O Q K z F 9 6 c F 6 c h G j h g V W q 6 Z k h z X s z k O a 9 J 4 M 0 z 3 O q h v 7 b 3 O d / o k a Q X x s A b 0 9 G y Z h / P p s E F O A q D s I A 0 k E 0 1 4 T N r a 1 r b 8 I / J I Y h F s V U H v m B G a A z 2 Y 0 R G N o K A 3 q O 8 B U K E b h J x R U F 8 C L B m o T s o 1 / 6 u e 7 J 1 a l z N + b U S u d t s I b G W Q 4 7 q p h Z F 0 N e B / 9 E I i 6 Y O 7 n 6 H b i J O L Q C B c D K p Q m 8 W t e n Q / 9 g T J J A O H 3 a v T s k H p K f s + k k O / t Z f r c 4 M D + / L A L M D R g h G Z 1 g t t 7 C R C 3 C L t S S P b k a O T B l I / X 5 V + J m B 2 S j k K 1 9 A p E e 8 h I 3 F l P A k Q K t v b 6 D S Y c e 6 5 d f n Z L W w X + d 8 M 9 H M o s c y D x M 5 T j j C J N A u F e C p 0 i K k i X K C l N 8 f S 0 r T p a e K V D e p K J I w t f b g k I V p Y 2 K J V Q o K 5 i S o X 5 d X l I 4 3 U f h E m F j t a R W E f P P z Z 2 4 L F R B M Y v P 2 W U F L c h Q F T W n R F H Y c r q q u P o 6 N Q q c F Z Q V O S e 1 r N B C l q T Y u v R C w X O K y 4 p e k K o q v H D 2 Q F n x R R K R J u V E Y k 8 7 I B o + 0 0 a 7 g N Y 5 6 U Z / s M 2 L D E 1 / s D N v 1 u o U 9 f m O x X n E Q P N H O k b d X p N j 1 D u L 7 2 c 2 d 4 z 6 U g H m 9 a 7 r H B 5 Z p x X X d Q 6 F S 4 T I s l H k d n c J g M T s x z U I j u w Z w J F u I + B I d 1 X g y N 6 c 4 M j e G o I j e 5 X g y F 4 1 O L K 3 F D i y 9 2 T i 8 I b U 7 A 7 R t f X H 8 N W B N Q R r 9 + 7 V y I e Z K s D O R b q p d Y E C + m / n d a f 3 e m D b F 7 b d G 3 R 7 j Z 2 y v j g J y h n r O R A t 3 K 6 Z p 3 0 u C r H b I 9 4 U x T + m a Q t c w Z m + + d T P a s + k y L 1 A d h D Y 3 V i 4 f f K C X W h 4 4 W X X V u Z C 9 / I 0 5 g l d X P J L g a Q D 1 u X K s 1 S h E b W g 3 J i a K z Y q X V + X N 7 6 4 y V j n F k M N H d I d g V r e J Z b k 4 v J K p 1 I s L B 3 8 q D b c 1 L D i B 2 3 l 1 X 7 K f m w u p M X p H W X l e 0 1 d x / c z / J H + H h r G y y g / L k + 5 e z K D I P g 9 o 1 E p P Z o g l / b / y S W t B l O D 0 E N S f N B p i E m I Y + 7 6 z 7 j I w J 1 x L a v I h p g 2 r D l C R 6 V L E g x s y t e q R s Z 8 I 9 u l i x B k 9 h c 9 6 K I 0 v t X 7 M C V G 2 T b l w e n p 2 c k f x 0 d 8 Z 9 N c 7 v D k w / n Z w e E 5 l N y e M 4 i 2 9 G E + p 4 r h / D U P 5 U N 8 U G f W + M I 2 s D o 5 K P U + r 4 2 N / R k b G / s v L Y R + / w F D 6 P f r h t D v G 0 L o e y 8 s h D 7 d L F r P 8 8 P S y W O U j M f c I + U 2 4 z v B Z E w D R k o F h Q s q 3 5 W M P C V K U X q 5 q R h V l a L M S H C U m 8 p p c C C O E / q Y D T C H L W j s B P r 0 G v R I u r n b p e g 2 Z x O c n G y v S w T 4 j a K R g o C V L J U y / f t l c v W V 5 T x o s z P G t J k y t 9 o i g g j 0 9 e d y 0 b 8 u C W t V V 4 6 a N O u R o P N 1 / 3 5 k / b / x 6 D a C b X f L v d 1 9 v G 8 8 u l X Y d v c h v v H o r v q K 0 B S 1 V s / y 1 / Q L j b n O y y w J S v e 2 V 2 6 Q N 4 h Q 7 x s Q 6 l 4 j C H V v V Q j 1 / p w I 9 f 4 a I t T 7 l Q j 1 f j V C v b 8 U Q r 3 / Z B B q 7 Y 2 3 y 1 0 Q V f s + 3 e f h / / J T U Q w O M M 1 8 W R 4 w 5 f j B X O D 0 R J o a P j D r C N 1 U 2 l 8 P J 3 h p a 7 z s I K 9 d z I r 9 k o N W 1 s W u f 6 S Y l c 6 a x K w s Y d f 3 F / h 2 W 0 F q z F 9 v U 4 6 u f C c + E z c k j 3 1 Y c q G y F D V i G y l o i k k S + W B e 0 i U / j Z U t p Z 7 m Y Y Q c X o j P 8 t u T p I Q z N K S f F X m 8 r N Q o i 6 4 8 5 N f r 5 J l Z / S P y 3 g n 1 q a c I J B b E z n V 6 b + H Y w Q H Y i z o e g P X 0 m i M B J B K l I C B n Z V l k 3 2 f p J G L K K + T C S 5 S k o 0 m W Z a Q h S Z W U U K Q k L 1 O e L D V e S i M 7 l S 9 B g n M C t i b I U 4 J t 6 Z V L a e x 0 i 1 / J V K Q z H p a 4 c M n u P 4 S N 2 6 B L a b 8 2 + J T 9 R n z K / q p 8 S v P J i Q b v C F 5 Y P 6 + S c l n h V p o F I f K + l G N Z i O 7 R P c v T 5 N L H 9 G N p I D J k E e J N j L Z y r c / M m 7 R n e Z P 2 i / M m 7 Y f 0 J u 3 a 3 q R t 8 C Y H m y 3 V d b u S i Z / 5 M R R + C 7 u L / F O S Y X B + g 6 P C S K M B O Y c 3 T n C N p G / 4 M i U O y x 9 Z Z U W y 0 J 3 s + T w 9 z S N 7 N n 9 V F y U T c K Z Q m D U y d a R d U O G j t P I J R y K L Y o q 6 s W h g l 2 c q T K d v K K x n t Z c E I B c / k u x r V R h y a i E S 0 T Y u B M N T V f H w V E l I W b W l z 5 W a 3 e m U N s A 3 E M s G Y t l A L G s F s T R 7 / 0 S Z 0 + w w K u O X Q c X V 2 a c H + Y X n S 2 2 d D r Z X b H s 3 6 e X a B i 9 3 0 I i X O 1 i Z l 2 v P 6 + X a 6 + j l 2 t V e r l 3 D y 7 W X 8 3 L t x / V y / w M A A P / / A w B Q S w E C L Q A U A A Y A C A A A A C E A K t 2 q Q N I A A A A 3 A Q A A E w A A A A A A A A A A A A A A A A A A A A A A W 0 N v b n R l b n R f V H l w Z X N d L n h t b F B L A Q I t A B Q A A g A I A A A A I Q B P N e 2 e r g A A A P g A A A A S A A A A A A A A A A A A A A A A A A s D A A B D b 2 5 m a W c v U G F j a 2 F n Z S 5 4 b W x Q S w E C L Q A U A A I A C A A A A C E A 1 3 x D l Q c X A A B 3 5 g A A E w A A A A A A A A A A A A A A A A D p A w A A R m 9 y b X V s Y X M v U 2 V j d G l v b j E u b V B L B Q Y A A A A A A w A D A M I A A A A h G w 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o N M C A A A A A A B + 0 w I 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0 V S U k 9 S S T w v S X R l b V B h d G g + P C 9 J d G V t T G 9 j Y X R p b 2 4 + P F N 0 Y W J s Z U V u d H J p Z X M + P E V u d H J 5 I F R 5 c G U 9 I k F k Z G V k V G 9 E Y X R h T W 9 k Z W w i I F Z h b H V l P S J s M C I v P j x F b n R y e S B U e X B l P S J C d W Z m Z X J O Z X h 0 U m V m c m V z a C I g V m F s d W U 9 I m w x I i 8 + P E V u d H J 5 I F R 5 c G U 9 I k Z p b G x D b 3 V u d C I g V m F s d W U 9 I m w z I i 8 + P E V u d H J 5 I F R 5 c G U 9 I k Z p b G x F b m F i b G V k I i B W Y W x 1 Z T 0 i b D A i L z 4 8 R W 5 0 c n k g V H l w Z T 0 i R m l s b E V y c m 9 y Q 2 9 k Z S I g V m F s d W U 9 I n N V b m t u b 3 d u I i 8 + P E V u d H J 5 I F R 5 c G U 9 I k Z p b G x F c n J v c k N v d W 5 0 I i B W Y W x 1 Z T 0 i b D A i L z 4 8 R W 5 0 c n k g V H l w Z T 0 i R m l s b E x h c 3 R V c G R h d G V k I i B W Y W x 1 Z T 0 i Z D I w M j Q t M D U t M D Z U M D g 6 M z Q 6 M D k u M D E 0 M j k 3 M l o i L z 4 8 R W 5 0 c n k g V H l w Z T 0 i R m l s b E N v b H V t b l R 5 c G V z I i B W Y W x 1 Z T 0 i c 0 J n W U F B Q U F B Q U F B Q U F B Q U F B Q U E 9 I i 8 + P E V u d H J 5 I F R 5 c G U 9 I k Z p b G x D b 2 x 1 b W 5 O Y W 1 l c y I g V m F s d W U 9 I n N b J n F 1 b 3 Q 7 U 2 9 1 c m N l L k 5 h b W U m c X V v d D s s J n F 1 b 3 Q 7 T m F t Z S Z x d W 9 0 O y w m c X V v d D t W Y W x 1 Z S 5 0 e X B v b G 9 n e U 9 m R X J y b 3 J J Z C Z x d W 9 0 O y w m c X V v d D t W Y W x 1 Z S 5 0 e X B v b G 9 n e U 9 m R X J y b 3 J O Y W 1 l J n F 1 b 3 Q 7 L C Z x d W 9 0 O 1 Z h b H V l L n N 0 Y W Z m Q 2 9 z d C Z x d W 9 0 O y w m c X V v d D t W Y W x 1 Z S 5 v Z m Z p Y 2 V B b m R B Z G 1 p b m l z d H J h d G l v b i Z x d W 9 0 O y w m c X V v d D t W Y W x 1 Z S 5 0 c m F 2 Z W x B b m R B Y 2 N v b W 1 v Z G F 0 a W 9 u J n F 1 b 3 Q 7 L C Z x d W 9 0 O 1 Z h b H V l L m V 4 d G V y b m F s R X h w Z X J 0 a X N l J n F 1 b 3 Q 7 L C Z x d W 9 0 O 1 Z h b H V l L m V x d W l w b W V u d C Z x d W 9 0 O y w m c X V v d D t W Y W x 1 Z S 5 p b m Z y Y X N 0 c n V j d H V y Z U F u Z F d v c m t z J n F 1 b 3 Q 7 L C Z x d W 9 0 O 1 Z h b H V l L m x 1 b X B T d W 1 z J n F 1 b 3 Q 7 L C Z x d W 9 0 O 1 Z h b H V l L n V u a X R D b 3 N 0 c y Z x d W 9 0 O y w m c X V v d D t W Y W x 1 Z S 5 v d G h l c k N v c 3 R z J n F 1 b 3 Q 7 L C Z x d W 9 0 O 1 Z h b H V l L n R v d G F s 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w N G U 3 O W U x O S 0 x N j k w L T R h M D I t Y m Y x O C 0 3 N W I y Z j Q z N j E 3 Y j A i L z 4 8 R W 5 0 c n k g V H l w Z T 0 i U m V j b 3 Z l c n l U Y X J n Z X R D b 2 x 1 b W 4 i I F Z h b H V l P S J s M S I v P j x F b n R y e S B U e X B l P S J S Z W N v d m V y e V R h c m d l d F J v d y I g V m F s d W U 9 I m w x I i 8 + P E V u d H J 5 I F R 5 c G U 9 I l J l Y 2 9 2 Z X J 5 V G F y Z 2 V 0 U 2 h l Z X Q i I F Z h b H V l P S J z R m 9 n b G l v N C I v P j x F b n R y e S B U e X B l P S J S Z W x h d G l v b n N o a X B J b m Z v Q 2 9 u d G F p b m V y I i B W Y W x 1 Z T 0 i c 3 s m c X V v d D t j b 2 x 1 b W 5 D b 3 V u d C Z x d W 9 0 O z o x N C w m c X V v d D t r Z X l D b 2 x 1 b W 5 O Y W 1 l c y Z x d W 9 0 O z p b X S w m c X V v d D t x d W V y e V J l b G F 0 a W 9 u c 2 h p c H M m c X V v d D s 6 W 1 0 s J n F 1 b 3 Q 7 Y 2 9 s d W 1 u S W R l b n R p d G l l c y Z x d W 9 0 O z p b J n F 1 b 3 Q 7 U 2 V j d G l v b j E v R V J S T 1 J J L 0 1 v Z G l m a W N h d G 8 g d G l w b y 5 7 U 2 9 1 c m N l L k 5 h b W U s M H 0 m c X V v d D s s J n F 1 b 3 Q 7 U 2 V j d G l v b j E v R V J S T 1 J J L 0 1 v Z G l m a W N h d G 8 g d G l w b y 5 7 T m F t Z S w x f S Z x d W 9 0 O y w m c X V v d D t T Z W N 0 a W 9 u M S 9 F U l J P U k k v V G F i Z W x s Y S B W Y W x 1 Z S B l c 3 B h b n N h M S 5 7 V m F s d W U u d H l w b 2 x v Z 3 l P Z k V y c m 9 y S W Q s M n 0 m c X V v d D s s J n F 1 b 3 Q 7 U 2 V j d G l v b j E v R V J S T 1 J J L 1 R h Y m V s b G E g V m F s d W U g Z X N w Y W 5 z Y T E u e 1 Z h b H V l L n R 5 c G 9 s b 2 d 5 T 2 Z F c n J v c k 5 h b W U s M 3 0 m c X V v d D s s J n F 1 b 3 Q 7 U 2 V j d G l v b j E v R V J S T 1 J J L 1 R h Y m V s b G E g V m F s d W U g Z X N w Y W 5 z Y T E u e 1 Z h b H V l L n N 0 Y W Z m Q 2 9 z d C w 0 f S Z x d W 9 0 O y w m c X V v d D t T Z W N 0 a W 9 u M S 9 F U l J P U k k v V G F i Z W x s Y S B W Y W x 1 Z S B l c 3 B h b n N h M S 5 7 V m F s d W U u b 2 Z m a W N l Q W 5 k Q W R t a W 5 p c 3 R y Y X R p b 2 4 s N X 0 m c X V v d D s s J n F 1 b 3 Q 7 U 2 V j d G l v b j E v R V J S T 1 J J L 1 R h Y m V s b G E g V m F s d W U g Z X N w Y W 5 z Y T E u e 1 Z h b H V l L n R y Y X Z l b E F u Z E F j Y 2 9 t b W 9 k Y X R p b 2 4 s N n 0 m c X V v d D s s J n F 1 b 3 Q 7 U 2 V j d G l v b j E v R V J S T 1 J J L 1 R h Y m V s b G E g V m F s d W U g Z X N w Y W 5 z Y T E u e 1 Z h b H V l L m V 4 d G V y b m F s R X h w Z X J 0 a X N l L D d 9 J n F 1 b 3 Q 7 L C Z x d W 9 0 O 1 N l Y 3 R p b 2 4 x L 0 V S U k 9 S S S 9 U Y W J l b G x h I F Z h b H V l I G V z c G F u c 2 E x L n t W Y W x 1 Z S 5 l c X V p c G 1 l b n Q s O H 0 m c X V v d D s s J n F 1 b 3 Q 7 U 2 V j d G l v b j E v R V J S T 1 J J L 1 R h Y m V s b G E g V m F s d W U g Z X N w Y W 5 z Y T E u e 1 Z h b H V l L m l u Z n J h c 3 R y d W N 0 d X J l Q W 5 k V 2 9 y a 3 M s O X 0 m c X V v d D s s J n F 1 b 3 Q 7 U 2 V j d G l v b j E v R V J S T 1 J J L 1 R h Y m V s b G E g V m F s d W U g Z X N w Y W 5 z Y T E u e 1 Z h b H V l L m x 1 b X B T d W 1 z L D E w f S Z x d W 9 0 O y w m c X V v d D t T Z W N 0 a W 9 u M S 9 F U l J P U k k v V G F i Z W x s Y S B W Y W x 1 Z S B l c 3 B h b n N h M S 5 7 V m F s d W U u d W 5 p d E N v c 3 R z L D E x f S Z x d W 9 0 O y w m c X V v d D t T Z W N 0 a W 9 u M S 9 F U l J P U k k v V G F i Z W x s Y S B W Y W x 1 Z S B l c 3 B h b n N h M S 5 7 V m F s d W U u b 3 R o Z X J D b 3 N 0 c y w x M n 0 m c X V v d D s s J n F 1 b 3 Q 7 U 2 V j d G l v b j E v R V J S T 1 J J L 1 R h Y m V s b G E g V m F s d W U g Z X N w Y W 5 z Y T E u e 1 Z h b H V l L n R v d G F s L D E z f S Z x d W 9 0 O 1 0 s J n F 1 b 3 Q 7 Q 2 9 s d W 1 u Q 2 9 1 b n Q m c X V v d D s 6 M T Q s J n F 1 b 3 Q 7 S 2 V 5 Q 2 9 s d W 1 u T m F t Z X M m c X V v d D s 6 W 1 0 s J n F 1 b 3 Q 7 Q 2 9 s d W 1 u S W R l b n R p d G l l c y Z x d W 9 0 O z p b J n F 1 b 3 Q 7 U 2 V j d G l v b j E v R V J S T 1 J J L 0 1 v Z G l m a W N h d G 8 g d G l w b y 5 7 U 2 9 1 c m N l L k 5 h b W U s M H 0 m c X V v d D s s J n F 1 b 3 Q 7 U 2 V j d G l v b j E v R V J S T 1 J J L 0 1 v Z G l m a W N h d G 8 g d G l w b y 5 7 T m F t Z S w x f S Z x d W 9 0 O y w m c X V v d D t T Z W N 0 a W 9 u M S 9 F U l J P U k k v V G F i Z W x s Y S B W Y W x 1 Z S B l c 3 B h b n N h M S 5 7 V m F s d W U u d H l w b 2 x v Z 3 l P Z k V y c m 9 y S W Q s M n 0 m c X V v d D s s J n F 1 b 3 Q 7 U 2 V j d G l v b j E v R V J S T 1 J J L 1 R h Y m V s b G E g V m F s d W U g Z X N w Y W 5 z Y T E u e 1 Z h b H V l L n R 5 c G 9 s b 2 d 5 T 2 Z F c n J v c k 5 h b W U s M 3 0 m c X V v d D s s J n F 1 b 3 Q 7 U 2 V j d G l v b j E v R V J S T 1 J J L 1 R h Y m V s b G E g V m F s d W U g Z X N w Y W 5 z Y T E u e 1 Z h b H V l L n N 0 Y W Z m Q 2 9 z d C w 0 f S Z x d W 9 0 O y w m c X V v d D t T Z W N 0 a W 9 u M S 9 F U l J P U k k v V G F i Z W x s Y S B W Y W x 1 Z S B l c 3 B h b n N h M S 5 7 V m F s d W U u b 2 Z m a W N l Q W 5 k Q W R t a W 5 p c 3 R y Y X R p b 2 4 s N X 0 m c X V v d D s s J n F 1 b 3 Q 7 U 2 V j d G l v b j E v R V J S T 1 J J L 1 R h Y m V s b G E g V m F s d W U g Z X N w Y W 5 z Y T E u e 1 Z h b H V l L n R y Y X Z l b E F u Z E F j Y 2 9 t b W 9 k Y X R p b 2 4 s N n 0 m c X V v d D s s J n F 1 b 3 Q 7 U 2 V j d G l v b j E v R V J S T 1 J J L 1 R h Y m V s b G E g V m F s d W U g Z X N w Y W 5 z Y T E u e 1 Z h b H V l L m V 4 d G V y b m F s R X h w Z X J 0 a X N l L D d 9 J n F 1 b 3 Q 7 L C Z x d W 9 0 O 1 N l Y 3 R p b 2 4 x L 0 V S U k 9 S S S 9 U Y W J l b G x h I F Z h b H V l I G V z c G F u c 2 E x L n t W Y W x 1 Z S 5 l c X V p c G 1 l b n Q s O H 0 m c X V v d D s s J n F 1 b 3 Q 7 U 2 V j d G l v b j E v R V J S T 1 J J L 1 R h Y m V s b G E g V m F s d W U g Z X N w Y W 5 z Y T E u e 1 Z h b H V l L m l u Z n J h c 3 R y d W N 0 d X J l Q W 5 k V 2 9 y a 3 M s O X 0 m c X V v d D s s J n F 1 b 3 Q 7 U 2 V j d G l v b j E v R V J S T 1 J J L 1 R h Y m V s b G E g V m F s d W U g Z X N w Y W 5 z Y T E u e 1 Z h b H V l L m x 1 b X B T d W 1 z L D E w f S Z x d W 9 0 O y w m c X V v d D t T Z W N 0 a W 9 u M S 9 F U l J P U k k v V G F i Z W x s Y S B W Y W x 1 Z S B l c 3 B h b n N h M S 5 7 V m F s d W U u d W 5 p d E N v c 3 R z L D E x f S Z x d W 9 0 O y w m c X V v d D t T Z W N 0 a W 9 u M S 9 F U l J P U k k v V G F i Z W x s Y S B W Y W x 1 Z S B l c 3 B h b n N h M S 5 7 V m F s d W U u b 3 R o Z X J D b 3 N 0 c y w x M n 0 m c X V v d D s s J n F 1 b 3 Q 7 U 2 V j d G l v b j E v R V J S T 1 J J L 1 R h Y m V s b G E g V m F s d W U g Z X N w Y W 5 z Y T E u e 1 Z h b H V l L n R v d G F s L D E z f S Z x d W 9 0 O 1 0 s J n F 1 b 3 Q 7 U m V s Y X R p b 2 5 z a G l w S W 5 m b y Z x d W 9 0 O z p b X X 0 i L z 4 8 R W 5 0 c n k g V H l w Z T 0 i U m V z d W x 0 V H l w Z S I g V m F s d W U 9 I n N U Y W J s Z S I v P j x F b n R y e S B U e X B l P S J O Y X Z p Z 2 F 0 a W 9 u U 3 R l c E 5 h b W U i I F Z h b H V l P S J z T m F 2 a W d h e m l v b m U i L z 4 8 R W 5 0 c n k g V H l w Z T 0 i R m l s b E 9 i a m V j d F R 5 c G U i I F Z h b H V l P S J z Q 2 9 u b m V j d G l v b k 9 u b H k i L z 4 8 R W 5 0 c n k g V H l w Z T 0 i T m F t Z V V w Z G F 0 Z W R B Z n R l c k Z p b G w i I F Z h b H V l P S J s M C I v P j w v U 3 R h Y m x l R W 5 0 c m l l c z 4 8 L 0 l 0 Z W 0 + P E l 0 Z W 0 + P E l 0 Z W 1 M b 2 N h d G l v b j 4 8 S X R l b V R 5 c G U + R m 9 y b X V s Y T w v S X R l b V R 5 c G U + P E l 0 Z W 1 Q Y X R o P l N l Y 3 R p b 2 4 x L 0 Z p b G U l M j B k a S U y M G V z Z W 1 w a W 8 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C 0 w N S 0 w N l Q w O D o z N D o w N i 4 5 N z E x M z I y 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U 2 Z m E z N z I 0 L T R k M m I t N G E z N C 1 h M j E z L T U 1 M z Z j Z D N i Z D Y z N C I v P j x F b n R y e S B U e X B l P S J R d W V y e U l E I i B W Y W x 1 Z T 0 i c z h j N m M 5 Z G I z L T I 2 N m I t N G Q 0 Y y 1 h N W R j L T c w O D k 2 M 2 E 3 Y T Z h Z S I v P j x F b n R y e S B U e X B l P S J S Z X N 1 b H R U e X B l I i B W Y W x 1 Z T 0 i c 0 J p b m F y e S I v P j x F b n R y e S B U e X B l P S J G a W x s T 2 J q Z W N 0 V H l w Z S I g V m F s d W U 9 I n N D b 2 5 u Z W N 0 a W 9 u T 2 5 s e S I v P j x F b n R y e S B U e X B l P S J O Y W 1 l V X B k Y X R l Z E F m d G V y R m l s b C I g V m F s d W U 9 I m w x I i 8 + P E V u d H J 5 I F R 5 c G U 9 I k x v Y W R l Z F R v Q W 5 h b H l z a X N T Z X J 2 a W N l c y I g V m F s d W U 9 I m w w I i 8 + P E V u d H J 5 I F R 5 c G U 9 I k x v Y W R U b 1 J l c G 9 y d E R p c 2 F i b G V k I i B W Y W x 1 Z T 0 i b D E i L z 4 8 L 1 N 0 Y W J s Z U V u d H J p Z X M + P C 9 J d G V t P j x J d G V t P j x J d G V t T G 9 j Y X R p b 2 4 + P E l 0 Z W 1 U e X B l P k Z v c m 1 1 b G E 8 L 0 l 0 Z W 1 U e X B l P j x J d G V t U G F 0 a D 5 T Z W N 0 a W 9 u M S 9 Q Y X J h b W V 0 c m 8 l M j B k Z W w l M j B m a W x l J T I w Z G k l M j B l c 2 V t c G l v M 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0 L T A 1 L T A 2 V D A 4 O j M 0 O j A 2 L j k 4 N j E z M T J 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Z T Z m Y T M 3 M j Q t N G Q y Y i 0 0 Y T M 0 L W E y M T M t N T U z N m N k M 2 J k N j M 0 I i 8 + P E V u d H J 5 I F R 5 c G U 9 I l F 1 Z X J 5 S U Q i I F Z h b H V l P S J z N T d l M D I 2 N z E t M z Y 0 M y 0 0 M D h h L T l i Y T I t N G E 0 Z m I x M W I 3 N D Z l I i 8 + P E V u d H J 5 I F R 5 c G U 9 I l J l c 3 V s d F R 5 c G U i I F Z h b H V l P S J z Q m l u Y X J 5 I i 8 + P E V u d H J 5 I F R 5 c G U 9 I k Z p b G x P Y m p l Y 3 R U e X B l I i B W Y W x 1 Z T 0 i c 0 N v b m 5 l Y 3 R p b 2 5 P b m x 5 I i 8 + P E V u d H J 5 I F R 5 c G U 9 I k x v Y W R U b 1 J l c G 9 y d E R p c 2 F i b G V k I i B W Y W x 1 Z T 0 i b D E i L z 4 8 L 1 N 0 Y W J s Z U V u d H J p Z X M + P C 9 J d G V t P j x J d G V t P j x J d G V t T G 9 j Y X R p b 2 4 + P E l 0 Z W 1 U e X B l P k Z v c m 1 1 b G E 8 L 0 l 0 Z W 1 U e X B l P j x J d G V t U G F 0 a D 5 T Z W N 0 a W 9 u M S 9 U c m F z Z m 9 y b W E l M j B m a W x l J T I w Z G E l M j B F U l J P U k 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C 0 w N S 0 w N l Q w O D o z N D o w N y 4 w M j I x M z I x 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z B h O W I 1 N T U z L W Z l Y m Y t N D M 4 M S 1 h Y z k x L T d h N D F m M W U y M m N h Y i I v P j x F b n R y e S B U e X B l P S J R d W V y e U l E I i B W Y W x 1 Z T 0 i c 2 M 1 Z T k 1 Z j E w L W E y M T Y t N G V m N i 0 4 Z G E w L T c 4 Y z U 5 M T Z m Z j U 3 O S I v P j x F b n R y e S B U e X B l P S J S Z X N 1 b H R U e X B l I i B W Y W x 1 Z T 0 i c 0 Z 1 b m N 0 a W 9 u I i 8 + P E V u d H J 5 I F R 5 c G U 9 I k Z p b G x P Y m p l Y 3 R U e X B l I i B W Y W x 1 Z T 0 i c 0 N v b m 5 l Y 3 R p b 2 5 P b m x 5 I i 8 + P E V u d H J 5 I F R 5 c G U 9 I k x v Y W R U b 1 J l c G 9 y d E R p c 2 F i b G V k I i B W Y W x 1 Z T 0 i b D E i L z 4 8 L 1 N 0 Y W J s Z U V u d H J p Z X M + P C 9 J d G V t P j x J d G V t P j x J d G V t T G 9 j Y X R p b 2 4 + P E l 0 Z W 1 U e X B l P k Z v c m 1 1 b G E 8 L 0 l 0 Z W 1 U e X B l P j x J d G V t U G F 0 a D 5 T Z W N 0 a W 9 u M S 9 F U l J P U k k l M j A o M i k 8 L 0 l 0 Z W 1 Q Y X R o P j w v S X R l b U x v Y 2 F 0 a W 9 u P j x T d G F i b G V F b n R y a W V z P j x F b n R y e S B U e X B l P S J B Z G R l Z F R v R G F 0 Y U 1 v Z G V s I i B W Y W x 1 Z T 0 i b D A i L z 4 8 R W 5 0 c n k g V H l w Z T 0 i Q n V m Z m V y T m V 4 d F J l Z n J l c 2 g i I F Z h b H V l P S J s M S I v P j x F b n R y e S B U e X B l P S J G a W x s Q 2 9 1 b n Q i I F Z h b H V l P S J s N i I v P j x F b n R y e S B U e X B l P S J G a W x s R W 5 h Y m x l Z C I g V m F s d W U 9 I m w w I i 8 + P E V u d H J 5 I F R 5 c G U 9 I k Z p b G x F c n J v c k N v Z G U i I F Z h b H V l P S J z V W 5 r b m 9 3 b i I v P j x F b n R y e S B U e X B l P S J G a W x s R X J y b 3 J D b 3 V u d C I g V m F s d W U 9 I m w w I i 8 + P E V u d H J 5 I F R 5 c G U 9 I k Z p b G x M Y X N 0 V X B k Y X R l Z C I g V m F s d W U 9 I m Q y M D I 0 L T A 1 L T A 2 V D A 4 O j U w O j E 0 L j U z O D M w M j d a I i 8 + P E V u d H J 5 I F R 5 c G U 9 I k Z p b G x D b 2 x 1 b W 5 U e X B l c y I g V m F s d W U 9 I n N C Z 1 l B Q U F B Q U F B Q U F B Q U F B Q U F B P S I v P j x F b n R y e S B U e X B l P S J G a W x s Q 2 9 s d W 1 u T m F t Z X M i I F Z h b H V l P S J z W y Z x d W 9 0 O 1 N v d X J j Z S 5 O Y W 1 l J n F 1 b 3 Q 7 L C Z x d W 9 0 O 0 5 h b W U m c X V v d D s s J n F 1 b 3 Q 7 V m F s d W U u d H l w b 2 x v Z 3 l P Z k V y c m 9 y S W Q m c X V v d D s s J n F 1 b 3 Q 7 V m F s d W U u d H l w b 2 x v Z 3 l P Z k V y c m 9 y T m F t Z S Z x d W 9 0 O y w m c X V v d D t W Y W x 1 Z S 5 z d G F m Z k N v c 3 Q m c X V v d D s s J n F 1 b 3 Q 7 V m F s d W U u b 2 Z m a W N l Q W 5 k Q W R t a W 5 p c 3 R y Y X R p b 2 4 m c X V v d D s s J n F 1 b 3 Q 7 V m F s d W U u d H J h d m V s Q W 5 k Q W N j b 2 1 t b 2 R h d G l v b i Z x d W 9 0 O y w m c X V v d D t W Y W x 1 Z S 5 l e H R l c m 5 h b E V 4 c G V y d G l z Z S Z x d W 9 0 O y w m c X V v d D t W Y W x 1 Z S 5 l c X V p c G 1 l b n Q m c X V v d D s s J n F 1 b 3 Q 7 V m F s d W U u a W 5 m c m F z d H J 1 Y 3 R 1 c m V B b m R X b 3 J r c y Z x d W 9 0 O y w m c X V v d D t W Y W x 1 Z S 5 s d W 1 w U 3 V t c y Z x d W 9 0 O y w m c X V v d D t W Y W x 1 Z S 5 1 b m l 0 Q 2 9 z d H M m c X V v d D s s J n F 1 b 3 Q 7 V m F s d W U u b 3 R o Z X J D b 3 N 0 c y Z x d W 9 0 O y w m c X V v d D t W Y W x 1 Z S 5 0 b 3 R h b C 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Y j Q z Y m Y 1 M m Q t O D E 1 N i 0 0 M 2 M z L W F j O G M t N W N h M j M 1 N z I 4 Z m E w I i 8 + P E V u d H J 5 I F R 5 c G U 9 I l J l Y 2 9 2 Z X J 5 V G F y Z 2 V 0 Q 2 9 s d W 1 u I i B W Y W x 1 Z T 0 i b D E i L z 4 8 R W 5 0 c n k g V H l w Z T 0 i U m V j b 3 Z l c n l U Y X J n Z X R S b 3 c i I F Z h b H V l P S J s M S I v P j x F b n R y e S B U e X B l P S J S Z W N v d m V y e V R h c m d l d F N o Z W V 0 I i B W Y W x 1 Z T 0 i c 0 Z v Z 2 x p b z U i L z 4 8 R W 5 0 c n k g V H l w Z T 0 i U m V s Y X R p b 2 5 z a G l w S W 5 m b 0 N v b n R h a W 5 l c i I g V m F s d W U 9 I n N 7 J n F 1 b 3 Q 7 Y 2 9 s d W 1 u Q 2 9 1 b n Q m c X V v d D s 6 M T Q s J n F 1 b 3 Q 7 a 2 V 5 Q 2 9 s d W 1 u T m F t Z X M m c X V v d D s 6 W 1 0 s J n F 1 b 3 Q 7 c X V l c n l S Z W x h d G l v b n N o a X B z J n F 1 b 3 Q 7 O l t d L C Z x d W 9 0 O 2 N v b H V t b k l k Z W 5 0 a X R p Z X M m c X V v d D s 6 W y Z x d W 9 0 O 1 N l Y 3 R p b 2 4 x L 0 V S U k 9 S S S A o M i k v T W 9 k a W Z p Y 2 F 0 b y B 0 a X B v L n t T b 3 V y Y 2 U u T m F t Z S w w f S Z x d W 9 0 O y w m c X V v d D t T Z W N 0 a W 9 u M S 9 F U l J P U k k g K D I p L 0 1 v Z G l m a W N h d G 8 g d G l w b y 5 7 T m F t Z S w x f S Z x d W 9 0 O y w m c X V v d D t T Z W N 0 a W 9 u M S 9 F U l J P U k k g K D I p L 1 R h Y m V s b G E g V m F s d W U g Z X N w Y W 5 z Y T E u e 1 Z h b H V l L n R 5 c G 9 s b 2 d 5 T 2 Z F c n J v c k l k L D J 9 J n F 1 b 3 Q 7 L C Z x d W 9 0 O 1 N l Y 3 R p b 2 4 x L 0 V S U k 9 S S S A o M i k v V G F i Z W x s Y S B W Y W x 1 Z S B l c 3 B h b n N h M S 5 7 V m F s d W U u d H l w b 2 x v Z 3 l P Z k V y c m 9 y T m F t Z S w z f S Z x d W 9 0 O y w m c X V v d D t T Z W N 0 a W 9 u M S 9 F U l J P U k k g K D I p L 1 R h Y m V s b G E g V m F s d W U g Z X N w Y W 5 z Y T E u e 1 Z h b H V l L n N 0 Y W Z m Q 2 9 z d C w 0 f S Z x d W 9 0 O y w m c X V v d D t T Z W N 0 a W 9 u M S 9 F U l J P U k k g K D I p L 1 R h Y m V s b G E g V m F s d W U g Z X N w Y W 5 z Y T E u e 1 Z h b H V l L m 9 m Z m l j Z U F u Z E F k b W l u a X N 0 c m F 0 a W 9 u L D V 9 J n F 1 b 3 Q 7 L C Z x d W 9 0 O 1 N l Y 3 R p b 2 4 x L 0 V S U k 9 S S S A o M i k v V G F i Z W x s Y S B W Y W x 1 Z S B l c 3 B h b n N h M S 5 7 V m F s d W U u d H J h d m V s Q W 5 k Q W N j b 2 1 t b 2 R h d G l v b i w 2 f S Z x d W 9 0 O y w m c X V v d D t T Z W N 0 a W 9 u M S 9 F U l J P U k k g K D I p L 1 R h Y m V s b G E g V m F s d W U g Z X N w Y W 5 z Y T E u e 1 Z h b H V l L m V 4 d G V y b m F s R X h w Z X J 0 a X N l L D d 9 J n F 1 b 3 Q 7 L C Z x d W 9 0 O 1 N l Y 3 R p b 2 4 x L 0 V S U k 9 S S S A o M i k v V G F i Z W x s Y S B W Y W x 1 Z S B l c 3 B h b n N h M S 5 7 V m F s d W U u Z X F 1 a X B t Z W 5 0 L D h 9 J n F 1 b 3 Q 7 L C Z x d W 9 0 O 1 N l Y 3 R p b 2 4 x L 0 V S U k 9 S S S A o M i k v V G F i Z W x s Y S B W Y W x 1 Z S B l c 3 B h b n N h M S 5 7 V m F s d W U u a W 5 m c m F z d H J 1 Y 3 R 1 c m V B b m R X b 3 J r c y w 5 f S Z x d W 9 0 O y w m c X V v d D t T Z W N 0 a W 9 u M S 9 F U l J P U k k g K D I p L 1 R h Y m V s b G E g V m F s d W U g Z X N w Y W 5 z Y T E u e 1 Z h b H V l L m x 1 b X B T d W 1 z L D E w f S Z x d W 9 0 O y w m c X V v d D t T Z W N 0 a W 9 u M S 9 F U l J P U k k g K D I p L 1 R h Y m V s b G E g V m F s d W U g Z X N w Y W 5 z Y T E u e 1 Z h b H V l L n V u a X R D b 3 N 0 c y w x M X 0 m c X V v d D s s J n F 1 b 3 Q 7 U 2 V j d G l v b j E v R V J S T 1 J J I C g y K S 9 U Y W J l b G x h I F Z h b H V l I G V z c G F u c 2 E x L n t W Y W x 1 Z S 5 v d G h l c k N v c 3 R z L D E y f S Z x d W 9 0 O y w m c X V v d D t T Z W N 0 a W 9 u M S 9 F U l J P U k k g K D I p L 1 R h Y m V s b G E g V m F s d W U g Z X N w Y W 5 z Y T E u e 1 Z h b H V l L n R v d G F s L D E z f S Z x d W 9 0 O 1 0 s J n F 1 b 3 Q 7 Q 2 9 s d W 1 u Q 2 9 1 b n Q m c X V v d D s 6 M T Q s J n F 1 b 3 Q 7 S 2 V 5 Q 2 9 s d W 1 u T m F t Z X M m c X V v d D s 6 W 1 0 s J n F 1 b 3 Q 7 Q 2 9 s d W 1 u S W R l b n R p d G l l c y Z x d W 9 0 O z p b J n F 1 b 3 Q 7 U 2 V j d G l v b j E v R V J S T 1 J J I C g y K S 9 N b 2 R p Z m l j Y X R v I H R p c G 8 u e 1 N v d X J j Z S 5 O Y W 1 l L D B 9 J n F 1 b 3 Q 7 L C Z x d W 9 0 O 1 N l Y 3 R p b 2 4 x L 0 V S U k 9 S S S A o M i k v T W 9 k a W Z p Y 2 F 0 b y B 0 a X B v L n t O Y W 1 l L D F 9 J n F 1 b 3 Q 7 L C Z x d W 9 0 O 1 N l Y 3 R p b 2 4 x L 0 V S U k 9 S S S A o M i k v V G F i Z W x s Y S B W Y W x 1 Z S B l c 3 B h b n N h M S 5 7 V m F s d W U u d H l w b 2 x v Z 3 l P Z k V y c m 9 y S W Q s M n 0 m c X V v d D s s J n F 1 b 3 Q 7 U 2 V j d G l v b j E v R V J S T 1 J J I C g y K S 9 U Y W J l b G x h I F Z h b H V l I G V z c G F u c 2 E x L n t W Y W x 1 Z S 5 0 e X B v b G 9 n e U 9 m R X J y b 3 J O Y W 1 l L D N 9 J n F 1 b 3 Q 7 L C Z x d W 9 0 O 1 N l Y 3 R p b 2 4 x L 0 V S U k 9 S S S A o M i k v V G F i Z W x s Y S B W Y W x 1 Z S B l c 3 B h b n N h M S 5 7 V m F s d W U u c 3 R h Z m Z D b 3 N 0 L D R 9 J n F 1 b 3 Q 7 L C Z x d W 9 0 O 1 N l Y 3 R p b 2 4 x L 0 V S U k 9 S S S A o M i k v V G F i Z W x s Y S B W Y W x 1 Z S B l c 3 B h b n N h M S 5 7 V m F s d W U u b 2 Z m a W N l Q W 5 k Q W R t a W 5 p c 3 R y Y X R p b 2 4 s N X 0 m c X V v d D s s J n F 1 b 3 Q 7 U 2 V j d G l v b j E v R V J S T 1 J J I C g y K S 9 U Y W J l b G x h I F Z h b H V l I G V z c G F u c 2 E x L n t W Y W x 1 Z S 5 0 c m F 2 Z W x B b m R B Y 2 N v b W 1 v Z G F 0 a W 9 u L D Z 9 J n F 1 b 3 Q 7 L C Z x d W 9 0 O 1 N l Y 3 R p b 2 4 x L 0 V S U k 9 S S S A o M i k v V G F i Z W x s Y S B W Y W x 1 Z S B l c 3 B h b n N h M S 5 7 V m F s d W U u Z X h 0 Z X J u Y W x F e H B l c n R p c 2 U s N 3 0 m c X V v d D s s J n F 1 b 3 Q 7 U 2 V j d G l v b j E v R V J S T 1 J J I C g y K S 9 U Y W J l b G x h I F Z h b H V l I G V z c G F u c 2 E x L n t W Y W x 1 Z S 5 l c X V p c G 1 l b n Q s O H 0 m c X V v d D s s J n F 1 b 3 Q 7 U 2 V j d G l v b j E v R V J S T 1 J J I C g y K S 9 U Y W J l b G x h I F Z h b H V l I G V z c G F u c 2 E x L n t W Y W x 1 Z S 5 p b m Z y Y X N 0 c n V j d H V y Z U F u Z F d v c m t z L D l 9 J n F 1 b 3 Q 7 L C Z x d W 9 0 O 1 N l Y 3 R p b 2 4 x L 0 V S U k 9 S S S A o M i k v V G F i Z W x s Y S B W Y W x 1 Z S B l c 3 B h b n N h M S 5 7 V m F s d W U u b H V t c F N 1 b X M s M T B 9 J n F 1 b 3 Q 7 L C Z x d W 9 0 O 1 N l Y 3 R p b 2 4 x L 0 V S U k 9 S S S A o M i k v V G F i Z W x s Y S B W Y W x 1 Z S B l c 3 B h b n N h M S 5 7 V m F s d W U u d W 5 p d E N v c 3 R z L D E x f S Z x d W 9 0 O y w m c X V v d D t T Z W N 0 a W 9 u M S 9 F U l J P U k k g K D I p L 1 R h Y m V s b G E g V m F s d W U g Z X N w Y W 5 z Y T E u e 1 Z h b H V l L m 9 0 a G V y Q 2 9 z d H M s M T J 9 J n F 1 b 3 Q 7 L C Z x d W 9 0 O 1 N l Y 3 R p b 2 4 x L 0 V S U k 9 S S S A o M i k v V G F i Z W x s Y S B W Y W x 1 Z S B l c 3 B h b n N h M S 5 7 V m F s d W U u d G 9 0 Y W w s M T N 9 J n F 1 b 3 Q 7 X S w m c X V v d D t S Z W x h d G l v b n N o a X B J b m Z v J n F 1 b 3 Q 7 O l t d f S I v P j x F b n R y e S B U e X B l P S J S Z X N 1 b H R U e X B l I i B W Y W x 1 Z T 0 i c 1 R h Y m x l I i 8 + P E V u d H J 5 I F R 5 c G U 9 I k 5 h d m l n Y X R p b 2 5 T d G V w T m F t Z S I g V m F s d W U 9 I n N O Y X Z p Z 2 F 6 a W 9 u Z S I v P j x F b n R y e S B U e X B l P S J G a W x s T 2 J q Z W N 0 V H l w Z S I g V m F s d W U 9 I n N D b 2 5 u Z W N 0 a W 9 u T 2 5 s e S I v P j x F b n R y e S B U e X B l P S J O Y W 1 l V X B k Y X R l Z E F m d G V y R m l s b C I g V m F s d W U 9 I m w w I i 8 + P C 9 T d G F i b G V F b n R y a W V z P j w v S X R l b T 4 8 S X R l b T 4 8 S X R l b U x v Y 2 F 0 a W 9 u P j x J d G V t V H l w Z T 5 G b 3 J t d W x h P C 9 J d G V t V H l w Z T 4 8 S X R l b V B h d G g + U 2 V j d G l v b j E v R m l s Z S U y M G R p J T I w Z X N l b X B p b y U y M C g y 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0 L T A 1 L T A 2 V D A 4 O j U w O j E y L j Q 4 N j c 0 M D Z 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M D R m O D h h M T I t Y T F l N i 0 0 N D M 1 L T l h Z m U t N j M 5 Y m F h Y T A z Z m J h I i 8 + P E V u d H J 5 I F R 5 c G U 9 I l F 1 Z X J 5 S U Q i I F Z h b H V l P S J z Y j d h Z W E z Z j A t O W V m M y 0 0 N z E z L W E 2 N G Q t M j c w M m V h Y z F i N z g 3 I i 8 + P E V u d H J 5 I F R 5 c G U 9 I l J l c 3 V s d F R 5 c G U i I F Z h b H V l P S J z Q m l u Y X J 5 I i 8 + P E V u d H J 5 I F R 5 c G U 9 I k Z p b G x P Y m p l Y 3 R U e X B l I i B W Y W x 1 Z T 0 i c 0 N v b m 5 l Y 3 R p b 2 5 P b m x 5 I i 8 + P E V u d H J 5 I F R 5 c G U 9 I k 5 h b W V V c G R h d G V k Q W Z 0 Z X J G a W x s I i B W Y W x 1 Z T 0 i b D E i L z 4 8 R W 5 0 c n k g V H l w Z T 0 i T G 9 h Z G V k V G 9 B b m F s e X N p c 1 N l c n Z p Y 2 V z I i B W Y W x 1 Z T 0 i b D A i L z 4 8 R W 5 0 c n k g V H l w Z T 0 i T G 9 h Z F R v U m V w b 3 J 0 R G l z Y W J s Z W Q i I F Z h b H V l P S J s M S I v P j w v U 3 R h Y m x l R W 5 0 c m l l c z 4 8 L 0 l 0 Z W 0 + P E l 0 Z W 0 + P E l 0 Z W 1 M b 2 N h d G l v b j 4 8 S X R l b V R 5 c G U + R m 9 y b X V s Y T w v S X R l b V R 5 c G U + P E l 0 Z W 1 Q Y X R o P l N l Y 3 R p b 2 4 x L 1 B h c m F t Z X R y b y U y M G R l b C U y M G Z p b G U l M j B k a S U y M G V z Z W 1 w a W 8 y 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U t M D Z U M D g 6 N T A 6 M T I u N T A 0 N z Q x M V 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M w N G Y 4 O G E x M i 1 h M W U 2 L T Q 0 M z U t O W F m Z S 0 2 M z l i Y W F h M D N m Y m E i L z 4 8 R W 5 0 c n k g V H l w Z T 0 i U X V l c n l J R C I g V m F s d W U 9 I n M x O D Y w M G F l N y 0 x O D U 1 L T R h N T c t O T c z O C 0 5 Z T U x N j h k M W Q y Y T k i L z 4 8 R W 5 0 c n k g V H l w Z T 0 i U m V z d W x 0 V H l w Z S I g V m F s d W U 9 I n N C a W 5 h c n k i L z 4 8 R W 5 0 c n k g V H l w Z T 0 i R m l s b E 9 i a m V j d F R 5 c G U i I F Z h b H V l P S J z Q 2 9 u b m V j d G l v b k 9 u b H k i L z 4 8 R W 5 0 c n k g V H l w Z T 0 i T G 9 h Z F R v U m V w b 3 J 0 R G l z Y W J s Z W Q i I F Z h b H V l P S J s M S I v P j w v U 3 R h Y m x l R W 5 0 c m l l c z 4 8 L 0 l 0 Z W 0 + P E l 0 Z W 0 + P E l 0 Z W 1 M b 2 N h d G l v b j 4 8 S X R l b V R 5 c G U + R m 9 y b X V s Y T w v S X R l b V R 5 c G U + P E l 0 Z W 1 Q Y X R o P l N l Y 3 R p b 2 4 x L 1 R y Y X N m b 3 J t Y S U y M G Z p b G U l M j B k a S U y M G V z Z W 1 w a W 8 l M j B k Y S U y M E V S U k 9 S S S U y M C g y 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0 L T A 1 L T A 2 V D A 4 O j U w O j E y L j U y M j c 0 M j B 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M D M 4 N z A 5 O T g t Y 2 Q w N C 0 0 N D Q 4 L W F k M G M t Z G M 3 N T A w N T d m N W Q 0 I i 8 + P E V u d H J 5 I F R 5 c G U 9 I l F 1 Z X J 5 S U Q i I F Z h b H V l P S J z N T k 2 Y z A x Z W U t Y W Y y Y y 0 0 Z T l k L W J h Y z c t M 2 U 1 N z g 3 Y T J j Z j E x I i 8 + P E V u d H J 5 I F R 5 c G U 9 I l J l c 3 V s d F R 5 c G U i I F Z h b H V l P S J z V G F i b G U i L z 4 8 R W 5 0 c n k g V H l w Z T 0 i R m l s b E 9 i a m V j d F R 5 c G U i I F Z h b H V l P S J z Q 2 9 u b m V j d G l v b k 9 u b H k i L z 4 8 R W 5 0 c n k g V H l w Z T 0 i T m F t Z V V w Z G F 0 Z W R B Z n R l c k Z p b G w i I F Z h b H V l P S J s M S I v P j x F b n R y e S B U e X B l P S J M b 2 F k V G 9 S Z X B v c n R E a X N h Y m x l Z C I g V m F s d W U 9 I m w x I i 8 + P C 9 T d G F i b G V F b n R y a W V z P j w v S X R l b T 4 8 S X R l b T 4 8 S X R l b U x v Y 2 F 0 a W 9 u P j x J d G V t V H l w Z T 5 G b 3 J t d W x h P C 9 J d G V t V H l w Z T 4 8 S X R l b V B h d G g + U 2 V j d G l v b j E v V H J h c 2 Z v c m 1 h J T I w Z m l s Z S U y M G R h J T I w R V J S T 1 J J J T I w K D I 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U t M D Z U M D g 6 N T A 6 M T I u N T Q 1 N z Q x N V 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M w M z g 3 M D k 5 O C 1 j Z D A 0 L T Q 0 N D g t Y W Q w Y y 1 k Y z c 1 M D A 1 N 2 Y 1 Z D Q i L z 4 8 R W 5 0 c n k g V H l w Z T 0 i U X V l c n l J R C I g V m F s d W U 9 I n M 0 M D c y Y m I 2 M C 0 w Y j l i L T Q y Y m Q t O D g 0 Y S 1 i Z m N i M m Y 1 M j Y 2 Z j c i L z 4 8 R W 5 0 c n k g V H l w Z T 0 i U m V z d W x 0 V H l w Z S I g V m F s d W U 9 I n N G d W 5 j d G l v b i I v P j x F b n R y e S B U e X B l P S J G a W x s T 2 J q Z W N 0 V H l w Z S I g V m F s d W U 9 I n N D b 2 5 u Z W N 0 a W 9 u T 2 5 s e S I v P j x F b n R y e S B U e X B l P S J M b 2 F k V G 9 S Z X B v c n R E a X N h Y m x l Z C I g V m F s d W U 9 I m w x I i 8 + P C 9 T d G F i b G V F b n R y a W V z P j w v S X R l b T 4 8 S X R l b T 4 8 S X R l b U x v Y 2 F 0 a W 9 u P j x J d G V t V H l w Z T 5 G b 3 J t d W x h P C 9 J d G V t V H l w Z T 4 8 S X R l b V B h d G g + U 2 V j d G l v b j E v R V J S T 1 J J J T I w K D M p P C 9 J d G V t U G F 0 a D 4 8 L 0 l 0 Z W 1 M b 2 N h d G l v b j 4 8 U 3 R h Y m x l R W 5 0 c m l l c z 4 8 R W 5 0 c n k g V H l w Z T 0 i Q W R k Z W R U b 0 R h d G F N b 2 R l b C I g V m F s d W U 9 I m w w I i 8 + P E V u d H J 5 I F R 5 c G U 9 I k J 1 Z m Z l c k 5 l e H R S Z W Z y Z X N o I i B W Y W x 1 Z T 0 i b D E i L z 4 8 R W 5 0 c n k g V H l w Z T 0 i R m l s b E N v d W 5 0 I i B W Y W x 1 Z T 0 i b D I 2 N C I v P j x F b n R y e S B U e X B l P S J G a W x s R W 5 h Y m x l Z C I g V m F s d W U 9 I m w x I i 8 + P E V u d H J 5 I F R 5 c G U 9 I k Z p b G x F c n J v c k N v Z G U i I F Z h b H V l P S J z V W 5 r b m 9 3 b i I v P j x F b n R y e S B U e X B l P S J G a W x s R X J y b 3 J D b 3 V u d C I g V m F s d W U 9 I m w w I i 8 + P E V u d H J 5 I F R 5 c G U 9 I k Z p b G x M Y X N 0 V X B k Y X R l Z C I g V m F s d W U 9 I m Q y M D I 0 L T A 3 L T A y V D E z O j E 4 O j M y L j M 5 N T k w N D N a I i 8 + P E V u d H J 5 I F R 5 c G U 9 I k Z p b G x D b 2 x 1 b W 5 U e X B l c y I g V m F s d W U 9 I n N C Z 1 l E Q X d Z Q U F B Q U F B Q U F B Q U F B Q U F B Q T 0 i L z 4 8 R W 5 0 c n k g V H l w Z T 0 i R m l s b E N v b H V t b k 5 h b W V z I i B W Y W x 1 Z T 0 i c 1 s m c X V v d D t T b 3 V y Y 2 U u T m F t Z S 4 y J n F 1 b 3 Q 7 L C Z x d W 9 0 O 1 N v d X J j Z S 5 O Y W 1 l L j M m c X V v d D s s J n F 1 b 3 Q 7 U 2 9 1 c m N l L k 5 h b W U u N C Z x d W 9 0 O y w m c X V v d D t T b 3 V y Y 2 U u T m F t Z S 4 1 L j E m c X V v d D s s J n F 1 b 3 Q 7 T m F t Z S Z x d W 9 0 O y w m c X V v d D t W Y W x 1 Z S 5 0 e X B v b G 9 n e U 9 m R X J y b 3 J J Z C Z x d W 9 0 O y w m c X V v d D t W Y W x 1 Z S 5 0 e X B v b G 9 n e U 9 m R X J y b 3 J O Y W 1 l J n F 1 b 3 Q 7 L C Z x d W 9 0 O 1 Z h b H V l L n N 0 Y W Z m Q 2 9 z d C Z x d W 9 0 O y w m c X V v d D t W Y W x 1 Z S 5 v Z m Z p Y 2 V B b m R B Z G 1 p b m l z d H J h d G l v b i Z x d W 9 0 O y w m c X V v d D t W Y W x 1 Z S 5 0 c m F 2 Z W x B b m R B Y 2 N v b W 1 v Z G F 0 a W 9 u J n F 1 b 3 Q 7 L C Z x d W 9 0 O 1 Z h b H V l L m V 4 d G V y b m F s R X h w Z X J 0 a X N l J n F 1 b 3 Q 7 L C Z x d W 9 0 O 1 Z h b H V l L m V x d W l w b W V u d C Z x d W 9 0 O y w m c X V v d D t W Y W x 1 Z S 5 p b m Z y Y X N 0 c n V j d H V y Z U F u Z F d v c m t z J n F 1 b 3 Q 7 L C Z x d W 9 0 O 1 Z h b H V l L m x 1 b X B T d W 1 z J n F 1 b 3 Q 7 L C Z x d W 9 0 O 1 Z h b H V l L n V u a X R D b 3 N 0 c y Z x d W 9 0 O y w m c X V v d D t W Y W x 1 Z S 5 v d G h l c k N v c 3 R z J n F 1 b 3 Q 7 L C Z x d W 9 0 O 1 Z h b H V l L n R v d G F s 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2 Y T h k N m E z Z S 1 h N z U 1 L T Q y Z D g t O T E y N i 0 w Z W M z N j M x N T J j N D I i L z 4 8 R W 5 0 c n k g V H l w Z T 0 i U m V j b 3 Z l c n l U Y X J n Z X R D b 2 x 1 b W 4 i I F Z h b H V l P S J s M S I v P j x F b n R y e S B U e X B l P S J S Z W N v d m V y e V R h c m d l d F J v d y I g V m F s d W U 9 I m w x I i 8 + P E V u d H J 5 I F R 5 c G U 9 I l J l Y 2 9 2 Z X J 5 V G F y Z 2 V 0 U 2 h l Z X Q i I F Z h b H V l P S J z R m 9 n b G l v N i I v P j x F b n R y e S B U e X B l P S J S Z W x h d G l v b n N o a X B J b m Z v Q 2 9 u d G F p b m V y I i B W Y W x 1 Z T 0 i c 3 s m c X V v d D t j b 2 x 1 b W 5 D b 3 V u d C Z x d W 9 0 O z o x N y w m c X V v d D t r Z X l D b 2 x 1 b W 5 O Y W 1 l c y Z x d W 9 0 O z p b X S w m c X V v d D t x d W V y e V J l b G F 0 a W 9 u c 2 h p c H M m c X V v d D s 6 W 1 0 s J n F 1 b 3 Q 7 Y 2 9 s d W 1 u S W R l b n R p d G l l c y Z x d W 9 0 O z p b J n F 1 b 3 Q 7 U 2 V j d G l v b j E v R V J S T 1 J J I C g z K S 9 B d X R v U m V t b 3 Z l Z E N v b H V t b n M x L n t T b 3 V y Y 2 U u T m F t Z S 4 y L D B 9 J n F 1 b 3 Q 7 L C Z x d W 9 0 O 1 N l Y 3 R p b 2 4 x L 0 V S U k 9 S S S A o M y k v Q X V 0 b 1 J l b W 9 2 Z W R D b 2 x 1 b W 5 z M S 5 7 U 2 9 1 c m N l L k 5 h b W U u M y w x f S Z x d W 9 0 O y w m c X V v d D t T Z W N 0 a W 9 u M S 9 F U l J P U k k g K D M p L 0 F 1 d G 9 S Z W 1 v d m V k Q 2 9 s d W 1 u c z E u e 1 N v d X J j Z S 5 O Y W 1 l L j Q s M n 0 m c X V v d D s s J n F 1 b 3 Q 7 U 2 V j d G l v b j E v R V J S T 1 J J I C g z K S 9 B d X R v U m V t b 3 Z l Z E N v b H V t b n M x L n t T b 3 V y Y 2 U u T m F t Z S 4 1 L j E s M 3 0 m c X V v d D s s J n F 1 b 3 Q 7 U 2 V j d G l v b j E v R V J S T 1 J J I C g z K S 9 B d X R v U m V t b 3 Z l Z E N v b H V t b n M x L n t O Y W 1 l L D R 9 J n F 1 b 3 Q 7 L C Z x d W 9 0 O 1 N l Y 3 R p b 2 4 x L 0 V S U k 9 S S S A o M y k v Q X V 0 b 1 J l b W 9 2 Z W R D b 2 x 1 b W 5 z M S 5 7 V m F s d W U u d H l w b 2 x v Z 3 l P Z k V y c m 9 y S W Q s N X 0 m c X V v d D s s J n F 1 b 3 Q 7 U 2 V j d G l v b j E v R V J S T 1 J J I C g z K S 9 B d X R v U m V t b 3 Z l Z E N v b H V t b n M x L n t W Y W x 1 Z S 5 0 e X B v b G 9 n e U 9 m R X J y b 3 J O Y W 1 l L D Z 9 J n F 1 b 3 Q 7 L C Z x d W 9 0 O 1 N l Y 3 R p b 2 4 x L 0 V S U k 9 S S S A o M y k v Q X V 0 b 1 J l b W 9 2 Z W R D b 2 x 1 b W 5 z M S 5 7 V m F s d W U u c 3 R h Z m Z D b 3 N 0 L D d 9 J n F 1 b 3 Q 7 L C Z x d W 9 0 O 1 N l Y 3 R p b 2 4 x L 0 V S U k 9 S S S A o M y k v Q X V 0 b 1 J l b W 9 2 Z W R D b 2 x 1 b W 5 z M S 5 7 V m F s d W U u b 2 Z m a W N l Q W 5 k Q W R t a W 5 p c 3 R y Y X R p b 2 4 s O H 0 m c X V v d D s s J n F 1 b 3 Q 7 U 2 V j d G l v b j E v R V J S T 1 J J I C g z K S 9 B d X R v U m V t b 3 Z l Z E N v b H V t b n M x L n t W Y W x 1 Z S 5 0 c m F 2 Z W x B b m R B Y 2 N v b W 1 v Z G F 0 a W 9 u L D l 9 J n F 1 b 3 Q 7 L C Z x d W 9 0 O 1 N l Y 3 R p b 2 4 x L 0 V S U k 9 S S S A o M y k v Q X V 0 b 1 J l b W 9 2 Z W R D b 2 x 1 b W 5 z M S 5 7 V m F s d W U u Z X h 0 Z X J u Y W x F e H B l c n R p c 2 U s M T B 9 J n F 1 b 3 Q 7 L C Z x d W 9 0 O 1 N l Y 3 R p b 2 4 x L 0 V S U k 9 S S S A o M y k v Q X V 0 b 1 J l b W 9 2 Z W R D b 2 x 1 b W 5 z M S 5 7 V m F s d W U u Z X F 1 a X B t Z W 5 0 L D E x f S Z x d W 9 0 O y w m c X V v d D t T Z W N 0 a W 9 u M S 9 F U l J P U k k g K D M p L 0 F 1 d G 9 S Z W 1 v d m V k Q 2 9 s d W 1 u c z E u e 1 Z h b H V l L m l u Z n J h c 3 R y d W N 0 d X J l Q W 5 k V 2 9 y a 3 M s M T J 9 J n F 1 b 3 Q 7 L C Z x d W 9 0 O 1 N l Y 3 R p b 2 4 x L 0 V S U k 9 S S S A o M y k v Q X V 0 b 1 J l b W 9 2 Z W R D b 2 x 1 b W 5 z M S 5 7 V m F s d W U u b H V t c F N 1 b X M s M T N 9 J n F 1 b 3 Q 7 L C Z x d W 9 0 O 1 N l Y 3 R p b 2 4 x L 0 V S U k 9 S S S A o M y k v Q X V 0 b 1 J l b W 9 2 Z W R D b 2 x 1 b W 5 z M S 5 7 V m F s d W U u d W 5 p d E N v c 3 R z L D E 0 f S Z x d W 9 0 O y w m c X V v d D t T Z W N 0 a W 9 u M S 9 F U l J P U k k g K D M p L 0 F 1 d G 9 S Z W 1 v d m V k Q 2 9 s d W 1 u c z E u e 1 Z h b H V l L m 9 0 a G V y Q 2 9 z d H M s M T V 9 J n F 1 b 3 Q 7 L C Z x d W 9 0 O 1 N l Y 3 R p b 2 4 x L 0 V S U k 9 S S S A o M y k v Q X V 0 b 1 J l b W 9 2 Z W R D b 2 x 1 b W 5 z M S 5 7 V m F s d W U u d G 9 0 Y W w s M T Z 9 J n F 1 b 3 Q 7 X S w m c X V v d D t D b 2 x 1 b W 5 D b 3 V u d C Z x d W 9 0 O z o x N y w m c X V v d D t L Z X l D b 2 x 1 b W 5 O Y W 1 l c y Z x d W 9 0 O z p b X S w m c X V v d D t D b 2 x 1 b W 5 J Z G V u d G l 0 a W V z J n F 1 b 3 Q 7 O l s m c X V v d D t T Z W N 0 a W 9 u M S 9 F U l J P U k k g K D M p L 0 F 1 d G 9 S Z W 1 v d m V k Q 2 9 s d W 1 u c z E u e 1 N v d X J j Z S 5 O Y W 1 l L j I s M H 0 m c X V v d D s s J n F 1 b 3 Q 7 U 2 V j d G l v b j E v R V J S T 1 J J I C g z K S 9 B d X R v U m V t b 3 Z l Z E N v b H V t b n M x L n t T b 3 V y Y 2 U u T m F t Z S 4 z L D F 9 J n F 1 b 3 Q 7 L C Z x d W 9 0 O 1 N l Y 3 R p b 2 4 x L 0 V S U k 9 S S S A o M y k v Q X V 0 b 1 J l b W 9 2 Z W R D b 2 x 1 b W 5 z M S 5 7 U 2 9 1 c m N l L k 5 h b W U u N C w y f S Z x d W 9 0 O y w m c X V v d D t T Z W N 0 a W 9 u M S 9 F U l J P U k k g K D M p L 0 F 1 d G 9 S Z W 1 v d m V k Q 2 9 s d W 1 u c z E u e 1 N v d X J j Z S 5 O Y W 1 l L j U u M S w z f S Z x d W 9 0 O y w m c X V v d D t T Z W N 0 a W 9 u M S 9 F U l J P U k k g K D M p L 0 F 1 d G 9 S Z W 1 v d m V k Q 2 9 s d W 1 u c z E u e 0 5 h b W U s N H 0 m c X V v d D s s J n F 1 b 3 Q 7 U 2 V j d G l v b j E v R V J S T 1 J J I C g z K S 9 B d X R v U m V t b 3 Z l Z E N v b H V t b n M x L n t W Y W x 1 Z S 5 0 e X B v b G 9 n e U 9 m R X J y b 3 J J Z C w 1 f S Z x d W 9 0 O y w m c X V v d D t T Z W N 0 a W 9 u M S 9 F U l J P U k k g K D M p L 0 F 1 d G 9 S Z W 1 v d m V k Q 2 9 s d W 1 u c z E u e 1 Z h b H V l L n R 5 c G 9 s b 2 d 5 T 2 Z F c n J v c k 5 h b W U s N n 0 m c X V v d D s s J n F 1 b 3 Q 7 U 2 V j d G l v b j E v R V J S T 1 J J I C g z K S 9 B d X R v U m V t b 3 Z l Z E N v b H V t b n M x L n t W Y W x 1 Z S 5 z d G F m Z k N v c 3 Q s N 3 0 m c X V v d D s s J n F 1 b 3 Q 7 U 2 V j d G l v b j E v R V J S T 1 J J I C g z K S 9 B d X R v U m V t b 3 Z l Z E N v b H V t b n M x L n t W Y W x 1 Z S 5 v Z m Z p Y 2 V B b m R B Z G 1 p b m l z d H J h d G l v b i w 4 f S Z x d W 9 0 O y w m c X V v d D t T Z W N 0 a W 9 u M S 9 F U l J P U k k g K D M p L 0 F 1 d G 9 S Z W 1 v d m V k Q 2 9 s d W 1 u c z E u e 1 Z h b H V l L n R y Y X Z l b E F u Z E F j Y 2 9 t b W 9 k Y X R p b 2 4 s O X 0 m c X V v d D s s J n F 1 b 3 Q 7 U 2 V j d G l v b j E v R V J S T 1 J J I C g z K S 9 B d X R v U m V t b 3 Z l Z E N v b H V t b n M x L n t W Y W x 1 Z S 5 l e H R l c m 5 h b E V 4 c G V y d G l z Z S w x M H 0 m c X V v d D s s J n F 1 b 3 Q 7 U 2 V j d G l v b j E v R V J S T 1 J J I C g z K S 9 B d X R v U m V t b 3 Z l Z E N v b H V t b n M x L n t W Y W x 1 Z S 5 l c X V p c G 1 l b n Q s M T F 9 J n F 1 b 3 Q 7 L C Z x d W 9 0 O 1 N l Y 3 R p b 2 4 x L 0 V S U k 9 S S S A o M y k v Q X V 0 b 1 J l b W 9 2 Z W R D b 2 x 1 b W 5 z M S 5 7 V m F s d W U u a W 5 m c m F z d H J 1 Y 3 R 1 c m V B b m R X b 3 J r c y w x M n 0 m c X V v d D s s J n F 1 b 3 Q 7 U 2 V j d G l v b j E v R V J S T 1 J J I C g z K S 9 B d X R v U m V t b 3 Z l Z E N v b H V t b n M x L n t W Y W x 1 Z S 5 s d W 1 w U 3 V t c y w x M 3 0 m c X V v d D s s J n F 1 b 3 Q 7 U 2 V j d G l v b j E v R V J S T 1 J J I C g z K S 9 B d X R v U m V t b 3 Z l Z E N v b H V t b n M x L n t W Y W x 1 Z S 5 1 b m l 0 Q 2 9 z d H M s M T R 9 J n F 1 b 3 Q 7 L C Z x d W 9 0 O 1 N l Y 3 R p b 2 4 x L 0 V S U k 9 S S S A o M y k v Q X V 0 b 1 J l b W 9 2 Z W R D b 2 x 1 b W 5 z M S 5 7 V m F s d W U u b 3 R o Z X J D b 3 N 0 c y w x N X 0 m c X V v d D s s J n F 1 b 3 Q 7 U 2 V j d G l v b j E v R V J S T 1 J J I C g z K S 9 B d X R v U m V t b 3 Z l Z E N v b H V t b n M x L n t W Y W x 1 Z S 5 0 b 3 R h b C w x N n 0 m c X V v d D t d L C Z x d W 9 0 O 1 J l b G F 0 a W 9 u c 2 h p c E l u Z m 8 m c X V v d D s 6 W 1 1 9 I i 8 + P E V u d H J 5 I F R 5 c G U 9 I l J l c 3 V s d F R 5 c G U i I F Z h b H V l P S J z V G F i b G U i L z 4 8 R W 5 0 c n k g V H l w Z T 0 i T m F 2 a W d h d G l v b l N 0 Z X B O Y W 1 l I i B W Y W x 1 Z T 0 i c 0 5 h d m l n Y X p p b 2 5 l I i 8 + P E V u d H J 5 I F R 5 c G U 9 I k Z p b G x P Y m p l Y 3 R U e X B l I i B W Y W x 1 Z T 0 i c 1 R h Y m x l I i 8 + P E V u d H J 5 I F R 5 c G U 9 I k 5 h b W V V c G R h d G V k Q W Z 0 Z X J G a W x s I i B W Y W x 1 Z T 0 i b D A i L z 4 8 R W 5 0 c n k g V H l w Z T 0 i R m l s b F R h c m d l d C I g V m F s d W U 9 I n N F U l J P U k l f X z M i L z 4 8 L 1 N 0 Y W J s Z U V u d H J p Z X M + P C 9 J d G V t P j x J d G V t P j x J d G V t T G 9 j Y X R p b 2 4 + P E l 0 Z W 1 U e X B l P k Z v c m 1 1 b G E 8 L 0 l 0 Z W 1 U e X B l P j x J d G V t U G F 0 a D 5 T Z W N 0 a W 9 u M S 9 G a W x l J T I w Z G k l M j B l c 2 V t c G l v J T I w K D M 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U t M D Z U M D k 6 N D c 6 M z A u N z E 1 O D U w M V 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M 3 Z D Z i N T M x O C 1 k Z m Y z L T R m N z A t O W I 4 N i 1 k N m Y 1 Z W E x Z G E x M j I i L z 4 8 R W 5 0 c n k g V H l w Z T 0 i U X V l c n l J R C I g V m F s d W U 9 I n N i Z j g 2 Y T F k Z i 0 x M z g 5 L T R j Y T Y t O D d m Z C 0 x Y z k 1 M G M y O W E w Y j I i L z 4 8 R W 5 0 c n k g V H l w Z T 0 i U m V z d W x 0 V H l w Z S I g V m F s d W U 9 I n N C a W 5 h c n k i L z 4 8 R W 5 0 c n k g V H l w Z T 0 i R m l s b E 9 i a m V j d F R 5 c G U i I F Z h b H V l P S J z Q 2 9 u b m V j d G l v b k 9 u b H k i L z 4 8 R W 5 0 c n k g V H l w Z T 0 i T m F t Z V V w Z G F 0 Z W R B Z n R l c k Z p b G w i I F Z h b H V l P S J s M S I v P j x F b n R y e S B U e X B l P S J M b 2 F k Z W R U b 0 F u Y W x 5 c 2 l z U 2 V y d m l j Z X M i I F Z h b H V l P S J s M C I v P j x F b n R y e S B U e X B l P S J M b 2 F k V G 9 S Z X B v c n R E a X N h Y m x l Z C I g V m F s d W U 9 I m w x I i 8 + P C 9 T d G F i b G V F b n R y a W V z P j w v S X R l b T 4 8 S X R l b T 4 8 S X R l b U x v Y 2 F 0 a W 9 u P j x J d G V t V H l w Z T 5 G b 3 J t d W x h P C 9 J d G V t V H l w Z T 4 8 S X R l b V B h d G g + U 2 V j d G l v b j E v U G F y Y W 1 l d H J v J T I w Z G V s J T I w Z m l s Z S U y M G R p J T I w Z X N l b X B p b z M 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C 0 w N S 0 w N l Q w O T o 0 N z o z M C 4 3 M z k 3 N z A 0 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z d k N m I 1 M z E 4 L W R m Z j M t N G Y 3 M C 0 5 Y j g 2 L W Q 2 Z j V l Y T F k Y T E y M i I v P j x F b n R y e S B U e X B l P S J R d W V y e U l E I i B W Y W x 1 Z T 0 i c z c 3 Z D Q 2 Y W N l L T h l M m M t N D I x M S 1 h Y j E w L T h i Z j E y M m Y w Y z Y 2 M C I v P j x F b n R y e S B U e X B l P S J S Z X N 1 b H R U e X B l I i B W Y W x 1 Z T 0 i c 0 J p b m F y e S I v P j x F b n R y e S B U e X B l P S J G a W x s T 2 J q Z W N 0 V H l w Z S I g V m F s d W U 9 I n N D b 2 5 u Z W N 0 a W 9 u T 2 5 s e S I v P j x F b n R y e S B U e X B l P S J M b 2 F k V G 9 S Z X B v c n R E a X N h Y m x l Z C I g V m F s d W U 9 I m w x I i 8 + P C 9 T d G F i b G V F b n R y a W V z P j w v S X R l b T 4 8 S X R l b T 4 8 S X R l b U x v Y 2 F 0 a W 9 u P j x J d G V t V H l w Z T 5 G b 3 J t d W x h P C 9 J d G V t V H l w Z T 4 8 S X R l b V B h d G g + U 2 V j d G l v b j E v V H J h c 2 Z v c m 1 h J T I w Z m l s Z S U y M G R p J T I w Z X N l b X B p b y U y M G R h J T I w R V J S T 1 J J J T I w K D M 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U t M D Z U M D k 6 N D c 6 M z A u N z g y N z Y 5 M l 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M 0 Y m R i O G E 2 Z S 1 k N j M 3 L T Q 1 Y j U t Y j A 0 N y 0 5 N D Y 1 Y T E 4 Z T k 5 Z G Y i L z 4 8 R W 5 0 c n k g V H l w Z T 0 i U X V l c n l J R C I g V m F s d W U 9 I n M w M D Q w Y T U z Y y 0 x M W Z m L T Q z Y W U t Y j E x Y i 0 2 M z A 5 N j h k M 2 E 1 M z I i L z 4 8 R W 5 0 c n k g V H l w Z T 0 i U m V z d W x 0 V H l w Z S I g V m F s d W U 9 I n N U Y W J s Z S I v P j x F b n R y e S B U e X B l P S J G a W x s T 2 J q Z W N 0 V H l w Z S I g V m F s d W U 9 I n N D b 2 5 u Z W N 0 a W 9 u T 2 5 s e S I v P j x F b n R y e S B U e X B l P S J O Y W 1 l V X B k Y X R l Z E F m d G V y R m l s b C I g V m F s d W U 9 I m w x I i 8 + P E V u d H J 5 I F R 5 c G U 9 I k x v Y W R U b 1 J l c G 9 y d E R p c 2 F i b G V k I i B W Y W x 1 Z T 0 i b D E i L z 4 8 L 1 N 0 Y W J s Z U V u d H J p Z X M + P C 9 J d G V t P j x J d G V t P j x J d G V t T G 9 j Y X R p b 2 4 + P E l 0 Z W 1 U e X B l P k Z v c m 1 1 b G E 8 L 0 l 0 Z W 1 U e X B l P j x J d G V t U G F 0 a D 5 T Z W N 0 a W 9 u M S 9 U c m F z Z m 9 y b W E l M j B m a W x l J T I w Z G E l M j B F U l J P U k k l M j A o M y 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C 0 w N S 0 w N l Q w O T o 0 N z o z M C 4 4 M D U 3 N z A y 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z R i Z G I 4 Y T Z l L W Q 2 M z c t N D V i N S 1 i M D Q 3 L T k 0 N j V h M T h l O T l k Z i I v P j x F b n R y e S B U e X B l P S J R d W V y e U l E I i B W Y W x 1 Z T 0 i c 2 R i O D M w N D h j L T F l N T I t N G E 3 Z i 1 i N T R m L T M x Y W U x M z V j Y m Y 0 O S I v P j x F b n R y e S B U e X B l P S J S Z X N 1 b H R U e X B l I i B W Y W x 1 Z T 0 i c 0 Z 1 b m N 0 a W 9 u I i 8 + P E V u d H J 5 I F R 5 c G U 9 I k Z p b G x P Y m p l Y 3 R U e X B l I i B W Y W x 1 Z T 0 i c 0 N v b m 5 l Y 3 R p b 2 5 P b m x 5 I i 8 + P E V u d H J 5 I F R 5 c G U 9 I k x v Y W R U b 1 J l c G 9 y d E R p c 2 F i b G V k I i B W Y W x 1 Z T 0 i b D E i L z 4 8 L 1 N 0 Y W J s Z U V u d H J p Z X M + P C 9 J d G V t P j x J d G V t P j x J d G V t T G 9 j Y X R p b 2 4 + P E l 0 Z W 1 U e X B l P k Z v c m 1 1 b G E 8 L 0 l 0 Z W 1 U e X B l P j x J d G V t U G F 0 a D 5 T Z W N 0 a W 9 u M S 9 S Z W 5 k a W N v b n R p Q 2 9 u d m F s a W R h d G l C T D w v S X R l b V B h d G g + P C 9 J d G V t T G 9 j Y X R p b 2 4 + P F N 0 Y W J s Z U V u d H J p Z X M + P E V u d H J 5 I F R 5 c G U 9 I k F k Z G V k V G 9 E Y X R h T W 9 k Z W w i I F Z h b H V l P S J s M C I v P j x F b n R y e S B U e X B l P S J C d W Z m Z X J O Z X h 0 U m V m c m V z a C I g V m F s d W U 9 I m w x I i 8 + P E V u d H J 5 I F R 5 c G U 9 I k Z p b G x D b 3 V u d C I g V m F s d W U 9 I m w y M z M y I i 8 + P E V u d H J 5 I F R 5 c G U 9 I k Z p b G x F b m F i b G V k I i B W Y W x 1 Z T 0 i b D E i L z 4 8 R W 5 0 c n k g V H l w Z T 0 i R m l s b E V y c m 9 y Q 2 9 k Z S I g V m F s d W U 9 I n N V b m t u b 3 d u I i 8 + P E V u d H J 5 I F R 5 c G U 9 I k Z p b G x F c n J v c k N v d W 5 0 I i B W Y W x 1 Z T 0 i b D A i L z 4 8 R W 5 0 c n k g V H l w Z T 0 i R m l s b E x h c 3 R V c G R h d G V k I i B W Y W x 1 Z T 0 i Z D I w M j Q t M D c t M j R U M T U 6 M j I 6 M D U u N D Q 5 N z k 0 O V o i L z 4 8 R W 5 0 c n k g V H l w Z T 0 i R m l s b E N v b H V t b l R 5 c G V z I i B W Y W x 1 Z T 0 i c 0 J n W U R B d 1 l B Q U F B Q U F B Q U F B Q U F B Q U E 9 P S I v P j x F b n R y e S B U e X B l P S J G a W x s Q 2 9 s d W 1 u T m F t Z X M i I F Z h b H V l P S J z W y Z x d W 9 0 O 0 F r c m 9 u a W 1 v I H B y b 2 d l d H R v J n F 1 b 3 Q 7 L C Z x d W 9 0 O 2 F r b 3 J u a W 1 v I H B h c n R u Z X I m c X V v d D s s J n F 1 b 3 Q 7 c G F y d G 5 l c i B p Z C Z x d W 9 0 O y w m c X V v d D t S Z W 5 k a W N v b n R v I G l k J n F 1 b 3 Q 7 L C Z x d W 9 0 O 0 5 h b W U m c X V v d D s s J n F 1 b 3 Q 7 V m F s d W U u Z m x h d F J h d G U m c X V v d D s s J n F 1 b 3 Q 7 V m F s d W U u d G 9 0 Y W x F b G l n a W J s Z U J 1 Z G d l d C Z x d W 9 0 O y w m c X V v d D t W Y W x 1 Z S 5 w c m V 2 a W 9 1 c 2 x 5 U m V w b 3 J 0 Z W Q m c X V v d D s s J n F 1 b 3 Q 7 V m F s d W U u c H J l d m l v d X N s e V J l c G 9 y d G V k U G F y a 2 V k J n F 1 b 3 Q 7 L C Z x d W 9 0 O 1 Z h b H V l L m N 1 c n J l b n R S Z X B v c n Q m c X V v d D s s J n F 1 b 3 Q 7 V m F s d W U u Y 3 V y c m V u d F J l c G 9 y d F J l S W 5 j b H V k Z W Q m c X V v d D s s J n F 1 b 3 Q 7 V m F s d W U u d G 9 0 Y W x F b G l n a W J s Z U F m d G V y Q 2 9 u d H J v b C Z x d W 9 0 O y w m c X V v d D t W Y W x 1 Z S 5 0 b 3 R h b F J l c G 9 y d G V k U 2 9 G Y X I m c X V v d D s s J n F 1 b 3 Q 7 V m F s d W U u d G 9 0 Y W x S Z X B v c n R l Z F N v R m F y U G V y Y 2 V u d G F n Z S Z x d W 9 0 O y w m c X V v d D t W Y W x 1 Z S 5 y Z W 1 h a W 5 p b m d C d W R n Z X Q m c X V v d D s s J n F 1 b 3 Q 7 V m F s d W U u c H J l d m l v d X N s e V Z h b G l k Y X R l Z C 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Y m U 5 M m E y Y z I t O W M w N y 0 0 M j d h L W I 3 M G Y t N j A 1 N W I z N T g y Y z I y I i 8 + P E V u d H J 5 I F R 5 c G U 9 I l J l Y 2 9 2 Z X J 5 V G F y Z 2 V 0 Q 2 9 s d W 1 u I i B W Y W x 1 Z T 0 i b D E i L z 4 8 R W 5 0 c n k g V H l w Z T 0 i U m V j b 3 Z l c n l U Y X J n Z X R S b 3 c i I F Z h b H V l P S J s M S I v P j x F b n R y e S B U e X B l P S J S Z W N v d m V y e V R h c m d l d F N o Z W V 0 I i B W Y W x 1 Z T 0 i c 0 Z v Z 2 x p b z I i L z 4 8 R W 5 0 c n k g V H l w Z T 0 i U m V s Y X R p b 2 5 z a G l w S W 5 m b 0 N v b n R h a W 5 l c i I g V m F s d W U 9 I n N 7 J n F 1 b 3 Q 7 Y 2 9 s d W 1 u Q 2 9 1 b n Q m c X V v d D s 6 M T Y s J n F 1 b 3 Q 7 a 2 V 5 Q 2 9 s d W 1 u T m F t Z X M m c X V v d D s 6 W 1 0 s J n F 1 b 3 Q 7 c X V l c n l S Z W x h d G l v b n N o a X B z J n F 1 b 3 Q 7 O l t d L C Z x d W 9 0 O 2 N v b H V t b k l k Z W 5 0 a X R p Z X M m c X V v d D s 6 W y Z x d W 9 0 O 1 N l Y 3 R p b 2 4 x L 1 J l b m R p Y 2 9 u d G l D b 2 5 2 Y W x p Z G F 0 a U J M L 0 F 1 d G 9 S Z W 1 v d m V k Q 2 9 s d W 1 u c z E u e 0 F r c m 9 u a W 1 v I H B y b 2 d l d H R v L D B 9 J n F 1 b 3 Q 7 L C Z x d W 9 0 O 1 N l Y 3 R p b 2 4 x L 1 J l b m R p Y 2 9 u d G l D b 2 5 2 Y W x p Z G F 0 a U J M L 0 F 1 d G 9 S Z W 1 v d m V k Q 2 9 s d W 1 u c z E u e 2 F r b 3 J u a W 1 v I H B h c n R u Z X I s M X 0 m c X V v d D s s J n F 1 b 3 Q 7 U 2 V j d G l v b j E v U m V u Z G l j b 2 5 0 a U N v b n Z h b G l k Y X R p Q k w v Q X V 0 b 1 J l b W 9 2 Z W R D b 2 x 1 b W 5 z M S 5 7 c G F y d G 5 l c i B p Z C w y f S Z x d W 9 0 O y w m c X V v d D t T Z W N 0 a W 9 u M S 9 S Z W 5 k a W N v b n R p Q 2 9 u d m F s a W R h d G l C T C 9 B d X R v U m V t b 3 Z l Z E N v b H V t b n M x L n t S Z W 5 k a W N v b n R v I G l k L D N 9 J n F 1 b 3 Q 7 L C Z x d W 9 0 O 1 N l Y 3 R p b 2 4 x L 1 J l b m R p Y 2 9 u d G l D b 2 5 2 Y W x p Z G F 0 a U J M L 0 F 1 d G 9 S Z W 1 v d m V k Q 2 9 s d W 1 u c z E u e 0 5 h b W U s N H 0 m c X V v d D s s J n F 1 b 3 Q 7 U 2 V j d G l v b j E v U m V u Z G l j b 2 5 0 a U N v b n Z h b G l k Y X R p Q k w v Q X V 0 b 1 J l b W 9 2 Z W R D b 2 x 1 b W 5 z M S 5 7 V m F s d W U u Z m x h d F J h d G U s N X 0 m c X V v d D s s J n F 1 b 3 Q 7 U 2 V j d G l v b j E v U m V u Z G l j b 2 5 0 a U N v b n Z h b G l k Y X R p Q k w v Q X V 0 b 1 J l b W 9 2 Z W R D b 2 x 1 b W 5 z M S 5 7 V m F s d W U u d G 9 0 Y W x F b G l n a W J s Z U J 1 Z G d l d C w 2 f S Z x d W 9 0 O y w m c X V v d D t T Z W N 0 a W 9 u M S 9 S Z W 5 k a W N v b n R p Q 2 9 u d m F s a W R h d G l C T C 9 B d X R v U m V t b 3 Z l Z E N v b H V t b n M x L n t W Y W x 1 Z S 5 w c m V 2 a W 9 1 c 2 x 5 U m V w b 3 J 0 Z W Q s N 3 0 m c X V v d D s s J n F 1 b 3 Q 7 U 2 V j d G l v b j E v U m V u Z G l j b 2 5 0 a U N v b n Z h b G l k Y X R p Q k w v Q X V 0 b 1 J l b W 9 2 Z W R D b 2 x 1 b W 5 z M S 5 7 V m F s d W U u c H J l d m l v d X N s e V J l c G 9 y d G V k U G F y a 2 V k L D h 9 J n F 1 b 3 Q 7 L C Z x d W 9 0 O 1 N l Y 3 R p b 2 4 x L 1 J l b m R p Y 2 9 u d G l D b 2 5 2 Y W x p Z G F 0 a U J M L 0 F 1 d G 9 S Z W 1 v d m V k Q 2 9 s d W 1 u c z E u e 1 Z h b H V l L m N 1 c n J l b n R S Z X B v c n Q s O X 0 m c X V v d D s s J n F 1 b 3 Q 7 U 2 V j d G l v b j E v U m V u Z G l j b 2 5 0 a U N v b n Z h b G l k Y X R p Q k w v Q X V 0 b 1 J l b W 9 2 Z W R D b 2 x 1 b W 5 z M S 5 7 V m F s d W U u Y 3 V y c m V u d F J l c G 9 y d F J l S W 5 j b H V k Z W Q s M T B 9 J n F 1 b 3 Q 7 L C Z x d W 9 0 O 1 N l Y 3 R p b 2 4 x L 1 J l b m R p Y 2 9 u d G l D b 2 5 2 Y W x p Z G F 0 a U J M L 0 F 1 d G 9 S Z W 1 v d m V k Q 2 9 s d W 1 u c z E u e 1 Z h b H V l L n R v d G F s R W x p Z 2 l i b G V B Z n R l c k N v b n R y b 2 w s M T F 9 J n F 1 b 3 Q 7 L C Z x d W 9 0 O 1 N l Y 3 R p b 2 4 x L 1 J l b m R p Y 2 9 u d G l D b 2 5 2 Y W x p Z G F 0 a U J M L 0 F 1 d G 9 S Z W 1 v d m V k Q 2 9 s d W 1 u c z E u e 1 Z h b H V l L n R v d G F s U m V w b 3 J 0 Z W R T b 0 Z h c i w x M n 0 m c X V v d D s s J n F 1 b 3 Q 7 U 2 V j d G l v b j E v U m V u Z G l j b 2 5 0 a U N v b n Z h b G l k Y X R p Q k w v Q X V 0 b 1 J l b W 9 2 Z W R D b 2 x 1 b W 5 z M S 5 7 V m F s d W U u d G 9 0 Y W x S Z X B v c n R l Z F N v R m F y U G V y Y 2 V u d G F n Z S w x M 3 0 m c X V v d D s s J n F 1 b 3 Q 7 U 2 V j d G l v b j E v U m V u Z G l j b 2 5 0 a U N v b n Z h b G l k Y X R p Q k w v Q X V 0 b 1 J l b W 9 2 Z W R D b 2 x 1 b W 5 z M S 5 7 V m F s d W U u c m V t Y W l u a W 5 n Q n V k Z 2 V 0 L D E 0 f S Z x d W 9 0 O y w m c X V v d D t T Z W N 0 a W 9 u M S 9 S Z W 5 k a W N v b n R p Q 2 9 u d m F s a W R h d G l C T C 9 B d X R v U m V t b 3 Z l Z E N v b H V t b n M x L n t W Y W x 1 Z S 5 w c m V 2 a W 9 1 c 2 x 5 V m F s a W R h d G V k L D E 1 f S Z x d W 9 0 O 1 0 s J n F 1 b 3 Q 7 Q 2 9 s d W 1 u Q 2 9 1 b n Q m c X V v d D s 6 M T Y s J n F 1 b 3 Q 7 S 2 V 5 Q 2 9 s d W 1 u T m F t Z X M m c X V v d D s 6 W 1 0 s J n F 1 b 3 Q 7 Q 2 9 s d W 1 u S W R l b n R p d G l l c y Z x d W 9 0 O z p b J n F 1 b 3 Q 7 U 2 V j d G l v b j E v U m V u Z G l j b 2 5 0 a U N v b n Z h b G l k Y X R p Q k w v Q X V 0 b 1 J l b W 9 2 Z W R D b 2 x 1 b W 5 z M S 5 7 Q W t y b 2 5 p b W 8 g c H J v Z 2 V 0 d G 8 s M H 0 m c X V v d D s s J n F 1 b 3 Q 7 U 2 V j d G l v b j E v U m V u Z G l j b 2 5 0 a U N v b n Z h b G l k Y X R p Q k w v Q X V 0 b 1 J l b W 9 2 Z W R D b 2 x 1 b W 5 z M S 5 7 Y W t v c m 5 p b W 8 g c G F y d G 5 l c i w x f S Z x d W 9 0 O y w m c X V v d D t T Z W N 0 a W 9 u M S 9 S Z W 5 k a W N v b n R p Q 2 9 u d m F s a W R h d G l C T C 9 B d X R v U m V t b 3 Z l Z E N v b H V t b n M x L n t w Y X J 0 b m V y I G l k L D J 9 J n F 1 b 3 Q 7 L C Z x d W 9 0 O 1 N l Y 3 R p b 2 4 x L 1 J l b m R p Y 2 9 u d G l D b 2 5 2 Y W x p Z G F 0 a U J M L 0 F 1 d G 9 S Z W 1 v d m V k Q 2 9 s d W 1 u c z E u e 1 J l b m R p Y 2 9 u d G 8 g a W Q s M 3 0 m c X V v d D s s J n F 1 b 3 Q 7 U 2 V j d G l v b j E v U m V u Z G l j b 2 5 0 a U N v b n Z h b G l k Y X R p Q k w v Q X V 0 b 1 J l b W 9 2 Z W R D b 2 x 1 b W 5 z M S 5 7 T m F t Z S w 0 f S Z x d W 9 0 O y w m c X V v d D t T Z W N 0 a W 9 u M S 9 S Z W 5 k a W N v b n R p Q 2 9 u d m F s a W R h d G l C T C 9 B d X R v U m V t b 3 Z l Z E N v b H V t b n M x L n t W Y W x 1 Z S 5 m b G F 0 U m F 0 Z S w 1 f S Z x d W 9 0 O y w m c X V v d D t T Z W N 0 a W 9 u M S 9 S Z W 5 k a W N v b n R p Q 2 9 u d m F s a W R h d G l C T C 9 B d X R v U m V t b 3 Z l Z E N v b H V t b n M x L n t W Y W x 1 Z S 5 0 b 3 R h b E V s a W d p Y m x l Q n V k Z 2 V 0 L D Z 9 J n F 1 b 3 Q 7 L C Z x d W 9 0 O 1 N l Y 3 R p b 2 4 x L 1 J l b m R p Y 2 9 u d G l D b 2 5 2 Y W x p Z G F 0 a U J M L 0 F 1 d G 9 S Z W 1 v d m V k Q 2 9 s d W 1 u c z E u e 1 Z h b H V l L n B y Z X Z p b 3 V z b H l S Z X B v c n R l Z C w 3 f S Z x d W 9 0 O y w m c X V v d D t T Z W N 0 a W 9 u M S 9 S Z W 5 k a W N v b n R p Q 2 9 u d m F s a W R h d G l C T C 9 B d X R v U m V t b 3 Z l Z E N v b H V t b n M x L n t W Y W x 1 Z S 5 w c m V 2 a W 9 1 c 2 x 5 U m V w b 3 J 0 Z W R Q Y X J r Z W Q s O H 0 m c X V v d D s s J n F 1 b 3 Q 7 U 2 V j d G l v b j E v U m V u Z G l j b 2 5 0 a U N v b n Z h b G l k Y X R p Q k w v Q X V 0 b 1 J l b W 9 2 Z W R D b 2 x 1 b W 5 z M S 5 7 V m F s d W U u Y 3 V y c m V u d F J l c G 9 y d C w 5 f S Z x d W 9 0 O y w m c X V v d D t T Z W N 0 a W 9 u M S 9 S Z W 5 k a W N v b n R p Q 2 9 u d m F s a W R h d G l C T C 9 B d X R v U m V t b 3 Z l Z E N v b H V t b n M x L n t W Y W x 1 Z S 5 j d X J y Z W 5 0 U m V w b 3 J 0 U m V J b m N s d W R l Z C w x M H 0 m c X V v d D s s J n F 1 b 3 Q 7 U 2 V j d G l v b j E v U m V u Z G l j b 2 5 0 a U N v b n Z h b G l k Y X R p Q k w v Q X V 0 b 1 J l b W 9 2 Z W R D b 2 x 1 b W 5 z M S 5 7 V m F s d W U u d G 9 0 Y W x F b G l n a W J s Z U F m d G V y Q 2 9 u d H J v b C w x M X 0 m c X V v d D s s J n F 1 b 3 Q 7 U 2 V j d G l v b j E v U m V u Z G l j b 2 5 0 a U N v b n Z h b G l k Y X R p Q k w v Q X V 0 b 1 J l b W 9 2 Z W R D b 2 x 1 b W 5 z M S 5 7 V m F s d W U u d G 9 0 Y W x S Z X B v c n R l Z F N v R m F y L D E y f S Z x d W 9 0 O y w m c X V v d D t T Z W N 0 a W 9 u M S 9 S Z W 5 k a W N v b n R p Q 2 9 u d m F s a W R h d G l C T C 9 B d X R v U m V t b 3 Z l Z E N v b H V t b n M x L n t W Y W x 1 Z S 5 0 b 3 R h b F J l c G 9 y d G V k U 2 9 G Y X J Q Z X J j Z W 5 0 Y W d l L D E z f S Z x d W 9 0 O y w m c X V v d D t T Z W N 0 a W 9 u M S 9 S Z W 5 k a W N v b n R p Q 2 9 u d m F s a W R h d G l C T C 9 B d X R v U m V t b 3 Z l Z E N v b H V t b n M x L n t W Y W x 1 Z S 5 y Z W 1 h a W 5 p b m d C d W R n Z X Q s M T R 9 J n F 1 b 3 Q 7 L C Z x d W 9 0 O 1 N l Y 3 R p b 2 4 x L 1 J l b m R p Y 2 9 u d G l D b 2 5 2 Y W x p Z G F 0 a U J M L 0 F 1 d G 9 S Z W 1 v d m V k Q 2 9 s d W 1 u c z E u e 1 Z h b H V l L n B y Z X Z p b 3 V z b H l W Y W x p Z G F 0 Z W Q s M T V 9 J n F 1 b 3 Q 7 X S w m c X V v d D t S Z W x h d G l v b n N o a X B J b m Z v J n F 1 b 3 Q 7 O l t d f S I v P j x F b n R y e S B U e X B l P S J S Z X N 1 b H R U e X B l I i B W Y W x 1 Z T 0 i c 1 R h Y m x l I i 8 + P E V u d H J 5 I F R 5 c G U 9 I k 5 h d m l n Y X R p b 2 5 T d G V w T m F t Z S I g V m F s d W U 9 I n N O Y X Z p Z 2 F 6 a W 9 u Z S I v P j x F b n R y e S B U e X B l P S J G a W x s T 2 J q Z W N 0 V H l w Z S I g V m F s d W U 9 I n N U Y W J s Z S I v P j x F b n R y e S B U e X B l P S J O Y W 1 l V X B k Y X R l Z E F m d G V y R m l s b C I g V m F s d W U 9 I m w w I i 8 + P E V u d H J 5 I F R 5 c G U 9 I k Z p b G x U Y X J n Z X Q i I F Z h b H V l P S J z U m V u Z G l j b 2 5 0 a U N v b n Z h b G l k Y X R p Q k w i L z 4 8 L 1 N 0 Y W J s Z U V u d H J p Z X M + P C 9 J d G V t P j x J d G V t P j x J d G V t T G 9 j Y X R p b 2 4 + P E l 0 Z W 1 U e X B l P k Z v c m 1 1 b G E 8 L 0 l 0 Z W 1 U e X B l P j x J d G V t U G F 0 a D 5 T Z W N 0 a W 9 u M S 9 G a W x l J T I w Z G k l M j B l c 2 V t c G l v J T I w K D Q 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U t M D Z U M T I 6 M j A 6 N T Y u O T I 3 N T Y 0 M 1 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M 4 Y W Q x M j M 0 Z i 0 y N W E z L T R k Y z A t Y m E 2 Z S 1 j Y T J i Z W I 3 Z D M 4 Y z Q i L z 4 8 R W 5 0 c n k g V H l w Z T 0 i U X V l c n l J R C I g V m F s d W U 9 I n M 3 N 2 J l M z E 2 N S 1 l M m M 5 L T R j O D U t O D A 1 Y i 1 j M 2 R h N W Q x Y 2 V l Y j I i L z 4 8 R W 5 0 c n k g V H l w Z T 0 i U m V z d W x 0 V H l w Z S I g V m F s d W U 9 I n N C a W 5 h c n k i L z 4 8 R W 5 0 c n k g V H l w Z T 0 i R m l s b E 9 i a m V j d F R 5 c G U i I F Z h b H V l P S J z Q 2 9 u b m V j d G l v b k 9 u b H k i L z 4 8 R W 5 0 c n k g V H l w Z T 0 i T m F t Z V V w Z G F 0 Z W R B Z n R l c k Z p b G w i I F Z h b H V l P S J s M S I v P j x F b n R y e S B U e X B l P S J M b 2 F k Z W R U b 0 F u Y W x 5 c 2 l z U 2 V y d m l j Z X M i I F Z h b H V l P S J s M C I v P j x F b n R y e S B U e X B l P S J M b 2 F k V G 9 S Z X B v c n R E a X N h Y m x l Z C I g V m F s d W U 9 I m w x I i 8 + P C 9 T d G F i b G V F b n R y a W V z P j w v S X R l b T 4 8 S X R l b T 4 8 S X R l b U x v Y 2 F 0 a W 9 u P j x J d G V t V H l w Z T 5 G b 3 J t d W x h P C 9 J d G V t V H l w Z T 4 8 S X R l b V B h d G g + U 2 V j d G l v b j E v U G F y Y W 1 l d H J v J T I w Z G V s J T I w Z m l s Z S U y M G R p J T I w Z X N l b X B p b z Q 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C 0 w N S 0 w N l Q x M j o y M D o 1 N i 4 5 N T M 1 N j Y y 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z h h Z D E y M z R m L T I 1 Y T M t N G R j M C 1 i Y T Z l L W N h M m J l Y j d k M z h j N C I v P j x F b n R y e S B U e X B l P S J R d W V y e U l E I i B W Y W x 1 Z T 0 i c 2 Q w M G I w N z A 3 L W Y 4 M m M t N D M z M i 1 i N D l l L T B i M z I z M m I 3 Y W M y Z C I v P j x F b n R y e S B U e X B l P S J S Z X N 1 b H R U e X B l I i B W Y W x 1 Z T 0 i c 0 J p b m F y e S I v P j x F b n R y e S B U e X B l P S J G a W x s T 2 J q Z W N 0 V H l w Z S I g V m F s d W U 9 I n N D b 2 5 u Z W N 0 a W 9 u T 2 5 s e S I v P j x F b n R y e S B U e X B l P S J M b 2 F k V G 9 S Z X B v c n R E a X N h Y m x l Z C I g V m F s d W U 9 I m w x I i 8 + P C 9 T d G F i b G V F b n R y a W V z P j w v S X R l b T 4 8 S X R l b T 4 8 S X R l b U x v Y 2 F 0 a W 9 u P j x J d G V t V H l w Z T 5 G b 3 J t d W x h P C 9 J d G V t V H l w Z T 4 8 S X R l b V B h d G g + U 2 V j d G l v b j E v V H J h c 2 Z v c m 1 h J T I w Z m l s Z S U y M G R p J T I w Z X N l b X B p b y U y M G R h J T I w U m V u Z G l j b 2 5 0 a U N v b n Z h b G l k Y X R p Q k w 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C 0 w N S 0 w N l Q x M j o y M D o 1 N i 4 5 O T I 1 N j Y 5 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z l l N 2 U 0 N 2 Q 2 L W M 1 N 2 I t N D F h Y i 0 4 N G V k L T I 5 N D E 4 M j c 4 N 2 E 2 M i I v P j x F b n R y e S B U e X B l P S J R d W V y e U l E I i B W Y W x 1 Z T 0 i c z h h M G N i N D E 5 L W Y 4 O G I t N D M w Y S 0 5 Y m N k L T c x O G Q w N T k 2 Z D c 1 O C I v P j x F b n R y e S B U e X B l P S J S Z X N 1 b H R U e X B l I i B W Y W x 1 Z T 0 i c 1 R h Y m x l I i 8 + P E V u d H J 5 I F R 5 c G U 9 I k Z p b G x P Y m p l Y 3 R U e X B l I i B W Y W x 1 Z T 0 i c 0 N v b m 5 l Y 3 R p b 2 5 P b m x 5 I i 8 + P E V u d H J 5 I F R 5 c G U 9 I k 5 h b W V V c G R h d G V k Q W Z 0 Z X J G a W x s I i B W Y W x 1 Z T 0 i b D E i L z 4 8 R W 5 0 c n k g V H l w Z T 0 i T G 9 h Z F R v U m V w b 3 J 0 R G l z Y W J s Z W Q i I F Z h b H V l P S J s M S I v P j w v U 3 R h Y m x l R W 5 0 c m l l c z 4 8 L 0 l 0 Z W 0 + P E l 0 Z W 0 + P E l 0 Z W 1 M b 2 N h d G l v b j 4 8 S X R l b V R 5 c G U + R m 9 y b X V s Y T w v S X R l b V R 5 c G U + P E l 0 Z W 1 Q Y X R o P l N l Y 3 R p b 2 4 x L 1 R y Y X N m b 3 J t Y S U y M G Z p b G U l M j B k Y S U y M F J l b m R p Y 2 9 u d G l D b 2 5 2 Y W x p Z G F 0 a U J M 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U t M D Z U M T I 6 M j A 6 N T c u M D E 1 N T Y z N F 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M 5 Z T d l N D d k N i 1 j N T d i L T Q x Y W I t O D R l Z C 0 y O T Q x O D I 3 O D d h N j I i L z 4 8 R W 5 0 c n k g V H l w Z T 0 i U X V l c n l J R C I g V m F s d W U 9 I n N i Y 2 J l Z j k 3 M i 1 j M z k 1 L T R k Y z Y t O D B m O C 0 x Y z F k N 2 R h Z j l k N W Q i L z 4 8 R W 5 0 c n k g V H l w Z T 0 i U m V z d W x 0 V H l w Z S I g V m F s d W U 9 I n N G d W 5 j d G l v b i I v P j x F b n R y e S B U e X B l P S J G a W x s T 2 J q Z W N 0 V H l w Z S I g V m F s d W U 9 I n N D b 2 5 u Z W N 0 a W 9 u T 2 5 s e S I v P j x F b n R y e S B U e X B l P S J M b 2 F k V G 9 S Z X B v c n R E a X N h Y m x l Z C I g V m F s d W U 9 I m w x I i 8 + P C 9 T d G F i b G V F b n R y a W V z P j w v S X R l b T 4 8 S X R l b T 4 8 S X R l b U x v Y 2 F 0 a W 9 u P j x J d G V t V H l w Z T 5 G b 3 J t d W x h P C 9 J d G V t V H l w Z T 4 8 S X R l b V B h d G g + U 2 V j d G l v b j E v U 3 B l c 2 U l M j B T b 3 B z Z X N l P C 9 J d G V t U G F 0 a D 4 8 L 0 l 0 Z W 1 M b 2 N h d G l v b j 4 8 U 3 R h Y m x l R W 5 0 c m l l c z 4 8 R W 5 0 c n k g V H l w Z T 0 i Q W R k Z W R U b 0 R h d G F N b 2 R l b C I g V m F s d W U 9 I m w w I i 8 + P E V u d H J 5 I F R 5 c G U 9 I k J 1 Z m Z l c k 5 l e H R S Z W Z y Z X N o I i B W Y W x 1 Z T 0 i b D E i L z 4 8 R W 5 0 c n k g V H l w Z T 0 i R m l s b E N v d W 5 0 I i B W Y W x 1 Z T 0 i b D E 0 O D A i L z 4 8 R W 5 0 c n k g V H l w Z T 0 i R m l s b E V u Y W J s Z W Q i I F Z h b H V l P S J s M S I v P j x F b n R y e S B U e X B l P S J G a W x s R X J y b 3 J D b 2 R l I i B W Y W x 1 Z T 0 i c 1 V u a 2 5 v d 2 4 i L z 4 8 R W 5 0 c n k g V H l w Z T 0 i R m l s b E V y c m 9 y Q 2 9 1 b n Q i I F Z h b H V l P S J s M C I v P j x F b n R y e S B U e X B l P S J G a W x s T G F z d F V w Z G F 0 Z W Q i I F Z h b H V l P S J k M j A y N C 0 w N y 0 w M l Q x M z o x N j o 1 O C 4 1 N T c 3 M z E z W i I v P j x F b n R y e S B U e X B l P S J G a W x s Q 2 9 s d W 1 u V H l w Z X M i I F Z h b H V l P S J z Q m d Z R E F 3 W U Y i L z 4 8 R W 5 0 c n k g V H l w Z T 0 i R m l s b E N v b H V t b k 5 h b W V z I i B W Y W x 1 Z T 0 i c 1 s m c X V v d D t B a 3 J v b m l t I H B y b 2 p l Y 3 Q m c X V v d D s s J n F 1 b 3 Q 7 Q W t y b 2 5 p b S B w Y X J 0 b m V y J n F 1 b 3 Q 7 L C Z x d W 9 0 O 2 l k I H B h c n R u Z X I m c X V v d D s s J n F 1 b 3 Q 7 a W Q g c m V w b 3 J 0 J n F 1 b 3 Q 7 L C Z x d W 9 0 O 0 5 h b W U m c X V v d D s s J n F 1 b 3 Q 7 V m F s d W U 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E x N j h j Z W I 2 L T E 1 N z E t N G Q 5 M i 1 i Z G M 3 L W J m N T c x M m J k Z T Y 1 O C I v P j x F b n R y e S B U e X B l P S J S Z W N v d m V y e V R h c m d l d E N v b H V t b i I g V m F s d W U 9 I m w x I i 8 + P E V u d H J 5 I F R 5 c G U 9 I l J l Y 2 9 2 Z X J 5 V G F y Z 2 V 0 U m 9 3 I i B W Y W x 1 Z T 0 i b D E i L z 4 8 R W 5 0 c n k g V H l w Z T 0 i U m V j b 3 Z l c n l U Y X J n Z X R T a G V l d C I g V m F s d W U 9 I n N G b 2 d s a W 8 z I i 8 + P E V u d H J 5 I F R 5 c G U 9 I l J l b G F 0 a W 9 u c 2 h p c E l u Z m 9 D b 2 5 0 Y W l u Z X I i I F Z h b H V l P S J z e y Z x d W 9 0 O 2 N v b H V t b k N v d W 5 0 J n F 1 b 3 Q 7 O j Y s J n F 1 b 3 Q 7 a 2 V 5 Q 2 9 s d W 1 u T m F t Z X M m c X V v d D s 6 W 1 0 s J n F 1 b 3 Q 7 c X V l c n l S Z W x h d G l v b n N o a X B z J n F 1 b 3 Q 7 O l t d L C Z x d W 9 0 O 2 N v b H V t b k l k Z W 5 0 a X R p Z X M m c X V v d D s 6 W y Z x d W 9 0 O 1 N l Y 3 R p b 2 4 x L 1 N w Z X N l I F N v c H N l c 2 U v Q X V 0 b 1 J l b W 9 2 Z W R D b 2 x 1 b W 5 z M S 5 7 Q W t y b 2 5 p b S B w c m 9 q Z W N 0 L D B 9 J n F 1 b 3 Q 7 L C Z x d W 9 0 O 1 N l Y 3 R p b 2 4 x L 1 N w Z X N l I F N v c H N l c 2 U v Q X V 0 b 1 J l b W 9 2 Z W R D b 2 x 1 b W 5 z M S 5 7 Q W t y b 2 5 p b S B w Y X J 0 b m V y L D F 9 J n F 1 b 3 Q 7 L C Z x d W 9 0 O 1 N l Y 3 R p b 2 4 x L 1 N w Z X N l I F N v c H N l c 2 U v Q X V 0 b 1 J l b W 9 2 Z W R D b 2 x 1 b W 5 z M S 5 7 a W Q g c G F y d G 5 l c i w y f S Z x d W 9 0 O y w m c X V v d D t T Z W N 0 a W 9 u M S 9 T c G V z Z S B T b 3 B z Z X N l L 0 F 1 d G 9 S Z W 1 v d m V k Q 2 9 s d W 1 u c z E u e 2 l k I H J l c G 9 y d C w z f S Z x d W 9 0 O y w m c X V v d D t T Z W N 0 a W 9 u M S 9 T c G V z Z S B T b 3 B z Z X N l L 0 F 1 d G 9 S Z W 1 v d m V k Q 2 9 s d W 1 u c z E u e 0 5 h b W U s N H 0 m c X V v d D s s J n F 1 b 3 Q 7 U 2 V j d G l v b j E v U 3 B l c 2 U g U 2 9 w c 2 V z Z S 9 B d X R v U m V t b 3 Z l Z E N v b H V t b n M x L n t W Y W x 1 Z S w 1 f S Z x d W 9 0 O 1 0 s J n F 1 b 3 Q 7 Q 2 9 s d W 1 u Q 2 9 1 b n Q m c X V v d D s 6 N i w m c X V v d D t L Z X l D b 2 x 1 b W 5 O Y W 1 l c y Z x d W 9 0 O z p b X S w m c X V v d D t D b 2 x 1 b W 5 J Z G V u d G l 0 a W V z J n F 1 b 3 Q 7 O l s m c X V v d D t T Z W N 0 a W 9 u M S 9 T c G V z Z S B T b 3 B z Z X N l L 0 F 1 d G 9 S Z W 1 v d m V k Q 2 9 s d W 1 u c z E u e 0 F r c m 9 u a W 0 g c H J v a m V j d C w w f S Z x d W 9 0 O y w m c X V v d D t T Z W N 0 a W 9 u M S 9 T c G V z Z S B T b 3 B z Z X N l L 0 F 1 d G 9 S Z W 1 v d m V k Q 2 9 s d W 1 u c z E u e 0 F r c m 9 u a W 0 g c G F y d G 5 l c i w x f S Z x d W 9 0 O y w m c X V v d D t T Z W N 0 a W 9 u M S 9 T c G V z Z S B T b 3 B z Z X N l L 0 F 1 d G 9 S Z W 1 v d m V k Q 2 9 s d W 1 u c z E u e 2 l k I H B h c n R u Z X I s M n 0 m c X V v d D s s J n F 1 b 3 Q 7 U 2 V j d G l v b j E v U 3 B l c 2 U g U 2 9 w c 2 V z Z S 9 B d X R v U m V t b 3 Z l Z E N v b H V t b n M x L n t p Z C B y Z X B v c n Q s M 3 0 m c X V v d D s s J n F 1 b 3 Q 7 U 2 V j d G l v b j E v U 3 B l c 2 U g U 2 9 w c 2 V z Z S 9 B d X R v U m V t b 3 Z l Z E N v b H V t b n M x L n t O Y W 1 l L D R 9 J n F 1 b 3 Q 7 L C Z x d W 9 0 O 1 N l Y 3 R p b 2 4 x L 1 N w Z X N l I F N v c H N l c 2 U v Q X V 0 b 1 J l b W 9 2 Z W R D b 2 x 1 b W 5 z M S 5 7 V m F s d W U s N X 0 m c X V v d D t d L C Z x d W 9 0 O 1 J l b G F 0 a W 9 u c 2 h p c E l u Z m 8 m c X V v d D s 6 W 1 1 9 I i 8 + P E V u d H J 5 I F R 5 c G U 9 I l J l c 3 V s d F R 5 c G U i I F Z h b H V l P S J z V G F i b G U i L z 4 8 R W 5 0 c n k g V H l w Z T 0 i T m F 2 a W d h d G l v b l N 0 Z X B O Y W 1 l I i B W Y W x 1 Z T 0 i c 0 5 h d m l n Y X p p b 2 5 l I i 8 + P E V u d H J 5 I F R 5 c G U 9 I k Z p b G x P Y m p l Y 3 R U e X B l I i B W Y W x 1 Z T 0 i c 1 R h Y m x l I i 8 + P E V u d H J 5 I F R 5 c G U 9 I k 5 h b W V V c G R h d G V k Q W Z 0 Z X J G a W x s I i B W Y W x 1 Z T 0 i b D A i L z 4 8 R W 5 0 c n k g V H l w Z T 0 i R m l s b F R h c m d l d C I g V m F s d W U 9 I n N T c G V z Z V 9 T b 3 B z Z X N l I i 8 + P C 9 T d G F i b G V F b n R y a W V z P j w v S X R l b T 4 8 S X R l b T 4 8 S X R l b U x v Y 2 F 0 a W 9 u P j x J d G V t V H l w Z T 5 G b 3 J t d W x h P C 9 J d G V t V H l w Z T 4 8 S X R l b V B h d G g + U 2 V j d G l v b j E v R m l s Z S U y M G R p J T I w Z X N l b X B p b y U y M C g 1 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0 L T A 1 L T A 3 V D A 2 O j M 2 O j I 1 L j E 2 O D g 3 M D B 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O D U 1 M m Y 5 Y W Y t M G I 3 Y S 0 0 N D R k L T g 4 N W M t Z T U y O G Q x O W I y N z h k I i 8 + P E V u d H J 5 I F R 5 c G U 9 I l F 1 Z X J 5 S U Q i I F Z h b H V l P S J z Y z I 5 M T E 1 Y z M t N 2 R k N i 0 0 Y j l i L T k 5 N j E t N G E 0 Y j A 0 N z M 3 O D I 4 I i 8 + P E V u d H J 5 I F R 5 c G U 9 I l J l c 3 V s d F R 5 c G U i I F Z h b H V l P S J z Q m l u Y X J 5 I i 8 + P E V u d H J 5 I F R 5 c G U 9 I k Z p b G x P Y m p l Y 3 R U e X B l I i B W Y W x 1 Z T 0 i c 0 N v b m 5 l Y 3 R p b 2 5 P b m x 5 I i 8 + P E V u d H J 5 I F R 5 c G U 9 I k 5 h b W V V c G R h d G V k Q W Z 0 Z X J G a W x s I i B W Y W x 1 Z T 0 i b D E i L z 4 8 R W 5 0 c n k g V H l w Z T 0 i T G 9 h Z G V k V G 9 B b m F s e X N p c 1 N l c n Z p Y 2 V z I i B W Y W x 1 Z T 0 i b D A i L z 4 8 R W 5 0 c n k g V H l w Z T 0 i T G 9 h Z F R v U m V w b 3 J 0 R G l z Y W J s Z W Q i I F Z h b H V l P S J s M S I v P j w v U 3 R h Y m x l R W 5 0 c m l l c z 4 8 L 0 l 0 Z W 0 + P E l 0 Z W 0 + P E l 0 Z W 1 M b 2 N h d G l v b j 4 8 S X R l b V R 5 c G U + R m 9 y b X V s Y T w v S X R l b V R 5 c G U + P E l 0 Z W 1 Q Y X R o P l N l Y 3 R p b 2 4 x L 1 B h c m F t Z X R y b y U y M G R l b C U y M G Z p b G U l M j B k a S U y M G V z Z W 1 w a W 8 1 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U t M D d U M D Y 6 M z Y 6 M j U u M T k 3 O D Y 2 N V 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M 4 N T U y Z j l h Z i 0 w Y j d h L T Q 0 N G Q t O D g 1 Y y 1 l N T I 4 Z D E 5 Y j I 3 O G Q i L z 4 8 R W 5 0 c n k g V H l w Z T 0 i U X V l c n l J R C I g V m F s d W U 9 I n M y N m M 2 N j Z i Z C 0 2 N z Z m L T R m Y z U t O T B j N S 1 l M G U z N z Z i N T A 1 Z T k i L z 4 8 R W 5 0 c n k g V H l w Z T 0 i U m V z d W x 0 V H l w Z S I g V m F s d W U 9 I n N C a W 5 h c n k i L z 4 8 R W 5 0 c n k g V H l w Z T 0 i R m l s b E 9 i a m V j d F R 5 c G U i I F Z h b H V l P S J z Q 2 9 u b m V j d G l v b k 9 u b H k i L z 4 8 R W 5 0 c n k g V H l w Z T 0 i T G 9 h Z F R v U m V w b 3 J 0 R G l z Y W J s Z W Q i I F Z h b H V l P S J s M S I v P j w v U 3 R h Y m x l R W 5 0 c m l l c z 4 8 L 0 l 0 Z W 0 + P E l 0 Z W 0 + P E l 0 Z W 1 M b 2 N h d G l v b j 4 8 S X R l b V R 5 c G U + R m 9 y b X V s Y T w v S X R l b V R 5 c G U + P E l 0 Z W 1 Q Y X R o P l N l Y 3 R p b 2 4 x L 1 R y Y X N m b 3 J t Y S U y M G Z p b G U l M j B k a S U y M G V z Z W 1 w a W 8 l M j B k Y S U y M F N w Z X N l J T I w U 2 9 w c 2 V z Z 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0 L T A 1 L T A 3 V D A 2 O j M 2 O j I 1 L j I 0 N T g 1 N D h 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Z D A z Z W I y O D g t Y T Q 3 Z C 0 0 M m I 3 L T g 4 Z j Y t N W F h M 2 Q z M W I 5 Z T g 3 I i 8 + P E V u d H J 5 I F R 5 c G U 9 I l F 1 Z X J 5 S U Q i I F Z h b H V l P S J z M G Z k M G J l Z D Y t M T g 1 O S 0 0 Y z g z L T l m O G U t Y m Q 2 M T k x Z D B k Z j k 2 I i 8 + P E V u d H J 5 I F R 5 c G U 9 I l J l c 3 V s d F R 5 c G U i I F Z h b H V l P S J z V G F i b G U i L z 4 8 R W 5 0 c n k g V H l w Z T 0 i R m l s b E 9 i a m V j d F R 5 c G U i I F Z h b H V l P S J z Q 2 9 u b m V j d G l v b k 9 u b H k i L z 4 8 R W 5 0 c n k g V H l w Z T 0 i T m F t Z V V w Z G F 0 Z W R B Z n R l c k Z p b G w i I F Z h b H V l P S J s M S I v P j x F b n R y e S B U e X B l P S J M b 2 F k V G 9 S Z X B v c n R E a X N h Y m x l Z C I g V m F s d W U 9 I m w x I i 8 + P C 9 T d G F i b G V F b n R y a W V z P j w v S X R l b T 4 8 S X R l b T 4 8 S X R l b U x v Y 2 F 0 a W 9 u P j x J d G V t V H l w Z T 5 G b 3 J t d W x h P C 9 J d G V t V H l w Z T 4 8 S X R l b V B h d G g + U 2 V j d G l v b j E v V H J h c 2 Z v c m 1 h J T I w Z m l s Z S U y M G R h J T I w U 3 B l c 2 U l M j B T b 3 B z Z X N l 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U t M D d U M D Y 6 M z Y 6 M j U u M j Y 1 O D U w N F 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k M D N l Y j I 4 O C 1 h N D d k L T Q y Y j c t O D h m N i 0 1 Y W E z Z D M x Y j l l O D c i L z 4 8 R W 5 0 c n k g V H l w Z T 0 i U X V l c n l J R C I g V m F s d W U 9 I n M w Z G U 0 Y T I w O S 1 l Y z U x L T R m Y W Y t Y T M 0 N i 0 2 M W F l M T V i N D V j M z U i L z 4 8 R W 5 0 c n k g V H l w Z T 0 i U m V z d W x 0 V H l w Z S I g V m F s d W U 9 I n N G d W 5 j d G l v b i I v P j x F b n R y e S B U e X B l P S J G a W x s T 2 J q Z W N 0 V H l w Z S I g V m F s d W U 9 I n N D b 2 5 u Z W N 0 a W 9 u T 2 5 s e S I v P j x F b n R y e S B U e X B l P S J M b 2 F k V G 9 S Z X B v c n R E a X N h Y m x l Z C I g V m F s d W U 9 I m w x I i 8 + P C 9 T d G F i b G V F b n R y a W V z P j w v S X R l b T 4 8 S X R l b T 4 8 S X R l b U x v Y 2 F 0 a W 9 u P j x J d G V t V H l w Z T 5 G b 3 J t d W x h P C 9 J d G V t V H l w Z T 4 8 S X R l b V B h d G g + U 2 V j d G l v b j E v S V 9 N a W V p X 1 J l b m R p Y 2 9 u d G k 8 L 0 l 0 Z W 1 Q Y X R o P j w v S X R l b U x v Y 2 F 0 a W 9 u P j x T d G F i b G V F b n R y a W V z P j x F b n R y e S B U e X B l P S J B Z G R l Z F R v R G F 0 Y U 1 v Z G V s I i B W Y W x 1 Z T 0 i b D A i L z 4 8 R W 5 0 c n k g V H l w Z T 0 i Q n V m Z m V y T m V 4 d F J l Z n J l c 2 g i I F Z h b H V l P S J s M S I v P j x F b n R y e S B U e X B l P S J G a W x s Q 2 9 1 b n Q i I F Z h b H V l P S J s M T c y I i 8 + P E V u d H J 5 I F R 5 c G U 9 I k Z p b G x F b m F i b G V k I i B W Y W x 1 Z T 0 i b D E i L z 4 8 R W 5 0 c n k g V H l w Z T 0 i R m l s b E V y c m 9 y Q 2 9 k Z S I g V m F s d W U 9 I n N V b m t u b 3 d u I i 8 + P E V u d H J 5 I F R 5 c G U 9 I k Z p b G x F c n J v c k N v d W 5 0 I i B W Y W x 1 Z T 0 i b D A i L z 4 8 R W 5 0 c n k g V H l w Z T 0 i R m l s b E x h c 3 R V c G R h d G V k I i B W Y W x 1 Z T 0 i Z D I w M j Q t M D c t M j V U M D g 6 N T Q 6 N D Y u N j I 5 N j Q 4 M F o i L z 4 8 R W 5 0 c n k g V H l w Z T 0 i R m l s b E N v b H V t b l R 5 c G V z I i B W Y W x 1 Z T 0 i c 0 F B Q U F B Q U F B Q m d B Q U F B Z 0 F D Q U F B Q U F B Q U F B Q U F B Q T 0 9 I i 8 + P E V u d H J 5 I F R 5 c G U 9 I k Z p b G x D b 2 x 1 b W 5 O Y W 1 l c y I g V m F s d W U 9 I n N b J n F 1 b 3 Q 7 Q 2 9 s d W 1 u M S 5 p Z C Z x d W 9 0 O y w m c X V v d D t D b 2 x 1 b W 4 x L n B y b 2 p l Y 3 R J Z C Z x d W 9 0 O y w m c X V v d D t D b 2 x 1 b W 4 x L n B h c n R u Z X J J Z C Z x d W 9 0 O y w m c X V v d D t D b 2 x 1 b W 4 x L n B y b 2 p l Y 3 R D d X N 0 b 2 1 J Z G V u d G l m a W V y J n F 1 b 3 Q 7 L C Z x d W 9 0 O 0 N v b H V t b j E u c G F y d G 5 l c l J v b G U m c X V v d D s s J n F 1 b 3 Q 7 Q 2 9 s d W 1 u M S 5 w Y X J 0 b m V y T n V t Y m V y J n F 1 b 3 Q 7 L C Z x d W 9 0 O 0 N v b H V t b j E u c G F y d G 5 l c k F i Y n J l d m l h d G l v b i Z x d W 9 0 O y w m c X V v d D t D b 2 x 1 b W 4 x L n J l c G 9 y d E 5 1 b W J l c i Z x d W 9 0 O y w m c X V v d D t D b 2 x 1 b W 4 x L n N 0 Y X R 1 c y Z x d W 9 0 O y w m c X V v d D t D b 2 x 1 b W 4 x L m x p b m t l Z E Z v c m 1 W Z X J z a W 9 u J n F 1 b 3 Q 7 L C Z x d W 9 0 O 0 N v b H V t b j E u Z m l y c 3 R T d W J t a X N z a W 9 u J n F 1 b 3 Q 7 L C Z x d W 9 0 O 0 N v b H V t b j E u b G F z d F J l U 3 V i b W l z c 2 l v b i Z x d W 9 0 O y w m c X V v d D t D b 2 x 1 b W 4 x L m N v b n R y b 2 x F b m Q m c X V v d D s s J n F 1 b 3 Q 7 Q 2 9 s d W 1 u M S 5 j c m V h d G V k Q X Q m c X V v d D s s J n F 1 b 3 Q 7 Q 2 9 s d W 1 u M S 5 z d G F y d E R h d G U m c X V v d D s s J n F 1 b 3 Q 7 Q 2 9 s d W 1 u M S 5 l b m R E Y X R l J n F 1 b 3 Q 7 L C Z x d W 9 0 O 0 N v b H V t b j E u c G V y a W 9 k R G V 0 Y W l s J n F 1 b 3 Q 7 L C Z x d W 9 0 O 0 N v b H V t b j E u c H J v a m V j d F J l c G 9 y d E l k J n F 1 b 3 Q 7 L C Z x d W 9 0 O 0 N v b H V t b j E u c H J v a m V j d F J l c G 9 y d E 5 1 b W J l c i Z x d W 9 0 O y w m c X V v d D t D b 2 x 1 b W 4 x L n R v d G F s R W x p Z 2 l i b G V B Z n R l c k N v b n R y b 2 w m c X V v d D s s J n F 1 b 3 Q 7 Q 2 9 s d W 1 u M S 5 0 b 3 R h b E F m d G V y U 3 V i b W l 0 d G V k J n F 1 b 3 Q 7 L C Z x d W 9 0 O 0 N v b H V t b j E u Z G V s Z X R h Y m x l 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5 M D k w N 2 N j M i 0 y Y j Y 0 L T R i M 2 M t Y T g 3 O S 1 i N D Q 0 O G Q 4 Z D c z Y j I i L z 4 8 R W 5 0 c n k g V H l w Z T 0 i U m V s Y X R p b 2 5 z a G l w S W 5 m b 0 N v b n R h a W 5 l c i I g V m F s d W U 9 I n N 7 J n F 1 b 3 Q 7 Y 2 9 s d W 1 u Q 2 9 1 b n Q m c X V v d D s 6 M j I s J n F 1 b 3 Q 7 a 2 V 5 Q 2 9 s d W 1 u T m F t Z X M m c X V v d D s 6 W 1 0 s J n F 1 b 3 Q 7 c X V l c n l S Z W x h d G l v b n N o a X B z J n F 1 b 3 Q 7 O l t d L C Z x d W 9 0 O 2 N v b H V t b k l k Z W 5 0 a X R p Z X M m c X V v d D s 6 W y Z x d W 9 0 O 1 N l Y 3 R p b 2 4 x L 0 l f T W l l a V 9 S Z W 5 k a W N v b n R p L 0 F 1 d G 9 S Z W 1 v d m V k Q 2 9 s d W 1 u c z E u e 0 N v b H V t b j E u a W Q s M H 0 m c X V v d D s s J n F 1 b 3 Q 7 U 2 V j d G l v b j E v S V 9 N a W V p X 1 J l b m R p Y 2 9 u d G k v Q X V 0 b 1 J l b W 9 2 Z W R D b 2 x 1 b W 5 z M S 5 7 Q 2 9 s d W 1 u M S 5 w c m 9 q Z W N 0 S W Q s M X 0 m c X V v d D s s J n F 1 b 3 Q 7 U 2 V j d G l v b j E v S V 9 N a W V p X 1 J l b m R p Y 2 9 u d G k v Q X V 0 b 1 J l b W 9 2 Z W R D b 2 x 1 b W 5 z M S 5 7 Q 2 9 s d W 1 u M S 5 w Y X J 0 b m V y S W Q s M n 0 m c X V v d D s s J n F 1 b 3 Q 7 U 2 V j d G l v b j E v S V 9 N a W V p X 1 J l b m R p Y 2 9 u d G k v Q X V 0 b 1 J l b W 9 2 Z W R D b 2 x 1 b W 5 z M S 5 7 Q 2 9 s d W 1 u M S 5 w c m 9 q Z W N 0 Q 3 V z d G 9 t S W R l b n R p Z m l l c i w z f S Z x d W 9 0 O y w m c X V v d D t T Z W N 0 a W 9 u M S 9 J X 0 1 p Z W l f U m V u Z G l j b 2 5 0 a S 9 B d X R v U m V t b 3 Z l Z E N v b H V t b n M x L n t D b 2 x 1 b W 4 x L n B h c n R u Z X J S b 2 x l L D R 9 J n F 1 b 3 Q 7 L C Z x d W 9 0 O 1 N l Y 3 R p b 2 4 x L 0 l f T W l l a V 9 S Z W 5 k a W N v b n R p L 0 F 1 d G 9 S Z W 1 v d m V k Q 2 9 s d W 1 u c z E u e 0 N v b H V t b j E u c G F y d G 5 l c k 5 1 b W J l c i w 1 f S Z x d W 9 0 O y w m c X V v d D t T Z W N 0 a W 9 u M S 9 J X 0 1 p Z W l f U m V u Z G l j b 2 5 0 a S 9 B d X R v U m V t b 3 Z l Z E N v b H V t b n M x L n t D b 2 x 1 b W 4 x L n B h c n R u Z X J B Y m J y Z X Z p Y X R p b 2 4 s N n 0 m c X V v d D s s J n F 1 b 3 Q 7 U 2 V j d G l v b j E v S V 9 N a W V p X 1 J l b m R p Y 2 9 u d G k v Q X V 0 b 1 J l b W 9 2 Z W R D b 2 x 1 b W 5 z M S 5 7 Q 2 9 s d W 1 u M S 5 y Z X B v c n R O d W 1 i Z X I s N 3 0 m c X V v d D s s J n F 1 b 3 Q 7 U 2 V j d G l v b j E v S V 9 N a W V p X 1 J l b m R p Y 2 9 u d G k v Q X V 0 b 1 J l b W 9 2 Z W R D b 2 x 1 b W 5 z M S 5 7 Q 2 9 s d W 1 u M S 5 z d G F 0 d X M s O H 0 m c X V v d D s s J n F 1 b 3 Q 7 U 2 V j d G l v b j E v S V 9 N a W V p X 1 J l b m R p Y 2 9 u d G k v Q X V 0 b 1 J l b W 9 2 Z W R D b 2 x 1 b W 5 z M S 5 7 Q 2 9 s d W 1 u M S 5 s a W 5 r Z W R G b 3 J t V m V y c 2 l v b i w 5 f S Z x d W 9 0 O y w m c X V v d D t T Z W N 0 a W 9 u M S 9 J X 0 1 p Z W l f U m V u Z G l j b 2 5 0 a S 9 B d X R v U m V t b 3 Z l Z E N v b H V t b n M x L n t D b 2 x 1 b W 4 x L m Z p c n N 0 U 3 V i b W l z c 2 l v b i w x M H 0 m c X V v d D s s J n F 1 b 3 Q 7 U 2 V j d G l v b j E v S V 9 N a W V p X 1 J l b m R p Y 2 9 u d G k v Q X V 0 b 1 J l b W 9 2 Z W R D b 2 x 1 b W 5 z M S 5 7 Q 2 9 s d W 1 u M S 5 s Y X N 0 U m V T d W J t a X N z a W 9 u L D E x f S Z x d W 9 0 O y w m c X V v d D t T Z W N 0 a W 9 u M S 9 J X 0 1 p Z W l f U m V u Z G l j b 2 5 0 a S 9 B d X R v U m V t b 3 Z l Z E N v b H V t b n M x L n t D b 2 x 1 b W 4 x L m N v b n R y b 2 x F b m Q s M T J 9 J n F 1 b 3 Q 7 L C Z x d W 9 0 O 1 N l Y 3 R p b 2 4 x L 0 l f T W l l a V 9 S Z W 5 k a W N v b n R p L 0 F 1 d G 9 S Z W 1 v d m V k Q 2 9 s d W 1 u c z E u e 0 N v b H V t b j E u Y 3 J l Y X R l Z E F 0 L D E z f S Z x d W 9 0 O y w m c X V v d D t T Z W N 0 a W 9 u M S 9 J X 0 1 p Z W l f U m V u Z G l j b 2 5 0 a S 9 B d X R v U m V t b 3 Z l Z E N v b H V t b n M x L n t D b 2 x 1 b W 4 x L n N 0 Y X J 0 R G F 0 Z S w x N H 0 m c X V v d D s s J n F 1 b 3 Q 7 U 2 V j d G l v b j E v S V 9 N a W V p X 1 J l b m R p Y 2 9 u d G k v Q X V 0 b 1 J l b W 9 2 Z W R D b 2 x 1 b W 5 z M S 5 7 Q 2 9 s d W 1 u M S 5 l b m R E Y X R l L D E 1 f S Z x d W 9 0 O y w m c X V v d D t T Z W N 0 a W 9 u M S 9 J X 0 1 p Z W l f U m V u Z G l j b 2 5 0 a S 9 B d X R v U m V t b 3 Z l Z E N v b H V t b n M x L n t D b 2 x 1 b W 4 x L n B l c m l v Z E R l d G F p b C w x N n 0 m c X V v d D s s J n F 1 b 3 Q 7 U 2 V j d G l v b j E v S V 9 N a W V p X 1 J l b m R p Y 2 9 u d G k v Q X V 0 b 1 J l b W 9 2 Z W R D b 2 x 1 b W 5 z M S 5 7 Q 2 9 s d W 1 u M S 5 w c m 9 q Z W N 0 U m V w b 3 J 0 S W Q s M T d 9 J n F 1 b 3 Q 7 L C Z x d W 9 0 O 1 N l Y 3 R p b 2 4 x L 0 l f T W l l a V 9 S Z W 5 k a W N v b n R p L 0 F 1 d G 9 S Z W 1 v d m V k Q 2 9 s d W 1 u c z E u e 0 N v b H V t b j E u c H J v a m V j d F J l c G 9 y d E 5 1 b W J l c i w x O H 0 m c X V v d D s s J n F 1 b 3 Q 7 U 2 V j d G l v b j E v S V 9 N a W V p X 1 J l b m R p Y 2 9 u d G k v Q X V 0 b 1 J l b W 9 2 Z W R D b 2 x 1 b W 5 z M S 5 7 Q 2 9 s d W 1 u M S 5 0 b 3 R h b E V s a W d p Y m x l Q W Z 0 Z X J D b 2 5 0 c m 9 s L D E 5 f S Z x d W 9 0 O y w m c X V v d D t T Z W N 0 a W 9 u M S 9 J X 0 1 p Z W l f U m V u Z G l j b 2 5 0 a S 9 B d X R v U m V t b 3 Z l Z E N v b H V t b n M x L n t D b 2 x 1 b W 4 x L n R v d G F s Q W Z 0 Z X J T d W J t a X R 0 Z W Q s M j B 9 J n F 1 b 3 Q 7 L C Z x d W 9 0 O 1 N l Y 3 R p b 2 4 x L 0 l f T W l l a V 9 S Z W 5 k a W N v b n R p L 0 F 1 d G 9 S Z W 1 v d m V k Q 2 9 s d W 1 u c z E u e 0 N v b H V t b j E u Z G V s Z X R h Y m x l L D I x f S Z x d W 9 0 O 1 0 s J n F 1 b 3 Q 7 Q 2 9 s d W 1 u Q 2 9 1 b n Q m c X V v d D s 6 M j I s J n F 1 b 3 Q 7 S 2 V 5 Q 2 9 s d W 1 u T m F t Z X M m c X V v d D s 6 W 1 0 s J n F 1 b 3 Q 7 Q 2 9 s d W 1 u S W R l b n R p d G l l c y Z x d W 9 0 O z p b J n F 1 b 3 Q 7 U 2 V j d G l v b j E v S V 9 N a W V p X 1 J l b m R p Y 2 9 u d G k v Q X V 0 b 1 J l b W 9 2 Z W R D b 2 x 1 b W 5 z M S 5 7 Q 2 9 s d W 1 u M S 5 p Z C w w f S Z x d W 9 0 O y w m c X V v d D t T Z W N 0 a W 9 u M S 9 J X 0 1 p Z W l f U m V u Z G l j b 2 5 0 a S 9 B d X R v U m V t b 3 Z l Z E N v b H V t b n M x L n t D b 2 x 1 b W 4 x L n B y b 2 p l Y 3 R J Z C w x f S Z x d W 9 0 O y w m c X V v d D t T Z W N 0 a W 9 u M S 9 J X 0 1 p Z W l f U m V u Z G l j b 2 5 0 a S 9 B d X R v U m V t b 3 Z l Z E N v b H V t b n M x L n t D b 2 x 1 b W 4 x L n B h c n R u Z X J J Z C w y f S Z x d W 9 0 O y w m c X V v d D t T Z W N 0 a W 9 u M S 9 J X 0 1 p Z W l f U m V u Z G l j b 2 5 0 a S 9 B d X R v U m V t b 3 Z l Z E N v b H V t b n M x L n t D b 2 x 1 b W 4 x L n B y b 2 p l Y 3 R D d X N 0 b 2 1 J Z G V u d G l m a W V y L D N 9 J n F 1 b 3 Q 7 L C Z x d W 9 0 O 1 N l Y 3 R p b 2 4 x L 0 l f T W l l a V 9 S Z W 5 k a W N v b n R p L 0 F 1 d G 9 S Z W 1 v d m V k Q 2 9 s d W 1 u c z E u e 0 N v b H V t b j E u c G F y d G 5 l c l J v b G U s N H 0 m c X V v d D s s J n F 1 b 3 Q 7 U 2 V j d G l v b j E v S V 9 N a W V p X 1 J l b m R p Y 2 9 u d G k v Q X V 0 b 1 J l b W 9 2 Z W R D b 2 x 1 b W 5 z M S 5 7 Q 2 9 s d W 1 u M S 5 w Y X J 0 b m V y T n V t Y m V y L D V 9 J n F 1 b 3 Q 7 L C Z x d W 9 0 O 1 N l Y 3 R p b 2 4 x L 0 l f T W l l a V 9 S Z W 5 k a W N v b n R p L 0 F 1 d G 9 S Z W 1 v d m V k Q 2 9 s d W 1 u c z E u e 0 N v b H V t b j E u c G F y d G 5 l c k F i Y n J l d m l h d G l v b i w 2 f S Z x d W 9 0 O y w m c X V v d D t T Z W N 0 a W 9 u M S 9 J X 0 1 p Z W l f U m V u Z G l j b 2 5 0 a S 9 B d X R v U m V t b 3 Z l Z E N v b H V t b n M x L n t D b 2 x 1 b W 4 x L n J l c G 9 y d E 5 1 b W J l c i w 3 f S Z x d W 9 0 O y w m c X V v d D t T Z W N 0 a W 9 u M S 9 J X 0 1 p Z W l f U m V u Z G l j b 2 5 0 a S 9 B d X R v U m V t b 3 Z l Z E N v b H V t b n M x L n t D b 2 x 1 b W 4 x L n N 0 Y X R 1 c y w 4 f S Z x d W 9 0 O y w m c X V v d D t T Z W N 0 a W 9 u M S 9 J X 0 1 p Z W l f U m V u Z G l j b 2 5 0 a S 9 B d X R v U m V t b 3 Z l Z E N v b H V t b n M x L n t D b 2 x 1 b W 4 x L m x p b m t l Z E Z v c m 1 W Z X J z a W 9 u L D l 9 J n F 1 b 3 Q 7 L C Z x d W 9 0 O 1 N l Y 3 R p b 2 4 x L 0 l f T W l l a V 9 S Z W 5 k a W N v b n R p L 0 F 1 d G 9 S Z W 1 v d m V k Q 2 9 s d W 1 u c z E u e 0 N v b H V t b j E u Z m l y c 3 R T d W J t a X N z a W 9 u L D E w f S Z x d W 9 0 O y w m c X V v d D t T Z W N 0 a W 9 u M S 9 J X 0 1 p Z W l f U m V u Z G l j b 2 5 0 a S 9 B d X R v U m V t b 3 Z l Z E N v b H V t b n M x L n t D b 2 x 1 b W 4 x L m x h c 3 R S Z V N 1 Y m 1 p c 3 N p b 2 4 s M T F 9 J n F 1 b 3 Q 7 L C Z x d W 9 0 O 1 N l Y 3 R p b 2 4 x L 0 l f T W l l a V 9 S Z W 5 k a W N v b n R p L 0 F 1 d G 9 S Z W 1 v d m V k Q 2 9 s d W 1 u c z E u e 0 N v b H V t b j E u Y 2 9 u d H J v b E V u Z C w x M n 0 m c X V v d D s s J n F 1 b 3 Q 7 U 2 V j d G l v b j E v S V 9 N a W V p X 1 J l b m R p Y 2 9 u d G k v Q X V 0 b 1 J l b W 9 2 Z W R D b 2 x 1 b W 5 z M S 5 7 Q 2 9 s d W 1 u M S 5 j c m V h d G V k Q X Q s M T N 9 J n F 1 b 3 Q 7 L C Z x d W 9 0 O 1 N l Y 3 R p b 2 4 x L 0 l f T W l l a V 9 S Z W 5 k a W N v b n R p L 0 F 1 d G 9 S Z W 1 v d m V k Q 2 9 s d W 1 u c z E u e 0 N v b H V t b j E u c 3 R h c n R E Y X R l L D E 0 f S Z x d W 9 0 O y w m c X V v d D t T Z W N 0 a W 9 u M S 9 J X 0 1 p Z W l f U m V u Z G l j b 2 5 0 a S 9 B d X R v U m V t b 3 Z l Z E N v b H V t b n M x L n t D b 2 x 1 b W 4 x L m V u Z E R h d G U s M T V 9 J n F 1 b 3 Q 7 L C Z x d W 9 0 O 1 N l Y 3 R p b 2 4 x L 0 l f T W l l a V 9 S Z W 5 k a W N v b n R p L 0 F 1 d G 9 S Z W 1 v d m V k Q 2 9 s d W 1 u c z E u e 0 N v b H V t b j E u c G V y a W 9 k R G V 0 Y W l s L D E 2 f S Z x d W 9 0 O y w m c X V v d D t T Z W N 0 a W 9 u M S 9 J X 0 1 p Z W l f U m V u Z G l j b 2 5 0 a S 9 B d X R v U m V t b 3 Z l Z E N v b H V t b n M x L n t D b 2 x 1 b W 4 x L n B y b 2 p l Y 3 R S Z X B v c n R J Z C w x N 3 0 m c X V v d D s s J n F 1 b 3 Q 7 U 2 V j d G l v b j E v S V 9 N a W V p X 1 J l b m R p Y 2 9 u d G k v Q X V 0 b 1 J l b W 9 2 Z W R D b 2 x 1 b W 5 z M S 5 7 Q 2 9 s d W 1 u M S 5 w c m 9 q Z W N 0 U m V w b 3 J 0 T n V t Y m V y L D E 4 f S Z x d W 9 0 O y w m c X V v d D t T Z W N 0 a W 9 u M S 9 J X 0 1 p Z W l f U m V u Z G l j b 2 5 0 a S 9 B d X R v U m V t b 3 Z l Z E N v b H V t b n M x L n t D b 2 x 1 b W 4 x L n R v d G F s R W x p Z 2 l i b G V B Z n R l c k N v b n R y b 2 w s M T l 9 J n F 1 b 3 Q 7 L C Z x d W 9 0 O 1 N l Y 3 R p b 2 4 x L 0 l f T W l l a V 9 S Z W 5 k a W N v b n R p L 0 F 1 d G 9 S Z W 1 v d m V k Q 2 9 s d W 1 u c z E u e 0 N v b H V t b j E u d G 9 0 Y W x B Z n R l c l N 1 Y m 1 p d H R l Z C w y M H 0 m c X V v d D s s J n F 1 b 3 Q 7 U 2 V j d G l v b j E v S V 9 N a W V p X 1 J l b m R p Y 2 9 u d G k v Q X V 0 b 1 J l b W 9 2 Z W R D b 2 x 1 b W 5 z M S 5 7 Q 2 9 s d W 1 u M S 5 k Z W x l d G F i b G U s M j F 9 J n F 1 b 3 Q 7 X S w m c X V v d D t S Z W x h d G l v b n N o a X B J b m Z v J n F 1 b 3 Q 7 O l t d f S I v P j x F b n R y e S B U e X B l P S J S Z X N 1 b H R U e X B l I i B W Y W x 1 Z T 0 i c 1 R h Y m x l I i 8 + P E V u d H J 5 I F R 5 c G U 9 I k 5 h d m l n Y X R p b 2 5 T d G V w T m F t Z S I g V m F s d W U 9 I n N O Y X Z p Z 2 F 6 a W 9 u Z S I v P j x F b n R y e S B U e X B l P S J G a W x s T 2 J q Z W N 0 V H l w Z S I g V m F s d W U 9 I n N U Y W J s Z S I v P j x F b n R y e S B U e X B l P S J O Y W 1 l V X B k Y X R l Z E F m d G V y R m l s b C I g V m F s d W U 9 I m w w I i 8 + P E V u d H J 5 I F R 5 c G U 9 I k Z p b G x U Y X J n Z X Q i I F Z h b H V l P S J z S V 9 N a W V p X 1 J l b m R p Y 2 9 u d G k i L z 4 8 L 1 N 0 Y W J s Z U V u d H J p Z X M + P C 9 J d G V t P j x J d G V t P j x J d G V t T G 9 j Y X R p b 2 4 + P E l 0 Z W 1 U e X B l P k Z v c m 1 1 b G E 8 L 0 l 0 Z W 1 U e X B l P j x J d G V t U G F 0 a D 5 T Z W N 0 a W 9 u M S 9 S Z W 5 k a W N v b n R p V H J h c 2 1 l c 3 N p Q k w 8 L 0 l 0 Z W 1 Q Y X R o P j w v S X R l b U x v Y 2 F 0 a W 9 u P j x T d G F i b G V F b n R y a W V z P j x F b n R y e S B U e X B l P S J B Z G R l Z F R v R G F 0 Y U 1 v Z G V s I i B W Y W x 1 Z T 0 i b D A i L z 4 8 R W 5 0 c n k g V H l w Z T 0 i Q n V m Z m V y T m V 4 d F J l Z n J l c 2 g i I F Z h b H V l P S J s M S I v P j x F b n R y e S B U e X B l P S J G a W x s Q 2 9 1 b n Q i I F Z h b H V l P S J s M j M z M i I v P j x F b n R y e S B U e X B l P S J G a W x s R W 5 h Y m x l Z C I g V m F s d W U 9 I m w w I i 8 + P E V u d H J 5 I F R 5 c G U 9 I k Z p b G x F c n J v c k N v Z G U i I F Z h b H V l P S J z V W 5 r b m 9 3 b i I v P j x F b n R y e S B U e X B l P S J G a W x s R X J y b 3 J D b 3 V u d C I g V m F s d W U 9 I m w w I i 8 + P E V u d H J 5 I F R 5 c G U 9 I k Z p b G x M Y X N 0 V X B k Y X R l Z C I g V m F s d W U 9 I m Q y M D I 0 L T A 3 L T I 0 V D A 5 O j Q y O j U 5 L j U 5 O D Y 3 O T B a I i 8 + P E V u d H J 5 I F R 5 c G U 9 I k Z p b G x D b 2 x 1 b W 5 U e X B l c y I g V m F s d W U 9 I n N C Z 1 l E Q X d Z Q U F B Q U F B Q U F B Q U F B Q U F B P T 0 i L z 4 8 R W 5 0 c n k g V H l w Z T 0 i R m l s b E N v b H V t b k 5 h b W V z I i B W Y W x 1 Z T 0 i c 1 s m c X V v d D t Q c m 9 q Z W N 0 I E F r c m 9 u a W 0 m c X V v d D s s J n F 1 b 3 Q 7 U G F y d G 5 l c i B B a 3 J v b m l t J n F 1 b 3 Q 7 L C Z x d W 9 0 O 1 B h c n R u Z X J J R C Z x d W 9 0 O y w m c X V v d D t S Z X B v c n R J R C Z x d W 9 0 O y w m c X V v d D t O Y W 1 l J n F 1 b 3 Q 7 L C Z x d W 9 0 O 1 Z h b H V l L m Z s Y X R S Y X R l J n F 1 b 3 Q 7 L C Z x d W 9 0 O 1 Z h b H V l L n R v d G F s R W x p Z 2 l i b G V C d W R n Z X Q m c X V v d D s s J n F 1 b 3 Q 7 V m F s d W U u c H J l d m l v d X N s e V J l c G 9 y d G V k J n F 1 b 3 Q 7 L C Z x d W 9 0 O 1 Z h b H V l L n B y Z X Z p b 3 V z b H l S Z X B v c n R l Z F B h c m t l Z C Z x d W 9 0 O y w m c X V v d D t W Y W x 1 Z S 5 j d X J y Z W 5 0 U m V w b 3 J 0 J n F 1 b 3 Q 7 L C Z x d W 9 0 O 1 Z h b H V l L m N 1 c n J l b n R S Z X B v c n R S Z U l u Y 2 x 1 Z G V k J n F 1 b 3 Q 7 L C Z x d W 9 0 O 1 Z h b H V l L n R v d G F s R W x p Z 2 l i b G V B Z n R l c k N v b n R y b 2 w m c X V v d D s s J n F 1 b 3 Q 7 V m F s d W U u d G 9 0 Y W x S Z X B v c n R l Z F N v R m F y J n F 1 b 3 Q 7 L C Z x d W 9 0 O 1 Z h b H V l L n R v d G F s U m V w b 3 J 0 Z W R T b 0 Z h c l B l c m N l b n R h Z 2 U m c X V v d D s s J n F 1 b 3 Q 7 V m F s d W U u c m V t Y W l u a W 5 n Q n V k Z 2 V 0 J n F 1 b 3 Q 7 L C Z x d W 9 0 O 1 Z h b H V l L n B y Z X Z p b 3 V z b H l W Y W x p Z G F 0 Z W Q 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Z l M T k z Z G V i L T Q 1 Y T Q t N D A 3 N C 0 4 O G U x L W J m M j U w N G E 1 Y m Y 0 Z i I v P j x F b n R y e S B U e X B l P S J S Z W N v d m V y e V R h c m d l d E N v b H V t b i I g V m F s d W U 9 I m w x I i 8 + P E V u d H J 5 I F R 5 c G U 9 I l J l Y 2 9 2 Z X J 5 V G F y Z 2 V 0 U m 9 3 I i B W Y W x 1 Z T 0 i b D E i L z 4 8 R W 5 0 c n k g V H l w Z T 0 i U m V j b 3 Z l c n l U Y X J n Z X R T a G V l d C I g V m F s d W U 9 I n N S Z W 5 k a W N v b n R p V H J h c 2 1 l c 3 N p Q k w i L z 4 8 R W 5 0 c n k g V H l w Z T 0 i U m V s Y X R p b 2 5 z a G l w S W 5 m b 0 N v b n R h a W 5 l c i I g V m F s d W U 9 I n N 7 J n F 1 b 3 Q 7 Y 2 9 s d W 1 u Q 2 9 1 b n Q m c X V v d D s 6 M T Y s J n F 1 b 3 Q 7 a 2 V 5 Q 2 9 s d W 1 u T m F t Z X M m c X V v d D s 6 W 1 0 s J n F 1 b 3 Q 7 c X V l c n l S Z W x h d G l v b n N o a X B z J n F 1 b 3 Q 7 O l t d L C Z x d W 9 0 O 2 N v b H V t b k l k Z W 5 0 a X R p Z X M m c X V v d D s 6 W y Z x d W 9 0 O 1 N l Y 3 R p b 2 4 x L 1 J l b m R p Y 2 9 u d G l U c m F z b W V z c 2 l C T C 9 B d X R v U m V t b 3 Z l Z E N v b H V t b n M x L n t Q c m 9 q Z W N 0 I E F r c m 9 u a W 0 s M H 0 m c X V v d D s s J n F 1 b 3 Q 7 U 2 V j d G l v b j E v U m V u Z G l j b 2 5 0 a V R y Y X N t Z X N z a U J M L 0 F 1 d G 9 S Z W 1 v d m V k Q 2 9 s d W 1 u c z E u e 1 B h c n R u Z X I g Q W t y b 2 5 p b S w x f S Z x d W 9 0 O y w m c X V v d D t T Z W N 0 a W 9 u M S 9 S Z W 5 k a W N v b n R p V H J h c 2 1 l c 3 N p Q k w v Q X V 0 b 1 J l b W 9 2 Z W R D b 2 x 1 b W 5 z M S 5 7 U G F y d G 5 l c k l E L D J 9 J n F 1 b 3 Q 7 L C Z x d W 9 0 O 1 N l Y 3 R p b 2 4 x L 1 J l b m R p Y 2 9 u d G l U c m F z b W V z c 2 l C T C 9 B d X R v U m V t b 3 Z l Z E N v b H V t b n M x L n t S Z X B v c n R J R C w z f S Z x d W 9 0 O y w m c X V v d D t T Z W N 0 a W 9 u M S 9 S Z W 5 k a W N v b n R p V H J h c 2 1 l c 3 N p Q k w v Q X V 0 b 1 J l b W 9 2 Z W R D b 2 x 1 b W 5 z M S 5 7 T m F t Z S w 0 f S Z x d W 9 0 O y w m c X V v d D t T Z W N 0 a W 9 u M S 9 S Z W 5 k a W N v b n R p V H J h c 2 1 l c 3 N p Q k w v Q X V 0 b 1 J l b W 9 2 Z W R D b 2 x 1 b W 5 z M S 5 7 V m F s d W U u Z m x h d F J h d G U s N X 0 m c X V v d D s s J n F 1 b 3 Q 7 U 2 V j d G l v b j E v U m V u Z G l j b 2 5 0 a V R y Y X N t Z X N z a U J M L 0 F 1 d G 9 S Z W 1 v d m V k Q 2 9 s d W 1 u c z E u e 1 Z h b H V l L n R v d G F s R W x p Z 2 l i b G V C d W R n Z X Q s N n 0 m c X V v d D s s J n F 1 b 3 Q 7 U 2 V j d G l v b j E v U m V u Z G l j b 2 5 0 a V R y Y X N t Z X N z a U J M L 0 F 1 d G 9 S Z W 1 v d m V k Q 2 9 s d W 1 u c z E u e 1 Z h b H V l L n B y Z X Z p b 3 V z b H l S Z X B v c n R l Z C w 3 f S Z x d W 9 0 O y w m c X V v d D t T Z W N 0 a W 9 u M S 9 S Z W 5 k a W N v b n R p V H J h c 2 1 l c 3 N p Q k w v Q X V 0 b 1 J l b W 9 2 Z W R D b 2 x 1 b W 5 z M S 5 7 V m F s d W U u c H J l d m l v d X N s e V J l c G 9 y d G V k U G F y a 2 V k L D h 9 J n F 1 b 3 Q 7 L C Z x d W 9 0 O 1 N l Y 3 R p b 2 4 x L 1 J l b m R p Y 2 9 u d G l U c m F z b W V z c 2 l C T C 9 B d X R v U m V t b 3 Z l Z E N v b H V t b n M x L n t W Y W x 1 Z S 5 j d X J y Z W 5 0 U m V w b 3 J 0 L D l 9 J n F 1 b 3 Q 7 L C Z x d W 9 0 O 1 N l Y 3 R p b 2 4 x L 1 J l b m R p Y 2 9 u d G l U c m F z b W V z c 2 l C T C 9 B d X R v U m V t b 3 Z l Z E N v b H V t b n M x L n t W Y W x 1 Z S 5 j d X J y Z W 5 0 U m V w b 3 J 0 U m V J b m N s d W R l Z C w x M H 0 m c X V v d D s s J n F 1 b 3 Q 7 U 2 V j d G l v b j E v U m V u Z G l j b 2 5 0 a V R y Y X N t Z X N z a U J M L 0 F 1 d G 9 S Z W 1 v d m V k Q 2 9 s d W 1 u c z E u e 1 Z h b H V l L n R v d G F s R W x p Z 2 l i b G V B Z n R l c k N v b n R y b 2 w s M T F 9 J n F 1 b 3 Q 7 L C Z x d W 9 0 O 1 N l Y 3 R p b 2 4 x L 1 J l b m R p Y 2 9 u d G l U c m F z b W V z c 2 l C T C 9 B d X R v U m V t b 3 Z l Z E N v b H V t b n M x L n t W Y W x 1 Z S 5 0 b 3 R h b F J l c G 9 y d G V k U 2 9 G Y X I s M T J 9 J n F 1 b 3 Q 7 L C Z x d W 9 0 O 1 N l Y 3 R p b 2 4 x L 1 J l b m R p Y 2 9 u d G l U c m F z b W V z c 2 l C T C 9 B d X R v U m V t b 3 Z l Z E N v b H V t b n M x L n t W Y W x 1 Z S 5 0 b 3 R h b F J l c G 9 y d G V k U 2 9 G Y X J Q Z X J j Z W 5 0 Y W d l L D E z f S Z x d W 9 0 O y w m c X V v d D t T Z W N 0 a W 9 u M S 9 S Z W 5 k a W N v b n R p V H J h c 2 1 l c 3 N p Q k w v Q X V 0 b 1 J l b W 9 2 Z W R D b 2 x 1 b W 5 z M S 5 7 V m F s d W U u c m V t Y W l u a W 5 n Q n V k Z 2 V 0 L D E 0 f S Z x d W 9 0 O y w m c X V v d D t T Z W N 0 a W 9 u M S 9 S Z W 5 k a W N v b n R p V H J h c 2 1 l c 3 N p Q k w v Q X V 0 b 1 J l b W 9 2 Z W R D b 2 x 1 b W 5 z M S 5 7 V m F s d W U u c H J l d m l v d X N s e V Z h b G l k Y X R l Z C w x N X 0 m c X V v d D t d L C Z x d W 9 0 O 0 N v b H V t b k N v d W 5 0 J n F 1 b 3 Q 7 O j E 2 L C Z x d W 9 0 O 0 t l e U N v b H V t b k 5 h b W V z J n F 1 b 3 Q 7 O l t d L C Z x d W 9 0 O 0 N v b H V t b k l k Z W 5 0 a X R p Z X M m c X V v d D s 6 W y Z x d W 9 0 O 1 N l Y 3 R p b 2 4 x L 1 J l b m R p Y 2 9 u d G l U c m F z b W V z c 2 l C T C 9 B d X R v U m V t b 3 Z l Z E N v b H V t b n M x L n t Q c m 9 q Z W N 0 I E F r c m 9 u a W 0 s M H 0 m c X V v d D s s J n F 1 b 3 Q 7 U 2 V j d G l v b j E v U m V u Z G l j b 2 5 0 a V R y Y X N t Z X N z a U J M L 0 F 1 d G 9 S Z W 1 v d m V k Q 2 9 s d W 1 u c z E u e 1 B h c n R u Z X I g Q W t y b 2 5 p b S w x f S Z x d W 9 0 O y w m c X V v d D t T Z W N 0 a W 9 u M S 9 S Z W 5 k a W N v b n R p V H J h c 2 1 l c 3 N p Q k w v Q X V 0 b 1 J l b W 9 2 Z W R D b 2 x 1 b W 5 z M S 5 7 U G F y d G 5 l c k l E L D J 9 J n F 1 b 3 Q 7 L C Z x d W 9 0 O 1 N l Y 3 R p b 2 4 x L 1 J l b m R p Y 2 9 u d G l U c m F z b W V z c 2 l C T C 9 B d X R v U m V t b 3 Z l Z E N v b H V t b n M x L n t S Z X B v c n R J R C w z f S Z x d W 9 0 O y w m c X V v d D t T Z W N 0 a W 9 u M S 9 S Z W 5 k a W N v b n R p V H J h c 2 1 l c 3 N p Q k w v Q X V 0 b 1 J l b W 9 2 Z W R D b 2 x 1 b W 5 z M S 5 7 T m F t Z S w 0 f S Z x d W 9 0 O y w m c X V v d D t T Z W N 0 a W 9 u M S 9 S Z W 5 k a W N v b n R p V H J h c 2 1 l c 3 N p Q k w v Q X V 0 b 1 J l b W 9 2 Z W R D b 2 x 1 b W 5 z M S 5 7 V m F s d W U u Z m x h d F J h d G U s N X 0 m c X V v d D s s J n F 1 b 3 Q 7 U 2 V j d G l v b j E v U m V u Z G l j b 2 5 0 a V R y Y X N t Z X N z a U J M L 0 F 1 d G 9 S Z W 1 v d m V k Q 2 9 s d W 1 u c z E u e 1 Z h b H V l L n R v d G F s R W x p Z 2 l i b G V C d W R n Z X Q s N n 0 m c X V v d D s s J n F 1 b 3 Q 7 U 2 V j d G l v b j E v U m V u Z G l j b 2 5 0 a V R y Y X N t Z X N z a U J M L 0 F 1 d G 9 S Z W 1 v d m V k Q 2 9 s d W 1 u c z E u e 1 Z h b H V l L n B y Z X Z p b 3 V z b H l S Z X B v c n R l Z C w 3 f S Z x d W 9 0 O y w m c X V v d D t T Z W N 0 a W 9 u M S 9 S Z W 5 k a W N v b n R p V H J h c 2 1 l c 3 N p Q k w v Q X V 0 b 1 J l b W 9 2 Z W R D b 2 x 1 b W 5 z M S 5 7 V m F s d W U u c H J l d m l v d X N s e V J l c G 9 y d G V k U G F y a 2 V k L D h 9 J n F 1 b 3 Q 7 L C Z x d W 9 0 O 1 N l Y 3 R p b 2 4 x L 1 J l b m R p Y 2 9 u d G l U c m F z b W V z c 2 l C T C 9 B d X R v U m V t b 3 Z l Z E N v b H V t b n M x L n t W Y W x 1 Z S 5 j d X J y Z W 5 0 U m V w b 3 J 0 L D l 9 J n F 1 b 3 Q 7 L C Z x d W 9 0 O 1 N l Y 3 R p b 2 4 x L 1 J l b m R p Y 2 9 u d G l U c m F z b W V z c 2 l C T C 9 B d X R v U m V t b 3 Z l Z E N v b H V t b n M x L n t W Y W x 1 Z S 5 j d X J y Z W 5 0 U m V w b 3 J 0 U m V J b m N s d W R l Z C w x M H 0 m c X V v d D s s J n F 1 b 3 Q 7 U 2 V j d G l v b j E v U m V u Z G l j b 2 5 0 a V R y Y X N t Z X N z a U J M L 0 F 1 d G 9 S Z W 1 v d m V k Q 2 9 s d W 1 u c z E u e 1 Z h b H V l L n R v d G F s R W x p Z 2 l i b G V B Z n R l c k N v b n R y b 2 w s M T F 9 J n F 1 b 3 Q 7 L C Z x d W 9 0 O 1 N l Y 3 R p b 2 4 x L 1 J l b m R p Y 2 9 u d G l U c m F z b W V z c 2 l C T C 9 B d X R v U m V t b 3 Z l Z E N v b H V t b n M x L n t W Y W x 1 Z S 5 0 b 3 R h b F J l c G 9 y d G V k U 2 9 G Y X I s M T J 9 J n F 1 b 3 Q 7 L C Z x d W 9 0 O 1 N l Y 3 R p b 2 4 x L 1 J l b m R p Y 2 9 u d G l U c m F z b W V z c 2 l C T C 9 B d X R v U m V t b 3 Z l Z E N v b H V t b n M x L n t W Y W x 1 Z S 5 0 b 3 R h b F J l c G 9 y d G V k U 2 9 G Y X J Q Z X J j Z W 5 0 Y W d l L D E z f S Z x d W 9 0 O y w m c X V v d D t T Z W N 0 a W 9 u M S 9 S Z W 5 k a W N v b n R p V H J h c 2 1 l c 3 N p Q k w v Q X V 0 b 1 J l b W 9 2 Z W R D b 2 x 1 b W 5 z M S 5 7 V m F s d W U u c m V t Y W l u a W 5 n Q n V k Z 2 V 0 L D E 0 f S Z x d W 9 0 O y w m c X V v d D t T Z W N 0 a W 9 u M S 9 S Z W 5 k a W N v b n R p V H J h c 2 1 l c 3 N p Q k w v Q X V 0 b 1 J l b W 9 2 Z W R D b 2 x 1 b W 5 z M S 5 7 V m F s d W U u c H J l d m l v d X N s e V Z h b G l k Y X R l Z C w x N X 0 m c X V v d D t d L C Z x d W 9 0 O 1 J l b G F 0 a W 9 u c 2 h p c E l u Z m 8 m c X V v d D s 6 W 1 1 9 I i 8 + P E V u d H J 5 I F R 5 c G U 9 I l J l c 3 V s d F R 5 c G U i I F Z h b H V l P S J z V G F i b G U i L z 4 8 R W 5 0 c n k g V H l w Z T 0 i T m F 2 a W d h d G l v b l N 0 Z X B O Y W 1 l I i B W Y W x 1 Z T 0 i c 0 5 h d m l n Y X p p b 2 5 l I i 8 + P E V u d H J 5 I F R 5 c G U 9 I k Z p b G x P Y m p l Y 3 R U e X B l I i B W Y W x 1 Z T 0 i c 0 N v b m 5 l Y 3 R p b 2 5 P b m x 5 I i 8 + P E V u d H J 5 I F R 5 c G U 9 I k 5 h b W V V c G R h d G V k Q W Z 0 Z X J G a W x s I i B W Y W x 1 Z T 0 i b D A i L z 4 8 L 1 N 0 Y W J s Z U V u d H J p Z X M + P C 9 J d G V t P j x J d G V t P j x J d G V t T G 9 j Y X R p b 2 4 + P E l 0 Z W 1 U e X B l P k Z v c m 1 1 b G E 8 L 0 l 0 Z W 1 U e X B l P j x J d G V t U G F 0 a D 5 T Z W N 0 a W 9 u M S 9 G a W x l J T I w Z G k l M j B l c 2 V t c G l v J T I w K D Y 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Y t M T l U M T M 6 M D I 6 N T M u M T A x O T Y 2 M F 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M 5 M j Y 5 M D F l Y y 0 x N j M z L T Q 1 M T k t O D V k M i 1 i Z j c w N j Q 2 Z j J m Y 2 I i L z 4 8 R W 5 0 c n k g V H l w Z T 0 i U X V l c n l J R C I g V m F s d W U 9 I n N j M 2 Y x N T A x N C 1 m Y T M 5 L T Q y M 2 Y t Y W Z m Y S 1 l M m R k O W E y M m Y 5 Z j Y i L z 4 8 R W 5 0 c n k g V H l w Z T 0 i U m V z d W x 0 V H l w Z S I g V m F s d W U 9 I n N C a W 5 h c n k i L z 4 8 R W 5 0 c n k g V H l w Z T 0 i R m l s b E 9 i a m V j d F R 5 c G U i I F Z h b H V l P S J z Q 2 9 u b m V j d G l v b k 9 u b H k i L z 4 8 R W 5 0 c n k g V H l w Z T 0 i T m F t Z V V w Z G F 0 Z W R B Z n R l c k Z p b G w i I F Z h b H V l P S J s M S I v P j x F b n R y e S B U e X B l P S J M b 2 F k Z W R U b 0 F u Y W x 5 c 2 l z U 2 V y d m l j Z X M i I F Z h b H V l P S J s M C I v P j x F b n R y e S B U e X B l P S J M b 2 F k V G 9 S Z X B v c n R E a X N h Y m x l Z C I g V m F s d W U 9 I m w x I i 8 + P C 9 T d G F i b G V F b n R y a W V z P j w v S X R l b T 4 8 S X R l b T 4 8 S X R l b U x v Y 2 F 0 a W 9 u P j x J d G V t V H l w Z T 5 G b 3 J t d W x h P C 9 J d G V t V H l w Z T 4 8 S X R l b V B h d G g + U 2 V j d G l v b j E v U G F y Y W 1 l d H J v M 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0 L T A 2 L T E 5 V D E z O j A y O j U z L j E x O T k 2 N T V 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O T I 2 O T A x Z W M t M T Y z M y 0 0 N T E 5 L T g 1 Z D I t Y m Y 3 M D Y 0 N m Y y Z m N i I i 8 + P E V u d H J 5 I F R 5 c G U 9 I l F 1 Z X J 5 S U Q i I F Z h b H V l P S J z M j F m M T I 1 M D I t O T Q 3 M S 0 0 M j Y w L T k 0 O W I t N 2 J h M W N h M D c x Y 2 V m I i 8 + P E V u d H J 5 I F R 5 c G U 9 I l J l c 3 V s d F R 5 c G U i I F Z h b H V l P S J z Q m l u Y X J 5 I i 8 + P E V u d H J 5 I F R 5 c G U 9 I k Z p b G x P Y m p l Y 3 R U e X B l I i B W Y W x 1 Z T 0 i c 0 N v b m 5 l Y 3 R p b 2 5 P b m x 5 I i 8 + P E V u d H J 5 I F R 5 c G U 9 I k x v Y W R U b 1 J l c G 9 y d E R p c 2 F i b G V k I i B W Y W x 1 Z T 0 i b D E i L z 4 8 L 1 N 0 Y W J s Z U V u d H J p Z X M + P C 9 J d G V t P j x J d G V t P j x J d G V t T G 9 j Y X R p b 2 4 + P E l 0 Z W 1 U e X B l P k Z v c m 1 1 b G E 8 L 0 l 0 Z W 1 U e X B l P j x J d G V t U G F 0 a D 5 T Z W N 0 a W 9 u M S 9 U c m F z Z m 9 y b W E l M j B m a W x l J T I w Z G k l M j B l c 2 V t c G l v 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Y t M T l U M T M 6 M D I 6 N T M u M T M y O T Y 1 N F 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M 2 N z N i Z D Y 2 Z i 0 y M z U x L T R j N D M t O G V i N S 0 4 Z W M 1 M j Q w O T B l Y j k i L z 4 8 R W 5 0 c n k g V H l w Z T 0 i U X V l c n l J R C I g V m F s d W U 9 I n N j O D B j M j F k Z i 0 z Z D A 1 L T Q 3 O T E t Y j h l M C 0 5 M j M 1 Z T F l M D U 0 Z W I i L z 4 8 R W 5 0 c n k g V H l w Z T 0 i U m V z d W x 0 V H l w Z S I g V m F s d W U 9 I n N U Y W J s Z S I v P j x F b n R y e S B U e X B l P S J G a W x s T 2 J q Z W N 0 V H l w Z S I g V m F s d W U 9 I n N D b 2 5 u Z W N 0 a W 9 u T 2 5 s e S I v P j x F b n R y e S B U e X B l P S J O Y W 1 l V X B k Y X R l Z E F m d G V y R m l s b C I g V m F s d W U 9 I m w x I i 8 + P E V u d H J 5 I F R 5 c G U 9 I k x v Y W R U b 1 J l c G 9 y d E R p c 2 F i b G V k I i B W Y W x 1 Z T 0 i b D E i L z 4 8 L 1 N 0 Y W J s Z U V u d H J p Z X M + P C 9 J d G V t P j x J d G V t P j x J d G V t T G 9 j Y X R p b 2 4 + P E l 0 Z W 1 U e X B l P k Z v c m 1 1 b G E 8 L 0 l 0 Z W 1 U e X B l P j x J d G V t U G F 0 a D 5 T Z W N 0 a W 9 u M S 9 U c m F z Z m 9 y b W E l M j B m a W x l 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Y t M T l U M T M 6 M D I 6 N T M u M T g 0 O T Y 0 O F 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M 5 M j Y 5 M D F l Y y 0 x N j M z L T Q 1 M T k t O D V k M i 1 i Z j c w N j Q 2 Z j J m Y 2 I i L z 4 8 R W 5 0 c n k g V H l w Z T 0 i U X V l c n l J R C I g V m F s d W U 9 I n N m Y T B h Z G F l Z i 1 l Z D J h L T R j O T Y t O D E 2 N C 1 j M T V m Y W Z k N j d l N W Q i L z 4 8 R W 5 0 c n k g V H l w Z T 0 i U m V z d W x 0 V H l w Z S I g V m F s d W U 9 I n N G d W 5 j d G l v b i I v P j x F b n R y e S B U e X B l P S J G a W x s T 2 J q Z W N 0 V H l w Z S I g V m F s d W U 9 I n N D b 2 5 u Z W N 0 a W 9 u T 2 5 s e S I v P j x F b n R y e S B U e X B l P S J M b 2 F k V G 9 S Z X B v c n R E a X N h Y m x l Z C I g V m F s d W U 9 I m w x I i 8 + P C 9 T d G F i b G V F b n R y a W V z P j w v S X R l b T 4 8 S X R l b T 4 8 S X R l b U x v Y 2 F 0 a W 9 u P j x J d G V t V H l w Z T 5 G b 3 J t d W x h P C 9 J d G V t V H l w Z T 4 8 S X R l b V B h d G g + U 2 V j d G l v b j E v X 0 F E U k l P T k N Z Q 0 x F V E 9 V U l 9 C U 0 M l M j B L c m F u a l 8 x N F 8 x M D E 8 L 0 l 0 Z W 1 Q Y X R o P j w v S X R l b U x v Y 2 F 0 a W 9 u P j x T d G F i b G V F b n R y a W V z P j x F b n R y e S B U e X B l P S J B Z G R l Z F R v R G F 0 Y U 1 v Z G V s I i B W Y W x 1 Z T 0 i b D A i L z 4 8 R W 5 0 c n k g V H l w Z T 0 i Q n V m Z m V y T m V 4 d F J l Z n J l c 2 g i I F Z h b H V l P S J s M S I v P j x F b n R y e S B U e X B l P S J G a W x s Q 2 9 1 b n Q i I F Z h b H V l P S J s M i I v P j x F b n R y e S B U e X B l P S J G a W x s R W 5 h Y m x l Z C I g V m F s d W U 9 I m w w I i 8 + P E V u d H J 5 I F R 5 c G U 9 I k Z p b G x F c n J v c k N v Z G U i I F Z h b H V l P S J z V W 5 r b m 9 3 b i I v P j x F b n R y e S B U e X B l P S J G a W x s R X J y b 3 J D b 3 V u d C I g V m F s d W U 9 I m w w I i 8 + P E V u d H J 5 I F R 5 c G U 9 I k Z p b G x M Y X N 0 V X B k Y X R l Z C I g V m F s d W U 9 I m Q y M D I 0 L T A 2 L T I w V D A 5 O j A z O j E x L j g 3 M T Q x M z Z a I i 8 + P E V u d H J 5 I F R 5 c G U 9 I k Z p b G x D b 2 x 1 b W 5 U e X B l c y I g V m F s d W U 9 I n N B Q U F B Q U F B Q U F B Q U F B Q U F B I i 8 + P E V u d H J 5 I F R 5 c G U 9 I k Z p b G x D b 2 x 1 b W 5 O Y W 1 l c y I g V m F s d W U 9 I n N b J n F 1 b 3 Q 7 Q 2 9 s d W 1 u M S 5 p Z C Z x d W 9 0 O y w m c X V v d D t D b 2 x 1 b W 4 x L n N 0 Y X R 1 c y Z x d W 9 0 O y w m c X V v d D t D b 2 x 1 b W 4 x L n R 5 c G U m c X V v d D s s J n F 1 b 3 Q 7 Q 2 9 s d W 1 u M S 5 u Y W 1 l J n F 1 b 3 Q 7 L C Z x d W 9 0 O 0 N v b H V t b j E u Y 3 J l Y X R v c k V t Y W l s J n F 1 b 3 Q 7 L C Z x d W 9 0 O 0 N v b H V t b j E u Y 3 J l Y X R l Z E F 0 J n F 1 b 3 Q 7 L C Z x d W 9 0 O 0 N v b H V t b j E u Z m l u a X N o Z W R E Y X R l J n F 1 b 3 Q 7 L C Z x d W 9 0 O 0 N v b H V t b j E u c m V s Y X R l Z F R v S W Q m c X V v d D s s J n F 1 b 3 Q 7 Q 2 9 s d W 1 u M S 5 w c m 9 n c m F t b W V D a G V j a 2 x p c 3 R J Z C Z x d W 9 0 O y w m c X V v d D t D b 2 x 1 b W 4 x L m N v b n N v b G l k Y X R l Z C Z x d W 9 0 O y w m c X V v d D t D b 2 x 1 b W 4 x L n Z p c 2 l i b G U m c X V v d D s s J n F 1 b 3 Q 7 Q 2 9 s d W 1 u M S 5 k Z X N j c m l w d G l v b i 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N z E y N 2 I 3 Z W Y t N G Y y N y 0 0 Z D R m L T h j Z D I t O T E 0 Z j J k Y 2 E 2 Z G I 4 I i 8 + P E V u d H J 5 I F R 5 c G U 9 I l J l b G F 0 a W 9 u c 2 h p c E l u Z m 9 D b 2 5 0 Y W l u Z X I i I F Z h b H V l P S J z e y Z x d W 9 0 O 2 N v b H V t b k N v d W 5 0 J n F 1 b 3 Q 7 O j E y L C Z x d W 9 0 O 2 t l e U N v b H V t b k 5 h b W V z J n F 1 b 3 Q 7 O l t d L C Z x d W 9 0 O 3 F 1 Z X J 5 U m V s Y X R p b 2 5 z a G l w c y Z x d W 9 0 O z p b X S w m c X V v d D t j b 2 x 1 b W 5 J Z G V u d G l 0 a W V z J n F 1 b 3 Q 7 O l s m c X V v d D t T Z W N 0 a W 9 u M S 9 f Q U R S S U 9 O Q 1 l D T E V U T 1 V S X 0 J T Q y B L c m F u a l 8 x N F 8 x M D E v Q X V 0 b 1 J l b W 9 2 Z W R D b 2 x 1 b W 5 z M S 5 7 Q 2 9 s d W 1 u M S 5 p Z C w w f S Z x d W 9 0 O y w m c X V v d D t T Z W N 0 a W 9 u M S 9 f Q U R S S U 9 O Q 1 l D T E V U T 1 V S X 0 J T Q y B L c m F u a l 8 x N F 8 x M D E v Q X V 0 b 1 J l b W 9 2 Z W R D b 2 x 1 b W 5 z M S 5 7 Q 2 9 s d W 1 u M S 5 z d G F 0 d X M s M X 0 m c X V v d D s s J n F 1 b 3 Q 7 U 2 V j d G l v b j E v X 0 F E U k l P T k N Z Q 0 x F V E 9 V U l 9 C U 0 M g S 3 J h b m p f M T R f M T A x L 0 F 1 d G 9 S Z W 1 v d m V k Q 2 9 s d W 1 u c z E u e 0 N v b H V t b j E u d H l w Z S w y f S Z x d W 9 0 O y w m c X V v d D t T Z W N 0 a W 9 u M S 9 f Q U R S S U 9 O Q 1 l D T E V U T 1 V S X 0 J T Q y B L c m F u a l 8 x N F 8 x M D E v Q X V 0 b 1 J l b W 9 2 Z W R D b 2 x 1 b W 5 z M S 5 7 Q 2 9 s d W 1 u M S 5 u Y W 1 l L D N 9 J n F 1 b 3 Q 7 L C Z x d W 9 0 O 1 N l Y 3 R p b 2 4 x L 1 9 B R F J J T 0 5 D W U N M R V R P V V J f Q l N D I E t y Y W 5 q X z E 0 X z E w M S 9 B d X R v U m V t b 3 Z l Z E N v b H V t b n M x L n t D b 2 x 1 b W 4 x L m N y Z W F 0 b 3 J F b W F p b C w 0 f S Z x d W 9 0 O y w m c X V v d D t T Z W N 0 a W 9 u M S 9 f Q U R S S U 9 O Q 1 l D T E V U T 1 V S X 0 J T Q y B L c m F u a l 8 x N F 8 x M D E v Q X V 0 b 1 J l b W 9 2 Z W R D b 2 x 1 b W 5 z M S 5 7 Q 2 9 s d W 1 u M S 5 j c m V h d G V k Q X Q s N X 0 m c X V v d D s s J n F 1 b 3 Q 7 U 2 V j d G l v b j E v X 0 F E U k l P T k N Z Q 0 x F V E 9 V U l 9 C U 0 M g S 3 J h b m p f M T R f M T A x L 0 F 1 d G 9 S Z W 1 v d m V k Q 2 9 s d W 1 u c z E u e 0 N v b H V t b j E u Z m l u a X N o Z W R E Y X R l L D Z 9 J n F 1 b 3 Q 7 L C Z x d W 9 0 O 1 N l Y 3 R p b 2 4 x L 1 9 B R F J J T 0 5 D W U N M R V R P V V J f Q l N D I E t y Y W 5 q X z E 0 X z E w M S 9 B d X R v U m V t b 3 Z l Z E N v b H V t b n M x L n t D b 2 x 1 b W 4 x L n J l b G F 0 Z W R U b 0 l k L D d 9 J n F 1 b 3 Q 7 L C Z x d W 9 0 O 1 N l Y 3 R p b 2 4 x L 1 9 B R F J J T 0 5 D W U N M R V R P V V J f Q l N D I E t y Y W 5 q X z E 0 X z E w M S 9 B d X R v U m V t b 3 Z l Z E N v b H V t b n M x L n t D b 2 x 1 b W 4 x L n B y b 2 d y Y W 1 t Z U N o Z W N r b G l z d E l k L D h 9 J n F 1 b 3 Q 7 L C Z x d W 9 0 O 1 N l Y 3 R p b 2 4 x L 1 9 B R F J J T 0 5 D W U N M R V R P V V J f Q l N D I E t y Y W 5 q X z E 0 X z E w M S 9 B d X R v U m V t b 3 Z l Z E N v b H V t b n M x L n t D b 2 x 1 b W 4 x L m N v b n N v b G l k Y X R l Z C w 5 f S Z x d W 9 0 O y w m c X V v d D t T Z W N 0 a W 9 u M S 9 f Q U R S S U 9 O Q 1 l D T E V U T 1 V S X 0 J T Q y B L c m F u a l 8 x N F 8 x M D E v Q X V 0 b 1 J l b W 9 2 Z W R D b 2 x 1 b W 5 z M S 5 7 Q 2 9 s d W 1 u M S 5 2 a X N p Y m x l L D E w f S Z x d W 9 0 O y w m c X V v d D t T Z W N 0 a W 9 u M S 9 f Q U R S S U 9 O Q 1 l D T E V U T 1 V S X 0 J T Q y B L c m F u a l 8 x N F 8 x M D E v Q X V 0 b 1 J l b W 9 2 Z W R D b 2 x 1 b W 5 z M S 5 7 Q 2 9 s d W 1 u M S 5 k Z X N j c m l w d G l v b i w x M X 0 m c X V v d D t d L C Z x d W 9 0 O 0 N v b H V t b k N v d W 5 0 J n F 1 b 3 Q 7 O j E y L C Z x d W 9 0 O 0 t l e U N v b H V t b k 5 h b W V z J n F 1 b 3 Q 7 O l t d L C Z x d W 9 0 O 0 N v b H V t b k l k Z W 5 0 a X R p Z X M m c X V v d D s 6 W y Z x d W 9 0 O 1 N l Y 3 R p b 2 4 x L 1 9 B R F J J T 0 5 D W U N M R V R P V V J f Q l N D I E t y Y W 5 q X z E 0 X z E w M S 9 B d X R v U m V t b 3 Z l Z E N v b H V t b n M x L n t D b 2 x 1 b W 4 x L m l k L D B 9 J n F 1 b 3 Q 7 L C Z x d W 9 0 O 1 N l Y 3 R p b 2 4 x L 1 9 B R F J J T 0 5 D W U N M R V R P V V J f Q l N D I E t y Y W 5 q X z E 0 X z E w M S 9 B d X R v U m V t b 3 Z l Z E N v b H V t b n M x L n t D b 2 x 1 b W 4 x L n N 0 Y X R 1 c y w x f S Z x d W 9 0 O y w m c X V v d D t T Z W N 0 a W 9 u M S 9 f Q U R S S U 9 O Q 1 l D T E V U T 1 V S X 0 J T Q y B L c m F u a l 8 x N F 8 x M D E v Q X V 0 b 1 J l b W 9 2 Z W R D b 2 x 1 b W 5 z M S 5 7 Q 2 9 s d W 1 u M S 5 0 e X B l L D J 9 J n F 1 b 3 Q 7 L C Z x d W 9 0 O 1 N l Y 3 R p b 2 4 x L 1 9 B R F J J T 0 5 D W U N M R V R P V V J f Q l N D I E t y Y W 5 q X z E 0 X z E w M S 9 B d X R v U m V t b 3 Z l Z E N v b H V t b n M x L n t D b 2 x 1 b W 4 x L m 5 h b W U s M 3 0 m c X V v d D s s J n F 1 b 3 Q 7 U 2 V j d G l v b j E v X 0 F E U k l P T k N Z Q 0 x F V E 9 V U l 9 C U 0 M g S 3 J h b m p f M T R f M T A x L 0 F 1 d G 9 S Z W 1 v d m V k Q 2 9 s d W 1 u c z E u e 0 N v b H V t b j E u Y 3 J l Y X R v c k V t Y W l s L D R 9 J n F 1 b 3 Q 7 L C Z x d W 9 0 O 1 N l Y 3 R p b 2 4 x L 1 9 B R F J J T 0 5 D W U N M R V R P V V J f Q l N D I E t y Y W 5 q X z E 0 X z E w M S 9 B d X R v U m V t b 3 Z l Z E N v b H V t b n M x L n t D b 2 x 1 b W 4 x L m N y Z W F 0 Z W R B d C w 1 f S Z x d W 9 0 O y w m c X V v d D t T Z W N 0 a W 9 u M S 9 f Q U R S S U 9 O Q 1 l D T E V U T 1 V S X 0 J T Q y B L c m F u a l 8 x N F 8 x M D E v Q X V 0 b 1 J l b W 9 2 Z W R D b 2 x 1 b W 5 z M S 5 7 Q 2 9 s d W 1 u M S 5 m a W 5 p c 2 h l Z E R h d G U s N n 0 m c X V v d D s s J n F 1 b 3 Q 7 U 2 V j d G l v b j E v X 0 F E U k l P T k N Z Q 0 x F V E 9 V U l 9 C U 0 M g S 3 J h b m p f M T R f M T A x L 0 F 1 d G 9 S Z W 1 v d m V k Q 2 9 s d W 1 u c z E u e 0 N v b H V t b j E u c m V s Y X R l Z F R v S W Q s N 3 0 m c X V v d D s s J n F 1 b 3 Q 7 U 2 V j d G l v b j E v X 0 F E U k l P T k N Z Q 0 x F V E 9 V U l 9 C U 0 M g S 3 J h b m p f M T R f M T A x L 0 F 1 d G 9 S Z W 1 v d m V k Q 2 9 s d W 1 u c z E u e 0 N v b H V t b j E u c H J v Z 3 J h b W 1 l Q 2 h l Y 2 t s a X N 0 S W Q s O H 0 m c X V v d D s s J n F 1 b 3 Q 7 U 2 V j d G l v b j E v X 0 F E U k l P T k N Z Q 0 x F V E 9 V U l 9 C U 0 M g S 3 J h b m p f M T R f M T A x L 0 F 1 d G 9 S Z W 1 v d m V k Q 2 9 s d W 1 u c z E u e 0 N v b H V t b j E u Y 2 9 u c 2 9 s a W R h d G V k L D l 9 J n F 1 b 3 Q 7 L C Z x d W 9 0 O 1 N l Y 3 R p b 2 4 x L 1 9 B R F J J T 0 5 D W U N M R V R P V V J f Q l N D I E t y Y W 5 q X z E 0 X z E w M S 9 B d X R v U m V t b 3 Z l Z E N v b H V t b n M x L n t D b 2 x 1 b W 4 x L n Z p c 2 l i b G U s M T B 9 J n F 1 b 3 Q 7 L C Z x d W 9 0 O 1 N l Y 3 R p b 2 4 x L 1 9 B R F J J T 0 5 D W U N M R V R P V V J f Q l N D I E t y Y W 5 q X z E 0 X z E w M S 9 B d X R v U m V t b 3 Z l Z E N v b H V t b n M x L n t D b 2 x 1 b W 4 x L m R l c 2 N y a X B 0 a W 9 u L D E x f S Z x d W 9 0 O 1 0 s J n F 1 b 3 Q 7 U m V s Y X R p b 2 5 z a G l w S W 5 m b y Z x d W 9 0 O z p b X X 0 i L z 4 8 R W 5 0 c n k g V H l w Z T 0 i U m V z d W x 0 V H l w Z S I g V m F s d W U 9 I n N U Y W J s Z S I v P j x F b n R y e S B U e X B l P S J O Y X Z p Z 2 F 0 a W 9 u U 3 R l c E 5 h b W U i I F Z h b H V l P S J z T m F 2 a W d h e m l v b m U i L z 4 8 R W 5 0 c n k g V H l w Z T 0 i R m l s b E 9 i a m V j d F R 5 c G U i I F Z h b H V l P S J z Q 2 9 u b m V j d G l v b k 9 u b H k i L z 4 8 R W 5 0 c n k g V H l w Z T 0 i T m F t Z V V w Z G F 0 Z W R B Z n R l c k Z p b G w i I F Z h b H V l P S J s M C I v P j w v U 3 R h Y m x l R W 5 0 c m l l c z 4 8 L 0 l 0 Z W 0 + P E l 0 Z W 0 + P E l 0 Z W 1 M b 2 N h d G l v b j 4 8 S X R l b V R 5 c G U + R m 9 y b X V s Y T w v S X R l b V R 5 c G U + P E l 0 Z W 1 Q Y X R o P l N l Y 3 R p b 2 4 x L 0 Z p b G U l M j B k a S U y M G V z Z W 1 w a W 8 l M j A o N y 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C 0 w N i 0 y M F Q x M D o w M T o x M S 4 y M T Y x M D g w 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z I w M z Y z Z m F k L T E 1 N z k t N G F m Y S 1 h N z M 0 L T d h O D c 5 M W Y 5 O G N h M i I v P j x F b n R y e S B U e X B l P S J R d W V y e U l E I i B W Y W x 1 Z T 0 i c z c 2 M T E 4 Y j k 5 L W Q 2 N D U t N D U 0 Y i 1 i N T g x L W J i Z D M 2 N T F m M T V j Y y I v P j x F b n R y e S B U e X B l P S J S Z X N 1 b H R U e X B l I i B W Y W x 1 Z T 0 i c 0 J p b m F y e S I v P j x F b n R y e S B U e X B l P S J G a W x s T 2 J q Z W N 0 V H l w Z S I g V m F s d W U 9 I n N D b 2 5 u Z W N 0 a W 9 u T 2 5 s e S I v P j x F b n R y e S B U e X B l P S J O Y W 1 l V X B k Y X R l Z E F m d G V y R m l s b C I g V m F s d W U 9 I m w x I i 8 + P E V u d H J 5 I F R 5 c G U 9 I k x v Y W R l Z F R v Q W 5 h b H l z a X N T Z X J 2 a W N l c y I g V m F s d W U 9 I m w w I i 8 + P E V u d H J 5 I F R 5 c G U 9 I k x v Y W R U b 1 J l c G 9 y d E R p c 2 F i b G V k I i B W Y W x 1 Z T 0 i b D E i L z 4 8 L 1 N 0 Y W J s Z U V u d H J p Z X M + P C 9 J d G V t P j x J d G V t P j x J d G V t T G 9 j Y X R p b 2 4 + P E l 0 Z W 1 U e X B l P k Z v c m 1 1 b G E 8 L 0 l 0 Z W 1 U e X B l P j x J d G V t U G F 0 a D 5 T Z W N 0 a W 9 u M S 9 Q Y X J h b W V 0 c m 8 y 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Y t M j B U M T A 6 M D E 6 M T E u M j A 2 M T A 5 O F 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M y M D M 2 M 2 Z h Z C 0 x N T c 5 L T R h Z m E t Y T c z N C 0 3 Y T g 3 O T F m O T h j Y T I i L z 4 8 R W 5 0 c n k g V H l w Z T 0 i U X V l c n l J R C I g V m F s d W U 9 I n M 5 Y W M 1 Z j I 5 Y y 0 4 M T d l L T R l N W M t Y T Q 3 N i 1 l Y m Y 1 N T k 5 N T Q 5 Z D k i L z 4 8 R W 5 0 c n k g V H l w Z T 0 i U m V z d W x 0 V H l w Z S I g V m F s d W U 9 I n N C a W 5 h c n k i L z 4 8 R W 5 0 c n k g V H l w Z T 0 i R m l s b E 9 i a m V j d F R 5 c G U i I F Z h b H V l P S J z Q 2 9 u b m V j d G l v b k 9 u b H k i L z 4 8 R W 5 0 c n k g V H l w Z T 0 i T G 9 h Z F R v U m V w b 3 J 0 R G l z Y W J s Z W Q i I F Z h b H V l P S J s M S I v P j w v U 3 R h Y m x l R W 5 0 c m l l c z 4 8 L 0 l 0 Z W 0 + P E l 0 Z W 0 + P E l 0 Z W 1 M b 2 N h d G l v b j 4 8 S X R l b V R 5 c G U + R m 9 y b X V s Y T w v S X R l b V R 5 c G U + P E l 0 Z W 1 Q Y X R o P l N l Y 3 R p b 2 4 x L 1 R y Y X N m b 3 J t Y S U y M G Z p b G U l M j B k a S U y M G V z Z W 1 w a W 8 l M j A o M i 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C 0 w N i 0 y M F Q x M D o w M T o x M S 4 x O T Q x M T A w 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z l k O T d i Y T Z k L T E y O T I t N D h i N i 1 i M D B j L W N h N D E 2 Y j A z Z m I 0 Z C I v P j x F b n R y e S B U e X B l P S J R d W V y e U l E I i B W Y W x 1 Z T 0 i c z k z O W I w O G Z h L W Z k N G Q t N D A 4 N y 1 h O T A 5 L T N i Y j Q z Z D U 1 Y j I 4 N S I v P j x F b n R y e S B U e X B l P S J S Z X N 1 b H R U e X B l I i B W Y W x 1 Z T 0 i c 0 V 4 Y 2 V w d G l v b i I v P j x F b n R y e S B U e X B l P S J G a W x s T 2 J q Z W N 0 V H l w Z S I g V m F s d W U 9 I n N D b 2 5 u Z W N 0 a W 9 u T 2 5 s e S I v P j x F b n R y e S B U e X B l P S J O Y W 1 l V X B k Y X R l Z E F m d G V y R m l s b C I g V m F s d W U 9 I m w x I i 8 + P E V u d H J 5 I F R 5 c G U 9 I k x v Y W R U b 1 J l c G 9 y d E R p c 2 F i b G V k I i B W Y W x 1 Z T 0 i b D E i L z 4 8 L 1 N 0 Y W J s Z U V u d H J p Z X M + P C 9 J d G V t P j x J d G V t P j x J d G V t T G 9 j Y X R p b 2 4 + P E l 0 Z W 1 U e X B l P k Z v c m 1 1 b G E 8 L 0 l 0 Z W 1 U e X B l P j x J d G V t U G F 0 a D 5 T Z W N 0 a W 9 u M S 9 U c m F z Z m 9 y b W E l M j B m a W x l J T I w K D I 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Y t M j B U M T A 6 M D E 6 M T E u M j I 0 M T A 4 M V 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M y M D M 2 M 2 Z h Z C 0 x N T c 5 L T R h Z m E t Y T c z N C 0 3 Y T g 3 O T F m O T h j Y T I i L z 4 8 R W 5 0 c n k g V H l w Z T 0 i U X V l c n l J R C I g V m F s d W U 9 I n M 4 O T g y Z D E 3 M y 0 z M m Q 1 L T R l Y j A t O T k 5 N i 1 l M j M 4 Y z F k N G Q 4 Y j k i L z 4 8 R W 5 0 c n k g V H l w Z T 0 i U m V z d W x 0 V H l w Z S I g V m F s d W U 9 I n N G d W 5 j d G l v b i I v P j x F b n R y e S B U e X B l P S J G a W x s T 2 J q Z W N 0 V H l w Z S I g V m F s d W U 9 I n N D b 2 5 u Z W N 0 a W 9 u T 2 5 s e S I v P j x F b n R y e S B U e X B l P S J M b 2 F k V G 9 S Z X B v c n R E a X N h Y m x l Z C I g V m F s d W U 9 I m w x I i 8 + P C 9 T d G F i b G V F b n R y a W V z P j w v S X R l b T 4 8 S X R l b T 4 8 S X R l b U x v Y 2 F 0 a W 9 u P j x J d G V t V H l w Z T 5 G b 3 J t d W x h P C 9 J d G V t V H l w Z T 4 8 S X R l b V B h d G g + U 2 V j d G l v b j E v R W x l b m N v X 2 N o Z W t f b G l z d C U y M C g y K T w v S X R l b V B h d G g + P C 9 J d G V t T G 9 j Y X R p b 2 4 + P F N 0 Y W J s Z U V u d H J p Z X M + P E V u d H J 5 I F R 5 c G U 9 I k F k Z G V k V G 9 E Y X R h T W 9 k Z W w i I F Z h b H V l P S J s M C I v P j x F b n R y e S B U e X B l P S J C d W Z m Z X J O Z X h 0 U m V m c m V z a C I g V m F s d W U 9 I m w x I i 8 + P E V u d H J 5 I F R 5 c G U 9 I k Z p b G x D b 3 V u d C I g V m F s d W U 9 I m w x M z M i L z 4 8 R W 5 0 c n k g V H l w Z T 0 i R m l s b E V u Y W J s Z W Q i I F Z h b H V l P S J s M S I v P j x F b n R y e S B U e X B l P S J G a W x s R X J y b 3 J D b 2 R l I i B W Y W x 1 Z T 0 i c 1 V u a 2 5 v d 2 4 i L z 4 8 R W 5 0 c n k g V H l w Z T 0 i R m l s b E V y c m 9 y Q 2 9 1 b n Q i I F Z h b H V l P S J s M C I v P j x F b n R y e S B U e X B l P S J G a W x s T G F z d F V w Z G F 0 Z W Q i I F Z h b H V l P S J k M j A y N C 0 w N y 0 w N V Q w O D o z M j o y N y 4 3 O D M 5 N T A w W i I v P j x F b n R y e S B U e X B l P S J G a W x s Q 2 9 s d W 1 u V H l w Z X M i I F Z h b H V l P S J z Q U F N R E J n W U F B Q U F B Q U F B Q U F B Q U F B Q T 0 9 I i 8 + P E V u d H J 5 I F R 5 c G U 9 I k Z p b G x D b 2 x 1 b W 5 O Y W 1 l c y I g V m F s d W U 9 I n N b J n F 1 b 3 Q 7 Q 2 h l a y B s a X N 0 I E l E J n F 1 b 3 Q 7 L C Z x d W 9 0 O 2 l k I H B h c n R u Z X I m c X V v d D s s J n F 1 b 3 Q 7 a W Q g c m V w b 3 J 0 J n F 1 b 3 Q 7 L C Z x d W 9 0 O 0 F j c m 9 u a W 1 v I H B y b 2 d l d H R v J n F 1 b 3 Q 7 L C Z x d W 9 0 O 2 F j c m 9 u a W 1 v I H B h c n R u Z X I m c X V v d D s s J n F 1 b 3 Q 7 Q 2 9 u d G V u d C 5 z d G F 0 d X M m c X V v d D s s J n F 1 b 3 Q 7 Q 2 9 u d G V u d C 5 0 e X B l J n F 1 b 3 Q 7 L C Z x d W 9 0 O 0 N v b n R l b n Q u b m F t Z S Z x d W 9 0 O y w m c X V v d D t D b 2 5 0 Z W 5 0 L m N y Z W F 0 b 3 J F b W F p b C Z x d W 9 0 O y w m c X V v d D t D b 2 5 0 Z W 5 0 L m N y Z W F 0 Z W R B d C Z x d W 9 0 O y w m c X V v d D t D b 2 5 0 Z W 5 0 L m Z p b m l z a G V k R G F 0 Z S Z x d W 9 0 O y w m c X V v d D t D b 2 5 0 Z W 5 0 L n J l b G F 0 Z W R U b 0 l k J n F 1 b 3 Q 7 L C Z x d W 9 0 O 0 N v b n R l b n Q u c H J v Z 3 J h b W 1 l Q 2 h l Y 2 t s a X N 0 S W Q m c X V v d D s s J n F 1 b 3 Q 7 Q 2 9 u d G V u d C 5 j b 2 5 z b 2 x p Z G F 0 Z W Q m c X V v d D s s J n F 1 b 3 Q 7 Q 2 9 u d G V u d C 5 2 a X N p Y m x l J n F 1 b 3 Q 7 L C Z x d W 9 0 O 0 N v b n R l b n Q u Z G V z Y 3 J p c H R p b 2 4 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c 3 O G Z k M z I x L W I 5 N j c t N G F k O C 0 4 M D d m L T c w N j V h N 2 J m N D I 2 O S I v P j x F b n R y e S B U e X B l P S J S Z W x h d G l v b n N o a X B J b m Z v Q 2 9 u d G F p b m V y I i B W Y W x 1 Z T 0 i c 3 s m c X V v d D t j b 2 x 1 b W 5 D b 3 V u d C Z x d W 9 0 O z o x N i w m c X V v d D t r Z X l D b 2 x 1 b W 5 O Y W 1 l c y Z x d W 9 0 O z p b X S w m c X V v d D t x d W V y e V J l b G F 0 a W 9 u c 2 h p c H M m c X V v d D s 6 W 1 0 s J n F 1 b 3 Q 7 Y 2 9 s d W 1 u S W R l b n R p d G l l c y Z x d W 9 0 O z p b J n F 1 b 3 Q 7 U 2 V j d G l v b j E v R W x l b m N v X 2 N o Z W t f b G l z d C A o M i k v Q X V 0 b 1 J l b W 9 2 Z W R D b 2 x 1 b W 5 z M S 5 7 Q 2 h l a y B s a X N 0 I E l E L D B 9 J n F 1 b 3 Q 7 L C Z x d W 9 0 O 1 N l Y 3 R p b 2 4 x L 0 V s Z W 5 j b 1 9 j a G V r X 2 x p c 3 Q g K D I p L 0 F 1 d G 9 S Z W 1 v d m V k Q 2 9 s d W 1 u c z E u e 2 l k I H B h c n R u Z X I s M X 0 m c X V v d D s s J n F 1 b 3 Q 7 U 2 V j d G l v b j E v R W x l b m N v X 2 N o Z W t f b G l z d C A o M i k v Q X V 0 b 1 J l b W 9 2 Z W R D b 2 x 1 b W 5 z M S 5 7 a W Q g c m V w b 3 J 0 L D J 9 J n F 1 b 3 Q 7 L C Z x d W 9 0 O 1 N l Y 3 R p b 2 4 x L 0 V s Z W 5 j b 1 9 j a G V r X 2 x p c 3 Q g K D I p L 0 F 1 d G 9 S Z W 1 v d m V k Q 2 9 s d W 1 u c z E u e 0 F j c m 9 u a W 1 v I H B y b 2 d l d H R v L D N 9 J n F 1 b 3 Q 7 L C Z x d W 9 0 O 1 N l Y 3 R p b 2 4 x L 0 V s Z W 5 j b 1 9 j a G V r X 2 x p c 3 Q g K D I p L 0 F 1 d G 9 S Z W 1 v d m V k Q 2 9 s d W 1 u c z E u e 2 F j c m 9 u a W 1 v I H B h c n R u Z X I s N H 0 m c X V v d D s s J n F 1 b 3 Q 7 U 2 V j d G l v b j E v R W x l b m N v X 2 N o Z W t f b G l z d C A o M i k v Q X V 0 b 1 J l b W 9 2 Z W R D b 2 x 1 b W 5 z M S 5 7 Q 2 9 u d G V u d C 5 z d G F 0 d X M s N X 0 m c X V v d D s s J n F 1 b 3 Q 7 U 2 V j d G l v b j E v R W x l b m N v X 2 N o Z W t f b G l z d C A o M i k v Q X V 0 b 1 J l b W 9 2 Z W R D b 2 x 1 b W 5 z M S 5 7 Q 2 9 u d G V u d C 5 0 e X B l L D Z 9 J n F 1 b 3 Q 7 L C Z x d W 9 0 O 1 N l Y 3 R p b 2 4 x L 0 V s Z W 5 j b 1 9 j a G V r X 2 x p c 3 Q g K D I p L 0 F 1 d G 9 S Z W 1 v d m V k Q 2 9 s d W 1 u c z E u e 0 N v b n R l b n Q u b m F t Z S w 3 f S Z x d W 9 0 O y w m c X V v d D t T Z W N 0 a W 9 u M S 9 F b G V u Y 2 9 f Y 2 h l a 1 9 s a X N 0 I C g y K S 9 B d X R v U m V t b 3 Z l Z E N v b H V t b n M x L n t D b 2 5 0 Z W 5 0 L m N y Z W F 0 b 3 J F b W F p b C w 4 f S Z x d W 9 0 O y w m c X V v d D t T Z W N 0 a W 9 u M S 9 F b G V u Y 2 9 f Y 2 h l a 1 9 s a X N 0 I C g y K S 9 B d X R v U m V t b 3 Z l Z E N v b H V t b n M x L n t D b 2 5 0 Z W 5 0 L m N y Z W F 0 Z W R B d C w 5 f S Z x d W 9 0 O y w m c X V v d D t T Z W N 0 a W 9 u M S 9 F b G V u Y 2 9 f Y 2 h l a 1 9 s a X N 0 I C g y K S 9 B d X R v U m V t b 3 Z l Z E N v b H V t b n M x L n t D b 2 5 0 Z W 5 0 L m Z p b m l z a G V k R G F 0 Z S w x M H 0 m c X V v d D s s J n F 1 b 3 Q 7 U 2 V j d G l v b j E v R W x l b m N v X 2 N o Z W t f b G l z d C A o M i k v Q X V 0 b 1 J l b W 9 2 Z W R D b 2 x 1 b W 5 z M S 5 7 Q 2 9 u d G V u d C 5 y Z W x h d G V k V G 9 J Z C w x M X 0 m c X V v d D s s J n F 1 b 3 Q 7 U 2 V j d G l v b j E v R W x l b m N v X 2 N o Z W t f b G l z d C A o M i k v Q X V 0 b 1 J l b W 9 2 Z W R D b 2 x 1 b W 5 z M S 5 7 Q 2 9 u d G V u d C 5 w c m 9 n c m F t b W V D a G V j a 2 x p c 3 R J Z C w x M n 0 m c X V v d D s s J n F 1 b 3 Q 7 U 2 V j d G l v b j E v R W x l b m N v X 2 N o Z W t f b G l z d C A o M i k v Q X V 0 b 1 J l b W 9 2 Z W R D b 2 x 1 b W 5 z M S 5 7 Q 2 9 u d G V u d C 5 j b 2 5 z b 2 x p Z G F 0 Z W Q s M T N 9 J n F 1 b 3 Q 7 L C Z x d W 9 0 O 1 N l Y 3 R p b 2 4 x L 0 V s Z W 5 j b 1 9 j a G V r X 2 x p c 3 Q g K D I p L 0 F 1 d G 9 S Z W 1 v d m V k Q 2 9 s d W 1 u c z E u e 0 N v b n R l b n Q u d m l z a W J s Z S w x N H 0 m c X V v d D s s J n F 1 b 3 Q 7 U 2 V j d G l v b j E v R W x l b m N v X 2 N o Z W t f b G l z d C A o M i k v Q X V 0 b 1 J l b W 9 2 Z W R D b 2 x 1 b W 5 z M S 5 7 Q 2 9 u d G V u d C 5 k Z X N j c m l w d G l v b i w x N X 0 m c X V v d D t d L C Z x d W 9 0 O 0 N v b H V t b k N v d W 5 0 J n F 1 b 3 Q 7 O j E 2 L C Z x d W 9 0 O 0 t l e U N v b H V t b k 5 h b W V z J n F 1 b 3 Q 7 O l t d L C Z x d W 9 0 O 0 N v b H V t b k l k Z W 5 0 a X R p Z X M m c X V v d D s 6 W y Z x d W 9 0 O 1 N l Y 3 R p b 2 4 x L 0 V s Z W 5 j b 1 9 j a G V r X 2 x p c 3 Q g K D I p L 0 F 1 d G 9 S Z W 1 v d m V k Q 2 9 s d W 1 u c z E u e 0 N o Z W s g b G l z d C B J R C w w f S Z x d W 9 0 O y w m c X V v d D t T Z W N 0 a W 9 u M S 9 F b G V u Y 2 9 f Y 2 h l a 1 9 s a X N 0 I C g y K S 9 B d X R v U m V t b 3 Z l Z E N v b H V t b n M x L n t p Z C B w Y X J 0 b m V y L D F 9 J n F 1 b 3 Q 7 L C Z x d W 9 0 O 1 N l Y 3 R p b 2 4 x L 0 V s Z W 5 j b 1 9 j a G V r X 2 x p c 3 Q g K D I p L 0 F 1 d G 9 S Z W 1 v d m V k Q 2 9 s d W 1 u c z E u e 2 l k I H J l c G 9 y d C w y f S Z x d W 9 0 O y w m c X V v d D t T Z W N 0 a W 9 u M S 9 F b G V u Y 2 9 f Y 2 h l a 1 9 s a X N 0 I C g y K S 9 B d X R v U m V t b 3 Z l Z E N v b H V t b n M x L n t B Y 3 J v b m l t b y B w c m 9 n Z X R 0 b y w z f S Z x d W 9 0 O y w m c X V v d D t T Z W N 0 a W 9 u M S 9 F b G V u Y 2 9 f Y 2 h l a 1 9 s a X N 0 I C g y K S 9 B d X R v U m V t b 3 Z l Z E N v b H V t b n M x L n t h Y 3 J v b m l t b y B w Y X J 0 b m V y L D R 9 J n F 1 b 3 Q 7 L C Z x d W 9 0 O 1 N l Y 3 R p b 2 4 x L 0 V s Z W 5 j b 1 9 j a G V r X 2 x p c 3 Q g K D I p L 0 F 1 d G 9 S Z W 1 v d m V k Q 2 9 s d W 1 u c z E u e 0 N v b n R l b n Q u c 3 R h d H V z L D V 9 J n F 1 b 3 Q 7 L C Z x d W 9 0 O 1 N l Y 3 R p b 2 4 x L 0 V s Z W 5 j b 1 9 j a G V r X 2 x p c 3 Q g K D I p L 0 F 1 d G 9 S Z W 1 v d m V k Q 2 9 s d W 1 u c z E u e 0 N v b n R l b n Q u d H l w Z S w 2 f S Z x d W 9 0 O y w m c X V v d D t T Z W N 0 a W 9 u M S 9 F b G V u Y 2 9 f Y 2 h l a 1 9 s a X N 0 I C g y K S 9 B d X R v U m V t b 3 Z l Z E N v b H V t b n M x L n t D b 2 5 0 Z W 5 0 L m 5 h b W U s N 3 0 m c X V v d D s s J n F 1 b 3 Q 7 U 2 V j d G l v b j E v R W x l b m N v X 2 N o Z W t f b G l z d C A o M i k v Q X V 0 b 1 J l b W 9 2 Z W R D b 2 x 1 b W 5 z M S 5 7 Q 2 9 u d G V u d C 5 j c m V h d G 9 y R W 1 h a W w s O H 0 m c X V v d D s s J n F 1 b 3 Q 7 U 2 V j d G l v b j E v R W x l b m N v X 2 N o Z W t f b G l z d C A o M i k v Q X V 0 b 1 J l b W 9 2 Z W R D b 2 x 1 b W 5 z M S 5 7 Q 2 9 u d G V u d C 5 j c m V h d G V k Q X Q s O X 0 m c X V v d D s s J n F 1 b 3 Q 7 U 2 V j d G l v b j E v R W x l b m N v X 2 N o Z W t f b G l z d C A o M i k v Q X V 0 b 1 J l b W 9 2 Z W R D b 2 x 1 b W 5 z M S 5 7 Q 2 9 u d G V u d C 5 m a W 5 p c 2 h l Z E R h d G U s M T B 9 J n F 1 b 3 Q 7 L C Z x d W 9 0 O 1 N l Y 3 R p b 2 4 x L 0 V s Z W 5 j b 1 9 j a G V r X 2 x p c 3 Q g K D I p L 0 F 1 d G 9 S Z W 1 v d m V k Q 2 9 s d W 1 u c z E u e 0 N v b n R l b n Q u c m V s Y X R l Z F R v S W Q s M T F 9 J n F 1 b 3 Q 7 L C Z x d W 9 0 O 1 N l Y 3 R p b 2 4 x L 0 V s Z W 5 j b 1 9 j a G V r X 2 x p c 3 Q g K D I p L 0 F 1 d G 9 S Z W 1 v d m V k Q 2 9 s d W 1 u c z E u e 0 N v b n R l b n Q u c H J v Z 3 J h b W 1 l Q 2 h l Y 2 t s a X N 0 S W Q s M T J 9 J n F 1 b 3 Q 7 L C Z x d W 9 0 O 1 N l Y 3 R p b 2 4 x L 0 V s Z W 5 j b 1 9 j a G V r X 2 x p c 3 Q g K D I p L 0 F 1 d G 9 S Z W 1 v d m V k Q 2 9 s d W 1 u c z E u e 0 N v b n R l b n Q u Y 2 9 u c 2 9 s a W R h d G V k L D E z f S Z x d W 9 0 O y w m c X V v d D t T Z W N 0 a W 9 u M S 9 F b G V u Y 2 9 f Y 2 h l a 1 9 s a X N 0 I C g y K S 9 B d X R v U m V t b 3 Z l Z E N v b H V t b n M x L n t D b 2 5 0 Z W 5 0 L n Z p c 2 l i b G U s M T R 9 J n F 1 b 3 Q 7 L C Z x d W 9 0 O 1 N l Y 3 R p b 2 4 x L 0 V s Z W 5 j b 1 9 j a G V r X 2 x p c 3 Q g K D I p L 0 F 1 d G 9 S Z W 1 v d m V k Q 2 9 s d W 1 u c z E u e 0 N v b n R l b n Q u Z G V z Y 3 J p c H R p b 2 4 s M T V 9 J n F 1 b 3 Q 7 X S w m c X V v d D t S Z W x h d G l v b n N o a X B J b m Z v J n F 1 b 3 Q 7 O l t d f S I v P j x F b n R y e S B U e X B l P S J S Z X N 1 b H R U e X B l I i B W Y W x 1 Z T 0 i c 1 R h Y m x l I i 8 + P E V u d H J 5 I F R 5 c G U 9 I k 5 h d m l n Y X R p b 2 5 T d G V w T m F t Z S I g V m F s d W U 9 I n N O Y X Z p Z 2 F 6 a W 9 u Z S I v P j x F b n R y e S B U e X B l P S J G a W x s T 2 J q Z W N 0 V H l w Z S I g V m F s d W U 9 I n N U Y W J s Z S I v P j x F b n R y e S B U e X B l P S J O Y W 1 l V X B k Y X R l Z E F m d G V y R m l s b C I g V m F s d W U 9 I m w w I i 8 + P E V u d H J 5 I F R 5 c G U 9 I k Z p b G x U Y X J n Z X Q i I F Z h b H V l P S J z R W x l b m N v X 2 N o Z W t f b G l z d F 9 f M i I v P j w v U 3 R h Y m x l R W 5 0 c m l l c z 4 8 L 0 l 0 Z W 0 + P E l 0 Z W 0 + P E l 0 Z W 1 M b 2 N h d G l v b j 4 8 S X R l b V R 5 c G U + R m 9 y b X V s Y T w v S X R l b V R 5 c G U + P E l 0 Z W 1 Q Y X R o P l N l Y 3 R p b 2 4 x L 0 Z p b G U l M j B k a S U y M G V z Z W 1 w a W 8 l M j A o O C 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C 0 w N i 0 y M F Q x M D o x M z o w O S 4 0 M j g y N z Y 3 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z k x N G E 0 Y z U w L T h l N T Y t N G I 1 Z C 1 h Z T c 0 L W J m N m Q w M D k y M z N m M S I v P j x F b n R y e S B U e X B l P S J R d W V y e U l E I i B W Y W x 1 Z T 0 i c z M z N T k 1 Y W U y L T h m M z A t N D k 3 Y i 1 h Z T Y w L W Z h N j Q 4 M G M 5 N W I w Y i I v P j x F b n R y e S B U e X B l P S J S Z X N 1 b H R U e X B l I i B W Y W x 1 Z T 0 i c 0 J p b m F y e S I v P j x F b n R y e S B U e X B l P S J G a W x s T 2 J q Z W N 0 V H l w Z S I g V m F s d W U 9 I n N D b 2 5 u Z W N 0 a W 9 u T 2 5 s e S I v P j x F b n R y e S B U e X B l P S J O Y W 1 l V X B k Y X R l Z E F m d G V y R m l s b C I g V m F s d W U 9 I m w x I i 8 + P E V u d H J 5 I F R 5 c G U 9 I k x v Y W R l Z F R v Q W 5 h b H l z a X N T Z X J 2 a W N l c y I g V m F s d W U 9 I m w w I i 8 + P E V u d H J 5 I F R 5 c G U 9 I k x v Y W R U b 1 J l c G 9 y d E R p c 2 F i b G V k I i B W Y W x 1 Z T 0 i b D E i L z 4 8 L 1 N 0 Y W J s Z U V u d H J p Z X M + P C 9 J d G V t P j x J d G V t P j x J d G V t T G 9 j Y X R p b 2 4 + P E l 0 Z W 1 U e X B l P k Z v c m 1 1 b G E 8 L 0 l 0 Z W 1 U e X B l P j x J d G V t U G F 0 a D 5 T Z W N 0 a W 9 u M S 9 Q Y X J h b W V 0 c m 8 z 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Y t M j B U M T A 6 M T M 6 M D k u N D U 1 M j c 2 N F 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M 5 M T R h N G M 1 M C 0 4 Z T U 2 L T R i N W Q t Y W U 3 N C 1 i Z j Z k M D A 5 M j M z Z j E i L z 4 8 R W 5 0 c n k g V H l w Z T 0 i U X V l c n l J R C I g V m F s d W U 9 I n N h Y m Y 2 Z m Y 0 Z S 0 1 N T E 0 L T Q w O D E t Y T Y 1 O S 0 1 O W Y z Z j U 3 Z j V i N m M i L z 4 8 R W 5 0 c n k g V H l w Z T 0 i U m V z d W x 0 V H l w Z S I g V m F s d W U 9 I n N C a W 5 h c n k i L z 4 8 R W 5 0 c n k g V H l w Z T 0 i R m l s b E 9 i a m V j d F R 5 c G U i I F Z h b H V l P S J z Q 2 9 u b m V j d G l v b k 9 u b H k i L z 4 8 R W 5 0 c n k g V H l w Z T 0 i T G 9 h Z F R v U m V w b 3 J 0 R G l z Y W J s Z W Q i I F Z h b H V l P S J s M S I v P j w v U 3 R h Y m x l R W 5 0 c m l l c z 4 8 L 0 l 0 Z W 0 + P E l 0 Z W 0 + P E l 0 Z W 1 M b 2 N h d G l v b j 4 8 S X R l b V R 5 c G U + R m 9 y b X V s Y T w v S X R l b V R 5 c G U + P E l 0 Z W 1 Q Y X R o P l N l Y 3 R p b 2 4 x L 1 R y Y X N m b 3 J t Y S U y M G Z p b G U l M j B k a S U y M G V z Z W 1 w a W 8 l M j A o M y 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C 0 w N i 0 y M F Q x M D o x M z o w O S 4 0 N j k y N z Q 5 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z Q 1 N z d m Z G U 0 L T d m M G U t N D I 1 M C 0 4 Z j R m L W M 3 M W Q 4 O W R j N D d m Y y I v P j x F b n R y e S B U e X B l P S J R d W V y e U l E I i B W Y W x 1 Z T 0 i c 2 U 3 M D Q 1 N T g x L W E w M G E t N G M y Z i 1 i Z D I y L T R l M G R i N D U w Y m Y w M y I v P j x F b n R y e S B U e X B l P S J S Z X N 1 b H R U e X B l I i B W Y W x 1 Z T 0 i c 0 V 4 Y 2 V w d G l v b i I v P j x F b n R y e S B U e X B l P S J G a W x s T 2 J q Z W N 0 V H l w Z S I g V m F s d W U 9 I n N D b 2 5 u Z W N 0 a W 9 u T 2 5 s e S I v P j x F b n R y e S B U e X B l P S J O Y W 1 l V X B k Y X R l Z E F m d G V y R m l s b C I g V m F s d W U 9 I m w x I i 8 + P E V u d H J 5 I F R 5 c G U 9 I k x v Y W R U b 1 J l c G 9 y d E R p c 2 F i b G V k I i B W Y W x 1 Z T 0 i b D E i L z 4 8 L 1 N 0 Y W J s Z U V u d H J p Z X M + P C 9 J d G V t P j x J d G V t P j x J d G V t T G 9 j Y X R p b 2 4 + P E l 0 Z W 1 U e X B l P k Z v c m 1 1 b G E 8 L 0 l 0 Z W 1 U e X B l P j x J d G V t U G F 0 a D 5 T Z W N 0 a W 9 u M S 9 U c m F z Z m 9 y b W E l M j B m a W x l J T I w K D M 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Y t M j B U M T A 6 M T M 6 M D k u N D c 5 M j c 3 N V 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M 5 M T R h N G M 1 M C 0 4 Z T U 2 L T R i N W Q t Y W U 3 N C 1 i Z j Z k M D A 5 M j M z Z j E i L z 4 8 R W 5 0 c n k g V H l w Z T 0 i U X V l c n l J R C I g V m F s d W U 9 I n N j M D M w M T A 2 M i 0 z Z D J h L T Q 2 Z T c t O D c x N S 1 h M G I 0 Z T d h M j k 5 Y m Y i L z 4 8 R W 5 0 c n k g V H l w Z T 0 i U m V z d W x 0 V H l w Z S I g V m F s d W U 9 I n N G d W 5 j d G l v b i I v P j x F b n R y e S B U e X B l P S J G a W x s T 2 J q Z W N 0 V H l w Z S I g V m F s d W U 9 I n N D b 2 5 u Z W N 0 a W 9 u T 2 5 s e S I v P j x F b n R y e S B U e X B l P S J M b 2 F k V G 9 S Z X B v c n R E a X N h Y m x l Z C I g V m F s d W U 9 I m w x I i 8 + P C 9 T d G F i b G V F b n R y a W V z P j w v S X R l b T 4 8 S X R l b T 4 8 S X R l b U x v Y 2 F 0 a W 9 u P j x J d G V t V H l w Z T 5 G b 3 J t d W x h P C 9 J d G V t V H l w Z T 4 8 S X R l b V B h d G g + U 2 V j d G l v b j E v R W x l b m N v X 2 N o Z W t f b G l z d D w v S X R l b V B h d G g + P C 9 J d G V t T G 9 j Y X R p b 2 4 + P F N 0 Y W J s Z U V u d H J p Z X M + P E V u d H J 5 I F R 5 c G U 9 I k F k Z G V k V G 9 E Y X R h T W 9 k Z W w i I F Z h b H V l P S J s M C I v P j x F b n R y e S B U e X B l P S J C d W Z m Z X J O Z X h 0 U m V m c m V z a C I g V m F s d W U 9 I m w x I i 8 + P E V u d H J 5 I F R 5 c G U 9 I k Z p b G x D b 3 V u d C I g V m F s d W U 9 I m w w I i 8 + P E V u d H J 5 I F R 5 c G U 9 I k Z p b G x F b m F i b G V k I i B W Y W x 1 Z T 0 i b D E i L z 4 8 R W 5 0 c n k g V H l w Z T 0 i R m l s b E V y c m 9 y Q 2 9 k Z S I g V m F s d W U 9 I n N V b m t u b 3 d u I i 8 + P E V u d H J 5 I F R 5 c G U 9 I k Z p b G x F c n J v c k N v d W 5 0 I i B W Y W x 1 Z T 0 i b D A i L z 4 8 R W 5 0 c n k g V H l w Z T 0 i R m l s b E x h c 3 R V c G R h d G V k I i B W Y W x 1 Z T 0 i Z D I w M j Q t M D Y t M j B U M T A 6 M D E 6 M T E u M T U 1 M T I z N V o i L z 4 8 R W 5 0 c n k g V H l w Z T 0 i R m l s b F N 0 Y X R 1 c y I g V m F s d W U 9 I n N X Y W l 0 a W 5 n R m 9 y R X h j Z W x S Z W Z y Z X N o I i 8 + P E V u d H J 5 I F R 5 c G U 9 I k Z p b G x U b 0 R h d G F N b 2 R l b E V u Y W J s Z W Q i I F Z h b H V l P S J s M C I v P j x F b n R y e S B U e X B l P S J J c 1 B y a X Z h d G U i I F Z h b H V l P S J s M C I v P j x F b n R y e S B U e X B l P S J R d W V y e U l E I i B W Y W x 1 Z T 0 i c z h j N T Q 5 Z D F l L W I 4 M T E t N D k y N C 1 h Y z V h L W I z N m Q x Z T l l Z W N h M C I v P j x F b n R y e S B U e X B l P S J S Z X N 1 b H R U e X B l I i B W Y W x 1 Z T 0 i c 0 V 4 Y 2 V w d G l v b i I v P j x F b n R y e S B U e X B l P S J G a W x s T 2 J q Z W N 0 V H l w Z S I g V m F s d W U 9 I n N U Y W J s Z S I v P j x F b n R y e S B U e X B l P S J O Y W 1 l V X B k Y X R l Z E F m d G V y R m l s b C I g V m F s d W U 9 I m w w I i 8 + P C 9 T d G F i b G V F b n R y a W V z P j w v S X R l b T 4 8 S X R l b T 4 8 S X R l b U x v Y 2 F 0 a W 9 u P j x J d G V t V H l w Z T 5 G b 3 J t d W x h P C 9 J d G V t V H l w Z T 4 8 S X R l b V B h d G g + U 2 V j d G l v b j E v Q 0 h F S y U y M E x J U 1 Q x 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N C 0 w N i 0 y M F Q x M T o x O T o w N S 4 y O D Q 4 N z Q w W i I v P j x F b n R y e S B U e X B l P S J G a W x s Q 2 9 s d W 1 u V H l w Z X M i I F Z h b H V l P S J z Q m d Z R E F 3 T U F B Q U F B Q U E 9 P S I v P j x F b n R y e S B U e X B l P S J G a W x s Q 2 9 s d W 1 u T m F t Z X M i I F Z h b H V l P S J z W y Z x d W 9 0 O 0 F r c m 9 u a W 0 g U H J v a m V j d C Z x d W 9 0 O y w m c X V v d D t h a 2 9 y b m l t I H B h c n R u Z X I m c X V v d D s s J n F 1 b 3 Q 7 S U Q g c G F y d G 5 l c i Z x d W 9 0 O y w m c X V v d D t J R C B y Z X B v c n Q m c X V v d D s s J n F 1 b 3 Q 7 S U Q g Q 0 h F Q 0 s m c X V v d D s s J n F 1 b 3 Q 7 V m F s d W U u a W Q m c X V v d D s s J n F 1 b 3 Q 7 V m F s d W U u c G 9 z a X R p b 2 4 m c X V v d D s s J n F 1 b 3 Q 7 V m F s d W U u c H J v Z 3 J h b W 1 l T W V 0 Y W R h d G E u c X V l c 3 R p b 2 4 m c X V v d D s s J n F 1 b 3 Q 7 V m F s d W U u a W 5 z d G F u Y 2 V N Z X R h Z G F 0 Y S 5 h b n N 3 Z X I m c X V v d D s s J n F 1 b 3 Q 7 V m F s d W U u a W 5 z d G F u Y 2 V N Z X R h Z G F 0 Y S 5 q d X N 0 a W Z p Y 2 F 0 a W 9 u 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x M 2 N j N D F h O S 1 j N z g 5 L T R l Z T E t Y T F j Z S 1 m Z j V m Z D Q w M z V j M W U i L z 4 8 R W 5 0 c n k g V H l w Z T 0 i U m V s Y X R p b 2 5 z a G l w S W 5 m b 0 N v b n R h a W 5 l c i I g V m F s d W U 9 I n N 7 J n F 1 b 3 Q 7 Y 2 9 s d W 1 u Q 2 9 1 b n Q m c X V v d D s 6 M T A s J n F 1 b 3 Q 7 a 2 V 5 Q 2 9 s d W 1 u T m F t Z X M m c X V v d D s 6 W 1 0 s J n F 1 b 3 Q 7 c X V l c n l S Z W x h d G l v b n N o a X B z J n F 1 b 3 Q 7 O l t d L C Z x d W 9 0 O 2 N v b H V t b k l k Z W 5 0 a X R p Z X M m c X V v d D s 6 W y Z x d W 9 0 O 1 N l Y 3 R p b 2 4 x L 0 N I R U s g T E l T V D E v Q X V 0 b 1 J l b W 9 2 Z W R D b 2 x 1 b W 5 z M S 5 7 Q W t y b 2 5 p b S B Q c m 9 q Z W N 0 L D B 9 J n F 1 b 3 Q 7 L C Z x d W 9 0 O 1 N l Y 3 R p b 2 4 x L 0 N I R U s g T E l T V D E v Q X V 0 b 1 J l b W 9 2 Z W R D b 2 x 1 b W 5 z M S 5 7 Y W t v c m 5 p b S B w Y X J 0 b m V y L D F 9 J n F 1 b 3 Q 7 L C Z x d W 9 0 O 1 N l Y 3 R p b 2 4 x L 0 N I R U s g T E l T V D E v Q X V 0 b 1 J l b W 9 2 Z W R D b 2 x 1 b W 5 z M S 5 7 S U Q g c G F y d G 5 l c i w y f S Z x d W 9 0 O y w m c X V v d D t T Z W N 0 a W 9 u M S 9 D S E V L I E x J U 1 Q x L 0 F 1 d G 9 S Z W 1 v d m V k Q 2 9 s d W 1 u c z E u e 0 l E I H J l c G 9 y d C w z f S Z x d W 9 0 O y w m c X V v d D t T Z W N 0 a W 9 u M S 9 D S E V L I E x J U 1 Q x L 0 F 1 d G 9 S Z W 1 v d m V k Q 2 9 s d W 1 u c z E u e 0 l E I E N I R U N L L D R 9 J n F 1 b 3 Q 7 L C Z x d W 9 0 O 1 N l Y 3 R p b 2 4 x L 0 N I R U s g T E l T V D E v Q X V 0 b 1 J l b W 9 2 Z W R D b 2 x 1 b W 5 z M S 5 7 V m F s d W U u a W Q s N X 0 m c X V v d D s s J n F 1 b 3 Q 7 U 2 V j d G l v b j E v Q 0 h F S y B M S V N U M S 9 B d X R v U m V t b 3 Z l Z E N v b H V t b n M x L n t W Y W x 1 Z S 5 w b 3 N p d G l v b i w 2 f S Z x d W 9 0 O y w m c X V v d D t T Z W N 0 a W 9 u M S 9 D S E V L I E x J U 1 Q x L 0 F 1 d G 9 S Z W 1 v d m V k Q 2 9 s d W 1 u c z E u e 1 Z h b H V l L n B y b 2 d y Y W 1 t Z U 1 l d G F k Y X R h L n F 1 Z X N 0 a W 9 u L D d 9 J n F 1 b 3 Q 7 L C Z x d W 9 0 O 1 N l Y 3 R p b 2 4 x L 0 N I R U s g T E l T V D E v Q X V 0 b 1 J l b W 9 2 Z W R D b 2 x 1 b W 5 z M S 5 7 V m F s d W U u a W 5 z d G F u Y 2 V N Z X R h Z G F 0 Y S 5 h b n N 3 Z X I s O H 0 m c X V v d D s s J n F 1 b 3 Q 7 U 2 V j d G l v b j E v Q 0 h F S y B M S V N U M S 9 B d X R v U m V t b 3 Z l Z E N v b H V t b n M x L n t W Y W x 1 Z S 5 p b n N 0 Y W 5 j Z U 1 l d G F k Y X R h L m p 1 c 3 R p Z m l j Y X R p b 2 4 s O X 0 m c X V v d D t d L C Z x d W 9 0 O 0 N v b H V t b k N v d W 5 0 J n F 1 b 3 Q 7 O j E w L C Z x d W 9 0 O 0 t l e U N v b H V t b k 5 h b W V z J n F 1 b 3 Q 7 O l t d L C Z x d W 9 0 O 0 N v b H V t b k l k Z W 5 0 a X R p Z X M m c X V v d D s 6 W y Z x d W 9 0 O 1 N l Y 3 R p b 2 4 x L 0 N I R U s g T E l T V D E v Q X V 0 b 1 J l b W 9 2 Z W R D b 2 x 1 b W 5 z M S 5 7 Q W t y b 2 5 p b S B Q c m 9 q Z W N 0 L D B 9 J n F 1 b 3 Q 7 L C Z x d W 9 0 O 1 N l Y 3 R p b 2 4 x L 0 N I R U s g T E l T V D E v Q X V 0 b 1 J l b W 9 2 Z W R D b 2 x 1 b W 5 z M S 5 7 Y W t v c m 5 p b S B w Y X J 0 b m V y L D F 9 J n F 1 b 3 Q 7 L C Z x d W 9 0 O 1 N l Y 3 R p b 2 4 x L 0 N I R U s g T E l T V D E v Q X V 0 b 1 J l b W 9 2 Z W R D b 2 x 1 b W 5 z M S 5 7 S U Q g c G F y d G 5 l c i w y f S Z x d W 9 0 O y w m c X V v d D t T Z W N 0 a W 9 u M S 9 D S E V L I E x J U 1 Q x L 0 F 1 d G 9 S Z W 1 v d m V k Q 2 9 s d W 1 u c z E u e 0 l E I H J l c G 9 y d C w z f S Z x d W 9 0 O y w m c X V v d D t T Z W N 0 a W 9 u M S 9 D S E V L I E x J U 1 Q x L 0 F 1 d G 9 S Z W 1 v d m V k Q 2 9 s d W 1 u c z E u e 0 l E I E N I R U N L L D R 9 J n F 1 b 3 Q 7 L C Z x d W 9 0 O 1 N l Y 3 R p b 2 4 x L 0 N I R U s g T E l T V D E v Q X V 0 b 1 J l b W 9 2 Z W R D b 2 x 1 b W 5 z M S 5 7 V m F s d W U u a W Q s N X 0 m c X V v d D s s J n F 1 b 3 Q 7 U 2 V j d G l v b j E v Q 0 h F S y B M S V N U M S 9 B d X R v U m V t b 3 Z l Z E N v b H V t b n M x L n t W Y W x 1 Z S 5 w b 3 N p d G l v b i w 2 f S Z x d W 9 0 O y w m c X V v d D t T Z W N 0 a W 9 u M S 9 D S E V L I E x J U 1 Q x L 0 F 1 d G 9 S Z W 1 v d m V k Q 2 9 s d W 1 u c z E u e 1 Z h b H V l L n B y b 2 d y Y W 1 t Z U 1 l d G F k Y X R h L n F 1 Z X N 0 a W 9 u L D d 9 J n F 1 b 3 Q 7 L C Z x d W 9 0 O 1 N l Y 3 R p b 2 4 x L 0 N I R U s g T E l T V D E v Q X V 0 b 1 J l b W 9 2 Z W R D b 2 x 1 b W 5 z M S 5 7 V m F s d W U u a W 5 z d G F u Y 2 V N Z X R h Z G F 0 Y S 5 h b n N 3 Z X I s O H 0 m c X V v d D s s J n F 1 b 3 Q 7 U 2 V j d G l v b j E v Q 0 h F S y B M S V N U M S 9 B d X R v U m V t b 3 Z l Z E N v b H V t b n M x L n t W Y W x 1 Z S 5 p b n N 0 Y W 5 j Z U 1 l d G F k Y X R h L m p 1 c 3 R p Z m l j Y X R p b 2 4 s O X 0 m c X V v d D t d L C Z x d W 9 0 O 1 J l b G F 0 a W 9 u c 2 h p c E l u Z m 8 m c X V v d D s 6 W 1 1 9 I i 8 + P E V u d H J 5 I F R 5 c G U 9 I l J l c 3 V s d F R 5 c G U i I F Z h b H V l P S J z V G F i b G U i L z 4 8 R W 5 0 c n k g V H l w Z T 0 i T m F 2 a W d h d G l v b l N 0 Z X B O Y W 1 l I i B W Y W x 1 Z T 0 i c 0 5 h d m l n Y X p p b 2 5 l I i 8 + P E V u d H J 5 I F R 5 c G U 9 I k Z p b G x P Y m p l Y 3 R U e X B l I i B W Y W x 1 Z T 0 i c 0 N v b m 5 l Y 3 R p b 2 5 P b m x 5 I i 8 + P E V u d H J 5 I F R 5 c G U 9 I k 5 h b W V V c G R h d G V k Q W Z 0 Z X J G a W x s I i B W Y W x 1 Z T 0 i b D A i L z 4 8 L 1 N 0 Y W J s Z U V u d H J p Z X M + P C 9 J d G V t P j x J d G V t P j x J d G V t T G 9 j Y X R p b 2 4 + P E l 0 Z W 1 U e X B l P k Z v c m 1 1 b G E 8 L 0 l 0 Z W 1 U e X B l P j x J d G V t U G F 0 a D 5 T Z W N 0 a W 9 u M S 9 G a W x l J T I w Z G k l M j B l c 2 V t c G l v J T I w K D k 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Y t M j B U M T E 6 M T U 6 M D E u M z k 0 N T U 4 N 1 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M w M D N i Z j U 3 Z C 0 4 M D Y w L T R l M j c t Y T h k N i 1 l M D J k Z D U 1 O W J l Z T I i L z 4 8 R W 5 0 c n k g V H l w Z T 0 i U X V l c n l J R C I g V m F s d W U 9 I n M w N D k 0 Y T E 5 M C 0 3 M T Z k L T R k Y j M t O D M 4 N C 0 w N D M 1 M D d k Y 2 R m Z j E i L z 4 8 R W 5 0 c n k g V H l w Z T 0 i U m V z d W x 0 V H l w Z S I g V m F s d W U 9 I n N C a W 5 h c n k i L z 4 8 R W 5 0 c n k g V H l w Z T 0 i R m l s b E 9 i a m V j d F R 5 c G U i I F Z h b H V l P S J z Q 2 9 u b m V j d G l v b k 9 u b H k i L z 4 8 R W 5 0 c n k g V H l w Z T 0 i T m F t Z V V w Z G F 0 Z W R B Z n R l c k Z p b G w i I F Z h b H V l P S J s M S I v P j x F b n R y e S B U e X B l P S J M b 2 F k Z W R U b 0 F u Y W x 5 c 2 l z U 2 V y d m l j Z X M i I F Z h b H V l P S J s M C I v P j x F b n R y e S B U e X B l P S J M b 2 F k V G 9 S Z X B v c n R E a X N h Y m x l Z C I g V m F s d W U 9 I m w x I i 8 + P C 9 T d G F i b G V F b n R y a W V z P j w v S X R l b T 4 8 S X R l b T 4 8 S X R l b U x v Y 2 F 0 a W 9 u P j x J d G V t V H l w Z T 5 G b 3 J t d W x h P C 9 J d G V t V H l w Z T 4 8 S X R l b V B h d G g + U 2 V j d G l v b j E v U G F y Y W 1 l d H J v N D 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0 L T A 2 L T I w V D E x O j E 1 O j A x L j Q y M D U y N j B 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M D A z Y m Y 1 N 2 Q t O D A 2 M C 0 0 Z T I 3 L W E 4 Z D Y t Z T A y Z G Q 1 N T l i Z W U y I i 8 + P E V u d H J 5 I F R 5 c G U 9 I l F 1 Z X J 5 S U Q i I F Z h b H V l P S J z N D E 0 Y j Q 3 N m U t N 2 Q 5 Z i 0 0 N W I w L W E 2 M j I t M D Q 5 Y m V l M T M 1 O T Y 1 I i 8 + P E V u d H J 5 I F R 5 c G U 9 I l J l c 3 V s d F R 5 c G U i I F Z h b H V l P S J z Q m l u Y X J 5 I i 8 + P E V u d H J 5 I F R 5 c G U 9 I k Z p b G x P Y m p l Y 3 R U e X B l I i B W Y W x 1 Z T 0 i c 0 N v b m 5 l Y 3 R p b 2 5 P b m x 5 I i 8 + P E V u d H J 5 I F R 5 c G U 9 I k x v Y W R U b 1 J l c G 9 y d E R p c 2 F i b G V k I i B W Y W x 1 Z T 0 i b D E i L z 4 8 L 1 N 0 Y W J s Z U V u d H J p Z X M + P C 9 J d G V t P j x J d G V t P j x J d G V t T G 9 j Y X R p b 2 4 + P E l 0 Z W 1 U e X B l P k Z v c m 1 1 b G E 8 L 0 l 0 Z W 1 U e X B l P j x J d G V t U G F 0 a D 5 T Z W N 0 a W 9 u M S 9 U c m F z Z m 9 y b W E l M j B m a W x l J T I w Z G k l M j B l c 2 V t c G l v J T I w K D Q 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Y t M j B U M T E 6 M T U 6 M D E u N D U y M D M 3 M V 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M x M z R i N W R m Y i 1 i Z D g 4 L T Q z M D I t Y W N i Y i 0 1 M j d l M z M 4 N D h k O W U i L z 4 8 R W 5 0 c n k g V H l w Z T 0 i U X V l c n l J R C I g V m F s d W U 9 I n M y Z j g x Z T J i M S 0 y M D l m L T Q 2 M T I t O D U z Y y 0 0 N z V i M m Z i Y W N i N W M i L z 4 8 R W 5 0 c n k g V H l w Z T 0 i U m V z d W x 0 V H l w Z S I g V m F s d W U 9 I n N U Y W J s Z S I v P j x F b n R y e S B U e X B l P S J G a W x s T 2 J q Z W N 0 V H l w Z S I g V m F s d W U 9 I n N D b 2 5 u Z W N 0 a W 9 u T 2 5 s e S I v P j x F b n R y e S B U e X B l P S J O Y W 1 l V X B k Y X R l Z E F m d G V y R m l s b C I g V m F s d W U 9 I m w x I i 8 + P E V u d H J 5 I F R 5 c G U 9 I k x v Y W R U b 1 J l c G 9 y d E R p c 2 F i b G V k I i B W Y W x 1 Z T 0 i b D E i L z 4 8 L 1 N 0 Y W J s Z U V u d H J p Z X M + P C 9 J d G V t P j x J d G V t P j x J d G V t T G 9 j Y X R p b 2 4 + P E l 0 Z W 1 U e X B l P k Z v c m 1 1 b G E 8 L 0 l 0 Z W 1 U e X B l P j x J d G V t U G F 0 a D 5 T Z W N 0 a W 9 u M S 9 U c m F z Z m 9 y b W E l M j B m a W x l J T I w K D Q 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Y t M j B U M T E 6 M T U 6 M D E u N D Y z M D M 3 N V 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M w M D N i Z j U 3 Z C 0 4 M D Y w L T R l M j c t Y T h k N i 1 l M D J k Z D U 1 O W J l Z T I i L z 4 8 R W 5 0 c n k g V H l w Z T 0 i U X V l c n l J R C I g V m F s d W U 9 I n N i Y j A 5 O T V j Z S 1 h N W V m L T R j Z W M t O G Q x M y 0 0 Y z A 2 Y 2 Z k Y j R l Z W U i L z 4 8 R W 5 0 c n k g V H l w Z T 0 i U m V z d W x 0 V H l w Z S I g V m F s d W U 9 I n N G d W 5 j d G l v b i I v P j x F b n R y e S B U e X B l P S J G a W x s T 2 J q Z W N 0 V H l w Z S I g V m F s d W U 9 I n N D b 2 5 u Z W N 0 a W 9 u T 2 5 s e S I v P j x F b n R y e S B U e X B l P S J M b 2 F k V G 9 S Z X B v c n R E a X N h Y m x l Z C I g V m F s d W U 9 I m w x I i 8 + P C 9 T d G F i b G V F b n R y a W V z P j w v S X R l b T 4 8 S X R l b T 4 8 S X R l b U x v Y 2 F 0 a W 9 u P j x J d G V t V H l w Z T 5 G b 3 J t d W x h P C 9 J d G V t V H l w Z T 4 8 S X R l b V B h d G g + U 2 V j d G l v b j E v R m l s Z S U y M G R p J T I w Z X N l b X B p b y U y M C g x M C 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C 0 w N i 0 y M F Q x M T o z M T o z N S 4 z M z g 5 N z Y y 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z c z O W F j M W R l L T g x O T Y t N D M y O S 1 h N D U 5 L T U 2 M j l m N j V j M m U 2 Y i I v P j x F b n R y e S B U e X B l P S J R d W V y e U l E I i B W Y W x 1 Z T 0 i c 2 R i O D c 0 N 2 Q 0 L W F i N W I t N D U x Z S 1 h M 2 Q w L W Y w M z R i N m J m N D M 3 N y I v P j x F b n R y e S B U e X B l P S J S Z X N 1 b H R U e X B l I i B W Y W x 1 Z T 0 i c 0 J p b m F y e S I v P j x F b n R y e S B U e X B l P S J G a W x s T 2 J q Z W N 0 V H l w Z S I g V m F s d W U 9 I n N D b 2 5 u Z W N 0 a W 9 u T 2 5 s e S I v P j x F b n R y e S B U e X B l P S J O Y W 1 l V X B k Y X R l Z E F m d G V y R m l s b C I g V m F s d W U 9 I m w x I i 8 + P E V u d H J 5 I F R 5 c G U 9 I k x v Y W R l Z F R v Q W 5 h b H l z a X N T Z X J 2 a W N l c y I g V m F s d W U 9 I m w w I i 8 + P E V u d H J 5 I F R 5 c G U 9 I k x v Y W R U b 1 J l c G 9 y d E R p c 2 F i b G V k I i B W Y W x 1 Z T 0 i b D E i L z 4 8 L 1 N 0 Y W J s Z U V u d H J p Z X M + P C 9 J d G V t P j x J d G V t P j x J d G V t T G 9 j Y X R p b 2 4 + P E l 0 Z W 1 U e X B l P k Z v c m 1 1 b G E 8 L 0 l 0 Z W 1 U e X B l P j x J d G V t U G F 0 a D 5 T Z W N 0 a W 9 u M S 9 Q Y X J h b W V 0 c m 8 1 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Y t M j B U M T E 6 M z E 6 M z U u M z Y y O T c 2 M V 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M 3 M z l h Y z F k Z S 0 4 M T k 2 L T Q z M j k t Y T Q 1 O S 0 1 N j I 5 Z j Y 1 Y z J l N m I i L z 4 8 R W 5 0 c n k g V H l w Z T 0 i U X V l c n l J R C I g V m F s d W U 9 I n M y O D Z i Y z c 4 M y 1 h N T E 3 L T Q y O D Y t O T k 0 M S 1 m M T N j N j l i M D g 1 N m Y i L z 4 8 R W 5 0 c n k g V H l w Z T 0 i U m V z d W x 0 V H l w Z S I g V m F s d W U 9 I n N C a W 5 h c n k i L z 4 8 R W 5 0 c n k g V H l w Z T 0 i R m l s b E 9 i a m V j d F R 5 c G U i I F Z h b H V l P S J z Q 2 9 u b m V j d G l v b k 9 u b H k i L z 4 8 R W 5 0 c n k g V H l w Z T 0 i T G 9 h Z F R v U m V w b 3 J 0 R G l z Y W J s Z W Q i I F Z h b H V l P S J s M S I v P j w v U 3 R h Y m x l R W 5 0 c m l l c z 4 8 L 0 l 0 Z W 0 + P E l 0 Z W 0 + P E l 0 Z W 1 M b 2 N h d G l v b j 4 8 S X R l b V R 5 c G U + R m 9 y b X V s Y T w v S X R l b V R 5 c G U + P E l 0 Z W 1 Q Y X R o P l N l Y 3 R p b 2 4 x L 1 R y Y X N m b 3 J t Y S U y M G Z p b G U l M j B k a S U y M G V z Z W 1 w a W 8 l M j A o N S 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C 0 w N i 0 y M F Q x M T o z M T o z N S 4 z O D U 5 N z Y z 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z M 5 N z F h N z F k L T c 1 N G M t N D B l N C 1 i Y z g w L T Y 4 N D M w N 2 Y 1 M D B l O C I v P j x F b n R y e S B U e X B l P S J R d W V y e U l E I i B W Y W x 1 Z T 0 i c z E 2 O T h j M W V l L T U w Y T M t N D F l M y 1 i Z G F m L T A 2 O D B k Z W Z h Z m N j M i I v P j x F b n R y e S B U e X B l P S J S Z X N 1 b H R U e X B l I i B W Y W x 1 Z T 0 i c 1 R h Y m x l I i 8 + P E V u d H J 5 I F R 5 c G U 9 I k Z p b G x P Y m p l Y 3 R U e X B l I i B W Y W x 1 Z T 0 i c 0 N v b m 5 l Y 3 R p b 2 5 P b m x 5 I i 8 + P E V u d H J 5 I F R 5 c G U 9 I k 5 h b W V V c G R h d G V k Q W Z 0 Z X J G a W x s I i B W Y W x 1 Z T 0 i b D E i L z 4 8 R W 5 0 c n k g V H l w Z T 0 i T G 9 h Z F R v U m V w b 3 J 0 R G l z Y W J s Z W Q i I F Z h b H V l P S J s M S I v P j w v U 3 R h Y m x l R W 5 0 c m l l c z 4 8 L 0 l 0 Z W 0 + P E l 0 Z W 0 + P E l 0 Z W 1 M b 2 N h d G l v b j 4 8 S X R l b V R 5 c G U + R m 9 y b X V s Y T w v S X R l b V R 5 c G U + P E l 0 Z W 1 Q Y X R o P l N l Y 3 R p b 2 4 x L 1 R y Y X N m b 3 J t Y S U y M G Z p b G U l M j A o N S 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C 0 w N i 0 y M F Q x M T o z M T o z N S 4 0 M T I 5 N z Q 4 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z c z O W F j M W R l L T g x O T Y t N D M y O S 1 h N D U 5 L T U 2 M j l m N j V j M m U 2 Y i I v P j x F b n R y e S B U e X B l P S J R d W V y e U l E I i B W Y W x 1 Z T 0 i c z d h M T Y w O W M 4 L T k y Y j E t N D Z l Z C 1 h N D R k L W J k M 2 Z l N D N h Y z I 1 N y I v P j x F b n R y e S B U e X B l P S J S Z X N 1 b H R U e X B l I i B W Y W x 1 Z T 0 i c 0 Z 1 b m N 0 a W 9 u I i 8 + P E V u d H J 5 I F R 5 c G U 9 I k Z p b G x P Y m p l Y 3 R U e X B l I i B W Y W x 1 Z T 0 i c 0 N v b m 5 l Y 3 R p b 2 5 P b m x 5 I i 8 + P E V u d H J 5 I F R 5 c G U 9 I k x v Y W R U b 1 J l c G 9 y d E R p c 2 F i b G V k I i B W Y W x 1 Z T 0 i b D E i L z 4 8 L 1 N 0 Y W J s Z U V u d H J p Z X M + P C 9 J d G V t P j x J d G V t P j x J d G V t T G 9 j Y X R p b 2 4 + P E l 0 Z W 1 U e X B l P k Z v c m 1 1 b G E 8 L 0 l 0 Z W 1 U e X B l P j x J d G V t U G F 0 a D 5 T Z W N 0 a W 9 u M S 9 G a W x l J T I w Z G k l M j B l c 2 V t c G l v J T I w K D E x 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0 L T A 2 L T I w V D E x O j M 2 O j M 0 L j k w N j E y M D R 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W I 1 Z D I 0 Z D I t Z j Q 5 Y y 0 0 Z G U 5 L T l m N z k t Y z N k Y 2 M w Y m E y Z T U 0 I i 8 + P E V u d H J 5 I F R 5 c G U 9 I l F 1 Z X J 5 S U Q i I F Z h b H V l P S J z Z T J i N W V h N z c t M T l k O S 0 0 N m V m L T g 5 O T E t O D g y O D Z h M T Y 5 Z j Y 0 I i 8 + P E V u d H J 5 I F R 5 c G U 9 I l J l c 3 V s d F R 5 c G U i I F Z h b H V l P S J z Q m l u Y X J 5 I i 8 + P E V u d H J 5 I F R 5 c G U 9 I k Z p b G x P Y m p l Y 3 R U e X B l I i B W Y W x 1 Z T 0 i c 0 N v b m 5 l Y 3 R p b 2 5 P b m x 5 I i 8 + P E V u d H J 5 I F R 5 c G U 9 I k 5 h b W V V c G R h d G V k Q W Z 0 Z X J G a W x s I i B W Y W x 1 Z T 0 i b D E i L z 4 8 R W 5 0 c n k g V H l w Z T 0 i T G 9 h Z G V k V G 9 B b m F s e X N p c 1 N l c n Z p Y 2 V z I i B W Y W x 1 Z T 0 i b D A i L z 4 8 R W 5 0 c n k g V H l w Z T 0 i T G 9 h Z F R v U m V w b 3 J 0 R G l z Y W J s Z W Q i I F Z h b H V l P S J s M S I v P j w v U 3 R h Y m x l R W 5 0 c m l l c z 4 8 L 0 l 0 Z W 0 + P E l 0 Z W 0 + P E l 0 Z W 1 M b 2 N h d G l v b j 4 8 S X R l b V R 5 c G U + R m 9 y b X V s Y T w v S X R l b V R 5 c G U + P E l 0 Z W 1 Q Y X R o P l N l Y 3 R p b 2 4 x L 1 B h c m F t Z X R y b z Y 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C 0 w N i 0 y M F Q x M T o z N j o z N C 4 5 M j Q x M j M 2 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F i N W Q y N G Q y L W Y 0 O W M t N G R l O S 0 5 Z j c 5 L W M z Z G N j M G J h M m U 1 N C I v P j x F b n R y e S B U e X B l P S J R d W V y e U l E I i B W Y W x 1 Z T 0 i c z Q 1 Z j F k N G Z j L T g y M m M t N D A x M y 1 h N 2 M 0 L T R j Y j g 5 Z m R l M D R i N i I v P j x F b n R y e S B U e X B l P S J S Z X N 1 b H R U e X B l I i B W Y W x 1 Z T 0 i c 0 J p b m F y e S I v P j x F b n R y e S B U e X B l P S J G a W x s T 2 J q Z W N 0 V H l w Z S I g V m F s d W U 9 I n N D b 2 5 u Z W N 0 a W 9 u T 2 5 s e S I v P j x F b n R y e S B U e X B l P S J M b 2 F k V G 9 S Z X B v c n R E a X N h Y m x l Z C I g V m F s d W U 9 I m w x I i 8 + P C 9 T d G F i b G V F b n R y a W V z P j w v S X R l b T 4 8 S X R l b T 4 8 S X R l b U x v Y 2 F 0 a W 9 u P j x J d G V t V H l w Z T 5 G b 3 J t d W x h P C 9 J d G V t V H l w Z T 4 8 S X R l b V B h d G g + U 2 V j d G l v b j E v V H J h c 2 Z v c m 1 h J T I w Z m l s Z S U y M G R p J T I w Z X N l b X B p b y U y M C g 2 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0 L T A 2 L T I w V D E x O j M 2 O j M 0 L j k z O T I w O T N 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N D l j N G Y 4 N m Y t M z E 4 M y 0 0 O D h l L T k 2 N G Y t O G V h Z m U 4 N j U 2 Y z V h I i 8 + P E V u d H J 5 I F R 5 c G U 9 I l F 1 Z X J 5 S U Q i I F Z h b H V l P S J z M W U y N T A 0 Y T Q t N 2 M w N y 0 0 N j Q x L T l h M 2 U t O G I 5 Z j k y O W E 0 M z g 1 I i 8 + P E V u d H J 5 I F R 5 c G U 9 I l J l c 3 V s d F R 5 c G U i I F Z h b H V l P S J z V G F i b G U i L z 4 8 R W 5 0 c n k g V H l w Z T 0 i R m l s b E 9 i a m V j d F R 5 c G U i I F Z h b H V l P S J z Q 2 9 u b m V j d G l v b k 9 u b H k i L z 4 8 R W 5 0 c n k g V H l w Z T 0 i T m F t Z V V w Z G F 0 Z W R B Z n R l c k Z p b G w i I F Z h b H V l P S J s M S I v P j x F b n R y e S B U e X B l P S J M b 2 F k V G 9 S Z X B v c n R E a X N h Y m x l Z C I g V m F s d W U 9 I m w x I i 8 + P C 9 T d G F i b G V F b n R y a W V z P j w v S X R l b T 4 8 S X R l b T 4 8 S X R l b U x v Y 2 F 0 a W 9 u P j x J d G V t V H l w Z T 5 G b 3 J t d W x h P C 9 J d G V t V H l w Z T 4 8 S X R l b V B h d G g + U 2 V j d G l v b j E v V H J h c 2 Z v c m 1 h J T I w Z m l s Z S U y M C g 2 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0 L T A 2 L T I w V D E x O j M 2 O j M 0 L j k 1 M j E y M j d 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W I 1 Z D I 0 Z D I t Z j Q 5 Y y 0 0 Z G U 5 L T l m N z k t Y z N k Y 2 M w Y m E y Z T U 0 I i 8 + P E V u d H J 5 I F R 5 c G U 9 I l F 1 Z X J 5 S U Q i I F Z h b H V l P S J z Y j R h Z G I 0 O D E t N m R j N i 0 0 M m Y 5 L W I z N j M t N T c 3 M T k w M z B k M W E w I i 8 + P E V u d H J 5 I F R 5 c G U 9 I l J l c 3 V s d F R 5 c G U i I F Z h b H V l P S J z R n V u Y 3 R p b 2 4 i L z 4 8 R W 5 0 c n k g V H l w Z T 0 i R m l s b E 9 i a m V j d F R 5 c G U i I F Z h b H V l P S J z Q 2 9 u b m V j d G l v b k 9 u b H k i L z 4 8 R W 5 0 c n k g V H l w Z T 0 i T G 9 h Z F R v U m V w b 3 J 0 R G l z Y W J s Z W Q i I F Z h b H V l P S J s M S I v P j w v U 3 R h Y m x l R W 5 0 c m l l c z 4 8 L 0 l 0 Z W 0 + P E l 0 Z W 0 + P E l 0 Z W 1 M b 2 N h d G l v b j 4 8 S X R l b V R 5 c G U + R m 9 y b X V s Y T w v S X R l b V R 5 c G U + P E l 0 Z W 1 Q Y X R o P l N l Y 3 R p b 2 4 x L 2 N o Z W s l M j B s a X N 0 J T I w M 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Q t M D c t M D J U M T M 6 M T Q 6 M z I u N D E 3 O T E w M l o i L z 4 8 R W 5 0 c n k g V H l w Z T 0 i R m l s b E N v b H V t b l R 5 c G V z I i B W Y W x 1 Z T 0 i c 0 J n W U R B d 0 1 B Q U F B Q U F B Q T 0 i L z 4 8 R W 5 0 c n k g V H l w Z T 0 i R m l s b E N v b H V t b k 5 h b W V z I i B W Y W x 1 Z T 0 i c 1 s m c X V v d D t B a 3 J p b m l t I H B y b 2 p l Y 3 Q m c X V v d D s s J n F 1 b 3 Q 7 Y W t y b 2 5 p b S B w Y X J 0 b m V y J n F 1 b 3 Q 7 L C Z x d W 9 0 O 2 l k I H B h c n R u Z X I m c X V v d D s s J n F 1 b 3 Q 7 a W Q g c m V w b 3 J 0 J n F 1 b 3 Q 7 L C Z x d W 9 0 O 2 l k I G N o Z W t j a y Z x d W 9 0 O y w m c X V v d D t W Y W x 1 Z S 5 p Z C Z x d W 9 0 O y w m c X V v d D t W Y W x 1 Z S 5 w b 3 N p d G l v b i Z x d W 9 0 O y w m c X V v d D t W Y W x 1 Z S 5 w c m 9 n c m F t b W V N Z X R h Z G F 0 Y S 5 x d W V z d G l v b i Z x d W 9 0 O y w m c X V v d D t W Y W x 1 Z S 5 p b n N 0 Y W 5 j Z U 1 l d G F k Y X R h L n R 5 c G U m c X V v d D s s J n F 1 b 3 Q 7 V m F s d W U u a W 5 z d G F u Y 2 V N Z X R h Z G F 0 Y S 5 h b n N 3 Z X I m c X V v d D s s J n F 1 b 3 Q 7 V m F s d W U u a W 5 z d G F u Y 2 V N Z X R h Z G F 0 Y S 5 q d X N 0 a W Z p Y 2 F 0 a W 9 u 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1 Z T Q 2 N m R h Z S 0 z N D I 4 L T R m M z E t O D g 5 O C 1 i O T I z N z c 0 N j I 3 M j k i L z 4 8 R W 5 0 c n k g V H l w Z T 0 i U m V s Y X R p b 2 5 z a G l w S W 5 m b 0 N v b n R h a W 5 l c i I g V m F s d W U 9 I n N 7 J n F 1 b 3 Q 7 Y 2 9 s d W 1 u Q 2 9 1 b n Q m c X V v d D s 6 M T E s J n F 1 b 3 Q 7 a 2 V 5 Q 2 9 s d W 1 u T m F t Z X M m c X V v d D s 6 W 1 0 s J n F 1 b 3 Q 7 c X V l c n l S Z W x h d G l v b n N o a X B z J n F 1 b 3 Q 7 O l t d L C Z x d W 9 0 O 2 N v b H V t b k l k Z W 5 0 a X R p Z X M m c X V v d D s 6 W y Z x d W 9 0 O 1 N l Y 3 R p b 2 4 x L 2 N o Z W s g b G l z d C A z L 0 F 1 d G 9 S Z W 1 v d m V k Q 2 9 s d W 1 u c z E u e 0 F r c m l u a W 0 g c H J v a m V j d C w w f S Z x d W 9 0 O y w m c X V v d D t T Z W N 0 a W 9 u M S 9 j a G V r I G x p c 3 Q g M y 9 B d X R v U m V t b 3 Z l Z E N v b H V t b n M x L n t h a 3 J v b m l t I H B h c n R u Z X I s M X 0 m c X V v d D s s J n F 1 b 3 Q 7 U 2 V j d G l v b j E v Y 2 h l a y B s a X N 0 I D M v Q X V 0 b 1 J l b W 9 2 Z W R D b 2 x 1 b W 5 z M S 5 7 a W Q g c G F y d G 5 l c i w y f S Z x d W 9 0 O y w m c X V v d D t T Z W N 0 a W 9 u M S 9 j a G V r I G x p c 3 Q g M y 9 B d X R v U m V t b 3 Z l Z E N v b H V t b n M x L n t p Z C B y Z X B v c n Q s M 3 0 m c X V v d D s s J n F 1 b 3 Q 7 U 2 V j d G l v b j E v Y 2 h l a y B s a X N 0 I D M v Q X V 0 b 1 J l b W 9 2 Z W R D b 2 x 1 b W 5 z M S 5 7 a W Q g Y 2 h l a 2 N r L D R 9 J n F 1 b 3 Q 7 L C Z x d W 9 0 O 1 N l Y 3 R p b 2 4 x L 2 N o Z W s g b G l z d C A z L 0 F 1 d G 9 S Z W 1 v d m V k Q 2 9 s d W 1 u c z E u e 1 Z h b H V l L m l k L D V 9 J n F 1 b 3 Q 7 L C Z x d W 9 0 O 1 N l Y 3 R p b 2 4 x L 2 N o Z W s g b G l z d C A z L 0 F 1 d G 9 S Z W 1 v d m V k Q 2 9 s d W 1 u c z E u e 1 Z h b H V l L n B v c 2 l 0 a W 9 u L D Z 9 J n F 1 b 3 Q 7 L C Z x d W 9 0 O 1 N l Y 3 R p b 2 4 x L 2 N o Z W s g b G l z d C A z L 0 F 1 d G 9 S Z W 1 v d m V k Q 2 9 s d W 1 u c z E u e 1 Z h b H V l L n B y b 2 d y Y W 1 t Z U 1 l d G F k Y X R h L n F 1 Z X N 0 a W 9 u L D d 9 J n F 1 b 3 Q 7 L C Z x d W 9 0 O 1 N l Y 3 R p b 2 4 x L 2 N o Z W s g b G l z d C A z L 0 F 1 d G 9 S Z W 1 v d m V k Q 2 9 s d W 1 u c z E u e 1 Z h b H V l L m l u c 3 R h b m N l T W V 0 Y W R h d G E u d H l w Z S w 4 f S Z x d W 9 0 O y w m c X V v d D t T Z W N 0 a W 9 u M S 9 j a G V r I G x p c 3 Q g M y 9 B d X R v U m V t b 3 Z l Z E N v b H V t b n M x L n t W Y W x 1 Z S 5 p b n N 0 Y W 5 j Z U 1 l d G F k Y X R h L m F u c 3 d l c i w 5 f S Z x d W 9 0 O y w m c X V v d D t T Z W N 0 a W 9 u M S 9 j a G V r I G x p c 3 Q g M y 9 B d X R v U m V t b 3 Z l Z E N v b H V t b n M x L n t W Y W x 1 Z S 5 p b n N 0 Y W 5 j Z U 1 l d G F k Y X R h L m p 1 c 3 R p Z m l j Y X R p b 2 4 s M T B 9 J n F 1 b 3 Q 7 X S w m c X V v d D t D b 2 x 1 b W 5 D b 3 V u d C Z x d W 9 0 O z o x M S w m c X V v d D t L Z X l D b 2 x 1 b W 5 O Y W 1 l c y Z x d W 9 0 O z p b X S w m c X V v d D t D b 2 x 1 b W 5 J Z G V u d G l 0 a W V z J n F 1 b 3 Q 7 O l s m c X V v d D t T Z W N 0 a W 9 u M S 9 j a G V r I G x p c 3 Q g M y 9 B d X R v U m V t b 3 Z l Z E N v b H V t b n M x L n t B a 3 J p b m l t I H B y b 2 p l Y 3 Q s M H 0 m c X V v d D s s J n F 1 b 3 Q 7 U 2 V j d G l v b j E v Y 2 h l a y B s a X N 0 I D M v Q X V 0 b 1 J l b W 9 2 Z W R D b 2 x 1 b W 5 z M S 5 7 Y W t y b 2 5 p b S B w Y X J 0 b m V y L D F 9 J n F 1 b 3 Q 7 L C Z x d W 9 0 O 1 N l Y 3 R p b 2 4 x L 2 N o Z W s g b G l z d C A z L 0 F 1 d G 9 S Z W 1 v d m V k Q 2 9 s d W 1 u c z E u e 2 l k I H B h c n R u Z X I s M n 0 m c X V v d D s s J n F 1 b 3 Q 7 U 2 V j d G l v b j E v Y 2 h l a y B s a X N 0 I D M v Q X V 0 b 1 J l b W 9 2 Z W R D b 2 x 1 b W 5 z M S 5 7 a W Q g c m V w b 3 J 0 L D N 9 J n F 1 b 3 Q 7 L C Z x d W 9 0 O 1 N l Y 3 R p b 2 4 x L 2 N o Z W s g b G l z d C A z L 0 F 1 d G 9 S Z W 1 v d m V k Q 2 9 s d W 1 u c z E u e 2 l k I G N o Z W t j a y w 0 f S Z x d W 9 0 O y w m c X V v d D t T Z W N 0 a W 9 u M S 9 j a G V r I G x p c 3 Q g M y 9 B d X R v U m V t b 3 Z l Z E N v b H V t b n M x L n t W Y W x 1 Z S 5 p Z C w 1 f S Z x d W 9 0 O y w m c X V v d D t T Z W N 0 a W 9 u M S 9 j a G V r I G x p c 3 Q g M y 9 B d X R v U m V t b 3 Z l Z E N v b H V t b n M x L n t W Y W x 1 Z S 5 w b 3 N p d G l v b i w 2 f S Z x d W 9 0 O y w m c X V v d D t T Z W N 0 a W 9 u M S 9 j a G V r I G x p c 3 Q g M y 9 B d X R v U m V t b 3 Z l Z E N v b H V t b n M x L n t W Y W x 1 Z S 5 w c m 9 n c m F t b W V N Z X R h Z G F 0 Y S 5 x d W V z d G l v b i w 3 f S Z x d W 9 0 O y w m c X V v d D t T Z W N 0 a W 9 u M S 9 j a G V r I G x p c 3 Q g M y 9 B d X R v U m V t b 3 Z l Z E N v b H V t b n M x L n t W Y W x 1 Z S 5 p b n N 0 Y W 5 j Z U 1 l d G F k Y X R h L n R 5 c G U s O H 0 m c X V v d D s s J n F 1 b 3 Q 7 U 2 V j d G l v b j E v Y 2 h l a y B s a X N 0 I D M v Q X V 0 b 1 J l b W 9 2 Z W R D b 2 x 1 b W 5 z M S 5 7 V m F s d W U u a W 5 z d G F u Y 2 V N Z X R h Z G F 0 Y S 5 h b n N 3 Z X I s O X 0 m c X V v d D s s J n F 1 b 3 Q 7 U 2 V j d G l v b j E v Y 2 h l a y B s a X N 0 I D M v Q X V 0 b 1 J l b W 9 2 Z W R D b 2 x 1 b W 5 z M S 5 7 V m F s d W U u a W 5 z d G F u Y 2 V N Z X R h Z G F 0 Y S 5 q d X N 0 a W Z p Y 2 F 0 a W 9 u L D E w f S Z x d W 9 0 O 1 0 s J n F 1 b 3 Q 7 U m V s Y X R p b 2 5 z a G l w S W 5 m b y Z x d W 9 0 O z p b X X 0 i L z 4 8 R W 5 0 c n k g V H l w Z T 0 i U m V z d W x 0 V H l w Z S I g V m F s d W U 9 I n N U Y W J s Z S I v P j x F b n R y e S B U e X B l P S J O Y X Z p Z 2 F 0 a W 9 u U 3 R l c E 5 h b W U i I F Z h b H V l P S J z T m F 2 a W d h e m l v b m U i L z 4 8 R W 5 0 c n k g V H l w Z T 0 i R m l s b E 9 i a m V j d F R 5 c G U i I F Z h b H V l P S J z Q 2 9 u b m V j d G l v b k 9 u b H k i L z 4 8 R W 5 0 c n k g V H l w Z T 0 i T m F t Z V V w Z G F 0 Z W R B Z n R l c k Z p b G w i I F Z h b H V l P S J s M C I v P j w v U 3 R h Y m x l R W 5 0 c m l l c z 4 8 L 0 l 0 Z W 0 + P E l 0 Z W 0 + P E l 0 Z W 1 M b 2 N h d G l v b j 4 8 S X R l b V R 5 c G U + R m 9 y b X V s Y T w v S X R l b V R 5 c G U + P E l 0 Z W 1 Q Y X R o P l N l Y 3 R p b 2 4 x L 0 Z p b G U l M j B k a S U y M G V z Z W 1 w a W 8 l M j A o M T I 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Y t M j F U M D c 6 M D E 6 N T M u M j c 4 M z I 3 O V 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l O D U z Y 2 Q 2 Z S 0 5 M D Y 2 L T Q 5 O D E t Y j B l M C 0 1 Z m M 5 M z l l M T M 3 Y m I i L z 4 8 R W 5 0 c n k g V H l w Z T 0 i U X V l c n l J R C I g V m F s d W U 9 I n N l Y z I w M T E y N S 1 h Y T k z L T R h N G U t Y j E x Y y 0 x M G M w M W I 1 N D E 5 Y j U i L z 4 8 R W 5 0 c n k g V H l w Z T 0 i U m V z d W x 0 V H l w Z S I g V m F s d W U 9 I n N C a W 5 h c n k i L z 4 8 R W 5 0 c n k g V H l w Z T 0 i R m l s b E 9 i a m V j d F R 5 c G U i I F Z h b H V l P S J z Q 2 9 u b m V j d G l v b k 9 u b H k i L z 4 8 R W 5 0 c n k g V H l w Z T 0 i T m F t Z V V w Z G F 0 Z W R B Z n R l c k Z p b G w i I F Z h b H V l P S J s M S I v P j x F b n R y e S B U e X B l P S J M b 2 F k Z W R U b 0 F u Y W x 5 c 2 l z U 2 V y d m l j Z X M i I F Z h b H V l P S J s M C I v P j x F b n R y e S B U e X B l P S J M b 2 F k V G 9 S Z X B v c n R E a X N h Y m x l Z C I g V m F s d W U 9 I m w x I i 8 + P C 9 T d G F i b G V F b n R y a W V z P j w v S X R l b T 4 8 S X R l b T 4 8 S X R l b U x v Y 2 F 0 a W 9 u P j x J d G V t V H l w Z T 5 G b 3 J t d W x h P C 9 J d G V t V H l w Z T 4 8 S X R l b V B h d G g + U 2 V j d G l v b j E v U G F y Y W 1 l d H J v N 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0 L T A 2 L T I x V D A 3 O j A x O j U z L j I 5 M D I 0 N T N 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Z T g 1 M 2 N k N m U t O T A 2 N i 0 0 O T g x L W I w Z T A t N W Z j O T M 5 Z T E z N 2 J i I i 8 + P E V u d H J 5 I F R 5 c G U 9 I l F 1 Z X J 5 S U Q i I F Z h b H V l P S J z N j I 2 Z j c y N j M t N G M 5 Y i 0 0 Y 2 J h L W I w Y W Y t M z Y 1 N G I 1 M W Z k Z D l k I i 8 + P E V u d H J 5 I F R 5 c G U 9 I l J l c 3 V s d F R 5 c G U i I F Z h b H V l P S J z Q m l u Y X J 5 I i 8 + P E V u d H J 5 I F R 5 c G U 9 I k Z p b G x P Y m p l Y 3 R U e X B l I i B W Y W x 1 Z T 0 i c 0 N v b m 5 l Y 3 R p b 2 5 P b m x 5 I i 8 + P E V u d H J 5 I F R 5 c G U 9 I k x v Y W R U b 1 J l c G 9 y d E R p c 2 F i b G V k I i B W Y W x 1 Z T 0 i b D E i L z 4 8 L 1 N 0 Y W J s Z U V u d H J p Z X M + P C 9 J d G V t P j x J d G V t P j x J d G V t T G 9 j Y X R p b 2 4 + P E l 0 Z W 1 U e X B l P k Z v c m 1 1 b G E 8 L 0 l 0 Z W 1 U e X B l P j x J d G V t U G F 0 a D 5 T Z W N 0 a W 9 u M S 9 U c m F z Z m 9 y b W E l M j B m a W x l J T I w Z G k l M j B l c 2 V t c G l v J T I w K D c 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Y t M j F U M D c 6 M D E 6 N T M u M z A z M j Q y O V 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M 0 N T Z k Y j B i N i 1 k Z T M 1 L T Q z Y T g t O T I 1 N i 1 l Y 2 J l N D R h Y T h k M T g i L z 4 8 R W 5 0 c n k g V H l w Z T 0 i U X V l c n l J R C I g V m F s d W U 9 I n M 1 Z m M 3 N z Q z Y y 0 w M T F h L T R k O T U t O D J k M i 0 2 Y z c z Y T k y Y m N l Z W I i L z 4 8 R W 5 0 c n k g V H l w Z T 0 i U m V z d W x 0 V H l w Z S I g V m F s d W U 9 I n N U Y W J s Z S I v P j x F b n R y e S B U e X B l P S J G a W x s T 2 J q Z W N 0 V H l w Z S I g V m F s d W U 9 I n N D b 2 5 u Z W N 0 a W 9 u T 2 5 s e S I v P j x F b n R y e S B U e X B l P S J O Y W 1 l V X B k Y X R l Z E F m d G V y R m l s b C I g V m F s d W U 9 I m w x I i 8 + P E V u d H J 5 I F R 5 c G U 9 I k x v Y W R U b 1 J l c G 9 y d E R p c 2 F i b G V k I i B W Y W x 1 Z T 0 i b D E i L z 4 8 L 1 N 0 Y W J s Z U V u d H J p Z X M + P C 9 J d G V t P j x J d G V t P j x J d G V t T G 9 j Y X R p b 2 4 + P E l 0 Z W 1 U e X B l P k Z v c m 1 1 b G E 8 L 0 l 0 Z W 1 U e X B l P j x J d G V t U G F 0 a D 5 T Z W N 0 a W 9 u M S 9 U c m F z Z m 9 y b W E l M j B m a W x l J T I w K D c 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Y t M j F U M D c 6 M D E 6 N T M u M z E 0 M j Q 0 M 1 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l O D U z Y 2 Q 2 Z S 0 5 M D Y 2 L T Q 5 O D E t Y j B l M C 0 1 Z m M 5 M z l l M T M 3 Y m I i L z 4 8 R W 5 0 c n k g V H l w Z T 0 i U X V l c n l J R C I g V m F s d W U 9 I n N i Y j F k M 2 F l N S 0 2 M z g 1 L T R m N z A t Y m Y 1 M S 1 k Z T J h O W M 3 Y j A 1 Y T U i L z 4 8 R W 5 0 c n k g V H l w Z T 0 i U m V z d W x 0 V H l w Z S I g V m F s d W U 9 I n N G d W 5 j d G l v b i I v P j x F b n R y e S B U e X B l P S J G a W x s T 2 J q Z W N 0 V H l w Z S I g V m F s d W U 9 I n N D b 2 5 u Z W N 0 a W 9 u T 2 5 s e S I v P j x F b n R y e S B U e X B l P S J M b 2 F k V G 9 S Z X B v c n R E a X N h Y m x l Z C I g V m F s d W U 9 I m w x I i 8 + P C 9 T d G F i b G V F b n R y a W V z P j w v S X R l b T 4 8 S X R l b T 4 8 S X R l b U x v Y 2 F 0 a W 9 u P j x J d G V t V H l w Z T 5 G b 3 J t d W x h P C 9 J d G V t V H l w Z T 4 8 S X R l b V B h d G g + U 2 V j d G l v b j E v T G l z d E 9 m R X h w Z W 5 k a X R 1 c m U 8 L 0 l 0 Z W 1 Q Y X R o P j w v S X R l b U x v Y 2 F 0 a W 9 u P j x T d G F i b G V F b n R y a W V z P j x F b n R y e S B U e X B l P S J B Z G R l Z F R v R G F 0 Y U 1 v Z G V s I i B W Y W x 1 Z T 0 i b D A i L z 4 8 R W 5 0 c n k g V H l w Z T 0 i Q n V m Z m V y T m V 4 d F J l Z n J l c 2 g i I F Z h b H V l P S J s M S I v P j x F b n R y e S B U e X B l P S J G a W x s Q 2 9 1 b n Q i I F Z h b H V l P S J s M T Y z M S I v P j x F b n R y e S B U e X B l P S J G a W x s R W 5 h Y m x l Z C I g V m F s d W U 9 I m w x I i 8 + P E V u d H J 5 I F R 5 c G U 9 I k Z p b G x F c n J v c k N v Z G U i I F Z h b H V l P S J z V W 5 r b m 9 3 b i I v P j x F b n R y e S B U e X B l P S J G a W x s R X J y b 3 J D b 3 V u d C I g V m F s d W U 9 I m w w I i 8 + P E V u d H J 5 I F R 5 c G U 9 I k Z p b G x M Y X N 0 V X B k Y X R l Z C I g V m F s d W U 9 I m Q y M D I 0 L T A 3 L T A y V D E z O j E 1 O j I 4 L j g w M j U 1 O T l a I i 8 + P E V u d H J 5 I F R 5 c G U 9 I k Z p b G x D b 2 x 1 b W 5 U e X B l c y I g V m F s d W U 9 I n N B Q U F B Q U F B Q U F B Q U F B Q U F B Q U F B Q U F B Q U F B Q U F B Q U F B Q U F B Q U F B Q U F B Q U F B R 0 J n T U R C d 1 k 9 I i 8 + P E V u d H J 5 I F R 5 c G U 9 I k Z p b G x D b 2 x 1 b W 5 O Y W 1 l c y I g V m F s d W U 9 I n N b J n F 1 b 3 Q 7 Q 2 9 u d G V u d C 5 p Z C Z x d W 9 0 O y w m c X V v d D t D b 2 5 0 Z W 5 0 L m 5 1 b W J l c i Z x d W 9 0 O y w m c X V v d D t D b 2 5 0 Z W 5 0 L m x 1 b X B T d W 1 J Z C Z x d W 9 0 O y w m c X V v d D t D b 2 5 0 Z W 5 0 L n V u a X R D b 3 N 0 S W Q m c X V v d D s s J n F 1 b 3 Q 7 Q 2 9 u d G V u d C 5 j b 3 N 0 Q 2 F 0 Z W d v c n k m c X V v d D s s J n F 1 b 3 Q 7 Q 2 9 u d G V u d C 5 n Z H B y J n F 1 b 3 Q 7 L C Z x d W 9 0 O 0 N v b n R l b n Q u a W 5 2 Z X N 0 b W V u d E l k J n F 1 b 3 Q 7 L C Z x d W 9 0 O 0 N v b n R l b n Q u Y 2 9 u d H J h Y 3 R J Z C Z x d W 9 0 O y w m c X V v d D t D b 2 5 0 Z W 5 0 L m l u d G V y b m F s U m V m Z X J l b m N l T n V t Y m V y J n F 1 b 3 Q 7 L C Z x d W 9 0 O 0 N v b n R l b n Q u a W 5 2 b 2 l j Z U 5 1 b W J l c i Z x d W 9 0 O y w m c X V v d D t D b 2 5 0 Z W 5 0 L m l u d m 9 p Y 2 V E Y X R l J n F 1 b 3 Q 7 L C Z x d W 9 0 O 0 N v b n R l b n Q u Z G F 0 Z U 9 m U G F 5 b W V u d C Z x d W 9 0 O y w m c X V v d D t D b 2 5 0 Z W 5 0 L m R l c 2 N y a X B 0 a W 9 u J n F 1 b 3 Q 7 L C Z x d W 9 0 O 0 N v b n R l b n Q u Y 2 9 t b W V u d C Z x d W 9 0 O y w m c X V v d D t D b 2 5 0 Z W 5 0 L n R v d G F s V m F s d W V J b n Z v a W N l J n F 1 b 3 Q 7 L C Z x d W 9 0 O 0 N v b n R l b n Q u d m F 0 J n F 1 b 3 Q 7 L C Z x d W 9 0 O 0 N v b n R l b n Q u b n V t Y m V y T 2 Z V b m l 0 c y Z x d W 9 0 O y w m c X V v d D t D b 2 5 0 Z W 5 0 L n B y a W N l U G V y V W 5 p d C Z x d W 9 0 O y w m c X V v d D t D b 2 5 0 Z W 5 0 L m R l Y 2 x h c m V k Q W 1 v d W 5 0 J n F 1 b 3 Q 7 L C Z x d W 9 0 O 0 N v b n R l b n Q u Y 3 V y c m V u Y 3 l D b 2 R l J n F 1 b 3 Q 7 L C Z x d W 9 0 O 0 N v b n R l b n Q u Y 3 V y c m V u Y 3 l D b 2 5 2 Z X J z a W 9 u U m F 0 Z S Z x d W 9 0 O y w m c X V v d D t D b 2 5 0 Z W 5 0 L m R l Y 2 x h c m V k Q W 1 v d W 5 0 Q W Z 0 Z X J T d W J t a X N z a W 9 u J n F 1 b 3 Q 7 L C Z x d W 9 0 O 0 N v b n R l b n Q u Y X R 0 Y W N o b W V u d C Z x d W 9 0 O y w m c X V v d D t D b 2 5 0 Z W 5 0 L n B h c m t p b m d N Z X R h Z G F 0 Y S Z x d W 9 0 O y w m c X V v d D t D b 2 5 0 Z W 5 0 L n B h c n R P Z l N h b X B s Z S Z x d W 9 0 O y w m c X V v d D t D b 2 5 0 Z W 5 0 L n B h c n R P Z l N h b X B s Z U x v Y 2 t l Z C Z x d W 9 0 O y w m c X V v d D t D b 2 5 0 Z W 5 0 L m N l c n R p Z m l l Z E F t b 3 V u d C Z x d W 9 0 O y w m c X V v d D t D b 2 5 0 Z W 5 0 L m R l Z H V j d G V k Q W 1 v d W 5 0 J n F 1 b 3 Q 7 L C Z x d W 9 0 O 0 N v b n R l b n Q u d H l w b 2 x v Z 3 l P Z k V y c m 9 y S W Q m c X V v d D s s J n F 1 b 3 Q 7 Q 2 9 u d G V u d C 5 w Y X J r Z W Q m c X V v d D s s J n F 1 b 3 Q 7 Q 2 9 u d G V u d C 5 w Y X J r Z W R P b i Z x d W 9 0 O y w m c X V v d D t D b 2 5 0 Z W 5 0 L n Z l c m l m a W N h d G l v b k N v b W 1 l b n Q m c X V v d D s s J n F 1 b 3 Q 7 Q W t y b 2 5 p b S B Q c m 9 q Z W N 0 J n F 1 b 3 Q 7 L C Z x d W 9 0 O 0 F r c m 9 u a W 0 g c G F y d G 5 l c i Z x d W 9 0 O y w m c X V v d D t J R C B Q Y X J 0 b m V y J n F 1 b 3 Q 7 L C Z x d W 9 0 O 0 l k I F J l b m R p Y 2 9 u d G 8 m c X V v d D s s J n F 1 b 3 Q 7 R G F 0 Z S B t b 2 R p Z m l l Z C Z x d W 9 0 O y w m c X V v d D t G b 2 x k Z X I g U G F 0 a C 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Y z E w N W I y Y m Y t M j R l Y S 0 0 M 2 Y 1 L W I x Z D M t M T M y N z Q 3 M W N i M D k 3 I i 8 + P E V u d H J 5 I F R 5 c G U 9 I l J l b G F 0 a W 9 u c 2 h p c E l u Z m 9 D b 2 5 0 Y W l u Z X I i I F Z h b H V l P S J z e y Z x d W 9 0 O 2 N v b H V t b k N v d W 5 0 J n F 1 b 3 Q 7 O j M 4 L C Z x d W 9 0 O 2 t l e U N v b H V t b k 5 h b W V z J n F 1 b 3 Q 7 O l t d L C Z x d W 9 0 O 3 F 1 Z X J 5 U m V s Y X R p b 2 5 z a G l w c y Z x d W 9 0 O z p b X S w m c X V v d D t j b 2 x 1 b W 5 J Z G V u d G l 0 a W V z J n F 1 b 3 Q 7 O l s m c X V v d D t T Z W N 0 a W 9 u M S 9 M a X N 0 T 2 Z F e H B l b m R p d H V y Z S 9 B d X R v U m V t b 3 Z l Z E N v b H V t b n M x L n t D b 2 5 0 Z W 5 0 L m l k L D B 9 J n F 1 b 3 Q 7 L C Z x d W 9 0 O 1 N l Y 3 R p b 2 4 x L 0 x p c 3 R P Z k V 4 c G V u Z G l 0 d X J l L 0 F 1 d G 9 S Z W 1 v d m V k Q 2 9 s d W 1 u c z E u e 0 N v b n R l b n Q u b n V t Y m V y L D F 9 J n F 1 b 3 Q 7 L C Z x d W 9 0 O 1 N l Y 3 R p b 2 4 x L 0 x p c 3 R P Z k V 4 c G V u Z G l 0 d X J l L 0 F 1 d G 9 S Z W 1 v d m V k Q 2 9 s d W 1 u c z E u e 0 N v b n R l b n Q u b H V t c F N 1 b U l k L D J 9 J n F 1 b 3 Q 7 L C Z x d W 9 0 O 1 N l Y 3 R p b 2 4 x L 0 x p c 3 R P Z k V 4 c G V u Z G l 0 d X J l L 0 F 1 d G 9 S Z W 1 v d m V k Q 2 9 s d W 1 u c z E u e 0 N v b n R l b n Q u d W 5 p d E N v c 3 R J Z C w z f S Z x d W 9 0 O y w m c X V v d D t T Z W N 0 a W 9 u M S 9 M a X N 0 T 2 Z F e H B l b m R p d H V y Z S 9 B d X R v U m V t b 3 Z l Z E N v b H V t b n M x L n t D b 2 5 0 Z W 5 0 L m N v c 3 R D Y X R l Z 2 9 y e S w 0 f S Z x d W 9 0 O y w m c X V v d D t T Z W N 0 a W 9 u M S 9 M a X N 0 T 2 Z F e H B l b m R p d H V y Z S 9 B d X R v U m V t b 3 Z l Z E N v b H V t b n M x L n t D b 2 5 0 Z W 5 0 L m d k c H I s N X 0 m c X V v d D s s J n F 1 b 3 Q 7 U 2 V j d G l v b j E v T G l z d E 9 m R X h w Z W 5 k a X R 1 c m U v Q X V 0 b 1 J l b W 9 2 Z W R D b 2 x 1 b W 5 z M S 5 7 Q 2 9 u d G V u d C 5 p b n Z l c 3 R t Z W 5 0 S W Q s N n 0 m c X V v d D s s J n F 1 b 3 Q 7 U 2 V j d G l v b j E v T G l z d E 9 m R X h w Z W 5 k a X R 1 c m U v Q X V 0 b 1 J l b W 9 2 Z W R D b 2 x 1 b W 5 z M S 5 7 Q 2 9 u d G V u d C 5 j b 2 5 0 c m F j d E l k L D d 9 J n F 1 b 3 Q 7 L C Z x d W 9 0 O 1 N l Y 3 R p b 2 4 x L 0 x p c 3 R P Z k V 4 c G V u Z G l 0 d X J l L 0 F 1 d G 9 S Z W 1 v d m V k Q 2 9 s d W 1 u c z E u e 0 N v b n R l b n Q u a W 5 0 Z X J u Y W x S Z W Z l c m V u Y 2 V O d W 1 i Z X I s O H 0 m c X V v d D s s J n F 1 b 3 Q 7 U 2 V j d G l v b j E v T G l z d E 9 m R X h w Z W 5 k a X R 1 c m U v Q X V 0 b 1 J l b W 9 2 Z W R D b 2 x 1 b W 5 z M S 5 7 Q 2 9 u d G V u d C 5 p b n Z v a W N l T n V t Y m V y L D l 9 J n F 1 b 3 Q 7 L C Z x d W 9 0 O 1 N l Y 3 R p b 2 4 x L 0 x p c 3 R P Z k V 4 c G V u Z G l 0 d X J l L 0 F 1 d G 9 S Z W 1 v d m V k Q 2 9 s d W 1 u c z E u e 0 N v b n R l b n Q u a W 5 2 b 2 l j Z U R h d G U s M T B 9 J n F 1 b 3 Q 7 L C Z x d W 9 0 O 1 N l Y 3 R p b 2 4 x L 0 x p c 3 R P Z k V 4 c G V u Z G l 0 d X J l L 0 F 1 d G 9 S Z W 1 v d m V k Q 2 9 s d W 1 u c z E u e 0 N v b n R l b n Q u Z G F 0 Z U 9 m U G F 5 b W V u d C w x M X 0 m c X V v d D s s J n F 1 b 3 Q 7 U 2 V j d G l v b j E v T G l z d E 9 m R X h w Z W 5 k a X R 1 c m U v Q X V 0 b 1 J l b W 9 2 Z W R D b 2 x 1 b W 5 z M S 5 7 Q 2 9 u d G V u d C 5 k Z X N j c m l w d G l v b i w x M n 0 m c X V v d D s s J n F 1 b 3 Q 7 U 2 V j d G l v b j E v T G l z d E 9 m R X h w Z W 5 k a X R 1 c m U v Q X V 0 b 1 J l b W 9 2 Z W R D b 2 x 1 b W 5 z M S 5 7 Q 2 9 u d G V u d C 5 j b 2 1 t Z W 5 0 L D E z f S Z x d W 9 0 O y w m c X V v d D t T Z W N 0 a W 9 u M S 9 M a X N 0 T 2 Z F e H B l b m R p d H V y Z S 9 B d X R v U m V t b 3 Z l Z E N v b H V t b n M x L n t D b 2 5 0 Z W 5 0 L n R v d G F s V m F s d W V J b n Z v a W N l L D E 0 f S Z x d W 9 0 O y w m c X V v d D t T Z W N 0 a W 9 u M S 9 M a X N 0 T 2 Z F e H B l b m R p d H V y Z S 9 B d X R v U m V t b 3 Z l Z E N v b H V t b n M x L n t D b 2 5 0 Z W 5 0 L n Z h d C w x N X 0 m c X V v d D s s J n F 1 b 3 Q 7 U 2 V j d G l v b j E v T G l z d E 9 m R X h w Z W 5 k a X R 1 c m U v Q X V 0 b 1 J l b W 9 2 Z W R D b 2 x 1 b W 5 z M S 5 7 Q 2 9 u d G V u d C 5 u d W 1 i Z X J P Z l V u a X R z L D E 2 f S Z x d W 9 0 O y w m c X V v d D t T Z W N 0 a W 9 u M S 9 M a X N 0 T 2 Z F e H B l b m R p d H V y Z S 9 B d X R v U m V t b 3 Z l Z E N v b H V t b n M x L n t D b 2 5 0 Z W 5 0 L n B y a W N l U G V y V W 5 p d C w x N 3 0 m c X V v d D s s J n F 1 b 3 Q 7 U 2 V j d G l v b j E v T G l z d E 9 m R X h w Z W 5 k a X R 1 c m U v Q X V 0 b 1 J l b W 9 2 Z W R D b 2 x 1 b W 5 z M S 5 7 Q 2 9 u d G V u d C 5 k Z W N s Y X J l Z E F t b 3 V u d C w x O H 0 m c X V v d D s s J n F 1 b 3 Q 7 U 2 V j d G l v b j E v T G l z d E 9 m R X h w Z W 5 k a X R 1 c m U v Q X V 0 b 1 J l b W 9 2 Z W R D b 2 x 1 b W 5 z M S 5 7 Q 2 9 u d G V u d C 5 j d X J y Z W 5 j e U N v Z G U s M T l 9 J n F 1 b 3 Q 7 L C Z x d W 9 0 O 1 N l Y 3 R p b 2 4 x L 0 x p c 3 R P Z k V 4 c G V u Z G l 0 d X J l L 0 F 1 d G 9 S Z W 1 v d m V k Q 2 9 s d W 1 u c z E u e 0 N v b n R l b n Q u Y 3 V y c m V u Y 3 l D b 2 5 2 Z X J z a W 9 u U m F 0 Z S w y M H 0 m c X V v d D s s J n F 1 b 3 Q 7 U 2 V j d G l v b j E v T G l z d E 9 m R X h w Z W 5 k a X R 1 c m U v Q X V 0 b 1 J l b W 9 2 Z W R D b 2 x 1 b W 5 z M S 5 7 Q 2 9 u d G V u d C 5 k Z W N s Y X J l Z E F t b 3 V u d E F m d G V y U 3 V i b W l z c 2 l v b i w y M X 0 m c X V v d D s s J n F 1 b 3 Q 7 U 2 V j d G l v b j E v T G l z d E 9 m R X h w Z W 5 k a X R 1 c m U v Q X V 0 b 1 J l b W 9 2 Z W R D b 2 x 1 b W 5 z M S 5 7 Q 2 9 u d G V u d C 5 h d H R h Y 2 h t Z W 5 0 L D I y f S Z x d W 9 0 O y w m c X V v d D t T Z W N 0 a W 9 u M S 9 M a X N 0 T 2 Z F e H B l b m R p d H V y Z S 9 B d X R v U m V t b 3 Z l Z E N v b H V t b n M x L n t D b 2 5 0 Z W 5 0 L n B h c m t p b m d N Z X R h Z G F 0 Y S w y M 3 0 m c X V v d D s s J n F 1 b 3 Q 7 U 2 V j d G l v b j E v T G l z d E 9 m R X h w Z W 5 k a X R 1 c m U v Q X V 0 b 1 J l b W 9 2 Z W R D b 2 x 1 b W 5 z M S 5 7 Q 2 9 u d G V u d C 5 w Y X J 0 T 2 Z T Y W 1 w b G U s M j R 9 J n F 1 b 3 Q 7 L C Z x d W 9 0 O 1 N l Y 3 R p b 2 4 x L 0 x p c 3 R P Z k V 4 c G V u Z G l 0 d X J l L 0 F 1 d G 9 S Z W 1 v d m V k Q 2 9 s d W 1 u c z E u e 0 N v b n R l b n Q u c G F y d E 9 m U 2 F t c G x l T G 9 j a 2 V k L D I 1 f S Z x d W 9 0 O y w m c X V v d D t T Z W N 0 a W 9 u M S 9 M a X N 0 T 2 Z F e H B l b m R p d H V y Z S 9 B d X R v U m V t b 3 Z l Z E N v b H V t b n M x L n t D b 2 5 0 Z W 5 0 L m N l c n R p Z m l l Z E F t b 3 V u d C w y N n 0 m c X V v d D s s J n F 1 b 3 Q 7 U 2 V j d G l v b j E v T G l z d E 9 m R X h w Z W 5 k a X R 1 c m U v Q X V 0 b 1 J l b W 9 2 Z W R D b 2 x 1 b W 5 z M S 5 7 Q 2 9 u d G V u d C 5 k Z W R 1 Y 3 R l Z E F t b 3 V u d C w y N 3 0 m c X V v d D s s J n F 1 b 3 Q 7 U 2 V j d G l v b j E v T G l z d E 9 m R X h w Z W 5 k a X R 1 c m U v Q X V 0 b 1 J l b W 9 2 Z W R D b 2 x 1 b W 5 z M S 5 7 Q 2 9 u d G V u d C 5 0 e X B v b G 9 n e U 9 m R X J y b 3 J J Z C w y O H 0 m c X V v d D s s J n F 1 b 3 Q 7 U 2 V j d G l v b j E v T G l z d E 9 m R X h w Z W 5 k a X R 1 c m U v Q X V 0 b 1 J l b W 9 2 Z W R D b 2 x 1 b W 5 z M S 5 7 Q 2 9 u d G V u d C 5 w Y X J r Z W Q s M j l 9 J n F 1 b 3 Q 7 L C Z x d W 9 0 O 1 N l Y 3 R p b 2 4 x L 0 x p c 3 R P Z k V 4 c G V u Z G l 0 d X J l L 0 F 1 d G 9 S Z W 1 v d m V k Q 2 9 s d W 1 u c z E u e 0 N v b n R l b n Q u c G F y a 2 V k T 2 4 s M z B 9 J n F 1 b 3 Q 7 L C Z x d W 9 0 O 1 N l Y 3 R p b 2 4 x L 0 x p c 3 R P Z k V 4 c G V u Z G l 0 d X J l L 0 F 1 d G 9 S Z W 1 v d m V k Q 2 9 s d W 1 u c z E u e 0 N v b n R l b n Q u d m V y a W Z p Y 2 F 0 a W 9 u Q 2 9 t b W V u d C w z M X 0 m c X V v d D s s J n F 1 b 3 Q 7 U 2 V j d G l v b j E v T G l z d E 9 m R X h w Z W 5 k a X R 1 c m U v Q X V 0 b 1 J l b W 9 2 Z W R D b 2 x 1 b W 5 z M S 5 7 Q W t y b 2 5 p b S B Q c m 9 q Z W N 0 L D M y f S Z x d W 9 0 O y w m c X V v d D t T Z W N 0 a W 9 u M S 9 M a X N 0 T 2 Z F e H B l b m R p d H V y Z S 9 B d X R v U m V t b 3 Z l Z E N v b H V t b n M x L n t B a 3 J v b m l t I H B h c n R u Z X I s M z N 9 J n F 1 b 3 Q 7 L C Z x d W 9 0 O 1 N l Y 3 R p b 2 4 x L 0 x p c 3 R P Z k V 4 c G V u Z G l 0 d X J l L 0 F 1 d G 9 S Z W 1 v d m V k Q 2 9 s d W 1 u c z E u e 0 l E I F B h c n R u Z X I s M z R 9 J n F 1 b 3 Q 7 L C Z x d W 9 0 O 1 N l Y 3 R p b 2 4 x L 0 x p c 3 R P Z k V 4 c G V u Z G l 0 d X J l L 0 F 1 d G 9 S Z W 1 v d m V k Q 2 9 s d W 1 u c z E u e 0 l k I F J l b m R p Y 2 9 u d G 8 s M z V 9 J n F 1 b 3 Q 7 L C Z x d W 9 0 O 1 N l Y 3 R p b 2 4 x L 0 x p c 3 R P Z k V 4 c G V u Z G l 0 d X J l L 0 F 1 d G 9 S Z W 1 v d m V k Q 2 9 s d W 1 u c z E u e 0 R h d G U g b W 9 k a W Z p Z W Q s M z Z 9 J n F 1 b 3 Q 7 L C Z x d W 9 0 O 1 N l Y 3 R p b 2 4 x L 0 x p c 3 R P Z k V 4 c G V u Z G l 0 d X J l L 0 F 1 d G 9 S Z W 1 v d m V k Q 2 9 s d W 1 u c z E u e 0 Z v b G R l c i B Q Y X R o L D M 3 f S Z x d W 9 0 O 1 0 s J n F 1 b 3 Q 7 Q 2 9 s d W 1 u Q 2 9 1 b n Q m c X V v d D s 6 M z g s J n F 1 b 3 Q 7 S 2 V 5 Q 2 9 s d W 1 u T m F t Z X M m c X V v d D s 6 W 1 0 s J n F 1 b 3 Q 7 Q 2 9 s d W 1 u S W R l b n R p d G l l c y Z x d W 9 0 O z p b J n F 1 b 3 Q 7 U 2 V j d G l v b j E v T G l z d E 9 m R X h w Z W 5 k a X R 1 c m U v Q X V 0 b 1 J l b W 9 2 Z W R D b 2 x 1 b W 5 z M S 5 7 Q 2 9 u d G V u d C 5 p Z C w w f S Z x d W 9 0 O y w m c X V v d D t T Z W N 0 a W 9 u M S 9 M a X N 0 T 2 Z F e H B l b m R p d H V y Z S 9 B d X R v U m V t b 3 Z l Z E N v b H V t b n M x L n t D b 2 5 0 Z W 5 0 L m 5 1 b W J l c i w x f S Z x d W 9 0 O y w m c X V v d D t T Z W N 0 a W 9 u M S 9 M a X N 0 T 2 Z F e H B l b m R p d H V y Z S 9 B d X R v U m V t b 3 Z l Z E N v b H V t b n M x L n t D b 2 5 0 Z W 5 0 L m x 1 b X B T d W 1 J Z C w y f S Z x d W 9 0 O y w m c X V v d D t T Z W N 0 a W 9 u M S 9 M a X N 0 T 2 Z F e H B l b m R p d H V y Z S 9 B d X R v U m V t b 3 Z l Z E N v b H V t b n M x L n t D b 2 5 0 Z W 5 0 L n V u a X R D b 3 N 0 S W Q s M 3 0 m c X V v d D s s J n F 1 b 3 Q 7 U 2 V j d G l v b j E v T G l z d E 9 m R X h w Z W 5 k a X R 1 c m U v Q X V 0 b 1 J l b W 9 2 Z W R D b 2 x 1 b W 5 z M S 5 7 Q 2 9 u d G V u d C 5 j b 3 N 0 Q 2 F 0 Z W d v c n k s N H 0 m c X V v d D s s J n F 1 b 3 Q 7 U 2 V j d G l v b j E v T G l z d E 9 m R X h w Z W 5 k a X R 1 c m U v Q X V 0 b 1 J l b W 9 2 Z W R D b 2 x 1 b W 5 z M S 5 7 Q 2 9 u d G V u d C 5 n Z H B y L D V 9 J n F 1 b 3 Q 7 L C Z x d W 9 0 O 1 N l Y 3 R p b 2 4 x L 0 x p c 3 R P Z k V 4 c G V u Z G l 0 d X J l L 0 F 1 d G 9 S Z W 1 v d m V k Q 2 9 s d W 1 u c z E u e 0 N v b n R l b n Q u a W 5 2 Z X N 0 b W V u d E l k L D Z 9 J n F 1 b 3 Q 7 L C Z x d W 9 0 O 1 N l Y 3 R p b 2 4 x L 0 x p c 3 R P Z k V 4 c G V u Z G l 0 d X J l L 0 F 1 d G 9 S Z W 1 v d m V k Q 2 9 s d W 1 u c z E u e 0 N v b n R l b n Q u Y 2 9 u d H J h Y 3 R J Z C w 3 f S Z x d W 9 0 O y w m c X V v d D t T Z W N 0 a W 9 u M S 9 M a X N 0 T 2 Z F e H B l b m R p d H V y Z S 9 B d X R v U m V t b 3 Z l Z E N v b H V t b n M x L n t D b 2 5 0 Z W 5 0 L m l u d G V y b m F s U m V m Z X J l b m N l T n V t Y m V y L D h 9 J n F 1 b 3 Q 7 L C Z x d W 9 0 O 1 N l Y 3 R p b 2 4 x L 0 x p c 3 R P Z k V 4 c G V u Z G l 0 d X J l L 0 F 1 d G 9 S Z W 1 v d m V k Q 2 9 s d W 1 u c z E u e 0 N v b n R l b n Q u a W 5 2 b 2 l j Z U 5 1 b W J l c i w 5 f S Z x d W 9 0 O y w m c X V v d D t T Z W N 0 a W 9 u M S 9 M a X N 0 T 2 Z F e H B l b m R p d H V y Z S 9 B d X R v U m V t b 3 Z l Z E N v b H V t b n M x L n t D b 2 5 0 Z W 5 0 L m l u d m 9 p Y 2 V E Y X R l L D E w f S Z x d W 9 0 O y w m c X V v d D t T Z W N 0 a W 9 u M S 9 M a X N 0 T 2 Z F e H B l b m R p d H V y Z S 9 B d X R v U m V t b 3 Z l Z E N v b H V t b n M x L n t D b 2 5 0 Z W 5 0 L m R h d G V P Z l B h e W 1 l b n Q s M T F 9 J n F 1 b 3 Q 7 L C Z x d W 9 0 O 1 N l Y 3 R p b 2 4 x L 0 x p c 3 R P Z k V 4 c G V u Z G l 0 d X J l L 0 F 1 d G 9 S Z W 1 v d m V k Q 2 9 s d W 1 u c z E u e 0 N v b n R l b n Q u Z G V z Y 3 J p c H R p b 2 4 s M T J 9 J n F 1 b 3 Q 7 L C Z x d W 9 0 O 1 N l Y 3 R p b 2 4 x L 0 x p c 3 R P Z k V 4 c G V u Z G l 0 d X J l L 0 F 1 d G 9 S Z W 1 v d m V k Q 2 9 s d W 1 u c z E u e 0 N v b n R l b n Q u Y 2 9 t b W V u d C w x M 3 0 m c X V v d D s s J n F 1 b 3 Q 7 U 2 V j d G l v b j E v T G l z d E 9 m R X h w Z W 5 k a X R 1 c m U v Q X V 0 b 1 J l b W 9 2 Z W R D b 2 x 1 b W 5 z M S 5 7 Q 2 9 u d G V u d C 5 0 b 3 R h b F Z h b H V l S W 5 2 b 2 l j Z S w x N H 0 m c X V v d D s s J n F 1 b 3 Q 7 U 2 V j d G l v b j E v T G l z d E 9 m R X h w Z W 5 k a X R 1 c m U v Q X V 0 b 1 J l b W 9 2 Z W R D b 2 x 1 b W 5 z M S 5 7 Q 2 9 u d G V u d C 5 2 Y X Q s M T V 9 J n F 1 b 3 Q 7 L C Z x d W 9 0 O 1 N l Y 3 R p b 2 4 x L 0 x p c 3 R P Z k V 4 c G V u Z G l 0 d X J l L 0 F 1 d G 9 S Z W 1 v d m V k Q 2 9 s d W 1 u c z E u e 0 N v b n R l b n Q u b n V t Y m V y T 2 Z V b m l 0 c y w x N n 0 m c X V v d D s s J n F 1 b 3 Q 7 U 2 V j d G l v b j E v T G l z d E 9 m R X h w Z W 5 k a X R 1 c m U v Q X V 0 b 1 J l b W 9 2 Z W R D b 2 x 1 b W 5 z M S 5 7 Q 2 9 u d G V u d C 5 w c m l j Z V B l c l V u a X Q s M T d 9 J n F 1 b 3 Q 7 L C Z x d W 9 0 O 1 N l Y 3 R p b 2 4 x L 0 x p c 3 R P Z k V 4 c G V u Z G l 0 d X J l L 0 F 1 d G 9 S Z W 1 v d m V k Q 2 9 s d W 1 u c z E u e 0 N v b n R l b n Q u Z G V j b G F y Z W R B b W 9 1 b n Q s M T h 9 J n F 1 b 3 Q 7 L C Z x d W 9 0 O 1 N l Y 3 R p b 2 4 x L 0 x p c 3 R P Z k V 4 c G V u Z G l 0 d X J l L 0 F 1 d G 9 S Z W 1 v d m V k Q 2 9 s d W 1 u c z E u e 0 N v b n R l b n Q u Y 3 V y c m V u Y 3 l D b 2 R l L D E 5 f S Z x d W 9 0 O y w m c X V v d D t T Z W N 0 a W 9 u M S 9 M a X N 0 T 2 Z F e H B l b m R p d H V y Z S 9 B d X R v U m V t b 3 Z l Z E N v b H V t b n M x L n t D b 2 5 0 Z W 5 0 L m N 1 c n J l b m N 5 Q 2 9 u d m V y c 2 l v b l J h d G U s M j B 9 J n F 1 b 3 Q 7 L C Z x d W 9 0 O 1 N l Y 3 R p b 2 4 x L 0 x p c 3 R P Z k V 4 c G V u Z G l 0 d X J l L 0 F 1 d G 9 S Z W 1 v d m V k Q 2 9 s d W 1 u c z E u e 0 N v b n R l b n Q u Z G V j b G F y Z W R B b W 9 1 b n R B Z n R l c l N 1 Y m 1 p c 3 N p b 2 4 s M j F 9 J n F 1 b 3 Q 7 L C Z x d W 9 0 O 1 N l Y 3 R p b 2 4 x L 0 x p c 3 R P Z k V 4 c G V u Z G l 0 d X J l L 0 F 1 d G 9 S Z W 1 v d m V k Q 2 9 s d W 1 u c z E u e 0 N v b n R l b n Q u Y X R 0 Y W N o b W V u d C w y M n 0 m c X V v d D s s J n F 1 b 3 Q 7 U 2 V j d G l v b j E v T G l z d E 9 m R X h w Z W 5 k a X R 1 c m U v Q X V 0 b 1 J l b W 9 2 Z W R D b 2 x 1 b W 5 z M S 5 7 Q 2 9 u d G V u d C 5 w Y X J r a W 5 n T W V 0 Y W R h d G E s M j N 9 J n F 1 b 3 Q 7 L C Z x d W 9 0 O 1 N l Y 3 R p b 2 4 x L 0 x p c 3 R P Z k V 4 c G V u Z G l 0 d X J l L 0 F 1 d G 9 S Z W 1 v d m V k Q 2 9 s d W 1 u c z E u e 0 N v b n R l b n Q u c G F y d E 9 m U 2 F t c G x l L D I 0 f S Z x d W 9 0 O y w m c X V v d D t T Z W N 0 a W 9 u M S 9 M a X N 0 T 2 Z F e H B l b m R p d H V y Z S 9 B d X R v U m V t b 3 Z l Z E N v b H V t b n M x L n t D b 2 5 0 Z W 5 0 L n B h c n R P Z l N h b X B s Z U x v Y 2 t l Z C w y N X 0 m c X V v d D s s J n F 1 b 3 Q 7 U 2 V j d G l v b j E v T G l z d E 9 m R X h w Z W 5 k a X R 1 c m U v Q X V 0 b 1 J l b W 9 2 Z W R D b 2 x 1 b W 5 z M S 5 7 Q 2 9 u d G V u d C 5 j Z X J 0 a W Z p Z W R B b W 9 1 b n Q s M j Z 9 J n F 1 b 3 Q 7 L C Z x d W 9 0 O 1 N l Y 3 R p b 2 4 x L 0 x p c 3 R P Z k V 4 c G V u Z G l 0 d X J l L 0 F 1 d G 9 S Z W 1 v d m V k Q 2 9 s d W 1 u c z E u e 0 N v b n R l b n Q u Z G V k d W N 0 Z W R B b W 9 1 b n Q s M j d 9 J n F 1 b 3 Q 7 L C Z x d W 9 0 O 1 N l Y 3 R p b 2 4 x L 0 x p c 3 R P Z k V 4 c G V u Z G l 0 d X J l L 0 F 1 d G 9 S Z W 1 v d m V k Q 2 9 s d W 1 u c z E u e 0 N v b n R l b n Q u d H l w b 2 x v Z 3 l P Z k V y c m 9 y S W Q s M j h 9 J n F 1 b 3 Q 7 L C Z x d W 9 0 O 1 N l Y 3 R p b 2 4 x L 0 x p c 3 R P Z k V 4 c G V u Z G l 0 d X J l L 0 F 1 d G 9 S Z W 1 v d m V k Q 2 9 s d W 1 u c z E u e 0 N v b n R l b n Q u c G F y a 2 V k L D I 5 f S Z x d W 9 0 O y w m c X V v d D t T Z W N 0 a W 9 u M S 9 M a X N 0 T 2 Z F e H B l b m R p d H V y Z S 9 B d X R v U m V t b 3 Z l Z E N v b H V t b n M x L n t D b 2 5 0 Z W 5 0 L n B h c m t l Z E 9 u L D M w f S Z x d W 9 0 O y w m c X V v d D t T Z W N 0 a W 9 u M S 9 M a X N 0 T 2 Z F e H B l b m R p d H V y Z S 9 B d X R v U m V t b 3 Z l Z E N v b H V t b n M x L n t D b 2 5 0 Z W 5 0 L n Z l c m l m a W N h d G l v b k N v b W 1 l b n Q s M z F 9 J n F 1 b 3 Q 7 L C Z x d W 9 0 O 1 N l Y 3 R p b 2 4 x L 0 x p c 3 R P Z k V 4 c G V u Z G l 0 d X J l L 0 F 1 d G 9 S Z W 1 v d m V k Q 2 9 s d W 1 u c z E u e 0 F r c m 9 u a W 0 g U H J v a m V j d C w z M n 0 m c X V v d D s s J n F 1 b 3 Q 7 U 2 V j d G l v b j E v T G l z d E 9 m R X h w Z W 5 k a X R 1 c m U v Q X V 0 b 1 J l b W 9 2 Z W R D b 2 x 1 b W 5 z M S 5 7 Q W t y b 2 5 p b S B w Y X J 0 b m V y L D M z f S Z x d W 9 0 O y w m c X V v d D t T Z W N 0 a W 9 u M S 9 M a X N 0 T 2 Z F e H B l b m R p d H V y Z S 9 B d X R v U m V t b 3 Z l Z E N v b H V t b n M x L n t J R C B Q Y X J 0 b m V y L D M 0 f S Z x d W 9 0 O y w m c X V v d D t T Z W N 0 a W 9 u M S 9 M a X N 0 T 2 Z F e H B l b m R p d H V y Z S 9 B d X R v U m V t b 3 Z l Z E N v b H V t b n M x L n t J Z C B S Z W 5 k a W N v b n R v L D M 1 f S Z x d W 9 0 O y w m c X V v d D t T Z W N 0 a W 9 u M S 9 M a X N 0 T 2 Z F e H B l b m R p d H V y Z S 9 B d X R v U m V t b 3 Z l Z E N v b H V t b n M x L n t E Y X R l I G 1 v Z G l m a W V k L D M 2 f S Z x d W 9 0 O y w m c X V v d D t T Z W N 0 a W 9 u M S 9 M a X N 0 T 2 Z F e H B l b m R p d H V y Z S 9 B d X R v U m V t b 3 Z l Z E N v b H V t b n M x L n t G b 2 x k Z X I g U G F 0 a C w z N 3 0 m c X V v d D t d L C Z x d W 9 0 O 1 J l b G F 0 a W 9 u c 2 h p c E l u Z m 8 m c X V v d D s 6 W 1 1 9 I i 8 + P E V u d H J 5 I F R 5 c G U 9 I l J l c 3 V s d F R 5 c G U i I F Z h b H V l P S J z V G F i b G U i L z 4 8 R W 5 0 c n k g V H l w Z T 0 i T m F 2 a W d h d G l v b l N 0 Z X B O Y W 1 l I i B W Y W x 1 Z T 0 i c 0 5 h d m l n Y X p p b 2 5 l I i 8 + P E V u d H J 5 I F R 5 c G U 9 I k Z p b G x P Y m p l Y 3 R U e X B l I i B W Y W x 1 Z T 0 i c 1 R h Y m x l I i 8 + P E V u d H J 5 I F R 5 c G U 9 I k 5 h b W V V c G R h d G V k Q W Z 0 Z X J G a W x s I i B W Y W x 1 Z T 0 i b D A i L z 4 8 R W 5 0 c n k g V H l w Z T 0 i R m l s b F R h c m d l d C I g V m F s d W U 9 I n N M a X N 0 T 2 Z F e H B l b m R p d H V y Z S I v P j w v U 3 R h Y m x l R W 5 0 c m l l c z 4 8 L 0 l 0 Z W 0 + P E l 0 Z W 0 + P E l 0 Z W 1 M b 2 N h d G l v b j 4 8 S X R l b V R 5 c G U + R m 9 y b X V s Y T w v S X R l b V R 5 c G U + P E l 0 Z W 1 Q Y X R o P l N l Y 3 R p b 2 4 x L 0 Z p b G U l M j B k a S U y M G V z Z W 1 w a W 8 l M j A o M T M 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Y t M j F U M T E 6 M D g 6 N T g u M z g 1 O T U 5 M F 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i Y m M 3 Y T A 5 N y 0 w M W M 2 L T R h N j Q t O W Q x N C 0 2 N 2 Y 3 M j I 1 M j Q 5 Z T g i L z 4 8 R W 5 0 c n k g V H l w Z T 0 i U X V l c n l J R C I g V m F s d W U 9 I n M 0 Z T d l Z D d k M y 0 3 N W Y y L T R l Y j E t O W V l O S 0 4 M j B h Z j c 1 Z m Y 3 Y z Q i L z 4 8 R W 5 0 c n k g V H l w Z T 0 i U m V z d W x 0 V H l w Z S I g V m F s d W U 9 I n N C a W 5 h c n k i L z 4 8 R W 5 0 c n k g V H l w Z T 0 i R m l s b E 9 i a m V j d F R 5 c G U i I F Z h b H V l P S J z Q 2 9 u b m V j d G l v b k 9 u b H k i L z 4 8 R W 5 0 c n k g V H l w Z T 0 i T m F t Z V V w Z G F 0 Z W R B Z n R l c k Z p b G w i I F Z h b H V l P S J s M S I v P j x F b n R y e S B U e X B l P S J M b 2 F k Z W R U b 0 F u Y W x 5 c 2 l z U 2 V y d m l j Z X M i I F Z h b H V l P S J s M C I v P j x F b n R y e S B U e X B l P S J M b 2 F k V G 9 S Z X B v c n R E a X N h Y m x l Z C I g V m F s d W U 9 I m w x I i 8 + P C 9 T d G F i b G V F b n R y a W V z P j w v S X R l b T 4 8 S X R l b T 4 8 S X R l b U x v Y 2 F 0 a W 9 u P j x J d G V t V H l w Z T 5 G b 3 J t d W x h P C 9 J d G V t V H l w Z T 4 8 S X R l b V B h d G g + U 2 V j d G l v b j E v U G F y Y W 1 l d H J v O D 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0 L T A 2 L T I x V D E x O j A 4 O j U 4 L j M 5 O T k 1 O T F 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m J j N 2 E w O T c t M D F j N i 0 0 Y T Y 0 L T l k M T Q t N j d m N z I y N T I 0 O W U 4 I i 8 + P E V u d H J 5 I F R 5 c G U 9 I l F 1 Z X J 5 S U Q i I F Z h b H V l P S J z M G E z N z I 2 Y 2 M t N z A w N y 0 0 O T A 1 L W J j N D Q t Y T R h N 2 R h O T R h O G V j I i 8 + P E V u d H J 5 I F R 5 c G U 9 I l J l c 3 V s d F R 5 c G U i I F Z h b H V l P S J z Q m l u Y X J 5 I i 8 + P E V u d H J 5 I F R 5 c G U 9 I k Z p b G x P Y m p l Y 3 R U e X B l I i B W Y W x 1 Z T 0 i c 0 N v b m 5 l Y 3 R p b 2 5 P b m x 5 I i 8 + P E V u d H J 5 I F R 5 c G U 9 I k x v Y W R U b 1 J l c G 9 y d E R p c 2 F i b G V k I i B W Y W x 1 Z T 0 i b D E i L z 4 8 L 1 N 0 Y W J s Z U V u d H J p Z X M + P C 9 J d G V t P j x J d G V t P j x J d G V t T G 9 j Y X R p b 2 4 + P E l 0 Z W 1 U e X B l P k Z v c m 1 1 b G E 8 L 0 l 0 Z W 1 U e X B l P j x J d G V t U G F 0 a D 5 T Z W N 0 a W 9 u M S 9 U c m F z Z m 9 y b W E l M j B m a W x l J T I w Z G k l M j B l c 2 V t c G l v J T I w K D g 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Y t M j F U M T E 6 M D g 6 N T g u N D E 4 O T U 1 N F 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k Z m E y Y z k 4 O C 0 x Y 2 Z j L T Q 2 N 2 U t O T Q 1 N i 1 l Y m N l N z E 3 Z D g z Z j g i L z 4 8 R W 5 0 c n k g V H l w Z T 0 i U X V l c n l J R C I g V m F s d W U 9 I n M x Y T V j Y m N m N i 0 0 M z U 5 L T Q 3 O D k t Y W Q 5 Z S 0 0 N D l k Z D Y y M j M w O D U i L z 4 8 R W 5 0 c n k g V H l w Z T 0 i U m V z d W x 0 V H l w Z S I g V m F s d W U 9 I n N F e G N l c H R p b 2 4 i L z 4 8 R W 5 0 c n k g V H l w Z T 0 i R m l s b E 9 i a m V j d F R 5 c G U i I F Z h b H V l P S J z Q 2 9 u b m V j d G l v b k 9 u b H k i L z 4 8 R W 5 0 c n k g V H l w Z T 0 i T m F t Z V V w Z G F 0 Z W R B Z n R l c k Z p b G w i I F Z h b H V l P S J s M S I v P j x F b n R y e S B U e X B l P S J M b 2 F k V G 9 S Z X B v c n R E a X N h Y m x l Z C I g V m F s d W U 9 I m w x I i 8 + P C 9 T d G F i b G V F b n R y a W V z P j w v S X R l b T 4 8 S X R l b T 4 8 S X R l b U x v Y 2 F 0 a W 9 u P j x J d G V t V H l w Z T 5 G b 3 J t d W x h P C 9 J d G V t V H l w Z T 4 8 S X R l b V B h d G g + U 2 V j d G l v b j E v V H J h c 2 Z v c m 1 h J T I w Z m l s Z S U y M C g 4 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0 L T A 2 L T I x V D E x O j A 4 O j U 4 L j Q z N T k 1 O D h 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m J j N 2 E w O T c t M D F j N i 0 0 Y T Y 0 L T l k M T Q t N j d m N z I y N T I 0 O W U 4 I i 8 + P E V u d H J 5 I F R 5 c G U 9 I l F 1 Z X J 5 S U Q i I F Z h b H V l P S J z N j I z M D V m Z G U t M z Q 1 N i 0 0 M z Z k L W I 0 Y 2 Y t O G R l Y 2 J k O G V m Y 2 Q z I i 8 + P E V u d H J 5 I F R 5 c G U 9 I l J l c 3 V s d F R 5 c G U i I F Z h b H V l P S J z R n V u Y 3 R p b 2 4 i L z 4 8 R W 5 0 c n k g V H l w Z T 0 i R m l s b E 9 i a m V j d F R 5 c G U i I F Z h b H V l P S J z Q 2 9 u b m V j d G l v b k 9 u b H k i L z 4 8 R W 5 0 c n k g V H l w Z T 0 i T G 9 h Z F R v U m V w b 3 J 0 R G l z Y W J s Z W Q i I F Z h b H V l P S J s M S I v P j w v U 3 R h Y m x l R W 5 0 c m l l c z 4 8 L 0 l 0 Z W 0 + P E l 0 Z W 0 + P E l 0 Z W 1 M b 2 N h d G l v b j 4 8 S X R l b V R 5 c G U + R m 9 y b X V s Y T w v S X R l b V R 5 c G U + P E l 0 Z W 1 Q Y X R o P l N l Y 3 R p b 2 4 x L 0 l u d G V y c m V n J T I w V k k t Q S U y M E l 0 Y W x 5 L V N s b 3 Z l b m l h X 3 B y b 2 p l Y 3 R f Z W 5 f Z W 5 f M j A y N D A 2 M T F f M T E 0 N j M 0 P C 9 J d G V t U G F 0 a D 4 8 L 0 l 0 Z W 1 M b 2 N h d G l v b j 4 8 U 3 R h Y m x l R W 5 0 c m l l c z 4 8 R W 5 0 c n k g V H l w Z T 0 i Q W R k Z W R U b 0 R h d G F N b 2 R l b C I g V m F s d W U 9 I m w w I i 8 + P E V u d H J 5 I F R 5 c G U 9 I k J 1 Z m Z l c k 5 l e H R S Z W Z y Z X N o I i B W Y W x 1 Z T 0 i b D E i L z 4 8 R W 5 0 c n k g V H l w Z T 0 i R m l s b E N v d W 5 0 I i B W Y W x 1 Z T 0 i b D M 5 I i 8 + P E V u d H J 5 I F R 5 c G U 9 I k Z p b G x F b m F i b G V k I i B W Y W x 1 Z T 0 i b D E i L z 4 8 R W 5 0 c n k g V H l w Z T 0 i R m l s b E V y c m 9 y Q 2 9 k Z S I g V m F s d W U 9 I n N V b m t u b 3 d u I i 8 + P E V u d H J 5 I F R 5 c G U 9 I k Z p b G x F c n J v c k N v d W 5 0 I i B W Y W x 1 Z T 0 i b D A i L z 4 8 R W 5 0 c n k g V H l w Z T 0 i R m l s b E x h c 3 R V c G R h d G V k I i B W Y W x 1 Z T 0 i Z D I w M j Q t M D Y t M j h U M T A 6 M z U 6 M D c u N z M 5 N z Y w O V o i L z 4 8 R W 5 0 c n k g V H l w Z T 0 i R m l s b E N v b H V t b l R 5 c G V z I i B W Y W x 1 Z T 0 i c 0 F B Q U h C d 0 E 9 I i 8 + P E V u d H J 5 I F R 5 c G U 9 I k Z p b G x D b 2 x 1 b W 5 O Y W 1 l c y I g V m F s d W U 9 I n N b J n F 1 b 3 Q 7 Q 2 9 s d W 1 u M S 5 w c m 9 q Z W N 0 X 2 l k J n F 1 b 3 Q 7 L C Z x d W 9 0 O 0 N v b H V t b j E u Y W N y b 2 5 5 b S Z x d W 9 0 O y w m c X V v d D t D b 2 x 1 b W 4 x L n B y b 2 p l Y 3 R f c 3 R h c n R f Z G F 0 Z S Z x d W 9 0 O y w m c X V v d D t D b 2 x 1 b W 4 x L n B y b 2 p l Y 3 R f Z W 5 k X 2 R h d G U m c X V v d D s s J n F 1 b 3 Q 7 Q 2 9 s d W 1 u M S 5 0 b 3 R h b F 9 i d W R n Z X Q 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R h N m I x M T Q 2 L W U x M j A t N D Q y Y S 0 5 O T B l L T V i Y m F h Z T U z Z m E 4 O S I v P j x F b n R y e S B U e X B l P S J S Z W x h d G l v b n N o a X B J b m Z v Q 2 9 u d G F p b m V y I i B W Y W x 1 Z T 0 i c 3 s m c X V v d D t j b 2 x 1 b W 5 D b 3 V u d C Z x d W 9 0 O z o 1 L C Z x d W 9 0 O 2 t l e U N v b H V t b k 5 h b W V z J n F 1 b 3 Q 7 O l t d L C Z x d W 9 0 O 3 F 1 Z X J 5 U m V s Y X R p b 2 5 z a G l w c y Z x d W 9 0 O z p b X S w m c X V v d D t j b 2 x 1 b W 5 J Z G V u d G l 0 a W V z J n F 1 b 3 Q 7 O l s m c X V v d D t T Z W N 0 a W 9 u M S 9 J b n R l c n J l Z y B W S S 1 B I E l 0 Y W x 5 L V N s b 3 Z l b m l h X 3 B y b 2 p l Y 3 R f Z W 5 f Z W 5 f M j A y N D A 2 M T F f M T E 0 N j M 0 L 0 F 1 d G 9 S Z W 1 v d m V k Q 2 9 s d W 1 u c z E u e 0 N v b H V t b j E u c H J v a m V j d F 9 p Z C w w f S Z x d W 9 0 O y w m c X V v d D t T Z W N 0 a W 9 u M S 9 J b n R l c n J l Z y B W S S 1 B I E l 0 Y W x 5 L V N s b 3 Z l b m l h X 3 B y b 2 p l Y 3 R f Z W 5 f Z W 5 f M j A y N D A 2 M T F f M T E 0 N j M 0 L 0 F 1 d G 9 S Z W 1 v d m V k Q 2 9 s d W 1 u c z E u e 0 N v b H V t b j E u Y W N y b 2 5 5 b S w x f S Z x d W 9 0 O y w m c X V v d D t T Z W N 0 a W 9 u M S 9 J b n R l c n J l Z y B W S S 1 B I E l 0 Y W x 5 L V N s b 3 Z l b m l h X 3 B y b 2 p l Y 3 R f Z W 5 f Z W 5 f M j A y N D A 2 M T F f M T E 0 N j M 0 L 0 F 1 d G 9 S Z W 1 v d m V k Q 2 9 s d W 1 u c z E u e 0 N v b H V t b j E u c H J v a m V j d F 9 z d G F y d F 9 k Y X R l L D J 9 J n F 1 b 3 Q 7 L C Z x d W 9 0 O 1 N l Y 3 R p b 2 4 x L 0 l u d G V y c m V n I F Z J L U E g S X R h b H k t U 2 x v d m V u a W F f c H J v a m V j d F 9 l b l 9 l b l 8 y M D I 0 M D Y x M V 8 x M T Q 2 M z Q v Q X V 0 b 1 J l b W 9 2 Z W R D b 2 x 1 b W 5 z M S 5 7 Q 2 9 s d W 1 u M S 5 w c m 9 q Z W N 0 X 2 V u Z F 9 k Y X R l L D N 9 J n F 1 b 3 Q 7 L C Z x d W 9 0 O 1 N l Y 3 R p b 2 4 x L 0 l u d G V y c m V n I F Z J L U E g S X R h b H k t U 2 x v d m V u a W F f c H J v a m V j d F 9 l b l 9 l b l 8 y M D I 0 M D Y x M V 8 x M T Q 2 M z Q v Q X V 0 b 1 J l b W 9 2 Z W R D b 2 x 1 b W 5 z M S 5 7 Q 2 9 s d W 1 u M S 5 0 b 3 R h b F 9 i d W R n Z X Q s N H 0 m c X V v d D t d L C Z x d W 9 0 O 0 N v b H V t b k N v d W 5 0 J n F 1 b 3 Q 7 O j U s J n F 1 b 3 Q 7 S 2 V 5 Q 2 9 s d W 1 u T m F t Z X M m c X V v d D s 6 W 1 0 s J n F 1 b 3 Q 7 Q 2 9 s d W 1 u S W R l b n R p d G l l c y Z x d W 9 0 O z p b J n F 1 b 3 Q 7 U 2 V j d G l v b j E v S W 5 0 Z X J y Z W c g V k k t Q S B J d G F s e S 1 T b G 9 2 Z W 5 p Y V 9 w c m 9 q Z W N 0 X 2 V u X 2 V u X z I w M j Q w N j E x X z E x N D Y z N C 9 B d X R v U m V t b 3 Z l Z E N v b H V t b n M x L n t D b 2 x 1 b W 4 x L n B y b 2 p l Y 3 R f a W Q s M H 0 m c X V v d D s s J n F 1 b 3 Q 7 U 2 V j d G l v b j E v S W 5 0 Z X J y Z W c g V k k t Q S B J d G F s e S 1 T b G 9 2 Z W 5 p Y V 9 w c m 9 q Z W N 0 X 2 V u X 2 V u X z I w M j Q w N j E x X z E x N D Y z N C 9 B d X R v U m V t b 3 Z l Z E N v b H V t b n M x L n t D b 2 x 1 b W 4 x L m F j c m 9 u e W 0 s M X 0 m c X V v d D s s J n F 1 b 3 Q 7 U 2 V j d G l v b j E v S W 5 0 Z X J y Z W c g V k k t Q S B J d G F s e S 1 T b G 9 2 Z W 5 p Y V 9 w c m 9 q Z W N 0 X 2 V u X 2 V u X z I w M j Q w N j E x X z E x N D Y z N C 9 B d X R v U m V t b 3 Z l Z E N v b H V t b n M x L n t D b 2 x 1 b W 4 x L n B y b 2 p l Y 3 R f c 3 R h c n R f Z G F 0 Z S w y f S Z x d W 9 0 O y w m c X V v d D t T Z W N 0 a W 9 u M S 9 J b n R l c n J l Z y B W S S 1 B I E l 0 Y W x 5 L V N s b 3 Z l b m l h X 3 B y b 2 p l Y 3 R f Z W 5 f Z W 5 f M j A y N D A 2 M T F f M T E 0 N j M 0 L 0 F 1 d G 9 S Z W 1 v d m V k Q 2 9 s d W 1 u c z E u e 0 N v b H V t b j E u c H J v a m V j d F 9 l b m R f Z G F 0 Z S w z f S Z x d W 9 0 O y w m c X V v d D t T Z W N 0 a W 9 u M S 9 J b n R l c n J l Z y B W S S 1 B I E l 0 Y W x 5 L V N s b 3 Z l b m l h X 3 B y b 2 p l Y 3 R f Z W 5 f Z W 5 f M j A y N D A 2 M T F f M T E 0 N j M 0 L 0 F 1 d G 9 S Z W 1 v d m V k Q 2 9 s d W 1 u c z E u e 0 N v b H V t b j E u d G 9 0 Y W x f Y n V k Z 2 V 0 L D R 9 J n F 1 b 3 Q 7 X S w m c X V v d D t S Z W x h d G l v b n N o a X B J b m Z v J n F 1 b 3 Q 7 O l t d f S I v P j x F b n R y e S B U e X B l P S J S Z X N 1 b H R U e X B l I i B W Y W x 1 Z T 0 i c 1 R h Y m x l I i 8 + P E V u d H J 5 I F R 5 c G U 9 I k 5 h d m l n Y X R p b 2 5 T d G V w T m F t Z S I g V m F s d W U 9 I n N O Y X Z p Z 2 F 6 a W 9 u Z S I v P j x F b n R y e S B U e X B l P S J G a W x s T 2 J q Z W N 0 V H l w Z S I g V m F s d W U 9 I n N U Y W J s Z S I v P j x F b n R y e S B U e X B l P S J O Y W 1 l V X B k Y X R l Z E F m d G V y R m l s b C I g V m F s d W U 9 I m w w I i 8 + P E V u d H J 5 I F R 5 c G U 9 I k Z p b G x U Y X J n Z X Q i I F Z h b H V l P S J z S W 5 0 Z X J y Z W d f V k l f Q V 9 J d G F s e V 9 T b G 9 2 Z W 5 p Y V 9 w c m 9 q Z W N 0 X 2 V u X 2 V u X z I w M j Q w N j E x X z E x N D Y z N C I v P j w v U 3 R h Y m x l R W 5 0 c m l l c z 4 8 L 0 l 0 Z W 0 + P E l 0 Z W 0 + P E l 0 Z W 1 M b 2 N h d G l v b j 4 8 S X R l b V R 5 c G U + R m 9 y b X V s Y T w v S X R l b V R 5 c G U + P E l 0 Z W 1 Q Y X R o P l N l Y 3 R p b 2 4 x L 1 B y b 2 d l d H R p P C 9 J d G V t U G F 0 a D 4 8 L 0 l 0 Z W 1 M b 2 N h d G l v b j 4 8 U 3 R h Y m x l R W 5 0 c m l l c z 4 8 R W 5 0 c n k g V H l w Z T 0 i Q W R k Z W R U b 0 R h d G F N b 2 R l b C I g V m F s d W U 9 I m w w I i 8 + P E V u d H J 5 I F R 5 c G U 9 I k J 1 Z m Z l c k 5 l e H R S Z W Z y Z X N o I i B W Y W x 1 Z T 0 i b D E i L z 4 8 R W 5 0 c n k g V H l w Z T 0 i R m l s b E N v d W 5 0 I i B W Y W x 1 Z T 0 i b D U 4 I i 8 + P E V u d H J 5 I F R 5 c G U 9 I k Z p b G x F b m F i b G V k I i B W Y W x 1 Z T 0 i b D E i L z 4 8 R W 5 0 c n k g V H l w Z T 0 i R m l s b E V y c m 9 y Q 2 9 k Z S I g V m F s d W U 9 I n N V b m t u b 3 d u I i 8 + P E V u d H J 5 I F R 5 c G U 9 I k Z p b G x F c n J v c k N v d W 5 0 I i B W Y W x 1 Z T 0 i b D A i L z 4 8 R W 5 0 c n k g V H l w Z T 0 i R m l s b E x h c 3 R V c G R h d G V k I i B W Y W x 1 Z T 0 i Z D I w M j Q t M D c t M j R U M T E 6 M j Q 6 N D U u M j Y 3 M j E 3 N 1 o i L z 4 8 R W 5 0 c n k g V H l w Z T 0 i R m l s b E N v b H V t b l R 5 c G V z I i B W Y W x 1 Z T 0 i c 0 F B Q U F B Q U F B Q U F B Q U F B P T 0 i L z 4 8 R W 5 0 c n k g V H l w Z T 0 i R m l s b E N v b H V t b k 5 h b W V z I i B W Y W x 1 Z T 0 i c 1 s m c X V v d D t D b 2 x 1 b W 4 x L m l k J n F 1 b 3 Q 7 L C Z x d W 9 0 O 0 N v b H V t b j E u Y 3 V z d G 9 t S W R l b n R p Z m l l c i Z x d W 9 0 O y w m c X V v d D t D b 2 x 1 b W 4 x L m N h b G x O Y W 1 l J n F 1 b 3 Q 7 L C Z x d W 9 0 O 0 N v b H V t b j E u Y 2 F s b E l k J n F 1 b 3 Q 7 L C Z x d W 9 0 O 0 N v b H V t b j E u Y W N y b 2 5 5 b S Z x d W 9 0 O y w m c X V v d D t D b 2 x 1 b W 4 x L n B y b 2 p l Y 3 R T d G F 0 d X M m c X V v d D s s J n F 1 b 3 Q 7 Q 2 9 s d W 1 u M S 5 m a X J z d F N 1 Y m 1 p c 3 N p b 2 5 E Y X R l J n F 1 b 3 Q 7 L C Z x d W 9 0 O 0 N v b H V t b j E u b G F z d F J l c 3 V i b W l z c 2 l v b k R h d G U m c X V v d D s s J n F 1 b 3 Q 7 Q 2 9 s d W 1 u M S 5 z c G V j a W Z p Y 0 9 i a m V j d G l 2 Z U N v Z G U m c X V v d D s s J n F 1 b 3 Q 7 Q 2 9 s d W 1 u M S 5 w c m 9 n c m F t b W V Q c m l v c m l 0 e U N v Z G U 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2 Z h Z D A w O D M 1 L T c 1 O W Y t N G E z M C 0 5 N j B j L W V h Y z F h N D Y 5 N z h m N C I v P j x F b n R y e S B U e X B l P S J S Z W x h d G l v b n N o a X B J b m Z v Q 2 9 u d G F p b m V y I i B W Y W x 1 Z T 0 i c 3 s m c X V v d D t j b 2 x 1 b W 5 D b 3 V u d C Z x d W 9 0 O z o x M C w m c X V v d D t r Z X l D b 2 x 1 b W 5 O Y W 1 l c y Z x d W 9 0 O z p b X S w m c X V v d D t x d W V y e V J l b G F 0 a W 9 u c 2 h p c H M m c X V v d D s 6 W 1 0 s J n F 1 b 3 Q 7 Y 2 9 s d W 1 u S W R l b n R p d G l l c y Z x d W 9 0 O z p b J n F 1 b 3 Q 7 U 2 V j d G l v b j E v U H J v Z 2 V 0 d G k v Q X V 0 b 1 J l b W 9 2 Z W R D b 2 x 1 b W 5 z M S 5 7 Q 2 9 s d W 1 u M S 5 p Z C w w f S Z x d W 9 0 O y w m c X V v d D t T Z W N 0 a W 9 u M S 9 Q c m 9 n Z X R 0 a S 9 B d X R v U m V t b 3 Z l Z E N v b H V t b n M x L n t D b 2 x 1 b W 4 x L m N 1 c 3 R v b U l k Z W 5 0 a W Z p Z X I s M X 0 m c X V v d D s s J n F 1 b 3 Q 7 U 2 V j d G l v b j E v U H J v Z 2 V 0 d G k v Q X V 0 b 1 J l b W 9 2 Z W R D b 2 x 1 b W 5 z M S 5 7 Q 2 9 s d W 1 u M S 5 j Y W x s T m F t Z S w y f S Z x d W 9 0 O y w m c X V v d D t T Z W N 0 a W 9 u M S 9 Q c m 9 n Z X R 0 a S 9 B d X R v U m V t b 3 Z l Z E N v b H V t b n M x L n t D b 2 x 1 b W 4 x L m N h b G x J Z C w z f S Z x d W 9 0 O y w m c X V v d D t T Z W N 0 a W 9 u M S 9 Q c m 9 n Z X R 0 a S 9 B d X R v U m V t b 3 Z l Z E N v b H V t b n M x L n t D b 2 x 1 b W 4 x L m F j c m 9 u e W 0 s N H 0 m c X V v d D s s J n F 1 b 3 Q 7 U 2 V j d G l v b j E v U H J v Z 2 V 0 d G k v Q X V 0 b 1 J l b W 9 2 Z W R D b 2 x 1 b W 5 z M S 5 7 Q 2 9 s d W 1 u M S 5 w c m 9 q Z W N 0 U 3 R h d H V z L D V 9 J n F 1 b 3 Q 7 L C Z x d W 9 0 O 1 N l Y 3 R p b 2 4 x L 1 B y b 2 d l d H R p L 0 F 1 d G 9 S Z W 1 v d m V k Q 2 9 s d W 1 u c z E u e 0 N v b H V t b j E u Z m l y c 3 R T d W J t a X N z a W 9 u R G F 0 Z S w 2 f S Z x d W 9 0 O y w m c X V v d D t T Z W N 0 a W 9 u M S 9 Q c m 9 n Z X R 0 a S 9 B d X R v U m V t b 3 Z l Z E N v b H V t b n M x L n t D b 2 x 1 b W 4 x L m x h c 3 R S Z X N 1 Y m 1 p c 3 N p b 2 5 E Y X R l L D d 9 J n F 1 b 3 Q 7 L C Z x d W 9 0 O 1 N l Y 3 R p b 2 4 x L 1 B y b 2 d l d H R p L 0 F 1 d G 9 S Z W 1 v d m V k Q 2 9 s d W 1 u c z E u e 0 N v b H V t b j E u c 3 B l Y 2 l m a W N P Y m p l Y 3 R p d m V D b 2 R l L D h 9 J n F 1 b 3 Q 7 L C Z x d W 9 0 O 1 N l Y 3 R p b 2 4 x L 1 B y b 2 d l d H R p L 0 F 1 d G 9 S Z W 1 v d m V k Q 2 9 s d W 1 u c z E u e 0 N v b H V t b j E u c H J v Z 3 J h b W 1 l U H J p b 3 J p d H l D b 2 R l L D l 9 J n F 1 b 3 Q 7 X S w m c X V v d D t D b 2 x 1 b W 5 D b 3 V u d C Z x d W 9 0 O z o x M C w m c X V v d D t L Z X l D b 2 x 1 b W 5 O Y W 1 l c y Z x d W 9 0 O z p b X S w m c X V v d D t D b 2 x 1 b W 5 J Z G V u d G l 0 a W V z J n F 1 b 3 Q 7 O l s m c X V v d D t T Z W N 0 a W 9 u M S 9 Q c m 9 n Z X R 0 a S 9 B d X R v U m V t b 3 Z l Z E N v b H V t b n M x L n t D b 2 x 1 b W 4 x L m l k L D B 9 J n F 1 b 3 Q 7 L C Z x d W 9 0 O 1 N l Y 3 R p b 2 4 x L 1 B y b 2 d l d H R p L 0 F 1 d G 9 S Z W 1 v d m V k Q 2 9 s d W 1 u c z E u e 0 N v b H V t b j E u Y 3 V z d G 9 t S W R l b n R p Z m l l c i w x f S Z x d W 9 0 O y w m c X V v d D t T Z W N 0 a W 9 u M S 9 Q c m 9 n Z X R 0 a S 9 B d X R v U m V t b 3 Z l Z E N v b H V t b n M x L n t D b 2 x 1 b W 4 x L m N h b G x O Y W 1 l L D J 9 J n F 1 b 3 Q 7 L C Z x d W 9 0 O 1 N l Y 3 R p b 2 4 x L 1 B y b 2 d l d H R p L 0 F 1 d G 9 S Z W 1 v d m V k Q 2 9 s d W 1 u c z E u e 0 N v b H V t b j E u Y 2 F s b E l k L D N 9 J n F 1 b 3 Q 7 L C Z x d W 9 0 O 1 N l Y 3 R p b 2 4 x L 1 B y b 2 d l d H R p L 0 F 1 d G 9 S Z W 1 v d m V k Q 2 9 s d W 1 u c z E u e 0 N v b H V t b j E u Y W N y b 2 5 5 b S w 0 f S Z x d W 9 0 O y w m c X V v d D t T Z W N 0 a W 9 u M S 9 Q c m 9 n Z X R 0 a S 9 B d X R v U m V t b 3 Z l Z E N v b H V t b n M x L n t D b 2 x 1 b W 4 x L n B y b 2 p l Y 3 R T d G F 0 d X M s N X 0 m c X V v d D s s J n F 1 b 3 Q 7 U 2 V j d G l v b j E v U H J v Z 2 V 0 d G k v Q X V 0 b 1 J l b W 9 2 Z W R D b 2 x 1 b W 5 z M S 5 7 Q 2 9 s d W 1 u M S 5 m a X J z d F N 1 Y m 1 p c 3 N p b 2 5 E Y X R l L D Z 9 J n F 1 b 3 Q 7 L C Z x d W 9 0 O 1 N l Y 3 R p b 2 4 x L 1 B y b 2 d l d H R p L 0 F 1 d G 9 S Z W 1 v d m V k Q 2 9 s d W 1 u c z E u e 0 N v b H V t b j E u b G F z d F J l c 3 V i b W l z c 2 l v b k R h d G U s N 3 0 m c X V v d D s s J n F 1 b 3 Q 7 U 2 V j d G l v b j E v U H J v Z 2 V 0 d G k v Q X V 0 b 1 J l b W 9 2 Z W R D b 2 x 1 b W 5 z M S 5 7 Q 2 9 s d W 1 u M S 5 z c G V j a W Z p Y 0 9 i a m V j d G l 2 Z U N v Z G U s O H 0 m c X V v d D s s J n F 1 b 3 Q 7 U 2 V j d G l v b j E v U H J v Z 2 V 0 d G k v Q X V 0 b 1 J l b W 9 2 Z W R D b 2 x 1 b W 5 z M S 5 7 Q 2 9 s d W 1 u M S 5 w c m 9 n c m F t b W V Q c m l v c m l 0 e U N v Z G U s O X 0 m c X V v d D t d L C Z x d W 9 0 O 1 J l b G F 0 a W 9 u c 2 h p c E l u Z m 8 m c X V v d D s 6 W 1 1 9 I i 8 + P E V u d H J 5 I F R 5 c G U 9 I l J l c 3 V s d F R 5 c G U i I F Z h b H V l P S J z V G F i b G U i L z 4 8 R W 5 0 c n k g V H l w Z T 0 i T m F 2 a W d h d G l v b l N 0 Z X B O Y W 1 l I i B W Y W x 1 Z T 0 i c 0 5 h d m l n Y X p p b 2 5 l I i 8 + P E V u d H J 5 I F R 5 c G U 9 I k Z p b G x P Y m p l Y 3 R U e X B l I i B W Y W x 1 Z T 0 i c 1 R h Y m x l I i 8 + P E V u d H J 5 I F R 5 c G U 9 I k 5 h b W V V c G R h d G V k Q W Z 0 Z X J G a W x s I i B W Y W x 1 Z T 0 i b D A i L z 4 8 R W 5 0 c n k g V H l w Z T 0 i R m l s b F R h c m d l d C I g V m F s d W U 9 I n N Q c m 9 n Z X R 0 a S I v P j w v U 3 R h Y m x l R W 5 0 c m l l c z 4 8 L 0 l 0 Z W 0 + P E l 0 Z W 0 + P E l 0 Z W 1 M b 2 N h d G l v b j 4 8 S X R l b V R 5 c G U + R m 9 y b X V s Y T w v S X R l b V R 5 c G U + P E l 0 Z W 1 Q Y X R o P l N l Y 3 R p b 2 4 x L 2 V s Z W 5 j b y U y M H B h c n R u Z X I 8 L 0 l 0 Z W 1 Q Y X R o P j w v S X R l b U x v Y 2 F 0 a W 9 u P j x T d G F i b G V F b n R y a W V z P j x F b n R y e S B U e X B l P S J B Z G R l Z F R v R G F 0 Y U 1 v Z G V s I i B W Y W x 1 Z T 0 i b D A i L z 4 8 R W 5 0 c n k g V H l w Z T 0 i Q n V m Z m V y T m V 4 d F J l Z n J l c 2 g i I F Z h b H V l P S J s M S I v P j x F b n R y e S B U e X B l P S J G a W x s Q 2 9 1 b n Q i I F Z h b H V l P S J s M z M z I i 8 + P E V u d H J 5 I F R 5 c G U 9 I k Z p b G x F b m F i b G V k I i B W Y W x 1 Z T 0 i b D E i L z 4 8 R W 5 0 c n k g V H l w Z T 0 i R m l s b E V y c m 9 y Q 2 9 k Z S I g V m F s d W U 9 I n N V b m t u b 3 d u I i 8 + P E V u d H J 5 I F R 5 c G U 9 I k Z p b G x F c n J v c k N v d W 5 0 I i B W Y W x 1 Z T 0 i b D A i L z 4 8 R W 5 0 c n k g V H l w Z T 0 i R m l s b E x h c 3 R V c G R h d G V k I i B W Y W x 1 Z T 0 i Z D I w M j Q t M D c t M j R U M T E 6 M j g 6 M D g u N D I w N j U 5 N F o i L z 4 8 R W 5 0 c n k g V H l w Z T 0 i R m l s b E N v b H V t b l R 5 c G V z I i B W Y W x 1 Z T 0 i c 0 J n T U d B Q U F B Q U F B Q U F B Q U F B Q T 0 9 I i 8 + P E V u d H J 5 I F R 5 c G U 9 I k Z p b G x D b 2 x 1 b W 5 O Y W 1 l c y I g V m F s d W U 9 I n N b J n F 1 b 3 Q 7 Q W t y b 2 5 p b W 8 g c H J v Z 2 V 0 d G 8 m c X V v d D s s J n F 1 b 3 Q 7 a W Q g c H J v Z 2 V 0 d G 8 m c X V v d D s s J n F 1 b 3 Q 7 T m F t Z S Z x d W 9 0 O y w m c X V v d D t W Y W x 1 Z S 5 w Y X J 0 b m V y U 3 V t b W F y e S 5 p Z C Z x d W 9 0 O y w m c X V v d D t W Y W x 1 Z S 5 w Y X J 0 b m V y U 3 V t b W F y e S 5 h Y m J y Z X Z p Y X R p b 2 4 m c X V v d D s s J n F 1 b 3 Q 7 V m F s d W U u c G F y d G 5 l c l N 1 b W 1 h c n k u a W 5 z d G l 0 d X R p b 2 5 O Y W 1 l J n F 1 b 3 Q 7 L C Z x d W 9 0 O 1 Z h b H V l L n B h c n R u Z X J T d W 1 t Y X J 5 L m F j d G l 2 Z S Z x d W 9 0 O y w m c X V v d D t W Y W x 1 Z S 5 w Y X J 0 b m V y U 3 V t b W F y e S 5 y b 2 x l J n F 1 b 3 Q 7 L C Z x d W 9 0 O 1 Z h b H V l L n B h c n R u Z X J T d W 1 t Y X J 5 L n N v c n R O d W 1 i Z X I m c X V v d D s s J n F 1 b 3 Q 7 V m F s d W U u c G F y d G 5 l c l N 1 b W 1 h c n k u Y 2 9 1 b n R y e S Z x d W 9 0 O y w m c X V v d D t W Y W x 1 Z S 5 w Y X J 0 b m V y U 3 V t b W F y e S 5 y Z W d p b 2 4 m c X V v d D s s J n F 1 b 3 Q 7 V m F s d W U u c G F y d G 5 l c l N 1 b W 1 h c n k u Y 3 V y c m V u Y 3 l D b 2 R l J n F 1 b 3 Q 7 L C Z x d W 9 0 O 1 Z h b H V l L n R v d G F s Q n V k Z 2 V 0 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4 Y T M x O T J i N S 0 4 Y 2 I y L T R j M j k t O D J j O S 1 k M W F i Z m M 1 Z D c y N G Q i L z 4 8 R W 5 0 c n k g V H l w Z T 0 i U m V s Y X R p b 2 5 z a G l w S W 5 m b 0 N v b n R h a W 5 l c i I g V m F s d W U 9 I n N 7 J n F 1 b 3 Q 7 Y 2 9 s d W 1 u Q 2 9 1 b n Q m c X V v d D s 6 M T M s J n F 1 b 3 Q 7 a 2 V 5 Q 2 9 s d W 1 u T m F t Z X M m c X V v d D s 6 W 1 0 s J n F 1 b 3 Q 7 c X V l c n l S Z W x h d G l v b n N o a X B z J n F 1 b 3 Q 7 O l t d L C Z x d W 9 0 O 2 N v b H V t b k l k Z W 5 0 a X R p Z X M m c X V v d D s 6 W y Z x d W 9 0 O 1 N l Y 3 R p b 2 4 x L 2 V s Z W 5 j b y B w Y X J 0 b m V y L 0 F 1 d G 9 S Z W 1 v d m V k Q 2 9 s d W 1 u c z E u e 0 F r c m 9 u a W 1 v I H B y b 2 d l d H R v L D B 9 J n F 1 b 3 Q 7 L C Z x d W 9 0 O 1 N l Y 3 R p b 2 4 x L 2 V s Z W 5 j b y B w Y X J 0 b m V y L 0 F 1 d G 9 S Z W 1 v d m V k Q 2 9 s d W 1 u c z E u e 2 l k I H B y b 2 d l d H R v L D F 9 J n F 1 b 3 Q 7 L C Z x d W 9 0 O 1 N l Y 3 R p b 2 4 x L 2 V s Z W 5 j b y B w Y X J 0 b m V y L 0 F 1 d G 9 S Z W 1 v d m V k Q 2 9 s d W 1 u c z E u e 0 5 h b W U s M n 0 m c X V v d D s s J n F 1 b 3 Q 7 U 2 V j d G l v b j E v Z W x l b m N v I H B h c n R u Z X I v Q X V 0 b 1 J l b W 9 2 Z W R D b 2 x 1 b W 5 z M S 5 7 V m F s d W U u c G F y d G 5 l c l N 1 b W 1 h c n k u a W Q s M 3 0 m c X V v d D s s J n F 1 b 3 Q 7 U 2 V j d G l v b j E v Z W x l b m N v I H B h c n R u Z X I v Q X V 0 b 1 J l b W 9 2 Z W R D b 2 x 1 b W 5 z M S 5 7 V m F s d W U u c G F y d G 5 l c l N 1 b W 1 h c n k u Y W J i c m V 2 a W F 0 a W 9 u L D R 9 J n F 1 b 3 Q 7 L C Z x d W 9 0 O 1 N l Y 3 R p b 2 4 x L 2 V s Z W 5 j b y B w Y X J 0 b m V y L 0 F 1 d G 9 S Z W 1 v d m V k Q 2 9 s d W 1 u c z E u e 1 Z h b H V l L n B h c n R u Z X J T d W 1 t Y X J 5 L m l u c 3 R p d H V 0 a W 9 u T m F t Z S w 1 f S Z x d W 9 0 O y w m c X V v d D t T Z W N 0 a W 9 u M S 9 l b G V u Y 2 8 g c G F y d G 5 l c i 9 B d X R v U m V t b 3 Z l Z E N v b H V t b n M x L n t W Y W x 1 Z S 5 w Y X J 0 b m V y U 3 V t b W F y e S 5 h Y 3 R p d m U s N n 0 m c X V v d D s s J n F 1 b 3 Q 7 U 2 V j d G l v b j E v Z W x l b m N v I H B h c n R u Z X I v Q X V 0 b 1 J l b W 9 2 Z W R D b 2 x 1 b W 5 z M S 5 7 V m F s d W U u c G F y d G 5 l c l N 1 b W 1 h c n k u c m 9 s Z S w 3 f S Z x d W 9 0 O y w m c X V v d D t T Z W N 0 a W 9 u M S 9 l b G V u Y 2 8 g c G F y d G 5 l c i 9 B d X R v U m V t b 3 Z l Z E N v b H V t b n M x L n t W Y W x 1 Z S 5 w Y X J 0 b m V y U 3 V t b W F y e S 5 z b 3 J 0 T n V t Y m V y L D h 9 J n F 1 b 3 Q 7 L C Z x d W 9 0 O 1 N l Y 3 R p b 2 4 x L 2 V s Z W 5 j b y B w Y X J 0 b m V y L 0 F 1 d G 9 S Z W 1 v d m V k Q 2 9 s d W 1 u c z E u e 1 Z h b H V l L n B h c n R u Z X J T d W 1 t Y X J 5 L m N v d W 5 0 c n k s O X 0 m c X V v d D s s J n F 1 b 3 Q 7 U 2 V j d G l v b j E v Z W x l b m N v I H B h c n R u Z X I v Q X V 0 b 1 J l b W 9 2 Z W R D b 2 x 1 b W 5 z M S 5 7 V m F s d W U u c G F y d G 5 l c l N 1 b W 1 h c n k u c m V n a W 9 u L D E w f S Z x d W 9 0 O y w m c X V v d D t T Z W N 0 a W 9 u M S 9 l b G V u Y 2 8 g c G F y d G 5 l c i 9 B d X R v U m V t b 3 Z l Z E N v b H V t b n M x L n t W Y W x 1 Z S 5 w Y X J 0 b m V y U 3 V t b W F y e S 5 j d X J y Z W 5 j e U N v Z G U s M T F 9 J n F 1 b 3 Q 7 L C Z x d W 9 0 O 1 N l Y 3 R p b 2 4 x L 2 V s Z W 5 j b y B w Y X J 0 b m V y L 0 F 1 d G 9 S Z W 1 v d m V k Q 2 9 s d W 1 u c z E u e 1 Z h b H V l L n R v d G F s Q n V k Z 2 V 0 L D E y f S Z x d W 9 0 O 1 0 s J n F 1 b 3 Q 7 Q 2 9 s d W 1 u Q 2 9 1 b n Q m c X V v d D s 6 M T M s J n F 1 b 3 Q 7 S 2 V 5 Q 2 9 s d W 1 u T m F t Z X M m c X V v d D s 6 W 1 0 s J n F 1 b 3 Q 7 Q 2 9 s d W 1 u S W R l b n R p d G l l c y Z x d W 9 0 O z p b J n F 1 b 3 Q 7 U 2 V j d G l v b j E v Z W x l b m N v I H B h c n R u Z X I v Q X V 0 b 1 J l b W 9 2 Z W R D b 2 x 1 b W 5 z M S 5 7 Q W t y b 2 5 p b W 8 g c H J v Z 2 V 0 d G 8 s M H 0 m c X V v d D s s J n F 1 b 3 Q 7 U 2 V j d G l v b j E v Z W x l b m N v I H B h c n R u Z X I v Q X V 0 b 1 J l b W 9 2 Z W R D b 2 x 1 b W 5 z M S 5 7 a W Q g c H J v Z 2 V 0 d G 8 s M X 0 m c X V v d D s s J n F 1 b 3 Q 7 U 2 V j d G l v b j E v Z W x l b m N v I H B h c n R u Z X I v Q X V 0 b 1 J l b W 9 2 Z W R D b 2 x 1 b W 5 z M S 5 7 T m F t Z S w y f S Z x d W 9 0 O y w m c X V v d D t T Z W N 0 a W 9 u M S 9 l b G V u Y 2 8 g c G F y d G 5 l c i 9 B d X R v U m V t b 3 Z l Z E N v b H V t b n M x L n t W Y W x 1 Z S 5 w Y X J 0 b m V y U 3 V t b W F y e S 5 p Z C w z f S Z x d W 9 0 O y w m c X V v d D t T Z W N 0 a W 9 u M S 9 l b G V u Y 2 8 g c G F y d G 5 l c i 9 B d X R v U m V t b 3 Z l Z E N v b H V t b n M x L n t W Y W x 1 Z S 5 w Y X J 0 b m V y U 3 V t b W F y e S 5 h Y m J y Z X Z p Y X R p b 2 4 s N H 0 m c X V v d D s s J n F 1 b 3 Q 7 U 2 V j d G l v b j E v Z W x l b m N v I H B h c n R u Z X I v Q X V 0 b 1 J l b W 9 2 Z W R D b 2 x 1 b W 5 z M S 5 7 V m F s d W U u c G F y d G 5 l c l N 1 b W 1 h c n k u a W 5 z d G l 0 d X R p b 2 5 O Y W 1 l L D V 9 J n F 1 b 3 Q 7 L C Z x d W 9 0 O 1 N l Y 3 R p b 2 4 x L 2 V s Z W 5 j b y B w Y X J 0 b m V y L 0 F 1 d G 9 S Z W 1 v d m V k Q 2 9 s d W 1 u c z E u e 1 Z h b H V l L n B h c n R u Z X J T d W 1 t Y X J 5 L m F j d G l 2 Z S w 2 f S Z x d W 9 0 O y w m c X V v d D t T Z W N 0 a W 9 u M S 9 l b G V u Y 2 8 g c G F y d G 5 l c i 9 B d X R v U m V t b 3 Z l Z E N v b H V t b n M x L n t W Y W x 1 Z S 5 w Y X J 0 b m V y U 3 V t b W F y e S 5 y b 2 x l L D d 9 J n F 1 b 3 Q 7 L C Z x d W 9 0 O 1 N l Y 3 R p b 2 4 x L 2 V s Z W 5 j b y B w Y X J 0 b m V y L 0 F 1 d G 9 S Z W 1 v d m V k Q 2 9 s d W 1 u c z E u e 1 Z h b H V l L n B h c n R u Z X J T d W 1 t Y X J 5 L n N v c n R O d W 1 i Z X I s O H 0 m c X V v d D s s J n F 1 b 3 Q 7 U 2 V j d G l v b j E v Z W x l b m N v I H B h c n R u Z X I v Q X V 0 b 1 J l b W 9 2 Z W R D b 2 x 1 b W 5 z M S 5 7 V m F s d W U u c G F y d G 5 l c l N 1 b W 1 h c n k u Y 2 9 1 b n R y e S w 5 f S Z x d W 9 0 O y w m c X V v d D t T Z W N 0 a W 9 u M S 9 l b G V u Y 2 8 g c G F y d G 5 l c i 9 B d X R v U m V t b 3 Z l Z E N v b H V t b n M x L n t W Y W x 1 Z S 5 w Y X J 0 b m V y U 3 V t b W F y e S 5 y Z W d p b 2 4 s M T B 9 J n F 1 b 3 Q 7 L C Z x d W 9 0 O 1 N l Y 3 R p b 2 4 x L 2 V s Z W 5 j b y B w Y X J 0 b m V y L 0 F 1 d G 9 S Z W 1 v d m V k Q 2 9 s d W 1 u c z E u e 1 Z h b H V l L n B h c n R u Z X J T d W 1 t Y X J 5 L m N 1 c n J l b m N 5 Q 2 9 k Z S w x M X 0 m c X V v d D s s J n F 1 b 3 Q 7 U 2 V j d G l v b j E v Z W x l b m N v I H B h c n R u Z X I v Q X V 0 b 1 J l b W 9 2 Z W R D b 2 x 1 b W 5 z M S 5 7 V m F s d W U u d G 9 0 Y W x C d W R n Z X Q s M T J 9 J n F 1 b 3 Q 7 X S w m c X V v d D t S Z W x h d G l v b n N o a X B J b m Z v J n F 1 b 3 Q 7 O l t d f S I v P j x F b n R y e S B U e X B l P S J S Z X N 1 b H R U e X B l I i B W Y W x 1 Z T 0 i c 1 R h Y m x l I i 8 + P E V u d H J 5 I F R 5 c G U 9 I k 5 h d m l n Y X R p b 2 5 T d G V w T m F t Z S I g V m F s d W U 9 I n N O Y X Z p Z 2 F 6 a W 9 u Z S I v P j x F b n R y e S B U e X B l P S J G a W x s T 2 J q Z W N 0 V H l w Z S I g V m F s d W U 9 I n N U Y W J s Z S I v P j x F b n R y e S B U e X B l P S J O Y W 1 l V X B k Y X R l Z E F m d G V y R m l s b C I g V m F s d W U 9 I m w w I i 8 + P E V u d H J 5 I F R 5 c G U 9 I k Z p b G x U Y X J n Z X Q i I F Z h b H V l P S J z Z W x l b m N v X 3 B h c n R u Z X I i L z 4 8 L 1 N 0 Y W J s Z U V u d H J p Z X M + P C 9 J d G V t P j x J d G V t P j x J d G V t T G 9 j Y X R p b 2 4 + P E l 0 Z W 1 U e X B l P k Z v c m 1 1 b G E 8 L 0 l 0 Z W 1 U e X B l P j x J d G V t U G F 0 a D 5 T Z W N 0 a W 9 u M S 9 G a W x l J T I w Z G k l M j B l c 2 V t c G l v J T I w K D E 0 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0 L T A 2 L T I 2 V D E z O j U 1 O j E 3 L j A z O T c 5 N T Z 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M T l k N D E z N z k t Z j A 4 Z S 0 0 M z Y z L T k x M j U t N W N i M G Z i M D U y N m F k I i 8 + P E V u d H J 5 I F R 5 c G U 9 I l F 1 Z X J 5 S U Q i I F Z h b H V l P S J z Y j F h N 2 Y 2 Y m E t O T I 5 Z C 0 0 M T A 0 L W F k M j Q t N W Y 4 N G U x M z A z O G N i I i 8 + P E V u d H J 5 I F R 5 c G U 9 I l J l c 3 V s d F R 5 c G U i I F Z h b H V l P S J z Q m l u Y X J 5 I i 8 + P E V u d H J 5 I F R 5 c G U 9 I k Z p b G x P Y m p l Y 3 R U e X B l I i B W Y W x 1 Z T 0 i c 0 N v b m 5 l Y 3 R p b 2 5 P b m x 5 I i 8 + P E V u d H J 5 I F R 5 c G U 9 I k 5 h b W V V c G R h d G V k Q W Z 0 Z X J G a W x s I i B W Y W x 1 Z T 0 i b D E i L z 4 8 R W 5 0 c n k g V H l w Z T 0 i T G 9 h Z G V k V G 9 B b m F s e X N p c 1 N l c n Z p Y 2 V z I i B W Y W x 1 Z T 0 i b D A i L z 4 8 R W 5 0 c n k g V H l w Z T 0 i T G 9 h Z F R v U m V w b 3 J 0 R G l z Y W J s Z W Q i I F Z h b H V l P S J s M S I v P j w v U 3 R h Y m x l R W 5 0 c m l l c z 4 8 L 0 l 0 Z W 0 + P E l 0 Z W 0 + P E l 0 Z W 1 M b 2 N h d G l v b j 4 8 S X R l b V R 5 c G U + R m 9 y b X V s Y T w v S X R l b V R 5 c G U + P E l 0 Z W 1 Q Y X R o P l N l Y 3 R p b 2 4 x L 1 B h c m F t Z X R y b z 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C 0 w N i 0 y N l Q x M z o 1 N T o x N y 4 w N z g 3 O T U 5 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z E 5 Z D Q x M z c 5 L W Y w O G U t N D M 2 M y 0 5 M T I 1 L T V j Y j B m Y j A 1 M j Z h Z C I v P j x F b n R y e S B U e X B l P S J R d W V y e U l E I i B W Y W x 1 Z T 0 i c 2 Z h M T E 4 N T M 3 L W R h O W I t N G V i Y S 0 5 M G M w L W V m N m I 3 Y 2 I 1 N G J i O C I v P j x F b n R y e S B U e X B l P S J S Z X N 1 b H R U e X B l I i B W Y W x 1 Z T 0 i c 0 J p b m F y e S I v P j x F b n R y e S B U e X B l P S J G a W x s T 2 J q Z W N 0 V H l w Z S I g V m F s d W U 9 I n N D b 2 5 u Z W N 0 a W 9 u T 2 5 s e S I v P j x F b n R y e S B U e X B l P S J M b 2 F k V G 9 S Z X B v c n R E a X N h Y m x l Z C I g V m F s d W U 9 I m w x I i 8 + P C 9 T d G F i b G V F b n R y a W V z P j w v S X R l b T 4 8 S X R l b T 4 8 S X R l b U x v Y 2 F 0 a W 9 u P j x J d G V t V H l w Z T 5 G b 3 J t d W x h P C 9 J d G V t V H l w Z T 4 8 S X R l b V B h d G g + U 2 V j d G l v b j E v V H J h c 2 Z v c m 1 h J T I w Z m l s Z S U y M G R p J T I w Z X N l b X B p b y U y M C g 5 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0 L T A 2 L T I 2 V D E z O j U 1 O j E 3 L j E y N z c 5 N D V 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N z U 2 Y 2 N l Y W U t Y T Y 2 Z C 0 0 M T M y L T k 3 N D Q t M m F i O D Y 3 N z Q x Z T A 0 I i 8 + P E V u d H J 5 I F R 5 c G U 9 I l F 1 Z X J 5 S U Q i I F Z h b H V l P S J z M D k 3 Z D c 2 Y 2 Y t Z m Z l Z C 0 0 Z j A 0 L W I 2 O W I t Y z U 0 Y j J j M G V k M 2 R m I i 8 + P E V u d H J 5 I F R 5 c G U 9 I l J l c 3 V s d F R 5 c G U i I F Z h b H V l P S J z V G F i b G U i L z 4 8 R W 5 0 c n k g V H l w Z T 0 i R m l s b E 9 i a m V j d F R 5 c G U i I F Z h b H V l P S J z Q 2 9 u b m V j d G l v b k 9 u b H k i L z 4 8 R W 5 0 c n k g V H l w Z T 0 i T m F t Z V V w Z G F 0 Z W R B Z n R l c k Z p b G w i I F Z h b H V l P S J s M S I v P j x F b n R y e S B U e X B l P S J M b 2 F k V G 9 S Z X B v c n R E a X N h Y m x l Z C I g V m F s d W U 9 I m w x I i 8 + P C 9 T d G F i b G V F b n R y a W V z P j w v S X R l b T 4 8 S X R l b T 4 8 S X R l b U x v Y 2 F 0 a W 9 u P j x J d G V t V H l w Z T 5 G b 3 J t d W x h P C 9 J d G V t V H l w Z T 4 8 S X R l b V B h d G g + U 2 V j d G l v b j E v V H J h c 2 Z v c m 1 h J T I w Z m l s Z S U y M C g 5 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0 L T A 2 L T I 2 V D E z O j U 1 O j E 3 L j E 0 M D c 5 N j R 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M T l k N D E z N z k t Z j A 4 Z S 0 0 M z Y z L T k x M j U t N W N i M G Z i M D U y N m F k I i 8 + P E V u d H J 5 I F R 5 c G U 9 I l F 1 Z X J 5 S U Q i I F Z h b H V l P S J z M z A 3 O T E 1 Z T Q t N j N m M C 0 0 O D V l L T l k M m Q t M z h j M z R i Y m U 4 N m M 2 I i 8 + P E V u d H J 5 I F R 5 c G U 9 I l J l c 3 V s d F R 5 c G U i I F Z h b H V l P S J z R n V u Y 3 R p b 2 4 i L z 4 8 R W 5 0 c n k g V H l w Z T 0 i R m l s b E 9 i a m V j d F R 5 c G U i I F Z h b H V l P S J z Q 2 9 u b m V j d G l v b k 9 u b H k i L z 4 8 R W 5 0 c n k g V H l w Z T 0 i T G 9 h Z F R v U m V w b 3 J 0 R G l z Y W J s Z W Q i I F Z h b H V l P S J s M S I v P j w v U 3 R h Y m x l R W 5 0 c m l l c z 4 8 L 0 l 0 Z W 0 + P E l 0 Z W 0 + P E l 0 Z W 1 M b 2 N h d G l v b j 4 8 S X R l b V R 5 c G U + R m 9 y b X V s Y T w v S X R l b V R 5 c G U + P E l 0 Z W 1 Q Y X R o P l N l Y 3 R p b 2 4 x L 1 J l b m R p Y 2 9 u d G l U c m F z b W V z c 2 l C T C U y M C g y K T w v S X R l b V B h d G g + P C 9 J d G V t T G 9 j Y X R p b 2 4 + P F N 0 Y W J s Z U V u d H J p Z X M + P E V u d H J 5 I F R 5 c G U 9 I k F k Z G V k V G 9 E Y X R h T W 9 k Z W w i I F Z h b H V l P S J s M C I v P j x F b n R y e S B U e X B l P S J C d W Z m Z X J O Z X h 0 U m V m c m V z a C I g V m F s d W U 9 I m w x I i 8 + P E V u d H J 5 I F R 5 c G U 9 I k Z p b G x D b 3 V u d C I g V m F s d W U 9 I m w x O T A 4 I i 8 + P E V u d H J 5 I F R 5 c G U 9 I k Z p b G x F b m F i b G V k I i B W Y W x 1 Z T 0 i b D E i L z 4 8 R W 5 0 c n k g V H l w Z T 0 i R m l s b E V y c m 9 y Q 2 9 k Z S I g V m F s d W U 9 I n N V b m t u b 3 d u I i 8 + P E V u d H J 5 I F R 5 c G U 9 I k Z p b G x F c n J v c k N v d W 5 0 I i B W Y W x 1 Z T 0 i b D A i L z 4 8 R W 5 0 c n k g V H l w Z T 0 i R m l s b E x h c 3 R V c G R h d G V k I i B W Y W x 1 Z T 0 i Z D I w M j Q t M D c t M j R U M T A 6 N T M 6 M z A u N D I 5 M j E z N l o i L z 4 8 R W 5 0 c n k g V H l w Z T 0 i R m l s b E N v b H V t b l R 5 c G V z I i B W Y W x 1 Z T 0 i c 0 J n W U R B d 1 l B Q U F B Q U F B Q U F B Q U F B Q U E 9 P S I v P j x F b n R y e S B U e X B l P S J G a W x s Q 2 9 s d W 1 u T m F t Z X M i I F Z h b H V l P S J z W y Z x d W 9 0 O 1 N v d X J j Z S 5 O Y W 1 l L j I m c X V v d D s s J n F 1 b 3 Q 7 U 2 9 1 c m N l L k 5 h b W U u M y Z x d W 9 0 O y w m c X V v d D t T b 3 V y Y 2 U u T m F t Z S 4 0 J n F 1 b 3 Q 7 L C Z x d W 9 0 O 1 N v d X J j Z S 5 O Y W 1 l L j U u M S Z x d W 9 0 O y w m c X V v d D t O Y W 1 l J n F 1 b 3 Q 7 L C Z x d W 9 0 O 1 Z h b H V l L m Z s Y X R S Y X R l J n F 1 b 3 Q 7 L C Z x d W 9 0 O 1 Z h b H V l L n R v d G F s R W x p Z 2 l i b G V C d W R n Z X Q m c X V v d D s s J n F 1 b 3 Q 7 V m F s d W U u c H J l d m l v d X N s e V J l c G 9 y d G V k J n F 1 b 3 Q 7 L C Z x d W 9 0 O 1 Z h b H V l L n B y Z X Z p b 3 V z b H l S Z X B v c n R l Z F B h c m t l Z C Z x d W 9 0 O y w m c X V v d D t W Y W x 1 Z S 5 j d X J y Z W 5 0 U m V w b 3 J 0 J n F 1 b 3 Q 7 L C Z x d W 9 0 O 1 Z h b H V l L m N 1 c n J l b n R S Z X B v c n R S Z U l u Y 2 x 1 Z G V k J n F 1 b 3 Q 7 L C Z x d W 9 0 O 1 Z h b H V l L n R v d G F s R W x p Z 2 l i b G V B Z n R l c k N v b n R y b 2 w m c X V v d D s s J n F 1 b 3 Q 7 V m F s d W U u d G 9 0 Y W x S Z X B v c n R l Z F N v R m F y J n F 1 b 3 Q 7 L C Z x d W 9 0 O 1 Z h b H V l L n R v d G F s U m V w b 3 J 0 Z W R T b 0 Z h c l B l c m N l b n R h Z 2 U m c X V v d D s s J n F 1 b 3 Q 7 V m F s d W U u c m V t Y W l u a W 5 n Q n V k Z 2 V 0 J n F 1 b 3 Q 7 L C Z x d W 9 0 O 1 Z h b H V l L n B y Z X Z p b 3 V z b H l W Y W x p Z G F 0 Z W Q 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c z M T c z O T g w L T J i N D M t N D h h Z C 0 5 Y W Z k L T R m N D A y M m N h M 2 E y Y S I v P j x F b n R y e S B U e X B l P S J S Z W N v d m V y e V R h c m d l d E N v b H V t b i I g V m F s d W U 9 I m w x I i 8 + P E V u d H J 5 I F R 5 c G U 9 I l J l Y 2 9 2 Z X J 5 V G F y Z 2 V 0 U m 9 3 I i B W Y W x 1 Z T 0 i b D E i L z 4 8 R W 5 0 c n k g V H l w Z T 0 i U m V j b 3 Z l c n l U Y X J n Z X R T a G V l d C I g V m F s d W U 9 I n N S Z W 5 k a W N v b n R p V F J h c 2 1 l c 3 N p Q k w t M S I v P j x F b n R y e S B U e X B l P S J S Z W x h d G l v b n N o a X B J b m Z v Q 2 9 u d G F p b m V y I i B W Y W x 1 Z T 0 i c 3 s m c X V v d D t j b 2 x 1 b W 5 D b 3 V u d C Z x d W 9 0 O z o x N i w m c X V v d D t r Z X l D b 2 x 1 b W 5 O Y W 1 l c y Z x d W 9 0 O z p b X S w m c X V v d D t x d W V y e V J l b G F 0 a W 9 u c 2 h p c H M m c X V v d D s 6 W 1 0 s J n F 1 b 3 Q 7 Y 2 9 s d W 1 u S W R l b n R p d G l l c y Z x d W 9 0 O z p b J n F 1 b 3 Q 7 U 2 V j d G l v b j E v U m V u Z G l j b 2 5 0 a V R y Y X N t Z X N z a U J M I C g y K S 9 B d X R v U m V t b 3 Z l Z E N v b H V t b n M x L n t T b 3 V y Y 2 U u T m F t Z S 4 y L D B 9 J n F 1 b 3 Q 7 L C Z x d W 9 0 O 1 N l Y 3 R p b 2 4 x L 1 J l b m R p Y 2 9 u d G l U c m F z b W V z c 2 l C T C A o M i k v Q X V 0 b 1 J l b W 9 2 Z W R D b 2 x 1 b W 5 z M S 5 7 U 2 9 1 c m N l L k 5 h b W U u M y w x f S Z x d W 9 0 O y w m c X V v d D t T Z W N 0 a W 9 u M S 9 S Z W 5 k a W N v b n R p V H J h c 2 1 l c 3 N p Q k w g K D I p L 0 F 1 d G 9 S Z W 1 v d m V k Q 2 9 s d W 1 u c z E u e 1 N v d X J j Z S 5 O Y W 1 l L j Q s M n 0 m c X V v d D s s J n F 1 b 3 Q 7 U 2 V j d G l v b j E v U m V u Z G l j b 2 5 0 a V R y Y X N t Z X N z a U J M I C g y K S 9 B d X R v U m V t b 3 Z l Z E N v b H V t b n M x L n t T b 3 V y Y 2 U u T m F t Z S 4 1 L j E s M 3 0 m c X V v d D s s J n F 1 b 3 Q 7 U 2 V j d G l v b j E v U m V u Z G l j b 2 5 0 a V R y Y X N t Z X N z a U J M I C g y K S 9 B d X R v U m V t b 3 Z l Z E N v b H V t b n M x L n t O Y W 1 l L D R 9 J n F 1 b 3 Q 7 L C Z x d W 9 0 O 1 N l Y 3 R p b 2 4 x L 1 J l b m R p Y 2 9 u d G l U c m F z b W V z c 2 l C T C A o M i k v Q X V 0 b 1 J l b W 9 2 Z W R D b 2 x 1 b W 5 z M S 5 7 V m F s d W U u Z m x h d F J h d G U s N X 0 m c X V v d D s s J n F 1 b 3 Q 7 U 2 V j d G l v b j E v U m V u Z G l j b 2 5 0 a V R y Y X N t Z X N z a U J M I C g y K S 9 B d X R v U m V t b 3 Z l Z E N v b H V t b n M x L n t W Y W x 1 Z S 5 0 b 3 R h b E V s a W d p Y m x l Q n V k Z 2 V 0 L D Z 9 J n F 1 b 3 Q 7 L C Z x d W 9 0 O 1 N l Y 3 R p b 2 4 x L 1 J l b m R p Y 2 9 u d G l U c m F z b W V z c 2 l C T C A o M i k v Q X V 0 b 1 J l b W 9 2 Z W R D b 2 x 1 b W 5 z M S 5 7 V m F s d W U u c H J l d m l v d X N s e V J l c G 9 y d G V k L D d 9 J n F 1 b 3 Q 7 L C Z x d W 9 0 O 1 N l Y 3 R p b 2 4 x L 1 J l b m R p Y 2 9 u d G l U c m F z b W V z c 2 l C T C A o M i k v Q X V 0 b 1 J l b W 9 2 Z W R D b 2 x 1 b W 5 z M S 5 7 V m F s d W U u c H J l d m l v d X N s e V J l c G 9 y d G V k U G F y a 2 V k L D h 9 J n F 1 b 3 Q 7 L C Z x d W 9 0 O 1 N l Y 3 R p b 2 4 x L 1 J l b m R p Y 2 9 u d G l U c m F z b W V z c 2 l C T C A o M i k v Q X V 0 b 1 J l b W 9 2 Z W R D b 2 x 1 b W 5 z M S 5 7 V m F s d W U u Y 3 V y c m V u d F J l c G 9 y d C w 5 f S Z x d W 9 0 O y w m c X V v d D t T Z W N 0 a W 9 u M S 9 S Z W 5 k a W N v b n R p V H J h c 2 1 l c 3 N p Q k w g K D I p L 0 F 1 d G 9 S Z W 1 v d m V k Q 2 9 s d W 1 u c z E u e 1 Z h b H V l L m N 1 c n J l b n R S Z X B v c n R S Z U l u Y 2 x 1 Z G V k L D E w f S Z x d W 9 0 O y w m c X V v d D t T Z W N 0 a W 9 u M S 9 S Z W 5 k a W N v b n R p V H J h c 2 1 l c 3 N p Q k w g K D I p L 0 F 1 d G 9 S Z W 1 v d m V k Q 2 9 s d W 1 u c z E u e 1 Z h b H V l L n R v d G F s R W x p Z 2 l i b G V B Z n R l c k N v b n R y b 2 w s M T F 9 J n F 1 b 3 Q 7 L C Z x d W 9 0 O 1 N l Y 3 R p b 2 4 x L 1 J l b m R p Y 2 9 u d G l U c m F z b W V z c 2 l C T C A o M i k v Q X V 0 b 1 J l b W 9 2 Z W R D b 2 x 1 b W 5 z M S 5 7 V m F s d W U u d G 9 0 Y W x S Z X B v c n R l Z F N v R m F y L D E y f S Z x d W 9 0 O y w m c X V v d D t T Z W N 0 a W 9 u M S 9 S Z W 5 k a W N v b n R p V H J h c 2 1 l c 3 N p Q k w g K D I p L 0 F 1 d G 9 S Z W 1 v d m V k Q 2 9 s d W 1 u c z E u e 1 Z h b H V l L n R v d G F s U m V w b 3 J 0 Z W R T b 0 Z h c l B l c m N l b n R h Z 2 U s M T N 9 J n F 1 b 3 Q 7 L C Z x d W 9 0 O 1 N l Y 3 R p b 2 4 x L 1 J l b m R p Y 2 9 u d G l U c m F z b W V z c 2 l C T C A o M i k v Q X V 0 b 1 J l b W 9 2 Z W R D b 2 x 1 b W 5 z M S 5 7 V m F s d W U u c m V t Y W l u a W 5 n Q n V k Z 2 V 0 L D E 0 f S Z x d W 9 0 O y w m c X V v d D t T Z W N 0 a W 9 u M S 9 S Z W 5 k a W N v b n R p V H J h c 2 1 l c 3 N p Q k w g K D I p L 0 F 1 d G 9 S Z W 1 v d m V k Q 2 9 s d W 1 u c z E u e 1 Z h b H V l L n B y Z X Z p b 3 V z b H l W Y W x p Z G F 0 Z W Q s M T V 9 J n F 1 b 3 Q 7 X S w m c X V v d D t D b 2 x 1 b W 5 D b 3 V u d C Z x d W 9 0 O z o x N i w m c X V v d D t L Z X l D b 2 x 1 b W 5 O Y W 1 l c y Z x d W 9 0 O z p b X S w m c X V v d D t D b 2 x 1 b W 5 J Z G V u d G l 0 a W V z J n F 1 b 3 Q 7 O l s m c X V v d D t T Z W N 0 a W 9 u M S 9 S Z W 5 k a W N v b n R p V H J h c 2 1 l c 3 N p Q k w g K D I p L 0 F 1 d G 9 S Z W 1 v d m V k Q 2 9 s d W 1 u c z E u e 1 N v d X J j Z S 5 O Y W 1 l L j I s M H 0 m c X V v d D s s J n F 1 b 3 Q 7 U 2 V j d G l v b j E v U m V u Z G l j b 2 5 0 a V R y Y X N t Z X N z a U J M I C g y K S 9 B d X R v U m V t b 3 Z l Z E N v b H V t b n M x L n t T b 3 V y Y 2 U u T m F t Z S 4 z L D F 9 J n F 1 b 3 Q 7 L C Z x d W 9 0 O 1 N l Y 3 R p b 2 4 x L 1 J l b m R p Y 2 9 u d G l U c m F z b W V z c 2 l C T C A o M i k v Q X V 0 b 1 J l b W 9 2 Z W R D b 2 x 1 b W 5 z M S 5 7 U 2 9 1 c m N l L k 5 h b W U u N C w y f S Z x d W 9 0 O y w m c X V v d D t T Z W N 0 a W 9 u M S 9 S Z W 5 k a W N v b n R p V H J h c 2 1 l c 3 N p Q k w g K D I p L 0 F 1 d G 9 S Z W 1 v d m V k Q 2 9 s d W 1 u c z E u e 1 N v d X J j Z S 5 O Y W 1 l L j U u M S w z f S Z x d W 9 0 O y w m c X V v d D t T Z W N 0 a W 9 u M S 9 S Z W 5 k a W N v b n R p V H J h c 2 1 l c 3 N p Q k w g K D I p L 0 F 1 d G 9 S Z W 1 v d m V k Q 2 9 s d W 1 u c z E u e 0 5 h b W U s N H 0 m c X V v d D s s J n F 1 b 3 Q 7 U 2 V j d G l v b j E v U m V u Z G l j b 2 5 0 a V R y Y X N t Z X N z a U J M I C g y K S 9 B d X R v U m V t b 3 Z l Z E N v b H V t b n M x L n t W Y W x 1 Z S 5 m b G F 0 U m F 0 Z S w 1 f S Z x d W 9 0 O y w m c X V v d D t T Z W N 0 a W 9 u M S 9 S Z W 5 k a W N v b n R p V H J h c 2 1 l c 3 N p Q k w g K D I p L 0 F 1 d G 9 S Z W 1 v d m V k Q 2 9 s d W 1 u c z E u e 1 Z h b H V l L n R v d G F s R W x p Z 2 l i b G V C d W R n Z X Q s N n 0 m c X V v d D s s J n F 1 b 3 Q 7 U 2 V j d G l v b j E v U m V u Z G l j b 2 5 0 a V R y Y X N t Z X N z a U J M I C g y K S 9 B d X R v U m V t b 3 Z l Z E N v b H V t b n M x L n t W Y W x 1 Z S 5 w c m V 2 a W 9 1 c 2 x 5 U m V w b 3 J 0 Z W Q s N 3 0 m c X V v d D s s J n F 1 b 3 Q 7 U 2 V j d G l v b j E v U m V u Z G l j b 2 5 0 a V R y Y X N t Z X N z a U J M I C g y K S 9 B d X R v U m V t b 3 Z l Z E N v b H V t b n M x L n t W Y W x 1 Z S 5 w c m V 2 a W 9 1 c 2 x 5 U m V w b 3 J 0 Z W R Q Y X J r Z W Q s O H 0 m c X V v d D s s J n F 1 b 3 Q 7 U 2 V j d G l v b j E v U m V u Z G l j b 2 5 0 a V R y Y X N t Z X N z a U J M I C g y K S 9 B d X R v U m V t b 3 Z l Z E N v b H V t b n M x L n t W Y W x 1 Z S 5 j d X J y Z W 5 0 U m V w b 3 J 0 L D l 9 J n F 1 b 3 Q 7 L C Z x d W 9 0 O 1 N l Y 3 R p b 2 4 x L 1 J l b m R p Y 2 9 u d G l U c m F z b W V z c 2 l C T C A o M i k v Q X V 0 b 1 J l b W 9 2 Z W R D b 2 x 1 b W 5 z M S 5 7 V m F s d W U u Y 3 V y c m V u d F J l c G 9 y d F J l S W 5 j b H V k Z W Q s M T B 9 J n F 1 b 3 Q 7 L C Z x d W 9 0 O 1 N l Y 3 R p b 2 4 x L 1 J l b m R p Y 2 9 u d G l U c m F z b W V z c 2 l C T C A o M i k v Q X V 0 b 1 J l b W 9 2 Z W R D b 2 x 1 b W 5 z M S 5 7 V m F s d W U u d G 9 0 Y W x F b G l n a W J s Z U F m d G V y Q 2 9 u d H J v b C w x M X 0 m c X V v d D s s J n F 1 b 3 Q 7 U 2 V j d G l v b j E v U m V u Z G l j b 2 5 0 a V R y Y X N t Z X N z a U J M I C g y K S 9 B d X R v U m V t b 3 Z l Z E N v b H V t b n M x L n t W Y W x 1 Z S 5 0 b 3 R h b F J l c G 9 y d G V k U 2 9 G Y X I s M T J 9 J n F 1 b 3 Q 7 L C Z x d W 9 0 O 1 N l Y 3 R p b 2 4 x L 1 J l b m R p Y 2 9 u d G l U c m F z b W V z c 2 l C T C A o M i k v Q X V 0 b 1 J l b W 9 2 Z W R D b 2 x 1 b W 5 z M S 5 7 V m F s d W U u d G 9 0 Y W x S Z X B v c n R l Z F N v R m F y U G V y Y 2 V u d G F n Z S w x M 3 0 m c X V v d D s s J n F 1 b 3 Q 7 U 2 V j d G l v b j E v U m V u Z G l j b 2 5 0 a V R y Y X N t Z X N z a U J M I C g y K S 9 B d X R v U m V t b 3 Z l Z E N v b H V t b n M x L n t W Y W x 1 Z S 5 y Z W 1 h a W 5 p b m d C d W R n Z X Q s M T R 9 J n F 1 b 3 Q 7 L C Z x d W 9 0 O 1 N l Y 3 R p b 2 4 x L 1 J l b m R p Y 2 9 u d G l U c m F z b W V z c 2 l C T C A o M i k v Q X V 0 b 1 J l b W 9 2 Z W R D b 2 x 1 b W 5 z M S 5 7 V m F s d W U u c H J l d m l v d X N s e V Z h b G l k Y X R l Z C w x N X 0 m c X V v d D t d L C Z x d W 9 0 O 1 J l b G F 0 a W 9 u c 2 h p c E l u Z m 8 m c X V v d D s 6 W 1 1 9 I i 8 + P E V u d H J 5 I F R 5 c G U 9 I l J l c 3 V s d F R 5 c G U i I F Z h b H V l P S J z V G F i b G U i L z 4 8 R W 5 0 c n k g V H l w Z T 0 i T m F 2 a W d h d G l v b l N 0 Z X B O Y W 1 l I i B W Y W x 1 Z T 0 i c 0 5 h d m l n Y X p p b 2 5 l I i 8 + P E V u d H J 5 I F R 5 c G U 9 I k Z p b G x P Y m p l Y 3 R U e X B l I i B W Y W x 1 Z T 0 i c 1 R h Y m x l I i 8 + P E V u d H J 5 I F R 5 c G U 9 I k 5 h b W V V c G R h d G V k Q W Z 0 Z X J G a W x s I i B W Y W x 1 Z T 0 i b D A i L z 4 8 R W 5 0 c n k g V H l w Z T 0 i R m l s b F R h c m d l d C I g V m F s d W U 9 I n N S Z W 5 k a W N v b n R p V H J h c 2 1 l c 3 N p Q k x f X z I i L z 4 8 L 1 N 0 Y W J s Z U V u d H J p Z X M + P C 9 J d G V t P j x J d G V t P j x J d G V t T G 9 j Y X R p b 2 4 + P E l 0 Z W 1 U e X B l P k Z v c m 1 1 b G E 8 L 0 l 0 Z W 1 U e X B l P j x J d G V t U G F 0 a D 5 T Z W N 0 a W 9 u M S 9 G a W x l J T I w Z G k l M j B l c 2 V t c G l v J T I w K D E 1 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0 L T A 3 L T I 0 V D A 5 O j U z O j Q 2 L j A w N z c z M j J 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Z W E x M D J i Y T E t M D h k N C 0 0 M z V i L W J j N G Q t M W U z Y 2 J m N 2 Y 1 M 2 Q 3 I i 8 + P E V u d H J 5 I F R 5 c G U 9 I l F 1 Z X J 5 S U Q i I F Z h b H V l P S J z N m E 3 M D J m N D U t M D d l M i 0 0 Z G U z L W E w Y j I t N D M y N D E 0 O G I 3 Y z A x I i 8 + P E V u d H J 5 I F R 5 c G U 9 I l J l c 3 V s d F R 5 c G U i I F Z h b H V l P S J z Q m l u Y X J 5 I i 8 + P E V u d H J 5 I F R 5 c G U 9 I k Z p b G x P Y m p l Y 3 R U e X B l I i B W Y W x 1 Z T 0 i c 0 N v b m 5 l Y 3 R p b 2 5 P b m x 5 I i 8 + P E V u d H J 5 I F R 5 c G U 9 I k 5 h b W V V c G R h d G V k Q W Z 0 Z X J G a W x s I i B W Y W x 1 Z T 0 i b D E i L z 4 8 R W 5 0 c n k g V H l w Z T 0 i T G 9 h Z G V k V G 9 B b m F s e X N p c 1 N l c n Z p Y 2 V z I i B W Y W x 1 Z T 0 i b D A i L z 4 8 R W 5 0 c n k g V H l w Z T 0 i T G 9 h Z F R v U m V w b 3 J 0 R G l z Y W J s Z W Q i I F Z h b H V l P S J s M S I v P j w v U 3 R h Y m x l R W 5 0 c m l l c z 4 8 L 0 l 0 Z W 0 + P E l 0 Z W 0 + P E l 0 Z W 1 M b 2 N h d G l v b j 4 8 S X R l b V R 5 c G U + R m 9 y b X V s Y T w v S X R l b V R 5 c G U + P E l 0 Z W 1 Q Y X R o P l N l Y 3 R p b 2 4 x L 1 B h c m F t Z X R y b z E w 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c t M j R U M D k 6 N T M 6 N D Y u M D Q x N z M y N l 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l Y T E w M m J h M S 0 w O G Q 0 L T Q z N W I t Y m M 0 Z C 0 x Z T N j Y m Y 3 Z j U z Z D c i L z 4 8 R W 5 0 c n k g V H l w Z T 0 i U X V l c n l J R C I g V m F s d W U 9 I n M 5 N z F k O D J i Z i 1 m M m I 5 L T R i N T U t Y m E y N y 0 z Z D d i O G V j N 2 Z l Z D c i L z 4 8 R W 5 0 c n k g V H l w Z T 0 i U m V z d W x 0 V H l w Z S I g V m F s d W U 9 I n N C a W 5 h c n k i L z 4 8 R W 5 0 c n k g V H l w Z T 0 i R m l s b E 9 i a m V j d F R 5 c G U i I F Z h b H V l P S J z Q 2 9 u b m V j d G l v b k 9 u b H k i L z 4 8 R W 5 0 c n k g V H l w Z T 0 i T G 9 h Z F R v U m V w b 3 J 0 R G l z Y W J s Z W Q i I F Z h b H V l P S J s M S I v P j w v U 3 R h Y m x l R W 5 0 c m l l c z 4 8 L 0 l 0 Z W 0 + P E l 0 Z W 0 + P E l 0 Z W 1 M b 2 N h d G l v b j 4 8 S X R l b V R 5 c G U + R m 9 y b X V s Y T w v S X R l b V R 5 c G U + P E l 0 Z W 1 Q Y X R o P l N l Y 3 R p b 2 4 x L 1 R y Y X N m b 3 J t Y S U y M G Z p b G U l M j B k a S U y M G V z Z W 1 w a W 8 l M j A o M T A 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c t M j R U M D k 6 N T M 6 N D Y u M D Y 4 N z M x N l 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M x Y j E y Z D l l N S 1 k Y 2 F j L T R j Z G E t O D M 2 N y 1 i Y m R k N W E 0 M W M 0 Y 2 M i L z 4 8 R W 5 0 c n k g V H l w Z T 0 i U X V l c n l J R C I g V m F s d W U 9 I n N k N j U 3 N j A 5 O S 0 1 M j k 0 L T Q 3 Y 2 I t Y m N j Z S 0 1 O W I w Z D g 2 Y W M z M 2 E i L z 4 8 R W 5 0 c n k g V H l w Z T 0 i U m V z d W x 0 V H l w Z S I g V m F s d W U 9 I n N U Y W J s Z S I v P j x F b n R y e S B U e X B l P S J G a W x s T 2 J q Z W N 0 V H l w Z S I g V m F s d W U 9 I n N D b 2 5 u Z W N 0 a W 9 u T 2 5 s e S I v P j x F b n R y e S B U e X B l P S J O Y W 1 l V X B k Y X R l Z E F m d G V y R m l s b C I g V m F s d W U 9 I m w x I i 8 + P E V u d H J 5 I F R 5 c G U 9 I k x v Y W R U b 1 J l c G 9 y d E R p c 2 F i b G V k I i B W Y W x 1 Z T 0 i b D E i L z 4 8 L 1 N 0 Y W J s Z U V u d H J p Z X M + P C 9 J d G V t P j x J d G V t P j x J d G V t T G 9 j Y X R p b 2 4 + P E l 0 Z W 1 U e X B l P k Z v c m 1 1 b G E 8 L 0 l 0 Z W 1 U e X B l P j x J d G V t U G F 0 a D 5 T Z W N 0 a W 9 u M S 9 U c m F z Z m 9 y b W E l M j B m a W x l J T I w K D E w 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0 L T A 3 L T I 0 V D A 5 O j U z O j Q 2 L j A 5 M T c z M D V 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Z W E x M D J i Y T E t M D h k N C 0 0 M z V i L W J j N G Q t M W U z Y 2 J m N 2 Y 1 M 2 Q 3 I i 8 + P E V u d H J 5 I F R 5 c G U 9 I l F 1 Z X J 5 S U Q i I F Z h b H V l P S J z M j c w N D U 3 M T I t M W F i Z i 0 0 M D k 4 L W J m N 2 I t M z g 3 M m I z O W Y 0 Y z A 3 I i 8 + P E V u d H J 5 I F R 5 c G U 9 I l J l c 3 V s d F R 5 c G U i I F Z h b H V l P S J z R n V u Y 3 R p b 2 4 i L z 4 8 R W 5 0 c n k g V H l w Z T 0 i R m l s b E 9 i a m V j d F R 5 c G U i I F Z h b H V l P S J z Q 2 9 u b m V j d G l v b k 9 u b H k i L z 4 8 R W 5 0 c n k g V H l w Z T 0 i T G 9 h Z F R v U m V w b 3 J 0 R G l z Y W J s Z W Q i I F Z h b H V l P S J s M S I v P j w v U 3 R h Y m x l R W 5 0 c m l l c z 4 8 L 0 l 0 Z W 0 + P E l 0 Z W 0 + P E l 0 Z W 1 M b 2 N h d G l v b j 4 8 S X R l b V R 5 c G U + R m 9 y b X V s Y T w v S X R l b V R 5 c G U + P E l 0 Z W 1 Q Y X R o P l N l Y 3 R p b 2 4 x L 1 B 1 Y m x p Y y U y M H B y b 2 N 1 c m 1 l b n Q 8 L 0 l 0 Z W 1 Q Y X R o P j w v S X R l b U x v Y 2 F 0 a W 9 u P j x T d G F i b G V F b n R y a W V z P j x F b n R y e S B U e X B l P S J B Z G R l Z F R v R G F 0 Y U 1 v Z G V s I i B W Y W x 1 Z T 0 i b D A i L z 4 8 R W 5 0 c n k g V H l w Z T 0 i Q n V m Z m V y T m V 4 d F J l Z n J l c 2 g i I F Z h b H V l P S J s M S I v P j x F b n R y e S B U e X B l P S J G a W x s Q 2 9 1 b n Q i I F Z h b H V l P S J s N D A w I i 8 + P E V u d H J 5 I F R 5 c G U 9 I k Z p b G x F b m F i b G V k I i B W Y W x 1 Z T 0 i b D E i L z 4 8 R W 5 0 c n k g V H l w Z T 0 i R m l s b E V y c m 9 y Q 2 9 k Z S I g V m F s d W U 9 I n N V b m t u b 3 d u I i 8 + P E V u d H J 5 I F R 5 c G U 9 I k Z p b G x F c n J v c k N v d W 5 0 I i B W Y W x 1 Z T 0 i b D A i L z 4 8 R W 5 0 c n k g V H l w Z T 0 i R m l s b E x h c 3 R V c G R h d G V k I i B W Y W x 1 Z T 0 i Z D I w M j Q t M D c t M j R U M T M 6 N T U 6 N T g u N D U w O D Y z M l o i L z 4 8 R W 5 0 c n k g V H l w Z T 0 i R m l s b E N v b H V t b l R 5 c G V z I i B W Y W x 1 Z T 0 i c 0 J n W U R B d 0 F B Q U F B Q U F B Q U F B Q U F B Q U F B Q S I v P j x F b n R y e S B U e X B l P S J G a W x s Q 2 9 s d W 1 u T m F t Z X M i I F Z h b H V l P S J z W y Z x d W 9 0 O 1 N v d X J j Z S 5 O Y W 1 l L j I m c X V v d D s s J n F 1 b 3 Q 7 U 2 9 1 c m N l L k 5 h b W U u M y Z x d W 9 0 O y w m c X V v d D t p Z C B Q c m 9 q Z W N 0 J n F 1 b 3 Q 7 L C Z x d W 9 0 O 2 l k I F B B c n R u Z X I m c X V v d D s s J n F 1 b 3 Q 7 V m F s d W U u a W Q m c X V v d D s s J n F 1 b 3 Q 7 V m F s d W U u c m V w b 3 J 0 S W Q m c X V v d D s s J n F 1 b 3 Q 7 V m F s d W U u c m V w b 3 J 0 T n V t Y m V y J n F 1 b 3 Q 7 L C Z x d W 9 0 O 1 Z h b H V l L m N y Z W F 0 Z W R J b l R o a X N S Z X B v c n Q m c X V v d D s s J n F 1 b 3 Q 7 V m F s d W U u b G F z d E N o Y W 5 n Z W Q m c X V v d D s s J n F 1 b 3 Q 7 V m F s d W U u Y 2 9 u d H J h Y 3 R O Y W 1 l J n F 1 b 3 Q 7 L C Z x d W 9 0 O 1 Z h b H V l L n J l Z m V y Z W 5 j Z U 5 1 b W J l c i Z x d W 9 0 O y w m c X V v d D t W Y W x 1 Z S 5 j b 2 5 0 c m F j d E R h d G U m c X V v d D s s J n F 1 b 3 Q 7 V m F s d W U u Y 2 9 u d H J h Y 3 R U e X B l J n F 1 b 3 Q 7 L C Z x d W 9 0 O 1 Z h b H V l L m N v b n R y Y W N 0 Q W 1 v d W 5 0 J n F 1 b 3 Q 7 L C Z x d W 9 0 O 1 Z h b H V l L m N 1 c n J l b m N 5 Q 2 9 k Z S Z x d W 9 0 O y w m c X V v d D t W Y W x 1 Z S 5 z d X B w b G l l c k 5 h b W U m c X V v d D s s J n F 1 b 3 Q 7 V m F s d W U u d m F 0 T n V t Y m V y J n F 1 b 3 Q 7 L C Z x d W 9 0 O 1 Z h b H V l L m N v b W 1 l b n Q 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g 4 N j c 1 M T k 0 L T d k O G Y t N D k 4 Y S 0 5 M G J h L T Z j M D Z k Z j R h O G M 1 O S I v P j x F b n R y e S B U e X B l P S J S Z W x h d G l v b n N o a X B J b m Z v Q 2 9 u d G F p b m V y I i B W Y W x 1 Z T 0 i c 3 s m c X V v d D t j b 2 x 1 b W 5 D b 3 V u d C Z x d W 9 0 O z o x O C w m c X V v d D t r Z X l D b 2 x 1 b W 5 O Y W 1 l c y Z x d W 9 0 O z p b X S w m c X V v d D t x d W V y e V J l b G F 0 a W 9 u c 2 h p c H M m c X V v d D s 6 W 1 0 s J n F 1 b 3 Q 7 Y 2 9 s d W 1 u S W R l b n R p d G l l c y Z x d W 9 0 O z p b J n F 1 b 3 Q 7 U 2 V j d G l v b j E v U H V i b G l j I H B y b 2 N 1 c m 1 l b n Q v Q X V 0 b 1 J l b W 9 2 Z W R D b 2 x 1 b W 5 z M S 5 7 U 2 9 1 c m N l L k 5 h b W U u M i w w f S Z x d W 9 0 O y w m c X V v d D t T Z W N 0 a W 9 u M S 9 Q d W J s a W M g c H J v Y 3 V y b W V u d C 9 B d X R v U m V t b 3 Z l Z E N v b H V t b n M x L n t T b 3 V y Y 2 U u T m F t Z S 4 z L D F 9 J n F 1 b 3 Q 7 L C Z x d W 9 0 O 1 N l Y 3 R p b 2 4 x L 1 B 1 Y m x p Y y B w c m 9 j d X J t Z W 5 0 L 0 F 1 d G 9 S Z W 1 v d m V k Q 2 9 s d W 1 u c z E u e 2 l k I F B y b 2 p l Y 3 Q s M n 0 m c X V v d D s s J n F 1 b 3 Q 7 U 2 V j d G l v b j E v U H V i b G l j I H B y b 2 N 1 c m 1 l b n Q v Q X V 0 b 1 J l b W 9 2 Z W R D b 2 x 1 b W 5 z M S 5 7 a W Q g U E F y d G 5 l c i w z f S Z x d W 9 0 O y w m c X V v d D t T Z W N 0 a W 9 u M S 9 Q d W J s a W M g c H J v Y 3 V y b W V u d C 9 B d X R v U m V t b 3 Z l Z E N v b H V t b n M x L n t W Y W x 1 Z S 5 p Z C w 0 f S Z x d W 9 0 O y w m c X V v d D t T Z W N 0 a W 9 u M S 9 Q d W J s a W M g c H J v Y 3 V y b W V u d C 9 B d X R v U m V t b 3 Z l Z E N v b H V t b n M x L n t W Y W x 1 Z S 5 y Z X B v c n R J Z C w 1 f S Z x d W 9 0 O y w m c X V v d D t T Z W N 0 a W 9 u M S 9 Q d W J s a W M g c H J v Y 3 V y b W V u d C 9 B d X R v U m V t b 3 Z l Z E N v b H V t b n M x L n t W Y W x 1 Z S 5 y Z X B v c n R O d W 1 i Z X I s N n 0 m c X V v d D s s J n F 1 b 3 Q 7 U 2 V j d G l v b j E v U H V i b G l j I H B y b 2 N 1 c m 1 l b n Q v Q X V 0 b 1 J l b W 9 2 Z W R D b 2 x 1 b W 5 z M S 5 7 V m F s d W U u Y 3 J l Y X R l Z E l u V G h p c 1 J l c G 9 y d C w 3 f S Z x d W 9 0 O y w m c X V v d D t T Z W N 0 a W 9 u M S 9 Q d W J s a W M g c H J v Y 3 V y b W V u d C 9 B d X R v U m V t b 3 Z l Z E N v b H V t b n M x L n t W Y W x 1 Z S 5 s Y X N 0 Q 2 h h b m d l Z C w 4 f S Z x d W 9 0 O y w m c X V v d D t T Z W N 0 a W 9 u M S 9 Q d W J s a W M g c H J v Y 3 V y b W V u d C 9 B d X R v U m V t b 3 Z l Z E N v b H V t b n M x L n t W Y W x 1 Z S 5 j b 2 5 0 c m F j d E 5 h b W U s O X 0 m c X V v d D s s J n F 1 b 3 Q 7 U 2 V j d G l v b j E v U H V i b G l j I H B y b 2 N 1 c m 1 l b n Q v Q X V 0 b 1 J l b W 9 2 Z W R D b 2 x 1 b W 5 z M S 5 7 V m F s d W U u c m V m Z X J l b m N l T n V t Y m V y L D E w f S Z x d W 9 0 O y w m c X V v d D t T Z W N 0 a W 9 u M S 9 Q d W J s a W M g c H J v Y 3 V y b W V u d C 9 B d X R v U m V t b 3 Z l Z E N v b H V t b n M x L n t W Y W x 1 Z S 5 j b 2 5 0 c m F j d E R h d G U s M T F 9 J n F 1 b 3 Q 7 L C Z x d W 9 0 O 1 N l Y 3 R p b 2 4 x L 1 B 1 Y m x p Y y B w c m 9 j d X J t Z W 5 0 L 0 F 1 d G 9 S Z W 1 v d m V k Q 2 9 s d W 1 u c z E u e 1 Z h b H V l L m N v b n R y Y W N 0 V H l w Z S w x M n 0 m c X V v d D s s J n F 1 b 3 Q 7 U 2 V j d G l v b j E v U H V i b G l j I H B y b 2 N 1 c m 1 l b n Q v Q X V 0 b 1 J l b W 9 2 Z W R D b 2 x 1 b W 5 z M S 5 7 V m F s d W U u Y 2 9 u d H J h Y 3 R B b W 9 1 b n Q s M T N 9 J n F 1 b 3 Q 7 L C Z x d W 9 0 O 1 N l Y 3 R p b 2 4 x L 1 B 1 Y m x p Y y B w c m 9 j d X J t Z W 5 0 L 0 F 1 d G 9 S Z W 1 v d m V k Q 2 9 s d W 1 u c z E u e 1 Z h b H V l L m N 1 c n J l b m N 5 Q 2 9 k Z S w x N H 0 m c X V v d D s s J n F 1 b 3 Q 7 U 2 V j d G l v b j E v U H V i b G l j I H B y b 2 N 1 c m 1 l b n Q v Q X V 0 b 1 J l b W 9 2 Z W R D b 2 x 1 b W 5 z M S 5 7 V m F s d W U u c 3 V w c G x p Z X J O Y W 1 l L D E 1 f S Z x d W 9 0 O y w m c X V v d D t T Z W N 0 a W 9 u M S 9 Q d W J s a W M g c H J v Y 3 V y b W V u d C 9 B d X R v U m V t b 3 Z l Z E N v b H V t b n M x L n t W Y W x 1 Z S 5 2 Y X R O d W 1 i Z X I s M T Z 9 J n F 1 b 3 Q 7 L C Z x d W 9 0 O 1 N l Y 3 R p b 2 4 x L 1 B 1 Y m x p Y y B w c m 9 j d X J t Z W 5 0 L 0 F 1 d G 9 S Z W 1 v d m V k Q 2 9 s d W 1 u c z E u e 1 Z h b H V l L m N v b W 1 l b n Q s M T d 9 J n F 1 b 3 Q 7 X S w m c X V v d D t D b 2 x 1 b W 5 D b 3 V u d C Z x d W 9 0 O z o x O C w m c X V v d D t L Z X l D b 2 x 1 b W 5 O Y W 1 l c y Z x d W 9 0 O z p b X S w m c X V v d D t D b 2 x 1 b W 5 J Z G V u d G l 0 a W V z J n F 1 b 3 Q 7 O l s m c X V v d D t T Z W N 0 a W 9 u M S 9 Q d W J s a W M g c H J v Y 3 V y b W V u d C 9 B d X R v U m V t b 3 Z l Z E N v b H V t b n M x L n t T b 3 V y Y 2 U u T m F t Z S 4 y L D B 9 J n F 1 b 3 Q 7 L C Z x d W 9 0 O 1 N l Y 3 R p b 2 4 x L 1 B 1 Y m x p Y y B w c m 9 j d X J t Z W 5 0 L 0 F 1 d G 9 S Z W 1 v d m V k Q 2 9 s d W 1 u c z E u e 1 N v d X J j Z S 5 O Y W 1 l L j M s M X 0 m c X V v d D s s J n F 1 b 3 Q 7 U 2 V j d G l v b j E v U H V i b G l j I H B y b 2 N 1 c m 1 l b n Q v Q X V 0 b 1 J l b W 9 2 Z W R D b 2 x 1 b W 5 z M S 5 7 a W Q g U H J v a m V j d C w y f S Z x d W 9 0 O y w m c X V v d D t T Z W N 0 a W 9 u M S 9 Q d W J s a W M g c H J v Y 3 V y b W V u d C 9 B d X R v U m V t b 3 Z l Z E N v b H V t b n M x L n t p Z C B Q Q X J 0 b m V y L D N 9 J n F 1 b 3 Q 7 L C Z x d W 9 0 O 1 N l Y 3 R p b 2 4 x L 1 B 1 Y m x p Y y B w c m 9 j d X J t Z W 5 0 L 0 F 1 d G 9 S Z W 1 v d m V k Q 2 9 s d W 1 u c z E u e 1 Z h b H V l L m l k L D R 9 J n F 1 b 3 Q 7 L C Z x d W 9 0 O 1 N l Y 3 R p b 2 4 x L 1 B 1 Y m x p Y y B w c m 9 j d X J t Z W 5 0 L 0 F 1 d G 9 S Z W 1 v d m V k Q 2 9 s d W 1 u c z E u e 1 Z h b H V l L n J l c G 9 y d E l k L D V 9 J n F 1 b 3 Q 7 L C Z x d W 9 0 O 1 N l Y 3 R p b 2 4 x L 1 B 1 Y m x p Y y B w c m 9 j d X J t Z W 5 0 L 0 F 1 d G 9 S Z W 1 v d m V k Q 2 9 s d W 1 u c z E u e 1 Z h b H V l L n J l c G 9 y d E 5 1 b W J l c i w 2 f S Z x d W 9 0 O y w m c X V v d D t T Z W N 0 a W 9 u M S 9 Q d W J s a W M g c H J v Y 3 V y b W V u d C 9 B d X R v U m V t b 3 Z l Z E N v b H V t b n M x L n t W Y W x 1 Z S 5 j c m V h d G V k S W 5 U a G l z U m V w b 3 J 0 L D d 9 J n F 1 b 3 Q 7 L C Z x d W 9 0 O 1 N l Y 3 R p b 2 4 x L 1 B 1 Y m x p Y y B w c m 9 j d X J t Z W 5 0 L 0 F 1 d G 9 S Z W 1 v d m V k Q 2 9 s d W 1 u c z E u e 1 Z h b H V l L m x h c 3 R D a G F u Z 2 V k L D h 9 J n F 1 b 3 Q 7 L C Z x d W 9 0 O 1 N l Y 3 R p b 2 4 x L 1 B 1 Y m x p Y y B w c m 9 j d X J t Z W 5 0 L 0 F 1 d G 9 S Z W 1 v d m V k Q 2 9 s d W 1 u c z E u e 1 Z h b H V l L m N v b n R y Y W N 0 T m F t Z S w 5 f S Z x d W 9 0 O y w m c X V v d D t T Z W N 0 a W 9 u M S 9 Q d W J s a W M g c H J v Y 3 V y b W V u d C 9 B d X R v U m V t b 3 Z l Z E N v b H V t b n M x L n t W Y W x 1 Z S 5 y Z W Z l c m V u Y 2 V O d W 1 i Z X I s M T B 9 J n F 1 b 3 Q 7 L C Z x d W 9 0 O 1 N l Y 3 R p b 2 4 x L 1 B 1 Y m x p Y y B w c m 9 j d X J t Z W 5 0 L 0 F 1 d G 9 S Z W 1 v d m V k Q 2 9 s d W 1 u c z E u e 1 Z h b H V l L m N v b n R y Y W N 0 R G F 0 Z S w x M X 0 m c X V v d D s s J n F 1 b 3 Q 7 U 2 V j d G l v b j E v U H V i b G l j I H B y b 2 N 1 c m 1 l b n Q v Q X V 0 b 1 J l b W 9 2 Z W R D b 2 x 1 b W 5 z M S 5 7 V m F s d W U u Y 2 9 u d H J h Y 3 R U e X B l L D E y f S Z x d W 9 0 O y w m c X V v d D t T Z W N 0 a W 9 u M S 9 Q d W J s a W M g c H J v Y 3 V y b W V u d C 9 B d X R v U m V t b 3 Z l Z E N v b H V t b n M x L n t W Y W x 1 Z S 5 j b 2 5 0 c m F j d E F t b 3 V u d C w x M 3 0 m c X V v d D s s J n F 1 b 3 Q 7 U 2 V j d G l v b j E v U H V i b G l j I H B y b 2 N 1 c m 1 l b n Q v Q X V 0 b 1 J l b W 9 2 Z W R D b 2 x 1 b W 5 z M S 5 7 V m F s d W U u Y 3 V y c m V u Y 3 l D b 2 R l L D E 0 f S Z x d W 9 0 O y w m c X V v d D t T Z W N 0 a W 9 u M S 9 Q d W J s a W M g c H J v Y 3 V y b W V u d C 9 B d X R v U m V t b 3 Z l Z E N v b H V t b n M x L n t W Y W x 1 Z S 5 z d X B w b G l l c k 5 h b W U s M T V 9 J n F 1 b 3 Q 7 L C Z x d W 9 0 O 1 N l Y 3 R p b 2 4 x L 1 B 1 Y m x p Y y B w c m 9 j d X J t Z W 5 0 L 0 F 1 d G 9 S Z W 1 v d m V k Q 2 9 s d W 1 u c z E u e 1 Z h b H V l L n Z h d E 5 1 b W J l c i w x N n 0 m c X V v d D s s J n F 1 b 3 Q 7 U 2 V j d G l v b j E v U H V i b G l j I H B y b 2 N 1 c m 1 l b n Q v Q X V 0 b 1 J l b W 9 2 Z W R D b 2 x 1 b W 5 z M S 5 7 V m F s d W U u Y 2 9 t b W V u d C w x N 3 0 m c X V v d D t d L C Z x d W 9 0 O 1 J l b G F 0 a W 9 u c 2 h p c E l u Z m 8 m c X V v d D s 6 W 1 1 9 I i 8 + P E V u d H J 5 I F R 5 c G U 9 I l J l c 3 V s d F R 5 c G U i I F Z h b H V l P S J z V G F i b G U i L z 4 8 R W 5 0 c n k g V H l w Z T 0 i T m F 2 a W d h d G l v b l N 0 Z X B O Y W 1 l I i B W Y W x 1 Z T 0 i c 0 5 h d m l n Y X p p b 2 5 l I i 8 + P E V u d H J 5 I F R 5 c G U 9 I k Z p b G x P Y m p l Y 3 R U e X B l I i B W Y W x 1 Z T 0 i c 1 R h Y m x l I i 8 + P E V u d H J 5 I F R 5 c G U 9 I k 5 h b W V V c G R h d G V k Q W Z 0 Z X J G a W x s I i B W Y W x 1 Z T 0 i b D A i L z 4 8 R W 5 0 c n k g V H l w Z T 0 i R m l s b F R h c m d l d C I g V m F s d W U 9 I n N Q d W J s a W N f c H J v Y 3 V y b W V u d C I v P j w v U 3 R h Y m x l R W 5 0 c m l l c z 4 8 L 0 l 0 Z W 0 + P E l 0 Z W 0 + P E l 0 Z W 1 M b 2 N h d G l v b j 4 8 S X R l b V R 5 c G U + R m 9 y b X V s Y T w v S X R l b V R 5 c G U + P E l 0 Z W 1 Q Y X R o P l N l Y 3 R p b 2 4 x L 0 Z p b G U l M j B k a S U y M G V z Z W 1 w a W 8 l M j A o M T Y 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c t M j R U M T M 6 N T U 6 N T Y u M j Y 0 M j E 5 N l 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m N j h k N m N m Y i 0 5 O T M 1 L T Q z N T A t Y j E z M y 1 m N W U z N T d h N j E z N z U i L z 4 8 R W 5 0 c n k g V H l w Z T 0 i U X V l c n l J R C I g V m F s d W U 9 I n N k M z Y 0 M 2 M z Z S 0 5 Z j U 3 L T Q 5 N 2 I t O T A 2 Z S 1 l N z I 3 M 2 I 5 M T Q 2 M T A i L z 4 8 R W 5 0 c n k g V H l w Z T 0 i U m V z d W x 0 V H l w Z S I g V m F s d W U 9 I n N C a W 5 h c n k i L z 4 8 R W 5 0 c n k g V H l w Z T 0 i R m l s b E 9 i a m V j d F R 5 c G U i I F Z h b H V l P S J z Q 2 9 u b m V j d G l v b k 9 u b H k i L z 4 8 R W 5 0 c n k g V H l w Z T 0 i T m F t Z V V w Z G F 0 Z W R B Z n R l c k Z p b G w i I F Z h b H V l P S J s M S I v P j x F b n R y e S B U e X B l P S J M b 2 F k Z W R U b 0 F u Y W x 5 c 2 l z U 2 V y d m l j Z X M i I F Z h b H V l P S J s M C I v P j x F b n R y e S B U e X B l P S J M b 2 F k V G 9 S Z X B v c n R E a X N h Y m x l Z C I g V m F s d W U 9 I m w x I i 8 + P C 9 T d G F i b G V F b n R y a W V z P j w v S X R l b T 4 8 S X R l b T 4 8 S X R l b U x v Y 2 F 0 a W 9 u P j x J d G V t V H l w Z T 5 G b 3 J t d W x h P C 9 J d G V t V H l w Z T 4 8 S X R l b V B h d G g + U 2 V j d G l v b j E v U G F y Y W 1 l d H J v M T E 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C 0 w N y 0 y N F Q x M z o 1 N T o 1 N i 4 y O T g y M T c 3 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Y 2 O G Q 2 Y 2 Z i L T k 5 M z U t N D M 1 M C 1 i M T M z L W Y 1 Z T M 1 N 2 E 2 M T M 3 N S I v P j x F b n R y e S B U e X B l P S J R d W V y e U l E I i B W Y W x 1 Z T 0 i c z k 1 N G M 2 O D c 3 L W M y Z T c t N D c z N C 1 i Z D Y 0 L W I w M W F l M D Y x M D k 2 Z C I v P j x F b n R y e S B U e X B l P S J S Z X N 1 b H R U e X B l I i B W Y W x 1 Z T 0 i c 0 J p b m F y e S I v P j x F b n R y e S B U e X B l P S J G a W x s T 2 J q Z W N 0 V H l w Z S I g V m F s d W U 9 I n N D b 2 5 u Z W N 0 a W 9 u T 2 5 s e S I v P j x F b n R y e S B U e X B l P S J M b 2 F k V G 9 S Z X B v c n R E a X N h Y m x l Z C I g V m F s d W U 9 I m w x I i 8 + P C 9 T d G F i b G V F b n R y a W V z P j w v S X R l b T 4 8 S X R l b T 4 8 S X R l b U x v Y 2 F 0 a W 9 u P j x J d G V t V H l w Z T 5 G b 3 J t d W x h P C 9 J d G V t V H l w Z T 4 8 S X R l b V B h d G g + U 2 V j d G l v b j E v V H J h c 2 Z v c m 1 h J T I w Z m l s Z S U y M G R p J T I w Z X N l b X B p b y U y M C g x M S 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C 0 w N y 0 y N F Q x M z o 1 N T o 1 N i 4 z M T g y M j A 5 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Q 5 M T U 2 N T Y y L T l i O T M t N G U w Y i 0 4 N j k x L T Q y M z c 1 M G M z Y m I w Y S I v P j x F b n R y e S B U e X B l P S J R d W V y e U l E I i B W Y W x 1 Z T 0 i c z h i Y W M 2 N D h i L T E y M T A t N G Z m N S 0 4 N D U 3 L W Z i M T N l N T g 5 M 2 U 1 Y y I v P j x F b n R y e S B U e X B l P S J S Z X N 1 b H R U e X B l I i B W Y W x 1 Z T 0 i c 1 R h Y m x l I i 8 + P E V u d H J 5 I F R 5 c G U 9 I k Z p b G x P Y m p l Y 3 R U e X B l I i B W Y W x 1 Z T 0 i c 0 N v b m 5 l Y 3 R p b 2 5 P b m x 5 I i 8 + P E V u d H J 5 I F R 5 c G U 9 I k 5 h b W V V c G R h d G V k Q W Z 0 Z X J G a W x s I i B W Y W x 1 Z T 0 i b D E i L z 4 8 R W 5 0 c n k g V H l w Z T 0 i T G 9 h Z F R v U m V w b 3 J 0 R G l z Y W J s Z W Q i I F Z h b H V l P S J s M S I v P j w v U 3 R h Y m x l R W 5 0 c m l l c z 4 8 L 0 l 0 Z W 0 + P E l 0 Z W 0 + P E l 0 Z W 1 M b 2 N h d G l v b j 4 8 S X R l b V R 5 c G U + R m 9 y b X V s Y T w v S X R l b V R 5 c G U + P E l 0 Z W 1 Q Y X R o P l N l Y 3 R p b 2 4 x L 1 R y Y X N m b 3 J t Y S U y M G Z p b G U l M j A o M T E 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c t M j R U M T M 6 N T U 6 N T Y u M z U 5 M j I w M V 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m N j h k N m N m Y i 0 5 O T M 1 L T Q z N T A t Y j E z M y 1 m N W U z N T d h N j E z N z U i L z 4 8 R W 5 0 c n k g V H l w Z T 0 i U X V l c n l J R C I g V m F s d W U 9 I n N k Z j Z k M G N m N C 0 4 M T M y L T R j Y 2 Y t Y m Y x M i 0 x Y m M 2 Y T d m Z j c z M m Q i L z 4 8 R W 5 0 c n k g V H l w Z T 0 i U m V z d W x 0 V H l w Z S I g V m F s d W U 9 I n N G d W 5 j d G l v b i I v P j x F b n R y e S B U e X B l P S J G a W x s T 2 J q Z W N 0 V H l w Z S I g V m F s d W U 9 I n N D b 2 5 u Z W N 0 a W 9 u T 2 5 s e S I v P j x F b n R y e S B U e X B l P S J M b 2 F k V G 9 S Z X B v c n R E a X N h Y m x l Z C I g V m F s d W U 9 I m w x I i 8 + P C 9 T d G F i b G V F b n R y a W V z P j w v S X R l b T 4 8 S X R l b T 4 8 S X R l b U x v Y 2 F 0 a W 9 u P j x J d G V t V H l w Z T 5 G b 3 J t d W x h P C 9 J d G V t V H l w Z T 4 8 S X R l b V B h d G g + U 2 V j d G l v b j E v R V J S T 1 J J L 0 9 y a W d p b m U 8 L 0 l 0 Z W 1 Q Y X R o P j w v S X R l b U x v Y 2 F 0 a W 9 u P j x T d G F i b G V F b n R y a W V z L z 4 8 L 0 l 0 Z W 0 + P E l 0 Z W 0 + P E l 0 Z W 1 M b 2 N h d G l v b j 4 8 S X R l b V R 5 c G U + R m 9 y b X V s Y T w v S X R l b V R 5 c G U + P E l 0 Z W 1 Q Y X R o P l N l Y 3 R p b 2 4 x L 0 Z p b G U l M j B k a S U y M G V z Z W 1 w a W 8 v T 3 J p Z 2 l u Z T w v S X R l b V B h d G g + P C 9 J d G V t T G 9 j Y X R p b 2 4 + P F N 0 Y W J s Z U V u d H J p Z X M v P j w v S X R l b T 4 8 S X R l b T 4 8 S X R l b U x v Y 2 F 0 a W 9 u P j x J d G V t V H l w Z T 5 G b 3 J t d W x h P C 9 J d G V t V H l w Z T 4 8 S X R l b V B h d G g + U 2 V j d G l v b j E v R m l s Z S U y M G R p J T I w Z X N l b X B p b y 9 O Y X Z p Z 2 F 6 a W 9 u Z T E 8 L 0 l 0 Z W 1 Q Y X R o P j w v S X R l b U x v Y 2 F 0 a W 9 u P j x T d G F i b G V F b n R y a W V z L z 4 8 L 0 l 0 Z W 0 + P E l 0 Z W 0 + P E l 0 Z W 1 M b 2 N h d G l v b j 4 8 S X R l b V R 5 c G U + R m 9 y b X V s Y T w v S X R l b V R 5 c G U + P E l 0 Z W 1 Q Y X R o P l N l Y 3 R p b 2 4 x L 1 R y Y X N m b 3 J t Y S U y M G Z p b G U l M j B k Y S U y M E V S U k 9 S S S 9 P c m l n a W 5 l P C 9 J d G V t U G F 0 a D 4 8 L 0 l 0 Z W 1 M b 2 N h d G l v b j 4 8 U 3 R h Y m x l R W 5 0 c m l l c y 8 + P C 9 J d G V t P j x J d G V t P j x J d G V t T G 9 j Y X R p b 2 4 + P E l 0 Z W 1 U e X B l P k Z v c m 1 1 b G E 8 L 0 l 0 Z W 1 U e X B l P j x J d G V t U G F 0 a D 5 T Z W N 0 a W 9 u M S 9 F U l J P U k k v R m l s Z S U y M G 5 h c 2 N v c 3 R p J T I w Z m l s d H J h d G k x P C 9 J d G V t U G F 0 a D 4 8 L 0 l 0 Z W 1 M b 2 N h d G l v b j 4 8 U 3 R h Y m x l R W 5 0 c m l l c y 8 + P C 9 J d G V t P j x J d G V t P j x J d G V t T G 9 j Y X R p b 2 4 + P E l 0 Z W 1 U e X B l P k Z v c m 1 1 b G E 8 L 0 l 0 Z W 1 U e X B l P j x J d G V t U G F 0 a D 5 T Z W N 0 a W 9 u M S 9 F U l J P U k k v U m l j a G l h b W E l M j B m d W 5 6 a W 9 u Z S U y M H B l c n N v b m F s a X p 6 Y X R h M T w v S X R l b V B h d G g + P C 9 J d G V t T G 9 j Y X R p b 2 4 + P F N 0 Y W J s Z U V u d H J p Z X M v P j w v S X R l b T 4 8 S X R l b T 4 8 S X R l b U x v Y 2 F 0 a W 9 u P j x J d G V t V H l w Z T 5 G b 3 J t d W x h P C 9 J d G V t V H l w Z T 4 8 S X R l b V B h d G g + U 2 V j d G l v b j E v R V J S T 1 J J L 1 J p b m 9 t a W 5 h d G U l M j B j b 2 x v b m 5 l M T w v S X R l b V B h d G g + P C 9 J d G V t T G 9 j Y X R p b 2 4 + P F N 0 Y W J s Z U V u d H J p Z X M v P j w v S X R l b T 4 8 S X R l b T 4 8 S X R l b U x v Y 2 F 0 a W 9 u P j x J d G V t V H l w Z T 5 G b 3 J t d W x h P C 9 J d G V t V H l w Z T 4 8 S X R l b V B h d G g + U 2 V j d G l v b j E v R V J S T 1 J J L 1 J p b W 9 z c 2 U l M j B h b H R y Z S U y M G N v b G 9 u b m U x P C 9 J d G V t U G F 0 a D 4 8 L 0 l 0 Z W 1 M b 2 N h d G l v b j 4 8 U 3 R h Y m x l R W 5 0 c m l l c y 8 + P C 9 J d G V t P j x J d G V t P j x J d G V t T G 9 j Y X R p b 2 4 + P E l 0 Z W 1 U e X B l P k Z v c m 1 1 b G E 8 L 0 l 0 Z W 1 U e X B l P j x J d G V t U G F 0 a D 5 T Z W N 0 a W 9 u M S 9 F U l J P U k k v R X N w Y W 5 z Y S U y M G N v b G 9 u b m E l M j B 0 Y W J s Z T E 8 L 0 l 0 Z W 1 Q Y X R o P j w v S X R l b U x v Y 2 F 0 a W 9 u P j x T d G F i b G V F b n R y a W V z L z 4 8 L 0 l 0 Z W 0 + P E l 0 Z W 0 + P E l 0 Z W 1 M b 2 N h d G l v b j 4 8 S X R l b V R 5 c G U + R m 9 y b X V s Y T w v S X R l b V R 5 c G U + P E l 0 Z W 1 Q Y X R o P l N l Y 3 R p b 2 4 x L 0 V S U k 9 S S S 9 N b 2 R p Z m l j Y X R v J T I w d G l w b z w v S X R l b V B h d G g + P C 9 J d G V t T G 9 j Y X R p b 2 4 + P F N 0 Y W J s Z U V u d H J p Z X M v P j w v S X R l b T 4 8 S X R l b T 4 8 S X R l b U x v Y 2 F 0 a W 9 u P j x J d G V t V H l w Z T 5 G b 3 J t d W x h P C 9 J d G V t V H l w Z T 4 8 S X R l b V B h d G g + U 2 V j d G l v b j E v R V J S T 1 J J L 0 Z p b H R y Y X R l J T I w c m l n a G U 8 L 0 l 0 Z W 1 Q Y X R o P j w v S X R l b U x v Y 2 F 0 a W 9 u P j x T d G F i b G V F b n R y a W V z L z 4 8 L 0 l 0 Z W 0 + P E l 0 Z W 0 + P E l 0 Z W 1 M b 2 N h d G l v b j 4 8 S X R l b V R 5 c G U + R m 9 y b X V s Y T w v S X R l b V R 5 c G U + P E l 0 Z W 1 Q Y X R o P l N l Y 3 R p b 2 4 x L 0 V S U k 9 S S S 9 U Y W J l b G x h J T I w V m F s d W U l M j B l c 3 B h b n N h P C 9 J d G V t U G F 0 a D 4 8 L 0 l 0 Z W 1 M b 2 N h d G l v b j 4 8 U 3 R h Y m x l R W 5 0 c m l l c y 8 + P C 9 J d G V t P j x J d G V t P j x J d G V t T G 9 j Y X R p b 2 4 + P E l 0 Z W 1 U e X B l P k Z v c m 1 1 b G E 8 L 0 l 0 Z W 1 U e X B l P j x J d G V t U G F 0 a D 5 T Z W N 0 a W 9 u M S 9 F U l J P U k k v V G F i Z W x s Y S U y M F Z h b H V l J T I w Z X N w Y W 5 z Y T E 8 L 0 l 0 Z W 1 Q Y X R o P j w v S X R l b U x v Y 2 F 0 a W 9 u P j x T d G F i b G V F b n R y a W V z L z 4 8 L 0 l 0 Z W 0 + P E l 0 Z W 0 + P E l 0 Z W 1 M b 2 N h d G l v b j 4 8 S X R l b V R 5 c G U + R m 9 y b X V s Y T w v S X R l b V R 5 c G U + P E l 0 Z W 1 Q Y X R o P l N l Y 3 R p b 2 4 x L 0 V S U k 9 S S S U y M C g y K S 9 P c m l n a W 5 l P C 9 J d G V t U G F 0 a D 4 8 L 0 l 0 Z W 1 M b 2 N h d G l v b j 4 8 U 3 R h Y m x l R W 5 0 c m l l c y 8 + P C 9 J d G V t P j x J d G V t P j x J d G V t T G 9 j Y X R p b 2 4 + P E l 0 Z W 1 U e X B l P k Z v c m 1 1 b G E 8 L 0 l 0 Z W 1 U e X B l P j x J d G V t U G F 0 a D 5 T Z W N 0 a W 9 u M S 9 G a W x l J T I w Z G k l M j B l c 2 V t c G l v J T I w K D I p L 0 9 y a W d p b m U 8 L 0 l 0 Z W 1 Q Y X R o P j w v S X R l b U x v Y 2 F 0 a W 9 u P j x T d G F i b G V F b n R y a W V z L z 4 8 L 0 l 0 Z W 0 + P E l 0 Z W 0 + P E l 0 Z W 1 M b 2 N h d G l v b j 4 8 S X R l b V R 5 c G U + R m 9 y b X V s Y T w v S X R l b V R 5 c G U + P E l 0 Z W 1 Q Y X R o P l N l Y 3 R p b 2 4 x L 0 Z p b G U l M j B k a S U y M G V z Z W 1 w a W 8 l M j A o M i k v T m F 2 a W d h e m l v b m U x P C 9 J d G V t U G F 0 a D 4 8 L 0 l 0 Z W 1 M b 2 N h d G l v b j 4 8 U 3 R h Y m x l R W 5 0 c m l l c y 8 + P C 9 J d G V t P j x J d G V t P j x J d G V t T G 9 j Y X R p b 2 4 + P E l 0 Z W 1 U e X B l P k Z v c m 1 1 b G E 8 L 0 l 0 Z W 1 U e X B l P j x J d G V t U G F 0 a D 5 T Z W N 0 a W 9 u M S 9 U c m F z Z m 9 y b W E l M j B m a W x l J T I w Z G k l M j B l c 2 V t c G l v J T I w Z G E l M j B F U l J P U k k l M j A o M i k v T 3 J p Z 2 l u Z T w v S X R l b V B h d G g + P C 9 J d G V t T G 9 j Y X R p b 2 4 + P F N 0 Y W J s Z U V u d H J p Z X M v P j w v S X R l b T 4 8 S X R l b T 4 8 S X R l b U x v Y 2 F 0 a W 9 u P j x J d G V t V H l w Z T 5 G b 3 J t d W x h P C 9 J d G V t V H l w Z T 4 8 S X R l b V B h d G g + U 2 V j d G l v b j E v V H J h c 2 Z v c m 1 h J T I w Z m l s Z S U y M G R h J T I w R V J S T 1 J J J T I w K D I p L 0 9 y a W d p b m U 8 L 0 l 0 Z W 1 Q Y X R o P j w v S X R l b U x v Y 2 F 0 a W 9 u P j x T d G F i b G V F b n R y a W V z L z 4 8 L 0 l 0 Z W 0 + P E l 0 Z W 0 + P E l 0 Z W 1 M b 2 N h d G l v b j 4 8 S X R l b V R 5 c G U + R m 9 y b X V s Y T w v S X R l b V R 5 c G U + P E l 0 Z W 1 Q Y X R o P l N l Y 3 R p b 2 4 x L 0 V S U k 9 S S S U y M C g y K S 9 G a W x l J T I w b m F z Y 2 9 z d G k l M j B m a W x 0 c m F 0 a T E 8 L 0 l 0 Z W 1 Q Y X R o P j w v S X R l b U x v Y 2 F 0 a W 9 u P j x T d G F i b G V F b n R y a W V z L z 4 8 L 0 l 0 Z W 0 + P E l 0 Z W 0 + P E l 0 Z W 1 M b 2 N h d G l v b j 4 8 S X R l b V R 5 c G U + R m 9 y b X V s Y T w v S X R l b V R 5 c G U + P E l 0 Z W 1 Q Y X R o P l N l Y 3 R p b 2 4 x L 0 V S U k 9 S S S U y M C g y K S 9 S a W N o a W F t Y S U y M G Z 1 b n p p b 2 5 l J T I w c G V y c 2 9 u Y W x p e n p h d G E x P C 9 J d G V t U G F 0 a D 4 8 L 0 l 0 Z W 1 M b 2 N h d G l v b j 4 8 U 3 R h Y m x l R W 5 0 c m l l c y 8 + P C 9 J d G V t P j x J d G V t P j x J d G V t T G 9 j Y X R p b 2 4 + P E l 0 Z W 1 U e X B l P k Z v c m 1 1 b G E 8 L 0 l 0 Z W 1 U e X B l P j x J d G V t U G F 0 a D 5 T Z W N 0 a W 9 u M S 9 F U l J P U k k l M j A o M i k v U m l u b 2 1 p b m F 0 Z S U y M G N v b G 9 u b m U x P C 9 J d G V t U G F 0 a D 4 8 L 0 l 0 Z W 1 M b 2 N h d G l v b j 4 8 U 3 R h Y m x l R W 5 0 c m l l c y 8 + P C 9 J d G V t P j x J d G V t P j x J d G V t T G 9 j Y X R p b 2 4 + P E l 0 Z W 1 U e X B l P k Z v c m 1 1 b G E 8 L 0 l 0 Z W 1 U e X B l P j x J d G V t U G F 0 a D 5 T Z W N 0 a W 9 u M S 9 F U l J P U k k l M j A o M i k v U m l t b 3 N z Z S U y M G F s d H J l J T I w Y 2 9 s b 2 5 u Z T E 8 L 0 l 0 Z W 1 Q Y X R o P j w v S X R l b U x v Y 2 F 0 a W 9 u P j x T d G F i b G V F b n R y a W V z L z 4 8 L 0 l 0 Z W 0 + P E l 0 Z W 0 + P E l 0 Z W 1 M b 2 N h d G l v b j 4 8 S X R l b V R 5 c G U + R m 9 y b X V s Y T w v S X R l b V R 5 c G U + P E l 0 Z W 1 Q Y X R o P l N l Y 3 R p b 2 4 x L 0 V S U k 9 S S S U y M C g y K S 9 F c 3 B h b n N h J T I w Y 2 9 s b 2 5 u Y S U y M H R h Y m x l M T w v S X R l b V B h d G g + P C 9 J d G V t T G 9 j Y X R p b 2 4 + P F N 0 Y W J s Z U V u d H J p Z X M v P j w v S X R l b T 4 8 S X R l b T 4 8 S X R l b U x v Y 2 F 0 a W 9 u P j x J d G V t V H l w Z T 5 G b 3 J t d W x h P C 9 J d G V t V H l w Z T 4 8 S X R l b V B h d G g + U 2 V j d G l v b j E v V H J h c 2 Z v c m 1 h J T I w Z m l s Z S U y M G R p J T I w Z X N l b X B p b y U y M G R h J T I w R V J S T 1 J J J T I w K D I p L 0 N v b n Z l c n N p b 2 5 l J T I w a W 4 l M j B 0 Y W J l b G x h M T w v S X R l b V B h d G g + P C 9 J d G V t T G 9 j Y X R p b 2 4 + P F N 0 Y W J s Z U V u d H J p Z X M v P j w v S X R l b T 4 8 S X R l b T 4 8 S X R l b U x v Y 2 F 0 a W 9 u P j x J d G V t V H l w Z T 5 G b 3 J t d W x h P C 9 J d G V t V H l w Z T 4 8 S X R l b V B h d G g + U 2 V j d G l v b j E v R V J S T 1 J J J T I w K D I p L 0 1 v Z G l m a W N h d G 8 l M j B 0 a X B v P C 9 J d G V t U G F 0 a D 4 8 L 0 l 0 Z W 1 M b 2 N h d G l v b j 4 8 U 3 R h Y m x l R W 5 0 c m l l c y 8 + P C 9 J d G V t P j x J d G V t P j x J d G V t T G 9 j Y X R p b 2 4 + P E l 0 Z W 1 U e X B l P k Z v c m 1 1 b G E 8 L 0 l 0 Z W 1 U e X B l P j x J d G V t U G F 0 a D 5 T Z W N 0 a W 9 u M S 9 F U l J P U k k l M j A o M i k v R m l s d H J h d G U l M j B y a W d o Z T w v S X R l b V B h d G g + P C 9 J d G V t T G 9 j Y X R p b 2 4 + P F N 0 Y W J s Z U V u d H J p Z X M v P j w v S X R l b T 4 8 S X R l b T 4 8 S X R l b U x v Y 2 F 0 a W 9 u P j x J d G V t V H l w Z T 5 G b 3 J t d W x h P C 9 J d G V t V H l w Z T 4 8 S X R l b V B h d G g + U 2 V j d G l v b j E v R V J S T 1 J J J T I w K D I p L 1 R h Y m V s b G E l M j B W Y W x 1 Z S U y M G V z c G F u c 2 E 8 L 0 l 0 Z W 1 Q Y X R o P j w v S X R l b U x v Y 2 F 0 a W 9 u P j x T d G F i b G V F b n R y a W V z L z 4 8 L 0 l 0 Z W 0 + P E l 0 Z W 0 + P E l 0 Z W 1 M b 2 N h d G l v b j 4 8 S X R l b V R 5 c G U + R m 9 y b X V s Y T w v S X R l b V R 5 c G U + P E l 0 Z W 1 Q Y X R o P l N l Y 3 R p b 2 4 x L 0 V S U k 9 S S S U y M C g y K S 9 U Y W J l b G x h J T I w V m F s d W U l M j B l c 3 B h b n N h M T w v S X R l b V B h d G g + P C 9 J d G V t T G 9 j Y X R p b 2 4 + P F N 0 Y W J s Z U V u d H J p Z X M v P j w v S X R l b T 4 8 S X R l b T 4 8 S X R l b U x v Y 2 F 0 a W 9 u P j x J d G V t V H l w Z T 5 G b 3 J t d W x h P C 9 J d G V t V H l w Z T 4 8 S X R l b V B h d G g + U 2 V j d G l v b j E v R V J S T 1 J J J T I w K D M p L 0 9 y a W d p b m U 8 L 0 l 0 Z W 1 Q Y X R o P j w v S X R l b U x v Y 2 F 0 a W 9 u P j x T d G F i b G V F b n R y a W V z L z 4 8 L 0 l 0 Z W 0 + P E l 0 Z W 0 + P E l 0 Z W 1 M b 2 N h d G l v b j 4 8 S X R l b V R 5 c G U + R m 9 y b X V s Y T w v S X R l b V R 5 c G U + P E l 0 Z W 1 Q Y X R o P l N l Y 3 R p b 2 4 x L 0 Z p b G U l M j B k a S U y M G V z Z W 1 w a W 8 l M j A o M y k v T 3 J p Z 2 l u Z T w v S X R l b V B h d G g + P C 9 J d G V t T G 9 j Y X R p b 2 4 + P F N 0 Y W J s Z U V u d H J p Z X M v P j w v S X R l b T 4 8 S X R l b T 4 8 S X R l b U x v Y 2 F 0 a W 9 u P j x J d G V t V H l w Z T 5 G b 3 J t d W x h P C 9 J d G V t V H l w Z T 4 8 S X R l b V B h d G g + U 2 V j d G l v b j E v R m l s Z S U y M G R p J T I w Z X N l b X B p b y U y M C g z K S 9 O Y X Z p Z 2 F 6 a W 9 u Z T E 8 L 0 l 0 Z W 1 Q Y X R o P j w v S X R l b U x v Y 2 F 0 a W 9 u P j x T d G F i b G V F b n R y a W V z L z 4 8 L 0 l 0 Z W 0 + P E l 0 Z W 0 + P E l 0 Z W 1 M b 2 N h d G l v b j 4 8 S X R l b V R 5 c G U + R m 9 y b X V s Y T w v S X R l b V R 5 c G U + P E l 0 Z W 1 Q Y X R o P l N l Y 3 R p b 2 4 x L 1 R y Y X N m b 3 J t Y S U y M G Z p b G U l M j B k a S U y M G V z Z W 1 w a W 8 l M j B k Y S U y M E V S U k 9 S S S U y M C g z K S 9 P c m l n a W 5 l P C 9 J d G V t U G F 0 a D 4 8 L 0 l 0 Z W 1 M b 2 N h d G l v b j 4 8 U 3 R h Y m x l R W 5 0 c m l l c y 8 + P C 9 J d G V t P j x J d G V t P j x J d G V t T G 9 j Y X R p b 2 4 + P E l 0 Z W 1 U e X B l P k Z v c m 1 1 b G E 8 L 0 l 0 Z W 1 U e X B l P j x J d G V t U G F 0 a D 5 T Z W N 0 a W 9 u M S 9 U c m F z Z m 9 y b W E l M j B m a W x l J T I w Z G E l M j B F U l J P U k k l M j A o M y k v T 3 J p Z 2 l u Z T w v S X R l b V B h d G g + P C 9 J d G V t T G 9 j Y X R p b 2 4 + P F N 0 Y W J s Z U V u d H J p Z X M v P j w v S X R l b T 4 8 S X R l b T 4 8 S X R l b U x v Y 2 F 0 a W 9 u P j x J d G V t V H l w Z T 5 G b 3 J t d W x h P C 9 J d G V t V H l w Z T 4 8 S X R l b V B h d G g + U 2 V j d G l v b j E v R V J S T 1 J J J T I w K D M p L 0 Z p b G U l M j B u Y X N j b 3 N 0 a S U y M G Z p b H R y Y X R p M T w v S X R l b V B h d G g + P C 9 J d G V t T G 9 j Y X R p b 2 4 + P F N 0 Y W J s Z U V u d H J p Z X M v P j w v S X R l b T 4 8 S X R l b T 4 8 S X R l b U x v Y 2 F 0 a W 9 u P j x J d G V t V H l w Z T 5 G b 3 J t d W x h P C 9 J d G V t V H l w Z T 4 8 S X R l b V B h d G g + U 2 V j d G l v b j E v R V J S T 1 J J J T I w K D M p L 1 J p Y 2 h p Y W 1 h J T I w Z n V u e m l v b m U l M j B w Z X J z b 2 5 h b G l 6 e m F 0 Y T E 8 L 0 l 0 Z W 1 Q Y X R o P j w v S X R l b U x v Y 2 F 0 a W 9 u P j x T d G F i b G V F b n R y a W V z L z 4 8 L 0 l 0 Z W 0 + P E l 0 Z W 0 + P E l 0 Z W 1 M b 2 N h d G l v b j 4 8 S X R l b V R 5 c G U + R m 9 y b X V s Y T w v S X R l b V R 5 c G U + P E l 0 Z W 1 Q Y X R o P l N l Y 3 R p b 2 4 x L 0 V S U k 9 S S S U y M C g z K S 9 S a W 5 v b W l u Y X R l J T I w Y 2 9 s b 2 5 u Z T E 8 L 0 l 0 Z W 1 Q Y X R o P j w v S X R l b U x v Y 2 F 0 a W 9 u P j x T d G F i b G V F b n R y a W V z L z 4 8 L 0 l 0 Z W 0 + P E l 0 Z W 0 + P E l 0 Z W 1 M b 2 N h d G l v b j 4 8 S X R l b V R 5 c G U + R m 9 y b X V s Y T w v S X R l b V R 5 c G U + P E l 0 Z W 1 Q Y X R o P l N l Y 3 R p b 2 4 x L 0 V S U k 9 S S S U y M C g z K S 9 S a W 1 v c 3 N l J T I w Y W x 0 c m U l M j B j b 2 x v b m 5 l M T w v S X R l b V B h d G g + P C 9 J d G V t T G 9 j Y X R p b 2 4 + P F N 0 Y W J s Z U V u d H J p Z X M v P j w v S X R l b T 4 8 S X R l b T 4 8 S X R l b U x v Y 2 F 0 a W 9 u P j x J d G V t V H l w Z T 5 G b 3 J t d W x h P C 9 J d G V t V H l w Z T 4 8 S X R l b V B h d G g + U 2 V j d G l v b j E v R V J S T 1 J J J T I w K D M p L 0 V z c G F u c 2 E l M j B j b 2 x v b m 5 h J T I w d G F i b G U x P C 9 J d G V t U G F 0 a D 4 8 L 0 l 0 Z W 1 M b 2 N h d G l v b j 4 8 U 3 R h Y m x l R W 5 0 c m l l c y 8 + P C 9 J d G V t P j x J d G V t P j x J d G V t T G 9 j Y X R p b 2 4 + P E l 0 Z W 1 U e X B l P k Z v c m 1 1 b G E 8 L 0 l 0 Z W 1 U e X B l P j x J d G V t U G F 0 a D 5 T Z W N 0 a W 9 u M S 9 U c m F z Z m 9 y b W E l M j B m a W x l J T I w Z G k l M j B l c 2 V t c G l v J T I w Z G E l M j B F U l J P U k k l M j A o M y k v Q 2 9 u d m V y c 2 l v b m U l M j B p b i U y M H R h Y m V s b G E x P C 9 J d G V t U G F 0 a D 4 8 L 0 l 0 Z W 1 M b 2 N h d G l v b j 4 8 U 3 R h Y m x l R W 5 0 c m l l c y 8 + P C 9 J d G V t P j x J d G V t P j x J d G V t T G 9 j Y X R p b 2 4 + P E l 0 Z W 1 U e X B l P k Z v c m 1 1 b G E 8 L 0 l 0 Z W 1 U e X B l P j x J d G V t U G F 0 a D 5 T Z W N 0 a W 9 u M S 9 F U l J P U k k l M j A o M y k v T W 9 k a W Z p Y 2 F 0 b y U y M H R p c G 8 8 L 0 l 0 Z W 1 Q Y X R o P j w v S X R l b U x v Y 2 F 0 a W 9 u P j x T d G F i b G V F b n R y a W V z L z 4 8 L 0 l 0 Z W 0 + P E l 0 Z W 0 + P E l 0 Z W 1 M b 2 N h d G l v b j 4 8 S X R l b V R 5 c G U + R m 9 y b X V s Y T w v S X R l b V R 5 c G U + P E l 0 Z W 1 Q Y X R o P l N l Y 3 R p b 2 4 x L 0 V S U k 9 S S S U y M C g z K S 9 G a W x 0 c m F 0 Z S U y M H J p Z 2 h l P C 9 J d G V t U G F 0 a D 4 8 L 0 l 0 Z W 1 M b 2 N h d G l v b j 4 8 U 3 R h Y m x l R W 5 0 c m l l c y 8 + P C 9 J d G V t P j x J d G V t P j x J d G V t T G 9 j Y X R p b 2 4 + P E l 0 Z W 1 U e X B l P k Z v c m 1 1 b G E 8 L 0 l 0 Z W 1 U e X B l P j x J d G V t U G F 0 a D 5 T Z W N 0 a W 9 u M S 9 F U l J P U k k l M j A o M y k v U 3 V k Z G l 2 a W R p J T I w Y 2 9 s b 2 5 u Y S U y M G l u J T I w Y m F z Z S U y M G F s J T I w Z G V s a W 1 p d G F 0 b 3 J l P C 9 J d G V t U G F 0 a D 4 8 L 0 l 0 Z W 1 M b 2 N h d G l v b j 4 8 U 3 R h Y m x l R W 5 0 c m l l c y 8 + P C 9 J d G V t P j x J d G V t P j x J d G V t T G 9 j Y X R p b 2 4 + P E l 0 Z W 1 U e X B l P k Z v c m 1 1 b G E 8 L 0 l 0 Z W 1 U e X B l P j x J d G V t U G F 0 a D 5 T Z W N 0 a W 9 u M S 9 F U l J P U k k l M j A o M y k v T W 9 k a W Z p Y 2 F 0 b y U y M H R p c G 8 x P C 9 J d G V t U G F 0 a D 4 8 L 0 l 0 Z W 1 M b 2 N h d G l v b j 4 8 U 3 R h Y m x l R W 5 0 c m l l c y 8 + P C 9 J d G V t P j x J d G V t P j x J d G V t T G 9 j Y X R p b 2 4 + P E l 0 Z W 1 U e X B l P k Z v c m 1 1 b G E 8 L 0 l 0 Z W 1 U e X B l P j x J d G V t U G F 0 a D 5 T Z W N 0 a W 9 u M S 9 F U l J P U k k l M j A o M y k v U m l t b 3 N z Z S U y M G N v b G 9 u b m U 8 L 0 l 0 Z W 1 Q Y X R o P j w v S X R l b U x v Y 2 F 0 a W 9 u P j x T d G F i b G V F b n R y a W V z L z 4 8 L 0 l 0 Z W 0 + P E l 0 Z W 0 + P E l 0 Z W 1 M b 2 N h d G l v b j 4 8 S X R l b V R 5 c G U + R m 9 y b X V s Y T w v S X R l b V R 5 c G U + P E l 0 Z W 1 Q Y X R o P l N l Y 3 R p b 2 4 x L 0 V S U k 9 S S S U y M C g z K S 9 T d W R k a X Z p Z G k l M j B j b 2 x v b m 5 h J T I w a W 4 l M j B i Y X N l J T I w Y W w l M j B k Z W x p b W l 0 Y X R v c m U x P C 9 J d G V t U G F 0 a D 4 8 L 0 l 0 Z W 1 M b 2 N h d G l v b j 4 8 U 3 R h Y m x l R W 5 0 c m l l c y 8 + P C 9 J d G V t P j x J d G V t P j x J d G V t T G 9 j Y X R p b 2 4 + P E l 0 Z W 1 U e X B l P k Z v c m 1 1 b G E 8 L 0 l 0 Z W 1 U e X B l P j x J d G V t U G F 0 a D 5 T Z W N 0 a W 9 u M S 9 F U l J P U k k l M j A o M y k v T W 9 k a W Z p Y 2 F 0 b y U y M H R p c G 8 y P C 9 J d G V t U G F 0 a D 4 8 L 0 l 0 Z W 1 M b 2 N h d G l v b j 4 8 U 3 R h Y m x l R W 5 0 c m l l c y 8 + P C 9 J d G V t P j x J d G V t P j x J d G V t T G 9 j Y X R p b 2 4 + P E l 0 Z W 1 U e X B l P k Z v c m 1 1 b G E 8 L 0 l 0 Z W 1 U e X B l P j x J d G V t U G F 0 a D 5 T Z W N 0 a W 9 u M S 9 F U l J P U k k l M j A o M y k v U m l t b 3 N z Z S U y M G N v b G 9 u b m U x P C 9 J d G V t U G F 0 a D 4 8 L 0 l 0 Z W 1 M b 2 N h d G l v b j 4 8 U 3 R h Y m x l R W 5 0 c m l l c y 8 + P C 9 J d G V t P j x J d G V t P j x J d G V t T G 9 j Y X R p b 2 4 + P E l 0 Z W 1 U e X B l P k Z v c m 1 1 b G E 8 L 0 l 0 Z W 1 U e X B l P j x J d G V t U G F 0 a D 5 T Z W N 0 a W 9 u M S 9 F U l J P U k k l M j A o M y k v V G F i Z W x s Y S U y M F Z h b H V l J T I w Z X N w Y W 5 z Y T w v S X R l b V B h d G g + P C 9 J d G V t T G 9 j Y X R p b 2 4 + P F N 0 Y W J s Z U V u d H J p Z X M v P j w v S X R l b T 4 8 S X R l b T 4 8 S X R l b U x v Y 2 F 0 a W 9 u P j x J d G V t V H l w Z T 5 G b 3 J t d W x h P C 9 J d G V t V H l w Z T 4 8 S X R l b V B h d G g + U 2 V j d G l v b j E v R V J S T 1 J J J T I w K D M p L 1 R h Y m V s b G E l M j B W Y W x 1 Z S U y M G V z c G F u c 2 E x P C 9 J d G V t U G F 0 a D 4 8 L 0 l 0 Z W 1 M b 2 N h d G l v b j 4 8 U 3 R h Y m x l R W 5 0 c m l l c y 8 + P C 9 J d G V t P j x J d G V t P j x J d G V t T G 9 j Y X R p b 2 4 + P E l 0 Z W 1 U e X B l P k Z v c m 1 1 b G E 8 L 0 l 0 Z W 1 U e X B l P j x J d G V t U G F 0 a D 5 T Z W N 0 a W 9 u M S 9 S Z W 5 k a W N v b n R p Q 2 9 u d m F s a W R h d G l C T C 9 P c m l n a W 5 l P C 9 J d G V t U G F 0 a D 4 8 L 0 l 0 Z W 1 M b 2 N h d G l v b j 4 8 U 3 R h Y m x l R W 5 0 c m l l c y 8 + P C 9 J d G V t P j x J d G V t P j x J d G V t T G 9 j Y X R p b 2 4 + P E l 0 Z W 1 U e X B l P k Z v c m 1 1 b G E 8 L 0 l 0 Z W 1 U e X B l P j x J d G V t U G F 0 a D 5 T Z W N 0 a W 9 u M S 9 G a W x l J T I w Z G k l M j B l c 2 V t c G l v J T I w K D Q p L 0 9 y a W d p b m U 8 L 0 l 0 Z W 1 Q Y X R o P j w v S X R l b U x v Y 2 F 0 a W 9 u P j x T d G F i b G V F b n R y a W V z L z 4 8 L 0 l 0 Z W 0 + P E l 0 Z W 0 + P E l 0 Z W 1 M b 2 N h d G l v b j 4 8 S X R l b V R 5 c G U + R m 9 y b X V s Y T w v S X R l b V R 5 c G U + P E l 0 Z W 1 Q Y X R o P l N l Y 3 R p b 2 4 x L 0 Z p b G U l M j B k a S U y M G V z Z W 1 w a W 8 l M j A o N C k v T m F 2 a W d h e m l v b m U x P C 9 J d G V t U G F 0 a D 4 8 L 0 l 0 Z W 1 M b 2 N h d G l v b j 4 8 U 3 R h Y m x l R W 5 0 c m l l c y 8 + P C 9 J d G V t P j x J d G V t P j x J d G V t T G 9 j Y X R p b 2 4 + P E l 0 Z W 1 U e X B l P k Z v c m 1 1 b G E 8 L 0 l 0 Z W 1 U e X B l P j x J d G V t U G F 0 a D 5 T Z W N 0 a W 9 u M S 9 U c m F z Z m 9 y b W E l M j B m a W x l J T I w Z G k l M j B l c 2 V t c G l v J T I w Z G E l M j B S Z W 5 k a W N v b n R p Q 2 9 u d m F s a W R h d G l C T C 9 P c m l n a W 5 l P C 9 J d G V t U G F 0 a D 4 8 L 0 l 0 Z W 1 M b 2 N h d G l v b j 4 8 U 3 R h Y m x l R W 5 0 c m l l c y 8 + P C 9 J d G V t P j x J d G V t P j x J d G V t T G 9 j Y X R p b 2 4 + P E l 0 Z W 1 U e X B l P k Z v c m 1 1 b G E 8 L 0 l 0 Z W 1 U e X B l P j x J d G V t U G F 0 a D 5 T Z W N 0 a W 9 u M S 9 U c m F z Z m 9 y b W E l M j B m a W x l J T I w Z G E l M j B S Z W 5 k a W N v b n R p Q 2 9 u d m F s a W R h d G l C T C 9 P c m l n a W 5 l P C 9 J d G V t U G F 0 a D 4 8 L 0 l 0 Z W 1 M b 2 N h d G l v b j 4 8 U 3 R h Y m x l R W 5 0 c m l l c y 8 + P C 9 J d G V t P j x J d G V t P j x J d G V t T G 9 j Y X R p b 2 4 + P E l 0 Z W 1 U e X B l P k Z v c m 1 1 b G E 8 L 0 l 0 Z W 1 U e X B l P j x J d G V t U G F 0 a D 5 T Z W N 0 a W 9 u M S 9 S Z W 5 k a W N v b n R p Q 2 9 u d m F s a W R h d G l C T C 9 G a W x l J T I w b m F z Y 2 9 z d G k l M j B m a W x 0 c m F 0 a T E 8 L 0 l 0 Z W 1 Q Y X R o P j w v S X R l b U x v Y 2 F 0 a W 9 u P j x T d G F i b G V F b n R y a W V z L z 4 8 L 0 l 0 Z W 0 + P E l 0 Z W 0 + P E l 0 Z W 1 M b 2 N h d G l v b j 4 8 S X R l b V R 5 c G U + R m 9 y b X V s Y T w v S X R l b V R 5 c G U + P E l 0 Z W 1 Q Y X R o P l N l Y 3 R p b 2 4 x L 1 J l b m R p Y 2 9 u d G l D b 2 5 2 Y W x p Z G F 0 a U J M L 1 J p Y 2 h p Y W 1 h J T I w Z n V u e m l v b m U l M j B w Z X J z b 2 5 h b G l 6 e m F 0 Y T E 8 L 0 l 0 Z W 1 Q Y X R o P j w v S X R l b U x v Y 2 F 0 a W 9 u P j x T d G F i b G V F b n R y a W V z L z 4 8 L 0 l 0 Z W 0 + P E l 0 Z W 0 + P E l 0 Z W 1 M b 2 N h d G l v b j 4 8 S X R l b V R 5 c G U + R m 9 y b X V s Y T w v S X R l b V R 5 c G U + P E l 0 Z W 1 Q Y X R o P l N l Y 3 R p b 2 4 x L 1 J l b m R p Y 2 9 u d G l D b 2 5 2 Y W x p Z G F 0 a U J M L 1 J p b m 9 t a W 5 h d G U l M j B j b 2 x v b m 5 l M T w v S X R l b V B h d G g + P C 9 J d G V t T G 9 j Y X R p b 2 4 + P F N 0 Y W J s Z U V u d H J p Z X M v P j w v S X R l b T 4 8 S X R l b T 4 8 S X R l b U x v Y 2 F 0 a W 9 u P j x J d G V t V H l w Z T 5 G b 3 J t d W x h P C 9 J d G V t V H l w Z T 4 8 S X R l b V B h d G g + U 2 V j d G l v b j E v U m V u Z G l j b 2 5 0 a U N v b n Z h b G l k Y X R p Q k w v U m l t b 3 N z Z S U y M G F s d H J l J T I w Y 2 9 s b 2 5 u Z T E 8 L 0 l 0 Z W 1 Q Y X R o P j w v S X R l b U x v Y 2 F 0 a W 9 u P j x T d G F i b G V F b n R y a W V z L z 4 8 L 0 l 0 Z W 0 + P E l 0 Z W 0 + P E l 0 Z W 1 M b 2 N h d G l v b j 4 8 S X R l b V R 5 c G U + R m 9 y b X V s Y T w v S X R l b V R 5 c G U + P E l 0 Z W 1 Q Y X R o P l N l Y 3 R p b 2 4 x L 1 J l b m R p Y 2 9 u d G l D b 2 5 2 Y W x p Z G F 0 a U J M L 0 V z c G F u c 2 E l M j B j b 2 x v b m 5 h J T I w d G F i b G U x P C 9 J d G V t U G F 0 a D 4 8 L 0 l 0 Z W 1 M b 2 N h d G l v b j 4 8 U 3 R h Y m x l R W 5 0 c m l l c y 8 + P C 9 J d G V t P j x J d G V t P j x J d G V t T G 9 j Y X R p b 2 4 + P E l 0 Z W 1 U e X B l P k Z v c m 1 1 b G E 8 L 0 l 0 Z W 1 U e X B l P j x J d G V t U G F 0 a D 5 T Z W N 0 a W 9 u M S 9 U c m F z Z m 9 y b W E l M j B m a W x l J T I w Z G k l M j B l c 2 V t c G l v J T I w Z G E l M j B S Z W 5 k a W N v b n R p Q 2 9 u d m F s a W R h d G l C T C 9 D b 2 5 2 Z X J z a W 9 u Z S U y M G l u J T I w d G F i Z W x s Y T E 8 L 0 l 0 Z W 1 Q Y X R o P j w v S X R l b U x v Y 2 F 0 a W 9 u P j x T d G F i b G V F b n R y a W V z L z 4 8 L 0 l 0 Z W 0 + P E l 0 Z W 0 + P E l 0 Z W 1 M b 2 N h d G l v b j 4 8 S X R l b V R 5 c G U + R m 9 y b X V s Y T w v S X R l b V R 5 c G U + P E l 0 Z W 1 Q Y X R o P l N l Y 3 R p b 2 4 x L 1 J l b m R p Y 2 9 u d G l D b 2 5 2 Y W x p Z G F 0 a U J M L 0 1 v Z G l m a W N h d G 8 l M j B 0 a X B v P C 9 J d G V t U G F 0 a D 4 8 L 0 l 0 Z W 1 M b 2 N h d G l v b j 4 8 U 3 R h Y m x l R W 5 0 c m l l c y 8 + P C 9 J d G V t P j x J d G V t P j x J d G V t T G 9 j Y X R p b 2 4 + P E l 0 Z W 1 U e X B l P k Z v c m 1 1 b G E 8 L 0 l 0 Z W 1 U e X B l P j x J d G V t U G F 0 a D 5 T Z W N 0 a W 9 u M S 9 S Z W 5 k a W N v b n R p Q 2 9 u d m F s a W R h d G l C T C 9 T d W R k a X Z p Z G k l M j B j b 2 x v b m 5 h J T I w a W 4 l M j B i Y X N l J T I w Y W w l M j B k Z W x p b W l 0 Y X R v c m U 8 L 0 l 0 Z W 1 Q Y X R o P j w v S X R l b U x v Y 2 F 0 a W 9 u P j x T d G F i b G V F b n R y a W V z L z 4 8 L 0 l 0 Z W 0 + P E l 0 Z W 0 + P E l 0 Z W 1 M b 2 N h d G l v b j 4 8 S X R l b V R 5 c G U + R m 9 y b X V s Y T w v S X R l b V R 5 c G U + P E l 0 Z W 1 Q Y X R o P l N l Y 3 R p b 2 4 x L 1 J l b m R p Y 2 9 u d G l D b 2 5 2 Y W x p Z G F 0 a U J M L 0 1 v Z G l m a W N h d G 8 l M j B 0 a X B v M T w v S X R l b V B h d G g + P C 9 J d G V t T G 9 j Y X R p b 2 4 + P F N 0 Y W J s Z U V u d H J p Z X M v P j w v S X R l b T 4 8 S X R l b T 4 8 S X R l b U x v Y 2 F 0 a W 9 u P j x J d G V t V H l w Z T 5 G b 3 J t d W x h P C 9 J d G V t V H l w Z T 4 8 S X R l b V B h d G g + U 2 V j d G l v b j E v U m V u Z G l j b 2 5 0 a U N v b n Z h b G l k Y X R p Q k w v U m l t b 3 N z Z S U y M G N v b G 9 u b m U 8 L 0 l 0 Z W 1 Q Y X R o P j w v S X R l b U x v Y 2 F 0 a W 9 u P j x T d G F i b G V F b n R y a W V z L z 4 8 L 0 l 0 Z W 0 + P E l 0 Z W 0 + P E l 0 Z W 1 M b 2 N h d G l v b j 4 8 S X R l b V R 5 c G U + R m 9 y b X V s Y T w v S X R l b V R 5 c G U + P E l 0 Z W 1 Q Y X R o P l N l Y 3 R p b 2 4 x L 1 J l b m R p Y 2 9 u d G l D b 2 5 2 Y W x p Z G F 0 a U J M L 1 N 1 Z G R p d m l k a S U y M G N v b G 9 u b m E l M j B p b i U y M G J h c 2 U l M j B h b C U y M G R l b G l t a X R h d G 9 y Z T E 8 L 0 l 0 Z W 1 Q Y X R o P j w v S X R l b U x v Y 2 F 0 a W 9 u P j x T d G F i b G V F b n R y a W V z L z 4 8 L 0 l 0 Z W 0 + P E l 0 Z W 0 + P E l 0 Z W 1 M b 2 N h d G l v b j 4 8 S X R l b V R 5 c G U + R m 9 y b X V s Y T w v S X R l b V R 5 c G U + P E l 0 Z W 1 Q Y X R o P l N l Y 3 R p b 2 4 x L 1 J l b m R p Y 2 9 u d G l D b 2 5 2 Y W x p Z G F 0 a U J M L 0 1 v Z G l m a W N h d G 8 l M j B 0 a X B v M j w v S X R l b V B h d G g + P C 9 J d G V t T G 9 j Y X R p b 2 4 + P F N 0 Y W J s Z U V u d H J p Z X M v P j w v S X R l b T 4 8 S X R l b T 4 8 S X R l b U x v Y 2 F 0 a W 9 u P j x J d G V t V H l w Z T 5 G b 3 J t d W x h P C 9 J d G V t V H l w Z T 4 8 S X R l b V B h d G g + U 2 V j d G l v b j E v U m V u Z G l j b 2 5 0 a U N v b n Z h b G l k Y X R p Q k w v U m l t b 3 N z Z S U y M G N v b G 9 u b m U x P C 9 J d G V t U G F 0 a D 4 8 L 0 l 0 Z W 1 M b 2 N h d G l v b j 4 8 U 3 R h Y m x l R W 5 0 c m l l c y 8 + P C 9 J d G V t P j x J d G V t P j x J d G V t T G 9 j Y X R p b 2 4 + P E l 0 Z W 1 U e X B l P k Z v c m 1 1 b G E 8 L 0 l 0 Z W 1 U e X B l P j x J d G V t U G F 0 a D 5 T Z W N 0 a W 9 u M S 9 S Z W 5 k a W N v b n R p Q 2 9 u d m F s a W R h d G l C T C 9 S a W 5 v b W l u Y X R l J T I w Y 2 9 s b 2 5 u Z T w v S X R l b V B h d G g + P C 9 J d G V t T G 9 j Y X R p b 2 4 + P F N 0 Y W J s Z U V u d H J p Z X M v P j w v S X R l b T 4 8 S X R l b T 4 8 S X R l b U x v Y 2 F 0 a W 9 u P j x J d G V t V H l w Z T 5 G b 3 J t d W x h P C 9 J d G V t V H l w Z T 4 8 S X R l b V B h d G g + U 2 V j d G l v b j E v U m V u Z G l j b 2 5 0 a U N v b n Z h b G l k Y X R p Q k w v V G F i Z W x s Y S U y M F Z h b H V l J T I w Z X N w Y W 5 z Y T w v S X R l b V B h d G g + P C 9 J d G V t T G 9 j Y X R p b 2 4 + P F N 0 Y W J s Z U V u d H J p Z X M v P j w v S X R l b T 4 8 S X R l b T 4 8 S X R l b U x v Y 2 F 0 a W 9 u P j x J d G V t V H l w Z T 5 G b 3 J t d W x h P C 9 J d G V t V H l w Z T 4 8 S X R l b V B h d G g + U 2 V j d G l v b j E v U 3 B l c 2 U l M j B T b 3 B z Z X N l L 0 9 y a W d p b m U 8 L 0 l 0 Z W 1 Q Y X R o P j w v S X R l b U x v Y 2 F 0 a W 9 u P j x T d G F i b G V F b n R y a W V z L z 4 8 L 0 l 0 Z W 0 + P E l 0 Z W 0 + P E l 0 Z W 1 M b 2 N h d G l v b j 4 8 S X R l b V R 5 c G U + R m 9 y b X V s Y T w v S X R l b V R 5 c G U + P E l 0 Z W 1 Q Y X R o P l N l Y 3 R p b 2 4 x L 0 Z p b G U l M j B k a S U y M G V z Z W 1 w a W 8 l M j A o N S k v T 3 J p Z 2 l u Z T w v S X R l b V B h d G g + P C 9 J d G V t T G 9 j Y X R p b 2 4 + P F N 0 Y W J s Z U V u d H J p Z X M v P j w v S X R l b T 4 8 S X R l b T 4 8 S X R l b U x v Y 2 F 0 a W 9 u P j x J d G V t V H l w Z T 5 G b 3 J t d W x h P C 9 J d G V t V H l w Z T 4 8 S X R l b V B h d G g + U 2 V j d G l v b j E v R m l s Z S U y M G R p J T I w Z X N l b X B p b y U y M C g 1 K S 9 O Y X Z p Z 2 F 6 a W 9 u Z T E 8 L 0 l 0 Z W 1 Q Y X R o P j w v S X R l b U x v Y 2 F 0 a W 9 u P j x T d G F i b G V F b n R y a W V z L z 4 8 L 0 l 0 Z W 0 + P E l 0 Z W 0 + P E l 0 Z W 1 M b 2 N h d G l v b j 4 8 S X R l b V R 5 c G U + R m 9 y b X V s Y T w v S X R l b V R 5 c G U + P E l 0 Z W 1 Q Y X R o P l N l Y 3 R p b 2 4 x L 1 R y Y X N m b 3 J t Y S U y M G Z p b G U l M j B k a S U y M G V z Z W 1 w a W 8 l M j B k Y S U y M F N w Z X N l J T I w U 2 9 w c 2 V z Z S 9 P c m l n a W 5 l P C 9 J d G V t U G F 0 a D 4 8 L 0 l 0 Z W 1 M b 2 N h d G l v b j 4 8 U 3 R h Y m x l R W 5 0 c m l l c y 8 + P C 9 J d G V t P j x J d G V t P j x J d G V t T G 9 j Y X R p b 2 4 + P E l 0 Z W 1 U e X B l P k Z v c m 1 1 b G E 8 L 0 l 0 Z W 1 U e X B l P j x J d G V t U G F 0 a D 5 T Z W N 0 a W 9 u M S 9 U c m F z Z m 9 y b W E l M j B m a W x l J T I w Z G E l M j B T c G V z Z S U y M F N v c H N l c 2 U v T 3 J p Z 2 l u Z T w v S X R l b V B h d G g + P C 9 J d G V t T G 9 j Y X R p b 2 4 + P F N 0 Y W J s Z U V u d H J p Z X M v P j w v S X R l b T 4 8 S X R l b T 4 8 S X R l b U x v Y 2 F 0 a W 9 u P j x J d G V t V H l w Z T 5 G b 3 J t d W x h P C 9 J d G V t V H l w Z T 4 8 S X R l b V B h d G g + U 2 V j d G l v b j E v U 3 B l c 2 U l M j B T b 3 B z Z X N l L 0 Z p b G U l M j B u Y X N j b 3 N 0 a S U y M G Z p b H R y Y X R p M T w v S X R l b V B h d G g + P C 9 J d G V t T G 9 j Y X R p b 2 4 + P F N 0 Y W J s Z U V u d H J p Z X M v P j w v S X R l b T 4 8 S X R l b T 4 8 S X R l b U x v Y 2 F 0 a W 9 u P j x J d G V t V H l w Z T 5 G b 3 J t d W x h P C 9 J d G V t V H l w Z T 4 8 S X R l b V B h d G g + U 2 V j d G l v b j E v U 3 B l c 2 U l M j B T b 3 B z Z X N l L 1 J p Y 2 h p Y W 1 h J T I w Z n V u e m l v b m U l M j B w Z X J z b 2 5 h b G l 6 e m F 0 Y T E 8 L 0 l 0 Z W 1 Q Y X R o P j w v S X R l b U x v Y 2 F 0 a W 9 u P j x T d G F i b G V F b n R y a W V z L z 4 8 L 0 l 0 Z W 0 + P E l 0 Z W 0 + P E l 0 Z W 1 M b 2 N h d G l v b j 4 8 S X R l b V R 5 c G U + R m 9 y b X V s Y T w v S X R l b V R 5 c G U + P E l 0 Z W 1 Q Y X R o P l N l Y 3 R p b 2 4 x L 1 N w Z X N l J T I w U 2 9 w c 2 V z Z S 9 S a W 5 v b W l u Y X R l J T I w Y 2 9 s b 2 5 u Z T E 8 L 0 l 0 Z W 1 Q Y X R o P j w v S X R l b U x v Y 2 F 0 a W 9 u P j x T d G F i b G V F b n R y a W V z L z 4 8 L 0 l 0 Z W 0 + P E l 0 Z W 0 + P E l 0 Z W 1 M b 2 N h d G l v b j 4 8 S X R l b V R 5 c G U + R m 9 y b X V s Y T w v S X R l b V R 5 c G U + P E l 0 Z W 1 Q Y X R o P l N l Y 3 R p b 2 4 x L 1 N w Z X N l J T I w U 2 9 w c 2 V z Z S 9 S a W 1 v c 3 N l J T I w Y W x 0 c m U l M j B j b 2 x v b m 5 l M T w v S X R l b V B h d G g + P C 9 J d G V t T G 9 j Y X R p b 2 4 + P F N 0 Y W J s Z U V u d H J p Z X M v P j w v S X R l b T 4 8 S X R l b T 4 8 S X R l b U x v Y 2 F 0 a W 9 u P j x J d G V t V H l w Z T 5 G b 3 J t d W x h P C 9 J d G V t V H l w Z T 4 8 S X R l b V B h d G g + U 2 V j d G l v b j E v U 3 B l c 2 U l M j B T b 3 B z Z X N l L 0 V z c G F u c 2 E l M j B j b 2 x v b m 5 h J T I w d G F i b G U x P C 9 J d G V t U G F 0 a D 4 8 L 0 l 0 Z W 1 M b 2 N h d G l v b j 4 8 U 3 R h Y m x l R W 5 0 c m l l c y 8 + P C 9 J d G V t P j x J d G V t P j x J d G V t T G 9 j Y X R p b 2 4 + P E l 0 Z W 1 U e X B l P k Z v c m 1 1 b G E 8 L 0 l 0 Z W 1 U e X B l P j x J d G V t U G F 0 a D 5 T Z W N 0 a W 9 u M S 9 U c m F z Z m 9 y b W E l M j B m a W x l J T I w Z G k l M j B l c 2 V t c G l v J T I w Z G E l M j B T c G V z Z S U y M F N v c H N l c 2 U v Q 2 9 u d m V y c 2 l v b m U l M j B p b i U y M H R h Y m V s b G E x P C 9 J d G V t U G F 0 a D 4 8 L 0 l 0 Z W 1 M b 2 N h d G l v b j 4 8 U 3 R h Y m x l R W 5 0 c m l l c y 8 + P C 9 J d G V t P j x J d G V t P j x J d G V t T G 9 j Y X R p b 2 4 + P E l 0 Z W 1 U e X B l P k Z v c m 1 1 b G E 8 L 0 l 0 Z W 1 U e X B l P j x J d G V t U G F 0 a D 5 T Z W N 0 a W 9 u M S 9 T c G V z Z S U y M F N v c H N l c 2 U v T W 9 k a W Z p Y 2 F 0 b y U y M H R p c G 8 8 L 0 l 0 Z W 1 Q Y X R o P j w v S X R l b U x v Y 2 F 0 a W 9 u P j x T d G F i b G V F b n R y a W V z L z 4 8 L 0 l 0 Z W 0 + P E l 0 Z W 0 + P E l 0 Z W 1 M b 2 N h d G l v b j 4 8 S X R l b V R 5 c G U + R m 9 y b X V s Y T w v S X R l b V R 5 c G U + P E l 0 Z W 1 Q Y X R o P l N l Y 3 R p b 2 4 x L 1 N w Z X N l J T I w U 2 9 w c 2 V z Z S 9 T d W R k a X Z p Z G k l M j B j b 2 x v b m 5 h J T I w a W 4 l M j B i Y X N l J T I w Y W w l M j B k Z W x p b W l 0 Y X R v c m U 8 L 0 l 0 Z W 1 Q Y X R o P j w v S X R l b U x v Y 2 F 0 a W 9 u P j x T d G F i b G V F b n R y a W V z L z 4 8 L 0 l 0 Z W 0 + P E l 0 Z W 0 + P E l 0 Z W 1 M b 2 N h d G l v b j 4 8 S X R l b V R 5 c G U + R m 9 y b X V s Y T w v S X R l b V R 5 c G U + P E l 0 Z W 1 Q Y X R o P l N l Y 3 R p b 2 4 x L 1 N w Z X N l J T I w U 2 9 w c 2 V z Z S 9 N b 2 R p Z m l j Y X R v J T I w d G l w b z E 8 L 0 l 0 Z W 1 Q Y X R o P j w v S X R l b U x v Y 2 F 0 a W 9 u P j x T d G F i b G V F b n R y a W V z L z 4 8 L 0 l 0 Z W 0 + P E l 0 Z W 0 + P E l 0 Z W 1 M b 2 N h d G l v b j 4 8 S X R l b V R 5 c G U + R m 9 y b X V s Y T w v S X R l b V R 5 c G U + P E l 0 Z W 1 Q Y X R o P l N l Y 3 R p b 2 4 x L 1 N w Z X N l J T I w U 2 9 w c 2 V z Z S 9 S a W 1 v c 3 N l J T I w Y 2 9 s b 2 5 u Z T w v S X R l b V B h d G g + P C 9 J d G V t T G 9 j Y X R p b 2 4 + P F N 0 Y W J s Z U V u d H J p Z X M v P j w v S X R l b T 4 8 S X R l b T 4 8 S X R l b U x v Y 2 F 0 a W 9 u P j x J d G V t V H l w Z T 5 G b 3 J t d W x h P C 9 J d G V t V H l w Z T 4 8 S X R l b V B h d G g + U 2 V j d G l v b j E v U 3 B l c 2 U l M j B T b 3 B z Z X N l L 1 N 1 Z G R p d m l k a S U y M G N v b G 9 u b m E l M j B p b i U y M G J h c 2 U l M j B h b C U y M G R l b G l t a X R h d G 9 y Z T E 8 L 0 l 0 Z W 1 Q Y X R o P j w v S X R l b U x v Y 2 F 0 a W 9 u P j x T d G F i b G V F b n R y a W V z L z 4 8 L 0 l 0 Z W 0 + P E l 0 Z W 0 + P E l 0 Z W 1 M b 2 N h d G l v b j 4 8 S X R l b V R 5 c G U + R m 9 y b X V s Y T w v S X R l b V R 5 c G U + P E l 0 Z W 1 Q Y X R o P l N l Y 3 R p b 2 4 x L 1 N w Z X N l J T I w U 2 9 w c 2 V z Z S 9 N b 2 R p Z m l j Y X R v J T I w d G l w b z I 8 L 0 l 0 Z W 1 Q Y X R o P j w v S X R l b U x v Y 2 F 0 a W 9 u P j x T d G F i b G V F b n R y a W V z L z 4 8 L 0 l 0 Z W 0 + P E l 0 Z W 0 + P E l 0 Z W 1 M b 2 N h d G l v b j 4 8 S X R l b V R 5 c G U + R m 9 y b X V s Y T w v S X R l b V R 5 c G U + P E l 0 Z W 1 Q Y X R o P l N l Y 3 R p b 2 4 x L 1 N w Z X N l J T I w U 2 9 w c 2 V z Z S 9 S a W 1 v c 3 N l J T I w Y 2 9 s b 2 5 u Z T E 8 L 0 l 0 Z W 1 Q Y X R o P j w v S X R l b U x v Y 2 F 0 a W 9 u P j x T d G F i b G V F b n R y a W V z L z 4 8 L 0 l 0 Z W 0 + P E l 0 Z W 0 + P E l 0 Z W 1 M b 2 N h d G l v b j 4 8 S X R l b V R 5 c G U + R m 9 y b X V s Y T w v S X R l b V R 5 c G U + P E l 0 Z W 1 Q Y X R o P l N l Y 3 R p b 2 4 x L 1 N w Z X N l J T I w U 2 9 w c 2 V z Z S 9 S a W 5 v b W l u Y X R l J T I w Y 2 9 s b 2 5 u Z T w v S X R l b V B h d G g + P C 9 J d G V t T G 9 j Y X R p b 2 4 + P F N 0 Y W J s Z U V u d H J p Z X M v P j w v S X R l b T 4 8 S X R l b T 4 8 S X R l b U x v Y 2 F 0 a W 9 u P j x J d G V t V H l w Z T 5 G b 3 J t d W x h P C 9 J d G V t V H l w Z T 4 8 S X R l b V B h d G g + U 2 V j d G l v b j E v S V 9 N a W V p X 1 J l b m R p Y 2 9 u d G k v T 3 J p Z 2 l u Z T w v S X R l b V B h d G g + P C 9 J d G V t T G 9 j Y X R p b 2 4 + P F N 0 Y W J s Z U V u d H J p Z X M v P j w v S X R l b T 4 8 S X R l b T 4 8 S X R l b U x v Y 2 F 0 a W 9 u P j x J d G V t V H l w Z T 5 G b 3 J t d W x h P C 9 J d G V t V H l w Z T 4 8 S X R l b V B h d G g + U 2 V j d G l v b j E v S V 9 N a W V p X 1 J l b m R p Y 2 9 u d G k v Y 2 9 u d G V u d D w v S X R l b V B h d G g + P C 9 J d G V t T G 9 j Y X R p b 2 4 + P F N 0 Y W J s Z U V u d H J p Z X M v P j w v S X R l b T 4 8 S X R l b T 4 8 S X R l b U x v Y 2 F 0 a W 9 u P j x J d G V t V H l w Z T 5 G b 3 J t d W x h P C 9 J d G V t V H l w Z T 4 8 S X R l b V B h d G g + U 2 V j d G l v b j E v S V 9 N a W V p X 1 J l b m R p Y 2 9 u d G k v Q 2 9 u d m V y c 2 l v b m U l M j B p b i U y M H R h Y m V s b G E 8 L 0 l 0 Z W 1 Q Y X R o P j w v S X R l b U x v Y 2 F 0 a W 9 u P j x T d G F i b G V F b n R y a W V z L z 4 8 L 0 l 0 Z W 0 + P E l 0 Z W 0 + P E l 0 Z W 1 M b 2 N h d G l v b j 4 8 S X R l b V R 5 c G U + R m 9 y b X V s Y T w v S X R l b V R 5 c G U + P E l 0 Z W 1 Q Y X R o P l N l Y 3 R p b 2 4 x L 0 l f T W l l a V 9 S Z W 5 k a W N v b n R p L 1 R h Y m V s b G E l M j B D b 2 x 1 b W 4 x J T I w Z X N w Y W 5 z Y T w v S X R l b V B h d G g + P C 9 J d G V t T G 9 j Y X R p b 2 4 + P F N 0 Y W J s Z U V u d H J p Z X M v P j w v S X R l b T 4 8 S X R l b T 4 8 S X R l b U x v Y 2 F 0 a W 9 u P j x J d G V t V H l w Z T 5 G b 3 J t d W x h P C 9 J d G V t V H l w Z T 4 8 S X R l b V B h d G g + U 2 V j d G l v b j E v U m V u Z G l j b 2 5 0 a V R y Y X N t Z X N z a U J M L 0 9 y a W d p b m U 8 L 0 l 0 Z W 1 Q Y X R o P j w v S X R l b U x v Y 2 F 0 a W 9 u P j x T d G F i b G V F b n R y a W V z L z 4 8 L 0 l 0 Z W 0 + P E l 0 Z W 0 + P E l 0 Z W 1 M b 2 N h d G l v b j 4 8 S X R l b V R 5 c G U + R m 9 y b X V s Y T w v S X R l b V R 5 c G U + P E l 0 Z W 1 Q Y X R o P l N l Y 3 R p b 2 4 x L 0 Z p b G U l M j B k a S U y M G V z Z W 1 w a W 8 l M j A o N i k v T 3 J p Z 2 l u Z T w v S X R l b V B h d G g + P C 9 J d G V t T G 9 j Y X R p b 2 4 + P F N 0 Y W J s Z U V u d H J p Z X M v P j w v S X R l b T 4 8 S X R l b T 4 8 S X R l b U x v Y 2 F 0 a W 9 u P j x J d G V t V H l w Z T 5 G b 3 J t d W x h P C 9 J d G V t V H l w Z T 4 8 S X R l b V B h d G g + U 2 V j d G l v b j E v R m l s Z S U y M G R p J T I w Z X N l b X B p b y U y M C g 2 K S 9 O Y X Z p Z 2 F 6 a W 9 u Z T E 8 L 0 l 0 Z W 1 Q Y X R o P j w v S X R l b U x v Y 2 F 0 a W 9 u P j x T d G F i b G V F b n R y a W V z L z 4 8 L 0 l 0 Z W 0 + P E l 0 Z W 0 + P E l 0 Z W 1 M b 2 N h d G l v b j 4 8 S X R l b V R 5 c G U + R m 9 y b X V s Y T w v S X R l b V R 5 c G U + P E l 0 Z W 1 Q Y X R o P l N l Y 3 R p b 2 4 x L 1 R y Y X N m b 3 J t Y S U y M G Z p b G U l M j B k a S U y M G V z Z W 1 w a W 8 v T 3 J p Z 2 l u Z T w v S X R l b V B h d G g + P C 9 J d G V t T G 9 j Y X R p b 2 4 + P F N 0 Y W J s Z U V u d H J p Z X M v P j w v S X R l b T 4 8 S X R l b T 4 8 S X R l b U x v Y 2 F 0 a W 9 u P j x J d G V t V H l w Z T 5 G b 3 J t d W x h P C 9 J d G V t V H l w Z T 4 8 S X R l b V B h d G g + U 2 V j d G l v b j E v V H J h c 2 Z v c m 1 h J T I w Z m l s Z S 9 P c m l n a W 5 l P C 9 J d G V t U G F 0 a D 4 8 L 0 l 0 Z W 1 M b 2 N h d G l v b j 4 8 U 3 R h Y m x l R W 5 0 c m l l c y 8 + P C 9 J d G V t P j x J d G V t P j x J d G V t T G 9 j Y X R p b 2 4 + P E l 0 Z W 1 U e X B l P k Z v c m 1 1 b G E 8 L 0 l 0 Z W 1 U e X B l P j x J d G V t U G F 0 a D 5 T Z W N 0 a W 9 u M S 9 S Z W 5 k a W N v b n R p V H J h c 2 1 l c 3 N p Q k w v R m l s Z S U y M G 5 h c 2 N v c 3 R p J T I w Z m l s d H J h d G k x P C 9 J d G V t U G F 0 a D 4 8 L 0 l 0 Z W 1 M b 2 N h d G l v b j 4 8 U 3 R h Y m x l R W 5 0 c m l l c y 8 + P C 9 J d G V t P j x J d G V t P j x J d G V t T G 9 j Y X R p b 2 4 + P E l 0 Z W 1 U e X B l P k Z v c m 1 1 b G E 8 L 0 l 0 Z W 1 U e X B l P j x J d G V t U G F 0 a D 5 T Z W N 0 a W 9 u M S 9 S Z W 5 k a W N v b n R p V H J h c 2 1 l c 3 N p Q k w v U m l j a G l h b W E l M j B m d W 5 6 a W 9 u Z S U y M H B l c n N v b m F s a X p 6 Y X R h M T w v S X R l b V B h d G g + P C 9 J d G V t T G 9 j Y X R p b 2 4 + P F N 0 Y W J s Z U V u d H J p Z X M v P j w v S X R l b T 4 8 S X R l b T 4 8 S X R l b U x v Y 2 F 0 a W 9 u P j x J d G V t V H l w Z T 5 G b 3 J t d W x h P C 9 J d G V t V H l w Z T 4 8 S X R l b V B h d G g + U 2 V j d G l v b j E v U m V u Z G l j b 2 5 0 a V R y Y X N t Z X N z a U J M L 1 J p b m 9 t a W 5 h d G U l M j B j b 2 x v b m 5 l M T w v S X R l b V B h d G g + P C 9 J d G V t T G 9 j Y X R p b 2 4 + P F N 0 Y W J s Z U V u d H J p Z X M v P j w v S X R l b T 4 8 S X R l b T 4 8 S X R l b U x v Y 2 F 0 a W 9 u P j x J d G V t V H l w Z T 5 G b 3 J t d W x h P C 9 J d G V t V H l w Z T 4 8 S X R l b V B h d G g + U 2 V j d G l v b j E v U m V u Z G l j b 2 5 0 a V R y Y X N t Z X N z a U J M L 1 J p b W 9 z c 2 U l M j B h b H R y Z S U y M G N v b G 9 u b m U x P C 9 J d G V t U G F 0 a D 4 8 L 0 l 0 Z W 1 M b 2 N h d G l v b j 4 8 U 3 R h Y m x l R W 5 0 c m l l c y 8 + P C 9 J d G V t P j x J d G V t P j x J d G V t T G 9 j Y X R p b 2 4 + P E l 0 Z W 1 U e X B l P k Z v c m 1 1 b G E 8 L 0 l 0 Z W 1 U e X B l P j x J d G V t U G F 0 a D 5 T Z W N 0 a W 9 u M S 9 S Z W 5 k a W N v b n R p V H J h c 2 1 l c 3 N p Q k w v R X N w Y W 5 z Y S U y M G N v b G 9 u b m E l M j B 0 Y W J s Z T E 8 L 0 l 0 Z W 1 Q Y X R o P j w v S X R l b U x v Y 2 F 0 a W 9 u P j x T d G F i b G V F b n R y a W V z L z 4 8 L 0 l 0 Z W 0 + P E l 0 Z W 0 + P E l 0 Z W 1 M b 2 N h d G l v b j 4 8 S X R l b V R 5 c G U + R m 9 y b X V s Y T w v S X R l b V R 5 c G U + P E l 0 Z W 1 Q Y X R o P l N l Y 3 R p b 2 4 x L 1 R y Y X N m b 3 J t Y S U y M G Z p b G U l M j B k a S U y M G V z Z W 1 w a W 8 v Q 2 9 u d m V y c 2 l v b m U l M j B p b i U y M H R h Y m V s b G E x P C 9 J d G V t U G F 0 a D 4 8 L 0 l 0 Z W 1 M b 2 N h d G l v b j 4 8 U 3 R h Y m x l R W 5 0 c m l l c y 8 + P C 9 J d G V t P j x J d G V t P j x J d G V t T G 9 j Y X R p b 2 4 + P E l 0 Z W 1 U e X B l P k Z v c m 1 1 b G E 8 L 0 l 0 Z W 1 U e X B l P j x J d G V t U G F 0 a D 5 T Z W N 0 a W 9 u M S 9 S Z W 5 k a W N v b n R p V H J h c 2 1 l c 3 N p Q k w v T W 9 k a W Z p Y 2 F 0 b y U y M H R p c G 8 8 L 0 l 0 Z W 1 Q Y X R o P j w v S X R l b U x v Y 2 F 0 a W 9 u P j x T d G F i b G V F b n R y a W V z L z 4 8 L 0 l 0 Z W 0 + P E l 0 Z W 0 + P E l 0 Z W 1 M b 2 N h d G l v b j 4 8 S X R l b V R 5 c G U + R m 9 y b X V s Y T w v S X R l b V R 5 c G U + P E l 0 Z W 1 Q Y X R o P l N l Y 3 R p b 2 4 x L 1 J l b m R p Y 2 9 u d G l U c m F z b W V z c 2 l C T C 9 U Y W J l b G x h J T I w V m F s d W U l M j B l c 3 B h b n N h P C 9 J d G V t U G F 0 a D 4 8 L 0 l 0 Z W 1 M b 2 N h d G l v b j 4 8 U 3 R h Y m x l R W 5 0 c m l l c y 8 + P C 9 J d G V t P j x J d G V t P j x J d G V t T G 9 j Y X R p b 2 4 + P E l 0 Z W 1 U e X B l P k Z v c m 1 1 b G E 8 L 0 l 0 Z W 1 U e X B l P j x J d G V t U G F 0 a D 5 T Z W N 0 a W 9 u M S 9 S Z W 5 k a W N v b n R p V H J h c 2 1 l c 3 N p Q k w v U 3 V k Z G l 2 a W R p J T I w Y 2 9 s b 2 5 u Y S U y M G l u J T I w Y m F z Z S U y M G F s J T I w Z G V s a W 1 p d G F 0 b 3 J l P C 9 J d G V t U G F 0 a D 4 8 L 0 l 0 Z W 1 M b 2 N h d G l v b j 4 8 U 3 R h Y m x l R W 5 0 c m l l c y 8 + P C 9 J d G V t P j x J d G V t P j x J d G V t T G 9 j Y X R p b 2 4 + P E l 0 Z W 1 U e X B l P k Z v c m 1 1 b G E 8 L 0 l 0 Z W 1 U e X B l P j x J d G V t U G F 0 a D 5 T Z W N 0 a W 9 u M S 9 S Z W 5 k a W N v b n R p V H J h c 2 1 l c 3 N p Q k w v T W 9 k a W Z p Y 2 F 0 b y U y M H R p c G 8 x P C 9 J d G V t U G F 0 a D 4 8 L 0 l 0 Z W 1 M b 2 N h d G l v b j 4 8 U 3 R h Y m x l R W 5 0 c m l l c y 8 + P C 9 J d G V t P j x J d G V t P j x J d G V t T G 9 j Y X R p b 2 4 + P E l 0 Z W 1 U e X B l P k Z v c m 1 1 b G E 8 L 0 l 0 Z W 1 U e X B l P j x J d G V t U G F 0 a D 5 T Z W N 0 a W 9 u M S 9 S Z W 5 k a W N v b n R p V H J h c 2 1 l c 3 N p Q k w v U m l t b 3 N z Z S U y M G N v b G 9 u b m U 8 L 0 l 0 Z W 1 Q Y X R o P j w v S X R l b U x v Y 2 F 0 a W 9 u P j x T d G F i b G V F b n R y a W V z L z 4 8 L 0 l 0 Z W 0 + P E l 0 Z W 0 + P E l 0 Z W 1 M b 2 N h d G l v b j 4 8 S X R l b V R 5 c G U + R m 9 y b X V s Y T w v S X R l b V R 5 c G U + P E l 0 Z W 1 Q Y X R o P l N l Y 3 R p b 2 4 x L 1 J l b m R p Y 2 9 u d G l U c m F z b W V z c 2 l C T C 9 T d W R k a X Z p Z G k l M j B j b 2 x v b m 5 h J T I w a W 4 l M j B i Y X N l J T I w Y W w l M j B k Z W x p b W l 0 Y X R v c m U x P C 9 J d G V t U G F 0 a D 4 8 L 0 l 0 Z W 1 M b 2 N h d G l v b j 4 8 U 3 R h Y m x l R W 5 0 c m l l c y 8 + P C 9 J d G V t P j x J d G V t P j x J d G V t T G 9 j Y X R p b 2 4 + P E l 0 Z W 1 U e X B l P k Z v c m 1 1 b G E 8 L 0 l 0 Z W 1 U e X B l P j x J d G V t U G F 0 a D 5 T Z W N 0 a W 9 u M S 9 S Z W 5 k a W N v b n R p V H J h c 2 1 l c 3 N p Q k w v T W 9 k a W Z p Y 2 F 0 b y U y M H R p c G 8 y P C 9 J d G V t U G F 0 a D 4 8 L 0 l 0 Z W 1 M b 2 N h d G l v b j 4 8 U 3 R h Y m x l R W 5 0 c m l l c y 8 + P C 9 J d G V t P j x J d G V t P j x J d G V t T G 9 j Y X R p b 2 4 + P E l 0 Z W 1 U e X B l P k Z v c m 1 1 b G E 8 L 0 l 0 Z W 1 U e X B l P j x J d G V t U G F 0 a D 5 T Z W N 0 a W 9 u M S 9 S Z W 5 k a W N v b n R p V H J h c 2 1 l c 3 N p Q k w v U m l t b 3 N z Z S U y M G N v b G 9 u b m U x P C 9 J d G V t U G F 0 a D 4 8 L 0 l 0 Z W 1 M b 2 N h d G l v b j 4 8 U 3 R h Y m x l R W 5 0 c m l l c y 8 + P C 9 J d G V t P j x J d G V t P j x J d G V t T G 9 j Y X R p b 2 4 + P E l 0 Z W 1 U e X B l P k Z v c m 1 1 b G E 8 L 0 l 0 Z W 1 U e X B l P j x J d G V t U G F 0 a D 5 T Z W N 0 a W 9 u M S 9 S Z W 5 k a W N v b n R p V H J h c 2 1 l c 3 N p Q k w v U m l u b 2 1 p b m F 0 Z S U y M G N v b G 9 u b m U 8 L 0 l 0 Z W 1 Q Y X R o P j w v S X R l b U x v Y 2 F 0 a W 9 u P j x T d G F i b G V F b n R y a W V z L z 4 8 L 0 l 0 Z W 0 + P E l 0 Z W 0 + P E l 0 Z W 1 M b 2 N h d G l v b j 4 8 S X R l b V R 5 c G U + R m 9 y b X V s Y T w v S X R l b V R 5 c G U + P E l 0 Z W 1 Q Y X R o P l N l Y 3 R p b 2 4 x L 1 9 B R F J J T 0 5 D W U N M R V R P V V J f Q l N D J T I w S 3 J h b m p f M T R f M T A x L 0 9 y a W d p b m U 8 L 0 l 0 Z W 1 Q Y X R o P j w v S X R l b U x v Y 2 F 0 a W 9 u P j x T d G F i b G V F b n R y a W V z L z 4 8 L 0 l 0 Z W 0 + P E l 0 Z W 0 + P E l 0 Z W 1 M b 2 N h d G l v b j 4 8 S X R l b V R 5 c G U + R m 9 y b X V s Y T w v S X R l b V R 5 c G U + P E l 0 Z W 1 Q Y X R o P l N l Y 3 R p b 2 4 x L 1 9 B R F J J T 0 5 D W U N M R V R P V V J f Q l N D J T I w S 3 J h b m p f M T R f M T A x L 0 N v b n Z l c n N p b 2 5 l J T I w a W 4 l M j B 0 Y W J l b G x h P C 9 J d G V t U G F 0 a D 4 8 L 0 l 0 Z W 1 M b 2 N h d G l v b j 4 8 U 3 R h Y m x l R W 5 0 c m l l c y 8 + P C 9 J d G V t P j x J d G V t P j x J d G V t T G 9 j Y X R p b 2 4 + P E l 0 Z W 1 U e X B l P k Z v c m 1 1 b G E 8 L 0 l 0 Z W 1 U e X B l P j x J d G V t U G F 0 a D 5 T Z W N 0 a W 9 u M S 9 f Q U R S S U 9 O Q 1 l D T E V U T 1 V S X 0 J T Q y U y M E t y Y W 5 q X z E 0 X z E w M S 9 U Y W J l b G x h J T I w Q 2 9 s d W 1 u M S U y M G V z c G F u c 2 E 8 L 0 l 0 Z W 1 Q Y X R o P j w v S X R l b U x v Y 2 F 0 a W 9 u P j x T d G F i b G V F b n R y a W V z L z 4 8 L 0 l 0 Z W 0 + P E l 0 Z W 0 + P E l 0 Z W 1 M b 2 N h d G l v b j 4 8 S X R l b V R 5 c G U + R m 9 y b X V s Y T w v S X R l b V R 5 c G U + P E l 0 Z W 1 Q Y X R o P l N l Y 3 R p b 2 4 x L 0 Z p b G U l M j B k a S U y M G V z Z W 1 w a W 8 l M j A o N y k v T 3 J p Z 2 l u Z T w v S X R l b V B h d G g + P C 9 J d G V t T G 9 j Y X R p b 2 4 + P F N 0 Y W J s Z U V u d H J p Z X M v P j w v S X R l b T 4 8 S X R l b T 4 8 S X R l b U x v Y 2 F 0 a W 9 u P j x J d G V t V H l w Z T 5 G b 3 J t d W x h P C 9 J d G V t V H l w Z T 4 8 S X R l b V B h d G g + U 2 V j d G l v b j E v R m l s Z S U y M G R p J T I w Z X N l b X B p b y U y M C g 3 K S 9 O Y X Z p Z 2 F 6 a W 9 u Z T E 8 L 0 l 0 Z W 1 Q Y X R o P j w v S X R l b U x v Y 2 F 0 a W 9 u P j x T d G F i b G V F b n R y a W V z L z 4 8 L 0 l 0 Z W 0 + P E l 0 Z W 0 + P E l 0 Z W 1 M b 2 N h d G l v b j 4 8 S X R l b V R 5 c G U + R m 9 y b X V s Y T w v S X R l b V R 5 c G U + P E l 0 Z W 1 Q Y X R o P l N l Y 3 R p b 2 4 x L 1 R y Y X N m b 3 J t Y S U y M G Z p b G U l M j B k a S U y M G V z Z W 1 w a W 8 l M j A o M i k v T 3 J p Z 2 l u Z T w v S X R l b V B h d G g + P C 9 J d G V t T G 9 j Y X R p b 2 4 + P F N 0 Y W J s Z U V u d H J p Z X M v P j w v S X R l b T 4 8 S X R l b T 4 8 S X R l b U x v Y 2 F 0 a W 9 u P j x J d G V t V H l w Z T 5 G b 3 J t d W x h P C 9 J d G V t V H l w Z T 4 8 S X R l b V B h d G g + U 2 V j d G l v b j E v V H J h c 2 Z v c m 1 h J T I w Z m l s Z S U y M C g y K S 9 P c m l n a W 5 l P C 9 J d G V t U G F 0 a D 4 8 L 0 l 0 Z W 1 M b 2 N h d G l v b j 4 8 U 3 R h Y m x l R W 5 0 c m l l c y 8 + P C 9 J d G V t P j x J d G V t P j x J d G V t T G 9 j Y X R p b 2 4 + P E l 0 Z W 1 U e X B l P k Z v c m 1 1 b G E 8 L 0 l 0 Z W 1 U e X B l P j x J d G V t U G F 0 a D 5 T Z W N 0 a W 9 u M S 9 U c m F z Z m 9 y b W E l M j B m a W x l J T I w Z G k l M j B l c 2 V t c G l v J T I w K D I p L 0 N v b n Z l c n N p b 2 5 l J T I w a W 4 l M j B 0 Y W J l b G x h M T w v S X R l b V B h d G g + P C 9 J d G V t T G 9 j Y X R p b 2 4 + P F N 0 Y W J s Z U V u d H J p Z X M v P j w v S X R l b T 4 8 S X R l b T 4 8 S X R l b U x v Y 2 F 0 a W 9 u P j x J d G V t V H l w Z T 5 G b 3 J t d W x h P C 9 J d G V t V H l w Z T 4 8 S X R l b V B h d G g + U 2 V j d G l v b j E v R W x l b m N v X 2 N o Z W t f b G l z d C U y M C g y K S 9 P c m l n a W 5 l P C 9 J d G V t U G F 0 a D 4 8 L 0 l 0 Z W 1 M b 2 N h d G l v b j 4 8 U 3 R h Y m x l R W 5 0 c m l l c y 8 + P C 9 J d G V t P j x J d G V t P j x J d G V t T G 9 j Y X R p b 2 4 + P E l 0 Z W 1 U e X B l P k Z v c m 1 1 b G E 8 L 0 l 0 Z W 1 U e X B l P j x J d G V t U G F 0 a D 5 T Z W N 0 a W 9 u M S 9 G a W x l J T I w Z G k l M j B l c 2 V t c G l v J T I w K D g p L 0 9 y a W d p b m U 8 L 0 l 0 Z W 1 Q Y X R o P j w v S X R l b U x v Y 2 F 0 a W 9 u P j x T d G F i b G V F b n R y a W V z L z 4 8 L 0 l 0 Z W 0 + P E l 0 Z W 0 + P E l 0 Z W 1 M b 2 N h d G l v b j 4 8 S X R l b V R 5 c G U + R m 9 y b X V s Y T w v S X R l b V R 5 c G U + P E l 0 Z W 1 Q Y X R o P l N l Y 3 R p b 2 4 x L 0 Z p b G U l M j B k a S U y M G V z Z W 1 w a W 8 l M j A o O C k v T m F 2 a W d h e m l v b m U x P C 9 J d G V t U G F 0 a D 4 8 L 0 l 0 Z W 1 M b 2 N h d G l v b j 4 8 U 3 R h Y m x l R W 5 0 c m l l c y 8 + P C 9 J d G V t P j x J d G V t P j x J d G V t T G 9 j Y X R p b 2 4 + P E l 0 Z W 1 U e X B l P k Z v c m 1 1 b G E 8 L 0 l 0 Z W 1 U e X B l P j x J d G V t U G F 0 a D 5 T Z W N 0 a W 9 u M S 9 U c m F z Z m 9 y b W E l M j B m a W x l J T I w Z G k l M j B l c 2 V t c G l v J T I w K D M p L 0 9 y a W d p b m U 8 L 0 l 0 Z W 1 Q Y X R o P j w v S X R l b U x v Y 2 F 0 a W 9 u P j x T d G F i b G V F b n R y a W V z L z 4 8 L 0 l 0 Z W 0 + P E l 0 Z W 0 + P E l 0 Z W 1 M b 2 N h d G l v b j 4 8 S X R l b V R 5 c G U + R m 9 y b X V s Y T w v S X R l b V R 5 c G U + P E l 0 Z W 1 Q Y X R o P l N l Y 3 R p b 2 4 x L 1 R y Y X N m b 3 J t Y S U y M G Z p b G U l M j A o M y k v T 3 J p Z 2 l u Z T w v S X R l b V B h d G g + P C 9 J d G V t T G 9 j Y X R p b 2 4 + P F N 0 Y W J s Z U V u d H J p Z X M v P j w v S X R l b T 4 8 S X R l b T 4 8 S X R l b U x v Y 2 F 0 a W 9 u P j x J d G V t V H l w Z T 5 G b 3 J t d W x h P C 9 J d G V t V H l w Z T 4 8 S X R l b V B h d G g + U 2 V j d G l v b j E v R W x l b m N v X 2 N o Z W t f b G l z d C U y M C g y K S 9 G a W x l J T I w b m F z Y 2 9 z d G k l M j B m a W x 0 c m F 0 a T E 8 L 0 l 0 Z W 1 Q Y X R o P j w v S X R l b U x v Y 2 F 0 a W 9 u P j x T d G F i b G V F b n R y a W V z L z 4 8 L 0 l 0 Z W 0 + P E l 0 Z W 0 + P E l 0 Z W 1 M b 2 N h d G l v b j 4 8 S X R l b V R 5 c G U + R m 9 y b X V s Y T w v S X R l b V R 5 c G U + P E l 0 Z W 1 Q Y X R o P l N l Y 3 R p b 2 4 x L 1 R y Y X N m b 3 J t Y S U y M G Z p b G U l M j B k a S U y M G V z Z W 1 w a W 8 l M j A o M y k v Q 2 9 u d m V y c 2 l v b m U l M j B p b i U y M H R h Y m V s b G E x P C 9 J d G V t U G F 0 a D 4 8 L 0 l 0 Z W 1 M b 2 N h d G l v b j 4 8 U 3 R h Y m x l R W 5 0 c m l l c y 8 + P C 9 J d G V t P j x J d G V t P j x J d G V t T G 9 j Y X R p b 2 4 + P E l 0 Z W 1 U e X B l P k Z v c m 1 1 b G E 8 L 0 l 0 Z W 1 U e X B l P j x J d G V t U G F 0 a D 5 T Z W N 0 a W 9 u M S 9 F b G V u Y 2 9 f Y 2 h l a 1 9 s a X N 0 J T I w K D I p L 0 F u Y W x p e n p h d G 8 l M j B K U 0 9 O P C 9 J d G V t U G F 0 a D 4 8 L 0 l 0 Z W 1 M b 2 N h d G l v b j 4 8 U 3 R h Y m x l R W 5 0 c m l l c y 8 + P C 9 J d G V t P j x J d G V t P j x J d G V t T G 9 j Y X R p b 2 4 + P E l 0 Z W 1 U e X B l P k Z v c m 1 1 b G E 8 L 0 l 0 Z W 1 U e X B l P j x J d G V t U G F 0 a D 5 T Z W N 0 a W 9 u M S 9 F b G V u Y 2 9 f Y 2 h l a 1 9 s a X N 0 J T I w K D I p L 1 R h Y m V s b G E l M j B D b 2 5 0 Z W 5 0 J T I w Z X N w Y W 5 z Y T w v S X R l b V B h d G g + P C 9 J d G V t T G 9 j Y X R p b 2 4 + P F N 0 Y W J s Z U V u d H J p Z X M v P j w v S X R l b T 4 8 S X R l b T 4 8 S X R l b U x v Y 2 F 0 a W 9 u P j x J d G V t V H l w Z T 5 G b 3 J t d W x h P C 9 J d G V t V H l w Z T 4 8 S X R l b V B h d G g + U 2 V j d G l v b j E v R W x l b m N v X 2 N o Z W t f b G l z d C U y M C g y K S 9 U Y W J l b G x h J T I w Q 2 9 u d G V u d C U y M G V z c G F u c 2 E x P C 9 J d G V t U G F 0 a D 4 8 L 0 l 0 Z W 1 M b 2 N h d G l v b j 4 8 U 3 R h Y m x l R W 5 0 c m l l c y 8 + P C 9 J d G V t P j x J d G V t P j x J d G V t T G 9 j Y X R p b 2 4 + P E l 0 Z W 1 U e X B l P k Z v c m 1 1 b G E 8 L 0 l 0 Z W 1 U e X B l P j x J d G V t U G F 0 a D 5 T Z W N 0 a W 9 u M S 9 F b G V u Y 2 9 f Y 2 h l a 1 9 s a X N 0 J T I w K D I p L 1 J p b W 9 z c 2 U l M j B j b 2 x v b m 5 l P C 9 J d G V t U G F 0 a D 4 8 L 0 l 0 Z W 1 M b 2 N h d G l v b j 4 8 U 3 R h Y m x l R W 5 0 c m l l c y 8 + P C 9 J d G V t P j x J d G V t P j x J d G V t T G 9 j Y X R p b 2 4 + P E l 0 Z W 1 U e X B l P k Z v c m 1 1 b G E 8 L 0 l 0 Z W 1 U e X B l P j x J d G V t U G F 0 a D 5 T Z W N 0 a W 9 u M S 9 F b G V u Y 2 9 f Y 2 h l a 1 9 s a X N 0 J T I w K D I p L 1 N 1 Z G R p d m l k a S U y M G N v b G 9 u b m E l M j B p b i U y M G J h c 2 U l M j B h b C U y M G R l b G l t a X R h d G 9 y Z T w v S X R l b V B h d G g + P C 9 J d G V t T G 9 j Y X R p b 2 4 + P F N 0 Y W J s Z U V u d H J p Z X M v P j w v S X R l b T 4 8 S X R l b T 4 8 S X R l b U x v Y 2 F 0 a W 9 u P j x J d G V t V H l w Z T 5 G b 3 J t d W x h P C 9 J d G V t V H l w Z T 4 8 S X R l b V B h d G g + U 2 V j d G l v b j E v R W x l b m N v X 2 N o Z W t f b G l z d C U y M C g y K S 9 N b 2 R p Z m l j Y X R v J T I w d G l w b z w v S X R l b V B h d G g + P C 9 J d G V t T G 9 j Y X R p b 2 4 + P F N 0 Y W J s Z U V u d H J p Z X M v P j w v S X R l b T 4 8 S X R l b T 4 8 S X R l b U x v Y 2 F 0 a W 9 u P j x J d G V t V H l w Z T 5 G b 3 J t d W x h P C 9 J d G V t V H l w Z T 4 8 S X R l b V B h d G g + U 2 V j d G l v b j E v R W x l b m N v X 2 N o Z W t f b G l z d C U y M C g y K S 9 S a W 1 v c 3 N l J T I w Y 2 9 s b 2 5 u Z T E 8 L 0 l 0 Z W 1 Q Y X R o P j w v S X R l b U x v Y 2 F 0 a W 9 u P j x T d G F i b G V F b n R y a W V z L z 4 8 L 0 l 0 Z W 0 + P E l 0 Z W 0 + P E l 0 Z W 1 M b 2 N h d G l v b j 4 8 S X R l b V R 5 c G U + R m 9 y b X V s Y T w v S X R l b V R 5 c G U + P E l 0 Z W 1 Q Y X R o P l N l Y 3 R p b 2 4 x L 0 V s Z W 5 j b 1 9 j a G V r X 2 x p c 3 Q l M j A o M i k v U m l u b 2 1 p b m F 0 Z S U y M G N v b G 9 u b m U 8 L 0 l 0 Z W 1 Q Y X R o P j w v S X R l b U x v Y 2 F 0 a W 9 u P j x T d G F i b G V F b n R y a W V z L z 4 8 L 0 l 0 Z W 0 + P E l 0 Z W 0 + P E l 0 Z W 1 M b 2 N h d G l v b j 4 8 S X R l b V R 5 c G U + R m 9 y b X V s Y T w v S X R l b V R 5 c G U + P E l 0 Z W 1 Q Y X R o P l N l Y 3 R p b 2 4 x L 0 V s Z W 5 j b 1 9 j a G V r X 2 x p c 3 Q l M j A o M i k v U 3 V k Z G l 2 a W R p J T I w Y 2 9 s b 2 5 u Y S U y M G l u J T I w Y m F z Z S U y M G F s J T I w Z G V s a W 1 p d G F 0 b 3 J l M T w v S X R l b V B h d G g + P C 9 J d G V t T G 9 j Y X R p b 2 4 + P F N 0 Y W J s Z U V u d H J p Z X M v P j w v S X R l b T 4 8 S X R l b T 4 8 S X R l b U x v Y 2 F 0 a W 9 u P j x J d G V t V H l w Z T 5 G b 3 J t d W x h P C 9 J d G V t V H l w Z T 4 8 S X R l b V B h d G g + U 2 V j d G l v b j E v R W x l b m N v X 2 N o Z W t f b G l z d C U y M C g y K S 9 N b 2 R p Z m l j Y X R v J T I w d G l w b z E 8 L 0 l 0 Z W 1 Q Y X R o P j w v S X R l b U x v Y 2 F 0 a W 9 u P j x T d G F i b G V F b n R y a W V z L z 4 8 L 0 l 0 Z W 0 + P E l 0 Z W 0 + P E l 0 Z W 1 M b 2 N h d G l v b j 4 8 S X R l b V R 5 c G U + R m 9 y b X V s Y T w v S X R l b V R 5 c G U + P E l 0 Z W 1 Q Y X R o P l N l Y 3 R p b 2 4 x L 0 V s Z W 5 j b 1 9 j a G V r X 2 x p c 3 Q l M j A o M i k v U m l u b 2 1 p b m F 0 Z S U y M G N v b G 9 u b m U x P C 9 J d G V t U G F 0 a D 4 8 L 0 l 0 Z W 1 M b 2 N h d G l v b j 4 8 U 3 R h Y m x l R W 5 0 c m l l c y 8 + P C 9 J d G V t P j x J d G V t P j x J d G V t T G 9 j Y X R p b 2 4 + P E l 0 Z W 1 U e X B l P k Z v c m 1 1 b G E 8 L 0 l 0 Z W 1 U e X B l P j x J d G V t U G F 0 a D 5 T Z W N 0 a W 9 u M S 9 F b G V u Y 2 9 f Y 2 h l a 1 9 s a X N 0 J T I w K D I p L 1 J p b W 9 z c 2 U l M j B j b 2 x v b m 5 l M j w v S X R l b V B h d G g + P C 9 J d G V t T G 9 j Y X R p b 2 4 + P F N 0 Y W J s Z U V u d H J p Z X M v P j w v S X R l b T 4 8 S X R l b T 4 8 S X R l b U x v Y 2 F 0 a W 9 u P j x J d G V t V H l w Z T 5 G b 3 J t d W x h P C 9 J d G V t V H l w Z T 4 8 S X R l b V B h d G g + U 2 V j d G l v b j E v R W x l b m N v X 2 N o Z W t f b G l z d C U y M C g y K S 9 S a W 9 y Z G l u Y X R l J T I w Y 2 9 s b 2 5 u Z T w v S X R l b V B h d G g + P C 9 J d G V t T G 9 j Y X R p b 2 4 + P F N 0 Y W J s Z U V u d H J p Z X M v P j w v S X R l b T 4 8 S X R l b T 4 8 S X R l b U x v Y 2 F 0 a W 9 u P j x J d G V t V H l w Z T 5 G b 3 J t d W x h P C 9 J d G V t V H l w Z T 4 8 S X R l b V B h d G g + U 2 V j d G l v b j E v R W x l b m N v X 2 N o Z W t f b G l z d C U y M C g y K S 9 S a W 5 v b W l u Y X R l J T I w Y 2 9 s b 2 5 u Z T I 8 L 0 l 0 Z W 1 Q Y X R o P j w v S X R l b U x v Y 2 F 0 a W 9 u P j x T d G F i b G V F b n R y a W V z L z 4 8 L 0 l 0 Z W 0 + P E l 0 Z W 0 + P E l 0 Z W 1 M b 2 N h d G l v b j 4 8 S X R l b V R 5 c G U + R m 9 y b X V s Y T w v S X R l b V R 5 c G U + P E l 0 Z W 1 Q Y X R o P l N l Y 3 R p b 2 4 x L 0 V s Z W 5 j b 1 9 j a G V r X 2 x p c 3 Q v T 3 J p Z 2 l u Z T w v S X R l b V B h d G g + P C 9 J d G V t T G 9 j Y X R p b 2 4 + P F N 0 Y W J s Z U V u d H J p Z X M v P j w v S X R l b T 4 8 S X R l b T 4 8 S X R l b U x v Y 2 F 0 a W 9 u P j x J d G V t V H l w Z T 5 G b 3 J t d W x h P C 9 J d G V t V H l w Z T 4 8 S X R l b V B h d G g + U 2 V j d G l v b j E v R W x l b m N v X 2 N o Z W t f b G l z d C 9 G a W x l J T I w b m F z Y 2 9 z d G k l M j B m a W x 0 c m F 0 a T E 8 L 0 l 0 Z W 1 Q Y X R o P j w v S X R l b U x v Y 2 F 0 a W 9 u P j x T d G F i b G V F b n R y a W V z L z 4 8 L 0 l 0 Z W 0 + P E l 0 Z W 0 + P E l 0 Z W 1 M b 2 N h d G l v b j 4 8 S X R l b V R 5 c G U + R m 9 y b X V s Y T w v S X R l b V R 5 c G U + P E l 0 Z W 1 Q Y X R o P l N l Y 3 R p b 2 4 x L 0 V s Z W 5 j b 1 9 j a G V r X 2 x p c 3 Q v U m l j a G l h b W E l M j B m d W 5 6 a W 9 u Z S U y M H B l c n N v b m F s a X p 6 Y X R h M T w v S X R l b V B h d G g + P C 9 J d G V t T G 9 j Y X R p b 2 4 + P F N 0 Y W J s Z U V u d H J p Z X M v P j w v S X R l b T 4 8 S X R l b T 4 8 S X R l b U x v Y 2 F 0 a W 9 u P j x J d G V t V H l w Z T 5 G b 3 J t d W x h P C 9 J d G V t V H l w Z T 4 8 S X R l b V B h d G g + U 2 V j d G l v b j E v R W x l b m N v X 2 N o Z W t f b G l z d C 9 S a W 5 v b W l u Y X R l J T I w Y 2 9 s b 2 5 u Z T E 8 L 0 l 0 Z W 1 Q Y X R o P j w v S X R l b U x v Y 2 F 0 a W 9 u P j x T d G F i b G V F b n R y a W V z L z 4 8 L 0 l 0 Z W 0 + P E l 0 Z W 0 + P E l 0 Z W 1 M b 2 N h d G l v b j 4 8 S X R l b V R 5 c G U + R m 9 y b X V s Y T w v S X R l b V R 5 c G U + P E l 0 Z W 1 Q Y X R o P l N l Y 3 R p b 2 4 x L 0 V s Z W 5 j b 1 9 j a G V r X 2 x p c 3 Q v U m l t b 3 N z Z S U y M G F s d H J l J T I w Y 2 9 s b 2 5 u Z T E 8 L 0 l 0 Z W 1 Q Y X R o P j w v S X R l b U x v Y 2 F 0 a W 9 u P j x T d G F i b G V F b n R y a W V z L z 4 8 L 0 l 0 Z W 0 + P E l 0 Z W 0 + P E l 0 Z W 1 M b 2 N h d G l v b j 4 8 S X R l b V R 5 c G U + R m 9 y b X V s Y T w v S X R l b V R 5 c G U + P E l 0 Z W 1 Q Y X R o P l N l Y 3 R p b 2 4 x L 0 V s Z W 5 j b 1 9 j a G V r X 2 x p c 3 Q v R X N w Y W 5 z Y S U y M G N v b G 9 u b m E l M j B 0 Y W J s Z T E 8 L 0 l 0 Z W 1 Q Y X R o P j w v S X R l b U x v Y 2 F 0 a W 9 u P j x T d G F i b G V F b n R y a W V z L z 4 8 L 0 l 0 Z W 0 + P E l 0 Z W 0 + P E l 0 Z W 1 M b 2 N h d G l v b j 4 8 S X R l b V R 5 c G U + R m 9 y b X V s Y T w v S X R l b V R 5 c G U + P E l 0 Z W 1 Q Y X R o P l N l Y 3 R p b 2 4 x L 0 N I R U s l M j B M S V N U M S 9 P c m l n a W 5 l P C 9 J d G V t U G F 0 a D 4 8 L 0 l 0 Z W 1 M b 2 N h d G l v b j 4 8 U 3 R h Y m x l R W 5 0 c m l l c y 8 + P C 9 J d G V t P j x J d G V t P j x J d G V t T G 9 j Y X R p b 2 4 + P E l 0 Z W 1 U e X B l P k Z v c m 1 1 b G E 8 L 0 l 0 Z W 1 U e X B l P j x J d G V t U G F 0 a D 5 T Z W N 0 a W 9 u M S 9 G a W x l J T I w Z G k l M j B l c 2 V t c G l v J T I w K D k p L 0 9 y a W d p b m U 8 L 0 l 0 Z W 1 Q Y X R o P j w v S X R l b U x v Y 2 F 0 a W 9 u P j x T d G F i b G V F b n R y a W V z L z 4 8 L 0 l 0 Z W 0 + P E l 0 Z W 0 + P E l 0 Z W 1 M b 2 N h d G l v b j 4 8 S X R l b V R 5 c G U + R m 9 y b X V s Y T w v S X R l b V R 5 c G U + P E l 0 Z W 1 Q Y X R o P l N l Y 3 R p b 2 4 x L 0 Z p b G U l M j B k a S U y M G V z Z W 1 w a W 8 l M j A o O S k v T m F 2 a W d h e m l v b m U x P C 9 J d G V t U G F 0 a D 4 8 L 0 l 0 Z W 1 M b 2 N h d G l v b j 4 8 U 3 R h Y m x l R W 5 0 c m l l c y 8 + P C 9 J d G V t P j x J d G V t P j x J d G V t T G 9 j Y X R p b 2 4 + P E l 0 Z W 1 U e X B l P k Z v c m 1 1 b G E 8 L 0 l 0 Z W 1 U e X B l P j x J d G V t U G F 0 a D 5 T Z W N 0 a W 9 u M S 9 U c m F z Z m 9 y b W E l M j B m a W x l J T I w Z G k l M j B l c 2 V t c G l v J T I w K D Q p L 0 9 y a W d p b m U 8 L 0 l 0 Z W 1 Q Y X R o P j w v S X R l b U x v Y 2 F 0 a W 9 u P j x T d G F i b G V F b n R y a W V z L z 4 8 L 0 l 0 Z W 0 + P E l 0 Z W 0 + P E l 0 Z W 1 M b 2 N h d G l v b j 4 8 S X R l b V R 5 c G U + R m 9 y b X V s Y T w v S X R l b V R 5 c G U + P E l 0 Z W 1 Q Y X R o P l N l Y 3 R p b 2 4 x L 1 R y Y X N m b 3 J t Y S U y M G Z p b G U l M j A o N C k v T 3 J p Z 2 l u Z T w v S X R l b V B h d G g + P C 9 J d G V t T G 9 j Y X R p b 2 4 + P F N 0 Y W J s Z U V u d H J p Z X M v P j w v S X R l b T 4 8 S X R l b T 4 8 S X R l b U x v Y 2 F 0 a W 9 u P j x J d G V t V H l w Z T 5 G b 3 J t d W x h P C 9 J d G V t V H l w Z T 4 8 S X R l b V B h d G g + U 2 V j d G l v b j E v Q 0 h F S y U y M E x J U 1 Q x L 0 Z p b G U l M j B u Y X N j b 3 N 0 a S U y M G Z p b H R y Y X R p M T w v S X R l b V B h d G g + P C 9 J d G V t T G 9 j Y X R p b 2 4 + P F N 0 Y W J s Z U V u d H J p Z X M v P j w v S X R l b T 4 8 S X R l b T 4 8 S X R l b U x v Y 2 F 0 a W 9 u P j x J d G V t V H l w Z T 5 G b 3 J t d W x h P C 9 J d G V t V H l w Z T 4 8 S X R l b V B h d G g + U 2 V j d G l v b j E v Q 0 h F S y U y M E x J U 1 Q x L 1 J p Y 2 h p Y W 1 h J T I w Z n V u e m l v b m U l M j B w Z X J z b 2 5 h b G l 6 e m F 0 Y T E 8 L 0 l 0 Z W 1 Q Y X R o P j w v S X R l b U x v Y 2 F 0 a W 9 u P j x T d G F i b G V F b n R y a W V z L z 4 8 L 0 l 0 Z W 0 + P E l 0 Z W 0 + P E l 0 Z W 1 M b 2 N h d G l v b j 4 8 S X R l b V R 5 c G U + R m 9 y b X V s Y T w v S X R l b V R 5 c G U + P E l 0 Z W 1 Q Y X R o P l N l Y 3 R p b 2 4 x L 0 N I R U s l M j B M S V N U M S 9 S a W 5 v b W l u Y X R l J T I w Y 2 9 s b 2 5 u Z T E 8 L 0 l 0 Z W 1 Q Y X R o P j w v S X R l b U x v Y 2 F 0 a W 9 u P j x T d G F i b G V F b n R y a W V z L z 4 8 L 0 l 0 Z W 0 + P E l 0 Z W 0 + P E l 0 Z W 1 M b 2 N h d G l v b j 4 8 S X R l b V R 5 c G U + R m 9 y b X V s Y T w v S X R l b V R 5 c G U + P E l 0 Z W 1 Q Y X R o P l N l Y 3 R p b 2 4 x L 0 N I R U s l M j B M S V N U M S 9 S a W 1 v c 3 N l J T I w Y W x 0 c m U l M j B j b 2 x v b m 5 l M T w v S X R l b V B h d G g + P C 9 J d G V t T G 9 j Y X R p b 2 4 + P F N 0 Y W J s Z U V u d H J p Z X M v P j w v S X R l b T 4 8 S X R l b T 4 8 S X R l b U x v Y 2 F 0 a W 9 u P j x J d G V t V H l w Z T 5 G b 3 J t d W x h P C 9 J d G V t V H l w Z T 4 8 S X R l b V B h d G g + U 2 V j d G l v b j E v Q 0 h F S y U y M E x J U 1 Q x L 0 V z c G F u c 2 E l M j B j b 2 x v b m 5 h J T I w d G F i b G U x P C 9 J d G V t U G F 0 a D 4 8 L 0 l 0 Z W 1 M b 2 N h d G l v b j 4 8 U 3 R h Y m x l R W 5 0 c m l l c y 8 + P C 9 J d G V t P j x J d G V t P j x J d G V t T G 9 j Y X R p b 2 4 + P E l 0 Z W 1 U e X B l P k Z v c m 1 1 b G E 8 L 0 l 0 Z W 1 U e X B l P j x J d G V t U G F 0 a D 5 T Z W N 0 a W 9 u M S 9 U c m F z Z m 9 y b W E l M j B m a W x l J T I w Z G k l M j B l c 2 V t c G l v J T I w K D Q p L 0 N v b n Z l c n N p b 2 5 l J T I w a W 4 l M j B 0 Y W J l b G x h M T w v S X R l b V B h d G g + P C 9 J d G V t T G 9 j Y X R p b 2 4 + P F N 0 Y W J s Z U V u d H J p Z X M v P j w v S X R l b T 4 8 S X R l b T 4 8 S X R l b U x v Y 2 F 0 a W 9 u P j x J d G V t V H l w Z T 5 G b 3 J t d W x h P C 9 J d G V t V H l w Z T 4 8 S X R l b V B h d G g + U 2 V j d G l v b j E v Q 0 h F S y U y M E x J U 1 Q x L 0 1 v Z G l m a W N h d G 8 l M j B 0 a X B v P C 9 J d G V t U G F 0 a D 4 8 L 0 l 0 Z W 1 M b 2 N h d G l v b j 4 8 U 3 R h Y m x l R W 5 0 c m l l c y 8 + P C 9 J d G V t P j x J d G V t P j x J d G V t T G 9 j Y X R p b 2 4 + P E l 0 Z W 1 U e X B l P k Z v c m 1 1 b G E 8 L 0 l 0 Z W 1 U e X B l P j x J d G V t U G F 0 a D 5 T Z W N 0 a W 9 u M S 9 D S E V L J T I w T E l T V D E v R m l s d H J h d G U l M j B y a W d o Z T w v S X R l b V B h d G g + P C 9 J d G V t T G 9 j Y X R p b 2 4 + P F N 0 Y W J s Z U V u d H J p Z X M v P j w v S X R l b T 4 8 S X R l b T 4 8 S X R l b U x v Y 2 F 0 a W 9 u P j x J d G V t V H l w Z T 5 G b 3 J t d W x h P C 9 J d G V t V H l w Z T 4 8 S X R l b V B h d G g + U 2 V j d G l v b j E v Q 0 h F S y U y M E x J U 1 Q x L 1 R h Y m V s b G E l M j B W Y W x 1 Z S U y M G V z c G F u c 2 E 8 L 0 l 0 Z W 1 Q Y X R o P j w v S X R l b U x v Y 2 F 0 a W 9 u P j x T d G F i b G V F b n R y a W V z L z 4 8 L 0 l 0 Z W 0 + P E l 0 Z W 0 + P E l 0 Z W 1 M b 2 N h d G l v b j 4 8 S X R l b V R 5 c G U + R m 9 y b X V s Y T w v S X R l b V R 5 c G U + P E l 0 Z W 1 Q Y X R o P l N l Y 3 R p b 2 4 x L 0 N I R U s l M j B M S V N U M S 9 U Y W J l b G x h J T I w V m F s d W U l M j B l c 3 B h b n N h M T w v S X R l b V B h d G g + P C 9 J d G V t T G 9 j Y X R p b 2 4 + P F N 0 Y W J s Z U V u d H J p Z X M v P j w v S X R l b T 4 8 S X R l b T 4 8 S X R l b U x v Y 2 F 0 a W 9 u P j x J d G V t V H l w Z T 5 G b 3 J t d W x h P C 9 J d G V t V H l w Z T 4 8 S X R l b V B h d G g + U 2 V j d G l v b j E v Q 0 h F S y U y M E x J U 1 Q x L 1 R h Y m V s b G E l M j B W Y W x 1 Z S 5 w c m 9 n c m F t b W V N Z X R h Z G F 0 Y S U y M G V z c G F u c 2 E 8 L 0 l 0 Z W 1 Q Y X R o P j w v S X R l b U x v Y 2 F 0 a W 9 u P j x T d G F i b G V F b n R y a W V z L z 4 8 L 0 l 0 Z W 0 + P E l 0 Z W 0 + P E l 0 Z W 1 M b 2 N h d G l v b j 4 8 S X R l b V R 5 c G U + R m 9 y b X V s Y T w v S X R l b V R 5 c G U + P E l 0 Z W 1 Q Y X R o P l N l Y 3 R p b 2 4 x L 0 N I R U s l M j B M S V N U M S 9 U Y W J l b G x h J T I w V m F s d W U u a W 5 z d G F u Y 2 V N Z X R h Z G F 0 Y S U y M G V z c G F u c 2 E 8 L 0 l 0 Z W 1 Q Y X R o P j w v S X R l b U x v Y 2 F 0 a W 9 u P j x T d G F i b G V F b n R y a W V z L z 4 8 L 0 l 0 Z W 0 + P E l 0 Z W 0 + P E l 0 Z W 1 M b 2 N h d G l v b j 4 8 S X R l b V R 5 c G U + R m 9 y b X V s Y T w v S X R l b V R 5 c G U + P E l 0 Z W 1 Q Y X R o P l N l Y 3 R p b 2 4 x L 0 N I R U s l M j B M S V N U M S 9 G a W x 0 c m F 0 Z S U y M H J p Z 2 h l M T w v S X R l b V B h d G g + P C 9 J d G V t T G 9 j Y X R p b 2 4 + P F N 0 Y W J s Z U V u d H J p Z X M v P j w v S X R l b T 4 8 S X R l b T 4 8 S X R l b U x v Y 2 F 0 a W 9 u P j x J d G V t V H l w Z T 5 G b 3 J t d W x h P C 9 J d G V t V H l w Z T 4 8 S X R l b V B h d G g + U 2 V j d G l v b j E v Q 0 h F S y U y M E x J U 1 Q x L 1 J p b W 9 z c 2 U l M j B j b 2 x v b m 5 l P C 9 J d G V t U G F 0 a D 4 8 L 0 l 0 Z W 1 M b 2 N h d G l v b j 4 8 U 3 R h Y m x l R W 5 0 c m l l c y 8 + P C 9 J d G V t P j x J d G V t P j x J d G V t T G 9 j Y X R p b 2 4 + P E l 0 Z W 1 U e X B l P k Z v c m 1 1 b G E 8 L 0 l 0 Z W 1 U e X B l P j x J d G V t U G F 0 a D 5 T Z W N 0 a W 9 u M S 9 D S E V L J T I w T E l T V D E v U 3 V k Z G l 2 a W R p J T I w Y 2 9 s b 2 5 u Y S U y M G l u J T I w Y m F z Z S U y M G F s J T I w Z G V s a W 1 p d G F 0 b 3 J l P C 9 J d G V t U G F 0 a D 4 8 L 0 l 0 Z W 1 M b 2 N h d G l v b j 4 8 U 3 R h Y m x l R W 5 0 c m l l c y 8 + P C 9 J d G V t P j x J d G V t P j x J d G V t T G 9 j Y X R p b 2 4 + P E l 0 Z W 1 U e X B l P k Z v c m 1 1 b G E 8 L 0 l 0 Z W 1 U e X B l P j x J d G V t U G F 0 a D 5 T Z W N 0 a W 9 u M S 9 D S E V L J T I w T E l T V D E v T W 9 k a W Z p Y 2 F 0 b y U y M H R p c G 8 x P C 9 J d G V t U G F 0 a D 4 8 L 0 l 0 Z W 1 M b 2 N h d G l v b j 4 8 U 3 R h Y m x l R W 5 0 c m l l c y 8 + P C 9 J d G V t P j x J d G V t P j x J d G V t T G 9 j Y X R p b 2 4 + P E l 0 Z W 1 U e X B l P k Z v c m 1 1 b G E 8 L 0 l 0 Z W 1 U e X B l P j x J d G V t U G F 0 a D 5 T Z W N 0 a W 9 u M S 9 D S E V L J T I w T E l T V D E v U m l t b 3 N z Z S U y M G N v b G 9 u b m U x P C 9 J d G V t U G F 0 a D 4 8 L 0 l 0 Z W 1 M b 2 N h d G l v b j 4 8 U 3 R h Y m x l R W 5 0 c m l l c y 8 + P C 9 J d G V t P j x J d G V t P j x J d G V t T G 9 j Y X R p b 2 4 + P E l 0 Z W 1 U e X B l P k Z v c m 1 1 b G E 8 L 0 l 0 Z W 1 U e X B l P j x J d G V t U G F 0 a D 5 T Z W N 0 a W 9 u M S 9 D S E V L J T I w T E l T V D E v U 3 V k Z G l 2 a W R p J T I w Y 2 9 s b 2 5 u Y S U y M G l u J T I w Y m F z Z S U y M G F s J T I w Z G V s a W 1 p d G F 0 b 3 J l M T w v S X R l b V B h d G g + P C 9 J d G V t T G 9 j Y X R p b 2 4 + P F N 0 Y W J s Z U V u d H J p Z X M v P j w v S X R l b T 4 8 S X R l b T 4 8 S X R l b U x v Y 2 F 0 a W 9 u P j x J d G V t V H l w Z T 5 G b 3 J t d W x h P C 9 J d G V t V H l w Z T 4 8 S X R l b V B h d G g + U 2 V j d G l v b j E v Q 0 h F S y U y M E x J U 1 Q x L 0 1 v Z G l m a W N h d G 8 l M j B 0 a X B v M j w v S X R l b V B h d G g + P C 9 J d G V t T G 9 j Y X R p b 2 4 + P F N 0 Y W J s Z U V u d H J p Z X M v P j w v S X R l b T 4 8 S X R l b T 4 8 S X R l b U x v Y 2 F 0 a W 9 u P j x J d G V t V H l w Z T 5 G b 3 J t d W x h P C 9 J d G V t V H l w Z T 4 8 S X R l b V B h d G g + U 2 V j d G l v b j E v Q 0 h F S y U y M E x J U 1 Q x L 1 J p b W 9 z c 2 U l M j B j b 2 x v b m 5 l M j w v S X R l b V B h d G g + P C 9 J d G V t T G 9 j Y X R p b 2 4 + P F N 0 Y W J s Z U V u d H J p Z X M v P j w v S X R l b T 4 8 S X R l b T 4 8 S X R l b U x v Y 2 F 0 a W 9 u P j x J d G V t V H l w Z T 5 G b 3 J t d W x h P C 9 J d G V t V H l w Z T 4 8 S X R l b V B h d G g + U 2 V j d G l v b j E v Q 0 h F S y U y M E x J U 1 Q x L 1 J p b m 9 t a W 5 h d G U l M j B j b 2 x v b m 5 l P C 9 J d G V t U G F 0 a D 4 8 L 0 l 0 Z W 1 M b 2 N h d G l v b j 4 8 U 3 R h Y m x l R W 5 0 c m l l c y 8 + P C 9 J d G V t P j x J d G V t P j x J d G V t T G 9 j Y X R p b 2 4 + P E l 0 Z W 1 U e X B l P k Z v c m 1 1 b G E 8 L 0 l 0 Z W 1 U e X B l P j x J d G V t U G F 0 a D 5 T Z W N 0 a W 9 u M S 9 G a W x l J T I w Z G k l M j B l c 2 V t c G l v J T I w K D E w K S 9 P c m l n a W 5 l P C 9 J d G V t U G F 0 a D 4 8 L 0 l 0 Z W 1 M b 2 N h d G l v b j 4 8 U 3 R h Y m x l R W 5 0 c m l l c y 8 + P C 9 J d G V t P j x J d G V t P j x J d G V t T G 9 j Y X R p b 2 4 + P E l 0 Z W 1 U e X B l P k Z v c m 1 1 b G E 8 L 0 l 0 Z W 1 U e X B l P j x J d G V t U G F 0 a D 5 T Z W N 0 a W 9 u M S 9 G a W x l J T I w Z G k l M j B l c 2 V t c G l v J T I w K D E w K S 9 O Y X Z p Z 2 F 6 a W 9 u Z T E 8 L 0 l 0 Z W 1 Q Y X R o P j w v S X R l b U x v Y 2 F 0 a W 9 u P j x T d G F i b G V F b n R y a W V z L z 4 8 L 0 l 0 Z W 0 + P E l 0 Z W 0 + P E l 0 Z W 1 M b 2 N h d G l v b j 4 8 S X R l b V R 5 c G U + R m 9 y b X V s Y T w v S X R l b V R 5 c G U + P E l 0 Z W 1 Q Y X R o P l N l Y 3 R p b 2 4 x L 1 R y Y X N m b 3 J t Y S U y M G Z p b G U l M j B k a S U y M G V z Z W 1 w a W 8 l M j A o N S k v T 3 J p Z 2 l u Z T w v S X R l b V B h d G g + P C 9 J d G V t T G 9 j Y X R p b 2 4 + P F N 0 Y W J s Z U V u d H J p Z X M v P j w v S X R l b T 4 8 S X R l b T 4 8 S X R l b U x v Y 2 F 0 a W 9 u P j x J d G V t V H l w Z T 5 G b 3 J t d W x h P C 9 J d G V t V H l w Z T 4 8 S X R l b V B h d G g + U 2 V j d G l v b j E v V H J h c 2 Z v c m 1 h J T I w Z m l s Z S U y M C g 1 K S 9 P c m l n a W 5 l P C 9 J d G V t U G F 0 a D 4 8 L 0 l 0 Z W 1 M b 2 N h d G l v b j 4 8 U 3 R h Y m x l R W 5 0 c m l l c y 8 + P C 9 J d G V t P j x J d G V t P j x J d G V t T G 9 j Y X R p b 2 4 + P E l 0 Z W 1 U e X B l P k Z v c m 1 1 b G E 8 L 0 l 0 Z W 1 U e X B l P j x J d G V t U G F 0 a D 5 T Z W N 0 a W 9 u M S 9 U c m F z Z m 9 y b W E l M j B m a W x l J T I w Z G k l M j B l c 2 V t c G l v J T I w K D U p L 0 N v b n Z l c n N p b 2 5 l J T I w a W 4 l M j B 0 Y W J l b G x h M T w v S X R l b V B h d G g + P C 9 J d G V t T G 9 j Y X R p b 2 4 + P F N 0 Y W J s Z U V u d H J p Z X M v P j w v S X R l b T 4 8 S X R l b T 4 8 S X R l b U x v Y 2 F 0 a W 9 u P j x J d G V t V H l w Z T 5 G b 3 J t d W x h P C 9 J d G V t V H l w Z T 4 8 S X R l b V B h d G g + U 2 V j d G l v b j E v R m l s Z S U y M G R p J T I w Z X N l b X B p b y U y M C g x M S k v T 3 J p Z 2 l u Z T w v S X R l b V B h d G g + P C 9 J d G V t T G 9 j Y X R p b 2 4 + P F N 0 Y W J s Z U V u d H J p Z X M v P j w v S X R l b T 4 8 S X R l b T 4 8 S X R l b U x v Y 2 F 0 a W 9 u P j x J d G V t V H l w Z T 5 G b 3 J t d W x h P C 9 J d G V t V H l w Z T 4 8 S X R l b V B h d G g + U 2 V j d G l v b j E v R m l s Z S U y M G R p J T I w Z X N l b X B p b y U y M C g x M S k v T m F 2 a W d h e m l v b m U x P C 9 J d G V t U G F 0 a D 4 8 L 0 l 0 Z W 1 M b 2 N h d G l v b j 4 8 U 3 R h Y m x l R W 5 0 c m l l c y 8 + P C 9 J d G V t P j x J d G V t P j x J d G V t T G 9 j Y X R p b 2 4 + P E l 0 Z W 1 U e X B l P k Z v c m 1 1 b G E 8 L 0 l 0 Z W 1 U e X B l P j x J d G V t U G F 0 a D 5 T Z W N 0 a W 9 u M S 9 U c m F z Z m 9 y b W E l M j B m a W x l J T I w Z G k l M j B l c 2 V t c G l v J T I w K D Y p L 0 9 y a W d p b m U 8 L 0 l 0 Z W 1 Q Y X R o P j w v S X R l b U x v Y 2 F 0 a W 9 u P j x T d G F i b G V F b n R y a W V z L z 4 8 L 0 l 0 Z W 0 + P E l 0 Z W 0 + P E l 0 Z W 1 M b 2 N h d G l v b j 4 8 S X R l b V R 5 c G U + R m 9 y b X V s Y T w v S X R l b V R 5 c G U + P E l 0 Z W 1 Q Y X R o P l N l Y 3 R p b 2 4 x L 1 R y Y X N m b 3 J t Y S U y M G Z p b G U l M j A o N i k v T 3 J p Z 2 l u Z T w v S X R l b V B h d G g + P C 9 J d G V t T G 9 j Y X R p b 2 4 + P F N 0 Y W J s Z U V u d H J p Z X M v P j w v S X R l b T 4 8 S X R l b T 4 8 S X R l b U x v Y 2 F 0 a W 9 u P j x J d G V t V H l w Z T 5 G b 3 J t d W x h P C 9 J d G V t V H l w Z T 4 8 S X R l b V B h d G g + U 2 V j d G l v b j E v V H J h c 2 Z v c m 1 h J T I w Z m l s Z S U y M G R p J T I w Z X N l b X B p b y U y M C g 2 K S 9 D b 2 5 2 Z X J z a W 9 u Z S U y M G l u J T I w d G F i Z W x s Y T E 8 L 0 l 0 Z W 1 Q Y X R o P j w v S X R l b U x v Y 2 F 0 a W 9 u P j x T d G F i b G V F b n R y a W V z L z 4 8 L 0 l 0 Z W 0 + P E l 0 Z W 0 + P E l 0 Z W 1 M b 2 N h d G l v b j 4 8 S X R l b V R 5 c G U + R m 9 y b X V s Y T w v S X R l b V R 5 c G U + P E l 0 Z W 1 Q Y X R o P l N l Y 3 R p b 2 4 x L 2 N o Z W s l M j B s a X N 0 J T I w M y 9 P c m l n a W 5 l P C 9 J d G V t U G F 0 a D 4 8 L 0 l 0 Z W 1 M b 2 N h d G l v b j 4 8 U 3 R h Y m x l R W 5 0 c m l l c y 8 + P C 9 J d G V t P j x J d G V t P j x J d G V t T G 9 j Y X R p b 2 4 + P E l 0 Z W 1 U e X B l P k Z v c m 1 1 b G E 8 L 0 l 0 Z W 1 U e X B l P j x J d G V t U G F 0 a D 5 T Z W N 0 a W 9 u M S 9 G a W x l J T I w Z G k l M j B l c 2 V t c G l v J T I w K D E y K S 9 P c m l n a W 5 l P C 9 J d G V t U G F 0 a D 4 8 L 0 l 0 Z W 1 M b 2 N h d G l v b j 4 8 U 3 R h Y m x l R W 5 0 c m l l c y 8 + P C 9 J d G V t P j x J d G V t P j x J d G V t T G 9 j Y X R p b 2 4 + P E l 0 Z W 1 U e X B l P k Z v c m 1 1 b G E 8 L 0 l 0 Z W 1 U e X B l P j x J d G V t U G F 0 a D 5 T Z W N 0 a W 9 u M S 9 G a W x l J T I w Z G k l M j B l c 2 V t c G l v J T I w K D E y K S 9 O Y X Z p Z 2 F 6 a W 9 u Z T E 8 L 0 l 0 Z W 1 Q Y X R o P j w v S X R l b U x v Y 2 F 0 a W 9 u P j x T d G F i b G V F b n R y a W V z L z 4 8 L 0 l 0 Z W 0 + P E l 0 Z W 0 + P E l 0 Z W 1 M b 2 N h d G l v b j 4 8 S X R l b V R 5 c G U + R m 9 y b X V s Y T w v S X R l b V R 5 c G U + P E l 0 Z W 1 Q Y X R o P l N l Y 3 R p b 2 4 x L 1 R y Y X N m b 3 J t Y S U y M G Z p b G U l M j B k a S U y M G V z Z W 1 w a W 8 l M j A o N y k v T 3 J p Z 2 l u Z T w v S X R l b V B h d G g + P C 9 J d G V t T G 9 j Y X R p b 2 4 + P F N 0 Y W J s Z U V u d H J p Z X M v P j w v S X R l b T 4 8 S X R l b T 4 8 S X R l b U x v Y 2 F 0 a W 9 u P j x J d G V t V H l w Z T 5 G b 3 J t d W x h P C 9 J d G V t V H l w Z T 4 8 S X R l b V B h d G g + U 2 V j d G l v b j E v V H J h c 2 Z v c m 1 h J T I w Z m l s Z S U y M C g 3 K S 9 P c m l n a W 5 l P C 9 J d G V t U G F 0 a D 4 8 L 0 l 0 Z W 1 M b 2 N h d G l v b j 4 8 U 3 R h Y m x l R W 5 0 c m l l c y 8 + P C 9 J d G V t P j x J d G V t P j x J d G V t T G 9 j Y X R p b 2 4 + P E l 0 Z W 1 U e X B l P k Z v c m 1 1 b G E 8 L 0 l 0 Z W 1 U e X B l P j x J d G V t U G F 0 a D 5 T Z W N 0 a W 9 u M S 9 j a G V r J T I w b G l z d C U y M D M v R m l s Z S U y M G 5 h c 2 N v c 3 R p J T I w Z m l s d H J h d G k x P C 9 J d G V t U G F 0 a D 4 8 L 0 l 0 Z W 1 M b 2 N h d G l v b j 4 8 U 3 R h Y m x l R W 5 0 c m l l c y 8 + P C 9 J d G V t P j x J d G V t P j x J d G V t T G 9 j Y X R p b 2 4 + P E l 0 Z W 1 U e X B l P k Z v c m 1 1 b G E 8 L 0 l 0 Z W 1 U e X B l P j x J d G V t U G F 0 a D 5 T Z W N 0 a W 9 u M S 9 j a G V r J T I w b G l z d C U y M D M v U m l j a G l h b W E l M j B m d W 5 6 a W 9 u Z S U y M H B l c n N v b m F s a X p 6 Y X R h M T w v S X R l b V B h d G g + P C 9 J d G V t T G 9 j Y X R p b 2 4 + P F N 0 Y W J s Z U V u d H J p Z X M v P j w v S X R l b T 4 8 S X R l b T 4 8 S X R l b U x v Y 2 F 0 a W 9 u P j x J d G V t V H l w Z T 5 G b 3 J t d W x h P C 9 J d G V t V H l w Z T 4 8 S X R l b V B h d G g + U 2 V j d G l v b j E v Y 2 h l a y U y M G x p c 3 Q l M j A z L 1 J p b m 9 t a W 5 h d G U l M j B j b 2 x v b m 5 l M T w v S X R l b V B h d G g + P C 9 J d G V t T G 9 j Y X R p b 2 4 + P F N 0 Y W J s Z U V u d H J p Z X M v P j w v S X R l b T 4 8 S X R l b T 4 8 S X R l b U x v Y 2 F 0 a W 9 u P j x J d G V t V H l w Z T 5 G b 3 J t d W x h P C 9 J d G V t V H l w Z T 4 8 S X R l b V B h d G g + U 2 V j d G l v b j E v Y 2 h l a y U y M G x p c 3 Q l M j A z L 1 J p b W 9 z c 2 U l M j B h b H R y Z S U y M G N v b G 9 u b m U x P C 9 J d G V t U G F 0 a D 4 8 L 0 l 0 Z W 1 M b 2 N h d G l v b j 4 8 U 3 R h Y m x l R W 5 0 c m l l c y 8 + P C 9 J d G V t P j x J d G V t P j x J d G V t T G 9 j Y X R p b 2 4 + P E l 0 Z W 1 U e X B l P k Z v c m 1 1 b G E 8 L 0 l 0 Z W 1 U e X B l P j x J d G V t U G F 0 a D 5 T Z W N 0 a W 9 u M S 9 j a G V r J T I w b G l z d C U y M D M v R X N w Y W 5 z Y S U y M G N v b G 9 u b m E l M j B 0 Y W J s Z T E 8 L 0 l 0 Z W 1 Q Y X R o P j w v S X R l b U x v Y 2 F 0 a W 9 u P j x T d G F i b G V F b n R y a W V z L z 4 8 L 0 l 0 Z W 0 + P E l 0 Z W 0 + P E l 0 Z W 1 M b 2 N h d G l v b j 4 8 S X R l b V R 5 c G U + R m 9 y b X V s Y T w v S X R l b V R 5 c G U + P E l 0 Z W 1 Q Y X R o P l N l Y 3 R p b 2 4 x L 1 R y Y X N m b 3 J t Y S U y M G Z p b G U l M j B k a S U y M G V z Z W 1 w a W 8 l M j A o N y k v Q 2 9 u d m V y c 2 l v b m U l M j B p b i U y M H R h Y m V s b G E x P C 9 J d G V t U G F 0 a D 4 8 L 0 l 0 Z W 1 M b 2 N h d G l v b j 4 8 U 3 R h Y m x l R W 5 0 c m l l c y 8 + P C 9 J d G V t P j x J d G V t P j x J d G V t T G 9 j Y X R p b 2 4 + P E l 0 Z W 1 U e X B l P k Z v c m 1 1 b G E 8 L 0 l 0 Z W 1 U e X B l P j x J d G V t U G F 0 a D 5 T Z W N 0 a W 9 u M S 9 j a G V r J T I w b G l z d C U y M D M v T W 9 k a W Z p Y 2 F 0 b y U y M H R p c G 8 8 L 0 l 0 Z W 1 Q Y X R o P j w v S X R l b U x v Y 2 F 0 a W 9 u P j x T d G F i b G V F b n R y a W V z L z 4 8 L 0 l 0 Z W 0 + P E l 0 Z W 0 + P E l 0 Z W 1 M b 2 N h d G l v b j 4 8 S X R l b V R 5 c G U + R m 9 y b X V s Y T w v S X R l b V R 5 c G U + P E l 0 Z W 1 Q Y X R o P l N l Y 3 R p b 2 4 x L 2 N o Z W s l M j B s a X N 0 J T I w M y 9 G a W x 0 c m F 0 Z S U y M H J p Z 2 h l P C 9 J d G V t U G F 0 a D 4 8 L 0 l 0 Z W 1 M b 2 N h d G l v b j 4 8 U 3 R h Y m x l R W 5 0 c m l l c y 8 + P C 9 J d G V t P j x J d G V t P j x J d G V t T G 9 j Y X R p b 2 4 + P E l 0 Z W 1 U e X B l P k Z v c m 1 1 b G E 8 L 0 l 0 Z W 1 U e X B l P j x J d G V t U G F 0 a D 5 T Z W N 0 a W 9 u M S 9 j a G V r J T I w b G l z d C U y M D M v U 3 V k Z G l 2 a W R p J T I w Y 2 9 s b 2 5 u Y S U y M G l u J T I w Y m F z Z S U y M G F s J T I w Z G V s a W 1 p d G F 0 b 3 J l P C 9 J d G V t U G F 0 a D 4 8 L 0 l 0 Z W 1 M b 2 N h d G l v b j 4 8 U 3 R h Y m x l R W 5 0 c m l l c y 8 + P C 9 J d G V t P j x J d G V t P j x J d G V t T G 9 j Y X R p b 2 4 + P E l 0 Z W 1 U e X B l P k Z v c m 1 1 b G E 8 L 0 l 0 Z W 1 U e X B l P j x J d G V t U G F 0 a D 5 T Z W N 0 a W 9 u M S 9 j a G V r J T I w b G l z d C U y M D M v T W 9 k a W Z p Y 2 F 0 b y U y M H R p c G 8 x P C 9 J d G V t U G F 0 a D 4 8 L 0 l 0 Z W 1 M b 2 N h d G l v b j 4 8 U 3 R h Y m x l R W 5 0 c m l l c y 8 + P C 9 J d G V t P j x J d G V t P j x J d G V t T G 9 j Y X R p b 2 4 + P E l 0 Z W 1 U e X B l P k Z v c m 1 1 b G E 8 L 0 l 0 Z W 1 U e X B l P j x J d G V t U G F 0 a D 5 T Z W N 0 a W 9 u M S 9 j a G V r J T I w b G l z d C U y M D M v U m l t b 3 N z Z S U y M G N v b G 9 u b m U 8 L 0 l 0 Z W 1 Q Y X R o P j w v S X R l b U x v Y 2 F 0 a W 9 u P j x T d G F i b G V F b n R y a W V z L z 4 8 L 0 l 0 Z W 0 + P E l 0 Z W 0 + P E l 0 Z W 1 M b 2 N h d G l v b j 4 8 S X R l b V R 5 c G U + R m 9 y b X V s Y T w v S X R l b V R 5 c G U + P E l 0 Z W 1 Q Y X R o P l N l Y 3 R p b 2 4 x L 2 N o Z W s l M j B s a X N 0 J T I w M y 9 T d W R k a X Z p Z G k l M j B j b 2 x v b m 5 h J T I w a W 4 l M j B i Y X N l J T I w Y W w l M j B k Z W x p b W l 0 Y X R v c m U x P C 9 J d G V t U G F 0 a D 4 8 L 0 l 0 Z W 1 M b 2 N h d G l v b j 4 8 U 3 R h Y m x l R W 5 0 c m l l c y 8 + P C 9 J d G V t P j x J d G V t P j x J d G V t T G 9 j Y X R p b 2 4 + P E l 0 Z W 1 U e X B l P k Z v c m 1 1 b G E 8 L 0 l 0 Z W 1 U e X B l P j x J d G V t U G F 0 a D 5 T Z W N 0 a W 9 u M S 9 j a G V r J T I w b G l z d C U y M D M v T W 9 k a W Z p Y 2 F 0 b y U y M H R p c G 8 y P C 9 J d G V t U G F 0 a D 4 8 L 0 l 0 Z W 1 M b 2 N h d G l v b j 4 8 U 3 R h Y m x l R W 5 0 c m l l c y 8 + P C 9 J d G V t P j x J d G V t P j x J d G V t T G 9 j Y X R p b 2 4 + P E l 0 Z W 1 U e X B l P k Z v c m 1 1 b G E 8 L 0 l 0 Z W 1 U e X B l P j x J d G V t U G F 0 a D 5 T Z W N 0 a W 9 u M S 9 j a G V r J T I w b G l z d C U y M D M v U m l t b 3 N z Z S U y M G N v b G 9 u b m U x P C 9 J d G V t U G F 0 a D 4 8 L 0 l 0 Z W 1 M b 2 N h d G l v b j 4 8 U 3 R h Y m x l R W 5 0 c m l l c y 8 + P C 9 J d G V t P j x J d G V t P j x J d G V t T G 9 j Y X R p b 2 4 + P E l 0 Z W 1 U e X B l P k Z v c m 1 1 b G E 8 L 0 l 0 Z W 1 U e X B l P j x J d G V t U G F 0 a D 5 T Z W N 0 a W 9 u M S 9 j a G V r J T I w b G l z d C U y M D M v V G F i Z W x s Y S U y M F Z h b H V l J T I w Z X N w Y W 5 z Y T w v S X R l b V B h d G g + P C 9 J d G V t T G 9 j Y X R p b 2 4 + P F N 0 Y W J s Z U V u d H J p Z X M v P j w v S X R l b T 4 8 S X R l b T 4 8 S X R l b U x v Y 2 F 0 a W 9 u P j x J d G V t V H l w Z T 5 G b 3 J t d W x h P C 9 J d G V t V H l w Z T 4 8 S X R l b V B h d G g + U 2 V j d G l v b j E v Y 2 h l a y U y M G x p c 3 Q l M j A z L 1 R h Y m V s b G E l M j B W Y W x 1 Z S U y M G V z c G F u c 2 E x P C 9 J d G V t U G F 0 a D 4 8 L 0 l 0 Z W 1 M b 2 N h d G l v b j 4 8 U 3 R h Y m x l R W 5 0 c m l l c y 8 + P C 9 J d G V t P j x J d G V t P j x J d G V t T G 9 j Y X R p b 2 4 + P E l 0 Z W 1 U e X B l P k Z v c m 1 1 b G E 8 L 0 l 0 Z W 1 U e X B l P j x J d G V t U G F 0 a D 5 T Z W N 0 a W 9 u M S 9 j a G V r J T I w b G l z d C U y M D M v V G F i Z W x s Y S U y M F Z h b H V l L n B y b 2 d y Y W 1 t Z U 1 l d G F k Y X R h J T I w Z X N w Y W 5 z Y T w v S X R l b V B h d G g + P C 9 J d G V t T G 9 j Y X R p b 2 4 + P F N 0 Y W J s Z U V u d H J p Z X M v P j w v S X R l b T 4 8 S X R l b T 4 8 S X R l b U x v Y 2 F 0 a W 9 u P j x J d G V t V H l w Z T 5 G b 3 J t d W x h P C 9 J d G V t V H l w Z T 4 8 S X R l b V B h d G g + U 2 V j d G l v b j E v Y 2 h l a y U y M G x p c 3 Q l M j A z L 1 R h Y m V s b G E l M j B W Y W x 1 Z S 5 p b n N 0 Y W 5 j Z U 1 l d G F k Y X R h J T I w Z X N w Y W 5 z Y T w v S X R l b V B h d G g + P C 9 J d G V t T G 9 j Y X R p b 2 4 + P F N 0 Y W J s Z U V u d H J p Z X M v P j w v S X R l b T 4 8 S X R l b T 4 8 S X R l b U x v Y 2 F 0 a W 9 u P j x J d G V t V H l w Z T 5 G b 3 J t d W x h P C 9 J d G V t V H l w Z T 4 8 S X R l b V B h d G g + U 2 V j d G l v b j E v Y 2 h l a y U y M G x p c 3 Q l M j A z L 1 J p b m 9 t a W 5 h d G U l M j B j b 2 x v b m 5 l P C 9 J d G V t U G F 0 a D 4 8 L 0 l 0 Z W 1 M b 2 N h d G l v b j 4 8 U 3 R h Y m x l R W 5 0 c m l l c y 8 + P C 9 J d G V t P j x J d G V t P j x J d G V t T G 9 j Y X R p b 2 4 + P E l 0 Z W 1 U e X B l P k Z v c m 1 1 b G E 8 L 0 l 0 Z W 1 U e X B l P j x J d G V t U G F 0 a D 5 T Z W N 0 a W 9 u M S 9 j a G V r J T I w b G l z d C U y M D M v U m l t b 3 N z Z S U y M G N v b G 9 u b m U y P C 9 J d G V t U G F 0 a D 4 8 L 0 l 0 Z W 1 M b 2 N h d G l v b j 4 8 U 3 R h Y m x l R W 5 0 c m l l c y 8 + P C 9 J d G V t P j x J d G V t P j x J d G V t T G 9 j Y X R p b 2 4 + P E l 0 Z W 1 U e X B l P k Z v c m 1 1 b G E 8 L 0 l 0 Z W 1 U e X B l P j x J d G V t U G F 0 a D 5 T Z W N 0 a W 9 u M S 9 j a G V r J T I w b G l z d C U y M D M v R m l s d H J h d G U l M j B y a W d o Z T E 8 L 0 l 0 Z W 1 Q Y X R o P j w v S X R l b U x v Y 2 F 0 a W 9 u P j x T d G F i b G V F b n R y a W V z L z 4 8 L 0 l 0 Z W 0 + P E l 0 Z W 0 + P E l 0 Z W 1 M b 2 N h d G l v b j 4 8 S X R l b V R 5 c G U + R m 9 y b X V s Y T w v S X R l b V R 5 c G U + P E l 0 Z W 1 Q Y X R o P l N l Y 3 R p b 2 4 x L 0 x p c 3 R P Z k V 4 c G V u Z G l 0 d X J l L 0 9 y a W d p b m U 8 L 0 l 0 Z W 1 Q Y X R o P j w v S X R l b U x v Y 2 F 0 a W 9 u P j x T d G F i b G V F b n R y a W V z L z 4 8 L 0 l 0 Z W 0 + P E l 0 Z W 0 + P E l 0 Z W 1 M b 2 N h d G l v b j 4 8 S X R l b V R 5 c G U + R m 9 y b X V s Y T w v S X R l b V R 5 c G U + P E l 0 Z W 1 Q Y X R o P l N l Y 3 R p b 2 4 x L 0 Z p b G U l M j B k a S U y M G V z Z W 1 w a W 8 l M j A o M T M p L 0 9 y a W d p b m U 8 L 0 l 0 Z W 1 Q Y X R o P j w v S X R l b U x v Y 2 F 0 a W 9 u P j x T d G F i b G V F b n R y a W V z L z 4 8 L 0 l 0 Z W 0 + P E l 0 Z W 0 + P E l 0 Z W 1 M b 2 N h d G l v b j 4 8 S X R l b V R 5 c G U + R m 9 y b X V s Y T w v S X R l b V R 5 c G U + P E l 0 Z W 1 Q Y X R o P l N l Y 3 R p b 2 4 x L 0 Z p b G U l M j B k a S U y M G V z Z W 1 w a W 8 l M j A o M T M p L 0 5 h d m l n Y X p p b 2 5 l M T w v S X R l b V B h d G g + P C 9 J d G V t T G 9 j Y X R p b 2 4 + P F N 0 Y W J s Z U V u d H J p Z X M v P j w v S X R l b T 4 8 S X R l b T 4 8 S X R l b U x v Y 2 F 0 a W 9 u P j x J d G V t V H l w Z T 5 G b 3 J t d W x h P C 9 J d G V t V H l w Z T 4 8 S X R l b V B h d G g + U 2 V j d G l v b j E v V H J h c 2 Z v c m 1 h J T I w Z m l s Z S U y M G R p J T I w Z X N l b X B p b y U y M C g 4 K S 9 P c m l n a W 5 l P C 9 J d G V t U G F 0 a D 4 8 L 0 l 0 Z W 1 M b 2 N h d G l v b j 4 8 U 3 R h Y m x l R W 5 0 c m l l c y 8 + P C 9 J d G V t P j x J d G V t P j x J d G V t T G 9 j Y X R p b 2 4 + P E l 0 Z W 1 U e X B l P k Z v c m 1 1 b G E 8 L 0 l 0 Z W 1 U e X B l P j x J d G V t U G F 0 a D 5 T Z W N 0 a W 9 u M S 9 U c m F z Z m 9 y b W E l M j B m a W x l J T I w K D g p L 0 9 y a W d p b m U 8 L 0 l 0 Z W 1 Q Y X R o P j w v S X R l b U x v Y 2 F 0 a W 9 u P j x T d G F i b G V F b n R y a W V z L z 4 8 L 0 l 0 Z W 0 + P E l 0 Z W 0 + P E l 0 Z W 1 M b 2 N h d G l v b j 4 8 S X R l b V R 5 c G U + R m 9 y b X V s Y T w v S X R l b V R 5 c G U + P E l 0 Z W 1 Q Y X R o P l N l Y 3 R p b 2 4 x L 0 x p c 3 R P Z k V 4 c G V u Z G l 0 d X J l L 0 Z p b G U l M j B u Y X N j b 3 N 0 a S U y M G Z p b H R y Y X R p M T w v S X R l b V B h d G g + P C 9 J d G V t T G 9 j Y X R p b 2 4 + P F N 0 Y W J s Z U V u d H J p Z X M v P j w v S X R l b T 4 8 S X R l b T 4 8 S X R l b U x v Y 2 F 0 a W 9 u P j x J d G V t V H l w Z T 5 G b 3 J t d W x h P C 9 J d G V t V H l w Z T 4 8 S X R l b V B h d G g + U 2 V j d G l v b j E v T G l z d E 9 m R X h w Z W 5 k a X R 1 c m U v U m l j a G l h b W E l M j B m d W 5 6 a W 9 u Z S U y M H B l c n N v b m F s a X p 6 Y X R h M T w v S X R l b V B h d G g + P C 9 J d G V t T G 9 j Y X R p b 2 4 + P F N 0 Y W J s Z U V u d H J p Z X M v P j w v S X R l b T 4 8 S X R l b T 4 8 S X R l b U x v Y 2 F 0 a W 9 u P j x J d G V t V H l w Z T 5 G b 3 J t d W x h P C 9 J d G V t V H l w Z T 4 8 S X R l b V B h d G g + U 2 V j d G l v b j E v T G l z d E 9 m R X h w Z W 5 k a X R 1 c m U v U m l u b 2 1 p b m F 0 Z S U y M G N v b G 9 u b m U x P C 9 J d G V t U G F 0 a D 4 8 L 0 l 0 Z W 1 M b 2 N h d G l v b j 4 8 U 3 R h Y m x l R W 5 0 c m l l c y 8 + P C 9 J d G V t P j x J d G V t P j x J d G V t T G 9 j Y X R p b 2 4 + P E l 0 Z W 1 U e X B l P k Z v c m 1 1 b G E 8 L 0 l 0 Z W 1 U e X B l P j x J d G V t U G F 0 a D 5 T Z W N 0 a W 9 u M S 9 U c m F z Z m 9 y b W E l M j B m a W x l J T I w Z G k l M j B l c 2 V t c G l v J T I w K D g p L 0 N v b n Z l c n N p b 2 5 l J T I w a W 4 l M j B 0 Y W J l b G x h M T w v S X R l b V B h d G g + P C 9 J d G V t T G 9 j Y X R p b 2 4 + P F N 0 Y W J s Z U V u d H J p Z X M v P j w v S X R l b T 4 8 S X R l b T 4 8 S X R l b U x v Y 2 F 0 a W 9 u P j x J d G V t V H l w Z T 5 G b 3 J t d W x h P C 9 J d G V t V H l w Z T 4 8 S X R l b V B h d G g + U 2 V j d G l v b j E v T G l z d E 9 m R X h w Z W 5 k a X R 1 c m U v Q W 5 h b G l 6 e m F 0 b y U y M E p T T 0 4 8 L 0 l 0 Z W 1 Q Y X R o P j w v S X R l b U x v Y 2 F 0 a W 9 u P j x T d G F i b G V F b n R y a W V z L z 4 8 L 0 l 0 Z W 0 + P E l 0 Z W 0 + P E l 0 Z W 1 M b 2 N h d G l v b j 4 8 S X R l b V R 5 c G U + R m 9 y b X V s Y T w v S X R l b V R 5 c G U + P E l 0 Z W 1 Q Y X R o P l N l Y 3 R p b 2 4 x L 0 x p c 3 R P Z k V 4 c G V u Z G l 0 d X J l L 1 R h Y m V s b G E l M j B D b 2 5 0 Z W 5 0 J T I w Z X N w Y W 5 z Y T w v S X R l b V B h d G g + P C 9 J d G V t T G 9 j Y X R p b 2 4 + P F N 0 Y W J s Z U V u d H J p Z X M v P j w v S X R l b T 4 8 S X R l b T 4 8 S X R l b U x v Y 2 F 0 a W 9 u P j x J d G V t V H l w Z T 5 G b 3 J t d W x h P C 9 J d G V t V H l w Z T 4 8 S X R l b V B h d G g + U 2 V j d G l v b j E v T G l z d E 9 m R X h w Z W 5 k a X R 1 c m U v V G F i Z W x s Y S U y M E N v b n R l b n Q l M j B l c 3 B h b n N h M T w v S X R l b V B h d G g + P C 9 J d G V t T G 9 j Y X R p b 2 4 + P F N 0 Y W J s Z U V u d H J p Z X M v P j w v S X R l b T 4 8 S X R l b T 4 8 S X R l b U x v Y 2 F 0 a W 9 u P j x J d G V t V H l w Z T 5 G b 3 J t d W x h P C 9 J d G V t V H l w Z T 4 8 S X R l b V B h d G g + U 2 V j d G l v b j E v T G l z d E 9 m R X h w Z W 5 k a X R 1 c m U v U m l t b 3 N z Z S U y M G N v b G 9 u b m U 8 L 0 l 0 Z W 1 Q Y X R o P j w v S X R l b U x v Y 2 F 0 a W 9 u P j x T d G F i b G V F b n R y a W V z L z 4 8 L 0 l 0 Z W 0 + P E l 0 Z W 0 + P E l 0 Z W 1 M b 2 N h d G l v b j 4 8 S X R l b V R 5 c G U + R m 9 y b X V s Y T w v S X R l b V R 5 c G U + P E l 0 Z W 1 Q Y X R o P l N l Y 3 R p b 2 4 x L 0 x p c 3 R P Z k V 4 c G V u Z G l 0 d X J l L 1 N 1 Z G R p d m l k a S U y M G N v b G 9 u b m E l M j B p b i U y M G J h c 2 U l M j B h b C U y M G R l b G l t a X R h d G 9 y Z T w v S X R l b V B h d G g + P C 9 J d G V t T G 9 j Y X R p b 2 4 + P F N 0 Y W J s Z U V u d H J p Z X M v P j w v S X R l b T 4 8 S X R l b T 4 8 S X R l b U x v Y 2 F 0 a W 9 u P j x J d G V t V H l w Z T 5 G b 3 J t d W x h P C 9 J d G V t V H l w Z T 4 8 S X R l b V B h d G g + U 2 V j d G l v b j E v T G l z d E 9 m R X h w Z W 5 k a X R 1 c m U v T W 9 k a W Z p Y 2 F 0 b y U y M H R p c G 8 8 L 0 l 0 Z W 1 Q Y X R o P j w v S X R l b U x v Y 2 F 0 a W 9 u P j x T d G F i b G V F b n R y a W V z L z 4 8 L 0 l 0 Z W 0 + P E l 0 Z W 0 + P E l 0 Z W 1 M b 2 N h d G l v b j 4 8 S X R l b V R 5 c G U + R m 9 y b X V s Y T w v S X R l b V R 5 c G U + P E l 0 Z W 1 Q Y X R o P l N l Y 3 R p b 2 4 x L 0 x p c 3 R P Z k V 4 c G V u Z G l 0 d X J l L 1 J p b W 9 z c 2 U l M j B j b 2 x v b m 5 l M T w v S X R l b V B h d G g + P C 9 J d G V t T G 9 j Y X R p b 2 4 + P F N 0 Y W J s Z U V u d H J p Z X M v P j w v S X R l b T 4 8 S X R l b T 4 8 S X R l b U x v Y 2 F 0 a W 9 u P j x J d G V t V H l w Z T 5 G b 3 J t d W x h P C 9 J d G V t V H l w Z T 4 8 S X R l b V B h d G g + U 2 V j d G l v b j E v T G l z d E 9 m R X h w Z W 5 k a X R 1 c m U v U 3 V k Z G l 2 a W R p J T I w Y 2 9 s b 2 5 u Y S U y M G l u J T I w Y m F z Z S U y M G F s J T I w Z G V s a W 1 p d G F 0 b 3 J l M T w v S X R l b V B h d G g + P C 9 J d G V t T G 9 j Y X R p b 2 4 + P F N 0 Y W J s Z U V u d H J p Z X M v P j w v S X R l b T 4 8 S X R l b T 4 8 S X R l b U x v Y 2 F 0 a W 9 u P j x J d G V t V H l w Z T 5 G b 3 J t d W x h P C 9 J d G V t V H l w Z T 4 8 S X R l b V B h d G g + U 2 V j d G l v b j E v T G l z d E 9 m R X h w Z W 5 k a X R 1 c m U v T W 9 k a W Z p Y 2 F 0 b y U y M H R p c G 8 x P C 9 J d G V t U G F 0 a D 4 8 L 0 l 0 Z W 1 M b 2 N h d G l v b j 4 8 U 3 R h Y m x l R W 5 0 c m l l c y 8 + P C 9 J d G V t P j x J d G V t P j x J d G V t T G 9 j Y X R p b 2 4 + P E l 0 Z W 1 U e X B l P k Z v c m 1 1 b G E 8 L 0 l 0 Z W 1 U e X B l P j x J d G V t U G F 0 a D 5 T Z W N 0 a W 9 u M S 9 M a X N 0 T 2 Z F e H B l b m R p d H V y Z S 9 S a W 1 v c 3 N l J T I w Y 2 9 s b 2 5 u Z T I 8 L 0 l 0 Z W 1 Q Y X R o P j w v S X R l b U x v Y 2 F 0 a W 9 u P j x T d G F i b G V F b n R y a W V z L z 4 8 L 0 l 0 Z W 0 + P E l 0 Z W 0 + P E l 0 Z W 1 M b 2 N h d G l v b j 4 8 S X R l b V R 5 c G U + R m 9 y b X V s Y T w v S X R l b V R 5 c G U + P E l 0 Z W 1 Q Y X R o P l N l Y 3 R p b 2 4 x L 0 x p c 3 R P Z k V 4 c G V u Z G l 0 d X J l L 1 J p b m 9 t a W 5 h d G U l M j B j b 2 x v b m 5 l P C 9 J d G V t U G F 0 a D 4 8 L 0 l 0 Z W 1 M b 2 N h d G l v b j 4 8 U 3 R h Y m x l R W 5 0 c m l l c y 8 + P C 9 J d G V t P j x J d G V t P j x J d G V t T G 9 j Y X R p b 2 4 + P E l 0 Z W 1 U e X B l P k Z v c m 1 1 b G E 8 L 0 l 0 Z W 1 U e X B l P j x J d G V t U G F 0 a D 5 T Z W N 0 a W 9 u M S 9 J X 0 1 p Z W l f U m V u Z G l j b 2 5 0 a S 9 P c m R p b m F 0 Z S U y M H J p Z 2 h l P C 9 J d G V t U G F 0 a D 4 8 L 0 l 0 Z W 1 M b 2 N h d G l v b j 4 8 U 3 R h Y m x l R W 5 0 c m l l c y 8 + P C 9 J d G V t P j x J d G V t P j x J d G V t T G 9 j Y X R p b 2 4 + P E l 0 Z W 1 U e X B l P k Z v c m 1 1 b G E 8 L 0 l 0 Z W 1 U e X B l P j x J d G V t U G F 0 a D 5 T Z W N 0 a W 9 u M S 9 J X 0 1 p Z W l f U m V u Z G l j b 2 5 0 a S 9 N b 2 R p Z m l j Y X R v J T I w d G l w b z w v S X R l b V B h d G g + P C 9 J d G V t T G 9 j Y X R p b 2 4 + P F N 0 Y W J s Z U V u d H J p Z X M v P j w v S X R l b T 4 8 S X R l b T 4 8 S X R l b U x v Y 2 F 0 a W 9 u P j x J d G V t V H l w Z T 5 G b 3 J t d W x h P C 9 J d G V t V H l w Z T 4 8 S X R l b V B h d G g + U 2 V j d G l v b j E v S W 5 0 Z X J y Z W c l M j B W S S 1 B J T I w S X R h b H k t U 2 x v d m V u a W F f c H J v a m V j d F 9 l b l 9 l b l 8 y M D I 0 M D Y x M V 8 x M T Q 2 M z Q v T 3 J p Z 2 l u Z T w v S X R l b V B h d G g + P C 9 J d G V t T G 9 j Y X R p b 2 4 + P F N 0 Y W J s Z U V u d H J p Z X M v P j w v S X R l b T 4 8 S X R l b T 4 8 S X R l b U x v Y 2 F 0 a W 9 u P j x J d G V t V H l w Z T 5 G b 3 J t d W x h P C 9 J d G V t V H l w Z T 4 8 S X R l b V B h d G g + U 2 V j d G l v b j E v S W 5 0 Z X J y Z W c l M j B W S S 1 B J T I w S X R h b H k t U 2 x v d m V u a W F f c H J v a m V j d F 9 l b l 9 l b l 8 y M D I 0 M D Y x M V 8 x M T Q 2 M z Q v c H J v Z 3 J h b W 1 l P C 9 J d G V t U G F 0 a D 4 8 L 0 l 0 Z W 1 M b 2 N h d G l v b j 4 8 U 3 R h Y m x l R W 5 0 c m l l c y 8 + P C 9 J d G V t P j x J d G V t P j x J d G V t T G 9 j Y X R p b 2 4 + P E l 0 Z W 1 U e X B l P k Z v c m 1 1 b G E 8 L 0 l 0 Z W 1 U e X B l P j x J d G V t U G F 0 a D 5 T Z W N 0 a W 9 u M S 9 J b n R l c n J l Z y U y M F Z J L U E l M j B J d G F s e S 1 T b G 9 2 Z W 5 p Y V 9 w c m 9 q Z W N 0 X 2 V u X 2 V u X z I w M j Q w N j E x X z E x N D Y z N C 9 w c m 9 q Z W N 0 P C 9 J d G V t U G F 0 a D 4 8 L 0 l 0 Z W 1 M b 2 N h d G l v b j 4 8 U 3 R h Y m x l R W 5 0 c m l l c y 8 + P C 9 J d G V t P j x J d G V t P j x J d G V t T G 9 j Y X R p b 2 4 + P E l 0 Z W 1 U e X B l P k Z v c m 1 1 b G E 8 L 0 l 0 Z W 1 U e X B l P j x J d G V t U G F 0 a D 5 T Z W N 0 a W 9 u M S 9 J b n R l c n J l Z y U y M F Z J L U E l M j B J d G F s e S 1 T b G 9 2 Z W 5 p Y V 9 w c m 9 q Z W N 0 X 2 V u X 2 V u X z I w M j Q w N j E x X z E x N D Y z N C 9 D b 2 5 2 Z X J z a W 9 u Z S U y M G l u J T I w d G F i Z W x s Y T w v S X R l b V B h d G g + P C 9 J d G V t T G 9 j Y X R p b 2 4 + P F N 0 Y W J s Z U V u d H J p Z X M v P j w v S X R l b T 4 8 S X R l b T 4 8 S X R l b U x v Y 2 F 0 a W 9 u P j x J d G V t V H l w Z T 5 G b 3 J t d W x h P C 9 J d G V t V H l w Z T 4 8 S X R l b V B h d G g + U 2 V j d G l v b j E v S W 5 0 Z X J y Z W c l M j B W S S 1 B J T I w S X R h b H k t U 2 x v d m V u a W F f c H J v a m V j d F 9 l b l 9 l b l 8 y M D I 0 M D Y x M V 8 x M T Q 2 M z Q v V G F i Z W x s Y S U y M E N v b H V t b j E l M j B l c 3 B h b n N h P C 9 J d G V t U G F 0 a D 4 8 L 0 l 0 Z W 1 M b 2 N h d G l v b j 4 8 U 3 R h Y m x l R W 5 0 c m l l c y 8 + P C 9 J d G V t P j x J d G V t P j x J d G V t T G 9 j Y X R p b 2 4 + P E l 0 Z W 1 U e X B l P k Z v c m 1 1 b G E 8 L 0 l 0 Z W 1 U e X B l P j x J d G V t U G F 0 a D 5 T Z W N 0 a W 9 u M S 9 J b n R l c n J l Z y U y M F Z J L U E l M j B J d G F s e S 1 T b G 9 2 Z W 5 p Y V 9 w c m 9 q Z W N 0 X 2 V u X 2 V u X z I w M j Q w N j E x X z E x N D Y z N C 9 N b 2 R p Z m l j Y X R v J T I w d G l w b z w v S X R l b V B h d G g + P C 9 J d G V t T G 9 j Y X R p b 2 4 + P F N 0 Y W J s Z U V u d H J p Z X M v P j w v S X R l b T 4 8 S X R l b T 4 8 S X R l b U x v Y 2 F 0 a W 9 u P j x J d G V t V H l w Z T 5 G b 3 J t d W x h P C 9 J d G V t V H l w Z T 4 8 S X R l b V B h d G g + U 2 V j d G l v b j E v S V 9 N a W V p X 1 J l b m R p Y 2 9 u d G k v U 2 9 z d G l 0 d W l 0 b y U y M H Z h b G 9 y Z T w v S X R l b V B h d G g + P C 9 J d G V t T G 9 j Y X R p b 2 4 + P F N 0 Y W J s Z U V u d H J p Z X M v P j w v S X R l b T 4 8 S X R l b T 4 8 S X R l b U x v Y 2 F 0 a W 9 u P j x J d G V t V H l w Z T 5 G b 3 J t d W x h P C 9 J d G V t V H l w Z T 4 8 S X R l b V B h d G g + U 2 V j d G l v b j E v U H J v Z 2 V 0 d G k v T 3 J p Z 2 l u Z T w v S X R l b V B h d G g + P C 9 J d G V t T G 9 j Y X R p b 2 4 + P F N 0 Y W J s Z U V u d H J p Z X M v P j w v S X R l b T 4 8 S X R l b T 4 8 S X R l b U x v Y 2 F 0 a W 9 u P j x J d G V t V H l w Z T 5 G b 3 J t d W x h P C 9 J d G V t V H l w Z T 4 8 S X R l b V B h d G g + U 2 V j d G l v b j E v U H J v Z 2 V 0 d G k v Y 2 9 u d G V u d D w v S X R l b V B h d G g + P C 9 J d G V t T G 9 j Y X R p b 2 4 + P F N 0 Y W J s Z U V u d H J p Z X M v P j w v S X R l b T 4 8 S X R l b T 4 8 S X R l b U x v Y 2 F 0 a W 9 u P j x J d G V t V H l w Z T 5 G b 3 J t d W x h P C 9 J d G V t V H l w Z T 4 8 S X R l b V B h d G g + U 2 V j d G l v b j E v U H J v Z 2 V 0 d G k v Q 2 9 u d m V y c 2 l v b m U l M j B p b i U y M H R h Y m V s b G E 8 L 0 l 0 Z W 1 Q Y X R o P j w v S X R l b U x v Y 2 F 0 a W 9 u P j x T d G F i b G V F b n R y a W V z L z 4 8 L 0 l 0 Z W 0 + P E l 0 Z W 0 + P E l 0 Z W 1 M b 2 N h d G l v b j 4 8 S X R l b V R 5 c G U + R m 9 y b X V s Y T w v S X R l b V R 5 c G U + P E l 0 Z W 1 Q Y X R o P l N l Y 3 R p b 2 4 x L 1 B y b 2 d l d H R p L 1 R h Y m V s b G E l M j B D b 2 x 1 b W 4 x J T I w Z X N w Y W 5 z Y T w v S X R l b V B h d G g + P C 9 J d G V t T G 9 j Y X R p b 2 4 + P F N 0 Y W J s Z U V u d H J p Z X M v P j w v S X R l b T 4 8 S X R l b T 4 8 S X R l b U x v Y 2 F 0 a W 9 u P j x J d G V t V H l w Z T 5 G b 3 J t d W x h P C 9 J d G V t V H l w Z T 4 8 S X R l b V B h d G g + U 2 V j d G l v b j E v U H J v Z 2 V 0 d G k v R m l s d H J h d G U l M j B y a W d o Z T w v S X R l b V B h d G g + P C 9 J d G V t T G 9 j Y X R p b 2 4 + P F N 0 Y W J s Z U V u d H J p Z X M v P j w v S X R l b T 4 8 S X R l b T 4 8 S X R l b U x v Y 2 F 0 a W 9 u P j x J d G V t V H l w Z T 5 G b 3 J t d W x h P C 9 J d G V t V H l w Z T 4 8 S X R l b V B h d G g + U 2 V j d G l v b j E v Z W x l b m N v J T I w c G F y d G 5 l c i 9 P c m l n a W 5 l P C 9 J d G V t U G F 0 a D 4 8 L 0 l 0 Z W 1 M b 2 N h d G l v b j 4 8 U 3 R h Y m x l R W 5 0 c m l l c y 8 + P C 9 J d G V t P j x J d G V t P j x J d G V t T G 9 j Y X R p b 2 4 + P E l 0 Z W 1 U e X B l P k Z v c m 1 1 b G E 8 L 0 l 0 Z W 1 U e X B l P j x J d G V t U G F 0 a D 5 T Z W N 0 a W 9 u M S 9 G a W x l J T I w Z G k l M j B l c 2 V t c G l v J T I w K D E 0 K S 9 P c m l n a W 5 l P C 9 J d G V t U G F 0 a D 4 8 L 0 l 0 Z W 1 M b 2 N h d G l v b j 4 8 U 3 R h Y m x l R W 5 0 c m l l c y 8 + P C 9 J d G V t P j x J d G V t P j x J d G V t T G 9 j Y X R p b 2 4 + P E l 0 Z W 1 U e X B l P k Z v c m 1 1 b G E 8 L 0 l 0 Z W 1 U e X B l P j x J d G V t U G F 0 a D 5 T Z W N 0 a W 9 u M S 9 G a W x l J T I w Z G k l M j B l c 2 V t c G l v J T I w K D E 0 K S 9 O Y X Z p Z 2 F 6 a W 9 u Z T E 8 L 0 l 0 Z W 1 Q Y X R o P j w v S X R l b U x v Y 2 F 0 a W 9 u P j x T d G F i b G V F b n R y a W V z L z 4 8 L 0 l 0 Z W 0 + P E l 0 Z W 0 + P E l 0 Z W 1 M b 2 N h d G l v b j 4 8 S X R l b V R 5 c G U + R m 9 y b X V s Y T w v S X R l b V R 5 c G U + P E l 0 Z W 1 Q Y X R o P l N l Y 3 R p b 2 4 x L 1 R y Y X N m b 3 J t Y S U y M G Z p b G U l M j B k a S U y M G V z Z W 1 w a W 8 l M j A o O S k v T 3 J p Z 2 l u Z T w v S X R l b V B h d G g + P C 9 J d G V t T G 9 j Y X R p b 2 4 + P F N 0 Y W J s Z U V u d H J p Z X M v P j w v S X R l b T 4 8 S X R l b T 4 8 S X R l b U x v Y 2 F 0 a W 9 u P j x J d G V t V H l w Z T 5 G b 3 J t d W x h P C 9 J d G V t V H l w Z T 4 8 S X R l b V B h d G g + U 2 V j d G l v b j E v V H J h c 2 Z v c m 1 h J T I w Z m l s Z S U y M C g 5 K S 9 P c m l n a W 5 l P C 9 J d G V t U G F 0 a D 4 8 L 0 l 0 Z W 1 M b 2 N h d G l v b j 4 8 U 3 R h Y m x l R W 5 0 c m l l c y 8 + P C 9 J d G V t P j x J d G V t P j x J d G V t T G 9 j Y X R p b 2 4 + P E l 0 Z W 1 U e X B l P k Z v c m 1 1 b G E 8 L 0 l 0 Z W 1 U e X B l P j x J d G V t U G F 0 a D 5 T Z W N 0 a W 9 u M S 9 l b G V u Y 2 8 l M j B w Y X J 0 b m V y L 0 Z p b G U l M j B u Y X N j b 3 N 0 a S U y M G Z p b H R y Y X R p M T w v S X R l b V B h d G g + P C 9 J d G V t T G 9 j Y X R p b 2 4 + P F N 0 Y W J s Z U V u d H J p Z X M v P j w v S X R l b T 4 8 S X R l b T 4 8 S X R l b U x v Y 2 F 0 a W 9 u P j x J d G V t V H l w Z T 5 G b 3 J t d W x h P C 9 J d G V t V H l w Z T 4 8 S X R l b V B h d G g + U 2 V j d G l v b j E v Z W x l b m N v J T I w c G F y d G 5 l c i 9 S a W N o a W F t Y S U y M G Z 1 b n p p b 2 5 l J T I w c G V y c 2 9 u Y W x p e n p h d G E x P C 9 J d G V t U G F 0 a D 4 8 L 0 l 0 Z W 1 M b 2 N h d G l v b j 4 8 U 3 R h Y m x l R W 5 0 c m l l c y 8 + P C 9 J d G V t P j x J d G V t P j x J d G V t T G 9 j Y X R p b 2 4 + P E l 0 Z W 1 U e X B l P k Z v c m 1 1 b G E 8 L 0 l 0 Z W 1 U e X B l P j x J d G V t U G F 0 a D 5 T Z W N 0 a W 9 u M S 9 l b G V u Y 2 8 l M j B w Y X J 0 b m V y L 1 J p b m 9 t a W 5 h d G U l M j B j b 2 x v b m 5 l M T w v S X R l b V B h d G g + P C 9 J d G V t T G 9 j Y X R p b 2 4 + P F N 0 Y W J s Z U V u d H J p Z X M v P j w v S X R l b T 4 8 S X R l b T 4 8 S X R l b U x v Y 2 F 0 a W 9 u P j x J d G V t V H l w Z T 5 G b 3 J t d W x h P C 9 J d G V t V H l w Z T 4 8 S X R l b V B h d G g + U 2 V j d G l v b j E v Z W x l b m N v J T I w c G F y d G 5 l c i 9 S a W 1 v c 3 N l J T I w Y W x 0 c m U l M j B j b 2 x v b m 5 l M T w v S X R l b V B h d G g + P C 9 J d G V t T G 9 j Y X R p b 2 4 + P F N 0 Y W J s Z U V u d H J p Z X M v P j w v S X R l b T 4 8 S X R l b T 4 8 S X R l b U x v Y 2 F 0 a W 9 u P j x J d G V t V H l w Z T 5 G b 3 J t d W x h P C 9 J d G V t V H l w Z T 4 8 S X R l b V B h d G g + U 2 V j d G l v b j E v Z W x l b m N v J T I w c G F y d G 5 l c i 9 F c 3 B h b n N h J T I w Y 2 9 s b 2 5 u Y S U y M H R h Y m x l M T w v S X R l b V B h d G g + P C 9 J d G V t T G 9 j Y X R p b 2 4 + P F N 0 Y W J s Z U V u d H J p Z X M v P j w v S X R l b T 4 8 S X R l b T 4 8 S X R l b U x v Y 2 F 0 a W 9 u P j x J d G V t V H l w Z T 5 G b 3 J t d W x h P C 9 J d G V t V H l w Z T 4 8 S X R l b V B h d G g + U 2 V j d G l v b j E v V H J h c 2 Z v c m 1 h J T I w Z m l s Z S U y M G R p J T I w Z X N l b X B p b y U y M C g 5 K S 9 D b 2 5 2 Z X J z a W 9 u Z S U y M G l u J T I w d G F i Z W x s Y T E 8 L 0 l 0 Z W 1 Q Y X R o P j w v S X R l b U x v Y 2 F 0 a W 9 u P j x T d G F i b G V F b n R y a W V z L z 4 8 L 0 l 0 Z W 0 + P E l 0 Z W 0 + P E l 0 Z W 1 M b 2 N h d G l v b j 4 8 S X R l b V R 5 c G U + R m 9 y b X V s Y T w v S X R l b V R 5 c G U + P E l 0 Z W 1 Q Y X R o P l N l Y 3 R p b 2 4 x L 2 V s Z W 5 j b y U y M H B h c n R u Z X I v T W 9 k a W Z p Y 2 F 0 b y U y M H R p c G 8 8 L 0 l 0 Z W 1 Q Y X R o P j w v S X R l b U x v Y 2 F 0 a W 9 u P j x T d G F i b G V F b n R y a W V z L z 4 8 L 0 l 0 Z W 0 + P E l 0 Z W 0 + P E l 0 Z W 1 M b 2 N h d G l v b j 4 8 S X R l b V R 5 c G U + R m 9 y b X V s Y T w v S X R l b V R 5 c G U + P E l 0 Z W 1 Q Y X R o P l N l Y 3 R p b 2 4 x L 2 V s Z W 5 j b y U y M H B h c n R u Z X I v R m l s d H J h d G U l M j B y a W d o Z T w v S X R l b V B h d G g + P C 9 J d G V t T G 9 j Y X R p b 2 4 + P F N 0 Y W J s Z U V u d H J p Z X M v P j w v S X R l b T 4 8 S X R l b T 4 8 S X R l b U x v Y 2 F 0 a W 9 u P j x J d G V t V H l w Z T 5 G b 3 J t d W x h P C 9 J d G V t V H l w Z T 4 8 S X R l b V B h d G g + U 2 V j d G l v b j E v Z W x l b m N v J T I w c G F y d G 5 l c i 9 U Y W J l b G x h J T I w V m F s d W U l M j B l c 3 B h b n N h P C 9 J d G V t U G F 0 a D 4 8 L 0 l 0 Z W 1 M b 2 N h d G l v b j 4 8 U 3 R h Y m x l R W 5 0 c m l l c y 8 + P C 9 J d G V t P j x J d G V t P j x J d G V t T G 9 j Y X R p b 2 4 + P E l 0 Z W 1 U e X B l P k Z v c m 1 1 b G E 8 L 0 l 0 Z W 1 U e X B l P j x J d G V t U G F 0 a D 5 T Z W N 0 a W 9 u M S 9 l b G V u Y 2 8 l M j B w Y X J 0 b m V y L 1 R h Y m V s b G E l M j B W Y W x 1 Z S U y M G V z c G F u c 2 E x P C 9 J d G V t U G F 0 a D 4 8 L 0 l 0 Z W 1 M b 2 N h d G l v b j 4 8 U 3 R h Y m x l R W 5 0 c m l l c y 8 + P C 9 J d G V t P j x J d G V t P j x J d G V t T G 9 j Y X R p b 2 4 + P E l 0 Z W 1 U e X B l P k Z v c m 1 1 b G E 8 L 0 l 0 Z W 1 U e X B l P j x J d G V t U G F 0 a D 5 T Z W N 0 a W 9 u M S 9 l b G V u Y 2 8 l M j B w Y X J 0 b m V y L 1 R h Y m V s b G E l M j B W Y W x 1 Z S 5 w Y X J 0 b m V y U 3 V t b W F y e S U y M G V z c G F u c 2 E 8 L 0 l 0 Z W 1 Q Y X R o P j w v S X R l b U x v Y 2 F 0 a W 9 u P j x T d G F i b G V F b n R y a W V z L z 4 8 L 0 l 0 Z W 0 + P E l 0 Z W 0 + P E l 0 Z W 1 M b 2 N h d G l v b j 4 8 S X R l b V R 5 c G U + R m 9 y b X V s Y T w v S X R l b V R 5 c G U + P E l 0 Z W 1 Q Y X R o P l N l Y 3 R p b 2 4 x L 2 V s Z W 5 j b y U y M H B h c n R u Z X I v U 3 V k Z G l 2 a W R p J T I w Y 2 9 s b 2 5 u Y S U y M G l u J T I w Y m F z Z S U y M G F s J T I w Z G V s a W 1 p d G F 0 b 3 J l P C 9 J d G V t U G F 0 a D 4 8 L 0 l 0 Z W 1 M b 2 N h d G l v b j 4 8 U 3 R h Y m x l R W 5 0 c m l l c y 8 + P C 9 J d G V t P j x J d G V t P j x J d G V t T G 9 j Y X R p b 2 4 + P E l 0 Z W 1 U e X B l P k Z v c m 1 1 b G E 8 L 0 l 0 Z W 1 U e X B l P j x J d G V t U G F 0 a D 5 T Z W N 0 a W 9 u M S 9 l b G V u Y 2 8 l M j B w Y X J 0 b m V y L 0 1 v Z G l m a W N h d G 8 l M j B 0 a X B v M T w v S X R l b V B h d G g + P C 9 J d G V t T G 9 j Y X R p b 2 4 + P F N 0 Y W J s Z U V u d H J p Z X M v P j w v S X R l b T 4 8 S X R l b T 4 8 S X R l b U x v Y 2 F 0 a W 9 u P j x J d G V t V H l w Z T 5 G b 3 J t d W x h P C 9 J d G V t V H l w Z T 4 8 S X R l b V B h d G g + U 2 V j d G l v b j E v Z W x l b m N v J T I w c G F y d G 5 l c i 9 S a W 1 v c 3 N l J T I w Y 2 9 s b 2 5 u Z T w v S X R l b V B h d G g + P C 9 J d G V t T G 9 j Y X R p b 2 4 + P F N 0 Y W J s Z U V u d H J p Z X M v P j w v S X R l b T 4 8 S X R l b T 4 8 S X R l b U x v Y 2 F 0 a W 9 u P j x J d G V t V H l w Z T 5 G b 3 J t d W x h P C 9 J d G V t V H l w Z T 4 8 S X R l b V B h d G g + U 2 V j d G l v b j E v Z W x l b m N v J T I w c G F y d G 5 l c i 9 T d W R k a X Z p Z G k l M j B j b 2 x v b m 5 h J T I w a W 4 l M j B i Y X N l J T I w Y W w l M j B k Z W x p b W l 0 Y X R v c m U x P C 9 J d G V t U G F 0 a D 4 8 L 0 l 0 Z W 1 M b 2 N h d G l v b j 4 8 U 3 R h Y m x l R W 5 0 c m l l c y 8 + P C 9 J d G V t P j x J d G V t P j x J d G V t T G 9 j Y X R p b 2 4 + P E l 0 Z W 1 U e X B l P k Z v c m 1 1 b G E 8 L 0 l 0 Z W 1 U e X B l P j x J d G V t U G F 0 a D 5 T Z W N 0 a W 9 u M S 9 l b G V u Y 2 8 l M j B w Y X J 0 b m V y L 0 1 v Z G l m a W N h d G 8 l M j B 0 a X B v M j w v S X R l b V B h d G g + P C 9 J d G V t T G 9 j Y X R p b 2 4 + P F N 0 Y W J s Z U V u d H J p Z X M v P j w v S X R l b T 4 8 S X R l b T 4 8 S X R l b U x v Y 2 F 0 a W 9 u P j x J d G V t V H l w Z T 5 G b 3 J t d W x h P C 9 J d G V t V H l w Z T 4 8 S X R l b V B h d G g + U 2 V j d G l v b j E v Z W x l b m N v J T I w c G F y d G 5 l c i 9 S a W 1 v c 3 N l J T I w Y 2 9 s b 2 5 u Z T E 8 L 0 l 0 Z W 1 Q Y X R o P j w v S X R l b U x v Y 2 F 0 a W 9 u P j x T d G F i b G V F b n R y a W V z L z 4 8 L 0 l 0 Z W 0 + P E l 0 Z W 0 + P E l 0 Z W 1 M b 2 N h d G l v b j 4 8 S X R l b V R 5 c G U + R m 9 y b X V s Y T w v S X R l b V R 5 c G U + P E l 0 Z W 1 Q Y X R o P l N l Y 3 R p b 2 4 x L 2 V s Z W 5 j b y U y M H B h c n R u Z X I v U m l u b 2 1 p b m F 0 Z S U y M G N v b G 9 u b m U 8 L 0 l 0 Z W 1 Q Y X R o P j w v S X R l b U x v Y 2 F 0 a W 9 u P j x T d G F i b G V F b n R y a W V z L z 4 8 L 0 l 0 Z W 0 + P E l 0 Z W 0 + P E l 0 Z W 1 M b 2 N h d G l v b j 4 8 S X R l b V R 5 c G U + R m 9 y b X V s Y T w v S X R l b V R 5 c G U + P E l 0 Z W 1 Q Y X R o P l N l Y 3 R p b 2 4 x L 0 V s Z W 5 j b 1 9 j a G V r X 2 x p c 3 Q l M j A o M i k v R m l s d H J h d G U l M j B y a W d o Z T w v S X R l b V B h d G g + P C 9 J d G V t T G 9 j Y X R p b 2 4 + P F N 0 Y W J s Z U V u d H J p Z X M v P j w v S X R l b T 4 8 S X R l b T 4 8 S X R l b U x v Y 2 F 0 a W 9 u P j x J d G V t V H l w Z T 5 G b 3 J t d W x h P C 9 J d G V t V H l w Z T 4 8 S X R l b V B h d G g + U 2 V j d G l v b j E v U m V u Z G l j b 2 5 0 a V R y Y X N t Z X N z a U J M J T I w K D I p L 0 9 y a W d p b m U 8 L 0 l 0 Z W 1 Q Y X R o P j w v S X R l b U x v Y 2 F 0 a W 9 u P j x T d G F i b G V F b n R y a W V z L z 4 8 L 0 l 0 Z W 0 + P E l 0 Z W 0 + P E l 0 Z W 1 M b 2 N h d G l v b j 4 8 S X R l b V R 5 c G U + R m 9 y b X V s Y T w v S X R l b V R 5 c G U + P E l 0 Z W 1 Q Y X R o P l N l Y 3 R p b 2 4 x L 0 Z p b G U l M j B k a S U y M G V z Z W 1 w a W 8 l M j A o M T U p L 0 9 y a W d p b m U 8 L 0 l 0 Z W 1 Q Y X R o P j w v S X R l b U x v Y 2 F 0 a W 9 u P j x T d G F i b G V F b n R y a W V z L z 4 8 L 0 l 0 Z W 0 + P E l 0 Z W 0 + P E l 0 Z W 1 M b 2 N h d G l v b j 4 8 S X R l b V R 5 c G U + R m 9 y b X V s Y T w v S X R l b V R 5 c G U + P E l 0 Z W 1 Q Y X R o P l N l Y 3 R p b 2 4 x L 0 Z p b G U l M j B k a S U y M G V z Z W 1 w a W 8 l M j A o M T U p L 0 5 h d m l n Y X p p b 2 5 l M T w v S X R l b V B h d G g + P C 9 J d G V t T G 9 j Y X R p b 2 4 + P F N 0 Y W J s Z U V u d H J p Z X M v P j w v S X R l b T 4 8 S X R l b T 4 8 S X R l b U x v Y 2 F 0 a W 9 u P j x J d G V t V H l w Z T 5 G b 3 J t d W x h P C 9 J d G V t V H l w Z T 4 8 S X R l b V B h d G g + U 2 V j d G l v b j E v V H J h c 2 Z v c m 1 h J T I w Z m l s Z S U y M G R p J T I w Z X N l b X B p b y U y M C g x M C k v T 3 J p Z 2 l u Z T w v S X R l b V B h d G g + P C 9 J d G V t T G 9 j Y X R p b 2 4 + P F N 0 Y W J s Z U V u d H J p Z X M v P j w v S X R l b T 4 8 S X R l b T 4 8 S X R l b U x v Y 2 F 0 a W 9 u P j x J d G V t V H l w Z T 5 G b 3 J t d W x h P C 9 J d G V t V H l w Z T 4 8 S X R l b V B h d G g + U 2 V j d G l v b j E v V H J h c 2 Z v c m 1 h J T I w Z m l s Z S U y M C g x M C k v T 3 J p Z 2 l u Z T w v S X R l b V B h d G g + P C 9 J d G V t T G 9 j Y X R p b 2 4 + P F N 0 Y W J s Z U V u d H J p Z X M v P j w v S X R l b T 4 8 S X R l b T 4 8 S X R l b U x v Y 2 F 0 a W 9 u P j x J d G V t V H l w Z T 5 G b 3 J t d W x h P C 9 J d G V t V H l w Z T 4 8 S X R l b V B h d G g + U 2 V j d G l v b j E v U m V u Z G l j b 2 5 0 a V R y Y X N t Z X N z a U J M J T I w K D I p L 0 Z p b G U l M j B u Y X N j b 3 N 0 a S U y M G Z p b H R y Y X R p M T w v S X R l b V B h d G g + P C 9 J d G V t T G 9 j Y X R p b 2 4 + P F N 0 Y W J s Z U V u d H J p Z X M v P j w v S X R l b T 4 8 S X R l b T 4 8 S X R l b U x v Y 2 F 0 a W 9 u P j x J d G V t V H l w Z T 5 G b 3 J t d W x h P C 9 J d G V t V H l w Z T 4 8 S X R l b V B h d G g + U 2 V j d G l v b j E v U m V u Z G l j b 2 5 0 a V R y Y X N t Z X N z a U J M J T I w K D I p L 1 J p Y 2 h p Y W 1 h J T I w Z n V u e m l v b m U l M j B w Z X J z b 2 5 h b G l 6 e m F 0 Y T E 8 L 0 l 0 Z W 1 Q Y X R o P j w v S X R l b U x v Y 2 F 0 a W 9 u P j x T d G F i b G V F b n R y a W V z L z 4 8 L 0 l 0 Z W 0 + P E l 0 Z W 0 + P E l 0 Z W 1 M b 2 N h d G l v b j 4 8 S X R l b V R 5 c G U + R m 9 y b X V s Y T w v S X R l b V R 5 c G U + P E l 0 Z W 1 Q Y X R o P l N l Y 3 R p b 2 4 x L 1 J l b m R p Y 2 9 u d G l U c m F z b W V z c 2 l C T C U y M C g y K S 9 S a W 5 v b W l u Y X R l J T I w Y 2 9 s b 2 5 u Z T E 8 L 0 l 0 Z W 1 Q Y X R o P j w v S X R l b U x v Y 2 F 0 a W 9 u P j x T d G F i b G V F b n R y a W V z L z 4 8 L 0 l 0 Z W 0 + P E l 0 Z W 0 + P E l 0 Z W 1 M b 2 N h d G l v b j 4 8 S X R l b V R 5 c G U + R m 9 y b X V s Y T w v S X R l b V R 5 c G U + P E l 0 Z W 1 Q Y X R o P l N l Y 3 R p b 2 4 x L 1 J l b m R p Y 2 9 u d G l U c m F z b W V z c 2 l C T C U y M C g y K S 9 S a W 1 v c 3 N l J T I w Y W x 0 c m U l M j B j b 2 x v b m 5 l M T w v S X R l b V B h d G g + P C 9 J d G V t T G 9 j Y X R p b 2 4 + P F N 0 Y W J s Z U V u d H J p Z X M v P j w v S X R l b T 4 8 S X R l b T 4 8 S X R l b U x v Y 2 F 0 a W 9 u P j x J d G V t V H l w Z T 5 G b 3 J t d W x h P C 9 J d G V t V H l w Z T 4 8 S X R l b V B h d G g + U 2 V j d G l v b j E v U m V u Z G l j b 2 5 0 a V R y Y X N t Z X N z a U J M J T I w K D I p L 0 V z c G F u c 2 E l M j B j b 2 x v b m 5 h J T I w d G F i b G U x P C 9 J d G V t U G F 0 a D 4 8 L 0 l 0 Z W 1 M b 2 N h d G l v b j 4 8 U 3 R h Y m x l R W 5 0 c m l l c y 8 + P C 9 J d G V t P j x J d G V t P j x J d G V t T G 9 j Y X R p b 2 4 + P E l 0 Z W 1 U e X B l P k Z v c m 1 1 b G E 8 L 0 l 0 Z W 1 U e X B l P j x J d G V t U G F 0 a D 5 T Z W N 0 a W 9 u M S 9 U c m F z Z m 9 y b W E l M j B m a W x l J T I w Z G k l M j B l c 2 V t c G l v J T I w K D E w K S 9 D b 2 5 2 Z X J z a W 9 u Z S U y M G l u J T I w d G F i Z W x s Y T E 8 L 0 l 0 Z W 1 Q Y X R o P j w v S X R l b U x v Y 2 F 0 a W 9 u P j x T d G F i b G V F b n R y a W V z L z 4 8 L 0 l 0 Z W 0 + P E l 0 Z W 0 + P E l 0 Z W 1 M b 2 N h d G l v b j 4 8 S X R l b V R 5 c G U + R m 9 y b X V s Y T w v S X R l b V R 5 c G U + P E l 0 Z W 1 Q Y X R o P l N l Y 3 R p b 2 4 x L 1 J l b m R p Y 2 9 u d G l U c m F z b W V z c 2 l C T C U y M C g y K S 9 N b 2 R p Z m l j Y X R v J T I w d G l w b z w v S X R l b V B h d G g + P C 9 J d G V t T G 9 j Y X R p b 2 4 + P F N 0 Y W J s Z U V u d H J p Z X M v P j w v S X R l b T 4 8 S X R l b T 4 8 S X R l b U x v Y 2 F 0 a W 9 u P j x J d G V t V H l w Z T 5 G b 3 J t d W x h P C 9 J d G V t V H l w Z T 4 8 S X R l b V B h d G g + U 2 V j d G l v b j E v U m V u Z G l j b 2 5 0 a V R y Y X N t Z X N z a U J M J T I w K D I p L 1 N 1 Z G R p d m l k a S U y M G N v b G 9 u b m E l M j B p b i U y M G J h c 2 U l M j B h b C U y M G R l b G l t a X R h d G 9 y Z T w v S X R l b V B h d G g + P C 9 J d G V t T G 9 j Y X R p b 2 4 + P F N 0 Y W J s Z U V u d H J p Z X M v P j w v S X R l b T 4 8 S X R l b T 4 8 S X R l b U x v Y 2 F 0 a W 9 u P j x J d G V t V H l w Z T 5 G b 3 J t d W x h P C 9 J d G V t V H l w Z T 4 8 S X R l b V B h d G g + U 2 V j d G l v b j E v U m V u Z G l j b 2 5 0 a V R y Y X N t Z X N z a U J M J T I w K D I p L 0 1 v Z G l m a W N h d G 8 l M j B 0 a X B v M T w v S X R l b V B h d G g + P C 9 J d G V t T G 9 j Y X R p b 2 4 + P F N 0 Y W J s Z U V u d H J p Z X M v P j w v S X R l b T 4 8 S X R l b T 4 8 S X R l b U x v Y 2 F 0 a W 9 u P j x J d G V t V H l w Z T 5 G b 3 J t d W x h P C 9 J d G V t V H l w Z T 4 8 S X R l b V B h d G g + U 2 V j d G l v b j E v U m V u Z G l j b 2 5 0 a V R y Y X N t Z X N z a U J M J T I w K D I p L 1 J p b W 9 z c 2 U l M j B j b 2 x v b m 5 l P C 9 J d G V t U G F 0 a D 4 8 L 0 l 0 Z W 1 M b 2 N h d G l v b j 4 8 U 3 R h Y m x l R W 5 0 c m l l c y 8 + P C 9 J d G V t P j x J d G V t P j x J d G V t T G 9 j Y X R p b 2 4 + P E l 0 Z W 1 U e X B l P k Z v c m 1 1 b G E 8 L 0 l 0 Z W 1 U e X B l P j x J d G V t U G F 0 a D 5 T Z W N 0 a W 9 u M S 9 S Z W 5 k a W N v b n R p V H J h c 2 1 l c 3 N p Q k w l M j A o M i k v U 3 V k Z G l 2 a W R p J T I w Y 2 9 s b 2 5 u Y S U y M G l u J T I w Y m F z Z S U y M G F s J T I w Z G V s a W 1 p d G F 0 b 3 J l M T w v S X R l b V B h d G g + P C 9 J d G V t T G 9 j Y X R p b 2 4 + P F N 0 Y W J s Z U V u d H J p Z X M v P j w v S X R l b T 4 8 S X R l b T 4 8 S X R l b U x v Y 2 F 0 a W 9 u P j x J d G V t V H l w Z T 5 G b 3 J t d W x h P C 9 J d G V t V H l w Z T 4 8 S X R l b V B h d G g + U 2 V j d G l v b j E v U m V u Z G l j b 2 5 0 a V R y Y X N t Z X N z a U J M J T I w K D I p L 0 1 v Z G l m a W N h d G 8 l M j B 0 a X B v M j w v S X R l b V B h d G g + P C 9 J d G V t T G 9 j Y X R p b 2 4 + P F N 0 Y W J s Z U V u d H J p Z X M v P j w v S X R l b T 4 8 S X R l b T 4 8 S X R l b U x v Y 2 F 0 a W 9 u P j x J d G V t V H l w Z T 5 G b 3 J t d W x h P C 9 J d G V t V H l w Z T 4 8 S X R l b V B h d G g + U 2 V j d G l v b j E v U m V u Z G l j b 2 5 0 a V R y Y X N t Z X N z a U J M J T I w K D I p L 1 J p b W 9 z c 2 U l M j B j b 2 x v b m 5 l M T w v S X R l b V B h d G g + P C 9 J d G V t T G 9 j Y X R p b 2 4 + P F N 0 Y W J s Z U V u d H J p Z X M v P j w v S X R l b T 4 8 S X R l b T 4 8 S X R l b U x v Y 2 F 0 a W 9 u P j x J d G V t V H l w Z T 5 G b 3 J t d W x h P C 9 J d G V t V H l w Z T 4 8 S X R l b V B h d G g + U 2 V j d G l v b j E v U m V u Z G l j b 2 5 0 a V R y Y X N t Z X N z a U J M J T I w K D I p L 1 R h Y m V s b G E l M j B W Y W x 1 Z S U y M G V z c G F u c 2 E 8 L 0 l 0 Z W 1 Q Y X R o P j w v S X R l b U x v Y 2 F 0 a W 9 u P j x T d G F i b G V F b n R y a W V z L z 4 8 L 0 l 0 Z W 0 + P E l 0 Z W 0 + P E l 0 Z W 1 M b 2 N h d G l v b j 4 8 S X R l b V R 5 c G U + R m 9 y b X V s Y T w v S X R l b V R 5 c G U + P E l 0 Z W 1 Q Y X R o P l N l Y 3 R p b 2 4 x L 1 J l b m R p Y 2 9 u d G l U c m F z b W V z c 2 l C T C U y M C g y K S 9 G a W x 0 c m F 0 Z S U y M H J p Z 2 h l P C 9 J d G V t U G F 0 a D 4 8 L 0 l 0 Z W 1 M b 2 N h d G l v b j 4 8 U 3 R h Y m x l R W 5 0 c m l l c y 8 + P C 9 J d G V t P j x J d G V t P j x J d G V t T G 9 j Y X R p b 2 4 + P E l 0 Z W 1 U e X B l P k Z v c m 1 1 b G E 8 L 0 l 0 Z W 1 U e X B l P j x J d G V t U G F 0 a D 5 T Z W N 0 a W 9 u M S 9 Q c m 9 n Z X R 0 a S 9 G a W x 0 c m F 0 Z S U y M H J p Z 2 h l M T w v S X R l b V B h d G g + P C 9 J d G V t T G 9 j Y X R p b 2 4 + P F N 0 Y W J s Z U V u d H J p Z X M v P j w v S X R l b T 4 8 S X R l b T 4 8 S X R l b U x v Y 2 F 0 a W 9 u P j x J d G V t V H l w Z T 5 G b 3 J t d W x h P C 9 J d G V t V H l w Z T 4 8 S X R l b V B h d G g + U 2 V j d G l v b j E v U H V i b G l j J T I w c H J v Y 3 V y b W V u d C 9 P c m l n a W 5 l P C 9 J d G V t U G F 0 a D 4 8 L 0 l 0 Z W 1 M b 2 N h d G l v b j 4 8 U 3 R h Y m x l R W 5 0 c m l l c y 8 + P C 9 J d G V t P j x J d G V t P j x J d G V t T G 9 j Y X R p b 2 4 + P E l 0 Z W 1 U e X B l P k Z v c m 1 1 b G E 8 L 0 l 0 Z W 1 U e X B l P j x J d G V t U G F 0 a D 5 T Z W N 0 a W 9 u M S 9 G a W x l J T I w Z G k l M j B l c 2 V t c G l v J T I w K D E 2 K S 9 P c m l n a W 5 l P C 9 J d G V t U G F 0 a D 4 8 L 0 l 0 Z W 1 M b 2 N h d G l v b j 4 8 U 3 R h Y m x l R W 5 0 c m l l c y 8 + P C 9 J d G V t P j x J d G V t P j x J d G V t T G 9 j Y X R p b 2 4 + P E l 0 Z W 1 U e X B l P k Z v c m 1 1 b G E 8 L 0 l 0 Z W 1 U e X B l P j x J d G V t U G F 0 a D 5 T Z W N 0 a W 9 u M S 9 G a W x l J T I w Z G k l M j B l c 2 V t c G l v J T I w K D E 2 K S 9 O Y X Z p Z 2 F 6 a W 9 u Z T E 8 L 0 l 0 Z W 1 Q Y X R o P j w v S X R l b U x v Y 2 F 0 a W 9 u P j x T d G F i b G V F b n R y a W V z L z 4 8 L 0 l 0 Z W 0 + P E l 0 Z W 0 + P E l 0 Z W 1 M b 2 N h d G l v b j 4 8 S X R l b V R 5 c G U + R m 9 y b X V s Y T w v S X R l b V R 5 c G U + P E l 0 Z W 1 Q Y X R o P l N l Y 3 R p b 2 4 x L 1 R y Y X N m b 3 J t Y S U y M G Z p b G U l M j B k a S U y M G V z Z W 1 w a W 8 l M j A o M T E p L 0 9 y a W d p b m U 8 L 0 l 0 Z W 1 Q Y X R o P j w v S X R l b U x v Y 2 F 0 a W 9 u P j x T d G F i b G V F b n R y a W V z L z 4 8 L 0 l 0 Z W 0 + P E l 0 Z W 0 + P E l 0 Z W 1 M b 2 N h d G l v b j 4 8 S X R l b V R 5 c G U + R m 9 y b X V s Y T w v S X R l b V R 5 c G U + P E l 0 Z W 1 Q Y X R o P l N l Y 3 R p b 2 4 x L 1 R y Y X N m b 3 J t Y S U y M G Z p b G U l M j A o M T E p L 0 9 y a W d p b m U 8 L 0 l 0 Z W 1 Q Y X R o P j w v S X R l b U x v Y 2 F 0 a W 9 u P j x T d G F i b G V F b n R y a W V z L z 4 8 L 0 l 0 Z W 0 + P E l 0 Z W 0 + P E l 0 Z W 1 M b 2 N h d G l v b j 4 8 S X R l b V R 5 c G U + R m 9 y b X V s Y T w v S X R l b V R 5 c G U + P E l 0 Z W 1 Q Y X R o P l N l Y 3 R p b 2 4 x L 1 B 1 Y m x p Y y U y M H B y b 2 N 1 c m 1 l b n Q v R m l s Z S U y M G 5 h c 2 N v c 3 R p J T I w Z m l s d H J h d G k x P C 9 J d G V t U G F 0 a D 4 8 L 0 l 0 Z W 1 M b 2 N h d G l v b j 4 8 U 3 R h Y m x l R W 5 0 c m l l c y 8 + P C 9 J d G V t P j x J d G V t P j x J d G V t T G 9 j Y X R p b 2 4 + P E l 0 Z W 1 U e X B l P k Z v c m 1 1 b G E 8 L 0 l 0 Z W 1 U e X B l P j x J d G V t U G F 0 a D 5 T Z W N 0 a W 9 u M S 9 Q d W J s a W M l M j B w c m 9 j d X J t Z W 5 0 L 1 J p Y 2 h p Y W 1 h J T I w Z n V u e m l v b m U l M j B w Z X J z b 2 5 h b G l 6 e m F 0 Y T E 8 L 0 l 0 Z W 1 Q Y X R o P j w v S X R l b U x v Y 2 F 0 a W 9 u P j x T d G F i b G V F b n R y a W V z L z 4 8 L 0 l 0 Z W 0 + P E l 0 Z W 0 + P E l 0 Z W 1 M b 2 N h d G l v b j 4 8 S X R l b V R 5 c G U + R m 9 y b X V s Y T w v S X R l b V R 5 c G U + P E l 0 Z W 1 Q Y X R o P l N l Y 3 R p b 2 4 x L 1 B 1 Y m x p Y y U y M H B y b 2 N 1 c m 1 l b n Q v U m l u b 2 1 p b m F 0 Z S U y M G N v b G 9 u b m U x P C 9 J d G V t U G F 0 a D 4 8 L 0 l 0 Z W 1 M b 2 N h d G l v b j 4 8 U 3 R h Y m x l R W 5 0 c m l l c y 8 + P C 9 J d G V t P j x J d G V t P j x J d G V t T G 9 j Y X R p b 2 4 + P E l 0 Z W 1 U e X B l P k Z v c m 1 1 b G E 8 L 0 l 0 Z W 1 U e X B l P j x J d G V t U G F 0 a D 5 T Z W N 0 a W 9 u M S 9 Q d W J s a W M l M j B w c m 9 j d X J t Z W 5 0 L 1 J p b W 9 z c 2 U l M j B h b H R y Z S U y M G N v b G 9 u b m U x P C 9 J d G V t U G F 0 a D 4 8 L 0 l 0 Z W 1 M b 2 N h d G l v b j 4 8 U 3 R h Y m x l R W 5 0 c m l l c y 8 + P C 9 J d G V t P j x J d G V t P j x J d G V t T G 9 j Y X R p b 2 4 + P E l 0 Z W 1 U e X B l P k Z v c m 1 1 b G E 8 L 0 l 0 Z W 1 U e X B l P j x J d G V t U G F 0 a D 5 T Z W N 0 a W 9 u M S 9 Q d W J s a W M l M j B w c m 9 j d X J t Z W 5 0 L 0 V z c G F u c 2 E l M j B j b 2 x v b m 5 h J T I w d G F i b G U x P C 9 J d G V t U G F 0 a D 4 8 L 0 l 0 Z W 1 M b 2 N h d G l v b j 4 8 U 3 R h Y m x l R W 5 0 c m l l c y 8 + P C 9 J d G V t P j x J d G V t P j x J d G V t T G 9 j Y X R p b 2 4 + P E l 0 Z W 1 U e X B l P k Z v c m 1 1 b G E 8 L 0 l 0 Z W 1 U e X B l P j x J d G V t U G F 0 a D 5 T Z W N 0 a W 9 u M S 9 U c m F z Z m 9 y b W E l M j B m a W x l J T I w Z G k l M j B l c 2 V t c G l v J T I w K D E x K S 9 D b 2 5 2 Z X J z a W 9 u Z S U y M G l u J T I w d G F i Z W x s Y T E 8 L 0 l 0 Z W 1 Q Y X R o P j w v S X R l b U x v Y 2 F 0 a W 9 u P j x T d G F i b G V F b n R y a W V z L z 4 8 L 0 l 0 Z W 0 + P E l 0 Z W 0 + P E l 0 Z W 1 M b 2 N h d G l v b j 4 8 S X R l b V R 5 c G U + R m 9 y b X V s Y T w v S X R l b V R 5 c G U + P E l 0 Z W 1 Q Y X R o P l N l Y 3 R p b 2 4 x L 1 B 1 Y m x p Y y U y M H B y b 2 N 1 c m 1 l b n Q v T W 9 k a W Z p Y 2 F 0 b y U y M H R p c G 8 8 L 0 l 0 Z W 1 Q Y X R o P j w v S X R l b U x v Y 2 F 0 a W 9 u P j x T d G F i b G V F b n R y a W V z L z 4 8 L 0 l 0 Z W 0 + P E l 0 Z W 0 + P E l 0 Z W 1 M b 2 N h d G l v b j 4 8 S X R l b V R 5 c G U + R m 9 y b X V s Y T w v S X R l b V R 5 c G U + P E l 0 Z W 1 Q Y X R o P l N l Y 3 R p b 2 4 x L 1 B 1 Y m x p Y y U y M H B y b 2 N 1 c m 1 l b n Q v R m l s d H J h d G U l M j B y a W d o Z T w v S X R l b V B h d G g + P C 9 J d G V t T G 9 j Y X R p b 2 4 + P F N 0 Y W J s Z U V u d H J p Z X M v P j w v S X R l b T 4 8 S X R l b T 4 8 S X R l b U x v Y 2 F 0 a W 9 u P j x J d G V t V H l w Z T 5 G b 3 J t d W x h P C 9 J d G V t V H l w Z T 4 8 S X R l b V B h d G g + U 2 V j d G l v b j E v U H V i b G l j J T I w c H J v Y 3 V y b W V u d C 9 U Y W J l b G x h J T I w V m F s d W U l M j B l c 3 B h b n N h P C 9 J d G V t U G F 0 a D 4 8 L 0 l 0 Z W 1 M b 2 N h d G l v b j 4 8 U 3 R h Y m x l R W 5 0 c m l l c y 8 + P C 9 J d G V t P j x J d G V t P j x J d G V t T G 9 j Y X R p b 2 4 + P E l 0 Z W 1 U e X B l P k Z v c m 1 1 b G E 8 L 0 l 0 Z W 1 U e X B l P j x J d G V t U G F 0 a D 5 T Z W N 0 a W 9 u M S 9 Q d W J s a W M l M j B w c m 9 j d X J t Z W 5 0 L 1 R h Y m V s b G E l M j B W Y W x 1 Z S U y M G V z c G F u c 2 E x P C 9 J d G V t U G F 0 a D 4 8 L 0 l 0 Z W 1 M b 2 N h d G l v b j 4 8 U 3 R h Y m x l R W 5 0 c m l l c y 8 + P C 9 J d G V t P j x J d G V t P j x J d G V t T G 9 j Y X R p b 2 4 + P E l 0 Z W 1 U e X B l P k Z v c m 1 1 b G E 8 L 0 l 0 Z W 1 U e X B l P j x J d G V t U G F 0 a D 5 T Z W N 0 a W 9 u M S 9 Q d W J s a W M l M j B w c m 9 j d X J t Z W 5 0 L 1 N 1 Z G R p d m l k a S U y M G N v b G 9 u b m E l M j B p b i U y M G J h c 2 U l M j B h b C U y M G R l b G l t a X R h d G 9 y Z T w v S X R l b V B h d G g + P C 9 J d G V t T G 9 j Y X R p b 2 4 + P F N 0 Y W J s Z U V u d H J p Z X M v P j w v S X R l b T 4 8 S X R l b T 4 8 S X R l b U x v Y 2 F 0 a W 9 u P j x J d G V t V H l w Z T 5 G b 3 J t d W x h P C 9 J d G V t V H l w Z T 4 8 S X R l b V B h d G g + U 2 V j d G l v b j E v U H V i b G l j J T I w c H J v Y 3 V y b W V u d C 9 N b 2 R p Z m l j Y X R v J T I w d G l w b z E 8 L 0 l 0 Z W 1 Q Y X R o P j w v S X R l b U x v Y 2 F 0 a W 9 u P j x T d G F i b G V F b n R y a W V z L z 4 8 L 0 l 0 Z W 0 + P E l 0 Z W 0 + P E l 0 Z W 1 M b 2 N h d G l v b j 4 8 S X R l b V R 5 c G U + R m 9 y b X V s Y T w v S X R l b V R 5 c G U + P E l 0 Z W 1 Q Y X R o P l N l Y 3 R p b 2 4 x L 1 B 1 Y m x p Y y U y M H B y b 2 N 1 c m 1 l b n Q v U m l t b 3 N z Z S U y M G N v b G 9 u b m U 8 L 0 l 0 Z W 1 Q Y X R o P j w v S X R l b U x v Y 2 F 0 a W 9 u P j x T d G F i b G V F b n R y a W V z L z 4 8 L 0 l 0 Z W 0 + P E l 0 Z W 0 + P E l 0 Z W 1 M b 2 N h d G l v b j 4 8 S X R l b V R 5 c G U + R m 9 y b X V s Y T w v S X R l b V R 5 c G U + P E l 0 Z W 1 Q Y X R o P l N l Y 3 R p b 2 4 x L 1 B 1 Y m x p Y y U y M H B y b 2 N 1 c m 1 l b n Q v U 3 V k Z G l 2 a W R p J T I w Y 2 9 s b 2 5 u Y S U y M G l u J T I w Y m F z Z S U y M G F s J T I w Z G V s a W 1 p d G F 0 b 3 J l M T w v S X R l b V B h d G g + P C 9 J d G V t T G 9 j Y X R p b 2 4 + P F N 0 Y W J s Z U V u d H J p Z X M v P j w v S X R l b T 4 8 S X R l b T 4 8 S X R l b U x v Y 2 F 0 a W 9 u P j x J d G V t V H l w Z T 5 G b 3 J t d W x h P C 9 J d G V t V H l w Z T 4 8 S X R l b V B h d G g + U 2 V j d G l v b j E v U H V i b G l j J T I w c H J v Y 3 V y b W V u d C 9 N b 2 R p Z m l j Y X R v J T I w d G l w b z I 8 L 0 l 0 Z W 1 Q Y X R o P j w v S X R l b U x v Y 2 F 0 a W 9 u P j x T d G F i b G V F b n R y a W V z L z 4 8 L 0 l 0 Z W 0 + P E l 0 Z W 0 + P E l 0 Z W 1 M b 2 N h d G l v b j 4 8 S X R l b V R 5 c G U + R m 9 y b X V s Y T w v S X R l b V R 5 c G U + P E l 0 Z W 1 Q Y X R o P l N l Y 3 R p b 2 4 x L 1 B 1 Y m x p Y y U y M H B y b 2 N 1 c m 1 l b n Q v U m l t b 3 N z Z S U y M G N v b G 9 u b m U x P C 9 J d G V t U G F 0 a D 4 8 L 0 l 0 Z W 1 M b 2 N h d G l v b j 4 8 U 3 R h Y m x l R W 5 0 c m l l c y 8 + P C 9 J d G V t P j x J d G V t P j x J d G V t T G 9 j Y X R p b 2 4 + P E l 0 Z W 1 U e X B l P k Z v c m 1 1 b G E 8 L 0 l 0 Z W 1 U e X B l P j x J d G V t U G F 0 a D 5 T Z W N 0 a W 9 u M S 9 Q d W J s a W M l M j B w c m 9 j d X J t Z W 5 0 L 1 J p b m 9 t a W 5 h d G U l M j B j b 2 x v b m 5 l P C 9 J d G V t U G F 0 a D 4 8 L 0 l 0 Z W 1 M b 2 N h d G l v b j 4 8 U 3 R h Y m x l R W 5 0 c m l l c y 8 + P C 9 J d G V t P j x J d G V t P j x J d G V t T G 9 j Y X R p b 2 4 + P E l 0 Z W 1 U e X B l P k Z v c m 1 1 b G E 8 L 0 l 0 Z W 1 U e X B l P j x J d G V t U G F 0 a D 5 T Z W N 0 a W 9 u M S 9 J X 0 1 p Z W l f U m V u Z G l j b 2 5 0 a S 9 G a W x 0 c m F 0 Z S U y M H J p Z 2 h l P C 9 J d G V t U G F 0 a D 4 8 L 0 l 0 Z W 1 M b 2 N h d G l v b j 4 8 U 3 R h Y m x l R W 5 0 c m l l c y 8 + P C 9 J d G V t P j x J d G V t P j x J d G V t T G 9 j Y X R p b 2 4 + P E l 0 Z W 1 U e X B l P k F s b E Z v c m 1 1 b G F z P C 9 J d G V t V H l w Z T 4 8 S X R l b V B h d G g + P C 9 J d G V t U G F 0 a D 4 8 L 0 l 0 Z W 1 M b 2 N h d G l v b j 4 8 U 3 R h Y m x l R W 5 0 c m l l c z 4 8 R W 5 0 c n k g V H l w Z T 0 i U X V l c n l H c m 9 1 c H M i I F Z h b H V l P S J z S U F B Q U F B Q U F B Q U J U V l p z S 3 Y v N k J R N n l S Z W t I e D R p e X J H R l J 5 W V h O b W I z S n R Z U 0 J t Y V d 4 b E l H U m h J R V Z T V W s 5 U 1 N R Q U F B Q U F B Q U F B Q U F B Q W t O L 3 J t S z A w M F N x S V R W V G J O T z l Z M E V G R j F a W E o 1 S U d S c E l H V n p a V z F 3 Y V c 4 Q U F W T l Z t d 3 E v L 2 9 G R H J K R j Z R Z k h p T E t z Q U F B Q U F B Q U F B Q U p n S m h 3 T U V 6 V W h F c l F 6 Y 2 R R Q l g 5 Z F F j V k h K a G M y W n Z j b T F o S U d a c G J H V W d a R 0 V n U l Z K U 1 Q x S k p J Q 2 d 5 S 1 F B Q U F n Q U F B Q U F B Q U F B U 2 l 2 Z 0 U 1 c U U x U k p y K 1 k 1 d X F v R C s 2 R U Z G M V p Y S j V J R 1 J w S U d W e l p X M X d h V z h B Q V p n S m h 3 T U V 6 V W h F c l F 6 Y 2 R R Q l g 5 Z F F B Q U F B Q U F B Q U F B R z Z L M j B z M z F y V k Z z R W V V W m F H T 2 1 k O G N W S E p o Y z J a d m N t M W h J R 1 p w Y k d V Z 1 p H R W d S V k p T V D F K S k l D Z 3 p L U U F B Q k F B Q U F B Q U F B Q U F Z V T J 0 O T g 5 O X d U N X V H M X Z Y c U h h R W l F R k Y x W l h K N U l H U n B J R 1 Z 6 W l c x d 2 F X O E F B V z Z L M j B z M z F y V k Z z R W V V W m F H T 2 1 k O E F B Q U F B Q U F B Q U F O W k h m c D U 3 e G F 0 Q m h P M H B R W U o 0 Z W 1 J c F Z I S m h j M l p 2 Y 2 0 x a E l H W n B i R 1 V n W k d F Z 1 V t V n V a R 2 x q Y j I 1 M G F V T n Z i b l p o Y k d s a 1 l Y U n B R a 3 d B Q U F Z Q U F B Q U F B Q U F B V H l Q U m l x T W x 3 R T I 2 Y n N v c j Y z M D R 4 Q k J S Z F d W e W V T Q m t h U 0 J s Y z J W d G N H b H Z B Q U h X U j M 2 Z W U 4 V 3 J R W V R 0 S 1 V H Q 2 V I c G l B Q U F B Q U F B Q U F B Q 0 l z a j d R Z m F T M 1 F v a j J X c V B U R z U 2 S E g x U n l Z W E 5 t Y j N K d F l T Q m 1 h V 3 h s S U d S a E l G T n d a W E 5 s S U Z O d m N I T m x j M l V B Q U F n Q U F B Q U F B Q U F B c i 9 s U 2 h Y b 0 x U V V N J W E 9 V b z B a c 2 5 q U k J S Z F d W e W V T Q m t h U 0 J s Y z J W d G N H b H Z B Q U d J c 2 o 3 U W Z h U z N R b 2 o y V 3 F Q V E c 1 N k h B Q U F B Q U F B Q U F B Q n Y x a n R u V V N O R F R J N j F q c 1 V r Q 1 E 2 N U o x U n l Z W E 5 t Y j N K d F l T Q m 1 h V 3 h s S U d S a E l G S m x i b V J w W T I 5 d W R H b F V j b U Z 6 Y l d W e m M y b E N U Q U F B Q 2 d B Q U F B Q U F B Q U R z Q V d t U 0 1 4 W V p S W V h T d j N C a 2 J 5 L 0 x E R k Y x W l h K N U l H a G x i S E J s Y 2 d B Q m I 5 W T d a M U V q U T B 5 T 3 R Z N 0 Z K Q W t P d V F B Q U F B Q U F B Q U F B Y m J x W G 5 a S V N 0 a 2 l 3 R E 1 w Q m F 3 U D d U U 0 p V Y 2 1 G e l p t O X l i V 0 V n W m 1 s c 1 p T Q m t Z U 0 J G Y k d W d V k y O W Z Z M m h s Y T E 5 c 2 F Y T j B B Q U F N Q U F B Q U F B Q U F B S z A v T m l C N U Z m c E t w e l I 2 a D V I N W p L S U 1 V W F Z s Y 2 5 r Z 2 F H V n N j R 1 Z 5 Q U F G d H V w Z W R r a E s y U 0 x B T X l r R n J B L 3 R O Q U F B Q U F B Q U F B Q U R r L 1 h k R k R u O V F R b z l Q e H g y S j N F Z j h K b F J 5 W V h O b W I z S n R Z U 0 J t Y V d 4 b E l H U m h J R V Z z W l c 1 a m I x O W p h R 1 Z y W D J 4 c G M z U W d L R E l w Q U F B T 0 F B Q U F B Q U F B Q U Z C T V N w R l d q b D F M c m 5 T L 2 J R Q 1 N N L 0 V N V V h W b G N u a 2 d h R 1 Z z Y 0 d W e U F B S G s v W G R G R G 4 5 U V F v O V B 4 e D J K M 0 V m O E F B Q U F B Q U F B Q U F E N 1 h V c 1 R p T D B D U T Z 5 N 1 V u N H p o S T J l S E Z S e V l Y T m 1 i M 0 p 0 W V N C b W F X e G x J R 1 J o S U V O S V J V c 2 d U R W x U V k R F Q U F C Q U F B Q U F B Q U F B Q W Z m V T d B R 0 N B S j A 2 b z F 1 Q X Q x V m 0 r N G d 4 U m R X V n l l U 0 J v W l d 4 d 1 p Y S U F B Z n R k U 3 h P S X Z R S k R y T H R T Z m p P R W p a N E F B Q U F B Q U F B Q U F C M m 5 j V G x N Z G V S Q X Z J Q m 9 R d 2 Y x Q U 9 n Z F Z I S m h j M l p 2 Y 2 0 x a E l H W n B i R 1 V n W k d F Z 1 k y a G x h e U J z Y V h O M E l E S U F B Q k l B Q U F B Q U F B Q U E z c 0 d h Y z V h Q k t V T 2 t X V l l w O W x 3 d W F 3 e F J k V 1 Z 5 Z V N C b 1 p X e H d a W E l B Q V I y b m N U b E 1 k Z V J B d k l C b 1 F 3 Z j F B T 2 d B Q U F B Q U F B Q U F B R y 8 0 e E V t R E 1 Z N U l s a y t P c i t o b G J G b 2 R W S E p o Y z J a d m N t M W h J R 1 p w Y k d V Z 1 p H R W d Z M m h s Y X l C c 2 F Y T j B J R E 1 B Q U J R Q U F B Q U F B Q U F B M G l S Z H E 1 e j A 2 V T J m Z W N Q Y 3 d M b 3 V W Q X h S Z F d W e W V T Q m 9 a V 3 h 3 W l h J Q U F X L z R 4 R W 1 E T V k 1 S W x r K 0 9 y K 2 h s Y k Z v Q U F B Q U F B Q U F B Q U x h d 2 J V V T E z c W h E a 2 x i c 3 Z r U 3 F q U m d o V k h K a G M y W n Z j b T F o S U d a c G J H V W d a R 0 V n W T J o b G F 5 Q n N h W E 4 w S U R N Z 0 t E S X B B Q U F X Q U F B Q U F B Q U F B R z d O V S t o b W t J R k p z T 0 J m e V R u a E 4 3 c 0 1 V W F Z s Y 2 5 r Z 2 F H V n N j R 1 Z 5 Q U F H M n N H M U Z O Z D Z v U T V K V z d M N U V x b z B Z Q U F B Q U F B Q U F B Q U N J e W F M Z i 9 C e C t S c F J X N j g 1 e G Z Z U D R J M V J 5 W V h O b W I z S n R Z U 0 J t Y V d 4 b E l H U m h J R X h w Y z N S U F p r V j R j R 1 Z 1 W k d s M G R Y S m x B Q U F Z Q U F B Q U F B Q U F B S m V n e D d 2 R 0 F X U k t u U l J u O X l K U 1 N l Z 0 1 V W F Z s Y 2 5 r Z 2 F H V n N j R 1 Z 5 Q U F H S X l h T G Y v Q n g r U n B S V z Y 4 N X h m W V A 0 Q U F B Q U F B Q U F B Q U N 1 e m 1 4 M W J h W X l R W m R F S 3 J o b m R C N E V J R l J 5 W V h O b W I z S n R Z U 0 J t Y V d 4 b E l H U m h J R 1 Z z W l c 1 a m J 5 Q n d Z W E o w Y m 1 W e U F B Q W F B Q U F B Q U F B Q U F I a 1 Q x Q m 1 P O E d O R G t T V m N z U H N G S n E w T V V Y V m x j b m t n Y U d W c 2 N H V n l B Q U d 1 e m 1 4 M W J h W X l R W m R F S 3 J o b m R C N E V B Q U F B Q U F B Q U F B R G w y U k l i c k 5 6 Y V R J T m 5 1 O T F h U W N U T U s x U n l Z W E 5 t Y j N K d F l T Q m 1 h V 3 h s S U d S a E l G S m x i b V J w W T I 5 d W R H b F V j b U Z 6 Y l d W e m M y b E N U Q 0 F v T W l r Q U F C d 0 F B Q U F B Q U F B Q W 9 T c 1 E 2 d F F J V z B P O F R S N D h 2 M z l U M X d 4 U m R X V n l l U 0 J v W l d 4 d 1 p Y S U F B Z V h a R W h 1 c z N O c E 1 n M m U 3 M 1 Z w Q n h N d 0 F B Q U F B Q U F B Q U F H S m x G Z G 1 U b X d 0 T 2 h w R k N O M U R E d X d v a l Z I S m h j M l p 2 Y 2 0 x a E l H W n B i R 1 V n W k d F Z 1 V I V m l i R 2 x q S U h C e W I y T j F j b T F s Y m 5 R Q U F C N E F B Q U F B Q U F B Q S s y e U 4 5 a l d a V U V P e E 0 v W G p W N l l U Z F F 4 U m R X V n l l U 0 J v W l d 4 d 1 p Y S U F B V 0 p s R m R t V G 1 3 d E 9 o c E Z D T j F E R H V 3 b 0 F B Q U F B I i 8 + P E V u d H J 5 I F R 5 c G U 9 I l J l b G F 0 a W 9 u c 2 h p c H M i I F Z h b H V l P S J z Q U F B Q U F B P T 0 i L z 4 8 L 1 N 0 Y W J s Z U V u d H J p Z X M + P C 9 J d G V t P j w v S X R l b X M + P C 9 M b 2 N h b F B h Y 2 t h Z 2 V N Z X R h Z G F 0 Y U Z p b G U + F g A A A F B L B Q Y A A A A A A A A A A A A A A A A A A A A A A A D a A A A A A Q A A A N C M n d 8 B F d E R j H o A w E / C l + s B A A A A l 0 x k A i Q B S 0 + K b D Y + C K N W v g A A A A A C A A A A A A A D Z g A A w A A A A B A A A A B G c W a 1 P V H 4 b 0 I s I 2 N B P v G A A A A A A A S A A A C g A A A A E A A A A P 4 0 b 0 b h z C f 1 s D N 0 6 s Z U Z 1 B Q A A A A E 6 i h x R J + X x 5 q 8 t k f 8 e d S R k x 6 X X f F Q L j l W E o a y g O + t T B Z U D 3 z s 3 o 0 r 4 v J 2 n j X o c i s P F Q 0 5 t 0 7 J B w u 2 f f E e C h / S 3 3 Z F K S X C 3 V j G B N h 9 5 9 u O A M U A A A A X t G W Y X O n + e o L h Q K U c z e 2 Y H B N P M k = < / D a t a M a s h u p > 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o" ma:contentTypeID="0x0101006B45B7D763BB004890832F1CFAA4CDDF" ma:contentTypeVersion="0" ma:contentTypeDescription="Creare un nuovo documento." ma:contentTypeScope="" ma:versionID="42d0f4e92040db0b21413a0cffe1d584">
  <xsd:schema xmlns:xsd="http://www.w3.org/2001/XMLSchema" xmlns:xs="http://www.w3.org/2001/XMLSchema" xmlns:p="http://schemas.microsoft.com/office/2006/metadata/properties" targetNamespace="http://schemas.microsoft.com/office/2006/metadata/properties" ma:root="true" ma:fieldsID="a3eec16d3e841ebf650196acacb84cc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099D030-BE38-4D0F-8122-979EFE06C162}">
  <ds:schemaRefs>
    <ds:schemaRef ds:uri="http://schemas.microsoft.com/DataMashup"/>
  </ds:schemaRefs>
</ds:datastoreItem>
</file>

<file path=customXml/itemProps2.xml><?xml version="1.0" encoding="utf-8"?>
<ds:datastoreItem xmlns:ds="http://schemas.openxmlformats.org/officeDocument/2006/customXml" ds:itemID="{AA413439-955B-41E4-BDA0-427B9C4BD44E}">
  <ds:schemaRefs>
    <ds:schemaRef ds:uri="http://schemas.openxmlformats.org/package/2006/metadata/core-properties"/>
    <ds:schemaRef ds:uri="http://schemas.microsoft.com/office/infopath/2007/PartnerControls"/>
    <ds:schemaRef ds:uri="http://purl.org/dc/dcmitype/"/>
    <ds:schemaRef ds:uri="http://purl.org/dc/elements/1.1/"/>
    <ds:schemaRef ds:uri="http://purl.org/dc/terms/"/>
    <ds:schemaRef ds:uri="http://schemas.microsoft.com/office/2006/documentManagement/typ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1B40255B-7F57-44DA-B288-6F1BFF5AE648}">
  <ds:schemaRefs>
    <ds:schemaRef ds:uri="http://schemas.microsoft.com/sharepoint/v3/contenttype/forms"/>
  </ds:schemaRefs>
</ds:datastoreItem>
</file>

<file path=customXml/itemProps4.xml><?xml version="1.0" encoding="utf-8"?>
<ds:datastoreItem xmlns:ds="http://schemas.openxmlformats.org/officeDocument/2006/customXml" ds:itemID="{3F5C3FC2-5969-4676-91FF-9AD7017E3F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19</vt:i4>
      </vt:variant>
    </vt:vector>
  </HeadingPairs>
  <TitlesOfParts>
    <vt:vector size="19" baseType="lpstr">
      <vt:lpstr>MY-REPORT-MAIN</vt:lpstr>
      <vt:lpstr>Foglio1</vt:lpstr>
      <vt:lpstr>Weight tables</vt:lpstr>
      <vt:lpstr>Ambito d'errore</vt:lpstr>
      <vt:lpstr>ReportSubmittedBL</vt:lpstr>
      <vt:lpstr>ReportValidatedBL</vt:lpstr>
      <vt:lpstr>Progetti</vt:lpstr>
      <vt:lpstr>SummaryNOT_VALIDATED-BL</vt:lpstr>
      <vt:lpstr>ListOFErrors</vt:lpstr>
      <vt:lpstr>Errors</vt:lpstr>
      <vt:lpstr>ParkedItems</vt:lpstr>
      <vt:lpstr>Public procurment</vt:lpstr>
      <vt:lpstr>ListOfExpenditure</vt:lpstr>
      <vt:lpstr>List_Of_chek_list</vt:lpstr>
      <vt:lpstr>elenco partner</vt:lpstr>
      <vt:lpstr>Interreg VI-A Italy-Slovenia_pr</vt:lpstr>
      <vt:lpstr>Partner data</vt:lpstr>
      <vt:lpstr>Varie Tabelle</vt:lpstr>
      <vt:lpstr>Partner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Ferlez Danijel</dc:creator>
  <cp:lastModifiedBy>Ferlez Danijel</cp:lastModifiedBy>
  <cp:lastPrinted>2024-07-31T08:12:48Z</cp:lastPrinted>
  <dcterms:created xsi:type="dcterms:W3CDTF">2024-05-06T07:10:59Z</dcterms:created>
  <dcterms:modified xsi:type="dcterms:W3CDTF">2024-08-09T10:21:41Z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0x0101006B45B7D763BB004890832F1CFAA4CDDF</vt:lpwstr>
  </property>
</Properties>
</file>